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44.xml" ContentType="application/vnd.openxmlformats-officedocument.spreadsheetml.worksheet+xml"/>
  <Override PartName="/xl/worksheets/sheet1.xml" ContentType="application/vnd.openxmlformats-officedocument.spreadsheetml.worksheet+xml"/>
  <Override PartName="/xl/worksheets/sheet45.xml" ContentType="application/vnd.openxmlformats-officedocument.spreadsheetml.worksheet+xml"/>
  <Override PartName="/xl/worksheets/sheet2.xml" ContentType="application/vnd.openxmlformats-officedocument.spreadsheetml.worksheet+xml"/>
  <Override PartName="/xl/worksheets/sheet46.xml" ContentType="application/vnd.openxmlformats-officedocument.spreadsheetml.worksheet+xml"/>
  <Override PartName="/xl/worksheets/sheet3.xml" ContentType="application/vnd.openxmlformats-officedocument.spreadsheetml.worksheet+xml"/>
  <Override PartName="/xl/worksheets/sheet47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48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_rels/sheet44.xml.rels" ContentType="application/vnd.openxmlformats-package.relationships+xml"/>
  <Override PartName="/xl/worksheets/_rels/sheet1.xml.rels" ContentType="application/vnd.openxmlformats-package.relationships+xml"/>
  <Override PartName="/xl/worksheets/_rels/sheet45.xml.rels" ContentType="application/vnd.openxmlformats-package.relationships+xml"/>
  <Override PartName="/xl/worksheets/_rels/sheet2.xml.rels" ContentType="application/vnd.openxmlformats-package.relationships+xml"/>
  <Override PartName="/xl/worksheets/_rels/sheet46.xml.rels" ContentType="application/vnd.openxmlformats-package.relationships+xml"/>
  <Override PartName="/xl/worksheets/_rels/sheet3.xml.rels" ContentType="application/vnd.openxmlformats-package.relationships+xml"/>
  <Override PartName="/xl/worksheets/_rels/sheet47.xml.rels" ContentType="application/vnd.openxmlformats-package.relationships+xml"/>
  <Override PartName="/xl/worksheets/_rels/sheet4.xml.rels" ContentType="application/vnd.openxmlformats-package.relationships+xml"/>
  <Override PartName="/xl/worksheets/_rels/sheet5.xml.rels" ContentType="application/vnd.openxmlformats-package.relationships+xml"/>
  <Override PartName="/xl/worksheets/_rels/sheet6.xml.rels" ContentType="application/vnd.openxmlformats-package.relationships+xml"/>
  <Override PartName="/xl/worksheets/_rels/sheet7.xml.rels" ContentType="application/vnd.openxmlformats-package.relationships+xml"/>
  <Override PartName="/xl/worksheets/_rels/sheet20.xml.rels" ContentType="application/vnd.openxmlformats-package.relationships+xml"/>
  <Override PartName="/xl/worksheets/_rels/sheet8.xml.rels" ContentType="application/vnd.openxmlformats-package.relationships+xml"/>
  <Override PartName="/xl/worksheets/_rels/sheet21.xml.rels" ContentType="application/vnd.openxmlformats-package.relationships+xml"/>
  <Override PartName="/xl/worksheets/_rels/sheet9.xml.rels" ContentType="application/vnd.openxmlformats-package.relationships+xml"/>
  <Override PartName="/xl/worksheets/_rels/sheet22.xml.rels" ContentType="application/vnd.openxmlformats-package.relationships+xml"/>
  <Override PartName="/xl/worksheets/_rels/sheet10.xml.rels" ContentType="application/vnd.openxmlformats-package.relationships+xml"/>
  <Override PartName="/xl/worksheets/_rels/sheet11.xml.rels" ContentType="application/vnd.openxmlformats-package.relationships+xml"/>
  <Override PartName="/xl/worksheets/_rels/sheet12.xml.rels" ContentType="application/vnd.openxmlformats-package.relationships+xml"/>
  <Override PartName="/xl/worksheets/_rels/sheet13.xml.rels" ContentType="application/vnd.openxmlformats-package.relationships+xml"/>
  <Override PartName="/xl/worksheets/_rels/sheet14.xml.rels" ContentType="application/vnd.openxmlformats-package.relationships+xml"/>
  <Override PartName="/xl/worksheets/_rels/sheet15.xml.rels" ContentType="application/vnd.openxmlformats-package.relationships+xml"/>
  <Override PartName="/xl/worksheets/_rels/sheet16.xml.rels" ContentType="application/vnd.openxmlformats-package.relationships+xml"/>
  <Override PartName="/xl/worksheets/_rels/sheet17.xml.rels" ContentType="application/vnd.openxmlformats-package.relationships+xml"/>
  <Override PartName="/xl/worksheets/_rels/sheet18.xml.rels" ContentType="application/vnd.openxmlformats-package.relationships+xml"/>
  <Override PartName="/xl/worksheets/_rels/sheet19.xml.rels" ContentType="application/vnd.openxmlformats-package.relationships+xml"/>
  <Override PartName="/xl/worksheets/_rels/sheet23.xml.rels" ContentType="application/vnd.openxmlformats-package.relationships+xml"/>
  <Override PartName="/xl/worksheets/_rels/sheet24.xml.rels" ContentType="application/vnd.openxmlformats-package.relationships+xml"/>
  <Override PartName="/xl/worksheets/_rels/sheet25.xml.rels" ContentType="application/vnd.openxmlformats-package.relationships+xml"/>
  <Override PartName="/xl/worksheets/_rels/sheet26.xml.rels" ContentType="application/vnd.openxmlformats-package.relationships+xml"/>
  <Override PartName="/xl/worksheets/_rels/sheet27.xml.rels" ContentType="application/vnd.openxmlformats-package.relationships+xml"/>
  <Override PartName="/xl/worksheets/_rels/sheet28.xml.rels" ContentType="application/vnd.openxmlformats-package.relationships+xml"/>
  <Override PartName="/xl/worksheets/_rels/sheet29.xml.rels" ContentType="application/vnd.openxmlformats-package.relationships+xml"/>
  <Override PartName="/xl/worksheets/_rels/sheet30.xml.rels" ContentType="application/vnd.openxmlformats-package.relationships+xml"/>
  <Override PartName="/xl/worksheets/_rels/sheet31.xml.rels" ContentType="application/vnd.openxmlformats-package.relationships+xml"/>
  <Override PartName="/xl/worksheets/_rels/sheet32.xml.rels" ContentType="application/vnd.openxmlformats-package.relationships+xml"/>
  <Override PartName="/xl/worksheets/_rels/sheet33.xml.rels" ContentType="application/vnd.openxmlformats-package.relationships+xml"/>
  <Override PartName="/xl/worksheets/_rels/sheet34.xml.rels" ContentType="application/vnd.openxmlformats-package.relationships+xml"/>
  <Override PartName="/xl/worksheets/_rels/sheet35.xml.rels" ContentType="application/vnd.openxmlformats-package.relationships+xml"/>
  <Override PartName="/xl/worksheets/_rels/sheet36.xml.rels" ContentType="application/vnd.openxmlformats-package.relationships+xml"/>
  <Override PartName="/xl/worksheets/_rels/sheet37.xml.rels" ContentType="application/vnd.openxmlformats-package.relationships+xml"/>
  <Override PartName="/xl/worksheets/_rels/sheet38.xml.rels" ContentType="application/vnd.openxmlformats-package.relationships+xml"/>
  <Override PartName="/xl/worksheets/_rels/sheet39.xml.rels" ContentType="application/vnd.openxmlformats-package.relationships+xml"/>
  <Override PartName="/xl/worksheets/_rels/sheet40.xml.rels" ContentType="application/vnd.openxmlformats-package.relationships+xml"/>
  <Override PartName="/xl/worksheets/_rels/sheet41.xml.rels" ContentType="application/vnd.openxmlformats-package.relationships+xml"/>
  <Override PartName="/xl/worksheets/_rels/sheet42.xml.rels" ContentType="application/vnd.openxmlformats-package.relationships+xml"/>
  <Override PartName="/xl/worksheets/_rels/sheet43.xml.rels" ContentType="application/vnd.openxmlformats-package.relationships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vmlDrawing1.vml" ContentType="application/vnd.openxmlformats-officedocument.vmlDrawing"/>
  <Override PartName="/xl/drawings/drawing2.xml" ContentType="application/vnd.openxmlformats-officedocument.drawing+xml"/>
  <Override PartName="/xl/drawings/drawing10.xml" ContentType="application/vnd.openxmlformats-officedocument.drawing+xml"/>
  <Override PartName="/xl/drawings/vmlDrawing2.vml" ContentType="application/vnd.openxmlformats-officedocument.vmlDrawing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1.xml" ContentType="application/vnd.openxmlformats-officedocument.drawing+xml"/>
  <Override PartName="/xl/drawings/vmlDrawing3.vml" ContentType="application/vnd.openxmlformats-officedocument.vmlDrawing"/>
  <Override PartName="/xl/drawings/drawing12.xml" ContentType="application/vnd.openxmlformats-officedocument.drawing+xml"/>
  <Override PartName="/xl/drawings/vmlDrawing4.vml" ContentType="application/vnd.openxmlformats-officedocument.vmlDrawing"/>
  <Override PartName="/xl/drawings/drawing13.xml" ContentType="application/vnd.openxmlformats-officedocument.drawing+xml"/>
  <Override PartName="/xl/drawings/vmlDrawing5.vml" ContentType="application/vnd.openxmlformats-officedocument.vmlDrawing"/>
  <Override PartName="/xl/drawings/drawing14.xml" ContentType="application/vnd.openxmlformats-officedocument.drawing+xml"/>
  <Override PartName="/xl/drawings/_rels/drawing18.xml.rels" ContentType="application/vnd.openxmlformats-package.relationships+xml"/>
  <Override PartName="/xl/drawings/_rels/drawing23.xml.rels" ContentType="application/vnd.openxmlformats-package.relationships+xml"/>
  <Override PartName="/xl/drawings/_rels/drawing19.xml.rels" ContentType="application/vnd.openxmlformats-package.relationships+xml"/>
  <Override PartName="/xl/drawings/_rels/drawing24.xml.rels" ContentType="application/vnd.openxmlformats-package.relationships+xml"/>
  <Override PartName="/xl/drawings/_rels/drawing20.xml.rels" ContentType="application/vnd.openxmlformats-package.relationships+xml"/>
  <Override PartName="/xl/drawings/_rels/drawing21.xml.rels" ContentType="application/vnd.openxmlformats-package.relationships+xml"/>
  <Override PartName="/xl/drawings/_rels/drawing22.xml.rels" ContentType="application/vnd.openxmlformats-package.relationships+xml"/>
  <Override PartName="/xl/drawings/_rels/drawing25.xml.rels" ContentType="application/vnd.openxmlformats-package.relationships+xml"/>
  <Override PartName="/xl/drawings/_rels/drawing26.xml.rels" ContentType="application/vnd.openxmlformats-package.relationships+xml"/>
  <Override PartName="/xl/drawings/_rels/drawing27.xml.rels" ContentType="application/vnd.openxmlformats-package.relationships+xml"/>
  <Override PartName="/xl/drawings/_rels/drawing28.xml.rels" ContentType="application/vnd.openxmlformats-package.relationships+xml"/>
  <Override PartName="/xl/drawings/_rels/drawing29.xml.rels" ContentType="application/vnd.openxmlformats-package.relationships+xml"/>
  <Override PartName="/xl/drawings/_rels/drawing30.xml.rels" ContentType="application/vnd.openxmlformats-package.relationships+xml"/>
  <Override PartName="/xl/drawings/_rels/drawing31.xml.rels" ContentType="application/vnd.openxmlformats-package.relationships+xml"/>
  <Override PartName="/xl/drawings/_rels/drawing32.xml.rels" ContentType="application/vnd.openxmlformats-package.relationships+xml"/>
  <Override PartName="/xl/drawings/_rels/drawing33.xml.rels" ContentType="application/vnd.openxmlformats-package.relationships+xml"/>
  <Override PartName="/xl/drawings/_rels/drawing34.xml.rels" ContentType="application/vnd.openxmlformats-package.relationships+xml"/>
  <Override PartName="/xl/drawings/_rels/drawing35.xml.rels" ContentType="application/vnd.openxmlformats-package.relationships+xml"/>
  <Override PartName="/xl/drawings/_rels/drawing36.xml.rels" ContentType="application/vnd.openxmlformats-package.relationships+xml"/>
  <Override PartName="/xl/drawings/_rels/drawing37.xml.rels" ContentType="application/vnd.openxmlformats-package.relationships+xml"/>
  <Override PartName="/xl/drawings/_rels/drawing38.xml.rels" ContentType="application/vnd.openxmlformats-package.relationships+xml"/>
  <Override PartName="/xl/drawings/_rels/drawing39.xml.rels" ContentType="application/vnd.openxmlformats-package.relationships+xml"/>
  <Override PartName="/xl/drawings/_rels/drawing40.xml.rels" ContentType="application/vnd.openxmlformats-package.relationships+xml"/>
  <Override PartName="/xl/drawings/_rels/drawing41.xml.rels" ContentType="application/vnd.openxmlformats-package.relationships+xml"/>
  <Override PartName="/xl/drawings/_rels/drawing42.xml.rels" ContentType="application/vnd.openxmlformats-package.relationships+xml"/>
  <Override PartName="/xl/drawings/_rels/drawing43.xml.rels" ContentType="application/vnd.openxmlformats-package.relationships+xml"/>
  <Override PartName="/xl/drawings/_rels/drawing44.xml.rels" ContentType="application/vnd.openxmlformats-package.relationships+xml"/>
  <Override PartName="/xl/drawings/_rels/drawing45.xml.rels" ContentType="application/vnd.openxmlformats-package.relationships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comments4.xml" ContentType="application/vnd.openxmlformats-officedocument.spreadsheetml.comments+xml"/>
  <Override PartName="/xl/comments6.xml" ContentType="application/vnd.openxmlformats-officedocument.spreadsheetml.comments+xml"/>
  <Override PartName="/xl/media/image1.png" ContentType="image/png"/>
  <Override PartName="/xl/_rels/workbook.xml.rels" ContentType="application/vnd.openxmlformats-package.relationships+xml"/>
  <Override PartName="/xl/comments34.xml" ContentType="application/vnd.openxmlformats-officedocument.spreadsheetml.comments+xml"/>
  <Override PartName="/xl/comments37.xml" ContentType="application/vnd.openxmlformats-officedocument.spreadsheetml.comments+xml"/>
  <Override PartName="/xl/comments43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46"/>
  </bookViews>
  <sheets>
    <sheet name="ENERO 2025" sheetId="1" state="visible" r:id="rId3"/>
    <sheet name="DICIEMBRE 2024" sheetId="2" state="visible" r:id="rId4"/>
    <sheet name="NOVIEMBRE 2024" sheetId="3" state="visible" r:id="rId5"/>
    <sheet name="OCTUBRE 2024" sheetId="4" state="visible" r:id="rId6"/>
    <sheet name="SEPTIEMBRE 2024" sheetId="5" state="visible" r:id="rId7"/>
    <sheet name="AGOSTO 2024" sheetId="6" state="visible" r:id="rId8"/>
    <sheet name="JULIO 2024" sheetId="7" state="visible" r:id="rId9"/>
    <sheet name="JUNIO 2024" sheetId="8" state="visible" r:id="rId10"/>
    <sheet name="MAYO 2024" sheetId="9" state="visible" r:id="rId11"/>
    <sheet name="ABRIL 2024" sheetId="10" state="visible" r:id="rId12"/>
    <sheet name="MARZO 2024" sheetId="11" state="visible" r:id="rId13"/>
    <sheet name="FEBRERO 2024" sheetId="12" state="visible" r:id="rId14"/>
    <sheet name="ENERO 2024" sheetId="13" state="visible" r:id="rId15"/>
    <sheet name="DICIEMBRE 2023" sheetId="14" state="visible" r:id="rId16"/>
    <sheet name="NOVIEMBRE 2023" sheetId="15" state="visible" r:id="rId17"/>
    <sheet name="OCTUBRE 2023" sheetId="16" state="visible" r:id="rId18"/>
    <sheet name="SEPTIEMBRE 2023" sheetId="17" state="visible" r:id="rId19"/>
    <sheet name="AGOSTO 2023" sheetId="18" state="visible" r:id="rId20"/>
    <sheet name="JULIO 2023" sheetId="19" state="visible" r:id="rId21"/>
    <sheet name="JUNIO 2023" sheetId="20" state="visible" r:id="rId22"/>
    <sheet name="MAYO 2023" sheetId="21" state="visible" r:id="rId23"/>
    <sheet name="ABRIL 2023" sheetId="22" state="visible" r:id="rId24"/>
    <sheet name="MARZO 2023" sheetId="23" state="visible" r:id="rId25"/>
    <sheet name="FEBRERO 2023" sheetId="24" state="visible" r:id="rId26"/>
    <sheet name="ENERO 2023" sheetId="25" state="visible" r:id="rId27"/>
    <sheet name="DICIEMBRE 2022" sheetId="26" state="visible" r:id="rId28"/>
    <sheet name="NOVIEMBRE 2022" sheetId="27" state="visible" r:id="rId29"/>
    <sheet name="OCTUBRE 2022" sheetId="28" state="visible" r:id="rId30"/>
    <sheet name="SEPTIEMBRE 2022" sheetId="29" state="visible" r:id="rId31"/>
    <sheet name="AGOSTO 2022" sheetId="30" state="visible" r:id="rId32"/>
    <sheet name="JULIO 2022" sheetId="31" state="visible" r:id="rId33"/>
    <sheet name="JUNIO 2022" sheetId="32" state="visible" r:id="rId34"/>
    <sheet name="MAYO 2022" sheetId="33" state="visible" r:id="rId35"/>
    <sheet name="ABRIL 2022" sheetId="34" state="visible" r:id="rId36"/>
    <sheet name="MARZO 2022" sheetId="35" state="visible" r:id="rId37"/>
    <sheet name="FEBRERO 2022" sheetId="36" state="visible" r:id="rId38"/>
    <sheet name="ENERO 2022" sheetId="37" state="visible" r:id="rId39"/>
    <sheet name="DICIEMBRE 2021" sheetId="38" state="visible" r:id="rId40"/>
    <sheet name="NOVIEMBRE 2021" sheetId="39" state="visible" r:id="rId41"/>
    <sheet name="OCTUBRE 2021" sheetId="40" state="visible" r:id="rId42"/>
    <sheet name="SEPTIEMBRE 2021" sheetId="41" state="visible" r:id="rId43"/>
    <sheet name="AGOSTO 2021" sheetId="42" state="visible" r:id="rId44"/>
    <sheet name="JULIO 2021" sheetId="43" state="visible" r:id="rId45"/>
    <sheet name="JUNIO 2021" sheetId="44" state="visible" r:id="rId46"/>
    <sheet name="MAYO 2021" sheetId="45" state="visible" r:id="rId47"/>
    <sheet name="ABRIL 2021" sheetId="46" state="visible" r:id="rId48"/>
    <sheet name="MARZO 2021" sheetId="47" state="visible" r:id="rId49"/>
    <sheet name="LEYENDA" sheetId="48" state="visible" r:id="rId50"/>
  </sheets>
  <definedNames>
    <definedName function="false" hidden="true" localSheetId="9" name="_xlnm._FilterDatabase" vbProcedure="false">'ABRIL 2024'!$A$1:$AH$70</definedName>
    <definedName function="false" hidden="true" localSheetId="17" name="_xlnm._FilterDatabase" vbProcedure="false">'AGOSTO 2023'!$A$1:$AE$75</definedName>
    <definedName function="false" hidden="true" localSheetId="5" name="_xlnm._FilterDatabase" vbProcedure="false">'AGOSTO 2024'!$A$1:$AG$68</definedName>
    <definedName function="false" hidden="true" localSheetId="1" name="_xlnm._FilterDatabase" vbProcedure="false">'DICIEMBRE 2024'!$A$1:$AF$67</definedName>
    <definedName function="false" hidden="true" localSheetId="12" name="_xlnm._FilterDatabase" vbProcedure="false">'ENERO 2024'!$A$1:$AH$73</definedName>
    <definedName function="false" hidden="true" localSheetId="11" name="_xlnm._FilterDatabase" vbProcedure="false">'FEBRERO 2024'!$A$1:$AH$73</definedName>
    <definedName function="false" hidden="true" localSheetId="18" name="_xlnm._FilterDatabase" vbProcedure="false">'JULIO 2023'!$A$1:$AE$52</definedName>
    <definedName function="false" hidden="true" localSheetId="6" name="_xlnm._FilterDatabase" vbProcedure="false">'JULIO 2024'!$A$1:$AH$68</definedName>
    <definedName function="false" hidden="true" localSheetId="19" name="_xlnm._FilterDatabase" vbProcedure="false">'JUNIO 2023'!$A$1:$AE$97</definedName>
    <definedName function="false" hidden="true" localSheetId="7" name="_xlnm._FilterDatabase" vbProcedure="false">'JUNIO 2024'!$A$1:$AG$60</definedName>
    <definedName function="false" hidden="true" localSheetId="10" name="_xlnm._FilterDatabase" vbProcedure="false">'MARZO 2024'!$A$1:$AH$61</definedName>
    <definedName function="false" hidden="true" localSheetId="20" name="_xlnm._FilterDatabase" vbProcedure="false">'MAYO 2023'!$A$1:$AF$102</definedName>
    <definedName function="false" hidden="true" localSheetId="8" name="_xlnm._FilterDatabase" vbProcedure="false">'MAYO 2024'!$A$1:$AH$69</definedName>
    <definedName function="false" hidden="true" localSheetId="14" name="_xlnm._FilterDatabase" vbProcedure="false">'NOVIEMBRE 2023'!$A$1:$AF$76</definedName>
    <definedName function="false" hidden="true" localSheetId="2" name="_xlnm._FilterDatabase" vbProcedure="false">'NOVIEMBRE 2024'!$A$1:$AG$67</definedName>
    <definedName function="false" hidden="true" localSheetId="15" name="_xlnm._FilterDatabase" vbProcedure="false">'OCTUBRE 2023'!$A$1:$AF$76</definedName>
    <definedName function="false" hidden="true" localSheetId="3" name="_xlnm._FilterDatabase" vbProcedure="false">'OCTUBRE 2024'!$A$1:$AG$68</definedName>
    <definedName function="false" hidden="true" localSheetId="16" name="_xlnm._FilterDatabase" vbProcedure="false">'SEPTIEMBRE 2023'!$A$1:$AE$74</definedName>
    <definedName function="false" hidden="true" localSheetId="4" name="_xlnm._FilterDatabase" vbProcedure="false">'SEPTIEMBRE 2024'!$A$1:$AF$68</definedName>
    <definedName function="false" hidden="false" name="EstadoProceso" vbProcedure="false">#REF!</definedName>
    <definedName function="false" hidden="false" localSheetId="0" name="EstadoProceso" vbProcedure="false">#REF!</definedName>
    <definedName function="false" hidden="true" localSheetId="0" name="Z_A3E9EB0B_17FB_4EC0_B8D1_8C051FD8FC9C_.wvu.FilterData" vbProcedure="false">'ENERO 2025'!$A$1:$AF$67</definedName>
    <definedName function="false" hidden="false" localSheetId="1" name="EstadoProceso" vbProcedure="false">#REF!</definedName>
    <definedName function="false" hidden="true" localSheetId="1" name="Z_A3E9EB0B_17FB_4EC0_B8D1_8C051FD8FC9C_.wvu.FilterData" vbProcedure="false">'DICIEMBRE 2024'!$A$1:$AF$67</definedName>
    <definedName function="false" hidden="false" localSheetId="2" name="EstadoProceso" vbProcedure="false">#REF!</definedName>
    <definedName function="false" hidden="true" localSheetId="2" name="Z_A3E9EB0B_17FB_4EC0_B8D1_8C051FD8FC9C_.wvu.FilterData" vbProcedure="false">'NOVIEMBRE 2024'!$A$1:$AG$67</definedName>
    <definedName function="false" hidden="false" localSheetId="3" name="EstadoProceso" vbProcedure="false">#REF!</definedName>
    <definedName function="false" hidden="true" localSheetId="3" name="Z_A3E9EB0B_17FB_4EC0_B8D1_8C051FD8FC9C_.wvu.FilterData" vbProcedure="false">'OCTUBRE 2024'!$A$1:$AG$68</definedName>
    <definedName function="false" hidden="false" localSheetId="4" name="EstadoProceso" vbProcedure="false">#REF!</definedName>
    <definedName function="false" hidden="true" localSheetId="4" name="Z_A3E9EB0B_17FB_4EC0_B8D1_8C051FD8FC9C_.wvu.FilterData" vbProcedure="false">'SEPTIEMBRE 2024'!$A$1:$AF$68</definedName>
    <definedName function="false" hidden="false" localSheetId="5" name="EstadoProceso" vbProcedure="false">#REF!</definedName>
    <definedName function="false" hidden="true" localSheetId="5" name="Z_A3E9EB0B_17FB_4EC0_B8D1_8C051FD8FC9C_.wvu.FilterData" vbProcedure="false">'AGOSTO 2024'!$A$1:$AG$68</definedName>
    <definedName function="false" hidden="false" localSheetId="6" name="EstadoProceso" vbProcedure="false">#REF!</definedName>
    <definedName function="false" hidden="true" localSheetId="6" name="Z_A3E9EB0B_17FB_4EC0_B8D1_8C051FD8FC9C_.wvu.FilterData" vbProcedure="false">'JULIO 2024'!$A$1:$AH$68</definedName>
    <definedName function="false" hidden="false" localSheetId="7" name="EstadoProceso" vbProcedure="false">#REF!</definedName>
    <definedName function="false" hidden="true" localSheetId="7" name="Z_A3E9EB0B_17FB_4EC0_B8D1_8C051FD8FC9C_.wvu.FilterData" vbProcedure="false">'JUNIO 2024'!$A$1:$AG$60</definedName>
    <definedName function="false" hidden="false" localSheetId="8" name="EstadoProceso" vbProcedure="false">#REF!</definedName>
    <definedName function="false" hidden="true" localSheetId="8" name="Z_A3E9EB0B_17FB_4EC0_B8D1_8C051FD8FC9C_.wvu.FilterData" vbProcedure="false">'MAYO 2024'!$A$1:$AH$69</definedName>
    <definedName function="false" hidden="false" localSheetId="9" name="EstadoProceso" vbProcedure="false">#REF!</definedName>
    <definedName function="false" hidden="true" localSheetId="9" name="Z_A3E9EB0B_17FB_4EC0_B8D1_8C051FD8FC9C_.wvu.FilterData" vbProcedure="false">'ABRIL 2024'!$A$1:$AH$70</definedName>
    <definedName function="false" hidden="false" localSheetId="10" name="EstadoProceso" vbProcedure="false">#REF!</definedName>
    <definedName function="false" hidden="true" localSheetId="10" name="Z_A3E9EB0B_17FB_4EC0_B8D1_8C051FD8FC9C_.wvu.FilterData" vbProcedure="false">'MARZO 2024'!$A$1:$AH$61</definedName>
    <definedName function="false" hidden="false" localSheetId="11" name="EstadoProceso" vbProcedure="false">#REF!</definedName>
    <definedName function="false" hidden="true" localSheetId="11" name="Z_A3E9EB0B_17FB_4EC0_B8D1_8C051FD8FC9C_.wvu.FilterData" vbProcedure="false">'FEBRERO 2024'!$A$1:$AH$73</definedName>
    <definedName function="false" hidden="false" localSheetId="12" name="EstadoProceso" vbProcedure="false">#REF!</definedName>
    <definedName function="false" hidden="true" localSheetId="12" name="Z_A3E9EB0B_17FB_4EC0_B8D1_8C051FD8FC9C_.wvu.FilterData" vbProcedure="false">'ENERO 2024'!$A$1:$AH$73</definedName>
    <definedName function="false" hidden="false" localSheetId="13" name="EstadoProceso" vbProcedure="false">#REF!</definedName>
    <definedName function="false" hidden="true" localSheetId="13" name="Z_A3E9EB0B_17FB_4EC0_B8D1_8C051FD8FC9C_.wvu.FilterData" vbProcedure="false">'DICIEMBRE 2023'!$A$1:$AG$76</definedName>
    <definedName function="false" hidden="false" localSheetId="14" name="EstadoProceso" vbProcedure="false">#REF!</definedName>
    <definedName function="false" hidden="true" localSheetId="14" name="Z_A3E9EB0B_17FB_4EC0_B8D1_8C051FD8FC9C_.wvu.FilterData" vbProcedure="false">'NOVIEMBRE 2023'!$A$1:$AF$76</definedName>
    <definedName function="false" hidden="false" localSheetId="15" name="EstadoProceso" vbProcedure="false">#REF!</definedName>
    <definedName function="false" hidden="true" localSheetId="15" name="Z_A3E9EB0B_17FB_4EC0_B8D1_8C051FD8FC9C_.wvu.FilterData" vbProcedure="false">'OCTUBRE 2023'!$A$1:$AF$76</definedName>
    <definedName function="false" hidden="false" localSheetId="16" name="EstadoProceso" vbProcedure="false">#REF!</definedName>
    <definedName function="false" hidden="true" localSheetId="16" name="Z_A3E9EB0B_17FB_4EC0_B8D1_8C051FD8FC9C_.wvu.FilterData" vbProcedure="false">'SEPTIEMBRE 2023'!$A$1:$AE$74</definedName>
    <definedName function="false" hidden="false" localSheetId="17" name="EstadoProceso" vbProcedure="false">#REF!</definedName>
    <definedName function="false" hidden="true" localSheetId="17" name="Z_A3E9EB0B_17FB_4EC0_B8D1_8C051FD8FC9C_.wvu.FilterData" vbProcedure="false">'AGOSTO 2023'!$A$1:$AE$75</definedName>
    <definedName function="false" hidden="false" localSheetId="18" name="EstadoProceso" vbProcedure="false">#REF!</definedName>
    <definedName function="false" hidden="true" localSheetId="18" name="Z_A3E9EB0B_17FB_4EC0_B8D1_8C051FD8FC9C_.wvu.FilterData" vbProcedure="false">'JULIO 2023'!$A$1:$AE$52</definedName>
    <definedName function="false" hidden="false" localSheetId="19" name="EstadoProceso" vbProcedure="false">#REF!</definedName>
    <definedName function="false" hidden="true" localSheetId="19" name="Z_A3E9EB0B_17FB_4EC0_B8D1_8C051FD8FC9C_.wvu.FilterData" vbProcedure="false">'JUNIO 2023'!$A$1:$AE$97</definedName>
    <definedName function="false" hidden="false" localSheetId="20" name="EstadoProceso" vbProcedure="false">#REF!</definedName>
    <definedName function="false" hidden="true" localSheetId="20" name="Z_A3E9EB0B_17FB_4EC0_B8D1_8C051FD8FC9C_.wvu.FilterData" vbProcedure="false">'MAYO 2023'!$A$1:$AF$102</definedName>
    <definedName function="false" hidden="false" localSheetId="21" name="EstadoProceso" vbProcedure="false">#REF!</definedName>
    <definedName function="false" hidden="false" localSheetId="22" name="EstadoProceso" vbProcedure="false">#REF!</definedName>
    <definedName function="false" hidden="false" localSheetId="23" name="EstadoProceso" vbProcedure="false">#REF!</definedName>
    <definedName function="false" hidden="false" localSheetId="24" name="EstadoProceso" vbProcedure="false">#REF!</definedName>
    <definedName function="false" hidden="false" localSheetId="25" name="EstadoProceso" vbProcedure="false">#REF!</definedName>
    <definedName function="false" hidden="false" localSheetId="26" name="EstadoProceso" vbProcedure="false">#REF!</definedName>
    <definedName function="false" hidden="false" localSheetId="27" name="EstadoProceso" vbProcedure="false">#REF!</definedName>
    <definedName function="false" hidden="false" localSheetId="28" name="EstadoProceso" vbProcedure="false">#REF!</definedName>
    <definedName function="false" hidden="false" localSheetId="29" name="EstadoProceso" vbProcedure="false">#REF!</definedName>
    <definedName function="false" hidden="false" localSheetId="30" name="EstadoProceso" vbProcedure="false">#REF!</definedName>
    <definedName function="false" hidden="false" localSheetId="31" name="EstadoProceso" vbProcedure="false">#REF!</definedName>
    <definedName function="false" hidden="false" localSheetId="32" name="EstadoProceso" vbProcedure="false">#REF!</definedName>
    <definedName function="false" hidden="false" localSheetId="33" name="EstadoProceso" vbProcedure="false">#REF!</definedName>
    <definedName function="false" hidden="false" localSheetId="34" name="EstadoProceso" vbProcedure="false">#REF!</definedName>
    <definedName function="false" hidden="false" localSheetId="35" name="EstadoProceso" vbProcedure="false">#REF!</definedName>
    <definedName function="false" hidden="false" localSheetId="36" name="EstadoProceso" vbProcedure="false">#REF!</definedName>
    <definedName function="false" hidden="false" localSheetId="37" name="EstadoProceso" vbProcedure="false">#REF!</definedName>
    <definedName function="false" hidden="false" localSheetId="38" name="EstadoProceso" vbProcedure="false">#REF!</definedName>
    <definedName function="false" hidden="false" localSheetId="39" name="EstadoProceso" vbProcedure="false">#REF!</definedName>
    <definedName function="false" hidden="false" localSheetId="40" name="EstadoProceso" vbProcedure="false">#REF!</definedName>
    <definedName function="false" hidden="false" localSheetId="41" name="EstadoProceso" vbProcedure="false">#REF!</definedName>
    <definedName function="false" hidden="false" localSheetId="42" name="EstadoProceso" vbProcedure="false">#REF!</definedName>
    <definedName function="false" hidden="false" localSheetId="43" name="EstadoProceso" vbProcedure="false">#REF!</definedName>
    <definedName function="false" hidden="false" localSheetId="44" name="EstadoProceso" vbProcedure="false">#REF!</definedName>
    <definedName function="false" hidden="false" localSheetId="45" name="EstadoProceso" vbProcedure="false">#REF!</definedName>
    <definedName function="false" hidden="false" localSheetId="46" name="EstadoProceso" vbProcedure="false">#REF!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comments4.xml><?xml version="1.0" encoding="utf-8"?>
<comments xmlns="http://schemas.openxmlformats.org/spreadsheetml/2006/main" xmlns:xdr="http://schemas.openxmlformats.org/drawingml/2006/spreadsheetDrawing">
  <authors>
    <author>Autoría desconocida</author>
  </authors>
  <commentList>
    <comment ref="S53" authorId="0">
      <text>
        <r>
          <rPr>
            <sz val="10"/>
            <rFont val="Arial"/>
            <family val="2"/>
          </rPr>
          <t xml:space="preserve">estante C17
	-Desarme &amp; Relevamiento</t>
        </r>
      </text>
    </comment>
  </commentList>
</comments>
</file>

<file path=xl/comments6.xml><?xml version="1.0" encoding="utf-8"?>
<comments xmlns="http://schemas.openxmlformats.org/spreadsheetml/2006/main" xmlns:xdr="http://schemas.openxmlformats.org/drawingml/2006/spreadsheetDrawing">
  <authors>
    <author>Autoría desconocida</author>
  </authors>
  <commentList>
    <comment ref="U30" authorId="0">
      <text>
        <r>
          <rPr>
            <sz val="10"/>
            <rFont val="Arial"/>
            <family val="2"/>
          </rPr>
          <t xml:space="preserve">se encuentra en el estante A22
	-Desarme &amp; Relevamiento</t>
        </r>
      </text>
    </comment>
  </commentList>
</comments>
</file>

<file path=xl/comments34.xml><?xml version="1.0" encoding="utf-8"?>
<comments xmlns="http://schemas.openxmlformats.org/spreadsheetml/2006/main" xmlns:xdr="http://schemas.openxmlformats.org/drawingml/2006/spreadsheetDrawing">
  <authors>
    <author>Autoría desconocida</author>
  </authors>
  <commentList>
    <comment ref="X66" authorId="0">
      <text>
        <r>
          <rPr>
            <sz val="10"/>
            <rFont val="Arial"/>
            <family val="2"/>
          </rPr>
          <t xml:space="preserve">Se cotizó sin ficha. Pendiente.
	-Control Calidad</t>
        </r>
      </text>
    </comment>
  </commentList>
</comments>
</file>

<file path=xl/comments37.xml><?xml version="1.0" encoding="utf-8"?>
<comments xmlns="http://schemas.openxmlformats.org/spreadsheetml/2006/main" xmlns:xdr="http://schemas.openxmlformats.org/drawingml/2006/spreadsheetDrawing">
  <authors>
    <author>Autoría desconocida</author>
  </authors>
  <commentList>
    <comment ref="G13" authorId="0">
      <text>
        <r>
          <rPr>
            <sz val="10"/>
            <rFont val="Arial"/>
            <family val="2"/>
          </rPr>
          <t xml:space="preserve">Las medidas se indican para 1 solo perno.
	-Control Calidad</t>
        </r>
      </text>
    </comment>
  </commentList>
</comments>
</file>

<file path=xl/comments43.xml><?xml version="1.0" encoding="utf-8"?>
<comments xmlns="http://schemas.openxmlformats.org/spreadsheetml/2006/main" xmlns:xdr="http://schemas.openxmlformats.org/drawingml/2006/spreadsheetDrawing">
  <authors>
    <author>Autoría desconocida</author>
  </authors>
  <commentList>
    <comment ref="A8" authorId="0">
      <text>
        <r>
          <rPr>
            <sz val="10"/>
            <rFont val="Arial"/>
            <family val="2"/>
          </rPr>
          <t xml:space="preserve">@camsa.recepcion.despacho@gmail.com Éste cilindro tiene marcado un N° de OT viejo: 3183-1 ¿Por qué se le hizo ingreso como nuevo?
	-Control Calidad</t>
        </r>
      </text>
    </comment>
    <comment ref="A20" authorId="0">
      <text>
        <r>
          <rPr>
            <sz val="10"/>
            <rFont val="Arial"/>
            <family val="2"/>
          </rPr>
          <t xml:space="preserve">@camsa.recepcion.despacho@gmail.com las OT 5804 y 05 tienen a HORIZON Y EXPOLAJAS como cliente, pero las tarjetas adosadas dicen que son de MINERA LA ALUMBRERA. Además, le cargaron una OT nueva, siendo que tienen ya el logo de CAMSA y deben por lo tanto tener una OT VIEJA. El registro figura hecho por Guillermo Sanchez.
Puedes ver la foto aquí: https://photos.app.goo.gl/qo4sRAyCabT4icWg8
_Asignada a camsa.recepcion.despacho@gmail.com_
	-Control Calidad</t>
        </r>
      </text>
    </comment>
    <comment ref="A31" authorId="0">
      <text>
        <r>
          <rPr>
            <sz val="10"/>
            <rFont val="Arial"/>
            <family val="2"/>
          </rPr>
          <t xml:space="preserve">@camsa.recepcion.despacho@gmail.com no existe álbum de la OT 5815. ¿Son realmente de ésta OT?
_Asignada a camsa.recepcion.despacho@gmail.com_
	-Control Calidad</t>
        </r>
      </text>
    </comment>
    <comment ref="A40" authorId="0">
      <text>
        <r>
          <rPr>
            <sz val="10"/>
            <rFont val="Arial"/>
            <family val="2"/>
          </rPr>
          <t xml:space="preserve">@camsa.recepcion.despacho@gmail.com OT 5814 Y 5822 son la misma cosa (según las fotos enlazadas), ¿Cuál de las dos es?¿Cuál es la otra?
_Asignada a camsa.recepcion.despacho@gmail.com_
	-Control Calidad</t>
        </r>
      </text>
    </comment>
    <comment ref="A45" authorId="0">
      <text>
        <r>
          <rPr>
            <sz val="10"/>
            <rFont val="Arial"/>
            <family val="2"/>
          </rPr>
          <t xml:space="preserve">A partir de aquí se implementó el registro de as dimensiones (ancho x alto x largo) de la OT desde recepción.
	-Control Calidad</t>
        </r>
      </text>
    </comment>
    <comment ref="G46" authorId="0">
      <text>
        <r>
          <rPr>
            <sz val="10"/>
            <rFont val="Arial"/>
            <family val="2"/>
          </rPr>
          <t xml:space="preserve">Largo no se puede medir por que tiene ojo cortado y esta abierto
	-Recepción &amp; Despacho</t>
        </r>
      </text>
    </comment>
    <comment ref="H36" authorId="0">
      <text>
        <r>
          <rPr>
            <sz val="10"/>
            <rFont val="Arial"/>
            <family val="2"/>
          </rPr>
          <t xml:space="preserve">@camsa.recepcion.despacho@gmail.com Recuerda colocar el enlace en la casilla que dice "URL" :)
_Asignada a camsa.recepcion.despacho@gmail.com_
	-Control Calidad</t>
        </r>
      </text>
    </comment>
  </commentList>
</comments>
</file>

<file path=xl/sharedStrings.xml><?xml version="1.0" encoding="utf-8"?>
<sst xmlns="http://schemas.openxmlformats.org/spreadsheetml/2006/main" count="32545" uniqueCount="4869">
  <si>
    <t xml:space="preserve">N° OT</t>
  </si>
  <si>
    <t xml:space="preserve">Fecha de recepción</t>
  </si>
  <si>
    <t xml:space="preserve">CLIENTE</t>
  </si>
  <si>
    <t xml:space="preserve">Nuevo, reingreso o reclamo?</t>
  </si>
  <si>
    <t xml:space="preserve">Responsable de registro</t>
  </si>
  <si>
    <t xml:space="preserve">Descripción del proyecto</t>
  </si>
  <si>
    <r>
      <rPr>
        <b val="true"/>
        <i val="true"/>
        <sz val="10"/>
        <color theme="1"/>
        <rFont val="Arial"/>
        <family val="0"/>
        <charset val="1"/>
      </rPr>
      <t xml:space="preserve">Dimensiones [mm] </t>
    </r>
    <r>
      <rPr>
        <b val="true"/>
        <i val="true"/>
        <sz val="9"/>
        <color theme="1"/>
        <rFont val="Arial"/>
        <family val="0"/>
        <charset val="1"/>
      </rPr>
      <t xml:space="preserve">ancho x largo x alto</t>
    </r>
  </si>
  <si>
    <t xml:space="preserve">Registro Fotográfico</t>
  </si>
  <si>
    <t xml:space="preserve">Marcado</t>
  </si>
  <si>
    <t xml:space="preserve">Teléfono</t>
  </si>
  <si>
    <t xml:space="preserve">Email</t>
  </si>
  <si>
    <t xml:space="preserve">Nº Remito del cliente</t>
  </si>
  <si>
    <t xml:space="preserve">MOTIVO de recepción                     (Preguntar posibles causas)</t>
  </si>
  <si>
    <r>
      <rPr>
        <b val="true"/>
        <sz val="10"/>
        <color theme="1"/>
        <rFont val="Arial"/>
        <family val="0"/>
        <charset val="1"/>
      </rPr>
      <t xml:space="preserve">Dimensiones [mm] </t>
    </r>
    <r>
      <rPr>
        <b val="true"/>
        <i val="true"/>
        <sz val="9"/>
        <color theme="1"/>
        <rFont val="Arial"/>
        <family val="0"/>
        <charset val="1"/>
      </rPr>
      <t xml:space="preserve">ancho x largo x alto</t>
    </r>
  </si>
  <si>
    <t xml:space="preserve">Marcado de piezas</t>
  </si>
  <si>
    <t xml:space="preserve">Registro fotográfico</t>
  </si>
  <si>
    <t xml:space="preserve">Nº de tarima</t>
  </si>
  <si>
    <t xml:space="preserve">Responsable de desarme</t>
  </si>
  <si>
    <t xml:space="preserve">Observaciones</t>
  </si>
  <si>
    <t xml:space="preserve">Responsable de relevamiento</t>
  </si>
  <si>
    <t xml:space="preserve">Confección ficha PAPEL</t>
  </si>
  <si>
    <t xml:space="preserve">Cotización</t>
  </si>
  <si>
    <t xml:space="preserve">Seguimiento de cotizacion</t>
  </si>
  <si>
    <t xml:space="preserve">AGV</t>
  </si>
  <si>
    <t xml:space="preserve">Nuevo</t>
  </si>
  <si>
    <t xml:space="preserve">Guillermo Sanchez</t>
  </si>
  <si>
    <t xml:space="preserve">CILINDRO DE BALDE DE EXCAVADORA SANY SY 750H INT EX31. OT 8297</t>
  </si>
  <si>
    <t xml:space="preserve">480x2450x450</t>
  </si>
  <si>
    <t xml:space="preserve">Completo</t>
  </si>
  <si>
    <t xml:space="preserve">x</t>
  </si>
  <si>
    <t xml:space="preserve">Mauricio Fernandez</t>
  </si>
  <si>
    <t xml:space="preserve">mauricio fernandez</t>
  </si>
  <si>
    <t xml:space="preserve">Aceptada</t>
  </si>
  <si>
    <t xml:space="preserve">EXAR</t>
  </si>
  <si>
    <t xml:space="preserve">Oficina Técnica</t>
  </si>
  <si>
    <t xml:space="preserve"> SELLO RADIAL DE EJE 45X62X8 HMSA10RG X 6UNI</t>
  </si>
  <si>
    <t xml:space="preserve">X</t>
  </si>
  <si>
    <t xml:space="preserve">No Aplica</t>
  </si>
  <si>
    <t xml:space="preserve">GESTAMP</t>
  </si>
  <si>
    <t xml:space="preserve">PLACA PORTA FERODO</t>
  </si>
  <si>
    <t xml:space="preserve">No aplica</t>
  </si>
  <si>
    <t xml:space="preserve">SULLAIR </t>
  </si>
  <si>
    <t xml:space="preserve">convertidor de par Volvo A40 F</t>
  </si>
  <si>
    <t xml:space="preserve">450 x 300 x 450</t>
  </si>
  <si>
    <t xml:space="preserve">122-243</t>
  </si>
  <si>
    <t xml:space="preserve">biela cinemática p/EC460</t>
  </si>
  <si>
    <t xml:space="preserve">440 x 900 x 210</t>
  </si>
  <si>
    <t xml:space="preserve">125-459</t>
  </si>
  <si>
    <t xml:space="preserve">En espera</t>
  </si>
  <si>
    <t xml:space="preserve">biela cinemática usada EC480</t>
  </si>
  <si>
    <t xml:space="preserve">HIDROTEC </t>
  </si>
  <si>
    <t xml:space="preserve">husillo Sandvik 710/712</t>
  </si>
  <si>
    <t xml:space="preserve">170 x 635 x 170</t>
  </si>
  <si>
    <t xml:space="preserve">SULLAIR SAN JUAN</t>
  </si>
  <si>
    <t xml:space="preserve">cilindro levante de pantografo WA600</t>
  </si>
  <si>
    <t xml:space="preserve">330 x 2250 x 330</t>
  </si>
  <si>
    <t xml:space="preserve">cilindro inclinacion balde PC800</t>
  </si>
  <si>
    <t xml:space="preserve">350 x 2900 x 360</t>
  </si>
  <si>
    <t xml:space="preserve">Llampa Marcial</t>
  </si>
  <si>
    <t xml:space="preserve">s/n</t>
  </si>
  <si>
    <t xml:space="preserve">cilindro levante espejo topador D375</t>
  </si>
  <si>
    <t xml:space="preserve">370 x 2030 x 250</t>
  </si>
  <si>
    <t xml:space="preserve">AGRONORTE</t>
  </si>
  <si>
    <t xml:space="preserve">Fabricacion de flouropack segun muestra</t>
  </si>
  <si>
    <t xml:space="preserve">CIL MESA MORDIENTE LARGO PROMINAS 177-070-009  - COD 134483</t>
  </si>
  <si>
    <t xml:space="preserve">MINERA SOFÍA </t>
  </si>
  <si>
    <t xml:space="preserve">pala cargadora lonking 853</t>
  </si>
  <si>
    <t xml:space="preserve">CAPRA</t>
  </si>
  <si>
    <t xml:space="preserve">cilindro principal de grua </t>
  </si>
  <si>
    <t xml:space="preserve">220 x1370 x 270</t>
  </si>
  <si>
    <t xml:space="preserve">CAPRA </t>
  </si>
  <si>
    <t xml:space="preserve">cilindro de brazo </t>
  </si>
  <si>
    <t xml:space="preserve">200 x 1450 x 200</t>
  </si>
  <si>
    <t xml:space="preserve">S/N</t>
  </si>
  <si>
    <t xml:space="preserve">Fernando Heredia</t>
  </si>
  <si>
    <t xml:space="preserve">HOLCIM</t>
  </si>
  <si>
    <t xml:space="preserve">cilindro de prensa </t>
  </si>
  <si>
    <t xml:space="preserve">296-18354</t>
  </si>
  <si>
    <t xml:space="preserve">HOLCIM </t>
  </si>
  <si>
    <t xml:space="preserve">embolo de cilindro </t>
  </si>
  <si>
    <t xml:space="preserve">kit de sellos </t>
  </si>
  <si>
    <t xml:space="preserve">bobcat </t>
  </si>
  <si>
    <t xml:space="preserve">SCORZA</t>
  </si>
  <si>
    <t xml:space="preserve">DISPOSITIVO HIDRAULICO GIRATORIO (gancho)</t>
  </si>
  <si>
    <t xml:space="preserve">GRUAS MARTIN</t>
  </si>
  <si>
    <t xml:space="preserve">KIT DE SELLOS SEGUN MUESTRA CANT. 8 KITS</t>
  </si>
  <si>
    <t xml:space="preserve">N/C</t>
  </si>
  <si>
    <t xml:space="preserve">FERLEP</t>
  </si>
  <si>
    <t xml:space="preserve">GUIA PISTON SEGUN MUESTRA</t>
  </si>
  <si>
    <t xml:space="preserve">NOGADA</t>
  </si>
  <si>
    <t xml:space="preserve">KIT DE SELLOS COE</t>
  </si>
  <si>
    <t xml:space="preserve">HORSE</t>
  </si>
  <si>
    <t xml:space="preserve">cilindro multiplicador 1500</t>
  </si>
  <si>
    <t xml:space="preserve">MINA PRIQUITAS</t>
  </si>
  <si>
    <t xml:space="preserve">Fabricacion de bujes de varilla "H" P/N 3241163</t>
  </si>
  <si>
    <t xml:space="preserve">camsa</t>
  </si>
  <si>
    <t xml:space="preserve">cilindro de sierra</t>
  </si>
  <si>
    <t xml:space="preserve">140x600x140</t>
  </si>
  <si>
    <t xml:space="preserve">TECSESI (techint)</t>
  </si>
  <si>
    <t xml:space="preserve">martillo hidráulico E&amp;W RX18</t>
  </si>
  <si>
    <t xml:space="preserve">600 x 3300 x 750</t>
  </si>
  <si>
    <t xml:space="preserve">falta 1 bulón de anclaje</t>
  </si>
  <si>
    <t xml:space="preserve">TECSESI (techint )</t>
  </si>
  <si>
    <t xml:space="preserve">martillo hidráulico 771045</t>
  </si>
  <si>
    <t xml:space="preserve">350 x 1400 x 800</t>
  </si>
  <si>
    <t xml:space="preserve">18-58065</t>
  </si>
  <si>
    <t xml:space="preserve">martillo cat H75E mas componentes </t>
  </si>
  <si>
    <t xml:space="preserve">criquet hidroneumático torletti</t>
  </si>
  <si>
    <t xml:space="preserve">criquet hidroneumático ph30-c</t>
  </si>
  <si>
    <t xml:space="preserve">cilindro de cuchara p/480</t>
  </si>
  <si>
    <t xml:space="preserve">280 x 2200 x 280</t>
  </si>
  <si>
    <t xml:space="preserve">128- 277</t>
  </si>
  <si>
    <t xml:space="preserve">MANSFIELD</t>
  </si>
  <si>
    <t xml:space="preserve">KIT DE SELLOS CIL LEVANTE WA900 (OT 7896/97)</t>
  </si>
  <si>
    <t xml:space="preserve">PCR</t>
  </si>
  <si>
    <t xml:space="preserve">RUEDA MOTRIZ Y CONDUCIDACOSECHADORA PL-4357</t>
  </si>
  <si>
    <t xml:space="preserve">PLACAS DE REFUERZO PARA LATERALES DE COLOSIO 2000</t>
  </si>
  <si>
    <t xml:space="preserve">PLACAS DE REFUERZO INTERIOR PARA COLOSIO 2000</t>
  </si>
  <si>
    <t xml:space="preserve">RICARDO PEREZ</t>
  </si>
  <si>
    <t xml:space="preserve">KIT DE SELLOS SEGUN MUESTRA</t>
  </si>
  <si>
    <t xml:space="preserve">MANSFIELD </t>
  </si>
  <si>
    <t xml:space="preserve">conjunto de traba ( locking assrmbly)</t>
  </si>
  <si>
    <t xml:space="preserve">BOBCAT - Cambio de Oring y acople</t>
  </si>
  <si>
    <t xml:space="preserve">cilindro de levante Komatsu WA 900</t>
  </si>
  <si>
    <t xml:space="preserve">350 x 2600 x 350</t>
  </si>
  <si>
    <t xml:space="preserve">cilindro de levante KOMATSU WA 900</t>
  </si>
  <si>
    <t xml:space="preserve">CANTERA DIQUECITO </t>
  </si>
  <si>
    <t xml:space="preserve">cilindro hidráulico </t>
  </si>
  <si>
    <t xml:space="preserve">80 x 710 x 120</t>
  </si>
  <si>
    <t xml:space="preserve">AROPLASTIC</t>
  </si>
  <si>
    <t xml:space="preserve">eje diámetro 70 largo 2200</t>
  </si>
  <si>
    <t xml:space="preserve">70 x 2200 x 70</t>
  </si>
  <si>
    <t xml:space="preserve">Kit de sellos para joystick</t>
  </si>
  <si>
    <t xml:space="preserve">NEWMONT</t>
  </si>
  <si>
    <t xml:space="preserve">cabezal 3547379 cps001</t>
  </si>
  <si>
    <t xml:space="preserve">1200 x 900 x 600</t>
  </si>
  <si>
    <t xml:space="preserve">LEQUIPE</t>
  </si>
  <si>
    <t xml:space="preserve">Marcelo Varela </t>
  </si>
  <si>
    <t xml:space="preserve">Kit sellos segun muestra</t>
  </si>
  <si>
    <t xml:space="preserve">TRITURADORA Mandibula CT4763</t>
  </si>
  <si>
    <t xml:space="preserve">CANTERA SAN NICOLAS</t>
  </si>
  <si>
    <t xml:space="preserve">KIT SELLOS PISTON </t>
  </si>
  <si>
    <t xml:space="preserve">DLS</t>
  </si>
  <si>
    <t xml:space="preserve">CILINDRO HIDRAULICO SEGUN PLANO</t>
  </si>
  <si>
    <t xml:space="preserve">CAMISA PARA BRUÑIR</t>
  </si>
  <si>
    <t xml:space="preserve">martillo pica rocas</t>
  </si>
  <si>
    <t xml:space="preserve">cilindro de pica roca Øv110 Øc180</t>
  </si>
  <si>
    <t xml:space="preserve">H mas bieletas mas 5 pernos </t>
  </si>
  <si>
    <t xml:space="preserve">LLANTA KOMATSU HD 785</t>
  </si>
  <si>
    <t xml:space="preserve">1250 x 600 x 1250</t>
  </si>
  <si>
    <t xml:space="preserve">PRAGA</t>
  </si>
  <si>
    <t xml:space="preserve">500 x 1300 x 500</t>
  </si>
  <si>
    <t xml:space="preserve">cilindro de prensa  ( NO VINIERON LOS BULONES DE LAS TAPAS DELANTERAS)</t>
  </si>
  <si>
    <t xml:space="preserve">reductor de traslación volvo</t>
  </si>
  <si>
    <t xml:space="preserve">JUAN AVILA</t>
  </si>
  <si>
    <t xml:space="preserve">TUBO HIDROGRUBERT Ø 110</t>
  </si>
  <si>
    <t xml:space="preserve">Rechazada</t>
  </si>
  <si>
    <t xml:space="preserve">PLACAS PORTA FERODO 2 + 2</t>
  </si>
  <si>
    <t xml:space="preserve">EJE DE MUESTRA</t>
  </si>
  <si>
    <t xml:space="preserve">FABRICACION DE EJE</t>
  </si>
  <si>
    <t xml:space="preserve">Marcelo Varela</t>
  </si>
  <si>
    <t xml:space="preserve">KIT SELLOS TAPA</t>
  </si>
  <si>
    <t xml:space="preserve">CYG</t>
  </si>
  <si>
    <t xml:space="preserve">eje con con polea y rolos</t>
  </si>
  <si>
    <t xml:space="preserve">sd</t>
  </si>
  <si>
    <t xml:space="preserve">CANTERAS SAN NICOLAS</t>
  </si>
  <si>
    <t xml:space="preserve">cilindro de excavadora Komatsu pc600</t>
  </si>
  <si>
    <t xml:space="preserve">cilindro de excavadora Komatsu pc 600</t>
  </si>
  <si>
    <t xml:space="preserve">EVO360</t>
  </si>
  <si>
    <t xml:space="preserve">Cilindro hidraulico</t>
  </si>
  <si>
    <t xml:space="preserve">diferencial 3614RS</t>
  </si>
  <si>
    <t xml:space="preserve">125-445</t>
  </si>
  <si>
    <t xml:space="preserve">llanta 3 cx </t>
  </si>
  <si>
    <t xml:space="preserve">llanta 3cx</t>
  </si>
  <si>
    <t xml:space="preserve">maza 3cx</t>
  </si>
  <si>
    <t xml:space="preserve">cilindro de apertura y cierre de inyectora km 2300</t>
  </si>
  <si>
    <t xml:space="preserve">LEQUIPE </t>
  </si>
  <si>
    <t xml:space="preserve">sn</t>
  </si>
  <si>
    <t xml:space="preserve">FIN DE MES</t>
  </si>
  <si>
    <t xml:space="preserve">cilindro de sub estructura </t>
  </si>
  <si>
    <t xml:space="preserve">480 x 4000 x 480</t>
  </si>
  <si>
    <t xml:space="preserve">5-67966</t>
  </si>
  <si>
    <t xml:space="preserve">b6</t>
  </si>
  <si>
    <t xml:space="preserve">cilindro de perno mástil </t>
  </si>
  <si>
    <t xml:space="preserve">80 x 800 x 150</t>
  </si>
  <si>
    <t xml:space="preserve">estante B22</t>
  </si>
  <si>
    <t xml:space="preserve">Ezequiel Lopez</t>
  </si>
  <si>
    <t xml:space="preserve">cilindro de perno de mástil </t>
  </si>
  <si>
    <t xml:space="preserve">MINA PIRQUITAS</t>
  </si>
  <si>
    <t xml:space="preserve">Dispositivo para elevacion de cubiertas</t>
  </si>
  <si>
    <t xml:space="preserve">martillo soosam 140 sin punzon</t>
  </si>
  <si>
    <t xml:space="preserve">730 x 2700 x 1200</t>
  </si>
  <si>
    <t xml:space="preserve">8-1498</t>
  </si>
  <si>
    <t xml:space="preserve">martillo everling EHD 210 RP</t>
  </si>
  <si>
    <t xml:space="preserve">Grua IMAP</t>
  </si>
  <si>
    <t xml:space="preserve">Sullair</t>
  </si>
  <si>
    <t xml:space="preserve">Transmisión Skytrak 8042</t>
  </si>
  <si>
    <t xml:space="preserve">970 x 700 x 650</t>
  </si>
  <si>
    <t xml:space="preserve">0122-00000168</t>
  </si>
  <si>
    <t xml:space="preserve">TRANSMISION VOLVO</t>
  </si>
  <si>
    <t xml:space="preserve">680 x 1250 x 850</t>
  </si>
  <si>
    <t xml:space="preserve">piso</t>
  </si>
  <si>
    <t xml:space="preserve">DISTRIBUIDOR HIDRAULICO DE LA CENTRIFUGA PUSHER</t>
  </si>
  <si>
    <t xml:space="preserve">Kit de sellos</t>
  </si>
  <si>
    <t xml:space="preserve">convertidor de par usado</t>
  </si>
  <si>
    <t xml:space="preserve">JUMI SRL</t>
  </si>
  <si>
    <t xml:space="preserve">porta rodamiento </t>
  </si>
  <si>
    <t xml:space="preserve"> 4-11889</t>
  </si>
  <si>
    <t xml:space="preserve">manchón de transmisión brevini</t>
  </si>
  <si>
    <t xml:space="preserve">0001-00033051</t>
  </si>
  <si>
    <t xml:space="preserve">plato interior y exterior muestra para fabricación de gomas ( 1 goma de muestra)</t>
  </si>
  <si>
    <t xml:space="preserve">cilindro hidráulico de levante wa600</t>
  </si>
  <si>
    <t xml:space="preserve">300 x 2350 x 350</t>
  </si>
  <si>
    <t xml:space="preserve">122-183</t>
  </si>
  <si>
    <t xml:space="preserve">B6</t>
  </si>
  <si>
    <t xml:space="preserve">cilindro hidráulico de inclinación wa600</t>
  </si>
  <si>
    <t xml:space="preserve">450 x 1900 x 400</t>
  </si>
  <si>
    <t xml:space="preserve">BOMBA HID. OILGEAR REPARADA. PARA HPU PIPECAT, NOV Drilling Ideal Rig P.N° 7020B143</t>
  </si>
  <si>
    <t xml:space="preserve">buje para CROMADO</t>
  </si>
  <si>
    <t xml:space="preserve">200 x 80 x 200</t>
  </si>
  <si>
    <t xml:space="preserve">Fabricacion de traba para martillo soosam 140</t>
  </si>
  <si>
    <t xml:space="preserve">HORSE </t>
  </si>
  <si>
    <t xml:space="preserve">Roque Micangelli</t>
  </si>
  <si>
    <t xml:space="preserve">cilindro neumático </t>
  </si>
  <si>
    <t xml:space="preserve">910x235x280</t>
  </si>
  <si>
    <t xml:space="preserve">KIT DE SELLOS PARA TAPA DE CILINDRO DE FILTROS PRENSA PLANTA DE ENCALADO </t>
  </si>
  <si>
    <t xml:space="preserve">PAN AMERICAN SILVER</t>
  </si>
  <si>
    <t xml:space="preserve">KIT DE REPUESTOS  24016328 - OP</t>
  </si>
  <si>
    <t xml:space="preserve">1230x310x370</t>
  </si>
  <si>
    <t xml:space="preserve">RETEN 120 X 140 X 9 CANT 4</t>
  </si>
  <si>
    <t xml:space="preserve">FABRICACION DE BUJE CROMADO</t>
  </si>
  <si>
    <t xml:space="preserve">IND CAT IV PAE01 - CILINDRO MASTIL DS - MANTENIMIENTO INTEGRAL </t>
  </si>
  <si>
    <t xml:space="preserve">IND CAT IV PAE01 - CILINDRO SUBESTRUCTURA DS - MANTENIMIENTO </t>
  </si>
  <si>
    <t xml:space="preserve">SERVICIOS SRL</t>
  </si>
  <si>
    <t xml:space="preserve">PERNO 50 X 400</t>
  </si>
  <si>
    <t xml:space="preserve">EGGER ARGENTINA S.A.U.</t>
  </si>
  <si>
    <t xml:space="preserve">CILINDRO DE RETROCESO </t>
  </si>
  <si>
    <t xml:space="preserve">1150x420x310</t>
  </si>
  <si>
    <t xml:space="preserve">3454290800 int 292</t>
  </si>
  <si>
    <t xml:space="preserve">0010-78376</t>
  </si>
  <si>
    <t xml:space="preserve">multiplicador c2000</t>
  </si>
  <si>
    <t xml:space="preserve">multiplicador c1600</t>
  </si>
  <si>
    <t xml:space="preserve">cilindro de cierre c1600</t>
  </si>
  <si>
    <t xml:space="preserve">cilindro de cierre c2000</t>
  </si>
  <si>
    <t xml:space="preserve">cilindro de inyección c 1600</t>
  </si>
  <si>
    <t xml:space="preserve">canteras DIQUECITO </t>
  </si>
  <si>
    <t xml:space="preserve">cilindro de vuelco</t>
  </si>
  <si>
    <t xml:space="preserve">120x700x120</t>
  </si>
  <si>
    <t xml:space="preserve">canterasdiquecitosa@gmail.com</t>
  </si>
  <si>
    <t xml:space="preserve">pierde por la tapa</t>
  </si>
  <si>
    <t xml:space="preserve">ZEN INGENIERIA</t>
  </si>
  <si>
    <t xml:space="preserve">KIT DE SELLOS PARA camisa: Ø150.80 mm Y Vástago: Ø124.13 mm</t>
  </si>
  <si>
    <t xml:space="preserve">C y G</t>
  </si>
  <si>
    <t xml:space="preserve">tuerca de bronce </t>
  </si>
  <si>
    <t xml:space="preserve">310 x 600 x 310</t>
  </si>
  <si>
    <t xml:space="preserve">tornillo y volante </t>
  </si>
  <si>
    <t xml:space="preserve">210 x 1400</t>
  </si>
  <si>
    <t xml:space="preserve">maza de rueda</t>
  </si>
  <si>
    <t xml:space="preserve">350 x 250 x 350</t>
  </si>
  <si>
    <t xml:space="preserve">maza de rueda </t>
  </si>
  <si>
    <t xml:space="preserve">c</t>
  </si>
  <si>
    <t xml:space="preserve">llanta de 3CX</t>
  </si>
  <si>
    <t xml:space="preserve">660 x 440 x 660</t>
  </si>
  <si>
    <t xml:space="preserve">125-377</t>
  </si>
  <si>
    <t xml:space="preserve">KIT DE SELLOS PARA camisa: Ø63mm Y Vástago: Ø32 mm</t>
  </si>
  <si>
    <t xml:space="preserve">siderca</t>
  </si>
  <si>
    <t xml:space="preserve">cilindro elevación pinza lc1c</t>
  </si>
  <si>
    <t xml:space="preserve">260x1430x280</t>
  </si>
  <si>
    <t xml:space="preserve">boom E030134</t>
  </si>
  <si>
    <t xml:space="preserve">125-269</t>
  </si>
  <si>
    <t xml:space="preserve">canasta E030350</t>
  </si>
  <si>
    <t xml:space="preserve">TRITT ASCENSORES</t>
  </si>
  <si>
    <t xml:space="preserve"> Marcelo Varela</t>
  </si>
  <si>
    <t xml:space="preserve">Sello Polipack 230 200 20</t>
  </si>
  <si>
    <t xml:space="preserve">HIDROTEC</t>
  </si>
  <si>
    <t xml:space="preserve">PISTON DE CHUCK DE740 / HT10 S/OT 8135-36</t>
  </si>
  <si>
    <t xml:space="preserve">SOPORTE OPTICA TRASERA</t>
  </si>
  <si>
    <t xml:space="preserve">KIT DE SELLOS X2</t>
  </si>
  <si>
    <t xml:space="preserve">400x4260x220</t>
  </si>
  <si>
    <t xml:space="preserve">KIT DE GUIAS X2</t>
  </si>
  <si>
    <t xml:space="preserve">DLS ARCHER LTD S.A</t>
  </si>
  <si>
    <t xml:space="preserve">Cilindros de traslación</t>
  </si>
  <si>
    <t xml:space="preserve">1115×200</t>
  </si>
  <si>
    <t xml:space="preserve">1115×220 x 170</t>
  </si>
  <si>
    <t xml:space="preserve">Prolabor</t>
  </si>
  <si>
    <t xml:space="preserve">Sellos segun medidas (x 10)</t>
  </si>
  <si>
    <t xml:space="preserve">cilindro chuck de china</t>
  </si>
  <si>
    <t xml:space="preserve">440 x 400 x 190</t>
  </si>
  <si>
    <t xml:space="preserve">camisa de chuck china</t>
  </si>
  <si>
    <t xml:space="preserve">440 x 400 x 180</t>
  </si>
  <si>
    <t xml:space="preserve">Reingreso</t>
  </si>
  <si>
    <t xml:space="preserve">cilindro Chuck china </t>
  </si>
  <si>
    <t xml:space="preserve">400 x 400 x 180</t>
  </si>
  <si>
    <t xml:space="preserve">cilindro Chuck atlas</t>
  </si>
  <si>
    <t xml:space="preserve">280 x 280 x 130</t>
  </si>
  <si>
    <t xml:space="preserve">spindle husillo </t>
  </si>
  <si>
    <t xml:space="preserve">HORIZON </t>
  </si>
  <si>
    <t xml:space="preserve">90 x 700 x 140</t>
  </si>
  <si>
    <t xml:space="preserve">b8</t>
  </si>
  <si>
    <t xml:space="preserve">COPELLO</t>
  </si>
  <si>
    <t xml:space="preserve">CILINDRO PINZA: TAPAS</t>
  </si>
  <si>
    <t xml:space="preserve">140 x 750 x 150</t>
  </si>
  <si>
    <t xml:space="preserve">8169-20</t>
  </si>
  <si>
    <t xml:space="preserve">CILINDRO PINZA: KIT SELLOS DE PISTON</t>
  </si>
  <si>
    <t xml:space="preserve">8169-30</t>
  </si>
  <si>
    <t xml:space="preserve">CILINDRO PINZA: CONJUNTO VASTAGO</t>
  </si>
  <si>
    <t xml:space="preserve">8169-40</t>
  </si>
  <si>
    <t xml:space="preserve">CILINDRO PINZA: REPARACION CAMISA</t>
  </si>
  <si>
    <t xml:space="preserve">CILINDRO SWEEPER 1726: KIT DE SELLOS TAPA</t>
  </si>
  <si>
    <t xml:space="preserve">8170-20</t>
  </si>
  <si>
    <t xml:space="preserve">CILINDRO SWEEPER 1726: KIT DE SELLOS PISTON</t>
  </si>
  <si>
    <t xml:space="preserve">COPELLO </t>
  </si>
  <si>
    <t xml:space="preserve">CILINDRO CARRIER: KIT DE SELLOS DE TAPA</t>
  </si>
  <si>
    <t xml:space="preserve">8171-20</t>
  </si>
  <si>
    <t xml:space="preserve">CILINDRO CARRIER: KIT DE SELLOS DE PISTON</t>
  </si>
  <si>
    <t xml:space="preserve">8171-30</t>
  </si>
  <si>
    <t xml:space="preserve">CILINDRO CARRIER: CILINDRO NUEVO</t>
  </si>
  <si>
    <t xml:space="preserve">8171-40</t>
  </si>
  <si>
    <t xml:space="preserve">CILINDRO CARRIER: CONJUNTO CAMISA</t>
  </si>
  <si>
    <t xml:space="preserve">8171-50</t>
  </si>
  <si>
    <t xml:space="preserve">CILINDRO CARRIER: CONJUNTO VASTAGO</t>
  </si>
  <si>
    <t xml:space="preserve">MONTES DE LOS OLIVOS </t>
  </si>
  <si>
    <t xml:space="preserve">reductor </t>
  </si>
  <si>
    <t xml:space="preserve">GRUAS MARTÍN </t>
  </si>
  <si>
    <t xml:space="preserve">tapa y pistón con sellos </t>
  </si>
  <si>
    <t xml:space="preserve">MINERA EXAR</t>
  </si>
  <si>
    <t xml:space="preserve">hidráulico de la centrífuga pusher</t>
  </si>
  <si>
    <t xml:space="preserve">1100 x 1500 x 1100</t>
  </si>
  <si>
    <t xml:space="preserve">6-1006</t>
  </si>
  <si>
    <t xml:space="preserve">husillo </t>
  </si>
  <si>
    <t xml:space="preserve">cilindro del brazo de la hidrogrua </t>
  </si>
  <si>
    <t xml:space="preserve">1442x220x270</t>
  </si>
  <si>
    <t xml:space="preserve">BOETTO Y BUTTTIGLIENGO</t>
  </si>
  <si>
    <t xml:space="preserve">cilindro telescopico </t>
  </si>
  <si>
    <t xml:space="preserve">270 x 1600 x 300</t>
  </si>
  <si>
    <t xml:space="preserve">13- 8.754</t>
  </si>
  <si>
    <t xml:space="preserve">Horse</t>
  </si>
  <si>
    <t xml:space="preserve">cilindro hidráulico de prensa</t>
  </si>
  <si>
    <t xml:space="preserve">1320 x 360 x 190 </t>
  </si>
  <si>
    <t xml:space="preserve">14-19307</t>
  </si>
  <si>
    <t xml:space="preserve">230x630x170</t>
  </si>
  <si>
    <t xml:space="preserve">no se pudo desarmar</t>
  </si>
  <si>
    <t xml:space="preserve">xx</t>
  </si>
  <si>
    <t xml:space="preserve">140x700x150</t>
  </si>
  <si>
    <t xml:space="preserve">220x1200x200</t>
  </si>
  <si>
    <t xml:space="preserve">JUAN CAMPOS</t>
  </si>
  <si>
    <t xml:space="preserve">100 x 380 x 100</t>
  </si>
  <si>
    <t xml:space="preserve">RODADOS MEDITERRÁNEO </t>
  </si>
  <si>
    <t xml:space="preserve">cilindro de apertura y cierre </t>
  </si>
  <si>
    <t xml:space="preserve">60 x 520 x 100</t>
  </si>
  <si>
    <t xml:space="preserve">PRAGA MOLDES</t>
  </si>
  <si>
    <t xml:space="preserve">EJE PARA RESTAURAR DIAMETRO 35</t>
  </si>
  <si>
    <t xml:space="preserve">minas PIRQUITAS </t>
  </si>
  <si>
    <t xml:space="preserve">pulmón de freno Scania como muestra para fabricación de herramientas </t>
  </si>
  <si>
    <t xml:space="preserve">Para fabricar dispositivo de desarme.</t>
  </si>
  <si>
    <t xml:space="preserve">rueda y tensor (juego n°1)</t>
  </si>
  <si>
    <t xml:space="preserve">300x1150x450</t>
  </si>
  <si>
    <t xml:space="preserve">SULLAIR</t>
  </si>
  <si>
    <t xml:space="preserve">rueda y tensor (juego n°2)</t>
  </si>
  <si>
    <t xml:space="preserve">KIT DE REPUESTOS SCANIA O67581</t>
  </si>
  <si>
    <t xml:space="preserve">KIT DE REPUESTOS SCANIA O67385</t>
  </si>
  <si>
    <t xml:space="preserve">forzador mas motor eléctrico de compresor </t>
  </si>
  <si>
    <t xml:space="preserve">125-313</t>
  </si>
  <si>
    <t xml:space="preserve">martillo hidráulico STANLEY </t>
  </si>
  <si>
    <t xml:space="preserve">cilindro telescopico  / kit de sellos y válvulas </t>
  </si>
  <si>
    <t xml:space="preserve">460 x 4450 x 500</t>
  </si>
  <si>
    <t xml:space="preserve">5-68580</t>
  </si>
  <si>
    <t xml:space="preserve">cilindro telescopico / kit de sellos y válvulas </t>
  </si>
  <si>
    <t xml:space="preserve">460x 4450x 500</t>
  </si>
  <si>
    <t xml:space="preserve">DISPOSITIVO TRABA TOLVA SCANIA</t>
  </si>
  <si>
    <t xml:space="preserve">PANAMERICA SILVER (CERRO MORO)</t>
  </si>
  <si>
    <t xml:space="preserve">REPUESTROS SCOOP ST1030
</t>
  </si>
  <si>
    <t xml:space="preserve">SM SERVICIOS MECANICOS</t>
  </si>
  <si>
    <t xml:space="preserve">Kit de sellos en PTFE</t>
  </si>
  <si>
    <t xml:space="preserve">BILLIA NATALIO</t>
  </si>
  <si>
    <t xml:space="preserve">cilindro hidráulico terex ac 350 + kit de sellos </t>
  </si>
  <si>
    <t xml:space="preserve">450 x 5200 x 650</t>
  </si>
  <si>
    <t xml:space="preserve">CILINDRO TEREX RT 555</t>
  </si>
  <si>
    <t xml:space="preserve">SULLAIR (salta)</t>
  </si>
  <si>
    <t xml:space="preserve">cilindro telescopico p800aj</t>
  </si>
  <si>
    <t xml:space="preserve">210 x 6250 x 310</t>
  </si>
  <si>
    <t xml:space="preserve">113-1628</t>
  </si>
  <si>
    <t xml:space="preserve">piso estantería tubos sin costura </t>
  </si>
  <si>
    <t xml:space="preserve">cilindro elevación de oruga telestacker</t>
  </si>
  <si>
    <t xml:space="preserve">220 x 1130 x 300</t>
  </si>
  <si>
    <t xml:space="preserve">A02- 148481</t>
  </si>
  <si>
    <t xml:space="preserve">-----</t>
  </si>
  <si>
    <t xml:space="preserve">RESORTES DE IEMA X 20 - 2 MODELOS</t>
  </si>
  <si>
    <t xml:space="preserve">MULTI V Ør 170 Øv 150 Ar: 45 </t>
  </si>
  <si>
    <t xml:space="preserve">FINNING</t>
  </si>
  <si>
    <t xml:space="preserve">PIEZA PARA FABRICAR EXTRACTOR</t>
  </si>
  <si>
    <t xml:space="preserve">LA MARCHESINA </t>
  </si>
  <si>
    <t xml:space="preserve">corona de giro de cuchilla de motoniveladora </t>
  </si>
  <si>
    <t xml:space="preserve">caja reductora</t>
  </si>
  <si>
    <t xml:space="preserve">CAMSA</t>
  </si>
  <si>
    <t xml:space="preserve">contenedor 68 N433 DET 4</t>
  </si>
  <si>
    <t xml:space="preserve">CANTERAS DIQUECITO</t>
  </si>
  <si>
    <t xml:space="preserve">cilindro de perforadora soosam</t>
  </si>
  <si>
    <t xml:space="preserve">80 x 320 x 120</t>
  </si>
  <si>
    <t xml:space="preserve">A12</t>
  </si>
  <si>
    <t xml:space="preserve">balde,H,aguilon, pernos varios de retro </t>
  </si>
  <si>
    <t xml:space="preserve">ruedas de oruga </t>
  </si>
  <si>
    <t xml:space="preserve">PAN AMERICAN </t>
  </si>
  <si>
    <t xml:space="preserve">cilindro izaje drill cabin</t>
  </si>
  <si>
    <t xml:space="preserve">20411 (guia de transporte )</t>
  </si>
  <si>
    <t xml:space="preserve">c31</t>
  </si>
  <si>
    <t xml:space="preserve">cilindro izaje sub estructura </t>
  </si>
  <si>
    <t xml:space="preserve">380 x 2100 x 380</t>
  </si>
  <si>
    <t xml:space="preserve">cilindro izaje de sub estructura </t>
  </si>
  <si>
    <t xml:space="preserve">20411(guia de transporte )</t>
  </si>
  <si>
    <t xml:space="preserve">B8 en piso </t>
  </si>
  <si>
    <t xml:space="preserve">cilindro de izaje sub estructura </t>
  </si>
  <si>
    <t xml:space="preserve">MINAS PIRQUITAS </t>
  </si>
  <si>
    <t xml:space="preserve">gato de prensa hidráulica </t>
  </si>
  <si>
    <t xml:space="preserve">230 x 400 x 200</t>
  </si>
  <si>
    <t xml:space="preserve">cilindro de levante de boom</t>
  </si>
  <si>
    <t xml:space="preserve">310 x 2200 x 300</t>
  </si>
  <si>
    <t xml:space="preserve">122-104</t>
  </si>
  <si>
    <t xml:space="preserve">cilindro pie de apoyo </t>
  </si>
  <si>
    <t xml:space="preserve">250 x 910 x 250</t>
  </si>
  <si>
    <t xml:space="preserve">B34</t>
  </si>
  <si>
    <t xml:space="preserve">conjunto de tensores y ruedas</t>
  </si>
  <si>
    <t xml:space="preserve">8041-A</t>
  </si>
  <si>
    <t xml:space="preserve">RESORTE CONICO X20</t>
  </si>
  <si>
    <t xml:space="preserve">MANUEL ROMERO</t>
  </si>
  <si>
    <t xml:space="preserve">UHS 16 24 5</t>
  </si>
  <si>
    <t xml:space="preserve">VIÑAS Y OLIVOS S.A.</t>
  </si>
  <si>
    <t xml:space="preserve">cilindro coe corto </t>
  </si>
  <si>
    <t xml:space="preserve">160 x 650 x 160</t>
  </si>
  <si>
    <t xml:space="preserve">fabricar coe largo</t>
  </si>
  <si>
    <t xml:space="preserve">DLS COMODORO</t>
  </si>
  <si>
    <t xml:space="preserve">CILINDRO PATA DE TRAILER</t>
  </si>
  <si>
    <t xml:space="preserve">MINERA LA ALUMBRERA </t>
  </si>
  <si>
    <t xml:space="preserve">bomba de lodo pu827</t>
  </si>
  <si>
    <t xml:space="preserve">481-10415</t>
  </si>
  <si>
    <t xml:space="preserve">CARLOS CONCI </t>
  </si>
  <si>
    <t xml:space="preserve">Marcelo Vareka</t>
  </si>
  <si>
    <t xml:space="preserve">Relevamiento sello segun muestra </t>
  </si>
  <si>
    <t xml:space="preserve">camión rígido Scania </t>
  </si>
  <si>
    <t xml:space="preserve">125-226</t>
  </si>
  <si>
    <t xml:space="preserve">cilindro de apertura y cierre italtech 4000</t>
  </si>
  <si>
    <t xml:space="preserve">kit de sellos para cilindro de apertura y cierre italtech 4000</t>
  </si>
  <si>
    <t xml:space="preserve">válvula proporcional </t>
  </si>
  <si>
    <t xml:space="preserve">DISPOSITIVO FIJACION TOLVA CAMION SCANIA</t>
  </si>
  <si>
    <t xml:space="preserve">CILINDRO DE MORDAZA LARGO</t>
  </si>
  <si>
    <t xml:space="preserve">BIENCZAK</t>
  </si>
  <si>
    <t xml:space="preserve">cuerpo de válvula </t>
  </si>
  <si>
    <t xml:space="preserve">cuerpo neumatico</t>
  </si>
  <si>
    <t xml:space="preserve">MEYER JEFE TALLER</t>
  </si>
  <si>
    <t xml:space="preserve">REPARAR </t>
  </si>
  <si>
    <t xml:space="preserve">pistón de Chuck ht10</t>
  </si>
  <si>
    <t xml:space="preserve">290 x 290 x 110</t>
  </si>
  <si>
    <t xml:space="preserve">pistón chuck</t>
  </si>
  <si>
    <t xml:space="preserve">290 x 290 x110.</t>
  </si>
  <si>
    <t xml:space="preserve">acumulador</t>
  </si>
  <si>
    <t xml:space="preserve">290 x 1550 x 290</t>
  </si>
  <si>
    <t xml:space="preserve">296-18031</t>
  </si>
  <si>
    <t xml:space="preserve">acumulador </t>
  </si>
  <si>
    <t xml:space="preserve">B24</t>
  </si>
  <si>
    <t xml:space="preserve">CAMION RIGIDO SCANIA (3ER) E061215</t>
  </si>
  <si>
    <t xml:space="preserve">RESORTE IEMA MODIFICADO X 100</t>
  </si>
  <si>
    <t xml:space="preserve">cilindro principal de grua lind beltc/ kit de sellos </t>
  </si>
  <si>
    <t xml:space="preserve">cilindro de dirección </t>
  </si>
  <si>
    <t xml:space="preserve">SEBA CONTE</t>
  </si>
  <si>
    <t xml:space="preserve">MATRIZ DE TAPONES</t>
  </si>
  <si>
    <t xml:space="preserve">FINNING </t>
  </si>
  <si>
    <t xml:space="preserve">bomba hidráulica </t>
  </si>
  <si>
    <t xml:space="preserve">VERÓNICA ( diac srl)</t>
  </si>
  <si>
    <t xml:space="preserve">cilindro desplazamiento de autoelevador </t>
  </si>
  <si>
    <t xml:space="preserve">verodiacsrl@gmail.com</t>
  </si>
  <si>
    <t xml:space="preserve">PABLO ALBERT</t>
  </si>
  <si>
    <t xml:space="preserve">TAPAS ARTICULACION CENTRAL EQ601</t>
  </si>
  <si>
    <t xml:space="preserve">eje trasero rue infladas (diferencial)</t>
  </si>
  <si>
    <t xml:space="preserve">x)</t>
  </si>
  <si>
    <t xml:space="preserve">129-46</t>
  </si>
  <si>
    <t xml:space="preserve">LUIS PODETTI</t>
  </si>
  <si>
    <t xml:space="preserve">cilindro de pala Jhon deer</t>
  </si>
  <si>
    <t xml:space="preserve">luiaspodetti@hotmail.com</t>
  </si>
  <si>
    <t xml:space="preserve">cilindro de excavadora 130</t>
  </si>
  <si>
    <t xml:space="preserve">eslabón de cadena (unión)</t>
  </si>
  <si>
    <t xml:space="preserve">BUJE T PARA HACER DOS ARANDELAS  ESPESOR 4,5</t>
  </si>
  <si>
    <t xml:space="preserve">KIT DE SELLOS CILINDRO DE EQUIPO</t>
  </si>
  <si>
    <t xml:space="preserve">INDUFOCS</t>
  </si>
  <si>
    <t xml:space="preserve">KIT SELLOS</t>
  </si>
  <si>
    <t xml:space="preserve">KIT SELLOS SEGUN MUESTRA</t>
  </si>
  <si>
    <t xml:space="preserve">RECIBIERON JUAN MOLINA Y JUAN MACIEL</t>
  </si>
  <si>
    <t xml:space="preserve">WAREHOUSE</t>
  </si>
  <si>
    <t xml:space="preserve">KIT DE SELLOS CHUCK</t>
  </si>
  <si>
    <t xml:space="preserve">MARCELO</t>
  </si>
  <si>
    <t xml:space="preserve">F2J TECHPLAST</t>
  </si>
  <si>
    <t xml:space="preserve">CORTE DE PLACA PARA ZAPATA DE INYECTORA</t>
  </si>
  <si>
    <t xml:space="preserve">centro de giro de grua Grover de 35</t>
  </si>
  <si>
    <t xml:space="preserve">KIT DE SELLOS LF-90C</t>
  </si>
  <si>
    <t xml:space="preserve">rueda con reductor dañado </t>
  </si>
  <si>
    <t xml:space="preserve">296-17847</t>
  </si>
  <si>
    <t xml:space="preserve">placa de acero </t>
  </si>
  <si>
    <t xml:space="preserve">cabezal de perforación 2657896243</t>
  </si>
  <si>
    <t xml:space="preserve">950 x 1000 x 1600</t>
  </si>
  <si>
    <t xml:space="preserve">BUJE PARA COMPUERTA DE TOLVA (TRATADO TERMICAMENTE) N-P 6596-0722-014</t>
  </si>
  <si>
    <t xml:space="preserve">PAN AMERICAN ENERGY</t>
  </si>
  <si>
    <t xml:space="preserve">EMBRAGUE COMPRESOR BOMBA AIB</t>
  </si>
  <si>
    <t xml:space="preserve">cilindro de volteo de balde wa600</t>
  </si>
  <si>
    <t xml:space="preserve">620x1870x570</t>
  </si>
  <si>
    <t xml:space="preserve">(5411)59414444</t>
  </si>
  <si>
    <t xml:space="preserve">cilindro de levante de boom de wa600</t>
  </si>
  <si>
    <t xml:space="preserve">350x2210x450</t>
  </si>
  <si>
    <t xml:space="preserve">c 13</t>
  </si>
  <si>
    <t xml:space="preserve">tensor de topadora d375</t>
  </si>
  <si>
    <t xml:space="preserve">450x2555x550</t>
  </si>
  <si>
    <t xml:space="preserve">cilindro de levante de boom wa600</t>
  </si>
  <si>
    <t xml:space="preserve">410x2222x400</t>
  </si>
  <si>
    <t xml:space="preserve">engranaje </t>
  </si>
  <si>
    <t xml:space="preserve">perno mas toma (para fabricar dispositivo)</t>
  </si>
  <si>
    <t xml:space="preserve">cilindro de desplazamiento de hoja</t>
  </si>
  <si>
    <t xml:space="preserve">100 x 2100 x 130</t>
  </si>
  <si>
    <t xml:space="preserve">sin nmro</t>
  </si>
  <si>
    <t xml:space="preserve">no se pude sacar el bronce de la tapa</t>
  </si>
  <si>
    <t xml:space="preserve">MUNICIPALIDAD DE JUSTINIANO POSSE </t>
  </si>
  <si>
    <t xml:space="preserve">kit de sellos segun muestra </t>
  </si>
  <si>
    <t xml:space="preserve">150 x 1970 x 270</t>
  </si>
  <si>
    <t xml:space="preserve">se encuentra en el estante A22</t>
  </si>
  <si>
    <t xml:space="preserve">balancín de c13</t>
  </si>
  <si>
    <t xml:space="preserve">conjunto de engranaje </t>
  </si>
  <si>
    <t xml:space="preserve">López diésel S.A</t>
  </si>
  <si>
    <t xml:space="preserve">Cilindros hidráulico </t>
  </si>
  <si>
    <t xml:space="preserve">1770x210</t>
  </si>
  <si>
    <t xml:space="preserve">0387-4230973</t>
  </si>
  <si>
    <t xml:space="preserve">2250x220</t>
  </si>
  <si>
    <t xml:space="preserve">Punto consultora </t>
  </si>
  <si>
    <t xml:space="preserve">Cilindro hidráulico </t>
  </si>
  <si>
    <t xml:space="preserve">310-120</t>
  </si>
  <si>
    <t xml:space="preserve">SADEPAN </t>
  </si>
  <si>
    <t xml:space="preserve">cilindro siempelkamp</t>
  </si>
  <si>
    <t xml:space="preserve">570 x 800 x 570</t>
  </si>
  <si>
    <t xml:space="preserve">fabrica</t>
  </si>
  <si>
    <t xml:space="preserve">PROVISION DE RESORTES SEGUN MUESTRA</t>
  </si>
  <si>
    <t xml:space="preserve">MINERA SOFIA S.A</t>
  </si>
  <si>
    <t xml:space="preserve">MARTILLO INDECO</t>
  </si>
  <si>
    <t xml:space="preserve">1700x700</t>
  </si>
  <si>
    <t xml:space="preserve">WALTER OLIVER</t>
  </si>
  <si>
    <t xml:space="preserve">Marceklo Vareka</t>
  </si>
  <si>
    <t xml:space="preserve">Kits segun muestra</t>
  </si>
  <si>
    <t xml:space="preserve">N/A</t>
  </si>
  <si>
    <t xml:space="preserve">KIT DE REPUESTOS SCANIA OC 66271</t>
  </si>
  <si>
    <t xml:space="preserve">LOMA NEGRA </t>
  </si>
  <si>
    <t xml:space="preserve">balancín de levante can't 2</t>
  </si>
  <si>
    <t xml:space="preserve">leva de acople </t>
  </si>
  <si>
    <t xml:space="preserve">CONJUNTO DE RESORTES </t>
  </si>
  <si>
    <t xml:space="preserve">cilindro de dirección autoelevador </t>
  </si>
  <si>
    <t xml:space="preserve">mando final </t>
  </si>
  <si>
    <t xml:space="preserve">RESORTES CILINDRICOS X4</t>
  </si>
  <si>
    <t xml:space="preserve">INTELMEC INGENIERÍA </t>
  </si>
  <si>
    <t xml:space="preserve">cilindro hidrogruber 12 1/2</t>
  </si>
  <si>
    <t xml:space="preserve">:30710530153</t>
  </si>
  <si>
    <t xml:space="preserve">3515169712 Ignacio de la rosa</t>
  </si>
  <si>
    <t xml:space="preserve">pernos x2</t>
  </si>
  <si>
    <t xml:space="preserve">HOLCIM malagueño </t>
  </si>
  <si>
    <t xml:space="preserve">bomba hidráulico </t>
  </si>
  <si>
    <t xml:space="preserve">296-17708</t>
  </si>
  <si>
    <t xml:space="preserve">conjunto de llaves de impacto </t>
  </si>
  <si>
    <t xml:space="preserve">cilindro hidráulico (expansoras)</t>
  </si>
  <si>
    <t xml:space="preserve">116x227x120</t>
  </si>
  <si>
    <t xml:space="preserve">90x240x90</t>
  </si>
  <si>
    <t xml:space="preserve">130x85x130</t>
  </si>
  <si>
    <t xml:space="preserve">85x285x85</t>
  </si>
  <si>
    <t xml:space="preserve">HOLCIM malagueño</t>
  </si>
  <si>
    <t xml:space="preserve">100x60x80</t>
  </si>
  <si>
    <t xml:space="preserve">100x105x115</t>
  </si>
  <si>
    <t xml:space="preserve">ALESADO DE 4 ALOJAMIENTO DE BALDE IN-SITU</t>
  </si>
  <si>
    <t xml:space="preserve">RODAMIENTO DE BOLA RODAMIENTO CAT 8J8906 X 6U</t>
  </si>
  <si>
    <t xml:space="preserve">VALVULA PLATO PARA CAMBIO DE SELLOS</t>
  </si>
  <si>
    <t xml:space="preserve">VELADERO </t>
  </si>
  <si>
    <t xml:space="preserve">cilindro levanta tolva </t>
  </si>
  <si>
    <t xml:space="preserve">350 x 2300 x 350</t>
  </si>
  <si>
    <t xml:space="preserve">horizon</t>
  </si>
  <si>
    <t xml:space="preserve">150x2450x200</t>
  </si>
  <si>
    <t xml:space="preserve">pierde aceite por la tapa </t>
  </si>
  <si>
    <t xml:space="preserve">7792-A</t>
  </si>
  <si>
    <t xml:space="preserve">Reclamo</t>
  </si>
  <si>
    <t xml:space="preserve">cilindro de levante tolva</t>
  </si>
  <si>
    <t xml:space="preserve">7888-A</t>
  </si>
  <si>
    <t xml:space="preserve">cilindro subestructura </t>
  </si>
  <si>
    <t xml:space="preserve">380 x 2300 x 380</t>
  </si>
  <si>
    <t xml:space="preserve">95-459829</t>
  </si>
  <si>
    <t xml:space="preserve">cilindro 2,do tramo </t>
  </si>
  <si>
    <t xml:space="preserve">310 x 2400 x 310</t>
  </si>
  <si>
    <t xml:space="preserve">cilindro de suspensión delantera </t>
  </si>
  <si>
    <t xml:space="preserve">HIDROACCESORIOS</t>
  </si>
  <si>
    <t xml:space="preserve">TUBO Ø 210 LARGO 210 CANT 4</t>
  </si>
  <si>
    <t xml:space="preserve">Alesado de tapa para alojamiento de reten en diferencial jabali 416E</t>
  </si>
  <si>
    <t xml:space="preserve">PUNTO CONSULTORA </t>
  </si>
  <si>
    <t xml:space="preserve"> KIT DE SELLOS PARA OT 8039</t>
  </si>
  <si>
    <t xml:space="preserve">7904-A</t>
  </si>
  <si>
    <t xml:space="preserve">ARIENTE</t>
  </si>
  <si>
    <t xml:space="preserve">CILINDRO DE GIRO</t>
  </si>
  <si>
    <t xml:space="preserve">----</t>
  </si>
  <si>
    <t xml:space="preserve">su construcciones</t>
  </si>
  <si>
    <t xml:space="preserve">tapa y pistón grúa kit de sellos</t>
  </si>
  <si>
    <t xml:space="preserve">fabricar kit</t>
  </si>
  <si>
    <t xml:space="preserve">ALLPACK</t>
  </si>
  <si>
    <t xml:space="preserve">cilindro coe</t>
  </si>
  <si>
    <t xml:space="preserve">140 x 850 x 180</t>
  </si>
  <si>
    <t xml:space="preserve">cilindro de haulotte</t>
  </si>
  <si>
    <t xml:space="preserve">Lazarte</t>
  </si>
  <si>
    <t xml:space="preserve">KIT DE SELLOS CILINDRO DE FILTROS PRENSA PLANTA DE ENCALADO</t>
  </si>
  <si>
    <t xml:space="preserve">PERNO A Ø 110 LARGO 715</t>
  </si>
  <si>
    <t xml:space="preserve">100X100X715</t>
  </si>
  <si>
    <t xml:space="preserve">PERNO B Ø 100 LARGO 660</t>
  </si>
  <si>
    <t xml:space="preserve">100X100X660</t>
  </si>
  <si>
    <t xml:space="preserve">FABRICACION DE BUJE DE BRONCE X2</t>
  </si>
  <si>
    <t xml:space="preserve">FABRICACION DE TUERCA</t>
  </si>
  <si>
    <t xml:space="preserve">FAB COLUMNA DE MAQ ITALTECH Ø 210</t>
  </si>
  <si>
    <t xml:space="preserve">grua</t>
  </si>
  <si>
    <t xml:space="preserve">HDC</t>
  </si>
  <si>
    <t xml:space="preserve">camisa de cilindro de prensa </t>
  </si>
  <si>
    <t xml:space="preserve">500 X 500 X 500</t>
  </si>
  <si>
    <t xml:space="preserve">PAOLINI</t>
  </si>
  <si>
    <t xml:space="preserve">COLUMNA italtech 1800</t>
  </si>
  <si>
    <t xml:space="preserve">270 x 6900 x 27</t>
  </si>
  <si>
    <t xml:space="preserve">columna italtech 1800</t>
  </si>
  <si>
    <t xml:space="preserve">270 x 7100 x 270</t>
  </si>
  <si>
    <t xml:space="preserve">BIENZACK</t>
  </si>
  <si>
    <t xml:space="preserve">caños hidráulico </t>
  </si>
  <si>
    <t xml:space="preserve">HG PERFORACIÓNES</t>
  </si>
  <si>
    <t xml:space="preserve">cilindro de avance prakla rb-40</t>
  </si>
  <si>
    <t xml:space="preserve">170 x 4600 x 270</t>
  </si>
  <si>
    <t xml:space="preserve">Quique Lazarte</t>
  </si>
  <si>
    <t xml:space="preserve">KIT DE SELLOS DE CILINDRO GRUA</t>
  </si>
  <si>
    <t xml:space="preserve">GRAN OMBU</t>
  </si>
  <si>
    <t xml:space="preserve">KIT  DE SELLOS PARA DISTRIBUIDOR Ø camisa 139,40 </t>
  </si>
  <si>
    <t xml:space="preserve">Diego negrelli</t>
  </si>
  <si>
    <t xml:space="preserve">PAN AMERICAN</t>
  </si>
  <si>
    <t xml:space="preserve">cilindro de subestructura</t>
  </si>
  <si>
    <t xml:space="preserve">360 x 2030 x 360</t>
  </si>
  <si>
    <t xml:space="preserve">95 - 454369</t>
  </si>
  <si>
    <t xml:space="preserve">cilindro de subestructura </t>
  </si>
  <si>
    <t xml:space="preserve">95-454369</t>
  </si>
  <si>
    <t xml:space="preserve">PM-003-019 CANT 2</t>
  </si>
  <si>
    <t xml:space="preserve">PM-003-007 CANT 2</t>
  </si>
  <si>
    <t xml:space="preserve">PM-003-021 CANT 2</t>
  </si>
  <si>
    <t xml:space="preserve">PM-003-023 CANT 4</t>
  </si>
  <si>
    <t xml:space="preserve">PM-003-024 CANT 5</t>
  </si>
  <si>
    <t xml:space="preserve">cilindro de primer tramo </t>
  </si>
  <si>
    <t xml:space="preserve">360 x 2800 x 360</t>
  </si>
  <si>
    <t xml:space="preserve">cilindro segundo tramo </t>
  </si>
  <si>
    <t xml:space="preserve">330 x 2400 x 350</t>
  </si>
  <si>
    <t xml:space="preserve">95- 454369</t>
  </si>
  <si>
    <t xml:space="preserve">cilindro de despegue subestructura </t>
  </si>
  <si>
    <t xml:space="preserve">250 x 1550 x 300</t>
  </si>
  <si>
    <t xml:space="preserve">ALL PACK</t>
  </si>
  <si>
    <t xml:space="preserve">FABRICACION DE CILINDRO OMC NUEVO SEGUN OT 7192-1</t>
  </si>
  <si>
    <t xml:space="preserve">CAMBIO DE RODAMIENTOS DE MANGAS</t>
  </si>
  <si>
    <t xml:space="preserve">cilindro troquel kangoo</t>
  </si>
  <si>
    <t xml:space="preserve">170 x 600 x 150</t>
  </si>
  <si>
    <t xml:space="preserve">KIT DE SELLOS DE CHUCK CHINA  IDEM A OT 7864 X6</t>
  </si>
  <si>
    <t xml:space="preserve">cilindro de volteo </t>
  </si>
  <si>
    <t xml:space="preserve">350 x 2900 x 400</t>
  </si>
  <si>
    <t xml:space="preserve">MINERA DON NICOLÁS </t>
  </si>
  <si>
    <t xml:space="preserve">cilindro telescopico levante tolva</t>
  </si>
  <si>
    <t xml:space="preserve">240 x 1580 x 280</t>
  </si>
  <si>
    <t xml:space="preserve">cilindro de dirección cat 988</t>
  </si>
  <si>
    <t xml:space="preserve">150 x 1700 x 150</t>
  </si>
  <si>
    <t xml:space="preserve">medidas de anclaje</t>
  </si>
  <si>
    <t xml:space="preserve">comando hidráulico </t>
  </si>
  <si>
    <t xml:space="preserve">120 x 400 x 160</t>
  </si>
  <si>
    <t xml:space="preserve">7590-A</t>
  </si>
  <si>
    <t xml:space="preserve">transmisión 777F</t>
  </si>
  <si>
    <t xml:space="preserve">tuerca de columna italtech 1800 cant. 3</t>
  </si>
  <si>
    <t xml:space="preserve">piñón de giro </t>
  </si>
  <si>
    <t xml:space="preserve">7616-A</t>
  </si>
  <si>
    <t xml:space="preserve">cilindro de levante serie 793cl079</t>
  </si>
  <si>
    <t xml:space="preserve">450 x 2350 x 500</t>
  </si>
  <si>
    <t xml:space="preserve">Piston de Vastago se Clavaba al ingresar en zona de piston de TV1</t>
  </si>
  <si>
    <t xml:space="preserve">Fernando Heredia y Marcial Llampa</t>
  </si>
  <si>
    <t xml:space="preserve">cilindro suspensión delantera+maza</t>
  </si>
  <si>
    <t xml:space="preserve">LA MARCHESINA</t>
  </si>
  <si>
    <t xml:space="preserve">balde de retroexcavadora  + jgo de pernos y bujes </t>
  </si>
  <si>
    <t xml:space="preserve">1500 x 1500 x 1250</t>
  </si>
  <si>
    <t xml:space="preserve">aguilon de retroexcavadora </t>
  </si>
  <si>
    <t xml:space="preserve">3500 x 340 x 860</t>
  </si>
  <si>
    <t xml:space="preserve">RODADOS MEDITERRÁNEA </t>
  </si>
  <si>
    <t xml:space="preserve">vástago de cilindro. de elevación </t>
  </si>
  <si>
    <t xml:space="preserve">55 x 2055 x 55</t>
  </si>
  <si>
    <t xml:space="preserve">31-1247</t>
  </si>
  <si>
    <t xml:space="preserve">mina PIRQUITAS </t>
  </si>
  <si>
    <t xml:space="preserve">compresor de EQDM45</t>
  </si>
  <si>
    <t xml:space="preserve">830x1225x80</t>
  </si>
  <si>
    <t xml:space="preserve">Lanza de tiro</t>
  </si>
  <si>
    <t xml:space="preserve">150x2520x120</t>
  </si>
  <si>
    <t xml:space="preserve">HG PERFORACIÓNES </t>
  </si>
  <si>
    <t xml:space="preserve">soporte de polea roscado </t>
  </si>
  <si>
    <t xml:space="preserve">190x370x130</t>
  </si>
  <si>
    <t xml:space="preserve">Geocycle (Holcim)</t>
  </si>
  <si>
    <t xml:space="preserve">130x1140x110</t>
  </si>
  <si>
    <t xml:space="preserve">cantera Diquesito</t>
  </si>
  <si>
    <t xml:space="preserve">117x220x111</t>
  </si>
  <si>
    <t xml:space="preserve">cantera Diquesito </t>
  </si>
  <si>
    <t xml:space="preserve">tubos de muestra para fabricar </t>
  </si>
  <si>
    <t xml:space="preserve">conjunto tensor </t>
  </si>
  <si>
    <t xml:space="preserve">300 x 980 x 300</t>
  </si>
  <si>
    <t xml:space="preserve">parte 2 300 x 900 x 300</t>
  </si>
  <si>
    <t xml:space="preserve">120 x 850 x 230</t>
  </si>
  <si>
    <t xml:space="preserve">B12</t>
  </si>
  <si>
    <t xml:space="preserve">ALUMBRERA</t>
  </si>
  <si>
    <t xml:space="preserve">FABRICACION CILINDRO TELESCOPICO CS6 </t>
  </si>
  <si>
    <t xml:space="preserve">HOLCIM CAMPANA</t>
  </si>
  <si>
    <t xml:space="preserve">cilindro hidráulico de molino </t>
  </si>
  <si>
    <t xml:space="preserve">312-3281</t>
  </si>
  <si>
    <t xml:space="preserve">4 vejigas /acumulador metálico, 2 vejigas  nuevas ( goma interior),1 rodamiento nuevo, </t>
  </si>
  <si>
    <t xml:space="preserve">RENAULT SANTA ISABEL</t>
  </si>
  <si>
    <t xml:space="preserve">E849543853 SOPORTE DE ALUMINIO</t>
  </si>
  <si>
    <t xml:space="preserve">cilindro tensores</t>
  </si>
  <si>
    <t xml:space="preserve">350x880x250</t>
  </si>
  <si>
    <t xml:space="preserve">SERVICIO DE REPARACION DE CILINDROS DE LEVANTE</t>
  </si>
  <si>
    <t xml:space="preserve">Diguardo Adalverto Hugo </t>
  </si>
  <si>
    <t xml:space="preserve">Sellos segun muestra</t>
  </si>
  <si>
    <t xml:space="preserve">EXPOLAJAS</t>
  </si>
  <si>
    <t xml:space="preserve">eje estriado </t>
  </si>
  <si>
    <t xml:space="preserve">60 x 850x 60</t>
  </si>
  <si>
    <t xml:space="preserve">AGV FALCON DRILLING </t>
  </si>
  <si>
    <t xml:space="preserve">engranaje superior de toma de fuerza massenza</t>
  </si>
  <si>
    <t xml:space="preserve">RAPECA</t>
  </si>
  <si>
    <t xml:space="preserve">mantenimiento.ra@argroup.ar</t>
  </si>
  <si>
    <r>
      <rPr>
        <sz val="11"/>
        <color theme="1"/>
        <rFont val="Arial"/>
        <family val="0"/>
        <charset val="1"/>
      </rPr>
      <t xml:space="preserve"> Daniel Posse/</t>
    </r>
    <r>
      <rPr>
        <b val="true"/>
        <i val="true"/>
        <sz val="11"/>
        <color rgb="FFCC0000"/>
        <rFont val="Arial"/>
        <family val="0"/>
        <charset val="1"/>
      </rPr>
      <t xml:space="preserve">LO RETIRA EL 14/5</t>
    </r>
  </si>
  <si>
    <t xml:space="preserve">lo retira el 14/5/24</t>
  </si>
  <si>
    <t xml:space="preserve">JAULA REFORZADA PARA TRASLADO DE
GASES</t>
  </si>
  <si>
    <t xml:space="preserve">martillo hidráulico indeco</t>
  </si>
  <si>
    <t xml:space="preserve">fernandogermanetto@minerasofia</t>
  </si>
  <si>
    <t xml:space="preserve">250 x 1560 x 250</t>
  </si>
  <si>
    <t xml:space="preserve">resorte de cabeza inyección massenza</t>
  </si>
  <si>
    <t xml:space="preserve">HORIZON</t>
  </si>
  <si>
    <t xml:space="preserve">125 x 1750 x 150</t>
  </si>
  <si>
    <t xml:space="preserve">diferencial delantero 416E</t>
  </si>
  <si>
    <t xml:space="preserve">n obra 302600343607 n serie mfg10974</t>
  </si>
  <si>
    <t xml:space="preserve">cilindro pc800</t>
  </si>
  <si>
    <t xml:space="preserve">350 x 3200 x 400</t>
  </si>
  <si>
    <t xml:space="preserve">84-10627</t>
  </si>
  <si>
    <t xml:space="preserve">cilindro pc 800</t>
  </si>
  <si>
    <t xml:space="preserve">cilindro de levante de balde wa600</t>
  </si>
  <si>
    <t xml:space="preserve">330 x 1800 x 450</t>
  </si>
  <si>
    <t xml:space="preserve">84-10636</t>
  </si>
  <si>
    <t xml:space="preserve">DISPOSITIVO DE GIRO</t>
  </si>
  <si>
    <t xml:space="preserve">resortes de válvulas x 3</t>
  </si>
  <si>
    <t xml:space="preserve">ECO MINERA s.a.</t>
  </si>
  <si>
    <t xml:space="preserve">eje cabezal de 710 HR TALL</t>
  </si>
  <si>
    <t xml:space="preserve">180 x 650 x 180</t>
  </si>
  <si>
    <t xml:space="preserve">MORESCHI</t>
  </si>
  <si>
    <t xml:space="preserve">100 x 1050 x  140</t>
  </si>
  <si>
    <t xml:space="preserve">BRAIAN </t>
  </si>
  <si>
    <t xml:space="preserve">cilindro de levante serie 793CL102</t>
  </si>
  <si>
    <t xml:space="preserve">500 x 2330 x 450</t>
  </si>
  <si>
    <t xml:space="preserve">no se realizo el registro fotografico hasta no saber que tubos van a remplazar los usados en el armado 7915</t>
  </si>
  <si>
    <t xml:space="preserve">cilindro de levante seríe 793CL035</t>
  </si>
  <si>
    <t xml:space="preserve">cilindro de levante serie 793CL104</t>
  </si>
  <si>
    <t xml:space="preserve">cilindro de levante serie 793CL103</t>
  </si>
  <si>
    <t xml:space="preserve">500 x 2330 x 500</t>
  </si>
  <si>
    <t xml:space="preserve">cilindro de suspensión trasera serie 793ST084</t>
  </si>
  <si>
    <t xml:space="preserve">500 x 1550 x 500</t>
  </si>
  <si>
    <t xml:space="preserve">cilindro de suspensión trasera serie 793ST082</t>
  </si>
  <si>
    <t xml:space="preserve">A21</t>
  </si>
  <si>
    <t xml:space="preserve">CONCI</t>
  </si>
  <si>
    <t xml:space="preserve">CANASTA DE DELRIN</t>
  </si>
  <si>
    <t xml:space="preserve">LOMA NEGRA</t>
  </si>
  <si>
    <t xml:space="preserve">COLUMNA DE MAQ ITALTECH</t>
  </si>
  <si>
    <t xml:space="preserve">210 x 6000</t>
  </si>
  <si>
    <t xml:space="preserve">cilindro de levante 992g</t>
  </si>
  <si>
    <t xml:space="preserve">6598-A</t>
  </si>
  <si>
    <t xml:space="preserve">cilindro suspensión trasera </t>
  </si>
  <si>
    <t xml:space="preserve">aceitera argentina S.A</t>
  </si>
  <si>
    <t xml:space="preserve">200x800x200</t>
  </si>
  <si>
    <t xml:space="preserve">aceitera.argentina@gmail.com</t>
  </si>
  <si>
    <t xml:space="preserve">cilindro de tractor (dirección)</t>
  </si>
  <si>
    <t xml:space="preserve">170x900x170</t>
  </si>
  <si>
    <t xml:space="preserve">LEQUIPE MONTEUR </t>
  </si>
  <si>
    <t xml:space="preserve">cilindro de apertura y cierre musky 2700</t>
  </si>
  <si>
    <t xml:space="preserve">260x4170x260</t>
  </si>
  <si>
    <t xml:space="preserve">AGV FALCON DRILLING</t>
  </si>
  <si>
    <t xml:space="preserve">CILINDRO CHUCK ATLAS LARGO 129</t>
  </si>
  <si>
    <t xml:space="preserve">MINA PIRQUTAS</t>
  </si>
  <si>
    <t xml:space="preserve">TENSOR + TUERCA DE SUJECION
+ CADENA PARA SCANIA G440
/CAMSA 6596-0722-005 X 13</t>
  </si>
  <si>
    <t xml:space="preserve">CILINDRO CHUCK ATLAS LARGO 129 REPARADO</t>
  </si>
  <si>
    <t xml:space="preserve">toma de fuerza equipo de perforación massenza</t>
  </si>
  <si>
    <t xml:space="preserve">columna y 2 tuercas de inyectora cli 800</t>
  </si>
  <si>
    <t xml:space="preserve">190 x 5280 x 190</t>
  </si>
  <si>
    <t xml:space="preserve">columna inyectora italtech 1800</t>
  </si>
  <si>
    <t xml:space="preserve">270 x 7200 x 270</t>
  </si>
  <si>
    <t xml:space="preserve">gear&amp; bearing gp-swing</t>
  </si>
  <si>
    <t xml:space="preserve">1930 x 170 x 1930</t>
  </si>
  <si>
    <t xml:space="preserve">479-1507</t>
  </si>
  <si>
    <t xml:space="preserve">PAN AMERICAN ENERGY </t>
  </si>
  <si>
    <t xml:space="preserve">cilindro izaje 1 tramo</t>
  </si>
  <si>
    <t xml:space="preserve">340 x 2900 x 350</t>
  </si>
  <si>
    <t xml:space="preserve">95-445682</t>
  </si>
  <si>
    <t xml:space="preserve">cilindro izaje de sub estructura</t>
  </si>
  <si>
    <t xml:space="preserve">340 x 2100 x 340</t>
  </si>
  <si>
    <t xml:space="preserve">Fabricacion de cuña I-1800</t>
  </si>
  <si>
    <t xml:space="preserve">FUNDICIÓN ARIENTE </t>
  </si>
  <si>
    <t xml:space="preserve">dispositivo control de paralelismo </t>
  </si>
  <si>
    <t xml:space="preserve">VASTAGO Ø 40*101 PARA CILINDRO HIDRAULICO DE SQUEZZE PIN DOBLE X 4U</t>
  </si>
  <si>
    <t xml:space="preserve">PISTON Ø 55*45 PARA CIL. HID. SQUEZZE PIN DOBLE X 4U</t>
  </si>
  <si>
    <t xml:space="preserve">housing de parkin de 988</t>
  </si>
  <si>
    <t xml:space="preserve">n de serie bxi05062 obra os302600301302</t>
  </si>
  <si>
    <t xml:space="preserve">FABRICACION DE COLUMNA NUEVA CLF800 , MATERIAL PROVISTO POR LEQUIPE </t>
  </si>
  <si>
    <t xml:space="preserve">BUJES 40 X 48 X 40 DELRIN X 8 UN</t>
  </si>
  <si>
    <t xml:space="preserve">cilindro de levante </t>
  </si>
  <si>
    <t xml:space="preserve">380 x 2600 x 390</t>
  </si>
  <si>
    <t xml:space="preserve">las tarimas no tenian numero, y no estaban en ningun estante </t>
  </si>
  <si>
    <t xml:space="preserve">cilindro de levante izquierdo Komatsu </t>
  </si>
  <si>
    <t xml:space="preserve">n serie 793st071</t>
  </si>
  <si>
    <t xml:space="preserve">B 34</t>
  </si>
  <si>
    <t xml:space="preserve">n serie 793st072</t>
  </si>
  <si>
    <t xml:space="preserve">n serie 793st073</t>
  </si>
  <si>
    <t xml:space="preserve">espejo de vertedera</t>
  </si>
  <si>
    <t xml:space="preserve">s</t>
  </si>
  <si>
    <t xml:space="preserve">WEG</t>
  </si>
  <si>
    <t xml:space="preserve">CIL EXPULSOR INY LR</t>
  </si>
  <si>
    <t xml:space="preserve">CIL INYECTORA SR - AMARILLO</t>
  </si>
  <si>
    <t xml:space="preserve">cilindro de rotación </t>
  </si>
  <si>
    <t xml:space="preserve">150 x 180 x 210</t>
  </si>
  <si>
    <t xml:space="preserve">PALCOR</t>
  </si>
  <si>
    <t xml:space="preserve">tensores can't  5  y 1 cortado </t>
  </si>
  <si>
    <t xml:space="preserve">PALCOR </t>
  </si>
  <si>
    <t xml:space="preserve">maza con reten de autoelevador </t>
  </si>
  <si>
    <t xml:space="preserve">150 x 100 x 150</t>
  </si>
  <si>
    <t xml:space="preserve">JOINT ROD CILINDRO MOLINO</t>
  </si>
  <si>
    <t xml:space="preserve">200 x 6000 x 200</t>
  </si>
  <si>
    <t xml:space="preserve">SELLOS PARA COLUMNA CFL800</t>
  </si>
  <si>
    <t xml:space="preserve">POLEA TURBOFAN KOMATSU</t>
  </si>
  <si>
    <t xml:space="preserve">PISTON ROTATIVO</t>
  </si>
  <si>
    <t xml:space="preserve">Diagnostico Cilindro de primer tramo. OT 7802</t>
  </si>
  <si>
    <t xml:space="preserve">Diagnostico Cilindro segundo tramo (Mast Scoping). OT 7803</t>
  </si>
  <si>
    <t xml:space="preserve">Diagnostico Cilindro sub estructura OT 7804 y cilindros asistente SE OT 7805</t>
  </si>
  <si>
    <t xml:space="preserve">mauricio Fernandez</t>
  </si>
  <si>
    <t xml:space="preserve">suspensión trasera </t>
  </si>
  <si>
    <t xml:space="preserve">500x1555x500</t>
  </si>
  <si>
    <t xml:space="preserve">mauricio fernanadez</t>
  </si>
  <si>
    <t xml:space="preserve">450x2332x500</t>
  </si>
  <si>
    <t xml:space="preserve">reparacion de columna de inyectora cli 800</t>
  </si>
  <si>
    <t xml:space="preserve">PISTON PARA CHUCK ATLAS LARGO 129 X 2 (DEVOLUCION(</t>
  </si>
  <si>
    <t xml:space="preserve">PERNO A Ø 110</t>
  </si>
  <si>
    <t xml:space="preserve">PERNO B Ø 100</t>
  </si>
  <si>
    <t xml:space="preserve">YMAD</t>
  </si>
  <si>
    <t xml:space="preserve">BULON 0147 1107 32 (M20 X 280) WAGNER ST7 X 12U</t>
  </si>
  <si>
    <t xml:space="preserve">EJE DE ESPACIADOR 5589 9992 00WAGNER ST7 X 4U</t>
  </si>
  <si>
    <t xml:space="preserve">CASQUILLO 5589 9997 00 WAGNER ST7 X 8U</t>
  </si>
  <si>
    <t xml:space="preserve">CASQUILLO 5580 0223 52 WAGNER ST7 X 8U</t>
  </si>
  <si>
    <t xml:space="preserve">BUJE 5580 0224 72 WAGNER ST7 X 6U</t>
  </si>
  <si>
    <t xml:space="preserve">PERNO 5589 9992 02 WAGNER ST7 X 2U</t>
  </si>
  <si>
    <t xml:space="preserve">BUSHING HUESO P. 5580 0228 15 WAGNER ST7 X 4U</t>
  </si>
  <si>
    <t xml:space="preserve">CASQUILLO NP 5580 0228 16 WAGNER ST7  X 4U</t>
  </si>
  <si>
    <t xml:space="preserve">HYDRAULIC CYLINDER WAGNER ST7  NP 5580 0279 99</t>
  </si>
  <si>
    <t xml:space="preserve">HYDRAULIC CYLINDER WAGNER ST7  NP 5580 0279 99 </t>
  </si>
  <si>
    <t xml:space="preserve">contenedor 433-4-64</t>
  </si>
  <si>
    <t xml:space="preserve">240 x 830 x 240</t>
  </si>
  <si>
    <t xml:space="preserve">contenedor 433-4-50. diam 95</t>
  </si>
  <si>
    <t xml:space="preserve">BASTIDOR PARA MOTOR</t>
  </si>
  <si>
    <t xml:space="preserve">CILINDRO DIRECCION ST7 (W11-W12-W13) NP 5580 0280 03 </t>
  </si>
  <si>
    <t xml:space="preserve">Cilindro de suspensión </t>
  </si>
  <si>
    <t xml:space="preserve">1200x30x30</t>
  </si>
  <si>
    <t xml:space="preserve">transmisión 16h</t>
  </si>
  <si>
    <t xml:space="preserve">cilindro empujador de horno</t>
  </si>
  <si>
    <t xml:space="preserve">320 x 600 x 240</t>
  </si>
  <si>
    <t xml:space="preserve">296-17210</t>
  </si>
  <si>
    <t xml:space="preserve">cilindro pull down</t>
  </si>
  <si>
    <t xml:space="preserve">cilindro pull down </t>
  </si>
  <si>
    <t xml:space="preserve">ADMISIÓN PARA COLOCAR INSERTO</t>
  </si>
  <si>
    <t xml:space="preserve">PUNTO CONSULTORA</t>
  </si>
  <si>
    <t xml:space="preserve">SACDE</t>
  </si>
  <si>
    <t xml:space="preserve">cilindro levanta cabina</t>
  </si>
  <si>
    <t xml:space="preserve">SELLOS PARA MOLINO</t>
  </si>
  <si>
    <t xml:space="preserve">7635-A</t>
  </si>
  <si>
    <t xml:space="preserve">REPUESTOS EQUIPO SCANIA G440</t>
  </si>
  <si>
    <t xml:space="preserve">JUMI</t>
  </si>
  <si>
    <t xml:space="preserve">Correa SPC8100LA x4</t>
  </si>
  <si>
    <t xml:space="preserve">CIL COE CORTO</t>
  </si>
  <si>
    <t xml:space="preserve">CIL COE LARGO</t>
  </si>
  <si>
    <t xml:space="preserve">rodillos de ruleman de TR-02 Can't. 28</t>
  </si>
  <si>
    <t xml:space="preserve">MEZCAU SRL</t>
  </si>
  <si>
    <t xml:space="preserve">300 x 1600 x 380</t>
  </si>
  <si>
    <t xml:space="preserve">mezcau@yahoo.com.ar</t>
  </si>
  <si>
    <t xml:space="preserve">100 x 650 x 130</t>
  </si>
  <si>
    <t xml:space="preserve">VASTAGO + KIT DE SELLOS DE CILINDRO TESNOR TR-4</t>
  </si>
  <si>
    <t xml:space="preserve">GRUPO INVERSIA</t>
  </si>
  <si>
    <t xml:space="preserve">cilindro con tensores</t>
  </si>
  <si>
    <t xml:space="preserve">cristianjuarez.grupoinversia@gmail.com</t>
  </si>
  <si>
    <t xml:space="preserve">b12</t>
  </si>
  <si>
    <t xml:space="preserve">cilindro de torre de autoelevador </t>
  </si>
  <si>
    <t xml:space="preserve">CIL ESTABILIZADOR SANDVIK DP1500 P3  SOLPED 10813865</t>
  </si>
  <si>
    <t xml:space="preserve">cilindro de suspensión trasera </t>
  </si>
  <si>
    <t xml:space="preserve">c1</t>
  </si>
  <si>
    <t xml:space="preserve">cilindro de levante 203</t>
  </si>
  <si>
    <t xml:space="preserve">LAPIZ APERTURA/CIERRE CARGA ALIMENTADOR x 10</t>
  </si>
  <si>
    <t xml:space="preserve">eje de giro de barquilla</t>
  </si>
  <si>
    <t xml:space="preserve">PERFORACIONES IGLESIANAS</t>
  </si>
  <si>
    <t xml:space="preserve">ROTARY SHAFT LIP SEALS (160X190X15) X 3U</t>
  </si>
  <si>
    <t xml:space="preserve">mando ventilador 6219-61-3040 Komatsu </t>
  </si>
  <si>
    <t xml:space="preserve">CANTERAS DIQUECITO </t>
  </si>
  <si>
    <t xml:space="preserve">martillo hidráulico </t>
  </si>
  <si>
    <t xml:space="preserve">7554-A</t>
  </si>
  <si>
    <t xml:space="preserve">TOP SHELL CUATERNARIA</t>
  </si>
  <si>
    <t xml:space="preserve">7685-A</t>
  </si>
  <si>
    <t xml:space="preserve">PERNOS CARTUCHO DE BALDE X 2</t>
  </si>
  <si>
    <t xml:space="preserve">CILINDRO COE CORTO</t>
  </si>
  <si>
    <t xml:space="preserve">CILINDRO COE LARGO</t>
  </si>
  <si>
    <t xml:space="preserve">VELADERO</t>
  </si>
  <si>
    <t xml:space="preserve">cil. susp. trasera serie 793ST070</t>
  </si>
  <si>
    <t xml:space="preserve">cil. susp. trasera serie 793ST069</t>
  </si>
  <si>
    <t xml:space="preserve">cil. susp. trasera serie 793ST068</t>
  </si>
  <si>
    <t xml:space="preserve">KIT DE PERNO DE ANCLAJE P/TOLVA Y COMPUERTA SCANIA G440 X 4 UN</t>
  </si>
  <si>
    <t xml:space="preserve">MINERA ALUMBRERA </t>
  </si>
  <si>
    <t xml:space="preserve">cilindro s/c 87729R</t>
  </si>
  <si>
    <t xml:space="preserve">140 x 3000 x 140</t>
  </si>
  <si>
    <t xml:space="preserve">newmont </t>
  </si>
  <si>
    <t xml:space="preserve">metpor_cilindro_desplaz_30100-003-46</t>
  </si>
  <si>
    <t xml:space="preserve">120x5040x120</t>
  </si>
  <si>
    <t xml:space="preserve">completo</t>
  </si>
  <si>
    <t xml:space="preserve">30-70862541-4</t>
  </si>
  <si>
    <t xml:space="preserve">newmont</t>
  </si>
  <si>
    <t xml:space="preserve">cilindro de levante serie 793cl058</t>
  </si>
  <si>
    <t xml:space="preserve">500x2332x500</t>
  </si>
  <si>
    <t xml:space="preserve">cilindro de levante serie 793cl004</t>
  </si>
  <si>
    <t xml:space="preserve">KIT DE SELLOS CHUCK ATLAS COPCO ORIGINAL X 6 UN</t>
  </si>
  <si>
    <t xml:space="preserve">cuña de inyectora italtech 1800</t>
  </si>
  <si>
    <t xml:space="preserve">150 x 740 x 80</t>
  </si>
  <si>
    <t xml:space="preserve">bancadas de inyectora italtech 1800 can't.2</t>
  </si>
  <si>
    <t xml:space="preserve">145 x 1000 x 19</t>
  </si>
  <si>
    <t xml:space="preserve">VG SA</t>
  </si>
  <si>
    <t xml:space="preserve">CILINDRO HIDRAULICO S/PLANO PARA COE</t>
  </si>
  <si>
    <t xml:space="preserve">fabricacion cuña de inyectora italtech 1800</t>
  </si>
  <si>
    <t xml:space="preserve">7636-A</t>
  </si>
  <si>
    <t xml:space="preserve">PRITTY</t>
  </si>
  <si>
    <t xml:space="preserve">placa fija y movil ,14 bieletas y 22 pernos </t>
  </si>
  <si>
    <t xml:space="preserve">89-2482</t>
  </si>
  <si>
    <t xml:space="preserve">DISPOSITIVO DE GIRO HIDRAULICO</t>
  </si>
  <si>
    <t xml:space="preserve">FABRICACION DE JUEGO DE SELLOS DE CHUCK CHINO MODIFICADO X 3U</t>
  </si>
  <si>
    <t xml:space="preserve">TRABAJOS DE GRUAS</t>
  </si>
  <si>
    <t xml:space="preserve">VASTAGO CIL APERTURA ALMEJA LIEBHERR X 2</t>
  </si>
  <si>
    <t xml:space="preserve">RESORTE DE BOMBA DE LODO SEGUN MUESTRA PARA DATOS DE TAMAÑO Y DUREZA DEL MISMO X 50U</t>
  </si>
  <si>
    <t xml:space="preserve">AGV FALCON DRILLINGA</t>
  </si>
  <si>
    <t xml:space="preserve">RESORTE DE TAPA DE VALVULA DE BOMBA DE LODO TRIPLEX X 50U</t>
  </si>
  <si>
    <t xml:space="preserve">FABRICACION DE JUEGO DE SELLOS DE CHUCK CHINO ORIGINAL X 3 U</t>
  </si>
  <si>
    <t xml:space="preserve">ROLO METALICO DE 1.5 METROS</t>
  </si>
  <si>
    <t xml:space="preserve">cilindro h. de canon hussy 2700</t>
  </si>
  <si>
    <t xml:space="preserve">200 x 2300 x 200</t>
  </si>
  <si>
    <t xml:space="preserve">MONTICH</t>
  </si>
  <si>
    <t xml:space="preserve">CILINDRO NEUMATICO DE PRENSA</t>
  </si>
  <si>
    <t xml:space="preserve">FANTINI VIGAS</t>
  </si>
  <si>
    <t xml:space="preserve">GATO EXPANSOR DE GUILLOTINA</t>
  </si>
  <si>
    <t xml:space="preserve">03525-496242</t>
  </si>
  <si>
    <t xml:space="preserve">dfantinisrl@coop5.com.ar</t>
  </si>
  <si>
    <t xml:space="preserve">reparacion</t>
  </si>
  <si>
    <t xml:space="preserve">PLACA FUSIBLE</t>
  </si>
  <si>
    <t xml:space="preserve">CONVERTIDOR PTO CAT</t>
  </si>
  <si>
    <t xml:space="preserve">REDUCTOR DE TRASLACION TELESTACKER</t>
  </si>
  <si>
    <t xml:space="preserve">canteras diquecito</t>
  </si>
  <si>
    <t xml:space="preserve">Mauricio Fernández </t>
  </si>
  <si>
    <t xml:space="preserve">martillo hidráulico SOOSAN</t>
  </si>
  <si>
    <t xml:space="preserve">1480x340x227</t>
  </si>
  <si>
    <t xml:space="preserve">canteras diquecito </t>
  </si>
  <si>
    <t xml:space="preserve">CILINDRO HIDRAULICO CAT 320</t>
  </si>
  <si>
    <t xml:space="preserve">2225x226x337</t>
  </si>
  <si>
    <t xml:space="preserve">Finning </t>
  </si>
  <si>
    <t xml:space="preserve">DIFERENCIAL 4475419311A</t>
  </si>
  <si>
    <t xml:space="preserve">775x380x400</t>
  </si>
  <si>
    <t xml:space="preserve">minería andina del sol srl</t>
  </si>
  <si>
    <t xml:space="preserve">CIL LEVANTE DE TOLVA</t>
  </si>
  <si>
    <t xml:space="preserve">2225x500x555</t>
  </si>
  <si>
    <t xml:space="preserve">minería andina del sol srl </t>
  </si>
  <si>
    <t xml:space="preserve">Fernández Mauricio </t>
  </si>
  <si>
    <t xml:space="preserve">perno satélite </t>
  </si>
  <si>
    <t xml:space="preserve">16 x 60 x 16</t>
  </si>
  <si>
    <t xml:space="preserve">SELLOS DE BUJE PC800</t>
  </si>
  <si>
    <t xml:space="preserve">CILINDRO CHUCK ATLAS MOD NUEVO</t>
  </si>
  <si>
    <t xml:space="preserve">PISTON PARA CHUCK ATLAS MOD NUEVO CANT 2</t>
  </si>
  <si>
    <t xml:space="preserve">KIT DE SELLO PARA CHUCK ATLAS X 6UN</t>
  </si>
  <si>
    <t xml:space="preserve">MUNICIPAL DE SANTA MARÍA </t>
  </si>
  <si>
    <t xml:space="preserve">cilindro de bobcat </t>
  </si>
  <si>
    <t xml:space="preserve">90 x 650 x 140</t>
  </si>
  <si>
    <t xml:space="preserve">30-66835662-8</t>
  </si>
  <si>
    <t xml:space="preserve">eamurua68@gmail.com</t>
  </si>
  <si>
    <t xml:space="preserve">DAYCO</t>
  </si>
  <si>
    <t xml:space="preserve">MOLDE H1000</t>
  </si>
  <si>
    <t xml:space="preserve">120 x 170 x 100</t>
  </si>
  <si>
    <t xml:space="preserve">cilindro primer tramo mastil</t>
  </si>
  <si>
    <t xml:space="preserve">400 x 2450 x 400</t>
  </si>
  <si>
    <t xml:space="preserve"> 095-00439848</t>
  </si>
  <si>
    <t xml:space="preserve">cilindro segundo tramo mástil </t>
  </si>
  <si>
    <t xml:space="preserve">300 x 2450 x 350</t>
  </si>
  <si>
    <t xml:space="preserve">cilindro despegue subestructura</t>
  </si>
  <si>
    <t xml:space="preserve">370 x 2100 x 380</t>
  </si>
  <si>
    <t xml:space="preserve">240 x 1550 x 320</t>
  </si>
  <si>
    <t xml:space="preserve">450 x 1600 x 450</t>
  </si>
  <si>
    <t xml:space="preserve">450 x 2300 x 450</t>
  </si>
  <si>
    <t xml:space="preserve">CILINDRO COMPACTADORA SCRAP</t>
  </si>
  <si>
    <t xml:space="preserve">suplemento de prensa massenza</t>
  </si>
  <si>
    <t xml:space="preserve">tambor de compactador</t>
  </si>
  <si>
    <t xml:space="preserve">cilindro de clamp de inyectoras</t>
  </si>
  <si>
    <t xml:space="preserve">vino desarmado y sin sellos </t>
  </si>
  <si>
    <t xml:space="preserve">cilindro de clamp de inyectoras </t>
  </si>
  <si>
    <t xml:space="preserve">SULLAIR (SAN JUAN)</t>
  </si>
  <si>
    <t xml:space="preserve">cilindro de levante boom pc800</t>
  </si>
  <si>
    <t xml:space="preserve">300 x 3250 x 300</t>
  </si>
  <si>
    <t xml:space="preserve">84-10526</t>
  </si>
  <si>
    <t xml:space="preserve">RUBÉN CABANILLAS </t>
  </si>
  <si>
    <t xml:space="preserve">cilindro hidráulico (verde)</t>
  </si>
  <si>
    <t xml:space="preserve">110 x 600 x 140</t>
  </si>
  <si>
    <t xml:space="preserve">rubencabanilla80@gmail.com</t>
  </si>
  <si>
    <t xml:space="preserve">vástago de cil. de elevación y puntera</t>
  </si>
  <si>
    <t xml:space="preserve">38 x 2430 x 38</t>
  </si>
  <si>
    <t xml:space="preserve">320 x 950 x 220</t>
  </si>
  <si>
    <t xml:space="preserve">CANTESUR</t>
  </si>
  <si>
    <t xml:space="preserve">cilindro almeja</t>
  </si>
  <si>
    <t xml:space="preserve">190 x 1000 x 200</t>
  </si>
  <si>
    <t xml:space="preserve">CANTESUR </t>
  </si>
  <si>
    <t xml:space="preserve">cilindro almeja </t>
  </si>
  <si>
    <t xml:space="preserve">ABERTURAS ALEMANAS</t>
  </si>
  <si>
    <t xml:space="preserve">guillermoatesta@gmail.com</t>
  </si>
  <si>
    <t xml:space="preserve">cilindro de stick pc800</t>
  </si>
  <si>
    <t xml:space="preserve">84-10467</t>
  </si>
  <si>
    <t xml:space="preserve">polea contrapeso</t>
  </si>
  <si>
    <t xml:space="preserve">1187x210</t>
  </si>
  <si>
    <t xml:space="preserve">00-4081</t>
  </si>
  <si>
    <t xml:space="preserve">polea trituradora </t>
  </si>
  <si>
    <t xml:space="preserve">PERNO 4E-8152 REPUESTO</t>
  </si>
  <si>
    <t xml:space="preserve">L'EQUIPE</t>
  </si>
  <si>
    <t xml:space="preserve">CILINDRO NEGRO </t>
  </si>
  <si>
    <t xml:space="preserve">KIT DE SELLOS PARA CILINDRO NEGRO</t>
  </si>
  <si>
    <t xml:space="preserve">LEITEN</t>
  </si>
  <si>
    <t xml:space="preserve">martillo hidráulico atlas</t>
  </si>
  <si>
    <t xml:space="preserve">ARIEL BASSO</t>
  </si>
  <si>
    <t xml:space="preserve">LEITEN </t>
  </si>
  <si>
    <t xml:space="preserve">martillo hidráulico koreano</t>
  </si>
  <si>
    <t xml:space="preserve">martillo hidráulico epiroc</t>
  </si>
  <si>
    <t xml:space="preserve">SERVIGRUAS</t>
  </si>
  <si>
    <t xml:space="preserve">retenes can't.2</t>
  </si>
  <si>
    <t xml:space="preserve">7406-A</t>
  </si>
  <si>
    <t xml:space="preserve">LÉQUIPE</t>
  </si>
  <si>
    <t xml:space="preserve">TAPA + CONTRATAPA CAMBIO DE SELLOS</t>
  </si>
  <si>
    <t xml:space="preserve">7411-A</t>
  </si>
  <si>
    <t xml:space="preserve">7420-A</t>
  </si>
  <si>
    <t xml:space="preserve">CILINDRO ITALTECH 1200</t>
  </si>
  <si>
    <t xml:space="preserve">7422-A</t>
  </si>
  <si>
    <t xml:space="preserve">SOGEFI suspensión argentina </t>
  </si>
  <si>
    <t xml:space="preserve">volante de la yangli</t>
  </si>
  <si>
    <t xml:space="preserve">30-50407899-6</t>
  </si>
  <si>
    <t xml:space="preserve">351-4107700</t>
  </si>
  <si>
    <t xml:space="preserve">9-26783</t>
  </si>
  <si>
    <t xml:space="preserve">camisa coe largo</t>
  </si>
  <si>
    <t xml:space="preserve">camisa coe largo </t>
  </si>
  <si>
    <t xml:space="preserve">x.</t>
  </si>
  <si>
    <t xml:space="preserve">STEP SEAL SEGUN MUESTRA X5UND</t>
  </si>
  <si>
    <t xml:space="preserve">POLIPACK X 3 UND </t>
  </si>
  <si>
    <t xml:space="preserve">240-235</t>
  </si>
  <si>
    <t xml:space="preserve">cotizar reparación y nuevo URGENTE </t>
  </si>
  <si>
    <t xml:space="preserve">240-236</t>
  </si>
  <si>
    <t xml:space="preserve">cotizar reparación y nuevo  URGENTE </t>
  </si>
  <si>
    <t xml:space="preserve">PLACAS SEGUN PLANO</t>
  </si>
  <si>
    <t xml:space="preserve">EMBOLO DE PRENSA</t>
  </si>
  <si>
    <t xml:space="preserve">tapa </t>
  </si>
  <si>
    <t xml:space="preserve">SELLO PISTON BOBCAT</t>
  </si>
  <si>
    <t xml:space="preserve">KIT DE SELLOS CIL LEVANTE WA900 X 2U</t>
  </si>
  <si>
    <t xml:space="preserve">cilindro de cuña H1000</t>
  </si>
  <si>
    <t xml:space="preserve">A11</t>
  </si>
  <si>
    <t xml:space="preserve">cilindro de inclinación </t>
  </si>
  <si>
    <t xml:space="preserve">motor pull down y eje ranurado </t>
  </si>
  <si>
    <t xml:space="preserve">480-3022</t>
  </si>
  <si>
    <t xml:space="preserve">VALVULA N/P3222357727 CON CONECTORES, MANGUERAS Y BULONES EN DEVOLUCION</t>
  </si>
  <si>
    <t xml:space="preserve">POLIPACKS SEGUN MUESTRA</t>
  </si>
  <si>
    <t xml:space="preserve">GOMEZ SERVIAL</t>
  </si>
  <si>
    <t xml:space="preserve">tensor de cadena </t>
  </si>
  <si>
    <t xml:space="preserve">gomezservial@outlook.com.ar</t>
  </si>
  <si>
    <t xml:space="preserve">Gonzalo Gómez </t>
  </si>
  <si>
    <t xml:space="preserve">tensor de cadena</t>
  </si>
  <si>
    <t xml:space="preserve">MODIFICACION PERNO CARTUCHO BOOM 992K</t>
  </si>
  <si>
    <t xml:space="preserve">EJE DE PRENSA</t>
  </si>
  <si>
    <t xml:space="preserve">cilindro de prensa</t>
  </si>
  <si>
    <t xml:space="preserve">válvula de idra 2200</t>
  </si>
  <si>
    <t xml:space="preserve">POLYPACK P/OT 4667</t>
  </si>
  <si>
    <t xml:space="preserve">CILINDRO PRENSA LARGO</t>
  </si>
  <si>
    <t xml:space="preserve">CILINDRO PRENSA CORTO</t>
  </si>
  <si>
    <t xml:space="preserve">FIDEICOMISO EL TERRON</t>
  </si>
  <si>
    <t xml:space="preserve">cilindro de bobcat</t>
  </si>
  <si>
    <t xml:space="preserve">90 x 630 x 140</t>
  </si>
  <si>
    <t xml:space="preserve">FIDEICOMISO EL TERRON </t>
  </si>
  <si>
    <t xml:space="preserve">90 x 900 x 140</t>
  </si>
  <si>
    <t xml:space="preserve">RAM CONSTRUCCIONES SRL</t>
  </si>
  <si>
    <t xml:space="preserve">martillo everding </t>
  </si>
  <si>
    <t xml:space="preserve">3516419350 Mariano Ramón </t>
  </si>
  <si>
    <t xml:space="preserve">ramconstrucciones.tecnica@gmail.com</t>
  </si>
  <si>
    <t xml:space="preserve">LEON INDUSTRIAL SACIF</t>
  </si>
  <si>
    <t xml:space="preserve">ARANDELA S/MUESTRA X 50 U</t>
  </si>
  <si>
    <t xml:space="preserve">2 KIT DE SELLOS DE TAPA  PARA CAMISA 3624-1 Y 1 KIT DE PISTON</t>
  </si>
  <si>
    <t xml:space="preserve">Javier Quinteros</t>
  </si>
  <si>
    <t xml:space="preserve">VASTAGO CAT 320 CON PISTON TAPA Y SELLOS NUEVOS</t>
  </si>
  <si>
    <t xml:space="preserve">1630x100</t>
  </si>
  <si>
    <t xml:space="preserve">https://photos.app.goo.gl/BX7SeB2QfeycZ2W37</t>
  </si>
  <si>
    <t xml:space="preserve">sacar la turca del bastago</t>
  </si>
  <si>
    <t xml:space="preserve">marchesina</t>
  </si>
  <si>
    <t xml:space="preserve">BOMBA MANUAL</t>
  </si>
  <si>
    <t xml:space="preserve">200x335x175</t>
  </si>
  <si>
    <t xml:space="preserve">https://photos.app.goo.gl/cSziT5whyWMSG1F17</t>
  </si>
  <si>
    <t xml:space="preserve">pistón izquierdo doblado y pierde aceite</t>
  </si>
  <si>
    <t xml:space="preserve">CILINDRO CHUCK CHINA</t>
  </si>
  <si>
    <t xml:space="preserve">PUNTO CONSULTORA SA</t>
  </si>
  <si>
    <t xml:space="preserve">POLYPACK SEGUN MUESTRA X 4</t>
  </si>
  <si>
    <t xml:space="preserve">200X200X100</t>
  </si>
  <si>
    <t xml:space="preserve">bienczak srl</t>
  </si>
  <si>
    <t xml:space="preserve">cilindro grua grobe 70t</t>
  </si>
  <si>
    <t xml:space="preserve">525x300</t>
  </si>
  <si>
    <t xml:space="preserve">https://photos.app.goo.gl/7NaGnLpCDMfvbc2h7</t>
  </si>
  <si>
    <t xml:space="preserve">BUJE GUIA CABEZAL 3115211900 COP 1838+ D:52 mm</t>
  </si>
  <si>
    <t xml:space="preserve">Barac Alfredo Carlos </t>
  </si>
  <si>
    <t xml:space="preserve">martillo hidráulico bocat</t>
  </si>
  <si>
    <t xml:space="preserve">1650x116x50</t>
  </si>
  <si>
    <t xml:space="preserve">https://photos.app.goo.gl/4rLbtZyDSjd3JPQV8</t>
  </si>
  <si>
    <t xml:space="preserve">20-11831250-4</t>
  </si>
  <si>
    <t xml:space="preserve">160 x 800 x 160</t>
  </si>
  <si>
    <t xml:space="preserve">cotizar vástago corto y tapa. revisar camisa</t>
  </si>
  <si>
    <t xml:space="preserve">AGV falcon drilling</t>
  </si>
  <si>
    <t xml:space="preserve">cilindro chuck </t>
  </si>
  <si>
    <t xml:space="preserve">AGV falcon drilling </t>
  </si>
  <si>
    <t xml:space="preserve">cilindro prensa de pie</t>
  </si>
  <si>
    <t xml:space="preserve">250 x 580 x 250</t>
  </si>
  <si>
    <t xml:space="preserve">mango estriado de motor de rotación </t>
  </si>
  <si>
    <t xml:space="preserve">FABRICACION DE PERNO NUEVO CON OREJA SEGÚN MUESTRA  </t>
  </si>
  <si>
    <t xml:space="preserve">gato mammut 80tn</t>
  </si>
  <si>
    <t xml:space="preserve">RUEDA PARA CAMBIO DE BUJES + 2 BUJES NUEVOS</t>
  </si>
  <si>
    <t xml:space="preserve">CILINDRO TELESCOPICO </t>
  </si>
  <si>
    <t xml:space="preserve">cilindro de suspensión trasera mod. 793</t>
  </si>
  <si>
    <t xml:space="preserve">cilindro de levante mod. 793c/d</t>
  </si>
  <si>
    <t xml:space="preserve">430 x 2300 x 430</t>
  </si>
  <si>
    <t xml:space="preserve">MECANIZADO EXTERIOR DE PERNO VIEJO PARA PASAJE EN BUJE</t>
  </si>
  <si>
    <t xml:space="preserve">placa fusible </t>
  </si>
  <si>
    <t xml:space="preserve">JUMI </t>
  </si>
  <si>
    <t xml:space="preserve">vástago p/reparación y o cambio </t>
  </si>
  <si>
    <t xml:space="preserve">LEQUIPE MONTEUR</t>
  </si>
  <si>
    <t xml:space="preserve">cilindro de cierre y apertura de inyectora</t>
  </si>
  <si>
    <t xml:space="preserve">cabeza de cil. de apertura y cierre </t>
  </si>
  <si>
    <t xml:space="preserve">GESTAM</t>
  </si>
  <si>
    <t xml:space="preserve">placa portaferodo sin centro </t>
  </si>
  <si>
    <t xml:space="preserve">5-49738</t>
  </si>
  <si>
    <t xml:space="preserve">GESTAM </t>
  </si>
  <si>
    <t xml:space="preserve">placa portaferodo con centro </t>
  </si>
  <si>
    <t xml:space="preserve">calzo-patron fagor</t>
  </si>
  <si>
    <t xml:space="preserve">PERNO SEGUN MUESTRA Ø50</t>
  </si>
  <si>
    <t xml:space="preserve">50X50X210</t>
  </si>
  <si>
    <t xml:space="preserve">cilindro multiplicador de presión </t>
  </si>
  <si>
    <t xml:space="preserve">340 x 850 x 340</t>
  </si>
  <si>
    <t xml:space="preserve">Falta desarmar Valvula de int. de vastago</t>
  </si>
  <si>
    <t xml:space="preserve">PERNO CARTUCHO NP 4596731</t>
  </si>
  <si>
    <t xml:space="preserve">REPARACION  DE PERNO CARTUCHO DE CHASIS Y BOOM.</t>
  </si>
  <si>
    <t xml:space="preserve">GATO HIDRAULICO </t>
  </si>
  <si>
    <t xml:space="preserve">GATO BOTELLA </t>
  </si>
  <si>
    <t xml:space="preserve">CILINDRO DE LEVANTE DERECHO 992K NP 491-5803</t>
  </si>
  <si>
    <t xml:space="preserve">CILINDRO DE LEVANTE IZQUIERDO 992K NP 491-5804</t>
  </si>
  <si>
    <t xml:space="preserve">CILINDRO DE VOLTEO CAT 992K NP 50-8431</t>
  </si>
  <si>
    <t xml:space="preserve">CILINDRO DE INCLINACION DE HOJA DERECHO NP 109-9932 E68228</t>
  </si>
  <si>
    <t xml:space="preserve">CILINDRO DE INCLINACION DE HOJA IZQUIERDO NP 109-8833 B67614</t>
  </si>
  <si>
    <t xml:space="preserve">CILINDRO DE INCLINACION DE RIPPER NP 521-8390 / 132-5123 H67941</t>
  </si>
  <si>
    <t xml:space="preserve">CILINDRO DE LEVANTE DE HOJA 165-8633 / 669036</t>
  </si>
  <si>
    <t xml:space="preserve">CILINDRO DE APERTURA Y CIERRE ITALTECH 1800</t>
  </si>
  <si>
    <t xml:space="preserve">Falta romper contratapa trasera</t>
  </si>
  <si>
    <t xml:space="preserve">CANTERA DIQUECITO</t>
  </si>
  <si>
    <t xml:space="preserve">CILINDRO TELESCOPICO VOLVO</t>
  </si>
  <si>
    <t xml:space="preserve">CILINDRO ACUMULADOR</t>
  </si>
  <si>
    <t xml:space="preserve">PERNO 4E-8152</t>
  </si>
  <si>
    <t xml:space="preserve">cilindro empaquetador compactadora </t>
  </si>
  <si>
    <t xml:space="preserve">440 x 3900 x 440</t>
  </si>
  <si>
    <t xml:space="preserve">5-49763</t>
  </si>
  <si>
    <t xml:space="preserve">GESTAMP </t>
  </si>
  <si>
    <t xml:space="preserve">cilindro tajadera compactadora </t>
  </si>
  <si>
    <t xml:space="preserve">180 x 870 x 180</t>
  </si>
  <si>
    <t xml:space="preserve">CONJUNTO TAPAS, BULONES Y ARANDELAS PARA PERNOS CARTUCHO 992K</t>
  </si>
  <si>
    <t xml:space="preserve">Mecanizado polea + volanta</t>
  </si>
  <si>
    <t xml:space="preserve">KIT DE SELLOS CIL DE LEVANTE PC800</t>
  </si>
  <si>
    <t xml:space="preserve">KIT DE SELLO CILINDRO DE TRITURADORA</t>
  </si>
  <si>
    <t xml:space="preserve">REPUESTOS EPIROC OC O64154</t>
  </si>
  <si>
    <t xml:space="preserve">CILINDRO DE INYECTORA</t>
  </si>
  <si>
    <t xml:space="preserve">-</t>
  </si>
  <si>
    <t xml:space="preserve">x </t>
  </si>
  <si>
    <t xml:space="preserve">SERVIGRUAS SA</t>
  </si>
  <si>
    <t xml:space="preserve">MUESTRAS PARA DESARROLLO DE SELLOS</t>
  </si>
  <si>
    <t xml:space="preserve">ESTRUCTURA  DE PRENSA</t>
  </si>
  <si>
    <t xml:space="preserve">EXTRA 1 DE CILINDRO COMPACTADORA DE SCRAP OPCION CAMBIO DE VASTAGO (BARRA CROMADA)</t>
  </si>
  <si>
    <t xml:space="preserve">EXTRA 2 DE CILINDRO COMPACTADORA DE SCRAP OPCION CAMBIO DE VASTAGO (BARRA MECANIZADO)</t>
  </si>
  <si>
    <t xml:space="preserve">BIO 4</t>
  </si>
  <si>
    <t xml:space="preserve">ANULADA</t>
  </si>
  <si>
    <t xml:space="preserve">TRAMO DE CAMISA 50 mm X 40 mm X 500 mm</t>
  </si>
  <si>
    <t xml:space="preserve">KIT REPUESTOS SCANIA X 20 UN</t>
  </si>
  <si>
    <t xml:space="preserve">FABRICAR</t>
  </si>
  <si>
    <t xml:space="preserve">KIT REPUESTOS SCANIA X 8 UN</t>
  </si>
  <si>
    <t xml:space="preserve">ALESADO DE BIELTES x 4 Y FABRICACION DE 4 BUJES</t>
  </si>
  <si>
    <t xml:space="preserve">DISPOSITIVO PULIDORA</t>
  </si>
  <si>
    <t xml:space="preserve">cilindro de inyectora 1338</t>
  </si>
  <si>
    <t xml:space="preserve">BIO4</t>
  </si>
  <si>
    <t xml:space="preserve">ORING Ø 180 mm X M5. </t>
  </si>
  <si>
    <t xml:space="preserve">AFEMA</t>
  </si>
  <si>
    <t xml:space="preserve">CILINDRO TELESCOPICO 5 TRAMOS HYVA.</t>
  </si>
  <si>
    <t xml:space="preserve">AGV MÁQUINAS</t>
  </si>
  <si>
    <t xml:space="preserve">cilindro desplazador de autoelevador </t>
  </si>
  <si>
    <t xml:space="preserve">150 x 900 x 100</t>
  </si>
  <si>
    <t xml:space="preserve">MAXION MONTICH</t>
  </si>
  <si>
    <t xml:space="preserve">kit de sellos de cilindro principal de prensa 4500tn</t>
  </si>
  <si>
    <t xml:space="preserve">15-125099</t>
  </si>
  <si>
    <t xml:space="preserve">MAXION MONTICH </t>
  </si>
  <si>
    <t xml:space="preserve">cilindro remachadora pesada </t>
  </si>
  <si>
    <t xml:space="preserve">170 x 500 x 180</t>
  </si>
  <si>
    <t xml:space="preserve">CORMASA</t>
  </si>
  <si>
    <t xml:space="preserve">cilindro de inyectora c1600</t>
  </si>
  <si>
    <t xml:space="preserve">220 x 390 x 220</t>
  </si>
  <si>
    <t xml:space="preserve">cilindro de Colosio 2000</t>
  </si>
  <si>
    <t xml:space="preserve">contenedor 433-4-63</t>
  </si>
  <si>
    <t xml:space="preserve">250 x 840 x 250</t>
  </si>
  <si>
    <t xml:space="preserve">contenedor 68</t>
  </si>
  <si>
    <t xml:space="preserve">contenedor 433-4-51 (95 mm diam)</t>
  </si>
  <si>
    <t xml:space="preserve">ARINCO</t>
  </si>
  <si>
    <t xml:space="preserve">150 x 900 x 160</t>
  </si>
  <si>
    <t xml:space="preserve">450 x 1500 x 450</t>
  </si>
  <si>
    <t xml:space="preserve">AGV servicio minero</t>
  </si>
  <si>
    <t xml:space="preserve">puentes completos de pala cargadora</t>
  </si>
  <si>
    <t xml:space="preserve">DEMOLICIÓN BRASCA</t>
  </si>
  <si>
    <t xml:space="preserve">cilindro de balde de mini cargadora </t>
  </si>
  <si>
    <t xml:space="preserve">demolicionesbrasca@hotmail.com</t>
  </si>
  <si>
    <t xml:space="preserve">300 x 4300 x 300</t>
  </si>
  <si>
    <t xml:space="preserve">VADIEG</t>
  </si>
  <si>
    <t xml:space="preserve">vástago de 320</t>
  </si>
  <si>
    <t xml:space="preserve">3516131733 Luis Pereyra </t>
  </si>
  <si>
    <t xml:space="preserve">cantera diquesito</t>
  </si>
  <si>
    <t xml:space="preserve">martillo soosan td s1</t>
  </si>
  <si>
    <t xml:space="preserve">TERRALON </t>
  </si>
  <si>
    <t xml:space="preserve">cilindro levanta cabina </t>
  </si>
  <si>
    <t xml:space="preserve">cilindro telescópico </t>
  </si>
  <si>
    <t xml:space="preserve">3512286245 jorge</t>
  </si>
  <si>
    <t xml:space="preserve">jorgepaz.terralon@gmail.com</t>
  </si>
  <si>
    <t xml:space="preserve">KIT DE SELLOS CHUCK ATLAS X 10</t>
  </si>
  <si>
    <t xml:space="preserve">AGV SERVICIOS MINEROS</t>
  </si>
  <si>
    <t xml:space="preserve">FABRICACION DE BUJE GRANDE X2</t>
  </si>
  <si>
    <t xml:space="preserve">MILICIC S.A.</t>
  </si>
  <si>
    <t xml:space="preserve">tensor de tren rodante </t>
  </si>
  <si>
    <t xml:space="preserve">210 x 510 x 130</t>
  </si>
  <si>
    <t xml:space="preserve">piston engranado</t>
  </si>
  <si>
    <t xml:space="preserve">cilindro telescopio cat fuera de ruta </t>
  </si>
  <si>
    <t xml:space="preserve">270 x 1800 x 270</t>
  </si>
  <si>
    <t xml:space="preserve">240-182</t>
  </si>
  <si>
    <t xml:space="preserve">DRIVER N° parte 3115-3264-01 para martillo RR11.</t>
  </si>
  <si>
    <t xml:space="preserve">KIT DE SELLOS PARA BOMBA</t>
  </si>
  <si>
    <t xml:space="preserve">TRAMO DE CAMISA 63 X 47 X 350 CANT 2</t>
  </si>
  <si>
    <t xml:space="preserve">BARRA Ø70 X 600 CANT 2</t>
  </si>
  <si>
    <t xml:space="preserve">LA MARCHESINA SRL</t>
  </si>
  <si>
    <t xml:space="preserve">mandíbula primaria </t>
  </si>
  <si>
    <t xml:space="preserve">ALESADO ARTICULACION CENTRAL CAT 416</t>
  </si>
  <si>
    <t xml:space="preserve">VALLE DE LA PUERTA</t>
  </si>
  <si>
    <t xml:space="preserve">CAMISA COE CORTA </t>
  </si>
  <si>
    <t xml:space="preserve">KIT DE SELLOS COE X 3 UNID</t>
  </si>
  <si>
    <t xml:space="preserve">HAULOTTE </t>
  </si>
  <si>
    <t xml:space="preserve">cilindro hidráulico de a16</t>
  </si>
  <si>
    <t xml:space="preserve">70 x 1280 x 130</t>
  </si>
  <si>
    <t xml:space="preserve">INGE CAM</t>
  </si>
  <si>
    <t xml:space="preserve">120 x 4000 x 200</t>
  </si>
  <si>
    <t xml:space="preserve">MINAS PIRQUITAS</t>
  </si>
  <si>
    <t xml:space="preserve">válvula de control de implementos</t>
  </si>
  <si>
    <t xml:space="preserve">cabezal epiroc L8</t>
  </si>
  <si>
    <t xml:space="preserve">transmisión 775F</t>
  </si>
  <si>
    <t xml:space="preserve">cabina D9R</t>
  </si>
  <si>
    <t xml:space="preserve">6911-A</t>
  </si>
  <si>
    <t xml:space="preserve">cilindro de hidrogrua 90-70</t>
  </si>
  <si>
    <t xml:space="preserve">210 x 1300 x 250</t>
  </si>
  <si>
    <t xml:space="preserve">Visita técnica a planta BIO4 para relevamiento de dispositivo para traslación de motor</t>
  </si>
  <si>
    <t xml:space="preserve">rodillo completo del huron 4 para desarrollo nacional </t>
  </si>
  <si>
    <t xml:space="preserve">34-1782</t>
  </si>
  <si>
    <t xml:space="preserve">PAOLINI </t>
  </si>
  <si>
    <t xml:space="preserve">cilindro hidráulico de boom int 40-09</t>
  </si>
  <si>
    <t xml:space="preserve">250 x 2500 x 270</t>
  </si>
  <si>
    <t xml:space="preserve">AGV SERVICIO MINERO </t>
  </si>
  <si>
    <t xml:space="preserve">aguilon de excavadora sany 550</t>
  </si>
  <si>
    <t xml:space="preserve">H de excavadora sany 550</t>
  </si>
  <si>
    <t xml:space="preserve">cilindro hidráulico Levante </t>
  </si>
  <si>
    <t xml:space="preserve">300 x 1400 x 200</t>
  </si>
  <si>
    <t xml:space="preserve">MINERA SAN PEDRO </t>
  </si>
  <si>
    <t xml:space="preserve">camisa de cilindro de perforadora </t>
  </si>
  <si>
    <t xml:space="preserve">3516002439 RONALD</t>
  </si>
  <si>
    <t xml:space="preserve">DISPOSITIVO RECTITUD VASTAGOS</t>
  </si>
  <si>
    <t xml:space="preserve">WIPER</t>
  </si>
  <si>
    <t xml:space="preserve">260 x 500 x 260</t>
  </si>
  <si>
    <t xml:space="preserve">cilindro hidráulico de prensa desarmado sin tapa</t>
  </si>
  <si>
    <t xml:space="preserve">140 x 550 x 210</t>
  </si>
  <si>
    <t xml:space="preserve">MINA PIRQUITAS </t>
  </si>
  <si>
    <t xml:space="preserve">cilindro de suspensión trasera 777F</t>
  </si>
  <si>
    <t xml:space="preserve">300 x 1320 x 300</t>
  </si>
  <si>
    <t xml:space="preserve">dializadora de eje trasero </t>
  </si>
  <si>
    <t xml:space="preserve">CHEDIACK</t>
  </si>
  <si>
    <t xml:space="preserve">280 x 1160 x 300</t>
  </si>
  <si>
    <t xml:space="preserve">102130397 pedido de compra </t>
  </si>
  <si>
    <t xml:space="preserve">cilindro de nivelación </t>
  </si>
  <si>
    <t xml:space="preserve">300 x 1350 x 300</t>
  </si>
  <si>
    <t xml:space="preserve">Celular Roto </t>
  </si>
  <si>
    <t xml:space="preserve">HIDRÁULICA DC</t>
  </si>
  <si>
    <t xml:space="preserve">cilindro de eyector</t>
  </si>
  <si>
    <t xml:space="preserve">170 x 750 x 170</t>
  </si>
  <si>
    <t xml:space="preserve">cilindro eyector</t>
  </si>
  <si>
    <t xml:space="preserve">cilindro de dirección</t>
  </si>
  <si>
    <t xml:space="preserve">140 x 1070 x 190</t>
  </si>
  <si>
    <t xml:space="preserve">HIDRÁULICA DC </t>
  </si>
  <si>
    <t xml:space="preserve">cilindro hidráulico de dirección </t>
  </si>
  <si>
    <t xml:space="preserve">BUJE GUIA 3115-2119-00 X 1 UNI</t>
  </si>
  <si>
    <t xml:space="preserve">CARLOS CONCI</t>
  </si>
  <si>
    <t xml:space="preserve">pistas de rodamientos can't.4 y camisa partida can't 1</t>
  </si>
  <si>
    <t xml:space="preserve">cilindro cat 793</t>
  </si>
  <si>
    <t xml:space="preserve">SÁNCHEZ Y PICCIONI SA</t>
  </si>
  <si>
    <t xml:space="preserve">booster de thundeer ( cilindro de prensa)</t>
  </si>
  <si>
    <t xml:space="preserve">desarmado </t>
  </si>
  <si>
    <t xml:space="preserve">OLIVOS DEL VALLE</t>
  </si>
  <si>
    <t xml:space="preserve">CIL COE CORTO NUEVO</t>
  </si>
  <si>
    <t xml:space="preserve">cilindro hidráulico int.40-09</t>
  </si>
  <si>
    <t xml:space="preserve">CONTRAEJE SANDVIK</t>
  </si>
  <si>
    <t xml:space="preserve">adaptador porta split set roto </t>
  </si>
  <si>
    <t xml:space="preserve">50 x 800 x 50</t>
  </si>
  <si>
    <t xml:space="preserve">muestra para desarrollo </t>
  </si>
  <si>
    <t xml:space="preserve">adaptador porta split set nuevo </t>
  </si>
  <si>
    <t xml:space="preserve">chasis delantero 992K</t>
  </si>
  <si>
    <t xml:space="preserve">boom 992K</t>
  </si>
  <si>
    <t xml:space="preserve">balde 992K</t>
  </si>
  <si>
    <t xml:space="preserve">400 x 3500 x 480</t>
  </si>
  <si>
    <t xml:space="preserve">bieletas x 2</t>
  </si>
  <si>
    <t xml:space="preserve">EDIMA</t>
  </si>
  <si>
    <t xml:space="preserve">prensa frenteadora</t>
  </si>
  <si>
    <t xml:space="preserve">550 x 1000 x 500</t>
  </si>
  <si>
    <t xml:space="preserve">5400/20-1</t>
  </si>
  <si>
    <t xml:space="preserve">HOLCIM MALAGUEÑO</t>
  </si>
  <si>
    <t xml:space="preserve">cilindro martillo primaria npk</t>
  </si>
  <si>
    <t xml:space="preserve">200 x 1500 x 270</t>
  </si>
  <si>
    <t xml:space="preserve">320-4040</t>
  </si>
  <si>
    <t xml:space="preserve">ALUMBRERA </t>
  </si>
  <si>
    <t xml:space="preserve">cilindro estabilizador grúa Grove </t>
  </si>
  <si>
    <t xml:space="preserve">250 x 1050 x 250</t>
  </si>
  <si>
    <t xml:space="preserve">cilindro estabilizador de grúa Grove </t>
  </si>
  <si>
    <t xml:space="preserve">cilindro telescópico LV277</t>
  </si>
  <si>
    <t xml:space="preserve">150 x 1550 x 140</t>
  </si>
  <si>
    <t xml:space="preserve">6981-A</t>
  </si>
  <si>
    <t xml:space="preserve">INYECTORA </t>
  </si>
  <si>
    <t xml:space="preserve">REHACER ALESADO Y EMBUJADO + COTIZAR EMBUJADO DE BIELETA</t>
  </si>
  <si>
    <t xml:space="preserve">Miguel capra</t>
  </si>
  <si>
    <t xml:space="preserve">GRUA TRASCABINA</t>
  </si>
  <si>
    <t xml:space="preserve">SELLO DE BOMBA HORMIGON CANT 2 CONJUNTOS</t>
  </si>
  <si>
    <t xml:space="preserve">horizon </t>
  </si>
  <si>
    <t xml:space="preserve">unidad de giro</t>
  </si>
  <si>
    <t xml:space="preserve">180x470x410</t>
  </si>
  <si>
    <t xml:space="preserve">Horizon</t>
  </si>
  <si>
    <t xml:space="preserve">unidad de giro </t>
  </si>
  <si>
    <t xml:space="preserve">210x410x350</t>
  </si>
  <si>
    <t xml:space="preserve">cilindro bidireccional </t>
  </si>
  <si>
    <t xml:space="preserve">240x710x180</t>
  </si>
  <si>
    <t xml:space="preserve">Mina Pirquitas</t>
  </si>
  <si>
    <t xml:space="preserve">Cilindro de Levante</t>
  </si>
  <si>
    <t xml:space="preserve">450x2600x450</t>
  </si>
  <si>
    <t xml:space="preserve">JUMI SRL </t>
  </si>
  <si>
    <t xml:space="preserve">Selectora de caja</t>
  </si>
  <si>
    <t xml:space="preserve">195×95</t>
  </si>
  <si>
    <t xml:space="preserve">SELLO MECANICO LIVENZA</t>
  </si>
  <si>
    <t xml:space="preserve">GAMESA</t>
  </si>
  <si>
    <t xml:space="preserve">ENGRANAJE GP271458</t>
  </si>
  <si>
    <t xml:space="preserve">Cilindro </t>
  </si>
  <si>
    <t xml:space="preserve">770×110×70</t>
  </si>
  <si>
    <t xml:space="preserve">Mina Pirquitas </t>
  </si>
  <si>
    <t xml:space="preserve">Retro rimer</t>
  </si>
  <si>
    <t xml:space="preserve">273×110</t>
  </si>
  <si>
    <t xml:space="preserve">Retro rimer </t>
  </si>
  <si>
    <t xml:space="preserve">280×128</t>
  </si>
  <si>
    <t xml:space="preserve">Zapata</t>
  </si>
  <si>
    <t xml:space="preserve">160×123</t>
  </si>
  <si>
    <t xml:space="preserve">PORTA</t>
  </si>
  <si>
    <t xml:space="preserve">eje centrífugo desarmado </t>
  </si>
  <si>
    <t xml:space="preserve">3-66945</t>
  </si>
  <si>
    <t xml:space="preserve">Logistica especial para Traslado de Cilindro levante 992g.</t>
  </si>
  <si>
    <t xml:space="preserve">ORING Ø 180 mm X M5  viton</t>
  </si>
  <si>
    <t xml:space="preserve">COINMET</t>
  </si>
  <si>
    <t xml:space="preserve">3516832571 Mario </t>
  </si>
  <si>
    <t xml:space="preserve">co_in_met@hotmail.com</t>
  </si>
  <si>
    <t xml:space="preserve">COINMET </t>
  </si>
  <si>
    <t xml:space="preserve">GUIA PARA LANZA </t>
  </si>
  <si>
    <t xml:space="preserve">Haulotte </t>
  </si>
  <si>
    <t xml:space="preserve">Cilindro de elevación prueba de estanquedad</t>
  </si>
  <si>
    <t xml:space="preserve">800×170×120</t>
  </si>
  <si>
    <t xml:space="preserve">https://photos.app.goo.gl/JGKxApsxb2J6LUsn8</t>
  </si>
  <si>
    <t xml:space="preserve">230 x 1000 x 180</t>
  </si>
  <si>
    <t xml:space="preserve">270 x 1200 x 160</t>
  </si>
  <si>
    <t xml:space="preserve">340 x 1400 x 300</t>
  </si>
  <si>
    <t xml:space="preserve">transmisión 16H más repuestos </t>
  </si>
  <si>
    <t xml:space="preserve">Kit Cilindro de enclavamiento I-1200KL</t>
  </si>
  <si>
    <t xml:space="preserve">PLACA DE APOYO 1000MM CANT 10</t>
  </si>
  <si>
    <t xml:space="preserve">PLACA DE APOYO 900MM CANT 2</t>
  </si>
  <si>
    <t xml:space="preserve">SELLO DE PISTON X 1</t>
  </si>
  <si>
    <t xml:space="preserve">PERNO BIRRANA CAT 9D2278 CAT 777F BIRRANA CON TAPAS, BULON Y ARANDELA CANT 8</t>
  </si>
  <si>
    <t xml:space="preserve">PERNO BIRRANA CATERPILLAR 4205462209 CATERPILLAR 777F   N°parte: 4205462 CANT 4</t>
  </si>
  <si>
    <t xml:space="preserve">Cilindro hidraulico lado no operario</t>
  </si>
  <si>
    <t xml:space="preserve">Cilindro hidraulico lado operario</t>
  </si>
  <si>
    <t xml:space="preserve">CILINDRO HIDRAULICO ITALTECH 1200</t>
  </si>
  <si>
    <t xml:space="preserve">KIT DE SELLOS PARA DIFERENCIAL DIECI X 1</t>
  </si>
  <si>
    <t xml:space="preserve">KIT DE SELLO PARA GRUA + TAPA ALUMINIO PARA MODIFICAR</t>
  </si>
  <si>
    <t xml:space="preserve">TOP SHELL TRITURADORA CUATERNARIA</t>
  </si>
  <si>
    <t xml:space="preserve">320-4015</t>
  </si>
  <si>
    <t xml:space="preserve">EMBRAGUE</t>
  </si>
  <si>
    <t xml:space="preserve">contra eje sanvick</t>
  </si>
  <si>
    <t xml:space="preserve">transmisión cat16h</t>
  </si>
  <si>
    <t xml:space="preserve">husillo de cabezal 710/712</t>
  </si>
  <si>
    <t xml:space="preserve">CORRUGADORA CENTRO </t>
  </si>
  <si>
    <t xml:space="preserve">CUARZO PERF</t>
  </si>
  <si>
    <t xml:space="preserve">CILINDRO CHUCK CHINA MOD NUEVO</t>
  </si>
  <si>
    <t xml:space="preserve">AGRO MOCHI</t>
  </si>
  <si>
    <t xml:space="preserve">pieza de variador de cocechadora</t>
  </si>
  <si>
    <t xml:space="preserve">3573450834 Dario </t>
  </si>
  <si>
    <t xml:space="preserve">dariomochi@gmail.com</t>
  </si>
  <si>
    <t xml:space="preserve">KIT DE SELLOS PARA FRENO  X2</t>
  </si>
  <si>
    <t xml:space="preserve">HERRAMIENTAS PARA TENSADO DE CADENA</t>
  </si>
  <si>
    <t xml:space="preserve">29/09//23</t>
  </si>
  <si>
    <t xml:space="preserve">cilindro chuck</t>
  </si>
  <si>
    <t xml:space="preserve">260 x 260 x 130</t>
  </si>
  <si>
    <t xml:space="preserve">eje con engranaje </t>
  </si>
  <si>
    <t xml:space="preserve">140 x 140 x 300</t>
  </si>
  <si>
    <t xml:space="preserve">cilindro PC 800 de balde</t>
  </si>
  <si>
    <t xml:space="preserve">350 x 350 x 2900</t>
  </si>
  <si>
    <t xml:space="preserve">MOV DE SUELO</t>
  </si>
  <si>
    <t xml:space="preserve">TUERCAS MARTILLO X2</t>
  </si>
  <si>
    <t xml:space="preserve">CONCAVO TRIT 3 °</t>
  </si>
  <si>
    <t xml:space="preserve">cilindro ejector du 09(telescópico:)</t>
  </si>
  <si>
    <t xml:space="preserve">230 x 1850 x 230</t>
  </si>
  <si>
    <t xml:space="preserve">cilindro ejector du 07(telescópico:)</t>
  </si>
  <si>
    <t xml:space="preserve">200 x 3100 x 300</t>
  </si>
  <si>
    <t xml:space="preserve">cilindro de levante ( vino sin caño)</t>
  </si>
  <si>
    <t xml:space="preserve">cilindro ejector LH s14</t>
  </si>
  <si>
    <t xml:space="preserve">240 x 750 x 220</t>
  </si>
  <si>
    <t xml:space="preserve">100 x 900 x 150</t>
  </si>
  <si>
    <t xml:space="preserve">34-1623</t>
  </si>
  <si>
    <t xml:space="preserve">cilindro de avance </t>
  </si>
  <si>
    <t xml:space="preserve">100 x 1550 x 100</t>
  </si>
  <si>
    <t xml:space="preserve">cilindro hidráulico con tensores </t>
  </si>
  <si>
    <t xml:space="preserve">95 x 900 x 130</t>
  </si>
  <si>
    <t xml:space="preserve">PASA A PRODUCCION</t>
  </si>
  <si>
    <t xml:space="preserve">circulo de vertedera</t>
  </si>
  <si>
    <t xml:space="preserve">Cilindro largo de vertedero </t>
  </si>
  <si>
    <t xml:space="preserve">7468/20</t>
  </si>
  <si>
    <t xml:space="preserve">Cilindro Corto de vertedero </t>
  </si>
  <si>
    <t xml:space="preserve">cilindro hidráulico 416E</t>
  </si>
  <si>
    <t xml:space="preserve">250 x 700 x 200</t>
  </si>
  <si>
    <t xml:space="preserve">200 x 1700 x 200</t>
  </si>
  <si>
    <t xml:space="preserve">cilindro hidráulico 416E balde delantero </t>
  </si>
  <si>
    <t xml:space="preserve">240 x 1080 x 180</t>
  </si>
  <si>
    <t xml:space="preserve">cilindro hidráulico 416E estabilizador derecho </t>
  </si>
  <si>
    <t xml:space="preserve">150 x 1000 x 180</t>
  </si>
  <si>
    <t xml:space="preserve">cilindro hidráulico 416E stick </t>
  </si>
  <si>
    <t xml:space="preserve">190 x 1250 x 200</t>
  </si>
  <si>
    <t xml:space="preserve">cilindro hidráulico 416E estabilizador izquierdo </t>
  </si>
  <si>
    <t xml:space="preserve">150 x 1000 x 200</t>
  </si>
  <si>
    <t xml:space="preserve">cilindro hidráulico 416E cucharón retroexcavadora </t>
  </si>
  <si>
    <t xml:space="preserve">190 x 1450 x 200</t>
  </si>
  <si>
    <t xml:space="preserve">KIT DE RETENES PARA PERNO Ø115</t>
  </si>
  <si>
    <t xml:space="preserve">MICHELOTTI</t>
  </si>
  <si>
    <t xml:space="preserve">punzon para afilar milicich n5</t>
  </si>
  <si>
    <t xml:space="preserve">diam.102 mm</t>
  </si>
  <si>
    <t xml:space="preserve">MICHELOTTI </t>
  </si>
  <si>
    <t xml:space="preserve">punta para afilar igarreta n4</t>
  </si>
  <si>
    <t xml:space="preserve">diam .112 mm</t>
  </si>
  <si>
    <t xml:space="preserve">cilindro hidráulico 446</t>
  </si>
  <si>
    <t xml:space="preserve">300 x 1150 x 230</t>
  </si>
  <si>
    <t xml:space="preserve">MANSFIELD .</t>
  </si>
  <si>
    <t xml:space="preserve">cilindro largo de vertedero </t>
  </si>
  <si>
    <t xml:space="preserve">130 x 2100 x 170</t>
  </si>
  <si>
    <t xml:space="preserve">cilindro corto de vertedero </t>
  </si>
  <si>
    <t xml:space="preserve">160 x 850 x 160</t>
  </si>
  <si>
    <t xml:space="preserve">KIT DE SELLOS TAPA Y PISTON X 2KIT</t>
  </si>
  <si>
    <t xml:space="preserve">POLYPACK 50 X 12 UNID</t>
  </si>
  <si>
    <t xml:space="preserve">CORMASA S.A.</t>
  </si>
  <si>
    <t xml:space="preserve">contenedor 482-3-62</t>
  </si>
  <si>
    <t xml:space="preserve">250 x 965 x250</t>
  </si>
  <si>
    <t xml:space="preserve">Sapyc SRL.</t>
  </si>
  <si>
    <t xml:space="preserve">Cilindro Hidraulico</t>
  </si>
  <si>
    <t xml:space="preserve">430 x 1800 x 200</t>
  </si>
  <si>
    <t xml:space="preserve">punta para afilar </t>
  </si>
  <si>
    <t xml:space="preserve">diam 102</t>
  </si>
  <si>
    <t xml:space="preserve">bomba hidráulica c/pastilla</t>
  </si>
  <si>
    <t xml:space="preserve">L´EQUIPE MONTEUR</t>
  </si>
  <si>
    <t xml:space="preserve">CILINDRO AUTOELEVADOR TOYOTA</t>
  </si>
  <si>
    <t xml:space="preserve">placa fusible cantidad 2</t>
  </si>
  <si>
    <t xml:space="preserve">635 x 1010 x 35</t>
  </si>
  <si>
    <t xml:space="preserve">CANTERA DIQUESITO</t>
  </si>
  <si>
    <t xml:space="preserve">martillo de perforadora everdigm</t>
  </si>
  <si>
    <t xml:space="preserve">8-971</t>
  </si>
  <si>
    <t xml:space="preserve">L'EQUIPE MONTEUR</t>
  </si>
  <si>
    <t xml:space="preserve">cilindro hidráulico festo + 3 KIT DE SELLOS</t>
  </si>
  <si>
    <t xml:space="preserve">ORING M180 X 5 VITON CANT 6</t>
  </si>
  <si>
    <t xml:space="preserve">ESACOM SA</t>
  </si>
  <si>
    <t xml:space="preserve">cilindro de pala Jhon Deere </t>
  </si>
  <si>
    <t xml:space="preserve">3515904050 Gerardo salde</t>
  </si>
  <si>
    <t xml:space="preserve">gsaldealmacor.com.ar</t>
  </si>
  <si>
    <t xml:space="preserve">BUJES DE BRONCE P/ BANCADA TOLVA X 5 UN</t>
  </si>
  <si>
    <t xml:space="preserve">CORMASA (ILASA)</t>
  </si>
  <si>
    <t xml:space="preserve">KIT DE SELLOS CILINDRO PRENSA IDRA 2202</t>
  </si>
  <si>
    <t xml:space="preserve">CANTERA SAN CAYETANO </t>
  </si>
  <si>
    <t xml:space="preserve">cilindro Komatsu 350</t>
  </si>
  <si>
    <t xml:space="preserve">3525642789 Sergio bandeo</t>
  </si>
  <si>
    <t xml:space="preserve">bandeosergio@hotmail.com</t>
  </si>
  <si>
    <t xml:space="preserve">KIT DE SELLOS CHUCK CHINA</t>
  </si>
  <si>
    <t xml:space="preserve">mando de giro de HT43</t>
  </si>
  <si>
    <t xml:space="preserve">Guille Roque</t>
  </si>
  <si>
    <t xml:space="preserve">Solo Sellos</t>
  </si>
  <si>
    <t xml:space="preserve">CASQUILLO 5589 9997 00 X 9UNI</t>
  </si>
  <si>
    <t xml:space="preserve">EJE DE ESPACIADOR 5589 9992 00 X 2UNI</t>
  </si>
  <si>
    <t xml:space="preserve">ARANDELA 55589 9985 02 X 2 UNI</t>
  </si>
  <si>
    <t xml:space="preserve">BUSHING 5580 0228 15 X 2 UNI</t>
  </si>
  <si>
    <t xml:space="preserve">TADEMAQ </t>
  </si>
  <si>
    <t xml:space="preserve">60 x 800 x 130</t>
  </si>
  <si>
    <t xml:space="preserve">se dejo armado por autorisacion de alvaro</t>
  </si>
  <si>
    <t xml:space="preserve">TADEMAQ</t>
  </si>
  <si>
    <t xml:space="preserve">240 x 800 x 130</t>
  </si>
  <si>
    <t xml:space="preserve">PLACA FUSIBLE TRITURADORA NUEVA</t>
  </si>
  <si>
    <t xml:space="preserve">cilindro parker</t>
  </si>
  <si>
    <t xml:space="preserve">190 x 850 x 190</t>
  </si>
  <si>
    <t xml:space="preserve">no se desarmo por completo piston y tuercas y contratuercas clavadas</t>
  </si>
  <si>
    <t xml:space="preserve">gato hidráulico </t>
  </si>
  <si>
    <t xml:space="preserve">125 x 125 x 140</t>
  </si>
  <si>
    <t xml:space="preserve">CANT. DIQUECITO</t>
  </si>
  <si>
    <t xml:space="preserve">TENSORES DE MARTILLO </t>
  </si>
  <si>
    <t xml:space="preserve">PUNZON DE MARTILLO GORILLA X 2 UN</t>
  </si>
  <si>
    <t xml:space="preserve">HUSILLO</t>
  </si>
  <si>
    <t xml:space="preserve">180 x 630 x 180</t>
  </si>
  <si>
    <t xml:space="preserve">6822-A</t>
  </si>
  <si>
    <t xml:space="preserve">martillo hidráulico cop1838me t3807</t>
  </si>
  <si>
    <t xml:space="preserve">34-1682</t>
  </si>
  <si>
    <t xml:space="preserve">CRAB SRL</t>
  </si>
  <si>
    <t xml:space="preserve">cilindro hidráulico cat </t>
  </si>
  <si>
    <t xml:space="preserve">260 x 2300 x 260</t>
  </si>
  <si>
    <t xml:space="preserve">no se desarma, hasta cotizar</t>
  </si>
  <si>
    <t xml:space="preserve">sin fin centrífuga sg3 805 con tapas traseras </t>
  </si>
  <si>
    <t xml:space="preserve">3-66931</t>
  </si>
  <si>
    <t xml:space="preserve">RIVA TECMA</t>
  </si>
  <si>
    <t xml:space="preserve">martillo hidráulico INDECO</t>
  </si>
  <si>
    <t xml:space="preserve">3562438767 Rodrigo ING.</t>
  </si>
  <si>
    <t xml:space="preserve">Riva.tecma@gmail.com</t>
  </si>
  <si>
    <t xml:space="preserve">vástago de cil. chuk</t>
  </si>
  <si>
    <t xml:space="preserve">IVECO </t>
  </si>
  <si>
    <t xml:space="preserve">cilindro hidráulico alecar CD200 PRENSA VERTICAL </t>
  </si>
  <si>
    <t xml:space="preserve">925-1125</t>
  </si>
  <si>
    <t xml:space="preserve">mina pirquitas </t>
  </si>
  <si>
    <t xml:space="preserve">buje de cilindro 992G NP 146 1616 CANT 4</t>
  </si>
  <si>
    <t xml:space="preserve">BIELETA CON PERNO</t>
  </si>
  <si>
    <t xml:space="preserve">5-47824</t>
  </si>
  <si>
    <t xml:space="preserve">SELLOS PARA PISTON BRONCE Ø 100</t>
  </si>
  <si>
    <t xml:space="preserve">300 x 1200 x 400</t>
  </si>
  <si>
    <t xml:space="preserve">cilindro de suspension del. </t>
  </si>
  <si>
    <t xml:space="preserve">cilindro suspension del. </t>
  </si>
  <si>
    <t xml:space="preserve">CUARZO PERFORACIONES</t>
  </si>
  <si>
    <t xml:space="preserve">chuck china</t>
  </si>
  <si>
    <t xml:space="preserve">270 x 130 x 270</t>
  </si>
  <si>
    <t xml:space="preserve">MYP FUNDACIONES</t>
  </si>
  <si>
    <t xml:space="preserve">cilindro hidraulico</t>
  </si>
  <si>
    <t xml:space="preserve">210 x 9200 x 210</t>
  </si>
  <si>
    <t xml:space="preserve">4-1615</t>
  </si>
  <si>
    <t xml:space="preserve">punta para afilar</t>
  </si>
  <si>
    <t xml:space="preserve">VG s.a.</t>
  </si>
  <si>
    <t xml:space="preserve">80 x 380 x 110</t>
  </si>
  <si>
    <t xml:space="preserve">CILINDRO HIDRAULICO DE PRENSA NUEVO</t>
  </si>
  <si>
    <t xml:space="preserve">ASTORI</t>
  </si>
  <si>
    <t xml:space="preserve">cilindro de grua Y PERNOS URGENTE</t>
  </si>
  <si>
    <t xml:space="preserve">200 x 1700 x 220</t>
  </si>
  <si>
    <t xml:space="preserve">boris gallegos</t>
  </si>
  <si>
    <t xml:space="preserve">fabricar 2 pernos</t>
  </si>
  <si>
    <t xml:space="preserve">bombita hidraulica</t>
  </si>
  <si>
    <t xml:space="preserve">EPIROC</t>
  </si>
  <si>
    <t xml:space="preserve">CHAPA PARA ADAPTAR GPS</t>
  </si>
  <si>
    <t xml:space="preserve">VG</t>
  </si>
  <si>
    <t xml:space="preserve">transmision sky track</t>
  </si>
  <si>
    <t xml:space="preserve">107-1894</t>
  </si>
  <si>
    <t xml:space="preserve">RANDOM MOVIMIENTOS (PEPI)</t>
  </si>
  <si>
    <t xml:space="preserve">PUNZON PARA MARTILLO HID OT 7353</t>
  </si>
  <si>
    <t xml:space="preserve">KIT DE SELLOS DE TAPA COE X 2 UN</t>
  </si>
  <si>
    <t xml:space="preserve">cabina de 777f c/cuna de soporte</t>
  </si>
  <si>
    <t xml:space="preserve">1-12907</t>
  </si>
  <si>
    <t xml:space="preserve">MINAS PIRQUITAS.</t>
  </si>
  <si>
    <t xml:space="preserve">cabina d9r</t>
  </si>
  <si>
    <t xml:space="preserve">unidad de giro (para cambio de sellos)</t>
  </si>
  <si>
    <t xml:space="preserve">220 x 440 x 320</t>
  </si>
  <si>
    <t xml:space="preserve">usillo</t>
  </si>
  <si>
    <t xml:space="preserve">150 x 450 x 150</t>
  </si>
  <si>
    <t xml:space="preserve">carcaza de convertidor</t>
  </si>
  <si>
    <t xml:space="preserve">600 x 400 x 700</t>
  </si>
  <si>
    <t xml:space="preserve">maza de cil. susp.del.</t>
  </si>
  <si>
    <t xml:space="preserve">bomba de alivio de camion scania</t>
  </si>
  <si>
    <t xml:space="preserve">240-128</t>
  </si>
  <si>
    <t xml:space="preserve">CAPUTO</t>
  </si>
  <si>
    <t xml:space="preserve">260 x 270 x220</t>
  </si>
  <si>
    <t xml:space="preserve">130 x 900 x 150</t>
  </si>
  <si>
    <t xml:space="preserve">cilindro skytrak</t>
  </si>
  <si>
    <t xml:space="preserve">150 x 700 x 150</t>
  </si>
  <si>
    <t xml:space="preserve">gato hidraulico</t>
  </si>
  <si>
    <t xml:space="preserve">750 x1000 x 800</t>
  </si>
  <si>
    <t xml:space="preserve">central hidraulica</t>
  </si>
  <si>
    <t xml:space="preserve">cilindro molino coke</t>
  </si>
  <si>
    <t xml:space="preserve">340 x 1700 x 360</t>
  </si>
  <si>
    <t xml:space="preserve">296-15943</t>
  </si>
  <si>
    <t xml:space="preserve">LEQUIPE MONTEUR sa</t>
  </si>
  <si>
    <t xml:space="preserve">cilindro de apertura y cierre</t>
  </si>
  <si>
    <t xml:space="preserve">310 x 2300 x 310</t>
  </si>
  <si>
    <t xml:space="preserve">rodillo tri escamas 200-cr-001</t>
  </si>
  <si>
    <t xml:space="preserve">750 x 950 x 750</t>
  </si>
  <si>
    <t xml:space="preserve">rodillo tri escamas 200 - cr- 001</t>
  </si>
  <si>
    <t xml:space="preserve">prensa de pie y llave de corte de maq. massenza</t>
  </si>
  <si>
    <t xml:space="preserve">CILINDRO HIDRAULICO MIXER</t>
  </si>
  <si>
    <t xml:space="preserve">cilindro de prensa pie</t>
  </si>
  <si>
    <t xml:space="preserve">250 x 600 x 250</t>
  </si>
  <si>
    <t xml:space="preserve">7410-20</t>
  </si>
  <si>
    <t xml:space="preserve">7410-30</t>
  </si>
  <si>
    <t xml:space="preserve">7410-40</t>
  </si>
  <si>
    <t xml:space="preserve">140 x 750 x 210</t>
  </si>
  <si>
    <t xml:space="preserve">130 x 1000 x 130</t>
  </si>
  <si>
    <t xml:space="preserve">140 x 950 x 140</t>
  </si>
  <si>
    <t xml:space="preserve">CHEDIAK</t>
  </si>
  <si>
    <t xml:space="preserve">motorreductor </t>
  </si>
  <si>
    <t xml:space="preserve">280 x 380 x 280</t>
  </si>
  <si>
    <t xml:space="preserve">cil. Chuck atlascopco</t>
  </si>
  <si>
    <t xml:space="preserve">cil. Chuck de china</t>
  </si>
  <si>
    <t xml:space="preserve">350 x 200 x 350</t>
  </si>
  <si>
    <t xml:space="preserve">prensa de pie ferword</t>
  </si>
  <si>
    <t xml:space="preserve">450 x 650 x 350</t>
  </si>
  <si>
    <t xml:space="preserve">modificar </t>
  </si>
  <si>
    <t xml:space="preserve">cilindro completo grua Marchetti </t>
  </si>
  <si>
    <t xml:space="preserve">120 x 2300 x 150</t>
  </si>
  <si>
    <t xml:space="preserve">6-46885</t>
  </si>
  <si>
    <t xml:space="preserve">7118-A</t>
  </si>
  <si>
    <t xml:space="preserve">HOLCIM JUJUY </t>
  </si>
  <si>
    <t xml:space="preserve">cilindro de enfriadora</t>
  </si>
  <si>
    <t xml:space="preserve">370 x 1800 x 470</t>
  </si>
  <si>
    <t xml:space="preserve">313-8357</t>
  </si>
  <si>
    <t xml:space="preserve">cilindro hidráulico itotech 1200</t>
  </si>
  <si>
    <t xml:space="preserve">120 x 500 x 130</t>
  </si>
  <si>
    <t xml:space="preserve">190 x 1410 x 130</t>
  </si>
  <si>
    <t xml:space="preserve">conjunto de repuestos para desarrollo (10)</t>
  </si>
  <si>
    <t xml:space="preserve">MOTOR CHARLYNN SERIE 2000</t>
  </si>
  <si>
    <t xml:space="preserve">MOTOR CHARLYNN SERIE H</t>
  </si>
  <si>
    <t xml:space="preserve">cilindro del stick de npk</t>
  </si>
  <si>
    <t xml:space="preserve">200 x 2000 x 200</t>
  </si>
  <si>
    <t xml:space="preserve">5696-50</t>
  </si>
  <si>
    <t xml:space="preserve">5696-20-1</t>
  </si>
  <si>
    <t xml:space="preserve">5696-60-1</t>
  </si>
  <si>
    <t xml:space="preserve">5696-30-1</t>
  </si>
  <si>
    <t xml:space="preserve">martillo soosan te s1</t>
  </si>
  <si>
    <t xml:space="preserve">8-965</t>
  </si>
  <si>
    <t xml:space="preserve">KIT DE SELLOS CHUCK CHINA S/MUESTRA</t>
  </si>
  <si>
    <t xml:space="preserve">ESTRUCTURA CHAPA CARRETON 6 UNID</t>
  </si>
  <si>
    <t xml:space="preserve">central hidráulica sin motor c/ manguera de 6 mt</t>
  </si>
  <si>
    <t xml:space="preserve">500 x 750 x 700</t>
  </si>
  <si>
    <t xml:space="preserve">296-15979</t>
  </si>
  <si>
    <t xml:space="preserve">HOLCIM MALAGUEÑO </t>
  </si>
  <si>
    <t xml:space="preserve">central hidráulica con flauta y 3 válvulas de cierre,3 manguera,2 conectores machos y 1 conectores hembra </t>
  </si>
  <si>
    <t xml:space="preserve">expansor doble efecto </t>
  </si>
  <si>
    <t xml:space="preserve">140 x 500 x 280</t>
  </si>
  <si>
    <t xml:space="preserve">FLUORITA CORDOBA</t>
  </si>
  <si>
    <t xml:space="preserve">MARTILLO   </t>
  </si>
  <si>
    <t xml:space="preserve">desarmado</t>
  </si>
  <si>
    <t xml:space="preserve">tporreca@fluoritacordoba.com.ar</t>
  </si>
  <si>
    <t xml:space="preserve"> REPUESTOS NUEVO EN PAÑOL</t>
  </si>
  <si>
    <t xml:space="preserve">bomba hidráulica caproni 34/21  c-33c36x309he</t>
  </si>
  <si>
    <t xml:space="preserve">170 x 310 x 200</t>
  </si>
  <si>
    <t xml:space="preserve">METALERA SUR</t>
  </si>
  <si>
    <t xml:space="preserve">3515302859 -3512377764 Jorge metalerasuradm@gmail.com</t>
  </si>
  <si>
    <t xml:space="preserve">martillo hidráulico montabert (implementó retroexcavadora toco-toco</t>
  </si>
  <si>
    <t xml:space="preserve">BUJE FRONTAL 3115504501 X 5 UNID</t>
  </si>
  <si>
    <t xml:space="preserve">ILASA</t>
  </si>
  <si>
    <t xml:space="preserve">tapa de cil. de expulsión de idea 2202 con 3 tensores </t>
  </si>
  <si>
    <t xml:space="preserve">KIT DE SELLOS</t>
  </si>
  <si>
    <t xml:space="preserve">GRECO GROPU</t>
  </si>
  <si>
    <t xml:space="preserve">SELLO ESPECIAL + ORING </t>
  </si>
  <si>
    <t xml:space="preserve">equipo pica roca c/ repuestos </t>
  </si>
  <si>
    <t xml:space="preserve">ECOMINERA</t>
  </si>
  <si>
    <t xml:space="preserve">Cilindro Hidráulico de grua</t>
  </si>
  <si>
    <t xml:space="preserve">1400X100X50</t>
  </si>
  <si>
    <t xml:space="preserve">900X100X50</t>
  </si>
  <si>
    <t xml:space="preserve">CILINDRO LEVANTE DE BALDE WAGNER ST7</t>
  </si>
  <si>
    <t xml:space="preserve">CILINDRO DE VUELCO WAGNER ST7</t>
  </si>
  <si>
    <t xml:space="preserve">900X150X125</t>
  </si>
  <si>
    <t xml:space="preserve">CILINDRO DE DIRECCION WAGNER ST7</t>
  </si>
  <si>
    <t xml:space="preserve">gato hidráulico (viene sin tapa)</t>
  </si>
  <si>
    <t xml:space="preserve">está en oficina de recepción .</t>
  </si>
  <si>
    <t xml:space="preserve">FUELLE PARA CILINDRO DE ENFRIADORA</t>
  </si>
  <si>
    <t xml:space="preserve">cilindro de levante cat 793 c</t>
  </si>
  <si>
    <t xml:space="preserve">420 x 2350 x 420</t>
  </si>
  <si>
    <t xml:space="preserve">trae perno</t>
  </si>
  <si>
    <t xml:space="preserve">eje estriado</t>
  </si>
  <si>
    <t xml:space="preserve">80 x 605 x 80</t>
  </si>
  <si>
    <t xml:space="preserve">VASTAGO + POLEA + TUERCA + ARANDELA DE PRENSA</t>
  </si>
  <si>
    <t xml:space="preserve">FABRICAR 2 EJES, 2 TUERCAS Y UNA ARANDELA</t>
  </si>
  <si>
    <t xml:space="preserve">PLACAS 101,6 X 86 X 9,5 CANT 10</t>
  </si>
  <si>
    <t xml:space="preserve">SELLO SEGUN MUESTRA DIAMETRO 185</t>
  </si>
  <si>
    <t xml:space="preserve">SELLO SEGUN MUESTRA DIAMETRO 200,</t>
  </si>
  <si>
    <t xml:space="preserve">contra eje cr129</t>
  </si>
  <si>
    <t xml:space="preserve">550 x 1200 x 550</t>
  </si>
  <si>
    <t xml:space="preserve">cilindro de retroexcavadora</t>
  </si>
  <si>
    <t xml:space="preserve">435 x 2620 x 300</t>
  </si>
  <si>
    <t xml:space="preserve">240-110</t>
  </si>
  <si>
    <t xml:space="preserve">cilindro de rastra</t>
  </si>
  <si>
    <t xml:space="preserve">150 x 650 x 160</t>
  </si>
  <si>
    <t xml:space="preserve">BUJE LOCALIZADOR TENSOR TR04 X 4 UN</t>
  </si>
  <si>
    <t xml:space="preserve">cilindro cat 793c mining trck,gp</t>
  </si>
  <si>
    <t xml:space="preserve">cilindr de suspension cat777g,rr,cashman</t>
  </si>
  <si>
    <t xml:space="preserve">350 x 1350 x 470</t>
  </si>
  <si>
    <t xml:space="preserve">ACEVEDO NOLBERTO FERNANDEZ</t>
  </si>
  <si>
    <t xml:space="preserve">vastago diam.80mm</t>
  </si>
  <si>
    <t xml:space="preserve">80 x 1893 x 80</t>
  </si>
  <si>
    <t xml:space="preserve">acevedo.fpaservicios@yahoo.com.ar</t>
  </si>
  <si>
    <t xml:space="preserve">REDUCTOR DE GIRO VOLVO</t>
  </si>
  <si>
    <t xml:space="preserve">COTIZAR A IGNACIO DELGADO</t>
  </si>
  <si>
    <t xml:space="preserve">COTIZAR A JONATAN DIAZ</t>
  </si>
  <si>
    <t xml:space="preserve">REDUCTOR DE TRASLACION VOLVO</t>
  </si>
  <si>
    <t xml:space="preserve">YA TIENE OC</t>
  </si>
  <si>
    <t xml:space="preserve">cilindro hidraulico sany</t>
  </si>
  <si>
    <t xml:space="preserve">FLOUROPACK x6</t>
  </si>
  <si>
    <t xml:space="preserve">RESORTE DE TRITURADORA TR04</t>
  </si>
  <si>
    <t xml:space="preserve">cilindro verde kobelco</t>
  </si>
  <si>
    <t xml:space="preserve">300 x 2750 x 350</t>
  </si>
  <si>
    <t xml:space="preserve">martillo hidraulico everdigh-t450</t>
  </si>
  <si>
    <t xml:space="preserve">400 x 1550 x 300</t>
  </si>
  <si>
    <t xml:space="preserve">BARRA CROMADA 90 X 500 CANT 2</t>
  </si>
  <si>
    <t xml:space="preserve">CIL.MESA MORDIENTE PROMINAS LARGO</t>
  </si>
  <si>
    <t xml:space="preserve">CUCHILLA</t>
  </si>
  <si>
    <t xml:space="preserve">CILINDRO HIDRAULICO</t>
  </si>
  <si>
    <t xml:space="preserve">ARNUCON SRL</t>
  </si>
  <si>
    <t xml:space="preserve">cilindro grua c/central sin motor ,comando con cable</t>
  </si>
  <si>
    <t xml:space="preserve">140 x 1100 x 140</t>
  </si>
  <si>
    <t xml:space="preserve">2-54312</t>
  </si>
  <si>
    <t xml:space="preserve">140 x 1050 x 140</t>
  </si>
  <si>
    <t xml:space="preserve">cilindro de volteo komatsu wa900</t>
  </si>
  <si>
    <t xml:space="preserve">500 x 2350 x 570</t>
  </si>
  <si>
    <t xml:space="preserve">cilindro estabilizador s/c 87480r</t>
  </si>
  <si>
    <t xml:space="preserve">200 x 800 x 200</t>
  </si>
  <si>
    <t xml:space="preserve">cilindro estabilizador</t>
  </si>
  <si>
    <t xml:space="preserve">cilindro torre s/c 64935R</t>
  </si>
  <si>
    <t xml:space="preserve">150 x 2600 x 160</t>
  </si>
  <si>
    <t xml:space="preserve">cilindro desplaza uña s/c 74550R</t>
  </si>
  <si>
    <t xml:space="preserve">120 x 970 x 190</t>
  </si>
  <si>
    <t xml:space="preserve">70 x 1700 x 120</t>
  </si>
  <si>
    <t xml:space="preserve">cilindro de direccion c/kit de sellos</t>
  </si>
  <si>
    <t xml:space="preserve">Fabricacion Oring 9mm di 1064.5mm CANT 2</t>
  </si>
  <si>
    <t xml:space="preserve">Fabricacion Oring 9mm di 1034.5mm CANT 2</t>
  </si>
  <si>
    <t xml:space="preserve">AMURAI</t>
  </si>
  <si>
    <t xml:space="preserve">cilindro coe corto</t>
  </si>
  <si>
    <t xml:space="preserve">180 x 660 x 180</t>
  </si>
  <si>
    <t xml:space="preserve">Cil chuck de china</t>
  </si>
  <si>
    <t xml:space="preserve">Guia de cabezal</t>
  </si>
  <si>
    <t xml:space="preserve">DVS FERNANDO DYSTRA</t>
  </si>
  <si>
    <t xml:space="preserve">cilindro de mini cargsdora long</t>
  </si>
  <si>
    <t xml:space="preserve">80 x 1320 x 130</t>
  </si>
  <si>
    <t xml:space="preserve">3516015543 ROBERTO ODONE</t>
  </si>
  <si>
    <t xml:space="preserve">80 x 780 x 130</t>
  </si>
  <si>
    <t xml:space="preserve">150 x 1150 x 150</t>
  </si>
  <si>
    <t xml:space="preserve">140 x 970 x 140</t>
  </si>
  <si>
    <t xml:space="preserve">EJE MEZCLADOR</t>
  </si>
  <si>
    <t xml:space="preserve">estructua de cajon de grua</t>
  </si>
  <si>
    <t xml:space="preserve">cilindro de cajon de grua</t>
  </si>
  <si>
    <t xml:space="preserve">Alumbrera</t>
  </si>
  <si>
    <t xml:space="preserve">cilindro suspension trasera 793c - N 284-8016.</t>
  </si>
  <si>
    <t xml:space="preserve">500 x 1650 x 500</t>
  </si>
  <si>
    <t xml:space="preserve">n de parte  N 284-8016.</t>
  </si>
  <si>
    <t xml:space="preserve">cilindro de apoyo carreton </t>
  </si>
  <si>
    <t xml:space="preserve">230 x 1050 x 270</t>
  </si>
  <si>
    <t xml:space="preserve">EJE DE VALVULA </t>
  </si>
  <si>
    <t xml:space="preserve">CUCHILLA FRESADORA X 4 UNID</t>
  </si>
  <si>
    <t xml:space="preserve">GAIA</t>
  </si>
  <si>
    <t xml:space="preserve">KIT DE SELLOS CHUCK DE CHINA X 3</t>
  </si>
  <si>
    <t xml:space="preserve">L ´EQUIPE</t>
  </si>
  <si>
    <t xml:space="preserve">KIT DE SELLOS PARA CILINDRO INYECCION</t>
  </si>
  <si>
    <t xml:space="preserve">500 x 1450 x 500</t>
  </si>
  <si>
    <t xml:space="preserve">PEPI</t>
  </si>
  <si>
    <t xml:space="preserve">martillo hidraulico</t>
  </si>
  <si>
    <t xml:space="preserve">580 x 2500 x 1200</t>
  </si>
  <si>
    <t xml:space="preserve">CILINDRO TELESCOPICO ASTRA</t>
  </si>
  <si>
    <t xml:space="preserve">contraeje</t>
  </si>
  <si>
    <t xml:space="preserve">450 x 1100 x 450</t>
  </si>
  <si>
    <t xml:space="preserve">SCRAP SERVICE</t>
  </si>
  <si>
    <t xml:space="preserve">cilindro de prensa sin bulones</t>
  </si>
  <si>
    <t xml:space="preserve">3512018142 guillermo piano</t>
  </si>
  <si>
    <t xml:space="preserve">1154631921 empresa gnpiano@tenaris.com</t>
  </si>
  <si>
    <t xml:space="preserve">STEP SEAL PARA INY Z4 1600</t>
  </si>
  <si>
    <t xml:space="preserve">ANKALOO</t>
  </si>
  <si>
    <t xml:space="preserve">piñon de giro cat 320</t>
  </si>
  <si>
    <t xml:space="preserve">cilindro npk picaroca</t>
  </si>
  <si>
    <t xml:space="preserve">200 x 1500 x 300</t>
  </si>
  <si>
    <t xml:space="preserve">5400-70-3</t>
  </si>
  <si>
    <t xml:space="preserve">cilindro NPK </t>
  </si>
  <si>
    <t xml:space="preserve">200 x 1500 x 200</t>
  </si>
  <si>
    <t xml:space="preserve">diferencial int. E040081</t>
  </si>
  <si>
    <t xml:space="preserve">34-1775</t>
  </si>
  <si>
    <t xml:space="preserve">extensor de gato expansor cant. 3</t>
  </si>
  <si>
    <t xml:space="preserve">fabricar 1 de c/u</t>
  </si>
  <si>
    <t xml:space="preserve">punzon de martillo</t>
  </si>
  <si>
    <t xml:space="preserve">130 x 850 x 130</t>
  </si>
  <si>
    <t xml:space="preserve">260 x 600 x 160</t>
  </si>
  <si>
    <t xml:space="preserve">CILINDRO CHUCK CON PISTON PARA RELEVAR</t>
  </si>
  <si>
    <t xml:space="preserve">cilindro de direccion de retroexcavadora</t>
  </si>
  <si>
    <t xml:space="preserve">250 x 750 x 180</t>
  </si>
  <si>
    <t xml:space="preserve">juancho81avila@gmail.com</t>
  </si>
  <si>
    <t xml:space="preserve">3513879224 avila juan</t>
  </si>
  <si>
    <t xml:space="preserve">SISTEMA DE CAJONES TELESCOPICO</t>
  </si>
  <si>
    <t xml:space="preserve">DIQUESITO</t>
  </si>
  <si>
    <t xml:space="preserve">cilindro de regulacion de trituradora</t>
  </si>
  <si>
    <t xml:space="preserve">300 x 600 x 180</t>
  </si>
  <si>
    <t xml:space="preserve">Kit de sellos para piston  Ø250 mm</t>
  </si>
  <si>
    <t xml:space="preserve">CAMISA DE CHUCK X 2</t>
  </si>
  <si>
    <t xml:space="preserve">PISTON DE BRONCE CHUCK X 4</t>
  </si>
  <si>
    <t xml:space="preserve">KIT DE SELLOS CHUCK X 5 </t>
  </si>
  <si>
    <t xml:space="preserve">PERNO N9 PARA PICARROCAS NPK </t>
  </si>
  <si>
    <t xml:space="preserve">CILINDRO RASTRA NUEVO</t>
  </si>
  <si>
    <t xml:space="preserve">Kit de sellos para piston C2000 Ø250 mm</t>
  </si>
  <si>
    <t xml:space="preserve">CILINDRO HIDRAULICO S/PLANO</t>
  </si>
  <si>
    <t xml:space="preserve">MORDAZA SISTEMA LONG HOLE X 12UN</t>
  </si>
  <si>
    <t xml:space="preserve">BUJE 5580-0228-15 X 8 UNID</t>
  </si>
  <si>
    <t xml:space="preserve">SELLOS PARA RELEVAR</t>
  </si>
  <si>
    <t xml:space="preserve">GOMAS GASPAR</t>
  </si>
  <si>
    <t xml:space="preserve">cilindro hidraulico.</t>
  </si>
  <si>
    <t xml:space="preserve">570 x 630 x 740</t>
  </si>
  <si>
    <t xml:space="preserve">AGV servicios mineros</t>
  </si>
  <si>
    <t xml:space="preserve">bulon de maza</t>
  </si>
  <si>
    <t xml:space="preserve">40 x 155 x 40</t>
  </si>
  <si>
    <t xml:space="preserve">ECO DRILLING ARGENTINA</t>
  </si>
  <si>
    <t xml:space="preserve">160 x 3950 x 160</t>
  </si>
  <si>
    <t xml:space="preserve">REPUESTOS PIRQUITAS</t>
  </si>
  <si>
    <t xml:space="preserve">SELLOS PARA HIDROGRUBER</t>
  </si>
  <si>
    <t xml:space="preserve">MAB s.a.</t>
  </si>
  <si>
    <t xml:space="preserve">cilindro pie de apoyo trasero</t>
  </si>
  <si>
    <t xml:space="preserve">3513030405 miguel barco</t>
  </si>
  <si>
    <t xml:space="preserve">miguel_barco@hotmail.com</t>
  </si>
  <si>
    <t xml:space="preserve">cilindro de bomba hormigon</t>
  </si>
  <si>
    <t xml:space="preserve">110 x 860 x75</t>
  </si>
  <si>
    <t xml:space="preserve">3516643292 julio </t>
  </si>
  <si>
    <t xml:space="preserve">jfcastro2805@gmail.com</t>
  </si>
  <si>
    <t xml:space="preserve">bomba hidraulica</t>
  </si>
  <si>
    <t xml:space="preserve">530 x 220 x 320</t>
  </si>
  <si>
    <t xml:space="preserve">valvula de bomba de hormigon</t>
  </si>
  <si>
    <t xml:space="preserve">100 x200 x 50</t>
  </si>
  <si>
    <t xml:space="preserve">mando de giro (prestamo)</t>
  </si>
  <si>
    <t xml:space="preserve">cat 3789557 vale K63871</t>
  </si>
  <si>
    <t xml:space="preserve">cilindro truñon eq.907 </t>
  </si>
  <si>
    <t xml:space="preserve">160 x 480 x 160</t>
  </si>
  <si>
    <t xml:space="preserve">estriado cortado</t>
  </si>
  <si>
    <t xml:space="preserve">cilindro truñon (muestra)</t>
  </si>
  <si>
    <t xml:space="preserve">valvula de inyectora</t>
  </si>
  <si>
    <t xml:space="preserve">FLUOROPACK CIL DIRECCION  X 2</t>
  </si>
  <si>
    <t xml:space="preserve">CRAB srl</t>
  </si>
  <si>
    <t xml:space="preserve">bomba hidraulica NIR</t>
  </si>
  <si>
    <t xml:space="preserve">220 x 300 x 160</t>
  </si>
  <si>
    <t xml:space="preserve">srlcrab@gmail.com</t>
  </si>
  <si>
    <t xml:space="preserve">bomba hidraulica SABATTINI</t>
  </si>
  <si>
    <t xml:space="preserve">cilindro coe largo</t>
  </si>
  <si>
    <t xml:space="preserve">140 x 750 x 180</t>
  </si>
  <si>
    <t xml:space="preserve">punta de martillo para afilar</t>
  </si>
  <si>
    <t xml:space="preserve">140 x 1120 X 140</t>
  </si>
  <si>
    <t xml:space="preserve">130 x 1150 x 130</t>
  </si>
  <si>
    <t xml:space="preserve">RUEDA DE ARRAST. 9106 2212 69 BOLTEC X 6 UNID</t>
  </si>
  <si>
    <t xml:space="preserve">PISTONES DE BRONCE CHUCK</t>
  </si>
  <si>
    <t xml:space="preserve">CAMISA CHUCK</t>
  </si>
  <si>
    <t xml:space="preserve">RETRACTOR Ø20  X 500 NORMA 001 CANT 5</t>
  </si>
  <si>
    <t xml:space="preserve">cilindro cucharon equipo 303</t>
  </si>
  <si>
    <t xml:space="preserve">380 x 2900 x 380</t>
  </si>
  <si>
    <t xml:space="preserve">ADAPTADOR PLATO PARA T02</t>
  </si>
  <si>
    <t xml:space="preserve">CILINDRO LEVANTE</t>
  </si>
  <si>
    <t xml:space="preserve">RESORTE PARA TRITURADORA</t>
  </si>
  <si>
    <t xml:space="preserve">TECHNO SEEDS</t>
  </si>
  <si>
    <t xml:space="preserve">plato de fabrica de semillas</t>
  </si>
  <si>
    <t xml:space="preserve">750 x 750 x 490</t>
  </si>
  <si>
    <t xml:space="preserve">bomba hidraulica B22,38</t>
  </si>
  <si>
    <t xml:space="preserve">180 x 180 x 240</t>
  </si>
  <si>
    <t xml:space="preserve">bomba hidraulica K21-01</t>
  </si>
  <si>
    <t xml:space="preserve">5400-30-2</t>
  </si>
  <si>
    <t xml:space="preserve">cilindro de martillo</t>
  </si>
  <si>
    <t xml:space="preserve">210 x 1350 x 210</t>
  </si>
  <si>
    <t xml:space="preserve">100 x 420 x 130</t>
  </si>
  <si>
    <t xml:space="preserve">TAPA PARA PERNO 150</t>
  </si>
  <si>
    <t xml:space="preserve">KIT DE SELLOS OT 5719 Y OT 5722 (2 DE C/U)</t>
  </si>
  <si>
    <t xml:space="preserve">CILINDRO DE OMC DE PINZA NUEVO</t>
  </si>
  <si>
    <t xml:space="preserve">PLACA FUSIBLE TRITURADORA</t>
  </si>
  <si>
    <t xml:space="preserve">RESORTE DE TRITURADORA X 2</t>
  </si>
  <si>
    <t xml:space="preserve">cilindro de levante 5580017597</t>
  </si>
  <si>
    <t xml:space="preserve">100 x 950 x 150</t>
  </si>
  <si>
    <t xml:space="preserve">cilindro vuelco 5580023017</t>
  </si>
  <si>
    <t xml:space="preserve">100 x 1730 x 100</t>
  </si>
  <si>
    <t xml:space="preserve">7005-A</t>
  </si>
  <si>
    <t xml:space="preserve">perforadora rr11 avd18d2168l</t>
  </si>
  <si>
    <t xml:space="preserve">7006-A</t>
  </si>
  <si>
    <t xml:space="preserve">perforadora 1028   avd1901333A</t>
  </si>
  <si>
    <t xml:space="preserve">RETENES 160 X 190 X 13 CANT 6</t>
  </si>
  <si>
    <t xml:space="preserve">CAMBIO DE CUERPO MANDO DE GIRO</t>
  </si>
  <si>
    <t xml:space="preserve">ARANDELA DE CAMISA MOTOR CAT</t>
  </si>
  <si>
    <t xml:space="preserve">RUEDAS 150 X 40 (10 UNID)</t>
  </si>
  <si>
    <t xml:space="preserve">CERRO MORO</t>
  </si>
  <si>
    <t xml:space="preserve">DIAFRAGMA ACUMULADOR 5050303494  X 6 UN</t>
  </si>
  <si>
    <t xml:space="preserve">GUIA FRONTAL MARTILLO 5050303672 X 4 UNI</t>
  </si>
  <si>
    <t xml:space="preserve">EJE EXPANSION 5050303933 X 2 UNID</t>
  </si>
  <si>
    <t xml:space="preserve">COJINETE CARRETA PERFORACION 5050301377 X 4 UNID</t>
  </si>
  <si>
    <t xml:space="preserve">COJINETE CARRETA PERFORACION 5050303563 X 4 UNI</t>
  </si>
  <si>
    <t xml:space="preserve">PATINES CARRETA PERFORACION 50303525 X 16UN</t>
  </si>
  <si>
    <t xml:space="preserve">TAPA VALVULA 719504230190 CANT 2</t>
  </si>
  <si>
    <t xml:space="preserve">TAPA VALVULA 71950423020 CANT 2</t>
  </si>
  <si>
    <t xml:space="preserve">BUJE FRONTAL 719504230010 CANT 4</t>
  </si>
  <si>
    <t xml:space="preserve">CENTRAL BIOELECTRICA 1SA</t>
  </si>
  <si>
    <t xml:space="preserve">ORING VITON Ø180 x M5 CANT 3</t>
  </si>
  <si>
    <t xml:space="preserve">cilindro pie de apoyo</t>
  </si>
  <si>
    <t xml:space="preserve">220 x 1100 x 480</t>
  </si>
  <si>
    <t xml:space="preserve">ANILLO PARADA POSICION FRONTAL 719504230020 CANT 4</t>
  </si>
  <si>
    <t xml:space="preserve">PISTON MARTILLO 719504230030 CANT 4</t>
  </si>
  <si>
    <t xml:space="preserve">EJE TIPO EXPANCION 719504231410 CANT 2</t>
  </si>
  <si>
    <t xml:space="preserve">EJE EXPANSION 719504231420 CANT 2</t>
  </si>
  <si>
    <t xml:space="preserve">BULON TIPO BRAZO M20X280 50502062740 CANT 6</t>
  </si>
  <si>
    <t xml:space="preserve">PIN TIPO BALDE 50502063780 CANT 2</t>
  </si>
  <si>
    <t xml:space="preserve">BUJE 50502063680 CANT 2</t>
  </si>
  <si>
    <t xml:space="preserve">BUJE 50502062780 CANT 2</t>
  </si>
  <si>
    <t xml:space="preserve">BUJE 50502063770 CANT 1</t>
  </si>
  <si>
    <t xml:space="preserve">EJE EXPANCION 5050263650 CANT 2</t>
  </si>
  <si>
    <t xml:space="preserve">ESPACIADOR TIPO BRAZO Z 50502063710 CANT 2</t>
  </si>
  <si>
    <t xml:space="preserve">EJE EXPANCION 50502063730 CANT 1</t>
  </si>
  <si>
    <t xml:space="preserve">BUJE TIPO BRAZO 5050206358 CANT 4</t>
  </si>
  <si>
    <t xml:space="preserve">FUNDICION ARIENTE</t>
  </si>
  <si>
    <t xml:space="preserve">KIT DE FLUOROPACK DE PISTON X 4</t>
  </si>
  <si>
    <t xml:space="preserve">CONECTORES X2</t>
  </si>
  <si>
    <t xml:space="preserve">contenedor 433-04-76 (diam.95 mm)</t>
  </si>
  <si>
    <t xml:space="preserve">motor de giro p/ec480</t>
  </si>
  <si>
    <t xml:space="preserve">cilindro hidraulico (amarillo)</t>
  </si>
  <si>
    <t xml:space="preserve">ejes c/engranajes</t>
  </si>
  <si>
    <t xml:space="preserve">caja giratoria de convertidor</t>
  </si>
  <si>
    <t xml:space="preserve">n serio MB800832  orden 302600279001</t>
  </si>
  <si>
    <t xml:space="preserve">bulon mando final</t>
  </si>
  <si>
    <t xml:space="preserve">serie D7R 00170 </t>
  </si>
  <si>
    <t xml:space="preserve">fabricar segun muestra sin tuerca cant. 50 unidades</t>
  </si>
  <si>
    <t xml:space="preserve">BUJE FRONTAL 3115504501 1838HD CANT 6</t>
  </si>
  <si>
    <t xml:space="preserve">Manguera de sistema de levante de cargador frontal WA900 X 4</t>
  </si>
  <si>
    <t xml:space="preserve">EJE DE ACCIONAMIENTO RAPIDO</t>
  </si>
  <si>
    <t xml:space="preserve">bomba hidraulica MECANSUR</t>
  </si>
  <si>
    <t xml:space="preserve">MEGG</t>
  </si>
  <si>
    <t xml:space="preserve">Cilindro de pc200-8</t>
  </si>
  <si>
    <t xml:space="preserve">MOIL POINT PYRAMIDE EC
13 ex 3363115937</t>
  </si>
  <si>
    <t xml:space="preserve">EPIROC CHISEL PASTE X 12</t>
  </si>
  <si>
    <t xml:space="preserve">mando final</t>
  </si>
  <si>
    <t xml:space="preserve">equipo DR7-serie R7B00170-orden 3026001638001</t>
  </si>
  <si>
    <t xml:space="preserve">cilindro levante st7</t>
  </si>
  <si>
    <t xml:space="preserve">230 x 1250 x 190</t>
  </si>
  <si>
    <t xml:space="preserve">GRAMPA PARA MANGUERA</t>
  </si>
  <si>
    <t xml:space="preserve">PERNO DE BANCADA TRASERA SCANIA</t>
  </si>
  <si>
    <t xml:space="preserve">PERNOS DE MOTONIVELADORA</t>
  </si>
  <si>
    <t xml:space="preserve">PERNO NP 441-0042</t>
  </si>
  <si>
    <t xml:space="preserve">concavo,top shield, retazo concavo 421+1</t>
  </si>
  <si>
    <t xml:space="preserve">BUJE DE BALDE P/N 282-9964  -O61128</t>
  </si>
  <si>
    <t xml:space="preserve">POLIPACK Ø 75 y ORING 3.53</t>
  </si>
  <si>
    <t xml:space="preserve">mina pirquitas</t>
  </si>
  <si>
    <t xml:space="preserve">amortiguador de barras</t>
  </si>
  <si>
    <t xml:space="preserve">cilindro coe </t>
  </si>
  <si>
    <t xml:space="preserve">130 x 700 x 150</t>
  </si>
  <si>
    <t xml:space="preserve">VG.</t>
  </si>
  <si>
    <t xml:space="preserve">130x 700 x 150</t>
  </si>
  <si>
    <t xml:space="preserve">METALURGICA ROMA</t>
  </si>
  <si>
    <t xml:space="preserve">cilindro hidraulico diam. 200</t>
  </si>
  <si>
    <t xml:space="preserve">360 x 2300 x 360</t>
  </si>
  <si>
    <t xml:space="preserve">cilindro hidraulico diam. 100</t>
  </si>
  <si>
    <t xml:space="preserve">80 x 820 x 150</t>
  </si>
  <si>
    <t xml:space="preserve">cilindro hidraulico diam.100mm</t>
  </si>
  <si>
    <t xml:space="preserve">cilindr hidrulico</t>
  </si>
  <si>
    <t xml:space="preserve">120 x 2300 x 300</t>
  </si>
  <si>
    <t xml:space="preserve">320 x 860 x 230</t>
  </si>
  <si>
    <t xml:space="preserve">130 x 135 x 130</t>
  </si>
  <si>
    <t xml:space="preserve"> reparar y fabricar segun muestra</t>
  </si>
  <si>
    <t xml:space="preserve">juego de cuñas ,placa fusible y asiento</t>
  </si>
  <si>
    <t xml:space="preserve">vastago de clindro retro 320</t>
  </si>
  <si>
    <t xml:space="preserve">punzon para afilar</t>
  </si>
  <si>
    <t xml:space="preserve">140 x 1150 x 140</t>
  </si>
  <si>
    <t xml:space="preserve">130 x 1050 x 130</t>
  </si>
  <si>
    <t xml:space="preserve">cilindro levante bg00567531</t>
  </si>
  <si>
    <t xml:space="preserve">240 x 1680 x 300</t>
  </si>
  <si>
    <t xml:space="preserve">cilindro  svk th 540</t>
  </si>
  <si>
    <t xml:space="preserve">210 x 1150 x 230</t>
  </si>
  <si>
    <t xml:space="preserve">Se Fotografio solo el 70</t>
  </si>
  <si>
    <t xml:space="preserve">cilindro svk th 540</t>
  </si>
  <si>
    <t xml:space="preserve">Se Fotografio solo el 70 </t>
  </si>
  <si>
    <t xml:space="preserve">200 x 1050 x 200</t>
  </si>
  <si>
    <t xml:space="preserve">perno A para desarrollo</t>
  </si>
  <si>
    <t xml:space="preserve">225x 1043 x 225</t>
  </si>
  <si>
    <t xml:space="preserve">perno B para desarrollo</t>
  </si>
  <si>
    <t xml:space="preserve">190 x 455 x 190</t>
  </si>
  <si>
    <t xml:space="preserve">ALESADO DE ARTICULACION DE EQUIPO 702 , DOS LINEAS DE 3 ALOJAMIENTOS CADA UNO</t>
  </si>
  <si>
    <t xml:space="preserve">cilindto hidraulico</t>
  </si>
  <si>
    <t xml:space="preserve">Kit de sellos cil direccion cant 2 OC 2023303625</t>
  </si>
  <si>
    <t xml:space="preserve">tensor hidraulico tr-04</t>
  </si>
  <si>
    <t xml:space="preserve">230 x 1320 x 200</t>
  </si>
  <si>
    <t xml:space="preserve">PERNO HUECO PARA TELESTACKER</t>
  </si>
  <si>
    <t xml:space="preserve">KIT DE SELLOS DE TAPA X 10 UNID</t>
  </si>
  <si>
    <t xml:space="preserve">HOLCIM (puesto viejo)</t>
  </si>
  <si>
    <t xml:space="preserve">cilindro h.marca lkn con valvula proporcional</t>
  </si>
  <si>
    <t xml:space="preserve">450 x 1700 x 400</t>
  </si>
  <si>
    <t xml:space="preserve">CORALINO S.A</t>
  </si>
  <si>
    <t xml:space="preserve">90 x 1090 x 110</t>
  </si>
  <si>
    <t xml:space="preserve">5696-40-A</t>
  </si>
  <si>
    <t xml:space="preserve">CILINDRO NPK</t>
  </si>
  <si>
    <t xml:space="preserve">250 x 1980 x 250</t>
  </si>
  <si>
    <t xml:space="preserve">volante de motor con acoplador y bulones</t>
  </si>
  <si>
    <t xml:space="preserve">husillo de cabezal sandvick 710</t>
  </si>
  <si>
    <t xml:space="preserve">200 x 630 x 200</t>
  </si>
  <si>
    <t xml:space="preserve">cilindro stinguer simba</t>
  </si>
  <si>
    <t xml:space="preserve">100 x 1900 x 160</t>
  </si>
  <si>
    <t xml:space="preserve">cilindro avance simba</t>
  </si>
  <si>
    <t xml:space="preserve">100 x 1650 x 100</t>
  </si>
  <si>
    <t xml:space="preserve">cilindro de levante</t>
  </si>
  <si>
    <t xml:space="preserve">170 x 1400 x 230</t>
  </si>
  <si>
    <t xml:space="preserve">REGIS </t>
  </si>
  <si>
    <t xml:space="preserve">cilindro de excavadora</t>
  </si>
  <si>
    <t xml:space="preserve">290 x 2200 x 250</t>
  </si>
  <si>
    <t xml:space="preserve">ndregis@hotmail.com</t>
  </si>
  <si>
    <t xml:space="preserve">nolberto</t>
  </si>
  <si>
    <t xml:space="preserve">cilindro hidraulico cosechadora omc</t>
  </si>
  <si>
    <t xml:space="preserve">130 x 900 x 230</t>
  </si>
  <si>
    <t xml:space="preserve">vastago diam. 175 x 11000mm largo y buje de bronce</t>
  </si>
  <si>
    <t xml:space="preserve">autoelevador</t>
  </si>
  <si>
    <t xml:space="preserve">REPUESTOS VARIOS</t>
  </si>
  <si>
    <t xml:space="preserve">bujes pata araña</t>
  </si>
  <si>
    <t xml:space="preserve">aro delantero para traba de rotula</t>
  </si>
  <si>
    <t xml:space="preserve">PABLO MARCILESE SRL</t>
  </si>
  <si>
    <t xml:space="preserve">cilindro hidraulico dessrmado</t>
  </si>
  <si>
    <t xml:space="preserve">cilindro balde cat (serie sp920717) obra 518860</t>
  </si>
  <si>
    <t xml:space="preserve">rosales mauro 27003159</t>
  </si>
  <si>
    <t xml:space="preserve">SINDICATO PETROLERO</t>
  </si>
  <si>
    <t xml:space="preserve">145 x 1150 x 180</t>
  </si>
  <si>
    <t xml:space="preserve">3516519989 daniel sindicato petrolero </t>
  </si>
  <si>
    <t xml:space="preserve">MECATRONICA</t>
  </si>
  <si>
    <t xml:space="preserve">cilindro de elevador titan</t>
  </si>
  <si>
    <t xml:space="preserve">3548566831 diego de benardi</t>
  </si>
  <si>
    <t xml:space="preserve">MEGATRONICA</t>
  </si>
  <si>
    <t xml:space="preserve">MANRIQUE</t>
  </si>
  <si>
    <t xml:space="preserve">TAPON DE BRONCE CON TUERCA Y CONTRATUERCA</t>
  </si>
  <si>
    <t xml:space="preserve">FABRICAR SEGUN MUESTRA</t>
  </si>
  <si>
    <t xml:space="preserve">AGUAS DE CATAMARCA</t>
  </si>
  <si>
    <t xml:space="preserve">prensamangueras</t>
  </si>
  <si>
    <t xml:space="preserve">PUNZON PARA MARTILLO GORILLA</t>
  </si>
  <si>
    <t xml:space="preserve">FABRICAR </t>
  </si>
  <si>
    <t xml:space="preserve">BIELETA CAT 390</t>
  </si>
  <si>
    <t xml:space="preserve">cilindto coe (celeste)</t>
  </si>
  <si>
    <t xml:space="preserve">140 x 750 x 170</t>
  </si>
  <si>
    <t xml:space="preserve">vino sin piston</t>
  </si>
  <si>
    <t xml:space="preserve">cilindro de vibradora topavi</t>
  </si>
  <si>
    <t xml:space="preserve">105 x 750 x 180</t>
  </si>
  <si>
    <t xml:space="preserve">reductor</t>
  </si>
  <si>
    <t xml:space="preserve">LUQUE SEBASTIAN GUILLERMO</t>
  </si>
  <si>
    <t xml:space="preserve">cilindro de pala long king</t>
  </si>
  <si>
    <t xml:space="preserve">330 x 1300 x 250</t>
  </si>
  <si>
    <t xml:space="preserve">3516819885 jose</t>
  </si>
  <si>
    <t xml:space="preserve">joluque96@gmail.com</t>
  </si>
  <si>
    <t xml:space="preserve">cilindro rome</t>
  </si>
  <si>
    <t xml:space="preserve">130 x 600 x 200</t>
  </si>
  <si>
    <t xml:space="preserve">punta de martillo</t>
  </si>
  <si>
    <t xml:space="preserve">BUJE ANCLAJE CILINDRO ALMEJA</t>
  </si>
  <si>
    <t xml:space="preserve">punta de martillo </t>
  </si>
  <si>
    <t xml:space="preserve">UNION AGRICOLA DE AVELLANEDA</t>
  </si>
  <si>
    <t xml:space="preserve">cilindro diam.460mm x 4000mm largo</t>
  </si>
  <si>
    <t xml:space="preserve">810 x 3900 x 610</t>
  </si>
  <si>
    <t xml:space="preserve">mando final komatsu pc240.</t>
  </si>
  <si>
    <t xml:space="preserve">COLLARIN 231 2893 (LISO Y FRESADO)</t>
  </si>
  <si>
    <t xml:space="preserve">cilindro de levante amarillo</t>
  </si>
  <si>
    <t xml:space="preserve">400x 3250 x 550</t>
  </si>
  <si>
    <t xml:space="preserve">no se tomo espesor del cromo de vastago por falta de instrumento</t>
  </si>
  <si>
    <t xml:space="preserve">400 x 3250 x 550</t>
  </si>
  <si>
    <t xml:space="preserve">cilindro de pull-down</t>
  </si>
  <si>
    <t xml:space="preserve">250 x 6250 x 200</t>
  </si>
  <si>
    <t xml:space="preserve">punta de martillo xl 1700</t>
  </si>
  <si>
    <t xml:space="preserve">140 x 1000 x 140</t>
  </si>
  <si>
    <t xml:space="preserve">cilindro de parrilla</t>
  </si>
  <si>
    <t xml:space="preserve">350 x 510 x 300</t>
  </si>
  <si>
    <t xml:space="preserve">cilindro de molino vertical</t>
  </si>
  <si>
    <t xml:space="preserve">550 x 1900 x 550</t>
  </si>
  <si>
    <t xml:space="preserve">CILINDRO HIDRAULICO PC 450</t>
  </si>
  <si>
    <t xml:space="preserve">motor 150kw usado y motor136kw</t>
  </si>
  <si>
    <t xml:space="preserve">MOTOR 150 KW (USADO) Y MOTOR DE 136 KW</t>
  </si>
  <si>
    <t xml:space="preserve">Kit de sellos para cil. vibradora topavi</t>
  </si>
  <si>
    <t xml:space="preserve">KIT DE SELLOS ATLAS COPCO X 2UNID</t>
  </si>
  <si>
    <t xml:space="preserve">ALESADO DE PIN "A" CAT 992K</t>
  </si>
  <si>
    <t xml:space="preserve">SERVICIO DE ALESADO, EN PIEZA
"H" Y STICK PARA MONTAR BALDE
NUEVO</t>
  </si>
  <si>
    <t xml:space="preserve">blancaley</t>
  </si>
  <si>
    <t xml:space="preserve">CILINDRO HIDRAULICO LIUGONG (AMARILLO)</t>
  </si>
  <si>
    <t xml:space="preserve">230x2200x200</t>
  </si>
  <si>
    <t xml:space="preserve">3547612464 (SOLEDAD -  COMPRAS)</t>
  </si>
  <si>
    <t xml:space="preserve">COTIZAR REPARACION</t>
  </si>
  <si>
    <t xml:space="preserve">CILINDRO HIDRAULICO HYUNDAI (GRIS)</t>
  </si>
  <si>
    <t xml:space="preserve">200x2200x200</t>
  </si>
  <si>
    <t xml:space="preserve">3547612309 (DARIO - TALLER)</t>
  </si>
  <si>
    <t xml:space="preserve">TORNILLO M48 RODILLO DE MOLINO</t>
  </si>
  <si>
    <t xml:space="preserve">100x1600x100</t>
  </si>
  <si>
    <t xml:space="preserve">TRANSHIP</t>
  </si>
  <si>
    <t xml:space="preserve">H CAT 390 + 4 BUJES</t>
  </si>
  <si>
    <t xml:space="preserve">TUERCA FLSmidth M48  cant 10</t>
  </si>
  <si>
    <t xml:space="preserve">BUJE DE STICK CAT 390FL</t>
  </si>
  <si>
    <t xml:space="preserve">cant diquecito </t>
  </si>
  <si>
    <t xml:space="preserve">haulotte</t>
  </si>
  <si>
    <t xml:space="preserve">MANIPULADOR HAULOTTE</t>
  </si>
  <si>
    <t xml:space="preserve">2000x4500x3000</t>
  </si>
  <si>
    <t xml:space="preserve">CUBRE VASTAGO CIL MOLINO CEMENTO X2</t>
  </si>
  <si>
    <t xml:space="preserve">320x1700x220</t>
  </si>
  <si>
    <t xml:space="preserve">MAG SA</t>
  </si>
  <si>
    <t xml:space="preserve">BANCO DE VALVULAS</t>
  </si>
  <si>
    <t xml:space="preserve">HOLCIM JUJUY</t>
  </si>
  <si>
    <t xml:space="preserve">CILINDRO DE DESPLAZAMIENTO </t>
  </si>
  <si>
    <t xml:space="preserve">SANTIAGO BRASCA</t>
  </si>
  <si>
    <t xml:space="preserve">TENSOR INDECO HP3000 CON TUERCA</t>
  </si>
  <si>
    <t xml:space="preserve">FABRICAR 4 CON 4 TUERCAS</t>
  </si>
  <si>
    <t xml:space="preserve">BUJE VARILLA H CAT 390 NP 3241163</t>
  </si>
  <si>
    <t xml:space="preserve">TRANSMISION 777F  10R8424 SERIE 10177692A</t>
  </si>
  <si>
    <t xml:space="preserve">CILINDRO SUSP TRASERA CAT 777F  N/S 777ST014 P/N 2907231</t>
  </si>
  <si>
    <t xml:space="preserve">CILINDRO SUSP TRASERA CAT 777F  N/S 777ST019 P/N 2907231</t>
  </si>
  <si>
    <t xml:space="preserve">INTERNAMENTE  OT 6600-1</t>
  </si>
  <si>
    <t xml:space="preserve">Reparacion de embolo Ø320 mm X 375 mm.  </t>
  </si>
  <si>
    <t xml:space="preserve">KIT DE SELLOS CHUCK ESPECIAL</t>
  </si>
  <si>
    <t xml:space="preserve">PUNZON PARA MARTILLO </t>
  </si>
  <si>
    <t xml:space="preserve">bomba tandem</t>
  </si>
  <si>
    <t xml:space="preserve">260 x 800 x 280</t>
  </si>
  <si>
    <t xml:space="preserve">mtorresel@cuarzo.ar</t>
  </si>
  <si>
    <t xml:space="preserve">2 camisas chuck </t>
  </si>
  <si>
    <t xml:space="preserve">mecanizado </t>
  </si>
  <si>
    <t xml:space="preserve">piston de chuck</t>
  </si>
  <si>
    <t xml:space="preserve">realizar copia</t>
  </si>
  <si>
    <t xml:space="preserve">GRUAS SAN BLAS</t>
  </si>
  <si>
    <t xml:space="preserve">CAMISA DE CILINDRO</t>
  </si>
  <si>
    <t xml:space="preserve">COTIZAR CAMBIO PICO TRAS</t>
  </si>
  <si>
    <t xml:space="preserve">FABRICACION DE CONJUNTO PIÑON Y MANGUITO PARA TRANSMISION BOB CAT</t>
  </si>
  <si>
    <t xml:space="preserve">contenedor 433-4-65-diam 95</t>
  </si>
  <si>
    <t xml:space="preserve">cilindro almeja lebher</t>
  </si>
  <si>
    <t xml:space="preserve">190 x 1000 x 190</t>
  </si>
  <si>
    <t xml:space="preserve">cilindro almeja lieberh</t>
  </si>
  <si>
    <t xml:space="preserve">martillo hidraulico  EVERDIGM</t>
  </si>
  <si>
    <t xml:space="preserve">cilindro de excavadora 303 </t>
  </si>
  <si>
    <t xml:space="preserve">350 x 3100 x 350</t>
  </si>
  <si>
    <t xml:space="preserve">cilindro hidraulico cat</t>
  </si>
  <si>
    <t xml:space="preserve">120 x 750 x 130</t>
  </si>
  <si>
    <t xml:space="preserve">cotizar</t>
  </si>
  <si>
    <t xml:space="preserve">engranajes de toma de fuerza massenza</t>
  </si>
  <si>
    <t xml:space="preserve">210 130 x 210</t>
  </si>
  <si>
    <t xml:space="preserve">cantidad 3 p/verificacion</t>
  </si>
  <si>
    <t xml:space="preserve">engranaje de toma de fuerza massenza</t>
  </si>
  <si>
    <t xml:space="preserve">210 x 220 x 210</t>
  </si>
  <si>
    <t xml:space="preserve">cantidad 1 (roto)</t>
  </si>
  <si>
    <t xml:space="preserve">PLACAS DE REFUERZO</t>
  </si>
  <si>
    <t xml:space="preserve">cilindro de volvo ec480</t>
  </si>
  <si>
    <t xml:space="preserve">600 x 2800 x 360</t>
  </si>
  <si>
    <t xml:space="preserve">ymad</t>
  </si>
  <si>
    <t xml:space="preserve">GUIA 3115 5045 01</t>
  </si>
  <si>
    <t xml:space="preserve">tapa de mando final de D7</t>
  </si>
  <si>
    <t xml:space="preserve">sacar pernos y ennarenar</t>
  </si>
  <si>
    <t xml:space="preserve">sacar perno y ennarenar</t>
  </si>
  <si>
    <t xml:space="preserve">cilindro prensa manguera con mordazas</t>
  </si>
  <si>
    <t xml:space="preserve">KIT DE SELLOS IDRA 2202</t>
  </si>
  <si>
    <t xml:space="preserve">KIT DE SELLOS CIL MOROOKA LARGO X 2 UNID</t>
  </si>
  <si>
    <t xml:space="preserve">motoreductor atlascopco</t>
  </si>
  <si>
    <t xml:space="preserve">550 x 340 x 550</t>
  </si>
  <si>
    <t xml:space="preserve">prensa grande</t>
  </si>
  <si>
    <t xml:space="preserve">cotizar reparacion</t>
  </si>
  <si>
    <t xml:space="preserve">prensa chica</t>
  </si>
  <si>
    <t xml:space="preserve">SELLO SEGUN MUESTRA</t>
  </si>
  <si>
    <t xml:space="preserve">100 x 900 x 180</t>
  </si>
  <si>
    <t xml:space="preserve">vastago,piston y camisa</t>
  </si>
  <si>
    <t xml:space="preserve">muestra para replicar</t>
  </si>
  <si>
    <t xml:space="preserve">Pedido Nro: 4507441193 - BULONES</t>
  </si>
  <si>
    <t xml:space="preserve">BRIDA X 4 UNID  + 2 TAPONES</t>
  </si>
  <si>
    <t xml:space="preserve">CILINDRO DE MORDAZAS LARGO</t>
  </si>
  <si>
    <t xml:space="preserve">CILINDRO DE MORDAZAS CORTO</t>
  </si>
  <si>
    <t xml:space="preserve">ELING ENERGIA</t>
  </si>
  <si>
    <t xml:space="preserve">Kit de sellos segun muestra p/ tapa y piston</t>
  </si>
  <si>
    <t xml:space="preserve">KIT DE REPUESTOS CIL MORDAZAS X 10</t>
  </si>
  <si>
    <t xml:space="preserve">RICCHIO</t>
  </si>
  <si>
    <t xml:space="preserve">BRUÑIDO INTERIOR DE CAMISA</t>
  </si>
  <si>
    <t xml:space="preserve">BUJE 5580-0228-15</t>
  </si>
  <si>
    <t xml:space="preserve">RUEDA ARRASTRE 9106-2212-69</t>
  </si>
  <si>
    <t xml:space="preserve">cilindro de contrapeso grua n14</t>
  </si>
  <si>
    <t xml:space="preserve">360 x 900 x 300</t>
  </si>
  <si>
    <t xml:space="preserve">cilindro de contrapeso de grua n14</t>
  </si>
  <si>
    <t xml:space="preserve">engranajes de transmision</t>
  </si>
  <si>
    <t xml:space="preserve">matias ramos</t>
  </si>
  <si>
    <t xml:space="preserve">n serie d9g01623 orden 302600270401</t>
  </si>
  <si>
    <t xml:space="preserve">finning</t>
  </si>
  <si>
    <t xml:space="preserve">modificacion tapa de tanque y brida</t>
  </si>
  <si>
    <t xml:space="preserve">PERNO NP 096-4755</t>
  </si>
  <si>
    <t xml:space="preserve">REPUESTOS EQUIPO  SCANIA G440</t>
  </si>
  <si>
    <t xml:space="preserve">bomba equipo manipulador de neumatico</t>
  </si>
  <si>
    <t xml:space="preserve">manipulador WIGGINS/marca IMT/modelo IMT 3566</t>
  </si>
  <si>
    <t xml:space="preserve">SERVICIOS PREVENTIVOS</t>
  </si>
  <si>
    <t xml:space="preserve">3516509265 lucas baquet</t>
  </si>
  <si>
    <t xml:space="preserve">cilindro de stick cat 320 nserie SYW10582</t>
  </si>
  <si>
    <t xml:space="preserve">250 x 2250 x 280</t>
  </si>
  <si>
    <t xml:space="preserve">orden de servicio 302600300901 ( lucas suarez)</t>
  </si>
  <si>
    <t xml:space="preserve">mando final  serie n R7B00170 D7R</t>
  </si>
  <si>
    <t xml:space="preserve">870 x 600 x 870</t>
  </si>
  <si>
    <t xml:space="preserve">orden de servicio 302600263801 ( sebastian minetto)</t>
  </si>
  <si>
    <t xml:space="preserve">mando final serie n R7B00170 D7R</t>
  </si>
  <si>
    <t xml:space="preserve">870 x 800 x 870</t>
  </si>
  <si>
    <t xml:space="preserve">orden de servicio 302600263801 (sebastian minetto)</t>
  </si>
  <si>
    <t xml:space="preserve">JORGE (gruas martin)</t>
  </si>
  <si>
    <t xml:space="preserve">tapa y contratapa y piston</t>
  </si>
  <si>
    <t xml:space="preserve">jorge</t>
  </si>
  <si>
    <t xml:space="preserve">CONJUNTO VIBRO-TAMBOR BOMAG</t>
  </si>
  <si>
    <t xml:space="preserve">CENTRO VIAL</t>
  </si>
  <si>
    <t xml:space="preserve">cilindro retroexcavadora wacker neuson</t>
  </si>
  <si>
    <t xml:space="preserve">95 x 710 x 95</t>
  </si>
  <si>
    <t xml:space="preserve">rodrigo  rodrigocordoba@centrovial.net</t>
  </si>
  <si>
    <t xml:space="preserve">CONSTRUCTORA GUIDO MOGETA (catamarca)</t>
  </si>
  <si>
    <t xml:space="preserve">cilindro motoniveladora</t>
  </si>
  <si>
    <t xml:space="preserve">170 x 1050 x 130.</t>
  </si>
  <si>
    <t xml:space="preserve">3834919579 ramon flores</t>
  </si>
  <si>
    <t xml:space="preserve">CONSTRUCTORA GUIDO MOGETA</t>
  </si>
  <si>
    <t xml:space="preserve">bomba de fresadora</t>
  </si>
  <si>
    <t xml:space="preserve">150 x 350 x 180</t>
  </si>
  <si>
    <t xml:space="preserve">cilindro tipo almeja liebber 966</t>
  </si>
  <si>
    <t xml:space="preserve">200 x 950 x 200</t>
  </si>
  <si>
    <t xml:space="preserve">punta diam. 144 martillo demoledor</t>
  </si>
  <si>
    <t xml:space="preserve">144 x 1120 x 144</t>
  </si>
  <si>
    <t xml:space="preserve">punta diam.134 mm martillo demoledor</t>
  </si>
  <si>
    <t xml:space="preserve">134 x 1120 x 134</t>
  </si>
  <si>
    <t xml:space="preserve">punta diam. 124mm martillo demoledor</t>
  </si>
  <si>
    <t xml:space="preserve">124 x 1000 x 124</t>
  </si>
  <si>
    <t xml:space="preserve">reductora de transmision coe</t>
  </si>
  <si>
    <t xml:space="preserve">telestacker 300-cv-403</t>
  </si>
  <si>
    <t xml:space="preserve">cilindro hidtaulico de telestacker 300</t>
  </si>
  <si>
    <t xml:space="preserve">cuadro de valvula de telestacker</t>
  </si>
  <si>
    <t xml:space="preserve">ASTORI ESTRUCTURAS</t>
  </si>
  <si>
    <t xml:space="preserve">CILINDRO DE VOLQUETA</t>
  </si>
  <si>
    <t xml:space="preserve">CIL HIDRAULICO </t>
  </si>
  <si>
    <t xml:space="preserve">la marchesina</t>
  </si>
  <si>
    <t xml:space="preserve">cilindro bomba de hormigon</t>
  </si>
  <si>
    <t xml:space="preserve">mansfield minera s.a</t>
  </si>
  <si>
    <t xml:space="preserve">cilindro hoja vertedera</t>
  </si>
  <si>
    <t xml:space="preserve">reparacion por falla</t>
  </si>
  <si>
    <t xml:space="preserve">circulo +  vertedera + guias + bujes </t>
  </si>
  <si>
    <t xml:space="preserve">reparacion por desgaste excesivo</t>
  </si>
  <si>
    <t xml:space="preserve">grumaq srl</t>
  </si>
  <si>
    <t xml:space="preserve">990 / 200 / 160</t>
  </si>
  <si>
    <t xml:space="preserve">leonardoconci@grumaq.com.ar</t>
  </si>
  <si>
    <t xml:space="preserve">cotizar reparacion y nuevo</t>
  </si>
  <si>
    <t xml:space="preserve">KIT DE SELOS CHUCK CHINA X 8 MOD NUEVO</t>
  </si>
  <si>
    <t xml:space="preserve">CILINDRO COE CORTO MOD 127</t>
  </si>
  <si>
    <t xml:space="preserve">CILINDRO COE LARGO MOD 127</t>
  </si>
  <si>
    <t xml:space="preserve">cil. compensacion H A16 (grande)</t>
  </si>
  <si>
    <t xml:space="preserve">cil. desplazador tijera</t>
  </si>
  <si>
    <t xml:space="preserve">sullair s.a.</t>
  </si>
  <si>
    <t xml:space="preserve">cil. de balde bobcat</t>
  </si>
  <si>
    <t xml:space="preserve">rellenar , alesar ojo de vastago y clavar buje </t>
  </si>
  <si>
    <t xml:space="preserve">cil. hidraulico FL200</t>
  </si>
  <si>
    <t xml:space="preserve">guia </t>
  </si>
  <si>
    <t xml:space="preserve">capra</t>
  </si>
  <si>
    <t xml:space="preserve">H + bieletas</t>
  </si>
  <si>
    <t xml:space="preserve">AUTO ELEVADOR ISUZU </t>
  </si>
  <si>
    <t xml:space="preserve">REPARAR ACELERADOR, VALVULAS HIDRAULICAS</t>
  </si>
  <si>
    <t xml:space="preserve">MINICARGADORA BOB CAT</t>
  </si>
  <si>
    <t xml:space="preserve">KIT DE SELLOS X 2 </t>
  </si>
  <si>
    <t xml:space="preserve">TRASTUNEL SA</t>
  </si>
  <si>
    <t xml:space="preserve">CILINDRO CAMBIADOR DE BARRAS PERF</t>
  </si>
  <si>
    <t xml:space="preserve">011 22885674</t>
  </si>
  <si>
    <t xml:space="preserve">pablo.fernandez@trastunel.com</t>
  </si>
  <si>
    <t xml:space="preserve">reparar</t>
  </si>
  <si>
    <t xml:space="preserve">150 x4700 x 200</t>
  </si>
  <si>
    <t xml:space="preserve">punzon</t>
  </si>
  <si>
    <t xml:space="preserve">160 x 1200 x 160</t>
  </si>
  <si>
    <t xml:space="preserve">6909-A</t>
  </si>
  <si>
    <t xml:space="preserve">HAULOTTE</t>
  </si>
  <si>
    <t xml:space="preserve">cilindro de direccion</t>
  </si>
  <si>
    <t xml:space="preserve">150 x 770 x 180</t>
  </si>
  <si>
    <t xml:space="preserve">ZARANDA  SANVICK 431-CV1</t>
  </si>
  <si>
    <t xml:space="preserve">MARCOS EBLAGON</t>
  </si>
  <si>
    <t xml:space="preserve">CILINDRO DE MOTONIVELADORA</t>
  </si>
  <si>
    <t xml:space="preserve">walterylat@hotmail.com</t>
  </si>
  <si>
    <t xml:space="preserve">desarmar, cotizar reparacion. restaurar roscas de extremos</t>
  </si>
  <si>
    <t xml:space="preserve">MONTE LOS OLIVOS</t>
  </si>
  <si>
    <t xml:space="preserve">KIT DE SELLOS COE X 2</t>
  </si>
  <si>
    <t xml:space="preserve">COOP. BUEN PASO</t>
  </si>
  <si>
    <t xml:space="preserve">TAPA PARA RELEVAR Y COTIZAR SELLOS</t>
  </si>
  <si>
    <t xml:space="preserve">FABRICACION DE BUJES Y PERNO 115 X 660 PARA PC600</t>
  </si>
  <si>
    <t xml:space="preserve">PRITTY SALDAN</t>
  </si>
  <si>
    <t xml:space="preserve">INYECTORA DE PLASTICO PARA ALESAR</t>
  </si>
  <si>
    <t xml:space="preserve">FLOUROPACKS PARA VALVULA 1</t>
  </si>
  <si>
    <t xml:space="preserve">FLOUROPACKS PARA VALVULA 2</t>
  </si>
  <si>
    <t xml:space="preserve">cilindro vuelco pala hyundai 770-95 n2</t>
  </si>
  <si>
    <t xml:space="preserve">fisura en soldadura</t>
  </si>
  <si>
    <t xml:space="preserve">CONCI (edima)</t>
  </si>
  <si>
    <t xml:space="preserve">cono mas aro</t>
  </si>
  <si>
    <t xml:space="preserve">eje centrifugo </t>
  </si>
  <si>
    <t xml:space="preserve">gato hidraulico botella 100tn</t>
  </si>
  <si>
    <t xml:space="preserve">360 x 370 x 360</t>
  </si>
  <si>
    <t xml:space="preserve">gato hidraulico botella 100 tn</t>
  </si>
  <si>
    <t xml:space="preserve">gato hidraulico botella 50 tn</t>
  </si>
  <si>
    <t xml:space="preserve">260 x 320 x 250</t>
  </si>
  <si>
    <t xml:space="preserve">rotor de motor</t>
  </si>
  <si>
    <t xml:space="preserve">gato hidraulico botella 12 tn</t>
  </si>
  <si>
    <t xml:space="preserve">150 x 240 x 180</t>
  </si>
  <si>
    <t xml:space="preserve">150 x 1850 x 150</t>
  </si>
  <si>
    <t xml:space="preserve">6758-A</t>
  </si>
  <si>
    <t xml:space="preserve">martillo indeco hp 4000</t>
  </si>
  <si>
    <t xml:space="preserve">REEMPLAZO DE PERNO "A" CARTUCHO PARA 992K cant 2</t>
  </si>
  <si>
    <t xml:space="preserve">TOINAR (constructora)</t>
  </si>
  <si>
    <t xml:space="preserve">cilindro de minicargadora</t>
  </si>
  <si>
    <t xml:space="preserve">80 x 880 x 130</t>
  </si>
  <si>
    <t xml:space="preserve">3472503425 jorge cordoba</t>
  </si>
  <si>
    <t xml:space="preserve">devolucion</t>
  </si>
  <si>
    <t xml:space="preserve">LO RETIRO </t>
  </si>
  <si>
    <t xml:space="preserve">punta de cañonera</t>
  </si>
  <si>
    <t xml:space="preserve">cambiar rodamientos</t>
  </si>
  <si>
    <t xml:space="preserve">punta para afilar tipo piramide</t>
  </si>
  <si>
    <t xml:space="preserve">MAQUINAS DEL CENTRO</t>
  </si>
  <si>
    <t xml:space="preserve">cilindro de tractor case</t>
  </si>
  <si>
    <t xml:space="preserve">100 x 500 x 80</t>
  </si>
  <si>
    <t xml:space="preserve">100x 500 x 80</t>
  </si>
  <si>
    <t xml:space="preserve">Río Yuspe German</t>
  </si>
  <si>
    <t xml:space="preserve">kit de sellos tapa y pistón hidrogruber </t>
  </si>
  <si>
    <t xml:space="preserve">chediack</t>
  </si>
  <si>
    <t xml:space="preserve">kit de sellos tensor de grasa</t>
  </si>
  <si>
    <t xml:space="preserve">expolajas</t>
  </si>
  <si>
    <t xml:space="preserve">dispositivo pulidora</t>
  </si>
  <si>
    <t xml:space="preserve">220 x 680 x 220</t>
  </si>
  <si>
    <t xml:space="preserve">ELORZA AGRO</t>
  </si>
  <si>
    <t xml:space="preserve">cilindro h. n 341-2807-01/ 12nv3/ b136</t>
  </si>
  <si>
    <t xml:space="preserve">250 x 2250 x 250</t>
  </si>
  <si>
    <t xml:space="preserve">sofia plantasegura@hotmail.com</t>
  </si>
  <si>
    <t xml:space="preserve">120 x 1750 x 230</t>
  </si>
  <si>
    <t xml:space="preserve">SUPERCEMENTO</t>
  </si>
  <si>
    <t xml:space="preserve">martillo hidraulico  hanwoo</t>
  </si>
  <si>
    <t xml:space="preserve">martillo perforador r11-r32/80 avo18 d2168c</t>
  </si>
  <si>
    <t xml:space="preserve">pertenece a equipo boltec s</t>
  </si>
  <si>
    <t xml:space="preserve">martillo empernador cop1028 t/50 avo19d1533a</t>
  </si>
  <si>
    <t xml:space="preserve">pertenece a boltec s</t>
  </si>
  <si>
    <t xml:space="preserve">PETBA</t>
  </si>
  <si>
    <t xml:space="preserve">Cilindro telescopico 5 tramos</t>
  </si>
  <si>
    <t xml:space="preserve">DISPOSITIVO pulidora</t>
  </si>
  <si>
    <t xml:space="preserve">220X680X220</t>
  </si>
  <si>
    <t xml:space="preserve">FADEA</t>
  </si>
  <si>
    <t xml:space="preserve">KIT DE SELLOS PARA DISP DE GIRO</t>
  </si>
  <si>
    <t xml:space="preserve">MELIAN</t>
  </si>
  <si>
    <t xml:space="preserve">TUBO 100 mm x 115 mm X 1300 mm</t>
  </si>
  <si>
    <t xml:space="preserve">Repuestos e Insumos martillo EC 135T</t>
  </si>
  <si>
    <t xml:space="preserve">CORRUGADORA CENTRO</t>
  </si>
  <si>
    <t xml:space="preserve">SIFEL SRL</t>
  </si>
  <si>
    <t xml:space="preserve">PERNO P/RELEVAR PP1075485 REV J 4" GD72 PLUNGER</t>
  </si>
  <si>
    <t xml:space="preserve">Michelotti</t>
  </si>
  <si>
    <t xml:space="preserve">Martillo Hidraulico</t>
  </si>
  <si>
    <t xml:space="preserve">SPATARO</t>
  </si>
  <si>
    <t xml:space="preserve">martillo hidraulico KRUPP</t>
  </si>
  <si>
    <t xml:space="preserve">02352-429911</t>
  </si>
  <si>
    <t xml:space="preserve">spatarosa@speedy.com.ar</t>
  </si>
  <si>
    <t xml:space="preserve">remito 4043</t>
  </si>
  <si>
    <t xml:space="preserve">marcado no en todas las piezas por dureza de materiales</t>
  </si>
  <si>
    <t xml:space="preserve">CORBE</t>
  </si>
  <si>
    <t xml:space="preserve">tensor de cadena de oruga</t>
  </si>
  <si>
    <t xml:space="preserve">alaniz.santiago@yahoo.com.ar</t>
  </si>
  <si>
    <t xml:space="preserve">extractor de inyector</t>
  </si>
  <si>
    <t xml:space="preserve">fabricar segun muestra cant. 4</t>
  </si>
  <si>
    <t xml:space="preserve">camisa p/sacar prisionero</t>
  </si>
  <si>
    <t xml:space="preserve">100 x 620 x 190</t>
  </si>
  <si>
    <t xml:space="preserve">PERF IGLESIANAS</t>
  </si>
  <si>
    <t xml:space="preserve">KIT DE SELLOS CHUCK (SOLO POLY)</t>
  </si>
  <si>
    <t xml:space="preserve">140 x 800 x 180</t>
  </si>
  <si>
    <t xml:space="preserve">170 x 260 x 115</t>
  </si>
  <si>
    <t xml:space="preserve">transmision 777F</t>
  </si>
  <si>
    <t xml:space="preserve">desarme - evaluacion</t>
  </si>
  <si>
    <t xml:space="preserve">PLACAS ADAPTACION BOMBA</t>
  </si>
  <si>
    <t xml:space="preserve">FABRICAR DOS PLACAS ADAPTADORAS</t>
  </si>
  <si>
    <t xml:space="preserve">reductor desarmado</t>
  </si>
  <si>
    <t xml:space="preserve">vino desarmado</t>
  </si>
  <si>
    <t xml:space="preserve">bustos y beltran</t>
  </si>
  <si>
    <t xml:space="preserve">camisa de cil. neumatico</t>
  </si>
  <si>
    <t xml:space="preserve">03512085273 // 03515102537</t>
  </si>
  <si>
    <t xml:space="preserve">mrosso@bustosybeltran.com.ar</t>
  </si>
  <si>
    <t xml:space="preserve">cotizar fabricacion</t>
  </si>
  <si>
    <t xml:space="preserve">E810013851: RUEDA P/AGV-HU60-NACIONAL X 10 UNI</t>
  </si>
  <si>
    <t xml:space="preserve">FABRICAR SEGUN PLANO</t>
  </si>
  <si>
    <t xml:space="preserve">punzon cincel de martillo B250</t>
  </si>
  <si>
    <t xml:space="preserve">para afilar</t>
  </si>
  <si>
    <t xml:space="preserve">punzon piramide martillo B250</t>
  </si>
  <si>
    <t xml:space="preserve">punzon lapiz martillo B250</t>
  </si>
  <si>
    <t xml:space="preserve">cilindro de volteo  416</t>
  </si>
  <si>
    <t xml:space="preserve">200 x 1400 x 170</t>
  </si>
  <si>
    <t xml:space="preserve">pasar informe para q ellos reclamen garantia </t>
  </si>
  <si>
    <t xml:space="preserve">PRODUTOS METALICOS</t>
  </si>
  <si>
    <t xml:space="preserve">engranaje central</t>
  </si>
  <si>
    <t xml:space="preserve">desarmar</t>
  </si>
  <si>
    <t xml:space="preserve">cilindro desplazador 30100-003-46</t>
  </si>
  <si>
    <t xml:space="preserve">100 x 5000 x 100</t>
  </si>
  <si>
    <t xml:space="preserve">evaluacion</t>
  </si>
  <si>
    <t xml:space="preserve">CASA MANRIQUE</t>
  </si>
  <si>
    <t xml:space="preserve">cilindro telescopico</t>
  </si>
  <si>
    <t xml:space="preserve">3512893432  emanuel</t>
  </si>
  <si>
    <t xml:space="preserve">3513504123 miguel</t>
  </si>
  <si>
    <t xml:space="preserve">se saca de camion </t>
  </si>
  <si>
    <t xml:space="preserve">Pedido Nro: 4507330804</t>
  </si>
  <si>
    <t xml:space="preserve">VENDER</t>
  </si>
  <si>
    <t xml:space="preserve">cilidro de excavadora cat 4707141 (303)</t>
  </si>
  <si>
    <t xml:space="preserve">340 x 3200 x 340</t>
  </si>
  <si>
    <t xml:space="preserve">balde de cargadora 490-1850 cat</t>
  </si>
  <si>
    <t xml:space="preserve">cilindro de levante NP 121-2071</t>
  </si>
  <si>
    <t xml:space="preserve">450 x 24t0 x 550</t>
  </si>
  <si>
    <t xml:space="preserve">0264-4298894 pablo sanchez</t>
  </si>
  <si>
    <t xml:space="preserve">Cotizar reparacion</t>
  </si>
  <si>
    <t xml:space="preserve">BUJE FULLCRUM NP 05.01.02.21 CANT 2</t>
  </si>
  <si>
    <t xml:space="preserve">570 X 570 X 290</t>
  </si>
  <si>
    <t xml:space="preserve">FABRICAR 2 UNIDADES</t>
  </si>
  <si>
    <t xml:space="preserve">TOPE DE MOLINO </t>
  </si>
  <si>
    <t xml:space="preserve">cilindro direccion st7</t>
  </si>
  <si>
    <t xml:space="preserve">100 x 870 x 150</t>
  </si>
  <si>
    <t xml:space="preserve">230 x 1250 x 200</t>
  </si>
  <si>
    <t xml:space="preserve">cilindro stinger simba</t>
  </si>
  <si>
    <t xml:space="preserve">70 x 1650 x 70</t>
  </si>
  <si>
    <t xml:space="preserve">100 x 1550 x 90</t>
  </si>
  <si>
    <t xml:space="preserve">100 x 1710 x 110</t>
  </si>
  <si>
    <t xml:space="preserve">cilindro avance s1d</t>
  </si>
  <si>
    <t xml:space="preserve">100 x 1720 x 110</t>
  </si>
  <si>
    <t xml:space="preserve">cilindro gatas jumbos</t>
  </si>
  <si>
    <t xml:space="preserve">200 x 700 x 200</t>
  </si>
  <si>
    <t xml:space="preserve">No se pudo desajustar el piston</t>
  </si>
  <si>
    <t xml:space="preserve">vastago cat 345</t>
  </si>
  <si>
    <t xml:space="preserve">para extraccion de tuerca</t>
  </si>
  <si>
    <t xml:space="preserve">cilindro de retroexcavadora volvo</t>
  </si>
  <si>
    <t xml:space="preserve">450 x 2300 x 380</t>
  </si>
  <si>
    <t xml:space="preserve">para reparacion</t>
  </si>
  <si>
    <t xml:space="preserve">s/n piso</t>
  </si>
  <si>
    <t xml:space="preserve">controlar bulon doblado</t>
  </si>
  <si>
    <t xml:space="preserve">LOPEZ DIESEL</t>
  </si>
  <si>
    <t xml:space="preserve">cilindro de elevacion</t>
  </si>
  <si>
    <t xml:space="preserve">300 x 2200 x 330</t>
  </si>
  <si>
    <t xml:space="preserve">estator de reductor</t>
  </si>
  <si>
    <t xml:space="preserve">sacar bulones</t>
  </si>
  <si>
    <t xml:space="preserve">cilindro hidraulico NPK</t>
  </si>
  <si>
    <t xml:space="preserve">200 x 1950 x 240</t>
  </si>
  <si>
    <t xml:space="preserve">cilindro hidraulico FE 103</t>
  </si>
  <si>
    <t xml:space="preserve">200 x 1350 x 240</t>
  </si>
  <si>
    <t xml:space="preserve">HIDRAULICA DC</t>
  </si>
  <si>
    <t xml:space="preserve">320 x 850 x 240</t>
  </si>
  <si>
    <t xml:space="preserve">CAPOPLAST</t>
  </si>
  <si>
    <t xml:space="preserve">rodillo de impresion de bolsas</t>
  </si>
  <si>
    <t xml:space="preserve">230 x 1830 x 290</t>
  </si>
  <si>
    <t xml:space="preserve">351403804e</t>
  </si>
  <si>
    <t xml:space="preserve">conci</t>
  </si>
  <si>
    <t xml:space="preserve">bastidor modelo 320</t>
  </si>
  <si>
    <t xml:space="preserve">cilindro h. modelo 320 c/kit de sellos</t>
  </si>
  <si>
    <t xml:space="preserve">250 x 1850 x 210</t>
  </si>
  <si>
    <t xml:space="preserve">evaluacion </t>
  </si>
  <si>
    <t xml:space="preserve">bomba de autoelevador</t>
  </si>
  <si>
    <t xml:space="preserve">150 x 200 x 140</t>
  </si>
  <si>
    <t xml:space="preserve">camisas x 2</t>
  </si>
  <si>
    <t xml:space="preserve">170 x 250 x 170</t>
  </si>
  <si>
    <t xml:space="preserve">bruñir y pulir a misma medida</t>
  </si>
  <si>
    <t xml:space="preserve">BUJE DE CONVERTIDOR</t>
  </si>
  <si>
    <t xml:space="preserve">CUARZO</t>
  </si>
  <si>
    <t xml:space="preserve">KIT DE SELLOS ATLAS COPCO</t>
  </si>
  <si>
    <t xml:space="preserve">FABRICAR  </t>
  </si>
  <si>
    <t xml:space="preserve">svci s.a.s.</t>
  </si>
  <si>
    <t xml:space="preserve">piñon de distribucion cat 615</t>
  </si>
  <si>
    <t xml:space="preserve">260 x 260x 70</t>
  </si>
  <si>
    <t xml:space="preserve">sandravaldevit@gmail.com</t>
  </si>
  <si>
    <t xml:space="preserve">fabricacion s muestra</t>
  </si>
  <si>
    <t xml:space="preserve"> </t>
  </si>
  <si>
    <t xml:space="preserve">cilindro hidraulico excavadora komatsu pc600</t>
  </si>
  <si>
    <t xml:space="preserve">500 x 3350 x 400</t>
  </si>
  <si>
    <t xml:space="preserve">p/reparacion</t>
  </si>
  <si>
    <t xml:space="preserve">CAMBIO DE MES</t>
  </si>
  <si>
    <t xml:space="preserve">KIT DE SELLOS PARA UNIDAD DE GIRO</t>
  </si>
  <si>
    <t xml:space="preserve">cilindro de grua</t>
  </si>
  <si>
    <t xml:space="preserve">cilindro de grua </t>
  </si>
  <si>
    <t xml:space="preserve">LLampa Marcial</t>
  </si>
  <si>
    <t xml:space="preserve">CILINDRO TELESCOPICO PARA GRUA ASTRA</t>
  </si>
  <si>
    <t xml:space="preserve">LA BELLA</t>
  </si>
  <si>
    <t xml:space="preserve">2 TUERCAS COE + 2 KIT DE SELLOS COE</t>
  </si>
  <si>
    <t xml:space="preserve">bieleta de  pala de 924</t>
  </si>
  <si>
    <t xml:space="preserve">CONSTRUCCIONES DE INGENIERIA </t>
  </si>
  <si>
    <t xml:space="preserve">cilindro retro volvo 210 con kit de sellos</t>
  </si>
  <si>
    <t xml:space="preserve">llanta</t>
  </si>
  <si>
    <t xml:space="preserve">PIRQUITAS</t>
  </si>
  <si>
    <t xml:space="preserve">MANGUERA </t>
  </si>
  <si>
    <t xml:space="preserve">SAN NICOLAS</t>
  </si>
  <si>
    <t xml:space="preserve">H pc 600 komatsu</t>
  </si>
  <si>
    <t xml:space="preserve">HOLCIM (grua)</t>
  </si>
  <si>
    <t xml:space="preserve">cilindro de brazo derecho</t>
  </si>
  <si>
    <t xml:space="preserve">cilindro de brazo izquierdo</t>
  </si>
  <si>
    <t xml:space="preserve">EJE CAÑERA</t>
  </si>
  <si>
    <t xml:space="preserve">SULLAIR san juan</t>
  </si>
  <si>
    <t xml:space="preserve">motoreductor de rueda volvo s480</t>
  </si>
  <si>
    <t xml:space="preserve">reductor de rueda volvo s480</t>
  </si>
  <si>
    <t xml:space="preserve">reductor  de giro</t>
  </si>
  <si>
    <t xml:space="preserve">cilindro hidraulico de avance</t>
  </si>
  <si>
    <t xml:space="preserve">270 x 1800 x 180</t>
  </si>
  <si>
    <t xml:space="preserve">cilindro hidraulico de direccion</t>
  </si>
  <si>
    <t xml:space="preserve">190 x 1150 x 150</t>
  </si>
  <si>
    <t xml:space="preserve">PUNZON MARTILLO GORILLA (PARTIENDO DE PUNZON USADO)</t>
  </si>
  <si>
    <t xml:space="preserve">PERNO ESTRUCTURA ELEVACION</t>
  </si>
  <si>
    <t xml:space="preserve">cilindro de balde de retro ( c/ kit de sellos)</t>
  </si>
  <si>
    <t xml:space="preserve">200 x 1400 x 180</t>
  </si>
  <si>
    <t xml:space="preserve">TECNICA QUITILIPI</t>
  </si>
  <si>
    <t xml:space="preserve">150 x 1700 x 130</t>
  </si>
  <si>
    <t xml:space="preserve">HOLCIM campana</t>
  </si>
  <si>
    <t xml:space="preserve">tambor magnetico 561-smi</t>
  </si>
  <si>
    <t xml:space="preserve">500 x 2000 x 500</t>
  </si>
  <si>
    <t xml:space="preserve">martillo hidraulico 1838 ME</t>
  </si>
  <si>
    <t xml:space="preserve">FLOUROPACK x15 PARA VALVULAS</t>
  </si>
  <si>
    <t xml:space="preserve">cilindro hidraulico corto</t>
  </si>
  <si>
    <t xml:space="preserve">130 x 600 x 80</t>
  </si>
  <si>
    <t xml:space="preserve">media caña de delring</t>
  </si>
  <si>
    <t xml:space="preserve">sopapa 435 cylinder packing</t>
  </si>
  <si>
    <t xml:space="preserve">gasket valve cover copper chico</t>
  </si>
  <si>
    <t xml:space="preserve">gasket valve ceramic copper mediano</t>
  </si>
  <si>
    <t xml:space="preserve">gasket cylinder cover copper grande</t>
  </si>
  <si>
    <t xml:space="preserve">empaquetaduras BW-320</t>
  </si>
  <si>
    <t xml:space="preserve">empaquetaduras chuck</t>
  </si>
  <si>
    <t xml:space="preserve">MANGUERAS </t>
  </si>
  <si>
    <t xml:space="preserve">cilindro hidraulico largo</t>
  </si>
  <si>
    <t xml:space="preserve">AGV DRILLING SRL</t>
  </si>
  <si>
    <t xml:space="preserve">sello cabezal prominas R-3</t>
  </si>
  <si>
    <t xml:space="preserve">inserto valvula bomba dowell</t>
  </si>
  <si>
    <t xml:space="preserve">sello cabezal T-4</t>
  </si>
  <si>
    <t xml:space="preserve">empaquetadura bomba dowell</t>
  </si>
  <si>
    <t xml:space="preserve">resorte de nitrogeno T4SC</t>
  </si>
  <si>
    <t xml:space="preserve">50  x 135 x 50</t>
  </si>
  <si>
    <t xml:space="preserve">50 / 135 / 50</t>
  </si>
  <si>
    <t xml:space="preserve">B7</t>
  </si>
  <si>
    <t xml:space="preserve">ISA RECICLADOS</t>
  </si>
  <si>
    <t xml:space="preserve">cilindro volcador</t>
  </si>
  <si>
    <t xml:space="preserve">3516566924 montoya javier</t>
  </si>
  <si>
    <t xml:space="preserve">FLUOROPACK 195 X 178 X 9 X 4 UNID</t>
  </si>
  <si>
    <t xml:space="preserve">soporte de convertidor</t>
  </si>
  <si>
    <t xml:space="preserve">BULONES OC 4507330804</t>
  </si>
  <si>
    <t xml:space="preserve">MOIL POINT Y CHISEL CROSS (PUNZONES)</t>
  </si>
  <si>
    <t xml:space="preserve">sullair argentina</t>
  </si>
  <si>
    <t xml:space="preserve">manometro con acople para carga de nitrogeno</t>
  </si>
  <si>
    <t xml:space="preserve">cilindro hyundai</t>
  </si>
  <si>
    <t xml:space="preserve">6741-A</t>
  </si>
  <si>
    <t xml:space="preserve">cilindro de stick</t>
  </si>
  <si>
    <t xml:space="preserve">5733-A-2</t>
  </si>
  <si>
    <t xml:space="preserve">MINAS PIRQUITA</t>
  </si>
  <si>
    <t xml:space="preserve">cilindro de suspension trasera</t>
  </si>
  <si>
    <t xml:space="preserve">KIT DE SELLOS COE X 5 UNID</t>
  </si>
  <si>
    <t xml:space="preserve">cilindro de cierre idra 2202</t>
  </si>
  <si>
    <t xml:space="preserve">contenedor n482-03-73</t>
  </si>
  <si>
    <t xml:space="preserve">contenedor n482-03-74</t>
  </si>
  <si>
    <t xml:space="preserve">cilindro hidra  BG00778825</t>
  </si>
  <si>
    <t xml:space="preserve">300 x 1700 x 450</t>
  </si>
  <si>
    <t xml:space="preserve">faltante de 15 bulones de tapa</t>
  </si>
  <si>
    <t xml:space="preserve">cilindro de volteo LH 514</t>
  </si>
  <si>
    <t xml:space="preserve">cilindro de levante 2854034 CAT</t>
  </si>
  <si>
    <t xml:space="preserve">170 x 3060 x 220</t>
  </si>
  <si>
    <t xml:space="preserve">PIEZA DE ARRASTRE 3115158200 X 3 UNID</t>
  </si>
  <si>
    <t xml:space="preserve">CHISEL PASTE 3363091200</t>
  </si>
  <si>
    <t xml:space="preserve">hidroquip sa</t>
  </si>
  <si>
    <t xml:space="preserve">kit de sellos según muestra</t>
  </si>
  <si>
    <t xml:space="preserve">KIT DE SELLOS CHUCK CHINA X 8 UNID</t>
  </si>
  <si>
    <t xml:space="preserve">STEP SEAL Y RESPALDO COLOSIO 2000</t>
  </si>
  <si>
    <t xml:space="preserve">ARO PLASTYC</t>
  </si>
  <si>
    <t xml:space="preserve">barra cromada diametro 70</t>
  </si>
  <si>
    <t xml:space="preserve">Chediack</t>
  </si>
  <si>
    <t xml:space="preserve">EXTENCION PLANA</t>
  </si>
  <si>
    <t xml:space="preserve">BARRA MECANIZADA E855430174</t>
  </si>
  <si>
    <t xml:space="preserve">PLACA E855430164</t>
  </si>
  <si>
    <t xml:space="preserve">VG s.a</t>
  </si>
  <si>
    <t xml:space="preserve">cilindro hidraulico (rojo)</t>
  </si>
  <si>
    <t xml:space="preserve">140 x 720 x 160</t>
  </si>
  <si>
    <t xml:space="preserve">cilindro hidraulico c/ tensores</t>
  </si>
  <si>
    <t xml:space="preserve">80 x 830 x 90</t>
  </si>
  <si>
    <t xml:space="preserve">80 x 630 x 80</t>
  </si>
  <si>
    <t xml:space="preserve">VG  s.a</t>
  </si>
  <si>
    <t xml:space="preserve">90 x 520 x 90</t>
  </si>
  <si>
    <t xml:space="preserve">cilindro hidraulico c/caño</t>
  </si>
  <si>
    <t xml:space="preserve">160 x 900 x 250</t>
  </si>
  <si>
    <t xml:space="preserve">Mina pirquitas</t>
  </si>
  <si>
    <t xml:space="preserve">manguera hidráulica  2" x 5700mm</t>
  </si>
  <si>
    <t xml:space="preserve">Marcial</t>
  </si>
  <si>
    <t xml:space="preserve">cilindro h. de direccion izquierdo</t>
  </si>
  <si>
    <t xml:space="preserve">LL. MARCIAL</t>
  </si>
  <si>
    <t xml:space="preserve">cilindro hidraulico c/tensores</t>
  </si>
  <si>
    <t xml:space="preserve">cilindro de brazo hyundai 500</t>
  </si>
  <si>
    <t xml:space="preserve">LL. Marcial</t>
  </si>
  <si>
    <t xml:space="preserve">cilindro apertura almeja</t>
  </si>
  <si>
    <t xml:space="preserve">CAMISA + PISTON DE FRENO MALACATE GRUA HORMIG 40T </t>
  </si>
  <si>
    <t xml:space="preserve">POLIPACK CHICO DE REPUESTO PARA OT 6743</t>
  </si>
  <si>
    <t xml:space="preserve">200 x 820 x 120</t>
  </si>
  <si>
    <t xml:space="preserve">michelotti</t>
  </si>
  <si>
    <t xml:space="preserve">150 x 870 x 150</t>
  </si>
  <si>
    <t xml:space="preserve">EPEC</t>
  </si>
  <si>
    <t xml:space="preserve">REPUESTOS TRASMISION GRUA GROVE</t>
  </si>
  <si>
    <t xml:space="preserve">martillo zoosan</t>
  </si>
  <si>
    <t xml:space="preserve">B11</t>
  </si>
  <si>
    <t xml:space="preserve">Exequiel Lopez</t>
  </si>
  <si>
    <t xml:space="preserve">HORMICAT</t>
  </si>
  <si>
    <t xml:space="preserve">martillo cat B20</t>
  </si>
  <si>
    <t xml:space="preserve">VIMECO</t>
  </si>
  <si>
    <t xml:space="preserve">VALVULA</t>
  </si>
  <si>
    <t xml:space="preserve">BULONES TORNAMESA OC59188</t>
  </si>
  <si>
    <t xml:space="preserve">vastago de banco hyundai</t>
  </si>
  <si>
    <t xml:space="preserve">FENIX</t>
  </si>
  <si>
    <t xml:space="preserve">Cilindro Suspensión Delantera 777F CAT 2857636 PR R86878 COD. STOCK B58566. </t>
  </si>
  <si>
    <t xml:space="preserve">Cilindro Suspensión Delantera 777F CAT 2857636 PR R86878 COD. STOCK B58565. </t>
  </si>
  <si>
    <t xml:space="preserve">RSI</t>
  </si>
  <si>
    <t xml:space="preserve">POLIPACK 63 x 53 x 8 CANT 2</t>
  </si>
  <si>
    <t xml:space="preserve">cilindro de topadora komatsu</t>
  </si>
  <si>
    <t xml:space="preserve">CANTERAS DIQUESITO</t>
  </si>
  <si>
    <t xml:space="preserve">martillo h.indeco hp 4000</t>
  </si>
  <si>
    <t xml:space="preserve">PLACA SEGUN MUESTRA</t>
  </si>
  <si>
    <t xml:space="preserve">cilindro h. de excavadora komatsu pc 600</t>
  </si>
  <si>
    <t xml:space="preserve">paolini hno s.a</t>
  </si>
  <si>
    <t xml:space="preserve">manga de pala de arrastre interno: 130-39</t>
  </si>
  <si>
    <t xml:space="preserve">HIDROTEC SRL</t>
  </si>
  <si>
    <t xml:space="preserve">KIT DE SELLOS PARA CILINDRO DE PRENSA 2 UNID</t>
  </si>
  <si>
    <t xml:space="preserve">cilindro de pull -down</t>
  </si>
  <si>
    <t xml:space="preserve">cilndro de levante izquierdo</t>
  </si>
  <si>
    <t xml:space="preserve">400 x 2650 x 400</t>
  </si>
  <si>
    <t xml:space="preserve">200 x 730 x 160</t>
  </si>
  <si>
    <t xml:space="preserve">Lopez Exequiel</t>
  </si>
  <si>
    <t xml:space="preserve">cilindro hidraulico </t>
  </si>
  <si>
    <t xml:space="preserve">250 x 1200 x 220</t>
  </si>
  <si>
    <t xml:space="preserve">LLAMPA MARCIAL</t>
  </si>
  <si>
    <t xml:space="preserve">Cilindro de Pluma</t>
  </si>
  <si>
    <t xml:space="preserve">1550 / 220 / 180</t>
  </si>
  <si>
    <t xml:space="preserve">Exequiel Lopez </t>
  </si>
  <si>
    <t xml:space="preserve">Cilindro de Direccion</t>
  </si>
  <si>
    <t xml:space="preserve">720 / 200 / 160</t>
  </si>
  <si>
    <t xml:space="preserve">REDUCTOR + BUJE PARA HACER ENTRE DOS</t>
  </si>
  <si>
    <t xml:space="preserve">EJE SEGUN MUESTRA</t>
  </si>
  <si>
    <t xml:space="preserve">REPUESTOS Martillo ATLAS EC 135T</t>
  </si>
  <si>
    <t xml:space="preserve">BANCO DESARME DE TRANSMISION</t>
  </si>
  <si>
    <t xml:space="preserve">CIL TELESCOPICO CAMION BAHCO</t>
  </si>
  <si>
    <t xml:space="preserve">punzon para sacar punta</t>
  </si>
  <si>
    <t xml:space="preserve">SIGNORINI</t>
  </si>
  <si>
    <t xml:space="preserve">cilindro hidraulico (cdesarmado)</t>
  </si>
  <si>
    <t xml:space="preserve">cilindro h. salera 212-tb1</t>
  </si>
  <si>
    <t xml:space="preserve">FLOUROPACK inyectora weingarten 1600</t>
  </si>
  <si>
    <t xml:space="preserve">contra eje de trituradora</t>
  </si>
  <si>
    <t xml:space="preserve">Canteras Diquesito</t>
  </si>
  <si>
    <t xml:space="preserve">cilindro cj 412</t>
  </si>
  <si>
    <t xml:space="preserve">cilindro stick cat 345</t>
  </si>
  <si>
    <t xml:space="preserve">Tarima A16, quedan los elementos del cilindro</t>
  </si>
  <si>
    <t xml:space="preserve">CIL SUSPENSION</t>
  </si>
  <si>
    <t xml:space="preserve">MARTILLO MB1700 </t>
  </si>
  <si>
    <t xml:space="preserve">CIL TELESCOPICO DE TOLVA</t>
  </si>
  <si>
    <t xml:space="preserve">5734-A</t>
  </si>
  <si>
    <t xml:space="preserve">CIL SUSPENSION TRASERA 777F</t>
  </si>
  <si>
    <t xml:space="preserve">CIL H DE MANDIBULA</t>
  </si>
  <si>
    <t xml:space="preserve">6167-B</t>
  </si>
  <si>
    <t xml:space="preserve">CIL DE BOOM IZQUIERDO </t>
  </si>
  <si>
    <t xml:space="preserve">LLamp Marcial</t>
  </si>
  <si>
    <t xml:space="preserve">PLASTICOS MT</t>
  </si>
  <si>
    <t xml:space="preserve">KIT DE SELLOS PARA TAPA </t>
  </si>
  <si>
    <t xml:space="preserve">ORING DE TAPA CIL SUSPENSION</t>
  </si>
  <si>
    <t xml:space="preserve">JOAQUIN AMAYA</t>
  </si>
  <si>
    <t xml:space="preserve">TAPA DE FUNDICION PARA RESTAURAR</t>
  </si>
  <si>
    <t xml:space="preserve">tapa de  cigueñal</t>
  </si>
  <si>
    <t xml:space="preserve">CARGO</t>
  </si>
  <si>
    <t xml:space="preserve">cilindro hidraulico de apiladora </t>
  </si>
  <si>
    <t xml:space="preserve">GUIAS DE DELRIN X 4 UNID</t>
  </si>
  <si>
    <t xml:space="preserve">AGV F.D</t>
  </si>
  <si>
    <t xml:space="preserve">DISCO DE EMBRAGUE</t>
  </si>
  <si>
    <t xml:space="preserve">CORMAR</t>
  </si>
  <si>
    <t xml:space="preserve">cilindro telescopico de batea</t>
  </si>
  <si>
    <t xml:space="preserve">260 x1800 x 260</t>
  </si>
  <si>
    <t xml:space="preserve">3513716313 juan heredia</t>
  </si>
  <si>
    <t xml:space="preserve">Reyna Daniel</t>
  </si>
  <si>
    <t xml:space="preserve">tirante de direccion 777f </t>
  </si>
  <si>
    <t xml:space="preserve">housing de mando de giro 349DL</t>
  </si>
  <si>
    <t xml:space="preserve">DISPOSITIVO ELEVACION CAT 320D</t>
  </si>
  <si>
    <t xml:space="preserve">fsvial</t>
  </si>
  <si>
    <t xml:space="preserve">cilimdro hidfaulico de agjilon</t>
  </si>
  <si>
    <t xml:space="preserve">A17</t>
  </si>
  <si>
    <t xml:space="preserve">cuerpo de bomba para sacar bulon</t>
  </si>
  <si>
    <t xml:space="preserve">SELLOS PARA CHUCK - REMITO 13340</t>
  </si>
  <si>
    <t xml:space="preserve">KIT DE SELLOS CAT320</t>
  </si>
  <si>
    <t xml:space="preserve">LUCANA CONSTRUCCIONES</t>
  </si>
  <si>
    <t xml:space="preserve">punta de martillo cotizar fabricacion de 2  unidades</t>
  </si>
  <si>
    <t xml:space="preserve">alfredo.lucana@gmail.com</t>
  </si>
  <si>
    <t xml:space="preserve">PRITTY SALDAN </t>
  </si>
  <si>
    <t xml:space="preserve">vastago de inyectora  con chaveta</t>
  </si>
  <si>
    <t xml:space="preserve">CILINDRO CHUCK DE CHINA</t>
  </si>
  <si>
    <t xml:space="preserve">SELLO GOMA TELA Ø 250 x Ø 225 x 19</t>
  </si>
  <si>
    <t xml:space="preserve">chapa segun muestra</t>
  </si>
  <si>
    <t xml:space="preserve">400 x 360</t>
  </si>
  <si>
    <t xml:space="preserve">conjunto de maza de rueda</t>
  </si>
  <si>
    <t xml:space="preserve">TRANS PUCARA</t>
  </si>
  <si>
    <t xml:space="preserve">BOMBA DE FRENO PARA EQUIPO
AUTOELEVADOR LIUGONG</t>
  </si>
  <si>
    <t xml:space="preserve">REPUESTOS OC 669</t>
  </si>
  <si>
    <t xml:space="preserve">REDUCTOR</t>
  </si>
  <si>
    <t xml:space="preserve">LUCHO COBI</t>
  </si>
  <si>
    <t xml:space="preserve">CIL PALACARGADORA 680</t>
  </si>
  <si>
    <t xml:space="preserve">150 x 1120 x 230</t>
  </si>
  <si>
    <t xml:space="preserve">mirpedernera@gmail.com</t>
  </si>
  <si>
    <t xml:space="preserve">B29 piso</t>
  </si>
  <si>
    <t xml:space="preserve">MARCIAL</t>
  </si>
  <si>
    <t xml:space="preserve">CHEDIACK (CATAMARCA)</t>
  </si>
  <si>
    <t xml:space="preserve">320 x 1100 x 220</t>
  </si>
  <si>
    <t xml:space="preserve">piñon y corona de komatsu pc600</t>
  </si>
  <si>
    <t xml:space="preserve">SELLO GOMA TELA 250 X 225 X 19 D:250 X d:225 x 19</t>
  </si>
  <si>
    <t xml:space="preserve">canteras diquesito</t>
  </si>
  <si>
    <t xml:space="preserve">cilindro cambiador de barras soosan std 14</t>
  </si>
  <si>
    <t xml:space="preserve">100 x 500 x 140</t>
  </si>
  <si>
    <t xml:space="preserve">ROTOMARTILLO SOOSAN TD 51</t>
  </si>
  <si>
    <t xml:space="preserve">brazo con balde JCB</t>
  </si>
  <si>
    <t xml:space="preserve">cilindro hidraulico de balde</t>
  </si>
  <si>
    <t xml:space="preserve">140 x 1270 x 150</t>
  </si>
  <si>
    <t xml:space="preserve">cilindro de balde </t>
  </si>
  <si>
    <t xml:space="preserve">cabezal de bomba de hidrolavadora</t>
  </si>
  <si>
    <t xml:space="preserve">kit de pernos , bujes y lainas (fabricar 5 jgos)</t>
  </si>
  <si>
    <t xml:space="preserve">juegos de aros de compensadores10c/u</t>
  </si>
  <si>
    <t xml:space="preserve">cilindro tensor de topador D65</t>
  </si>
  <si>
    <t xml:space="preserve">A36</t>
  </si>
  <si>
    <t xml:space="preserve">PALLCOR</t>
  </si>
  <si>
    <t xml:space="preserve">ESTRUCTURA DE AUTOELEVADOR</t>
  </si>
  <si>
    <t xml:space="preserve">REPUESTOS OC 4507245212</t>
  </si>
  <si>
    <t xml:space="preserve">cilindro suspension deĺantera 777f mas maza derecha</t>
  </si>
  <si>
    <t xml:space="preserve">cilindro de suspension delantera mas maza izquierda</t>
  </si>
  <si>
    <t xml:space="preserve">maza delantera 777f derecha</t>
  </si>
  <si>
    <t xml:space="preserve">maza delantera 777f izquierda</t>
  </si>
  <si>
    <t xml:space="preserve">cilindro filtro de prensa (pr 40855)</t>
  </si>
  <si>
    <t xml:space="preserve">queda el piston en el vastago.</t>
  </si>
  <si>
    <t xml:space="preserve">Punzón para Afilar</t>
  </si>
  <si>
    <t xml:space="preserve">140 / 140 / 980</t>
  </si>
  <si>
    <t xml:space="preserve">6671-A</t>
  </si>
  <si>
    <t xml:space="preserve">Pritty</t>
  </si>
  <si>
    <t xml:space="preserve">vastago + piston y 2 placas</t>
  </si>
  <si>
    <t xml:space="preserve">770 / 240 / 240</t>
  </si>
  <si>
    <t xml:space="preserve">cilindro de brazo</t>
  </si>
  <si>
    <t xml:space="preserve">RESPALDO DE Ø 135 Ø 126 A 1.6 CANT 4</t>
  </si>
  <si>
    <t xml:space="preserve">tapa para sacar pista rodamiento</t>
  </si>
  <si>
    <t xml:space="preserve">LA MARQUESINA </t>
  </si>
  <si>
    <t xml:space="preserve">270 x 380 x 180</t>
  </si>
  <si>
    <t xml:space="preserve">hugo massin</t>
  </si>
  <si>
    <t xml:space="preserve">hmasin@hotmail.com</t>
  </si>
  <si>
    <t xml:space="preserve">JUAN A. GARCIA</t>
  </si>
  <si>
    <t xml:space="preserve">juan</t>
  </si>
  <si>
    <t xml:space="preserve">vaninare@yahoo.com.ar</t>
  </si>
  <si>
    <t xml:space="preserve">cotizar fabricacion de 1 nuevo</t>
  </si>
  <si>
    <t xml:space="preserve">cilindro hidraulico pc350 (ex 27)</t>
  </si>
  <si>
    <t xml:space="preserve">banco de valvulas ex 27 con conectores con 2 valvulas</t>
  </si>
  <si>
    <t xml:space="preserve">AUTOELEVADOR PARA REPARAR</t>
  </si>
  <si>
    <t xml:space="preserve">trompa de empuje bomba hormigon </t>
  </si>
  <si>
    <t xml:space="preserve">3534848704 ceferino farias</t>
  </si>
  <si>
    <t xml:space="preserve">fariasmarchesina@gmail.com</t>
  </si>
  <si>
    <t xml:space="preserve">tunkers neumatico</t>
  </si>
  <si>
    <t xml:space="preserve">HIDROTEC PERFORACIONES </t>
  </si>
  <si>
    <t xml:space="preserve">prensa hidraulica</t>
  </si>
  <si>
    <t xml:space="preserve">CONTENEDOR 433-4-54</t>
  </si>
  <si>
    <t xml:space="preserve">CALISA POLLO ARGENTINO</t>
  </si>
  <si>
    <t xml:space="preserve">cil.hid. de acero inoxidable</t>
  </si>
  <si>
    <t xml:space="preserve">CALISA POLLO ARGENT.</t>
  </si>
  <si>
    <t xml:space="preserve">cil. hidr. de acero inoxidable</t>
  </si>
  <si>
    <t xml:space="preserve">CALISA POLLO ARGEN.</t>
  </si>
  <si>
    <t xml:space="preserve">cil. hidra. de acero inoxidable</t>
  </si>
  <si>
    <t xml:space="preserve">70 x 460 x 70</t>
  </si>
  <si>
    <t xml:space="preserve">contenedor  433-4-64 (77)</t>
  </si>
  <si>
    <t xml:space="preserve">contenedor 433-4-71</t>
  </si>
  <si>
    <t xml:space="preserve">gato de sistema bloqueo telsumith</t>
  </si>
  <si>
    <t xml:space="preserve">90 x 190 x 120</t>
  </si>
  <si>
    <t xml:space="preserve">GIACOMELLI</t>
  </si>
  <si>
    <t xml:space="preserve">cabezal de maquina 204</t>
  </si>
  <si>
    <t xml:space="preserve">CIL TELESCOPICO CODIGO 4609901546002</t>
  </si>
  <si>
    <t xml:space="preserve">inglobal</t>
  </si>
  <si>
    <t xml:space="preserve">cilindro de extension</t>
  </si>
  <si>
    <t xml:space="preserve">LA ALUMBRERA</t>
  </si>
  <si>
    <t xml:space="preserve">conector cabeza </t>
  </si>
  <si>
    <t xml:space="preserve">fabricar segun muestra</t>
  </si>
  <si>
    <t xml:space="preserve">cilindro h. de mordaza</t>
  </si>
  <si>
    <t xml:space="preserve">A27</t>
  </si>
  <si>
    <t xml:space="preserve">chapa</t>
  </si>
  <si>
    <t xml:space="preserve">REPUESTOS SEGUN OC 1952</t>
  </si>
  <si>
    <t xml:space="preserve">Martillo Indeco</t>
  </si>
  <si>
    <t xml:space="preserve">copello</t>
  </si>
  <si>
    <t xml:space="preserve">4 camisas coe ( 5040 / 5041 / 5123 )</t>
  </si>
  <si>
    <t xml:space="preserve">probar para ver si estan fisuradas</t>
  </si>
  <si>
    <t xml:space="preserve">cilindro 69947R</t>
  </si>
  <si>
    <t xml:space="preserve">280 x 4800 x 250</t>
  </si>
  <si>
    <t xml:space="preserve">Juan Pablo Martinez</t>
  </si>
  <si>
    <t xml:space="preserve">Queda la tapa piston y sellos en tarima B31</t>
  </si>
  <si>
    <t xml:space="preserve">CAPUTO </t>
  </si>
  <si>
    <t xml:space="preserve">270 x 1300 x 270</t>
  </si>
  <si>
    <t xml:space="preserve">Marcial </t>
  </si>
  <si>
    <t xml:space="preserve">170 x 1240 x 170</t>
  </si>
  <si>
    <t xml:space="preserve">Finning</t>
  </si>
  <si>
    <t xml:space="preserve">3 Dispositivos extractores Para Modificar, Roscar y Poner Varillas</t>
  </si>
  <si>
    <t xml:space="preserve">cilindro espejo de topadora</t>
  </si>
  <si>
    <t xml:space="preserve">240 x 1820 x 200</t>
  </si>
  <si>
    <t xml:space="preserve">350 x 1680 x 280</t>
  </si>
  <si>
    <t xml:space="preserve">230 x 1510 x 230</t>
  </si>
  <si>
    <t xml:space="preserve">GUIA BALANCION Y TOPE DE GUIA</t>
  </si>
  <si>
    <t xml:space="preserve">CIL TELESCOPICO</t>
  </si>
  <si>
    <t xml:space="preserve">280 x 1600 x 300</t>
  </si>
  <si>
    <t xml:space="preserve">MANUEL LORES</t>
  </si>
  <si>
    <t xml:space="preserve">punta martillo omal hb270sc</t>
  </si>
  <si>
    <t xml:space="preserve">minicargadoraselgallego@hotmail.com</t>
  </si>
  <si>
    <t xml:space="preserve">CORRALON NICOLA</t>
  </si>
  <si>
    <t xml:space="preserve">cilindro de hidrogrover</t>
  </si>
  <si>
    <t xml:space="preserve">3541283090 cristian nicola</t>
  </si>
  <si>
    <t xml:space="preserve">B32</t>
  </si>
  <si>
    <t xml:space="preserve">COOP. SAN FRANCISCO</t>
  </si>
  <si>
    <t xml:space="preserve">cilindro tortona 160 GRANDE</t>
  </si>
  <si>
    <t xml:space="preserve">3544565385 garay manuel</t>
  </si>
  <si>
    <t xml:space="preserve">coopladrillerasanfrancisco@yahoo.com</t>
  </si>
  <si>
    <t xml:space="preserve">COOP SAN FRANCISCO</t>
  </si>
  <si>
    <t xml:space="preserve">cilindro tortona 160 CHICO</t>
  </si>
  <si>
    <t xml:space="preserve">CAMION DE BOMBEO</t>
  </si>
  <si>
    <t xml:space="preserve">BUJE 150 X 120 X 108</t>
  </si>
  <si>
    <t xml:space="preserve">5018-A</t>
  </si>
  <si>
    <t xml:space="preserve">cilindro h. FE103</t>
  </si>
  <si>
    <t xml:space="preserve">STURAM</t>
  </si>
  <si>
    <t xml:space="preserve">contenedor</t>
  </si>
  <si>
    <t xml:space="preserve">200 x 580 x 200</t>
  </si>
  <si>
    <t xml:space="preserve">vastago de cil. cat 320</t>
  </si>
  <si>
    <t xml:space="preserve">cilindro de compensacion</t>
  </si>
  <si>
    <t xml:space="preserve">A7</t>
  </si>
  <si>
    <t xml:space="preserve">Daniel Reyna</t>
  </si>
  <si>
    <t xml:space="preserve">CILINDRO HIDRAULICO CON TENSORES</t>
  </si>
  <si>
    <t xml:space="preserve">90 x 900 x 90</t>
  </si>
  <si>
    <t xml:space="preserve">90 / 900 / 90</t>
  </si>
  <si>
    <t xml:space="preserve">VENTURA S.R.L.</t>
  </si>
  <si>
    <t xml:space="preserve">CORONA Y PIÑON</t>
  </si>
  <si>
    <t xml:space="preserve">CILINDRO DE EMPUJE</t>
  </si>
  <si>
    <t xml:space="preserve">Cilindro c/tensores</t>
  </si>
  <si>
    <t xml:space="preserve">Soporte de sin fin</t>
  </si>
  <si>
    <t xml:space="preserve">Cilindro de balde cat345</t>
  </si>
  <si>
    <t xml:space="preserve">300 x 2340 x 300</t>
  </si>
  <si>
    <t xml:space="preserve">BUJE MARTILLO 7Q-8905</t>
  </si>
  <si>
    <t xml:space="preserve">Engranaje de reductor</t>
  </si>
  <si>
    <t xml:space="preserve">fluoro pack cotizar fabricacion</t>
  </si>
  <si>
    <t xml:space="preserve">manija</t>
  </si>
  <si>
    <t xml:space="preserve">eje y cañonera zaranda sandvik</t>
  </si>
  <si>
    <t xml:space="preserve">MOTOR HIDRAULICO</t>
  </si>
  <si>
    <t xml:space="preserve">RODADOS MEDIT</t>
  </si>
  <si>
    <t xml:space="preserve">TUBO VASTAGO Ø 55 X 1826</t>
  </si>
  <si>
    <t xml:space="preserve">U-PACKING Ø50.8 CANT 8</t>
  </si>
  <si>
    <t xml:space="preserve">630 / 300 / 210</t>
  </si>
  <si>
    <t xml:space="preserve"> Finning</t>
  </si>
  <si>
    <t xml:space="preserve">manijas según muestra</t>
  </si>
  <si>
    <t xml:space="preserve">GLOBAL FORCE</t>
  </si>
  <si>
    <t xml:space="preserve">KIT DE SELLOS PARA TAPA DELANTERA DE CILINDRO  PC600</t>
  </si>
  <si>
    <t xml:space="preserve">CT PROYECTOS</t>
  </si>
  <si>
    <t xml:space="preserve">cilindro de prensa 4 tn</t>
  </si>
  <si>
    <t xml:space="preserve">240 x 1300 x 240</t>
  </si>
  <si>
    <t xml:space="preserve">351764002 diego</t>
  </si>
  <si>
    <t xml:space="preserve">A 11</t>
  </si>
  <si>
    <t xml:space="preserve">KIT DE SELLOS CHUCK DE ATLAS X 6 UNID</t>
  </si>
  <si>
    <t xml:space="preserve">cilindro stick retro komatsu</t>
  </si>
  <si>
    <t xml:space="preserve">250 x 2400 x 250</t>
  </si>
  <si>
    <t xml:space="preserve">AB CONSTRUCCIONES</t>
  </si>
  <si>
    <t xml:space="preserve">cilindro de bomba de arrastre</t>
  </si>
  <si>
    <t xml:space="preserve">100 x 400 x 150</t>
  </si>
  <si>
    <t xml:space="preserve">320 / 730 / 250</t>
  </si>
  <si>
    <t xml:space="preserve">390 / 180 / 390</t>
  </si>
  <si>
    <t xml:space="preserve">transmision 777F con caja de repuestos</t>
  </si>
  <si>
    <t xml:space="preserve">cilindro s/c54629R</t>
  </si>
  <si>
    <t xml:space="preserve">100 x 2350 x 150</t>
  </si>
  <si>
    <t xml:space="preserve">cilindro s/c 67407R</t>
  </si>
  <si>
    <t xml:space="preserve">320 x 4100 x 400</t>
  </si>
  <si>
    <t xml:space="preserve">cilindro s/c 67407 R</t>
  </si>
  <si>
    <t xml:space="preserve">cilindro de retroexcavadora komatsu pc350</t>
  </si>
  <si>
    <t xml:space="preserve">240 x 2630 x 240</t>
  </si>
  <si>
    <t xml:space="preserve">Bruno Machinandiarena</t>
  </si>
  <si>
    <t xml:space="preserve">cilindro de topadora</t>
  </si>
  <si>
    <t xml:space="preserve">320 x 1900 x 220</t>
  </si>
  <si>
    <t xml:space="preserve"> uña de topadora</t>
  </si>
  <si>
    <t xml:space="preserve">170 x 670 x 100</t>
  </si>
  <si>
    <t xml:space="preserve">BIELETA CAT 980M</t>
  </si>
  <si>
    <t xml:space="preserve">5400-70-1-2</t>
  </si>
  <si>
    <t xml:space="preserve">HOLCIM PETROIS</t>
  </si>
  <si>
    <t xml:space="preserve">cilindro de picaroca</t>
  </si>
  <si>
    <t xml:space="preserve">200 x 1500 x 280</t>
  </si>
  <si>
    <t xml:space="preserve">Piso</t>
  </si>
  <si>
    <t xml:space="preserve">100 x 1100 x 100</t>
  </si>
  <si>
    <t xml:space="preserve">camcio de vastago y prolongar 50mm que sea todo rosca</t>
  </si>
  <si>
    <t xml:space="preserve">PUNZON MARTILLO GORILLA</t>
  </si>
  <si>
    <t xml:space="preserve">PUNZON MARTILLO NPK</t>
  </si>
  <si>
    <t xml:space="preserve">PUNZON MARTILLO GORILLA ORIGINAL</t>
  </si>
  <si>
    <t xml:space="preserve">6313 A</t>
  </si>
  <si>
    <t xml:space="preserve">AGV-falcon drilling</t>
  </si>
  <si>
    <t xml:space="preserve">cilindro de torre de morooka</t>
  </si>
  <si>
    <t xml:space="preserve">110 x 1260 x 130</t>
  </si>
  <si>
    <t xml:space="preserve">martillo hidraulico CAT 160E  + kit de repuesto</t>
  </si>
  <si>
    <t xml:space="preserve">BAGLEY</t>
  </si>
  <si>
    <t xml:space="preserve">actuador rotativo parker</t>
  </si>
  <si>
    <t xml:space="preserve">75 x 140 x 90</t>
  </si>
  <si>
    <t xml:space="preserve">ARENERA Courroux</t>
  </si>
  <si>
    <t xml:space="preserve">400 x 2000 x 250</t>
  </si>
  <si>
    <t xml:space="preserve">ricardo corrux</t>
  </si>
  <si>
    <t xml:space="preserve">KIT DE SELLOS  GROVE </t>
  </si>
  <si>
    <t xml:space="preserve">VADIEG s.a. </t>
  </si>
  <si>
    <t xml:space="preserve">cilindro de carreton </t>
  </si>
  <si>
    <t xml:space="preserve">230 x 950 x 260</t>
  </si>
  <si>
    <t xml:space="preserve">3516131733 luis pereyra</t>
  </si>
  <si>
    <t xml:space="preserve">VADIEG s.a.</t>
  </si>
  <si>
    <t xml:space="preserve">tapa de aluminio</t>
  </si>
  <si>
    <t xml:space="preserve">bomba manual</t>
  </si>
  <si>
    <t xml:space="preserve">B1</t>
  </si>
  <si>
    <t xml:space="preserve">power</t>
  </si>
  <si>
    <t xml:space="preserve">chapon a fabbricar </t>
  </si>
  <si>
    <t xml:space="preserve">Rodados Mediterranea</t>
  </si>
  <si>
    <t xml:space="preserve">camisa para modificar</t>
  </si>
  <si>
    <t xml:space="preserve">0351-4751500</t>
  </si>
  <si>
    <t xml:space="preserve">rodmedit@rodmedit.com.ar</t>
  </si>
  <si>
    <t xml:space="preserve">*000705</t>
  </si>
  <si>
    <t xml:space="preserve">CANTERA GRAN OMBU</t>
  </si>
  <si>
    <t xml:space="preserve">PISTON NUEVO SEGUN MUESTRA</t>
  </si>
  <si>
    <t xml:space="preserve">VASTAGO Ø125 X 1700 CON ANCLAJE RESCATADO</t>
  </si>
  <si>
    <t xml:space="preserve">VASTAGO Ø125 X 1700 CON ANCLAJE NUEVO</t>
  </si>
  <si>
    <t xml:space="preserve">6285-A</t>
  </si>
  <si>
    <t xml:space="preserve">6286-A</t>
  </si>
  <si>
    <t xml:space="preserve">cillindro hidraulico</t>
  </si>
  <si>
    <t xml:space="preserve">a11</t>
  </si>
  <si>
    <t xml:space="preserve">cimbra neumatica (desarmada en 3 cuerpos</t>
  </si>
  <si>
    <t xml:space="preserve">camisa de martillo </t>
  </si>
  <si>
    <t xml:space="preserve">210 x 375 x 210</t>
  </si>
  <si>
    <t xml:space="preserve">tapa de acumulado de nitrogeno</t>
  </si>
  <si>
    <t xml:space="preserve">holcim</t>
  </si>
  <si>
    <t xml:space="preserve">cil. hidraulico crs-250 b10 (rexroth)</t>
  </si>
  <si>
    <t xml:space="preserve">0296-00 014568</t>
  </si>
  <si>
    <t xml:space="preserve">rodados mediterranea</t>
  </si>
  <si>
    <t xml:space="preserve">vastago con tapa y piston</t>
  </si>
  <si>
    <t xml:space="preserve">2325 / 80 / 80</t>
  </si>
  <si>
    <t xml:space="preserve">*00054805</t>
  </si>
  <si>
    <t xml:space="preserve">cilindro de pc200-8</t>
  </si>
  <si>
    <t xml:space="preserve">240 x 2250 x 210</t>
  </si>
  <si>
    <t xml:space="preserve">3513238863 victor</t>
  </si>
  <si>
    <t xml:space="preserve">victormeeg@gmail.com</t>
  </si>
  <si>
    <t xml:space="preserve">250 / 2250 / 210</t>
  </si>
  <si>
    <t xml:space="preserve">Daniel Reynas</t>
  </si>
  <si>
    <t xml:space="preserve">cilindro de suspension</t>
  </si>
  <si>
    <t xml:space="preserve">145 x 490 x 210</t>
  </si>
  <si>
    <t xml:space="preserve">DIGON CLAUDIO</t>
  </si>
  <si>
    <t xml:space="preserve">cilindro de pala fiat cripsa</t>
  </si>
  <si>
    <t xml:space="preserve">210 x 1620 x 160</t>
  </si>
  <si>
    <t xml:space="preserve">CEDE srl</t>
  </si>
  <si>
    <t xml:space="preserve">cilindro desplazamiento</t>
  </si>
  <si>
    <t xml:space="preserve">200 x 1740 x 100</t>
  </si>
  <si>
    <t xml:space="preserve">3512388703 gerardo gudiño </t>
  </si>
  <si>
    <t xml:space="preserve">juan_maq@hotmail.com</t>
  </si>
  <si>
    <t xml:space="preserve">pedir mail al numero</t>
  </si>
  <si>
    <t xml:space="preserve">traba de vertedero</t>
  </si>
  <si>
    <t xml:space="preserve">100 x 350 x 100</t>
  </si>
  <si>
    <t xml:space="preserve">LOPEZ GRACIELA </t>
  </si>
  <si>
    <t xml:space="preserve">cilindro telescopico de camion volcador</t>
  </si>
  <si>
    <t xml:space="preserve">180 x 470 x 180</t>
  </si>
  <si>
    <t xml:space="preserve">3543552346 hugo flores </t>
  </si>
  <si>
    <t xml:space="preserve">gracielajlopez@gmail.com</t>
  </si>
  <si>
    <t xml:space="preserve">MODIFICACION ALESADORA GRANDES DIAMETROS</t>
  </si>
  <si>
    <t xml:space="preserve">MINERA SAN PEDRO</t>
  </si>
  <si>
    <t xml:space="preserve">vastago diametro 45mm</t>
  </si>
  <si>
    <t xml:space="preserve">45 x 1475 x  45</t>
  </si>
  <si>
    <t xml:space="preserve">prensa de pie completo atlas</t>
  </si>
  <si>
    <t xml:space="preserve">320 x 730 x 250</t>
  </si>
  <si>
    <t xml:space="preserve">chuk completo (camisa y piston)</t>
  </si>
  <si>
    <t xml:space="preserve">390 x 180 x 390</t>
  </si>
  <si>
    <t xml:space="preserve">juan martin oliveira cabaleiro</t>
  </si>
  <si>
    <t xml:space="preserve">tapa y piston para kit de sellos </t>
  </si>
  <si>
    <t xml:space="preserve">260 / 190 / 190</t>
  </si>
  <si>
    <t xml:space="preserve">cabaleiro@live.com.mx</t>
  </si>
  <si>
    <t xml:space="preserve">REPUESTOS OC 58254</t>
  </si>
  <si>
    <t xml:space="preserve">cilindro de suspension trasera 777F</t>
  </si>
  <si>
    <t xml:space="preserve">350 x 1200 x 350</t>
  </si>
  <si>
    <t xml:space="preserve">350 /  1200 / 350</t>
  </si>
  <si>
    <t xml:space="preserve">cilindro de levante de ripper d9r</t>
  </si>
  <si>
    <t xml:space="preserve">260 x 1150 x 300</t>
  </si>
  <si>
    <t xml:space="preserve">260 / 1150 / 300</t>
  </si>
  <si>
    <t xml:space="preserve">cilindro de direccion de 834H</t>
  </si>
  <si>
    <t xml:space="preserve">220 x 1420 x 170</t>
  </si>
  <si>
    <t xml:space="preserve">220 / 1420 / 170</t>
  </si>
  <si>
    <t xml:space="preserve">cilindro de volteo 980m</t>
  </si>
  <si>
    <t xml:space="preserve">260 x 1450 x 260</t>
  </si>
  <si>
    <t xml:space="preserve">260 / 1450 / 260</t>
  </si>
  <si>
    <t xml:space="preserve">5733-A</t>
  </si>
  <si>
    <t xml:space="preserve">cilindro de suspension  trasera 777F</t>
  </si>
  <si>
    <t xml:space="preserve">ruedas guias LH y RH cant.2</t>
  </si>
  <si>
    <t xml:space="preserve">700 x 410 x 750</t>
  </si>
  <si>
    <t xml:space="preserve">conjunto completo de bastidor p/armado</t>
  </si>
  <si>
    <t xml:space="preserve">5862-A</t>
  </si>
  <si>
    <t xml:space="preserve">GIACOMELLI </t>
  </si>
  <si>
    <t xml:space="preserve">eje de balancin </t>
  </si>
  <si>
    <t xml:space="preserve">convertidor</t>
  </si>
  <si>
    <t xml:space="preserve">4974-A</t>
  </si>
  <si>
    <t xml:space="preserve">cilindro espejo</t>
  </si>
  <si>
    <t xml:space="preserve">4975-A</t>
  </si>
  <si>
    <t xml:space="preserve">RESPALDO DELRIN S/MUESTRA</t>
  </si>
  <si>
    <t xml:space="preserve">GERBAUDO</t>
  </si>
  <si>
    <t xml:space="preserve">EJES PARA MECANIZAR Y PERF</t>
  </si>
  <si>
    <t xml:space="preserve">RODADOS MEDITERRANEO</t>
  </si>
  <si>
    <t xml:space="preserve">vastago de cilindro de direccion</t>
  </si>
  <si>
    <t xml:space="preserve">50 x 775 x 50</t>
  </si>
  <si>
    <t xml:space="preserve">CILINDRO TELESCOPICO</t>
  </si>
  <si>
    <t xml:space="preserve">130 x 1250 x 210</t>
  </si>
  <si>
    <t xml:space="preserve">PISO</t>
  </si>
  <si>
    <t xml:space="preserve">dispositivo de pulidora</t>
  </si>
  <si>
    <t xml:space="preserve">PISO B13 </t>
  </si>
  <si>
    <t xml:space="preserve">dispositivo de pulidora </t>
  </si>
  <si>
    <t xml:space="preserve">PISO B13</t>
  </si>
  <si>
    <t xml:space="preserve">CHEDIACK </t>
  </si>
  <si>
    <t xml:space="preserve">rotor de  grupo generador </t>
  </si>
  <si>
    <t xml:space="preserve">HOLCIM CAMPANA </t>
  </si>
  <si>
    <t xml:space="preserve">cilindro mmolino con rotula y buje en mon.</t>
  </si>
  <si>
    <t xml:space="preserve">3471-B-1</t>
  </si>
  <si>
    <t xml:space="preserve">cilindro robex hyundai 520</t>
  </si>
  <si>
    <t xml:space="preserve">420 x 2820 x 270</t>
  </si>
  <si>
    <t xml:space="preserve">POLYPACK SEGUN MEDIDAS ENVIADAS CANT 2</t>
  </si>
  <si>
    <t xml:space="preserve">MARCHISONE</t>
  </si>
  <si>
    <t xml:space="preserve">140 x 1100 x 180</t>
  </si>
  <si>
    <t xml:space="preserve">CIL TD480</t>
  </si>
  <si>
    <t xml:space="preserve">HACER VIRUTA PISTON</t>
  </si>
  <si>
    <t xml:space="preserve">ASTORI </t>
  </si>
  <si>
    <t xml:space="preserve">cilindro estabilizador grua 3</t>
  </si>
  <si>
    <t xml:space="preserve">190 x 640 x 340</t>
  </si>
  <si>
    <t xml:space="preserve">cilindro de extension </t>
  </si>
  <si>
    <t xml:space="preserve">130 x 1800 x 130</t>
  </si>
  <si>
    <t xml:space="preserve">PISO T.NARANJA</t>
  </si>
  <si>
    <t xml:space="preserve">250 x 930 x 250</t>
  </si>
  <si>
    <t xml:space="preserve">PISO A33</t>
  </si>
  <si>
    <t xml:space="preserve">SELLO BOMBA DE HORMIGON CANT 2</t>
  </si>
  <si>
    <t xml:space="preserve">PIISO</t>
  </si>
  <si>
    <t xml:space="preserve">conector</t>
  </si>
  <si>
    <t xml:space="preserve">cilindro de retro CAT313</t>
  </si>
  <si>
    <t xml:space="preserve">A13</t>
  </si>
  <si>
    <t xml:space="preserve">distribuidor de aceite</t>
  </si>
  <si>
    <t xml:space="preserve">cilindro de levante cat 345</t>
  </si>
  <si>
    <t xml:space="preserve">250 x 2460 x 250</t>
  </si>
  <si>
    <t xml:space="preserve">6167-A</t>
  </si>
  <si>
    <t xml:space="preserve">250 x 2460 x 250 </t>
  </si>
  <si>
    <t xml:space="preserve">punta de eje </t>
  </si>
  <si>
    <t xml:space="preserve">OMBU</t>
  </si>
  <si>
    <t xml:space="preserve">vastago mas piston</t>
  </si>
  <si>
    <t xml:space="preserve">PERFORACIONES IGLE</t>
  </si>
  <si>
    <t xml:space="preserve">RETENES VARIOS</t>
  </si>
  <si>
    <t xml:space="preserve">adaptador p/martillo</t>
  </si>
  <si>
    <t xml:space="preserve">540 x 1700 x 540</t>
  </si>
  <si>
    <t xml:space="preserve">contenedor 482-3-74</t>
  </si>
  <si>
    <t xml:space="preserve">140 x 965 x 140</t>
  </si>
  <si>
    <t xml:space="preserve">230 x 835 x 230</t>
  </si>
  <si>
    <t xml:space="preserve">REPUESTOS VARIOS SEGUN OC 937</t>
  </si>
  <si>
    <t xml:space="preserve">Giacomelli</t>
  </si>
  <si>
    <t xml:space="preserve">eje de molienda de caucho</t>
  </si>
  <si>
    <t xml:space="preserve">REPUESTOS VARIOS SEGUN OC 936</t>
  </si>
  <si>
    <t xml:space="preserve">MONTE DE LOS OIVOS</t>
  </si>
  <si>
    <t xml:space="preserve">170 x 670 x 170</t>
  </si>
  <si>
    <t xml:space="preserve">KIT DE SELLOS CIL DE DIRECCION</t>
  </si>
  <si>
    <t xml:space="preserve">ALFREDO LUCANA</t>
  </si>
  <si>
    <t xml:space="preserve">martillo indeco sin punzon</t>
  </si>
  <si>
    <t xml:space="preserve">esperar aviso del cliente x garant</t>
  </si>
  <si>
    <t xml:space="preserve">estrella para centrar sin fin y reten</t>
  </si>
  <si>
    <t xml:space="preserve">elias</t>
  </si>
  <si>
    <t xml:space="preserve">perno birrana/ pasador acero</t>
  </si>
  <si>
    <t xml:space="preserve">85x 233 x 85</t>
  </si>
  <si>
    <t xml:space="preserve">soporte oscilante de eje trasero housing</t>
  </si>
  <si>
    <t xml:space="preserve">balancin de cargadora</t>
  </si>
  <si>
    <t xml:space="preserve">BUJE PARTIDO PARA SISTEMA DE DIRECCION CANT 10</t>
  </si>
  <si>
    <t xml:space="preserve">GRUAS MARTIN </t>
  </si>
  <si>
    <t xml:space="preserve">cilindros de bobcat cant.2(trae 1 vastago)</t>
  </si>
  <si>
    <t xml:space="preserve">para fabricar sellos</t>
  </si>
  <si>
    <t xml:space="preserve">MANGUERA SEGUN PLANO</t>
  </si>
  <si>
    <t xml:space="preserve">tren trasero de autoelevador </t>
  </si>
  <si>
    <t xml:space="preserve">230 x 1200 x 330</t>
  </si>
  <si>
    <t xml:space="preserve">3516590207 PABLO</t>
  </si>
  <si>
    <t xml:space="preserve">190 x 1030 x 130</t>
  </si>
  <si>
    <t xml:space="preserve">cilindro de carro desplazador -carro despl.</t>
  </si>
  <si>
    <t xml:space="preserve">70 x 510 x 110</t>
  </si>
  <si>
    <t xml:space="preserve">cilindro eyector de balde </t>
  </si>
  <si>
    <t xml:space="preserve">260 x 750 x 200</t>
  </si>
  <si>
    <t xml:space="preserve">cilindro eyector de balde</t>
  </si>
  <si>
    <t xml:space="preserve">260 x 750 200</t>
  </si>
  <si>
    <t xml:space="preserve">CILINDRO LIEBHERR 90</t>
  </si>
  <si>
    <t xml:space="preserve">140 x 620 x 170</t>
  </si>
  <si>
    <t xml:space="preserve">SUDOSILO</t>
  </si>
  <si>
    <t xml:space="preserve">cilindro neumatico</t>
  </si>
  <si>
    <t xml:space="preserve">cilindro de giro de grua </t>
  </si>
  <si>
    <t xml:space="preserve">BARRAS Ø31.7 x 3000 PARA MECANIZAR CATN16</t>
  </si>
  <si>
    <t xml:space="preserve">5537-8811-00 BULON CANT 100</t>
  </si>
  <si>
    <t xml:space="preserve">cilindro pie de apoyo de grua</t>
  </si>
  <si>
    <t xml:space="preserve">115 x 1100 x 115</t>
  </si>
  <si>
    <t xml:space="preserve">115 x 1100 x 115 </t>
  </si>
  <si>
    <t xml:space="preserve">MINERA DON NICOLAS</t>
  </si>
  <si>
    <t xml:space="preserve">cilindro levante 772G</t>
  </si>
  <si>
    <t xml:space="preserve">-280 x 1500 x 280</t>
  </si>
  <si>
    <t xml:space="preserve">cilindro 980H 112-5003 gp - tilt</t>
  </si>
  <si>
    <t xml:space="preserve">310 x 1400 x 310</t>
  </si>
  <si>
    <t xml:space="preserve">MARCOS JOSE EBLAGON</t>
  </si>
  <si>
    <t xml:space="preserve">vastago long king 6225 c/kit de sellos (incompleto</t>
  </si>
  <si>
    <t xml:space="preserve">3516191262 facundo </t>
  </si>
  <si>
    <t xml:space="preserve">facundostutz24@gmail.com</t>
  </si>
  <si>
    <t xml:space="preserve">cilindro h. de vuelco ST2G (5580023017)</t>
  </si>
  <si>
    <t xml:space="preserve">240 x 1650 x 270</t>
  </si>
  <si>
    <t xml:space="preserve">Alexis </t>
  </si>
  <si>
    <t xml:space="preserve">cilindro h. de vuelco ST7 (5580002024)</t>
  </si>
  <si>
    <t xml:space="preserve">210 x 1150 x 250</t>
  </si>
  <si>
    <t xml:space="preserve">Alexis</t>
  </si>
  <si>
    <t xml:space="preserve">PEFO. IGLESIANAS</t>
  </si>
  <si>
    <t xml:space="preserve">cilindro prensa de pie atlas copco</t>
  </si>
  <si>
    <t xml:space="preserve">350 x 790 x 300</t>
  </si>
  <si>
    <t xml:space="preserve">martillo h. H120ES serie HHE00458</t>
  </si>
  <si>
    <t xml:space="preserve">LLEGO DESARMADO</t>
  </si>
  <si>
    <t xml:space="preserve">cilindro de levante equipo 405</t>
  </si>
  <si>
    <t xml:space="preserve">340 x 1740 x 340 </t>
  </si>
  <si>
    <t xml:space="preserve">PISO A9</t>
  </si>
  <si>
    <t xml:space="preserve">cilindro  hidraulico FE 103</t>
  </si>
  <si>
    <t xml:space="preserve">180 x 1300 x 200</t>
  </si>
  <si>
    <t xml:space="preserve">PISO A23</t>
  </si>
  <si>
    <t xml:space="preserve">PUNZON MARTILLO CINZEL</t>
  </si>
  <si>
    <t xml:space="preserve">PUNZON MARTILLO LAPIZ</t>
  </si>
  <si>
    <t xml:space="preserve">CILINDRO ELEVADOR DE PRENSA P900T</t>
  </si>
  <si>
    <t xml:space="preserve">cilindro de brazo HA16</t>
  </si>
  <si>
    <t xml:space="preserve">120 x 1100 x 170</t>
  </si>
  <si>
    <t xml:space="preserve">A 9</t>
  </si>
  <si>
    <t xml:space="preserve">SHAFT PZA N° 3128 3143 27</t>
  </si>
  <si>
    <t xml:space="preserve">30 X 30 X 56</t>
  </si>
  <si>
    <t xml:space="preserve">SHAFT N° 3222 3062 27</t>
  </si>
  <si>
    <t xml:space="preserve">20 X 20 X 158</t>
  </si>
  <si>
    <t xml:space="preserve">PLAIN BEARING N° 5004 5006 1</t>
  </si>
  <si>
    <t xml:space="preserve">31 X 31 X 16</t>
  </si>
  <si>
    <t xml:space="preserve">6264-A</t>
  </si>
  <si>
    <t xml:space="preserve">dispositivo guia de bomba</t>
  </si>
  <si>
    <t xml:space="preserve">ORING VITON ØINT: 1034.5 CANT 2</t>
  </si>
  <si>
    <t xml:space="preserve">ORING VITON ØINT: 1064.5 CANT 2</t>
  </si>
  <si>
    <r>
      <rPr>
        <sz val="11"/>
        <color theme="1"/>
        <rFont val="Arial"/>
        <family val="0"/>
        <charset val="1"/>
      </rPr>
      <t xml:space="preserve">GRUAS </t>
    </r>
    <r>
      <rPr>
        <b val="true"/>
        <i val="true"/>
        <sz val="11"/>
        <color theme="1"/>
        <rFont val="Arial"/>
        <family val="0"/>
        <charset val="1"/>
      </rPr>
      <t xml:space="preserve">LA BRISA</t>
    </r>
  </si>
  <si>
    <t xml:space="preserve">brazo de grua con pie de apoyo</t>
  </si>
  <si>
    <t xml:space="preserve">gruasdabrisa@gmail.com</t>
  </si>
  <si>
    <t xml:space="preserve">MARCOS SANCHEZ</t>
  </si>
  <si>
    <t xml:space="preserve">Ricardo Aguero</t>
  </si>
  <si>
    <t xml:space="preserve">finning </t>
  </si>
  <si>
    <t xml:space="preserve">transmin 950H m5k01165</t>
  </si>
  <si>
    <t xml:space="preserve">1150 / 600 / 650</t>
  </si>
  <si>
    <t xml:space="preserve">70 / 70 / 25</t>
  </si>
  <si>
    <t xml:space="preserve">140 x 700 x 180</t>
  </si>
  <si>
    <t xml:space="preserve">A33 PISO</t>
  </si>
  <si>
    <t xml:space="preserve">SEBASTIAN CONTE</t>
  </si>
  <si>
    <t xml:space="preserve">PLACAS DE BRONCE</t>
  </si>
  <si>
    <t xml:space="preserve">cilindro de inyectora</t>
  </si>
  <si>
    <t xml:space="preserve">KIT DE SELLOS SEGUN MUESTRA 10UN</t>
  </si>
  <si>
    <t xml:space="preserve">EDUARDO MERCHAN</t>
  </si>
  <si>
    <t xml:space="preserve">engranaje de compresor diam.140mm</t>
  </si>
  <si>
    <t xml:space="preserve">140 x 55 x 140</t>
  </si>
  <si>
    <t xml:space="preserve">EDUARDO MERCHAN </t>
  </si>
  <si>
    <t xml:space="preserve">engranaje de compresor diam. 230mm</t>
  </si>
  <si>
    <t xml:space="preserve">230 x 55 x 230</t>
  </si>
  <si>
    <t xml:space="preserve">cilindro hidraulico brazo</t>
  </si>
  <si>
    <t xml:space="preserve">240 x 700 x 240</t>
  </si>
  <si>
    <t xml:space="preserve">ciindro hidraulico brazo (chico)</t>
  </si>
  <si>
    <t xml:space="preserve">180 x 700 x 200</t>
  </si>
  <si>
    <t xml:space="preserve">180 X 700 X 200</t>
  </si>
  <si>
    <t xml:space="preserve">MANSFIELD MINERA</t>
  </si>
  <si>
    <t xml:space="preserve">cilindro de levante derecho komatsu</t>
  </si>
  <si>
    <t xml:space="preserve">375 x 2600 x 375</t>
  </si>
  <si>
    <t xml:space="preserve">ROMERO CAMMISA</t>
  </si>
  <si>
    <t xml:space="preserve">cilindro hidraulico excavadora </t>
  </si>
  <si>
    <t xml:space="preserve">180 x 1850 x 180</t>
  </si>
  <si>
    <t xml:space="preserve">CILINDRO HIDRAULICO DE TOLVA COE</t>
  </si>
  <si>
    <t xml:space="preserve">cilindro h. de prensa carton </t>
  </si>
  <si>
    <t xml:space="preserve">300 x 1600 x 210</t>
  </si>
  <si>
    <t xml:space="preserve">A23</t>
  </si>
  <si>
    <t xml:space="preserve">TAPA DE INYTECTORA PARA KIT DE SELLOS</t>
  </si>
  <si>
    <t xml:space="preserve">FLUOROPACK + MODIF PISTON</t>
  </si>
  <si>
    <t xml:space="preserve">CILINDOR MOLINO + RESPUESTOS</t>
  </si>
  <si>
    <t xml:space="preserve">cilindro teles. doble efecto ( de perforadora)</t>
  </si>
  <si>
    <t xml:space="preserve">TECNO FUNDACIONES</t>
  </si>
  <si>
    <t xml:space="preserve">cilindro h. de torre (desarmado)</t>
  </si>
  <si>
    <t xml:space="preserve">inmecor.sm@gmail.com</t>
  </si>
  <si>
    <t xml:space="preserve">MARTIN</t>
  </si>
  <si>
    <t xml:space="preserve">VIMECO S.A.</t>
  </si>
  <si>
    <t xml:space="preserve">cilindro h. de retro case 580 </t>
  </si>
  <si>
    <t xml:space="preserve">130 x 1000 x 170</t>
  </si>
  <si>
    <t xml:space="preserve">taller@vimeco.com.ar</t>
  </si>
  <si>
    <t xml:space="preserve">martin olea</t>
  </si>
  <si>
    <t xml:space="preserve">KIT DE SELLOS PARA CILINDRO TELES DOBLE EFECTO (OT 6445)</t>
  </si>
  <si>
    <t xml:space="preserve">palier de retropala x2</t>
  </si>
  <si>
    <t xml:space="preserve">DABRISA</t>
  </si>
  <si>
    <t xml:space="preserve">cilondro h. de grua grover</t>
  </si>
  <si>
    <t xml:space="preserve">300x 2250 x 130</t>
  </si>
  <si>
    <t xml:space="preserve">B3 PISO</t>
  </si>
  <si>
    <t xml:space="preserve">RMERO CAMISSA</t>
  </si>
  <si>
    <t xml:space="preserve">vastago para verificar reemplazo de ot6438</t>
  </si>
  <si>
    <t xml:space="preserve">vastago de cil. CAT 262 ojo  partido</t>
  </si>
  <si>
    <t xml:space="preserve">EPIROC CHISEL PASTE x12</t>
  </si>
  <si>
    <t xml:space="preserve">vastago (URGENTE)</t>
  </si>
  <si>
    <t xml:space="preserve">300 x 1900 x 200</t>
  </si>
  <si>
    <t xml:space="preserve">CILINDRO MIXER</t>
  </si>
  <si>
    <t xml:space="preserve">cilindro 938H (serie 1523503)</t>
  </si>
  <si>
    <t xml:space="preserve">100 x 1050 x 180</t>
  </si>
  <si>
    <t xml:space="preserve">100 X 1050 X 180</t>
  </si>
  <si>
    <t xml:space="preserve"> B26</t>
  </si>
  <si>
    <t xml:space="preserve">Juan Molina</t>
  </si>
  <si>
    <t xml:space="preserve">cilindro 938H (serie 2377549)</t>
  </si>
  <si>
    <t xml:space="preserve">200 x 1330 x 200</t>
  </si>
  <si>
    <t xml:space="preserve">cilindro 938H ( serie 2377548)</t>
  </si>
  <si>
    <t xml:space="preserve">500 x 1450 x 200</t>
  </si>
  <si>
    <t xml:space="preserve">cilindro 420 F (serie 3818055)</t>
  </si>
  <si>
    <t xml:space="preserve">240 x 710 x 190</t>
  </si>
  <si>
    <t xml:space="preserve">240 x 710 x 90</t>
  </si>
  <si>
    <t xml:space="preserve">cilindro 938 H ( serie 2377549)</t>
  </si>
  <si>
    <t xml:space="preserve">160 x 1360 x 240</t>
  </si>
  <si>
    <t xml:space="preserve">cilindro 420 F ( serie 2120463)</t>
  </si>
  <si>
    <t xml:space="preserve">150 x 1250 x 220</t>
  </si>
  <si>
    <t xml:space="preserve">cilindro de levante scania P410 ( bacho)</t>
  </si>
  <si>
    <t xml:space="preserve">270 x 1600 x 270</t>
  </si>
  <si>
    <t xml:space="preserve">cilindro 938 H</t>
  </si>
  <si>
    <t xml:space="preserve">150 x 1430 x 250</t>
  </si>
  <si>
    <t xml:space="preserve">cilindro de muestra</t>
  </si>
  <si>
    <t xml:space="preserve">85 x 2425 x 85</t>
  </si>
  <si>
    <t xml:space="preserve">BULON, TUERCA Y ESPARRAGO</t>
  </si>
  <si>
    <t xml:space="preserve">140 x 770 x 170</t>
  </si>
  <si>
    <t xml:space="preserve">camisa para fabricar sellos</t>
  </si>
  <si>
    <t xml:space="preserve">60 x 480 x 80</t>
  </si>
  <si>
    <t xml:space="preserve">gato hidraulico mod.200 serial 9903</t>
  </si>
  <si>
    <t xml:space="preserve">hidrolavador industrial </t>
  </si>
  <si>
    <t xml:space="preserve">LUROVIAL srl</t>
  </si>
  <si>
    <t xml:space="preserve">cilindro retro case</t>
  </si>
  <si>
    <t xml:space="preserve">170 x 1620 x 170</t>
  </si>
  <si>
    <t xml:space="preserve">1140906935 noelia suppo</t>
  </si>
  <si>
    <t xml:space="preserve">nsuppo@luro.com.ar</t>
  </si>
  <si>
    <t xml:space="preserve">cilindro parrilla</t>
  </si>
  <si>
    <t xml:space="preserve">350 x 550 x 250</t>
  </si>
  <si>
    <t xml:space="preserve">350 X 550 X 250 </t>
  </si>
  <si>
    <t xml:space="preserve">A33</t>
  </si>
  <si>
    <t xml:space="preserve">350 X 5650 X 250</t>
  </si>
  <si>
    <t xml:space="preserve">B33</t>
  </si>
  <si>
    <t xml:space="preserve">cilindro hiidraulico</t>
  </si>
  <si>
    <t xml:space="preserve">150 x 1320 x 180</t>
  </si>
  <si>
    <t xml:space="preserve">150 X 1320 X 180</t>
  </si>
  <si>
    <t xml:space="preserve">A35</t>
  </si>
  <si>
    <t xml:space="preserve">bujes de pc350</t>
  </si>
  <si>
    <t xml:space="preserve">120 x 95 x 90</t>
  </si>
  <si>
    <t xml:space="preserve">cilindro de motoniveladora jhon deer</t>
  </si>
  <si>
    <t xml:space="preserve">160 x 1150 x 150</t>
  </si>
  <si>
    <t xml:space="preserve">perno de pc 350</t>
  </si>
  <si>
    <t xml:space="preserve">90 x 570 x 90</t>
  </si>
  <si>
    <t xml:space="preserve">1050 / 160 / 180</t>
  </si>
  <si>
    <t xml:space="preserve">KIT DE SELLOS CIL DE PRENSA (OT 6181)</t>
  </si>
  <si>
    <t xml:space="preserve">cilindro h.cat 336</t>
  </si>
  <si>
    <t xml:space="preserve">300 x 2450 x 320</t>
  </si>
  <si>
    <t xml:space="preserve">KIT DE SELLOS (6 PARTES) CANT:3</t>
  </si>
  <si>
    <t xml:space="preserve">marchisone s.a</t>
  </si>
  <si>
    <t xml:space="preserve">2 Camisas  + piston</t>
  </si>
  <si>
    <t xml:space="preserve">guillermo.salvucci@marchisone-sa.com.ar</t>
  </si>
  <si>
    <t xml:space="preserve">RETEN 160X190X15 LX CANT 25</t>
  </si>
  <si>
    <t xml:space="preserve">RETEN 170X190X15 LX CANT 25</t>
  </si>
  <si>
    <t xml:space="preserve">RETEN 180X210X15 LX CANT 25</t>
  </si>
  <si>
    <t xml:space="preserve">KIT DE SELLOS (2 PARTES) 9 Y 1</t>
  </si>
  <si>
    <t xml:space="preserve">tuerca hidraulica y 3 manguitos</t>
  </si>
  <si>
    <t xml:space="preserve">CILINDRO DIR HID. 5580 0175 99 ST7</t>
  </si>
  <si>
    <t xml:space="preserve">190 x 1000 x 150</t>
  </si>
  <si>
    <t xml:space="preserve">FLIA ZUCCARDI</t>
  </si>
  <si>
    <t xml:space="preserve">CARRETON</t>
  </si>
  <si>
    <t xml:space="preserve">HEX. HEAD CREW 0147-1107-32 WAGNER ST7 BULON (M20 X 280)</t>
  </si>
  <si>
    <t xml:space="preserve">150 x 490 x 210</t>
  </si>
  <si>
    <t xml:space="preserve">mferravante@haulotte.com</t>
  </si>
  <si>
    <t xml:space="preserve">KIT DE SELLOS CIL DE PRENSA OT 6302</t>
  </si>
  <si>
    <t xml:space="preserve">BARRA CROMADA Ø25 X 400</t>
  </si>
  <si>
    <t xml:space="preserve">martillo picarrocas NPK modelo GH12</t>
  </si>
  <si>
    <t xml:space="preserve">6227-A</t>
  </si>
  <si>
    <t xml:space="preserve">cilindro de avance</t>
  </si>
  <si>
    <t xml:space="preserve">6337 A</t>
  </si>
  <si>
    <t xml:space="preserve">BOMBA HYTORC</t>
  </si>
  <si>
    <t xml:space="preserve">290 x 280 x 450</t>
  </si>
  <si>
    <t xml:space="preserve">430 x 450 x 600</t>
  </si>
  <si>
    <t xml:space="preserve">CILINDRO DE POWER EXPANSOR</t>
  </si>
  <si>
    <t xml:space="preserve">260 x 260 x 370</t>
  </si>
  <si>
    <t xml:space="preserve">A23 PISO</t>
  </si>
  <si>
    <t xml:space="preserve">250 x 250 x 350</t>
  </si>
  <si>
    <t xml:space="preserve">A 23 PÌSO</t>
  </si>
  <si>
    <t xml:space="preserve">290 x 290 x 300</t>
  </si>
  <si>
    <t xml:space="preserve">CILINDRO DE POWER EXPANSOR </t>
  </si>
  <si>
    <t xml:space="preserve">150 x 150 x 530</t>
  </si>
  <si>
    <t xml:space="preserve">120 x 120 x 350</t>
  </si>
  <si>
    <t xml:space="preserve">BOMBA DE TORQUE </t>
  </si>
  <si>
    <t xml:space="preserve">330 x 530 x 460</t>
  </si>
  <si>
    <t xml:space="preserve">BOMBA H. ENER PACK ZU4</t>
  </si>
  <si>
    <t xml:space="preserve">280 x 580 x 500</t>
  </si>
  <si>
    <t xml:space="preserve">cilindro de levante  (1)</t>
  </si>
  <si>
    <t xml:space="preserve">260 x 2200 x 300</t>
  </si>
  <si>
    <t xml:space="preserve">cilindro de levante (1)</t>
  </si>
  <si>
    <t xml:space="preserve">maza de articulacion c/ rodamiento y reten</t>
  </si>
  <si>
    <t xml:space="preserve">AGV FALCON DRILLIN</t>
  </si>
  <si>
    <t xml:space="preserve">XRING 186 S: 7 (COD: 5821)</t>
  </si>
  <si>
    <t xml:space="preserve">KIT DE SELLOS OT 4686</t>
  </si>
  <si>
    <t xml:space="preserve">BOLSACO s.a.</t>
  </si>
  <si>
    <t xml:space="preserve">EJE CENTRIFUGO</t>
  </si>
  <si>
    <t xml:space="preserve">KIT DE SELLOS Ø 25 Ø130</t>
  </si>
  <si>
    <t xml:space="preserve">cilindro h. contrapunta revatible (5435)</t>
  </si>
  <si>
    <t xml:space="preserve">170 x 1400 x 200</t>
  </si>
  <si>
    <t xml:space="preserve">cilindro de recupero (5434)</t>
  </si>
  <si>
    <t xml:space="preserve">75 x 400 x 75</t>
  </si>
  <si>
    <t xml:space="preserve">DAYCO </t>
  </si>
  <si>
    <t xml:space="preserve">cilindro h. tapa jirafa (5433)</t>
  </si>
  <si>
    <t xml:space="preserve">200 x 800 x 240</t>
  </si>
  <si>
    <t xml:space="preserve">cilindro h. ghiera ( 5432)</t>
  </si>
  <si>
    <t xml:space="preserve">80 x 600 x 80</t>
  </si>
  <si>
    <t xml:space="preserve">6262-A</t>
  </si>
  <si>
    <t xml:space="preserve">CILINDRO ELEVADOR TIJERA</t>
  </si>
  <si>
    <t xml:space="preserve">cilindro h. brazo en s ( bomba lodos)</t>
  </si>
  <si>
    <t xml:space="preserve">90 x 400 x 120</t>
  </si>
  <si>
    <t xml:space="preserve">B2</t>
  </si>
  <si>
    <t xml:space="preserve">Joaquin Ludueña</t>
  </si>
  <si>
    <t xml:space="preserve">anillo sello de rodillo  moli y sello de acei.</t>
  </si>
  <si>
    <t xml:space="preserve">FLUORITA CORDOBA </t>
  </si>
  <si>
    <t xml:space="preserve">3512620889 tomas </t>
  </si>
  <si>
    <t xml:space="preserve">  tomas_197@hotmail.com</t>
  </si>
  <si>
    <t xml:space="preserve">RADAR CONSTRUCTORA </t>
  </si>
  <si>
    <t xml:space="preserve">cilindro h. retro... volvo bl60b</t>
  </si>
  <si>
    <t xml:space="preserve">140 x 1140 x 140</t>
  </si>
  <si>
    <t xml:space="preserve">3804617398 horacio crespo . horacioecrespo@gmail.com</t>
  </si>
  <si>
    <t xml:space="preserve"> . cuit 30671930130</t>
  </si>
  <si>
    <t xml:space="preserve">A32</t>
  </si>
  <si>
    <t xml:space="preserve">b32</t>
  </si>
  <si>
    <t xml:space="preserve">180 x 1000 x 180</t>
  </si>
  <si>
    <t xml:space="preserve">200 x 1150  x 230</t>
  </si>
  <si>
    <t xml:space="preserve">200 x 1150 x 230</t>
  </si>
  <si>
    <t xml:space="preserve">MOTOR DE TRACCION DE ORUGA BOBCAT 325E</t>
  </si>
  <si>
    <t xml:space="preserve">GRUMAQ</t>
  </si>
  <si>
    <t xml:space="preserve">camisa de cilindro de elevacion + piston</t>
  </si>
  <si>
    <t xml:space="preserve">180 x 1250 x 230</t>
  </si>
  <si>
    <t xml:space="preserve">MICOLINI</t>
  </si>
  <si>
    <t xml:space="preserve">MORDAZAS SISTEMA LONG HOLE X 16UNID</t>
  </si>
  <si>
    <t xml:space="preserve">  </t>
  </si>
  <si>
    <t xml:space="preserve">cil. prensa de pie atlas copco</t>
  </si>
  <si>
    <t xml:space="preserve">250 x 740 x 210</t>
  </si>
  <si>
    <t xml:space="preserve">MINERA MANSFIELD</t>
  </si>
  <si>
    <t xml:space="preserve">cil.hoja vertedora sd ped 2022101229</t>
  </si>
  <si>
    <t xml:space="preserve">100 x 1840 x 140</t>
  </si>
  <si>
    <t xml:space="preserve">KIT DE SELLOS COE </t>
  </si>
  <si>
    <t xml:space="preserve">conectores cantidad 2</t>
  </si>
  <si>
    <t xml:space="preserve">cil. hidraulico 212 +TB1</t>
  </si>
  <si>
    <t xml:space="preserve">220 x 630 x 160</t>
  </si>
  <si>
    <t xml:space="preserve">cilindro hidraulico 212 + TB1</t>
  </si>
  <si>
    <t xml:space="preserve">cilindro hidraulico 212 - TB0</t>
  </si>
  <si>
    <t xml:space="preserve">300 x 600 x 230</t>
  </si>
  <si>
    <t xml:space="preserve">ADAPTADORES BOMBA DE PEGADO</t>
  </si>
  <si>
    <t xml:space="preserve">KIT DE SELLOS  Ø25 Ø130 + BRONCE</t>
  </si>
  <si>
    <t xml:space="preserve">VALLE LA PUERTA </t>
  </si>
  <si>
    <t xml:space="preserve">cilindro coe largo </t>
  </si>
  <si>
    <t xml:space="preserve">Alexis Palomino</t>
  </si>
  <si>
    <t xml:space="preserve">5095-1-2-3</t>
  </si>
  <si>
    <t xml:space="preserve">CONTE 7</t>
  </si>
  <si>
    <t xml:space="preserve">martillo hidraulicl bobcat</t>
  </si>
  <si>
    <t xml:space="preserve">cilindro de stick cat 345c</t>
  </si>
  <si>
    <t xml:space="preserve">motor de oruga</t>
  </si>
  <si>
    <t xml:space="preserve">tubo bruñido Ø 190 x Ø 230 X 250 mm</t>
  </si>
  <si>
    <t xml:space="preserve">VASTAGO 28.6 X 350</t>
  </si>
  <si>
    <t xml:space="preserve">VASTAGO 28.6 X 300</t>
  </si>
  <si>
    <t xml:space="preserve">VASTAGO 28.6 X 250</t>
  </si>
  <si>
    <t xml:space="preserve">VASTAGO LARGO DE CIL MOLINO</t>
  </si>
  <si>
    <t xml:space="preserve">MANGUITO DENTADO</t>
  </si>
  <si>
    <t xml:space="preserve">VASTAGOS COE CORTO  x 2</t>
  </si>
  <si>
    <t xml:space="preserve">Gustavo Martinez</t>
  </si>
  <si>
    <t xml:space="preserve">cil cat 6938</t>
  </si>
  <si>
    <t xml:space="preserve">1300 / 210 / 120</t>
  </si>
  <si>
    <t xml:space="preserve">cilindro  cat6938</t>
  </si>
  <si>
    <t xml:space="preserve">reparar+</t>
  </si>
  <si>
    <t xml:space="preserve">MODIF DE PUNTAS MARTILLO</t>
  </si>
  <si>
    <t xml:space="preserve">Aceitera Argentina</t>
  </si>
  <si>
    <t xml:space="preserve">Cilindro COE</t>
  </si>
  <si>
    <t xml:space="preserve">130 x 180 x 770</t>
  </si>
  <si>
    <t xml:space="preserve">130 x 770 x 180</t>
  </si>
  <si>
    <t xml:space="preserve">130 X 770 X 180</t>
  </si>
  <si>
    <t xml:space="preserve">Contenedor 482-3-73-D105</t>
  </si>
  <si>
    <t xml:space="preserve">D240 x L960</t>
  </si>
  <si>
    <t xml:space="preserve">Grumaq</t>
  </si>
  <si>
    <t xml:space="preserve">Cilindro hidráulico</t>
  </si>
  <si>
    <t xml:space="preserve">100 x 160 x 1370</t>
  </si>
  <si>
    <t xml:space="preserve">110 x 140 x 790</t>
  </si>
  <si>
    <t xml:space="preserve">750 / 135 / 115</t>
  </si>
  <si>
    <t xml:space="preserve">Baigorria Matias</t>
  </si>
  <si>
    <t xml:space="preserve">Cilindro hidráulico telescópico</t>
  </si>
  <si>
    <t xml:space="preserve">260 x 300 x 1730</t>
  </si>
  <si>
    <t xml:space="preserve">3516768509/ 3513407384</t>
  </si>
  <si>
    <t xml:space="preserve">baigorriamatias3421@gmail.com</t>
  </si>
  <si>
    <t xml:space="preserve">320 x 350 x 1350</t>
  </si>
  <si>
    <t xml:space="preserve">350 x 1350 x 350</t>
  </si>
  <si>
    <t xml:space="preserve">Falta Vastago con Piston</t>
  </si>
  <si>
    <t xml:space="preserve">cilindro hidráulico de dirección 777F</t>
  </si>
  <si>
    <t xml:space="preserve">130 x 170 x 1150</t>
  </si>
  <si>
    <t xml:space="preserve">Bomba hidráulica</t>
  </si>
  <si>
    <t xml:space="preserve">290 x 500 x 450</t>
  </si>
  <si>
    <t xml:space="preserve">Metalúrgica C y G</t>
  </si>
  <si>
    <t xml:space="preserve">Contrapunta de torno</t>
  </si>
  <si>
    <t xml:space="preserve">200 x 240 x 490</t>
  </si>
  <si>
    <t xml:space="preserve">fpazos@gmail.com</t>
  </si>
  <si>
    <t xml:space="preserve">aguilon CAT 930</t>
  </si>
  <si>
    <t xml:space="preserve">1250 x 2700 x 950</t>
  </si>
  <si>
    <t xml:space="preserve">CIL PRENSA GUILLOTINA</t>
  </si>
  <si>
    <t xml:space="preserve">Cilindro Hidraulico de plataforma Haulotte</t>
  </si>
  <si>
    <t xml:space="preserve">490 / 150 / 145</t>
  </si>
  <si>
    <t xml:space="preserve">Cotizar</t>
  </si>
  <si>
    <t xml:space="preserve">NEWMONT ARGENTINA</t>
  </si>
  <si>
    <t xml:space="preserve">cilindro 56014134</t>
  </si>
  <si>
    <t xml:space="preserve">190x1250x200</t>
  </si>
  <si>
    <t xml:space="preserve">cilindro steering 56015966</t>
  </si>
  <si>
    <t xml:space="preserve">230 x 1160 x 250</t>
  </si>
  <si>
    <t xml:space="preserve">cilindro de avance cx010546</t>
  </si>
  <si>
    <t xml:space="preserve">300 x 2400 x 250</t>
  </si>
  <si>
    <t xml:space="preserve">1150 / 220 / 210</t>
  </si>
  <si>
    <t xml:space="preserve">230 x 1160 x 250 </t>
  </si>
  <si>
    <t xml:space="preserve">CILINDRO DE TORRE PERFORADORA MOROOKA LARGO</t>
  </si>
  <si>
    <t xml:space="preserve">CILINDRO DE TORRE PERFORADORA MOROOKA CORTO</t>
  </si>
  <si>
    <t xml:space="preserve">KIT DE SELLOS  CHUCK CHINA</t>
  </si>
  <si>
    <t xml:space="preserve">cilindro hidraulico 5353</t>
  </si>
  <si>
    <t xml:space="preserve">250 x 1350 x 230</t>
  </si>
  <si>
    <t xml:space="preserve">Alvaro Rios</t>
  </si>
  <si>
    <t xml:space="preserve">cilindro hidraulico 5354</t>
  </si>
  <si>
    <t xml:space="preserve">100 x 1350 x 100</t>
  </si>
  <si>
    <t xml:space="preserve">cilindro hidraulico 5358</t>
  </si>
  <si>
    <t xml:space="preserve">80 x 600 x 150</t>
  </si>
  <si>
    <t xml:space="preserve">cilindro hidraulico 5356</t>
  </si>
  <si>
    <t xml:space="preserve">110 x 200 x 90</t>
  </si>
  <si>
    <t xml:space="preserve">cilindro hidraulico 5355</t>
  </si>
  <si>
    <t xml:space="preserve">APC SA</t>
  </si>
  <si>
    <t xml:space="preserve">CILINDRO HIDRAULICO DE AUTOELEVADOR</t>
  </si>
  <si>
    <t xml:space="preserve">julio@apcsa.com.ar</t>
  </si>
  <si>
    <t xml:space="preserve">cotizar reparacion, vastago cortado</t>
  </si>
  <si>
    <t xml:space="preserve">KIT DE SELLOS SEGUN MUESTRA (OT 6202)</t>
  </si>
  <si>
    <t xml:space="preserve">cilindro de tijera inyectora</t>
  </si>
  <si>
    <t xml:space="preserve">270 x 740 x 160</t>
  </si>
  <si>
    <t xml:space="preserve">60 x 450 x 250</t>
  </si>
  <si>
    <t xml:space="preserve">No lleva ficha, cilindro nuevo</t>
  </si>
  <si>
    <t xml:space="preserve">contenedor n75</t>
  </si>
  <si>
    <t xml:space="preserve">cilindro stick (amarillo cat)</t>
  </si>
  <si>
    <t xml:space="preserve">330 x 3000 x 330</t>
  </si>
  <si>
    <t xml:space="preserve">cilindro stick (gris)</t>
  </si>
  <si>
    <t xml:space="preserve">330 / 3000 / 330</t>
  </si>
  <si>
    <t xml:space="preserve">A31</t>
  </si>
  <si>
    <t xml:space="preserve">200 x 1200 x 200</t>
  </si>
  <si>
    <t xml:space="preserve">B13</t>
  </si>
  <si>
    <t xml:space="preserve">cilindro coe CORTO</t>
  </si>
  <si>
    <t xml:space="preserve">130 x 815 x 170</t>
  </si>
  <si>
    <t xml:space="preserve">A 35 PISO</t>
  </si>
  <si>
    <t xml:space="preserve">5628 -A</t>
  </si>
  <si>
    <t xml:space="preserve">cilindro OMC</t>
  </si>
  <si>
    <t xml:space="preserve">100 x 880 x 200</t>
  </si>
  <si>
    <t xml:space="preserve">cotizar, volo tapa</t>
  </si>
  <si>
    <t xml:space="preserve">6014 A</t>
  </si>
  <si>
    <t xml:space="preserve">ALLPACK </t>
  </si>
  <si>
    <t xml:space="preserve">140 x 800 x 170</t>
  </si>
  <si>
    <t xml:space="preserve">6218-A</t>
  </si>
  <si>
    <t xml:space="preserve">allpack</t>
  </si>
  <si>
    <t xml:space="preserve">140 x 580 x 170</t>
  </si>
  <si>
    <t xml:space="preserve">JUMI srl </t>
  </si>
  <si>
    <t xml:space="preserve">cilindro retro 350 </t>
  </si>
  <si>
    <t xml:space="preserve">350 x 3000 x 350</t>
  </si>
  <si>
    <t xml:space="preserve">2650 / 300 / 300</t>
  </si>
  <si>
    <t xml:space="preserve">Desarmado</t>
  </si>
  <si>
    <t xml:space="preserve">VASTAGO COE CORTO </t>
  </si>
  <si>
    <t xml:space="preserve">JORGE CLADYS</t>
  </si>
  <si>
    <t xml:space="preserve">MELLI AUTOMOTORES SRL</t>
  </si>
  <si>
    <t xml:space="preserve">TUBO BRUÑIDO Ø50 X 60 L: 4METROS</t>
  </si>
  <si>
    <t xml:space="preserve">gruas martin</t>
  </si>
  <si>
    <t xml:space="preserve">polipacks 1870-1250-266b</t>
  </si>
  <si>
    <t xml:space="preserve">cilindro hidraulico blanco </t>
  </si>
  <si>
    <t xml:space="preserve">110 x 520 x 70</t>
  </si>
  <si>
    <t xml:space="preserve">cilindro hidraulico amarillo</t>
  </si>
  <si>
    <t xml:space="preserve">HOLCIM PLANTA NORTE DE HORMIGON</t>
  </si>
  <si>
    <t xml:space="preserve">bomba hidraulica ( con manija)</t>
  </si>
  <si>
    <t xml:space="preserve">150 x 600 x 300</t>
  </si>
  <si>
    <t xml:space="preserve">HOLCIM PLANTA N. DE HORMIGON</t>
  </si>
  <si>
    <t xml:space="preserve">bomba hidraulica (con manija)</t>
  </si>
  <si>
    <t xml:space="preserve">bomba bidraulica ( sin manija)</t>
  </si>
  <si>
    <t xml:space="preserve">170 x 330 x 200</t>
  </si>
  <si>
    <t xml:space="preserve">5989-A</t>
  </si>
  <si>
    <t xml:space="preserve">cuerpo de valvulas </t>
  </si>
  <si>
    <t xml:space="preserve">250 x 550 x 200</t>
  </si>
  <si>
    <t xml:space="preserve">Cilindro Terex</t>
  </si>
  <si>
    <t xml:space="preserve">1500 / 200 / 160</t>
  </si>
  <si>
    <t xml:space="preserve">muni villa allende</t>
  </si>
  <si>
    <t xml:space="preserve">cilindro articulacion motoniveladora </t>
  </si>
  <si>
    <t xml:space="preserve">700 / 170 / 110</t>
  </si>
  <si>
    <t xml:space="preserve">cambio de sellos</t>
  </si>
  <si>
    <t xml:space="preserve">COLLARIN CAT 992K (282-9964) CANT 2</t>
  </si>
  <si>
    <t xml:space="preserve">CIL COE LARGO </t>
  </si>
  <si>
    <t xml:space="preserve">va en realidad para all pack</t>
  </si>
  <si>
    <t xml:space="preserve">KIT DE SELLO COE X 4</t>
  </si>
  <si>
    <t xml:space="preserve">grupo creativo srl.</t>
  </si>
  <si>
    <t xml:space="preserve">prensa Hidraulica</t>
  </si>
  <si>
    <t xml:space="preserve">740 / 340 / 140</t>
  </si>
  <si>
    <t xml:space="preserve">cotizar Urgente</t>
  </si>
  <si>
    <t xml:space="preserve">divisor de flujo</t>
  </si>
  <si>
    <t xml:space="preserve">REPUESTOS VARIOS SEGUN OC 03-0801</t>
  </si>
  <si>
    <t xml:space="preserve">gruas martin </t>
  </si>
  <si>
    <t xml:space="preserve">cilindro h. de carreton</t>
  </si>
  <si>
    <t xml:space="preserve">170 x 530 x 230</t>
  </si>
  <si>
    <t xml:space="preserve">510 / 215 / 170</t>
  </si>
  <si>
    <t xml:space="preserve">B27</t>
  </si>
  <si>
    <t xml:space="preserve">cilindro h. de carreton </t>
  </si>
  <si>
    <t xml:space="preserve">170 x 530 x 230 </t>
  </si>
  <si>
    <t xml:space="preserve">cilindro h.de carreton</t>
  </si>
  <si>
    <t xml:space="preserve">VIAL ERG s.a.</t>
  </si>
  <si>
    <t xml:space="preserve">cilindro telescopico 4 tramos</t>
  </si>
  <si>
    <t xml:space="preserve">200 x 560 x 200</t>
  </si>
  <si>
    <t xml:space="preserve">cilindro de cono de trituradora</t>
  </si>
  <si>
    <t xml:space="preserve">130 x 870 x 150</t>
  </si>
  <si>
    <t xml:space="preserve">660 / 131 / 115</t>
  </si>
  <si>
    <t xml:space="preserve">MASSIO s.a.</t>
  </si>
  <si>
    <t xml:space="preserve">cilindro de apiladora electrica</t>
  </si>
  <si>
    <t xml:space="preserve">75 x 1400 x 75</t>
  </si>
  <si>
    <t xml:space="preserve">daniel carmeluti</t>
  </si>
  <si>
    <t xml:space="preserve">3537324034 fede gallardo URGENTE</t>
  </si>
  <si>
    <t xml:space="preserve">GONZALES MIGUEL ANGEL</t>
  </si>
  <si>
    <t xml:space="preserve">vastagos de puerta neumatica x2 diam.25mm</t>
  </si>
  <si>
    <t xml:space="preserve">25 x 660 x 25</t>
  </si>
  <si>
    <t xml:space="preserve">miguelsesgalileo@gmail.com</t>
  </si>
  <si>
    <t xml:space="preserve">AGV DRILLING srl</t>
  </si>
  <si>
    <t xml:space="preserve">cilindro de torre de perforadora morooca (largo)</t>
  </si>
  <si>
    <t xml:space="preserve">180 x 3600 x 130</t>
  </si>
  <si>
    <t xml:space="preserve">cilindro de torre de perforadora morooca (corto)</t>
  </si>
  <si>
    <t xml:space="preserve">110 x 1270 x 150</t>
  </si>
  <si>
    <t xml:space="preserve">SELLOS PISTON DE EXTENCION 1</t>
  </si>
  <si>
    <t xml:space="preserve">SELLOS PISTON DE ELEVACION 2</t>
  </si>
  <si>
    <t xml:space="preserve">cambio de bombeo con repuestos</t>
  </si>
  <si>
    <t xml:space="preserve">cilindro porta bobina </t>
  </si>
  <si>
    <t xml:space="preserve">140 x 850 x 140</t>
  </si>
  <si>
    <t xml:space="preserve">00 x 2100 x 130</t>
  </si>
  <si>
    <t xml:space="preserve">cilindro de tijera autoelevador</t>
  </si>
  <si>
    <t xml:space="preserve">jumi srl</t>
  </si>
  <si>
    <t xml:space="preserve">cono completo de trituracion TR02</t>
  </si>
  <si>
    <t xml:space="preserve">930 / 930 / 800</t>
  </si>
  <si>
    <t xml:space="preserve">lumolina@jumi.com.ar</t>
  </si>
  <si>
    <t xml:space="preserve">0004-00003742</t>
  </si>
  <si>
    <t xml:space="preserve">DISPOSITIVO PARA AJUSTE TUERCAS</t>
  </si>
  <si>
    <t xml:space="preserve">DISPOSITIVO GUIA DE BOMBA</t>
  </si>
  <si>
    <t xml:space="preserve">KIT DE SELLOS CIL GRUA 160 T</t>
  </si>
  <si>
    <t xml:space="preserve">CAMISA EJE 05.01.02.21 PN 20005675 </t>
  </si>
  <si>
    <t xml:space="preserve">COJINETE EJE FULCRUM SHAFT   Material 30492624  2und</t>
  </si>
  <si>
    <t xml:space="preserve">JORGE QUINTEROS</t>
  </si>
  <si>
    <t xml:space="preserve">KIT DE SELLOS S/MUESTRA</t>
  </si>
  <si>
    <t xml:space="preserve">weg</t>
  </si>
  <si>
    <t xml:space="preserve">515 / 160 / 160</t>
  </si>
  <si>
    <t xml:space="preserve">SELLO TUERCA FIJA PISTON ELEV 1</t>
  </si>
  <si>
    <t xml:space="preserve">minera galaxy</t>
  </si>
  <si>
    <t xml:space="preserve">ACEITERA ARG</t>
  </si>
  <si>
    <t xml:space="preserve">CIL COE LARGO NUEVO</t>
  </si>
  <si>
    <t xml:space="preserve">ALL PACK - COPELLO - VG - ACEITERA</t>
  </si>
  <si>
    <t xml:space="preserve">KIT SELLOS COE X 25</t>
  </si>
  <si>
    <t xml:space="preserve">Holcim</t>
  </si>
  <si>
    <t xml:space="preserve">Bomba Manual</t>
  </si>
  <si>
    <t xml:space="preserve">530 / 160 / 300</t>
  </si>
  <si>
    <t xml:space="preserve">tapa de martilo con perno. y cajas de repuestos</t>
  </si>
  <si>
    <t xml:space="preserve">conte 7</t>
  </si>
  <si>
    <t xml:space="preserve">martillo Hidraulico</t>
  </si>
  <si>
    <t xml:space="preserve">controlar. Golpea Lento</t>
  </si>
  <si>
    <t xml:space="preserve">ORING M42 X 4 VITON X 4 UNID</t>
  </si>
  <si>
    <t xml:space="preserve">FABRICACION VASTAGO Ø95</t>
  </si>
  <si>
    <t xml:space="preserve">Campos Chañar SRL (Olocro Hector)</t>
  </si>
  <si>
    <t xml:space="preserve">cilindro hidraulico de grua martin (pala)</t>
  </si>
  <si>
    <t xml:space="preserve">150 x 150 x 990</t>
  </si>
  <si>
    <t xml:space="preserve">Cilindro de levante derecho</t>
  </si>
  <si>
    <t xml:space="preserve">360 x 420 x 1790</t>
  </si>
  <si>
    <t xml:space="preserve">Cilindro de levante izquierdo</t>
  </si>
  <si>
    <t xml:space="preserve">Ankaloo</t>
  </si>
  <si>
    <t xml:space="preserve">Eje-piñón</t>
  </si>
  <si>
    <t xml:space="preserve">180 x 180  x 400</t>
  </si>
  <si>
    <t xml:space="preserve">CIL PRESION DE GUILLOTINA</t>
  </si>
  <si>
    <t xml:space="preserve">Carlos Hoffmann</t>
  </si>
  <si>
    <t xml:space="preserve">Perno largo y corto</t>
  </si>
  <si>
    <t xml:space="preserve">40 x 40 x 200</t>
  </si>
  <si>
    <t xml:space="preserve">nito.h@hotmail.com</t>
  </si>
  <si>
    <t xml:space="preserve">Hacer 3 cortos y 1 largo</t>
  </si>
  <si>
    <t xml:space="preserve">150 x 200 x 800</t>
  </si>
  <si>
    <t xml:space="preserve">150 x 190 x 640</t>
  </si>
  <si>
    <t xml:space="preserve">Cantera San Nicolas</t>
  </si>
  <si>
    <t xml:space="preserve">Porta rodamiento de zaranda</t>
  </si>
  <si>
    <t xml:space="preserve">490 x 490 x 150</t>
  </si>
  <si>
    <t xml:space="preserve">FLUROPACK Ø12 y Ø 9</t>
  </si>
  <si>
    <t xml:space="preserve">Caputo</t>
  </si>
  <si>
    <t xml:space="preserve">70 x 70 x 520</t>
  </si>
  <si>
    <t xml:space="preserve">80 x 80 x 660</t>
  </si>
  <si>
    <t xml:space="preserve">110 x 110 x 300</t>
  </si>
  <si>
    <t xml:space="preserve">Grúas Martin</t>
  </si>
  <si>
    <t xml:space="preserve">KIT DE SELLOS DE TAPA DE CIL EXTENSION x 2</t>
  </si>
  <si>
    <t xml:space="preserve">Cilindro hidraulico naranja</t>
  </si>
  <si>
    <t xml:space="preserve">80 x 80 x 640</t>
  </si>
  <si>
    <t xml:space="preserve">ORING M75 X 5 VITON X 4 UNID</t>
  </si>
  <si>
    <t xml:space="preserve">STEP SEAL Ø 100 y Ø 108</t>
  </si>
  <si>
    <t xml:space="preserve">CHISEL PASTE </t>
  </si>
  <si>
    <t xml:space="preserve">RHI</t>
  </si>
  <si>
    <t xml:space="preserve">TUBO BRUÑIDO Ø88.9 X Ø101.6 X 400</t>
  </si>
  <si>
    <t xml:space="preserve">BUJE BRONCE + PERNO</t>
  </si>
  <si>
    <t xml:space="preserve">basaa s.a.</t>
  </si>
  <si>
    <t xml:space="preserve">cilindro espejo topadora D8t</t>
  </si>
  <si>
    <t xml:space="preserve">1803 / 270 / 220</t>
  </si>
  <si>
    <t xml:space="preserve">00001-00020335</t>
  </si>
  <si>
    <t xml:space="preserve">control y reparacion</t>
  </si>
  <si>
    <t xml:space="preserve">basaa s.a</t>
  </si>
  <si>
    <t xml:space="preserve">1803 / 270/ 220</t>
  </si>
  <si>
    <t xml:space="preserve">cargo serv. industriales</t>
  </si>
  <si>
    <t xml:space="preserve">cilindro apiladora ap004</t>
  </si>
  <si>
    <t xml:space="preserve">1050 / 80 / 80</t>
  </si>
  <si>
    <t xml:space="preserve">0017-00059730</t>
  </si>
  <si>
    <t xml:space="preserve">presupuestar</t>
  </si>
  <si>
    <t xml:space="preserve">1050 X 80 X80</t>
  </si>
  <si>
    <t xml:space="preserve">cilindro desplazador (solo vastago)</t>
  </si>
  <si>
    <t xml:space="preserve">265 / 42 / 42</t>
  </si>
  <si>
    <t xml:space="preserve">cilindro pulidora</t>
  </si>
  <si>
    <t xml:space="preserve">VALERIA SAN GIRON</t>
  </si>
  <si>
    <t xml:space="preserve">sellos de tapa x5</t>
  </si>
  <si>
    <t xml:space="preserve">moliendadearidoscosquin@hotmail.com</t>
  </si>
  <si>
    <t xml:space="preserve">SELLO U PISTON H 22 * Øi 735,78 mm * Øe 762,00 mm</t>
  </si>
  <si>
    <t xml:space="preserve">yviraty</t>
  </si>
  <si>
    <t xml:space="preserve">nuevo</t>
  </si>
  <si>
    <t xml:space="preserve">cilindro de trituradora</t>
  </si>
  <si>
    <t xml:space="preserve">vastagos coe con piston y tapa cantidad 7</t>
  </si>
  <si>
    <t xml:space="preserve">FABRICACION CIL COE CORTO</t>
  </si>
  <si>
    <t xml:space="preserve">FABRICACION CIL COE LARGO</t>
  </si>
  <si>
    <t xml:space="preserve">FABRICACION CIL COE MEDIANO</t>
  </si>
  <si>
    <t xml:space="preserve">RETEN Ø 160 mm Ø 190 mm A: 15.2 mm CANT 20</t>
  </si>
  <si>
    <t xml:space="preserve">KIT DE SELLOS COE x12</t>
  </si>
  <si>
    <t xml:space="preserve">CIL COE CORTO FABRICACION</t>
  </si>
  <si>
    <t xml:space="preserve">CIL COE LARGO FABRICACION</t>
  </si>
  <si>
    <t xml:space="preserve">Corrugadora Centro S.A.</t>
  </si>
  <si>
    <t xml:space="preserve">cilindro hidraulico de porta bobina</t>
  </si>
  <si>
    <t xml:space="preserve">850 / 135 / 135</t>
  </si>
  <si>
    <t xml:space="preserve">ccentro@corrugadoracentro.com.ar</t>
  </si>
  <si>
    <t xml:space="preserve">0003-00006329</t>
  </si>
  <si>
    <t xml:space="preserve">JUAN MOLINA</t>
  </si>
  <si>
    <t xml:space="preserve">CAMISA COE CORTA p/ HERMANAR</t>
  </si>
  <si>
    <t xml:space="preserve">CAMISA COE LARGA p/ HERMANAR</t>
  </si>
  <si>
    <t xml:space="preserve">SIMSA</t>
  </si>
  <si>
    <t xml:space="preserve">CAMION HIDROGRUBERT</t>
  </si>
  <si>
    <t xml:space="preserve">minas pirquitas</t>
  </si>
  <si>
    <t xml:space="preserve">compresor AIREND,HR2.5</t>
  </si>
  <si>
    <t xml:space="preserve">michelotti </t>
  </si>
  <si>
    <t xml:space="preserve">LOGICA CONSULTING GROUP SAU</t>
  </si>
  <si>
    <t xml:space="preserve">200 x 1900 x 200</t>
  </si>
  <si>
    <t xml:space="preserve">francavillauriel@gmail.com</t>
  </si>
  <si>
    <t xml:space="preserve">6004-A</t>
  </si>
  <si>
    <t xml:space="preserve">300 x 550 x 300</t>
  </si>
  <si>
    <t xml:space="preserve">6011-120</t>
  </si>
  <si>
    <t xml:space="preserve">EPEC (grua terex)</t>
  </si>
  <si>
    <t xml:space="preserve">5261A-1</t>
  </si>
  <si>
    <t xml:space="preserve">320 x 950 x 230</t>
  </si>
  <si>
    <t xml:space="preserve">320 x 950 230</t>
  </si>
  <si>
    <t xml:space="preserve">TENSOR CON TUERCA</t>
  </si>
  <si>
    <t xml:space="preserve">CAMISA COE LARGO INTERIOR 510 mm (CORTO + 40)</t>
  </si>
  <si>
    <t xml:space="preserve">epiroc LA MARCHESINA A</t>
  </si>
  <si>
    <t xml:space="preserve">boom de perforadora</t>
  </si>
  <si>
    <t xml:space="preserve">650 x 2350 x 350</t>
  </si>
  <si>
    <t xml:space="preserve">KIT DE SELLOS PISTON ELEVACION 2</t>
  </si>
  <si>
    <t xml:space="preserve">cilindro de brazo de articulacion</t>
  </si>
  <si>
    <t xml:space="preserve">80 x 1250 x 140</t>
  </si>
  <si>
    <t xml:space="preserve">80 X 1250 X 140</t>
  </si>
  <si>
    <t xml:space="preserve">MESA DE ARMADO</t>
  </si>
  <si>
    <t xml:space="preserve">URGENTE</t>
  </si>
  <si>
    <t xml:space="preserve">cilindro debrazo de articulacion</t>
  </si>
  <si>
    <t xml:space="preserve">EL GRAN OMBU</t>
  </si>
  <si>
    <t xml:space="preserve">cilindro pata hidrogrua</t>
  </si>
  <si>
    <t xml:space="preserve">renault sta isabel</t>
  </si>
  <si>
    <t xml:space="preserve">cilindro neumatico de prueba de frenos IZQUIERDO</t>
  </si>
  <si>
    <t xml:space="preserve">300 x 400 x 400</t>
  </si>
  <si>
    <t xml:space="preserve">300 X 400 X 400</t>
  </si>
  <si>
    <t xml:space="preserve">cilindro neumatico de prueba de frenos DERECHO</t>
  </si>
  <si>
    <t xml:space="preserve">municipalidad de saldan</t>
  </si>
  <si>
    <t xml:space="preserve">cilindro de volcador </t>
  </si>
  <si>
    <t xml:space="preserve">670 x 900 x 200</t>
  </si>
  <si>
    <t xml:space="preserve">rodillos de tensor de oruga x 2</t>
  </si>
  <si>
    <t xml:space="preserve">el gran ombu</t>
  </si>
  <si>
    <t xml:space="preserve">cilindro randon</t>
  </si>
  <si>
    <t xml:space="preserve">350 x 950 x 300</t>
  </si>
  <si>
    <t xml:space="preserve">barra anti rotativa de hidra</t>
  </si>
  <si>
    <t xml:space="preserve">40 x 1240 mm</t>
  </si>
  <si>
    <t xml:space="preserve">fabricar</t>
  </si>
  <si>
    <t xml:space="preserve">bloque guia idra 2202</t>
  </si>
  <si>
    <t xml:space="preserve">BRIDA ANCHO 30 (PERF Y ROSCA SEGUN MUESTRAS)</t>
  </si>
  <si>
    <t xml:space="preserve">PABLO CERRA</t>
  </si>
  <si>
    <t xml:space="preserve">cilindro de direccion de cargadora hyundai</t>
  </si>
  <si>
    <t xml:space="preserve">130 x 960 x 180</t>
  </si>
  <si>
    <t xml:space="preserve">vastago cortado</t>
  </si>
  <si>
    <t xml:space="preserve">POLIPACK EXT D340 D316 AR24</t>
  </si>
  <si>
    <t xml:space="preserve">CILINDRO CON TENSORES</t>
  </si>
  <si>
    <t xml:space="preserve">constructio srl</t>
  </si>
  <si>
    <t xml:space="preserve">camisa de bombeo </t>
  </si>
  <si>
    <t xml:space="preserve">Cil. Hidraulico saca fargo</t>
  </si>
  <si>
    <t xml:space="preserve">425 x 145 x 110</t>
  </si>
  <si>
    <t xml:space="preserve">425 / 145 / 110</t>
  </si>
  <si>
    <t xml:space="preserve">425 / 145 / 110 </t>
  </si>
  <si>
    <t xml:space="preserve">Cil. Hidraulico de prensa de fibrilla</t>
  </si>
  <si>
    <t xml:space="preserve">400 x 1450 x 400</t>
  </si>
  <si>
    <t xml:space="preserve">400 X 1450 X 400</t>
  </si>
  <si>
    <t xml:space="preserve">Cil. Hidraulico de tramper</t>
  </si>
  <si>
    <t xml:space="preserve">290 x 2700 x 290</t>
  </si>
  <si>
    <t xml:space="preserve">Cil. neumaticco carro alimentador</t>
  </si>
  <si>
    <t xml:space="preserve">180 x 1410 x 120</t>
  </si>
  <si>
    <t xml:space="preserve">Cil. Hidraulico cierre de puerta</t>
  </si>
  <si>
    <t xml:space="preserve">210 x 350 x 210</t>
  </si>
  <si>
    <t xml:space="preserve">210 / 350 / 210</t>
  </si>
  <si>
    <t xml:space="preserve">Cil. Hidraulico cirre de puerta</t>
  </si>
  <si>
    <t xml:space="preserve">Cil. Hidraulico de prensa</t>
  </si>
  <si>
    <t xml:space="preserve">320 x 1050 x 220</t>
  </si>
  <si>
    <t xml:space="preserve">Cil. neumatico saca fardo</t>
  </si>
  <si>
    <t xml:space="preserve">140 x 1600 x 140</t>
  </si>
  <si>
    <t xml:space="preserve">TEF MAQ</t>
  </si>
  <si>
    <t xml:space="preserve">martillo miniretro c/mangueras</t>
  </si>
  <si>
    <t xml:space="preserve">384128019 alexis llompart</t>
  </si>
  <si>
    <t xml:space="preserve">3516176537 andres gonzales</t>
  </si>
  <si>
    <t xml:space="preserve">estancia la sara</t>
  </si>
  <si>
    <t xml:space="preserve">cilindro h. de rommer 20 discos</t>
  </si>
  <si>
    <t xml:space="preserve">120 x 800 x 140</t>
  </si>
  <si>
    <t xml:space="preserve">c_rapallini@yahoo.com</t>
  </si>
  <si>
    <t xml:space="preserve">jorge rapallini</t>
  </si>
  <si>
    <t xml:space="preserve">6011-110</t>
  </si>
  <si>
    <t xml:space="preserve">CILINDRO EXTENCION DE CAJON TEREX</t>
  </si>
  <si>
    <t xml:space="preserve">MORDAZAS SISTEMA LONG HOLE X 28 UNID</t>
  </si>
  <si>
    <t xml:space="preserve">5400/10-1</t>
  </si>
  <si>
    <t xml:space="preserve">cilindro h.martillo </t>
  </si>
  <si>
    <t xml:space="preserve">A 23 PISO</t>
  </si>
  <si>
    <t xml:space="preserve">Bruñido</t>
  </si>
  <si>
    <t xml:space="preserve">global force</t>
  </si>
  <si>
    <t xml:space="preserve">cilindro Hidraulico</t>
  </si>
  <si>
    <t xml:space="preserve">180 / 260 / 180</t>
  </si>
  <si>
    <t xml:space="preserve">GLOBALFORCE.CBA@GMAIL.COM</t>
  </si>
  <si>
    <t xml:space="preserve">cotizar kit de sellos unicamente</t>
  </si>
  <si>
    <t xml:space="preserve">Ane s.a.</t>
  </si>
  <si>
    <t xml:space="preserve">vastago segun muestra. bulon que va en montaje 15,9</t>
  </si>
  <si>
    <t xml:space="preserve">420 / 50 / 50</t>
  </si>
  <si>
    <t xml:space="preserve">Cotizar </t>
  </si>
  <si>
    <t xml:space="preserve">LEDESMA</t>
  </si>
  <si>
    <t xml:space="preserve">VASTAGO 850JJ</t>
  </si>
  <si>
    <t xml:space="preserve">100 x 170 x 1150</t>
  </si>
  <si>
    <t xml:space="preserve">Muestra de vastago llegó el 05/01/22</t>
  </si>
  <si>
    <t xml:space="preserve">OFI</t>
  </si>
  <si>
    <t xml:space="preserve"> MANGUERA HIDRAULICA ARMADA MT M42-20.</t>
  </si>
  <si>
    <t xml:space="preserve">Corrugadora Centro</t>
  </si>
  <si>
    <t xml:space="preserve">Cilindro Neumatico</t>
  </si>
  <si>
    <t xml:space="preserve">400 / 400 / 310</t>
  </si>
  <si>
    <t xml:space="preserve">0003 - 00005748</t>
  </si>
  <si>
    <t xml:space="preserve">B6+</t>
  </si>
  <si>
    <t xml:space="preserve">ERDESA DAVOS</t>
  </si>
  <si>
    <t xml:space="preserve">SELLO COPA PISTON Ø160 mm Ø28 mm A 30 mm</t>
  </si>
  <si>
    <t xml:space="preserve">Fabricar 3 tuercas y 3 arandelas segun muestra</t>
  </si>
  <si>
    <t xml:space="preserve">475 / 75 / 75</t>
  </si>
  <si>
    <t xml:space="preserve">Chapon para Fabricar segun Muestra</t>
  </si>
  <si>
    <t xml:space="preserve">485 / 682 / 3</t>
  </si>
  <si>
    <t xml:space="preserve">Fabricar</t>
  </si>
  <si>
    <t xml:space="preserve">Canteras Diquecito</t>
  </si>
  <si>
    <t xml:space="preserve">Martillo  + punzon nuevo y buje de bronce</t>
  </si>
  <si>
    <t xml:space="preserve">minera alumbrera</t>
  </si>
  <si>
    <t xml:space="preserve">cilindro hidraulico ROLL OF </t>
  </si>
  <si>
    <t xml:space="preserve">270 x 2220 x 250</t>
  </si>
  <si>
    <t xml:space="preserve">cilindro hidraulico ROLL OF</t>
  </si>
  <si>
    <t xml:space="preserve">160 x 620 x 100</t>
  </si>
  <si>
    <t xml:space="preserve">le falta un tensor</t>
  </si>
  <si>
    <t xml:space="preserve">PLATO</t>
  </si>
  <si>
    <t xml:space="preserve">cilindro h. de enchufadora</t>
  </si>
  <si>
    <t xml:space="preserve">130 x 2470 x 150</t>
  </si>
  <si>
    <t xml:space="preserve">cotizar ( ex 3332)</t>
  </si>
  <si>
    <t xml:space="preserve">cilindro h.de plataforma M4 norte</t>
  </si>
  <si>
    <t xml:space="preserve">130 x 1030 x 150</t>
  </si>
  <si>
    <t xml:space="preserve">cilindfo  h.  de plataforma M4 sur</t>
  </si>
  <si>
    <t xml:space="preserve">cilindro h. de plataforma M5 norte</t>
  </si>
  <si>
    <t xml:space="preserve">cilindro h. de plataforma M5 sur</t>
  </si>
  <si>
    <t xml:space="preserve">cilindro h. de plataforma M6 norte</t>
  </si>
  <si>
    <t xml:space="preserve">cilindro h. de plataforma M6 sur</t>
  </si>
  <si>
    <t xml:space="preserve">ankaloo</t>
  </si>
  <si>
    <t xml:space="preserve">eje de giro 320 D2L</t>
  </si>
  <si>
    <t xml:space="preserve">AGUAS DE CATAMARCA </t>
  </si>
  <si>
    <t xml:space="preserve">cilindro de plataforma</t>
  </si>
  <si>
    <t xml:space="preserve">3082-D</t>
  </si>
  <si>
    <t xml:space="preserve">Giacomelli S.A</t>
  </si>
  <si>
    <t xml:space="preserve">cilindro de inyectora </t>
  </si>
  <si>
    <t xml:space="preserve">2350 / 450 / 380</t>
  </si>
  <si>
    <t xml:space="preserve">capemi@capemi.ar</t>
  </si>
  <si>
    <t xml:space="preserve">0001-00037835</t>
  </si>
  <si>
    <t xml:space="preserve">poly + respaldo para controlar tiro</t>
  </si>
  <si>
    <t xml:space="preserve">535 / 535 / 28</t>
  </si>
  <si>
    <t xml:space="preserve">para controlar tiro</t>
  </si>
  <si>
    <t xml:space="preserve">GNI </t>
  </si>
  <si>
    <t xml:space="preserve">Sello para fabricar segun muestra</t>
  </si>
  <si>
    <t xml:space="preserve">LUIS</t>
  </si>
  <si>
    <t xml:space="preserve">Fabricar Segun Muestra</t>
  </si>
  <si>
    <t xml:space="preserve">Tapa + Vastago</t>
  </si>
  <si>
    <t xml:space="preserve">620 / 620 / 230</t>
  </si>
  <si>
    <t xml:space="preserve">Relevar Sellos</t>
  </si>
  <si>
    <t xml:space="preserve">Sello Para fabricar segun muestra</t>
  </si>
  <si>
    <t xml:space="preserve">312 / 312 / 28</t>
  </si>
  <si>
    <t xml:space="preserve">cil insertadora nema</t>
  </si>
  <si>
    <t xml:space="preserve">luis podetti</t>
  </si>
  <si>
    <t xml:space="preserve">cil de grua</t>
  </si>
  <si>
    <t xml:space="preserve">TOPE DE RODILLO MOLINO (CAMISA + TAPA + EMPAQUETADURA)</t>
  </si>
  <si>
    <t xml:space="preserve">cilindro h. pull down</t>
  </si>
  <si>
    <t xml:space="preserve">230 x 6400 x 150</t>
  </si>
  <si>
    <t xml:space="preserve">cilindro h, pull down </t>
  </si>
  <si>
    <t xml:space="preserve">cilindro de parrilla </t>
  </si>
  <si>
    <t xml:space="preserve">300 x 580 x 300</t>
  </si>
  <si>
    <t xml:space="preserve">B31 PISO</t>
  </si>
  <si>
    <t xml:space="preserve">210 x 490 x 160</t>
  </si>
  <si>
    <t xml:space="preserve">450 / 155 / 203</t>
  </si>
  <si>
    <t xml:space="preserve">Carlos Avila</t>
  </si>
  <si>
    <t xml:space="preserve">giacomelli</t>
  </si>
  <si>
    <t xml:space="preserve">ORING M6 x 310</t>
  </si>
  <si>
    <t xml:space="preserve">cilindro Cat 345</t>
  </si>
  <si>
    <t xml:space="preserve">440 x 2500 x 300</t>
  </si>
  <si>
    <t xml:space="preserve">cilindro CAT 345</t>
  </si>
  <si>
    <t xml:space="preserve">500 x 2500 x 350</t>
  </si>
  <si>
    <t xml:space="preserve">cilindrl CAT 345</t>
  </si>
  <si>
    <t xml:space="preserve">300 x 3000 x 400</t>
  </si>
  <si>
    <t xml:space="preserve"> otizar</t>
  </si>
  <si>
    <t xml:space="preserve">yvyraty</t>
  </si>
  <si>
    <t xml:space="preserve">90 x 700 x 110</t>
  </si>
  <si>
    <t xml:space="preserve">augustopech@gmail.com</t>
  </si>
  <si>
    <t xml:space="preserve">EJE DE TRAFORERA</t>
  </si>
  <si>
    <t xml:space="preserve">lLa pipa</t>
  </si>
  <si>
    <t xml:space="preserve">250 x 2650 x 300</t>
  </si>
  <si>
    <t xml:space="preserve">B28</t>
  </si>
  <si>
    <t xml:space="preserve">2331-A</t>
  </si>
  <si>
    <t xml:space="preserve">gato 150 tn </t>
  </si>
  <si>
    <t xml:space="preserve">700 x 2700 x 900</t>
  </si>
  <si>
    <t xml:space="preserve">en garantia</t>
  </si>
  <si>
    <t xml:space="preserve">Ilasa</t>
  </si>
  <si>
    <t xml:space="preserve">contenedor 433-4-50</t>
  </si>
  <si>
    <t xml:space="preserve">240 x 840 x 240</t>
  </si>
  <si>
    <t xml:space="preserve">PRIORIDAD 1 </t>
  </si>
  <si>
    <t xml:space="preserve">contenedor 433-4-68</t>
  </si>
  <si>
    <t xml:space="preserve">PRIORIDAD 2</t>
  </si>
  <si>
    <t xml:space="preserve">240 x 970 x 240</t>
  </si>
  <si>
    <t xml:space="preserve">PRIORIDAD 3</t>
  </si>
  <si>
    <t xml:space="preserve">CORNU MA UEL</t>
  </si>
  <si>
    <t xml:space="preserve">cilindro agricola</t>
  </si>
  <si>
    <t xml:space="preserve">120 x 700 x 170</t>
  </si>
  <si>
    <t xml:space="preserve">manucornu@hotmail.com</t>
  </si>
  <si>
    <t xml:space="preserve">cotizar nuevo</t>
  </si>
  <si>
    <t xml:space="preserve">Intermedia de Multi-V</t>
  </si>
  <si>
    <t xml:space="preserve">KIT DE SELLOS </t>
  </si>
  <si>
    <t xml:space="preserve">vg</t>
  </si>
  <si>
    <t xml:space="preserve">700x200x200</t>
  </si>
  <si>
    <t xml:space="preserve">A1</t>
  </si>
  <si>
    <t xml:space="preserve">Polipack Ø151.2 </t>
  </si>
  <si>
    <t xml:space="preserve">el gran ombu </t>
  </si>
  <si>
    <t xml:space="preserve">cilindro h. jhon deer</t>
  </si>
  <si>
    <t xml:space="preserve">100 x 830 x 130</t>
  </si>
  <si>
    <t xml:space="preserve">B 7</t>
  </si>
  <si>
    <t xml:space="preserve">cilindro h. de direccion</t>
  </si>
  <si>
    <t xml:space="preserve">80 x 640 x 100</t>
  </si>
  <si>
    <t xml:space="preserve">cilintro telescopico ranndon</t>
  </si>
  <si>
    <t xml:space="preserve">360 x 1200 x 280</t>
  </si>
  <si>
    <t xml:space="preserve">tapa con tuerca de bronce y sellos</t>
  </si>
  <si>
    <t xml:space="preserve">105 x 85 x 105</t>
  </si>
  <si>
    <t xml:space="preserve">fabricar sellos y bronce</t>
  </si>
  <si>
    <t xml:space="preserve">kit de sellos segun muestra</t>
  </si>
  <si>
    <t xml:space="preserve">Vastago + Tapa + Piston</t>
  </si>
  <si>
    <t xml:space="preserve">1465 x 267 x 267</t>
  </si>
  <si>
    <t xml:space="preserve">1465 / 267 / 267</t>
  </si>
  <si>
    <t xml:space="preserve">Mansfield Minera S.A.</t>
  </si>
  <si>
    <t xml:space="preserve">Cilindro de Balde Pc 800</t>
  </si>
  <si>
    <t xml:space="preserve">2870 x 350 x 350</t>
  </si>
  <si>
    <t xml:space="preserve">2870 / 350 / 350</t>
  </si>
  <si>
    <t xml:space="preserve">cilindro h. HP300 sist.de alivio con acumulador</t>
  </si>
  <si>
    <t xml:space="preserve">230x 1200 x 380</t>
  </si>
  <si>
    <t xml:space="preserve">1000 / 450 / 220</t>
  </si>
  <si>
    <t xml:space="preserve">230 x 1200 x 380</t>
  </si>
  <si>
    <t xml:space="preserve">B 28</t>
  </si>
  <si>
    <t xml:space="preserve">HOLCIM puesto viejo</t>
  </si>
  <si>
    <t xml:space="preserve">cilindro cat (parte 6E-1103)</t>
  </si>
  <si>
    <t xml:space="preserve">PERNO PARA MARTILLO GORILLA X 2 UNID</t>
  </si>
  <si>
    <t xml:space="preserve">Olivos del valle</t>
  </si>
  <si>
    <t xml:space="preserve">Fabricacion cilindro coe corto</t>
  </si>
  <si>
    <t xml:space="preserve">B26 piso</t>
  </si>
  <si>
    <t xml:space="preserve">EJE + TUERCA</t>
  </si>
  <si>
    <t xml:space="preserve">camisa de cilindro cat</t>
  </si>
  <si>
    <t xml:space="preserve">230 x 1750 x 200</t>
  </si>
  <si>
    <t xml:space="preserve">230 / 180 / 1760</t>
  </si>
  <si>
    <t xml:space="preserve">paolini</t>
  </si>
  <si>
    <t xml:space="preserve">cilindro h. retroexcavadora pc350</t>
  </si>
  <si>
    <t xml:space="preserve">320 x 2650 x 300</t>
  </si>
  <si>
    <t xml:space="preserve">cotizar(fisura en soldadura t.t.)</t>
  </si>
  <si>
    <t xml:space="preserve">2650 / 290 / 250</t>
  </si>
  <si>
    <t xml:space="preserve">B26</t>
  </si>
  <si>
    <t xml:space="preserve">el ombu</t>
  </si>
  <si>
    <t xml:space="preserve">300 x 1100 x 320</t>
  </si>
  <si>
    <t xml:space="preserve">eje + corona +rodamientos y eje nuevo</t>
  </si>
  <si>
    <t xml:space="preserve">850 x 950 x 850</t>
  </si>
  <si>
    <t xml:space="preserve">grumac</t>
  </si>
  <si>
    <t xml:space="preserve">vastago doblado</t>
  </si>
  <si>
    <t xml:space="preserve">astori</t>
  </si>
  <si>
    <t xml:space="preserve">cilindro de volqueta </t>
  </si>
  <si>
    <t xml:space="preserve">ilasa</t>
  </si>
  <si>
    <t xml:space="preserve">250 x 250 x55</t>
  </si>
  <si>
    <t xml:space="preserve">5400-30-A-1</t>
  </si>
  <si>
    <t xml:space="preserve">cilindro de martillo hpk B-800</t>
  </si>
  <si>
    <t xml:space="preserve">190 x 1300 x 260</t>
  </si>
  <si>
    <t xml:space="preserve">martillo npl B-800</t>
  </si>
  <si>
    <t xml:space="preserve">550 x 2300 x 800</t>
  </si>
  <si>
    <t xml:space="preserve">holcim malagueño</t>
  </si>
  <si>
    <t xml:space="preserve">bomba hidraulica roscador mg 311-rc1</t>
  </si>
  <si>
    <t xml:space="preserve">cotizar </t>
  </si>
  <si>
    <t xml:space="preserve">holcim campana</t>
  </si>
  <si>
    <t xml:space="preserve">cilindro tension molienda</t>
  </si>
  <si>
    <t xml:space="preserve">1800 x 2500 x 1200</t>
  </si>
  <si>
    <t xml:space="preserve">cantera san agustin</t>
  </si>
  <si>
    <t xml:space="preserve">200 x 2500 x 330</t>
  </si>
  <si>
    <t xml:space="preserve">repar</t>
  </si>
  <si>
    <t xml:space="preserve">holcim monseñor</t>
  </si>
  <si>
    <t xml:space="preserve">bomba levanta bandeja</t>
  </si>
  <si>
    <t xml:space="preserve">140 x 320 x 190</t>
  </si>
  <si>
    <t xml:space="preserve">170 x 630 x 420</t>
  </si>
  <si>
    <t xml:space="preserve">AGV FALCON DRILL</t>
  </si>
  <si>
    <t xml:space="preserve">CORBAC( nicolas prieto)</t>
  </si>
  <si>
    <t xml:space="preserve">eje neumatico</t>
  </si>
  <si>
    <t xml:space="preserve">nicolasprie@gmail.com</t>
  </si>
  <si>
    <t xml:space="preserve">INTERMEDIAS MULTI V Ø79.3 mm</t>
  </si>
  <si>
    <t xml:space="preserve">alogroup </t>
  </si>
  <si>
    <t xml:space="preserve">cilindro pie de apoyo de tijera</t>
  </si>
  <si>
    <t xml:space="preserve">120 x 850 x 120</t>
  </si>
  <si>
    <t xml:space="preserve">mora.mazzola@alo-group.com</t>
  </si>
  <si>
    <t xml:space="preserve">300 x 2600 x 350</t>
  </si>
  <si>
    <t xml:space="preserve">martillo h. soosan </t>
  </si>
  <si>
    <t xml:space="preserve">850 x 3000 x 950</t>
  </si>
  <si>
    <t xml:space="preserve">GERMAN PAEZ</t>
  </si>
  <si>
    <t xml:space="preserve">6011-90</t>
  </si>
  <si>
    <t xml:space="preserve">Epec</t>
  </si>
  <si>
    <t xml:space="preserve">Cilindro Elevacion Grua Terex</t>
  </si>
  <si>
    <t xml:space="preserve">Reparacion</t>
  </si>
  <si>
    <t xml:space="preserve">6011-100</t>
  </si>
  <si>
    <t xml:space="preserve">Carlos Sanguineti (Gps)</t>
  </si>
  <si>
    <t xml:space="preserve">cilindro retro</t>
  </si>
  <si>
    <t xml:space="preserve">B26 PISO</t>
  </si>
  <si>
    <t xml:space="preserve">210 / 115 / 100</t>
  </si>
  <si>
    <t xml:space="preserve">MMC capra</t>
  </si>
  <si>
    <t xml:space="preserve">motor de giro de grua y caño de pie de apoyo</t>
  </si>
  <si>
    <t xml:space="preserve">CILINDRO DE CARRO CALIFORNIANO COSECHA DE FRUTA</t>
  </si>
  <si>
    <t xml:space="preserve">metallo</t>
  </si>
  <si>
    <t xml:space="preserve">camisa cil. neumatico diametro int. 270 .810mm largo</t>
  </si>
  <si>
    <t xml:space="preserve">marcelo brandi</t>
  </si>
  <si>
    <t xml:space="preserve">bruñir a limpiar</t>
  </si>
  <si>
    <t xml:space="preserve">5051-A</t>
  </si>
  <si>
    <t xml:space="preserve">astori </t>
  </si>
  <si>
    <t xml:space="preserve">cilindro de contrapeso</t>
  </si>
  <si>
    <t xml:space="preserve">300 x 900 x 200</t>
  </si>
  <si>
    <t xml:space="preserve">luis losi </t>
  </si>
  <si>
    <t xml:space="preserve">vastago,tapa,piston,sellos,frenos,bulones</t>
  </si>
  <si>
    <t xml:space="preserve">martillo bobcat</t>
  </si>
  <si>
    <t xml:space="preserve">BUJE D BRONCE - EJE FULLCRUM</t>
  </si>
  <si>
    <t xml:space="preserve">jorge  bescham</t>
  </si>
  <si>
    <t xml:space="preserve">tapa</t>
  </si>
  <si>
    <t xml:space="preserve">750x380x300</t>
  </si>
  <si>
    <t xml:space="preserve">expolaja</t>
  </si>
  <si>
    <t xml:space="preserve">cilindro de marmoleria</t>
  </si>
  <si>
    <t xml:space="preserve">700x300x300</t>
  </si>
  <si>
    <t xml:space="preserve">banco de valvula retro terex</t>
  </si>
  <si>
    <t xml:space="preserve">560x200x300</t>
  </si>
  <si>
    <t xml:space="preserve">omar</t>
  </si>
  <si>
    <t xml:space="preserve">kit de sellos 6193781m91 terex</t>
  </si>
  <si>
    <t xml:space="preserve">no aplica</t>
  </si>
  <si>
    <t xml:space="preserve">reten6194903m1 tetex</t>
  </si>
  <si>
    <t xml:space="preserve">reten 6194903m1 terex</t>
  </si>
  <si>
    <t xml:space="preserve">kit de sellos stick 31y1-18250</t>
  </si>
  <si>
    <t xml:space="preserve">res</t>
  </si>
  <si>
    <t xml:space="preserve">vastago</t>
  </si>
  <si>
    <t xml:space="preserve">2240x200x200</t>
  </si>
  <si>
    <t xml:space="preserve">autoneum</t>
  </si>
  <si>
    <t xml:space="preserve">cilindro marzica</t>
  </si>
  <si>
    <t xml:space="preserve">690x290x290</t>
  </si>
  <si>
    <t xml:space="preserve">B 6</t>
  </si>
  <si>
    <t xml:space="preserve">bruno  vega</t>
  </si>
  <si>
    <t xml:space="preserve">cilindro vial</t>
  </si>
  <si>
    <t xml:space="preserve">4400x230x280</t>
  </si>
  <si>
    <t xml:space="preserve">agv agroindustria</t>
  </si>
  <si>
    <t xml:space="preserve">cilindro</t>
  </si>
  <si>
    <t xml:space="preserve">4350x250x250</t>
  </si>
  <si>
    <t xml:space="preserve">pritty</t>
  </si>
  <si>
    <t xml:space="preserve">cilindro prensa</t>
  </si>
  <si>
    <t xml:space="preserve">740x250x250</t>
  </si>
  <si>
    <t xml:space="preserve">710 / 280 / 280</t>
  </si>
  <si>
    <t xml:space="preserve">Bruñido </t>
  </si>
  <si>
    <t xml:space="preserve">cilindro mandibula </t>
  </si>
  <si>
    <t xml:space="preserve">6300x300x250</t>
  </si>
  <si>
    <t xml:space="preserve">A 7</t>
  </si>
  <si>
    <t xml:space="preserve">cilindro mandibula</t>
  </si>
  <si>
    <t xml:space="preserve">cilindro empujador horno</t>
  </si>
  <si>
    <t xml:space="preserve">500x300x300</t>
  </si>
  <si>
    <t xml:space="preserve"> A 34/ piso</t>
  </si>
  <si>
    <t xml:space="preserve">cilindro vmr</t>
  </si>
  <si>
    <t xml:space="preserve">EMBOLO </t>
  </si>
  <si>
    <t xml:space="preserve">CILINDRO PARRILLA</t>
  </si>
  <si>
    <t xml:space="preserve">BULON CON FLANGE M6 x 2000</t>
  </si>
  <si>
    <t xml:space="preserve">FABRICACION MORDAZAS LONGHDE X 14 UNID</t>
  </si>
  <si>
    <t xml:space="preserve">FABRICACION CIL CD 6020-E-100/70/150-M-U-1-5</t>
  </si>
  <si>
    <t xml:space="preserve">KIT DE SELLOS PARA CIL  6020-E-100/70/150-M-U-1-5</t>
  </si>
  <si>
    <t xml:space="preserve">Cil hyundai de cuchareo</t>
  </si>
  <si>
    <t xml:space="preserve">300 x 1900 x 300</t>
  </si>
  <si>
    <t xml:space="preserve">grua terex</t>
  </si>
  <si>
    <t xml:space="preserve">EMBOLO PARA PULIR</t>
  </si>
  <si>
    <t xml:space="preserve">2382-b-1</t>
  </si>
  <si>
    <t xml:space="preserve">cilindro h. de molino de crudo</t>
  </si>
  <si>
    <t xml:space="preserve">vastago cortado diametro 50,8</t>
  </si>
  <si>
    <t xml:space="preserve">130 x 595 x 70</t>
  </si>
  <si>
    <t xml:space="preserve">CIL COE LARGO ULTIMA VERSION</t>
  </si>
  <si>
    <t xml:space="preserve">RODAMIENTO TIMKEN 42350 CON CUBETA 42587D CANT 2</t>
  </si>
  <si>
    <t xml:space="preserve">PASADOR (PIN) 5580 0084 99 WAGNER ST7 CANT 2</t>
  </si>
  <si>
    <t xml:space="preserve">SOPORTE DE COJINETE 5580010697 WAGNER ST7 CANT 4</t>
  </si>
  <si>
    <t xml:space="preserve">CIERRE BARRA 5541038100 WAGNER ST7 RODSEAL CANT 8</t>
  </si>
  <si>
    <t xml:space="preserve">ESPACIADOR 5572767200 WAGNER ST7 CANT 4</t>
  </si>
  <si>
    <t xml:space="preserve">SOPORTE SENSOR 5580 0085 03 WAGNER ST7 CANT 2</t>
  </si>
  <si>
    <t xml:space="preserve">ESPACIADOR 5572767100 WAGNER ST7  CANT 4</t>
  </si>
  <si>
    <t xml:space="preserve">TORNILLO CAB HEX 5541036400 M10X90 CAL 10.9 CANT 24</t>
  </si>
  <si>
    <t xml:space="preserve">TORNILLO CAB HEX 5531 0897 00 M20X40 CAL 10.9 CANT 2</t>
  </si>
  <si>
    <t xml:space="preserve">TORNILLO CAB HEX 0211140303 M12X40 CAL 8.8 CANT 12</t>
  </si>
  <si>
    <t xml:space="preserve">frau alborts</t>
  </si>
  <si>
    <t xml:space="preserve">cilindro hidraulico (verde)</t>
  </si>
  <si>
    <t xml:space="preserve">120 x 630 x 150</t>
  </si>
  <si>
    <t xml:space="preserve">piston de martillo (fisurado)</t>
  </si>
  <si>
    <t xml:space="preserve">100 x 305 x100</t>
  </si>
  <si>
    <t xml:space="preserve">fabricar segun muestra (cotizar)</t>
  </si>
  <si>
    <t xml:space="preserve">fabricar sellos Ø125 (FLOURO) + MODIF RANURA </t>
  </si>
  <si>
    <t xml:space="preserve">SELLO FABRICACION SEGUN MUESTRA  Ø440</t>
  </si>
  <si>
    <t xml:space="preserve">CIL NEUMATICO 63 X 100 CANT 2</t>
  </si>
  <si>
    <t xml:space="preserve">CIL NEUMATICO 63 X 50</t>
  </si>
  <si>
    <t xml:space="preserve">EPEC (GRUA</t>
  </si>
  <si>
    <t xml:space="preserve">220 x1050 x220</t>
  </si>
  <si>
    <t xml:space="preserve">6011-20</t>
  </si>
  <si>
    <t xml:space="preserve">220 X 1050 X 220</t>
  </si>
  <si>
    <t xml:space="preserve">6011-30</t>
  </si>
  <si>
    <t xml:space="preserve">6011-40</t>
  </si>
  <si>
    <t xml:space="preserve">A34</t>
  </si>
  <si>
    <t xml:space="preserve">6011-50</t>
  </si>
  <si>
    <t xml:space="preserve">160 x 2620 x 150</t>
  </si>
  <si>
    <t xml:space="preserve">160 X 2620 X 150</t>
  </si>
  <si>
    <t xml:space="preserve">6011-60</t>
  </si>
  <si>
    <t xml:space="preserve">6011-70</t>
  </si>
  <si>
    <t xml:space="preserve">6011-80</t>
  </si>
  <si>
    <t xml:space="preserve">SELLO DE PIPA Ø 3 1/2"</t>
  </si>
  <si>
    <t xml:space="preserve">Basaa s.a.</t>
  </si>
  <si>
    <t xml:space="preserve">cilindro de inclinacion de espejo</t>
  </si>
  <si>
    <t xml:space="preserve">400 x1400 x 300</t>
  </si>
  <si>
    <t xml:space="preserve">1350 X 350 X 280</t>
  </si>
  <si>
    <t xml:space="preserve">A18</t>
  </si>
  <si>
    <t xml:space="preserve">hidroaccesorios</t>
  </si>
  <si>
    <t xml:space="preserve">160 x 1600 x 120</t>
  </si>
  <si>
    <t xml:space="preserve">160 x 1650 x 100</t>
  </si>
  <si>
    <t xml:space="preserve">corazza german</t>
  </si>
  <si>
    <t xml:space="preserve">cilindro de acoplado bilateral</t>
  </si>
  <si>
    <t xml:space="preserve">280 x 720 x 150</t>
  </si>
  <si>
    <t xml:space="preserve">german.corazza@hotmail.com</t>
  </si>
  <si>
    <t xml:space="preserve">Dayco</t>
  </si>
  <si>
    <t xml:space="preserve">cilindro extractor c2</t>
  </si>
  <si>
    <t xml:space="preserve">250 x 1650 x 170</t>
  </si>
  <si>
    <t xml:space="preserve">250 x 1700 x 170</t>
  </si>
  <si>
    <t xml:space="preserve">LUIS LOSI </t>
  </si>
  <si>
    <t xml:space="preserve">camisa de cilindro </t>
  </si>
  <si>
    <t xml:space="preserve">270 x 2230 x 270</t>
  </si>
  <si>
    <t xml:space="preserve">orden de compra 39045</t>
  </si>
  <si>
    <t xml:space="preserve">Weg</t>
  </si>
  <si>
    <t xml:space="preserve">tapa de bomba atemperador de molde</t>
  </si>
  <si>
    <t xml:space="preserve">280 x 100 x 280</t>
  </si>
  <si>
    <t xml:space="preserve">eje de mando atemperador de moldes</t>
  </si>
  <si>
    <t xml:space="preserve">40 x 430 x 40</t>
  </si>
  <si>
    <t xml:space="preserve">cilindro coe 1.5 x 4 sweeper #13486</t>
  </si>
  <si>
    <t xml:space="preserve">55 x 400 x 100</t>
  </si>
  <si>
    <t xml:space="preserve">cilindro para traba</t>
  </si>
  <si>
    <t xml:space="preserve">camisa de aluminio largo 405 mm</t>
  </si>
  <si>
    <t xml:space="preserve">63 x 405 x 63</t>
  </si>
  <si>
    <t xml:space="preserve">para bruñir a diam. 53+0,05</t>
  </si>
  <si>
    <t xml:space="preserve">camisa largo 615 mm cantidad 2</t>
  </si>
  <si>
    <t xml:space="preserve">55 x 615 x 55</t>
  </si>
  <si>
    <t xml:space="preserve">para bruñir a diam. 46 + 0,05 -0,0</t>
  </si>
  <si>
    <t xml:space="preserve">cilindron elevacion haulotte</t>
  </si>
  <si>
    <t xml:space="preserve">320 x 2100 x 290</t>
  </si>
  <si>
    <t xml:space="preserve">TENSOR DE CADENA 1</t>
  </si>
  <si>
    <t xml:space="preserve">TENSOR DE CADENA 2</t>
  </si>
  <si>
    <t xml:space="preserve">cilindro estabilizador de haulotte</t>
  </si>
  <si>
    <t xml:space="preserve">140 x 490 x 135</t>
  </si>
  <si>
    <t xml:space="preserve">KIT DE SELLOS , RETENES Y RODAMIENTOS</t>
  </si>
  <si>
    <t xml:space="preserve">cantera san nicolas </t>
  </si>
  <si>
    <t xml:space="preserve">cilindro h. de excavadora  komatsu pc 600</t>
  </si>
  <si>
    <t xml:space="preserve">420 x 3000 x 400 </t>
  </si>
  <si>
    <t xml:space="preserve">cilindro h. de cola haulotte</t>
  </si>
  <si>
    <t xml:space="preserve">140 x 760 x 200</t>
  </si>
  <si>
    <t xml:space="preserve">140 x 760 x 240</t>
  </si>
  <si>
    <t xml:space="preserve">KIT DE SELLO ØV 125 mm</t>
  </si>
  <si>
    <t xml:space="preserve">jumi</t>
  </si>
  <si>
    <t xml:space="preserve">resorte 1000sr</t>
  </si>
  <si>
    <t xml:space="preserve">120 x 180 x 120</t>
  </si>
  <si>
    <t xml:space="preserve">signorilli</t>
  </si>
  <si>
    <t xml:space="preserve">martillo hidraulico con punzon y con cargador de nitro</t>
  </si>
  <si>
    <t xml:space="preserve">540 x 1600 x 400</t>
  </si>
  <si>
    <t xml:space="preserve">5815-a</t>
  </si>
  <si>
    <t xml:space="preserve">480 x 800 x 350</t>
  </si>
  <si>
    <t xml:space="preserve">POLTYPACK STD 1870-4500-375B CANT 4</t>
  </si>
  <si>
    <t xml:space="preserve">ELEVADOR HAULOTTE</t>
  </si>
  <si>
    <t xml:space="preserve">anka loo</t>
  </si>
  <si>
    <t xml:space="preserve">vastago y tapa</t>
  </si>
  <si>
    <t xml:space="preserve">2000x250x250</t>
  </si>
  <si>
    <t xml:space="preserve"> DESMONTAJE Y MONTAJE DE CILINDROS DE BRAZO.</t>
  </si>
  <si>
    <t xml:space="preserve">REPARAR</t>
  </si>
  <si>
    <t xml:space="preserve">bruno vega</t>
  </si>
  <si>
    <t xml:space="preserve">pie de apollo</t>
  </si>
  <si>
    <t xml:space="preserve">690x310x210</t>
  </si>
  <si>
    <t xml:space="preserve">ciindro levante</t>
  </si>
  <si>
    <t xml:space="preserve">1350x250x250</t>
  </si>
  <si>
    <t xml:space="preserve">estructuras</t>
  </si>
  <si>
    <t xml:space="preserve">punta martillo hrd Indeco</t>
  </si>
  <si>
    <t xml:space="preserve">993x150x150</t>
  </si>
  <si>
    <t xml:space="preserve">sac</t>
  </si>
  <si>
    <t xml:space="preserve">cil enchufadora chica</t>
  </si>
  <si>
    <t xml:space="preserve">1175x120x120</t>
  </si>
  <si>
    <t xml:space="preserve">1100 / 100 / 80</t>
  </si>
  <si>
    <t xml:space="preserve">GRECO</t>
  </si>
  <si>
    <t xml:space="preserve">SELLO PARA ROTOR Ø124</t>
  </si>
  <si>
    <t xml:space="preserve">FABRICACION</t>
  </si>
  <si>
    <t xml:space="preserve">cilindro c/tesores</t>
  </si>
  <si>
    <t xml:space="preserve">800x150x150</t>
  </si>
  <si>
    <t xml:space="preserve">tramo cadena cat</t>
  </si>
  <si>
    <t xml:space="preserve">alumbrera</t>
  </si>
  <si>
    <t xml:space="preserve">camisa dr10</t>
  </si>
  <si>
    <t xml:space="preserve">590x190x190</t>
  </si>
  <si>
    <t xml:space="preserve">5851-130</t>
  </si>
  <si>
    <t xml:space="preserve">epec</t>
  </si>
  <si>
    <t xml:space="preserve">cil de direccion</t>
  </si>
  <si>
    <t xml:space="preserve">5851-140</t>
  </si>
  <si>
    <t xml:space="preserve">daniel ceballos</t>
  </si>
  <si>
    <t xml:space="preserve">cilindro de retro</t>
  </si>
  <si>
    <t xml:space="preserve">2600x340x340</t>
  </si>
  <si>
    <t xml:space="preserve">cil retro</t>
  </si>
  <si>
    <t xml:space="preserve">2450x250x250</t>
  </si>
  <si>
    <t xml:space="preserve">cilindro parrila</t>
  </si>
  <si>
    <t xml:space="preserve">500x370x370</t>
  </si>
  <si>
    <t xml:space="preserve">cilindro pie de apollo</t>
  </si>
  <si>
    <t xml:space="preserve">950x300x300</t>
  </si>
  <si>
    <t xml:space="preserve">95ox300x300</t>
  </si>
  <si>
    <t xml:space="preserve">corrugadora</t>
  </si>
  <si>
    <t xml:space="preserve">cilindro tensor</t>
  </si>
  <si>
    <t xml:space="preserve">880x170x170</t>
  </si>
  <si>
    <t xml:space="preserve">martillo 1838 N° SERIE: AVO 08 D1644E</t>
  </si>
  <si>
    <t xml:space="preserve">1190x300x300</t>
  </si>
  <si>
    <t xml:space="preserve">martillo 1838 N° SERIE: AVO 10D 040E INT CM07</t>
  </si>
  <si>
    <t xml:space="preserve">piezas para fabricar  ****** 3128 0783 90 DRILL SUPPORT</t>
  </si>
  <si>
    <t xml:space="preserve">piezas para fabricar </t>
  </si>
  <si>
    <t xml:space="preserve">teomac contuccion</t>
  </si>
  <si>
    <t xml:space="preserve">valvula</t>
  </si>
  <si>
    <t xml:space="preserve">maxi saya</t>
  </si>
  <si>
    <t xml:space="preserve">1000x220x220</t>
  </si>
  <si>
    <t xml:space="preserve">maxi_saya@hotmail.com</t>
  </si>
  <si>
    <t xml:space="preserve">1000x230x230</t>
  </si>
  <si>
    <t xml:space="preserve">B 12</t>
  </si>
  <si>
    <t xml:space="preserve">AGV FALCON</t>
  </si>
  <si>
    <t xml:space="preserve">EJE Ø50 x 700</t>
  </si>
  <si>
    <t xml:space="preserve">TENSOR DE CADENA CHICO</t>
  </si>
  <si>
    <t xml:space="preserve">TENSOR DE CADENA  GRANDE</t>
  </si>
  <si>
    <t xml:space="preserve">SELLO CUBO PISTON 7´´</t>
  </si>
  <si>
    <t xml:space="preserve">SELLO 5´´ 5/16</t>
  </si>
  <si>
    <t xml:space="preserve">cargo</t>
  </si>
  <si>
    <t xml:space="preserve">265x43x43</t>
  </si>
  <si>
    <t xml:space="preserve">ver</t>
  </si>
  <si>
    <t xml:space="preserve">2470x310x250</t>
  </si>
  <si>
    <t xml:space="preserve">LOTUS JUNIOR</t>
  </si>
  <si>
    <t xml:space="preserve">FLOUROPACK Ø70</t>
  </si>
  <si>
    <t xml:space="preserve">cil de marmoleria</t>
  </si>
  <si>
    <t xml:space="preserve">720x240x240</t>
  </si>
  <si>
    <t xml:space="preserve">gianfranco drusian</t>
  </si>
  <si>
    <t xml:space="preserve">cilindro de sembradora</t>
  </si>
  <si>
    <t xml:space="preserve">120 x 2000 x 200</t>
  </si>
  <si>
    <t xml:space="preserve">gian_3525@hotmail.com</t>
  </si>
  <si>
    <t xml:space="preserve">100 x 1040 x 100</t>
  </si>
  <si>
    <t xml:space="preserve">signorini</t>
  </si>
  <si>
    <t xml:space="preserve">martillo</t>
  </si>
  <si>
    <t xml:space="preserve">2300x300x300</t>
  </si>
  <si>
    <t xml:space="preserve">A 34</t>
  </si>
  <si>
    <t xml:space="preserve">Holcim Campana</t>
  </si>
  <si>
    <t xml:space="preserve">Luis Mata</t>
  </si>
  <si>
    <t xml:space="preserve">Ángulos</t>
  </si>
  <si>
    <t xml:space="preserve">cilindro de carreton</t>
  </si>
  <si>
    <t xml:space="preserve">300 x 650 x290</t>
  </si>
  <si>
    <t xml:space="preserve">300 x 650 x 290</t>
  </si>
  <si>
    <t xml:space="preserve">cilindro de inyectora LK1</t>
  </si>
  <si>
    <t xml:space="preserve">140 x 1150 x 130</t>
  </si>
  <si>
    <t xml:space="preserve">1150 / 125 / 125</t>
  </si>
  <si>
    <t xml:space="preserve">cilindro h.de retro hyundai 250 lc</t>
  </si>
  <si>
    <t xml:space="preserve">250 x 2400 x 300</t>
  </si>
  <si>
    <t xml:space="preserve">2400 / 300 / 300</t>
  </si>
  <si>
    <t xml:space="preserve">holcim petreos</t>
  </si>
  <si>
    <t xml:space="preserve">perno de martillo pica rocas npk</t>
  </si>
  <si>
    <t xml:space="preserve">TANDEB DERECHO DE MOTONIVELADORA</t>
  </si>
  <si>
    <t xml:space="preserve">500 x 2300 x750</t>
  </si>
  <si>
    <t xml:space="preserve">kit de sellos y guia para cilindro estabilizador</t>
  </si>
  <si>
    <t xml:space="preserve">fabricar 4 kit</t>
  </si>
  <si>
    <t xml:space="preserve">740 / 205 / 205</t>
  </si>
  <si>
    <t xml:space="preserve">910x330x230</t>
  </si>
  <si>
    <t xml:space="preserve">1100x220x220</t>
  </si>
  <si>
    <t xml:space="preserve">A 33</t>
  </si>
  <si>
    <t xml:space="preserve">cilindro h. p/bomba hormigon IRL</t>
  </si>
  <si>
    <t xml:space="preserve">260 x 1660 x 320</t>
  </si>
  <si>
    <t xml:space="preserve">dayco</t>
  </si>
  <si>
    <t xml:space="preserve">cil com tensor (tapa jirafa)</t>
  </si>
  <si>
    <t xml:space="preserve">800x350x300</t>
  </si>
  <si>
    <t xml:space="preserve">cil hidraulico contra punta 63/28</t>
  </si>
  <si>
    <t xml:space="preserve">250x110x110</t>
  </si>
  <si>
    <t xml:space="preserve">cil hidraulico expulsador contrapunta fija</t>
  </si>
  <si>
    <t xml:space="preserve">110x100x120</t>
  </si>
  <si>
    <t xml:space="preserve">130 / 100 / 75</t>
  </si>
  <si>
    <t xml:space="preserve">A2</t>
  </si>
  <si>
    <t xml:space="preserve">transporte ramos</t>
  </si>
  <si>
    <t xml:space="preserve">1400x250x250</t>
  </si>
  <si>
    <t xml:space="preserve">A 36</t>
  </si>
  <si>
    <t xml:space="preserve">epiroc</t>
  </si>
  <si>
    <t xml:space="preserve">cilindro pulldawn</t>
  </si>
  <si>
    <t xml:space="preserve">13000x300x300</t>
  </si>
  <si>
    <t xml:space="preserve">5970-20</t>
  </si>
  <si>
    <t xml:space="preserve">5971-20</t>
  </si>
  <si>
    <t xml:space="preserve">aguas de  catamarca</t>
  </si>
  <si>
    <t xml:space="preserve">1560x1200x600</t>
  </si>
  <si>
    <t xml:space="preserve">FAB DE RESORTE SEGUN MUESTRA x2</t>
  </si>
  <si>
    <t xml:space="preserve">CONECTOR BOMBA ALTA PRESION</t>
  </si>
  <si>
    <t xml:space="preserve">PUNZON NUEVO MARTILLO NPK</t>
  </si>
  <si>
    <t xml:space="preserve">PUNZON NUEVO MARTILLO GORILLA</t>
  </si>
  <si>
    <t xml:space="preserve">CLADY</t>
  </si>
  <si>
    <t xml:space="preserve">VASTAGO Ø70 x 2000</t>
  </si>
  <si>
    <t xml:space="preserve">perforacion iglesianas</t>
  </si>
  <si>
    <t xml:space="preserve">sellos</t>
  </si>
  <si>
    <t xml:space="preserve">ORINGS</t>
  </si>
  <si>
    <t xml:space="preserve">cilindro reparar sellos y iman </t>
  </si>
  <si>
    <t xml:space="preserve">370x230x230</t>
  </si>
  <si>
    <t xml:space="preserve">hacer</t>
  </si>
  <si>
    <t xml:space="preserve">180x180x351</t>
  </si>
  <si>
    <t xml:space="preserve">a7</t>
  </si>
  <si>
    <t xml:space="preserve">minera mansfield</t>
  </si>
  <si>
    <t xml:space="preserve">cilindro poll down</t>
  </si>
  <si>
    <t xml:space="preserve">6300x300x300</t>
  </si>
  <si>
    <t xml:space="preserve">250 x 6500 x 200</t>
  </si>
  <si>
    <t xml:space="preserve">cilindro y valvula en caja</t>
  </si>
  <si>
    <t xml:space="preserve">6000x400x400</t>
  </si>
  <si>
    <t xml:space="preserve">5982-20</t>
  </si>
  <si>
    <t xml:space="preserve">Agv Agroindustial</t>
  </si>
  <si>
    <t xml:space="preserve">Cilindro y Valvula en caja</t>
  </si>
  <si>
    <t xml:space="preserve">4682 / 135 / 125</t>
  </si>
  <si>
    <t xml:space="preserve">1700x300x300</t>
  </si>
  <si>
    <t xml:space="preserve">1700 / 330 / 210</t>
  </si>
  <si>
    <t xml:space="preserve">bomba hidraulica p/reparar sello mecanico </t>
  </si>
  <si>
    <t xml:space="preserve">210 x 180 x 130</t>
  </si>
  <si>
    <t xml:space="preserve">https://photos.app.goo.gl/koLd6tvRvzywvco16</t>
  </si>
  <si>
    <t xml:space="preserve">CHAPAR HARDOX  x CANT 14</t>
  </si>
  <si>
    <t xml:space="preserve">cilindro h13</t>
  </si>
  <si>
    <t xml:space="preserve">520x200x200</t>
  </si>
  <si>
    <t xml:space="preserve">Servicios Quinteiro</t>
  </si>
  <si>
    <t xml:space="preserve">Mecanizado limpiavástago y sello de vástago según datos</t>
  </si>
  <si>
    <t xml:space="preserve">NO APLICA</t>
  </si>
  <si>
    <t xml:space="preserve">molde md 3300 num 4910</t>
  </si>
  <si>
    <t xml:space="preserve">1050.4x1320</t>
  </si>
  <si>
    <t xml:space="preserve">DIMEC</t>
  </si>
  <si>
    <t xml:space="preserve">contenedor ot h 1264</t>
  </si>
  <si>
    <t xml:space="preserve">para tornear y bruñir</t>
  </si>
  <si>
    <t xml:space="preserve">CONTENEDOR N482 DET3</t>
  </si>
  <si>
    <t xml:space="preserve">fininng</t>
  </si>
  <si>
    <t xml:space="preserve">carcasa trasmision </t>
  </si>
  <si>
    <t xml:space="preserve">300x300x140</t>
  </si>
  <si>
    <t xml:space="preserve">vastago desplasador</t>
  </si>
  <si>
    <t xml:space="preserve">280x50x50</t>
  </si>
  <si>
    <t xml:space="preserve">vastago de direccion</t>
  </si>
  <si>
    <t xml:space="preserve">550x120x120</t>
  </si>
  <si>
    <t xml:space="preserve">martillo atlas copco EC135T</t>
  </si>
  <si>
    <t xml:space="preserve">2090x500x500</t>
  </si>
  <si>
    <t xml:space="preserve">sudosilo</t>
  </si>
  <si>
    <t xml:space="preserve">cil neumatico puerta d horno</t>
  </si>
  <si>
    <t xml:space="preserve">1000x170x170</t>
  </si>
  <si>
    <t xml:space="preserve">5851-20</t>
  </si>
  <si>
    <t xml:space="preserve">5851-30</t>
  </si>
  <si>
    <t xml:space="preserve">5851-40</t>
  </si>
  <si>
    <t xml:space="preserve">5851-50</t>
  </si>
  <si>
    <t xml:space="preserve">cilindro de contra peso</t>
  </si>
  <si>
    <t xml:space="preserve">5851-60</t>
  </si>
  <si>
    <t xml:space="preserve">cilindro bajo cabina </t>
  </si>
  <si>
    <t xml:space="preserve">5851-70</t>
  </si>
  <si>
    <t xml:space="preserve">cil expansor</t>
  </si>
  <si>
    <t xml:space="preserve">5851-80</t>
  </si>
  <si>
    <t xml:space="preserve">5851-90</t>
  </si>
  <si>
    <t xml:space="preserve">5851-100</t>
  </si>
  <si>
    <t xml:space="preserve">cil cat </t>
  </si>
  <si>
    <t xml:space="preserve">1900x400x400</t>
  </si>
  <si>
    <t xml:space="preserve">Daniel </t>
  </si>
  <si>
    <t xml:space="preserve">cil cat</t>
  </si>
  <si>
    <t xml:space="preserve">agv</t>
  </si>
  <si>
    <t xml:space="preserve">chuck de china</t>
  </si>
  <si>
    <t xml:space="preserve">250x450</t>
  </si>
  <si>
    <t xml:space="preserve">corrugadora centro</t>
  </si>
  <si>
    <t xml:space="preserve">cilindro c/tensores</t>
  </si>
  <si>
    <t xml:space="preserve">900x160x160</t>
  </si>
  <si>
    <t xml:space="preserve">manguera R4 x 1000 mm</t>
  </si>
  <si>
    <t xml:space="preserve">la alumbrera</t>
  </si>
  <si>
    <t xml:space="preserve">245x310x310</t>
  </si>
  <si>
    <t xml:space="preserve">5778-a-b</t>
  </si>
  <si>
    <t xml:space="preserve">soporte de sin fin intermedio</t>
  </si>
  <si>
    <t xml:space="preserve">250x250x200</t>
  </si>
  <si>
    <t xml:space="preserve">5068-1-A</t>
  </si>
  <si>
    <t xml:space="preserve">monasterolo</t>
  </si>
  <si>
    <t xml:space="preserve">telescopico de tres tramos</t>
  </si>
  <si>
    <t xml:space="preserve">550x410x250</t>
  </si>
  <si>
    <t xml:space="preserve">cantesur</t>
  </si>
  <si>
    <t xml:space="preserve">ALESADO IN SITU</t>
  </si>
  <si>
    <t xml:space="preserve">OLLIER</t>
  </si>
  <si>
    <t xml:space="preserve">cilindro cat 320</t>
  </si>
  <si>
    <t xml:space="preserve">vino desarmedo</t>
  </si>
  <si>
    <t xml:space="preserve">ROLO MD3175C N°1 (4816) REMITO: 20115</t>
  </si>
  <si>
    <t xml:space="preserve">estructura</t>
  </si>
  <si>
    <t xml:space="preserve">indeco hp 1800</t>
  </si>
  <si>
    <t xml:space="preserve">REPARACION DE VOLANTA 90tn</t>
  </si>
  <si>
    <t xml:space="preserve">minera pirquita</t>
  </si>
  <si>
    <t xml:space="preserve">cilindro de espesador</t>
  </si>
  <si>
    <t xml:space="preserve">1200x250x250</t>
  </si>
  <si>
    <t xml:space="preserve">PERNO Y BUJES HYUNDAI</t>
  </si>
  <si>
    <t xml:space="preserve">COTIZAR</t>
  </si>
  <si>
    <t xml:space="preserve">FRAU ALBORS</t>
  </si>
  <si>
    <t xml:space="preserve">5578-A</t>
  </si>
  <si>
    <t xml:space="preserve">900x200x200</t>
  </si>
  <si>
    <t xml:space="preserve">mina pirquita</t>
  </si>
  <si>
    <t xml:space="preserve">cilindro suspension trasera</t>
  </si>
  <si>
    <t xml:space="preserve">350x350x1200</t>
  </si>
  <si>
    <t xml:space="preserve">b28</t>
  </si>
  <si>
    <t xml:space="preserve">1200 / 400 / 350</t>
  </si>
  <si>
    <t xml:space="preserve">B36</t>
  </si>
  <si>
    <t xml:space="preserve">MINICARGADORA CAT216B</t>
  </si>
  <si>
    <t xml:space="preserve">CILINDRO LEVANTE MESA W14</t>
  </si>
  <si>
    <t xml:space="preserve">M. ALUMBRERA</t>
  </si>
  <si>
    <t xml:space="preserve">CONECTOR DE PERFORACION</t>
  </si>
  <si>
    <t xml:space="preserve">CIL CAT 320</t>
  </si>
  <si>
    <t xml:space="preserve">1840x300x300</t>
  </si>
  <si>
    <t xml:space="preserve">Usaron la Ficha en Papel sin Pasar.</t>
  </si>
  <si>
    <t xml:space="preserve">cambiar sellos</t>
  </si>
  <si>
    <t xml:space="preserve">hdc</t>
  </si>
  <si>
    <t xml:space="preserve">cil 4" c/tensores</t>
  </si>
  <si>
    <t xml:space="preserve">valvula hyunda</t>
  </si>
  <si>
    <t xml:space="preserve">perno 3128 3185-32</t>
  </si>
  <si>
    <t xml:space="preserve">325x90x90</t>
  </si>
  <si>
    <t xml:space="preserve">5875-20</t>
  </si>
  <si>
    <t xml:space="preserve">buje 9128 7344 00</t>
  </si>
  <si>
    <t xml:space="preserve">70x75x75</t>
  </si>
  <si>
    <t xml:space="preserve">5875-30</t>
  </si>
  <si>
    <t xml:space="preserve">buje 9128 7342 00</t>
  </si>
  <si>
    <t xml:space="preserve">50x50x50</t>
  </si>
  <si>
    <t xml:space="preserve">5875-40</t>
  </si>
  <si>
    <t xml:space="preserve">pin expandible 3125 4968 80</t>
  </si>
  <si>
    <t xml:space="preserve">120x50x50</t>
  </si>
  <si>
    <t xml:space="preserve">5875-50</t>
  </si>
  <si>
    <t xml:space="preserve">pin expandible 3125 1981 80</t>
  </si>
  <si>
    <t xml:space="preserve">250x100x100</t>
  </si>
  <si>
    <t xml:space="preserve">5875-60</t>
  </si>
  <si>
    <t xml:space="preserve">pin expandible 3125 1981 81</t>
  </si>
  <si>
    <t xml:space="preserve">5875-70</t>
  </si>
  <si>
    <t xml:space="preserve">pim expandible 3125 4946 80</t>
  </si>
  <si>
    <t xml:space="preserve">5875-80</t>
  </si>
  <si>
    <t xml:space="preserve">buje laina 3128 2800 09</t>
  </si>
  <si>
    <t xml:space="preserve">130x130xx5</t>
  </si>
  <si>
    <t xml:space="preserve">5875-90</t>
  </si>
  <si>
    <t xml:space="preserve">arandela 3128 2800 08</t>
  </si>
  <si>
    <t xml:space="preserve">5875-100</t>
  </si>
  <si>
    <t xml:space="preserve">pin expandible 3125 1974 80</t>
  </si>
  <si>
    <t xml:space="preserve">5875-110</t>
  </si>
  <si>
    <t xml:space="preserve">pim expansible 3125 1982 80</t>
  </si>
  <si>
    <t xml:space="preserve">200x100x100</t>
  </si>
  <si>
    <t xml:space="preserve">5875-120</t>
  </si>
  <si>
    <t xml:space="preserve">pin expandible 3125 4937 80</t>
  </si>
  <si>
    <t xml:space="preserve">5875-130</t>
  </si>
  <si>
    <t xml:space="preserve">casquillo 5580 0223 52</t>
  </si>
  <si>
    <t xml:space="preserve">110x120x120</t>
  </si>
  <si>
    <t xml:space="preserve">5875-140</t>
  </si>
  <si>
    <t xml:space="preserve">bushing 5589 9997 01</t>
  </si>
  <si>
    <t xml:space="preserve">50x100x100</t>
  </si>
  <si>
    <t xml:space="preserve">5875-150</t>
  </si>
  <si>
    <t xml:space="preserve">expanding shaft 5589 9992 04</t>
  </si>
  <si>
    <t xml:space="preserve">180x100x100</t>
  </si>
  <si>
    <t xml:space="preserve">5875-160</t>
  </si>
  <si>
    <t xml:space="preserve">eje de expansion 5589 9992 01</t>
  </si>
  <si>
    <t xml:space="preserve">5875 -170</t>
  </si>
  <si>
    <t xml:space="preserve">soporte final de viga 3128-0783-90</t>
  </si>
  <si>
    <t xml:space="preserve">640x250x200</t>
  </si>
  <si>
    <t xml:space="preserve">vastago y   chabeta</t>
  </si>
  <si>
    <t xml:space="preserve">800x300x300</t>
  </si>
  <si>
    <t xml:space="preserve">5851-120</t>
  </si>
  <si>
    <t xml:space="preserve">cilindro extension de brazo</t>
  </si>
  <si>
    <t xml:space="preserve">no corresponde</t>
  </si>
  <si>
    <t xml:space="preserve">5851-110</t>
  </si>
  <si>
    <t xml:space="preserve">no correspomde</t>
  </si>
  <si>
    <t xml:space="preserve">holcin</t>
  </si>
  <si>
    <t xml:space="preserve">cilindro expansor</t>
  </si>
  <si>
    <t xml:space="preserve">2800x200x200</t>
  </si>
  <si>
    <t xml:space="preserve">cilindro de expansor</t>
  </si>
  <si>
    <t xml:space="preserve">4600x1600x40</t>
  </si>
  <si>
    <t xml:space="preserve">cec</t>
  </si>
  <si>
    <t xml:space="preserve">500x330x20</t>
  </si>
  <si>
    <t xml:space="preserve">BULON ALLEN M42 X 4.5 LARGO 160 CANTIDAD 2</t>
  </si>
  <si>
    <t xml:space="preserve">620x300x200</t>
  </si>
  <si>
    <t xml:space="preserve">5095-a</t>
  </si>
  <si>
    <t xml:space="preserve">1540x1200x600</t>
  </si>
  <si>
    <t xml:space="preserve">cil extension</t>
  </si>
  <si>
    <t xml:space="preserve">1830x170x140</t>
  </si>
  <si>
    <t xml:space="preserve">170x1830x140</t>
  </si>
  <si>
    <t xml:space="preserve">a34</t>
  </si>
  <si>
    <t xml:space="preserve">pirquita</t>
  </si>
  <si>
    <t xml:space="preserve">cilindro suspencion</t>
  </si>
  <si>
    <t xml:space="preserve">1200x350x350</t>
  </si>
  <si>
    <t xml:space="preserve">1200 / 325 / 325</t>
  </si>
  <si>
    <t xml:space="preserve">1200 / 320 / 320</t>
  </si>
  <si>
    <t xml:space="preserve">impre</t>
  </si>
  <si>
    <t xml:space="preserve">2200x400x300</t>
  </si>
  <si>
    <t xml:space="preserve"> camisa</t>
  </si>
  <si>
    <t xml:space="preserve">2300x250x250</t>
  </si>
  <si>
    <t xml:space="preserve">2290 / 320 / 320</t>
  </si>
  <si>
    <t xml:space="preserve">810 / 135 / 135</t>
  </si>
  <si>
    <t xml:space="preserve">camisa y embolo</t>
  </si>
  <si>
    <t xml:space="preserve">440x410x410</t>
  </si>
  <si>
    <t xml:space="preserve">masa</t>
  </si>
  <si>
    <t xml:space="preserve">330x400x400</t>
  </si>
  <si>
    <t xml:space="preserve">cantera diquecito</t>
  </si>
  <si>
    <t xml:space="preserve">tam rock</t>
  </si>
  <si>
    <t xml:space="preserve">260x70x70</t>
  </si>
  <si>
    <t xml:space="preserve">ARIDEROS</t>
  </si>
  <si>
    <t xml:space="preserve">FABRICACION DE WIPER Ø85 mm y Ø100</t>
  </si>
  <si>
    <t xml:space="preserve">ROLO Ø1010 mm X 1300 mm</t>
  </si>
  <si>
    <t xml:space="preserve">1/07/21</t>
  </si>
  <si>
    <t xml:space="preserve">Valle de la Puerta</t>
  </si>
  <si>
    <t xml:space="preserve">Kit de sellos COE</t>
  </si>
  <si>
    <t xml:space="preserve">Grúas martin</t>
  </si>
  <si>
    <t xml:space="preserve">Vástago cambió juego d emp de pistón y tapa</t>
  </si>
  <si>
    <t xml:space="preserve">ESYOP</t>
  </si>
  <si>
    <t xml:space="preserve">--cilindro</t>
  </si>
  <si>
    <t xml:space="preserve">800 x 150 x 150 </t>
  </si>
  <si>
    <t xml:space="preserve">Palmar</t>
  </si>
  <si>
    <t xml:space="preserve">Cilindro impulsor de horno</t>
  </si>
  <si>
    <t xml:space="preserve">4100 x 250 x 200</t>
  </si>
  <si>
    <t xml:space="preserve">Reductor dinamic  oil p/rueda motriz. Bbr horno</t>
  </si>
  <si>
    <t xml:space="preserve">POLIPACK Ø32 mm X Ø40,2 mm X 6 mm</t>
  </si>
  <si>
    <t xml:space="preserve">Cilindro de prensa </t>
  </si>
  <si>
    <t xml:space="preserve">230 x 330 x 900</t>
  </si>
  <si>
    <t xml:space="preserve">KIT DE SELLOS p/ VASTAGO DIRECCION Ø 28 </t>
  </si>
  <si>
    <t xml:space="preserve">KIT DE SELLOS p/ VASTAGO DIRECCION Ø 25</t>
  </si>
  <si>
    <t xml:space="preserve">CIL HIDRAULICO Ø100 x 455 NUEVO</t>
  </si>
  <si>
    <t xml:space="preserve">Expolajas</t>
  </si>
  <si>
    <t xml:space="preserve"> Cilindro de grúa (tramos)</t>
  </si>
  <si>
    <t xml:space="preserve">BRIDAS</t>
  </si>
  <si>
    <t xml:space="preserve">MOLDE PV H1300C</t>
  </si>
  <si>
    <t xml:space="preserve">Gomas gaspar</t>
  </si>
  <si>
    <t xml:space="preserve">2300 x 400 x 400 </t>
  </si>
  <si>
    <t xml:space="preserve">cil H13</t>
  </si>
  <si>
    <t xml:space="preserve">470 x 200 x 200</t>
  </si>
  <si>
    <t xml:space="preserve">Reparar</t>
  </si>
  <si>
    <t xml:space="preserve">Cil H13</t>
  </si>
  <si>
    <t xml:space="preserve">Cilindro de marmoleria</t>
  </si>
  <si>
    <t xml:space="preserve">Signorrini</t>
  </si>
  <si>
    <t xml:space="preserve">Martillo 1300 itr</t>
  </si>
  <si>
    <t xml:space="preserve">Tapa hacer sello</t>
  </si>
  <si>
    <t xml:space="preserve">No se aplico porque se entregó rapido</t>
  </si>
  <si>
    <t xml:space="preserve">Cilindro neumatico</t>
  </si>
  <si>
    <t xml:space="preserve">900 x 250 x 300</t>
  </si>
  <si>
    <t xml:space="preserve">1100 x 250 x 300</t>
  </si>
  <si>
    <t xml:space="preserve">Caño  de aceite</t>
  </si>
  <si>
    <t xml:space="preserve">Epiroc</t>
  </si>
  <si>
    <t xml:space="preserve">Cilindro Pull down</t>
  </si>
  <si>
    <t xml:space="preserve">https://photos.app.goo.gl/8bfJTuV3JPj1zi538</t>
  </si>
  <si>
    <t xml:space="preserve">Valle la puerta</t>
  </si>
  <si>
    <t xml:space="preserve">Cilindro no trae nominación </t>
  </si>
  <si>
    <t xml:space="preserve">11700 / 500 / 500</t>
  </si>
  <si>
    <t xml:space="preserve">Valvulas </t>
  </si>
  <si>
    <t xml:space="preserve">multiple d escape y codo</t>
  </si>
  <si>
    <t xml:space="preserve">750x350x300</t>
  </si>
  <si>
    <t xml:space="preserve">Signorini</t>
  </si>
  <si>
    <t xml:space="preserve">Cilindro de prensa</t>
  </si>
  <si>
    <t xml:space="preserve">570 x 500 x 700</t>
  </si>
  <si>
    <t xml:space="preserve">Tecnofundaciones</t>
  </si>
  <si>
    <t xml:space="preserve">vastago Ø63.5 mm largo 600 mm</t>
  </si>
  <si>
    <t xml:space="preserve">TAPA + PISTON PARA HACER SELLOS CIL ESTABILIZADOR GROVE 45 TN</t>
  </si>
  <si>
    <t xml:space="preserve">fininng </t>
  </si>
  <si>
    <t xml:space="preserve">excavadora</t>
  </si>
  <si>
    <t xml:space="preserve">940 x 200 x 200</t>
  </si>
  <si>
    <t xml:space="preserve">5400-70-1</t>
  </si>
  <si>
    <t xml:space="preserve">cilindro npk</t>
  </si>
  <si>
    <t xml:space="preserve">1400 x 200 x 200</t>
  </si>
  <si>
    <t xml:space="preserve">sinfin  y eje</t>
  </si>
  <si>
    <t xml:space="preserve">Øint 186 mm X 7 mm XRING</t>
  </si>
  <si>
    <t xml:space="preserve">Canteras diquecito</t>
  </si>
  <si>
    <t xml:space="preserve">martillo soosan</t>
  </si>
  <si>
    <t xml:space="preserve">multiple d escape c/muesta</t>
  </si>
  <si>
    <t xml:space="preserve">630x150x200</t>
  </si>
  <si>
    <t xml:space="preserve">minera la roca</t>
  </si>
  <si>
    <t xml:space="preserve">cil komatu pc 200</t>
  </si>
  <si>
    <t xml:space="preserve">1850 / 300 / 250</t>
  </si>
  <si>
    <t xml:space="preserve">A28</t>
  </si>
  <si>
    <t xml:space="preserve">Daniel 2.0</t>
  </si>
  <si>
    <t xml:space="preserve">boom de carga 9921</t>
  </si>
  <si>
    <t xml:space="preserve">5900x1400x1300</t>
  </si>
  <si>
    <t xml:space="preserve">cil cat390</t>
  </si>
  <si>
    <t xml:space="preserve">300x300x?</t>
  </si>
  <si>
    <t xml:space="preserve">500x500x?</t>
  </si>
  <si>
    <t xml:space="preserve">S N</t>
  </si>
  <si>
    <t xml:space="preserve">molde md 3750 numero2</t>
  </si>
  <si>
    <t xml:space="preserve">cil deapertura telsmith 57 fc</t>
  </si>
  <si>
    <t xml:space="preserve">750x250x25</t>
  </si>
  <si>
    <t xml:space="preserve"> cil bloqueo 66 fc (botella)</t>
  </si>
  <si>
    <t xml:space="preserve">200x150x150</t>
  </si>
  <si>
    <t xml:space="preserve">5773-a</t>
  </si>
  <si>
    <t xml:space="preserve">centro de sin fin</t>
  </si>
  <si>
    <t xml:space="preserve">300x300x250</t>
  </si>
  <si>
    <t xml:space="preserve">bomba de tras base</t>
  </si>
  <si>
    <t xml:space="preserve">550x270x150</t>
  </si>
  <si>
    <t xml:space="preserve">mina la lumbrera</t>
  </si>
  <si>
    <t xml:space="preserve">tapa de trasmicion</t>
  </si>
  <si>
    <t xml:space="preserve">300x550x550</t>
  </si>
  <si>
    <t xml:space="preserve">cambio de carcasa</t>
  </si>
  <si>
    <t xml:space="preserve">mina lumbrera</t>
  </si>
  <si>
    <t xml:space="preserve">trasmision grua</t>
  </si>
  <si>
    <t xml:space="preserve">630x630x630</t>
  </si>
  <si>
    <t xml:space="preserve">Jorge Quinteros</t>
  </si>
  <si>
    <t xml:space="preserve">Wiper y polipack Ø38 mm cant 2 de c/u</t>
  </si>
  <si>
    <t xml:space="preserve">junta d escape </t>
  </si>
  <si>
    <t xml:space="preserve">10x10x4</t>
  </si>
  <si>
    <t xml:space="preserve">comprar o hacer x2 c/u</t>
  </si>
  <si>
    <t xml:space="preserve">tuerca hidraulica con bomba </t>
  </si>
  <si>
    <t xml:space="preserve">420x420x90</t>
  </si>
  <si>
    <t xml:space="preserve">KIT DE SELLOS DE TAPA CIL DE PRENSA</t>
  </si>
  <si>
    <t xml:space="preserve">KIT DE SELLOS DE TAPA CIL DE INYECTORA</t>
  </si>
  <si>
    <t xml:space="preserve">Pymem</t>
  </si>
  <si>
    <t xml:space="preserve">Cilindro jlg 400</t>
  </si>
  <si>
    <t xml:space="preserve">180X120X600</t>
  </si>
  <si>
    <t xml:space="preserve">GOSCA</t>
  </si>
  <si>
    <t xml:space="preserve">Corrugadora centro</t>
  </si>
  <si>
    <t xml:space="preserve">Cilindro de máquina porta bobinas ( rises Ø100 x 455)</t>
  </si>
  <si>
    <t xml:space="preserve">Kit de sellos para cilindro rises Ø100 x 455</t>
  </si>
  <si>
    <t xml:space="preserve">Cilindro suspensión Trasera </t>
  </si>
  <si>
    <t xml:space="preserve">2100 / 350 / 350</t>
  </si>
  <si>
    <t xml:space="preserve">Cilindro suspensión delantera</t>
  </si>
  <si>
    <t xml:space="preserve">450 / 450 / 1700</t>
  </si>
  <si>
    <t xml:space="preserve">Martínez lumello</t>
  </si>
  <si>
    <t xml:space="preserve">Cilindro excavadora Hyundai 210</t>
  </si>
  <si>
    <t xml:space="preserve">2150 / 400 / 300</t>
  </si>
  <si>
    <t xml:space="preserve">BRIDA</t>
  </si>
  <si>
    <t xml:space="preserve">Aceitera argentina</t>
  </si>
  <si>
    <t xml:space="preserve">Cilindro coe</t>
  </si>
  <si>
    <t xml:space="preserve">Cilindro CS2C-160-TN-850-K</t>
  </si>
  <si>
    <t xml:space="preserve">CAMISA COE LARGA</t>
  </si>
  <si>
    <t xml:space="preserve">CONJUNTO DE LAINAS Y CENTRADORES</t>
  </si>
  <si>
    <t xml:space="preserve">VARILLA REGULACION FRENTEADO ALESADORA</t>
  </si>
  <si>
    <t xml:space="preserve">CG</t>
  </si>
  <si>
    <t xml:space="preserve">NUEVO</t>
  </si>
  <si>
    <t xml:space="preserve">GUILLERMO SANCHEZ</t>
  </si>
  <si>
    <t xml:space="preserve">Cilindro de aplastamiento</t>
  </si>
  <si>
    <t xml:space="preserve">260 / 200 / 600</t>
  </si>
  <si>
    <t xml:space="preserve">Mina pirquita</t>
  </si>
  <si>
    <t xml:space="preserve">Guillermo sanchez</t>
  </si>
  <si>
    <t xml:space="preserve">Cilindro de dirección 77f</t>
  </si>
  <si>
    <t xml:space="preserve">Guillermo Sánchez </t>
  </si>
  <si>
    <t xml:space="preserve">H de cat 390</t>
  </si>
  <si>
    <t xml:space="preserve">Cilindro de trituradora</t>
  </si>
  <si>
    <t xml:space="preserve">260x230x630</t>
  </si>
  <si>
    <t xml:space="preserve">Cilindro porta bobina con base cortado</t>
  </si>
  <si>
    <t xml:space="preserve">1000X130X130</t>
  </si>
  <si>
    <t xml:space="preserve">Reparar urgente. Cotizar</t>
  </si>
  <si>
    <t xml:space="preserve">Balancin 992G</t>
  </si>
  <si>
    <t xml:space="preserve">ROLO MD2522</t>
  </si>
  <si>
    <t xml:space="preserve">KIT DE SELLOS PARA OT 4752 X2</t>
  </si>
  <si>
    <t xml:space="preserve">KIT DE SELLOS PARA PARRILLA ESTANDAR</t>
  </si>
  <si>
    <t xml:space="preserve">PLACA DIFERENCIAL MOTONIVELADORA</t>
  </si>
  <si>
    <t xml:space="preserve">ARANDELA ESPACIADOR </t>
  </si>
  <si>
    <t xml:space="preserve">Cilindro de dirección 777F</t>
  </si>
  <si>
    <t xml:space="preserve">EMBOLO Ø320 mm X 375 mm</t>
  </si>
  <si>
    <t xml:space="preserve">Paulini</t>
  </si>
  <si>
    <t xml:space="preserve">Martillo</t>
  </si>
  <si>
    <t xml:space="preserve">Mloncarich@paulini.com.ar</t>
  </si>
  <si>
    <t xml:space="preserve">Construccion de ingieneria</t>
  </si>
  <si>
    <t xml:space="preserve">Vástago tapa y pistón </t>
  </si>
  <si>
    <t xml:space="preserve">Vastago</t>
  </si>
  <si>
    <t xml:space="preserve">Boeto buttigliengo</t>
  </si>
  <si>
    <t xml:space="preserve">cil telescopio c-111</t>
  </si>
  <si>
    <t xml:space="preserve">5599 A</t>
  </si>
  <si>
    <t xml:space="preserve">Hdc</t>
  </si>
  <si>
    <t xml:space="preserve">Cilindro h. Algodonera</t>
  </si>
  <si>
    <t xml:space="preserve">Reparar (perdida)</t>
  </si>
  <si>
    <t xml:space="preserve">5601 A</t>
  </si>
  <si>
    <t xml:space="preserve">Reparar (limpiavastago)</t>
  </si>
  <si>
    <t xml:space="preserve">5641 A</t>
  </si>
  <si>
    <t xml:space="preserve">Allpack</t>
  </si>
  <si>
    <t xml:space="preserve">Camisa coe corto</t>
  </si>
  <si>
    <t xml:space="preserve">Pérdida (radelantera)</t>
  </si>
  <si>
    <t xml:space="preserve">5663 A</t>
  </si>
  <si>
    <t xml:space="preserve">Camisa coe  largo</t>
  </si>
  <si>
    <t xml:space="preserve">Perdida ( fisurado tapa delantera)</t>
  </si>
  <si>
    <t xml:space="preserve">casquillo liso</t>
  </si>
  <si>
    <t xml:space="preserve">AUTONEUM</t>
  </si>
  <si>
    <t xml:space="preserve">CILINDRO PRENSA</t>
  </si>
  <si>
    <t xml:space="preserve">FABRICACION DE WIPERS</t>
  </si>
  <si>
    <t xml:space="preserve">Cilindro levante  CAT 777F</t>
  </si>
  <si>
    <t xml:space="preserve">Cilindro Boom (inclinacion) CAT 992G</t>
  </si>
  <si>
    <t xml:space="preserve">Astori</t>
  </si>
  <si>
    <t xml:space="preserve">Cilindro direccion negro</t>
  </si>
  <si>
    <t xml:space="preserve">Soporte sin fin intermedio</t>
  </si>
  <si>
    <t xml:space="preserve">Reparación completa</t>
  </si>
  <si>
    <t xml:space="preserve">Cilindro de direccion</t>
  </si>
  <si>
    <t xml:space="preserve">Astoti</t>
  </si>
  <si>
    <t xml:space="preserve">Constructora vial sa</t>
  </si>
  <si>
    <t xml:space="preserve">Cilindro retro Hyundai tiene 210</t>
  </si>
  <si>
    <t xml:space="preserve">all pack</t>
  </si>
  <si>
    <t xml:space="preserve">CAMISA COE CORTO </t>
  </si>
  <si>
    <t xml:space="preserve">Cilindro molino de crudo</t>
  </si>
  <si>
    <t xml:space="preserve">Telescopio ha26retj</t>
  </si>
  <si>
    <t xml:space="preserve">Telescopio ha26 retj</t>
  </si>
  <si>
    <t xml:space="preserve">Epiroc argentina</t>
  </si>
  <si>
    <t xml:space="preserve">Cilindro de lev. De Torre pit viper</t>
  </si>
  <si>
    <t xml:space="preserve">350 / 250 / 3100</t>
  </si>
  <si>
    <t xml:space="preserve">Epiroc  argentina</t>
  </si>
  <si>
    <t xml:space="preserve">Cilindro de lev. De Torre pit viper#2</t>
  </si>
  <si>
    <t xml:space="preserve">KIT DE SELLOS CIL ATLASCOPCO CHICO</t>
  </si>
  <si>
    <t xml:space="preserve">Cilindro neumático </t>
  </si>
  <si>
    <t xml:space="preserve">200 / 250 / 1300</t>
  </si>
  <si>
    <t xml:space="preserve">200  / 250 / 1300</t>
  </si>
  <si>
    <t xml:space="preserve">B35</t>
  </si>
  <si>
    <t xml:space="preserve">Bomba expansora</t>
  </si>
  <si>
    <t xml:space="preserve">Copello</t>
  </si>
  <si>
    <t xml:space="preserve">Camisa coe corta y tapa</t>
  </si>
  <si>
    <t xml:space="preserve">Camisa coe corta + 20 mm y tapa</t>
  </si>
  <si>
    <t xml:space="preserve">Prensa/compresor</t>
  </si>
  <si>
    <t xml:space="preserve">550 / 300 / 450</t>
  </si>
  <si>
    <t xml:space="preserve">Pica roca serie 92902</t>
  </si>
  <si>
    <t xml:space="preserve">Conjunto de pernos + bujes + bieleta CAT 390F</t>
  </si>
  <si>
    <t xml:space="preserve">KIT DE SELLOS S/MUESTRA CIL DIRECCION</t>
  </si>
  <si>
    <t xml:space="preserve">CASA DEL RETEN</t>
  </si>
  <si>
    <t xml:space="preserve">VASTAGO Ø18 X 400</t>
  </si>
  <si>
    <t xml:space="preserve">CORTAR Y VENDER</t>
  </si>
  <si>
    <t xml:space="preserve">VASTAGO COE CORTO + PISTON</t>
  </si>
  <si>
    <t xml:space="preserve">VASTAGO COE LARGO + PISTON</t>
  </si>
  <si>
    <t xml:space="preserve">NEVADOS DEL FAMATINA</t>
  </si>
  <si>
    <t xml:space="preserve">3326-1-A</t>
  </si>
  <si>
    <t xml:space="preserve">Martillo TD 51 soosan</t>
  </si>
  <si>
    <t xml:space="preserve">Juego de pastillas para corte con Bulones</t>
  </si>
  <si>
    <t xml:space="preserve">Fabricar según Muestra</t>
  </si>
  <si>
    <t xml:space="preserve">APE s.a</t>
  </si>
  <si>
    <t xml:space="preserve">Cilindro de moto niveladora</t>
  </si>
  <si>
    <t xml:space="preserve">Reparar salió con Núm ot5686 se cambio</t>
  </si>
  <si>
    <t xml:space="preserve">Cilindro hidráulico de cisalladora</t>
  </si>
  <si>
    <t xml:space="preserve">1200 / 300 / 300</t>
  </si>
  <si>
    <t xml:space="preserve">Solo Se Pidio Algunas Medidas Por Urgencia.</t>
  </si>
  <si>
    <t xml:space="preserve">SELLO PARA CILINDRO BLOQUEO Ø320</t>
  </si>
  <si>
    <t xml:space="preserve">PIMEM</t>
  </si>
  <si>
    <t xml:space="preserve">Cilindro de brazo JLG</t>
  </si>
  <si>
    <t xml:space="preserve">1100/280/370</t>
  </si>
  <si>
    <t xml:space="preserve">A22</t>
  </si>
  <si>
    <t xml:space="preserve">160x130x600</t>
  </si>
  <si>
    <t xml:space="preserve">1400/450/230</t>
  </si>
  <si>
    <t xml:space="preserve">260x140x600</t>
  </si>
  <si>
    <t xml:space="preserve">Diesel ruiz</t>
  </si>
  <si>
    <t xml:space="preserve">Camisa + conjunto de tapa y piston</t>
  </si>
  <si>
    <t xml:space="preserve">Cambió de camisa y ver si se puede reutilizar la tapa. </t>
  </si>
  <si>
    <t xml:space="preserve">Cambió de camisa unicamente</t>
  </si>
  <si>
    <t xml:space="preserve">KIT DE SELLOS DE PISTON</t>
  </si>
  <si>
    <t xml:space="preserve">HOLCIM PETREOS</t>
  </si>
  <si>
    <t xml:space="preserve">AMP CONNECTIN KIT DANFOSS NP 157B4992 </t>
  </si>
  <si>
    <t xml:space="preserve">Cantesur</t>
  </si>
  <si>
    <t xml:space="preserve">Cilindro cono de trituracion</t>
  </si>
  <si>
    <t xml:space="preserve">TAPA + KIT DE SELLOS DE TAPA</t>
  </si>
  <si>
    <t xml:space="preserve">HACER RANURA DE GUIA Y HACER SELLOS</t>
  </si>
  <si>
    <t xml:space="preserve">Ingenia grupo consultor s.a.</t>
  </si>
  <si>
    <t xml:space="preserve">2 Vástagos + 1 piston de estabilizador de retro</t>
  </si>
  <si>
    <t xml:space="preserve">3517567158/logistica@ingeniasa.com.ar</t>
  </si>
  <si>
    <t xml:space="preserve">Logistica@ingeniasa.com.ar</t>
  </si>
  <si>
    <t xml:space="preserve">EJES DE REDUCTOR MOLINO</t>
  </si>
  <si>
    <t xml:space="preserve">FABIRCAR EJE NUEVO Y CORONA NUEVA</t>
  </si>
  <si>
    <t xml:space="preserve">INTERMEDIA DE PISTON EN REF OT 5716</t>
  </si>
  <si>
    <t xml:space="preserve">CILINDRO NEUMATICO COMPACTO X 4 UNID</t>
  </si>
  <si>
    <t xml:space="preserve">Cilindro hidráulico de movimiento de placa expulsora (inyectora LK DCC 01)</t>
  </si>
  <si>
    <t xml:space="preserve">400x280x400</t>
  </si>
  <si>
    <t xml:space="preserve">b36</t>
  </si>
  <si>
    <t xml:space="preserve">Cilindro de brazo ( kit de sellos)</t>
  </si>
  <si>
    <t xml:space="preserve">310x250x2270</t>
  </si>
  <si>
    <t xml:space="preserve">B29</t>
  </si>
  <si>
    <t xml:space="preserve">TRABAJOS AGV</t>
  </si>
  <si>
    <t xml:space="preserve">Palmar S.A</t>
  </si>
  <si>
    <t xml:space="preserve">Cilindro de balde komsatsu pc 200</t>
  </si>
  <si>
    <t xml:space="preserve">900 / 300 / 300</t>
  </si>
  <si>
    <t xml:space="preserve">Cilindro rectificadora granito</t>
  </si>
  <si>
    <t xml:space="preserve">PICA ROCA COMPLETO </t>
  </si>
  <si>
    <t xml:space="preserve">Reparaciones varias</t>
  </si>
  <si>
    <t xml:space="preserve">Carlos conci</t>
  </si>
  <si>
    <t xml:space="preserve">Tapa levanta contenedor </t>
  </si>
  <si>
    <t xml:space="preserve">5503-B</t>
  </si>
  <si>
    <t xml:space="preserve">V.G.sa (copello)</t>
  </si>
  <si>
    <t xml:space="preserve"> Cilindro coe</t>
  </si>
  <si>
    <t xml:space="preserve">130x200x700</t>
  </si>
  <si>
    <t xml:space="preserve">Agronorte</t>
  </si>
  <si>
    <t xml:space="preserve">Cilindro volador de Balde</t>
  </si>
  <si>
    <t xml:space="preserve">100 / 160 / 1300</t>
  </si>
  <si>
    <t xml:space="preserve">Clady</t>
  </si>
  <si>
    <t xml:space="preserve">Oficina técnica</t>
  </si>
  <si>
    <t xml:space="preserve">Grúa Grove 50 tn</t>
  </si>
  <si>
    <t xml:space="preserve">Problema telescopio pluma</t>
  </si>
  <si>
    <t xml:space="preserve">5504-A</t>
  </si>
  <si>
    <t xml:space="preserve">V.G</t>
  </si>
  <si>
    <t xml:space="preserve">700 / 200 / 150 </t>
  </si>
  <si>
    <t xml:space="preserve">Capemi.(giacomelli)</t>
  </si>
  <si>
    <t xml:space="preserve">Volanta.chaveta.gatillo.buena centradores</t>
  </si>
  <si>
    <t xml:space="preserve">ALLONDA</t>
  </si>
  <si>
    <t xml:space="preserve">CONJUNTO DE SELLOS PARA CILINDRO HYTOP</t>
  </si>
  <si>
    <t xml:space="preserve">felipe.perez@allonda.com</t>
  </si>
  <si>
    <t xml:space="preserve">MORDAZAS SISTEMA LONG DHALE X 10 UNIDADES</t>
  </si>
  <si>
    <t xml:space="preserve">PILOTO E832318272</t>
  </si>
  <si>
    <t xml:space="preserve">Cilindro hidráulico c/tensores</t>
  </si>
  <si>
    <t xml:space="preserve">680 180 / 120</t>
  </si>
  <si>
    <t xml:space="preserve">A6</t>
  </si>
  <si>
    <t xml:space="preserve">CAMISA COE LARGA MODIFICADA </t>
  </si>
  <si>
    <t xml:space="preserve">5498-A</t>
  </si>
  <si>
    <t xml:space="preserve">Rec!amo</t>
  </si>
  <si>
    <t xml:space="preserve">Cantera San agustin</t>
  </si>
  <si>
    <t xml:space="preserve">Vástago c/pistón y tapa de retroexcavadora</t>
  </si>
  <si>
    <t xml:space="preserve">2300 / 250 / 250</t>
  </si>
  <si>
    <t xml:space="preserve">CIL COE CORTO </t>
  </si>
  <si>
    <t xml:space="preserve">José inverga</t>
  </si>
  <si>
    <t xml:space="preserve">Cilindro autoelevador</t>
  </si>
  <si>
    <t xml:space="preserve">100x150x700</t>
  </si>
  <si>
    <t xml:space="preserve">Joseinverga@hotmail.com</t>
  </si>
  <si>
    <t xml:space="preserve">Rajadura  en tapa trasera</t>
  </si>
  <si>
    <t xml:space="preserve">VASTAGO Ø20 x 1000</t>
  </si>
  <si>
    <t xml:space="preserve">Mansfield  minera</t>
  </si>
  <si>
    <t xml:space="preserve">Bomba 3 cuerpos .camión 706</t>
  </si>
  <si>
    <t xml:space="preserve">Cilindro expansor</t>
  </si>
  <si>
    <t xml:space="preserve">Gato 30tn</t>
  </si>
  <si>
    <t xml:space="preserve">Cilindro plumin</t>
  </si>
  <si>
    <t xml:space="preserve">CILINDRO ESPESADOR </t>
  </si>
  <si>
    <t xml:space="preserve">fabricar y cotizar</t>
  </si>
  <si>
    <t xml:space="preserve">Contenedor 482-3-62</t>
  </si>
  <si>
    <t xml:space="preserve">Infual</t>
  </si>
  <si>
    <t xml:space="preserve">Columna de inyectora  wellish</t>
  </si>
  <si>
    <t xml:space="preserve">.</t>
  </si>
  <si>
    <t xml:space="preserve">Maxion montich S.A.</t>
  </si>
  <si>
    <t xml:space="preserve">Cilindro elevador para prensas</t>
  </si>
  <si>
    <t xml:space="preserve">aceptado </t>
  </si>
  <si>
    <t xml:space="preserve">KIT DE SELLOS WIPER + POLY ESTANDAR</t>
  </si>
  <si>
    <t xml:space="preserve">Basaa S.A</t>
  </si>
  <si>
    <t xml:space="preserve">Cilindro del boom retro 336</t>
  </si>
  <si>
    <t xml:space="preserve">2400 / 600 / 400</t>
  </si>
  <si>
    <t xml:space="preserve">00001-00019565</t>
  </si>
  <si>
    <t xml:space="preserve">Control de alineacion ojo de cilindro</t>
  </si>
  <si>
    <t xml:space="preserve">Vástago cat c/tapa,pistón y tuerca</t>
  </si>
  <si>
    <t xml:space="preserve">Cilindro  hidráulico liebher</t>
  </si>
  <si>
    <t xml:space="preserve">2500 / 350 / 350</t>
  </si>
  <si>
    <t xml:space="preserve">Controlar</t>
  </si>
  <si>
    <t xml:space="preserve">Eje de rastra</t>
  </si>
  <si>
    <t xml:space="preserve">Frau Albors</t>
  </si>
  <si>
    <t xml:space="preserve">Incompleto</t>
  </si>
  <si>
    <t xml:space="preserve">Con coe</t>
  </si>
  <si>
    <t xml:space="preserve">All pack</t>
  </si>
  <si>
    <t xml:space="preserve">Kit de sello</t>
  </si>
  <si>
    <t xml:space="preserve">Entregado</t>
  </si>
  <si>
    <t xml:space="preserve">Capra</t>
  </si>
  <si>
    <t xml:space="preserve">Motor de traslación </t>
  </si>
  <si>
    <t xml:space="preserve">Cil elevación de cuchara</t>
  </si>
  <si>
    <t xml:space="preserve">Agv</t>
  </si>
  <si>
    <t xml:space="preserve">Chik de china</t>
  </si>
  <si>
    <t xml:space="preserve">Relevar</t>
  </si>
  <si>
    <t xml:space="preserve">Newmont</t>
  </si>
  <si>
    <t xml:space="preserve">Cilindro tolva sandvik</t>
  </si>
  <si>
    <t xml:space="preserve">2000 / 300 / 300</t>
  </si>
  <si>
    <t xml:space="preserve">Matias Morata</t>
  </si>
  <si>
    <t xml:space="preserve">Cilindro brazo manipulador sandvik</t>
  </si>
  <si>
    <t xml:space="preserve"> Newmont</t>
  </si>
  <si>
    <t xml:space="preserve">Grúa MArtín </t>
  </si>
  <si>
    <t xml:space="preserve">Pistón cambió de sellos</t>
  </si>
  <si>
    <t xml:space="preserve">Marcos Rodriguez</t>
  </si>
  <si>
    <t xml:space="preserve">cil tensores </t>
  </si>
  <si>
    <t xml:space="preserve">Conci</t>
  </si>
  <si>
    <t xml:space="preserve">Eje rodillo</t>
  </si>
  <si>
    <t xml:space="preserve">Cilindro de horno</t>
  </si>
  <si>
    <t xml:space="preserve">Cil empujando de horno</t>
  </si>
  <si>
    <t xml:space="preserve">Evn s.a</t>
  </si>
  <si>
    <t xml:space="preserve">Martillo catalán h65e</t>
  </si>
  <si>
    <t xml:space="preserve">ĺ lll:  </t>
  </si>
  <si>
    <t xml:space="preserve">Cantera diquesito</t>
  </si>
  <si>
    <t xml:space="preserve">Cilindro de Levante catalán 336</t>
  </si>
  <si>
    <t xml:space="preserve">Vg</t>
  </si>
  <si>
    <t xml:space="preserve">p</t>
  </si>
  <si>
    <t xml:space="preserve">Cil.de prensa algodonera </t>
  </si>
  <si>
    <t xml:space="preserve">CON KIT DE SELLOS</t>
  </si>
  <si>
    <t xml:space="preserve">APE s.a.</t>
  </si>
  <si>
    <t xml:space="preserve">Cil.motoniveladora</t>
  </si>
  <si>
    <t xml:space="preserve">Apesavillanueva@yahoo.com.ar</t>
  </si>
  <si>
    <t xml:space="preserve">Leonardo apellaniz</t>
  </si>
  <si>
    <t xml:space="preserve">Cil. Tractor zanella</t>
  </si>
  <si>
    <t xml:space="preserve">550 / 180 / 150 </t>
  </si>
  <si>
    <t xml:space="preserve">Cachoape823@gmail.com</t>
  </si>
  <si>
    <t xml:space="preserve">Cotiza</t>
  </si>
  <si>
    <t xml:space="preserve">Guillermo Torno</t>
  </si>
  <si>
    <t xml:space="preserve">550 / 180 / 150</t>
  </si>
  <si>
    <t xml:space="preserve">CIL CHUCK CHINA</t>
  </si>
  <si>
    <t xml:space="preserve">Cilindro almeja</t>
  </si>
  <si>
    <t xml:space="preserve">Max.warnier@tecnofundaciones.com.ar</t>
  </si>
  <si>
    <t xml:space="preserve">Vástago c\pistón y tapa sin anclaje</t>
  </si>
  <si>
    <t xml:space="preserve">Cilindro de contrapeso</t>
  </si>
  <si>
    <t xml:space="preserve">900 / 250 / 250</t>
  </si>
  <si>
    <t xml:space="preserve">Cilindro neumático</t>
  </si>
  <si>
    <t xml:space="preserve">500 / 400 / 400</t>
  </si>
  <si>
    <t xml:space="preserve">AGV SERVICIO MINERO</t>
  </si>
  <si>
    <t xml:space="preserve">Kit de sello de freno de estacionamiento</t>
  </si>
  <si>
    <t xml:space="preserve">Martillo de perforación</t>
  </si>
  <si>
    <t xml:space="preserve">Cambió de bulones</t>
  </si>
  <si>
    <t xml:space="preserve">Cuchilla+muestra</t>
  </si>
  <si>
    <t xml:space="preserve">Cotizar fabricación</t>
  </si>
  <si>
    <t xml:space="preserve">5503-A</t>
  </si>
  <si>
    <t xml:space="preserve">700 / 180 / 150 </t>
  </si>
  <si>
    <t xml:space="preserve">Minera alumbrera</t>
  </si>
  <si>
    <t xml:space="preserve">Conector de perforación cant.4</t>
  </si>
  <si>
    <t xml:space="preserve">Fabricación según muestra</t>
  </si>
  <si>
    <t xml:space="preserve">Ane</t>
  </si>
  <si>
    <t xml:space="preserve">Cilindro dirección tractor new holand</t>
  </si>
  <si>
    <t xml:space="preserve">Corrugadora centro </t>
  </si>
  <si>
    <t xml:space="preserve">Cilindro con tensores</t>
  </si>
  <si>
    <t xml:space="preserve">1000 / 150 / 150</t>
  </si>
  <si>
    <t xml:space="preserve">A 2</t>
  </si>
  <si>
    <t xml:space="preserve">Gruas Martin</t>
  </si>
  <si>
    <t xml:space="preserve">ĺlm</t>
  </si>
  <si>
    <t xml:space="preserve">18/0321</t>
  </si>
  <si>
    <t xml:space="preserve">Unidad de giro</t>
  </si>
  <si>
    <t xml:space="preserve">600 / 250 / 250</t>
  </si>
  <si>
    <t xml:space="preserve">5497-A</t>
  </si>
  <si>
    <t xml:space="preserve">700 / 180 / 150</t>
  </si>
  <si>
    <t xml:space="preserve">Pérdida por soldadura</t>
  </si>
  <si>
    <t xml:space="preserve">4797-A</t>
  </si>
  <si>
    <t xml:space="preserve">4877-A</t>
  </si>
  <si>
    <t xml:space="preserve">5239-A</t>
  </si>
  <si>
    <t xml:space="preserve">SIEMs.a.</t>
  </si>
  <si>
    <t xml:space="preserve">Dispositivo rascador</t>
  </si>
  <si>
    <t xml:space="preserve">Holcim malagueño</t>
  </si>
  <si>
    <t xml:space="preserve">Placa sandvick</t>
  </si>
  <si>
    <t xml:space="preserve">HORPAS</t>
  </si>
  <si>
    <t xml:space="preserve">Conjunto saranda(1eje,2rodamiento,2contrapeso ,2porta rodamientos,2 poleas)</t>
  </si>
  <si>
    <t xml:space="preserve">Grumaq srl.</t>
  </si>
  <si>
    <t xml:space="preserve">Cilindro retro 580m</t>
  </si>
  <si>
    <t xml:space="preserve">Montaje rápido farecin</t>
  </si>
  <si>
    <t xml:space="preserve">110x70x600</t>
  </si>
  <si>
    <t xml:space="preserve">Sac hidráulica </t>
  </si>
  <si>
    <t xml:space="preserve">Cilindro desplazable como linde H70 F6 np: 21539</t>
  </si>
  <si>
    <t xml:space="preserve">250 x 100 x 520</t>
  </si>
  <si>
    <t xml:space="preserve">250 / 100 / 520</t>
  </si>
  <si>
    <t xml:space="preserve">All-Pack</t>
  </si>
  <si>
    <t xml:space="preserve">Cilindro OMC Pinza</t>
  </si>
  <si>
    <t xml:space="preserve">1050 / 160 / 130</t>
  </si>
  <si>
    <t xml:space="preserve">Ymad</t>
  </si>
  <si>
    <t xml:space="preserve">Cilindro de vuelco cat 938h</t>
  </si>
  <si>
    <t xml:space="preserve">(03835) 490507</t>
  </si>
  <si>
    <t xml:space="preserve">Cilindro de boom 242-6731</t>
  </si>
  <si>
    <t xml:space="preserve">Cilindro stick 242-6744</t>
  </si>
  <si>
    <t xml:space="preserve">2150 / 220 / 220</t>
  </si>
  <si>
    <t xml:space="preserve">A24</t>
  </si>
  <si>
    <t xml:space="preserve">Cilindro de balde 242-6756</t>
  </si>
  <si>
    <t xml:space="preserve">130 x 130 x 1700</t>
  </si>
  <si>
    <t xml:space="preserve">Motor</t>
  </si>
  <si>
    <t xml:space="preserve">3817-A</t>
  </si>
  <si>
    <t xml:space="preserve">All Pack</t>
  </si>
  <si>
    <t xml:space="preserve">Cilindro COE </t>
  </si>
  <si>
    <t xml:space="preserve">4876-A</t>
  </si>
  <si>
    <t xml:space="preserve">5516-A</t>
  </si>
  <si>
    <t xml:space="preserve">5587-40</t>
  </si>
  <si>
    <t xml:space="preserve">New mont</t>
  </si>
  <si>
    <t xml:space="preserve">cil extension de manipulador</t>
  </si>
  <si>
    <t xml:space="preserve">Axia</t>
  </si>
  <si>
    <t xml:space="preserve">Cilindro neumático Bosch 200/530</t>
  </si>
  <si>
    <t xml:space="preserve">(54-342)4749410</t>
  </si>
  <si>
    <t xml:space="preserve">VASTAGO Ø95 x 1900 mm</t>
  </si>
  <si>
    <t xml:space="preserve">Cortar y despachar</t>
  </si>
  <si>
    <t xml:space="preserve">Fénix reciclados</t>
  </si>
  <si>
    <t xml:space="preserve">Cilindro roll-off </t>
  </si>
  <si>
    <t xml:space="preserve">5500-A</t>
  </si>
  <si>
    <t xml:space="preserve">Camisa coe</t>
  </si>
  <si>
    <t xml:space="preserve">Kit de sellos s/ muestra</t>
  </si>
  <si>
    <t xml:space="preserve">CIL COE  LARGO SOLDADURA DOBLE</t>
  </si>
  <si>
    <t xml:space="preserve">CIL COE CORTO SOLDADURA DOBLE</t>
  </si>
  <si>
    <t xml:space="preserve">Traforera</t>
  </si>
  <si>
    <t xml:space="preserve">Cilindro direccion</t>
  </si>
  <si>
    <t xml:space="preserve">120 / 100 / 350</t>
  </si>
  <si>
    <t xml:space="preserve">Cilindro hidraulicl</t>
  </si>
  <si>
    <t xml:space="preserve">130 / 80 / 750</t>
  </si>
  <si>
    <t xml:space="preserve">Grúa martin</t>
  </si>
  <si>
    <t xml:space="preserve">Retén de convertidor de grua</t>
  </si>
  <si>
    <t xml:space="preserve">Cilindro OMC pinza</t>
  </si>
  <si>
    <t xml:space="preserve">2264-A</t>
  </si>
  <si>
    <t xml:space="preserve">Cilindro coe largo</t>
  </si>
  <si>
    <t xml:space="preserve">Estado de proceso</t>
  </si>
  <si>
    <t xml:space="preserve">Tipo de Proyecto</t>
  </si>
  <si>
    <t xml:space="preserve">RESPONSABLES DE REGISTRO</t>
  </si>
  <si>
    <t xml:space="preserve">PROCESO</t>
  </si>
  <si>
    <t xml:space="preserve">RESPONSABLE</t>
  </si>
  <si>
    <t xml:space="preserve">RECEPCIÓN</t>
  </si>
  <si>
    <t xml:space="preserve">1° (Responsable)</t>
  </si>
  <si>
    <t xml:space="preserve">2° (soporte)</t>
  </si>
  <si>
    <t xml:space="preserve">3° (soporte)</t>
  </si>
  <si>
    <t xml:space="preserve">DESARME</t>
  </si>
  <si>
    <t xml:space="preserve">RELEVAMIENTO</t>
  </si>
  <si>
    <t xml:space="preserve">Oficina Tecnica</t>
  </si>
</sst>
</file>

<file path=xl/styles.xml><?xml version="1.0" encoding="utf-8"?>
<styleSheet xmlns="http://schemas.openxmlformats.org/spreadsheetml/2006/main">
  <numFmts count="9">
    <numFmt numFmtId="164" formatCode="General"/>
    <numFmt numFmtId="165" formatCode="dd/mm/yy"/>
    <numFmt numFmtId="166" formatCode="d/m/yy"/>
    <numFmt numFmtId="167" formatCode="m\-yyyy"/>
    <numFmt numFmtId="168" formatCode="dd/mm"/>
    <numFmt numFmtId="169" formatCode="yyyy\-m"/>
    <numFmt numFmtId="170" formatCode="yyyy\-m\-d"/>
    <numFmt numFmtId="171" formatCode="yyyy/m"/>
    <numFmt numFmtId="172" formatCode="#,##0"/>
  </numFmts>
  <fonts count="32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2"/>
      <color theme="1"/>
      <name val="Arial"/>
      <family val="0"/>
      <charset val="1"/>
    </font>
    <font>
      <b val="true"/>
      <sz val="10"/>
      <color theme="1"/>
      <name val="Arial"/>
      <family val="0"/>
      <charset val="1"/>
    </font>
    <font>
      <b val="true"/>
      <sz val="11"/>
      <color theme="1"/>
      <name val="Arial"/>
      <family val="0"/>
      <charset val="1"/>
    </font>
    <font>
      <b val="true"/>
      <sz val="14"/>
      <color theme="1"/>
      <name val="Arial"/>
      <family val="0"/>
      <charset val="1"/>
    </font>
    <font>
      <b val="true"/>
      <i val="true"/>
      <sz val="10"/>
      <color theme="1"/>
      <name val="Arial"/>
      <family val="0"/>
      <charset val="1"/>
    </font>
    <font>
      <b val="true"/>
      <i val="true"/>
      <sz val="9"/>
      <color theme="1"/>
      <name val="Arial"/>
      <family val="0"/>
      <charset val="1"/>
    </font>
    <font>
      <sz val="11"/>
      <color theme="1"/>
      <name val="Arial"/>
      <family val="0"/>
      <charset val="1"/>
    </font>
    <font>
      <sz val="11"/>
      <color rgb="FF000000"/>
      <name val="Arial"/>
      <family val="0"/>
      <charset val="1"/>
    </font>
    <font>
      <u val="single"/>
      <sz val="11"/>
      <color rgb="FF0000FF"/>
      <name val="Arial"/>
      <family val="0"/>
      <charset val="1"/>
    </font>
    <font>
      <b val="true"/>
      <u val="single"/>
      <sz val="11"/>
      <color rgb="FF0000FF"/>
      <name val="Arial"/>
      <family val="0"/>
      <charset val="1"/>
    </font>
    <font>
      <i val="true"/>
      <sz val="11"/>
      <color theme="1"/>
      <name val="Arial"/>
      <family val="0"/>
      <charset val="1"/>
    </font>
    <font>
      <b val="true"/>
      <sz val="15"/>
      <color theme="1"/>
      <name val="Arial"/>
      <family val="0"/>
      <charset val="1"/>
    </font>
    <font>
      <i val="true"/>
      <u val="single"/>
      <sz val="11"/>
      <color rgb="FF0000FF"/>
      <name val="Cambria"/>
      <family val="0"/>
      <charset val="1"/>
    </font>
    <font>
      <u val="single"/>
      <sz val="11"/>
      <color rgb="FF0000FF"/>
      <name val="Cambria"/>
      <family val="0"/>
      <charset val="1"/>
    </font>
    <font>
      <sz val="10"/>
      <name val="Arial"/>
      <family val="2"/>
    </font>
    <font>
      <b val="true"/>
      <i val="true"/>
      <sz val="11"/>
      <color rgb="FFCC0000"/>
      <name val="Arial"/>
      <family val="0"/>
      <charset val="1"/>
    </font>
    <font>
      <b val="true"/>
      <u val="single"/>
      <sz val="11"/>
      <color rgb="FF0000FF"/>
      <name val="Cambria"/>
      <family val="0"/>
      <charset val="1"/>
    </font>
    <font>
      <u val="single"/>
      <sz val="11"/>
      <color rgb="FF1155CC"/>
      <name val="Arial"/>
      <family val="0"/>
      <charset val="1"/>
    </font>
    <font>
      <i val="true"/>
      <sz val="11"/>
      <name val="Cambria"/>
      <family val="0"/>
      <charset val="1"/>
    </font>
    <font>
      <u val="single"/>
      <sz val="11"/>
      <color rgb="FF1155CC"/>
      <name val="Cambria"/>
      <family val="0"/>
      <charset val="1"/>
    </font>
    <font>
      <b val="true"/>
      <u val="single"/>
      <sz val="11"/>
      <color rgb="FF1155CC"/>
      <name val="Cambria"/>
      <family val="0"/>
      <charset val="1"/>
    </font>
    <font>
      <b val="true"/>
      <i val="true"/>
      <sz val="11"/>
      <color theme="1"/>
      <name val="Arial"/>
      <family val="0"/>
      <charset val="1"/>
    </font>
    <font>
      <b val="true"/>
      <i val="true"/>
      <u val="single"/>
      <sz val="11"/>
      <color rgb="FF0000FF"/>
      <name val="Cambria"/>
      <family val="0"/>
      <charset val="1"/>
    </font>
    <font>
      <i val="true"/>
      <u val="single"/>
      <sz val="11"/>
      <color rgb="FF1155CC"/>
      <name val="Cambria"/>
      <family val="0"/>
      <charset val="1"/>
    </font>
    <font>
      <sz val="11"/>
      <color rgb="FFCC0000"/>
      <name val="Arial"/>
      <family val="0"/>
      <charset val="1"/>
    </font>
    <font>
      <u val="single"/>
      <sz val="11"/>
      <color theme="1"/>
      <name val="Arial"/>
      <family val="0"/>
      <charset val="1"/>
    </font>
    <font>
      <b val="true"/>
      <sz val="16"/>
      <color theme="1"/>
      <name val="Arial"/>
      <family val="0"/>
      <charset val="1"/>
    </font>
    <font>
      <b val="true"/>
      <i val="true"/>
      <sz val="16"/>
      <color theme="1"/>
      <name val="Arial"/>
      <family val="0"/>
      <charset val="1"/>
    </font>
  </fonts>
  <fills count="15">
    <fill>
      <patternFill patternType="none"/>
    </fill>
    <fill>
      <patternFill patternType="gray125"/>
    </fill>
    <fill>
      <patternFill patternType="solid">
        <fgColor rgb="FFFFE100"/>
        <bgColor rgb="FFFFFF00"/>
      </patternFill>
    </fill>
    <fill>
      <patternFill patternType="solid">
        <fgColor rgb="FFA4C2F4"/>
        <bgColor rgb="FFCCCCFF"/>
      </patternFill>
    </fill>
    <fill>
      <patternFill patternType="solid">
        <fgColor rgb="FFB6D7A8"/>
        <bgColor rgb="FFA4C2F4"/>
      </patternFill>
    </fill>
    <fill>
      <patternFill patternType="solid">
        <fgColor rgb="FFD5A6BD"/>
        <bgColor rgb="FFFF99CC"/>
      </patternFill>
    </fill>
    <fill>
      <patternFill patternType="solid">
        <fgColor rgb="FFFFFFFF"/>
        <bgColor rgb="FFFFFFCC"/>
      </patternFill>
    </fill>
    <fill>
      <patternFill patternType="solid">
        <fgColor rgb="FFFF0000"/>
        <bgColor rgb="FFCC0000"/>
      </patternFill>
    </fill>
    <fill>
      <patternFill patternType="solid">
        <fgColor rgb="FF980000"/>
        <bgColor rgb="FFCC0000"/>
      </patternFill>
    </fill>
    <fill>
      <patternFill patternType="solid">
        <fgColor rgb="FF6AA84F"/>
        <bgColor rgb="FF808080"/>
      </patternFill>
    </fill>
    <fill>
      <patternFill patternType="solid">
        <fgColor theme="4"/>
        <bgColor rgb="FF666699"/>
      </patternFill>
    </fill>
    <fill>
      <patternFill patternType="solid">
        <fgColor theme="5"/>
        <bgColor rgb="FFE06666"/>
      </patternFill>
    </fill>
    <fill>
      <patternFill patternType="solid">
        <fgColor rgb="FFFFFF00"/>
        <bgColor rgb="FFFFFF00"/>
      </patternFill>
    </fill>
    <fill>
      <patternFill patternType="solid">
        <fgColor rgb="FF999999"/>
        <bgColor rgb="FF808080"/>
      </patternFill>
    </fill>
    <fill>
      <patternFill patternType="solid">
        <fgColor rgb="FFE06666"/>
        <bgColor rgb="FFEA4335"/>
      </patternFill>
    </fill>
  </fills>
  <borders count="8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/>
      <top/>
      <bottom/>
      <diagonal/>
    </border>
    <border diagonalUp="false" diagonalDown="false">
      <left/>
      <right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0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" fillId="2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6" fillId="2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7" fillId="2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8" fillId="2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" fillId="3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" fillId="3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" fillId="4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" fillId="4" borderId="2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" fillId="5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0" fillId="0" borderId="3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10" fillId="0" borderId="4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6" borderId="1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0" fillId="0" borderId="4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0" borderId="4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10" fillId="6" borderId="3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6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10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0" fillId="0" borderId="4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10" fillId="0" borderId="4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6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0" borderId="5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0" borderId="5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3" fillId="0" borderId="4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0" borderId="3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0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0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4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10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1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4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7" borderId="3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0" fillId="7" borderId="4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7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10" fillId="7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9" fontId="10" fillId="6" borderId="3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3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10" fillId="0" borderId="3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7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10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0" borderId="6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10" fillId="0" borderId="5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10" fillId="0" borderId="5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6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7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9" fontId="10" fillId="6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0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0" fontId="10" fillId="6" borderId="3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1" fontId="10" fillId="6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8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0" fillId="8" borderId="4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10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0" fontId="10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10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0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9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21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2" fontId="10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6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0" fillId="9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0" fillId="1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11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7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22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3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4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0" fontId="10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9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10" fillId="12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0" fillId="6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10" fillId="6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10" fillId="6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0" fillId="0" borderId="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10" fillId="0" borderId="1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26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7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0" borderId="2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28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9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9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9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6" fillId="13" borderId="2" xfId="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4" fontId="5" fillId="14" borderId="7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" fillId="9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6" fillId="9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6" fillId="6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6" fillId="14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6" fillId="13" borderId="1" xfId="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4" fontId="5" fillId="0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3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31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16">
    <dxf>
      <fill>
        <patternFill>
          <bgColor rgb="FF6AA84F"/>
        </patternFill>
      </fill>
    </dxf>
    <dxf>
      <fill>
        <patternFill>
          <bgColor rgb="FFE06666"/>
        </patternFill>
      </fill>
    </dxf>
    <dxf>
      <fill>
        <patternFill patternType="solid">
          <fgColor rgb="FFFF0000"/>
          <bgColor rgb="FF000000"/>
        </patternFill>
      </fill>
    </dxf>
    <dxf>
      <fill>
        <patternFill patternType="solid">
          <fgColor rgb="FFFFE100"/>
          <bgColor rgb="FF000000"/>
        </patternFill>
      </fill>
    </dxf>
    <dxf>
      <fill>
        <patternFill patternType="solid">
          <fgColor rgb="FFFFFFFF"/>
          <bgColor rgb="FF000000"/>
        </patternFill>
      </fill>
    </dxf>
    <dxf>
      <fill>
        <patternFill patternType="solid">
          <bgColor rgb="FF000000"/>
        </patternFill>
      </fill>
    </dxf>
    <dxf>
      <fill>
        <patternFill patternType="solid">
          <fgColor rgb="FF000000"/>
          <bgColor rgb="FF000000"/>
        </patternFill>
      </fill>
    </dxf>
    <dxf>
      <fill>
        <patternFill patternType="solid">
          <fgColor rgb="FF6AA84F"/>
          <bgColor rgb="FF000000"/>
        </patternFill>
      </fill>
    </dxf>
    <dxf>
      <fill>
        <patternFill patternType="solid">
          <fgColor rgb="FFE06666"/>
          <bgColor rgb="FF000000"/>
        </patternFill>
      </fill>
    </dxf>
    <dxf>
      <fill>
        <patternFill patternType="solid">
          <fgColor rgb="FF0000FF"/>
          <bgColor rgb="FF000000"/>
        </patternFill>
      </fill>
    </dxf>
    <dxf>
      <fill>
        <patternFill patternType="solid">
          <fgColor rgb="FFA4C2F4"/>
          <bgColor rgb="FF000000"/>
        </patternFill>
      </fill>
    </dxf>
    <dxf>
      <fill>
        <patternFill patternType="solid">
          <fgColor rgb="FFB6D7A8"/>
          <bgColor rgb="FF000000"/>
        </patternFill>
      </fill>
    </dxf>
    <dxf>
      <fill>
        <patternFill patternType="solid">
          <fgColor rgb="FFD5A6BD"/>
          <bgColor rgb="FF000000"/>
        </patternFill>
      </fill>
    </dxf>
    <dxf>
      <font>
        <color rgb="FF000000"/>
      </font>
      <fill>
        <patternFill>
          <bgColor rgb="FF6AA84F"/>
        </patternFill>
      </fill>
    </dxf>
    <dxf>
      <fill>
        <patternFill patternType="solid">
          <fgColor rgb="FF980000"/>
          <bgColor rgb="FF000000"/>
        </patternFill>
      </fill>
    </dxf>
    <dxf/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80000"/>
      <rgbColor rgb="FF008000"/>
      <rgbColor rgb="FF000080"/>
      <rgbColor rgb="FF808000"/>
      <rgbColor rgb="FF800080"/>
      <rgbColor rgb="FF008080"/>
      <rgbColor rgb="FFB6D7A8"/>
      <rgbColor rgb="FF808080"/>
      <rgbColor rgb="FF9999FF"/>
      <rgbColor rgb="FF993366"/>
      <rgbColor rgb="FFFFFFCC"/>
      <rgbColor rgb="FFCCFFFF"/>
      <rgbColor rgb="FF660066"/>
      <rgbColor rgb="FFE06666"/>
      <rgbColor rgb="FF1155CC"/>
      <rgbColor rgb="FFCCCCFF"/>
      <rgbColor rgb="FF000080"/>
      <rgbColor rgb="FFFF00FF"/>
      <rgbColor rgb="FFFFFF00"/>
      <rgbColor rgb="FF00FFFF"/>
      <rgbColor rgb="FF800080"/>
      <rgbColor rgb="FFCC0000"/>
      <rgbColor rgb="FF008080"/>
      <rgbColor rgb="FF0000FF"/>
      <rgbColor rgb="FF00CCFF"/>
      <rgbColor rgb="FFCCFFFF"/>
      <rgbColor rgb="FFCCFFCC"/>
      <rgbColor rgb="FFFFFF99"/>
      <rgbColor rgb="FFA4C2F4"/>
      <rgbColor rgb="FFFF99CC"/>
      <rgbColor rgb="FFD5A6BD"/>
      <rgbColor rgb="FFFFCC99"/>
      <rgbColor rgb="FF4285F4"/>
      <rgbColor rgb="FF33CCCC"/>
      <rgbColor rgb="FF99CC00"/>
      <rgbColor rgb="FFFFE100"/>
      <rgbColor rgb="FFFF9900"/>
      <rgbColor rgb="FFEA4335"/>
      <rgbColor rgb="FF666699"/>
      <rgbColor rgb="FF999999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worksheet" Target="worksheets/sheet8.xml"/><Relationship Id="rId11" Type="http://schemas.openxmlformats.org/officeDocument/2006/relationships/worksheet" Target="worksheets/sheet9.xml"/><Relationship Id="rId12" Type="http://schemas.openxmlformats.org/officeDocument/2006/relationships/worksheet" Target="worksheets/sheet10.xml"/><Relationship Id="rId13" Type="http://schemas.openxmlformats.org/officeDocument/2006/relationships/worksheet" Target="worksheets/sheet11.xml"/><Relationship Id="rId14" Type="http://schemas.openxmlformats.org/officeDocument/2006/relationships/worksheet" Target="worksheets/sheet12.xml"/><Relationship Id="rId15" Type="http://schemas.openxmlformats.org/officeDocument/2006/relationships/worksheet" Target="worksheets/sheet13.xml"/><Relationship Id="rId16" Type="http://schemas.openxmlformats.org/officeDocument/2006/relationships/worksheet" Target="worksheets/sheet14.xml"/><Relationship Id="rId17" Type="http://schemas.openxmlformats.org/officeDocument/2006/relationships/worksheet" Target="worksheets/sheet15.xml"/><Relationship Id="rId18" Type="http://schemas.openxmlformats.org/officeDocument/2006/relationships/worksheet" Target="worksheets/sheet16.xml"/><Relationship Id="rId19" Type="http://schemas.openxmlformats.org/officeDocument/2006/relationships/worksheet" Target="worksheets/sheet17.xml"/><Relationship Id="rId20" Type="http://schemas.openxmlformats.org/officeDocument/2006/relationships/worksheet" Target="worksheets/sheet18.xml"/><Relationship Id="rId21" Type="http://schemas.openxmlformats.org/officeDocument/2006/relationships/worksheet" Target="worksheets/sheet19.xml"/><Relationship Id="rId22" Type="http://schemas.openxmlformats.org/officeDocument/2006/relationships/worksheet" Target="worksheets/sheet20.xml"/><Relationship Id="rId23" Type="http://schemas.openxmlformats.org/officeDocument/2006/relationships/worksheet" Target="worksheets/sheet21.xml"/><Relationship Id="rId24" Type="http://schemas.openxmlformats.org/officeDocument/2006/relationships/worksheet" Target="worksheets/sheet22.xml"/><Relationship Id="rId25" Type="http://schemas.openxmlformats.org/officeDocument/2006/relationships/worksheet" Target="worksheets/sheet23.xml"/><Relationship Id="rId26" Type="http://schemas.openxmlformats.org/officeDocument/2006/relationships/worksheet" Target="worksheets/sheet24.xml"/><Relationship Id="rId27" Type="http://schemas.openxmlformats.org/officeDocument/2006/relationships/worksheet" Target="worksheets/sheet25.xml"/><Relationship Id="rId28" Type="http://schemas.openxmlformats.org/officeDocument/2006/relationships/worksheet" Target="worksheets/sheet26.xml"/><Relationship Id="rId29" Type="http://schemas.openxmlformats.org/officeDocument/2006/relationships/worksheet" Target="worksheets/sheet27.xml"/><Relationship Id="rId30" Type="http://schemas.openxmlformats.org/officeDocument/2006/relationships/worksheet" Target="worksheets/sheet28.xml"/><Relationship Id="rId31" Type="http://schemas.openxmlformats.org/officeDocument/2006/relationships/worksheet" Target="worksheets/sheet29.xml"/><Relationship Id="rId32" Type="http://schemas.openxmlformats.org/officeDocument/2006/relationships/worksheet" Target="worksheets/sheet30.xml"/><Relationship Id="rId33" Type="http://schemas.openxmlformats.org/officeDocument/2006/relationships/worksheet" Target="worksheets/sheet31.xml"/><Relationship Id="rId34" Type="http://schemas.openxmlformats.org/officeDocument/2006/relationships/worksheet" Target="worksheets/sheet32.xml"/><Relationship Id="rId35" Type="http://schemas.openxmlformats.org/officeDocument/2006/relationships/worksheet" Target="worksheets/sheet33.xml"/><Relationship Id="rId36" Type="http://schemas.openxmlformats.org/officeDocument/2006/relationships/worksheet" Target="worksheets/sheet34.xml"/><Relationship Id="rId37" Type="http://schemas.openxmlformats.org/officeDocument/2006/relationships/worksheet" Target="worksheets/sheet35.xml"/><Relationship Id="rId38" Type="http://schemas.openxmlformats.org/officeDocument/2006/relationships/worksheet" Target="worksheets/sheet36.xml"/><Relationship Id="rId39" Type="http://schemas.openxmlformats.org/officeDocument/2006/relationships/worksheet" Target="worksheets/sheet37.xml"/><Relationship Id="rId40" Type="http://schemas.openxmlformats.org/officeDocument/2006/relationships/worksheet" Target="worksheets/sheet38.xml"/><Relationship Id="rId41" Type="http://schemas.openxmlformats.org/officeDocument/2006/relationships/worksheet" Target="worksheets/sheet39.xml"/><Relationship Id="rId42" Type="http://schemas.openxmlformats.org/officeDocument/2006/relationships/worksheet" Target="worksheets/sheet40.xml"/><Relationship Id="rId43" Type="http://schemas.openxmlformats.org/officeDocument/2006/relationships/worksheet" Target="worksheets/sheet41.xml"/><Relationship Id="rId44" Type="http://schemas.openxmlformats.org/officeDocument/2006/relationships/worksheet" Target="worksheets/sheet42.xml"/><Relationship Id="rId45" Type="http://schemas.openxmlformats.org/officeDocument/2006/relationships/worksheet" Target="worksheets/sheet43.xml"/><Relationship Id="rId46" Type="http://schemas.openxmlformats.org/officeDocument/2006/relationships/worksheet" Target="worksheets/sheet44.xml"/><Relationship Id="rId47" Type="http://schemas.openxmlformats.org/officeDocument/2006/relationships/worksheet" Target="worksheets/sheet45.xml"/><Relationship Id="rId48" Type="http://schemas.openxmlformats.org/officeDocument/2006/relationships/worksheet" Target="worksheets/sheet46.xml"/><Relationship Id="rId49" Type="http://schemas.openxmlformats.org/officeDocument/2006/relationships/worksheet" Target="worksheets/sheet47.xml"/><Relationship Id="rId50" Type="http://schemas.openxmlformats.org/officeDocument/2006/relationships/worksheet" Target="worksheets/sheet48.xml"/><Relationship Id="rId51" Type="http://schemas.openxmlformats.org/officeDocument/2006/relationships/sharedStrings" Target="sharedStrings.xml"/>
</Relationships>
</file>

<file path=xl/drawings/_rels/drawing18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_rels/drawing19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_rels/drawing20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1.png"/>
</Relationships>
</file>

<file path=xl/drawings/_rels/drawing21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1.png"/>
</Relationships>
</file>

<file path=xl/drawings/_rels/drawing22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_rels/drawing23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_rels/drawing24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_rels/drawing25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_rels/drawing26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_rels/drawing27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_rels/drawing28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_rels/drawing29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_rels/drawing30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_rels/drawing31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_rels/drawing32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_rels/drawing33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_rels/drawing34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_rels/drawing35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_rels/drawing36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_rels/drawing37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_rels/drawing38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_rels/drawing39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_rels/drawing40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_rels/drawing41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_rels/drawing42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_rels/drawing43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_rels/drawing44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_rels/drawing45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19</xdr:col>
      <xdr:colOff>145080</xdr:colOff>
      <xdr:row>0</xdr:row>
      <xdr:rowOff>76320</xdr:rowOff>
    </xdr:from>
    <xdr:to>
      <xdr:col>20</xdr:col>
      <xdr:colOff>178560</xdr:colOff>
      <xdr:row>0</xdr:row>
      <xdr:rowOff>370440</xdr:rowOff>
    </xdr:to>
    <xdr:pic>
      <xdr:nvPicPr>
        <xdr:cNvPr id="0" name="image2.png" descr=""/>
        <xdr:cNvPicPr/>
      </xdr:nvPicPr>
      <xdr:blipFill>
        <a:blip r:embed="rId1"/>
        <a:stretch/>
      </xdr:blipFill>
      <xdr:spPr>
        <a:xfrm>
          <a:off x="20088000" y="76320"/>
          <a:ext cx="1293840" cy="2941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20</xdr:col>
      <xdr:colOff>145080</xdr:colOff>
      <xdr:row>0</xdr:row>
      <xdr:rowOff>76320</xdr:rowOff>
    </xdr:from>
    <xdr:to>
      <xdr:col>21</xdr:col>
      <xdr:colOff>178560</xdr:colOff>
      <xdr:row>0</xdr:row>
      <xdr:rowOff>370440</xdr:rowOff>
    </xdr:to>
    <xdr:pic>
      <xdr:nvPicPr>
        <xdr:cNvPr id="1" name="image2.png" descr=""/>
        <xdr:cNvPicPr/>
      </xdr:nvPicPr>
      <xdr:blipFill>
        <a:blip r:embed="rId1"/>
        <a:stretch/>
      </xdr:blipFill>
      <xdr:spPr>
        <a:xfrm>
          <a:off x="21013200" y="76320"/>
          <a:ext cx="1293840" cy="2941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19</xdr:col>
      <xdr:colOff>144720</xdr:colOff>
      <xdr:row>0</xdr:row>
      <xdr:rowOff>76320</xdr:rowOff>
    </xdr:from>
    <xdr:to>
      <xdr:col>20</xdr:col>
      <xdr:colOff>178560</xdr:colOff>
      <xdr:row>0</xdr:row>
      <xdr:rowOff>370440</xdr:rowOff>
    </xdr:to>
    <xdr:pic>
      <xdr:nvPicPr>
        <xdr:cNvPr id="2" name="image2.png" descr=""/>
        <xdr:cNvPicPr/>
      </xdr:nvPicPr>
      <xdr:blipFill>
        <a:blip r:embed="rId1"/>
        <a:stretch/>
      </xdr:blipFill>
      <xdr:spPr>
        <a:xfrm>
          <a:off x="21161880" y="76320"/>
          <a:ext cx="1294560" cy="294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20</xdr:col>
      <xdr:colOff>82080</xdr:colOff>
      <xdr:row>0</xdr:row>
      <xdr:rowOff>122040</xdr:rowOff>
    </xdr:from>
    <xdr:to>
      <xdr:col>21</xdr:col>
      <xdr:colOff>662400</xdr:colOff>
      <xdr:row>0</xdr:row>
      <xdr:rowOff>416160</xdr:rowOff>
    </xdr:to>
    <xdr:pic>
      <xdr:nvPicPr>
        <xdr:cNvPr id="3" name="image2.png 1" descr=""/>
        <xdr:cNvPicPr/>
      </xdr:nvPicPr>
      <xdr:blipFill>
        <a:blip r:embed="rId2"/>
        <a:stretch/>
      </xdr:blipFill>
      <xdr:spPr>
        <a:xfrm>
          <a:off x="22359960" y="122040"/>
          <a:ext cx="1293840" cy="2941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19</xdr:col>
      <xdr:colOff>144720</xdr:colOff>
      <xdr:row>0</xdr:row>
      <xdr:rowOff>76320</xdr:rowOff>
    </xdr:from>
    <xdr:to>
      <xdr:col>20</xdr:col>
      <xdr:colOff>178560</xdr:colOff>
      <xdr:row>0</xdr:row>
      <xdr:rowOff>370440</xdr:rowOff>
    </xdr:to>
    <xdr:pic>
      <xdr:nvPicPr>
        <xdr:cNvPr id="4" name="image2.png" descr=""/>
        <xdr:cNvPicPr/>
      </xdr:nvPicPr>
      <xdr:blipFill>
        <a:blip r:embed="rId1"/>
        <a:stretch/>
      </xdr:blipFill>
      <xdr:spPr>
        <a:xfrm>
          <a:off x="21602520" y="76320"/>
          <a:ext cx="1294560" cy="294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20</xdr:col>
      <xdr:colOff>82080</xdr:colOff>
      <xdr:row>0</xdr:row>
      <xdr:rowOff>122040</xdr:rowOff>
    </xdr:from>
    <xdr:to>
      <xdr:col>21</xdr:col>
      <xdr:colOff>662400</xdr:colOff>
      <xdr:row>0</xdr:row>
      <xdr:rowOff>416160</xdr:rowOff>
    </xdr:to>
    <xdr:pic>
      <xdr:nvPicPr>
        <xdr:cNvPr id="5" name="image2.png 2" descr=""/>
        <xdr:cNvPicPr/>
      </xdr:nvPicPr>
      <xdr:blipFill>
        <a:blip r:embed="rId2"/>
        <a:stretch/>
      </xdr:blipFill>
      <xdr:spPr>
        <a:xfrm>
          <a:off x="22800600" y="122040"/>
          <a:ext cx="1293840" cy="2941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20</xdr:col>
      <xdr:colOff>82080</xdr:colOff>
      <xdr:row>0</xdr:row>
      <xdr:rowOff>122040</xdr:rowOff>
    </xdr:from>
    <xdr:to>
      <xdr:col>21</xdr:col>
      <xdr:colOff>662400</xdr:colOff>
      <xdr:row>0</xdr:row>
      <xdr:rowOff>416160</xdr:rowOff>
    </xdr:to>
    <xdr:pic>
      <xdr:nvPicPr>
        <xdr:cNvPr id="6" name="image2.png 3" descr=""/>
        <xdr:cNvPicPr/>
      </xdr:nvPicPr>
      <xdr:blipFill>
        <a:blip r:embed="rId1"/>
        <a:stretch/>
      </xdr:blipFill>
      <xdr:spPr>
        <a:xfrm>
          <a:off x="22359960" y="122040"/>
          <a:ext cx="1293840" cy="2941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20</xdr:col>
      <xdr:colOff>82080</xdr:colOff>
      <xdr:row>0</xdr:row>
      <xdr:rowOff>122040</xdr:rowOff>
    </xdr:from>
    <xdr:to>
      <xdr:col>21</xdr:col>
      <xdr:colOff>662040</xdr:colOff>
      <xdr:row>0</xdr:row>
      <xdr:rowOff>416160</xdr:rowOff>
    </xdr:to>
    <xdr:pic>
      <xdr:nvPicPr>
        <xdr:cNvPr id="7" name="image2.png 4" descr=""/>
        <xdr:cNvPicPr/>
      </xdr:nvPicPr>
      <xdr:blipFill>
        <a:blip r:embed="rId1"/>
        <a:stretch/>
      </xdr:blipFill>
      <xdr:spPr>
        <a:xfrm>
          <a:off x="21461760" y="122040"/>
          <a:ext cx="1293840" cy="2941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20</xdr:col>
      <xdr:colOff>82080</xdr:colOff>
      <xdr:row>0</xdr:row>
      <xdr:rowOff>122040</xdr:rowOff>
    </xdr:from>
    <xdr:to>
      <xdr:col>21</xdr:col>
      <xdr:colOff>662040</xdr:colOff>
      <xdr:row>0</xdr:row>
      <xdr:rowOff>416160</xdr:rowOff>
    </xdr:to>
    <xdr:pic>
      <xdr:nvPicPr>
        <xdr:cNvPr id="8" name="image2.png 5" descr=""/>
        <xdr:cNvPicPr/>
      </xdr:nvPicPr>
      <xdr:blipFill>
        <a:blip r:embed="rId1"/>
        <a:stretch/>
      </xdr:blipFill>
      <xdr:spPr>
        <a:xfrm>
          <a:off x="21461760" y="122040"/>
          <a:ext cx="1293840" cy="2941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20</xdr:col>
      <xdr:colOff>82080</xdr:colOff>
      <xdr:row>0</xdr:row>
      <xdr:rowOff>122040</xdr:rowOff>
    </xdr:from>
    <xdr:to>
      <xdr:col>21</xdr:col>
      <xdr:colOff>662040</xdr:colOff>
      <xdr:row>0</xdr:row>
      <xdr:rowOff>416160</xdr:rowOff>
    </xdr:to>
    <xdr:pic>
      <xdr:nvPicPr>
        <xdr:cNvPr id="9" name="image2.png 6" descr=""/>
        <xdr:cNvPicPr/>
      </xdr:nvPicPr>
      <xdr:blipFill>
        <a:blip r:embed="rId1"/>
        <a:stretch/>
      </xdr:blipFill>
      <xdr:spPr>
        <a:xfrm>
          <a:off x="21461760" y="122040"/>
          <a:ext cx="1293840" cy="2941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20</xdr:col>
      <xdr:colOff>82080</xdr:colOff>
      <xdr:row>0</xdr:row>
      <xdr:rowOff>122040</xdr:rowOff>
    </xdr:from>
    <xdr:to>
      <xdr:col>21</xdr:col>
      <xdr:colOff>662040</xdr:colOff>
      <xdr:row>0</xdr:row>
      <xdr:rowOff>416160</xdr:rowOff>
    </xdr:to>
    <xdr:pic>
      <xdr:nvPicPr>
        <xdr:cNvPr id="10" name="image2.png 7" descr=""/>
        <xdr:cNvPicPr/>
      </xdr:nvPicPr>
      <xdr:blipFill>
        <a:blip r:embed="rId1"/>
        <a:stretch/>
      </xdr:blipFill>
      <xdr:spPr>
        <a:xfrm>
          <a:off x="21461760" y="122040"/>
          <a:ext cx="1293840" cy="2941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20</xdr:col>
      <xdr:colOff>82080</xdr:colOff>
      <xdr:row>0</xdr:row>
      <xdr:rowOff>122040</xdr:rowOff>
    </xdr:from>
    <xdr:to>
      <xdr:col>21</xdr:col>
      <xdr:colOff>662040</xdr:colOff>
      <xdr:row>0</xdr:row>
      <xdr:rowOff>416160</xdr:rowOff>
    </xdr:to>
    <xdr:pic>
      <xdr:nvPicPr>
        <xdr:cNvPr id="11" name="image2.png 8" descr=""/>
        <xdr:cNvPicPr/>
      </xdr:nvPicPr>
      <xdr:blipFill>
        <a:blip r:embed="rId1"/>
        <a:stretch/>
      </xdr:blipFill>
      <xdr:spPr>
        <a:xfrm>
          <a:off x="21461760" y="122040"/>
          <a:ext cx="1293840" cy="2941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20</xdr:col>
      <xdr:colOff>82080</xdr:colOff>
      <xdr:row>0</xdr:row>
      <xdr:rowOff>122040</xdr:rowOff>
    </xdr:from>
    <xdr:to>
      <xdr:col>21</xdr:col>
      <xdr:colOff>662400</xdr:colOff>
      <xdr:row>0</xdr:row>
      <xdr:rowOff>416160</xdr:rowOff>
    </xdr:to>
    <xdr:pic>
      <xdr:nvPicPr>
        <xdr:cNvPr id="12" name="image2.png 9" descr=""/>
        <xdr:cNvPicPr/>
      </xdr:nvPicPr>
      <xdr:blipFill>
        <a:blip r:embed="rId1"/>
        <a:stretch/>
      </xdr:blipFill>
      <xdr:spPr>
        <a:xfrm>
          <a:off x="21286080" y="122040"/>
          <a:ext cx="1293840" cy="2941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20</xdr:col>
      <xdr:colOff>82080</xdr:colOff>
      <xdr:row>0</xdr:row>
      <xdr:rowOff>122040</xdr:rowOff>
    </xdr:from>
    <xdr:to>
      <xdr:col>21</xdr:col>
      <xdr:colOff>662400</xdr:colOff>
      <xdr:row>0</xdr:row>
      <xdr:rowOff>416160</xdr:rowOff>
    </xdr:to>
    <xdr:pic>
      <xdr:nvPicPr>
        <xdr:cNvPr id="13" name="image2.png 10" descr=""/>
        <xdr:cNvPicPr/>
      </xdr:nvPicPr>
      <xdr:blipFill>
        <a:blip r:embed="rId1"/>
        <a:stretch/>
      </xdr:blipFill>
      <xdr:spPr>
        <a:xfrm>
          <a:off x="21286080" y="122040"/>
          <a:ext cx="1293840" cy="2941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20</xdr:col>
      <xdr:colOff>82080</xdr:colOff>
      <xdr:row>0</xdr:row>
      <xdr:rowOff>122040</xdr:rowOff>
    </xdr:from>
    <xdr:to>
      <xdr:col>21</xdr:col>
      <xdr:colOff>662400</xdr:colOff>
      <xdr:row>0</xdr:row>
      <xdr:rowOff>416160</xdr:rowOff>
    </xdr:to>
    <xdr:pic>
      <xdr:nvPicPr>
        <xdr:cNvPr id="14" name="image2.png 11" descr=""/>
        <xdr:cNvPicPr/>
      </xdr:nvPicPr>
      <xdr:blipFill>
        <a:blip r:embed="rId1"/>
        <a:stretch/>
      </xdr:blipFill>
      <xdr:spPr>
        <a:xfrm>
          <a:off x="21286080" y="122040"/>
          <a:ext cx="1293840" cy="2941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20</xdr:col>
      <xdr:colOff>82080</xdr:colOff>
      <xdr:row>0</xdr:row>
      <xdr:rowOff>122040</xdr:rowOff>
    </xdr:from>
    <xdr:to>
      <xdr:col>21</xdr:col>
      <xdr:colOff>662400</xdr:colOff>
      <xdr:row>0</xdr:row>
      <xdr:rowOff>416160</xdr:rowOff>
    </xdr:to>
    <xdr:pic>
      <xdr:nvPicPr>
        <xdr:cNvPr id="15" name="image2.png 12" descr=""/>
        <xdr:cNvPicPr/>
      </xdr:nvPicPr>
      <xdr:blipFill>
        <a:blip r:embed="rId1"/>
        <a:stretch/>
      </xdr:blipFill>
      <xdr:spPr>
        <a:xfrm>
          <a:off x="21286080" y="122040"/>
          <a:ext cx="1293840" cy="2941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20</xdr:col>
      <xdr:colOff>82080</xdr:colOff>
      <xdr:row>0</xdr:row>
      <xdr:rowOff>122040</xdr:rowOff>
    </xdr:from>
    <xdr:to>
      <xdr:col>21</xdr:col>
      <xdr:colOff>662400</xdr:colOff>
      <xdr:row>0</xdr:row>
      <xdr:rowOff>416160</xdr:rowOff>
    </xdr:to>
    <xdr:pic>
      <xdr:nvPicPr>
        <xdr:cNvPr id="16" name="image2.png 13" descr=""/>
        <xdr:cNvPicPr/>
      </xdr:nvPicPr>
      <xdr:blipFill>
        <a:blip r:embed="rId1"/>
        <a:stretch/>
      </xdr:blipFill>
      <xdr:spPr>
        <a:xfrm>
          <a:off x="21286080" y="122040"/>
          <a:ext cx="1293840" cy="2941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20</xdr:col>
      <xdr:colOff>82080</xdr:colOff>
      <xdr:row>0</xdr:row>
      <xdr:rowOff>122040</xdr:rowOff>
    </xdr:from>
    <xdr:to>
      <xdr:col>21</xdr:col>
      <xdr:colOff>662400</xdr:colOff>
      <xdr:row>0</xdr:row>
      <xdr:rowOff>416160</xdr:rowOff>
    </xdr:to>
    <xdr:pic>
      <xdr:nvPicPr>
        <xdr:cNvPr id="17" name="image2.png 14" descr=""/>
        <xdr:cNvPicPr/>
      </xdr:nvPicPr>
      <xdr:blipFill>
        <a:blip r:embed="rId1"/>
        <a:stretch/>
      </xdr:blipFill>
      <xdr:spPr>
        <a:xfrm>
          <a:off x="21347640" y="122040"/>
          <a:ext cx="1293840" cy="2941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20</xdr:col>
      <xdr:colOff>82080</xdr:colOff>
      <xdr:row>0</xdr:row>
      <xdr:rowOff>122040</xdr:rowOff>
    </xdr:from>
    <xdr:to>
      <xdr:col>21</xdr:col>
      <xdr:colOff>662040</xdr:colOff>
      <xdr:row>0</xdr:row>
      <xdr:rowOff>416160</xdr:rowOff>
    </xdr:to>
    <xdr:pic>
      <xdr:nvPicPr>
        <xdr:cNvPr id="18" name="image2.png 15" descr=""/>
        <xdr:cNvPicPr/>
      </xdr:nvPicPr>
      <xdr:blipFill>
        <a:blip r:embed="rId1"/>
        <a:stretch/>
      </xdr:blipFill>
      <xdr:spPr>
        <a:xfrm>
          <a:off x="21365280" y="122040"/>
          <a:ext cx="1293840" cy="2941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20</xdr:col>
      <xdr:colOff>82080</xdr:colOff>
      <xdr:row>0</xdr:row>
      <xdr:rowOff>122040</xdr:rowOff>
    </xdr:from>
    <xdr:to>
      <xdr:col>21</xdr:col>
      <xdr:colOff>662400</xdr:colOff>
      <xdr:row>0</xdr:row>
      <xdr:rowOff>416160</xdr:rowOff>
    </xdr:to>
    <xdr:pic>
      <xdr:nvPicPr>
        <xdr:cNvPr id="19" name="image2.png 16" descr=""/>
        <xdr:cNvPicPr/>
      </xdr:nvPicPr>
      <xdr:blipFill>
        <a:blip r:embed="rId1"/>
        <a:stretch/>
      </xdr:blipFill>
      <xdr:spPr>
        <a:xfrm>
          <a:off x="22272840" y="122040"/>
          <a:ext cx="1293840" cy="2941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20</xdr:col>
      <xdr:colOff>82080</xdr:colOff>
      <xdr:row>0</xdr:row>
      <xdr:rowOff>122040</xdr:rowOff>
    </xdr:from>
    <xdr:to>
      <xdr:col>21</xdr:col>
      <xdr:colOff>662400</xdr:colOff>
      <xdr:row>0</xdr:row>
      <xdr:rowOff>416160</xdr:rowOff>
    </xdr:to>
    <xdr:pic>
      <xdr:nvPicPr>
        <xdr:cNvPr id="20" name="image2.png 17" descr=""/>
        <xdr:cNvPicPr/>
      </xdr:nvPicPr>
      <xdr:blipFill>
        <a:blip r:embed="rId1"/>
        <a:stretch/>
      </xdr:blipFill>
      <xdr:spPr>
        <a:xfrm>
          <a:off x="22211280" y="122040"/>
          <a:ext cx="1293840" cy="2941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20</xdr:col>
      <xdr:colOff>82080</xdr:colOff>
      <xdr:row>0</xdr:row>
      <xdr:rowOff>122040</xdr:rowOff>
    </xdr:from>
    <xdr:to>
      <xdr:col>21</xdr:col>
      <xdr:colOff>662400</xdr:colOff>
      <xdr:row>0</xdr:row>
      <xdr:rowOff>416160</xdr:rowOff>
    </xdr:to>
    <xdr:pic>
      <xdr:nvPicPr>
        <xdr:cNvPr id="21" name="image2.png 18" descr=""/>
        <xdr:cNvPicPr/>
      </xdr:nvPicPr>
      <xdr:blipFill>
        <a:blip r:embed="rId1"/>
        <a:stretch/>
      </xdr:blipFill>
      <xdr:spPr>
        <a:xfrm>
          <a:off x="22246200" y="122040"/>
          <a:ext cx="1293840" cy="2941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20</xdr:col>
      <xdr:colOff>82080</xdr:colOff>
      <xdr:row>0</xdr:row>
      <xdr:rowOff>122040</xdr:rowOff>
    </xdr:from>
    <xdr:to>
      <xdr:col>21</xdr:col>
      <xdr:colOff>662400</xdr:colOff>
      <xdr:row>0</xdr:row>
      <xdr:rowOff>416160</xdr:rowOff>
    </xdr:to>
    <xdr:pic>
      <xdr:nvPicPr>
        <xdr:cNvPr id="22" name="image2.png 19" descr=""/>
        <xdr:cNvPicPr/>
      </xdr:nvPicPr>
      <xdr:blipFill>
        <a:blip r:embed="rId1"/>
        <a:stretch/>
      </xdr:blipFill>
      <xdr:spPr>
        <a:xfrm>
          <a:off x="22246200" y="122040"/>
          <a:ext cx="1293840" cy="2941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20</xdr:col>
      <xdr:colOff>82080</xdr:colOff>
      <xdr:row>0</xdr:row>
      <xdr:rowOff>122040</xdr:rowOff>
    </xdr:from>
    <xdr:to>
      <xdr:col>21</xdr:col>
      <xdr:colOff>662400</xdr:colOff>
      <xdr:row>0</xdr:row>
      <xdr:rowOff>416160</xdr:rowOff>
    </xdr:to>
    <xdr:pic>
      <xdr:nvPicPr>
        <xdr:cNvPr id="23" name="image2.png 20" descr=""/>
        <xdr:cNvPicPr/>
      </xdr:nvPicPr>
      <xdr:blipFill>
        <a:blip r:embed="rId1"/>
        <a:stretch/>
      </xdr:blipFill>
      <xdr:spPr>
        <a:xfrm>
          <a:off x="22141440" y="122040"/>
          <a:ext cx="1293840" cy="2941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20</xdr:col>
      <xdr:colOff>82080</xdr:colOff>
      <xdr:row>0</xdr:row>
      <xdr:rowOff>122040</xdr:rowOff>
    </xdr:from>
    <xdr:to>
      <xdr:col>21</xdr:col>
      <xdr:colOff>662400</xdr:colOff>
      <xdr:row>0</xdr:row>
      <xdr:rowOff>416160</xdr:rowOff>
    </xdr:to>
    <xdr:pic>
      <xdr:nvPicPr>
        <xdr:cNvPr id="24" name="image2.png 21" descr=""/>
        <xdr:cNvPicPr/>
      </xdr:nvPicPr>
      <xdr:blipFill>
        <a:blip r:embed="rId1"/>
        <a:stretch/>
      </xdr:blipFill>
      <xdr:spPr>
        <a:xfrm>
          <a:off x="22211280" y="122040"/>
          <a:ext cx="1293840" cy="2941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20</xdr:col>
      <xdr:colOff>82080</xdr:colOff>
      <xdr:row>0</xdr:row>
      <xdr:rowOff>122040</xdr:rowOff>
    </xdr:from>
    <xdr:to>
      <xdr:col>21</xdr:col>
      <xdr:colOff>662040</xdr:colOff>
      <xdr:row>0</xdr:row>
      <xdr:rowOff>416160</xdr:rowOff>
    </xdr:to>
    <xdr:pic>
      <xdr:nvPicPr>
        <xdr:cNvPr id="25" name="image2.png 22" descr=""/>
        <xdr:cNvPicPr/>
      </xdr:nvPicPr>
      <xdr:blipFill>
        <a:blip r:embed="rId1"/>
        <a:stretch/>
      </xdr:blipFill>
      <xdr:spPr>
        <a:xfrm>
          <a:off x="21990240" y="122040"/>
          <a:ext cx="1293840" cy="2941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20</xdr:col>
      <xdr:colOff>102240</xdr:colOff>
      <xdr:row>0</xdr:row>
      <xdr:rowOff>122040</xdr:rowOff>
    </xdr:from>
    <xdr:to>
      <xdr:col>21</xdr:col>
      <xdr:colOff>505800</xdr:colOff>
      <xdr:row>0</xdr:row>
      <xdr:rowOff>416160</xdr:rowOff>
    </xdr:to>
    <xdr:pic>
      <xdr:nvPicPr>
        <xdr:cNvPr id="26" name="image2.png 23" descr=""/>
        <xdr:cNvPicPr/>
      </xdr:nvPicPr>
      <xdr:blipFill>
        <a:blip r:embed="rId1"/>
        <a:stretch/>
      </xdr:blipFill>
      <xdr:spPr>
        <a:xfrm>
          <a:off x="22125960" y="122040"/>
          <a:ext cx="1293840" cy="2941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20</xdr:col>
      <xdr:colOff>102240</xdr:colOff>
      <xdr:row>0</xdr:row>
      <xdr:rowOff>122040</xdr:rowOff>
    </xdr:from>
    <xdr:to>
      <xdr:col>21</xdr:col>
      <xdr:colOff>506160</xdr:colOff>
      <xdr:row>0</xdr:row>
      <xdr:rowOff>416160</xdr:rowOff>
    </xdr:to>
    <xdr:pic>
      <xdr:nvPicPr>
        <xdr:cNvPr id="27" name="image2.png 24" descr=""/>
        <xdr:cNvPicPr/>
      </xdr:nvPicPr>
      <xdr:blipFill>
        <a:blip r:embed="rId1"/>
        <a:stretch/>
      </xdr:blipFill>
      <xdr:spPr>
        <a:xfrm>
          <a:off x="21888000" y="122040"/>
          <a:ext cx="1293840" cy="2941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20</xdr:col>
      <xdr:colOff>102240</xdr:colOff>
      <xdr:row>0</xdr:row>
      <xdr:rowOff>122040</xdr:rowOff>
    </xdr:from>
    <xdr:to>
      <xdr:col>21</xdr:col>
      <xdr:colOff>505800</xdr:colOff>
      <xdr:row>0</xdr:row>
      <xdr:rowOff>416160</xdr:rowOff>
    </xdr:to>
    <xdr:pic>
      <xdr:nvPicPr>
        <xdr:cNvPr id="28" name="image2.png 25" descr=""/>
        <xdr:cNvPicPr/>
      </xdr:nvPicPr>
      <xdr:blipFill>
        <a:blip r:embed="rId1"/>
        <a:stretch/>
      </xdr:blipFill>
      <xdr:spPr>
        <a:xfrm>
          <a:off x="20902320" y="122040"/>
          <a:ext cx="1293840" cy="2941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20</xdr:col>
      <xdr:colOff>102240</xdr:colOff>
      <xdr:row>0</xdr:row>
      <xdr:rowOff>122040</xdr:rowOff>
    </xdr:from>
    <xdr:to>
      <xdr:col>21</xdr:col>
      <xdr:colOff>506160</xdr:colOff>
      <xdr:row>0</xdr:row>
      <xdr:rowOff>416160</xdr:rowOff>
    </xdr:to>
    <xdr:pic>
      <xdr:nvPicPr>
        <xdr:cNvPr id="29" name="image2.png 26" descr=""/>
        <xdr:cNvPicPr/>
      </xdr:nvPicPr>
      <xdr:blipFill>
        <a:blip r:embed="rId1"/>
        <a:stretch/>
      </xdr:blipFill>
      <xdr:spPr>
        <a:xfrm>
          <a:off x="20470680" y="122040"/>
          <a:ext cx="1293840" cy="294120"/>
        </a:xfrm>
        <a:prstGeom prst="rect">
          <a:avLst/>
        </a:prstGeom>
        <a:ln w="0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 pitchFamily="0" charset="1"/>
        <a:ea typeface="Arial" pitchFamily="0" charset="1"/>
        <a:cs typeface="Arial" pitchFamily="0" charset="1"/>
      </a:majorFont>
      <a:minorFont>
        <a:latin typeface="Arial" pitchFamily="0" charset="1"/>
        <a:ea typeface="Arial" pitchFamily="0" charset="1"/>
        <a:cs typeface="Arial" pitchFamily="0" charset="1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s://photos.app.goo.gl/sUr9ub3fTyxq9LYk8" TargetMode="External"/><Relationship Id="rId2" Type="http://schemas.openxmlformats.org/officeDocument/2006/relationships/hyperlink" Target="https://photos.app.goo.gl/oJowQkkQwsBw66nw7" TargetMode="External"/><Relationship Id="rId3" Type="http://schemas.openxmlformats.org/officeDocument/2006/relationships/hyperlink" Target="https://drive.google.com/file/d/1-jHobMu6nYkDGgqv-aKddaK1vGTrxpEd/view?usp=drive_link" TargetMode="External"/><Relationship Id="rId4" Type="http://schemas.openxmlformats.org/officeDocument/2006/relationships/hyperlink" Target="https://photos.app.goo.gl/oJowQkkQwsBw66nw7" TargetMode="External"/><Relationship Id="rId5" Type="http://schemas.openxmlformats.org/officeDocument/2006/relationships/hyperlink" Target="https://photos.app.goo.gl/f6udEiVg5ZBMerH3A" TargetMode="External"/><Relationship Id="rId6" Type="http://schemas.openxmlformats.org/officeDocument/2006/relationships/hyperlink" Target="https://photos.app.goo.gl/UepFDoTU6taik16u5" TargetMode="External"/><Relationship Id="rId7" Type="http://schemas.openxmlformats.org/officeDocument/2006/relationships/hyperlink" Target="https://photos.app.goo.gl/ucxgX9AJdmcJXX1X8" TargetMode="External"/><Relationship Id="rId8" Type="http://schemas.openxmlformats.org/officeDocument/2006/relationships/hyperlink" Target="https://photos.app.goo.gl/pvENLvVtJuYn7NDF6" TargetMode="External"/><Relationship Id="rId9" Type="http://schemas.openxmlformats.org/officeDocument/2006/relationships/hyperlink" Target="https://photos.app.goo.gl/M5wLqxbEA7rYW3c47" TargetMode="External"/><Relationship Id="rId10" Type="http://schemas.openxmlformats.org/officeDocument/2006/relationships/hyperlink" Target="https://drive.google.com/drive/folders/13JcTA_-g1C5_l_vIvrgEa3Rqya2M0gYY?usp=drive_link" TargetMode="External"/><Relationship Id="rId11" Type="http://schemas.openxmlformats.org/officeDocument/2006/relationships/hyperlink" Target="https://photos.app.goo.gl/HT7hCQuYqRja3Usq9" TargetMode="External"/><Relationship Id="rId12" Type="http://schemas.openxmlformats.org/officeDocument/2006/relationships/hyperlink" Target="https://photos.app.goo.gl/WkqB2BqQ2ebG4ZW78" TargetMode="External"/><Relationship Id="rId13" Type="http://schemas.openxmlformats.org/officeDocument/2006/relationships/hyperlink" Target="https://drive.google.com/file/d/13sqz1ePuGh6w1ly4Jdat0NA8BwxDkwo_/view?usp=drive_link" TargetMode="External"/><Relationship Id="rId14" Type="http://schemas.openxmlformats.org/officeDocument/2006/relationships/hyperlink" Target="https://photos.app.goo.gl/cdtoNfsmYDKwN1p4A" TargetMode="External"/><Relationship Id="rId15" Type="http://schemas.openxmlformats.org/officeDocument/2006/relationships/hyperlink" Target="https://photos.app.goo.gl/ZADBFFGZqNRMhFgM8" TargetMode="External"/><Relationship Id="rId16" Type="http://schemas.openxmlformats.org/officeDocument/2006/relationships/hyperlink" Target="https://photos.app.goo.gl/iJoYJdaAMGKK3B3H9" TargetMode="External"/><Relationship Id="rId17" Type="http://schemas.openxmlformats.org/officeDocument/2006/relationships/hyperlink" Target="https://drive.google.com/file/d/14xcMrmxdybClJwbE6KgXfbTSpS51vuQ0/view?usp=drive_link" TargetMode="External"/><Relationship Id="rId18" Type="http://schemas.openxmlformats.org/officeDocument/2006/relationships/hyperlink" Target="https://photos.app.goo.gl/YqzMFT7fBtMjCuV26" TargetMode="External"/><Relationship Id="rId19" Type="http://schemas.openxmlformats.org/officeDocument/2006/relationships/hyperlink" Target="https://photos.app.goo.gl/rkKZ9YLn85tXNcfx6" TargetMode="External"/><Relationship Id="rId20" Type="http://schemas.openxmlformats.org/officeDocument/2006/relationships/hyperlink" Target="https://drive.google.com/drive/folders/109RUEUPgs1Yzw22V5OI6EvBSSWZJnBry?usp=drive_link" TargetMode="External"/><Relationship Id="rId21" Type="http://schemas.openxmlformats.org/officeDocument/2006/relationships/hyperlink" Target="https://photos.app.goo.gl/TxbH5uZnJVvwhaF57" TargetMode="External"/><Relationship Id="rId22" Type="http://schemas.openxmlformats.org/officeDocument/2006/relationships/hyperlink" Target="https://photos.app.goo.gl/CbBYaihMyqJS3nhA9" TargetMode="External"/><Relationship Id="rId23" Type="http://schemas.openxmlformats.org/officeDocument/2006/relationships/hyperlink" Target="https://photos.app.goo.gl/78ZZNr7XvaDxyDfz7" TargetMode="External"/><Relationship Id="rId24" Type="http://schemas.openxmlformats.org/officeDocument/2006/relationships/hyperlink" Target="https://drive.google.com/file/d/151iycPwd9fDticOsGM0bdlqEUvwJq0hQ/view?usp=drive_link" TargetMode="External"/><Relationship Id="rId25" Type="http://schemas.openxmlformats.org/officeDocument/2006/relationships/hyperlink" Target="https://photos.app.goo.gl/8dkpxoZe6Tdx2kTSA" TargetMode="External"/><Relationship Id="rId26" Type="http://schemas.openxmlformats.org/officeDocument/2006/relationships/hyperlink" Target="https://drive.google.com/file/d/151iycPwd9fDticOsGM0bdlqEUvwJq0hQ/view" TargetMode="External"/><Relationship Id="rId27" Type="http://schemas.openxmlformats.org/officeDocument/2006/relationships/hyperlink" Target="https://photos.app.goo.gl/kQsc446xmTbKdSud9" TargetMode="External"/><Relationship Id="rId28" Type="http://schemas.openxmlformats.org/officeDocument/2006/relationships/hyperlink" Target="https://photos.app.goo.gl/pPeNSaSTCmknV8PY9" TargetMode="External"/><Relationship Id="rId29" Type="http://schemas.openxmlformats.org/officeDocument/2006/relationships/hyperlink" Target="https://photos.app.goo.gl/xnE41HDzeHyWWuxb9" TargetMode="External"/><Relationship Id="rId30" Type="http://schemas.openxmlformats.org/officeDocument/2006/relationships/hyperlink" Target="https://drive.google.com/file/d/16mAgy64kCdhqVTgSCgiNMc6CvqCfrRRc/view?usp=drive_link" TargetMode="External"/><Relationship Id="rId31" Type="http://schemas.openxmlformats.org/officeDocument/2006/relationships/hyperlink" Target="https://photos.app.goo.gl/ez9FKH3QVP3v4cb37" TargetMode="External"/><Relationship Id="rId32" Type="http://schemas.openxmlformats.org/officeDocument/2006/relationships/hyperlink" Target="https://photos.app.goo.gl/GSPB9wvgnoeCgDvB6" TargetMode="External"/><Relationship Id="rId33" Type="http://schemas.openxmlformats.org/officeDocument/2006/relationships/hyperlink" Target="https://photos.app.goo.gl/v4T8kwoeVefXJsK9A" TargetMode="External"/><Relationship Id="rId34" Type="http://schemas.openxmlformats.org/officeDocument/2006/relationships/hyperlink" Target="https://drive.google.com/file/d/143vAbmEufA3tORUWH1c8ditCJH9DBAS_/view?usp=drive_link" TargetMode="External"/><Relationship Id="rId35" Type="http://schemas.openxmlformats.org/officeDocument/2006/relationships/hyperlink" Target="https://photos.app.goo.gl/mtxhPk2eQHNbZG4C8" TargetMode="External"/><Relationship Id="rId36" Type="http://schemas.openxmlformats.org/officeDocument/2006/relationships/hyperlink" Target="https://photos.app.goo.gl/JoPy1TMcPvnfNrxk9" TargetMode="External"/><Relationship Id="rId37" Type="http://schemas.openxmlformats.org/officeDocument/2006/relationships/hyperlink" Target="https://drive.google.com/file/d/178vBeB4zdWXvuASmCXX4SeKJ8SVXuttq/view?usp=drive_link" TargetMode="External"/><Relationship Id="rId38" Type="http://schemas.openxmlformats.org/officeDocument/2006/relationships/hyperlink" Target="https://photos.app.goo.gl/thd42aQRm1jtmigg8" TargetMode="External"/><Relationship Id="rId39" Type="http://schemas.openxmlformats.org/officeDocument/2006/relationships/hyperlink" Target="https://photos.app.goo.gl/YryHbBWHsCQZvpMj8" TargetMode="External"/><Relationship Id="rId40" Type="http://schemas.openxmlformats.org/officeDocument/2006/relationships/hyperlink" Target="https://photos.app.goo.gl/JTjzWErWqkt5TUXr5" TargetMode="External"/><Relationship Id="rId41" Type="http://schemas.openxmlformats.org/officeDocument/2006/relationships/hyperlink" Target="https://photos.app.goo.gl/8uwweHySLRWVCQucA" TargetMode="External"/><Relationship Id="rId42" Type="http://schemas.openxmlformats.org/officeDocument/2006/relationships/hyperlink" Target="https://photos.app.goo.gl/GqdAznGEko9bXKrn7" TargetMode="External"/><Relationship Id="rId43" Type="http://schemas.openxmlformats.org/officeDocument/2006/relationships/hyperlink" Target="https://photos.app.goo.gl/uvCvFzer3MQvT6QU9" TargetMode="Externa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hyperlink" Target="https://photos.app.goo.gl/H6fKHTckEXenUpr18" TargetMode="External"/><Relationship Id="rId2" Type="http://schemas.openxmlformats.org/officeDocument/2006/relationships/hyperlink" Target="https://photos.app.goo.gl/vkwDLcNhke5RAvu49" TargetMode="External"/><Relationship Id="rId3" Type="http://schemas.openxmlformats.org/officeDocument/2006/relationships/hyperlink" Target="https://drive.google.com/file/d/1pJSvNxaUjy1GnACGXAsh_04_31jRTEWM/view?usp=drive_link" TargetMode="External"/><Relationship Id="rId4" Type="http://schemas.openxmlformats.org/officeDocument/2006/relationships/hyperlink" Target="https://photos.app.goo.gl/gysTNZjRUA6CiA4k7" TargetMode="External"/><Relationship Id="rId5" Type="http://schemas.openxmlformats.org/officeDocument/2006/relationships/hyperlink" Target="https://photos.app.goo.gl/UezGbVNqRF268nwu6" TargetMode="External"/><Relationship Id="rId6" Type="http://schemas.openxmlformats.org/officeDocument/2006/relationships/hyperlink" Target="https://photos.app.goo.gl/7hfaVz8oWtZemepL6" TargetMode="External"/><Relationship Id="rId7" Type="http://schemas.openxmlformats.org/officeDocument/2006/relationships/hyperlink" Target="https://photos.app.goo.gl/13iK3fR4ouBEkU699" TargetMode="External"/><Relationship Id="rId8" Type="http://schemas.openxmlformats.org/officeDocument/2006/relationships/hyperlink" Target="https://photos.app.goo.gl/VrmnP6KFYrUfGguM6" TargetMode="External"/><Relationship Id="rId9" Type="http://schemas.openxmlformats.org/officeDocument/2006/relationships/hyperlink" Target="https://drive.google.com/file/d/1r1MgWlSm0kBSESgvc346kZ59ZT1UpcZr/view?usp=drive_link" TargetMode="External"/><Relationship Id="rId10" Type="http://schemas.openxmlformats.org/officeDocument/2006/relationships/hyperlink" Target="https://photos.app.goo.gl/VrmnP6KFYrUfGguM6" TargetMode="External"/><Relationship Id="rId11" Type="http://schemas.openxmlformats.org/officeDocument/2006/relationships/hyperlink" Target="https://photos.app.goo.gl/GLvtu7ZAmDbe5NTi9" TargetMode="External"/><Relationship Id="rId12" Type="http://schemas.openxmlformats.org/officeDocument/2006/relationships/hyperlink" Target="https://photos.app.goo.gl/86V6z7PFqwgHfsD76" TargetMode="External"/><Relationship Id="rId13" Type="http://schemas.openxmlformats.org/officeDocument/2006/relationships/hyperlink" Target="https://drive.google.com/file/d/1rzz6YWCcsj5W_zjHQ3Rdd4k1SqyUu3XA/view?usp=drive_link" TargetMode="External"/><Relationship Id="rId14" Type="http://schemas.openxmlformats.org/officeDocument/2006/relationships/hyperlink" Target="https://photos.app.goo.gl/86V6z7PFqwgHfsD76" TargetMode="External"/><Relationship Id="rId15" Type="http://schemas.openxmlformats.org/officeDocument/2006/relationships/hyperlink" Target="https://photos.app.goo.gl/fh7b9aV8qAJ1vLzL8" TargetMode="External"/><Relationship Id="rId16" Type="http://schemas.openxmlformats.org/officeDocument/2006/relationships/hyperlink" Target="https://photos.app.goo.gl/G5PqNtYAwzFYC459A" TargetMode="External"/><Relationship Id="rId17" Type="http://schemas.openxmlformats.org/officeDocument/2006/relationships/hyperlink" Target="https://drive.google.com/file/d/1qRdn5k_5wOmIGuKvfDD5gh8ERp-_2Lvg/view?usp=drive_link" TargetMode="External"/><Relationship Id="rId18" Type="http://schemas.openxmlformats.org/officeDocument/2006/relationships/hyperlink" Target="https://photos.app.goo.gl/G5PqNtYAwzFYC459A" TargetMode="External"/><Relationship Id="rId19" Type="http://schemas.openxmlformats.org/officeDocument/2006/relationships/hyperlink" Target="https://photos.app.goo.gl/Ti1WdZ6QcWCduhtr8" TargetMode="External"/><Relationship Id="rId20" Type="http://schemas.openxmlformats.org/officeDocument/2006/relationships/hyperlink" Target="https://photos.app.goo.gl/c2BdtJhJojpCBZiEA" TargetMode="External"/><Relationship Id="rId21" Type="http://schemas.openxmlformats.org/officeDocument/2006/relationships/hyperlink" Target="https://drive.google.com/file/d/12dB8qUbQ6Ga9J_JuVC58EMt9qSG92FXm/view?usp=drive_link" TargetMode="External"/><Relationship Id="rId22" Type="http://schemas.openxmlformats.org/officeDocument/2006/relationships/hyperlink" Target="https://photos.app.goo.gl/r5czqUspNjXZuM3z6" TargetMode="External"/><Relationship Id="rId23" Type="http://schemas.openxmlformats.org/officeDocument/2006/relationships/hyperlink" Target="https://drive.google.com/file/d/1tqRA0yof3cz16Ral2cSYLVMRnMOsARSw/view?usp=drive_link" TargetMode="External"/><Relationship Id="rId24" Type="http://schemas.openxmlformats.org/officeDocument/2006/relationships/hyperlink" Target="https://photos.app.goo.gl/k6hHjkjqQjkdANKR9" TargetMode="External"/><Relationship Id="rId25" Type="http://schemas.openxmlformats.org/officeDocument/2006/relationships/hyperlink" Target="https://drive.google.com/file/d/1trLXrNgy9d5rG_Ce0k7MqaQ5k87Nf-e2/view?usp=drive_link" TargetMode="External"/><Relationship Id="rId26" Type="http://schemas.openxmlformats.org/officeDocument/2006/relationships/hyperlink" Target="https://photos.app.goo.gl/eFF4twxk5eNkXCsw9" TargetMode="External"/><Relationship Id="rId27" Type="http://schemas.openxmlformats.org/officeDocument/2006/relationships/hyperlink" Target="https://photos.app.goo.gl/hdA6hPNhscWEwdi4A" TargetMode="External"/><Relationship Id="rId28" Type="http://schemas.openxmlformats.org/officeDocument/2006/relationships/hyperlink" Target="https://photos.app.goo.gl/QZLWZZzCkj5d5Q1A7" TargetMode="External"/><Relationship Id="rId29" Type="http://schemas.openxmlformats.org/officeDocument/2006/relationships/hyperlink" Target="https://photos.app.goo.gl/3MgwhQRxcY8qHr8j8" TargetMode="External"/><Relationship Id="rId30" Type="http://schemas.openxmlformats.org/officeDocument/2006/relationships/hyperlink" Target="https://photos.app.goo.gl/pxBnqDnDT4y1TmKN6" TargetMode="External"/><Relationship Id="rId31" Type="http://schemas.openxmlformats.org/officeDocument/2006/relationships/hyperlink" Target="https://photos.app.goo.gl/PRPDK7Zn6bjV6U2G6" TargetMode="External"/><Relationship Id="rId32" Type="http://schemas.openxmlformats.org/officeDocument/2006/relationships/hyperlink" Target="https://photos.app.goo.gl/iBSAhHYw5S2LYz7o6" TargetMode="External"/><Relationship Id="rId33" Type="http://schemas.openxmlformats.org/officeDocument/2006/relationships/hyperlink" Target="https://photos.app.goo.gl/3xF1cBGrcx7KXKLk8" TargetMode="External"/><Relationship Id="rId34" Type="http://schemas.openxmlformats.org/officeDocument/2006/relationships/hyperlink" Target="https://photos.app.goo.gl/i8rSCEouuQgsxSeZ7" TargetMode="External"/><Relationship Id="rId35" Type="http://schemas.openxmlformats.org/officeDocument/2006/relationships/hyperlink" Target="https://photos.app.goo.gl/PkW2TKpLouX8sR7m8" TargetMode="External"/><Relationship Id="rId36" Type="http://schemas.openxmlformats.org/officeDocument/2006/relationships/hyperlink" Target="https://drive.google.com/file/d/1wnc-NtJF5iZovbF_QtuKPD07Hgwx5vv1/view?usp=drive_link" TargetMode="External"/><Relationship Id="rId37" Type="http://schemas.openxmlformats.org/officeDocument/2006/relationships/hyperlink" Target="https://photos.app.goo.gl/EK5wNjYR9XpXcZFE8" TargetMode="External"/><Relationship Id="rId38" Type="http://schemas.openxmlformats.org/officeDocument/2006/relationships/hyperlink" Target="https://photos.app.goo.gl/Z7ZXD2ToHCuaw9Jm7" TargetMode="External"/><Relationship Id="rId39" Type="http://schemas.openxmlformats.org/officeDocument/2006/relationships/hyperlink" Target="https://drive.google.com/file/d/1wn2RDvfQXtJ_TDdsaIQuafd6SIGuvQjl/view?usp=drive_link" TargetMode="External"/><Relationship Id="rId40" Type="http://schemas.openxmlformats.org/officeDocument/2006/relationships/hyperlink" Target="https://photos.app.goo.gl/vr4jQzb7C4WTQ6ZcA" TargetMode="External"/><Relationship Id="rId41" Type="http://schemas.openxmlformats.org/officeDocument/2006/relationships/hyperlink" Target="https://photos.app.goo.gl/1o9F4hveemNHudNx6" TargetMode="External"/><Relationship Id="rId42" Type="http://schemas.openxmlformats.org/officeDocument/2006/relationships/hyperlink" Target="https://photos.app.goo.gl/v5nJej1gB67Bwraq8" TargetMode="External"/><Relationship Id="rId43" Type="http://schemas.openxmlformats.org/officeDocument/2006/relationships/hyperlink" Target="https://photos.app.goo.gl/pAqUYfs1tejwERyS9" TargetMode="External"/><Relationship Id="rId44" Type="http://schemas.openxmlformats.org/officeDocument/2006/relationships/hyperlink" Target="https://photos.app.goo.gl/AA9mX1xhD5Qr8CTaA" TargetMode="External"/><Relationship Id="rId45" Type="http://schemas.openxmlformats.org/officeDocument/2006/relationships/hyperlink" Target="https://photos.app.goo.gl/fqNth2gptqDLQe779" TargetMode="External"/><Relationship Id="rId46" Type="http://schemas.openxmlformats.org/officeDocument/2006/relationships/hyperlink" Target="https://photos.app.goo.gl/fqNth2gptqDLQe779" TargetMode="External"/><Relationship Id="rId47" Type="http://schemas.openxmlformats.org/officeDocument/2006/relationships/hyperlink" Target="https://photos.app.goo.gl/XcQjZrkLhjNtjsRc8" TargetMode="External"/><Relationship Id="rId48" Type="http://schemas.openxmlformats.org/officeDocument/2006/relationships/hyperlink" Target="https://photos.app.goo.gl/ttGeHMRc5AmyDLKt8" TargetMode="External"/><Relationship Id="rId49" Type="http://schemas.openxmlformats.org/officeDocument/2006/relationships/hyperlink" Target="https://photos.app.goo.gl/YpZavC8TTy3Z2oxi7" TargetMode="External"/><Relationship Id="rId50" Type="http://schemas.openxmlformats.org/officeDocument/2006/relationships/hyperlink" Target="https://photos.app.goo.gl/ixu471fmG9qhsS6J9" TargetMode="External"/><Relationship Id="rId51" Type="http://schemas.openxmlformats.org/officeDocument/2006/relationships/hyperlink" Target="https://photos.app.goo.gl/mE3q1aqtqszGc7dH9" TargetMode="External"/><Relationship Id="rId52" Type="http://schemas.openxmlformats.org/officeDocument/2006/relationships/hyperlink" Target="https://drive.google.com/file/d/1xmJm6n-Lv_zHAG_vHb2rZGpFBY_gbmn-/view?usp=drive_link" TargetMode="External"/><Relationship Id="rId53" Type="http://schemas.openxmlformats.org/officeDocument/2006/relationships/hyperlink" Target="https://photos.app.goo.gl/mtp1f8eP85SVqnq1A" TargetMode="External"/><Relationship Id="rId54" Type="http://schemas.openxmlformats.org/officeDocument/2006/relationships/hyperlink" Target="https://photos.app.goo.gl/qR3jPJKeh2Z2LyT6A" TargetMode="External"/><Relationship Id="rId55" Type="http://schemas.openxmlformats.org/officeDocument/2006/relationships/hyperlink" Target="https://photos.app.goo.gl/CTaLkXRRxNqJsVa37" TargetMode="External"/><Relationship Id="rId56" Type="http://schemas.openxmlformats.org/officeDocument/2006/relationships/hyperlink" Target="https://drive.google.com/file/d/1yL8Vq1sIulXzU5at_4_IHXqx0jqW70aR/view?usp=drive_link" TargetMode="External"/><Relationship Id="rId57" Type="http://schemas.openxmlformats.org/officeDocument/2006/relationships/hyperlink" Target="https://photos.app.goo.gl/pP6SFuPZDCHYsdNx9" TargetMode="External"/><Relationship Id="rId58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hyperlink" Target="https://photos.app.goo.gl/DB5GuLLRsnrXkWzk9" TargetMode="External"/><Relationship Id="rId2" Type="http://schemas.openxmlformats.org/officeDocument/2006/relationships/hyperlink" Target="https://drive.google.com/file/d/1f5-xzkdEoYLgJbTTY8yGyyG4D8f9-dIs/view?usp=drive_link" TargetMode="External"/><Relationship Id="rId3" Type="http://schemas.openxmlformats.org/officeDocument/2006/relationships/hyperlink" Target="https://photos.app.goo.gl/mB8xvJgSPGmYDK6X7" TargetMode="External"/><Relationship Id="rId4" Type="http://schemas.openxmlformats.org/officeDocument/2006/relationships/hyperlink" Target="https://photos.app.goo.gl/FDYQzqcpjQjoN7aw7" TargetMode="External"/><Relationship Id="rId5" Type="http://schemas.openxmlformats.org/officeDocument/2006/relationships/hyperlink" Target="https://photos.app.goo.gl/vvu9oR8x6eSVRjbZ7" TargetMode="External"/><Relationship Id="rId6" Type="http://schemas.openxmlformats.org/officeDocument/2006/relationships/hyperlink" Target="https://drive.google.com/file/d/1evaB1zTh8K_g03q0s_Jk9Q5Xmd_CXAVO/view?usp=drive_link" TargetMode="External"/><Relationship Id="rId7" Type="http://schemas.openxmlformats.org/officeDocument/2006/relationships/hyperlink" Target="https://photos.app.goo.gl/or3jVZbBdhavXKsD7" TargetMode="External"/><Relationship Id="rId8" Type="http://schemas.openxmlformats.org/officeDocument/2006/relationships/hyperlink" Target="https://photos.app.goo.gl/CJL7YtQVhA3vUwiP9" TargetMode="External"/><Relationship Id="rId9" Type="http://schemas.openxmlformats.org/officeDocument/2006/relationships/hyperlink" Target="https://photos.app.goo.gl/BArPTtMFfuMKN2JG9" TargetMode="External"/><Relationship Id="rId10" Type="http://schemas.openxmlformats.org/officeDocument/2006/relationships/hyperlink" Target="https://drive.google.com/file/d/1h1VSx5E5L5AfujFb5WhFnasQ5alTS4ji/view?usp=drive_link" TargetMode="External"/><Relationship Id="rId11" Type="http://schemas.openxmlformats.org/officeDocument/2006/relationships/hyperlink" Target="https://photos.app.goo.gl/ERCSfuNsC2siJssU9" TargetMode="External"/><Relationship Id="rId12" Type="http://schemas.openxmlformats.org/officeDocument/2006/relationships/hyperlink" Target="https://photos.app.goo.gl/iGYcLzBNDBLjBgLVA" TargetMode="External"/><Relationship Id="rId13" Type="http://schemas.openxmlformats.org/officeDocument/2006/relationships/hyperlink" Target="https://photos.app.goo.gl/ARW7niVX8M3scNgz6" TargetMode="External"/><Relationship Id="rId14" Type="http://schemas.openxmlformats.org/officeDocument/2006/relationships/hyperlink" Target="https://drive.google.com/file/d/1h28GullZUNyOXvrVCjZkZXGJBtDcCYzh/view?usp=drive_link" TargetMode="External"/><Relationship Id="rId15" Type="http://schemas.openxmlformats.org/officeDocument/2006/relationships/hyperlink" Target="https://photos.app.goo.gl/xu8tMoaM8UxsjPE27" TargetMode="External"/><Relationship Id="rId16" Type="http://schemas.openxmlformats.org/officeDocument/2006/relationships/hyperlink" Target="https://photos.app.goo.gl/oWT9sBbVxovhFhgc8" TargetMode="External"/><Relationship Id="rId17" Type="http://schemas.openxmlformats.org/officeDocument/2006/relationships/hyperlink" Target="https://photos.app.goo.gl/kkpDktT7EsKKwmyV6" TargetMode="External"/><Relationship Id="rId18" Type="http://schemas.openxmlformats.org/officeDocument/2006/relationships/hyperlink" Target="https://photos.app.goo.gl/9nMnCNRKRW1Dbih89" TargetMode="External"/><Relationship Id="rId19" Type="http://schemas.openxmlformats.org/officeDocument/2006/relationships/hyperlink" Target="https://photos.app.goo.gl/1p2WhpEy1JNgUu167" TargetMode="External"/><Relationship Id="rId20" Type="http://schemas.openxmlformats.org/officeDocument/2006/relationships/hyperlink" Target="https://drive.google.com/file/d/1hPCGGqfiqWDFp8NOEnKB7iZAlqgahj8l/view?usp=drive_link" TargetMode="External"/><Relationship Id="rId21" Type="http://schemas.openxmlformats.org/officeDocument/2006/relationships/hyperlink" Target="https://photos.app.goo.gl/Po7bYqucSoBhgPDV8" TargetMode="External"/><Relationship Id="rId22" Type="http://schemas.openxmlformats.org/officeDocument/2006/relationships/hyperlink" Target="https://photos.app.goo.gl/yMrdJdtinL7XSm7e6" TargetMode="External"/><Relationship Id="rId23" Type="http://schemas.openxmlformats.org/officeDocument/2006/relationships/hyperlink" Target="https://photos.app.goo.gl/uMoGFLu4Kaq8UwyQ9" TargetMode="External"/><Relationship Id="rId24" Type="http://schemas.openxmlformats.org/officeDocument/2006/relationships/hyperlink" Target="https://photos.app.goo.gl/aBVxBG2WCscSG12G8" TargetMode="External"/><Relationship Id="rId25" Type="http://schemas.openxmlformats.org/officeDocument/2006/relationships/hyperlink" Target="https://photos.app.goo.gl/RujsNCN5ijM1iwda6" TargetMode="External"/><Relationship Id="rId26" Type="http://schemas.openxmlformats.org/officeDocument/2006/relationships/hyperlink" Target="https://photos.app.goo.gl/E5pjoc3avMCcj6aV9" TargetMode="External"/><Relationship Id="rId27" Type="http://schemas.openxmlformats.org/officeDocument/2006/relationships/hyperlink" Target="https://photos.app.goo.gl/kREuvsDMmi2KS44N8" TargetMode="External"/><Relationship Id="rId28" Type="http://schemas.openxmlformats.org/officeDocument/2006/relationships/hyperlink" Target="https://photos.app.goo.gl/RaznQ3j7hhysATsR6" TargetMode="External"/><Relationship Id="rId29" Type="http://schemas.openxmlformats.org/officeDocument/2006/relationships/hyperlink" Target="https://drive.google.com/file/d/1kq8vYcc0d0aLUpi7UMy4wJP47GadNsQL/view?usp=drive_link" TargetMode="External"/><Relationship Id="rId30" Type="http://schemas.openxmlformats.org/officeDocument/2006/relationships/hyperlink" Target="https://photos.app.goo.gl/DLno9D63ZeaFfupZ6" TargetMode="External"/><Relationship Id="rId31" Type="http://schemas.openxmlformats.org/officeDocument/2006/relationships/hyperlink" Target="https://photos.app.goo.gl/cC8aHZpFqctYkm2a7" TargetMode="External"/><Relationship Id="rId32" Type="http://schemas.openxmlformats.org/officeDocument/2006/relationships/hyperlink" Target="https://photos.app.goo.gl/GMzoaf1QADjmEthf7" TargetMode="External"/><Relationship Id="rId33" Type="http://schemas.openxmlformats.org/officeDocument/2006/relationships/hyperlink" Target="https://drive.google.com/file/d/1ko0Nedsb5fTiT6_nFkDBxrAbLOEjKO3m/view?usp=drive_link" TargetMode="External"/><Relationship Id="rId34" Type="http://schemas.openxmlformats.org/officeDocument/2006/relationships/hyperlink" Target="https://photos.app.goo.gl/DC6uh7yBgBiaeJYq7" TargetMode="External"/><Relationship Id="rId35" Type="http://schemas.openxmlformats.org/officeDocument/2006/relationships/hyperlink" Target="https://photos.app.goo.gl/cjhtTM3zGzLJFG8E7" TargetMode="External"/><Relationship Id="rId36" Type="http://schemas.openxmlformats.org/officeDocument/2006/relationships/hyperlink" Target="https://photos.app.goo.gl/P7QMUJtuw4yBnZWi9" TargetMode="External"/><Relationship Id="rId37" Type="http://schemas.openxmlformats.org/officeDocument/2006/relationships/hyperlink" Target="https://photos.app.goo.gl/sP5WPwL5uGSvmUwCA" TargetMode="External"/><Relationship Id="rId38" Type="http://schemas.openxmlformats.org/officeDocument/2006/relationships/hyperlink" Target="https://photos.app.goo.gl/gEvVJynYeNmCfUsM7" TargetMode="External"/><Relationship Id="rId39" Type="http://schemas.openxmlformats.org/officeDocument/2006/relationships/hyperlink" Target="https://photos.app.goo.gl/gTHK7shKtaXQojSC9" TargetMode="External"/><Relationship Id="rId40" Type="http://schemas.openxmlformats.org/officeDocument/2006/relationships/hyperlink" Target="https://drive.google.com/file/d/1k18oftyQgGnEAyGsL_wdZWCGZc69pj34/view?usp=drive_link" TargetMode="External"/><Relationship Id="rId41" Type="http://schemas.openxmlformats.org/officeDocument/2006/relationships/hyperlink" Target="https://photos.app.goo.gl/WxWmR9ofAaLbFwKK8" TargetMode="External"/><Relationship Id="rId42" Type="http://schemas.openxmlformats.org/officeDocument/2006/relationships/hyperlink" Target="https://photos.app.goo.gl/Vfso45M4rFnrsMMp7" TargetMode="External"/><Relationship Id="rId43" Type="http://schemas.openxmlformats.org/officeDocument/2006/relationships/hyperlink" Target="https://photos.app.goo.gl/6Cy57KETGMK3UbAEA" TargetMode="External"/><Relationship Id="rId44" Type="http://schemas.openxmlformats.org/officeDocument/2006/relationships/hyperlink" Target="https://drive.google.com/file/d/1jsJLitWv9P9nNPxxn5SB1NB0BI-M1ZUy/view?usp=drive_link" TargetMode="External"/><Relationship Id="rId45" Type="http://schemas.openxmlformats.org/officeDocument/2006/relationships/hyperlink" Target="https://photos.app.goo.gl/2VUu7H4xutvLzAsw9" TargetMode="External"/><Relationship Id="rId46" Type="http://schemas.openxmlformats.org/officeDocument/2006/relationships/hyperlink" Target="https://photos.app.goo.gl/yvW98Js9AFsi8oNY9" TargetMode="External"/><Relationship Id="rId47" Type="http://schemas.openxmlformats.org/officeDocument/2006/relationships/hyperlink" Target="https://drive.google.com/file/d/1lDph8d7-HDZhyHxpoY6PzOlA184Xmlqk/view?usp=drive_link" TargetMode="External"/><Relationship Id="rId48" Type="http://schemas.openxmlformats.org/officeDocument/2006/relationships/hyperlink" Target="https://photos.app.goo.gl/8cXnmwQeWpyC4Ni39" TargetMode="External"/><Relationship Id="rId49" Type="http://schemas.openxmlformats.org/officeDocument/2006/relationships/hyperlink" Target="https://photos.app.goo.gl/DC4cKqw9L7hxSJoC7" TargetMode="External"/><Relationship Id="rId50" Type="http://schemas.openxmlformats.org/officeDocument/2006/relationships/hyperlink" Target="https://drive.google.com/file/d/1lASqQDB6hm0Dph62MRbowqBQJMbajgka/view?usp=drive_link" TargetMode="External"/><Relationship Id="rId51" Type="http://schemas.openxmlformats.org/officeDocument/2006/relationships/hyperlink" Target="https://photos.app.goo.gl/4FjaADRdKACz3kEL7" TargetMode="External"/><Relationship Id="rId52" Type="http://schemas.openxmlformats.org/officeDocument/2006/relationships/hyperlink" Target="https://photos.app.goo.gl/rWTq3FxbQZYuZybC6" TargetMode="External"/><Relationship Id="rId53" Type="http://schemas.openxmlformats.org/officeDocument/2006/relationships/hyperlink" Target="https://drive.google.com/file/d/1lY3LRcP6FlKa71lVbh2M2mFBYzov_BQ6/view?usp=drive_link" TargetMode="External"/><Relationship Id="rId54" Type="http://schemas.openxmlformats.org/officeDocument/2006/relationships/hyperlink" Target="https://photos.app.goo.gl/8Fp6iRqD5D43ejxG7" TargetMode="External"/><Relationship Id="rId55" Type="http://schemas.openxmlformats.org/officeDocument/2006/relationships/hyperlink" Target="https://photos.app.goo.gl/SBpZLVcWf4M2GQW56" TargetMode="External"/><Relationship Id="rId56" Type="http://schemas.openxmlformats.org/officeDocument/2006/relationships/hyperlink" Target="https://drive.google.com/file/d/1ly3b-qLerkwnVJ43us9TiY3kfFCyB_dg/view?usp=drive_link" TargetMode="External"/><Relationship Id="rId57" Type="http://schemas.openxmlformats.org/officeDocument/2006/relationships/hyperlink" Target="https://photos.app.goo.gl/czXEJQnyX3BuT2yx8" TargetMode="External"/><Relationship Id="rId58" Type="http://schemas.openxmlformats.org/officeDocument/2006/relationships/hyperlink" Target="https://photos.app.goo.gl/pV4UKZtBARyMccHF6" TargetMode="External"/><Relationship Id="rId59" Type="http://schemas.openxmlformats.org/officeDocument/2006/relationships/hyperlink" Target="https://drive.google.com/file/d/1lqU4ADNg9_aBJ1QtpQ3zcMIwXIsTVVip/view?usp=drive_link" TargetMode="External"/><Relationship Id="rId60" Type="http://schemas.openxmlformats.org/officeDocument/2006/relationships/hyperlink" Target="https://photos.app.goo.gl/7nQmk4Tj6gxkY7KD9" TargetMode="External"/><Relationship Id="rId61" Type="http://schemas.openxmlformats.org/officeDocument/2006/relationships/hyperlink" Target="https://photos.app.goo.gl/c7dV1mLey5C3Hy1SA" TargetMode="External"/><Relationship Id="rId62" Type="http://schemas.openxmlformats.org/officeDocument/2006/relationships/hyperlink" Target="https://drive.google.com/file/d/1m8ssUOmWuTtnKqm0ObyXrQhj9PWXAuwk/view?usp=drive_link" TargetMode="External"/><Relationship Id="rId63" Type="http://schemas.openxmlformats.org/officeDocument/2006/relationships/hyperlink" Target="https://photos.app.goo.gl/3hgRZvAhnRSkGZTV7" TargetMode="External"/><Relationship Id="rId64" Type="http://schemas.openxmlformats.org/officeDocument/2006/relationships/hyperlink" Target="https://photos.app.goo.gl/EkMzGA6ScTS3vnua7" TargetMode="External"/><Relationship Id="rId65" Type="http://schemas.openxmlformats.org/officeDocument/2006/relationships/hyperlink" Target="https://photos.app.goo.gl/XnceNGCvQDZh4pgWA" TargetMode="External"/><Relationship Id="rId66" Type="http://schemas.openxmlformats.org/officeDocument/2006/relationships/hyperlink" Target="https://photos.app.goo.gl/NVfAGpQgHjsmUvsw7" TargetMode="External"/><Relationship Id="rId67" Type="http://schemas.openxmlformats.org/officeDocument/2006/relationships/hyperlink" Target="https://photos.app.goo.gl/FfFEktG8XckiSV4a9" TargetMode="External"/><Relationship Id="rId68" Type="http://schemas.openxmlformats.org/officeDocument/2006/relationships/hyperlink" Target="https://photos.app.goo.gl/Dn8RLBGkngvW2TPf7" TargetMode="External"/><Relationship Id="rId69" Type="http://schemas.openxmlformats.org/officeDocument/2006/relationships/drawing" Target="../drawings/drawing2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hyperlink" Target="https://photos.app.goo.gl/TsJkuy9ep4Tqe3RM6" TargetMode="External"/><Relationship Id="rId3" Type="http://schemas.openxmlformats.org/officeDocument/2006/relationships/hyperlink" Target="https://drive.google.com/file/d/1TpZQFrU-w0EkdyoUth38UGHjnBI9HuMw/view?usp=drive_link" TargetMode="External"/><Relationship Id="rId4" Type="http://schemas.openxmlformats.org/officeDocument/2006/relationships/hyperlink" Target="https://photos.app.goo.gl/Zo2mAw7Rerh8AuaM8" TargetMode="External"/><Relationship Id="rId5" Type="http://schemas.openxmlformats.org/officeDocument/2006/relationships/hyperlink" Target="https://photos.app.goo.gl/f8dXKRohjfoGeGXw7" TargetMode="External"/><Relationship Id="rId6" Type="http://schemas.openxmlformats.org/officeDocument/2006/relationships/hyperlink" Target="https://photos.app.goo.gl/CQ5cZxbM2TaDnB3L6" TargetMode="External"/><Relationship Id="rId7" Type="http://schemas.openxmlformats.org/officeDocument/2006/relationships/hyperlink" Target="https://photos.app.goo.gl/X88bq3bcrLJ6mXbH9" TargetMode="External"/><Relationship Id="rId8" Type="http://schemas.openxmlformats.org/officeDocument/2006/relationships/hyperlink" Target="https://drive.google.com/file/d/1n3-FP-uTB3a2nnH1tCjEFpTgi2y1K8Gu/view?usp=drive_link" TargetMode="External"/><Relationship Id="rId9" Type="http://schemas.openxmlformats.org/officeDocument/2006/relationships/hyperlink" Target="https://photos.app.goo.gl/gi1mwDwTDV9qiENg8" TargetMode="External"/><Relationship Id="rId10" Type="http://schemas.openxmlformats.org/officeDocument/2006/relationships/hyperlink" Target="https://photos.app.goo.gl/8bGWgWrqSdsxZwY7A" TargetMode="External"/><Relationship Id="rId11" Type="http://schemas.openxmlformats.org/officeDocument/2006/relationships/hyperlink" Target="https://drive.google.com/file/d/1VcHpdD-HVMgDrBi63NaHRrm99EC3wt1U/view?usp=drive_link" TargetMode="External"/><Relationship Id="rId12" Type="http://schemas.openxmlformats.org/officeDocument/2006/relationships/hyperlink" Target="https://photos.app.goo.gl/vGmgtsfKB5wFtV1w5" TargetMode="External"/><Relationship Id="rId13" Type="http://schemas.openxmlformats.org/officeDocument/2006/relationships/hyperlink" Target="https://photos.app.goo.gl/4YNrKLSJEQH43CG36" TargetMode="External"/><Relationship Id="rId14" Type="http://schemas.openxmlformats.org/officeDocument/2006/relationships/hyperlink" Target="https://drive.google.com/file/d/1Vi7rDVq64RNgvFO_MlVm3QFwrEhwYhdz/view?usp=drive_link" TargetMode="External"/><Relationship Id="rId15" Type="http://schemas.openxmlformats.org/officeDocument/2006/relationships/hyperlink" Target="https://photos.app.goo.gl/sRaxbyUCUqz8HfLJ7" TargetMode="External"/><Relationship Id="rId16" Type="http://schemas.openxmlformats.org/officeDocument/2006/relationships/hyperlink" Target="https://photos.app.goo.gl/vwAxkfD9XaEZJQAVA" TargetMode="External"/><Relationship Id="rId17" Type="http://schemas.openxmlformats.org/officeDocument/2006/relationships/hyperlink" Target="https://drive.google.com/file/d/1Vihxk82Nje36uxWMkQelW-Mqzbj_EGE-/view?usp=drive_link" TargetMode="External"/><Relationship Id="rId18" Type="http://schemas.openxmlformats.org/officeDocument/2006/relationships/hyperlink" Target="https://photos.app.goo.gl/JZjnbnGDoELkoaYj7" TargetMode="External"/><Relationship Id="rId19" Type="http://schemas.openxmlformats.org/officeDocument/2006/relationships/hyperlink" Target="https://photos.app.goo.gl/7TLzCoYLctdz9uZ1A" TargetMode="External"/><Relationship Id="rId20" Type="http://schemas.openxmlformats.org/officeDocument/2006/relationships/hyperlink" Target="https://drive.google.com/file/d/1VmQGftenR9mJSQWEnw77rU7eclrbFzTx/view?usp=drive_link" TargetMode="External"/><Relationship Id="rId21" Type="http://schemas.openxmlformats.org/officeDocument/2006/relationships/hyperlink" Target="https://photos.app.goo.gl/LAVcL6ygXZCtdxRL9" TargetMode="External"/><Relationship Id="rId22" Type="http://schemas.openxmlformats.org/officeDocument/2006/relationships/hyperlink" Target="https://photos.app.goo.gl/69rWkQ49yQ6K1XwbA" TargetMode="External"/><Relationship Id="rId23" Type="http://schemas.openxmlformats.org/officeDocument/2006/relationships/hyperlink" Target="https://drive.google.com/file/d/1Vuf_ZRDsj3IUaKUB1Nb9ujocsVM_qU1R/view?usp=drive_link" TargetMode="External"/><Relationship Id="rId24" Type="http://schemas.openxmlformats.org/officeDocument/2006/relationships/hyperlink" Target="https://photos.app.goo.gl/u6PE8N7dXCaMDxNF6" TargetMode="External"/><Relationship Id="rId25" Type="http://schemas.openxmlformats.org/officeDocument/2006/relationships/hyperlink" Target="https://photos.app.goo.gl/5qn1LkbaCZXwxu6FA" TargetMode="External"/><Relationship Id="rId26" Type="http://schemas.openxmlformats.org/officeDocument/2006/relationships/hyperlink" Target="https://drive.google.com/file/d/1VvPe_2jEVLxM5mF_L1Pf_DBZ2UsTvq7q/view?usp=drive_link" TargetMode="External"/><Relationship Id="rId27" Type="http://schemas.openxmlformats.org/officeDocument/2006/relationships/hyperlink" Target="https://photos.app.goo.gl/EmnDyjejWERjzdx1A" TargetMode="External"/><Relationship Id="rId28" Type="http://schemas.openxmlformats.org/officeDocument/2006/relationships/hyperlink" Target="https://photos.app.goo.gl/fkTjqfsFypFpKEEv8" TargetMode="External"/><Relationship Id="rId29" Type="http://schemas.openxmlformats.org/officeDocument/2006/relationships/hyperlink" Target="https://drive.google.com/file/d/1VwVHi0M7IMDBv-VRyTuzmmEC5NJFCkTC/view?usp=drive_link" TargetMode="External"/><Relationship Id="rId30" Type="http://schemas.openxmlformats.org/officeDocument/2006/relationships/hyperlink" Target="https://photos.app.goo.gl/9i42zJt6Zzm3kuJq9" TargetMode="External"/><Relationship Id="rId31" Type="http://schemas.openxmlformats.org/officeDocument/2006/relationships/hyperlink" Target="https://photos.app.goo.gl/MKFdmZ4hSens2Z6D9" TargetMode="External"/><Relationship Id="rId32" Type="http://schemas.openxmlformats.org/officeDocument/2006/relationships/hyperlink" Target="https://drive.google.com/file/d/1Vx3NDfnF9eWnYGdNVtK1px12dJgHMlMh/view?usp=drive_link" TargetMode="External"/><Relationship Id="rId33" Type="http://schemas.openxmlformats.org/officeDocument/2006/relationships/hyperlink" Target="https://photos.app.goo.gl/rB89f9wRqEG3Sfwg8" TargetMode="External"/><Relationship Id="rId34" Type="http://schemas.openxmlformats.org/officeDocument/2006/relationships/hyperlink" Target="https://photos.app.goo.gl/gqoYYUeUYEo6khM6A" TargetMode="External"/><Relationship Id="rId35" Type="http://schemas.openxmlformats.org/officeDocument/2006/relationships/hyperlink" Target="https://photos.app.goo.gl/SV23GAFNLMEhPZU98" TargetMode="External"/><Relationship Id="rId36" Type="http://schemas.openxmlformats.org/officeDocument/2006/relationships/hyperlink" Target="https://photos.app.goo.gl/hCH894T2gpN3NpX2A" TargetMode="External"/><Relationship Id="rId37" Type="http://schemas.openxmlformats.org/officeDocument/2006/relationships/hyperlink" Target="https://photos.app.goo.gl/1ayV711mpN8s2cN67" TargetMode="External"/><Relationship Id="rId38" Type="http://schemas.openxmlformats.org/officeDocument/2006/relationships/hyperlink" Target="https://photos.app.goo.gl/5drnqkXQnotiJdAv5" TargetMode="External"/><Relationship Id="rId39" Type="http://schemas.openxmlformats.org/officeDocument/2006/relationships/hyperlink" Target="https://photos.app.goo.gl/vLnNuBkLPKF7GtkM7" TargetMode="External"/><Relationship Id="rId40" Type="http://schemas.openxmlformats.org/officeDocument/2006/relationships/hyperlink" Target="https://photos.app.goo.gl/8MRubHsxB3uXf2Do6" TargetMode="External"/><Relationship Id="rId41" Type="http://schemas.openxmlformats.org/officeDocument/2006/relationships/hyperlink" Target="https://photos.app.goo.gl/QdZ2uZRJm36PXsg98" TargetMode="External"/><Relationship Id="rId42" Type="http://schemas.openxmlformats.org/officeDocument/2006/relationships/hyperlink" Target="https://drive.google.com/file/d/1ZtPvuXWSk8o87DWdAJK2h018M-AHEm08/view?usp=drive_link" TargetMode="External"/><Relationship Id="rId43" Type="http://schemas.openxmlformats.org/officeDocument/2006/relationships/hyperlink" Target="https://photos.app.goo.gl/GdDhqm3C2KSyyML18" TargetMode="External"/><Relationship Id="rId44" Type="http://schemas.openxmlformats.org/officeDocument/2006/relationships/hyperlink" Target="https://photos.app.goo.gl/FfzG1LYQXYEfeEU1A" TargetMode="External"/><Relationship Id="rId45" Type="http://schemas.openxmlformats.org/officeDocument/2006/relationships/hyperlink" Target="https://photos.app.goo.gl/c7kfu2rQ4zrpLZd66" TargetMode="External"/><Relationship Id="rId46" Type="http://schemas.openxmlformats.org/officeDocument/2006/relationships/hyperlink" Target="https://photos.app.goo.gl/ihA1J92cHXEw4tYa8" TargetMode="External"/><Relationship Id="rId47" Type="http://schemas.openxmlformats.org/officeDocument/2006/relationships/hyperlink" Target="https://photos.app.goo.gl/9xEDMSfnBJPTLJEZ9" TargetMode="External"/><Relationship Id="rId48" Type="http://schemas.openxmlformats.org/officeDocument/2006/relationships/hyperlink" Target="https://photos.app.goo.gl/MaWL182BregWrU4y5" TargetMode="External"/><Relationship Id="rId49" Type="http://schemas.openxmlformats.org/officeDocument/2006/relationships/hyperlink" Target="https://drive.google.com/file/d/1mbGLMkWU_SP368H_NC8UNwxsIzBeGvb0/view?usp=drive_link" TargetMode="External"/><Relationship Id="rId50" Type="http://schemas.openxmlformats.org/officeDocument/2006/relationships/hyperlink" Target="https://photos.app.goo.gl/MaWL182BregWrU4y5" TargetMode="External"/><Relationship Id="rId51" Type="http://schemas.openxmlformats.org/officeDocument/2006/relationships/hyperlink" Target="https://photos.app.goo.gl/npHGx95Mbz7eSZUZA" TargetMode="External"/><Relationship Id="rId52" Type="http://schemas.openxmlformats.org/officeDocument/2006/relationships/hyperlink" Target="https://photos.app.goo.gl/ar6hhxb1WmXAxXcH8" TargetMode="External"/><Relationship Id="rId53" Type="http://schemas.openxmlformats.org/officeDocument/2006/relationships/hyperlink" Target="https://photos.app.goo.gl/1nHCXCE6Su6fyjq76" TargetMode="External"/><Relationship Id="rId54" Type="http://schemas.openxmlformats.org/officeDocument/2006/relationships/hyperlink" Target="https://drive.google.com/file/d/1_D0rcvKy6OQXsxToDT4X_xLi4uY5kY8c/view?usp=drive_link" TargetMode="External"/><Relationship Id="rId55" Type="http://schemas.openxmlformats.org/officeDocument/2006/relationships/hyperlink" Target="https://photos.app.goo.gl/9HWt2DaWP8nR5ADV7" TargetMode="External"/><Relationship Id="rId56" Type="http://schemas.openxmlformats.org/officeDocument/2006/relationships/hyperlink" Target="https://photos.app.goo.gl/hUQG33aJfbSbbUq8A" TargetMode="External"/><Relationship Id="rId57" Type="http://schemas.openxmlformats.org/officeDocument/2006/relationships/hyperlink" Target="https://photos.app.goo.gl/qiHiC3pJpf1J9T7u9" TargetMode="External"/><Relationship Id="rId58" Type="http://schemas.openxmlformats.org/officeDocument/2006/relationships/hyperlink" Target="https://photos.app.goo.gl/UofqH8xnSjG1sppq6" TargetMode="External"/><Relationship Id="rId59" Type="http://schemas.openxmlformats.org/officeDocument/2006/relationships/hyperlink" Target="https://drive.google.com/file/d/1_OgWmNRQVDiqzd-4saK9YDxa7Br9859o/view?usp=drive_link" TargetMode="External"/><Relationship Id="rId60" Type="http://schemas.openxmlformats.org/officeDocument/2006/relationships/hyperlink" Target="https://photos.app.goo.gl/UofqH8xnSjG1sppq6" TargetMode="External"/><Relationship Id="rId61" Type="http://schemas.openxmlformats.org/officeDocument/2006/relationships/hyperlink" Target="https://photos.app.goo.gl/oN4UKJKpG595wFDj8" TargetMode="External"/><Relationship Id="rId62" Type="http://schemas.openxmlformats.org/officeDocument/2006/relationships/hyperlink" Target="https://photos.app.goo.gl/3am6QFWRJQS8WDy58" TargetMode="External"/><Relationship Id="rId63" Type="http://schemas.openxmlformats.org/officeDocument/2006/relationships/hyperlink" Target="https://drive.google.com/file/d/1aHjcHY3gaQMWgFf-sZuxUjMdUtJnHVjy/view?usp=drive_link" TargetMode="External"/><Relationship Id="rId64" Type="http://schemas.openxmlformats.org/officeDocument/2006/relationships/hyperlink" Target="https://photos.app.goo.gl/3am6QFWRJQS8WDy58" TargetMode="External"/><Relationship Id="rId65" Type="http://schemas.openxmlformats.org/officeDocument/2006/relationships/hyperlink" Target="https://photos.app.goo.gl/DnzUKyry2TTsSvdz7" TargetMode="External"/><Relationship Id="rId66" Type="http://schemas.openxmlformats.org/officeDocument/2006/relationships/hyperlink" Target="https://photos.app.goo.gl/G9ZWNEdeWAhJcc937" TargetMode="External"/><Relationship Id="rId67" Type="http://schemas.openxmlformats.org/officeDocument/2006/relationships/hyperlink" Target="https://photos.app.goo.gl/vWFkp2NNPLocEpVZ9" TargetMode="External"/><Relationship Id="rId68" Type="http://schemas.openxmlformats.org/officeDocument/2006/relationships/hyperlink" Target="https://photos.app.goo.gl/ZrK76598yrSC97Xf7" TargetMode="External"/><Relationship Id="rId69" Type="http://schemas.openxmlformats.org/officeDocument/2006/relationships/hyperlink" Target="https://drive.google.com/file/d/1aKDPScZUZai_uWx-QEXUCpmD1EzR6DTh/view?usp=drive_link" TargetMode="External"/><Relationship Id="rId70" Type="http://schemas.openxmlformats.org/officeDocument/2006/relationships/hyperlink" Target="https://photos.app.goo.gl/ZrK76598yrSC97Xf7" TargetMode="External"/><Relationship Id="rId71" Type="http://schemas.openxmlformats.org/officeDocument/2006/relationships/hyperlink" Target="https://photos.app.goo.gl/fzaeFDxXSU4adaqN6" TargetMode="External"/><Relationship Id="rId72" Type="http://schemas.openxmlformats.org/officeDocument/2006/relationships/hyperlink" Target="https://photos.app.goo.gl/U1k2we6DszQq7roX9" TargetMode="External"/><Relationship Id="rId73" Type="http://schemas.openxmlformats.org/officeDocument/2006/relationships/hyperlink" Target="https://drive.google.com/file/d/1_p71L0daoR6o-kypvDUWa07MGnEENfwy/view?usp=drive_link" TargetMode="External"/><Relationship Id="rId74" Type="http://schemas.openxmlformats.org/officeDocument/2006/relationships/hyperlink" Target="https://photos.app.goo.gl/U1k2we6DszQq7roX9" TargetMode="External"/><Relationship Id="rId75" Type="http://schemas.openxmlformats.org/officeDocument/2006/relationships/hyperlink" Target="https://photos.app.goo.gl/qQNwSkAQrXpKjmEQ7" TargetMode="External"/><Relationship Id="rId76" Type="http://schemas.openxmlformats.org/officeDocument/2006/relationships/hyperlink" Target="https://photos.app.goo.gl/CknsDUEj1kx3hT539" TargetMode="External"/><Relationship Id="rId77" Type="http://schemas.openxmlformats.org/officeDocument/2006/relationships/hyperlink" Target="https://drive.google.com/file/d/1_rhKathkB2drgzy7IvGb8SjQjnEv1QxV/view?usp=drive_link" TargetMode="External"/><Relationship Id="rId78" Type="http://schemas.openxmlformats.org/officeDocument/2006/relationships/hyperlink" Target="https://photos.app.goo.gl/CknsDUEj1kx3hT539" TargetMode="External"/><Relationship Id="rId79" Type="http://schemas.openxmlformats.org/officeDocument/2006/relationships/hyperlink" Target="https://photos.app.goo.gl/bK1CjvFZTSWBJ3AJ7" TargetMode="External"/><Relationship Id="rId80" Type="http://schemas.openxmlformats.org/officeDocument/2006/relationships/hyperlink" Target="https://photos.app.goo.gl/gqox3Lgrp9FcARRe6" TargetMode="External"/><Relationship Id="rId81" Type="http://schemas.openxmlformats.org/officeDocument/2006/relationships/hyperlink" Target="https://drive.google.com/file/d/1_eEEFspmFVONr5rpZ1N73x8OVUuw3lQB/view?usp=drive_link" TargetMode="External"/><Relationship Id="rId82" Type="http://schemas.openxmlformats.org/officeDocument/2006/relationships/hyperlink" Target="https://photos.app.goo.gl/gqox3Lgrp9FcARRe6" TargetMode="External"/><Relationship Id="rId83" Type="http://schemas.openxmlformats.org/officeDocument/2006/relationships/hyperlink" Target="https://photos.app.goo.gl/2iKtgvQomm3ph99c8" TargetMode="External"/><Relationship Id="rId84" Type="http://schemas.openxmlformats.org/officeDocument/2006/relationships/hyperlink" Target="https://photos.app.goo.gl/h8T1seP1vTYjCr3A8" TargetMode="External"/><Relationship Id="rId85" Type="http://schemas.openxmlformats.org/officeDocument/2006/relationships/hyperlink" Target="https://photos.app.goo.gl/Dn1FqaeVYU8M3ffd6" TargetMode="External"/><Relationship Id="rId86" Type="http://schemas.openxmlformats.org/officeDocument/2006/relationships/hyperlink" Target="https://photos.app.goo.gl/ezfxnFrvD3KDpMV29" TargetMode="External"/><Relationship Id="rId87" Type="http://schemas.openxmlformats.org/officeDocument/2006/relationships/hyperlink" Target="https://photos.app.goo.gl/xsEas5mWBxYqAtCA6" TargetMode="External"/><Relationship Id="rId88" Type="http://schemas.openxmlformats.org/officeDocument/2006/relationships/hyperlink" Target="https://photos.app.goo.gl/6MFNBB7KDJtZfahT7" TargetMode="External"/><Relationship Id="rId89" Type="http://schemas.openxmlformats.org/officeDocument/2006/relationships/hyperlink" Target="https://photos.app.goo.gl/ppoMJCqfhZLm5YK4A" TargetMode="External"/><Relationship Id="rId90" Type="http://schemas.openxmlformats.org/officeDocument/2006/relationships/hyperlink" Target="https://drive.google.com/file/d/1aZKqBvUnTfIv11-WCHeLf2aAY62PRVby/view?usp=drive_link" TargetMode="External"/><Relationship Id="rId91" Type="http://schemas.openxmlformats.org/officeDocument/2006/relationships/hyperlink" Target="https://photos.app.goo.gl/pWHsyrKNVmQ37yHX8" TargetMode="External"/><Relationship Id="rId92" Type="http://schemas.openxmlformats.org/officeDocument/2006/relationships/hyperlink" Target="https://photos.app.goo.gl/6LXgE5gaT5L7PxPr7" TargetMode="External"/><Relationship Id="rId93" Type="http://schemas.openxmlformats.org/officeDocument/2006/relationships/hyperlink" Target="https://photos.app.goo.gl/CNk4RV5X2T3WEnKk9" TargetMode="External"/><Relationship Id="rId94" Type="http://schemas.openxmlformats.org/officeDocument/2006/relationships/hyperlink" Target="https://photos.app.goo.gl/23G4hFq2sQcfJXzY6" TargetMode="External"/><Relationship Id="rId95" Type="http://schemas.openxmlformats.org/officeDocument/2006/relationships/hyperlink" Target="https://drive.google.com/file/d/1o0p6P2oKtUFzKUOUf992KlpDyStwUfrc/view?usp=drive_link" TargetMode="External"/><Relationship Id="rId96" Type="http://schemas.openxmlformats.org/officeDocument/2006/relationships/hyperlink" Target="https://photos.app.goo.gl/DH4KrUPBPrb7y4ce9" TargetMode="External"/><Relationship Id="rId97" Type="http://schemas.openxmlformats.org/officeDocument/2006/relationships/hyperlink" Target="https://photos.app.goo.gl/8vaN6rGs4UuXbh176" TargetMode="External"/><Relationship Id="rId98" Type="http://schemas.openxmlformats.org/officeDocument/2006/relationships/hyperlink" Target="https://photos.app.goo.gl/bAtHKC7juVPJwihN8" TargetMode="External"/><Relationship Id="rId99" Type="http://schemas.openxmlformats.org/officeDocument/2006/relationships/hyperlink" Target="https://drive.google.com/drive/folders/1czeeTFLaIAoeQZbskq3XTRyOIW32c4Xz?usp=drive_link" TargetMode="External"/><Relationship Id="rId100" Type="http://schemas.openxmlformats.org/officeDocument/2006/relationships/hyperlink" Target="https://photos.app.goo.gl/2t4s9Q7SY7GxDidG8" TargetMode="External"/><Relationship Id="rId101" Type="http://schemas.openxmlformats.org/officeDocument/2006/relationships/hyperlink" Target="https://photos.app.goo.gl/gh4tPwZP7VUapdoT6" TargetMode="External"/><Relationship Id="rId102" Type="http://schemas.openxmlformats.org/officeDocument/2006/relationships/hyperlink" Target="https://photos.app.goo.gl/AnsdJJ1rBiQ8YLDP9" TargetMode="External"/><Relationship Id="rId103" Type="http://schemas.openxmlformats.org/officeDocument/2006/relationships/hyperlink" Target="https://drive.google.com/file/d/1cs9hoJmZGVWiJoDe2Felhvv6tdaQ3C4I/view?usp=drive_link" TargetMode="External"/><Relationship Id="rId104" Type="http://schemas.openxmlformats.org/officeDocument/2006/relationships/hyperlink" Target="https://photos.app.goo.gl/beG2uWXBmK5z5GGw7" TargetMode="External"/><Relationship Id="rId105" Type="http://schemas.openxmlformats.org/officeDocument/2006/relationships/hyperlink" Target="https://photos.app.goo.gl/FgWutoKRocmFNNoY7" TargetMode="External"/><Relationship Id="rId106" Type="http://schemas.openxmlformats.org/officeDocument/2006/relationships/hyperlink" Target="https://photos.app.goo.gl/Xf8Yk8P4u9LgeFMz9" TargetMode="External"/><Relationship Id="rId107" Type="http://schemas.openxmlformats.org/officeDocument/2006/relationships/hyperlink" Target="https://drive.google.com/file/d/1eF4sgzSCrckcvdGC3ex9mF18crydtPWo/view?usp=drive_link" TargetMode="External"/><Relationship Id="rId108" Type="http://schemas.openxmlformats.org/officeDocument/2006/relationships/hyperlink" Target="https://photos.app.goo.gl/Xf8Yk8P4u9LgeFMz9" TargetMode="External"/><Relationship Id="rId109" Type="http://schemas.openxmlformats.org/officeDocument/2006/relationships/hyperlink" Target="https://photos.app.goo.gl/a69sH4hpbwVU6Sk18" TargetMode="External"/><Relationship Id="rId110" Type="http://schemas.openxmlformats.org/officeDocument/2006/relationships/hyperlink" Target="https://photos.app.goo.gl/a69sH4hpbwVU6Sk18" TargetMode="External"/><Relationship Id="rId111" Type="http://schemas.openxmlformats.org/officeDocument/2006/relationships/hyperlink" Target="https://drive.google.com/file/d/1dpPiwGFy_iK0We2fdiSH0859SI1lj4tk/view?usp=drive_link" TargetMode="External"/><Relationship Id="rId112" Type="http://schemas.openxmlformats.org/officeDocument/2006/relationships/hyperlink" Target="https://photos.app.goo.gl/6Qs962W4fXog7UqXA" TargetMode="External"/><Relationship Id="rId113" Type="http://schemas.openxmlformats.org/officeDocument/2006/relationships/drawing" Target="../drawings/drawing3.xml"/><Relationship Id="rId114" Type="http://schemas.openxmlformats.org/officeDocument/2006/relationships/vmlDrawing" Target="../drawings/vmlDrawing1.v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hyperlink" Target="https://photos.app.goo.gl/neboztJ7tZstKg6L7" TargetMode="External"/><Relationship Id="rId2" Type="http://schemas.openxmlformats.org/officeDocument/2006/relationships/hyperlink" Target="https://photos.app.goo.gl/SCwpu689awbtK3Ea7" TargetMode="External"/><Relationship Id="rId3" Type="http://schemas.openxmlformats.org/officeDocument/2006/relationships/hyperlink" Target="https://drive.google.com/file/d/1M_lwovQGwPyReCkljtCVFNhhEzHnJK6Q/view?usp=drive_link" TargetMode="External"/><Relationship Id="rId4" Type="http://schemas.openxmlformats.org/officeDocument/2006/relationships/hyperlink" Target="https://photos.app.goo.gl/SE9hwB6zGTJFH4mf8" TargetMode="External"/><Relationship Id="rId5" Type="http://schemas.openxmlformats.org/officeDocument/2006/relationships/hyperlink" Target="https://photos.app.goo.gl/iwWaMgohe6NBdGkX7" TargetMode="External"/><Relationship Id="rId6" Type="http://schemas.openxmlformats.org/officeDocument/2006/relationships/hyperlink" Target="https://photos.app.goo.gl/HZZBrzhaVFsc8DeS7" TargetMode="External"/><Relationship Id="rId7" Type="http://schemas.openxmlformats.org/officeDocument/2006/relationships/hyperlink" Target="https://drive.google.com/file/d/1I6kLiQZc-Yy9BiDKs7mzWJAxiS510EaS/view?usp=drive_link" TargetMode="External"/><Relationship Id="rId8" Type="http://schemas.openxmlformats.org/officeDocument/2006/relationships/hyperlink" Target="https://photos.app.goo.gl/i2KXt1jBxDibsD7UA" TargetMode="External"/><Relationship Id="rId9" Type="http://schemas.openxmlformats.org/officeDocument/2006/relationships/hyperlink" Target="https://photos.app.goo.gl/7hHbnC3Jv1s8o1cU9" TargetMode="External"/><Relationship Id="rId10" Type="http://schemas.openxmlformats.org/officeDocument/2006/relationships/hyperlink" Target="https://photos.app.goo.gl/pahVicHg7TQE1Vqr9" TargetMode="External"/><Relationship Id="rId11" Type="http://schemas.openxmlformats.org/officeDocument/2006/relationships/hyperlink" Target="https://photos.app.goo.gl/WCzv3cQvV89qWRE3A" TargetMode="External"/><Relationship Id="rId12" Type="http://schemas.openxmlformats.org/officeDocument/2006/relationships/hyperlink" Target="https://photos.app.goo.gl/n39EZEUhpCBuahZs9" TargetMode="External"/><Relationship Id="rId13" Type="http://schemas.openxmlformats.org/officeDocument/2006/relationships/hyperlink" Target="https://photos.app.goo.gl/tWWXonC7yHVj2Wb28" TargetMode="External"/><Relationship Id="rId14" Type="http://schemas.openxmlformats.org/officeDocument/2006/relationships/hyperlink" Target="https://drive.google.com/file/d/1Mt_E4VfxLHBsbjT4e9DccN44vzxQO_es/view?usp=drive_link" TargetMode="External"/><Relationship Id="rId15" Type="http://schemas.openxmlformats.org/officeDocument/2006/relationships/hyperlink" Target="https://photos.app.goo.gl/Ps9vhx9JBWs3rexY6" TargetMode="External"/><Relationship Id="rId16" Type="http://schemas.openxmlformats.org/officeDocument/2006/relationships/hyperlink" Target="https://photos.app.goo.gl/2pmC6rcHVZ7HWHoK8" TargetMode="External"/><Relationship Id="rId17" Type="http://schemas.openxmlformats.org/officeDocument/2006/relationships/hyperlink" Target="https://photos.app.goo.gl/dNdkBa4QQiFW9XSq6" TargetMode="External"/><Relationship Id="rId18" Type="http://schemas.openxmlformats.org/officeDocument/2006/relationships/hyperlink" Target="https://photos.app.goo.gl/toKa3HcJJxvoPZnP8" TargetMode="External"/><Relationship Id="rId19" Type="http://schemas.openxmlformats.org/officeDocument/2006/relationships/hyperlink" Target="https://photos.app.goo.gl/JMcdqw1WFirA3geB8" TargetMode="External"/><Relationship Id="rId20" Type="http://schemas.openxmlformats.org/officeDocument/2006/relationships/hyperlink" Target="https://drive.google.com/file/d/1L-pu-4OW1RPo2Rqlgs_FiN-XTZIPxdRn/view?usp=drive_link" TargetMode="External"/><Relationship Id="rId21" Type="http://schemas.openxmlformats.org/officeDocument/2006/relationships/hyperlink" Target="https://photos.app.goo.gl/RrxLuXywJJB4hxD5A" TargetMode="External"/><Relationship Id="rId22" Type="http://schemas.openxmlformats.org/officeDocument/2006/relationships/hyperlink" Target="https://photos.app.goo.gl/niBPJqEgRQzV1z9S9" TargetMode="External"/><Relationship Id="rId23" Type="http://schemas.openxmlformats.org/officeDocument/2006/relationships/hyperlink" Target="https://photos.app.goo.gl/dHUikf5PTPMmeqHFA" TargetMode="External"/><Relationship Id="rId24" Type="http://schemas.openxmlformats.org/officeDocument/2006/relationships/hyperlink" Target="https://photos.app.goo.gl/6yyo6yGeQU3B4o3w9" TargetMode="External"/><Relationship Id="rId25" Type="http://schemas.openxmlformats.org/officeDocument/2006/relationships/hyperlink" Target="https://drive.google.com/file/d/1NaJmLm26Q3-zdy-BBA92-w0MFu9BG-DL/view?usp=drive_link" TargetMode="External"/><Relationship Id="rId26" Type="http://schemas.openxmlformats.org/officeDocument/2006/relationships/hyperlink" Target="https://photos.app.goo.gl/uhg9BBjS6PZStjav6" TargetMode="External"/><Relationship Id="rId27" Type="http://schemas.openxmlformats.org/officeDocument/2006/relationships/hyperlink" Target="https://photos.app.goo.gl/cbg4gWrbRQjibq3ZA" TargetMode="External"/><Relationship Id="rId28" Type="http://schemas.openxmlformats.org/officeDocument/2006/relationships/hyperlink" Target="https://drive.google.com/file/d/1NBN3pGiJwUYPNUm10DyqQLM1fHnm62FC/view?usp=drive_link" TargetMode="External"/><Relationship Id="rId29" Type="http://schemas.openxmlformats.org/officeDocument/2006/relationships/hyperlink" Target="https://photos.app.goo.gl/7QnttAhsu6CLXUuQA" TargetMode="External"/><Relationship Id="rId30" Type="http://schemas.openxmlformats.org/officeDocument/2006/relationships/hyperlink" Target="https://photos.app.goo.gl/hGCYZv8D1cfnZXNh7" TargetMode="External"/><Relationship Id="rId31" Type="http://schemas.openxmlformats.org/officeDocument/2006/relationships/hyperlink" Target="https://photos.app.goo.gl/3rGtW1S9CupvJovF8" TargetMode="External"/><Relationship Id="rId32" Type="http://schemas.openxmlformats.org/officeDocument/2006/relationships/hyperlink" Target="https://drive.google.com/file/d/1Ny8D7SwJ5zHmIoi97P-BKxcuw0YHiItG/view?usp=drive_link" TargetMode="External"/><Relationship Id="rId33" Type="http://schemas.openxmlformats.org/officeDocument/2006/relationships/hyperlink" Target="https://photos.app.goo.gl/kCX29rSVYoysC8Py5" TargetMode="External"/><Relationship Id="rId34" Type="http://schemas.openxmlformats.org/officeDocument/2006/relationships/hyperlink" Target="https://photos.app.goo.gl/6e18Dafr79bm8tkA6" TargetMode="External"/><Relationship Id="rId35" Type="http://schemas.openxmlformats.org/officeDocument/2006/relationships/hyperlink" Target="https://photos.app.goo.gl/jn6qwaxuTX2LVptL7" TargetMode="External"/><Relationship Id="rId36" Type="http://schemas.openxmlformats.org/officeDocument/2006/relationships/hyperlink" Target="https://photos.app.goo.gl/yBU4RRfDtuWdNxhK7" TargetMode="External"/><Relationship Id="rId37" Type="http://schemas.openxmlformats.org/officeDocument/2006/relationships/hyperlink" Target="https://photos.app.goo.gl/VHhcHHTKH5fedaF37" TargetMode="External"/><Relationship Id="rId38" Type="http://schemas.openxmlformats.org/officeDocument/2006/relationships/hyperlink" Target="https://drive.google.com/file/d/1LZcTs-VDSTuigToApDFLDYABUL1zCXgi/view?usp=drive_link" TargetMode="External"/><Relationship Id="rId39" Type="http://schemas.openxmlformats.org/officeDocument/2006/relationships/hyperlink" Target="https://photos.app.goo.gl/VHhcHHTKH5fedaF37" TargetMode="External"/><Relationship Id="rId40" Type="http://schemas.openxmlformats.org/officeDocument/2006/relationships/hyperlink" Target="https://photos.app.goo.gl/65V6KTVA1h6MQHUV6" TargetMode="External"/><Relationship Id="rId41" Type="http://schemas.openxmlformats.org/officeDocument/2006/relationships/hyperlink" Target="https://photos.app.goo.gl/9AMuQ1ahkpxkL7uw9" TargetMode="External"/><Relationship Id="rId42" Type="http://schemas.openxmlformats.org/officeDocument/2006/relationships/hyperlink" Target="https://drive.google.com/file/d/1MC5KCY4HWtaFZfIeEEit3WAbI0u5lSmo/view?usp=drive_link" TargetMode="External"/><Relationship Id="rId43" Type="http://schemas.openxmlformats.org/officeDocument/2006/relationships/hyperlink" Target="https://photos.app.goo.gl/9AMuQ1ahkpxkL7uw9" TargetMode="External"/><Relationship Id="rId44" Type="http://schemas.openxmlformats.org/officeDocument/2006/relationships/hyperlink" Target="https://photos.app.goo.gl/3WpQ7JLqtuX3M8tt6" TargetMode="External"/><Relationship Id="rId45" Type="http://schemas.openxmlformats.org/officeDocument/2006/relationships/hyperlink" Target="https://photos.app.goo.gl/11Qp4tFJcQve6APs7" TargetMode="External"/><Relationship Id="rId46" Type="http://schemas.openxmlformats.org/officeDocument/2006/relationships/hyperlink" Target="https://drive.google.com/file/d/1MCaopzs-AFPJ4jY-tt1TJ_RqzwN50sBu/view?usp=drive_link" TargetMode="External"/><Relationship Id="rId47" Type="http://schemas.openxmlformats.org/officeDocument/2006/relationships/hyperlink" Target="https://drive.google.com/file/d/1MCaopzs-AFPJ4jY-tt1TJ_RqzwN50sBu/view?usp=drive_link" TargetMode="External"/><Relationship Id="rId48" Type="http://schemas.openxmlformats.org/officeDocument/2006/relationships/hyperlink" Target="https://photos.app.goo.gl/Y3758udVvVmaQG6EA" TargetMode="External"/><Relationship Id="rId49" Type="http://schemas.openxmlformats.org/officeDocument/2006/relationships/hyperlink" Target="https://photos.app.goo.gl/TF3HNJFXcm6LN7tt6" TargetMode="External"/><Relationship Id="rId50" Type="http://schemas.openxmlformats.org/officeDocument/2006/relationships/hyperlink" Target="https://drive.google.com/file/d/1MDoyu03Np0L27ZaOfaqcD3GCKJq9UV0g/view?usp=drive_link" TargetMode="External"/><Relationship Id="rId51" Type="http://schemas.openxmlformats.org/officeDocument/2006/relationships/hyperlink" Target="https://photos.app.goo.gl/t8pepUVt5xEg1i4U6" TargetMode="External"/><Relationship Id="rId52" Type="http://schemas.openxmlformats.org/officeDocument/2006/relationships/hyperlink" Target="https://photos.app.goo.gl/ucEZAQy2nXPzAnoh8" TargetMode="External"/><Relationship Id="rId53" Type="http://schemas.openxmlformats.org/officeDocument/2006/relationships/hyperlink" Target="https://photos.app.goo.gl/pCe4fQio3wYAPD6h8" TargetMode="External"/><Relationship Id="rId54" Type="http://schemas.openxmlformats.org/officeDocument/2006/relationships/hyperlink" Target="https://photos.app.goo.gl/Lvh2CDToowJzrPei9" TargetMode="External"/><Relationship Id="rId55" Type="http://schemas.openxmlformats.org/officeDocument/2006/relationships/hyperlink" Target="https://photos.app.goo.gl/ZLufjGvHi3F6F3dXA" TargetMode="External"/><Relationship Id="rId56" Type="http://schemas.openxmlformats.org/officeDocument/2006/relationships/hyperlink" Target="https://photos.app.goo.gl/7RWpT8aGAFkzZ6HZA" TargetMode="External"/><Relationship Id="rId57" Type="http://schemas.openxmlformats.org/officeDocument/2006/relationships/hyperlink" Target="https://photos.app.goo.gl/zazsQ6LpDoskxCiq8" TargetMode="External"/><Relationship Id="rId58" Type="http://schemas.openxmlformats.org/officeDocument/2006/relationships/hyperlink" Target="https://photos.app.goo.gl/RCdAJN6LY92ctxqL8" TargetMode="External"/><Relationship Id="rId59" Type="http://schemas.openxmlformats.org/officeDocument/2006/relationships/hyperlink" Target="https://photos.app.goo.gl/exkw3iHUdsvWTQvv6" TargetMode="External"/><Relationship Id="rId60" Type="http://schemas.openxmlformats.org/officeDocument/2006/relationships/hyperlink" Target="https://photos.app.goo.gl/p779bEZHoAsz81Xv5" TargetMode="External"/><Relationship Id="rId61" Type="http://schemas.openxmlformats.org/officeDocument/2006/relationships/hyperlink" Target="https://photos.app.goo.gl/brhhx9bDsozWtABA6" TargetMode="External"/><Relationship Id="rId62" Type="http://schemas.openxmlformats.org/officeDocument/2006/relationships/hyperlink" Target="https://photos.app.goo.gl/wfCZfskaP1JE7z2p6" TargetMode="External"/><Relationship Id="rId63" Type="http://schemas.openxmlformats.org/officeDocument/2006/relationships/hyperlink" Target="https://drive.google.com/file/d/1TO0z2vAkqWug0wbxogk1Am0G6C21T67O/view?usp=drive_link" TargetMode="External"/><Relationship Id="rId64" Type="http://schemas.openxmlformats.org/officeDocument/2006/relationships/hyperlink" Target="https://photos.app.goo.gl/7261Ttc3M3ZKZuEJ9" TargetMode="External"/><Relationship Id="rId65" Type="http://schemas.openxmlformats.org/officeDocument/2006/relationships/hyperlink" Target="https://photos.app.goo.gl/CsGzALyZXFvm1C6n9" TargetMode="External"/><Relationship Id="rId66" Type="http://schemas.openxmlformats.org/officeDocument/2006/relationships/hyperlink" Target="https://photos.app.goo.gl/spnEhvXGJEWRXFSq6" TargetMode="External"/><Relationship Id="rId67" Type="http://schemas.openxmlformats.org/officeDocument/2006/relationships/hyperlink" Target="https://drive.google.com/file/d/1TclZCj-kaGLL1924JWRhGNJ30Ig46Wf0/view?usp=drive_link" TargetMode="External"/><Relationship Id="rId68" Type="http://schemas.openxmlformats.org/officeDocument/2006/relationships/hyperlink" Target="https://photos.app.goo.gl/qXMo56To2g6BhQiJ6" TargetMode="External"/><Relationship Id="rId69" Type="http://schemas.openxmlformats.org/officeDocument/2006/relationships/hyperlink" Target="https://photos.app.goo.gl/uCpKsBSUrYzDqzhy5" TargetMode="External"/><Relationship Id="rId70" Type="http://schemas.openxmlformats.org/officeDocument/2006/relationships/hyperlink" Target="https://photos.app.goo.gl/ZJqq6GKTxZRz6L937" TargetMode="External"/><Relationship Id="rId71" Type="http://schemas.openxmlformats.org/officeDocument/2006/relationships/hyperlink" Target="https://drive.google.com/file/d/1SmC0ZV262Szpa5UKpsPk8b76UO-xwGa6/view?usp=drive_link" TargetMode="External"/><Relationship Id="rId72" Type="http://schemas.openxmlformats.org/officeDocument/2006/relationships/hyperlink" Target="https://photos.app.goo.gl/DTkj9EKitenEudEK9" TargetMode="External"/><Relationship Id="rId73" Type="http://schemas.openxmlformats.org/officeDocument/2006/relationships/hyperlink" Target="https://photos.app.goo.gl/doPHX44fDLoVni756" TargetMode="External"/><Relationship Id="rId74" Type="http://schemas.openxmlformats.org/officeDocument/2006/relationships/hyperlink" Target="https://photos.app.goo.gl/fdCxuPjTje4d6ApU9" TargetMode="External"/><Relationship Id="rId75" Type="http://schemas.openxmlformats.org/officeDocument/2006/relationships/hyperlink" Target="https://drive.google.com/file/d/1SIiFNQb_Okuv5iKiQKzj1R_aprmZPlNi/view?usp=drive_link" TargetMode="External"/><Relationship Id="rId76" Type="http://schemas.openxmlformats.org/officeDocument/2006/relationships/hyperlink" Target="https://photos.app.goo.gl/Lo44RWrHyeGbpTd37" TargetMode="External"/><Relationship Id="rId77" Type="http://schemas.openxmlformats.org/officeDocument/2006/relationships/hyperlink" Target="https://photos.app.goo.gl/xbWCRERDoVPPcSHGA" TargetMode="External"/><Relationship Id="rId78" Type="http://schemas.openxmlformats.org/officeDocument/2006/relationships/hyperlink" Target="https://photos.app.goo.gl/EgRJFDoGzQDPF7GX7" TargetMode="External"/><Relationship Id="rId79" Type="http://schemas.openxmlformats.org/officeDocument/2006/relationships/hyperlink" Target="https://drive.google.com/file/d/1S0aYcW0APYolvB7ToHNc-P6uxOMnWK5s/view?usp=drive_link" TargetMode="External"/><Relationship Id="rId80" Type="http://schemas.openxmlformats.org/officeDocument/2006/relationships/hyperlink" Target="https://photos.app.goo.gl/3eWdWqErgNSznA4p8" TargetMode="External"/><Relationship Id="rId81" Type="http://schemas.openxmlformats.org/officeDocument/2006/relationships/hyperlink" Target="https://photos.app.goo.gl/qC3qoBnYRvJsywi68" TargetMode="External"/><Relationship Id="rId82" Type="http://schemas.openxmlformats.org/officeDocument/2006/relationships/hyperlink" Target="https://photos.app.goo.gl/rHBBm2VssubXbEFX8" TargetMode="External"/><Relationship Id="rId83" Type="http://schemas.openxmlformats.org/officeDocument/2006/relationships/hyperlink" Target="https://drive.google.com/file/d/1S65fZrC_qMPPkcZCWVgkvuH_LT8SL-Ra/view?usp=drive_link" TargetMode="External"/><Relationship Id="rId84" Type="http://schemas.openxmlformats.org/officeDocument/2006/relationships/hyperlink" Target="https://photos.app.goo.gl/3eWdWqErgNSznA4p8" TargetMode="External"/><Relationship Id="rId85" Type="http://schemas.openxmlformats.org/officeDocument/2006/relationships/hyperlink" Target="https://photos.app.goo.gl/eKgMcwEY55QE4se9A" TargetMode="External"/><Relationship Id="rId86" Type="http://schemas.openxmlformats.org/officeDocument/2006/relationships/hyperlink" Target="https://drive.google.com/file/d/1SONoVt7f8RYPg5K6SATbA6mE9V6WMBgL/view?usp=drive_link" TargetMode="External"/><Relationship Id="rId87" Type="http://schemas.openxmlformats.org/officeDocument/2006/relationships/hyperlink" Target="https://photos.app.goo.gl/2Rw7xZ7nFW6fmhon8" TargetMode="External"/><Relationship Id="rId88" Type="http://schemas.openxmlformats.org/officeDocument/2006/relationships/drawing" Target="../drawings/drawing4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hyperlink" Target="https://photos.app.goo.gl/v1KqEz636XiS6Pzk6" TargetMode="External"/><Relationship Id="rId3" Type="http://schemas.openxmlformats.org/officeDocument/2006/relationships/hyperlink" Target="https://photos.app.goo.gl/jhGp2XZsjYgzd7oq5" TargetMode="External"/><Relationship Id="rId4" Type="http://schemas.openxmlformats.org/officeDocument/2006/relationships/hyperlink" Target="https://photos.app.goo.gl/c6JKrW3zr9sCx8ZB6" TargetMode="External"/><Relationship Id="rId5" Type="http://schemas.openxmlformats.org/officeDocument/2006/relationships/hyperlink" Target="https://photos.app.goo.gl/FGwg4EgcKeCMbPuaA" TargetMode="External"/><Relationship Id="rId6" Type="http://schemas.openxmlformats.org/officeDocument/2006/relationships/hyperlink" Target="https://photos.app.goo.gl/6h8kEPfHhf3Dv8fv5" TargetMode="External"/><Relationship Id="rId7" Type="http://schemas.openxmlformats.org/officeDocument/2006/relationships/hyperlink" Target="https://photos.app.goo.gl/1Z8bEUtkvcjpYZ1t5" TargetMode="External"/><Relationship Id="rId8" Type="http://schemas.openxmlformats.org/officeDocument/2006/relationships/hyperlink" Target="https://photos.app.goo.gl/qQBDWNmTU7MbXsYr8" TargetMode="External"/><Relationship Id="rId9" Type="http://schemas.openxmlformats.org/officeDocument/2006/relationships/hyperlink" Target="https://photos.app.goo.gl/LQQ1nM63nh4KL4626" TargetMode="External"/><Relationship Id="rId10" Type="http://schemas.openxmlformats.org/officeDocument/2006/relationships/hyperlink" Target="https://photos.app.goo.gl/JMkY1sdhMN6hDzwJ8" TargetMode="External"/><Relationship Id="rId11" Type="http://schemas.openxmlformats.org/officeDocument/2006/relationships/hyperlink" Target="https://drive.google.com/file/d/1E7gilFleSVpNdrDNI7uTR-vVM3uuB67t/view?usp=drive_link" TargetMode="External"/><Relationship Id="rId12" Type="http://schemas.openxmlformats.org/officeDocument/2006/relationships/hyperlink" Target="https://photos.app.goo.gl/YhPjdK1AmwWBBKTV8" TargetMode="External"/><Relationship Id="rId13" Type="http://schemas.openxmlformats.org/officeDocument/2006/relationships/hyperlink" Target="https://photos.app.goo.gl/vNwELQsKXKD6RfHm7" TargetMode="External"/><Relationship Id="rId14" Type="http://schemas.openxmlformats.org/officeDocument/2006/relationships/hyperlink" Target="https://photos.app.goo.gl/mb6QdXkJfCvsLw5x6" TargetMode="External"/><Relationship Id="rId15" Type="http://schemas.openxmlformats.org/officeDocument/2006/relationships/hyperlink" Target="https://photos.app.goo.gl/TxCrmPB6yAhT6KgS7" TargetMode="External"/><Relationship Id="rId16" Type="http://schemas.openxmlformats.org/officeDocument/2006/relationships/hyperlink" Target="https://photos.app.goo.gl/kuzYLvHHiVUaSBeV7" TargetMode="External"/><Relationship Id="rId17" Type="http://schemas.openxmlformats.org/officeDocument/2006/relationships/hyperlink" Target="https://photos.app.goo.gl/d6vP4iSXSgLPK8SX6" TargetMode="External"/><Relationship Id="rId18" Type="http://schemas.openxmlformats.org/officeDocument/2006/relationships/hyperlink" Target="https://photos.app.goo.gl/QyyEcxtiyCTCEAvcA" TargetMode="External"/><Relationship Id="rId19" Type="http://schemas.openxmlformats.org/officeDocument/2006/relationships/hyperlink" Target="https://photos.app.goo.gl/6ZUkGQ3gJS147YJx5" TargetMode="External"/><Relationship Id="rId20" Type="http://schemas.openxmlformats.org/officeDocument/2006/relationships/hyperlink" Target="https://drive.google.com/file/d/1KH3yIH9LLehSCIi9CGxlR3NWYIlV7NiP/view?usp=drive_link" TargetMode="External"/><Relationship Id="rId21" Type="http://schemas.openxmlformats.org/officeDocument/2006/relationships/hyperlink" Target="https://photos.app.goo.gl/Y5ZBrqAuNaUZ2MBw9" TargetMode="External"/><Relationship Id="rId22" Type="http://schemas.openxmlformats.org/officeDocument/2006/relationships/hyperlink" Target="https://photos.app.goo.gl/i5vRBX65QpFMWVT77" TargetMode="External"/><Relationship Id="rId23" Type="http://schemas.openxmlformats.org/officeDocument/2006/relationships/hyperlink" Target="https://photos.app.goo.gl/9Fhn1Tt2mfweVyg27" TargetMode="External"/><Relationship Id="rId24" Type="http://schemas.openxmlformats.org/officeDocument/2006/relationships/hyperlink" Target="https://drive.google.com/file/d/1PlPTqoXu35YR5j_1aqUZhHB4vjvnRBbA/view?usp=drive_link" TargetMode="External"/><Relationship Id="rId25" Type="http://schemas.openxmlformats.org/officeDocument/2006/relationships/hyperlink" Target="https://photos.app.goo.gl/BKZ6E5vrvCkn3RPL9" TargetMode="External"/><Relationship Id="rId26" Type="http://schemas.openxmlformats.org/officeDocument/2006/relationships/hyperlink" Target="https://photos.app.goo.gl/h6B9guE4nu3XCeh79" TargetMode="External"/><Relationship Id="rId27" Type="http://schemas.openxmlformats.org/officeDocument/2006/relationships/hyperlink" Target="https://drive.google.com/file/d/1LIYm5g6JOUEUzgO5EHbLJ_PbLa0BP9YF/view?usp=drive_link" TargetMode="External"/><Relationship Id="rId28" Type="http://schemas.openxmlformats.org/officeDocument/2006/relationships/hyperlink" Target="https://photos.app.goo.gl/9DUX5c9xGVUjdLPM8" TargetMode="External"/><Relationship Id="rId29" Type="http://schemas.openxmlformats.org/officeDocument/2006/relationships/hyperlink" Target="https://photos.app.goo.gl/nX1pYjbCqwTNpvz69" TargetMode="External"/><Relationship Id="rId30" Type="http://schemas.openxmlformats.org/officeDocument/2006/relationships/hyperlink" Target="https://photos.app.goo.gl/wiqUawcYQcfhd4819" TargetMode="External"/><Relationship Id="rId31" Type="http://schemas.openxmlformats.org/officeDocument/2006/relationships/hyperlink" Target="https://drive.google.com/file/d/1PnVUBP0X6y2Xzwir0PprOFDTSa3-OGAD/view?usp=drive_link" TargetMode="External"/><Relationship Id="rId32" Type="http://schemas.openxmlformats.org/officeDocument/2006/relationships/hyperlink" Target="https://photos.app.goo.gl/UqvFFw6b4HjPEkGe6" TargetMode="External"/><Relationship Id="rId33" Type="http://schemas.openxmlformats.org/officeDocument/2006/relationships/hyperlink" Target="https://photos.app.goo.gl/purFsBcM2fDN4Nhi6" TargetMode="External"/><Relationship Id="rId34" Type="http://schemas.openxmlformats.org/officeDocument/2006/relationships/hyperlink" Target="https://photos.app.goo.gl/J9SpAmtWaCRVFzXa6" TargetMode="External"/><Relationship Id="rId35" Type="http://schemas.openxmlformats.org/officeDocument/2006/relationships/hyperlink" Target="https://photos.app.goo.gl/EynsQD8ZRahA8zEZA" TargetMode="External"/><Relationship Id="rId36" Type="http://schemas.openxmlformats.org/officeDocument/2006/relationships/hyperlink" Target="https://photos.app.goo.gl/nr3cqYpv1B9kiCaw6" TargetMode="External"/><Relationship Id="rId37" Type="http://schemas.openxmlformats.org/officeDocument/2006/relationships/hyperlink" Target="https://photos.app.goo.gl/T9TgGzohwFz6iXuM9" TargetMode="External"/><Relationship Id="rId38" Type="http://schemas.openxmlformats.org/officeDocument/2006/relationships/hyperlink" Target="https://photos.app.goo.gl/HFfGNgFdLs9jPPf98" TargetMode="External"/><Relationship Id="rId39" Type="http://schemas.openxmlformats.org/officeDocument/2006/relationships/hyperlink" Target="https://drive.google.com/file/d/1HY2t56fGO7B-GHgQwVIipN3ksUo9eRGs/view?usp=drive_link" TargetMode="External"/><Relationship Id="rId40" Type="http://schemas.openxmlformats.org/officeDocument/2006/relationships/hyperlink" Target="https://photos.app.goo.gl/G7GZg8kjJbJgCyNz6" TargetMode="External"/><Relationship Id="rId41" Type="http://schemas.openxmlformats.org/officeDocument/2006/relationships/hyperlink" Target="https://photos.app.goo.gl/psEBj7Bz2Kwdcssi9" TargetMode="External"/><Relationship Id="rId42" Type="http://schemas.openxmlformats.org/officeDocument/2006/relationships/hyperlink" Target="https://photos.app.goo.gl/ttG72Pimjh9wzkTn6" TargetMode="External"/><Relationship Id="rId43" Type="http://schemas.openxmlformats.org/officeDocument/2006/relationships/drawing" Target="../drawings/drawing5.xml"/><Relationship Id="rId44" Type="http://schemas.openxmlformats.org/officeDocument/2006/relationships/vmlDrawing" Target="../drawings/vmlDrawing2.v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hyperlink" Target="https://photos.app.goo.gl/QiymBq7v1XmDhSXM7" TargetMode="External"/><Relationship Id="rId2" Type="http://schemas.openxmlformats.org/officeDocument/2006/relationships/hyperlink" Target="https://photos.app.goo.gl/PXybQN8zWW1RCZAy8" TargetMode="External"/><Relationship Id="rId3" Type="http://schemas.openxmlformats.org/officeDocument/2006/relationships/hyperlink" Target="https://photos.app.goo.gl/xm56YCaUZzwXtwmv8" TargetMode="External"/><Relationship Id="rId4" Type="http://schemas.openxmlformats.org/officeDocument/2006/relationships/hyperlink" Target="https://photos.app.goo.gl/id4GRsAFT5KBDxb38" TargetMode="External"/><Relationship Id="rId5" Type="http://schemas.openxmlformats.org/officeDocument/2006/relationships/hyperlink" Target="https://photos.app.goo.gl/wzRg7mhdciNQbbFF7" TargetMode="External"/><Relationship Id="rId6" Type="http://schemas.openxmlformats.org/officeDocument/2006/relationships/hyperlink" Target="https://photos.app.goo.gl/7ep2ZqxSwGjWQ7x56" TargetMode="External"/><Relationship Id="rId7" Type="http://schemas.openxmlformats.org/officeDocument/2006/relationships/hyperlink" Target="https://drive.google.com/file/d/16uEz7aBow2fPZSahETwLPwKmQ-SBXlzj/view?usp=drive_link" TargetMode="External"/><Relationship Id="rId8" Type="http://schemas.openxmlformats.org/officeDocument/2006/relationships/hyperlink" Target="https://photos.app.goo.gl/Juo6Q2gV4efy28Hb7" TargetMode="External"/><Relationship Id="rId9" Type="http://schemas.openxmlformats.org/officeDocument/2006/relationships/hyperlink" Target="https://photos.app.goo.gl/H6YnHXKsy3Vyz2CY9" TargetMode="External"/><Relationship Id="rId10" Type="http://schemas.openxmlformats.org/officeDocument/2006/relationships/hyperlink" Target="https://photos.app.goo.gl/wShaiqVUACXG7oDe8" TargetMode="External"/><Relationship Id="rId11" Type="http://schemas.openxmlformats.org/officeDocument/2006/relationships/hyperlink" Target="https://photos.app.goo.gl/tVyeKtp3T5E6KuZG8" TargetMode="External"/><Relationship Id="rId12" Type="http://schemas.openxmlformats.org/officeDocument/2006/relationships/hyperlink" Target="https://photos.app.goo.gl/BewdcS3prPXTwwzA8" TargetMode="External"/><Relationship Id="rId13" Type="http://schemas.openxmlformats.org/officeDocument/2006/relationships/hyperlink" Target="https://photos.app.goo.gl/Ap6AjKqVizYNPLXM6" TargetMode="External"/><Relationship Id="rId14" Type="http://schemas.openxmlformats.org/officeDocument/2006/relationships/hyperlink" Target="https://photos.app.goo.gl/MczcyNPLmW9adYXz5" TargetMode="External"/><Relationship Id="rId15" Type="http://schemas.openxmlformats.org/officeDocument/2006/relationships/hyperlink" Target="https://photos.app.goo.gl/yX3kHVo9xVLy35Pz5" TargetMode="External"/><Relationship Id="rId16" Type="http://schemas.openxmlformats.org/officeDocument/2006/relationships/hyperlink" Target="https://photos.app.goo.gl/tficoMxwFmsbxqm38" TargetMode="External"/><Relationship Id="rId17" Type="http://schemas.openxmlformats.org/officeDocument/2006/relationships/hyperlink" Target="https://photos.app.goo.gl/XxDmfpsNmoPzzCki7" TargetMode="External"/><Relationship Id="rId18" Type="http://schemas.openxmlformats.org/officeDocument/2006/relationships/hyperlink" Target="https://photos.app.goo.gl/zo29K51yTqFLeWcQA" TargetMode="External"/><Relationship Id="rId19" Type="http://schemas.openxmlformats.org/officeDocument/2006/relationships/hyperlink" Target="https://photos.app.goo.gl/pYycJ8Zm5Y3pydk4A" TargetMode="External"/><Relationship Id="rId20" Type="http://schemas.openxmlformats.org/officeDocument/2006/relationships/hyperlink" Target="https://photos.app.goo.gl/dUWknNhcBBjnvBb7A" TargetMode="External"/><Relationship Id="rId21" Type="http://schemas.openxmlformats.org/officeDocument/2006/relationships/hyperlink" Target="https://photos.app.goo.gl/ci5ysMbZ2NBdV9uSA" TargetMode="External"/><Relationship Id="rId22" Type="http://schemas.openxmlformats.org/officeDocument/2006/relationships/hyperlink" Target="https://drive.google.com/file/d/1Yqd_HQC2L7Fy6slSnateGwDoqy8yQZbV/view?usp=drive_link" TargetMode="External"/><Relationship Id="rId23" Type="http://schemas.openxmlformats.org/officeDocument/2006/relationships/hyperlink" Target="https://photos.app.goo.gl/kHn2VXhRcg9nnx3A7" TargetMode="External"/><Relationship Id="rId24" Type="http://schemas.openxmlformats.org/officeDocument/2006/relationships/hyperlink" Target="https://photos.app.goo.gl/9nDsQu17TDhnnfPz9" TargetMode="External"/><Relationship Id="rId25" Type="http://schemas.openxmlformats.org/officeDocument/2006/relationships/hyperlink" Target="https://drive.google.com/file/d/1Yqd_HQC2L7Fy6slSnateGwDoqy8yQZbV/view?usp=drive_link" TargetMode="External"/><Relationship Id="rId26" Type="http://schemas.openxmlformats.org/officeDocument/2006/relationships/hyperlink" Target="https://photos.app.goo.gl/8Tjd1y73BtBca4L47" TargetMode="External"/><Relationship Id="rId27" Type="http://schemas.openxmlformats.org/officeDocument/2006/relationships/hyperlink" Target="https://photos.app.goo.gl/ygzeSCuDn1ZptUVj8" TargetMode="External"/><Relationship Id="rId28" Type="http://schemas.openxmlformats.org/officeDocument/2006/relationships/hyperlink" Target="https://drive.google.com/file/d/1Zg_8OA0c98Mm4R-C9FsWGrnWm95y4loe/view?usp=drive_link" TargetMode="External"/><Relationship Id="rId29" Type="http://schemas.openxmlformats.org/officeDocument/2006/relationships/hyperlink" Target="https://photos.app.goo.gl/RDAHjYnYAgyPN9RZ7" TargetMode="External"/><Relationship Id="rId30" Type="http://schemas.openxmlformats.org/officeDocument/2006/relationships/hyperlink" Target="https://photos.app.goo.gl/ttJzRJiQuf8rodtNA" TargetMode="External"/><Relationship Id="rId31" Type="http://schemas.openxmlformats.org/officeDocument/2006/relationships/hyperlink" Target="https://drive.google.com/file/d/1Z5RZuVihgrufBN4J7hKifCbdjtrkFVd8/view?usp=drive_link" TargetMode="External"/><Relationship Id="rId32" Type="http://schemas.openxmlformats.org/officeDocument/2006/relationships/hyperlink" Target="https://photos.app.goo.gl/NR4y2mvD3L4rYg7s9" TargetMode="External"/><Relationship Id="rId33" Type="http://schemas.openxmlformats.org/officeDocument/2006/relationships/hyperlink" Target="https://photos.app.goo.gl/i7WLn5EhncpX8PCC7" TargetMode="External"/><Relationship Id="rId34" Type="http://schemas.openxmlformats.org/officeDocument/2006/relationships/hyperlink" Target="https://drive.google.com/file/d/1ZL2RmyaOp6O8xI61VDRqtkf9_-kFKDBi/view?usp=drive_link" TargetMode="External"/><Relationship Id="rId35" Type="http://schemas.openxmlformats.org/officeDocument/2006/relationships/hyperlink" Target="https://photos.app.goo.gl/1QsEyeDYkj145B6o9" TargetMode="External"/><Relationship Id="rId36" Type="http://schemas.openxmlformats.org/officeDocument/2006/relationships/hyperlink" Target="https://photos.app.goo.gl/5yRnn2s3Tfomu5Ck8" TargetMode="External"/><Relationship Id="rId37" Type="http://schemas.openxmlformats.org/officeDocument/2006/relationships/hyperlink" Target="https://drive.google.com/file/d/1ZQYyHoLXrE5To1fV8WcrvuH6P2uMrzq_/view?usp=drive_link" TargetMode="External"/><Relationship Id="rId38" Type="http://schemas.openxmlformats.org/officeDocument/2006/relationships/hyperlink" Target="https://photos.app.goo.gl/du86bzz1nLec6pXL9" TargetMode="External"/><Relationship Id="rId39" Type="http://schemas.openxmlformats.org/officeDocument/2006/relationships/hyperlink" Target="https://photos.app.goo.gl/HfaBTKKLDQDyC3MU9" TargetMode="External"/><Relationship Id="rId40" Type="http://schemas.openxmlformats.org/officeDocument/2006/relationships/hyperlink" Target="https://drive.google.com/drive/folders/1YqJYgZg6C-kq8wTunqTDKs9ZdZAtAR6O?usp=drive_link" TargetMode="External"/><Relationship Id="rId41" Type="http://schemas.openxmlformats.org/officeDocument/2006/relationships/hyperlink" Target="https://photos.app.goo.gl/bUmLtcmdn58vemzf9" TargetMode="External"/><Relationship Id="rId42" Type="http://schemas.openxmlformats.org/officeDocument/2006/relationships/hyperlink" Target="https://photos.app.goo.gl/UWLiQ2m98tDPCM83A" TargetMode="External"/><Relationship Id="rId43" Type="http://schemas.openxmlformats.org/officeDocument/2006/relationships/hyperlink" Target="https://drive.google.com/file/d/1H7I75o5JYSpfLjNXWXhioL7V3Z4vAMPv/view?usp=drive_link" TargetMode="External"/><Relationship Id="rId44" Type="http://schemas.openxmlformats.org/officeDocument/2006/relationships/hyperlink" Target="https://photos.app.goo.gl/DJZpnC4JpycbDhfJ6" TargetMode="External"/><Relationship Id="rId45" Type="http://schemas.openxmlformats.org/officeDocument/2006/relationships/hyperlink" Target="https://photos.app.goo.gl/tKCkCQEUw4K6eybc8" TargetMode="External"/><Relationship Id="rId46" Type="http://schemas.openxmlformats.org/officeDocument/2006/relationships/hyperlink" Target="https://photos.app.goo.gl/nQQ5UWTxHqM62wzC8" TargetMode="External"/><Relationship Id="rId47" Type="http://schemas.openxmlformats.org/officeDocument/2006/relationships/hyperlink" Target="https://photos.app.goo.gl/tjC6G2M5c5X2aqfW7" TargetMode="External"/><Relationship Id="rId48" Type="http://schemas.openxmlformats.org/officeDocument/2006/relationships/hyperlink" Target="https://photos.app.goo.gl/2MB2riGiASCULF848" TargetMode="External"/><Relationship Id="rId49" Type="http://schemas.openxmlformats.org/officeDocument/2006/relationships/hyperlink" Target="https://photos.app.goo.gl/XkhrKkLTosnoc1X39" TargetMode="External"/><Relationship Id="rId50" Type="http://schemas.openxmlformats.org/officeDocument/2006/relationships/hyperlink" Target="https://drive.google.com/file/d/1C9_gFcQjWZ0wK-RKfeh0SlscNoCpQCIJ/view?usp=drive_link" TargetMode="External"/><Relationship Id="rId51" Type="http://schemas.openxmlformats.org/officeDocument/2006/relationships/hyperlink" Target="https://photos.app.goo.gl/XkhrKkLTosnoc1X39" TargetMode="External"/><Relationship Id="rId52" Type="http://schemas.openxmlformats.org/officeDocument/2006/relationships/hyperlink" Target="https://photos.app.goo.gl/NU2RJkiJyfjpmnTw9" TargetMode="External"/><Relationship Id="rId53" Type="http://schemas.openxmlformats.org/officeDocument/2006/relationships/hyperlink" Target="https://photos.app.goo.gl/xj6k6huyYe1Ug1Wq5" TargetMode="External"/><Relationship Id="rId54" Type="http://schemas.openxmlformats.org/officeDocument/2006/relationships/hyperlink" Target="https://drive.google.com/file/d/1C5HmtiCbEhJz-G7KZI5Hzs57mJCkK2zk/view?usp=drive_link" TargetMode="External"/><Relationship Id="rId55" Type="http://schemas.openxmlformats.org/officeDocument/2006/relationships/hyperlink" Target="https://photos.app.goo.gl/5wG3fWAZzMBdCBgaA" TargetMode="External"/><Relationship Id="rId56" Type="http://schemas.openxmlformats.org/officeDocument/2006/relationships/hyperlink" Target="https://photos.app.goo.gl/nKa9ugu6J8SyWoR8A" TargetMode="External"/><Relationship Id="rId57" Type="http://schemas.openxmlformats.org/officeDocument/2006/relationships/hyperlink" Target="https://drive.google.com/file/d/1ZrHz-AdJTJhXri4B2k9RsvnwTr0LorG9/view?usp=drive_link" TargetMode="External"/><Relationship Id="rId58" Type="http://schemas.openxmlformats.org/officeDocument/2006/relationships/hyperlink" Target="https://photos.app.goo.gl/DBdLcusoxbd6GqdC7" TargetMode="External"/><Relationship Id="rId59" Type="http://schemas.openxmlformats.org/officeDocument/2006/relationships/hyperlink" Target="https://drive.google.com/file/d/1P3nWImRy-KxZHfn0bXnWfvQrrIPNmOha/view?usp=drive_link" TargetMode="External"/><Relationship Id="rId60" Type="http://schemas.openxmlformats.org/officeDocument/2006/relationships/hyperlink" Target="https://photos.app.goo.gl/wZPE6B4ZKVJE9b2m6" TargetMode="External"/><Relationship Id="rId61" Type="http://schemas.openxmlformats.org/officeDocument/2006/relationships/hyperlink" Target="https://photos.app.goo.gl/SCpcWwZZnghRghSA8" TargetMode="External"/><Relationship Id="rId62" Type="http://schemas.openxmlformats.org/officeDocument/2006/relationships/drawing" Target="../drawings/drawing6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hyperlink" Target="https://photos.app.goo.gl/Mn7SYfssujHoZWFH8" TargetMode="External"/><Relationship Id="rId2" Type="http://schemas.openxmlformats.org/officeDocument/2006/relationships/hyperlink" Target="https://photos.google.com/album/AF1QipNHc8G3YZa2ZCtXZV-urFtZvNbaqwq651ImzO-x" TargetMode="External"/><Relationship Id="rId3" Type="http://schemas.openxmlformats.org/officeDocument/2006/relationships/hyperlink" Target="https://photos.app.goo.gl/t69Afv27DXvn3wri9" TargetMode="External"/><Relationship Id="rId4" Type="http://schemas.openxmlformats.org/officeDocument/2006/relationships/hyperlink" Target="https://photos.app.goo.gl/YM4pQPUd4LXYTz678" TargetMode="External"/><Relationship Id="rId5" Type="http://schemas.openxmlformats.org/officeDocument/2006/relationships/hyperlink" Target="https://drive.google.com/file/d/1zWgpRY84Id1p4KjEe64REQ2G48jWMR2A/view?usp=drive_link" TargetMode="External"/><Relationship Id="rId6" Type="http://schemas.openxmlformats.org/officeDocument/2006/relationships/hyperlink" Target="https://photos.app.goo.gl/w8Doc9JH1CDfVsXj6" TargetMode="External"/><Relationship Id="rId7" Type="http://schemas.openxmlformats.org/officeDocument/2006/relationships/hyperlink" Target="https://photos.app.goo.gl/bM3rNh2eZ4G8H4L48" TargetMode="External"/><Relationship Id="rId8" Type="http://schemas.openxmlformats.org/officeDocument/2006/relationships/hyperlink" Target="https://photos.app.goo.gl/PEw95tdr9tfi3vyN9" TargetMode="External"/><Relationship Id="rId9" Type="http://schemas.openxmlformats.org/officeDocument/2006/relationships/hyperlink" Target="https://photos.app.goo.gl/9EcrRzAoSACPzTpGA" TargetMode="External"/><Relationship Id="rId10" Type="http://schemas.openxmlformats.org/officeDocument/2006/relationships/hyperlink" Target="https://photos.app.goo.gl/FvqaKovYxMFW2MpX8" TargetMode="External"/><Relationship Id="rId11" Type="http://schemas.openxmlformats.org/officeDocument/2006/relationships/hyperlink" Target="https://photos.app.goo.gl/F8yKceDf2tQkChL78" TargetMode="External"/><Relationship Id="rId12" Type="http://schemas.openxmlformats.org/officeDocument/2006/relationships/hyperlink" Target="https://photos.app.goo.gl/F8yKceDf2tQkChL78" TargetMode="External"/><Relationship Id="rId13" Type="http://schemas.openxmlformats.org/officeDocument/2006/relationships/hyperlink" Target="https://photos.app.goo.gl/g8tGy3xXFDpGDuiU8" TargetMode="External"/><Relationship Id="rId14" Type="http://schemas.openxmlformats.org/officeDocument/2006/relationships/hyperlink" Target="https://photos.app.goo.gl/1arq7s5xNLyJHaNk8" TargetMode="External"/><Relationship Id="rId15" Type="http://schemas.openxmlformats.org/officeDocument/2006/relationships/hyperlink" Target="https://photos.app.goo.gl/74oLyZSAbmEpf2Ux5" TargetMode="External"/><Relationship Id="rId16" Type="http://schemas.openxmlformats.org/officeDocument/2006/relationships/hyperlink" Target="https://photos.app.goo.gl/AUnYxSFYk6ELhjQq9" TargetMode="External"/><Relationship Id="rId17" Type="http://schemas.openxmlformats.org/officeDocument/2006/relationships/hyperlink" Target="https://drive.google.com/file/d/1zRTpSh4hXSxavxM0QV1VsCQctYD_808R/view?usp=drive_link" TargetMode="External"/><Relationship Id="rId18" Type="http://schemas.openxmlformats.org/officeDocument/2006/relationships/hyperlink" Target="https://photos.app.goo.gl/Hs57SxMrRf4mw1DP9" TargetMode="External"/><Relationship Id="rId19" Type="http://schemas.openxmlformats.org/officeDocument/2006/relationships/hyperlink" Target="https://drive.google.com/file/d/1ybO3NvJwEjxu3OzGgPrwy6FZ9K8YYGKG/view?usp=drive_link" TargetMode="External"/><Relationship Id="rId20" Type="http://schemas.openxmlformats.org/officeDocument/2006/relationships/hyperlink" Target="https://photos.app.goo.gl/kbeUD6zcPiCYFiop6" TargetMode="External"/><Relationship Id="rId21" Type="http://schemas.openxmlformats.org/officeDocument/2006/relationships/hyperlink" Target="https://photos.app.goo.gl/SeEgYKQKXmqhRMASA" TargetMode="External"/><Relationship Id="rId22" Type="http://schemas.openxmlformats.org/officeDocument/2006/relationships/hyperlink" Target="https://drive.google.com/file/d/13BAIaxDYQ80Wi1wXx6yXqjpAk0C30pRv/view?usp=drive_link" TargetMode="External"/><Relationship Id="rId23" Type="http://schemas.openxmlformats.org/officeDocument/2006/relationships/hyperlink" Target="https://photos.app.goo.gl/bApZamy3pneLAWtz5" TargetMode="External"/><Relationship Id="rId24" Type="http://schemas.openxmlformats.org/officeDocument/2006/relationships/hyperlink" Target="https://photos.app.goo.gl/W3qLEu9mbYW1VX5p8" TargetMode="External"/><Relationship Id="rId25" Type="http://schemas.openxmlformats.org/officeDocument/2006/relationships/hyperlink" Target="https://photos.app.goo.gl/CmC5RWgTugUZjfy36" TargetMode="External"/><Relationship Id="rId26" Type="http://schemas.openxmlformats.org/officeDocument/2006/relationships/hyperlink" Target="https://drive.google.com/file/d/10NGIN8mdebL3cPLguU-u2bxwWS6r2kZX/view?usp=drive_link" TargetMode="External"/><Relationship Id="rId27" Type="http://schemas.openxmlformats.org/officeDocument/2006/relationships/hyperlink" Target="https://photos.app.goo.gl/CmC5RWgTugUZjfy36" TargetMode="External"/><Relationship Id="rId28" Type="http://schemas.openxmlformats.org/officeDocument/2006/relationships/hyperlink" Target="https://photos.app.goo.gl/41vByuHUZ5ecaV1f9" TargetMode="External"/><Relationship Id="rId29" Type="http://schemas.openxmlformats.org/officeDocument/2006/relationships/hyperlink" Target="https://drive.google.com/file/d/10pzA7d3gKrwH8EglZ0_fPqFF9usuQNEd/view?usp=drive_link" TargetMode="External"/><Relationship Id="rId30" Type="http://schemas.openxmlformats.org/officeDocument/2006/relationships/hyperlink" Target="https://photos.app.goo.gl/hUhGAmGfoUD7XwTC6" TargetMode="External"/><Relationship Id="rId31" Type="http://schemas.openxmlformats.org/officeDocument/2006/relationships/hyperlink" Target="https://photos.app.goo.gl/3Ar4r86b79jUpjqL9" TargetMode="External"/><Relationship Id="rId32" Type="http://schemas.openxmlformats.org/officeDocument/2006/relationships/hyperlink" Target="https://photos.app.goo.gl/CYqVCndiHu8hxJzt6" TargetMode="External"/><Relationship Id="rId33" Type="http://schemas.openxmlformats.org/officeDocument/2006/relationships/hyperlink" Target="https://drive.google.com/file/d/18CIm-fg9x4JrzXQJapeXcAM5tqH1bdx0/view?usp=drive_link" TargetMode="External"/><Relationship Id="rId34" Type="http://schemas.openxmlformats.org/officeDocument/2006/relationships/hyperlink" Target="https://photos.app.goo.gl/CYqVCndiHu8hxJzt6" TargetMode="External"/><Relationship Id="rId35" Type="http://schemas.openxmlformats.org/officeDocument/2006/relationships/hyperlink" Target="https://photos.app.goo.gl/cqfY2mNbwrmndb8N7" TargetMode="External"/><Relationship Id="rId36" Type="http://schemas.openxmlformats.org/officeDocument/2006/relationships/hyperlink" Target="https://photos.app.goo.gl/vXESxxdtSYNJNHWJ7" TargetMode="External"/><Relationship Id="rId37" Type="http://schemas.openxmlformats.org/officeDocument/2006/relationships/hyperlink" Target="https://drive.google.com/file/d/11F6KwXIUCUrY_mI7cbL3MRTtQKO6PqHM/view?usp=drive_link" TargetMode="External"/><Relationship Id="rId38" Type="http://schemas.openxmlformats.org/officeDocument/2006/relationships/hyperlink" Target="https://photos.app.goo.gl/vXESxxdtSYNJNHWJ7" TargetMode="External"/><Relationship Id="rId39" Type="http://schemas.openxmlformats.org/officeDocument/2006/relationships/hyperlink" Target="https://photos.app.goo.gl/Uva7ERgxL5pZoF6F8" TargetMode="External"/><Relationship Id="rId40" Type="http://schemas.openxmlformats.org/officeDocument/2006/relationships/hyperlink" Target="https://photos.app.goo.gl/vmCGBMnZSY8XE8Ce9" TargetMode="External"/><Relationship Id="rId41" Type="http://schemas.openxmlformats.org/officeDocument/2006/relationships/hyperlink" Target="https://photos.app.goo.gl/Ksj9wHrqaYiwq1M46" TargetMode="External"/><Relationship Id="rId42" Type="http://schemas.openxmlformats.org/officeDocument/2006/relationships/hyperlink" Target="https://photos.app.goo.gl/CHJuEP2KTBaBzZbM6" TargetMode="External"/><Relationship Id="rId43" Type="http://schemas.openxmlformats.org/officeDocument/2006/relationships/hyperlink" Target="https://photos.app.goo.gl/pHFgxzLy8QoF9GXA6" TargetMode="External"/><Relationship Id="rId44" Type="http://schemas.openxmlformats.org/officeDocument/2006/relationships/hyperlink" Target="https://photos.app.goo.gl/PxrUJmg95Babn34NA" TargetMode="External"/><Relationship Id="rId45" Type="http://schemas.openxmlformats.org/officeDocument/2006/relationships/hyperlink" Target="https://photos.app.goo.gl/rBtiZuqAnBsWXqi4A" TargetMode="External"/><Relationship Id="rId46" Type="http://schemas.openxmlformats.org/officeDocument/2006/relationships/hyperlink" Target="https://drive.google.com/file/d/1GLIDjCFAwanjnZcJO5yP9yEaI2FqBggh/view?usp=drive_link" TargetMode="External"/><Relationship Id="rId47" Type="http://schemas.openxmlformats.org/officeDocument/2006/relationships/hyperlink" Target="https://photos.app.goo.gl/TQLLUgTAot7UPZde9" TargetMode="External"/><Relationship Id="rId48" Type="http://schemas.openxmlformats.org/officeDocument/2006/relationships/hyperlink" Target="https://photos.app.goo.gl/XYsMA2YvsNeRJDKb6" TargetMode="External"/><Relationship Id="rId49" Type="http://schemas.openxmlformats.org/officeDocument/2006/relationships/hyperlink" Target="https://photos.app.goo.gl/Y9ikx4Mzs2LwcuKy9" TargetMode="External"/><Relationship Id="rId50" Type="http://schemas.openxmlformats.org/officeDocument/2006/relationships/hyperlink" Target="https://photos.app.goo.gl/WchvFVhybGXjz1g97" TargetMode="External"/><Relationship Id="rId51" Type="http://schemas.openxmlformats.org/officeDocument/2006/relationships/hyperlink" Target="https://drive.google.com/file/d/11u58XvA2906n3W7-r59Bw9FyWjyW1CjO/view?usp=drive_link" TargetMode="External"/><Relationship Id="rId52" Type="http://schemas.openxmlformats.org/officeDocument/2006/relationships/hyperlink" Target="https://photos.app.goo.gl/FXT6rQJxKG898hGt6" TargetMode="External"/><Relationship Id="rId53" Type="http://schemas.openxmlformats.org/officeDocument/2006/relationships/hyperlink" Target="https://photos.app.goo.gl/X64QzBCAtukXnq1a8" TargetMode="External"/><Relationship Id="rId54" Type="http://schemas.openxmlformats.org/officeDocument/2006/relationships/hyperlink" Target="https://photos.app.goo.gl/BQAmKop8zaKDeJUm8" TargetMode="External"/><Relationship Id="rId55" Type="http://schemas.openxmlformats.org/officeDocument/2006/relationships/hyperlink" Target="https://drive.google.com/drive/folders/12DilKDPRjqNtlai95EmKpj23NGMyG0lE?usp=drive_link" TargetMode="External"/><Relationship Id="rId56" Type="http://schemas.openxmlformats.org/officeDocument/2006/relationships/hyperlink" Target="https://photos.app.goo.gl/wbiZ88sXL1dSvuq89" TargetMode="External"/><Relationship Id="rId57" Type="http://schemas.openxmlformats.org/officeDocument/2006/relationships/hyperlink" Target="https://photos.app.goo.gl/X64QzBCAtukXnq1a8" TargetMode="External"/><Relationship Id="rId58" Type="http://schemas.openxmlformats.org/officeDocument/2006/relationships/hyperlink" Target="https://photos.app.goo.gl/K2pSAQCrA5hFw1SV7" TargetMode="External"/><Relationship Id="rId59" Type="http://schemas.openxmlformats.org/officeDocument/2006/relationships/hyperlink" Target="https://photos.app.goo.gl/TagZzkZwo35ECRJU9" TargetMode="External"/><Relationship Id="rId60" Type="http://schemas.openxmlformats.org/officeDocument/2006/relationships/hyperlink" Target="https://photos.app.goo.gl/zKXLwWYbZ3EeaGVL8" TargetMode="External"/><Relationship Id="rId61" Type="http://schemas.openxmlformats.org/officeDocument/2006/relationships/hyperlink" Target="https://photos.app.goo.gl/PCKMVswftudjnNXq9" TargetMode="External"/><Relationship Id="rId62" Type="http://schemas.openxmlformats.org/officeDocument/2006/relationships/hyperlink" Target="https://photos.app.goo.gl/YbaCF9KCt8T4JxuY8" TargetMode="External"/><Relationship Id="rId63" Type="http://schemas.openxmlformats.org/officeDocument/2006/relationships/hyperlink" Target="https://photos.app.goo.gl/BKkDmeRHmorZxq1S7" TargetMode="External"/><Relationship Id="rId64" Type="http://schemas.openxmlformats.org/officeDocument/2006/relationships/hyperlink" Target="https://drive.google.com/file/d/15lGU0vmjp_dihudlV46hJY9EYnWOHbZv/view?usp=drive_link" TargetMode="External"/><Relationship Id="rId65" Type="http://schemas.openxmlformats.org/officeDocument/2006/relationships/hyperlink" Target="https://photos.app.goo.gl/BKkDmeRHmorZxq1S7" TargetMode="External"/><Relationship Id="rId66" Type="http://schemas.openxmlformats.org/officeDocument/2006/relationships/hyperlink" Target="https://photos.app.goo.gl/cYsJJc9iBQ68kmVe8" TargetMode="External"/><Relationship Id="rId67" Type="http://schemas.openxmlformats.org/officeDocument/2006/relationships/hyperlink" Target="https://drive.google.com/file/d/1ok9mp9d8uEmbHqzxgVS2FFImxzMBKejC/view?usp=drive_link" TargetMode="External"/><Relationship Id="rId68" Type="http://schemas.openxmlformats.org/officeDocument/2006/relationships/hyperlink" Target="https://photos.app.goo.gl/iCLUUnL8KhmNXG6U7" TargetMode="External"/><Relationship Id="rId69" Type="http://schemas.openxmlformats.org/officeDocument/2006/relationships/hyperlink" Target="https://photos.app.goo.gl/sm4Q42iKFjvV6bGT6" TargetMode="External"/><Relationship Id="rId70" Type="http://schemas.openxmlformats.org/officeDocument/2006/relationships/hyperlink" Target="https://photos.app.goo.gl/aeVpej1RSu1wu1G78" TargetMode="External"/><Relationship Id="rId71" Type="http://schemas.openxmlformats.org/officeDocument/2006/relationships/hyperlink" Target="https://photos.app.goo.gl/YmJ9BbC4LpNAhapC8" TargetMode="External"/><Relationship Id="rId72" Type="http://schemas.openxmlformats.org/officeDocument/2006/relationships/hyperlink" Target="https://photos.app.goo.gl/9jqrHxjzcoFsk5kR8" TargetMode="External"/><Relationship Id="rId73" Type="http://schemas.openxmlformats.org/officeDocument/2006/relationships/hyperlink" Target="https://photos.app.goo.gl/r6RC1MpnCkfB91ea9" TargetMode="External"/><Relationship Id="rId74" Type="http://schemas.openxmlformats.org/officeDocument/2006/relationships/hyperlink" Target="https://photos.app.goo.gl/Sma2xguCP7AJE3DA7" TargetMode="External"/><Relationship Id="rId75" Type="http://schemas.openxmlformats.org/officeDocument/2006/relationships/hyperlink" Target="https://photos.app.goo.gl/wC8GYJ5wmCXDUpUu6" TargetMode="External"/><Relationship Id="rId76" Type="http://schemas.openxmlformats.org/officeDocument/2006/relationships/hyperlink" Target="https://drive.google.com/file/d/16R7PV0P7hqbbUpp4rR5JHusTs-W_CGFU/view?usp=drive_link" TargetMode="External"/><Relationship Id="rId77" Type="http://schemas.openxmlformats.org/officeDocument/2006/relationships/hyperlink" Target="https://photos.app.goo.gl/f5ULyB1YELn19BK77" TargetMode="External"/><Relationship Id="rId78" Type="http://schemas.openxmlformats.org/officeDocument/2006/relationships/hyperlink" Target="https://photos.app.goo.gl/TCNvDmqRPPjxMn6D7" TargetMode="External"/><Relationship Id="rId79" Type="http://schemas.openxmlformats.org/officeDocument/2006/relationships/hyperlink" Target="https://photos.app.goo.gl/bbQJkyEBbvN1sXvMA" TargetMode="External"/><Relationship Id="rId80" Type="http://schemas.openxmlformats.org/officeDocument/2006/relationships/hyperlink" Target="https://drive.google.com/file/d/16VCtQC48gVYVHla13zKlZTtq7SDhl8d_/view?usp=drive_link" TargetMode="External"/><Relationship Id="rId81" Type="http://schemas.openxmlformats.org/officeDocument/2006/relationships/hyperlink" Target="https://photos.app.goo.gl/xbY3n59mgwYECnAQ6" TargetMode="External"/><Relationship Id="rId82" Type="http://schemas.openxmlformats.org/officeDocument/2006/relationships/hyperlink" Target="https://photos.app.goo.gl/dnZEoQy48xfuSaWX8" TargetMode="External"/><Relationship Id="rId83" Type="http://schemas.openxmlformats.org/officeDocument/2006/relationships/hyperlink" Target="https://photos.google.com/album/AF1QipNoigJcB9w7l4zGYny_8BoFeAN32UBVElM8Z8Fk" TargetMode="External"/><Relationship Id="rId84" Type="http://schemas.openxmlformats.org/officeDocument/2006/relationships/hyperlink" Target="https://drive.google.com/file/d/16ij7EggftnNpbKdjV1xAf7k9r6BGGPTF/view?usp=drive_link" TargetMode="External"/><Relationship Id="rId85" Type="http://schemas.openxmlformats.org/officeDocument/2006/relationships/hyperlink" Target="https://photos.app.goo.gl/ZetMdD1v7pL9uydk9" TargetMode="External"/><Relationship Id="rId86" Type="http://schemas.openxmlformats.org/officeDocument/2006/relationships/hyperlink" Target="https://photos.app.goo.gl/3fCqwVHL2rj6mb9z7" TargetMode="External"/><Relationship Id="rId87" Type="http://schemas.openxmlformats.org/officeDocument/2006/relationships/drawing" Target="../drawings/drawing7.x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hyperlink" Target="https://photos.app.goo.gl/5BkxFauWfHGADx379" TargetMode="External"/><Relationship Id="rId2" Type="http://schemas.openxmlformats.org/officeDocument/2006/relationships/hyperlink" Target="https://drive.google.com/file/d/1oDdIRKSgdTJelaUM0hZZ1NCJgQp-LU9S/view?usp=drive_link" TargetMode="External"/><Relationship Id="rId3" Type="http://schemas.openxmlformats.org/officeDocument/2006/relationships/hyperlink" Target="https://photos.app.goo.gl/LcpcZWzhPYrj96iF7" TargetMode="External"/><Relationship Id="rId4" Type="http://schemas.openxmlformats.org/officeDocument/2006/relationships/hyperlink" Target="https://photos.app.goo.gl/KaUXxFdDbyP2nBcJ8" TargetMode="External"/><Relationship Id="rId5" Type="http://schemas.openxmlformats.org/officeDocument/2006/relationships/hyperlink" Target="https://photos.app.goo.gl/MPiY3X1BUJkcMShW7" TargetMode="External"/><Relationship Id="rId6" Type="http://schemas.openxmlformats.org/officeDocument/2006/relationships/hyperlink" Target="https://drive.google.com/file/d/1nvWTk7GR7jIpVNudeSH4YeukBYJKH82H/view?usp=drive_link" TargetMode="External"/><Relationship Id="rId7" Type="http://schemas.openxmlformats.org/officeDocument/2006/relationships/hyperlink" Target="https://photos.app.goo.gl/CZHd1tJCx9uP1N7f6" TargetMode="External"/><Relationship Id="rId8" Type="http://schemas.openxmlformats.org/officeDocument/2006/relationships/hyperlink" Target="https://photos.app.goo.gl/S4yLyc8YYvXjNijc9" TargetMode="External"/><Relationship Id="rId9" Type="http://schemas.openxmlformats.org/officeDocument/2006/relationships/hyperlink" Target="https://drive.google.com/file/d/1ozFNwvZl4R39JmKu8Z30GzBzWYj5xx9f/view?usp=drive_link" TargetMode="External"/><Relationship Id="rId10" Type="http://schemas.openxmlformats.org/officeDocument/2006/relationships/hyperlink" Target="https://photos.app.goo.gl/x8PFuFanGE6ntS9D9" TargetMode="External"/><Relationship Id="rId11" Type="http://schemas.openxmlformats.org/officeDocument/2006/relationships/hyperlink" Target="https://photos.app.goo.gl/Tm8mXJL39WzncBtc7" TargetMode="External"/><Relationship Id="rId12" Type="http://schemas.openxmlformats.org/officeDocument/2006/relationships/hyperlink" Target="https://drive.google.com/file/d/1pinH7UYowjdSmvMXTTUkcrN37q7PLlF-/view?usp=drive_link" TargetMode="External"/><Relationship Id="rId13" Type="http://schemas.openxmlformats.org/officeDocument/2006/relationships/hyperlink" Target="https://photos.app.goo.gl/aXaaMxtNk2CK2dCs7" TargetMode="External"/><Relationship Id="rId14" Type="http://schemas.openxmlformats.org/officeDocument/2006/relationships/hyperlink" Target="https://photos.app.goo.gl/YyBxA8X9kBnBEJor6" TargetMode="External"/><Relationship Id="rId15" Type="http://schemas.openxmlformats.org/officeDocument/2006/relationships/hyperlink" Target="https://photos.app.goo.gl/U8xeykPAmin7ZQ8M6" TargetMode="External"/><Relationship Id="rId16" Type="http://schemas.openxmlformats.org/officeDocument/2006/relationships/hyperlink" Target="https://photos.app.goo.gl/h6YVUXNxcny1JVye6" TargetMode="External"/><Relationship Id="rId17" Type="http://schemas.openxmlformats.org/officeDocument/2006/relationships/hyperlink" Target="https://photos.app.goo.gl/mP5byXd7LnCZfJkA7" TargetMode="External"/><Relationship Id="rId18" Type="http://schemas.openxmlformats.org/officeDocument/2006/relationships/hyperlink" Target="https://photos.app.goo.gl/r46KJaJij9xxG25A9" TargetMode="External"/><Relationship Id="rId19" Type="http://schemas.openxmlformats.org/officeDocument/2006/relationships/hyperlink" Target="https://photos.app.goo.gl/SJSGJX1VVLQB43TJ9" TargetMode="External"/><Relationship Id="rId20" Type="http://schemas.openxmlformats.org/officeDocument/2006/relationships/hyperlink" Target="https://photos.app.goo.gl/Hydq9vv7Qe9PCQAF8" TargetMode="External"/><Relationship Id="rId21" Type="http://schemas.openxmlformats.org/officeDocument/2006/relationships/hyperlink" Target="https://photos.app.goo.gl/Fi3tFzYu3MRLhMyV9" TargetMode="External"/><Relationship Id="rId22" Type="http://schemas.openxmlformats.org/officeDocument/2006/relationships/hyperlink" Target="https://photos.app.goo.gl/hU9nZBao3DzKzEp59" TargetMode="External"/><Relationship Id="rId23" Type="http://schemas.openxmlformats.org/officeDocument/2006/relationships/hyperlink" Target="https://photos.app.goo.gl/Lrp2e6MUUXL1t1BG9" TargetMode="External"/><Relationship Id="rId24" Type="http://schemas.openxmlformats.org/officeDocument/2006/relationships/hyperlink" Target="https://photos.app.goo.gl/9nrpqVMNrF9NDhK37" TargetMode="External"/><Relationship Id="rId25" Type="http://schemas.openxmlformats.org/officeDocument/2006/relationships/hyperlink" Target="https://drive.google.com/file/d/1ru1iqJCnGR9y0FsAq5nU34mLvRwcDg1b/view?usp=drive_link" TargetMode="External"/><Relationship Id="rId26" Type="http://schemas.openxmlformats.org/officeDocument/2006/relationships/hyperlink" Target="https://photos.app.goo.gl/QecfcjdVJXeXCRvZ6" TargetMode="External"/><Relationship Id="rId27" Type="http://schemas.openxmlformats.org/officeDocument/2006/relationships/hyperlink" Target="https://photos.app.goo.gl/XFEAE1oZvxcz19vR8" TargetMode="External"/><Relationship Id="rId28" Type="http://schemas.openxmlformats.org/officeDocument/2006/relationships/hyperlink" Target="https://photos.app.goo.gl/L2avkVVgFm9UYFcN7" TargetMode="External"/><Relationship Id="rId29" Type="http://schemas.openxmlformats.org/officeDocument/2006/relationships/hyperlink" Target="https://drive.google.com/file/d/1tQbMV6t7PM3sjKlnevz8LtTy4wwRrT60/view?usp=sharing" TargetMode="External"/><Relationship Id="rId30" Type="http://schemas.openxmlformats.org/officeDocument/2006/relationships/hyperlink" Target="https://photos.app.goo.gl/6ddm1jJUrbLgomS26" TargetMode="External"/><Relationship Id="rId31" Type="http://schemas.openxmlformats.org/officeDocument/2006/relationships/hyperlink" Target="https://photos.app.goo.gl/AmYayE74MMUhFy8n6" TargetMode="External"/><Relationship Id="rId32" Type="http://schemas.openxmlformats.org/officeDocument/2006/relationships/hyperlink" Target="https://drive.google.com/file/d/1uSw6D1XitCX92aG1B21CCMo_X8kTiUxu/view?usp=drive_link" TargetMode="External"/><Relationship Id="rId33" Type="http://schemas.openxmlformats.org/officeDocument/2006/relationships/hyperlink" Target="https://photos.app.goo.gl/C2KTZz2MxzELakzh7" TargetMode="External"/><Relationship Id="rId34" Type="http://schemas.openxmlformats.org/officeDocument/2006/relationships/hyperlink" Target="https://photos.app.goo.gl/BasSKz4vKAjLcVBS9" TargetMode="External"/><Relationship Id="rId35" Type="http://schemas.openxmlformats.org/officeDocument/2006/relationships/hyperlink" Target="https://drive.google.com/file/d/1ua_gQ-ZvdYq6wXJ4zHvRJamRaUWGsEUX/view?usp=drive_link" TargetMode="External"/><Relationship Id="rId36" Type="http://schemas.openxmlformats.org/officeDocument/2006/relationships/hyperlink" Target="https://photos.app.goo.gl/TdAJL2MQtP1FbtuGA" TargetMode="External"/><Relationship Id="rId37" Type="http://schemas.openxmlformats.org/officeDocument/2006/relationships/hyperlink" Target="https://photos.app.goo.gl/pygqaunYpm54ZXeLA" TargetMode="External"/><Relationship Id="rId38" Type="http://schemas.openxmlformats.org/officeDocument/2006/relationships/hyperlink" Target="https://drive.google.com/file/d/1ux0x_6sM2YNu5oo4M983Ps2S8ss0biXx/view?usp=drive_link" TargetMode="External"/><Relationship Id="rId39" Type="http://schemas.openxmlformats.org/officeDocument/2006/relationships/hyperlink" Target="https://photos.app.goo.gl/zpAMcqATqRbvJPjG6" TargetMode="External"/><Relationship Id="rId40" Type="http://schemas.openxmlformats.org/officeDocument/2006/relationships/hyperlink" Target="https://photos.app.goo.gl/3VEeuH3BJYohDZ1M6" TargetMode="External"/><Relationship Id="rId41" Type="http://schemas.openxmlformats.org/officeDocument/2006/relationships/hyperlink" Target="https://photos.app.goo.gl/AhsiMF4NLaDkAqRZA" TargetMode="External"/><Relationship Id="rId42" Type="http://schemas.openxmlformats.org/officeDocument/2006/relationships/hyperlink" Target="https://photos.app.goo.gl/DzoJaeF4iFjEjQJR9" TargetMode="External"/><Relationship Id="rId43" Type="http://schemas.openxmlformats.org/officeDocument/2006/relationships/hyperlink" Target="https://photos.app.goo.gl/c8MUhotydgpYNw1g6" TargetMode="External"/><Relationship Id="rId44" Type="http://schemas.openxmlformats.org/officeDocument/2006/relationships/hyperlink" Target="https://photos.app.goo.gl/KaJ5p1M9iQ72QiYNA" TargetMode="External"/><Relationship Id="rId45" Type="http://schemas.openxmlformats.org/officeDocument/2006/relationships/hyperlink" Target="https://drive.google.com/file/d/1x73oX8QVVWqD8EmG-CK1tpvg2eaJt97p/view?usp=drive_link" TargetMode="External"/><Relationship Id="rId46" Type="http://schemas.openxmlformats.org/officeDocument/2006/relationships/hyperlink" Target="https://photos.app.goo.gl/siC5GhDvcrKCfp359" TargetMode="External"/><Relationship Id="rId47" Type="http://schemas.openxmlformats.org/officeDocument/2006/relationships/hyperlink" Target="https://photos.app.goo.gl/QKi23f6H7TH16vedA" TargetMode="External"/><Relationship Id="rId48" Type="http://schemas.openxmlformats.org/officeDocument/2006/relationships/hyperlink" Target="https://drive.google.com/file/d/1ywaosG9yQ9EquCjuHa55yDNlHeUUeFYS/view?usp=drive_link" TargetMode="External"/><Relationship Id="rId49" Type="http://schemas.openxmlformats.org/officeDocument/2006/relationships/hyperlink" Target="https://photos.app.goo.gl/QKi23f6H7TH16vedA" TargetMode="External"/><Relationship Id="rId50" Type="http://schemas.openxmlformats.org/officeDocument/2006/relationships/hyperlink" Target="https://photos.google.com/share/AF1QipPQEZXko6iCz4D-weY3hTMBuguF2VN6nwTbCBlJ3KiPv7Y6e9gl_qbpMcRO-y6W-w?key=WmN0aFpsbmpkZFp3ai1NMFpOMVBSRVZoZzhBOENB" TargetMode="External"/><Relationship Id="rId51" Type="http://schemas.openxmlformats.org/officeDocument/2006/relationships/hyperlink" Target="https://drive.google.com/file/d/1zKj6uUDQk2wbdozBF9YjgfcWawKzFkO_/view?usp=drive_link" TargetMode="External"/><Relationship Id="rId52" Type="http://schemas.openxmlformats.org/officeDocument/2006/relationships/hyperlink" Target="https://photos.app.goo.gl/CxYK2VaYo8V7U5q59" TargetMode="External"/><Relationship Id="rId53" Type="http://schemas.openxmlformats.org/officeDocument/2006/relationships/hyperlink" Target="https://drive.google.com/file/d/1zKj6uUDQk2wbdozBF9YjgfcWawKzFkO_/view?usp=drive_link" TargetMode="External"/><Relationship Id="rId54" Type="http://schemas.openxmlformats.org/officeDocument/2006/relationships/hyperlink" Target="https://photos.app.goo.gl/NtD8XA25zvNnuke88" TargetMode="External"/><Relationship Id="rId55" Type="http://schemas.openxmlformats.org/officeDocument/2006/relationships/hyperlink" Target="https://drive.google.com/file/d/1yGwrW2b87N8V72Jo4tNfWpHgBEwfst89/view?usp=drive_link" TargetMode="External"/><Relationship Id="rId56" Type="http://schemas.openxmlformats.org/officeDocument/2006/relationships/hyperlink" Target="https://photos.app.goo.gl/QhqMeSg6EZSrEA1g7" TargetMode="External"/><Relationship Id="rId57" Type="http://schemas.openxmlformats.org/officeDocument/2006/relationships/hyperlink" Target="https://drive.google.com/file/d/1yGwrW2b87N8V72Jo4tNfWpHgBEwfst89/view?usp=drive_link" TargetMode="External"/><Relationship Id="rId58" Type="http://schemas.openxmlformats.org/officeDocument/2006/relationships/hyperlink" Target="https://photos.app.goo.gl/s7Aw6SNJqAQoe7rcA" TargetMode="External"/><Relationship Id="rId59" Type="http://schemas.openxmlformats.org/officeDocument/2006/relationships/hyperlink" Target="https://photos.app.goo.gl/B38ApfqDBbzyAzVg9" TargetMode="External"/><Relationship Id="rId60" Type="http://schemas.openxmlformats.org/officeDocument/2006/relationships/hyperlink" Target="https://photos.app.goo.gl/3whJstEXccRD4Dx98" TargetMode="External"/><Relationship Id="rId61" Type="http://schemas.openxmlformats.org/officeDocument/2006/relationships/hyperlink" Target="https://drive.google.com/file/d/1zcBZPe9JmouNKC_xB3oklvQpt80uWsT1/view?usp=drive_link" TargetMode="External"/><Relationship Id="rId62" Type="http://schemas.openxmlformats.org/officeDocument/2006/relationships/hyperlink" Target="https://photos.app.goo.gl/4TPti47sZzrHw1996" TargetMode="External"/><Relationship Id="rId63" Type="http://schemas.openxmlformats.org/officeDocument/2006/relationships/hyperlink" Target="https://photos.app.goo.gl/b4gyxvJPQRvfqJ6Z7" TargetMode="External"/><Relationship Id="rId64" Type="http://schemas.openxmlformats.org/officeDocument/2006/relationships/hyperlink" Target="https://photos.app.goo.gl/iNf9tLeSd7YG7N1h9" TargetMode="External"/><Relationship Id="rId65" Type="http://schemas.openxmlformats.org/officeDocument/2006/relationships/hyperlink" Target="https://drive.google.com/file/d/1zj5XUmx9RcJ1YtM0cybkupPFtpeFS2dK/view?usp=drive_link" TargetMode="External"/><Relationship Id="rId66" Type="http://schemas.openxmlformats.org/officeDocument/2006/relationships/hyperlink" Target="https://photos.app.goo.gl/VmqZn3i2e4KpBMYy6" TargetMode="External"/><Relationship Id="rId67" Type="http://schemas.openxmlformats.org/officeDocument/2006/relationships/hyperlink" Target="https://photos.app.goo.gl/ZPypEXhtumodpJs1A" TargetMode="External"/><Relationship Id="rId68" Type="http://schemas.openxmlformats.org/officeDocument/2006/relationships/hyperlink" Target="https://photos.app.goo.gl/p5B56tn2VjC2cvzJ7" TargetMode="External"/><Relationship Id="rId69" Type="http://schemas.openxmlformats.org/officeDocument/2006/relationships/hyperlink" Target="https://photos.app.goo.gl/utaYwxzi2E8oMXeq9" TargetMode="External"/><Relationship Id="rId70" Type="http://schemas.openxmlformats.org/officeDocument/2006/relationships/hyperlink" Target="https://photos.app.goo.gl/P7y5V7FpaooRBetX6" TargetMode="External"/><Relationship Id="rId71" Type="http://schemas.openxmlformats.org/officeDocument/2006/relationships/hyperlink" Target="https://drive.google.com/file/d/1PJwNdaB_0B_VBmGLvah-zelmk_r48uZC/view?usp=drive_link" TargetMode="External"/><Relationship Id="rId72" Type="http://schemas.openxmlformats.org/officeDocument/2006/relationships/hyperlink" Target="https://photos.app.goo.gl/oYVZc1hiFK8nkTSb9" TargetMode="External"/><Relationship Id="rId73" Type="http://schemas.openxmlformats.org/officeDocument/2006/relationships/hyperlink" Target="https://photos.app.goo.gl/swxnCxAATYSRGMPRA" TargetMode="External"/><Relationship Id="rId74" Type="http://schemas.openxmlformats.org/officeDocument/2006/relationships/hyperlink" Target="https://photos.app.goo.gl/5tK9XjK2XpLVvPGU8" TargetMode="External"/><Relationship Id="rId75" Type="http://schemas.openxmlformats.org/officeDocument/2006/relationships/hyperlink" Target="https://photos.app.goo.gl/cx9si3xXhWmBTHou8" TargetMode="External"/><Relationship Id="rId76" Type="http://schemas.openxmlformats.org/officeDocument/2006/relationships/hyperlink" Target="https://photos.app.goo.gl/QGEFBpWqek78fxB29" TargetMode="External"/><Relationship Id="rId77" Type="http://schemas.openxmlformats.org/officeDocument/2006/relationships/hyperlink" Target="https://photos.app.goo.gl/TsUNbLS8EtDoTiWV8" TargetMode="External"/><Relationship Id="rId78" Type="http://schemas.openxmlformats.org/officeDocument/2006/relationships/drawing" Target="../drawings/drawing8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hyperlink" Target="https://photos.app.goo.gl/vYtm7DTkUp5yQQR58" TargetMode="External"/><Relationship Id="rId2" Type="http://schemas.openxmlformats.org/officeDocument/2006/relationships/hyperlink" Target="https://drive.google.com/file/d/1fvLJn2qwmLpRzlQZnL44MwXkUQIdroaJ/view?usp=drive_link" TargetMode="External"/><Relationship Id="rId3" Type="http://schemas.openxmlformats.org/officeDocument/2006/relationships/hyperlink" Target="https://photos.app.goo.gl/yrR9kFEFQ6f776cW6" TargetMode="External"/><Relationship Id="rId4" Type="http://schemas.openxmlformats.org/officeDocument/2006/relationships/hyperlink" Target="https://photos.app.goo.gl/dhwHCv8c5Q2RjxLu5" TargetMode="External"/><Relationship Id="rId5" Type="http://schemas.openxmlformats.org/officeDocument/2006/relationships/hyperlink" Target="https://photos.app.goo.gl/pynsPEojx8eTjGPV6" TargetMode="External"/><Relationship Id="rId6" Type="http://schemas.openxmlformats.org/officeDocument/2006/relationships/hyperlink" Target="https://photos.app.goo.gl/xwcnbH1RUCzsrV157" TargetMode="External"/><Relationship Id="rId7" Type="http://schemas.openxmlformats.org/officeDocument/2006/relationships/hyperlink" Target="https://photos.app.goo.gl/ZszEx8Vby2o6mzdJA" TargetMode="External"/><Relationship Id="rId8" Type="http://schemas.openxmlformats.org/officeDocument/2006/relationships/hyperlink" Target="https://photos.app.goo.gl/pCtHGEGKdcSGZCrD8" TargetMode="External"/><Relationship Id="rId9" Type="http://schemas.openxmlformats.org/officeDocument/2006/relationships/hyperlink" Target="https://photos.app.goo.gl/emCjjEQoNaBcQY47A" TargetMode="External"/><Relationship Id="rId10" Type="http://schemas.openxmlformats.org/officeDocument/2006/relationships/hyperlink" Target="https://drive.google.com/file/d/1jPvAgx3dOxB2x19i5xDWWoP2lkKF7hZq/view?usp=drive_link" TargetMode="External"/><Relationship Id="rId11" Type="http://schemas.openxmlformats.org/officeDocument/2006/relationships/hyperlink" Target="https://photos.app.goo.gl/17efPMzWDBML1JLB9" TargetMode="External"/><Relationship Id="rId12" Type="http://schemas.openxmlformats.org/officeDocument/2006/relationships/hyperlink" Target="https://photos.app.goo.gl/XAH2Yd2gXZT3LjTB8" TargetMode="External"/><Relationship Id="rId13" Type="http://schemas.openxmlformats.org/officeDocument/2006/relationships/hyperlink" Target="https://photos.app.goo.gl/CdmbE55HhbnjyYG39" TargetMode="External"/><Relationship Id="rId14" Type="http://schemas.openxmlformats.org/officeDocument/2006/relationships/hyperlink" Target="https://drive.google.com/file/d/1jzDtsKsNlZ6mfHbNSE8pnVQh06b4Zd3K/view?usp=drive_link" TargetMode="External"/><Relationship Id="rId15" Type="http://schemas.openxmlformats.org/officeDocument/2006/relationships/hyperlink" Target="https://photos.app.goo.gl/1yNCgtDX5dxpPpji8" TargetMode="External"/><Relationship Id="rId16" Type="http://schemas.openxmlformats.org/officeDocument/2006/relationships/hyperlink" Target="https://photos.app.goo.gl/p6NrcjJat3nsnU1M7" TargetMode="External"/><Relationship Id="rId17" Type="http://schemas.openxmlformats.org/officeDocument/2006/relationships/hyperlink" Target="https://photos.app.goo.gl/LaccudaeQhShAbPX9" TargetMode="External"/><Relationship Id="rId18" Type="http://schemas.openxmlformats.org/officeDocument/2006/relationships/hyperlink" Target="https://drive.google.com/file/d/1j33k1hT5sEtyIMhFfA82cyOvgzY0sSFu/view?usp=drive_link" TargetMode="External"/><Relationship Id="rId19" Type="http://schemas.openxmlformats.org/officeDocument/2006/relationships/hyperlink" Target="https://photos.app.goo.gl/cyJk9UzmwzQqtDjf8" TargetMode="External"/><Relationship Id="rId20" Type="http://schemas.openxmlformats.org/officeDocument/2006/relationships/hyperlink" Target="https://photos.app.goo.gl/bKuwv57Vy4ihcV429" TargetMode="External"/><Relationship Id="rId21" Type="http://schemas.openxmlformats.org/officeDocument/2006/relationships/hyperlink" Target="https://photos.app.goo.gl/ktSGVhDJxCjSDkpP6" TargetMode="External"/><Relationship Id="rId22" Type="http://schemas.openxmlformats.org/officeDocument/2006/relationships/hyperlink" Target="https://drive.google.com/file/d/1j7NzqN7KA1pfHbXSvm29hte2J0cfMjak/view?usp=drive_link" TargetMode="External"/><Relationship Id="rId23" Type="http://schemas.openxmlformats.org/officeDocument/2006/relationships/hyperlink" Target="https://photos.app.goo.gl/zZmYHeYtTDTkY2tb6" TargetMode="External"/><Relationship Id="rId24" Type="http://schemas.openxmlformats.org/officeDocument/2006/relationships/hyperlink" Target="https://photos.app.goo.gl/iCj19YrWVtvXBNeP8" TargetMode="External"/><Relationship Id="rId25" Type="http://schemas.openxmlformats.org/officeDocument/2006/relationships/hyperlink" Target="https://photos.app.goo.gl/GAPgqXiidW6Q7wcd9" TargetMode="External"/><Relationship Id="rId26" Type="http://schemas.openxmlformats.org/officeDocument/2006/relationships/hyperlink" Target="https://drive.google.com/file/d/1lFU8RWP9JM3FeZaSP76COfIcybcM80R5/view?usp=drive_link" TargetMode="External"/><Relationship Id="rId27" Type="http://schemas.openxmlformats.org/officeDocument/2006/relationships/hyperlink" Target="https://photos.app.goo.gl/3F6NYxGK4TnBpDTXA" TargetMode="External"/><Relationship Id="rId28" Type="http://schemas.openxmlformats.org/officeDocument/2006/relationships/hyperlink" Target="https://photos.app.goo.gl/RtdLqjoRuBrx2JZKA" TargetMode="External"/><Relationship Id="rId29" Type="http://schemas.openxmlformats.org/officeDocument/2006/relationships/hyperlink" Target="https://photos.app.goo.gl/G1wvBsSdefAUYVen9" TargetMode="External"/><Relationship Id="rId30" Type="http://schemas.openxmlformats.org/officeDocument/2006/relationships/hyperlink" Target="https://drive.google.com/file/d/1lBNYPewwupajJmfNid_JS9T73L8s7qYt/view?usp=drive_link" TargetMode="External"/><Relationship Id="rId31" Type="http://schemas.openxmlformats.org/officeDocument/2006/relationships/hyperlink" Target="https://photos.app.goo.gl/VpLS7KGFVPsYWAkD7" TargetMode="External"/><Relationship Id="rId32" Type="http://schemas.openxmlformats.org/officeDocument/2006/relationships/hyperlink" Target="https://photos.app.goo.gl/F9fki4MUjE7DUz287" TargetMode="External"/><Relationship Id="rId33" Type="http://schemas.openxmlformats.org/officeDocument/2006/relationships/hyperlink" Target="https://photos.app.goo.gl/JSkcPrRMFJJ48ETX7" TargetMode="External"/><Relationship Id="rId34" Type="http://schemas.openxmlformats.org/officeDocument/2006/relationships/hyperlink" Target="https://drive.google.com/file/d/1juHvYfVj_U92DqPyfNmNG_ZumV62Hv6R/view?usp=drive_link" TargetMode="External"/><Relationship Id="rId35" Type="http://schemas.openxmlformats.org/officeDocument/2006/relationships/hyperlink" Target="https://photos.app.goo.gl/JSkcPrRMFJJ48ETX7" TargetMode="External"/><Relationship Id="rId36" Type="http://schemas.openxmlformats.org/officeDocument/2006/relationships/hyperlink" Target="https://photos.app.goo.gl/58NbsgE5QcvEL6Ta9" TargetMode="External"/><Relationship Id="rId37" Type="http://schemas.openxmlformats.org/officeDocument/2006/relationships/hyperlink" Target="https://photos.app.goo.gl/hKZR8PPSW7GZE1eC8" TargetMode="External"/><Relationship Id="rId38" Type="http://schemas.openxmlformats.org/officeDocument/2006/relationships/hyperlink" Target="https://photos.app.goo.gl/Hi4zWh7mQG6UmFkQ8" TargetMode="External"/><Relationship Id="rId39" Type="http://schemas.openxmlformats.org/officeDocument/2006/relationships/hyperlink" Target="https://photos.app.goo.gl/b6F6DK932kZ4vDCV9" TargetMode="External"/><Relationship Id="rId40" Type="http://schemas.openxmlformats.org/officeDocument/2006/relationships/hyperlink" Target="https://photos.app.goo.gl/pVCukAYhgnXowJUr9" TargetMode="External"/><Relationship Id="rId41" Type="http://schemas.openxmlformats.org/officeDocument/2006/relationships/hyperlink" Target="https://photos.app.goo.gl/72CdQtZcB8oFoiA5A" TargetMode="External"/><Relationship Id="rId42" Type="http://schemas.openxmlformats.org/officeDocument/2006/relationships/hyperlink" Target="https://photos.app.goo.gl/H517jz7B2xT6Wwhu7" TargetMode="External"/><Relationship Id="rId43" Type="http://schemas.openxmlformats.org/officeDocument/2006/relationships/hyperlink" Target="https://photos.app.goo.gl/AtnmyURimCRqhd8N9" TargetMode="External"/><Relationship Id="rId44" Type="http://schemas.openxmlformats.org/officeDocument/2006/relationships/hyperlink" Target="https://photos.app.goo.gl/RRwAJXPt4QSNKZiKA" TargetMode="External"/><Relationship Id="rId45" Type="http://schemas.openxmlformats.org/officeDocument/2006/relationships/hyperlink" Target="https://drive.google.com/file/d/1kPkSdgWz9bJnLMImquRzsL6Onj_gN7ey/view?usp=drive_link" TargetMode="External"/><Relationship Id="rId46" Type="http://schemas.openxmlformats.org/officeDocument/2006/relationships/hyperlink" Target="https://photos.app.goo.gl/VzXSt3cEs2hsrvDa8" TargetMode="External"/><Relationship Id="rId47" Type="http://schemas.openxmlformats.org/officeDocument/2006/relationships/hyperlink" Target="https://photos.app.goo.gl/nnhGQoHLFeA19shw9" TargetMode="External"/><Relationship Id="rId48" Type="http://schemas.openxmlformats.org/officeDocument/2006/relationships/hyperlink" Target="https://drive.google.com/file/d/1kTRCGKgelNTIIenEg462hIz4d37OHmoU/view?usp=drive_link" TargetMode="External"/><Relationship Id="rId49" Type="http://schemas.openxmlformats.org/officeDocument/2006/relationships/hyperlink" Target="https://photos.app.goo.gl/pebCWk1Y8Qxs5XWD9" TargetMode="External"/><Relationship Id="rId50" Type="http://schemas.openxmlformats.org/officeDocument/2006/relationships/hyperlink" Target="https://photos.app.goo.gl/6xePZqhJSv8jtTxy7" TargetMode="External"/><Relationship Id="rId51" Type="http://schemas.openxmlformats.org/officeDocument/2006/relationships/hyperlink" Target="https://photos.app.goo.gl/AM64RsshPbF6cHZy6" TargetMode="External"/><Relationship Id="rId52" Type="http://schemas.openxmlformats.org/officeDocument/2006/relationships/hyperlink" Target="https://photos.app.goo.gl/jkXcQgtrJiLEifK99" TargetMode="External"/><Relationship Id="rId53" Type="http://schemas.openxmlformats.org/officeDocument/2006/relationships/hyperlink" Target="https://drive.google.com/file/d/1mhY_ki7tsNsSVsRhPzfGaP7XDylVRzUk/view?usp=drive_link" TargetMode="External"/><Relationship Id="rId54" Type="http://schemas.openxmlformats.org/officeDocument/2006/relationships/hyperlink" Target="https://photos.app.goo.gl/T7Qifs6jC8UCZ6RJ8" TargetMode="External"/><Relationship Id="rId55" Type="http://schemas.openxmlformats.org/officeDocument/2006/relationships/hyperlink" Target="https://photos.app.goo.gl/yPX9cPVgcDYzLPR79" TargetMode="External"/><Relationship Id="rId56" Type="http://schemas.openxmlformats.org/officeDocument/2006/relationships/hyperlink" Target="https://photos.app.goo.gl/xbsiGp9MdafPe7J77" TargetMode="External"/><Relationship Id="rId57" Type="http://schemas.openxmlformats.org/officeDocument/2006/relationships/hyperlink" Target="https://drive.google.com/file/d/1mXCav3uvWd8_e37d0NMh1QsodY-vn7wV/view?usp=drive_link" TargetMode="External"/><Relationship Id="rId58" Type="http://schemas.openxmlformats.org/officeDocument/2006/relationships/hyperlink" Target="https://photos.app.goo.gl/xbsiGp9MdafPe7J77" TargetMode="External"/><Relationship Id="rId59" Type="http://schemas.openxmlformats.org/officeDocument/2006/relationships/hyperlink" Target="https://photos.app.goo.gl/mvf6tAWkscNE6qh8A" TargetMode="External"/><Relationship Id="rId60" Type="http://schemas.openxmlformats.org/officeDocument/2006/relationships/hyperlink" Target="https://drive.google.com/file/d/1mZBh0or-lhmNpkymSKGRNPSHDWkGZwqP/view?usp=drive_link" TargetMode="External"/><Relationship Id="rId61" Type="http://schemas.openxmlformats.org/officeDocument/2006/relationships/hyperlink" Target="https://photos.app.goo.gl/YV8ZoEPiLDURuveA6" TargetMode="External"/><Relationship Id="rId62" Type="http://schemas.openxmlformats.org/officeDocument/2006/relationships/hyperlink" Target="https://photos.app.goo.gl/89iQaJEQ9uJdDvPF8" TargetMode="External"/><Relationship Id="rId63" Type="http://schemas.openxmlformats.org/officeDocument/2006/relationships/hyperlink" Target="https://photos.app.goo.gl/X8Ug5Df8cFSBfWGaA" TargetMode="External"/><Relationship Id="rId64" Type="http://schemas.openxmlformats.org/officeDocument/2006/relationships/hyperlink" Target="https://drive.google.com/file/d/1mmVu0NAn0kTTPo5L7IaN9LuDavSyudrz/view?usp=drive_link" TargetMode="External"/><Relationship Id="rId65" Type="http://schemas.openxmlformats.org/officeDocument/2006/relationships/hyperlink" Target="https://photos.app.goo.gl/fPMYecngbrEBotWm8" TargetMode="External"/><Relationship Id="rId66" Type="http://schemas.openxmlformats.org/officeDocument/2006/relationships/hyperlink" Target="https://photos.app.goo.gl/ggTdtkgGsidD6afXA" TargetMode="External"/><Relationship Id="rId67" Type="http://schemas.openxmlformats.org/officeDocument/2006/relationships/hyperlink" Target="https://photos.app.goo.gl/J4BMvsmRzyrVYR878" TargetMode="External"/><Relationship Id="rId68" Type="http://schemas.openxmlformats.org/officeDocument/2006/relationships/hyperlink" Target="https://drive.google.com/file/d/1o1xvhmHKzHkFuJ1PEvd1hYAhRoQdj-gG/view?usp=drive_link" TargetMode="External"/><Relationship Id="rId69" Type="http://schemas.openxmlformats.org/officeDocument/2006/relationships/hyperlink" Target="https://photos.app.goo.gl/J4BMvsmRzyrVYR878" TargetMode="External"/><Relationship Id="rId70" Type="http://schemas.openxmlformats.org/officeDocument/2006/relationships/hyperlink" Target="https://photos.app.goo.gl/ZEpKxeYBGrT241KG7" TargetMode="External"/><Relationship Id="rId71" Type="http://schemas.openxmlformats.org/officeDocument/2006/relationships/hyperlink" Target="https://photos.app.goo.gl/tLA71vLmEngTYAM58" TargetMode="External"/><Relationship Id="rId72" Type="http://schemas.openxmlformats.org/officeDocument/2006/relationships/hyperlink" Target="https://drive.google.com/file/d/1n9uRuRK2_9ZSfhQ3t8udKzyl5X7ZqB6S/view?usp=drive_link" TargetMode="External"/><Relationship Id="rId73" Type="http://schemas.openxmlformats.org/officeDocument/2006/relationships/hyperlink" Target="https://photos.app.goo.gl/obsuphp8YfzhNqHQ7" TargetMode="External"/><Relationship Id="rId74" Type="http://schemas.openxmlformats.org/officeDocument/2006/relationships/hyperlink" Target="https://photos.app.goo.gl/YDH3DRtXr7hsZYiE9" TargetMode="External"/><Relationship Id="rId75" Type="http://schemas.openxmlformats.org/officeDocument/2006/relationships/hyperlink" Target="https://photos.app.goo.gl/mZeuqHDc7BbNtvoE7" TargetMode="External"/><Relationship Id="rId76" Type="http://schemas.openxmlformats.org/officeDocument/2006/relationships/hyperlink" Target="https://drive.google.com/file/d/1n8LxzkYLDdsgQGEncY1yV5Bza9o17UZH/view?usp=drive_link" TargetMode="External"/><Relationship Id="rId77" Type="http://schemas.openxmlformats.org/officeDocument/2006/relationships/hyperlink" Target="https://photos.app.goo.gl/s2YA1VUVTYvWnMCw5" TargetMode="External"/><Relationship Id="rId78" Type="http://schemas.openxmlformats.org/officeDocument/2006/relationships/hyperlink" Target="https://photos.app.goo.gl/izyRUtG5k3fb9QQw9" TargetMode="External"/><Relationship Id="rId79" Type="http://schemas.openxmlformats.org/officeDocument/2006/relationships/drawing" Target="../drawings/drawing9.xml"/>
</Relationships>
</file>

<file path=xl/worksheets/_rels/sheet11.xml.rels><?xml version="1.0" encoding="UTF-8"?>
<Relationships xmlns="http://schemas.openxmlformats.org/package/2006/relationships"><Relationship Id="rId1" Type="http://schemas.openxmlformats.org/officeDocument/2006/relationships/hyperlink" Target="https://photos.app.goo.gl/Ryfpo7poHJKWRGDE8" TargetMode="External"/><Relationship Id="rId2" Type="http://schemas.openxmlformats.org/officeDocument/2006/relationships/hyperlink" Target="https://photos.app.goo.gl/MWzLwKx4XV6Dr6ve7" TargetMode="External"/><Relationship Id="rId3" Type="http://schemas.openxmlformats.org/officeDocument/2006/relationships/hyperlink" Target="https://photos.app.goo.gl/QJYCuzFX591ATbp9A" TargetMode="External"/><Relationship Id="rId4" Type="http://schemas.openxmlformats.org/officeDocument/2006/relationships/hyperlink" Target="https://photos.app.goo.gl/TfgTPzyZL3WodvRV6" TargetMode="External"/><Relationship Id="rId5" Type="http://schemas.openxmlformats.org/officeDocument/2006/relationships/hyperlink" Target="https://photos.app.goo.gl/C6737yds9x3DidAM6" TargetMode="External"/><Relationship Id="rId6" Type="http://schemas.openxmlformats.org/officeDocument/2006/relationships/hyperlink" Target="https://photos.app.goo.gl/AiyLHiZNZxgYJhfs5" TargetMode="External"/><Relationship Id="rId7" Type="http://schemas.openxmlformats.org/officeDocument/2006/relationships/hyperlink" Target="https://photos.app.goo.gl/PDZa7YudCmnxrpd87" TargetMode="External"/><Relationship Id="rId8" Type="http://schemas.openxmlformats.org/officeDocument/2006/relationships/hyperlink" Target="https://drive.google.com/file/d/1_iqfuSGEXY_GyHvdJHDn6Ahz0fg8kHsN/view?usp=drive_link" TargetMode="External"/><Relationship Id="rId9" Type="http://schemas.openxmlformats.org/officeDocument/2006/relationships/hyperlink" Target="https://photos.app.goo.gl/uo3oHxEM4iXo4L2P9" TargetMode="External"/><Relationship Id="rId10" Type="http://schemas.openxmlformats.org/officeDocument/2006/relationships/hyperlink" Target="https://photos.app.goo.gl/PDZa7YudCmnxrpd87" TargetMode="External"/><Relationship Id="rId11" Type="http://schemas.openxmlformats.org/officeDocument/2006/relationships/hyperlink" Target="https://drive.google.com/file/d/1_jI058lYt2Dfk3wRyC2uagn26LtOIO9x/view?usp=drive_link" TargetMode="External"/><Relationship Id="rId12" Type="http://schemas.openxmlformats.org/officeDocument/2006/relationships/hyperlink" Target="https://photos.app.goo.gl/GGQhunen6Jc2HyiQ6" TargetMode="External"/><Relationship Id="rId13" Type="http://schemas.openxmlformats.org/officeDocument/2006/relationships/hyperlink" Target="https://photos.app.goo.gl/539xdjmpNj3XRbGDA" TargetMode="External"/><Relationship Id="rId14" Type="http://schemas.openxmlformats.org/officeDocument/2006/relationships/hyperlink" Target="https://drive.google.com/file/d/1Z6O3eDaeBtfquiqTn4DOJQ7zgxUNTS3N/view?usp=drive_link" TargetMode="External"/><Relationship Id="rId15" Type="http://schemas.openxmlformats.org/officeDocument/2006/relationships/hyperlink" Target="https://photos.app.goo.gl/Ee4kuj318bLJmDXt9" TargetMode="External"/><Relationship Id="rId16" Type="http://schemas.openxmlformats.org/officeDocument/2006/relationships/hyperlink" Target="https://photos.app.goo.gl/xBEk4mQNWDPjfjgw9" TargetMode="External"/><Relationship Id="rId17" Type="http://schemas.openxmlformats.org/officeDocument/2006/relationships/hyperlink" Target="https://photos.app.goo.gl/fwwpjwBVNFaMaR1q7" TargetMode="External"/><Relationship Id="rId18" Type="http://schemas.openxmlformats.org/officeDocument/2006/relationships/hyperlink" Target="https://drive.google.com/file/d/1s82gVY9SHvsgD21iQwkAlzlVb6-bizr0/view?usp=drive_link" TargetMode="External"/><Relationship Id="rId19" Type="http://schemas.openxmlformats.org/officeDocument/2006/relationships/hyperlink" Target="https://photos.app.goo.gl/QozVBDKDboJrcrak7" TargetMode="External"/><Relationship Id="rId20" Type="http://schemas.openxmlformats.org/officeDocument/2006/relationships/hyperlink" Target="https://photos.app.goo.gl/bpsRHDWJC77oswMV7" TargetMode="External"/><Relationship Id="rId21" Type="http://schemas.openxmlformats.org/officeDocument/2006/relationships/hyperlink" Target="https://drive.google.com/file/d/1HlF_df6wg40M1t9quc7pcirXVzBWM6IJ/view?usp=drive_link" TargetMode="External"/><Relationship Id="rId22" Type="http://schemas.openxmlformats.org/officeDocument/2006/relationships/hyperlink" Target="https://photos.app.goo.gl/uMmPuuSW1HfrmBR46" TargetMode="External"/><Relationship Id="rId23" Type="http://schemas.openxmlformats.org/officeDocument/2006/relationships/hyperlink" Target="https://photos.app.goo.gl/fa5RTXZBH5MngsFH6" TargetMode="External"/><Relationship Id="rId24" Type="http://schemas.openxmlformats.org/officeDocument/2006/relationships/hyperlink" Target="https://photos.app.goo.gl/xtgdd64azSFhz2HC9" TargetMode="External"/><Relationship Id="rId25" Type="http://schemas.openxmlformats.org/officeDocument/2006/relationships/hyperlink" Target="https://photos.app.goo.gl/QfWXkPzB39oxwbECA" TargetMode="External"/><Relationship Id="rId26" Type="http://schemas.openxmlformats.org/officeDocument/2006/relationships/hyperlink" Target="https://photos.app.goo.gl/3U1Ns7i53rhmVRj66" TargetMode="External"/><Relationship Id="rId27" Type="http://schemas.openxmlformats.org/officeDocument/2006/relationships/hyperlink" Target="https://photos.app.goo.gl/SkM668bNv2LtPHv49" TargetMode="External"/><Relationship Id="rId28" Type="http://schemas.openxmlformats.org/officeDocument/2006/relationships/hyperlink" Target="https://drive.google.com/file/d/1aMQnQ2FsETEowtirRZxqdZ64CmvsilVw/view?usp=drive_link" TargetMode="External"/><Relationship Id="rId29" Type="http://schemas.openxmlformats.org/officeDocument/2006/relationships/hyperlink" Target="https://photos.app.goo.gl/6xx2oqjYEcKhwm1aA" TargetMode="External"/><Relationship Id="rId30" Type="http://schemas.openxmlformats.org/officeDocument/2006/relationships/hyperlink" Target="https://photos.app.goo.gl/R6EZ1vwNBTDV6fj98" TargetMode="External"/><Relationship Id="rId31" Type="http://schemas.openxmlformats.org/officeDocument/2006/relationships/hyperlink" Target="https://photos.app.goo.gl/8CDaNwoE5W6gvJno8" TargetMode="External"/><Relationship Id="rId32" Type="http://schemas.openxmlformats.org/officeDocument/2006/relationships/hyperlink" Target="https://drive.google.com/file/d/1a_WbQI8-p5tsGyAPt4STkqSaBVMLVy9T/view?usp=drive_link" TargetMode="External"/><Relationship Id="rId33" Type="http://schemas.openxmlformats.org/officeDocument/2006/relationships/hyperlink" Target="https://photos.app.goo.gl/SfxhjAQ5x4zHXdNL9" TargetMode="External"/><Relationship Id="rId34" Type="http://schemas.openxmlformats.org/officeDocument/2006/relationships/hyperlink" Target="https://photos.app.goo.gl/UkRm6sHJRJTcxfQDA" TargetMode="External"/><Relationship Id="rId35" Type="http://schemas.openxmlformats.org/officeDocument/2006/relationships/hyperlink" Target="https://photos.app.goo.gl/KctWEFyfmAjzEBxj9" TargetMode="External"/><Relationship Id="rId36" Type="http://schemas.openxmlformats.org/officeDocument/2006/relationships/hyperlink" Target="https://drive.google.com/file/d/1aaOov51Pu5rL9j0iJ6u2LJEWLygQ98D2/view?usp=drive_link" TargetMode="External"/><Relationship Id="rId37" Type="http://schemas.openxmlformats.org/officeDocument/2006/relationships/hyperlink" Target="https://photos.app.goo.gl/8oknogzxFYPJgsfW8" TargetMode="External"/><Relationship Id="rId38" Type="http://schemas.openxmlformats.org/officeDocument/2006/relationships/hyperlink" Target="https://photos.app.goo.gl/kWz7ThhxPnZPsMSS7" TargetMode="External"/><Relationship Id="rId39" Type="http://schemas.openxmlformats.org/officeDocument/2006/relationships/hyperlink" Target="https://photos.app.goo.gl/kb1i9xcUbWFuszX78" TargetMode="External"/><Relationship Id="rId40" Type="http://schemas.openxmlformats.org/officeDocument/2006/relationships/hyperlink" Target="https://photos.app.goo.gl/FEiWvGzrgafTntnE7" TargetMode="External"/><Relationship Id="rId41" Type="http://schemas.openxmlformats.org/officeDocument/2006/relationships/hyperlink" Target="https://drive.google.com/file/d/1eitTVIbKUWTwQtCzT7FhX3oXksqct8_c/view?usp=drive_link" TargetMode="External"/><Relationship Id="rId42" Type="http://schemas.openxmlformats.org/officeDocument/2006/relationships/hyperlink" Target="https://photos.app.goo.gl/pymavTJ2HUx8wLA57" TargetMode="External"/><Relationship Id="rId43" Type="http://schemas.openxmlformats.org/officeDocument/2006/relationships/hyperlink" Target="https://photos.app.goo.gl/AynE39jCbaNFb3hH9" TargetMode="External"/><Relationship Id="rId44" Type="http://schemas.openxmlformats.org/officeDocument/2006/relationships/hyperlink" Target="https://drive.google.com/file/d/1eDTXESajf9cLRGogQEuf7yJdM9PHdRQs/view?usp=drive_link" TargetMode="External"/><Relationship Id="rId45" Type="http://schemas.openxmlformats.org/officeDocument/2006/relationships/hyperlink" Target="https://photos.app.goo.gl/4z6ojKmiSx6YP8F48" TargetMode="External"/><Relationship Id="rId46" Type="http://schemas.openxmlformats.org/officeDocument/2006/relationships/hyperlink" Target="https://photos.app.goo.gl/SLwAsT66RRURMjM36" TargetMode="External"/><Relationship Id="rId47" Type="http://schemas.openxmlformats.org/officeDocument/2006/relationships/hyperlink" Target="https://drive.google.com/file/d/1eHg_hYl-oQ2oQrBMeqdCuzfPGse0Jt4I/view?usp=drive_link" TargetMode="External"/><Relationship Id="rId48" Type="http://schemas.openxmlformats.org/officeDocument/2006/relationships/hyperlink" Target="https://photos.app.goo.gl/aqD3depZoi1N9Gpy5" TargetMode="External"/><Relationship Id="rId49" Type="http://schemas.openxmlformats.org/officeDocument/2006/relationships/hyperlink" Target="https://photos.app.goo.gl/D4XL59VFyUR7eaDN8" TargetMode="External"/><Relationship Id="rId50" Type="http://schemas.openxmlformats.org/officeDocument/2006/relationships/hyperlink" Target="https://drive.google.com/file/d/1dhnm5rjVJ3VU79ziGPqGKGRmb2ys38kd/view?usp=drive_link" TargetMode="External"/><Relationship Id="rId51" Type="http://schemas.openxmlformats.org/officeDocument/2006/relationships/hyperlink" Target="https://photos.app.goo.gl/53uhHLsvfsbhcQUH9" TargetMode="External"/><Relationship Id="rId52" Type="http://schemas.openxmlformats.org/officeDocument/2006/relationships/hyperlink" Target="https://photos.app.goo.gl/1crdMni64uVrsJJa6" TargetMode="External"/><Relationship Id="rId53" Type="http://schemas.openxmlformats.org/officeDocument/2006/relationships/hyperlink" Target="https://drive.google.com/file/d/1e4LCZ68WBcZ8G7u7fbikMojMR6KfF2Yd/view?usp=drive_link" TargetMode="External"/><Relationship Id="rId54" Type="http://schemas.openxmlformats.org/officeDocument/2006/relationships/hyperlink" Target="https://photos.app.goo.gl/7DamDiyXMXWw5DQy6" TargetMode="External"/><Relationship Id="rId55" Type="http://schemas.openxmlformats.org/officeDocument/2006/relationships/hyperlink" Target="https://photos.app.goo.gl/tTHnFYVsbb3gUs5S6" TargetMode="External"/><Relationship Id="rId56" Type="http://schemas.openxmlformats.org/officeDocument/2006/relationships/hyperlink" Target="https://drive.google.com/file/d/1duOv6sg3WEowPrKVkZ4R_aAMyV3Nm-xq/view?usp=drive_link" TargetMode="External"/><Relationship Id="rId57" Type="http://schemas.openxmlformats.org/officeDocument/2006/relationships/hyperlink" Target="https://photos.app.goo.gl/9ciQXpCQ4tBcavcL9" TargetMode="External"/><Relationship Id="rId58" Type="http://schemas.openxmlformats.org/officeDocument/2006/relationships/hyperlink" Target="https://photos.app.goo.gl/ZAHtJF4eYX921Aic7" TargetMode="External"/><Relationship Id="rId59" Type="http://schemas.openxmlformats.org/officeDocument/2006/relationships/hyperlink" Target="https://drive.google.com/file/d/1as3T_zGUcxuh3_Vy0hssjRjqNedRmoyP/view?usp=drive_link" TargetMode="External"/><Relationship Id="rId60" Type="http://schemas.openxmlformats.org/officeDocument/2006/relationships/hyperlink" Target="https://photos.app.goo.gl/kHTVqszjEbGVTBop8" TargetMode="External"/><Relationship Id="rId61" Type="http://schemas.openxmlformats.org/officeDocument/2006/relationships/hyperlink" Target="https://photos.app.goo.gl/1MkFd14uVHT1EK6S7" TargetMode="External"/><Relationship Id="rId62" Type="http://schemas.openxmlformats.org/officeDocument/2006/relationships/hyperlink" Target="https://drive.google.com/file/d/1bYYA7B9dUHuYGkLXAPJVEJnwAAzxh4f7/view?usp=drive_link" TargetMode="External"/><Relationship Id="rId63" Type="http://schemas.openxmlformats.org/officeDocument/2006/relationships/hyperlink" Target="https://photos.app.goo.gl/2GwkbsxvzWXUnXDk8" TargetMode="External"/><Relationship Id="rId64" Type="http://schemas.openxmlformats.org/officeDocument/2006/relationships/hyperlink" Target="https://photos.app.goo.gl/zsdNHRwopCXpNmLu7" TargetMode="External"/><Relationship Id="rId65" Type="http://schemas.openxmlformats.org/officeDocument/2006/relationships/hyperlink" Target="https://photos.app.goo.gl/oSwqa8hvtNa6nWRBA" TargetMode="External"/><Relationship Id="rId66" Type="http://schemas.openxmlformats.org/officeDocument/2006/relationships/hyperlink" Target="https://photos.app.goo.gl/RGTThVke2WZBYfyg6" TargetMode="External"/><Relationship Id="rId67" Type="http://schemas.openxmlformats.org/officeDocument/2006/relationships/hyperlink" Target="https://drive.google.com/file/d/1fLov7q5j2s6fJdzb1snIj_j5l5BTTmji/view?usp=drive_link" TargetMode="External"/><Relationship Id="rId68" Type="http://schemas.openxmlformats.org/officeDocument/2006/relationships/hyperlink" Target="https://photos.app.goo.gl/Vn8yT4jXRZWSUFkk9" TargetMode="External"/><Relationship Id="rId69" Type="http://schemas.openxmlformats.org/officeDocument/2006/relationships/hyperlink" Target="https://photos.app.goo.gl/rT89Q7L3AaDFtwdE6" TargetMode="External"/><Relationship Id="rId70" Type="http://schemas.openxmlformats.org/officeDocument/2006/relationships/hyperlink" Target="https://drive.google.com/file/d/1f9xHktCB1kOZvMgVorohHSzPmnGfVKEJ/view?usp=drive_link" TargetMode="External"/><Relationship Id="rId71" Type="http://schemas.openxmlformats.org/officeDocument/2006/relationships/hyperlink" Target="https://photos.app.goo.gl/AseAEFR95NJmhdq77" TargetMode="External"/><Relationship Id="rId72" Type="http://schemas.openxmlformats.org/officeDocument/2006/relationships/drawing" Target="../drawings/drawing10.x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hyperlink" Target="https://photos.app.goo.gl/wwT8CupsjHuZtGb77" TargetMode="External"/><Relationship Id="rId2" Type="http://schemas.openxmlformats.org/officeDocument/2006/relationships/hyperlink" Target="https://drive.google.com/file/d/1PqT8kHWc7m4Z9z8OEJEGTqzKikQhWfnW/view?usp=drive_link" TargetMode="External"/><Relationship Id="rId3" Type="http://schemas.openxmlformats.org/officeDocument/2006/relationships/hyperlink" Target="https://photos.app.goo.gl/M2F4MAL71LemZXWY7" TargetMode="External"/><Relationship Id="rId4" Type="http://schemas.openxmlformats.org/officeDocument/2006/relationships/hyperlink" Target="https://drive.google.com/file/d/1QBhAEgM9oJ_iIVcGNo2ThaTG88pDvjIo/view?usp=drive_link" TargetMode="External"/><Relationship Id="rId5" Type="http://schemas.openxmlformats.org/officeDocument/2006/relationships/hyperlink" Target="https://photos.app.goo.gl/gpz6DJSEHENmyzQm7" TargetMode="External"/><Relationship Id="rId6" Type="http://schemas.openxmlformats.org/officeDocument/2006/relationships/hyperlink" Target="https://drive.google.com/file/d/1VIobUQEcY_NGLg9NDJcdNtZ5hQS0Sw-z/view?usp=drive_link" TargetMode="External"/><Relationship Id="rId7" Type="http://schemas.openxmlformats.org/officeDocument/2006/relationships/hyperlink" Target="https://photos.app.goo.gl/wJd6kPv94chvy4fR6" TargetMode="External"/><Relationship Id="rId8" Type="http://schemas.openxmlformats.org/officeDocument/2006/relationships/hyperlink" Target="https://photos.app.goo.gl/MutmuHYRUreSjRm28" TargetMode="External"/><Relationship Id="rId9" Type="http://schemas.openxmlformats.org/officeDocument/2006/relationships/hyperlink" Target="https://photos.app.goo.gl/Mez1YFqmCt7MtCSm7" TargetMode="External"/><Relationship Id="rId10" Type="http://schemas.openxmlformats.org/officeDocument/2006/relationships/hyperlink" Target="https://photos.app.goo.gl/2jrZ8F6vPvqrLaEL8" TargetMode="External"/><Relationship Id="rId11" Type="http://schemas.openxmlformats.org/officeDocument/2006/relationships/hyperlink" Target="https://photos.app.goo.gl/LErszDve7kp9Yg9NA" TargetMode="External"/><Relationship Id="rId12" Type="http://schemas.openxmlformats.org/officeDocument/2006/relationships/hyperlink" Target="https://drive.google.com/file/d/1TCiV_0iXNBL1ul4EUTWyzo-Nak5LtHqa/view?usp=drive_link" TargetMode="External"/><Relationship Id="rId13" Type="http://schemas.openxmlformats.org/officeDocument/2006/relationships/hyperlink" Target="https://photos.app.goo.gl/RcRTYAyMsHoYjp1L8" TargetMode="External"/><Relationship Id="rId14" Type="http://schemas.openxmlformats.org/officeDocument/2006/relationships/hyperlink" Target="https://photos.app.goo.gl/kgfRcFTyThncQtRt5" TargetMode="External"/><Relationship Id="rId15" Type="http://schemas.openxmlformats.org/officeDocument/2006/relationships/hyperlink" Target="https://drive.google.com/file/d/1TVZ5fGogeQAG2UVjMqwkCNc2kdiGgkac/view?usp=drive_link" TargetMode="External"/><Relationship Id="rId16" Type="http://schemas.openxmlformats.org/officeDocument/2006/relationships/hyperlink" Target="https://photos.app.goo.gl/UN4sB7SRdu1fxQpRA" TargetMode="External"/><Relationship Id="rId17" Type="http://schemas.openxmlformats.org/officeDocument/2006/relationships/hyperlink" Target="https://photos.app.goo.gl/WWRYjCfxAPkNKU9v8" TargetMode="External"/><Relationship Id="rId18" Type="http://schemas.openxmlformats.org/officeDocument/2006/relationships/hyperlink" Target="https://drive.google.com/file/d/1eX287bqZYPZOjrceJhFZp28PBoh3-kF0/view?usp=drive_link" TargetMode="External"/><Relationship Id="rId19" Type="http://schemas.openxmlformats.org/officeDocument/2006/relationships/hyperlink" Target="https://photos.app.goo.gl/sRzkuRs84Kxyvxo58" TargetMode="External"/><Relationship Id="rId20" Type="http://schemas.openxmlformats.org/officeDocument/2006/relationships/hyperlink" Target="https://photos.app.goo.gl/CoHikdei6mw6WTVD8" TargetMode="External"/><Relationship Id="rId21" Type="http://schemas.openxmlformats.org/officeDocument/2006/relationships/hyperlink" Target="https://drive.google.com/file/d/1Ta7HuAEvl0pdl-ZypDclqftNfqgKRNTr/view?usp=drive_link" TargetMode="External"/><Relationship Id="rId22" Type="http://schemas.openxmlformats.org/officeDocument/2006/relationships/hyperlink" Target="https://photos.app.goo.gl/iRxKf9xcTeGBDJ5j9" TargetMode="External"/><Relationship Id="rId23" Type="http://schemas.openxmlformats.org/officeDocument/2006/relationships/hyperlink" Target="https://photos.app.goo.gl/GK317hJcbMbXNrL17" TargetMode="External"/><Relationship Id="rId24" Type="http://schemas.openxmlformats.org/officeDocument/2006/relationships/hyperlink" Target="https://drive.google.com/file/d/1UGZlRKYek47j36cVJfX45Ch3GKBUfNHS/view?usp=drive_link" TargetMode="External"/><Relationship Id="rId25" Type="http://schemas.openxmlformats.org/officeDocument/2006/relationships/hyperlink" Target="https://photos.app.goo.gl/NKZhjrZ3FQhhpEQF6" TargetMode="External"/><Relationship Id="rId26" Type="http://schemas.openxmlformats.org/officeDocument/2006/relationships/hyperlink" Target="https://photos.app.goo.gl/5wRPcLYu7XrAG9LPA" TargetMode="External"/><Relationship Id="rId27" Type="http://schemas.openxmlformats.org/officeDocument/2006/relationships/hyperlink" Target="https://drive.google.com/file/d/1X32h7cAKwF2Fy8BYE5qTktIqZhZ7Erjk/view?usp=drive_link" TargetMode="External"/><Relationship Id="rId28" Type="http://schemas.openxmlformats.org/officeDocument/2006/relationships/hyperlink" Target="https://photos.app.goo.gl/sZxv5kdu8wBWLJSb6" TargetMode="External"/><Relationship Id="rId29" Type="http://schemas.openxmlformats.org/officeDocument/2006/relationships/hyperlink" Target="https://photos.app.goo.gl/Mnr3bzJdbEYhUuoo9" TargetMode="External"/><Relationship Id="rId30" Type="http://schemas.openxmlformats.org/officeDocument/2006/relationships/hyperlink" Target="https://photos.app.goo.gl/szAab1Li5pVMfTm58" TargetMode="External"/><Relationship Id="rId31" Type="http://schemas.openxmlformats.org/officeDocument/2006/relationships/hyperlink" Target="https://photos.app.goo.gl/yrftc4gx3nG8K8Dx6" TargetMode="External"/><Relationship Id="rId32" Type="http://schemas.openxmlformats.org/officeDocument/2006/relationships/hyperlink" Target="https://photos.app.goo.gl/AahxeyPHCqPSjAWy6" TargetMode="External"/><Relationship Id="rId33" Type="http://schemas.openxmlformats.org/officeDocument/2006/relationships/hyperlink" Target="https://photos.app.goo.gl/ASw5j54Ubyx6reHBA" TargetMode="External"/><Relationship Id="rId34" Type="http://schemas.openxmlformats.org/officeDocument/2006/relationships/hyperlink" Target="https://photos.app.goo.gl/RvxsbtpY4jmqaJgE8" TargetMode="External"/><Relationship Id="rId35" Type="http://schemas.openxmlformats.org/officeDocument/2006/relationships/hyperlink" Target="https://photos.app.goo.gl/gx2Ep1Dc33mLz7va8" TargetMode="External"/><Relationship Id="rId36" Type="http://schemas.openxmlformats.org/officeDocument/2006/relationships/hyperlink" Target="https://photos.app.goo.gl/TAPZ1v75RzoF266H9" TargetMode="External"/><Relationship Id="rId37" Type="http://schemas.openxmlformats.org/officeDocument/2006/relationships/hyperlink" Target="https://photos.app.goo.gl/Xx63cT73QRT48Kqz7" TargetMode="External"/><Relationship Id="rId38" Type="http://schemas.openxmlformats.org/officeDocument/2006/relationships/hyperlink" Target="https://photos.app.goo.gl/g4viW26aRVy9Dqaf6" TargetMode="External"/><Relationship Id="rId39" Type="http://schemas.openxmlformats.org/officeDocument/2006/relationships/hyperlink" Target="https://photos.app.goo.gl/kpUcQi9xRSBxBjdW7" TargetMode="External"/><Relationship Id="rId40" Type="http://schemas.openxmlformats.org/officeDocument/2006/relationships/hyperlink" Target="https://photos.app.goo.gl/gy64T81dFyKL1aXG8" TargetMode="External"/><Relationship Id="rId41" Type="http://schemas.openxmlformats.org/officeDocument/2006/relationships/hyperlink" Target="https://drive.google.com/file/d/1WvslhRLZtF5VXwn8Vjhu2ZJrtc76AbGG/view?usp=drive_link" TargetMode="External"/><Relationship Id="rId42" Type="http://schemas.openxmlformats.org/officeDocument/2006/relationships/hyperlink" Target="https://photos.app.goo.gl/gy64T81dFyKL1aXG8" TargetMode="External"/><Relationship Id="rId43" Type="http://schemas.openxmlformats.org/officeDocument/2006/relationships/hyperlink" Target="https://photos.app.goo.gl/icJyqJvcbtRWwWRq7" TargetMode="External"/><Relationship Id="rId44" Type="http://schemas.openxmlformats.org/officeDocument/2006/relationships/hyperlink" Target="https://photos.app.goo.gl/Ft4XTDgrws3SbCCj6" TargetMode="External"/><Relationship Id="rId45" Type="http://schemas.openxmlformats.org/officeDocument/2006/relationships/hyperlink" Target="https://drive.google.com/file/d/1WIzWiT9G38aTd2WpNERSTj9J61xXryWB/view?usp=drive_link" TargetMode="External"/><Relationship Id="rId46" Type="http://schemas.openxmlformats.org/officeDocument/2006/relationships/hyperlink" Target="https://photos.app.goo.gl/WS5oeEagEm6RmM5C6" TargetMode="External"/><Relationship Id="rId47" Type="http://schemas.openxmlformats.org/officeDocument/2006/relationships/hyperlink" Target="https://photos.app.goo.gl/nMV54iBLfbbN7W7GA" TargetMode="External"/><Relationship Id="rId48" Type="http://schemas.openxmlformats.org/officeDocument/2006/relationships/hyperlink" Target="https://photos.app.goo.gl/ZrvCi4F7rZxi5sdH7" TargetMode="External"/><Relationship Id="rId49" Type="http://schemas.openxmlformats.org/officeDocument/2006/relationships/hyperlink" Target="https://photos.app.goo.gl/Q7HHDp9Jd7b9Pmjr6" TargetMode="External"/><Relationship Id="rId50" Type="http://schemas.openxmlformats.org/officeDocument/2006/relationships/hyperlink" Target="https://photos.app.goo.gl/RT5ca9Ya8eGVx7uk8" TargetMode="External"/><Relationship Id="rId51" Type="http://schemas.openxmlformats.org/officeDocument/2006/relationships/hyperlink" Target="https://drive.google.com/file/d/1XyFftyova9CVK1F6321iIXMx5LAmyiCX/view?usp=drive_link" TargetMode="External"/><Relationship Id="rId52" Type="http://schemas.openxmlformats.org/officeDocument/2006/relationships/hyperlink" Target="https://photos.app.goo.gl/b698iiWq7WwLXTyc7" TargetMode="External"/><Relationship Id="rId53" Type="http://schemas.openxmlformats.org/officeDocument/2006/relationships/hyperlink" Target="https://photos.app.goo.gl/NQhkEfuhh4DRR7XH6" TargetMode="External"/><Relationship Id="rId54" Type="http://schemas.openxmlformats.org/officeDocument/2006/relationships/hyperlink" Target="https://drive.google.com/file/d/1ZpS-f68ltMvsDoQkQ8KiyPLFdm4sfNK7/view?usp=drive_link" TargetMode="External"/><Relationship Id="rId55" Type="http://schemas.openxmlformats.org/officeDocument/2006/relationships/hyperlink" Target="https://photos.app.goo.gl/V2ZJU6BXgxMp5brc6" TargetMode="External"/><Relationship Id="rId56" Type="http://schemas.openxmlformats.org/officeDocument/2006/relationships/hyperlink" Target="https://photos.app.goo.gl/n4gwaT1YVGLZz2jGA" TargetMode="External"/><Relationship Id="rId57" Type="http://schemas.openxmlformats.org/officeDocument/2006/relationships/hyperlink" Target="https://drive.google.com/file/d/1ZGJg3tkx480lLahmqb4f0qrSvYdNBfFU/view?usp=drive_link" TargetMode="External"/><Relationship Id="rId58" Type="http://schemas.openxmlformats.org/officeDocument/2006/relationships/hyperlink" Target="https://photos.app.goo.gl/jdF6bVm24LRK7FVS6" TargetMode="External"/><Relationship Id="rId59" Type="http://schemas.openxmlformats.org/officeDocument/2006/relationships/hyperlink" Target="https://photos.app.goo.gl/EdkRrmNWL2ibpGqh6" TargetMode="External"/><Relationship Id="rId60" Type="http://schemas.openxmlformats.org/officeDocument/2006/relationships/hyperlink" Target="https://drive.google.com/file/d/1ZR5vwuHVr1SDKnrjp3mn3AFe9YZ-WdPr/view?usp=drive_link" TargetMode="External"/><Relationship Id="rId61" Type="http://schemas.openxmlformats.org/officeDocument/2006/relationships/hyperlink" Target="https://photos.app.goo.gl/cXHHothLM4PiNHb26" TargetMode="External"/><Relationship Id="rId62" Type="http://schemas.openxmlformats.org/officeDocument/2006/relationships/hyperlink" Target="https://photos.app.goo.gl/Z47vZUQDrUijiUSe9" TargetMode="External"/><Relationship Id="rId63" Type="http://schemas.openxmlformats.org/officeDocument/2006/relationships/hyperlink" Target="https://drive.google.com/file/d/1Zujc_KQ02QBgDk41WI5Cyfb1la5TNu-Z/view?usp=drive_link" TargetMode="External"/><Relationship Id="rId64" Type="http://schemas.openxmlformats.org/officeDocument/2006/relationships/hyperlink" Target="https://photos.app.goo.gl/WyRo732kBx3ZkJ1f6" TargetMode="External"/><Relationship Id="rId65" Type="http://schemas.openxmlformats.org/officeDocument/2006/relationships/hyperlink" Target="https://photos.app.goo.gl/3nvHbrWzCSgA6PDZ9" TargetMode="External"/><Relationship Id="rId66" Type="http://schemas.openxmlformats.org/officeDocument/2006/relationships/drawing" Target="../drawings/drawing11.xml"/>
</Relationships>
</file>

<file path=xl/worksheets/_rels/sheet13.xml.rels><?xml version="1.0" encoding="UTF-8"?>
<Relationships xmlns="http://schemas.openxmlformats.org/package/2006/relationships"><Relationship Id="rId1" Type="http://schemas.openxmlformats.org/officeDocument/2006/relationships/hyperlink" Target="https://photos.app.goo.gl/GQkywuVW5WGX1p5W9" TargetMode="External"/><Relationship Id="rId2" Type="http://schemas.openxmlformats.org/officeDocument/2006/relationships/hyperlink" Target="https://drive.google.com/file/d/1KMcMwkeOWEUlevKLjnVJsRE4QseOTkN-/view?usp=drive_link" TargetMode="External"/><Relationship Id="rId3" Type="http://schemas.openxmlformats.org/officeDocument/2006/relationships/hyperlink" Target="https://photos.app.goo.gl/9morW3gYECXzBd2B8" TargetMode="External"/><Relationship Id="rId4" Type="http://schemas.openxmlformats.org/officeDocument/2006/relationships/hyperlink" Target="https://drive.google.com/file/d/1K0a6zY2XMcGYNdwa_iHAKl4pJQWZzTDN/view?usp=drive_link" TargetMode="External"/><Relationship Id="rId5" Type="http://schemas.openxmlformats.org/officeDocument/2006/relationships/hyperlink" Target="https://photos.app.goo.gl/LbBHARKvZ5uqkbqw5" TargetMode="External"/><Relationship Id="rId6" Type="http://schemas.openxmlformats.org/officeDocument/2006/relationships/hyperlink" Target="https://photos.app.goo.gl/wgaiDXyZAa8GHhx66" TargetMode="External"/><Relationship Id="rId7" Type="http://schemas.openxmlformats.org/officeDocument/2006/relationships/hyperlink" Target="https://drive.google.com/file/d/1MnA4raNQcvhi2BIn0J54Jy31DJFbKgFK/view?usp=drive_link" TargetMode="External"/><Relationship Id="rId8" Type="http://schemas.openxmlformats.org/officeDocument/2006/relationships/hyperlink" Target="https://photos.app.goo.gl/oPjjtix5FBKjSbKW7" TargetMode="External"/><Relationship Id="rId9" Type="http://schemas.openxmlformats.org/officeDocument/2006/relationships/hyperlink" Target="https://photos.app.goo.gl/516C5dQn7YqXkpW37" TargetMode="External"/><Relationship Id="rId10" Type="http://schemas.openxmlformats.org/officeDocument/2006/relationships/hyperlink" Target="https://drive.google.com/file/d/1MtoV3ZdSiHzoNjvWCRzSHOrqClPcY6UZ/view?usp=drive_link" TargetMode="External"/><Relationship Id="rId11" Type="http://schemas.openxmlformats.org/officeDocument/2006/relationships/hyperlink" Target="https://photos.app.goo.gl/uRBpBnSSkvJGRQeD7" TargetMode="External"/><Relationship Id="rId12" Type="http://schemas.openxmlformats.org/officeDocument/2006/relationships/hyperlink" Target="https://photos.app.goo.gl/Rm2ex3xZ6SCcHD5T8" TargetMode="External"/><Relationship Id="rId13" Type="http://schemas.openxmlformats.org/officeDocument/2006/relationships/hyperlink" Target="https://photos.app.goo.gl/WgLKUBBKTHQiQPAHA" TargetMode="External"/><Relationship Id="rId14" Type="http://schemas.openxmlformats.org/officeDocument/2006/relationships/hyperlink" Target="https://photos.app.goo.gl/j8jaSnMBdFZDfLb37" TargetMode="External"/><Relationship Id="rId15" Type="http://schemas.openxmlformats.org/officeDocument/2006/relationships/hyperlink" Target="https://photos.app.goo.gl/7JRSYxzfZN3EUa5c9" TargetMode="External"/><Relationship Id="rId16" Type="http://schemas.openxmlformats.org/officeDocument/2006/relationships/hyperlink" Target="https://photos.app.goo.gl/uBvjAoG8JxRvU82g9" TargetMode="External"/><Relationship Id="rId17" Type="http://schemas.openxmlformats.org/officeDocument/2006/relationships/hyperlink" Target="https://photos.app.goo.gl/Ejr5cMWyPR9idtRM9" TargetMode="External"/><Relationship Id="rId18" Type="http://schemas.openxmlformats.org/officeDocument/2006/relationships/hyperlink" Target="https://photos.app.goo.gl/EsV4TmeaG67hey7b6" TargetMode="External"/><Relationship Id="rId19" Type="http://schemas.openxmlformats.org/officeDocument/2006/relationships/hyperlink" Target="https://photos.app.goo.gl/W1KpEDrZFkxoRcJH6" TargetMode="External"/><Relationship Id="rId20" Type="http://schemas.openxmlformats.org/officeDocument/2006/relationships/hyperlink" Target="https://photos.app.goo.gl/qfvTM4GsoGkbohD7A" TargetMode="External"/><Relationship Id="rId21" Type="http://schemas.openxmlformats.org/officeDocument/2006/relationships/hyperlink" Target="https://photos.app.goo.gl/4YkDqj56eT5i9gXa9" TargetMode="External"/><Relationship Id="rId22" Type="http://schemas.openxmlformats.org/officeDocument/2006/relationships/hyperlink" Target="https://photos.app.goo.gl/fwjjdcQ8bgTUNwUE7" TargetMode="External"/><Relationship Id="rId23" Type="http://schemas.openxmlformats.org/officeDocument/2006/relationships/hyperlink" Target="https://photos.app.goo.gl/KNR5poZYJRLZQWCF7" TargetMode="External"/><Relationship Id="rId24" Type="http://schemas.openxmlformats.org/officeDocument/2006/relationships/hyperlink" Target="https://drive.google.com/file/d/1wnPOBIzMeKF70W_5wXUv0r7jpxlMVMVF/view?usp=drive_link" TargetMode="External"/><Relationship Id="rId25" Type="http://schemas.openxmlformats.org/officeDocument/2006/relationships/hyperlink" Target="https://photos.app.goo.gl/capc18826JTBxVy46" TargetMode="External"/><Relationship Id="rId26" Type="http://schemas.openxmlformats.org/officeDocument/2006/relationships/hyperlink" Target="https://photos.app.goo.gl/F6ZNL9ah12rUfWXC8" TargetMode="External"/><Relationship Id="rId27" Type="http://schemas.openxmlformats.org/officeDocument/2006/relationships/hyperlink" Target="https://photos.app.goo.gl/fUAqweE6qFAxHTnn6" TargetMode="External"/><Relationship Id="rId28" Type="http://schemas.openxmlformats.org/officeDocument/2006/relationships/hyperlink" Target="https://drive.google.com/file/d/1wtRvcn2qNz2ZY8I1iPp7h-MieLSwWhN0/view?usp=drive_link" TargetMode="External"/><Relationship Id="rId29" Type="http://schemas.openxmlformats.org/officeDocument/2006/relationships/hyperlink" Target="https://photos.app.goo.gl/CU4scyZAw4c4tXPC6" TargetMode="External"/><Relationship Id="rId30" Type="http://schemas.openxmlformats.org/officeDocument/2006/relationships/hyperlink" Target="https://photos.app.goo.gl/NZTjgKUdF7qhqBwq7" TargetMode="External"/><Relationship Id="rId31" Type="http://schemas.openxmlformats.org/officeDocument/2006/relationships/hyperlink" Target="https://photos.app.goo.gl/8SgTLELQfELPG4nHA" TargetMode="External"/><Relationship Id="rId32" Type="http://schemas.openxmlformats.org/officeDocument/2006/relationships/hyperlink" Target="https://drive.google.com/file/d/1x29Fs2bxaTgGCi8S_mSFBaxG9CDp3RZm/view?usp=drive_link" TargetMode="External"/><Relationship Id="rId33" Type="http://schemas.openxmlformats.org/officeDocument/2006/relationships/hyperlink" Target="https://photos.app.goo.gl/6dyt5p5fm8EGBkU88" TargetMode="External"/><Relationship Id="rId34" Type="http://schemas.openxmlformats.org/officeDocument/2006/relationships/hyperlink" Target="https://photos.app.goo.gl/7n8Niqp21PK3etmb8" TargetMode="External"/><Relationship Id="rId35" Type="http://schemas.openxmlformats.org/officeDocument/2006/relationships/hyperlink" Target="https://photos.app.goo.gl/XNCffo1pWnzbCZ6H6" TargetMode="External"/><Relationship Id="rId36" Type="http://schemas.openxmlformats.org/officeDocument/2006/relationships/hyperlink" Target="https://photos.app.goo.gl/CJaiEAs2PuLJaU8k8" TargetMode="External"/><Relationship Id="rId37" Type="http://schemas.openxmlformats.org/officeDocument/2006/relationships/hyperlink" Target="https://photos.app.goo.gl/Zo3fjswgtMBGuQCH6" TargetMode="External"/><Relationship Id="rId38" Type="http://schemas.openxmlformats.org/officeDocument/2006/relationships/hyperlink" Target="https://photos.app.goo.gl/qaEenb3up4XgNqFG7" TargetMode="External"/><Relationship Id="rId39" Type="http://schemas.openxmlformats.org/officeDocument/2006/relationships/hyperlink" Target="https://photos.app.goo.gl/tdARBkHzZXiSUTi87" TargetMode="External"/><Relationship Id="rId40" Type="http://schemas.openxmlformats.org/officeDocument/2006/relationships/hyperlink" Target="https://photos.app.goo.gl/ufP2nvQ8oGVnRMer7" TargetMode="External"/><Relationship Id="rId41" Type="http://schemas.openxmlformats.org/officeDocument/2006/relationships/hyperlink" Target="https://photos.app.goo.gl/fAixV8rthjMrxE2N6" TargetMode="External"/><Relationship Id="rId42" Type="http://schemas.openxmlformats.org/officeDocument/2006/relationships/hyperlink" Target="https://photos.app.goo.gl/XcLmQET7XaSohkUM7" TargetMode="External"/><Relationship Id="rId43" Type="http://schemas.openxmlformats.org/officeDocument/2006/relationships/hyperlink" Target="https://photos.app.goo.gl/GuLhePEBuTBw21D89" TargetMode="External"/><Relationship Id="rId44" Type="http://schemas.openxmlformats.org/officeDocument/2006/relationships/hyperlink" Target="https://photos.app.goo.gl/BX7SeB2QfeycZ2W37" TargetMode="External"/><Relationship Id="rId45" Type="http://schemas.openxmlformats.org/officeDocument/2006/relationships/hyperlink" Target="https://photos.app.goo.gl/cSziT5whyWMSG1F17" TargetMode="External"/><Relationship Id="rId46" Type="http://schemas.openxmlformats.org/officeDocument/2006/relationships/hyperlink" Target="https://photos.app.goo.gl/7NaGnLpCDMfvbc2h7" TargetMode="External"/><Relationship Id="rId47" Type="http://schemas.openxmlformats.org/officeDocument/2006/relationships/hyperlink" Target="https://photos.app.goo.gl/4rLbtZyDSjd3JPQV8" TargetMode="External"/><Relationship Id="rId48" Type="http://schemas.openxmlformats.org/officeDocument/2006/relationships/drawing" Target="../drawings/drawing12.xml"/>
</Relationships>
</file>

<file path=xl/worksheets/_rels/sheet14.xml.rels><?xml version="1.0" encoding="UTF-8"?>
<Relationships xmlns="http://schemas.openxmlformats.org/package/2006/relationships"><Relationship Id="rId1" Type="http://schemas.openxmlformats.org/officeDocument/2006/relationships/hyperlink" Target="https://photos.app.goo.gl/y3xtLYQz9SAqhMw96" TargetMode="External"/><Relationship Id="rId2" Type="http://schemas.openxmlformats.org/officeDocument/2006/relationships/hyperlink" Target="https://photos.app.goo.gl/QZm7V4oiCn2zPktq7" TargetMode="External"/><Relationship Id="rId3" Type="http://schemas.openxmlformats.org/officeDocument/2006/relationships/hyperlink" Target="https://photos.app.goo.gl/4Tu6cH733jzS9kv98" TargetMode="External"/><Relationship Id="rId4" Type="http://schemas.openxmlformats.org/officeDocument/2006/relationships/hyperlink" Target="https://photos.app.goo.gl/RUjeN5NtKC4Wjoav5" TargetMode="External"/><Relationship Id="rId5" Type="http://schemas.openxmlformats.org/officeDocument/2006/relationships/hyperlink" Target="https://drive.google.com/file/d/1Mu9RI5O3ghDmyQ5E1HcPMl1PLQftlPu4/view?usp=drive_link" TargetMode="External"/><Relationship Id="rId6" Type="http://schemas.openxmlformats.org/officeDocument/2006/relationships/hyperlink" Target="https://photos.app.goo.gl/Eu8NW4HAdDm7PqZi8" TargetMode="External"/><Relationship Id="rId7" Type="http://schemas.openxmlformats.org/officeDocument/2006/relationships/hyperlink" Target="https://photos.app.goo.gl/PdZrae3dSPa3JkoS6" TargetMode="External"/><Relationship Id="rId8" Type="http://schemas.openxmlformats.org/officeDocument/2006/relationships/hyperlink" Target="https://photos.app.goo.gl/gKXwoh7ok3byWgFJ7" TargetMode="External"/><Relationship Id="rId9" Type="http://schemas.openxmlformats.org/officeDocument/2006/relationships/hyperlink" Target="https://photos.app.goo.gl/f7YrEDsjEkHME7E26" TargetMode="External"/><Relationship Id="rId10" Type="http://schemas.openxmlformats.org/officeDocument/2006/relationships/hyperlink" Target="https://drive.google.com/file/d/1EozMPLak3sNmjLwKOXsx-oZf9tW8IcVM/view?usp=drive_link" TargetMode="External"/><Relationship Id="rId11" Type="http://schemas.openxmlformats.org/officeDocument/2006/relationships/hyperlink" Target="https://photos.app.goo.gl/58u2HUsRyMvSkQvXA" TargetMode="External"/><Relationship Id="rId12" Type="http://schemas.openxmlformats.org/officeDocument/2006/relationships/hyperlink" Target="https://drive.google.com/file/d/1Gz8iAEd2QKZua6XeJbtewPqeuEB3fXsZ/view?usp=drive_link" TargetMode="External"/><Relationship Id="rId13" Type="http://schemas.openxmlformats.org/officeDocument/2006/relationships/hyperlink" Target="https://photos.app.goo.gl/dJnWvnrJbvtuXA7q7" TargetMode="External"/><Relationship Id="rId14" Type="http://schemas.openxmlformats.org/officeDocument/2006/relationships/hyperlink" Target="https://photos.app.goo.gl/ushGkdHCQcXVR3FJA" TargetMode="External"/><Relationship Id="rId15" Type="http://schemas.openxmlformats.org/officeDocument/2006/relationships/hyperlink" Target="https://drive.google.com/file/d/1H01ndCiBD3kP51j4lNvWO5VS_4UYWzf9/view?usp=drive_link" TargetMode="External"/><Relationship Id="rId16" Type="http://schemas.openxmlformats.org/officeDocument/2006/relationships/hyperlink" Target="https://photos.app.goo.gl/SoeqLBxFEU74124Q8" TargetMode="External"/><Relationship Id="rId17" Type="http://schemas.openxmlformats.org/officeDocument/2006/relationships/hyperlink" Target="https://photos.app.goo.gl/yTG4Wn592SSMQ7vX8" TargetMode="External"/><Relationship Id="rId18" Type="http://schemas.openxmlformats.org/officeDocument/2006/relationships/hyperlink" Target="https://photos.app.goo.gl/8YQHhvXtRKY738xS7" TargetMode="External"/><Relationship Id="rId19" Type="http://schemas.openxmlformats.org/officeDocument/2006/relationships/hyperlink" Target="https://drive.google.com/file/d/1ECRpSd6dmBYI_C0TAQlMOXJFlQvd67J6/view?usp=drive_link" TargetMode="External"/><Relationship Id="rId20" Type="http://schemas.openxmlformats.org/officeDocument/2006/relationships/hyperlink" Target="https://photos.app.goo.gl/8YQHhvXtRKY738xS7" TargetMode="External"/><Relationship Id="rId21" Type="http://schemas.openxmlformats.org/officeDocument/2006/relationships/hyperlink" Target="https://photos.app.goo.gl/jufMqKuDJVotq38HA" TargetMode="External"/><Relationship Id="rId22" Type="http://schemas.openxmlformats.org/officeDocument/2006/relationships/hyperlink" Target="https://drive.google.com/file/d/1EE2FW10A3HJlK6F2mikTHZKwn1qHwlDh/view?usp=drive_link" TargetMode="External"/><Relationship Id="rId23" Type="http://schemas.openxmlformats.org/officeDocument/2006/relationships/hyperlink" Target="https://photos.app.goo.gl/1nQBDiyoihnsyCrKA" TargetMode="External"/><Relationship Id="rId24" Type="http://schemas.openxmlformats.org/officeDocument/2006/relationships/hyperlink" Target="https://photos.app.goo.gl/wCj843FcmjmZ334u8" TargetMode="External"/><Relationship Id="rId25" Type="http://schemas.openxmlformats.org/officeDocument/2006/relationships/hyperlink" Target="https://drive.google.com/file/d/1FuzaSkFVfIVhZjG1FAQVlcncdY7vaisg/view?usp=drive_link" TargetMode="External"/><Relationship Id="rId26" Type="http://schemas.openxmlformats.org/officeDocument/2006/relationships/hyperlink" Target="https://photos.app.goo.gl/p3kjsJbSMQztPd7L9" TargetMode="External"/><Relationship Id="rId27" Type="http://schemas.openxmlformats.org/officeDocument/2006/relationships/hyperlink" Target="https://photos.app.goo.gl/wJd6kPv94chvy4fR6" TargetMode="External"/><Relationship Id="rId28" Type="http://schemas.openxmlformats.org/officeDocument/2006/relationships/hyperlink" Target="https://drive.google.com/file/d/1NAbNPHo_elfTQauJgU6Z8BL06LZn7rj6/view?usp=drive_link" TargetMode="External"/><Relationship Id="rId29" Type="http://schemas.openxmlformats.org/officeDocument/2006/relationships/hyperlink" Target="https://photos.app.goo.gl/ZpEuPjQ1igTEizPB6" TargetMode="External"/><Relationship Id="rId30" Type="http://schemas.openxmlformats.org/officeDocument/2006/relationships/hyperlink" Target="https://drive.google.com/file/d/1NStG4GAeOkRln2PuEhowia-xF6OSRM6a/view?usp=drive_link" TargetMode="External"/><Relationship Id="rId31" Type="http://schemas.openxmlformats.org/officeDocument/2006/relationships/hyperlink" Target="https://photos.app.goo.gl/GPZcFAqYQA7v7Pv66" TargetMode="External"/><Relationship Id="rId32" Type="http://schemas.openxmlformats.org/officeDocument/2006/relationships/hyperlink" Target="https://drive.google.com/file/d/1EgzIgsbWMRlHxV2CPPykB8uM7MQsG1mi/view?usp=drive_link" TargetMode="External"/><Relationship Id="rId33" Type="http://schemas.openxmlformats.org/officeDocument/2006/relationships/hyperlink" Target="https://photos.app.goo.gl/1gtoTTGZrbc4SKE6A" TargetMode="External"/><Relationship Id="rId34" Type="http://schemas.openxmlformats.org/officeDocument/2006/relationships/hyperlink" Target="https://drive.google.com/file/d/1HV-870pBFTwoGgop7nSz3CXvk187D_z6/view?usp=drive_link" TargetMode="External"/><Relationship Id="rId35" Type="http://schemas.openxmlformats.org/officeDocument/2006/relationships/hyperlink" Target="https://photos.app.goo.gl/4MjoZ84ATLCwWEGW8" TargetMode="External"/><Relationship Id="rId36" Type="http://schemas.openxmlformats.org/officeDocument/2006/relationships/hyperlink" Target="https://drive.google.com/file/d/1HfSNqjUy6yRwYM769RTL0oQbjoaM7i7O/view?usp=drive_link" TargetMode="External"/><Relationship Id="rId37" Type="http://schemas.openxmlformats.org/officeDocument/2006/relationships/hyperlink" Target="https://photos.app.goo.gl/hc7SpTKnFgKh8R7JA" TargetMode="External"/><Relationship Id="rId38" Type="http://schemas.openxmlformats.org/officeDocument/2006/relationships/hyperlink" Target="https://drive.google.com/file/d/1H4PyYeNkjstgFbqLXIxqa7NneDZgdq7g/view?usp=drive_link" TargetMode="External"/><Relationship Id="rId39" Type="http://schemas.openxmlformats.org/officeDocument/2006/relationships/hyperlink" Target="https://photos.app.goo.gl/in67ihwwtqnYGiqdA" TargetMode="External"/><Relationship Id="rId40" Type="http://schemas.openxmlformats.org/officeDocument/2006/relationships/hyperlink" Target="https://drive.google.com/file/d/1Fl_iM1sY_VfFjwVqDBFjOYJFQW6nEciR/view?usp=drive_link" TargetMode="External"/><Relationship Id="rId41" Type="http://schemas.openxmlformats.org/officeDocument/2006/relationships/hyperlink" Target="https://photos.app.goo.gl/9y1q2QR4UxeKPZFz5" TargetMode="External"/><Relationship Id="rId42" Type="http://schemas.openxmlformats.org/officeDocument/2006/relationships/hyperlink" Target="https://drive.google.com/file/d/1FhNLhNqu45KOVqmlVw9lvfWCQS1ASuto/view?usp=drive_link" TargetMode="External"/><Relationship Id="rId43" Type="http://schemas.openxmlformats.org/officeDocument/2006/relationships/hyperlink" Target="https://photos.app.goo.gl/UPT2DQ9MbyimSBjz7" TargetMode="External"/><Relationship Id="rId44" Type="http://schemas.openxmlformats.org/officeDocument/2006/relationships/hyperlink" Target="https://photos.app.goo.gl/1LTvCNcxqxSP6tG77" TargetMode="External"/><Relationship Id="rId45" Type="http://schemas.openxmlformats.org/officeDocument/2006/relationships/hyperlink" Target="https://drive.google.com/file/d/1JOQggi8WYmwefFBDOnmUdhqoE9IP-9VV/view?usp=drive_link" TargetMode="External"/><Relationship Id="rId46" Type="http://schemas.openxmlformats.org/officeDocument/2006/relationships/hyperlink" Target="https://photos.app.goo.gl/riMyoWxu9utZuqoQ7" TargetMode="External"/><Relationship Id="rId47" Type="http://schemas.openxmlformats.org/officeDocument/2006/relationships/hyperlink" Target="https://photos.app.goo.gl/hVXKpzgQvCfDXs719" TargetMode="External"/><Relationship Id="rId48" Type="http://schemas.openxmlformats.org/officeDocument/2006/relationships/hyperlink" Target="https://drive.google.com/file/d/1Gg8MN9JRSfNz1q7lLaIg6mwPpd6VzzG8/view?usp=drive_link" TargetMode="External"/><Relationship Id="rId49" Type="http://schemas.openxmlformats.org/officeDocument/2006/relationships/hyperlink" Target="https://photos.app.goo.gl/VGBAVnUaBDJ1VVJL9" TargetMode="External"/><Relationship Id="rId50" Type="http://schemas.openxmlformats.org/officeDocument/2006/relationships/hyperlink" Target="https://photos.app.goo.gl/mB5qwDSBvFyi2QHfA" TargetMode="External"/><Relationship Id="rId51" Type="http://schemas.openxmlformats.org/officeDocument/2006/relationships/hyperlink" Target="https://photos.app.goo.gl/tW1jCtFh1Bf4V2mR9" TargetMode="External"/><Relationship Id="rId52" Type="http://schemas.openxmlformats.org/officeDocument/2006/relationships/hyperlink" Target="https://drive.google.com/file/d/1Gp1BUOBC9REkq9bfUGprOCdm6KNpBzWO/view?usp=drive_link" TargetMode="External"/><Relationship Id="rId53" Type="http://schemas.openxmlformats.org/officeDocument/2006/relationships/hyperlink" Target="https://photos.app.goo.gl/tW1jCtFh1Bf4V2mR9" TargetMode="External"/><Relationship Id="rId54" Type="http://schemas.openxmlformats.org/officeDocument/2006/relationships/hyperlink" Target="https://photos.app.goo.gl/RapEta266NTHQKEBA" TargetMode="External"/><Relationship Id="rId55" Type="http://schemas.openxmlformats.org/officeDocument/2006/relationships/hyperlink" Target="https://photos.app.goo.gl/RapEta266NTHQKEBA" TargetMode="External"/><Relationship Id="rId56" Type="http://schemas.openxmlformats.org/officeDocument/2006/relationships/hyperlink" Target="https://photos.app.goo.gl/QJx6ALTLv8sLjY6x9" TargetMode="External"/><Relationship Id="rId57" Type="http://schemas.openxmlformats.org/officeDocument/2006/relationships/hyperlink" Target="https://photos.app.goo.gl/76Q5757L6DB2wEFy5" TargetMode="External"/>
</Relationships>
</file>

<file path=xl/worksheets/_rels/sheet15.xml.rels><?xml version="1.0" encoding="UTF-8"?>
<Relationships xmlns="http://schemas.openxmlformats.org/package/2006/relationships"><Relationship Id="rId1" Type="http://schemas.openxmlformats.org/officeDocument/2006/relationships/hyperlink" Target="https://drive.google.com/file/d/16KPxb9gvtYnQ9hiB77Kxkbs8m2xAqY9E/view?usp=drive_link" TargetMode="External"/><Relationship Id="rId2" Type="http://schemas.openxmlformats.org/officeDocument/2006/relationships/hyperlink" Target="https://photos.app.goo.gl/X5rHaA2XseyDDBSx6" TargetMode="External"/><Relationship Id="rId3" Type="http://schemas.openxmlformats.org/officeDocument/2006/relationships/hyperlink" Target="https://photos.app.goo.gl/MA9Df34fvSsgp7SXA" TargetMode="External"/><Relationship Id="rId4" Type="http://schemas.openxmlformats.org/officeDocument/2006/relationships/hyperlink" Target="https://photos.app.goo.gl/M2yRwC4yNqDc1ZWM7" TargetMode="External"/><Relationship Id="rId5" Type="http://schemas.openxmlformats.org/officeDocument/2006/relationships/hyperlink" Target="https://photos.app.goo.gl/EgRr8LT4ELRqF752A" TargetMode="External"/><Relationship Id="rId6" Type="http://schemas.openxmlformats.org/officeDocument/2006/relationships/hyperlink" Target="https://drive.google.com/file/d/1h_ge0hShw2nFxinP4Ht9ryrmQ5oMeFTm/view?usp=drive_link" TargetMode="External"/><Relationship Id="rId7" Type="http://schemas.openxmlformats.org/officeDocument/2006/relationships/hyperlink" Target="https://photos.app.goo.gl/5xzuoepTqSFqHpSEA" TargetMode="External"/><Relationship Id="rId8" Type="http://schemas.openxmlformats.org/officeDocument/2006/relationships/hyperlink" Target="https://photos.app.goo.gl/j4VEzAcQSL6zg1wE9" TargetMode="External"/><Relationship Id="rId9" Type="http://schemas.openxmlformats.org/officeDocument/2006/relationships/hyperlink" Target="https://drive.google.com/file/d/1hcFdi2vIjrz0UR-IxRMTWThCUt_OtLEm/view?usp=drive_link" TargetMode="External"/><Relationship Id="rId10" Type="http://schemas.openxmlformats.org/officeDocument/2006/relationships/hyperlink" Target="https://photos.app.goo.gl/sEaDqYzK9rZyhAeN9" TargetMode="External"/><Relationship Id="rId11" Type="http://schemas.openxmlformats.org/officeDocument/2006/relationships/hyperlink" Target="https://photos.app.goo.gl/7NvVxyaAvofZdt6J8" TargetMode="External"/><Relationship Id="rId12" Type="http://schemas.openxmlformats.org/officeDocument/2006/relationships/hyperlink" Target="https://photos.app.goo.gl/iBtzq2CEFyKWXEn69" TargetMode="External"/><Relationship Id="rId13" Type="http://schemas.openxmlformats.org/officeDocument/2006/relationships/hyperlink" Target="https://photos.app.goo.gl/sLefmYmgTzRs6JZ5A" TargetMode="External"/><Relationship Id="rId14" Type="http://schemas.openxmlformats.org/officeDocument/2006/relationships/hyperlink" Target="https://photos.app.goo.gl/XQG655HGsyHLB3Me9" TargetMode="External"/><Relationship Id="rId15" Type="http://schemas.openxmlformats.org/officeDocument/2006/relationships/hyperlink" Target="https://photos.app.goo.gl/2iyuqdZdyonQnn279" TargetMode="External"/><Relationship Id="rId16" Type="http://schemas.openxmlformats.org/officeDocument/2006/relationships/hyperlink" Target="https://photos.app.goo.gl/v6Bh399KYpfFfAM18" TargetMode="External"/><Relationship Id="rId17" Type="http://schemas.openxmlformats.org/officeDocument/2006/relationships/hyperlink" Target="https://drive.google.com/file/d/1AxTjNxm6LCVuHsgpQnygRt6obfUslwSO/view?usp=drive_link" TargetMode="External"/><Relationship Id="rId18" Type="http://schemas.openxmlformats.org/officeDocument/2006/relationships/hyperlink" Target="https://photos.app.goo.gl/AWGh597W2fDPU9gcA" TargetMode="External"/><Relationship Id="rId19" Type="http://schemas.openxmlformats.org/officeDocument/2006/relationships/hyperlink" Target="https://photos.app.goo.gl/iFGq9YCjvtSKtGB79" TargetMode="External"/><Relationship Id="rId20" Type="http://schemas.openxmlformats.org/officeDocument/2006/relationships/hyperlink" Target="https://drive.google.com/file/d/19DKdBKQ-NmzL_Z4H9aOrqWl1KhCqLIam/view?usp=drive_link" TargetMode="External"/><Relationship Id="rId21" Type="http://schemas.openxmlformats.org/officeDocument/2006/relationships/hyperlink" Target="https://photos.app.goo.gl/ivnrBt5DZh38pnAP6" TargetMode="External"/><Relationship Id="rId22" Type="http://schemas.openxmlformats.org/officeDocument/2006/relationships/hyperlink" Target="https://photos.app.goo.gl/VCG6mgNsrMWAqpS5A" TargetMode="External"/><Relationship Id="rId23" Type="http://schemas.openxmlformats.org/officeDocument/2006/relationships/hyperlink" Target="https://drive.google.com/file/d/1AJ8ObyesgGxHP1nsIUEvqPlqBvWCLxdA/view?usp=drive_link" TargetMode="External"/><Relationship Id="rId24" Type="http://schemas.openxmlformats.org/officeDocument/2006/relationships/hyperlink" Target="https://photos.app.goo.gl/uSdQRoxn8zo6ztZW8" TargetMode="External"/><Relationship Id="rId25" Type="http://schemas.openxmlformats.org/officeDocument/2006/relationships/hyperlink" Target="https://photos.app.goo.gl/dPypg3A2caNQZnaf8" TargetMode="External"/><Relationship Id="rId26" Type="http://schemas.openxmlformats.org/officeDocument/2006/relationships/hyperlink" Target="https://photos.app.goo.gl/uHgwpraG98CW9acP6" TargetMode="External"/><Relationship Id="rId27" Type="http://schemas.openxmlformats.org/officeDocument/2006/relationships/hyperlink" Target="https://photos.app.goo.gl/gvqumbwLArfRtwRs8" TargetMode="External"/><Relationship Id="rId28" Type="http://schemas.openxmlformats.org/officeDocument/2006/relationships/hyperlink" Target="https://photos.app.goo.gl/Ep6NAfcdECquoNpd8" TargetMode="External"/><Relationship Id="rId29" Type="http://schemas.openxmlformats.org/officeDocument/2006/relationships/drawing" Target="../drawings/drawing13.xml"/>
</Relationships>
</file>

<file path=xl/worksheets/_rels/sheet16.xml.rels><?xml version="1.0" encoding="UTF-8"?>
<Relationships xmlns="http://schemas.openxmlformats.org/package/2006/relationships"><Relationship Id="rId1" Type="http://schemas.openxmlformats.org/officeDocument/2006/relationships/hyperlink" Target="https://photos.app.goo.gl/jUqT7ijrQ6iN7gDJA" TargetMode="External"/><Relationship Id="rId2" Type="http://schemas.openxmlformats.org/officeDocument/2006/relationships/hyperlink" Target="https://photos.app.goo.gl/uM3CVtYrJhzebe2j9" TargetMode="External"/><Relationship Id="rId3" Type="http://schemas.openxmlformats.org/officeDocument/2006/relationships/hyperlink" Target="https://photos.app.goo.gl/huBjuJ5ay4UrsJ9e9" TargetMode="External"/><Relationship Id="rId4" Type="http://schemas.openxmlformats.org/officeDocument/2006/relationships/hyperlink" Target="https://photos.app.goo.gl/aFsqGmRF1FE4FBmL6" TargetMode="External"/><Relationship Id="rId5" Type="http://schemas.openxmlformats.org/officeDocument/2006/relationships/hyperlink" Target="https://photos.app.goo.gl/LVuZy1ax6sCzPqzJ7" TargetMode="External"/><Relationship Id="rId6" Type="http://schemas.openxmlformats.org/officeDocument/2006/relationships/hyperlink" Target="https://photos.app.goo.gl/GmHoTQYoJzFbt1pK6" TargetMode="External"/><Relationship Id="rId7" Type="http://schemas.openxmlformats.org/officeDocument/2006/relationships/hyperlink" Target="https://photos.app.goo.gl/fYWnUKR3B7RV3c467" TargetMode="External"/><Relationship Id="rId8" Type="http://schemas.openxmlformats.org/officeDocument/2006/relationships/hyperlink" Target="https://photos.app.goo.gl/8d6CL1BUVdjEj8wG8" TargetMode="External"/><Relationship Id="rId9" Type="http://schemas.openxmlformats.org/officeDocument/2006/relationships/hyperlink" Target="https://photos.app.goo.gl/ScqB9GvZ59rywQ2E6" TargetMode="External"/><Relationship Id="rId10" Type="http://schemas.openxmlformats.org/officeDocument/2006/relationships/hyperlink" Target="https://photos.app.goo.gl/b5zjDDoUoGnMdwcaA" TargetMode="External"/><Relationship Id="rId11" Type="http://schemas.openxmlformats.org/officeDocument/2006/relationships/hyperlink" Target="https://photos.app.goo.gl/7YZNfnq4NRGT38PZ7" TargetMode="External"/><Relationship Id="rId12" Type="http://schemas.openxmlformats.org/officeDocument/2006/relationships/hyperlink" Target="https://photos.app.goo.gl/kW9MighD1A5PS5HA9" TargetMode="External"/><Relationship Id="rId13" Type="http://schemas.openxmlformats.org/officeDocument/2006/relationships/hyperlink" Target="https://photos.app.goo.gl/5ERsQqt7q1zwTLWt9" TargetMode="External"/><Relationship Id="rId14" Type="http://schemas.openxmlformats.org/officeDocument/2006/relationships/hyperlink" Target="https://photos.app.goo.gl/LSCUQK5ZLQPq5ezCA" TargetMode="External"/><Relationship Id="rId15" Type="http://schemas.openxmlformats.org/officeDocument/2006/relationships/hyperlink" Target="https://photos.app.goo.gl/jmTPwmYjJCNNtENt8" TargetMode="External"/><Relationship Id="rId16" Type="http://schemas.openxmlformats.org/officeDocument/2006/relationships/hyperlink" Target="https://photos.app.goo.gl/yXHHmqFDipPGGqLYA" TargetMode="External"/><Relationship Id="rId17" Type="http://schemas.openxmlformats.org/officeDocument/2006/relationships/hyperlink" Target="https://photos.app.goo.gl/9DAunmsfUmin8AScA" TargetMode="External"/><Relationship Id="rId18" Type="http://schemas.openxmlformats.org/officeDocument/2006/relationships/hyperlink" Target="https://photos.app.goo.gl/xhe1Zdys6UcCBaH18" TargetMode="External"/><Relationship Id="rId19" Type="http://schemas.openxmlformats.org/officeDocument/2006/relationships/hyperlink" Target="https://photos.app.goo.gl/R8dNUjYsbMuayfBn7" TargetMode="External"/><Relationship Id="rId20" Type="http://schemas.openxmlformats.org/officeDocument/2006/relationships/hyperlink" Target="https://photos.app.goo.gl/kj4GzsGNtBGgjA579" TargetMode="External"/><Relationship Id="rId21" Type="http://schemas.openxmlformats.org/officeDocument/2006/relationships/hyperlink" Target="https://drive.google.com/file/d/13QyzqTCi_kjShA4-f3jXEi56bX6rKMQL/view?usp=drive_link" TargetMode="External"/><Relationship Id="rId22" Type="http://schemas.openxmlformats.org/officeDocument/2006/relationships/hyperlink" Target="https://photos.app.goo.gl/oDBh3Wzy6aps1B1C7" TargetMode="External"/><Relationship Id="rId23" Type="http://schemas.openxmlformats.org/officeDocument/2006/relationships/hyperlink" Target="https://photos.app.goo.gl/wWHh2X1zmYkMH3RG9" TargetMode="External"/><Relationship Id="rId24" Type="http://schemas.openxmlformats.org/officeDocument/2006/relationships/hyperlink" Target="https://photos.app.goo.gl/9pq3kWjhfYG1hQJ6A" TargetMode="External"/><Relationship Id="rId25" Type="http://schemas.openxmlformats.org/officeDocument/2006/relationships/hyperlink" Target="https://photos.app.goo.gl/CqQzTzhtSBS5AmA26" TargetMode="External"/><Relationship Id="rId26" Type="http://schemas.openxmlformats.org/officeDocument/2006/relationships/hyperlink" Target="https://photos.app.goo.gl/DwzKJqTAbs62M2BP8" TargetMode="External"/><Relationship Id="rId27" Type="http://schemas.openxmlformats.org/officeDocument/2006/relationships/hyperlink" Target="https://photos.app.goo.gl/DMXMkhkaMZzNmewi8" TargetMode="External"/><Relationship Id="rId28" Type="http://schemas.openxmlformats.org/officeDocument/2006/relationships/hyperlink" Target="https://photos.app.goo.gl/MHuYb118KBTbNtS59" TargetMode="External"/><Relationship Id="rId29" Type="http://schemas.openxmlformats.org/officeDocument/2006/relationships/hyperlink" Target="https://photos.app.goo.gl/9q4km549J14riqtH8" TargetMode="External"/><Relationship Id="rId30" Type="http://schemas.openxmlformats.org/officeDocument/2006/relationships/hyperlink" Target="https://drive.google.com/file/d/14flRwKrWJYKtE1PgNMhSz0IoBTTC_a3q/view?usp=drive_link" TargetMode="External"/><Relationship Id="rId31" Type="http://schemas.openxmlformats.org/officeDocument/2006/relationships/hyperlink" Target="https://photos.app.goo.gl/3NF49qT7Rogmu9Np7" TargetMode="External"/><Relationship Id="rId32" Type="http://schemas.openxmlformats.org/officeDocument/2006/relationships/hyperlink" Target="https://drive.google.com/file/d/14ovxnd_pS2U1XD5xR7Fzb6GncM8rvWKN/view?usp=drive_link" TargetMode="External"/><Relationship Id="rId33" Type="http://schemas.openxmlformats.org/officeDocument/2006/relationships/hyperlink" Target="https://photos.app.goo.gl/dXAfqPXcF3fAGLG4A" TargetMode="External"/><Relationship Id="rId34" Type="http://schemas.openxmlformats.org/officeDocument/2006/relationships/hyperlink" Target="https://drive.google.com/file/d/15Htp2GXwO8RJ2mFnKTH9uMbVPXXMwmTm/view?usp=drive_link" TargetMode="External"/><Relationship Id="rId35" Type="http://schemas.openxmlformats.org/officeDocument/2006/relationships/hyperlink" Target="https://photos.app.goo.gl/dXmRFwRKYqZwaZys7" TargetMode="External"/><Relationship Id="rId36" Type="http://schemas.openxmlformats.org/officeDocument/2006/relationships/hyperlink" Target="https://photos.app.goo.gl/eFm2rD9imrhWwzJK6" TargetMode="External"/><Relationship Id="rId37" Type="http://schemas.openxmlformats.org/officeDocument/2006/relationships/hyperlink" Target="https://drive.google.com/file/d/15KENHBMrSFnB_QWJmxGkxroIcZrj86Iu/view?usp=drive_link" TargetMode="External"/><Relationship Id="rId38" Type="http://schemas.openxmlformats.org/officeDocument/2006/relationships/hyperlink" Target="https://photos.app.goo.gl/q2ZYoHL4RcEVmqwo9" TargetMode="External"/><Relationship Id="rId39" Type="http://schemas.openxmlformats.org/officeDocument/2006/relationships/hyperlink" Target="https://photos.app.goo.gl/dJudpkT2rd4zsxbt5" TargetMode="External"/><Relationship Id="rId40" Type="http://schemas.openxmlformats.org/officeDocument/2006/relationships/hyperlink" Target="https://drive.google.com/file/d/15QUG3QecrpRsqsv27mR_DdMH6fHY4sVC/view?usp=drive_link" TargetMode="External"/><Relationship Id="rId41" Type="http://schemas.openxmlformats.org/officeDocument/2006/relationships/hyperlink" Target="https://photos.app.goo.gl/x4iHGMM7QcidNUHY8" TargetMode="External"/><Relationship Id="rId42" Type="http://schemas.openxmlformats.org/officeDocument/2006/relationships/hyperlink" Target="https://photos.app.goo.gl/oH2TLmCtL5J9QeU1A" TargetMode="External"/><Relationship Id="rId43" Type="http://schemas.openxmlformats.org/officeDocument/2006/relationships/hyperlink" Target="https://drive.google.com/file/d/15SWkrO8yym_48pJBvdiHfzheD3w_GQu4/view?usp=drive_link" TargetMode="External"/><Relationship Id="rId44" Type="http://schemas.openxmlformats.org/officeDocument/2006/relationships/hyperlink" Target="https://photos.app.goo.gl/tFZiBnBdzayGbi5ZA" TargetMode="External"/><Relationship Id="rId45" Type="http://schemas.openxmlformats.org/officeDocument/2006/relationships/hyperlink" Target="https://photos.app.goo.gl/TEJWRpBPEp3FsRR8A" TargetMode="External"/><Relationship Id="rId46" Type="http://schemas.openxmlformats.org/officeDocument/2006/relationships/hyperlink" Target="https://drive.google.com/file/d/10o8xthV9bA0YuNJTp5Vfvz3zajD-SDzJ/view?usp=drive_link" TargetMode="External"/><Relationship Id="rId47" Type="http://schemas.openxmlformats.org/officeDocument/2006/relationships/hyperlink" Target="https://photos.app.goo.gl/xFKMKdpuqqVjeG5J7" TargetMode="External"/><Relationship Id="rId48" Type="http://schemas.openxmlformats.org/officeDocument/2006/relationships/hyperlink" Target="https://photos.app.goo.gl/4eenENssQjT1NUyPA" TargetMode="External"/><Relationship Id="rId49" Type="http://schemas.openxmlformats.org/officeDocument/2006/relationships/hyperlink" Target="https://drive.google.com/file/d/11--R3bCTdmXsC1vfxlN5GI1sd3CSmiZi/view?usp=drive_link" TargetMode="External"/><Relationship Id="rId50" Type="http://schemas.openxmlformats.org/officeDocument/2006/relationships/hyperlink" Target="https://photos.app.goo.gl/neZ4v4FTxeZjUsAX7" TargetMode="External"/><Relationship Id="rId51" Type="http://schemas.openxmlformats.org/officeDocument/2006/relationships/hyperlink" Target="https://photos.app.goo.gl/qVxDZzaURpnRLG8J7" TargetMode="External"/><Relationship Id="rId52" Type="http://schemas.openxmlformats.org/officeDocument/2006/relationships/hyperlink" Target="https://drive.google.com/file/d/115xqSVUkt9atVJ0_LiIJqG6Yn7jSnkRR/view?usp=drive_link" TargetMode="External"/><Relationship Id="rId53" Type="http://schemas.openxmlformats.org/officeDocument/2006/relationships/hyperlink" Target="https://photos.app.goo.gl/zDRm7GMYsXthXnH79" TargetMode="External"/><Relationship Id="rId54" Type="http://schemas.openxmlformats.org/officeDocument/2006/relationships/hyperlink" Target="https://photos.app.goo.gl/eAbj3zC75AUfpuyz6" TargetMode="External"/><Relationship Id="rId55" Type="http://schemas.openxmlformats.org/officeDocument/2006/relationships/hyperlink" Target="https://drive.google.com/file/d/11L5PWf8lyNO_T4rgfkSdiFfotbnchbld/view?usp=drive_link" TargetMode="External"/><Relationship Id="rId56" Type="http://schemas.openxmlformats.org/officeDocument/2006/relationships/hyperlink" Target="https://photos.app.goo.gl/WVUbBnqVibZNci636" TargetMode="External"/><Relationship Id="rId57" Type="http://schemas.openxmlformats.org/officeDocument/2006/relationships/hyperlink" Target="https://photos.app.goo.gl/JDs2WefpkeST18w89" TargetMode="External"/><Relationship Id="rId58" Type="http://schemas.openxmlformats.org/officeDocument/2006/relationships/hyperlink" Target="https://drive.google.com/file/d/11X52iEPCXTRyu_aAIRasG8xL6-KRzufz/view?usp=drive_link" TargetMode="External"/><Relationship Id="rId59" Type="http://schemas.openxmlformats.org/officeDocument/2006/relationships/hyperlink" Target="https://photos.app.goo.gl/5Xy8s2KYqtQ6qVH98" TargetMode="External"/><Relationship Id="rId60" Type="http://schemas.openxmlformats.org/officeDocument/2006/relationships/hyperlink" Target="https://photos.app.goo.gl/fnvfSzKw54UzWyLU6" TargetMode="External"/><Relationship Id="rId61" Type="http://schemas.openxmlformats.org/officeDocument/2006/relationships/hyperlink" Target="https://photos.app.goo.gl/Bbk6ynTWtRknmQxSA" TargetMode="External"/><Relationship Id="rId62" Type="http://schemas.openxmlformats.org/officeDocument/2006/relationships/hyperlink" Target="https://photos.app.goo.gl/JHcRFvKCm9u6TBS4A" TargetMode="External"/><Relationship Id="rId63" Type="http://schemas.openxmlformats.org/officeDocument/2006/relationships/hyperlink" Target="https://photos.app.goo.gl/JHcRFvKCm9u6TBS4A" TargetMode="External"/><Relationship Id="rId64" Type="http://schemas.openxmlformats.org/officeDocument/2006/relationships/hyperlink" Target="https://photos.app.goo.gl/axR5AqKcByjAAiRx8" TargetMode="External"/><Relationship Id="rId65" Type="http://schemas.openxmlformats.org/officeDocument/2006/relationships/hyperlink" Target="https://photos.app.goo.gl/AmX7CoefMSMrWMdQ9" TargetMode="External"/><Relationship Id="rId66" Type="http://schemas.openxmlformats.org/officeDocument/2006/relationships/hyperlink" Target="https://photos.app.goo.gl/RTz7VFmk5fubKGdq8" TargetMode="External"/><Relationship Id="rId67" Type="http://schemas.openxmlformats.org/officeDocument/2006/relationships/hyperlink" Target="https://photos.app.goo.gl/QPniZKRDcuUP6uMq7" TargetMode="External"/><Relationship Id="rId68" Type="http://schemas.openxmlformats.org/officeDocument/2006/relationships/hyperlink" Target="https://drive.google.com/file/d/12HzKC3uLWTupTRVdc1cNAAq96rvbzlbo/view?usp=drive_link" TargetMode="External"/><Relationship Id="rId69" Type="http://schemas.openxmlformats.org/officeDocument/2006/relationships/hyperlink" Target="https://photos.app.goo.gl/9aPQhLVKw1wTFbZ26" TargetMode="External"/><Relationship Id="rId70" Type="http://schemas.openxmlformats.org/officeDocument/2006/relationships/hyperlink" Target="https://photos.app.goo.gl/fNUQJmZVmwmVtmF9A" TargetMode="External"/><Relationship Id="rId71" Type="http://schemas.openxmlformats.org/officeDocument/2006/relationships/hyperlink" Target="https://photos.app.goo.gl/fNUQJmZVmwmVtmF9A" TargetMode="External"/><Relationship Id="rId72" Type="http://schemas.openxmlformats.org/officeDocument/2006/relationships/hyperlink" Target="https://photos.app.goo.gl/9JibSit4FevQNMCv8" TargetMode="External"/><Relationship Id="rId73" Type="http://schemas.openxmlformats.org/officeDocument/2006/relationships/hyperlink" Target="https://drive.google.com/file/d/162-DjBLaV8cJwLiXlZrjO-OycgSQ85TB/view?usp=drive_link" TargetMode="External"/><Relationship Id="rId74" Type="http://schemas.openxmlformats.org/officeDocument/2006/relationships/hyperlink" Target="https://photos.app.goo.gl/diYLL2L1CRxoqEFQA" TargetMode="External"/><Relationship Id="rId75" Type="http://schemas.openxmlformats.org/officeDocument/2006/relationships/hyperlink" Target="https://photos.app.goo.gl/34duPbrjXcBUn8fP6" TargetMode="External"/><Relationship Id="rId76" Type="http://schemas.openxmlformats.org/officeDocument/2006/relationships/hyperlink" Target="https://drive.google.com/file/d/12j0hFpxm_I0bOtn1CYsFDN4kg8f52-p8/view?usp=drive_link" TargetMode="External"/><Relationship Id="rId77" Type="http://schemas.openxmlformats.org/officeDocument/2006/relationships/hyperlink" Target="https://photos.app.goo.gl/zXD1QZxpNAuoky1b7" TargetMode="External"/><Relationship Id="rId78" Type="http://schemas.openxmlformats.org/officeDocument/2006/relationships/hyperlink" Target="https://photos.app.goo.gl/zcgV7F9jF7qXhWsp8" TargetMode="External"/><Relationship Id="rId79" Type="http://schemas.openxmlformats.org/officeDocument/2006/relationships/hyperlink" Target="https://drive.google.com/file/d/12pgcNI5em4HlfL8BYcxvzK6t--iD22WL/view?usp=drive_link" TargetMode="External"/><Relationship Id="rId80" Type="http://schemas.openxmlformats.org/officeDocument/2006/relationships/hyperlink" Target="https://photos.app.goo.gl/baChoFsUZeujB2tH9" TargetMode="External"/><Relationship Id="rId81" Type="http://schemas.openxmlformats.org/officeDocument/2006/relationships/hyperlink" Target="https://photos.app.goo.gl/a5AUDt87K7aKDMxq5" TargetMode="External"/><Relationship Id="rId82" Type="http://schemas.openxmlformats.org/officeDocument/2006/relationships/hyperlink" Target="https://photos.app.goo.gl/y27n1XgiKQnn6r818" TargetMode="External"/><Relationship Id="rId83" Type="http://schemas.openxmlformats.org/officeDocument/2006/relationships/hyperlink" Target="https://photos.app.goo.gl/WDKtS4uAJYPMhEps7" TargetMode="External"/><Relationship Id="rId84" Type="http://schemas.openxmlformats.org/officeDocument/2006/relationships/hyperlink" Target="https://drive.google.com/file/d/14K6wBM2qU8WUbZvkM02_nSqToKpTYBaG/view?usp=drive_link" TargetMode="External"/><Relationship Id="rId85" Type="http://schemas.openxmlformats.org/officeDocument/2006/relationships/hyperlink" Target="https://photos.app.goo.gl/gU7oHHqigZAYTo4T9" TargetMode="External"/><Relationship Id="rId86" Type="http://schemas.openxmlformats.org/officeDocument/2006/relationships/hyperlink" Target="https://photos.app.goo.gl/uH44QLbo3iFHpdN69" TargetMode="External"/><Relationship Id="rId87" Type="http://schemas.openxmlformats.org/officeDocument/2006/relationships/hyperlink" Target="https://photos.app.goo.gl/RzWXxnmDifPFTYBx8" TargetMode="External"/><Relationship Id="rId88" Type="http://schemas.openxmlformats.org/officeDocument/2006/relationships/hyperlink" Target="https://drive.google.com/file/d/13mwW2WP2HZVlu6lPd3ES6Jj-1x3yGfrc/view?usp=drive_link" TargetMode="External"/><Relationship Id="rId89" Type="http://schemas.openxmlformats.org/officeDocument/2006/relationships/hyperlink" Target="https://photos.app.goo.gl/nhN6ARe6HeuBNXPFA" TargetMode="External"/><Relationship Id="rId90" Type="http://schemas.openxmlformats.org/officeDocument/2006/relationships/hyperlink" Target="https://photos.app.goo.gl/MVXy9t2EFxTG69SP9" TargetMode="External"/><Relationship Id="rId91" Type="http://schemas.openxmlformats.org/officeDocument/2006/relationships/hyperlink" Target="https://photos.app.goo.gl/zyMpostwuK9rBU8Q8" TargetMode="External"/><Relationship Id="rId92" Type="http://schemas.openxmlformats.org/officeDocument/2006/relationships/hyperlink" Target="https://drive.google.com/file/d/13WI2caZukXdccSDM1opAf_dA4E60U7nf/view?usp=drive_link" TargetMode="External"/><Relationship Id="rId93" Type="http://schemas.openxmlformats.org/officeDocument/2006/relationships/hyperlink" Target="https://photos.app.goo.gl/UrE5kvZUshNg6q7aA" TargetMode="External"/><Relationship Id="rId94" Type="http://schemas.openxmlformats.org/officeDocument/2006/relationships/drawing" Target="../drawings/drawing14.xml"/>
</Relationships>
</file>

<file path=xl/worksheets/_rels/sheet17.xml.rels><?xml version="1.0" encoding="UTF-8"?>
<Relationships xmlns="http://schemas.openxmlformats.org/package/2006/relationships"><Relationship Id="rId1" Type="http://schemas.openxmlformats.org/officeDocument/2006/relationships/hyperlink" Target="https://photos.app.goo.gl/3RheJQP2W7ap2t3g8" TargetMode="External"/><Relationship Id="rId2" Type="http://schemas.openxmlformats.org/officeDocument/2006/relationships/hyperlink" Target="https://drive.google.com/file/d/14b_73wZ9GN2r003rGce0sPhqcFRyWClR/view?usp=drive_link" TargetMode="External"/><Relationship Id="rId3" Type="http://schemas.openxmlformats.org/officeDocument/2006/relationships/hyperlink" Target="https://photos.app.goo.gl/7C1e1aLYR71YZpwu5" TargetMode="External"/><Relationship Id="rId4" Type="http://schemas.openxmlformats.org/officeDocument/2006/relationships/hyperlink" Target="https://photos.app.goo.gl/RHtFPT7vbE6yCNFx5" TargetMode="External"/><Relationship Id="rId5" Type="http://schemas.openxmlformats.org/officeDocument/2006/relationships/hyperlink" Target="https://drive.google.com/file/d/14rJyIhXZEJdQp6pVKbf57PW_ILM-qUst/view?usp=drive_link" TargetMode="External"/><Relationship Id="rId6" Type="http://schemas.openxmlformats.org/officeDocument/2006/relationships/hyperlink" Target="https://photos.app.goo.gl/n7bEpwcepgL6KDWR7" TargetMode="External"/><Relationship Id="rId7" Type="http://schemas.openxmlformats.org/officeDocument/2006/relationships/hyperlink" Target="https://drive.google.com/file/d/16Dp6wtZoF8s1d1j1oHp0Q_XsIl8uJ4zg/view?usp=drive_link" TargetMode="External"/><Relationship Id="rId8" Type="http://schemas.openxmlformats.org/officeDocument/2006/relationships/hyperlink" Target="https://photos.app.goo.gl/vEqAJP5E1Kx5P3xt9" TargetMode="External"/><Relationship Id="rId9" Type="http://schemas.openxmlformats.org/officeDocument/2006/relationships/hyperlink" Target="https://photos.app.goo.gl/2NU3RjXb4bppT5i96" TargetMode="External"/><Relationship Id="rId10" Type="http://schemas.openxmlformats.org/officeDocument/2006/relationships/hyperlink" Target="https://photos.app.goo.gl/pQmqD8GVMQJ5UBh28" TargetMode="External"/><Relationship Id="rId11" Type="http://schemas.openxmlformats.org/officeDocument/2006/relationships/hyperlink" Target="https://photos.app.goo.gl/JGKxApsxb2J6LUsn8" TargetMode="External"/><Relationship Id="rId12" Type="http://schemas.openxmlformats.org/officeDocument/2006/relationships/hyperlink" Target="https://photos.app.goo.gl/cPM4mVa7TFKc4QuR8" TargetMode="External"/><Relationship Id="rId13" Type="http://schemas.openxmlformats.org/officeDocument/2006/relationships/hyperlink" Target="https://drive.google.com/file/d/18KHLly0a5WepQTn2PbLihGOlea0RhQJ8/view?usp=drive_link" TargetMode="External"/><Relationship Id="rId14" Type="http://schemas.openxmlformats.org/officeDocument/2006/relationships/hyperlink" Target="https://photos.app.goo.gl/yG1XE5RbpbwbqEUv6" TargetMode="External"/><Relationship Id="rId15" Type="http://schemas.openxmlformats.org/officeDocument/2006/relationships/hyperlink" Target="https://drive.google.com/file/d/18MAiMfI4d-_HuqCzFEjb5mgwoToOEPNr/view?usp=drive_link" TargetMode="External"/><Relationship Id="rId16" Type="http://schemas.openxmlformats.org/officeDocument/2006/relationships/hyperlink" Target="https://photos.app.goo.gl/W9gwHKBF3Lc6R7to6" TargetMode="External"/><Relationship Id="rId17" Type="http://schemas.openxmlformats.org/officeDocument/2006/relationships/hyperlink" Target="https://photos.app.goo.gl/8d8bBRcrtDLxxUDn7" TargetMode="External"/><Relationship Id="rId18" Type="http://schemas.openxmlformats.org/officeDocument/2006/relationships/hyperlink" Target="https://drive.google.com/file/d/19fR3ogHgw-WFwnMOW7scPxxcQE4JZrVH/view?usp=drive_link" TargetMode="External"/><Relationship Id="rId19" Type="http://schemas.openxmlformats.org/officeDocument/2006/relationships/hyperlink" Target="https://photos.app.goo.gl/QTX7kPzbQAF1SLaV8" TargetMode="External"/><Relationship Id="rId20" Type="http://schemas.openxmlformats.org/officeDocument/2006/relationships/hyperlink" Target="https://photos.app.goo.gl/GRfbTp814LhFtDTs9" TargetMode="External"/><Relationship Id="rId21" Type="http://schemas.openxmlformats.org/officeDocument/2006/relationships/hyperlink" Target="https://drive.google.com/file/d/1A0EqT5oEQ0xq2npcduMq1vJFlOm_ENeu/view?usp=drive_link" TargetMode="External"/><Relationship Id="rId22" Type="http://schemas.openxmlformats.org/officeDocument/2006/relationships/hyperlink" Target="https://photos.app.goo.gl/Z7sQ3G9kp9GUQB6o7" TargetMode="External"/><Relationship Id="rId23" Type="http://schemas.openxmlformats.org/officeDocument/2006/relationships/hyperlink" Target="https://drive.google.com/file/d/1ADvdmG7aQZqZxQjIAupdKv9zTSfevJY8/view?usp=drive_link" TargetMode="External"/><Relationship Id="rId24" Type="http://schemas.openxmlformats.org/officeDocument/2006/relationships/hyperlink" Target="https://photos.app.goo.gl/MqM1hH9h5wRiAa2T8" TargetMode="External"/><Relationship Id="rId25" Type="http://schemas.openxmlformats.org/officeDocument/2006/relationships/hyperlink" Target="https://drive.google.com/file/d/161NYmxa8Nn-u9FzDUgpvPoBClEjIJS0n/view?usp=drive_link" TargetMode="External"/><Relationship Id="rId26" Type="http://schemas.openxmlformats.org/officeDocument/2006/relationships/hyperlink" Target="https://photos.app.goo.gl/S7kqDvP7xF4U8tMh6" TargetMode="External"/><Relationship Id="rId27" Type="http://schemas.openxmlformats.org/officeDocument/2006/relationships/hyperlink" Target="https://drive.google.com/file/d/163zbtKtaNiKj1UG8XDagYggCB2ZTCPbd/view?usp=drive_link" TargetMode="External"/><Relationship Id="rId28" Type="http://schemas.openxmlformats.org/officeDocument/2006/relationships/hyperlink" Target="https://photos.app.goo.gl/qAuUXcrUQUV6xffBA" TargetMode="External"/><Relationship Id="rId29" Type="http://schemas.openxmlformats.org/officeDocument/2006/relationships/hyperlink" Target="https://photos.app.goo.gl/GqpTv2zSk8fo54R17" TargetMode="External"/><Relationship Id="rId30" Type="http://schemas.openxmlformats.org/officeDocument/2006/relationships/hyperlink" Target="https://photos.app.goo.gl/2jQqeHYSiu9o4Aow9" TargetMode="External"/><Relationship Id="rId31" Type="http://schemas.openxmlformats.org/officeDocument/2006/relationships/hyperlink" Target="https://photos.app.goo.gl/zwpuKSRMexZRWPrD9" TargetMode="External"/><Relationship Id="rId32" Type="http://schemas.openxmlformats.org/officeDocument/2006/relationships/hyperlink" Target="https://photos.app.goo.gl/j7kLUax4zQ1jBPi9A" TargetMode="External"/><Relationship Id="rId33" Type="http://schemas.openxmlformats.org/officeDocument/2006/relationships/hyperlink" Target="https://photos.app.goo.gl/hWt3ZVf3uRT1tXBY8" TargetMode="External"/><Relationship Id="rId34" Type="http://schemas.openxmlformats.org/officeDocument/2006/relationships/hyperlink" Target="https://drive.google.com/file/d/17TCCeX_Auoq1w6yBzV-sGNp16OEo8MOw/view?usp=drive_link" TargetMode="External"/><Relationship Id="rId35" Type="http://schemas.openxmlformats.org/officeDocument/2006/relationships/hyperlink" Target="https://photos.app.goo.gl/o1CSWPcp5GHM5iG69" TargetMode="External"/><Relationship Id="rId36" Type="http://schemas.openxmlformats.org/officeDocument/2006/relationships/hyperlink" Target="https://photos.app.goo.gl/zrvpBgTcZpLUyPaHA" TargetMode="External"/><Relationship Id="rId37" Type="http://schemas.openxmlformats.org/officeDocument/2006/relationships/hyperlink" Target="https://photos.app.goo.gl/ZVod9ccNqADHE5Yi7" TargetMode="External"/><Relationship Id="rId38" Type="http://schemas.openxmlformats.org/officeDocument/2006/relationships/hyperlink" Target="https://photos.app.goo.gl/dJDrCsS5S8Dzk3RXA" TargetMode="External"/><Relationship Id="rId39" Type="http://schemas.openxmlformats.org/officeDocument/2006/relationships/hyperlink" Target="https://photos.app.goo.gl/rejfVrMfCjDoiATz6" TargetMode="External"/><Relationship Id="rId40" Type="http://schemas.openxmlformats.org/officeDocument/2006/relationships/hyperlink" Target="https://photos.app.goo.gl/LJzr3vrJhRUV4XB26" TargetMode="External"/><Relationship Id="rId41" Type="http://schemas.openxmlformats.org/officeDocument/2006/relationships/hyperlink" Target="https://photos.app.goo.gl/GPYe24pZpBNX3YHf9" TargetMode="External"/><Relationship Id="rId42" Type="http://schemas.openxmlformats.org/officeDocument/2006/relationships/hyperlink" Target="https://drive.google.com/file/d/19lP5VFn7TASLRbkzrcboikCfLnaRhuAt/view?usp=drive_link" TargetMode="External"/><Relationship Id="rId43" Type="http://schemas.openxmlformats.org/officeDocument/2006/relationships/hyperlink" Target="https://photos.app.goo.gl/16tkEX8HprBZEEvq9" TargetMode="External"/><Relationship Id="rId44" Type="http://schemas.openxmlformats.org/officeDocument/2006/relationships/drawing" Target="../drawings/drawing15.xml"/>
</Relationships>
</file>

<file path=xl/worksheets/_rels/sheet18.xml.rels><?xml version="1.0" encoding="UTF-8"?>
<Relationships xmlns="http://schemas.openxmlformats.org/package/2006/relationships"><Relationship Id="rId1" Type="http://schemas.openxmlformats.org/officeDocument/2006/relationships/hyperlink" Target="https://drive.google.com/file/d/10d9EgqAHH3NhWLl91Q3vA_Vr3I5R3Y6c/view?usp=drive_link" TargetMode="External"/><Relationship Id="rId2" Type="http://schemas.openxmlformats.org/officeDocument/2006/relationships/hyperlink" Target="https://drive.google.com/file/d/1-Q8epVuF5ZClT65fvoo9oHrOGJY0uBde/view?usp=drive_link" TargetMode="External"/><Relationship Id="rId3" Type="http://schemas.openxmlformats.org/officeDocument/2006/relationships/hyperlink" Target="https://photos.app.goo.gl/LDTWXskVQUZJBRM66" TargetMode="External"/><Relationship Id="rId4" Type="http://schemas.openxmlformats.org/officeDocument/2006/relationships/hyperlink" Target="https://drive.google.com/file/d/1vtF0m9VTYAI6NQQ083PHYdXDytMyW1gZ/view?usp=drive_link" TargetMode="External"/><Relationship Id="rId5" Type="http://schemas.openxmlformats.org/officeDocument/2006/relationships/hyperlink" Target="https://photos.app.goo.gl/EbMRWt9eknuYHhRU7" TargetMode="External"/><Relationship Id="rId6" Type="http://schemas.openxmlformats.org/officeDocument/2006/relationships/hyperlink" Target="https://drive.google.com/file/d/1yh_dWsEUZimBT4n4DFT02PdHxSxdDy3D/view?usp=drive_link" TargetMode="External"/><Relationship Id="rId7" Type="http://schemas.openxmlformats.org/officeDocument/2006/relationships/hyperlink" Target="https://photos.app.goo.gl/XjVnAuAUGDNfcJS49" TargetMode="External"/><Relationship Id="rId8" Type="http://schemas.openxmlformats.org/officeDocument/2006/relationships/hyperlink" Target="https://drive.google.com/file/d/1z4zhcJo2cYwxJDthX8Wv0_EtBK7vlZ6P/view?usp=drive_link" TargetMode="External"/><Relationship Id="rId9" Type="http://schemas.openxmlformats.org/officeDocument/2006/relationships/hyperlink" Target="https://drive.google.com/file/d/1ykkvLSjOFeP404jjXSqJKb6Cq7Q-TZ5V/view?usp=drive_link" TargetMode="External"/><Relationship Id="rId10" Type="http://schemas.openxmlformats.org/officeDocument/2006/relationships/hyperlink" Target="https://photos.app.goo.gl/Hsream17Hk7EZNmU8" TargetMode="External"/><Relationship Id="rId11" Type="http://schemas.openxmlformats.org/officeDocument/2006/relationships/hyperlink" Target="https://drive.google.com/file/d/1y1ox3_MTBrtIDvxKL0Z_nSVRzFFEeJIi/view?usp=drive_link" TargetMode="External"/><Relationship Id="rId12" Type="http://schemas.openxmlformats.org/officeDocument/2006/relationships/hyperlink" Target="https://photos.app.goo.gl/v46S3PTUHsL66dWa6" TargetMode="External"/><Relationship Id="rId13" Type="http://schemas.openxmlformats.org/officeDocument/2006/relationships/hyperlink" Target="https://drive.google.com/file/d/1yCMCfdYy0Ukoqr_MjUSCF2GWVgACvvIN/view?usp=drive_link" TargetMode="External"/><Relationship Id="rId14" Type="http://schemas.openxmlformats.org/officeDocument/2006/relationships/hyperlink" Target="https://photos.app.goo.gl/ijH89CA2eLtUBHmx8" TargetMode="External"/><Relationship Id="rId15" Type="http://schemas.openxmlformats.org/officeDocument/2006/relationships/hyperlink" Target="https://drive.google.com/file/d/1xk_8oQjwWEDxs4TWUvZi4hyifGeDTydk/view?usp=drive_link" TargetMode="External"/><Relationship Id="rId16" Type="http://schemas.openxmlformats.org/officeDocument/2006/relationships/hyperlink" Target="https://photos.app.goo.gl/1LoYBLhV4qX8Lcsc6" TargetMode="External"/><Relationship Id="rId17" Type="http://schemas.openxmlformats.org/officeDocument/2006/relationships/hyperlink" Target="https://drive.google.com/drive/folders/1x_aaA1DAaoO0MNPAAd6ECppt75RQPP4x?usp=drive_link" TargetMode="External"/><Relationship Id="rId18" Type="http://schemas.openxmlformats.org/officeDocument/2006/relationships/hyperlink" Target="https://photos.app.goo.gl/srPvRuujxWk1Rt1y6" TargetMode="External"/><Relationship Id="rId19" Type="http://schemas.openxmlformats.org/officeDocument/2006/relationships/hyperlink" Target="https://drive.google.com/file/d/1-AniWwzkF8qCXPliS0osIo2VZ0P_Cht3/view?usp=drive_link" TargetMode="External"/><Relationship Id="rId20" Type="http://schemas.openxmlformats.org/officeDocument/2006/relationships/hyperlink" Target="https://photos.app.goo.gl/otUHBGJbcv5RpVxBA" TargetMode="External"/><Relationship Id="rId21" Type="http://schemas.openxmlformats.org/officeDocument/2006/relationships/hyperlink" Target="https://drive.google.com/file/d/1-1IXu8IdiNC1lPO9shcd0a6q7tnmaOue/view?usp=drive_link" TargetMode="External"/><Relationship Id="rId22" Type="http://schemas.openxmlformats.org/officeDocument/2006/relationships/hyperlink" Target="https://photos.app.goo.gl/J9jdKvdHn8sQMSAe8" TargetMode="External"/><Relationship Id="rId23" Type="http://schemas.openxmlformats.org/officeDocument/2006/relationships/hyperlink" Target="https://photos.app.goo.gl/RQwdrS911M85Hst17" TargetMode="External"/><Relationship Id="rId24" Type="http://schemas.openxmlformats.org/officeDocument/2006/relationships/hyperlink" Target="http://gsaldealmacor.com.ar/" TargetMode="External"/><Relationship Id="rId25" Type="http://schemas.openxmlformats.org/officeDocument/2006/relationships/hyperlink" Target="https://photos.app.goo.gl/yqEAaTik1v7GevgJ8" TargetMode="External"/><Relationship Id="rId26" Type="http://schemas.openxmlformats.org/officeDocument/2006/relationships/hyperlink" Target="https://drive.google.com/file/d/13ZT3mBilw-sTJg62vGab-V_LqUmL0uWu/view?usp=drive_link" TargetMode="External"/><Relationship Id="rId27" Type="http://schemas.openxmlformats.org/officeDocument/2006/relationships/hyperlink" Target="https://photos.app.goo.gl/opXpQFYub3CjYfD47" TargetMode="External"/><Relationship Id="rId28" Type="http://schemas.openxmlformats.org/officeDocument/2006/relationships/hyperlink" Target="https://photos.app.goo.gl/FVupobwTgt8b6Nvh6" TargetMode="External"/><Relationship Id="rId29" Type="http://schemas.openxmlformats.org/officeDocument/2006/relationships/hyperlink" Target="https://drive.google.com/file/d/11g5zGg4cWDiF6w3bTKvsuHqBpXSw0E2Q/view?usp=drive_link" TargetMode="External"/><Relationship Id="rId30" Type="http://schemas.openxmlformats.org/officeDocument/2006/relationships/hyperlink" Target="https://photos.app.goo.gl/CnCu4L2jN1W78Y5o6" TargetMode="External"/><Relationship Id="rId31" Type="http://schemas.openxmlformats.org/officeDocument/2006/relationships/hyperlink" Target="https://photos.app.goo.gl/U5DWrnJZnAeeys419" TargetMode="External"/><Relationship Id="rId32" Type="http://schemas.openxmlformats.org/officeDocument/2006/relationships/hyperlink" Target="https://photos.app.goo.gl/GyQvmuZzrLoFeVeg9" TargetMode="External"/><Relationship Id="rId33" Type="http://schemas.openxmlformats.org/officeDocument/2006/relationships/hyperlink" Target="https://photos.app.goo.gl/6S8cZFSNz6zP5juXA" TargetMode="External"/><Relationship Id="rId34" Type="http://schemas.openxmlformats.org/officeDocument/2006/relationships/hyperlink" Target="https://photos.app.goo.gl/pqpojL3TYNYYykKo7" TargetMode="External"/><Relationship Id="rId35" Type="http://schemas.openxmlformats.org/officeDocument/2006/relationships/hyperlink" Target="https://photos.app.goo.gl/djj73JXV3dZbTWQU7" TargetMode="External"/><Relationship Id="rId36" Type="http://schemas.openxmlformats.org/officeDocument/2006/relationships/hyperlink" Target="https://photos.app.goo.gl/djj73JXV3dZbTWQU7" TargetMode="External"/><Relationship Id="rId37" Type="http://schemas.openxmlformats.org/officeDocument/2006/relationships/drawing" Target="../drawings/drawing16.xml"/>
</Relationships>
</file>

<file path=xl/worksheets/_rels/sheet19.xml.rels><?xml version="1.0" encoding="UTF-8"?>
<Relationships xmlns="http://schemas.openxmlformats.org/package/2006/relationships"><Relationship Id="rId1" Type="http://schemas.openxmlformats.org/officeDocument/2006/relationships/hyperlink" Target="https://drive.google.com/file/d/1mkQyVDHDjTSvbWW-QT_QZl9ajtO3I9Db/view?usp=drive_link" TargetMode="External"/><Relationship Id="rId2" Type="http://schemas.openxmlformats.org/officeDocument/2006/relationships/hyperlink" Target="https://photos.app.goo.gl/59ZGSz3SZrCNrFC3A" TargetMode="External"/><Relationship Id="rId3" Type="http://schemas.openxmlformats.org/officeDocument/2006/relationships/hyperlink" Target="https://drive.google.com/file/d/1lGw58VVEd73J2IEyCwt4U676agFvsrwx/view?usp=drive_link" TargetMode="External"/><Relationship Id="rId4" Type="http://schemas.openxmlformats.org/officeDocument/2006/relationships/hyperlink" Target="https://drive.google.com/file/d/1lLgSlbpiCfVPnoX-Aqa0ISW4f7rY8kG7/view?usp=drive_link" TargetMode="External"/><Relationship Id="rId5" Type="http://schemas.openxmlformats.org/officeDocument/2006/relationships/hyperlink" Target="https://drive.google.com/file/d/1l8F3jb7hWKGne6qhzc2yB9AU8gxf03FU/view?usp=drive_link" TargetMode="External"/><Relationship Id="rId6" Type="http://schemas.openxmlformats.org/officeDocument/2006/relationships/hyperlink" Target="https://photos.app.goo.gl/AqQhozkCi2otrA9Z7" TargetMode="External"/><Relationship Id="rId7" Type="http://schemas.openxmlformats.org/officeDocument/2006/relationships/hyperlink" Target="https://drive.google.com/file/d/1pDYIvUMZbsf-k9lFsnfXlnbAvGMcB8jV/view?usp=drive_link" TargetMode="External"/><Relationship Id="rId8" Type="http://schemas.openxmlformats.org/officeDocument/2006/relationships/hyperlink" Target="https://photos.app.goo.gl/6Cr6GM1UJd83vkjf9" TargetMode="External"/><Relationship Id="rId9" Type="http://schemas.openxmlformats.org/officeDocument/2006/relationships/hyperlink" Target="https://drive.google.com/file/d/1n68hPyLMs1KwUK0liiGUDO3_Z5HvrXzF/view?usp=drive_link" TargetMode="External"/><Relationship Id="rId10" Type="http://schemas.openxmlformats.org/officeDocument/2006/relationships/hyperlink" Target="https://photos.app.goo.gl/oh7VrutvdKahEx9z5" TargetMode="External"/><Relationship Id="rId11" Type="http://schemas.openxmlformats.org/officeDocument/2006/relationships/hyperlink" Target="https://drive.google.com/file/d/1ozAGVDt949BOaOYurk36ybgwlA357lIW/view?usp=drive_link" TargetMode="External"/><Relationship Id="rId12" Type="http://schemas.openxmlformats.org/officeDocument/2006/relationships/hyperlink" Target="https://photos.app.goo.gl/JGjzDqXoTzSYgSjg9" TargetMode="External"/><Relationship Id="rId13" Type="http://schemas.openxmlformats.org/officeDocument/2006/relationships/hyperlink" Target="https://drive.google.com/file/d/1pvGfGeo_Ezf3IRu4LXEpeLiBf5nk0d0n/view?usp=drive_link" TargetMode="External"/><Relationship Id="rId14" Type="http://schemas.openxmlformats.org/officeDocument/2006/relationships/hyperlink" Target="https://photos.app.goo.gl/renydbi4NG3rgmVS9" TargetMode="External"/><Relationship Id="rId15" Type="http://schemas.openxmlformats.org/officeDocument/2006/relationships/hyperlink" Target="https://drive.google.com/file/d/1qnUzNtlVZedt66j7nVrqr7fbjgTPm3jK/view?usp=drive_link" TargetMode="External"/><Relationship Id="rId16" Type="http://schemas.openxmlformats.org/officeDocument/2006/relationships/hyperlink" Target="https://drive.google.com/file/d/1q5ADIyfkMXmlunxURlGqtC80cVmka1ry/view?usp=drive_link" TargetMode="External"/><Relationship Id="rId17" Type="http://schemas.openxmlformats.org/officeDocument/2006/relationships/hyperlink" Target="https://photos.app.goo.gl/1YBRQR9T67NakJTX8" TargetMode="External"/><Relationship Id="rId18" Type="http://schemas.openxmlformats.org/officeDocument/2006/relationships/hyperlink" Target="https://drive.google.com/file/d/1sc_m9wOVCR9qBv4KO28m9CJ9GFD7mDOM/view?usp=drive_link" TargetMode="External"/><Relationship Id="rId19" Type="http://schemas.openxmlformats.org/officeDocument/2006/relationships/hyperlink" Target="https://photos.app.goo.gl/aQMNyu3npZMAkwV7A" TargetMode="External"/><Relationship Id="rId20" Type="http://schemas.openxmlformats.org/officeDocument/2006/relationships/hyperlink" Target="https://drive.google.com/file/d/1siE1hhzWh1_LrUPZ-8qfGYjIF_cLNgeu/view?usp=drive_link" TargetMode="External"/><Relationship Id="rId21" Type="http://schemas.openxmlformats.org/officeDocument/2006/relationships/hyperlink" Target="https://photos.app.goo.gl/dVaDhj6RGNSKBkDMA" TargetMode="External"/><Relationship Id="rId22" Type="http://schemas.openxmlformats.org/officeDocument/2006/relationships/hyperlink" Target="https://drive.google.com/file/d/1wlrQmdsFuA1KIig0u-CWE0tETzHxSCx4/view?usp=drive_link" TargetMode="External"/><Relationship Id="rId23" Type="http://schemas.openxmlformats.org/officeDocument/2006/relationships/hyperlink" Target="https://photos.app.goo.gl/BKhKHt7jJnQBJCX98" TargetMode="External"/><Relationship Id="rId24" Type="http://schemas.openxmlformats.org/officeDocument/2006/relationships/hyperlink" Target="https://drive.google.com/file/d/1wVrY7pLY6bIPKaUBpFVktsSHeI_WLf0y/view?usp=drive_link" TargetMode="External"/><Relationship Id="rId25" Type="http://schemas.openxmlformats.org/officeDocument/2006/relationships/hyperlink" Target="https://photos.app.goo.gl/hQaZmWHZ9cSLRg296" TargetMode="External"/><Relationship Id="rId26" Type="http://schemas.openxmlformats.org/officeDocument/2006/relationships/hyperlink" Target="https://drive.google.com/file/d/1w5djh5kJ_7X56BKlrX7pt9UL8hGj6ITc/view?usp=drive_link" TargetMode="External"/><Relationship Id="rId27" Type="http://schemas.openxmlformats.org/officeDocument/2006/relationships/hyperlink" Target="https://photos.app.goo.gl/D73pJAj2DCDgDLV99" TargetMode="External"/><Relationship Id="rId28" Type="http://schemas.openxmlformats.org/officeDocument/2006/relationships/hyperlink" Target="https://drive.google.com/file/d/1tl2qdeQKOs4N0ffEwB2te5BLuy6oBZ1g/view?usp=drive_link" TargetMode="External"/><Relationship Id="rId29" Type="http://schemas.openxmlformats.org/officeDocument/2006/relationships/hyperlink" Target="https://photos.app.goo.gl/9nvHw6KwsGqX2irT7" TargetMode="External"/><Relationship Id="rId30" Type="http://schemas.openxmlformats.org/officeDocument/2006/relationships/hyperlink" Target="https://drive.google.com/file/d/1x74pw4tK4D_P2pCBHggzT_PA6pUG3DAL/view?usp=drive_link" TargetMode="External"/><Relationship Id="rId31" Type="http://schemas.openxmlformats.org/officeDocument/2006/relationships/hyperlink" Target="https://photos.app.goo.gl/7qGmZuiqSRyqgZL96" TargetMode="External"/><Relationship Id="rId32" Type="http://schemas.openxmlformats.org/officeDocument/2006/relationships/hyperlink" Target="https://drive.google.com/file/d/11MM_9Jgmwam7ZuJJrdZWiU7w_B97d6hl/view?usp=drive_link" TargetMode="External"/><Relationship Id="rId33" Type="http://schemas.openxmlformats.org/officeDocument/2006/relationships/hyperlink" Target="https://photos.app.goo.gl/B7TDYE1ZCZBaijAe9" TargetMode="External"/><Relationship Id="rId34" Type="http://schemas.openxmlformats.org/officeDocument/2006/relationships/drawing" Target="../drawings/drawing17.xml"/>
</Relationships>
</file>

<file path=xl/worksheets/_rels/sheet20.xml.rels><?xml version="1.0" encoding="UTF-8"?>
<Relationships xmlns="http://schemas.openxmlformats.org/package/2006/relationships"><Relationship Id="rId1" Type="http://schemas.openxmlformats.org/officeDocument/2006/relationships/hyperlink" Target="https://drive.google.com/file/d/1cvi7lmm30ScejFifUYTVZWkRG67B4jn3/view?usp=drive_link" TargetMode="External"/><Relationship Id="rId2" Type="http://schemas.openxmlformats.org/officeDocument/2006/relationships/hyperlink" Target="https://photos.app.goo.gl/d32FsA2V11SUGs3V9" TargetMode="External"/><Relationship Id="rId3" Type="http://schemas.openxmlformats.org/officeDocument/2006/relationships/hyperlink" Target="https://drive.google.com/file/d/1d2dy9u_EzrQd06UYA2z6n5puAVx2Bd4S/view?usp=drive_link" TargetMode="External"/><Relationship Id="rId4" Type="http://schemas.openxmlformats.org/officeDocument/2006/relationships/hyperlink" Target="https://photos.app.goo.gl/kEFQSS7kor8YiuX59" TargetMode="External"/><Relationship Id="rId5" Type="http://schemas.openxmlformats.org/officeDocument/2006/relationships/hyperlink" Target="https://drive.google.com/file/d/1dI52Otvf2Jy5hzXICGgNWv-P1-u00Caa/view?usp=drive_link" TargetMode="External"/><Relationship Id="rId6" Type="http://schemas.openxmlformats.org/officeDocument/2006/relationships/hyperlink" Target="https://photos.app.goo.gl/RU7nJEyscVZWJ19Y9" TargetMode="External"/><Relationship Id="rId7" Type="http://schemas.openxmlformats.org/officeDocument/2006/relationships/hyperlink" Target="https://drive.google.com/file/d/1eDafVq_G8aboKZJQiZ6FDnHTPCyUXALj/view?usp=drive_link" TargetMode="External"/><Relationship Id="rId8" Type="http://schemas.openxmlformats.org/officeDocument/2006/relationships/hyperlink" Target="https://photos.app.goo.gl/W44etZ9dChQXsWuX7" TargetMode="External"/><Relationship Id="rId9" Type="http://schemas.openxmlformats.org/officeDocument/2006/relationships/hyperlink" Target="https://drive.google.com/file/d/1eG94zqmrmljxzOuGtuF90HhMn4paPo1l/view?usp=drive_link" TargetMode="External"/><Relationship Id="rId10" Type="http://schemas.openxmlformats.org/officeDocument/2006/relationships/hyperlink" Target="https://photos.app.goo.gl/jhJnUh6FKKUMwmwF9" TargetMode="External"/><Relationship Id="rId11" Type="http://schemas.openxmlformats.org/officeDocument/2006/relationships/hyperlink" Target="https://drive.google.com/file/d/1dVGu66Xetif4AbMLFwXXGGpARxsmXbcB/view?usp=drive_link" TargetMode="External"/><Relationship Id="rId12" Type="http://schemas.openxmlformats.org/officeDocument/2006/relationships/hyperlink" Target="https://photos.app.goo.gl/wuNHHYczfzMWcqJ98" TargetMode="External"/><Relationship Id="rId13" Type="http://schemas.openxmlformats.org/officeDocument/2006/relationships/hyperlink" Target="https://drive.google.com/file/d/1ecnOSY8TUYqN8RXyBXYvMZ4oambhGIAC/view?usp=drive_link" TargetMode="External"/><Relationship Id="rId14" Type="http://schemas.openxmlformats.org/officeDocument/2006/relationships/hyperlink" Target="https://photos.app.goo.gl/iAPjrd2VKM5jphYw9" TargetMode="External"/><Relationship Id="rId15" Type="http://schemas.openxmlformats.org/officeDocument/2006/relationships/hyperlink" Target="https://drive.google.com/file/d/1djFeDnCqChArupBD4pErHVleUnEZ2OjL/view?usp=drive_link" TargetMode="External"/><Relationship Id="rId16" Type="http://schemas.openxmlformats.org/officeDocument/2006/relationships/hyperlink" Target="https://photos.app.goo.gl/LGGr7LR8X5UDqTH86" TargetMode="External"/><Relationship Id="rId17" Type="http://schemas.openxmlformats.org/officeDocument/2006/relationships/hyperlink" Target="https://drive.google.com/file/d/1djMKEYuDOIDSnAvcgrZnguTyksgSJtiy/view?usp=drive_link" TargetMode="External"/><Relationship Id="rId18" Type="http://schemas.openxmlformats.org/officeDocument/2006/relationships/hyperlink" Target="https://photos.app.goo.gl/GZzhdpWasqejV49w5" TargetMode="External"/><Relationship Id="rId19" Type="http://schemas.openxmlformats.org/officeDocument/2006/relationships/hyperlink" Target="https://drive.google.com/file/d/1o83CHi_6jhG9HgcLiwx_QUvoEPRjxh1M/view?usp=drive_link" TargetMode="External"/><Relationship Id="rId20" Type="http://schemas.openxmlformats.org/officeDocument/2006/relationships/hyperlink" Target="https://drive.google.com/file/d/1erqtNB3k7vPC9q94BZNnej5Vjqc6WtUb/view?usp=drive_link" TargetMode="External"/><Relationship Id="rId21" Type="http://schemas.openxmlformats.org/officeDocument/2006/relationships/hyperlink" Target="https://photos.app.goo.gl/4BW1CCr8bYbsZLuU6" TargetMode="External"/><Relationship Id="rId22" Type="http://schemas.openxmlformats.org/officeDocument/2006/relationships/hyperlink" Target="https://drive.google.com/file/d/1oRiOlmfFMo_kaPuqwq0Rf2pwowYNOstz/view?usp=drive_link" TargetMode="External"/><Relationship Id="rId23" Type="http://schemas.openxmlformats.org/officeDocument/2006/relationships/drawing" Target="../drawings/drawing18.xml"/>
</Relationships>
</file>

<file path=xl/worksheets/_rels/sheet21.xml.rels><?xml version="1.0" encoding="UTF-8"?>
<Relationships xmlns="http://schemas.openxmlformats.org/package/2006/relationships"><Relationship Id="rId1" Type="http://schemas.openxmlformats.org/officeDocument/2006/relationships/hyperlink" Target="https://drive.google.com/file/d/1ZX7d9_VUvvhDuwVNmNckYwRNSwFkF4rC/view?usp=drive_link" TargetMode="External"/><Relationship Id="rId2" Type="http://schemas.openxmlformats.org/officeDocument/2006/relationships/hyperlink" Target="https://photos.app.goo.gl/nqkyHZaLFLgdtkV59" TargetMode="External"/><Relationship Id="rId3" Type="http://schemas.openxmlformats.org/officeDocument/2006/relationships/drawing" Target="../drawings/drawing19.xml"/>
</Relationships>
</file>

<file path=xl/worksheets/_rels/sheet22.xml.rels><?xml version="1.0" encoding="UTF-8"?>
<Relationships xmlns="http://schemas.openxmlformats.org/package/2006/relationships"><Relationship Id="rId1" Type="http://schemas.openxmlformats.org/officeDocument/2006/relationships/hyperlink" Target="https://drive.google.com/file/d/1UpD5G5bPY4L-rHw_nSlstshv5LSEyC96/view?usp=share_link" TargetMode="External"/><Relationship Id="rId2" Type="http://schemas.openxmlformats.org/officeDocument/2006/relationships/hyperlink" Target="https://photos.app.goo.gl/zcfnsjq7HkmHfVNWA" TargetMode="External"/><Relationship Id="rId3" Type="http://schemas.openxmlformats.org/officeDocument/2006/relationships/hyperlink" Target="https://drive.google.com/file/d/1TC3SgAVIJxaQ1xnmD0cQzvdgo46FUcNA/view?usp=share_link" TargetMode="External"/><Relationship Id="rId4" Type="http://schemas.openxmlformats.org/officeDocument/2006/relationships/hyperlink" Target="https://photos.app.goo.gl/ucNrY32w2Q2vtQUk7" TargetMode="External"/><Relationship Id="rId5" Type="http://schemas.openxmlformats.org/officeDocument/2006/relationships/hyperlink" Target="https://drive.google.com/file/d/1TCMi0Afrbk3aGnsJyNVdH3z_Gh7V5-h3/view?usp=share_link" TargetMode="External"/><Relationship Id="rId6" Type="http://schemas.openxmlformats.org/officeDocument/2006/relationships/hyperlink" Target="https://photos.app.goo.gl/ScS3iLAjgRnk3uQF9" TargetMode="External"/><Relationship Id="rId7" Type="http://schemas.openxmlformats.org/officeDocument/2006/relationships/hyperlink" Target="https://drive.google.com/file/d/1V1B9zfKMG7ZNAMf4aMrBXSkOwmrzVQLi/view?usp=share_link" TargetMode="External"/><Relationship Id="rId8" Type="http://schemas.openxmlformats.org/officeDocument/2006/relationships/hyperlink" Target="https://photos.app.goo.gl/aY9ypPmLWnifVoqm6" TargetMode="External"/><Relationship Id="rId9" Type="http://schemas.openxmlformats.org/officeDocument/2006/relationships/hyperlink" Target="https://drive.google.com/file/d/1U_BxabHwZT6PFJfA6ML4ezKOLD1RQ_c5/view?usp=share_link" TargetMode="External"/><Relationship Id="rId10" Type="http://schemas.openxmlformats.org/officeDocument/2006/relationships/hyperlink" Target="https://photos.app.goo.gl/ZLEGN7mkA4USkMLXA" TargetMode="External"/><Relationship Id="rId11" Type="http://schemas.openxmlformats.org/officeDocument/2006/relationships/hyperlink" Target="https://drive.google.com/file/d/1VZF7oG2vPd40kwe_Ev5SG4QN3MNt-OdO/view?usp=share_link" TargetMode="External"/><Relationship Id="rId12" Type="http://schemas.openxmlformats.org/officeDocument/2006/relationships/hyperlink" Target="https://photos.app.goo.gl/EcLKC57SZapHKzpp9" TargetMode="External"/><Relationship Id="rId13" Type="http://schemas.openxmlformats.org/officeDocument/2006/relationships/hyperlink" Target="https://drive.google.com/file/d/1Vb4vN_azDDITJyTWeNhvBnvBTqGx3qMQ/view?usp=share_link" TargetMode="External"/><Relationship Id="rId14" Type="http://schemas.openxmlformats.org/officeDocument/2006/relationships/hyperlink" Target="https://photos.app.goo.gl/HL95Q8yRaTkPgbqVA" TargetMode="External"/><Relationship Id="rId15" Type="http://schemas.openxmlformats.org/officeDocument/2006/relationships/hyperlink" Target="https://drive.google.com/file/d/1VdJe-rklIjAXgPavCwlA0eDGIqoi1uKH/view?usp=share_link" TargetMode="External"/><Relationship Id="rId16" Type="http://schemas.openxmlformats.org/officeDocument/2006/relationships/hyperlink" Target="https://photos.app.goo.gl/V5MWVWJiNVnUMCnr7" TargetMode="External"/><Relationship Id="rId17" Type="http://schemas.openxmlformats.org/officeDocument/2006/relationships/hyperlink" Target="https://drive.google.com/file/d/1VevbmRA5vftn5uMSpH5p5IQwplQY3y4C/view?usp=share_link" TargetMode="External"/><Relationship Id="rId18" Type="http://schemas.openxmlformats.org/officeDocument/2006/relationships/hyperlink" Target="https://photos.app.goo.gl/YeKKq1PfBCuxznfU8" TargetMode="External"/><Relationship Id="rId19" Type="http://schemas.openxmlformats.org/officeDocument/2006/relationships/hyperlink" Target="https://drive.google.com/file/d/1b2lrX8YL5eeDhI4wDLPpeOa1rsE2DE8K/view?usp=drive_link" TargetMode="External"/><Relationship Id="rId20" Type="http://schemas.openxmlformats.org/officeDocument/2006/relationships/hyperlink" Target="https://drive.google.com/file/d/1bCuaxHOXu7K4YmvR9pgVsTRTMTOaz2o3/view?usp=drive_link" TargetMode="External"/><Relationship Id="rId21" Type="http://schemas.openxmlformats.org/officeDocument/2006/relationships/hyperlink" Target="https://drive.google.com/file/d/1bGMLdiNjaM2WlAOxGamr6R5o7Ekc2RYU/view?usp=drive_link" TargetMode="External"/><Relationship Id="rId22" Type="http://schemas.openxmlformats.org/officeDocument/2006/relationships/hyperlink" Target="https://drive.google.com/file/d/1bICYfdYVuqYl7o71VWcFcQHWUaYPCFLC/view?usp=drive_link" TargetMode="External"/><Relationship Id="rId23" Type="http://schemas.openxmlformats.org/officeDocument/2006/relationships/hyperlink" Target="https://drive.google.com/file/d/1bIc1FKl9g3WcP0BmGWjVZhgzwI7ntVPR/view?usp=drive_link" TargetMode="External"/><Relationship Id="rId24" Type="http://schemas.openxmlformats.org/officeDocument/2006/relationships/hyperlink" Target="https://drive.google.com/file/d/1bPG--ni7q3p-NU942nowzp4IWiMxtS5c/view?usp=drive_link" TargetMode="External"/><Relationship Id="rId25" Type="http://schemas.openxmlformats.org/officeDocument/2006/relationships/hyperlink" Target="https://drive.google.com/file/d/1bPNJD3Ur_OhqzTVxbp0fM_hVjw1ndLEN/view?usp=drive_link" TargetMode="External"/><Relationship Id="rId26" Type="http://schemas.openxmlformats.org/officeDocument/2006/relationships/hyperlink" Target="https://photos.app.goo.gl/dt9iWzZfsDwQjG7r5" TargetMode="External"/><Relationship Id="rId27" Type="http://schemas.openxmlformats.org/officeDocument/2006/relationships/hyperlink" Target="https://drive.google.com/file/d/1bRjt6RP9H-3QF9YNGCNP8_VXOnTab-Xb/view?usp=drive_link" TargetMode="External"/><Relationship Id="rId28" Type="http://schemas.openxmlformats.org/officeDocument/2006/relationships/hyperlink" Target="https://drive.google.com/file/d/1bY64k-jcmbonnux0qUpgHyBGwehmXxWF/view?usp=drive_link" TargetMode="External"/><Relationship Id="rId29" Type="http://schemas.openxmlformats.org/officeDocument/2006/relationships/hyperlink" Target="https://drive.google.com/file/d/1bhRmd2HL5w2Xu0Q05jQYAyHdzCgL0umu/view?usp=drive_link" TargetMode="External"/><Relationship Id="rId30" Type="http://schemas.openxmlformats.org/officeDocument/2006/relationships/hyperlink" Target="https://drive.google.com/file/d/1bt9cZTmGcZK8OkIE8SFYFvJCHaKhzY0T/view?usp=drive_link" TargetMode="External"/><Relationship Id="rId31" Type="http://schemas.openxmlformats.org/officeDocument/2006/relationships/hyperlink" Target="https://drive.google.com/file/d/1bzfjPCAWDUo-WgPr-45PClU3ajQzPpcT/view?usp=drive_link" TargetMode="External"/><Relationship Id="rId32" Type="http://schemas.openxmlformats.org/officeDocument/2006/relationships/hyperlink" Target="https://drive.google.com/file/d/1c5bm6RBB8Pb-gR9xwwRE0FXZIwVa8eRC/view?usp=drive_link" TargetMode="External"/><Relationship Id="rId33" Type="http://schemas.openxmlformats.org/officeDocument/2006/relationships/hyperlink" Target="https://drive.google.com/file/d/1ZAVlwbOxytparUdf5aW6mwRNoihdifof/view?usp=drive_link" TargetMode="External"/><Relationship Id="rId34" Type="http://schemas.openxmlformats.org/officeDocument/2006/relationships/hyperlink" Target="https://photos.app.goo.gl/SVyzv4D19QBwcYwU7" TargetMode="External"/><Relationship Id="rId35" Type="http://schemas.openxmlformats.org/officeDocument/2006/relationships/hyperlink" Target="https://drive.google.com/file/d/1Ypx9IbKWhooZG2d7eBd3FhipTkIkU0iz/view?usp=drive_link" TargetMode="External"/><Relationship Id="rId36" Type="http://schemas.openxmlformats.org/officeDocument/2006/relationships/hyperlink" Target="https://photos.app.goo.gl/WYxU9Mjc4Y2KfvnY8" TargetMode="External"/><Relationship Id="rId37" Type="http://schemas.openxmlformats.org/officeDocument/2006/relationships/drawing" Target="../drawings/drawing20.xml"/>
</Relationships>
</file>

<file path=xl/worksheets/_rels/sheet23.xml.rels><?xml version="1.0" encoding="UTF-8"?>
<Relationships xmlns="http://schemas.openxmlformats.org/package/2006/relationships"><Relationship Id="rId1" Type="http://schemas.openxmlformats.org/officeDocument/2006/relationships/hyperlink" Target="https://drive.google.com/file/d/1GQNBapalid1WrYHOl6VpXU5gKqd77lqn/view?usp=share_link" TargetMode="External"/><Relationship Id="rId2" Type="http://schemas.openxmlformats.org/officeDocument/2006/relationships/hyperlink" Target="https://photos.app.goo.gl/WNCWdqQZiipmfmhMA" TargetMode="External"/><Relationship Id="rId3" Type="http://schemas.openxmlformats.org/officeDocument/2006/relationships/hyperlink" Target="https://drive.google.com/file/d/1MRZ0rDg3FGEDsftt55k-PzfTR7kY67xV/view?usp=share_link" TargetMode="External"/><Relationship Id="rId4" Type="http://schemas.openxmlformats.org/officeDocument/2006/relationships/hyperlink" Target="https://drive.google.com/file/d/1QdmwTNeCfLqciRHJrPKqmNt59FBADAHN/view?usp=share_link" TargetMode="External"/><Relationship Id="rId5" Type="http://schemas.openxmlformats.org/officeDocument/2006/relationships/hyperlink" Target="https://drive.google.com/file/d/1Sg2mASqDTQ9KPZgfq0Ka4E2c3WVYx03e/view?usp=share_link" TargetMode="External"/><Relationship Id="rId6" Type="http://schemas.openxmlformats.org/officeDocument/2006/relationships/hyperlink" Target="https://photos.app.goo.gl/Z7XRum4Nh77wdWkT9" TargetMode="External"/><Relationship Id="rId7" Type="http://schemas.openxmlformats.org/officeDocument/2006/relationships/hyperlink" Target="https://drive.google.com/file/d/1Wa7hHkFSvXIiaDaosDqNnsYBlzO-RQ14/view?usp=share_link" TargetMode="External"/><Relationship Id="rId8" Type="http://schemas.openxmlformats.org/officeDocument/2006/relationships/hyperlink" Target="https://photos.app.goo.gl/9pqEQKqn4Pm2JXks7" TargetMode="External"/><Relationship Id="rId9" Type="http://schemas.openxmlformats.org/officeDocument/2006/relationships/hyperlink" Target="https://drive.google.com/file/d/1XAQ031sNyrEABIV-Q4ITTF_k62WQRMqS/view?usp=drive_link" TargetMode="External"/><Relationship Id="rId10" Type="http://schemas.openxmlformats.org/officeDocument/2006/relationships/hyperlink" Target="https://photos.app.goo.gl/vuVe5yQBkcLqJ7Nf6" TargetMode="External"/><Relationship Id="rId11" Type="http://schemas.openxmlformats.org/officeDocument/2006/relationships/hyperlink" Target="https://drive.google.com/file/d/1LnTlgu1v-UE-hRn75nVQXwnyWBKQ9JS9/view?usp=share_link" TargetMode="External"/><Relationship Id="rId12" Type="http://schemas.openxmlformats.org/officeDocument/2006/relationships/hyperlink" Target="https://photos.app.goo.gl/wzq2kmV3d4tvqH3N7" TargetMode="External"/><Relationship Id="rId13" Type="http://schemas.openxmlformats.org/officeDocument/2006/relationships/hyperlink" Target="https://drive.google.com/file/d/1LWRcOJ8OnK_LaQfoAZJIzBd70LezT9pU/view?usp=share_link" TargetMode="External"/><Relationship Id="rId14" Type="http://schemas.openxmlformats.org/officeDocument/2006/relationships/hyperlink" Target="https://photos.app.goo.gl/CaMiNvjRwpHtPDdQ8" TargetMode="External"/><Relationship Id="rId15" Type="http://schemas.openxmlformats.org/officeDocument/2006/relationships/hyperlink" Target="https://drive.google.com/file/d/1LwQmP8kGZkaEy8KhX1CkXuTzn82k8Eub/view?usp=share_link" TargetMode="External"/><Relationship Id="rId16" Type="http://schemas.openxmlformats.org/officeDocument/2006/relationships/hyperlink" Target="https://photos.app.goo.gl/Qq9xivKekgjxuAoM7" TargetMode="External"/><Relationship Id="rId17" Type="http://schemas.openxmlformats.org/officeDocument/2006/relationships/hyperlink" Target="https://drive.google.com/file/d/1LC6R5RJkVmKpa_MC9UQkKbVlkd-b_75l/view?usp=share_link" TargetMode="External"/><Relationship Id="rId18" Type="http://schemas.openxmlformats.org/officeDocument/2006/relationships/hyperlink" Target="https://drive.google.com/file/d/1Tep_ApSnEXq0b7cljZiVOL002WFNlOek/view?usp=share_link" TargetMode="External"/><Relationship Id="rId19" Type="http://schemas.openxmlformats.org/officeDocument/2006/relationships/hyperlink" Target="https://photos.app.goo.gl/f92tkLK89GQL8mdi8" TargetMode="External"/><Relationship Id="rId20" Type="http://schemas.openxmlformats.org/officeDocument/2006/relationships/hyperlink" Target="https://drive.google.com/file/d/1XaeR253y3N4sjLZEzwSfXMNgM0pjaRY6/view?usp=drive_link" TargetMode="External"/><Relationship Id="rId21" Type="http://schemas.openxmlformats.org/officeDocument/2006/relationships/hyperlink" Target="https://photos.app.goo.gl/5wX2nexcZ7DVmoEWA" TargetMode="External"/><Relationship Id="rId22" Type="http://schemas.openxmlformats.org/officeDocument/2006/relationships/hyperlink" Target="https://drive.google.com/file/d/1XdDPUtrf13BLvO-qfjxtLZbQiF174T4j/view?usp=drive_link" TargetMode="External"/><Relationship Id="rId23" Type="http://schemas.openxmlformats.org/officeDocument/2006/relationships/hyperlink" Target="https://photos.app.goo.gl/88wJYRqZ1KJe9BVu8" TargetMode="External"/><Relationship Id="rId24" Type="http://schemas.openxmlformats.org/officeDocument/2006/relationships/drawing" Target="../drawings/drawing21.xml"/>
</Relationships>
</file>

<file path=xl/worksheets/_rels/sheet24.xml.rels><?xml version="1.0" encoding="UTF-8"?>
<Relationships xmlns="http://schemas.openxmlformats.org/package/2006/relationships"><Relationship Id="rId1" Type="http://schemas.openxmlformats.org/officeDocument/2006/relationships/hyperlink" Target="https://drive.google.com/file/d/1EgzIgsbWMRlHxV2CPPykB8uM7MQsG1mi/view?usp=share_link" TargetMode="External"/><Relationship Id="rId2" Type="http://schemas.openxmlformats.org/officeDocument/2006/relationships/hyperlink" Target="https://photos.app.goo.gl/mGwBmYwgAZgaeaMKA" TargetMode="External"/><Relationship Id="rId3" Type="http://schemas.openxmlformats.org/officeDocument/2006/relationships/hyperlink" Target="https://drive.google.com/file/d/1-w34PmQCyVQgqMxSVdtOZ12Xt9avaGlq/view?usp=drive_link" TargetMode="External"/><Relationship Id="rId4" Type="http://schemas.openxmlformats.org/officeDocument/2006/relationships/hyperlink" Target="https://photos.app.goo.gl/Adnt2AWTFmS7ChRy6" TargetMode="External"/><Relationship Id="rId5" Type="http://schemas.openxmlformats.org/officeDocument/2006/relationships/hyperlink" Target="https://drive.google.com/file/d/1-rPpfEd5w6jFvIQF8wsV84XKOFhhUTAZ/view?usp=drive_link" TargetMode="External"/><Relationship Id="rId6" Type="http://schemas.openxmlformats.org/officeDocument/2006/relationships/hyperlink" Target="https://photos.app.goo.gl/ELvJMXnAL4p73q359" TargetMode="External"/><Relationship Id="rId7" Type="http://schemas.openxmlformats.org/officeDocument/2006/relationships/hyperlink" Target="https://drive.google.com/file/d/19yFNanMtYHhfNXrq7RPyHKMIIoADK3QE/view?usp=share_link" TargetMode="External"/><Relationship Id="rId8" Type="http://schemas.openxmlformats.org/officeDocument/2006/relationships/hyperlink" Target="https://drive.google.com/file/d/1BHvpvIkPhjvmCKUVBtCWUW1Lukd3Zlo6/view?usp=share_link" TargetMode="External"/><Relationship Id="rId9" Type="http://schemas.openxmlformats.org/officeDocument/2006/relationships/hyperlink" Target="https://photos.app.goo.gl/PyeUPytR78JgD3DD6" TargetMode="External"/><Relationship Id="rId10" Type="http://schemas.openxmlformats.org/officeDocument/2006/relationships/hyperlink" Target="https://photos.app.goo.gl/PyeUPytR78JgD3DD6" TargetMode="External"/><Relationship Id="rId11" Type="http://schemas.openxmlformats.org/officeDocument/2006/relationships/hyperlink" Target="https://drive.google.com/file/d/1DRADBJWkTg_N6rqgnHN-zmDhXiAzreSS/view?usp=share_link" TargetMode="External"/><Relationship Id="rId12" Type="http://schemas.openxmlformats.org/officeDocument/2006/relationships/hyperlink" Target="https://photos.app.goo.gl/8LtH666WXdbgp791A" TargetMode="External"/><Relationship Id="rId13" Type="http://schemas.openxmlformats.org/officeDocument/2006/relationships/hyperlink" Target="https://drive.google.com/file/d/1DZtpowJdtsEq5xqg8CgEo8AUsqTvxT9h/view?usp=share_link" TargetMode="External"/><Relationship Id="rId14" Type="http://schemas.openxmlformats.org/officeDocument/2006/relationships/hyperlink" Target="https://photos.app.goo.gl/kanHWAFbqaoWpBNLA" TargetMode="External"/><Relationship Id="rId15" Type="http://schemas.openxmlformats.org/officeDocument/2006/relationships/hyperlink" Target="https://drive.google.com/file/d/1ErmtIC_m_WhqgQaWek0tsgfPcoEjdAkq/view?usp=share_link" TargetMode="External"/><Relationship Id="rId16" Type="http://schemas.openxmlformats.org/officeDocument/2006/relationships/hyperlink" Target="https://photos.app.goo.gl/AfbBkF5ARUHixWHt8" TargetMode="External"/><Relationship Id="rId17" Type="http://schemas.openxmlformats.org/officeDocument/2006/relationships/hyperlink" Target="https://drive.google.com/file/d/1NW1T7JuBwWDcOiVJqvmdNXDtEVVWdxfd/view?usp=share_link" TargetMode="External"/><Relationship Id="rId18" Type="http://schemas.openxmlformats.org/officeDocument/2006/relationships/hyperlink" Target="https://photos.app.goo.gl/WaXoqTqqFoTyakPg9" TargetMode="External"/><Relationship Id="rId19" Type="http://schemas.openxmlformats.org/officeDocument/2006/relationships/drawing" Target="../drawings/drawing22.xml"/>
</Relationships>
</file>

<file path=xl/worksheets/_rels/sheet25.xml.rels><?xml version="1.0" encoding="UTF-8"?>
<Relationships xmlns="http://schemas.openxmlformats.org/package/2006/relationships"><Relationship Id="rId1" Type="http://schemas.openxmlformats.org/officeDocument/2006/relationships/hyperlink" Target="https://drive.google.com/file/d/11IA5HfOd9DShtaAekDFRQg5MmeRZgf0p/view?usp=share_link" TargetMode="External"/><Relationship Id="rId2" Type="http://schemas.openxmlformats.org/officeDocument/2006/relationships/hyperlink" Target="https://photos.app.goo.gl/3nHpLHRjPaGBf5AR7" TargetMode="External"/><Relationship Id="rId3" Type="http://schemas.openxmlformats.org/officeDocument/2006/relationships/hyperlink" Target="https://drive.google.com/file/d/12kWXK7Vp6W-ar3plrk8t_QLLqffiuVge/view?usp=share_link" TargetMode="External"/><Relationship Id="rId4" Type="http://schemas.openxmlformats.org/officeDocument/2006/relationships/hyperlink" Target="https://photos.app.goo.gl/92ragmSSJwLV69iX6" TargetMode="External"/><Relationship Id="rId5" Type="http://schemas.openxmlformats.org/officeDocument/2006/relationships/hyperlink" Target="https://drive.google.com/file/d/181syvg7g2ngxrE4yv6a62CZSL8iqqW7k/view?usp=share_link" TargetMode="External"/><Relationship Id="rId6" Type="http://schemas.openxmlformats.org/officeDocument/2006/relationships/hyperlink" Target="https://photos.app.goo.gl/AMNsZinPqzCk2ZSN7" TargetMode="External"/><Relationship Id="rId7" Type="http://schemas.openxmlformats.org/officeDocument/2006/relationships/hyperlink" Target="https://drive.google.com/file/d/17retkcIPfSojl2L7V0tcG1Sidg9pGN03/view?usp=share_link" TargetMode="External"/><Relationship Id="rId8" Type="http://schemas.openxmlformats.org/officeDocument/2006/relationships/hyperlink" Target="https://photos.app.goo.gl/p6g9uL6xz2xH5G5ZA" TargetMode="External"/><Relationship Id="rId9" Type="http://schemas.openxmlformats.org/officeDocument/2006/relationships/hyperlink" Target="https://photos.app.goo.gl/hwLHRxPKw9Zgs5Ao9" TargetMode="External"/><Relationship Id="rId10" Type="http://schemas.openxmlformats.org/officeDocument/2006/relationships/hyperlink" Target="https://drive.google.com/file/d/13jlH757uFY10dg496TJqziILKl_OvVDn/view?usp=share_link" TargetMode="External"/><Relationship Id="rId11" Type="http://schemas.openxmlformats.org/officeDocument/2006/relationships/hyperlink" Target="https://photos.app.goo.gl/hwLHRxPKw9Zgs5Ao9" TargetMode="External"/><Relationship Id="rId12" Type="http://schemas.openxmlformats.org/officeDocument/2006/relationships/hyperlink" Target="https://drive.google.com/file/d/166Eaq9ExxujM8dBLaiZN6W14DQIkXtz7/view?usp=share_link" TargetMode="External"/><Relationship Id="rId13" Type="http://schemas.openxmlformats.org/officeDocument/2006/relationships/hyperlink" Target="https://drive.google.com/file/d/1DpbFWgmOTEj3SuNtmLpGjIJ26Sb9q7G7/view?usp=share_link+" TargetMode="External"/><Relationship Id="rId14" Type="http://schemas.openxmlformats.org/officeDocument/2006/relationships/hyperlink" Target="https://photos.app.goo.gl/8Jk7dNRmrscB4Zq7A" TargetMode="External"/><Relationship Id="rId15" Type="http://schemas.openxmlformats.org/officeDocument/2006/relationships/hyperlink" Target="https://drive.google.com/file/d/18B7dG03seT0Qb6PDCWcQuostl9NHQY5L/view?usp=share_link" TargetMode="External"/><Relationship Id="rId16" Type="http://schemas.openxmlformats.org/officeDocument/2006/relationships/hyperlink" Target="https://photos.app.goo.gl/ogSenjb88CRnLVi56" TargetMode="External"/><Relationship Id="rId17" Type="http://schemas.openxmlformats.org/officeDocument/2006/relationships/drawing" Target="../drawings/drawing23.xml"/>
</Relationships>
</file>

<file path=xl/worksheets/_rels/sheet26.xml.rels><?xml version="1.0" encoding="UTF-8"?>
<Relationships xmlns="http://schemas.openxmlformats.org/package/2006/relationships"><Relationship Id="rId1" Type="http://schemas.openxmlformats.org/officeDocument/2006/relationships/hyperlink" Target="https://photos.app.goo.gl/c3P19YfEXdYv9hEq7" TargetMode="External"/><Relationship Id="rId2" Type="http://schemas.openxmlformats.org/officeDocument/2006/relationships/hyperlink" Target="https://drive.google.com/file/d/1ugWfzEWvwt81V_kfEgTSxNeheDNnOEag/view?usp=share_link" TargetMode="External"/><Relationship Id="rId3" Type="http://schemas.openxmlformats.org/officeDocument/2006/relationships/hyperlink" Target="https://photos.app.goo.gl/QvcEeZJXRw5TjQfu8" TargetMode="External"/><Relationship Id="rId4" Type="http://schemas.openxmlformats.org/officeDocument/2006/relationships/hyperlink" Target="https://photos.app.goo.gl/4i7bbL8rXzmFPHKz8" TargetMode="External"/><Relationship Id="rId5" Type="http://schemas.openxmlformats.org/officeDocument/2006/relationships/hyperlink" Target="https://drive.google.com/file/d/1xHo6Ir7QtoWeUyVbVHQxouBC5seCcwOj/view?usp=share_link" TargetMode="External"/><Relationship Id="rId6" Type="http://schemas.openxmlformats.org/officeDocument/2006/relationships/hyperlink" Target="https://photos.app.goo.gl/4i7bbL8rXzmFPHKz8" TargetMode="External"/><Relationship Id="rId7" Type="http://schemas.openxmlformats.org/officeDocument/2006/relationships/hyperlink" Target="https://photos.app.goo.gl/uUpdBA93a5ZTqAVe8" TargetMode="External"/><Relationship Id="rId8" Type="http://schemas.openxmlformats.org/officeDocument/2006/relationships/hyperlink" Target="https://drive.google.com/file/d/1xKSBobyk_1v3LeNBNf-r-Wvet9gK6FUS/view?usp=share_link" TargetMode="External"/><Relationship Id="rId9" Type="http://schemas.openxmlformats.org/officeDocument/2006/relationships/hyperlink" Target="https://photos.app.goo.gl/uUpdBA93a5ZTqAVe8" TargetMode="External"/><Relationship Id="rId10" Type="http://schemas.openxmlformats.org/officeDocument/2006/relationships/hyperlink" Target="https://drive.google.com/file/d/1xFdqMMHHzDm9QT7hHYV0RaBxzNQ-ZBTM/view?usp=share_link" TargetMode="External"/><Relationship Id="rId11" Type="http://schemas.openxmlformats.org/officeDocument/2006/relationships/hyperlink" Target="https://photos.app.goo.gl/a3JUmmRDKSdhHteL9" TargetMode="External"/><Relationship Id="rId12" Type="http://schemas.openxmlformats.org/officeDocument/2006/relationships/hyperlink" Target="https://photos.app.goo.gl/FmEwTs7UZMcencor8" TargetMode="External"/><Relationship Id="rId13" Type="http://schemas.openxmlformats.org/officeDocument/2006/relationships/hyperlink" Target="https://drive.google.com/file/d/1yVBhse4FIEriVGuFhtujM-9FaWxxAZSr/view?usp=share_link" TargetMode="External"/><Relationship Id="rId14" Type="http://schemas.openxmlformats.org/officeDocument/2006/relationships/hyperlink" Target="https://photos.app.goo.gl/FmEwTs7UZMcencor8" TargetMode="External"/><Relationship Id="rId15" Type="http://schemas.openxmlformats.org/officeDocument/2006/relationships/hyperlink" Target="https://drive.google.com/file/d/1zkLCib3LK30SK9lt4cmV96t5FprwGVZe/view?usp=share_link" TargetMode="External"/><Relationship Id="rId16" Type="http://schemas.openxmlformats.org/officeDocument/2006/relationships/hyperlink" Target="https://photos.app.goo.gl/WpAtuMRyXS3n79CV8" TargetMode="External"/><Relationship Id="rId17" Type="http://schemas.openxmlformats.org/officeDocument/2006/relationships/hyperlink" Target="https://drive.google.com/file/d/1i54xSPLbpfn2p9AZVDNXM0TwSrsL6CdH/view?usp=share_link" TargetMode="External"/><Relationship Id="rId18" Type="http://schemas.openxmlformats.org/officeDocument/2006/relationships/hyperlink" Target="https://photos.app.goo.gl/Zu47t3w6ebXySZ1T6" TargetMode="External"/><Relationship Id="rId19" Type="http://schemas.openxmlformats.org/officeDocument/2006/relationships/hyperlink" Target="https://drive.google.com/file/d/1-4a0nO86iqca04R9jS1aqM5c-B-fKVJ-/view?usp=share_link" TargetMode="External"/><Relationship Id="rId20" Type="http://schemas.openxmlformats.org/officeDocument/2006/relationships/hyperlink" Target="https://photos.app.goo.gl/aByxgueAAWvLQ6Ai6" TargetMode="External"/><Relationship Id="rId21" Type="http://schemas.openxmlformats.org/officeDocument/2006/relationships/hyperlink" Target="https://drive.google.com/file/d/1-Bhnl7fwaLKYhUj0SWQqpQY36r0pR4Ge/view?usp=share_link" TargetMode="External"/><Relationship Id="rId22" Type="http://schemas.openxmlformats.org/officeDocument/2006/relationships/hyperlink" Target="https://photos.app.goo.gl/QrwnGxnmQiXWmduN6" TargetMode="External"/><Relationship Id="rId23" Type="http://schemas.openxmlformats.org/officeDocument/2006/relationships/hyperlink" Target="https://drive.google.com/file/d/1-TvQdB9pRjfq5DPELofWmOHu-8ypfJHz/view?usp=share_link" TargetMode="External"/><Relationship Id="rId24" Type="http://schemas.openxmlformats.org/officeDocument/2006/relationships/hyperlink" Target="https://photos.app.goo.gl/JoXFQuAVKT6KVzfA9" TargetMode="External"/><Relationship Id="rId25" Type="http://schemas.openxmlformats.org/officeDocument/2006/relationships/hyperlink" Target="https://drive.google.com/file/d/10_kod9po1kuhM_v1KgJZW0cMC3hJDgCW/view?usp=share_link" TargetMode="External"/><Relationship Id="rId26" Type="http://schemas.openxmlformats.org/officeDocument/2006/relationships/hyperlink" Target="https://photos.app.goo.gl/dQL1wjD2BphY8bD67" TargetMode="External"/><Relationship Id="rId27" Type="http://schemas.openxmlformats.org/officeDocument/2006/relationships/hyperlink" Target="https://drive.google.com/file/d/11cThTN0TTpqgmaoHpi87BKBs2qAzMKOZ/view?usp=share_link" TargetMode="External"/><Relationship Id="rId28" Type="http://schemas.openxmlformats.org/officeDocument/2006/relationships/hyperlink" Target="https://photos.app.goo.gl/41Ubg2bTir8ua3mLA" TargetMode="External"/><Relationship Id="rId29" Type="http://schemas.openxmlformats.org/officeDocument/2006/relationships/hyperlink" Target="https://drive.google.com/file/d/1yxybrzhiOV-RnY8RIZo3EHM3Q-ZOP-s8/view?usp=share_link" TargetMode="External"/><Relationship Id="rId30" Type="http://schemas.openxmlformats.org/officeDocument/2006/relationships/hyperlink" Target="https://photos.app.goo.gl/yT3sDAMsAdArQaAn9" TargetMode="External"/><Relationship Id="rId31" Type="http://schemas.openxmlformats.org/officeDocument/2006/relationships/hyperlink" Target="https://drive.google.com/file/d/10QoMsgSwcigUgA9B1XbKe_E99FraCIbe/view?usp=share_link" TargetMode="External"/><Relationship Id="rId32" Type="http://schemas.openxmlformats.org/officeDocument/2006/relationships/hyperlink" Target="https://photos.app.goo.gl/8hUAttk5myWWBkDYA" TargetMode="External"/><Relationship Id="rId33" Type="http://schemas.openxmlformats.org/officeDocument/2006/relationships/hyperlink" Target="https://drive.google.com/file/d/1HDojSJ2agpacg0SRB6z3VuyWs_98I3pP/view?usp=share_link" TargetMode="External"/><Relationship Id="rId34" Type="http://schemas.openxmlformats.org/officeDocument/2006/relationships/hyperlink" Target="https://photos.app.goo.gl/3eTPKsXDDgZbG2hE6" TargetMode="External"/><Relationship Id="rId35" Type="http://schemas.openxmlformats.org/officeDocument/2006/relationships/hyperlink" Target="https://drive.google.com/file/d/10C0yx0Pz_a5wp5u3mYV9x1fvK8MaK9v4/view?usp=share_link" TargetMode="External"/><Relationship Id="rId36" Type="http://schemas.openxmlformats.org/officeDocument/2006/relationships/hyperlink" Target="https://photos.app.goo.gl/7raXMqpfEAtou2rj7" TargetMode="External"/><Relationship Id="rId37" Type="http://schemas.openxmlformats.org/officeDocument/2006/relationships/hyperlink" Target="https://drive.google.com/file/d/1F55EiqzWQN4zSm5XUaEKGRnIaFIXwkN1/view?usp=share_link" TargetMode="External"/><Relationship Id="rId38" Type="http://schemas.openxmlformats.org/officeDocument/2006/relationships/hyperlink" Target="https://photos.app.goo.gl/rr12tsCWrzbVVDZWA" TargetMode="External"/><Relationship Id="rId39" Type="http://schemas.openxmlformats.org/officeDocument/2006/relationships/hyperlink" Target="https://drive.google.com/file/d/1-m9E2GyfcnrCJ8tl3cx4CpuuGBBPHiUE/view?usp=share_link" TargetMode="External"/><Relationship Id="rId40" Type="http://schemas.openxmlformats.org/officeDocument/2006/relationships/hyperlink" Target="https://photos.app.goo.gl/pwSsv6G9BSm66Wxg7" TargetMode="External"/><Relationship Id="rId41" Type="http://schemas.openxmlformats.org/officeDocument/2006/relationships/hyperlink" Target="https://drive.google.com/file/d/10EiK-Dg4lHkjKcmJgnJaWC5EoYwJLN3o/view?usp=share_link" TargetMode="External"/><Relationship Id="rId42" Type="http://schemas.openxmlformats.org/officeDocument/2006/relationships/hyperlink" Target="https://photos.app.goo.gl/CaN7YajZxsoSE1668" TargetMode="External"/><Relationship Id="rId43" Type="http://schemas.openxmlformats.org/officeDocument/2006/relationships/hyperlink" Target="https://drive.google.com/file/d/10M-sgbvuZ--UXu6LOQqLgRep81YioS6S/view?usp=share_link" TargetMode="External"/><Relationship Id="rId44" Type="http://schemas.openxmlformats.org/officeDocument/2006/relationships/hyperlink" Target="https://photos.app.goo.gl/KtmEg5omv8MG24Pn9" TargetMode="External"/><Relationship Id="rId45" Type="http://schemas.openxmlformats.org/officeDocument/2006/relationships/hyperlink" Target="https://photos.app.goo.gl/vErdmsHV2ioThT8f8" TargetMode="External"/><Relationship Id="rId46" Type="http://schemas.openxmlformats.org/officeDocument/2006/relationships/hyperlink" Target="https://drive.google.com/file/d/1IEuxBXrZdfDWEFphk0zU8zzklEyvwgYj/view?usp=share_link" TargetMode="External"/><Relationship Id="rId47" Type="http://schemas.openxmlformats.org/officeDocument/2006/relationships/hyperlink" Target="https://photos.app.goo.gl/Kmcp9ufd3zrMCecn7" TargetMode="External"/><Relationship Id="rId48" Type="http://schemas.openxmlformats.org/officeDocument/2006/relationships/hyperlink" Target="https://drive.google.com/file/d/1Hdho6W-Z7FoaM4bqpoaa-g1qm81H33OB/view?usp=share_link" TargetMode="External"/><Relationship Id="rId49" Type="http://schemas.openxmlformats.org/officeDocument/2006/relationships/hyperlink" Target="https://photos.app.goo.gl/m1yukn42h2zNdrVx8" TargetMode="External"/><Relationship Id="rId50" Type="http://schemas.openxmlformats.org/officeDocument/2006/relationships/hyperlink" Target="https://drive.google.com/file/d/100jvWaDTFgk7ClxoV5uBbVZRNRNlngnq/view?usp=share_link" TargetMode="External"/><Relationship Id="rId51" Type="http://schemas.openxmlformats.org/officeDocument/2006/relationships/hyperlink" Target="https://photos.app.goo.gl/QvcjtAdxR2AxAnDx9" TargetMode="External"/><Relationship Id="rId52" Type="http://schemas.openxmlformats.org/officeDocument/2006/relationships/hyperlink" Target="https://drive.google.com/file/d/13akVcIv61FP6L4HGcajD0dhYv0K1_HDE/view?usp=share_link" TargetMode="External"/><Relationship Id="rId53" Type="http://schemas.openxmlformats.org/officeDocument/2006/relationships/hyperlink" Target="https://photos.app.goo.gl/qje5DX9c7QxTitCi7" TargetMode="External"/><Relationship Id="rId54" Type="http://schemas.openxmlformats.org/officeDocument/2006/relationships/hyperlink" Target="https://drive.google.com/file/d/12XdUhdN6aABMWOTb3PfdYwW3mMJMrHOb/view?usp=share_link" TargetMode="External"/><Relationship Id="rId55" Type="http://schemas.openxmlformats.org/officeDocument/2006/relationships/hyperlink" Target="https://photos.app.goo.gl/uxZYdx3VCHBnbzuU6" TargetMode="External"/><Relationship Id="rId56" Type="http://schemas.openxmlformats.org/officeDocument/2006/relationships/hyperlink" Target="https://drive.google.com/file/d/1Eupv7xEeuXkdeQFrUWaGvk6wggPkkITH/view?usp=share_link" TargetMode="External"/><Relationship Id="rId57" Type="http://schemas.openxmlformats.org/officeDocument/2006/relationships/hyperlink" Target="https://photos.app.goo.gl/eA9dExutiwxj3ipj6" TargetMode="External"/><Relationship Id="rId58" Type="http://schemas.openxmlformats.org/officeDocument/2006/relationships/hyperlink" Target="https://drive.google.com/file/d/10gbwvWnJywc99TJ_kUaCyc2yOM6dFLX6/view?usp=share_link" TargetMode="External"/><Relationship Id="rId59" Type="http://schemas.openxmlformats.org/officeDocument/2006/relationships/hyperlink" Target="https://photos.app.goo.gl/yVanLC56QeGiBAA19" TargetMode="External"/><Relationship Id="rId60" Type="http://schemas.openxmlformats.org/officeDocument/2006/relationships/hyperlink" Target="https://drive.google.com/file/d/14L5N7Lki1JfHZBYUnaGwAVRvTDwLWW0a/view?usp=share_link" TargetMode="External"/><Relationship Id="rId61" Type="http://schemas.openxmlformats.org/officeDocument/2006/relationships/drawing" Target="../drawings/drawing24.xml"/>
</Relationships>
</file>

<file path=xl/worksheets/_rels/sheet27.xml.rels><?xml version="1.0" encoding="UTF-8"?>
<Relationships xmlns="http://schemas.openxmlformats.org/package/2006/relationships"><Relationship Id="rId1" Type="http://schemas.openxmlformats.org/officeDocument/2006/relationships/hyperlink" Target="https://photos.app.goo.gl/oLpqmy78G4FSrMvS9" TargetMode="External"/><Relationship Id="rId2" Type="http://schemas.openxmlformats.org/officeDocument/2006/relationships/hyperlink" Target="https://drive.google.com/file/d/1l7SR29GTGSG7iY-gC734TSnx_ERu0b0S/view?usp=share_link" TargetMode="External"/><Relationship Id="rId3" Type="http://schemas.openxmlformats.org/officeDocument/2006/relationships/hyperlink" Target="https://photos.app.goo.gl/w6XmyYuVrFuP152a7" TargetMode="External"/><Relationship Id="rId4" Type="http://schemas.openxmlformats.org/officeDocument/2006/relationships/hyperlink" Target="https://photos.app.goo.gl/jKagGAAtF7UQ3pS4A" TargetMode="External"/><Relationship Id="rId5" Type="http://schemas.openxmlformats.org/officeDocument/2006/relationships/hyperlink" Target="https://drive.google.com/file/d/1lGWXDFYzPE6xDgEW7OeQAaEnbNavvQIp/view?usp=share_link" TargetMode="External"/><Relationship Id="rId6" Type="http://schemas.openxmlformats.org/officeDocument/2006/relationships/hyperlink" Target="https://photos.app.goo.gl/jKagGAAtF7UQ3pS4A" TargetMode="External"/><Relationship Id="rId7" Type="http://schemas.openxmlformats.org/officeDocument/2006/relationships/hyperlink" Target="https://drive.google.com/file/d/1mjjoZt22mHNUiMv9jSyT4JmVD899VKCf/view?usp=share_link" TargetMode="External"/><Relationship Id="rId8" Type="http://schemas.openxmlformats.org/officeDocument/2006/relationships/hyperlink" Target="https://photos.app.goo.gl/p6mF34Y29jhsHWWz9" TargetMode="External"/><Relationship Id="rId9" Type="http://schemas.openxmlformats.org/officeDocument/2006/relationships/hyperlink" Target="https://drive.google.com/file/d/1mnwaAKyF3VPigAzw_1XeG1gPKI4Rqeml/view?usp=share_link" TargetMode="External"/><Relationship Id="rId10" Type="http://schemas.openxmlformats.org/officeDocument/2006/relationships/hyperlink" Target="https://photos.app.goo.gl/anD9GQ5JFgHq49eQ6" TargetMode="External"/><Relationship Id="rId11" Type="http://schemas.openxmlformats.org/officeDocument/2006/relationships/hyperlink" Target="https://drive.google.com/file/d/1vaYFIt91tGtB0Dm3DnE4MTxmtiTL9rRg/view?usp=share_link" TargetMode="External"/><Relationship Id="rId12" Type="http://schemas.openxmlformats.org/officeDocument/2006/relationships/hyperlink" Target="https://drive.google.com/file/d/1rVg7QXpn2WdGgiC8gYqJWWCYzEpmJIce/view?usp=share_link" TargetMode="External"/><Relationship Id="rId13" Type="http://schemas.openxmlformats.org/officeDocument/2006/relationships/hyperlink" Target="https://photos.app.goo.gl/1UiTmHDhJD4zpuZD7" TargetMode="External"/><Relationship Id="rId14" Type="http://schemas.openxmlformats.org/officeDocument/2006/relationships/hyperlink" Target="https://drive.google.com/file/d/1ttG7aVJ1J989j_84-io6_FlkVXiHmt_X/view?usp=share_link" TargetMode="External"/><Relationship Id="rId15" Type="http://schemas.openxmlformats.org/officeDocument/2006/relationships/hyperlink" Target="https://photos.app.goo.gl/a8c72DnicQ1MCBMUA" TargetMode="External"/><Relationship Id="rId16" Type="http://schemas.openxmlformats.org/officeDocument/2006/relationships/hyperlink" Target="https://photos.app.goo.gl/25L2e8rsb5fYfcGd7" TargetMode="External"/><Relationship Id="rId17" Type="http://schemas.openxmlformats.org/officeDocument/2006/relationships/hyperlink" Target="https://drive.google.com/file/d/1suIFZGqwL_cMU8fSk7hLn41cPLee_3Ez/view?usp=share_link" TargetMode="External"/><Relationship Id="rId18" Type="http://schemas.openxmlformats.org/officeDocument/2006/relationships/hyperlink" Target="https://photos.app.goo.gl/25L2e8rsb5fYfcGd7" TargetMode="External"/><Relationship Id="rId19" Type="http://schemas.openxmlformats.org/officeDocument/2006/relationships/hyperlink" Target="https://drive.google.com/file/d/1t580am_4gnYpKntjeo46jeQIip6EDDzF/view?usp=share_link" TargetMode="External"/><Relationship Id="rId20" Type="http://schemas.openxmlformats.org/officeDocument/2006/relationships/hyperlink" Target="https://photos.app.goo.gl/Ub6NdjE4a3fiG7L19" TargetMode="External"/><Relationship Id="rId21" Type="http://schemas.openxmlformats.org/officeDocument/2006/relationships/hyperlink" Target="https://photos.app.goo.gl/WwJzUDLFRUdWZ5dH6" TargetMode="External"/><Relationship Id="rId22" Type="http://schemas.openxmlformats.org/officeDocument/2006/relationships/hyperlink" Target="https://drive.google.com/file/d/1on7uHdhTQRlW9GRe7XxPY_g_BuYOO7bb/view?usp=share_link" TargetMode="External"/><Relationship Id="rId23" Type="http://schemas.openxmlformats.org/officeDocument/2006/relationships/hyperlink" Target="https://photos.app.goo.gl/WwJzUDLFRUdWZ5dH6" TargetMode="External"/><Relationship Id="rId24" Type="http://schemas.openxmlformats.org/officeDocument/2006/relationships/hyperlink" Target="https://photos.app.goo.gl/yXkYjETkrb4kJbDF7" TargetMode="External"/><Relationship Id="rId25" Type="http://schemas.openxmlformats.org/officeDocument/2006/relationships/hyperlink" Target="https://drive.google.com/file/d/1owLJAa_38JnipKbNSGmpa1NnAcOJgEvB/view?usp=share_link" TargetMode="External"/><Relationship Id="rId26" Type="http://schemas.openxmlformats.org/officeDocument/2006/relationships/hyperlink" Target="https://photos.app.goo.gl/yXkYjETkrb4kJbDF7" TargetMode="External"/><Relationship Id="rId27" Type="http://schemas.openxmlformats.org/officeDocument/2006/relationships/hyperlink" Target="https://photos.app.goo.gl/KL1oxczLc6R57w367" TargetMode="External"/><Relationship Id="rId28" Type="http://schemas.openxmlformats.org/officeDocument/2006/relationships/hyperlink" Target="https://drive.google.com/file/d/1p4ClfHX5hN5UUAESaGRfYNm6YD4ZN3Po/view?usp=share_link" TargetMode="External"/><Relationship Id="rId29" Type="http://schemas.openxmlformats.org/officeDocument/2006/relationships/hyperlink" Target="https://photos.app.goo.gl/KL1oxczLc6R57w367" TargetMode="External"/><Relationship Id="rId30" Type="http://schemas.openxmlformats.org/officeDocument/2006/relationships/hyperlink" Target="https://photos.app.goo.gl/jgmc7MphrTnND6V66" TargetMode="External"/><Relationship Id="rId31" Type="http://schemas.openxmlformats.org/officeDocument/2006/relationships/hyperlink" Target="https://drive.google.com/file/d/1p6gW9pb40V2_X0ApDpRhpZQlfrKlXElc/view?usp=share_link" TargetMode="External"/><Relationship Id="rId32" Type="http://schemas.openxmlformats.org/officeDocument/2006/relationships/hyperlink" Target="https://photos.app.goo.gl/jgmc7MphrTnND6V66" TargetMode="External"/><Relationship Id="rId33" Type="http://schemas.openxmlformats.org/officeDocument/2006/relationships/hyperlink" Target="https://photos.app.goo.gl/hdKbjVcxffHUQp6E7" TargetMode="External"/><Relationship Id="rId34" Type="http://schemas.openxmlformats.org/officeDocument/2006/relationships/hyperlink" Target="https://drive.google.com/file/d/1p7ytKTspVzvd8qoEzaGWq-qLr7VDWljf/view?usp=share_link" TargetMode="External"/><Relationship Id="rId35" Type="http://schemas.openxmlformats.org/officeDocument/2006/relationships/hyperlink" Target="https://photos.app.goo.gl/hdKbjVcxffHUQp6E7" TargetMode="External"/><Relationship Id="rId36" Type="http://schemas.openxmlformats.org/officeDocument/2006/relationships/hyperlink" Target="https://drive.google.com/file/d/1s2AFXXvgh3o7OyAuxfYXoT6HoO_X4we5/view?usp=share_link" TargetMode="External"/><Relationship Id="rId37" Type="http://schemas.openxmlformats.org/officeDocument/2006/relationships/hyperlink" Target="https://drive.google.com/file/d/1rvT2MGgfZLAjcehFwWB9DtzHaAhGtFPI/view?usp=share_link" TargetMode="External"/><Relationship Id="rId38" Type="http://schemas.openxmlformats.org/officeDocument/2006/relationships/hyperlink" Target="https://photos.app.goo.gl/nKbsen46gGz9Nq746" TargetMode="External"/><Relationship Id="rId39" Type="http://schemas.openxmlformats.org/officeDocument/2006/relationships/hyperlink" Target="https://photos.app.goo.gl/wKWvQEs9U2ZE7UoQ9" TargetMode="External"/><Relationship Id="rId40" Type="http://schemas.openxmlformats.org/officeDocument/2006/relationships/hyperlink" Target="https://drive.google.com/file/d/1pq6OrtvVrlmzwmzPhp-Rsw728_oKz9rt/view?usp=share_link" TargetMode="External"/><Relationship Id="rId41" Type="http://schemas.openxmlformats.org/officeDocument/2006/relationships/hyperlink" Target="https://photos.app.goo.gl/wKWvQEs9U2ZE7UoQ9" TargetMode="External"/><Relationship Id="rId42" Type="http://schemas.openxmlformats.org/officeDocument/2006/relationships/hyperlink" Target="https://photos.app.goo.gl/vtjBcMWrAKw34Yx88" TargetMode="External"/><Relationship Id="rId43" Type="http://schemas.openxmlformats.org/officeDocument/2006/relationships/hyperlink" Target="https://drive.google.com/file/d/1q0ej_WbszcCxpOK26587_XqunKVnrKQl/view?usp=share_link" TargetMode="External"/><Relationship Id="rId44" Type="http://schemas.openxmlformats.org/officeDocument/2006/relationships/hyperlink" Target="https://photos.app.goo.gl/vtjBcMWrAKw34Yx88" TargetMode="External"/><Relationship Id="rId45" Type="http://schemas.openxmlformats.org/officeDocument/2006/relationships/hyperlink" Target="https://drive.google.com/file/d/1rJKhiXqAAgkU-6B-_TD9tkICRDKUFUd-/view?usp=share_link" TargetMode="External"/><Relationship Id="rId46" Type="http://schemas.openxmlformats.org/officeDocument/2006/relationships/hyperlink" Target="https://photos.app.goo.gl/okPhhnwSeJtBsPCL6" TargetMode="External"/><Relationship Id="rId47" Type="http://schemas.openxmlformats.org/officeDocument/2006/relationships/hyperlink" Target="https://drive.google.com/file/d/1rMgWr3KGBKmQJyVGz2NmoNTM4U7-IrlG/view?usp=share_link" TargetMode="External"/><Relationship Id="rId48" Type="http://schemas.openxmlformats.org/officeDocument/2006/relationships/hyperlink" Target="https://photos.app.goo.gl/2c2RUVxCWDpXJZ7J7" TargetMode="External"/><Relationship Id="rId49" Type="http://schemas.openxmlformats.org/officeDocument/2006/relationships/hyperlink" Target="https://drive.google.com/file/d/1rAAniShWcZApUBNryH8DNdC0M-f1hoYx/view?usp=share_link" TargetMode="External"/><Relationship Id="rId50" Type="http://schemas.openxmlformats.org/officeDocument/2006/relationships/hyperlink" Target="https://photos.app.goo.gl/iSq5biJNYh7T2UXs6" TargetMode="External"/><Relationship Id="rId51" Type="http://schemas.openxmlformats.org/officeDocument/2006/relationships/hyperlink" Target="https://photos.app.goo.gl/Ri7nbVV8b9LbEcTs9" TargetMode="External"/><Relationship Id="rId52" Type="http://schemas.openxmlformats.org/officeDocument/2006/relationships/hyperlink" Target="https://drive.google.com/file/d/1sbco3wmJVRtTcvCio3OIVdfwxkr2mLxE/view?usp=share_link" TargetMode="External"/><Relationship Id="rId53" Type="http://schemas.openxmlformats.org/officeDocument/2006/relationships/hyperlink" Target="https://photos.app.goo.gl/Ri7nbVV8b9LbEcTs9" TargetMode="External"/><Relationship Id="rId54" Type="http://schemas.openxmlformats.org/officeDocument/2006/relationships/hyperlink" Target="https://photos.app.goo.gl/qtnTjUDzMZvBZtm17" TargetMode="External"/><Relationship Id="rId55" Type="http://schemas.openxmlformats.org/officeDocument/2006/relationships/hyperlink" Target="https://drive.google.com/file/d/1uOHwViPHFltuwif3MD2VOjLoGYJnK25b/view?usp=share_linkhttps://drive.google.com/file/d/1uOHwViPHFltuwif3MD2VOjLoGYJnK25b/view?usp=share_link" TargetMode="External"/><Relationship Id="rId56" Type="http://schemas.openxmlformats.org/officeDocument/2006/relationships/hyperlink" Target="https://photos.app.goo.gl/qtnTjUDzMZvBZtm17" TargetMode="External"/><Relationship Id="rId57" Type="http://schemas.openxmlformats.org/officeDocument/2006/relationships/hyperlink" Target="https://photos.app.goo.gl/FYRTN3WEztDFkAJZA" TargetMode="External"/><Relationship Id="rId58" Type="http://schemas.openxmlformats.org/officeDocument/2006/relationships/hyperlink" Target="https://drive.google.com/file/d/1tyv0rVaIMD97gICTIAjWBO33mGtkkxtt/view?usp=share_link" TargetMode="External"/><Relationship Id="rId59" Type="http://schemas.openxmlformats.org/officeDocument/2006/relationships/hyperlink" Target="https://photos.app.goo.gl/FYRTN3WEztDFkAJZA" TargetMode="External"/><Relationship Id="rId60" Type="http://schemas.openxmlformats.org/officeDocument/2006/relationships/hyperlink" Target="https://photos.app.goo.gl/59wJYSajr4Kfbfun6" TargetMode="External"/><Relationship Id="rId61" Type="http://schemas.openxmlformats.org/officeDocument/2006/relationships/hyperlink" Target="https://drive.google.com/file/d/1u8bdElj8lmgV-IEttdYVqp1LsA3Ij9nW/view?usp=share_link" TargetMode="External"/><Relationship Id="rId62" Type="http://schemas.openxmlformats.org/officeDocument/2006/relationships/hyperlink" Target="https://photos.app.goo.gl/59wJYSajr4Kfbfun6" TargetMode="External"/><Relationship Id="rId63" Type="http://schemas.openxmlformats.org/officeDocument/2006/relationships/hyperlink" Target="https://photos.app.goo.gl/1N6HCzC5phFHfdh47" TargetMode="External"/><Relationship Id="rId64" Type="http://schemas.openxmlformats.org/officeDocument/2006/relationships/hyperlink" Target="https://drive.google.com/file/d/1uGiOjBsDj6B4TvelhcCEK4iRAa6TD8k5/view?usp=share_link" TargetMode="External"/><Relationship Id="rId65" Type="http://schemas.openxmlformats.org/officeDocument/2006/relationships/hyperlink" Target="https://photos.app.goo.gl/1N6HCzC5phFHfdh47" TargetMode="External"/><Relationship Id="rId66" Type="http://schemas.openxmlformats.org/officeDocument/2006/relationships/hyperlink" Target="https://photos.app.goo.gl/jf54VZbQHPWjjwQg8" TargetMode="External"/><Relationship Id="rId67" Type="http://schemas.openxmlformats.org/officeDocument/2006/relationships/hyperlink" Target="https://drive.google.com/file/d/1uSIrO569rI4BdtLJzKXEPiR3x95NJszw/view?usp=share_link" TargetMode="External"/><Relationship Id="rId68" Type="http://schemas.openxmlformats.org/officeDocument/2006/relationships/hyperlink" Target="https://photos.app.goo.gl/jf54VZbQHPWjjwQg8" TargetMode="External"/><Relationship Id="rId69" Type="http://schemas.openxmlformats.org/officeDocument/2006/relationships/drawing" Target="../drawings/drawing25.xml"/>
</Relationships>
</file>

<file path=xl/worksheets/_rels/sheet28.xml.rels><?xml version="1.0" encoding="UTF-8"?>
<Relationships xmlns="http://schemas.openxmlformats.org/package/2006/relationships"><Relationship Id="rId1" Type="http://schemas.openxmlformats.org/officeDocument/2006/relationships/hyperlink" Target="https://photos.app.goo.gl/fJLLPHScDSqssC8P9" TargetMode="External"/><Relationship Id="rId2" Type="http://schemas.openxmlformats.org/officeDocument/2006/relationships/hyperlink" Target="https://photos.app.goo.gl/8aYpho8z8sGbo5hp6" TargetMode="External"/><Relationship Id="rId3" Type="http://schemas.openxmlformats.org/officeDocument/2006/relationships/hyperlink" Target="https://photos.app.goo.gl/RAtDZfB1pxpvKKo98" TargetMode="External"/><Relationship Id="rId4" Type="http://schemas.openxmlformats.org/officeDocument/2006/relationships/hyperlink" Target="https://photos.app.goo.gl/uJTHbnKjiMKzdDS99" TargetMode="External"/><Relationship Id="rId5" Type="http://schemas.openxmlformats.org/officeDocument/2006/relationships/hyperlink" Target="https://drive.google.com/file/d/1gGBeOaevWw9ibIswbYseTwgwMKONdGaY/view?usp=sharing" TargetMode="External"/><Relationship Id="rId6" Type="http://schemas.openxmlformats.org/officeDocument/2006/relationships/hyperlink" Target="https://photos.app.goo.gl/u3ahzNtUtGBXK8ZKA" TargetMode="External"/><Relationship Id="rId7" Type="http://schemas.openxmlformats.org/officeDocument/2006/relationships/hyperlink" Target="https://drive.google.com/file/d/1h7dbqrq-w1i7o2dQZ9xrjeCeDR--bJzx/view?usp=sharing" TargetMode="External"/><Relationship Id="rId8" Type="http://schemas.openxmlformats.org/officeDocument/2006/relationships/hyperlink" Target="https://photos.app.goo.gl/SQ3HY1viWBhdY6xs8" TargetMode="External"/><Relationship Id="rId9" Type="http://schemas.openxmlformats.org/officeDocument/2006/relationships/hyperlink" Target="https://drive.google.com/file/d/1fKMGQZNmvhHoWfTqKLYQCL8m-cROBOKT/view?usp=sharing" TargetMode="External"/><Relationship Id="rId10" Type="http://schemas.openxmlformats.org/officeDocument/2006/relationships/hyperlink" Target="https://photos.app.goo.gl/Q2xXAsLEdC6hxWwF8" TargetMode="External"/><Relationship Id="rId11" Type="http://schemas.openxmlformats.org/officeDocument/2006/relationships/hyperlink" Target="https://photos.app.goo.gl/bAJjwmLNoxdcjKXy6" TargetMode="External"/><Relationship Id="rId12" Type="http://schemas.openxmlformats.org/officeDocument/2006/relationships/hyperlink" Target="https://drive.google.com/file/d/1uPWhBKavQz1QN6Mwrs1m_0RHRTvMi0yi/view?usp=sharing" TargetMode="External"/><Relationship Id="rId13" Type="http://schemas.openxmlformats.org/officeDocument/2006/relationships/hyperlink" Target="https://drive.google.com/file/d/1m1paV-mFMESUHJL0T1KEdeGJKjePnMw4/view?usp=share_link" TargetMode="External"/><Relationship Id="rId14" Type="http://schemas.openxmlformats.org/officeDocument/2006/relationships/hyperlink" Target="https://photos.app.goo.gl/RxXzvmsYxjorgozo9" TargetMode="External"/><Relationship Id="rId15" Type="http://schemas.openxmlformats.org/officeDocument/2006/relationships/hyperlink" Target="https://drive.google.com/file/d/1keH0yhRw-VuLC4CD5r_3om3-85Hk_mgl/view?usp=share_link" TargetMode="External"/><Relationship Id="rId16" Type="http://schemas.openxmlformats.org/officeDocument/2006/relationships/hyperlink" Target="https://photos.app.goo.gl/twjYc97uXceJHHf99" TargetMode="External"/><Relationship Id="rId17" Type="http://schemas.openxmlformats.org/officeDocument/2006/relationships/hyperlink" Target="https://drive.google.com/file/d/1tFD18AgBtI51BnlT0t579k2zL6DxZpK-/view?usp=share_link" TargetMode="External"/><Relationship Id="rId18" Type="http://schemas.openxmlformats.org/officeDocument/2006/relationships/hyperlink" Target="https://photos.app.goo.gl/bef82FYueR8SrAYt5" TargetMode="External"/><Relationship Id="rId19" Type="http://schemas.openxmlformats.org/officeDocument/2006/relationships/hyperlink" Target="https://drive.google.com/file/d/1tST1JBY4LKDmNJAtTuPum19Vi95qFgRl/view?usp=share_link" TargetMode="External"/><Relationship Id="rId20" Type="http://schemas.openxmlformats.org/officeDocument/2006/relationships/hyperlink" Target="https://photos.app.goo.gl/kdjH742Aq1eKsqd69" TargetMode="External"/><Relationship Id="rId21" Type="http://schemas.openxmlformats.org/officeDocument/2006/relationships/hyperlink" Target="https://drive.google.com/file/d/1nTJf90VD86vUbovGSurVjBclz2c2jNCB/view?usp=share_link" TargetMode="External"/><Relationship Id="rId22" Type="http://schemas.openxmlformats.org/officeDocument/2006/relationships/hyperlink" Target="https://photos.app.goo.gl/dNnmhB63n167Lq17A" TargetMode="External"/><Relationship Id="rId23" Type="http://schemas.openxmlformats.org/officeDocument/2006/relationships/hyperlink" Target="https://photos.app.goo.gl/4x6XZLjgMnfSoZRW8" TargetMode="External"/><Relationship Id="rId24" Type="http://schemas.openxmlformats.org/officeDocument/2006/relationships/hyperlink" Target="https://drive.google.com/file/d/1jEPFDS6p2rnojFl1uQqaAMZlp8H2Mi6L/view?usp=sharing" TargetMode="External"/><Relationship Id="rId25" Type="http://schemas.openxmlformats.org/officeDocument/2006/relationships/hyperlink" Target="https://photos.app.goo.gl/cpU7x3QKbtMAtLFy8" TargetMode="External"/><Relationship Id="rId26" Type="http://schemas.openxmlformats.org/officeDocument/2006/relationships/hyperlink" Target="https://photos.app.goo.gl/EfKDq2gfD1vSDb4m9" TargetMode="External"/><Relationship Id="rId27" Type="http://schemas.openxmlformats.org/officeDocument/2006/relationships/hyperlink" Target="https://photos.app.goo.gl/pxhWuVrZLAZTPYd67" TargetMode="External"/><Relationship Id="rId28" Type="http://schemas.openxmlformats.org/officeDocument/2006/relationships/hyperlink" Target="https://drive.google.com/file/d/1qulDRKjeqeX0aKHMk_GTPGetwPwWPtck/view?usp=share_link" TargetMode="External"/><Relationship Id="rId29" Type="http://schemas.openxmlformats.org/officeDocument/2006/relationships/hyperlink" Target="https://photos.app.goo.gl/gkE8JgGwoFr1tasV8" TargetMode="External"/><Relationship Id="rId30" Type="http://schemas.openxmlformats.org/officeDocument/2006/relationships/hyperlink" Target="https://drive.google.com/file/d/1qaMugpDokIzPNSpfz9EILijLjBdTVIHy/view?usp=share_link" TargetMode="External"/><Relationship Id="rId31" Type="http://schemas.openxmlformats.org/officeDocument/2006/relationships/hyperlink" Target="https://photos.app.goo.gl/d2ShhwDzR4i3UHVeA" TargetMode="External"/><Relationship Id="rId32" Type="http://schemas.openxmlformats.org/officeDocument/2006/relationships/hyperlink" Target="https://drive.google.com/file/d/1qoYpATF1aKW5PNTsotf4A9xNf8UUGA9K/view?usp=share_link" TargetMode="External"/><Relationship Id="rId33" Type="http://schemas.openxmlformats.org/officeDocument/2006/relationships/hyperlink" Target="https://photos.app.goo.gl/28hG5Q2RHfjcavXN8" TargetMode="External"/><Relationship Id="rId34" Type="http://schemas.openxmlformats.org/officeDocument/2006/relationships/hyperlink" Target="https://drive.google.com/file/d/1qf7gauA83wV28PFP8dL5rSuPt-ceG-hh/view?usp=share_link" TargetMode="External"/><Relationship Id="rId35" Type="http://schemas.openxmlformats.org/officeDocument/2006/relationships/hyperlink" Target="https://photos.app.goo.gl/K5J3SpB2WJBAUVVr7" TargetMode="External"/><Relationship Id="rId36" Type="http://schemas.openxmlformats.org/officeDocument/2006/relationships/hyperlink" Target="https://drive.google.com/file/d/1qfUphtaMDEqSyVL9IyjZ5P3Yxxs75kSL/view?usp=share_link" TargetMode="External"/><Relationship Id="rId37" Type="http://schemas.openxmlformats.org/officeDocument/2006/relationships/hyperlink" Target="https://photos.app.goo.gl/EvPSWqDPT3YuuAwf6" TargetMode="External"/><Relationship Id="rId38" Type="http://schemas.openxmlformats.org/officeDocument/2006/relationships/hyperlink" Target="https://drive.google.com/file/d/1k1ciDnumw0S-ipGi4FYwShknLcJNjCla/view?usp=share_link" TargetMode="External"/><Relationship Id="rId39" Type="http://schemas.openxmlformats.org/officeDocument/2006/relationships/hyperlink" Target="https://photos.app.goo.gl/yLK3PJaQ6WKBU8eK6" TargetMode="External"/><Relationship Id="rId40" Type="http://schemas.openxmlformats.org/officeDocument/2006/relationships/drawing" Target="../drawings/drawing26.xml"/>
</Relationships>
</file>

<file path=xl/worksheets/_rels/sheet29.xml.rels><?xml version="1.0" encoding="UTF-8"?>
<Relationships xmlns="http://schemas.openxmlformats.org/package/2006/relationships"><Relationship Id="rId1" Type="http://schemas.openxmlformats.org/officeDocument/2006/relationships/hyperlink" Target="https://photos.app.goo.gl/T4NM9X7prbj2VFii7" TargetMode="External"/><Relationship Id="rId2" Type="http://schemas.openxmlformats.org/officeDocument/2006/relationships/hyperlink" Target="https://drive.google.com/file/d/1Xz_tpRpECw6Z3t716AG__XCvtMrziKL8/view?usp=sharing" TargetMode="External"/><Relationship Id="rId3" Type="http://schemas.openxmlformats.org/officeDocument/2006/relationships/hyperlink" Target="https://photos.app.goo.gl/cs9CSzgJFKDStJDZ8" TargetMode="External"/><Relationship Id="rId4" Type="http://schemas.openxmlformats.org/officeDocument/2006/relationships/hyperlink" Target="https://photos.app.goo.gl/rZjixyxsxLjGuENF6" TargetMode="External"/><Relationship Id="rId5" Type="http://schemas.openxmlformats.org/officeDocument/2006/relationships/hyperlink" Target="https://photos.app.goo.gl/VpWfZqnb43bNDMW3A" TargetMode="External"/><Relationship Id="rId6" Type="http://schemas.openxmlformats.org/officeDocument/2006/relationships/hyperlink" Target="https://photos.app.goo.gl/YB9NJCr6tbd6nSE58" TargetMode="External"/><Relationship Id="rId7" Type="http://schemas.openxmlformats.org/officeDocument/2006/relationships/hyperlink" Target="https://photos.app.goo.gl/EcdXWZx9zbPGsCb88" TargetMode="External"/><Relationship Id="rId8" Type="http://schemas.openxmlformats.org/officeDocument/2006/relationships/hyperlink" Target="https://drive.google.com/file/d/1fVly38WrXK0npm8BW399KD6AX4jTad4O/view?usp=sharing" TargetMode="External"/><Relationship Id="rId9" Type="http://schemas.openxmlformats.org/officeDocument/2006/relationships/hyperlink" Target="https://photos.app.goo.gl/oF8eVkbz1h14Z9DR7" TargetMode="External"/><Relationship Id="rId10" Type="http://schemas.openxmlformats.org/officeDocument/2006/relationships/hyperlink" Target="https://drive.google.com/file/d/1fP3YU8qwsBnMnh-ENqAM7_9Ps2K0u0La/view?usp=sharing" TargetMode="External"/><Relationship Id="rId11" Type="http://schemas.openxmlformats.org/officeDocument/2006/relationships/hyperlink" Target="https://photos.app.goo.gl/kWaPPMftMv4FKe6Z9" TargetMode="External"/><Relationship Id="rId12" Type="http://schemas.openxmlformats.org/officeDocument/2006/relationships/hyperlink" Target="https://photos.app.goo.gl/ciiL3vjq1vuqUnRs7" TargetMode="External"/><Relationship Id="rId13" Type="http://schemas.openxmlformats.org/officeDocument/2006/relationships/hyperlink" Target="https://photos.app.goo.gl/8XBCBhXuX1aTKjTo7" TargetMode="External"/><Relationship Id="rId14" Type="http://schemas.openxmlformats.org/officeDocument/2006/relationships/hyperlink" Target="https://drive.google.com/file/d/1nDpksxUVS50NGqsMAyUsn7b-fJd_lOsX/view?usp=share_link" TargetMode="External"/><Relationship Id="rId15" Type="http://schemas.openxmlformats.org/officeDocument/2006/relationships/hyperlink" Target="https://photos.app.goo.gl/djafAQDWrzr7H5M37" TargetMode="External"/><Relationship Id="rId16" Type="http://schemas.openxmlformats.org/officeDocument/2006/relationships/hyperlink" Target="https://drive.google.com/file/d/1mU4qiVHrW-iW9LjweIa9Kh8w0kknrV74/view?usp=share_link" TargetMode="External"/><Relationship Id="rId17" Type="http://schemas.openxmlformats.org/officeDocument/2006/relationships/hyperlink" Target="https://photos.app.goo.gl/MHvLUbJR2CD7ctoj6" TargetMode="External"/><Relationship Id="rId18" Type="http://schemas.openxmlformats.org/officeDocument/2006/relationships/hyperlink" Target="https://drive.google.com/file/d/1eV4aCKcvpyGq63kI9vhyzOeiz7YB4LAn/view?usp=sharing" TargetMode="External"/><Relationship Id="rId19" Type="http://schemas.openxmlformats.org/officeDocument/2006/relationships/hyperlink" Target="https://photos.app.goo.gl/LN2DTUL3y8wasX967" TargetMode="External"/><Relationship Id="rId20" Type="http://schemas.openxmlformats.org/officeDocument/2006/relationships/hyperlink" Target="https://photos.app.goo.gl/VXd64FiddKR9dB9K8" TargetMode="External"/><Relationship Id="rId21" Type="http://schemas.openxmlformats.org/officeDocument/2006/relationships/hyperlink" Target="https://drive.google.com/file/d/1fxVhgjZiqukloOINsf0CwTFfj4p_wGb7/view?usp=sharing" TargetMode="External"/><Relationship Id="rId22" Type="http://schemas.openxmlformats.org/officeDocument/2006/relationships/hyperlink" Target="https://photos.app.goo.gl/yciFCELsGUP7AzK16" TargetMode="External"/><Relationship Id="rId23" Type="http://schemas.openxmlformats.org/officeDocument/2006/relationships/hyperlink" Target="https://drive.google.com/file/d/1goulD1cVvZpTwdxxurCLhYTCU43VaYH4/view?usp=sharing" TargetMode="External"/><Relationship Id="rId24" Type="http://schemas.openxmlformats.org/officeDocument/2006/relationships/hyperlink" Target="https://photos.app.goo.gl/DcafZxWBNg5jq8XN8" TargetMode="External"/><Relationship Id="rId25" Type="http://schemas.openxmlformats.org/officeDocument/2006/relationships/hyperlink" Target="https://photos.app.goo.gl/LJsY38vpaaWDU9pH9" TargetMode="External"/><Relationship Id="rId26" Type="http://schemas.openxmlformats.org/officeDocument/2006/relationships/drawing" Target="../drawings/drawing27.xml"/>
</Relationships>
</file>

<file path=xl/worksheets/_rels/sheet30.xml.rels><?xml version="1.0" encoding="UTF-8"?>
<Relationships xmlns="http://schemas.openxmlformats.org/package/2006/relationships"><Relationship Id="rId1" Type="http://schemas.openxmlformats.org/officeDocument/2006/relationships/hyperlink" Target="https://photos.app.goo.gl/8To9jZUUvfQgZorB9" TargetMode="External"/><Relationship Id="rId2" Type="http://schemas.openxmlformats.org/officeDocument/2006/relationships/hyperlink" Target="https://drive.google.com/file/d/1ji_DMrZ7G_cIMy7KRaZMsQNa1Y78CG5e/view?usp=share_link" TargetMode="External"/><Relationship Id="rId3" Type="http://schemas.openxmlformats.org/officeDocument/2006/relationships/hyperlink" Target="https://photos.app.goo.gl/3Vm13JQEVsC7Js6s8" TargetMode="External"/><Relationship Id="rId4" Type="http://schemas.openxmlformats.org/officeDocument/2006/relationships/hyperlink" Target="https://photos.app.goo.gl/ovEv299srPSmhf47A" TargetMode="External"/><Relationship Id="rId5" Type="http://schemas.openxmlformats.org/officeDocument/2006/relationships/hyperlink" Target="https://drive.google.com/file/d/1jpLPsdNsOTiijWPe69fuyIwA4EA46RKq/view?usp=share_link" TargetMode="External"/><Relationship Id="rId6" Type="http://schemas.openxmlformats.org/officeDocument/2006/relationships/hyperlink" Target="https://photos.app.goo.gl/wjQEyAdfTxgyKkw1A" TargetMode="External"/><Relationship Id="rId7" Type="http://schemas.openxmlformats.org/officeDocument/2006/relationships/hyperlink" Target="https://drive.google.com/file/d/1VP7zDch1UbrDgHVBi-6iEDxLyJLPOEqN/view?usp=sharing" TargetMode="External"/><Relationship Id="rId8" Type="http://schemas.openxmlformats.org/officeDocument/2006/relationships/hyperlink" Target="https://photos.app.goo.gl/UeVYftQGRVtpEV1y6" TargetMode="External"/><Relationship Id="rId9" Type="http://schemas.openxmlformats.org/officeDocument/2006/relationships/hyperlink" Target="https://photos.app.goo.gl/fV6wff5VpFjBP5QAA" TargetMode="External"/><Relationship Id="rId10" Type="http://schemas.openxmlformats.org/officeDocument/2006/relationships/hyperlink" Target="https://drive.google.com/file/d/1VQ6xxpymVkXbWBUxsXvG_vXcvA9RCWA5/view?usp=sharing" TargetMode="External"/><Relationship Id="rId11" Type="http://schemas.openxmlformats.org/officeDocument/2006/relationships/hyperlink" Target="https://photos.app.goo.gl/fV6wff5VpFjBP5QAA" TargetMode="External"/><Relationship Id="rId12" Type="http://schemas.openxmlformats.org/officeDocument/2006/relationships/hyperlink" Target="https://photos.app.goo.gl/LTbwjHGtHzy9qhVx6" TargetMode="External"/><Relationship Id="rId13" Type="http://schemas.openxmlformats.org/officeDocument/2006/relationships/hyperlink" Target="https://photos.app.goo.gl/XrwW2Eu8hHqwo5Xs6" TargetMode="External"/><Relationship Id="rId14" Type="http://schemas.openxmlformats.org/officeDocument/2006/relationships/hyperlink" Target="https://photos.app.goo.gl/n2uf9kwHp9DitE7P7" TargetMode="External"/><Relationship Id="rId15" Type="http://schemas.openxmlformats.org/officeDocument/2006/relationships/hyperlink" Target="https://drive.google.com/file/d/1PkFPkZ7XYVDagoRVDNSA3GdqKqR4ngu1/view?usp=sharing" TargetMode="External"/><Relationship Id="rId16" Type="http://schemas.openxmlformats.org/officeDocument/2006/relationships/hyperlink" Target="https://photos.app.goo.gl/uNwz9V868fAP8Vuc9" TargetMode="External"/><Relationship Id="rId17" Type="http://schemas.openxmlformats.org/officeDocument/2006/relationships/hyperlink" Target="https://photos.app.goo.gl/JNdjRH8rVceijWF66" TargetMode="External"/><Relationship Id="rId18" Type="http://schemas.openxmlformats.org/officeDocument/2006/relationships/hyperlink" Target="https://drive.google.com/file/d/1PniEq85zSpLfsbeNuCbVFOJKLeyq-1XG/view?usp=sharing" TargetMode="External"/><Relationship Id="rId19" Type="http://schemas.openxmlformats.org/officeDocument/2006/relationships/hyperlink" Target="https://photos.app.goo.gl/hHPjMQ5TgujpuwDg9" TargetMode="External"/><Relationship Id="rId20" Type="http://schemas.openxmlformats.org/officeDocument/2006/relationships/hyperlink" Target="https://drive.google.com/file/d/1RG8WJeaz7vZX4OeoKT9X18qQs6b6gxYF/view?usp=sharing" TargetMode="External"/><Relationship Id="rId21" Type="http://schemas.openxmlformats.org/officeDocument/2006/relationships/hyperlink" Target="https://photos.app.goo.gl/xiTJfDtNbm2tR4P78" TargetMode="External"/><Relationship Id="rId22" Type="http://schemas.openxmlformats.org/officeDocument/2006/relationships/hyperlink" Target="https://photos.app.goo.gl/chgr3eBoURWsH7MP7" TargetMode="External"/><Relationship Id="rId23" Type="http://schemas.openxmlformats.org/officeDocument/2006/relationships/hyperlink" Target="https://photos.app.goo.gl/chgr3eBoURWsH7MP7" TargetMode="External"/><Relationship Id="rId24" Type="http://schemas.openxmlformats.org/officeDocument/2006/relationships/hyperlink" Target="https://photos.app.goo.gl/GStCuvxUKB5Bj3ta8" TargetMode="External"/><Relationship Id="rId25" Type="http://schemas.openxmlformats.org/officeDocument/2006/relationships/hyperlink" Target="https://photos.app.goo.gl/mxJJmQgeRHLpfbDm8" TargetMode="External"/><Relationship Id="rId26" Type="http://schemas.openxmlformats.org/officeDocument/2006/relationships/hyperlink" Target="https://photos.app.goo.gl/32hXJhXocN2FzN6z9" TargetMode="External"/><Relationship Id="rId27" Type="http://schemas.openxmlformats.org/officeDocument/2006/relationships/hyperlink" Target="https://photos.app.goo.gl/bcR5Urf6Lh7dLhSC9" TargetMode="External"/><Relationship Id="rId28" Type="http://schemas.openxmlformats.org/officeDocument/2006/relationships/hyperlink" Target="https://drive.google.com/file/d/1SXznxhAcqqPTICF-PlXP2qAY_bBvjoqM/view?usp=sharing" TargetMode="External"/><Relationship Id="rId29" Type="http://schemas.openxmlformats.org/officeDocument/2006/relationships/hyperlink" Target="https://photos.app.goo.gl/rhgxCTFSNJiWCpNs6" TargetMode="External"/><Relationship Id="rId30" Type="http://schemas.openxmlformats.org/officeDocument/2006/relationships/hyperlink" Target="https://photos.app.goo.gl/ioQ2bRdsXNep4zSC8" TargetMode="External"/><Relationship Id="rId31" Type="http://schemas.openxmlformats.org/officeDocument/2006/relationships/hyperlink" Target="https://drive.google.com/file/d/1SqvLRfO81l0K0X8MdtnYXkf-W0BHDwNT/view?usp=sharing" TargetMode="External"/><Relationship Id="rId32" Type="http://schemas.openxmlformats.org/officeDocument/2006/relationships/hyperlink" Target="https://photos.app.goo.gl/ioQ2bRdsXNep4zSC8" TargetMode="External"/><Relationship Id="rId33" Type="http://schemas.openxmlformats.org/officeDocument/2006/relationships/hyperlink" Target="https://photos.app.goo.gl/GrkZfnvzXzWaYkH56" TargetMode="External"/><Relationship Id="rId34" Type="http://schemas.openxmlformats.org/officeDocument/2006/relationships/hyperlink" Target="https://drive.google.com/file/d/1U_PZvG63YY4K8WmMere4exThXb_pIG_3/view?usp=sharing" TargetMode="External"/><Relationship Id="rId35" Type="http://schemas.openxmlformats.org/officeDocument/2006/relationships/hyperlink" Target="https://photos.app.goo.gl/X1syZe2MVVgZtXF76" TargetMode="External"/><Relationship Id="rId36" Type="http://schemas.openxmlformats.org/officeDocument/2006/relationships/hyperlink" Target="https://photos.app.goo.gl/inb9WGWfTPjVydxb9" TargetMode="External"/><Relationship Id="rId37" Type="http://schemas.openxmlformats.org/officeDocument/2006/relationships/hyperlink" Target="https://drive.google.com/file/d/1WkTayPuN2RAkUJY0i6-4ABeVgSpjGyRz/view?usp=sharing" TargetMode="External"/><Relationship Id="rId38" Type="http://schemas.openxmlformats.org/officeDocument/2006/relationships/hyperlink" Target="https://photos.app.goo.gl/inb9WGWfTPjVydxb9" TargetMode="External"/><Relationship Id="rId39" Type="http://schemas.openxmlformats.org/officeDocument/2006/relationships/hyperlink" Target="https://photos.app.goo.gl/jBBoZzag6tZC4gv88" TargetMode="External"/><Relationship Id="rId40" Type="http://schemas.openxmlformats.org/officeDocument/2006/relationships/hyperlink" Target="https://drive.google.com/file/d/1WaIIxn61lUboH0NnO25GbJl8kpKpcZ5F/view?usp=sharing" TargetMode="External"/><Relationship Id="rId41" Type="http://schemas.openxmlformats.org/officeDocument/2006/relationships/hyperlink" Target="https://photos.app.goo.gl/tZQp3a3DZKmJygwi6" TargetMode="External"/><Relationship Id="rId42" Type="http://schemas.openxmlformats.org/officeDocument/2006/relationships/hyperlink" Target="https://photos.app.goo.gl/7j2iZxz5r9iLL8iUA" TargetMode="External"/><Relationship Id="rId43" Type="http://schemas.openxmlformats.org/officeDocument/2006/relationships/hyperlink" Target="https://drive.google.com/file/d/1bpq7r0VvDW-I7vKuV-2W6isLMiGKTtoV/view?usp=sharing" TargetMode="External"/><Relationship Id="rId44" Type="http://schemas.openxmlformats.org/officeDocument/2006/relationships/hyperlink" Target="https://photos.app.goo.gl/kmvjF1xzVgqGXAvc6" TargetMode="External"/><Relationship Id="rId45" Type="http://schemas.openxmlformats.org/officeDocument/2006/relationships/hyperlink" Target="https://photos.app.goo.gl/npxcCeBUTaQwRsst5" TargetMode="External"/><Relationship Id="rId46" Type="http://schemas.openxmlformats.org/officeDocument/2006/relationships/hyperlink" Target="https://drive.google.com/file/d/1bxytSId63RYfbB9zhSeSuSRz1l0PtLx6/view?usp=sharing" TargetMode="External"/><Relationship Id="rId47" Type="http://schemas.openxmlformats.org/officeDocument/2006/relationships/hyperlink" Target="https://photos.app.goo.gl/npxcCeBUTaQwRsst5" TargetMode="External"/><Relationship Id="rId48" Type="http://schemas.openxmlformats.org/officeDocument/2006/relationships/hyperlink" Target="https://photos.app.goo.gl/Xt6muEmS5RpiZiMa9" TargetMode="External"/><Relationship Id="rId49" Type="http://schemas.openxmlformats.org/officeDocument/2006/relationships/hyperlink" Target="https://drive.google.com/file/d/1cNIXJ4Xkd_1J820YDzFt-q6VwMal0Z-5/view?usp=sharing" TargetMode="External"/><Relationship Id="rId50" Type="http://schemas.openxmlformats.org/officeDocument/2006/relationships/hyperlink" Target="https://photos.app.goo.gl/Xt6muEmS5RpiZiMa9" TargetMode="External"/><Relationship Id="rId51" Type="http://schemas.openxmlformats.org/officeDocument/2006/relationships/hyperlink" Target="https://photos.app.goo.gl/757zrgZAYhucxgqZ7" TargetMode="External"/><Relationship Id="rId52" Type="http://schemas.openxmlformats.org/officeDocument/2006/relationships/hyperlink" Target="https://drive.google.com/file/d/1cXsWdiktRxY_nZUEQ4iBjVFXjGySBzw8/view?usp=sharing" TargetMode="External"/><Relationship Id="rId53" Type="http://schemas.openxmlformats.org/officeDocument/2006/relationships/hyperlink" Target="https://photos.app.goo.gl/757zrgZAYhucxgqZ7" TargetMode="External"/><Relationship Id="rId54" Type="http://schemas.openxmlformats.org/officeDocument/2006/relationships/hyperlink" Target="https://photos.app.goo.gl/SgCUS235fpGNZCiY8" TargetMode="External"/><Relationship Id="rId55" Type="http://schemas.openxmlformats.org/officeDocument/2006/relationships/hyperlink" Target="https://photos.app.goo.gl/FWeQENi1MNMF6KuA9" TargetMode="External"/><Relationship Id="rId56" Type="http://schemas.openxmlformats.org/officeDocument/2006/relationships/hyperlink" Target="https://photos.app.goo.gl/UR4RicMmJg64pcS56" TargetMode="External"/><Relationship Id="rId57" Type="http://schemas.openxmlformats.org/officeDocument/2006/relationships/hyperlink" Target="https://photos.app.goo.gl/4nBs5chaXYpsxCo78" TargetMode="External"/><Relationship Id="rId58" Type="http://schemas.openxmlformats.org/officeDocument/2006/relationships/hyperlink" Target="https://photos.app.goo.gl/TAusDhsRfABeBHMZ8" TargetMode="External"/><Relationship Id="rId59" Type="http://schemas.openxmlformats.org/officeDocument/2006/relationships/hyperlink" Target="https://photos.app.goo.gl/SFmoR6PTnynNQTbi9" TargetMode="External"/><Relationship Id="rId60" Type="http://schemas.openxmlformats.org/officeDocument/2006/relationships/drawing" Target="../drawings/drawing28.xml"/>
</Relationships>
</file>

<file path=xl/worksheets/_rels/sheet31.xml.rels><?xml version="1.0" encoding="UTF-8"?>
<Relationships xmlns="http://schemas.openxmlformats.org/package/2006/relationships"><Relationship Id="rId1" Type="http://schemas.openxmlformats.org/officeDocument/2006/relationships/hyperlink" Target="https://drive.google.com/file/d/1JEI3nxge6_fejc4qmVIW7gjtqg1mrAqC/view?usp=sharing" TargetMode="External"/><Relationship Id="rId2" Type="http://schemas.openxmlformats.org/officeDocument/2006/relationships/hyperlink" Target="https://photos.app.goo.gl/PkjFk4ntuivqZFgXA" TargetMode="External"/><Relationship Id="rId3" Type="http://schemas.openxmlformats.org/officeDocument/2006/relationships/hyperlink" Target="https://drive.google.com/file/d/1JNL3Slh2XhcHbTDUAKxqes2_2NHOm-yv/view?usp=sharing" TargetMode="External"/><Relationship Id="rId4" Type="http://schemas.openxmlformats.org/officeDocument/2006/relationships/hyperlink" Target="https://photos.app.goo.gl/UzXFk1TQet6przq66" TargetMode="External"/><Relationship Id="rId5" Type="http://schemas.openxmlformats.org/officeDocument/2006/relationships/hyperlink" Target="https://photos.app.goo.gl/S3PntyiLdEYPF9MXA" TargetMode="External"/><Relationship Id="rId6" Type="http://schemas.openxmlformats.org/officeDocument/2006/relationships/hyperlink" Target="https://drive.google.com/file/d/1G_5OEP98rO142wuN0-xEJKFXVVfyYMGl/view?usp=sharing" TargetMode="External"/><Relationship Id="rId7" Type="http://schemas.openxmlformats.org/officeDocument/2006/relationships/hyperlink" Target="https://photos.app.goo.gl/YqhV1BDA4TLj1yJFA" TargetMode="External"/><Relationship Id="rId8" Type="http://schemas.openxmlformats.org/officeDocument/2006/relationships/hyperlink" Target="https://photos.app.goo.gl/GNqwG65jtn4DKwCg7" TargetMode="External"/><Relationship Id="rId9" Type="http://schemas.openxmlformats.org/officeDocument/2006/relationships/hyperlink" Target="https://drive.google.com/file/d/1IVIJoabwJcLHNoyl42uI9KQYeGemAccD/view?usp=sharing" TargetMode="External"/><Relationship Id="rId10" Type="http://schemas.openxmlformats.org/officeDocument/2006/relationships/hyperlink" Target="https://photos.app.goo.gl/fSum3sF6rCv6iVkC9" TargetMode="External"/><Relationship Id="rId11" Type="http://schemas.openxmlformats.org/officeDocument/2006/relationships/hyperlink" Target="https://drive.google.com/file/d/1ImM81AIMT5AR6FuaiULo91P6QazPFrAP/view?usp=sharing" TargetMode="External"/><Relationship Id="rId12" Type="http://schemas.openxmlformats.org/officeDocument/2006/relationships/hyperlink" Target="https://photos.app.goo.gl/vSoUhYR4jBEYrLDx6" TargetMode="External"/><Relationship Id="rId13" Type="http://schemas.openxmlformats.org/officeDocument/2006/relationships/hyperlink" Target="https://drive.google.com/file/d/1Jmnu1U87NLZckdBP8DjNXf9xyLiM1hI2/view?usp=sharing" TargetMode="External"/><Relationship Id="rId14" Type="http://schemas.openxmlformats.org/officeDocument/2006/relationships/hyperlink" Target="https://photos.app.goo.gl/j22717LGMF4pEKgJ7" TargetMode="External"/><Relationship Id="rId15" Type="http://schemas.openxmlformats.org/officeDocument/2006/relationships/hyperlink" Target="https://photos.app.goo.gl/HLLcuN4C5NemkMfo6" TargetMode="External"/><Relationship Id="rId16" Type="http://schemas.openxmlformats.org/officeDocument/2006/relationships/hyperlink" Target="https://photos.app.goo.gl/YtY5gYLGmzSrTz349" TargetMode="External"/><Relationship Id="rId17" Type="http://schemas.openxmlformats.org/officeDocument/2006/relationships/hyperlink" Target="https://drive.google.com/file/d/1WE0FRd2QE_4KnG_uval3zoriDkmEr9zS/view?usp=sharing" TargetMode="External"/><Relationship Id="rId18" Type="http://schemas.openxmlformats.org/officeDocument/2006/relationships/hyperlink" Target="https://photos.app.goo.gl/YtY5gYLGmzSrTz349" TargetMode="External"/><Relationship Id="rId19" Type="http://schemas.openxmlformats.org/officeDocument/2006/relationships/hyperlink" Target="https://photos.app.goo.gl/Zc1s9tJyxnw4imDr6" TargetMode="External"/><Relationship Id="rId20" Type="http://schemas.openxmlformats.org/officeDocument/2006/relationships/hyperlink" Target="https://drive.google.com/file/d/1LEY-zIRmRifTq7fmBTkwJLYKpyK0Z9TX/view?usp=sharing" TargetMode="External"/><Relationship Id="rId21" Type="http://schemas.openxmlformats.org/officeDocument/2006/relationships/hyperlink" Target="https://photos.app.goo.gl/TWSy4WMj6Fg4xZBH6" TargetMode="External"/><Relationship Id="rId22" Type="http://schemas.openxmlformats.org/officeDocument/2006/relationships/hyperlink" Target="https://photos.app.goo.gl/9nhWRMuSmQuGfaNr7" TargetMode="External"/><Relationship Id="rId23" Type="http://schemas.openxmlformats.org/officeDocument/2006/relationships/hyperlink" Target="https://drive.google.com/file/d/1LAGjcSxbCQJdHdz97UOIQqTr3G33mnH_/view?usp=sharing" TargetMode="External"/><Relationship Id="rId24" Type="http://schemas.openxmlformats.org/officeDocument/2006/relationships/hyperlink" Target="https://photos.app.goo.gl/jBUEikp5oWQPBA8D8" TargetMode="External"/><Relationship Id="rId25" Type="http://schemas.openxmlformats.org/officeDocument/2006/relationships/hyperlink" Target="https://photos.app.goo.gl/u7i461vU4ds6tTu77" TargetMode="External"/><Relationship Id="rId26" Type="http://schemas.openxmlformats.org/officeDocument/2006/relationships/hyperlink" Target="https://drive.google.com/file/d/1KaNvFWSb12DCtpD9dikeuobGA6L9kn4C/view?usp=sharing" TargetMode="External"/><Relationship Id="rId27" Type="http://schemas.openxmlformats.org/officeDocument/2006/relationships/hyperlink" Target="https://photos.app.goo.gl/u7i461vU4ds6tTu77" TargetMode="External"/><Relationship Id="rId28" Type="http://schemas.openxmlformats.org/officeDocument/2006/relationships/hyperlink" Target="https://photos.app.goo.gl/W8cVVu7Cb4u4KRj47" TargetMode="External"/><Relationship Id="rId29" Type="http://schemas.openxmlformats.org/officeDocument/2006/relationships/hyperlink" Target="https://photos.app.goo.gl/W8cVVu7Cb4u4KRj47" TargetMode="External"/><Relationship Id="rId30" Type="http://schemas.openxmlformats.org/officeDocument/2006/relationships/hyperlink" Target="https://photos.app.goo.gl/W8cVVu7Cb4u4KRj47" TargetMode="External"/><Relationship Id="rId31" Type="http://schemas.openxmlformats.org/officeDocument/2006/relationships/hyperlink" Target="https://photos.app.goo.gl/TEZYJCPyKxcdgt27A" TargetMode="External"/><Relationship Id="rId32" Type="http://schemas.openxmlformats.org/officeDocument/2006/relationships/hyperlink" Target="https://drive.google.com/file/d/1LRqnSJEQuYW_hN_vto4wtGnSybAojlUs/view?usp=sharing" TargetMode="External"/><Relationship Id="rId33" Type="http://schemas.openxmlformats.org/officeDocument/2006/relationships/hyperlink" Target="https://photos.app.goo.gl/TEZYJCPyKxcdgt27A" TargetMode="External"/><Relationship Id="rId34" Type="http://schemas.openxmlformats.org/officeDocument/2006/relationships/hyperlink" Target="https://drive.google.com/file/d/1LzXfJlfpRaXEzy5KjDUcH1ZuPQfUIuzm/view?usp=sharing" TargetMode="External"/><Relationship Id="rId35" Type="http://schemas.openxmlformats.org/officeDocument/2006/relationships/hyperlink" Target="https://photos.app.goo.gl/HKYJ7zT3Pj1ot2Bd6" TargetMode="External"/><Relationship Id="rId36" Type="http://schemas.openxmlformats.org/officeDocument/2006/relationships/hyperlink" Target="https://photos.google.com/album/AF1QipNc03t3UTUoi_KLiUMkpDFhyYro1N-O7YASPUSo" TargetMode="External"/><Relationship Id="rId37" Type="http://schemas.openxmlformats.org/officeDocument/2006/relationships/hyperlink" Target="https://drive.google.com/file/d/1LjLbiXc7Q2PY8y0CDm4MF4MmRc7rmGiE/view?usp=sharing" TargetMode="External"/><Relationship Id="rId38" Type="http://schemas.openxmlformats.org/officeDocument/2006/relationships/hyperlink" Target="https://photos.google.com/album/AF1QipNc03t3UTUoi_KLiUMkpDFhyYro1N-O7YASPUSo" TargetMode="External"/><Relationship Id="rId39" Type="http://schemas.openxmlformats.org/officeDocument/2006/relationships/hyperlink" Target="https://photos.app.goo.gl/UGjqzt9TWmWdf4UN8" TargetMode="External"/><Relationship Id="rId40" Type="http://schemas.openxmlformats.org/officeDocument/2006/relationships/hyperlink" Target="https://drive.google.com/file/d/1PT4ab7dHeJTEguJ2rYcJHJX95JGC1R_V/view?usp=sharing" TargetMode="External"/><Relationship Id="rId41" Type="http://schemas.openxmlformats.org/officeDocument/2006/relationships/hyperlink" Target="https://photos.app.goo.gl/99STLx2swwWMQszb8" TargetMode="External"/><Relationship Id="rId42" Type="http://schemas.openxmlformats.org/officeDocument/2006/relationships/hyperlink" Target="https://photos.app.goo.gl/XWZfYhNS6H1Q4ME36" TargetMode="External"/><Relationship Id="rId43" Type="http://schemas.openxmlformats.org/officeDocument/2006/relationships/hyperlink" Target="https://drive.google.com/file/d/1OmUEJANfU2HIHn-yqCCXvl9sGjIs_Zpr/view?usp=sharing" TargetMode="External"/><Relationship Id="rId44" Type="http://schemas.openxmlformats.org/officeDocument/2006/relationships/hyperlink" Target="https://photos.app.goo.gl/EWrpLi5NuguCTN8W6" TargetMode="External"/><Relationship Id="rId45" Type="http://schemas.openxmlformats.org/officeDocument/2006/relationships/hyperlink" Target="https://photos.app.goo.gl/69Nqriq3KhXn2kEKA" TargetMode="External"/><Relationship Id="rId46" Type="http://schemas.openxmlformats.org/officeDocument/2006/relationships/hyperlink" Target="https://drive.google.com/file/d/1PHXS281szIPjCqFb1zAVLllIgaCx-NGv/view?usp=sharing" TargetMode="External"/><Relationship Id="rId47" Type="http://schemas.openxmlformats.org/officeDocument/2006/relationships/hyperlink" Target="https://photos.app.goo.gl/SgCUS235fpGNZCiY8" TargetMode="External"/><Relationship Id="rId48" Type="http://schemas.openxmlformats.org/officeDocument/2006/relationships/hyperlink" Target="https://drive.google.com/file/d/1NWLDTpAIvDTjiv_RRSuvtk9xoyXuuP69/view?usp=sharing" TargetMode="External"/><Relationship Id="rId49" Type="http://schemas.openxmlformats.org/officeDocument/2006/relationships/hyperlink" Target="https://photos.app.goo.gl/F2s2ULU2CPzFTfnc6" TargetMode="External"/><Relationship Id="rId50" Type="http://schemas.openxmlformats.org/officeDocument/2006/relationships/hyperlink" Target="https://photos.app.goo.gl/FWeQENi1MNMF6KuA9" TargetMode="External"/><Relationship Id="rId51" Type="http://schemas.openxmlformats.org/officeDocument/2006/relationships/hyperlink" Target="https://drive.google.com/file/d/1NHqvjtUKwcx65Ol4x-BOhcsIwq741FLl/view?usp=sharing" TargetMode="External"/><Relationship Id="rId52" Type="http://schemas.openxmlformats.org/officeDocument/2006/relationships/hyperlink" Target="https://photos.app.goo.gl/f9Wmqy3YKtweoqGG9" TargetMode="External"/><Relationship Id="rId53" Type="http://schemas.openxmlformats.org/officeDocument/2006/relationships/hyperlink" Target="https://photos.app.goo.gl/UR4RicMmJg64pcS56" TargetMode="External"/><Relationship Id="rId54" Type="http://schemas.openxmlformats.org/officeDocument/2006/relationships/hyperlink" Target="https://drive.google.com/file/d/1NfFgRAsIj3JCMpUt5oRtBrXK3LZe7Wtn/view?usp=sharing" TargetMode="External"/><Relationship Id="rId55" Type="http://schemas.openxmlformats.org/officeDocument/2006/relationships/hyperlink" Target="https://photos.app.goo.gl/HYWzjvBKfvTd9gW4A" TargetMode="External"/><Relationship Id="rId56" Type="http://schemas.openxmlformats.org/officeDocument/2006/relationships/hyperlink" Target="https://photos.app.goo.gl/4nBs5chaXYpsxCo78" TargetMode="External"/><Relationship Id="rId57" Type="http://schemas.openxmlformats.org/officeDocument/2006/relationships/hyperlink" Target="https://drive.google.com/file/d/1O0-4V1z5eJRtluGJQkmmAfbJcFcLEsqT/view?usp=sharing" TargetMode="External"/><Relationship Id="rId58" Type="http://schemas.openxmlformats.org/officeDocument/2006/relationships/hyperlink" Target="https://photos.app.goo.gl/Zzonaf6LfWPxeoVz5" TargetMode="External"/><Relationship Id="rId59" Type="http://schemas.openxmlformats.org/officeDocument/2006/relationships/hyperlink" Target="https://photos.app.goo.gl/TAusDhsRfABeBHMZ8" TargetMode="External"/><Relationship Id="rId60" Type="http://schemas.openxmlformats.org/officeDocument/2006/relationships/hyperlink" Target="https://drive.google.com/file/d/1O7tO2taCsLE_m4ITjYHTlll49FXlaMJF/view?usp=sharing" TargetMode="External"/><Relationship Id="rId61" Type="http://schemas.openxmlformats.org/officeDocument/2006/relationships/hyperlink" Target="https://photos.app.goo.gl/gAtXFCtiid5jNWEY9" TargetMode="External"/><Relationship Id="rId62" Type="http://schemas.openxmlformats.org/officeDocument/2006/relationships/hyperlink" Target="https://photos.app.goo.gl/SFmoR6PTnynNQTbi9" TargetMode="External"/><Relationship Id="rId63" Type="http://schemas.openxmlformats.org/officeDocument/2006/relationships/hyperlink" Target="https://drive.google.com/file/d/1OQ4tiCVT3Ue-c_zVDpBMbAi646EnO7tD/view?usp=sharing" TargetMode="External"/><Relationship Id="rId64" Type="http://schemas.openxmlformats.org/officeDocument/2006/relationships/hyperlink" Target="https://photos.app.goo.gl/R6Rqwq1NnnHHNErF6" TargetMode="External"/><Relationship Id="rId65" Type="http://schemas.openxmlformats.org/officeDocument/2006/relationships/hyperlink" Target="https://drive.google.com/file/d/1MpIQH8RqRdY-0Dn07OdElfg_R2SnydNl/view?usp=sharing" TargetMode="External"/><Relationship Id="rId66" Type="http://schemas.openxmlformats.org/officeDocument/2006/relationships/hyperlink" Target="https://photos.app.goo.gl/XEWR3wXEwtvSwheq5" TargetMode="External"/><Relationship Id="rId67" Type="http://schemas.openxmlformats.org/officeDocument/2006/relationships/drawing" Target="../drawings/drawing29.xml"/>
</Relationships>
</file>

<file path=xl/worksheets/_rels/sheet32.xml.rels><?xml version="1.0" encoding="UTF-8"?>
<Relationships xmlns="http://schemas.openxmlformats.org/package/2006/relationships"><Relationship Id="rId1" Type="http://schemas.openxmlformats.org/officeDocument/2006/relationships/hyperlink" Target="https://photos.app.goo.gl/QvhwYYwdsAayMyhA7" TargetMode="External"/><Relationship Id="rId2" Type="http://schemas.openxmlformats.org/officeDocument/2006/relationships/hyperlink" Target="https://drive.google.com/file/d/15qdT8ErkWXbeJRdo9XAxZhOk8WgqvTPm/view?usp=sharing" TargetMode="External"/><Relationship Id="rId3" Type="http://schemas.openxmlformats.org/officeDocument/2006/relationships/hyperlink" Target="https://photos.app.goo.gl/RHh6U81Kxva9NyzQ9" TargetMode="External"/><Relationship Id="rId4" Type="http://schemas.openxmlformats.org/officeDocument/2006/relationships/hyperlink" Target="https://photos.app.goo.gl/3hPDfZskPsKvmDwn7" TargetMode="External"/><Relationship Id="rId5" Type="http://schemas.openxmlformats.org/officeDocument/2006/relationships/hyperlink" Target="https://drive.google.com/file/d/1-m9E2GyfcnrCJ8tl3cx4CpuuGBBPHiUE/view?usp=share_link+" TargetMode="External"/><Relationship Id="rId6" Type="http://schemas.openxmlformats.org/officeDocument/2006/relationships/hyperlink" Target="https://photos.app.goo.gl/KqPCUHjXkXaomo4q6" TargetMode="External"/><Relationship Id="rId7" Type="http://schemas.openxmlformats.org/officeDocument/2006/relationships/hyperlink" Target="https://drive.google.com/file/d/15mHIEwqX_AwTQWAvMh8uO7lu8m6DHYv1/view?usp=sharing" TargetMode="External"/><Relationship Id="rId8" Type="http://schemas.openxmlformats.org/officeDocument/2006/relationships/hyperlink" Target="https://photos.app.goo.gl/Cp5r11CoWAR4RtM78" TargetMode="External"/><Relationship Id="rId9" Type="http://schemas.openxmlformats.org/officeDocument/2006/relationships/hyperlink" Target="https://photos.app.goo.gl/QHwckUYkPtm4DmtY7" TargetMode="External"/><Relationship Id="rId10" Type="http://schemas.openxmlformats.org/officeDocument/2006/relationships/hyperlink" Target="https://drive.google.com/file/d/199-1BNUbKSfVRwM2Zs3fpEc4cGeaUaAu/view?usp=sharing" TargetMode="External"/><Relationship Id="rId11" Type="http://schemas.openxmlformats.org/officeDocument/2006/relationships/hyperlink" Target="https://photos.app.goo.gl/qFHa3q2K2gwki3sh6" TargetMode="External"/><Relationship Id="rId12" Type="http://schemas.openxmlformats.org/officeDocument/2006/relationships/hyperlink" Target="https://photos.app.goo.gl/rMW4kKDt5TgG4h1DA" TargetMode="External"/><Relationship Id="rId13" Type="http://schemas.openxmlformats.org/officeDocument/2006/relationships/hyperlink" Target="https://drive.google.com/file/d/19LostisLdcqfuNEkWxtJOjoqY9R1AHjI/view?usp=sharing" TargetMode="External"/><Relationship Id="rId14" Type="http://schemas.openxmlformats.org/officeDocument/2006/relationships/hyperlink" Target="https://photos.app.goo.gl/gpRjbyPGGr4gSZbG9" TargetMode="External"/><Relationship Id="rId15" Type="http://schemas.openxmlformats.org/officeDocument/2006/relationships/hyperlink" Target="https://photos.app.goo.gl/pueSVQBgpmKqsPcz8" TargetMode="External"/><Relationship Id="rId16" Type="http://schemas.openxmlformats.org/officeDocument/2006/relationships/hyperlink" Target="https://drive.google.com/file/d/16tKci482A5O0W-3L9finSXghc7CW19rP/view?usp=sharing" TargetMode="External"/><Relationship Id="rId17" Type="http://schemas.openxmlformats.org/officeDocument/2006/relationships/hyperlink" Target="https://photos.app.goo.gl/jeZ46rwqt5sCw2bf9" TargetMode="External"/><Relationship Id="rId18" Type="http://schemas.openxmlformats.org/officeDocument/2006/relationships/hyperlink" Target="https://photos.app.goo.gl/MzSgBqo2m26SJj9KA" TargetMode="External"/><Relationship Id="rId19" Type="http://schemas.openxmlformats.org/officeDocument/2006/relationships/hyperlink" Target="https://drive.google.com/file/d/19BZRGiXPwPDik4pQVlThw8povP8Rluyh/view?usp=sharing" TargetMode="External"/><Relationship Id="rId20" Type="http://schemas.openxmlformats.org/officeDocument/2006/relationships/hyperlink" Target="https://photos.app.goo.gl/kpDTKCWxMa7MDFTy7" TargetMode="External"/><Relationship Id="rId21" Type="http://schemas.openxmlformats.org/officeDocument/2006/relationships/hyperlink" Target="https://photos.app.goo.gl/jLtfrcisaUaaimdGA" TargetMode="External"/><Relationship Id="rId22" Type="http://schemas.openxmlformats.org/officeDocument/2006/relationships/hyperlink" Target="https://drive.google.com/file/d/185tQfjogJ_J4u4Bb10MwO029dfHYy2ac/view?usp=sharing" TargetMode="External"/><Relationship Id="rId23" Type="http://schemas.openxmlformats.org/officeDocument/2006/relationships/hyperlink" Target="https://photos.app.goo.gl/YrnvkZrWT5X9s12Y6" TargetMode="External"/><Relationship Id="rId24" Type="http://schemas.openxmlformats.org/officeDocument/2006/relationships/hyperlink" Target="https://photos.app.goo.gl/oh3gtmrD9UikVjFV8" TargetMode="External"/><Relationship Id="rId25" Type="http://schemas.openxmlformats.org/officeDocument/2006/relationships/hyperlink" Target="https://drive.google.com/file/d/18FF3_EOqWs73GIz360kjYizhPpqsJDS3/view?usp=sharing" TargetMode="External"/><Relationship Id="rId26" Type="http://schemas.openxmlformats.org/officeDocument/2006/relationships/hyperlink" Target="https://photos.app.goo.gl/guUjUf3tWZ9QWS3h9" TargetMode="External"/><Relationship Id="rId27" Type="http://schemas.openxmlformats.org/officeDocument/2006/relationships/hyperlink" Target="https://drive.google.com/file/d/18NwFxUwSLlzq4G_xiFigURGM85ilbyTD/view?usp=sharing" TargetMode="External"/><Relationship Id="rId28" Type="http://schemas.openxmlformats.org/officeDocument/2006/relationships/hyperlink" Target="https://photos.app.goo.gl/qsATk6j23GzzxEjP6" TargetMode="External"/><Relationship Id="rId29" Type="http://schemas.openxmlformats.org/officeDocument/2006/relationships/hyperlink" Target="https://photos.app.goo.gl/334z5LiYd8XgRGJ1A" TargetMode="External"/><Relationship Id="rId30" Type="http://schemas.openxmlformats.org/officeDocument/2006/relationships/hyperlink" Target="https://drive.google.com/file/d/18lbH_7YhxFN8JHJbXn2eEFOSfRhtL5Eh/view?usp=sharing" TargetMode="External"/><Relationship Id="rId31" Type="http://schemas.openxmlformats.org/officeDocument/2006/relationships/hyperlink" Target="https://photos.app.goo.gl/JPq1fYwXVoZWcb9o8" TargetMode="External"/><Relationship Id="rId32" Type="http://schemas.openxmlformats.org/officeDocument/2006/relationships/hyperlink" Target="https://photos.app.goo.gl/CrMUZcddnTz9NKkk9" TargetMode="External"/><Relationship Id="rId33" Type="http://schemas.openxmlformats.org/officeDocument/2006/relationships/hyperlink" Target="https://drive.google.com/file/d/17b5Lx__H-faM7g5nDr39tE975tY8uBPB/view?usp=sharing" TargetMode="External"/><Relationship Id="rId34" Type="http://schemas.openxmlformats.org/officeDocument/2006/relationships/hyperlink" Target="https://photos.app.goo.gl/CrMUZcddnTz9NKkk9" TargetMode="External"/><Relationship Id="rId35" Type="http://schemas.openxmlformats.org/officeDocument/2006/relationships/hyperlink" Target="https://photos.app.goo.gl/Dge3pnVAsZwi1WPi6" TargetMode="External"/><Relationship Id="rId36" Type="http://schemas.openxmlformats.org/officeDocument/2006/relationships/hyperlink" Target="https://photos.app.goo.gl/WJjxQptCvJ8NfFwe8" TargetMode="External"/><Relationship Id="rId37" Type="http://schemas.openxmlformats.org/officeDocument/2006/relationships/hyperlink" Target="https://drive.google.com/file/d/1EmPR_3u7KmQfR_-Pdo91l835fwhp1UYz/view?usp=sharing" TargetMode="External"/><Relationship Id="rId38" Type="http://schemas.openxmlformats.org/officeDocument/2006/relationships/hyperlink" Target="https://photos.app.goo.gl/9jj8Do6Vpux8hP4b7" TargetMode="External"/><Relationship Id="rId39" Type="http://schemas.openxmlformats.org/officeDocument/2006/relationships/hyperlink" Target="https://drive.google.com/file/d/1CCAR_foF9Xw0aPl0I6S6AaC-aRYJSEUH/view?usp=sharing" TargetMode="External"/><Relationship Id="rId40" Type="http://schemas.openxmlformats.org/officeDocument/2006/relationships/hyperlink" Target="https://photos.app.goo.gl/3znz3kNfbmCHPdmH6" TargetMode="External"/><Relationship Id="rId41" Type="http://schemas.openxmlformats.org/officeDocument/2006/relationships/hyperlink" Target="https://drive.google.com/file/d/1HIQ1zDVhgGGWraguaF8R6EfAns-Z08ld/view?usp=sharing" TargetMode="External"/><Relationship Id="rId42" Type="http://schemas.openxmlformats.org/officeDocument/2006/relationships/hyperlink" Target="https://photos.app.goo.gl/9BG2oSb9nhwG4eSt5" TargetMode="External"/><Relationship Id="rId43" Type="http://schemas.openxmlformats.org/officeDocument/2006/relationships/hyperlink" Target="https://photos.app.goo.gl/wdCn5Z8hGVSEDtiB6" TargetMode="External"/><Relationship Id="rId44" Type="http://schemas.openxmlformats.org/officeDocument/2006/relationships/hyperlink" Target="https://drive.google.com/file/d/1HSd2a847RxjlpYNm4kYq478PYRIqzYVX/view?usp=sharing" TargetMode="External"/><Relationship Id="rId45" Type="http://schemas.openxmlformats.org/officeDocument/2006/relationships/hyperlink" Target="https://photos.app.goo.gl/wBwJ26t4BbGFmDwB7" TargetMode="External"/><Relationship Id="rId46" Type="http://schemas.openxmlformats.org/officeDocument/2006/relationships/hyperlink" Target="https://photos.app.goo.gl/Mkg4xB3YVEWwmNFW9" TargetMode="External"/><Relationship Id="rId47" Type="http://schemas.openxmlformats.org/officeDocument/2006/relationships/hyperlink" Target="https://drive.google.com/file/d/1HVd_qnxC7asVuCl6anrLkwAVpefqgSB5/view?usp=sharing" TargetMode="External"/><Relationship Id="rId48" Type="http://schemas.openxmlformats.org/officeDocument/2006/relationships/hyperlink" Target="https://photos.app.goo.gl/qRyqTxzxEiJmoPiy9" TargetMode="External"/><Relationship Id="rId49" Type="http://schemas.openxmlformats.org/officeDocument/2006/relationships/hyperlink" Target="https://photos.app.goo.gl/19udRrx4BBUb1ECV7" TargetMode="External"/><Relationship Id="rId50" Type="http://schemas.openxmlformats.org/officeDocument/2006/relationships/hyperlink" Target="https://photos.app.goo.gl/QTkNfBQVcL4jR4WE6" TargetMode="External"/><Relationship Id="rId51" Type="http://schemas.openxmlformats.org/officeDocument/2006/relationships/hyperlink" Target="https://photos.app.goo.gl/GeHnari55od7CfWK7" TargetMode="External"/><Relationship Id="rId52" Type="http://schemas.openxmlformats.org/officeDocument/2006/relationships/hyperlink" Target="https://photos.app.goo.gl/j8S16BozByxWhxXK6" TargetMode="External"/><Relationship Id="rId53" Type="http://schemas.openxmlformats.org/officeDocument/2006/relationships/hyperlink" Target="https://photos.app.goo.gl/uSNLXRdHn67wWfcs" TargetMode="External"/><Relationship Id="rId54" Type="http://schemas.openxmlformats.org/officeDocument/2006/relationships/hyperlink" Target="https://drive.google.com/file/d/1Gp_i2V01thhb6MhHmoG4dlEkB-nLoYTQ/view?usp=sharing" TargetMode="External"/><Relationship Id="rId55" Type="http://schemas.openxmlformats.org/officeDocument/2006/relationships/hyperlink" Target="https://photos.app.goo.gl/seU58r4Er78PjR2E8" TargetMode="External"/><Relationship Id="rId56" Type="http://schemas.openxmlformats.org/officeDocument/2006/relationships/hyperlink" Target="https://photos.app.goo.gl/4s4BsKu7sLvQvatYA" TargetMode="External"/><Relationship Id="rId57" Type="http://schemas.openxmlformats.org/officeDocument/2006/relationships/hyperlink" Target="https://drive.google.com/file/d/1GsW2xHFunCBGHVTjSg9kkoNkw1F0AgiY/view?usp=sharing" TargetMode="External"/><Relationship Id="rId58" Type="http://schemas.openxmlformats.org/officeDocument/2006/relationships/hyperlink" Target="https://photos.app.goo.gl/PXuWyZhXovNmTZP58" TargetMode="External"/><Relationship Id="rId59" Type="http://schemas.openxmlformats.org/officeDocument/2006/relationships/hyperlink" Target="https://photos.app.goo.gl/BrVpc3WZFPuCqfyS8" TargetMode="External"/><Relationship Id="rId60" Type="http://schemas.openxmlformats.org/officeDocument/2006/relationships/hyperlink" Target="https://drive.google.com/file/d/1GtUv_yZhnoGHNONi7k2i1VAgWsiaevmR/view?usp=sharing" TargetMode="External"/><Relationship Id="rId61" Type="http://schemas.openxmlformats.org/officeDocument/2006/relationships/hyperlink" Target="https://photos.app.goo.gl/HLnMjSTmTSm1xrBk9" TargetMode="External"/><Relationship Id="rId62" Type="http://schemas.openxmlformats.org/officeDocument/2006/relationships/hyperlink" Target="https://drive.google.com/file/d/1Gyz3ydTrJ41pbBqSyK2JQz1AxhoyNNPI/view?usp=sharing" TargetMode="External"/><Relationship Id="rId63" Type="http://schemas.openxmlformats.org/officeDocument/2006/relationships/hyperlink" Target="https://photos.app.goo.gl/p6SdN6WbGsdUZAGL8" TargetMode="External"/><Relationship Id="rId64" Type="http://schemas.openxmlformats.org/officeDocument/2006/relationships/hyperlink" Target="https://photos.app.goo.gl/EtqrMLuqbBDKCtvT6" TargetMode="External"/><Relationship Id="rId65" Type="http://schemas.openxmlformats.org/officeDocument/2006/relationships/hyperlink" Target="https://drive.google.com/file/d/1Goy2rJVykqwOp1054mmYHBa8couxCSc9/view?usp=share_link" TargetMode="External"/><Relationship Id="rId66" Type="http://schemas.openxmlformats.org/officeDocument/2006/relationships/hyperlink" Target="https://photos.app.goo.gl/qffKpc8Kc4eMYAH99" TargetMode="External"/><Relationship Id="rId67" Type="http://schemas.openxmlformats.org/officeDocument/2006/relationships/hyperlink" Target="https://photos.app.goo.gl/h4NJNtCspGf7498V9" TargetMode="External"/><Relationship Id="rId68" Type="http://schemas.openxmlformats.org/officeDocument/2006/relationships/hyperlink" Target="https://drive.google.com/file/d/1FHDsJadgUnYs1huQSv4Tshgq6EPL7sCq/view?usp=share_link" TargetMode="External"/><Relationship Id="rId69" Type="http://schemas.openxmlformats.org/officeDocument/2006/relationships/hyperlink" Target="https://photos.app.goo.gl/XAm4dv9wtK4Ykfyy9" TargetMode="External"/><Relationship Id="rId70" Type="http://schemas.openxmlformats.org/officeDocument/2006/relationships/drawing" Target="../drawings/drawing30.xml"/>
</Relationships>
</file>

<file path=xl/worksheets/_rels/sheet33.xml.rels><?xml version="1.0" encoding="UTF-8"?>
<Relationships xmlns="http://schemas.openxmlformats.org/package/2006/relationships"><Relationship Id="rId1" Type="http://schemas.openxmlformats.org/officeDocument/2006/relationships/hyperlink" Target="https://photos.app.goo.gl/sVAbSQRArCDSYKcT6" TargetMode="External"/><Relationship Id="rId2" Type="http://schemas.openxmlformats.org/officeDocument/2006/relationships/hyperlink" Target="https://drive.google.com/file/d/1u-RqHpPFGA9aIjDFjWpaVCXWh5WlT6AI/view?usp=sharing" TargetMode="External"/><Relationship Id="rId3" Type="http://schemas.openxmlformats.org/officeDocument/2006/relationships/hyperlink" Target="https://photos.app.goo.gl/X3G5Y2DC2NNhkc8Y6" TargetMode="External"/><Relationship Id="rId4" Type="http://schemas.openxmlformats.org/officeDocument/2006/relationships/hyperlink" Target="https://drive.google.com/file/d/1uCQDujCBxxSSJDISC0Q7c05sYymprr_p/view?usp=sharing" TargetMode="External"/><Relationship Id="rId5" Type="http://schemas.openxmlformats.org/officeDocument/2006/relationships/hyperlink" Target="https://photos.app.goo.gl/5SCGFt1Ec6nDJpAN9" TargetMode="External"/><Relationship Id="rId6" Type="http://schemas.openxmlformats.org/officeDocument/2006/relationships/hyperlink" Target="https://photos.app.goo.gl/jtyYhRdC6tkynd548" TargetMode="External"/><Relationship Id="rId7" Type="http://schemas.openxmlformats.org/officeDocument/2006/relationships/hyperlink" Target="https://drive.google.com/file/d/1t-BZQitKM5QuoeA6LQaYJg2-XPjOha5O/view?usp=sharing" TargetMode="External"/><Relationship Id="rId8" Type="http://schemas.openxmlformats.org/officeDocument/2006/relationships/hyperlink" Target="https://photos.app.goo.gl/jtyYhRdC6tkynd548" TargetMode="External"/><Relationship Id="rId9" Type="http://schemas.openxmlformats.org/officeDocument/2006/relationships/hyperlink" Target="https://photos.app.goo.gl/yiYd1mUZMant8AjCA" TargetMode="External"/><Relationship Id="rId10" Type="http://schemas.openxmlformats.org/officeDocument/2006/relationships/hyperlink" Target="https://drive.google.com/file/d/1tU28bbGzZtCr9T_ELHj9Z3T_e2EyHrnk/view?usp=sharing" TargetMode="External"/><Relationship Id="rId11" Type="http://schemas.openxmlformats.org/officeDocument/2006/relationships/hyperlink" Target="https://photos.app.goo.gl/yiYd1mUZMant8AjCA" TargetMode="External"/><Relationship Id="rId12" Type="http://schemas.openxmlformats.org/officeDocument/2006/relationships/hyperlink" Target="https://photos.app.goo.gl/FVvr9ymbAE3Lsd9x9" TargetMode="External"/><Relationship Id="rId13" Type="http://schemas.openxmlformats.org/officeDocument/2006/relationships/hyperlink" Target="https://drive.google.com/file/d/1tv99KokDdUQQTbnUD_R8rxmO-NIDr1wJ/view?usp=sharing" TargetMode="External"/><Relationship Id="rId14" Type="http://schemas.openxmlformats.org/officeDocument/2006/relationships/hyperlink" Target="https://photos.app.goo.gl/FVvr9ymbAE3Lsd9x9" TargetMode="External"/><Relationship Id="rId15" Type="http://schemas.openxmlformats.org/officeDocument/2006/relationships/hyperlink" Target="https://photos.app.goo.gl/yEYmqBYRX3qraksb7" TargetMode="External"/><Relationship Id="rId16" Type="http://schemas.openxmlformats.org/officeDocument/2006/relationships/hyperlink" Target="https://photos.app.goo.gl/MqPeXj25i6CVfDDp8" TargetMode="External"/><Relationship Id="rId17" Type="http://schemas.openxmlformats.org/officeDocument/2006/relationships/hyperlink" Target="https://drive.google.com/file/d/1w_tp-J1qEFAU8dfvq8cdCEvY3XfdBNA2/view?usp=sharing" TargetMode="External"/><Relationship Id="rId18" Type="http://schemas.openxmlformats.org/officeDocument/2006/relationships/hyperlink" Target="https://photos.app.goo.gl/MqPeXj25i6CVfDDp8" TargetMode="External"/><Relationship Id="rId19" Type="http://schemas.openxmlformats.org/officeDocument/2006/relationships/hyperlink" Target="https://photos.app.goo.gl/rEmvMDfFsd5GMGwi8" TargetMode="External"/><Relationship Id="rId20" Type="http://schemas.openxmlformats.org/officeDocument/2006/relationships/hyperlink" Target="https://drive.google.com/file/d/1wyaxiBJ-Pi-tbS1qI12EUDOfdRkDPBm4/view?usp=sharing" TargetMode="External"/><Relationship Id="rId21" Type="http://schemas.openxmlformats.org/officeDocument/2006/relationships/hyperlink" Target="https://photos.app.goo.gl/ymC3PP5scAeSRGgn9" TargetMode="External"/><Relationship Id="rId22" Type="http://schemas.openxmlformats.org/officeDocument/2006/relationships/hyperlink" Target="https://photos.app.goo.gl/YgfjNpfGaFZQDKkh7" TargetMode="External"/><Relationship Id="rId23" Type="http://schemas.openxmlformats.org/officeDocument/2006/relationships/hyperlink" Target="https://drive.google.com/file/d/1xlFmv2o_yZVU0aofvdUAj5_HVu6nebcl/view?usp=sharing" TargetMode="External"/><Relationship Id="rId24" Type="http://schemas.openxmlformats.org/officeDocument/2006/relationships/hyperlink" Target="https://photos.app.goo.gl/LwXMubPsZNtYtCyD6" TargetMode="External"/><Relationship Id="rId25" Type="http://schemas.openxmlformats.org/officeDocument/2006/relationships/hyperlink" Target="https://drive.google.com/file/d/1yx48nr9viS6DgfmVR0KzV3kfDX5EYUrT/view?usp=sharing" TargetMode="External"/><Relationship Id="rId26" Type="http://schemas.openxmlformats.org/officeDocument/2006/relationships/hyperlink" Target="https://photos.app.goo.gl/pW3pvcupwU3it1SE6" TargetMode="External"/><Relationship Id="rId27" Type="http://schemas.openxmlformats.org/officeDocument/2006/relationships/hyperlink" Target="https://drive.google.com/file/d/10CZ63ptSvVPaFc-EgxcC_4B2Jxk15oYI/view?usp=sharing" TargetMode="External"/><Relationship Id="rId28" Type="http://schemas.openxmlformats.org/officeDocument/2006/relationships/hyperlink" Target="https://photos.app.goo.gl/cV53Y39JukgQV2hj7" TargetMode="External"/><Relationship Id="rId29" Type="http://schemas.openxmlformats.org/officeDocument/2006/relationships/hyperlink" Target="https://photos.app.goo.gl/efc7w2adzkdxBdfz9" TargetMode="External"/><Relationship Id="rId30" Type="http://schemas.openxmlformats.org/officeDocument/2006/relationships/hyperlink" Target="https://drive.google.com/file/d/10L8eLRqt1EO803NyFGqTXNiqE9Qbip4-/view?usp=sharing" TargetMode="External"/><Relationship Id="rId31" Type="http://schemas.openxmlformats.org/officeDocument/2006/relationships/hyperlink" Target="https://photos.app.goo.gl/hPB95orxzKGCaNxC7" TargetMode="External"/><Relationship Id="rId32" Type="http://schemas.openxmlformats.org/officeDocument/2006/relationships/hyperlink" Target="https://photos.app.goo.gl/nxRkSYQvBVEJ11Ns7" TargetMode="External"/><Relationship Id="rId33" Type="http://schemas.openxmlformats.org/officeDocument/2006/relationships/hyperlink" Target="https://photos.app.goo.gl/ZEKxWHeTfG5WhMa9A" TargetMode="External"/><Relationship Id="rId34" Type="http://schemas.openxmlformats.org/officeDocument/2006/relationships/hyperlink" Target="https://photos.app.goo.gl/QvhwYYwdsAayMyhA7" TargetMode="External"/><Relationship Id="rId35" Type="http://schemas.openxmlformats.org/officeDocument/2006/relationships/hyperlink" Target="https://drive.google.com/file/d/19ZuVTTjJAoE-r8U6n1bZ5iy5otVWGdND/view?usp=sharing" TargetMode="External"/><Relationship Id="rId36" Type="http://schemas.openxmlformats.org/officeDocument/2006/relationships/hyperlink" Target="https://photos.app.goo.gl/5yq8FUAGcnom4BnW7" TargetMode="External"/><Relationship Id="rId37" Type="http://schemas.openxmlformats.org/officeDocument/2006/relationships/hyperlink" Target="https://photos.app.goo.gl/zNKgkekqRn8Xy8hQ8" TargetMode="External"/><Relationship Id="rId38" Type="http://schemas.openxmlformats.org/officeDocument/2006/relationships/hyperlink" Target="https://drive.google.com/file/d/1DGlVTbXEVAi-AMen8lVFImoYkp_n4KSy/view?usp=sharing" TargetMode="External"/><Relationship Id="rId39" Type="http://schemas.openxmlformats.org/officeDocument/2006/relationships/hyperlink" Target="https://photos.app.goo.gl/QFs14CBToE8nEi5V6" TargetMode="External"/><Relationship Id="rId40" Type="http://schemas.openxmlformats.org/officeDocument/2006/relationships/hyperlink" Target="https://drive.google.com/file/d/1FbP_Oikjs6I9SmLr6gHZPhAD6ydyPTC-/view?usp=sharing" TargetMode="External"/><Relationship Id="rId41" Type="http://schemas.openxmlformats.org/officeDocument/2006/relationships/hyperlink" Target="https://photos.app.goo.gl/aKqN1Mijtbd8hSmKA" TargetMode="External"/><Relationship Id="rId42" Type="http://schemas.openxmlformats.org/officeDocument/2006/relationships/hyperlink" Target="https://drive.google.com/file/d/1FcBq3d-eVTFxPGUWPFDlE0XqGwjWVldD/view?usp=sharing" TargetMode="External"/><Relationship Id="rId43" Type="http://schemas.openxmlformats.org/officeDocument/2006/relationships/hyperlink" Target="https://photos.app.goo.gl/3KgrLhk5N6AYQ73A8" TargetMode="External"/><Relationship Id="rId44" Type="http://schemas.openxmlformats.org/officeDocument/2006/relationships/hyperlink" Target="https://photos.app.goo.gl/MB1scexbmR8pYRoC8" TargetMode="External"/><Relationship Id="rId45" Type="http://schemas.openxmlformats.org/officeDocument/2006/relationships/hyperlink" Target="https://drive.google.com/file/d/1FcWeHrOWwiosjjf2Z8iPgmQIxAS2UZhs/view?usp=sharing" TargetMode="External"/><Relationship Id="rId46" Type="http://schemas.openxmlformats.org/officeDocument/2006/relationships/hyperlink" Target="https://photos.app.goo.gl/ddvQx3TSL721jxEw5" TargetMode="External"/><Relationship Id="rId47" Type="http://schemas.openxmlformats.org/officeDocument/2006/relationships/hyperlink" Target="https://photos.app.goo.gl/tU3pr9fa982Ey29h8" TargetMode="External"/><Relationship Id="rId48" Type="http://schemas.openxmlformats.org/officeDocument/2006/relationships/hyperlink" Target="https://drive.google.com/file/d/1Fh21wfqa1Mso7maynD3k86t_YJavkQy1/view?usp=sharing" TargetMode="External"/><Relationship Id="rId49" Type="http://schemas.openxmlformats.org/officeDocument/2006/relationships/hyperlink" Target="https://photos.app.goo.gl/9Yr8GYQApS8KiSKAA" TargetMode="External"/><Relationship Id="rId50" Type="http://schemas.openxmlformats.org/officeDocument/2006/relationships/hyperlink" Target="https://photos.app.goo.gl/yUCWx5aiaJ2tpzV98" TargetMode="External"/><Relationship Id="rId51" Type="http://schemas.openxmlformats.org/officeDocument/2006/relationships/hyperlink" Target="https://drive.google.com/file/d/1FhnMTz-tsxRiPqCfJSoZKpDBt-EeDPHp/view?usp=sharing" TargetMode="External"/><Relationship Id="rId52" Type="http://schemas.openxmlformats.org/officeDocument/2006/relationships/hyperlink" Target="https://photos.app.goo.gl/SZbkU2dLonVSPfWV6" TargetMode="External"/><Relationship Id="rId53" Type="http://schemas.openxmlformats.org/officeDocument/2006/relationships/hyperlink" Target="https://photos.app.goo.gl/BHZvMMQmk4AZMEpV9" TargetMode="External"/><Relationship Id="rId54" Type="http://schemas.openxmlformats.org/officeDocument/2006/relationships/hyperlink" Target="https://drive.google.com/file/d/1FotudLyK-uaVtpjbJIHEmpufn8wDeDuN/view?usp=sharing" TargetMode="External"/><Relationship Id="rId55" Type="http://schemas.openxmlformats.org/officeDocument/2006/relationships/hyperlink" Target="https://photos.app.goo.gl/6pvW83ENBTDd9bXg6" TargetMode="External"/><Relationship Id="rId56" Type="http://schemas.openxmlformats.org/officeDocument/2006/relationships/hyperlink" Target="https://photos.app.goo.gl/V3TZuFELh1dFadjp6" TargetMode="External"/><Relationship Id="rId57" Type="http://schemas.openxmlformats.org/officeDocument/2006/relationships/hyperlink" Target="https://drive.google.com/file/d/1Fp7KXKh1_vUrKQpcqbZcEkG9lO6eYyYT/view?usp=sharing" TargetMode="External"/><Relationship Id="rId58" Type="http://schemas.openxmlformats.org/officeDocument/2006/relationships/hyperlink" Target="https://photos.app.goo.gl/ZftC893dTVRsP7QW9" TargetMode="External"/><Relationship Id="rId59" Type="http://schemas.openxmlformats.org/officeDocument/2006/relationships/hyperlink" Target="https://photos.app.goo.gl/zkAEu2Xu3cjkbu9z5" TargetMode="External"/><Relationship Id="rId60" Type="http://schemas.openxmlformats.org/officeDocument/2006/relationships/hyperlink" Target="https://drive.google.com/file/d/16A4ztjnYMBvyGI_LJe406sgYCIsLVCfj/view?usp=sharing" TargetMode="External"/><Relationship Id="rId61" Type="http://schemas.openxmlformats.org/officeDocument/2006/relationships/hyperlink" Target="https://photos.app.goo.gl/XUNwc48cfPCAdqN87" TargetMode="External"/><Relationship Id="rId62" Type="http://schemas.openxmlformats.org/officeDocument/2006/relationships/hyperlink" Target="https://photos.app.goo.gl/UyThzJh11zk3Vd8q6" TargetMode="External"/><Relationship Id="rId63" Type="http://schemas.openxmlformats.org/officeDocument/2006/relationships/hyperlink" Target="https://drive.google.com/file/d/169C1yhIiHeF-aLUbc0hbhp1tHiA5m8kS/view?usp=sharing" TargetMode="External"/><Relationship Id="rId64" Type="http://schemas.openxmlformats.org/officeDocument/2006/relationships/hyperlink" Target="https://photos.app.goo.gl/wACVYtvazU9LJLhA6" TargetMode="External"/><Relationship Id="rId65" Type="http://schemas.openxmlformats.org/officeDocument/2006/relationships/hyperlink" Target="https://photos.app.goo.gl/26gKrLeHyUDMgz5m9" TargetMode="External"/><Relationship Id="rId66" Type="http://schemas.openxmlformats.org/officeDocument/2006/relationships/hyperlink" Target="https://drive.google.com/file/d/1IMcQDQoFkoeQpcnB1Cm5JY7yCYxXZlHa/view?usp=sharing" TargetMode="External"/><Relationship Id="rId67" Type="http://schemas.openxmlformats.org/officeDocument/2006/relationships/hyperlink" Target="https://photos.app.goo.gl/YTEAVFtyZWJWdVQm9" TargetMode="External"/><Relationship Id="rId68" Type="http://schemas.openxmlformats.org/officeDocument/2006/relationships/hyperlink" Target="https://drive.google.com/file/d/15PkcsUoawXXy-RJCDK68DqBlw-juZXRG/view?usp=sharing" TargetMode="External"/><Relationship Id="rId69" Type="http://schemas.openxmlformats.org/officeDocument/2006/relationships/hyperlink" Target="https://photos.app.goo.gl/ARHcasyJsUSZyZJu9" TargetMode="External"/><Relationship Id="rId70" Type="http://schemas.openxmlformats.org/officeDocument/2006/relationships/hyperlink" Target="https://photos.app.goo.gl/UjBQvvnEw2tu2oDi7" TargetMode="External"/><Relationship Id="rId71" Type="http://schemas.openxmlformats.org/officeDocument/2006/relationships/hyperlink" Target="https://drive.google.com/file/d/14p_1ndmnrwFVxwNW0sfvOffoKAOHoK6E/view?usp=sharing" TargetMode="External"/><Relationship Id="rId72" Type="http://schemas.openxmlformats.org/officeDocument/2006/relationships/hyperlink" Target="https://photos.app.goo.gl/Q139NScmZoXiF41H8" TargetMode="External"/><Relationship Id="rId73" Type="http://schemas.openxmlformats.org/officeDocument/2006/relationships/hyperlink" Target="https://photos.app.goo.gl/Dk1uGv56YkKDfrrp7" TargetMode="External"/><Relationship Id="rId74" Type="http://schemas.openxmlformats.org/officeDocument/2006/relationships/hyperlink" Target="https://drive.google.com/file/d/14WZ8ZXop7Y9RkDDBeJvqU2bWLwXvNZgO/view?usp=sharing" TargetMode="External"/><Relationship Id="rId75" Type="http://schemas.openxmlformats.org/officeDocument/2006/relationships/hyperlink" Target="https://photos.app.goo.gl/1nvxm6BeRmyV2kgCA" TargetMode="External"/><Relationship Id="rId76" Type="http://schemas.openxmlformats.org/officeDocument/2006/relationships/hyperlink" Target="https://photos.app.goo.gl/Ez74Q36NtPjetjTq9" TargetMode="External"/><Relationship Id="rId77" Type="http://schemas.openxmlformats.org/officeDocument/2006/relationships/hyperlink" Target="https://drive.google.com/file/d/14qK1uo5wEHGEXZyUJrj_dOJlOrtsutYx/view?usp=sharing" TargetMode="External"/><Relationship Id="rId78" Type="http://schemas.openxmlformats.org/officeDocument/2006/relationships/hyperlink" Target="https://photos.app.goo.gl/EdtqeuzFyyJCMDgD7" TargetMode="External"/><Relationship Id="rId79" Type="http://schemas.openxmlformats.org/officeDocument/2006/relationships/hyperlink" Target="https://photos.app.goo.gl/Mg76rfuXsKpKxxqGA" TargetMode="External"/><Relationship Id="rId80" Type="http://schemas.openxmlformats.org/officeDocument/2006/relationships/hyperlink" Target="https://drive.google.com/file/d/13bXfVtEi7wgTl3vCG_-Vbap2_ecvjLAY/view?usp=sharing" TargetMode="External"/><Relationship Id="rId81" Type="http://schemas.openxmlformats.org/officeDocument/2006/relationships/hyperlink" Target="https://photos.app.goo.gl/Mg76rfuXsKpKxxqGA" TargetMode="External"/><Relationship Id="rId82" Type="http://schemas.openxmlformats.org/officeDocument/2006/relationships/drawing" Target="../drawings/drawing31.xml"/>
</Relationships>
</file>

<file path=xl/worksheets/_rels/sheet34.xml.rels><?xml version="1.0" encoding="UTF-8"?>
<Relationships xmlns="http://schemas.openxmlformats.org/package/2006/relationships"><Relationship Id="rId1" Type="http://schemas.openxmlformats.org/officeDocument/2006/relationships/comments" Target="../comments34.xml"/><Relationship Id="rId2" Type="http://schemas.openxmlformats.org/officeDocument/2006/relationships/hyperlink" Target="https://drive.google.com/file/d/1fLBnnuYwPFGLZ1H2SRcVxjtHJsXMOfeb/view?usp=sharing" TargetMode="External"/><Relationship Id="rId3" Type="http://schemas.openxmlformats.org/officeDocument/2006/relationships/hyperlink" Target="https://photos.app.goo.gl/C4QnZmJEc38zEiYV7" TargetMode="External"/><Relationship Id="rId4" Type="http://schemas.openxmlformats.org/officeDocument/2006/relationships/hyperlink" Target="https://photos.app.goo.gl/c12HQq1tx4CZ5PJr9" TargetMode="External"/><Relationship Id="rId5" Type="http://schemas.openxmlformats.org/officeDocument/2006/relationships/hyperlink" Target="https://drive.google.com/file/d/1fkZnX7EGgY85gU3IllNg_0lNtQT6bE0r/view?usp=sharing" TargetMode="External"/><Relationship Id="rId6" Type="http://schemas.openxmlformats.org/officeDocument/2006/relationships/hyperlink" Target="https://photos.app.goo.gl/VRgwCE9Xm8cF34178" TargetMode="External"/><Relationship Id="rId7" Type="http://schemas.openxmlformats.org/officeDocument/2006/relationships/hyperlink" Target="https://photos.app.goo.gl/fxWEKC3mQnC3zShk8" TargetMode="External"/><Relationship Id="rId8" Type="http://schemas.openxmlformats.org/officeDocument/2006/relationships/hyperlink" Target="https://photos.app.goo.gl/hGHsBiuD4BJoASmw9" TargetMode="External"/><Relationship Id="rId9" Type="http://schemas.openxmlformats.org/officeDocument/2006/relationships/hyperlink" Target="https://drive.google.com/file/d/1DR8A__afcv9hPBM_Ucwzuc8IYDDFU_LG/view?usp=sharing" TargetMode="External"/><Relationship Id="rId10" Type="http://schemas.openxmlformats.org/officeDocument/2006/relationships/hyperlink" Target="https://photos.app.goo.gl/2xr72FA1XpkpFbMCA" TargetMode="External"/><Relationship Id="rId11" Type="http://schemas.openxmlformats.org/officeDocument/2006/relationships/hyperlink" Target="https://drive.google.com/file/d/1DUekDBviUzure7jIyBE0iK1r3hoYTexI/view?usp=sharing" TargetMode="External"/><Relationship Id="rId12" Type="http://schemas.openxmlformats.org/officeDocument/2006/relationships/hyperlink" Target="https://photos.app.goo.gl/vE9FptuJvyZDopvu7" TargetMode="External"/><Relationship Id="rId13" Type="http://schemas.openxmlformats.org/officeDocument/2006/relationships/hyperlink" Target="https://drive.google.com/file/d/1iZ6EhAPCFKP08VZ389B0IHTU8CQBa0Qo/view?usp=sharing" TargetMode="External"/><Relationship Id="rId14" Type="http://schemas.openxmlformats.org/officeDocument/2006/relationships/hyperlink" Target="https://photos.app.goo.gl/iGCt5TUG5oD5qGLk7" TargetMode="External"/><Relationship Id="rId15" Type="http://schemas.openxmlformats.org/officeDocument/2006/relationships/hyperlink" Target="https://drive.google.com/file/d/1iirhkdtjXMWnY5sGDjVobIqueDcMEc0X/view?usp=sharing" TargetMode="External"/><Relationship Id="rId16" Type="http://schemas.openxmlformats.org/officeDocument/2006/relationships/hyperlink" Target="https://photos.app.goo.gl/Z3hu62uAWqRSjz3q9" TargetMode="External"/><Relationship Id="rId17" Type="http://schemas.openxmlformats.org/officeDocument/2006/relationships/hyperlink" Target="https://photos.app.goo.gl/JBMNafxnUkxGXKTg6" TargetMode="External"/><Relationship Id="rId18" Type="http://schemas.openxmlformats.org/officeDocument/2006/relationships/hyperlink" Target="https://drive.google.com/file/d/1nZ5lIqB__NulbmeFPkYHP4sdsiG2edOY/view?usp=sharing" TargetMode="External"/><Relationship Id="rId19" Type="http://schemas.openxmlformats.org/officeDocument/2006/relationships/hyperlink" Target="https://photos.app.goo.gl/4LEgNdN1XZTcaeBh8" TargetMode="External"/><Relationship Id="rId20" Type="http://schemas.openxmlformats.org/officeDocument/2006/relationships/hyperlink" Target="https://photos.app.goo.gl/BUYvGvPX6D3mnCgc6" TargetMode="External"/><Relationship Id="rId21" Type="http://schemas.openxmlformats.org/officeDocument/2006/relationships/hyperlink" Target="https://drive.google.com/file/d/1nTcX7oxu36wcnperF5cJftu5ETzdZPsC/view?usp=sharing" TargetMode="External"/><Relationship Id="rId22" Type="http://schemas.openxmlformats.org/officeDocument/2006/relationships/hyperlink" Target="https://photos.app.goo.gl/6DTqhQuceNjYkDc57" TargetMode="External"/><Relationship Id="rId23" Type="http://schemas.openxmlformats.org/officeDocument/2006/relationships/hyperlink" Target="https://photos.app.goo.gl/dVRMRyuLHuBnKcNK6" TargetMode="External"/><Relationship Id="rId24" Type="http://schemas.openxmlformats.org/officeDocument/2006/relationships/hyperlink" Target="https://drive.google.com/file/d/1ncYsw6obeNQU7kAzZGIzKyy2wYlj_4gO/view?usp=sharing" TargetMode="External"/><Relationship Id="rId25" Type="http://schemas.openxmlformats.org/officeDocument/2006/relationships/hyperlink" Target="https://photos.app.goo.gl/AzztsZferFUvwtaL8" TargetMode="External"/><Relationship Id="rId26" Type="http://schemas.openxmlformats.org/officeDocument/2006/relationships/hyperlink" Target="https://photos.app.goo.gl/C5tiHK8daQfqUu5t7" TargetMode="External"/><Relationship Id="rId27" Type="http://schemas.openxmlformats.org/officeDocument/2006/relationships/hyperlink" Target="https://drive.google.com/file/d/1nVOUkqnoqM6otiwRfjPMm4-M5L6MZWbX/view?usp=sharing" TargetMode="External"/><Relationship Id="rId28" Type="http://schemas.openxmlformats.org/officeDocument/2006/relationships/hyperlink" Target="https://photos.app.goo.gl/43LqqdsJDtFLnWvx8" TargetMode="External"/><Relationship Id="rId29" Type="http://schemas.openxmlformats.org/officeDocument/2006/relationships/hyperlink" Target="https://drive.google.com/file/d/1L6mDo0BCiONtEuKuTAXxdK_OttDPMcrd/view?usp=sharing" TargetMode="External"/><Relationship Id="rId30" Type="http://schemas.openxmlformats.org/officeDocument/2006/relationships/hyperlink" Target="https://photos.app.goo.gl/RGL7NwTL7LGcacbZ9" TargetMode="External"/><Relationship Id="rId31" Type="http://schemas.openxmlformats.org/officeDocument/2006/relationships/hyperlink" Target="https://photos.app.goo.gl/KudATYWR2fkTiw7y8" TargetMode="External"/><Relationship Id="rId32" Type="http://schemas.openxmlformats.org/officeDocument/2006/relationships/hyperlink" Target="https://photos.app.goo.gl/jUiyeX89RQ5Atsnn8" TargetMode="External"/><Relationship Id="rId33" Type="http://schemas.openxmlformats.org/officeDocument/2006/relationships/hyperlink" Target="https://photos.app.goo.gl/ecWbMK4HM4RS7aZp9" TargetMode="External"/><Relationship Id="rId34" Type="http://schemas.openxmlformats.org/officeDocument/2006/relationships/hyperlink" Target="https://photos.app.goo.gl/gKaMV5q6AMoT14Ti9" TargetMode="External"/><Relationship Id="rId35" Type="http://schemas.openxmlformats.org/officeDocument/2006/relationships/hyperlink" Target="https://photos.app.goo.gl/tvqBgUBpUKUswJUa7" TargetMode="External"/><Relationship Id="rId36" Type="http://schemas.openxmlformats.org/officeDocument/2006/relationships/hyperlink" Target="https://photos.app.goo.gl/dHrzH8QzUn8w77Si6" TargetMode="External"/><Relationship Id="rId37" Type="http://schemas.openxmlformats.org/officeDocument/2006/relationships/hyperlink" Target="https://photos.app.goo.gl/DymQ9hKnucrZxCrp9" TargetMode="External"/><Relationship Id="rId38" Type="http://schemas.openxmlformats.org/officeDocument/2006/relationships/hyperlink" Target="https://photos.app.goo.gl/WjM8hvRGzEhDtHv48" TargetMode="External"/><Relationship Id="rId39" Type="http://schemas.openxmlformats.org/officeDocument/2006/relationships/hyperlink" Target="https://drive.google.com/file/d/1rQQnmo8PlsMSHxtWv6yU1va38VegsPJt/view?usp=sharing" TargetMode="External"/><Relationship Id="rId40" Type="http://schemas.openxmlformats.org/officeDocument/2006/relationships/hyperlink" Target="https://photos.app.goo.gl/8iv11AcqBhLgMgx29" TargetMode="External"/><Relationship Id="rId41" Type="http://schemas.openxmlformats.org/officeDocument/2006/relationships/hyperlink" Target="https://photos.app.goo.gl/c7NJCvCYLnMJ7s5X9" TargetMode="External"/><Relationship Id="rId42" Type="http://schemas.openxmlformats.org/officeDocument/2006/relationships/hyperlink" Target="https://drive.google.com/file/d/1s-ZjmmhLTrAVsj-m573U3eAyx4_oCveX/view?usp=sharing" TargetMode="External"/><Relationship Id="rId43" Type="http://schemas.openxmlformats.org/officeDocument/2006/relationships/hyperlink" Target="https://photos.app.goo.gl/c7NJCvCYLnMJ7s5X9" TargetMode="External"/><Relationship Id="rId44" Type="http://schemas.openxmlformats.org/officeDocument/2006/relationships/drawing" Target="../drawings/drawing32.xml"/><Relationship Id="rId45" Type="http://schemas.openxmlformats.org/officeDocument/2006/relationships/vmlDrawing" Target="../drawings/vmlDrawing3.vml"/>
</Relationships>
</file>

<file path=xl/worksheets/_rels/sheet35.xml.rels><?xml version="1.0" encoding="UTF-8"?>
<Relationships xmlns="http://schemas.openxmlformats.org/package/2006/relationships"><Relationship Id="rId1" Type="http://schemas.openxmlformats.org/officeDocument/2006/relationships/hyperlink" Target="https://photos.app.goo.gl/khMqfBveTuDgVptEA" TargetMode="External"/><Relationship Id="rId2" Type="http://schemas.openxmlformats.org/officeDocument/2006/relationships/hyperlink" Target="https://drive.google.com/file/d/1TP19jnA408FDbTTdR_ICVRkzecSmL_R-/view?usp=sharing" TargetMode="External"/><Relationship Id="rId3" Type="http://schemas.openxmlformats.org/officeDocument/2006/relationships/hyperlink" Target="https://photos.app.goo.gl/SwkhJo5RqTXjze2VA" TargetMode="External"/><Relationship Id="rId4" Type="http://schemas.openxmlformats.org/officeDocument/2006/relationships/hyperlink" Target="https://drive.google.com/file/d/1U1qI74acC9jq40ZmSuLI2eayBui9RkaC/view?usp=sharing" TargetMode="External"/><Relationship Id="rId5" Type="http://schemas.openxmlformats.org/officeDocument/2006/relationships/hyperlink" Target="https://photos.app.goo.gl/obQcBt8jVV6YhDfY9" TargetMode="External"/><Relationship Id="rId6" Type="http://schemas.openxmlformats.org/officeDocument/2006/relationships/hyperlink" Target="https://photos.app.goo.gl/cQbtFbFahN6AVD768" TargetMode="External"/><Relationship Id="rId7" Type="http://schemas.openxmlformats.org/officeDocument/2006/relationships/hyperlink" Target="https://drive.google.com/file/d/1WVpHVMyIS-rwRQSkpvSThpR_4Zz661Ns/view?usp=sharing" TargetMode="External"/><Relationship Id="rId8" Type="http://schemas.openxmlformats.org/officeDocument/2006/relationships/hyperlink" Target="https://photos.app.goo.gl/U9SFyhhSaWcMrvrR6" TargetMode="External"/><Relationship Id="rId9" Type="http://schemas.openxmlformats.org/officeDocument/2006/relationships/hyperlink" Target="https://photos.app.goo.gl/yg1eTy11HhqjgRKd9" TargetMode="External"/><Relationship Id="rId10" Type="http://schemas.openxmlformats.org/officeDocument/2006/relationships/hyperlink" Target="https://drive.google.com/file/d/1Ud1kpemL6YRrbRzVO_avG126YLK8yeo2/view?usp=sharing" TargetMode="External"/><Relationship Id="rId11" Type="http://schemas.openxmlformats.org/officeDocument/2006/relationships/hyperlink" Target="https://photos.app.goo.gl/wSPRMWGcznw8dNk87" TargetMode="External"/><Relationship Id="rId12" Type="http://schemas.openxmlformats.org/officeDocument/2006/relationships/hyperlink" Target="https://drive.google.com/file/d/1kK90fKf1YDl6RYouBU5r1kjBvD4Sg0xa/view?usp=sharing" TargetMode="External"/><Relationship Id="rId13" Type="http://schemas.openxmlformats.org/officeDocument/2006/relationships/hyperlink" Target="https://photos.app.goo.gl/v1ThPKPwzPqvcaQJ8" TargetMode="External"/><Relationship Id="rId14" Type="http://schemas.openxmlformats.org/officeDocument/2006/relationships/hyperlink" Target="https://drive.google.com/file/d/1k4s6Edf8C9puPy11ReuU7Vy_sg5lpL7o/view?usp=sharing" TargetMode="External"/><Relationship Id="rId15" Type="http://schemas.openxmlformats.org/officeDocument/2006/relationships/hyperlink" Target="https://photos.app.goo.gl/QfGdX7NUqJHADdbZA" TargetMode="External"/><Relationship Id="rId16" Type="http://schemas.openxmlformats.org/officeDocument/2006/relationships/hyperlink" Target="https://drive.google.com/file/d/1jMygxRXi9iJ5qT0FATcLbTPkE6gEqait/view?usp=sharing" TargetMode="External"/><Relationship Id="rId17" Type="http://schemas.openxmlformats.org/officeDocument/2006/relationships/hyperlink" Target="https://photos.app.goo.gl/zVnf4yGpUGddeaBK8" TargetMode="External"/><Relationship Id="rId18" Type="http://schemas.openxmlformats.org/officeDocument/2006/relationships/hyperlink" Target="https://drive.google.com/file/d/1hyQuMcZbriDfxDVdHTxpmtjO7axm-WEq/view?usp=sharing" TargetMode="External"/><Relationship Id="rId19" Type="http://schemas.openxmlformats.org/officeDocument/2006/relationships/hyperlink" Target="https://photos.app.goo.gl/DSusaKyU2gVkDuJ18" TargetMode="External"/><Relationship Id="rId20" Type="http://schemas.openxmlformats.org/officeDocument/2006/relationships/hyperlink" Target="https://photos.app.goo.gl/fNkcMCGLyvrPxM4e7" TargetMode="External"/><Relationship Id="rId21" Type="http://schemas.openxmlformats.org/officeDocument/2006/relationships/hyperlink" Target="https://drive.google.com/file/d/1jW8pTfkNCHU8FsbNQ1FnRGLh6udfE2i7/view?usp=sharing" TargetMode="External"/><Relationship Id="rId22" Type="http://schemas.openxmlformats.org/officeDocument/2006/relationships/hyperlink" Target="https://photos.app.goo.gl/dLNbomcAVHGV1UCy5" TargetMode="External"/><Relationship Id="rId23" Type="http://schemas.openxmlformats.org/officeDocument/2006/relationships/hyperlink" Target="https://photos.app.goo.gl/bKkT1PqhQqSSH3Bx6" TargetMode="External"/><Relationship Id="rId24" Type="http://schemas.openxmlformats.org/officeDocument/2006/relationships/hyperlink" Target="https://drive.google.com/file/d/1jZ6UMr7tkZ1M6pL9bZ_dCprKjvblTIuj/view?usp=sharing" TargetMode="External"/><Relationship Id="rId25" Type="http://schemas.openxmlformats.org/officeDocument/2006/relationships/hyperlink" Target="https://photos.app.goo.gl/Zwe53cpabFpTyoK48" TargetMode="External"/><Relationship Id="rId26" Type="http://schemas.openxmlformats.org/officeDocument/2006/relationships/hyperlink" Target="https://drive.google.com/file/d/1WQiXPmC5GHwclqIIIcSlHH9pj3vGxn5a/view?usp=sharing" TargetMode="External"/><Relationship Id="rId27" Type="http://schemas.openxmlformats.org/officeDocument/2006/relationships/hyperlink" Target="https://photos.app.goo.gl/wU4aABmanR3LWkBa6" TargetMode="External"/><Relationship Id="rId28" Type="http://schemas.openxmlformats.org/officeDocument/2006/relationships/hyperlink" Target="https://drive.google.com/file/d/1bAZgZiJKeOeeI0SUa4WNscLMiJUUeLhS/view?usp=sharing" TargetMode="External"/><Relationship Id="rId29" Type="http://schemas.openxmlformats.org/officeDocument/2006/relationships/hyperlink" Target="https://drive.google.com/file/d/1bS5t984LQjfOIESVTF4Cg640sA0vK2SY/view?usp=sharing" TargetMode="External"/><Relationship Id="rId30" Type="http://schemas.openxmlformats.org/officeDocument/2006/relationships/hyperlink" Target="https://drive.google.com/file/d/1ao9mLGfVQUvVW-VruwRPV_DMEAshEIuB/view?usp=sharing" TargetMode="External"/><Relationship Id="rId31" Type="http://schemas.openxmlformats.org/officeDocument/2006/relationships/hyperlink" Target="https://drive.google.com/file/d/1bBRQo6UTDwerVt0MyWUm6qk79JmRa_Td/view?usp=sharing" TargetMode="External"/><Relationship Id="rId32" Type="http://schemas.openxmlformats.org/officeDocument/2006/relationships/hyperlink" Target="https://photos.app.goo.gl/ywYwtVBF5j8tXhQE7" TargetMode="External"/><Relationship Id="rId33" Type="http://schemas.openxmlformats.org/officeDocument/2006/relationships/hyperlink" Target="https://drive.google.com/drive/folders/1hViydYZEXKFyk0aetUygX1FBZlTPOEg5?usp=sharing" TargetMode="External"/><Relationship Id="rId34" Type="http://schemas.openxmlformats.org/officeDocument/2006/relationships/hyperlink" Target="https://photos.app.goo.gl/iDsq89eRoRw76ptP9" TargetMode="External"/><Relationship Id="rId35" Type="http://schemas.openxmlformats.org/officeDocument/2006/relationships/hyperlink" Target="https://photos.app.goo.gl/P5e5DMqEvyNbYBj48" TargetMode="External"/><Relationship Id="rId36" Type="http://schemas.openxmlformats.org/officeDocument/2006/relationships/hyperlink" Target="https://drive.google.com/drive/folders/1hMWstj33GnTzbj8kojvBSyOqTBq5wObs?usp=sharing" TargetMode="External"/><Relationship Id="rId37" Type="http://schemas.openxmlformats.org/officeDocument/2006/relationships/hyperlink" Target="https://photos.app.goo.gl/xUukitQi6Zm4awup7" TargetMode="External"/><Relationship Id="rId38" Type="http://schemas.openxmlformats.org/officeDocument/2006/relationships/hyperlink" Target="https://drive.google.com/file/d/1ZjsY9LxliXX03_rmEMTELLOnenXhYPWA/view?usp=sharing" TargetMode="External"/><Relationship Id="rId39" Type="http://schemas.openxmlformats.org/officeDocument/2006/relationships/hyperlink" Target="https://photos.app.goo.gl/FA8qYrnJ9YKUWDXx5" TargetMode="External"/><Relationship Id="rId40" Type="http://schemas.openxmlformats.org/officeDocument/2006/relationships/hyperlink" Target="https://drive.google.com/file/d/1_nHm6ezFX-TZYjq6qoCd1VbzJy44hGz7/view?usp=sharing" TargetMode="External"/><Relationship Id="rId41" Type="http://schemas.openxmlformats.org/officeDocument/2006/relationships/hyperlink" Target="https://photos.app.goo.gl/4buJfTUnFissEVWg8" TargetMode="External"/><Relationship Id="rId42" Type="http://schemas.openxmlformats.org/officeDocument/2006/relationships/hyperlink" Target="https://drive.google.com/file/d/1aAvEFN5zh7UbDNoCEuu52ykfA94bFnqO/view?usp=sharing" TargetMode="External"/><Relationship Id="rId43" Type="http://schemas.openxmlformats.org/officeDocument/2006/relationships/hyperlink" Target="https://photos.app.goo.gl/k3x3AzJkZy64Xt7d9" TargetMode="External"/><Relationship Id="rId44" Type="http://schemas.openxmlformats.org/officeDocument/2006/relationships/hyperlink" Target="https://drive.google.com/file/d/1Ygu4kyRCkJJZWKAF26ramHC5bAzD5DZX/view?usp=sharing" TargetMode="External"/><Relationship Id="rId45" Type="http://schemas.openxmlformats.org/officeDocument/2006/relationships/hyperlink" Target="https://photos.app.goo.gl/bweXSEw3zkKb58Bs6" TargetMode="External"/><Relationship Id="rId46" Type="http://schemas.openxmlformats.org/officeDocument/2006/relationships/hyperlink" Target="https://drive.google.com/file/d/1YJcU0HQgMKrJ93wksjf0lHO3e9Z4b8FL/view?usp=sharing" TargetMode="External"/><Relationship Id="rId47" Type="http://schemas.openxmlformats.org/officeDocument/2006/relationships/hyperlink" Target="https://photos.app.goo.gl/EeTFc54WiffsxZ9U8" TargetMode="External"/><Relationship Id="rId48" Type="http://schemas.openxmlformats.org/officeDocument/2006/relationships/hyperlink" Target="https://drive.google.com/file/d/1XElNDkyevRWxAbaV_CZI635GXuQ6u4Ti/view?usp=sharing" TargetMode="External"/><Relationship Id="rId49" Type="http://schemas.openxmlformats.org/officeDocument/2006/relationships/hyperlink" Target="https://photos.app.goo.gl/VvBjdA7jAEjBqfp78" TargetMode="External"/><Relationship Id="rId50" Type="http://schemas.openxmlformats.org/officeDocument/2006/relationships/hyperlink" Target="https://drive.google.com/file/d/1ZaTvlhV5OSvXcvB948H473qyhl_4HYFM/view?usp=sharing" TargetMode="External"/><Relationship Id="rId51" Type="http://schemas.openxmlformats.org/officeDocument/2006/relationships/hyperlink" Target="https://photos.app.goo.gl/LMGqeLGmcoQdqkd59" TargetMode="External"/><Relationship Id="rId52" Type="http://schemas.openxmlformats.org/officeDocument/2006/relationships/hyperlink" Target="https://drive.google.com/file/d/1Ze4Qd0IvBKpy_QfGZl2BcNxy46IhHsxQ/view?usp=sharing" TargetMode="External"/><Relationship Id="rId53" Type="http://schemas.openxmlformats.org/officeDocument/2006/relationships/hyperlink" Target="https://photos.app.goo.gl/zMWkrKdE5vTxGeQ59" TargetMode="External"/><Relationship Id="rId54" Type="http://schemas.openxmlformats.org/officeDocument/2006/relationships/hyperlink" Target="https://photos.app.goo.gl/PdY32dqJG8GBQqRe9" TargetMode="External"/><Relationship Id="rId55" Type="http://schemas.openxmlformats.org/officeDocument/2006/relationships/hyperlink" Target="https://drive.google.com/file/d/1LYa9QxNtECatddteTU9ycPMYLuVO29cY/view?usp=sharing" TargetMode="External"/><Relationship Id="rId56" Type="http://schemas.openxmlformats.org/officeDocument/2006/relationships/hyperlink" Target="https://photos.app.goo.gl/PdY32dqJG8GBQqRe9" TargetMode="External"/><Relationship Id="rId57" Type="http://schemas.openxmlformats.org/officeDocument/2006/relationships/hyperlink" Target="https://drive.google.com/file/d/1eeQm0srIYTcf0TrG6CiO6OCmNgM5RuBy/view?usp=sharing" TargetMode="External"/><Relationship Id="rId58" Type="http://schemas.openxmlformats.org/officeDocument/2006/relationships/hyperlink" Target="https://photos.app.goo.gl/cdvXoAn2MRC6GvV48" TargetMode="External"/><Relationship Id="rId59" Type="http://schemas.openxmlformats.org/officeDocument/2006/relationships/hyperlink" Target="https://drive.google.com/file/d/1eLSMuESZggFgYxvlGnXQGYmRN660zHhZ/view?usp=sharing" TargetMode="External"/><Relationship Id="rId60" Type="http://schemas.openxmlformats.org/officeDocument/2006/relationships/hyperlink" Target="https://photos.app.goo.gl/Tu2SKvQcqJRLvz9Q7" TargetMode="External"/><Relationship Id="rId61" Type="http://schemas.openxmlformats.org/officeDocument/2006/relationships/hyperlink" Target="https://drive.google.com/file/d/1e75Uj2HcxCdcQ-Aao50zyUDXy1kdOLfU/view?usp=sharing" TargetMode="External"/><Relationship Id="rId62" Type="http://schemas.openxmlformats.org/officeDocument/2006/relationships/hyperlink" Target="https://photos.app.goo.gl/4ygT728MQTDdscsW8" TargetMode="External"/><Relationship Id="rId63" Type="http://schemas.openxmlformats.org/officeDocument/2006/relationships/hyperlink" Target="https://photos.app.goo.gl/krxN9gmoM31oWN9Y9" TargetMode="External"/><Relationship Id="rId64" Type="http://schemas.openxmlformats.org/officeDocument/2006/relationships/hyperlink" Target="https://photos.app.goo.gl/4G44SRvPRf8S89qm9" TargetMode="External"/><Relationship Id="rId65" Type="http://schemas.openxmlformats.org/officeDocument/2006/relationships/hyperlink" Target="https://drive.google.com/file/d/1Z9k9wwrV2aVtSQNI81BPslWV7j0GMOYE/view?usp=sharing" TargetMode="External"/><Relationship Id="rId66" Type="http://schemas.openxmlformats.org/officeDocument/2006/relationships/hyperlink" Target="https://photos.app.goo.gl/1XcerbsvCHRfirvT6" TargetMode="External"/><Relationship Id="rId67" Type="http://schemas.openxmlformats.org/officeDocument/2006/relationships/hyperlink" Target="https://photos.app.goo.gl/CGpseuZ9QAag5N1e8" TargetMode="External"/><Relationship Id="rId68" Type="http://schemas.openxmlformats.org/officeDocument/2006/relationships/hyperlink" Target="https://drive.google.com/file/d/1f-Fyg1GSGAE2Olfh76_-CT2yjY-P5X62/view?usp=sharing" TargetMode="External"/><Relationship Id="rId69" Type="http://schemas.openxmlformats.org/officeDocument/2006/relationships/hyperlink" Target="https://photos.app.goo.gl/1iWdoNtWk9pXaMBx7" TargetMode="External"/><Relationship Id="rId70" Type="http://schemas.openxmlformats.org/officeDocument/2006/relationships/hyperlink" Target="https://photos.app.goo.gl/YQo1aVvRhKRHrQcm9" TargetMode="External"/><Relationship Id="rId71" Type="http://schemas.openxmlformats.org/officeDocument/2006/relationships/drawing" Target="../drawings/drawing33.xml"/>
</Relationships>
</file>

<file path=xl/worksheets/_rels/sheet36.xml.rels><?xml version="1.0" encoding="UTF-8"?>
<Relationships xmlns="http://schemas.openxmlformats.org/package/2006/relationships"><Relationship Id="rId1" Type="http://schemas.openxmlformats.org/officeDocument/2006/relationships/hyperlink" Target="https://drive.google.com/file/d/1OGYpPgayqxif3Ysthpmf4HEAbd1DHUIC/view?usp=sharing" TargetMode="External"/><Relationship Id="rId2" Type="http://schemas.openxmlformats.org/officeDocument/2006/relationships/hyperlink" Target="https://photos.app.goo.gl/hVN6RUCDvj2ytEFb6" TargetMode="External"/><Relationship Id="rId3" Type="http://schemas.openxmlformats.org/officeDocument/2006/relationships/hyperlink" Target="https://drive.google.com/file/d/1OWEV6Nw4rKufEg-DZDNyBHAWj8A-lJGG/view?usp=sharing" TargetMode="External"/><Relationship Id="rId4" Type="http://schemas.openxmlformats.org/officeDocument/2006/relationships/hyperlink" Target="https://photos.app.goo.gl/LHP181MaKvzqjTNT9" TargetMode="External"/><Relationship Id="rId5" Type="http://schemas.openxmlformats.org/officeDocument/2006/relationships/hyperlink" Target="https://drive.google.com/file/d/1Oc7e7Xg3fb9Wjw_9vjodGTGHCpaLA7MK/view?usp=sharing" TargetMode="External"/><Relationship Id="rId6" Type="http://schemas.openxmlformats.org/officeDocument/2006/relationships/hyperlink" Target="https://photos.app.goo.gl/FMGPgnpqvSodm2Cp8" TargetMode="External"/><Relationship Id="rId7" Type="http://schemas.openxmlformats.org/officeDocument/2006/relationships/hyperlink" Target="https://drive.google.com/file/d/1FOz8j0JOI2jk0O_8PO_K9xPqhAKABZgo/view?usp=sharing" TargetMode="External"/><Relationship Id="rId8" Type="http://schemas.openxmlformats.org/officeDocument/2006/relationships/hyperlink" Target="https://photos.app.goo.gl/NXqS5MU17QaESoAs8" TargetMode="External"/><Relationship Id="rId9" Type="http://schemas.openxmlformats.org/officeDocument/2006/relationships/hyperlink" Target="https://drive.google.com/file/d/1KAOFAwiYXx8lT8O4-5DLvUnglG2OXWSf/view?usp=sharing" TargetMode="External"/><Relationship Id="rId10" Type="http://schemas.openxmlformats.org/officeDocument/2006/relationships/hyperlink" Target="https://photos.app.goo.gl/iouJa6FcZWiayJdY8" TargetMode="External"/><Relationship Id="rId11" Type="http://schemas.openxmlformats.org/officeDocument/2006/relationships/hyperlink" Target="https://photos.app.goo.gl/WNtBokZgUhxn3rvZA" TargetMode="External"/><Relationship Id="rId12" Type="http://schemas.openxmlformats.org/officeDocument/2006/relationships/hyperlink" Target="https://drive.google.com/file/d/1FsRP1Ej-hp1LCRJuRfcxBkBxH4vMr0K9/view?usp=sharing" TargetMode="External"/><Relationship Id="rId13" Type="http://schemas.openxmlformats.org/officeDocument/2006/relationships/hyperlink" Target="https://photos.app.goo.gl/WhNbkn4bBQfvfqJm8" TargetMode="External"/><Relationship Id="rId14" Type="http://schemas.openxmlformats.org/officeDocument/2006/relationships/hyperlink" Target="https://photos.app.goo.gl/fdZgCJHn84dS1bJQ8" TargetMode="External"/><Relationship Id="rId15" Type="http://schemas.openxmlformats.org/officeDocument/2006/relationships/hyperlink" Target="https://drive.google.com/file/d/1FbUCNz8_vJ6pT9SeU9jN67j9lsITaDOQ/view?usp=sharing" TargetMode="External"/><Relationship Id="rId16" Type="http://schemas.openxmlformats.org/officeDocument/2006/relationships/hyperlink" Target="https://photos.app.goo.gl/Yyf6Lqo3q3pwxAPk6" TargetMode="External"/><Relationship Id="rId17" Type="http://schemas.openxmlformats.org/officeDocument/2006/relationships/hyperlink" Target="https://photos.app.goo.gl/NwyuiL8SvZAyd8T4A" TargetMode="External"/><Relationship Id="rId18" Type="http://schemas.openxmlformats.org/officeDocument/2006/relationships/hyperlink" Target="https://photos.app.goo.gl/Qvw2bsDPx3qSpjWE8" TargetMode="External"/><Relationship Id="rId19" Type="http://schemas.openxmlformats.org/officeDocument/2006/relationships/hyperlink" Target="https://drive.google.com/file/d/1Iw1QdaS30-XBten-JakIwpGlDNpWS50E/view?usp=sharing" TargetMode="External"/><Relationship Id="rId20" Type="http://schemas.openxmlformats.org/officeDocument/2006/relationships/hyperlink" Target="https://photos.app.goo.gl/Qvw2bsDPx3qSpjWE8" TargetMode="External"/><Relationship Id="rId21" Type="http://schemas.openxmlformats.org/officeDocument/2006/relationships/hyperlink" Target="https://photos.app.goo.gl/vESxeSAjNKVZ3QcA9" TargetMode="External"/><Relationship Id="rId22" Type="http://schemas.openxmlformats.org/officeDocument/2006/relationships/hyperlink" Target="https://drive.google.com/file/d/1IqSBhqO_3jRn4z2ksK1SITnguakLRv-R/view?usp=sharing" TargetMode="External"/><Relationship Id="rId23" Type="http://schemas.openxmlformats.org/officeDocument/2006/relationships/hyperlink" Target="https://photos.app.goo.gl/jCvK78RmxhUwhpmf7" TargetMode="External"/><Relationship Id="rId24" Type="http://schemas.openxmlformats.org/officeDocument/2006/relationships/hyperlink" Target="https://photos.app.goo.gl/EkykUCcHgwndFAdC6" TargetMode="External"/><Relationship Id="rId25" Type="http://schemas.openxmlformats.org/officeDocument/2006/relationships/hyperlink" Target="https://photos.app.goo.gl/VVB8LCKkVJyeh8p2A" TargetMode="External"/><Relationship Id="rId26" Type="http://schemas.openxmlformats.org/officeDocument/2006/relationships/drawing" Target="../drawings/drawing34.xml"/>
</Relationships>
</file>

<file path=xl/worksheets/_rels/sheet37.xml.rels><?xml version="1.0" encoding="UTF-8"?>
<Relationships xmlns="http://schemas.openxmlformats.org/package/2006/relationships"><Relationship Id="rId1" Type="http://schemas.openxmlformats.org/officeDocument/2006/relationships/comments" Target="../comments37.xml"/><Relationship Id="rId2" Type="http://schemas.openxmlformats.org/officeDocument/2006/relationships/hyperlink" Target="https://photos.app.goo.gl/Rncz8tknyf4Sm6JR9" TargetMode="External"/><Relationship Id="rId3" Type="http://schemas.openxmlformats.org/officeDocument/2006/relationships/hyperlink" Target="https://photos.app.goo.gl/QxCN1otMoLYPGB7C8" TargetMode="External"/><Relationship Id="rId4" Type="http://schemas.openxmlformats.org/officeDocument/2006/relationships/hyperlink" Target="https://drive.google.com/file/d/1JBR2bj3az1nF6NdoR7WTUyw8AmeLncGk/view?usp=sharing" TargetMode="External"/><Relationship Id="rId5" Type="http://schemas.openxmlformats.org/officeDocument/2006/relationships/hyperlink" Target="https://photos.app.goo.gl/vGk63ThfH4wQtaWNA" TargetMode="External"/><Relationship Id="rId6" Type="http://schemas.openxmlformats.org/officeDocument/2006/relationships/hyperlink" Target="https://photos.app.goo.gl/5oadSrLdeVk3kBe8A" TargetMode="External"/><Relationship Id="rId7" Type="http://schemas.openxmlformats.org/officeDocument/2006/relationships/hyperlink" Target="https://drive.google.com/file/d/1Jt45osJ7LAfGM4mxp12v_doj9DWSHWza/view?usp=sharing" TargetMode="External"/><Relationship Id="rId8" Type="http://schemas.openxmlformats.org/officeDocument/2006/relationships/hyperlink" Target="https://photos.app.goo.gl/7UFxCu8KRAAs8oRn8" TargetMode="External"/><Relationship Id="rId9" Type="http://schemas.openxmlformats.org/officeDocument/2006/relationships/hyperlink" Target="https://photos.app.goo.gl/h9qhM8YGdc7oyhHY8" TargetMode="External"/><Relationship Id="rId10" Type="http://schemas.openxmlformats.org/officeDocument/2006/relationships/hyperlink" Target="https://photos.app.goo.gl/1vwPDECuprrrZKYa8" TargetMode="External"/><Relationship Id="rId11" Type="http://schemas.openxmlformats.org/officeDocument/2006/relationships/hyperlink" Target="https://photos.app.goo.gl/TVrtL9xJrk9M8cAw9" TargetMode="External"/><Relationship Id="rId12" Type="http://schemas.openxmlformats.org/officeDocument/2006/relationships/hyperlink" Target="https://photos.app.goo.gl/fLLHtT3GxVqjByiH9" TargetMode="External"/><Relationship Id="rId13" Type="http://schemas.openxmlformats.org/officeDocument/2006/relationships/hyperlink" Target="https://photos.app.goo.gl/oiJ4m1anbXYBgwmc6" TargetMode="External"/><Relationship Id="rId14" Type="http://schemas.openxmlformats.org/officeDocument/2006/relationships/hyperlink" Target="https://photos.app.goo.gl/AMDKjQahzsy3C2Gd9" TargetMode="External"/><Relationship Id="rId15" Type="http://schemas.openxmlformats.org/officeDocument/2006/relationships/hyperlink" Target="https://photos.app.goo.gl/E2QEVSLYSViwPP1v6" TargetMode="External"/><Relationship Id="rId16" Type="http://schemas.openxmlformats.org/officeDocument/2006/relationships/hyperlink" Target="https://photos.app.goo.gl/5z6Xr4eHWo4nzuUs7" TargetMode="External"/><Relationship Id="rId17" Type="http://schemas.openxmlformats.org/officeDocument/2006/relationships/hyperlink" Target="https://photos.app.goo.gl/QQM9WaEUVcjYBUcu8" TargetMode="External"/><Relationship Id="rId18" Type="http://schemas.openxmlformats.org/officeDocument/2006/relationships/hyperlink" Target="https://photos.app.goo.gl/ZaEtgtcT6SVnDvjr9" TargetMode="External"/><Relationship Id="rId19" Type="http://schemas.openxmlformats.org/officeDocument/2006/relationships/hyperlink" Target="https://photos.app.goo.gl/3SvajNxMiGLJDEAbA" TargetMode="External"/><Relationship Id="rId20" Type="http://schemas.openxmlformats.org/officeDocument/2006/relationships/hyperlink" Target="https://photos.app.goo.gl/AyiZ1EUDfXpCuYEbA" TargetMode="External"/><Relationship Id="rId21" Type="http://schemas.openxmlformats.org/officeDocument/2006/relationships/hyperlink" Target="https://photos.app.goo.gl/7NoTNE3u31uK5AqP9" TargetMode="External"/><Relationship Id="rId22" Type="http://schemas.openxmlformats.org/officeDocument/2006/relationships/hyperlink" Target="https://drive.google.com/file/d/1DxfhRzFqyMLD1a0kb5GfZKZ34I0_wL1X/view?usp=sharing" TargetMode="External"/><Relationship Id="rId23" Type="http://schemas.openxmlformats.org/officeDocument/2006/relationships/hyperlink" Target="https://photos.app.goo.gl/hN6btmPthM7rHVCM8" TargetMode="External"/><Relationship Id="rId24" Type="http://schemas.openxmlformats.org/officeDocument/2006/relationships/hyperlink" Target="https://photos.app.goo.gl/WaZyU8sa1rob17t79" TargetMode="External"/><Relationship Id="rId25" Type="http://schemas.openxmlformats.org/officeDocument/2006/relationships/hyperlink" Target="https://photos.app.goo.gl/wxQCXn6c1LeN9E5p9" TargetMode="External"/><Relationship Id="rId26" Type="http://schemas.openxmlformats.org/officeDocument/2006/relationships/hyperlink" Target="https://photos.app.goo.gl/DjmDui8ioAfXWH6Q9" TargetMode="External"/><Relationship Id="rId27" Type="http://schemas.openxmlformats.org/officeDocument/2006/relationships/hyperlink" Target="https://drive.google.com/file/d/1MWQogBHuuymljFP338rEvkBSIO9NrJnP/view?usp=sharing" TargetMode="External"/><Relationship Id="rId28" Type="http://schemas.openxmlformats.org/officeDocument/2006/relationships/hyperlink" Target="https://photos.app.goo.gl/DjmDui8ioAfXWH6Q9" TargetMode="External"/><Relationship Id="rId29" Type="http://schemas.openxmlformats.org/officeDocument/2006/relationships/hyperlink" Target="https://photos.app.goo.gl/kijGbcg7bkaK7DLc6" TargetMode="External"/><Relationship Id="rId30" Type="http://schemas.openxmlformats.org/officeDocument/2006/relationships/hyperlink" Target="https://drive.google.com/file/d/1MUVxQZ8W6CtWs2Pb4r0qMya-tDmq-mb9/view?usp=sharing" TargetMode="External"/><Relationship Id="rId31" Type="http://schemas.openxmlformats.org/officeDocument/2006/relationships/hyperlink" Target="https://photos.app.goo.gl/56NduUH3X4Uw3cjx6" TargetMode="External"/><Relationship Id="rId32" Type="http://schemas.openxmlformats.org/officeDocument/2006/relationships/hyperlink" Target="https://photos.app.goo.gl/QVHANSyqQGnor9bL6" TargetMode="External"/><Relationship Id="rId33" Type="http://schemas.openxmlformats.org/officeDocument/2006/relationships/hyperlink" Target="https://photos.app.goo.gl/CGVr55nHWyfRD5gm8" TargetMode="External"/><Relationship Id="rId34" Type="http://schemas.openxmlformats.org/officeDocument/2006/relationships/hyperlink" Target="https://photos.app.goo.gl/NseitPRXsySt8Svx6" TargetMode="External"/><Relationship Id="rId35" Type="http://schemas.openxmlformats.org/officeDocument/2006/relationships/hyperlink" Target="https://photos.app.goo.gl/xZTwZ3fNLSNwi24b6" TargetMode="External"/><Relationship Id="rId36" Type="http://schemas.openxmlformats.org/officeDocument/2006/relationships/hyperlink" Target="https://photos.app.goo.gl/3tzWAW86Vzcs21Dv9" TargetMode="External"/><Relationship Id="rId37" Type="http://schemas.openxmlformats.org/officeDocument/2006/relationships/hyperlink" Target="https://photos.app.goo.gl/wiSCCkqwP57sGc8e6" TargetMode="External"/><Relationship Id="rId38" Type="http://schemas.openxmlformats.org/officeDocument/2006/relationships/drawing" Target="../drawings/drawing35.xml"/><Relationship Id="rId39" Type="http://schemas.openxmlformats.org/officeDocument/2006/relationships/vmlDrawing" Target="../drawings/vmlDrawing4.vml"/>
</Relationships>
</file>

<file path=xl/worksheets/_rels/sheet38.xml.rels><?xml version="1.0" encoding="UTF-8"?>
<Relationships xmlns="http://schemas.openxmlformats.org/package/2006/relationships"><Relationship Id="rId1" Type="http://schemas.openxmlformats.org/officeDocument/2006/relationships/hyperlink" Target="https://drive.google.com/file/d/1ro5JgZO8XlkOF3pcps4go4DGZecsSUac/view?usp=sharing" TargetMode="External"/><Relationship Id="rId2" Type="http://schemas.openxmlformats.org/officeDocument/2006/relationships/hyperlink" Target="https://photos.app.goo.gl/xjn7J4tDXQLjk87M7" TargetMode="External"/><Relationship Id="rId3" Type="http://schemas.openxmlformats.org/officeDocument/2006/relationships/hyperlink" Target="https://photos.app.goo.gl/JigWYajckf5ENFh4A" TargetMode="External"/><Relationship Id="rId4" Type="http://schemas.openxmlformats.org/officeDocument/2006/relationships/hyperlink" Target="https://drive.google.com/file/d/1s--4wrdKsCKxhYOYHAdpMF7KRKp4JIiv/view?usp=sharing" TargetMode="External"/><Relationship Id="rId5" Type="http://schemas.openxmlformats.org/officeDocument/2006/relationships/hyperlink" Target="https://photos.app.goo.gl/JigWYajckf5ENFh4A" TargetMode="External"/><Relationship Id="rId6" Type="http://schemas.openxmlformats.org/officeDocument/2006/relationships/hyperlink" Target="https://photos.app.goo.gl/iN2CDg61dijZfJBm7" TargetMode="External"/><Relationship Id="rId7" Type="http://schemas.openxmlformats.org/officeDocument/2006/relationships/hyperlink" Target="https://drive.google.com/file/d/1uQZUkwmUjS9JOuJJY7hdwwt3QcZqkUGR/view?usp=sharing" TargetMode="External"/><Relationship Id="rId8" Type="http://schemas.openxmlformats.org/officeDocument/2006/relationships/hyperlink" Target="https://photos.app.goo.gl/Pewy8kJrQkktGL427" TargetMode="External"/><Relationship Id="rId9" Type="http://schemas.openxmlformats.org/officeDocument/2006/relationships/hyperlink" Target="https://photos.app.goo.gl/yy7Z3x7SPAFvU6vq5" TargetMode="External"/><Relationship Id="rId10" Type="http://schemas.openxmlformats.org/officeDocument/2006/relationships/hyperlink" Target="https://drive.google.com/file/d/1vGR2Fhfd9Q1nOXPcGAkyDXUrD_JHt-vF/view?usp=sharing" TargetMode="External"/><Relationship Id="rId11" Type="http://schemas.openxmlformats.org/officeDocument/2006/relationships/hyperlink" Target="https://photos.app.goo.gl/yy7Z3x7SPAFvU6vq5" TargetMode="External"/><Relationship Id="rId12" Type="http://schemas.openxmlformats.org/officeDocument/2006/relationships/hyperlink" Target="https://photos.app.goo.gl/KgtS43FFnYDoCLp69" TargetMode="External"/><Relationship Id="rId13" Type="http://schemas.openxmlformats.org/officeDocument/2006/relationships/hyperlink" Target="https://drive.google.com/file/d/1uPszTfY3yE-BL_6wnEAGaCQp84hAu4Xn/view?usp=sharing" TargetMode="External"/><Relationship Id="rId14" Type="http://schemas.openxmlformats.org/officeDocument/2006/relationships/hyperlink" Target="https://photos.app.goo.gl/KgtS43FFnYDoCLp69" TargetMode="External"/><Relationship Id="rId15" Type="http://schemas.openxmlformats.org/officeDocument/2006/relationships/hyperlink" Target="https://photos.app.goo.gl/2ZNZPvaESmZANv2dA" TargetMode="External"/><Relationship Id="rId16" Type="http://schemas.openxmlformats.org/officeDocument/2006/relationships/hyperlink" Target="https://drive.google.com/file/d/1t_-m1meQz1rhsLmk242BbHlHcqFsKrsw/view?usp=sharing" TargetMode="External"/><Relationship Id="rId17" Type="http://schemas.openxmlformats.org/officeDocument/2006/relationships/hyperlink" Target="https://photos.app.goo.gl/2ZNZPvaESmZANv2dA" TargetMode="External"/><Relationship Id="rId18" Type="http://schemas.openxmlformats.org/officeDocument/2006/relationships/hyperlink" Target="https://photos.app.goo.gl/yR8DDHGTFFHAMxnA9" TargetMode="External"/><Relationship Id="rId19" Type="http://schemas.openxmlformats.org/officeDocument/2006/relationships/hyperlink" Target="https://drive.google.com/file/d/1tfi-tP-qWQoH-UA0kebrORXIWG7lvIOd/view?usp=sharing" TargetMode="External"/><Relationship Id="rId20" Type="http://schemas.openxmlformats.org/officeDocument/2006/relationships/hyperlink" Target="https://photos.app.goo.gl/yR8DDHGTFFHAMxnA9" TargetMode="External"/><Relationship Id="rId21" Type="http://schemas.openxmlformats.org/officeDocument/2006/relationships/hyperlink" Target="https://photos.app.goo.gl/nFCs6QuE97HnpNgy5" TargetMode="External"/><Relationship Id="rId22" Type="http://schemas.openxmlformats.org/officeDocument/2006/relationships/hyperlink" Target="https://drive.google.com/file/d/1tj94um4hRge0foP7X7iSZZfANvLuq1fr/view?usp=sharing" TargetMode="External"/><Relationship Id="rId23" Type="http://schemas.openxmlformats.org/officeDocument/2006/relationships/hyperlink" Target="https://photos.app.goo.gl/nFCs6QuE97HnpNgy5" TargetMode="External"/><Relationship Id="rId24" Type="http://schemas.openxmlformats.org/officeDocument/2006/relationships/hyperlink" Target="https://photos.app.goo.gl/yg5YWdwyzokpMeS59" TargetMode="External"/><Relationship Id="rId25" Type="http://schemas.openxmlformats.org/officeDocument/2006/relationships/hyperlink" Target="https://drive.google.com/file/d/1tmX9tL2R4plrxAiIRpo06oHxpSN7wczo/view?usp=sharing" TargetMode="External"/><Relationship Id="rId26" Type="http://schemas.openxmlformats.org/officeDocument/2006/relationships/hyperlink" Target="https://photos.app.goo.gl/yg5YWdwyzokpMeS59" TargetMode="External"/><Relationship Id="rId27" Type="http://schemas.openxmlformats.org/officeDocument/2006/relationships/hyperlink" Target="https://photos.app.goo.gl/6MmSwaTmn3R42sLu7" TargetMode="External"/><Relationship Id="rId28" Type="http://schemas.openxmlformats.org/officeDocument/2006/relationships/hyperlink" Target="https://drive.google.com/file/d/1vb-8RhgpBkwAHtBILGuhkLl0nYBq6x73/view?usp=sharing" TargetMode="External"/><Relationship Id="rId29" Type="http://schemas.openxmlformats.org/officeDocument/2006/relationships/hyperlink" Target="https://photos.app.goo.gl/6MmSwaTmn3R42sLu7" TargetMode="External"/><Relationship Id="rId30" Type="http://schemas.openxmlformats.org/officeDocument/2006/relationships/hyperlink" Target="https://photos.app.goo.gl/NxotdWb5chJbcKGD8" TargetMode="External"/><Relationship Id="rId31" Type="http://schemas.openxmlformats.org/officeDocument/2006/relationships/hyperlink" Target="https://photos.app.goo.gl/4sWR1wqUYZuivUjGA" TargetMode="External"/><Relationship Id="rId32" Type="http://schemas.openxmlformats.org/officeDocument/2006/relationships/hyperlink" Target="https://photos.app.goo.gl/q9kYdn8x5x1Uu1wW7" TargetMode="External"/><Relationship Id="rId33" Type="http://schemas.openxmlformats.org/officeDocument/2006/relationships/hyperlink" Target="https://drive.google.com/file/d/1viIg50bzEnzGJR8cbNjZ_oIb_4yDWr7C/view?usp=sharing" TargetMode="External"/><Relationship Id="rId34" Type="http://schemas.openxmlformats.org/officeDocument/2006/relationships/hyperlink" Target="https://photos.app.goo.gl/q9kYdn8x5x1Uu1wW7" TargetMode="External"/><Relationship Id="rId35" Type="http://schemas.openxmlformats.org/officeDocument/2006/relationships/hyperlink" Target="https://photos.app.goo.gl/DdXJKdeVfjaseVX1A" TargetMode="External"/><Relationship Id="rId36" Type="http://schemas.openxmlformats.org/officeDocument/2006/relationships/hyperlink" Target="https://drive.google.com/file/d/1xqLraLRjl9aCij6175GifwbKKM4pnf04/view?usp=sharing" TargetMode="External"/><Relationship Id="rId37" Type="http://schemas.openxmlformats.org/officeDocument/2006/relationships/hyperlink" Target="https://drive.google.com/file/d/1weWlY1tSbI3LaaWYbK-owSWOBMqsdTUs/view?usp=sharing" TargetMode="External"/><Relationship Id="rId38" Type="http://schemas.openxmlformats.org/officeDocument/2006/relationships/hyperlink" Target="https://photos.app.goo.gl/Z58bq9vtEHdgUH797" TargetMode="External"/><Relationship Id="rId39" Type="http://schemas.openxmlformats.org/officeDocument/2006/relationships/hyperlink" Target="https://photos.app.goo.gl/pjuRFmoR5uy4oxdR9" TargetMode="External"/><Relationship Id="rId40" Type="http://schemas.openxmlformats.org/officeDocument/2006/relationships/hyperlink" Target="https://drive.google.com/file/d/1--1MuikbXIvvhrAROmFHvVolyWg-1EaI/view?usp=sharing" TargetMode="External"/><Relationship Id="rId41" Type="http://schemas.openxmlformats.org/officeDocument/2006/relationships/hyperlink" Target="https://photos.app.goo.gl/RZZzMFgdfQvCmVLk7" TargetMode="External"/><Relationship Id="rId42" Type="http://schemas.openxmlformats.org/officeDocument/2006/relationships/hyperlink" Target="https://drive.google.com/file/d/1-HaU2b5wgu7CUHoKa7PdEjINsGCqg4HH/view?usp=sharing" TargetMode="External"/><Relationship Id="rId43" Type="http://schemas.openxmlformats.org/officeDocument/2006/relationships/hyperlink" Target="https://photos.app.goo.gl/JBeLpoH3pyQS2QY29" TargetMode="External"/><Relationship Id="rId44" Type="http://schemas.openxmlformats.org/officeDocument/2006/relationships/hyperlink" Target="https://drive.google.com/file/d/12IrxBZQv5FxjjsUcAJoy9uhDGIQAgTq-/view?usp=sharing" TargetMode="External"/><Relationship Id="rId45" Type="http://schemas.openxmlformats.org/officeDocument/2006/relationships/hyperlink" Target="https://photos.app.goo.gl/bV5vDA8ddJLVxu5T7" TargetMode="External"/><Relationship Id="rId46" Type="http://schemas.openxmlformats.org/officeDocument/2006/relationships/hyperlink" Target="https://drive.google.com/file/d/14S2ap6ZrWGs8trJrJNof6mLPbVE2unFJ/view?usp=sharing" TargetMode="External"/><Relationship Id="rId47" Type="http://schemas.openxmlformats.org/officeDocument/2006/relationships/hyperlink" Target="https://photos.app.goo.gl/LT8VXjApHeFaVN8P7" TargetMode="External"/><Relationship Id="rId48" Type="http://schemas.openxmlformats.org/officeDocument/2006/relationships/hyperlink" Target="https://photos.app.goo.gl/jb57kA6vMxSwRGMdA" TargetMode="External"/><Relationship Id="rId49" Type="http://schemas.openxmlformats.org/officeDocument/2006/relationships/hyperlink" Target="https://photos.app.goo.gl/JH5vha99LjYtwbrJ8" TargetMode="External"/><Relationship Id="rId50" Type="http://schemas.openxmlformats.org/officeDocument/2006/relationships/hyperlink" Target="https://photos.app.goo.gl/XyCcyDDhUmvscGK66" TargetMode="External"/><Relationship Id="rId51" Type="http://schemas.openxmlformats.org/officeDocument/2006/relationships/hyperlink" Target="https://photos.app.goo.gl/rz5ZHKWPQxVdhkAV8" TargetMode="External"/><Relationship Id="rId52" Type="http://schemas.openxmlformats.org/officeDocument/2006/relationships/hyperlink" Target="https://drive.google.com/file/d/130Dnk3HMs3uxvFfTzYwCAa1pGq8Ofg-L/view?usp=sharing" TargetMode="External"/><Relationship Id="rId53" Type="http://schemas.openxmlformats.org/officeDocument/2006/relationships/hyperlink" Target="https://photos.app.goo.gl/wowWWAf4k18bRN9s7" TargetMode="External"/><Relationship Id="rId54" Type="http://schemas.openxmlformats.org/officeDocument/2006/relationships/hyperlink" Target="https://photos.app.goo.gl/EEZ42padWaonem2o6" TargetMode="External"/><Relationship Id="rId55" Type="http://schemas.openxmlformats.org/officeDocument/2006/relationships/hyperlink" Target="https://drive.google.com/file/d/182fUKqD9rn5uNhC7xFeF5rubiNZ_aO2d/view?usp=sharing" TargetMode="External"/><Relationship Id="rId56" Type="http://schemas.openxmlformats.org/officeDocument/2006/relationships/hyperlink" Target="https://photos.app.goo.gl/YnbwqZ1BuQs5tcJ1A" TargetMode="External"/><Relationship Id="rId57" Type="http://schemas.openxmlformats.org/officeDocument/2006/relationships/hyperlink" Target="https://photos.app.goo.gl/Q94ULcdX7Q3pfhmr7" TargetMode="External"/><Relationship Id="rId58" Type="http://schemas.openxmlformats.org/officeDocument/2006/relationships/hyperlink" Target="https://photos.app.goo.gl/UZPJg6qhX46BEWYv8" TargetMode="External"/><Relationship Id="rId59" Type="http://schemas.openxmlformats.org/officeDocument/2006/relationships/drawing" Target="../drawings/drawing36.xml"/>
</Relationships>
</file>

<file path=xl/worksheets/_rels/sheet39.xml.rels><?xml version="1.0" encoding="UTF-8"?>
<Relationships xmlns="http://schemas.openxmlformats.org/package/2006/relationships"><Relationship Id="rId1" Type="http://schemas.openxmlformats.org/officeDocument/2006/relationships/hyperlink" Target="https://drive.google.com/file/d/1bA3JEW_n-3sHJi-HawR20eRBUg9z2GBV/view?usp=sharing" TargetMode="External"/><Relationship Id="rId2" Type="http://schemas.openxmlformats.org/officeDocument/2006/relationships/hyperlink" Target="https://photos.app.goo.gl/EGWRXavsio4jerPs6" TargetMode="External"/><Relationship Id="rId3" Type="http://schemas.openxmlformats.org/officeDocument/2006/relationships/hyperlink" Target="https://drive.google.com/file/d/1gQpHLE_9tYJnHLtJiPwxPtsAOuZLMl_n/view?usp=sharing" TargetMode="External"/><Relationship Id="rId4" Type="http://schemas.openxmlformats.org/officeDocument/2006/relationships/hyperlink" Target="https://drive.google.com/file/d/1bm07pn2IU0ZPaLjl_wrchAPw-2HsUH_B/view?usp=sharing" TargetMode="External"/><Relationship Id="rId5" Type="http://schemas.openxmlformats.org/officeDocument/2006/relationships/hyperlink" Target="https://photos.app.goo.gl/WWhbveHvZJ1o1jH79" TargetMode="External"/><Relationship Id="rId6" Type="http://schemas.openxmlformats.org/officeDocument/2006/relationships/hyperlink" Target="https://drive.google.com/file/d/1cbbF5TFF3PAxXGwjUe-Lnzl1eK5M2rkK/view?usp=sharing" TargetMode="External"/><Relationship Id="rId7" Type="http://schemas.openxmlformats.org/officeDocument/2006/relationships/hyperlink" Target="https://photos.app.goo.gl/Sd5RsUqdMevRQgkeA" TargetMode="External"/><Relationship Id="rId8" Type="http://schemas.openxmlformats.org/officeDocument/2006/relationships/hyperlink" Target="https://drive.google.com/file/d/1cn_wSRdmCifs2em8GCO1Tki0mPSg-NHa/view?usp=sharing" TargetMode="External"/><Relationship Id="rId9" Type="http://schemas.openxmlformats.org/officeDocument/2006/relationships/hyperlink" Target="https://photos.app.goo.gl/s6ZC9qXVprhdAjiZ8" TargetMode="External"/><Relationship Id="rId10" Type="http://schemas.openxmlformats.org/officeDocument/2006/relationships/hyperlink" Target="https://drive.google.com/file/d/1cLKNmvHj5eH75F7-CEMkkzmli6V4Qqd1/view?usp=sharing" TargetMode="External"/><Relationship Id="rId11" Type="http://schemas.openxmlformats.org/officeDocument/2006/relationships/hyperlink" Target="https://photos.app.goo.gl/7283M96o7hRK1zdK7" TargetMode="External"/><Relationship Id="rId12" Type="http://schemas.openxmlformats.org/officeDocument/2006/relationships/hyperlink" Target="https://photos.app.goo.gl/xbVaDss7e17q3c8GA" TargetMode="External"/><Relationship Id="rId13" Type="http://schemas.openxmlformats.org/officeDocument/2006/relationships/hyperlink" Target="https://photos.app.goo.gl/xbVaDss7e17q3c8GA" TargetMode="External"/><Relationship Id="rId14" Type="http://schemas.openxmlformats.org/officeDocument/2006/relationships/hyperlink" Target="https://drive.google.com/file/d/1d0vjntCZTtVjqzBIwq5XshxJoJvUr-ms/view?usp=sharing" TargetMode="External"/><Relationship Id="rId15" Type="http://schemas.openxmlformats.org/officeDocument/2006/relationships/hyperlink" Target="https://photos.app.goo.gl/xbVaDss7e17q3c8GA" TargetMode="External"/><Relationship Id="rId16" Type="http://schemas.openxmlformats.org/officeDocument/2006/relationships/hyperlink" Target="https://drive.google.com/file/d/1drhtzrlNhwyU_ydMsxe3DRT5NgLewlWX/view?usp=sharing" TargetMode="External"/><Relationship Id="rId17" Type="http://schemas.openxmlformats.org/officeDocument/2006/relationships/hyperlink" Target="https://photos.app.goo.gl/nydx1RELcD6XrhnJ9" TargetMode="External"/><Relationship Id="rId18" Type="http://schemas.openxmlformats.org/officeDocument/2006/relationships/hyperlink" Target="https://drive.google.com/file/d/1e7mDeAe0Qt04MbSYo3ztAnt_OqRdzDAx/view?usp=sharing" TargetMode="External"/><Relationship Id="rId19" Type="http://schemas.openxmlformats.org/officeDocument/2006/relationships/hyperlink" Target="https://photos.app.goo.gl/DDj1TFWnko9i4xmJ8" TargetMode="External"/><Relationship Id="rId20" Type="http://schemas.openxmlformats.org/officeDocument/2006/relationships/hyperlink" Target="https://drive.google.com/file/d/1e9JWnRjvaMKP2Z5itHVbQaWvE3Sat6EE/view?usp=sharing" TargetMode="External"/><Relationship Id="rId21" Type="http://schemas.openxmlformats.org/officeDocument/2006/relationships/hyperlink" Target="https://photos.app.goo.gl/m18igQ2w4fvbrN4fA" TargetMode="External"/><Relationship Id="rId22" Type="http://schemas.openxmlformats.org/officeDocument/2006/relationships/hyperlink" Target="https://drive.google.com/file/d/1ehM1RyLS-j-5WuN6bvFRhZgYbMszkPz0/view?usp=sharing" TargetMode="External"/><Relationship Id="rId23" Type="http://schemas.openxmlformats.org/officeDocument/2006/relationships/hyperlink" Target="https://photos.app.goo.gl/ohWr3RU29hDSKKHf8" TargetMode="External"/><Relationship Id="rId24" Type="http://schemas.openxmlformats.org/officeDocument/2006/relationships/hyperlink" Target="https://drive.google.com/file/d/1gAZAxdZC6ze5_Xs5Q0xingzt9VfGSE3o/view?usp=sharing" TargetMode="External"/><Relationship Id="rId25" Type="http://schemas.openxmlformats.org/officeDocument/2006/relationships/hyperlink" Target="https://photos.app.goo.gl/DHTQohPk7qYTbfwi6" TargetMode="External"/><Relationship Id="rId26" Type="http://schemas.openxmlformats.org/officeDocument/2006/relationships/hyperlink" Target="https://drive.google.com/file/d/1fouB4I2IaNyy2rdDYtyjeLU2Dww_esWA/view?usp=sharing" TargetMode="External"/><Relationship Id="rId27" Type="http://schemas.openxmlformats.org/officeDocument/2006/relationships/hyperlink" Target="https://photos.app.goo.gl/vnvM5918Q8zdVU7y8" TargetMode="External"/><Relationship Id="rId28" Type="http://schemas.openxmlformats.org/officeDocument/2006/relationships/hyperlink" Target="https://drive.google.com/file/d/1hxYdmbtupQ6p-5rRrXtS316h7QFQQ4m5/view?usp=sharing" TargetMode="External"/><Relationship Id="rId29" Type="http://schemas.openxmlformats.org/officeDocument/2006/relationships/hyperlink" Target="https://photos.app.goo.gl/gxo2ZRoENLb8eFdRA" TargetMode="External"/><Relationship Id="rId30" Type="http://schemas.openxmlformats.org/officeDocument/2006/relationships/hyperlink" Target="https://drive.google.com/file/d/1kgKU1d1xoOAXgbWyl-7G_oZJ6hDGq-BL/view?usp=sharing" TargetMode="External"/><Relationship Id="rId31" Type="http://schemas.openxmlformats.org/officeDocument/2006/relationships/hyperlink" Target="https://photos.app.goo.gl/zJHaBp2rmjkSYdRP9" TargetMode="External"/><Relationship Id="rId32" Type="http://schemas.openxmlformats.org/officeDocument/2006/relationships/hyperlink" Target="https://drive.google.com/file/d/1nEcjLZOYjmSMZ7qCILIN22kJlxVGxO8c/view?usp=sharing" TargetMode="External"/><Relationship Id="rId33" Type="http://schemas.openxmlformats.org/officeDocument/2006/relationships/hyperlink" Target="https://photos.app.goo.gl/KfJQFoNtLFdUoiQr5" TargetMode="External"/><Relationship Id="rId34" Type="http://schemas.openxmlformats.org/officeDocument/2006/relationships/hyperlink" Target="https://drive.google.com/file/d/1mxi8tglYhL3r8K-1-ZWSZSRoaiDdGCXv/view?usp=sharing" TargetMode="External"/><Relationship Id="rId35" Type="http://schemas.openxmlformats.org/officeDocument/2006/relationships/hyperlink" Target="https://photos.app.goo.gl/CxqUqLYSmfCZFYocA" TargetMode="External"/><Relationship Id="rId36" Type="http://schemas.openxmlformats.org/officeDocument/2006/relationships/hyperlink" Target="https://drive.google.com/file/d/1mWw_jU3vWdMWgxEwGVbqMnEH8S9qbHSf/view?usp=sharing" TargetMode="External"/><Relationship Id="rId37" Type="http://schemas.openxmlformats.org/officeDocument/2006/relationships/hyperlink" Target="https://photos.app.goo.gl/CxqUqLYSmfCZFYocA" TargetMode="External"/><Relationship Id="rId38" Type="http://schemas.openxmlformats.org/officeDocument/2006/relationships/hyperlink" Target="https://photos.app.goo.gl/8stpTTi8zi4UM8Cs9" TargetMode="External"/><Relationship Id="rId39" Type="http://schemas.openxmlformats.org/officeDocument/2006/relationships/hyperlink" Target="https://drive.google.com/file/d/1mciglXGpHVp0-n5SPxLqhQHcqEwZOk70/view?usp=sharing" TargetMode="External"/><Relationship Id="rId40" Type="http://schemas.openxmlformats.org/officeDocument/2006/relationships/hyperlink" Target="https://photos.app.goo.gl/8stpTTi8zi4UM8Cs9" TargetMode="External"/><Relationship Id="rId41" Type="http://schemas.openxmlformats.org/officeDocument/2006/relationships/hyperlink" Target="https://drive.google.com/file/d/1oIVmXUR_1eGUkwPdQ45HIdt3HSkRtfDs/view?usp=sharing" TargetMode="External"/><Relationship Id="rId42" Type="http://schemas.openxmlformats.org/officeDocument/2006/relationships/hyperlink" Target="https://photos.app.goo.gl/1cc63hK1EcYgKYtY9" TargetMode="External"/><Relationship Id="rId43" Type="http://schemas.openxmlformats.org/officeDocument/2006/relationships/hyperlink" Target="https://drive.google.com/file/d/1oF5-ssSNrqWCatXdCwwJ576wpMMsPfDr/view?usp=sharing" TargetMode="External"/><Relationship Id="rId44" Type="http://schemas.openxmlformats.org/officeDocument/2006/relationships/hyperlink" Target="https://photos.app.goo.gl/UpgT5LJSLE5tDKYz6" TargetMode="External"/><Relationship Id="rId45" Type="http://schemas.openxmlformats.org/officeDocument/2006/relationships/hyperlink" Target="https://drive.google.com/file/d/1pA68ZBClIDH1Jadp9np-UHKWIk-7o18Y/view?usp=sharing" TargetMode="External"/><Relationship Id="rId46" Type="http://schemas.openxmlformats.org/officeDocument/2006/relationships/hyperlink" Target="https://photos.app.goo.gl/H27EXGLoeUbWWu3k6" TargetMode="External"/><Relationship Id="rId47" Type="http://schemas.openxmlformats.org/officeDocument/2006/relationships/drawing" Target="../drawings/drawing37.xml"/>
</Relationships>
</file>

<file path=xl/worksheets/_rels/sheet40.xml.rels><?xml version="1.0" encoding="UTF-8"?>
<Relationships xmlns="http://schemas.openxmlformats.org/package/2006/relationships"><Relationship Id="rId1" Type="http://schemas.openxmlformats.org/officeDocument/2006/relationships/hyperlink" Target="https://drive.google.com/file/d/1QcN5bwtdWGAETZmqiHcDxVMfJteXREgG/view?usp=sharing" TargetMode="External"/><Relationship Id="rId2" Type="http://schemas.openxmlformats.org/officeDocument/2006/relationships/hyperlink" Target="https://photos.app.goo.gl/RsByDX5HM2kPCN4x7" TargetMode="External"/><Relationship Id="rId3" Type="http://schemas.openxmlformats.org/officeDocument/2006/relationships/hyperlink" Target="https://photos.app.goo.gl/sYtwqqzQDm8aukZ29" TargetMode="External"/><Relationship Id="rId4" Type="http://schemas.openxmlformats.org/officeDocument/2006/relationships/hyperlink" Target="https://drive.google.com/file/d/1KxssMGpNnt7ou6ktvt2-7TDp5UNZcPfv/view?usp=sharing" TargetMode="External"/><Relationship Id="rId5" Type="http://schemas.openxmlformats.org/officeDocument/2006/relationships/hyperlink" Target="https://drive.google.com/file/d/1nFpJ4m9XPYSOU1P1BvnHdx8BUvzjdML6/view?usp=sharing" TargetMode="External"/><Relationship Id="rId6" Type="http://schemas.openxmlformats.org/officeDocument/2006/relationships/hyperlink" Target="https://photos.app.goo.gl/DMExKvDzFXFsjfSHA" TargetMode="External"/><Relationship Id="rId7" Type="http://schemas.openxmlformats.org/officeDocument/2006/relationships/hyperlink" Target="https://drive.google.com/file/d/1Q5brNyr0w1WleGiDYZzSZJ9UYxD9ovqx/view?usp=sharing" TargetMode="External"/><Relationship Id="rId8" Type="http://schemas.openxmlformats.org/officeDocument/2006/relationships/hyperlink" Target="https://photos.app.goo.gl/5GJ1Z46qb5Av8XuZ6" TargetMode="External"/><Relationship Id="rId9" Type="http://schemas.openxmlformats.org/officeDocument/2006/relationships/hyperlink" Target="https://drive.google.com/file/d/1L5rMUhe2CcIIDtJZhwodXu2fN6xpxOTw/view?usp=sharing" TargetMode="External"/><Relationship Id="rId10" Type="http://schemas.openxmlformats.org/officeDocument/2006/relationships/hyperlink" Target="https://photos.app.goo.gl/RFKTJQyzAo6og1a77" TargetMode="External"/><Relationship Id="rId11" Type="http://schemas.openxmlformats.org/officeDocument/2006/relationships/hyperlink" Target="https://drive.google.com/file/d/1N15xvowKtabTCMFUqilVmnlCdczuYdUM/view?usp=sharing" TargetMode="External"/><Relationship Id="rId12" Type="http://schemas.openxmlformats.org/officeDocument/2006/relationships/hyperlink" Target="https://photos.app.goo.gl/BAo7kQTm76AUqbHc7" TargetMode="External"/><Relationship Id="rId13" Type="http://schemas.openxmlformats.org/officeDocument/2006/relationships/hyperlink" Target="https://drive.google.com/file/d/1OdTDU6N4GXQa9oCrxlWFUczhlmO_ZFG1/view?usp=sharing" TargetMode="External"/><Relationship Id="rId14" Type="http://schemas.openxmlformats.org/officeDocument/2006/relationships/hyperlink" Target="https://drive.google.com/file/d/1Mc03Waie29ZElvMlaHwe01oegkiYFooQ/view?usp=sharing" TargetMode="External"/><Relationship Id="rId15" Type="http://schemas.openxmlformats.org/officeDocument/2006/relationships/hyperlink" Target="https://photos.app.goo.gl/BaLpCdq3k48c8dTDA" TargetMode="External"/><Relationship Id="rId16" Type="http://schemas.openxmlformats.org/officeDocument/2006/relationships/hyperlink" Target="https://drive.google.com/file/d/1MdglGmlTSvoVOQSdUblrbvs7NoMzeJ9Y/view?usp=sharing" TargetMode="External"/><Relationship Id="rId17" Type="http://schemas.openxmlformats.org/officeDocument/2006/relationships/hyperlink" Target="https://photos.app.goo.gl/S8fzBF6YmCwVdFgK7" TargetMode="External"/><Relationship Id="rId18" Type="http://schemas.openxmlformats.org/officeDocument/2006/relationships/hyperlink" Target="https://drive.google.com/file/d/1RoJ_vxltbaN2p-4sZb0rVtnnW4Ofy6Vl/view?usp=sharing" TargetMode="External"/><Relationship Id="rId19" Type="http://schemas.openxmlformats.org/officeDocument/2006/relationships/hyperlink" Target="https://photos.app.goo.gl/wn5ehKfsUMKo5YKo6" TargetMode="External"/><Relationship Id="rId20" Type="http://schemas.openxmlformats.org/officeDocument/2006/relationships/hyperlink" Target="https://drive.google.com/file/d/1XZPpz8fIV6aM0Tty6r6g06_p3tSeQ2Vj/view?usp=sharing" TargetMode="External"/><Relationship Id="rId21" Type="http://schemas.openxmlformats.org/officeDocument/2006/relationships/hyperlink" Target="https://drive.google.com/file/d/1LogLnb22jlNBDGosN1TeIVW3YjyGxGn5/view?usp=sharing" TargetMode="External"/><Relationship Id="rId22" Type="http://schemas.openxmlformats.org/officeDocument/2006/relationships/hyperlink" Target="https://photos.app.goo.gl/nZixwGUJvaxfF8gg8" TargetMode="External"/><Relationship Id="rId23" Type="http://schemas.openxmlformats.org/officeDocument/2006/relationships/hyperlink" Target="https://drive.google.com/file/d/1MLDHf3vXLZrlWUh_GkcMDQ6VC-Rtildx/view?usp=sharing" TargetMode="External"/><Relationship Id="rId24" Type="http://schemas.openxmlformats.org/officeDocument/2006/relationships/hyperlink" Target="https://photos.app.goo.gl/sQ33PoUvrLKCL7sH9" TargetMode="External"/><Relationship Id="rId25" Type="http://schemas.openxmlformats.org/officeDocument/2006/relationships/hyperlink" Target="https://drive.google.com/file/d/1aIhoHiU8ucO2OFutATbBktBuuHqAj9uQ/view?usp=sharing" TargetMode="External"/><Relationship Id="rId26" Type="http://schemas.openxmlformats.org/officeDocument/2006/relationships/hyperlink" Target="https://photos.app.goo.gl/3hUWy4sMmQ92zWVH8" TargetMode="External"/><Relationship Id="rId27" Type="http://schemas.openxmlformats.org/officeDocument/2006/relationships/hyperlink" Target="https://drive.google.com/file/d/1cOHkWcKhKjsXmAZeliRZV3vKK_tMQs8u/view?usp=sharing" TargetMode="External"/><Relationship Id="rId28" Type="http://schemas.openxmlformats.org/officeDocument/2006/relationships/hyperlink" Target="https://drive.google.com/file/d/1PSvj1K13wJcqm7n08R4cwxcGAsUyEqJR/view?usp=sharing" TargetMode="External"/><Relationship Id="rId29" Type="http://schemas.openxmlformats.org/officeDocument/2006/relationships/hyperlink" Target="https://photos.app.goo.gl/DMTh8QibHd8NSxNy5" TargetMode="External"/><Relationship Id="rId30" Type="http://schemas.openxmlformats.org/officeDocument/2006/relationships/hyperlink" Target="https://drive.google.com/file/d/1SPwVhT2GNSye6C_sVuCz0O22llPzajZ_/view?usp=sharing" TargetMode="External"/><Relationship Id="rId31" Type="http://schemas.openxmlformats.org/officeDocument/2006/relationships/hyperlink" Target="https://photos.app.goo.gl/vj24xCq3UTcBEiQ69" TargetMode="External"/><Relationship Id="rId32" Type="http://schemas.openxmlformats.org/officeDocument/2006/relationships/hyperlink" Target="https://drive.google.com/file/d/1SXxTZPvbB39BoLvPk_DOE_4OE4zXNKMI/view?usp=sharing" TargetMode="External"/><Relationship Id="rId33" Type="http://schemas.openxmlformats.org/officeDocument/2006/relationships/hyperlink" Target="https://photos.app.goo.gl/bR7J9k2Sh5CWCmGu5" TargetMode="External"/><Relationship Id="rId34" Type="http://schemas.openxmlformats.org/officeDocument/2006/relationships/hyperlink" Target="https://drive.google.com/file/d/1VBrL9ASOfUaXuai1jfT9EjQ-WxhC2AuZ/view?usp=sharing" TargetMode="External"/><Relationship Id="rId35" Type="http://schemas.openxmlformats.org/officeDocument/2006/relationships/hyperlink" Target="https://photos.app.goo.gl/eNmtM85ksrE4piqf7" TargetMode="External"/><Relationship Id="rId36" Type="http://schemas.openxmlformats.org/officeDocument/2006/relationships/hyperlink" Target="https://drive.google.com/file/d/1WvXIqnSQGVtTYM3DN6odSh_U2hoFwPJH/view?usp=sharing" TargetMode="External"/><Relationship Id="rId37" Type="http://schemas.openxmlformats.org/officeDocument/2006/relationships/hyperlink" Target="https://photos.app.goo.gl/XCMJCSVJH2VHzY9D8" TargetMode="External"/><Relationship Id="rId38" Type="http://schemas.openxmlformats.org/officeDocument/2006/relationships/hyperlink" Target="https://drive.google.com/file/d/1XY7Fwa9xjR2ZP62SrCMshtn-R7Cum79g/view?usp=sharing" TargetMode="External"/><Relationship Id="rId39" Type="http://schemas.openxmlformats.org/officeDocument/2006/relationships/hyperlink" Target="https://photos.app.goo.gl/yraGkrbVabpsS2KN7" TargetMode="External"/><Relationship Id="rId40" Type="http://schemas.openxmlformats.org/officeDocument/2006/relationships/hyperlink" Target="https://drive.google.com/file/d/1YROaagmAClcjxuR0kivkJvqXY8_IwFBJ/view?usp=sharing" TargetMode="External"/><Relationship Id="rId41" Type="http://schemas.openxmlformats.org/officeDocument/2006/relationships/hyperlink" Target="https://drive.google.com/file/d/1TaYDNzAdZv-77yQZVMCZxZ8W-P2ccorK/view?usp=sharing" TargetMode="External"/><Relationship Id="rId42" Type="http://schemas.openxmlformats.org/officeDocument/2006/relationships/hyperlink" Target="https://photos.app.goo.gl/HDAWZhHBRddU7X4R7" TargetMode="External"/><Relationship Id="rId43" Type="http://schemas.openxmlformats.org/officeDocument/2006/relationships/hyperlink" Target="https://drive.google.com/file/d/1WZ_Dk-a5Yal3ZNNySVArR_hrX48Ioy1h/view?usp=sharing" TargetMode="External"/><Relationship Id="rId44" Type="http://schemas.openxmlformats.org/officeDocument/2006/relationships/hyperlink" Target="https://photos.app.goo.gl/C6R8oyRs4mmsjeHt5" TargetMode="External"/><Relationship Id="rId45" Type="http://schemas.openxmlformats.org/officeDocument/2006/relationships/hyperlink" Target="https://drive.google.com/file/d/1WbW2GLGH7EBjWAdwsknmSZJVGgpP8ZZU/view?usp=sharing" TargetMode="External"/><Relationship Id="rId46" Type="http://schemas.openxmlformats.org/officeDocument/2006/relationships/hyperlink" Target="https://photos.app.goo.gl/uzYfS1Z9zW6PBKbQA" TargetMode="External"/><Relationship Id="rId47" Type="http://schemas.openxmlformats.org/officeDocument/2006/relationships/hyperlink" Target="https://drive.google.com/file/d/1TaV2IOfjWHjhrFdmEHj677MEugENHwDc/view?usp=sharing" TargetMode="External"/><Relationship Id="rId48" Type="http://schemas.openxmlformats.org/officeDocument/2006/relationships/hyperlink" Target="https://photos.app.goo.gl/8HPepyzZcAGNmLjt9" TargetMode="External"/><Relationship Id="rId49" Type="http://schemas.openxmlformats.org/officeDocument/2006/relationships/hyperlink" Target="https://drive.google.com/file/d/1VPzbJTYjZ9vnlOjuLV7o86Sy5C6ykyAL/view?usp=sharing" TargetMode="External"/><Relationship Id="rId50" Type="http://schemas.openxmlformats.org/officeDocument/2006/relationships/hyperlink" Target="https://photos.app.goo.gl/bCyQXYqJckVhYqGw9" TargetMode="External"/><Relationship Id="rId51" Type="http://schemas.openxmlformats.org/officeDocument/2006/relationships/hyperlink" Target="https://drive.google.com/file/d/1gYVYiaV36dX2SNcsV5Tot9u_wJ7IhvSM/view?usp=sharing" TargetMode="External"/><Relationship Id="rId52" Type="http://schemas.openxmlformats.org/officeDocument/2006/relationships/hyperlink" Target="https://drive.google.com/file/d/1UkDmBVJqt6QTFVDEDZt9DC40MnuRHPBj/view?usp=sharing" TargetMode="External"/><Relationship Id="rId53" Type="http://schemas.openxmlformats.org/officeDocument/2006/relationships/hyperlink" Target="https://drive.google.com/file/d/1XSjLdrCx66-YJcqkKSvG69Hcwffvtxk9/view?usp=sharing" TargetMode="External"/><Relationship Id="rId54" Type="http://schemas.openxmlformats.org/officeDocument/2006/relationships/hyperlink" Target="https://photos.app.goo.gl/eXzSETLMMu1C3Mpv7" TargetMode="External"/><Relationship Id="rId55" Type="http://schemas.openxmlformats.org/officeDocument/2006/relationships/hyperlink" Target="https://drive.google.com/file/d/1Xvj-MsSzF7yOKeLNx3j8Y0oNa--YFtuN/view?usp=sharing" TargetMode="External"/><Relationship Id="rId56" Type="http://schemas.openxmlformats.org/officeDocument/2006/relationships/hyperlink" Target="https://photos.app.goo.gl/ymQEUmvXiD753D4z5" TargetMode="External"/><Relationship Id="rId57" Type="http://schemas.openxmlformats.org/officeDocument/2006/relationships/hyperlink" Target="https://drive.google.com/drive/folders/1YZxRZsZLpFmPlyVJoU7JxwvqHefjet-P?usp=sharing" TargetMode="External"/><Relationship Id="rId58" Type="http://schemas.openxmlformats.org/officeDocument/2006/relationships/hyperlink" Target="https://photos.app.goo.gl/EiASqu46r7wsq32m9" TargetMode="External"/><Relationship Id="rId59" Type="http://schemas.openxmlformats.org/officeDocument/2006/relationships/hyperlink" Target="https://drive.google.com/file/d/1Yhyyk-UAVwBT309a292meLonGfigyZCk/view?usp=sharing" TargetMode="External"/><Relationship Id="rId60" Type="http://schemas.openxmlformats.org/officeDocument/2006/relationships/hyperlink" Target="https://photos.app.goo.gl/oYsRWTcsY841jeqh9" TargetMode="External"/><Relationship Id="rId61" Type="http://schemas.openxmlformats.org/officeDocument/2006/relationships/hyperlink" Target="https://drive.google.com/file/d/1Y5aKSuTaUGMBdCZEJwdjFlq6ATrXDNoV/view?usp=sharing" TargetMode="External"/><Relationship Id="rId62" Type="http://schemas.openxmlformats.org/officeDocument/2006/relationships/hyperlink" Target="https://photos.app.goo.gl/AvELfA1rbtwLqhiBA" TargetMode="External"/><Relationship Id="rId63" Type="http://schemas.openxmlformats.org/officeDocument/2006/relationships/hyperlink" Target="https://drive.google.com/file/d/1_OUEE9_DxbjcfPtvAzUHffC_ICYP4hmW/view?usp=sharing" TargetMode="External"/><Relationship Id="rId64" Type="http://schemas.openxmlformats.org/officeDocument/2006/relationships/hyperlink" Target="https://photos.app.goo.gl/jbin4J8gAbJC11m3A" TargetMode="External"/><Relationship Id="rId65" Type="http://schemas.openxmlformats.org/officeDocument/2006/relationships/drawing" Target="../drawings/drawing38.xml"/>
</Relationships>
</file>

<file path=xl/worksheets/_rels/sheet41.xml.rels><?xml version="1.0" encoding="UTF-8"?>
<Relationships xmlns="http://schemas.openxmlformats.org/package/2006/relationships"><Relationship Id="rId1" Type="http://schemas.openxmlformats.org/officeDocument/2006/relationships/hyperlink" Target="https://drive.google.com/file/d/1IZO7EsEFnk04kwyCEtBZq7rXTx3_OHWo/view?usp=sharing" TargetMode="External"/><Relationship Id="rId2" Type="http://schemas.openxmlformats.org/officeDocument/2006/relationships/hyperlink" Target="https://drive.google.com/file/d/1IW5ysGqkFLHlAlW8JpT58oyTPNxj_DnD/view?usp=sharing" TargetMode="External"/><Relationship Id="rId3" Type="http://schemas.openxmlformats.org/officeDocument/2006/relationships/hyperlink" Target="https://drive.google.com/file/d/1JJ3hUe3B2Otmc4CeKz3h_SCD2wehnUmz/view?usp=sharing" TargetMode="External"/><Relationship Id="rId4" Type="http://schemas.openxmlformats.org/officeDocument/2006/relationships/hyperlink" Target="https://drive.google.com/file/d/1J3tdGpnf2aemIRymaT1OHwVUBV_ddsQs/view?usp=sharing" TargetMode="External"/><Relationship Id="rId5" Type="http://schemas.openxmlformats.org/officeDocument/2006/relationships/hyperlink" Target="https://photos.app.goo.gl/zcSWqwTXjKn8XNfz5" TargetMode="External"/><Relationship Id="rId6" Type="http://schemas.openxmlformats.org/officeDocument/2006/relationships/hyperlink" Target="https://photos.app.goo.gl/4LSgoCCcMgVMbAX4A" TargetMode="External"/><Relationship Id="rId7" Type="http://schemas.openxmlformats.org/officeDocument/2006/relationships/hyperlink" Target="https://photos.app.goo.gl/qFJKmtf3FpP2611B6" TargetMode="External"/><Relationship Id="rId8" Type="http://schemas.openxmlformats.org/officeDocument/2006/relationships/hyperlink" Target="https://photos.app.goo.gl/uaUGeDvshrCUNw6ZA" TargetMode="External"/><Relationship Id="rId9" Type="http://schemas.openxmlformats.org/officeDocument/2006/relationships/hyperlink" Target="https://drive.google.com/file/d/1rv-qEhtgMq5m_oCTHKWsfMeJivYf-Mro/view?usp=sharing" TargetMode="External"/><Relationship Id="rId10" Type="http://schemas.openxmlformats.org/officeDocument/2006/relationships/hyperlink" Target="https://photos.app.goo.gl/wbsWxTCYKwF7ZXtv7" TargetMode="External"/><Relationship Id="rId11" Type="http://schemas.openxmlformats.org/officeDocument/2006/relationships/hyperlink" Target="https://drive.google.com/file/d/19gycgAMH1TISEBkBgiKlTiEws-3hsuCM/view?usp=sharing" TargetMode="External"/><Relationship Id="rId12" Type="http://schemas.openxmlformats.org/officeDocument/2006/relationships/hyperlink" Target="https://drive.google.com/file/d/1BMgD7MEsPQgQhW8lv3vqCqd58TIoVORG/view?usp=sharing" TargetMode="External"/><Relationship Id="rId13" Type="http://schemas.openxmlformats.org/officeDocument/2006/relationships/hyperlink" Target="https://photos.app.goo.gl/yynVhGHSi2E5oznP9" TargetMode="External"/><Relationship Id="rId14" Type="http://schemas.openxmlformats.org/officeDocument/2006/relationships/hyperlink" Target="https://drive.google.com/file/d/1Av_zLx7RGHK3Z6MRmqMtV9ldObdfiqF6/view?usp=sharing" TargetMode="External"/><Relationship Id="rId15" Type="http://schemas.openxmlformats.org/officeDocument/2006/relationships/hyperlink" Target="https://drive.google.com/file/d/1K8PCksKpcD94qfk0jtlrtH6HlkF9HP_R/view?usp=sharing" TargetMode="External"/><Relationship Id="rId16" Type="http://schemas.openxmlformats.org/officeDocument/2006/relationships/hyperlink" Target="https://photos.app.goo.gl/nRH4DbLzVWHogmsr7" TargetMode="External"/><Relationship Id="rId17" Type="http://schemas.openxmlformats.org/officeDocument/2006/relationships/hyperlink" Target="https://photos.app.goo.gl/iG9LM9TL6zye4Wog9" TargetMode="External"/><Relationship Id="rId18" Type="http://schemas.openxmlformats.org/officeDocument/2006/relationships/hyperlink" Target="https://drive.google.com/file/d/1eiLRjT6AuYK9UaFU54DKTCr8DHB0O58X/view?usp=sharing" TargetMode="External"/><Relationship Id="rId19" Type="http://schemas.openxmlformats.org/officeDocument/2006/relationships/hyperlink" Target="https://photos.app.goo.gl/iG9LM9TL6zye4Wog9" TargetMode="External"/><Relationship Id="rId20" Type="http://schemas.openxmlformats.org/officeDocument/2006/relationships/hyperlink" Target="https://drive.google.com/file/d/1AeETm3aRjQMi0STi4YTMfYCp65gWHwH4/view?usp=sharing" TargetMode="External"/><Relationship Id="rId21" Type="http://schemas.openxmlformats.org/officeDocument/2006/relationships/hyperlink" Target="https://drive.google.com/file/d/1CaWnZ40_WYYyyU2FZtcEtDwTp8oH2aJL/view?usp=sharing" TargetMode="External"/><Relationship Id="rId22" Type="http://schemas.openxmlformats.org/officeDocument/2006/relationships/hyperlink" Target="https://photos.app.goo.gl/yq1tuQKDymAhYrts7" TargetMode="External"/><Relationship Id="rId23" Type="http://schemas.openxmlformats.org/officeDocument/2006/relationships/hyperlink" Target="https://drive.google.com/file/d/1EDlPMZPmE6ViAr1zdbP6Ls-gS7eT7h3O/view?usp=sharing" TargetMode="External"/><Relationship Id="rId24" Type="http://schemas.openxmlformats.org/officeDocument/2006/relationships/hyperlink" Target="https://drive.google.com/file/d/1h0XNxsK4rBZZ5U-Hgtd_1zoy2Mybzik5/view?usp=sharing" TargetMode="External"/><Relationship Id="rId25" Type="http://schemas.openxmlformats.org/officeDocument/2006/relationships/hyperlink" Target="https://photos.app.goo.gl/7cKu6sdhdvmaa7K46" TargetMode="External"/><Relationship Id="rId26" Type="http://schemas.openxmlformats.org/officeDocument/2006/relationships/hyperlink" Target="https://drive.google.com/file/d/1BPvHMXAH0DCDMnfwqbz8Y1cdtQkfP2Ui/view?usp=sharing" TargetMode="External"/><Relationship Id="rId27" Type="http://schemas.openxmlformats.org/officeDocument/2006/relationships/hyperlink" Target="https://drive.google.com/file/d/1yZEWMvzk1R0U1jiyvXHfTTLTCwNsP_46/view?usp=sharing" TargetMode="External"/><Relationship Id="rId28" Type="http://schemas.openxmlformats.org/officeDocument/2006/relationships/hyperlink" Target="https://photos.app.goo.gl/nr7FRQCLEtW2UtbVA" TargetMode="External"/><Relationship Id="rId29" Type="http://schemas.openxmlformats.org/officeDocument/2006/relationships/hyperlink" Target="https://drive.google.com/file/d/1Cl22R_ntdVYJtibboqUPOJKBR-34p2gl/view?usp=sharing" TargetMode="External"/><Relationship Id="rId30" Type="http://schemas.openxmlformats.org/officeDocument/2006/relationships/hyperlink" Target="https://photos.app.goo.gl/MjpAQeQ8MvCTdXyJ8" TargetMode="External"/><Relationship Id="rId31" Type="http://schemas.openxmlformats.org/officeDocument/2006/relationships/hyperlink" Target="https://drive.google.com/file/d/1DWUU_luyAqVxxsXEaVMx6OZ0_Yx7Zv9N/view?usp=sharing" TargetMode="External"/><Relationship Id="rId32" Type="http://schemas.openxmlformats.org/officeDocument/2006/relationships/hyperlink" Target="https://docs.google.com/spreadsheets/d/16Q7BeKJ6ck6YLpPhqoY9Uzm-zPrTDcfz/edit?usp=sharing&amp;ouid=100235517244613009669&amp;rtpof=true&amp;sd=true" TargetMode="External"/><Relationship Id="rId33" Type="http://schemas.openxmlformats.org/officeDocument/2006/relationships/hyperlink" Target="https://photos.app.goo.gl/AWbMZjzPsGSYvcPu9" TargetMode="External"/><Relationship Id="rId34" Type="http://schemas.openxmlformats.org/officeDocument/2006/relationships/hyperlink" Target="https://drive.google.com/file/d/1EnDBaZumcV0nlO49MVBFcywQHjo_-c_z/view?usp=sharing" TargetMode="External"/><Relationship Id="rId35" Type="http://schemas.openxmlformats.org/officeDocument/2006/relationships/hyperlink" Target="https://photos.app.goo.gl/7mfkP81d8nw8A8ZcA" TargetMode="External"/><Relationship Id="rId36" Type="http://schemas.openxmlformats.org/officeDocument/2006/relationships/hyperlink" Target="https://drive.google.com/file/d/1Ft0nlJvJmPNBfVsLiLDMP6LKqcJ5MzQz/view?usp=sharing" TargetMode="External"/><Relationship Id="rId37" Type="http://schemas.openxmlformats.org/officeDocument/2006/relationships/hyperlink" Target="https://drive.google.com/file/d/1RQb06UE8M5uCKl2tRYThVuJD7CG0Lyyq/view?usp=sharing" TargetMode="External"/><Relationship Id="rId38" Type="http://schemas.openxmlformats.org/officeDocument/2006/relationships/hyperlink" Target="https://photos.app.goo.gl/UGAZVaMzo7AUGFHN7" TargetMode="External"/><Relationship Id="rId39" Type="http://schemas.openxmlformats.org/officeDocument/2006/relationships/hyperlink" Target="https://drive.google.com/file/d/1GnXVpaBTr30abxVweQARi0vuJU0_M9Wk/view?usp=sharing" TargetMode="External"/><Relationship Id="rId40" Type="http://schemas.openxmlformats.org/officeDocument/2006/relationships/hyperlink" Target="https://drive.google.com/file/d/1I4Al7d2t56k70QsGlnnPCq3ZRxFSGmxY/view?usp=sharing" TargetMode="External"/><Relationship Id="rId41" Type="http://schemas.openxmlformats.org/officeDocument/2006/relationships/hyperlink" Target="https://drive.google.com/file/d/15XAAs-rvzSloqEPL1YP-9a3oQt-6mS6x/view?usp=sharing" TargetMode="External"/><Relationship Id="rId42" Type="http://schemas.openxmlformats.org/officeDocument/2006/relationships/hyperlink" Target="https://photos.app.goo.gl/8A2MyVoF6mzfHTHd6" TargetMode="External"/><Relationship Id="rId43" Type="http://schemas.openxmlformats.org/officeDocument/2006/relationships/hyperlink" Target="https://drive.google.com/file/d/1OzgxOlr0qUx4frVGijz4OfUY1gvgYvvO/view?usp=sharing" TargetMode="External"/><Relationship Id="rId44" Type="http://schemas.openxmlformats.org/officeDocument/2006/relationships/hyperlink" Target="https://drive.google.com/file/d/1Fv4PVEpvDP_ySG3tzHlWE5ABfhjdk282/view?usp=sharing" TargetMode="External"/><Relationship Id="rId45" Type="http://schemas.openxmlformats.org/officeDocument/2006/relationships/hyperlink" Target="https://drive.google.com/file/d/1Juf0YEkOiB3m50Ng7N_ghBm6q_IkQqtD/view?usp=sharing" TargetMode="External"/><Relationship Id="rId46" Type="http://schemas.openxmlformats.org/officeDocument/2006/relationships/hyperlink" Target="https://photos.app.goo.gl/BJgP2v1rBAgxdoEw7" TargetMode="External"/><Relationship Id="rId47" Type="http://schemas.openxmlformats.org/officeDocument/2006/relationships/hyperlink" Target="https://drive.google.com/file/d/1G_Z6yH--ZZYD4S7SEvMEMBoau8LLBqsj/view?usp=sharing" TargetMode="External"/><Relationship Id="rId48" Type="http://schemas.openxmlformats.org/officeDocument/2006/relationships/hyperlink" Target="https://drive.google.com/file/d/1LrBlhOx9lv0P56GWic8eGu0VJx1rmVEp/view?usp=sharing" TargetMode="External"/><Relationship Id="rId49" Type="http://schemas.openxmlformats.org/officeDocument/2006/relationships/hyperlink" Target="https://photos.app.goo.gl/bqKiLL6e98M135Hc9" TargetMode="External"/><Relationship Id="rId50" Type="http://schemas.openxmlformats.org/officeDocument/2006/relationships/hyperlink" Target="https://drive.google.com/file/d/1GERm-xG0gPp_BEBOMVMFHWmBMLb5mykh/view?usp=sharing" TargetMode="External"/><Relationship Id="rId51" Type="http://schemas.openxmlformats.org/officeDocument/2006/relationships/hyperlink" Target="https://drive.google.com/file/d/1Fqw-CsGx2l4UpW5RhWZWQTofyVBDSI0y/view?usp=sharing" TargetMode="External"/><Relationship Id="rId52" Type="http://schemas.openxmlformats.org/officeDocument/2006/relationships/hyperlink" Target="https://photos.app.goo.gl/xBhgH7PkuTUwymVN9" TargetMode="External"/><Relationship Id="rId53" Type="http://schemas.openxmlformats.org/officeDocument/2006/relationships/hyperlink" Target="https://drive.google.com/file/d/1HHeg2J10Qhls-u75kIKCznYmyiaiLgWe/view?usp=sharing" TargetMode="External"/><Relationship Id="rId54" Type="http://schemas.openxmlformats.org/officeDocument/2006/relationships/hyperlink" Target="https://drive.google.com/file/d/1IS0W4HZb6OLGAZ6R3RvwyFVp34pzrthz/view?usp=sharing" TargetMode="External"/><Relationship Id="rId55" Type="http://schemas.openxmlformats.org/officeDocument/2006/relationships/hyperlink" Target="https://photos.app.goo.gl/B4xtyCh1hMftSNLF9" TargetMode="External"/><Relationship Id="rId56" Type="http://schemas.openxmlformats.org/officeDocument/2006/relationships/hyperlink" Target="https://drive.google.com/file/d/1GxrabWX5262x-LpdEsO03IfI2us4013Q/view?usp=sharing" TargetMode="External"/><Relationship Id="rId57" Type="http://schemas.openxmlformats.org/officeDocument/2006/relationships/hyperlink" Target="https://drive.google.com/file/d/1ak9aWSjsSbE0N3X1VUNlmAQBXLUr9Xj7/view?usp=sharing" TargetMode="External"/><Relationship Id="rId58" Type="http://schemas.openxmlformats.org/officeDocument/2006/relationships/hyperlink" Target="https://photos.app.goo.gl/BTChbqungwKLdfUB9" TargetMode="External"/><Relationship Id="rId59" Type="http://schemas.openxmlformats.org/officeDocument/2006/relationships/hyperlink" Target="https://drive.google.com/file/d/1IRFEDEAkgXehvVF5X00Z34YwYHiF6fd8/view?usp=sharing" TargetMode="External"/><Relationship Id="rId60" Type="http://schemas.openxmlformats.org/officeDocument/2006/relationships/hyperlink" Target="https://drive.google.com/file/d/1VoXT3J_rxPIeZJlG2OVTcGnj_kgoj8F2/view?usp=sharing" TargetMode="External"/><Relationship Id="rId61" Type="http://schemas.openxmlformats.org/officeDocument/2006/relationships/hyperlink" Target="https://photos.app.goo.gl/RDkstEXS8mJQs94k7" TargetMode="External"/><Relationship Id="rId62" Type="http://schemas.openxmlformats.org/officeDocument/2006/relationships/hyperlink" Target="https://drive.google.com/file/d/11aZkqu3KOX7vTj_TIAid6k5epD4thwqL/view?usp=sharing" TargetMode="External"/><Relationship Id="rId63" Type="http://schemas.openxmlformats.org/officeDocument/2006/relationships/hyperlink" Target="https://drive.google.com/file/d/1229a2JqQPkZyNu1Y5kZK5W62F-YpILum/view?usp=sharing" TargetMode="External"/><Relationship Id="rId64" Type="http://schemas.openxmlformats.org/officeDocument/2006/relationships/hyperlink" Target="https://photos.app.goo.gl/hyLiLvBssTLhuHz58" TargetMode="External"/><Relationship Id="rId65" Type="http://schemas.openxmlformats.org/officeDocument/2006/relationships/hyperlink" Target="https://drive.google.com/file/d/10PBL4wkgoNuTQOgAeVBna1wnvKyko8Yd/view?usp=sharing" TargetMode="External"/><Relationship Id="rId66" Type="http://schemas.openxmlformats.org/officeDocument/2006/relationships/hyperlink" Target="https://photos.app.goo.gl/diRhE2qQGszedFW7A" TargetMode="External"/><Relationship Id="rId67" Type="http://schemas.openxmlformats.org/officeDocument/2006/relationships/hyperlink" Target="https://drive.google.com/file/d/11lM_6j5hbiTPxsQMzamt9NXnglVsI5Xf/view?usp=sharing" TargetMode="External"/><Relationship Id="rId68" Type="http://schemas.openxmlformats.org/officeDocument/2006/relationships/hyperlink" Target="https://photos.app.goo.gl/uu35w4W1r4RYmWDL8" TargetMode="External"/><Relationship Id="rId69" Type="http://schemas.openxmlformats.org/officeDocument/2006/relationships/hyperlink" Target="https://drive.google.com/file/d/1LraxY6nq-jHTzJyyY0Hx2wuTpIetcKNN/view?usp=sharing" TargetMode="External"/><Relationship Id="rId70" Type="http://schemas.openxmlformats.org/officeDocument/2006/relationships/hyperlink" Target="https://drive.google.com/file/d/1KDd_qaSFUF2SQHXjl5rdPHgtg-VpZ-az/view?usp=sharing" TargetMode="External"/><Relationship Id="rId71" Type="http://schemas.openxmlformats.org/officeDocument/2006/relationships/hyperlink" Target="https://photos.app.goo.gl/5h6hiBb62TZpsiU17" TargetMode="External"/><Relationship Id="rId72" Type="http://schemas.openxmlformats.org/officeDocument/2006/relationships/hyperlink" Target="https://photos.app.goo.gl/A317iPmU6wE1QBzh7" TargetMode="External"/><Relationship Id="rId73" Type="http://schemas.openxmlformats.org/officeDocument/2006/relationships/hyperlink" Target="https://drive.google.com/file/d/1KDu47eEXAJK7bHTQq-CYnmIJu7UJ0T1D/view?usp=sharing" TargetMode="External"/><Relationship Id="rId74" Type="http://schemas.openxmlformats.org/officeDocument/2006/relationships/hyperlink" Target="https://photos.app.goo.gl/pVekVYYQ9ojPWxJFA" TargetMode="External"/><Relationship Id="rId75" Type="http://schemas.openxmlformats.org/officeDocument/2006/relationships/hyperlink" Target="https://drive.google.com/file/d/1Ie3ahS0TyRkYzktj2soPZCUghRPM3xdz/view?usp=sharing" TargetMode="External"/><Relationship Id="rId76" Type="http://schemas.openxmlformats.org/officeDocument/2006/relationships/hyperlink" Target="https://photos.app.goo.gl/GBXG4cAgdhx27qwv6" TargetMode="External"/><Relationship Id="rId77" Type="http://schemas.openxmlformats.org/officeDocument/2006/relationships/hyperlink" Target="https://photos.app.goo.gl/koLd6tvRvzywvco16" TargetMode="External"/><Relationship Id="rId78" Type="http://schemas.openxmlformats.org/officeDocument/2006/relationships/drawing" Target="../drawings/drawing39.xml"/>
</Relationships>
</file>

<file path=xl/worksheets/_rels/sheet42.xml.rels><?xml version="1.0" encoding="UTF-8"?>
<Relationships xmlns="http://schemas.openxmlformats.org/package/2006/relationships"><Relationship Id="rId1" Type="http://schemas.openxmlformats.org/officeDocument/2006/relationships/hyperlink" Target="https://photos.app.goo.gl/S13eFGpYfeGGqKM8A" TargetMode="External"/><Relationship Id="rId2" Type="http://schemas.openxmlformats.org/officeDocument/2006/relationships/hyperlink" Target="https://photos.app.goo.gl/MEvQ8BYFRz8tgGZX8" TargetMode="External"/><Relationship Id="rId3" Type="http://schemas.openxmlformats.org/officeDocument/2006/relationships/hyperlink" Target="https://drive.google.com/file/d/1OUlkIq_shK0gqUZfH4G9ERUU7babK38V/view?usp=sharing" TargetMode="External"/><Relationship Id="rId4" Type="http://schemas.openxmlformats.org/officeDocument/2006/relationships/hyperlink" Target="https://photos.app.goo.gl/j77EEkZxf9sVn1rFA" TargetMode="External"/><Relationship Id="rId5" Type="http://schemas.openxmlformats.org/officeDocument/2006/relationships/hyperlink" Target="https://drive.google.com/file/d/1R0Q-k61Dvj6Vlv3_VAEHtSNYeIPMtCG1/view?usp=sharing" TargetMode="External"/><Relationship Id="rId6" Type="http://schemas.openxmlformats.org/officeDocument/2006/relationships/hyperlink" Target="https://photos.app.goo.gl/7jrtgxU7WTVemhMo7" TargetMode="External"/><Relationship Id="rId7" Type="http://schemas.openxmlformats.org/officeDocument/2006/relationships/hyperlink" Target="https://drive.google.com/file/d/15pAdbyxpcMBbBUfZDoHyEX-e0019tY58/view?usp=sharing" TargetMode="External"/><Relationship Id="rId8" Type="http://schemas.openxmlformats.org/officeDocument/2006/relationships/hyperlink" Target="https://drive.google.com/file/d/1CNuSCjBFaT9hYttQ45QSO5up0R41LASO/view?usp=sharing" TargetMode="External"/><Relationship Id="rId9" Type="http://schemas.openxmlformats.org/officeDocument/2006/relationships/hyperlink" Target="https://photos.app.goo.gl/gUQCMcjYrWBS8CS1A" TargetMode="External"/><Relationship Id="rId10" Type="http://schemas.openxmlformats.org/officeDocument/2006/relationships/hyperlink" Target="https://drive.google.com/file/d/15pP6Z-ZBq017OHbCDUciS0tbbIJIm83U/view?usp=sharing" TargetMode="External"/><Relationship Id="rId11" Type="http://schemas.openxmlformats.org/officeDocument/2006/relationships/hyperlink" Target="https://drive.google.com/file/d/1XBHsewjVRVICoR2TL6mFwfHqRBFtlQ_5/view?usp=sharing" TargetMode="External"/><Relationship Id="rId12" Type="http://schemas.openxmlformats.org/officeDocument/2006/relationships/hyperlink" Target="https://photos.app.goo.gl/GAaGE7mcusTTCgs7A" TargetMode="External"/><Relationship Id="rId13" Type="http://schemas.openxmlformats.org/officeDocument/2006/relationships/hyperlink" Target="https://photos.app.goo.gl/zwPZ5cvDEwvMAuE28" TargetMode="External"/><Relationship Id="rId14" Type="http://schemas.openxmlformats.org/officeDocument/2006/relationships/hyperlink" Target="https://drive.google.com/file/d/10Iy8kWJjoucANc-nDSNdIOC2WuMYCkOY/view?usp=sharing" TargetMode="External"/><Relationship Id="rId15" Type="http://schemas.openxmlformats.org/officeDocument/2006/relationships/hyperlink" Target="https://drive.google.com/file/d/1SIltIoXdR-QI1y7_qIV3LaDMtQmADQJF/view?usp=sharing" TargetMode="External"/><Relationship Id="rId16" Type="http://schemas.openxmlformats.org/officeDocument/2006/relationships/hyperlink" Target="https://photos.app.goo.gl/oj1PLRsZ8AAHVJEP6" TargetMode="External"/><Relationship Id="rId17" Type="http://schemas.openxmlformats.org/officeDocument/2006/relationships/hyperlink" Target="https://drive.google.com/file/d/13qOjg_V3sy9zaEVhB4JCfbyc298frtzu/view?usp=sharing" TargetMode="External"/><Relationship Id="rId18" Type="http://schemas.openxmlformats.org/officeDocument/2006/relationships/hyperlink" Target="https://photos.app.goo.gl/nWNjuB3L4LLhs6SA7" TargetMode="External"/><Relationship Id="rId19" Type="http://schemas.openxmlformats.org/officeDocument/2006/relationships/hyperlink" Target="https://drive.google.com/file/d/1DuuBvSMAtzDUNNc8dizE1MMuGGBvmGFd/view?usp=sharing" TargetMode="External"/><Relationship Id="rId20" Type="http://schemas.openxmlformats.org/officeDocument/2006/relationships/hyperlink" Target="https://drive.google.com/file/d/1xE3YhnmGMT0W1gTUb5Xb3jWkAf3YIEDj/view?usp=sharing" TargetMode="External"/><Relationship Id="rId21" Type="http://schemas.openxmlformats.org/officeDocument/2006/relationships/hyperlink" Target="https://photos.app.goo.gl/6hhLE7a6WpavAgYHA" TargetMode="External"/><Relationship Id="rId22" Type="http://schemas.openxmlformats.org/officeDocument/2006/relationships/hyperlink" Target="https://drive.google.com/file/d/13kKfSTM_S0Q-1xbJCulsl8NDc2uGD3xB/view?usp=sharing" TargetMode="External"/><Relationship Id="rId23" Type="http://schemas.openxmlformats.org/officeDocument/2006/relationships/hyperlink" Target="https://drive.google.com/file/d/1KhvEeWx1X8jLxclJqp2FnyxcQ9qWfqWJ/view?usp=sharing" TargetMode="External"/><Relationship Id="rId24" Type="http://schemas.openxmlformats.org/officeDocument/2006/relationships/hyperlink" Target="https://photos.app.goo.gl/aoxnrp4qGwBgrrcN8" TargetMode="External"/><Relationship Id="rId25" Type="http://schemas.openxmlformats.org/officeDocument/2006/relationships/hyperlink" Target="https://drive.google.com/file/d/13dOnNxepMXNeH-YRqF9nKOPJ7BXs63F-/view?usp=sharing" TargetMode="External"/><Relationship Id="rId26" Type="http://schemas.openxmlformats.org/officeDocument/2006/relationships/hyperlink" Target="https://drive.google.com/file/d/1eNlZ1MhDTRKLKW4nEhMRGmdfNWogE3Hr/view?usp=sharing" TargetMode="External"/><Relationship Id="rId27" Type="http://schemas.openxmlformats.org/officeDocument/2006/relationships/hyperlink" Target="https://photos.app.goo.gl/1gYAQ2UKAocYRrww9" TargetMode="External"/><Relationship Id="rId28" Type="http://schemas.openxmlformats.org/officeDocument/2006/relationships/hyperlink" Target="https://drive.google.com/file/d/14nPsAKlcAQLwWMgkg9Rh2QNtJnTEambw/view?usp=sharing" TargetMode="External"/><Relationship Id="rId29" Type="http://schemas.openxmlformats.org/officeDocument/2006/relationships/hyperlink" Target="https://drive.google.com/file/d/1E5iF4LKlRjC5CDWUDPGjVRo20x41QFHV/view?usp=sharing" TargetMode="External"/><Relationship Id="rId30" Type="http://schemas.openxmlformats.org/officeDocument/2006/relationships/hyperlink" Target="https://photos.app.goo.gl/dEALYBAVUsx3Tjhn6" TargetMode="External"/><Relationship Id="rId31" Type="http://schemas.openxmlformats.org/officeDocument/2006/relationships/hyperlink" Target="https://drive.google.com/file/d/14gys1eaugA54h6Bb_k2hkJDJ3mMxtOlf/view?usp=sharing" TargetMode="External"/><Relationship Id="rId32" Type="http://schemas.openxmlformats.org/officeDocument/2006/relationships/hyperlink" Target="https://drive.google.com/file/d/1cWA0HT9YlEGTUwbtw_m75FX6d10tR-du/view?usp=sharing" TargetMode="External"/><Relationship Id="rId33" Type="http://schemas.openxmlformats.org/officeDocument/2006/relationships/hyperlink" Target="https://photos.app.goo.gl/yqyTTPRrqDiBqttf6" TargetMode="External"/><Relationship Id="rId34" Type="http://schemas.openxmlformats.org/officeDocument/2006/relationships/hyperlink" Target="https://drive.google.com/file/d/1FRbLOyIT7-czabBB0S9wAYZPCDMSknzh/view?usp=sharing" TargetMode="External"/><Relationship Id="rId35" Type="http://schemas.openxmlformats.org/officeDocument/2006/relationships/hyperlink" Target="https://drive.google.com/file/d/1UYD7IMVaSVPJc7pbLH8WZpLCW3HGZqD4/view?usp=sharing" TargetMode="External"/><Relationship Id="rId36" Type="http://schemas.openxmlformats.org/officeDocument/2006/relationships/hyperlink" Target="https://photos.app.goo.gl/4E1KndfbxTTResEg9" TargetMode="External"/><Relationship Id="rId37" Type="http://schemas.openxmlformats.org/officeDocument/2006/relationships/hyperlink" Target="https://photos.app.goo.gl/kCVqxsKEkTrdvZFh6" TargetMode="External"/><Relationship Id="rId38" Type="http://schemas.openxmlformats.org/officeDocument/2006/relationships/hyperlink" Target="https://drive.google.com/file/d/1EsrPNfxAQEJhxg7sSJ0Sa3PQ_3H63eJH/view?usp=sharing" TargetMode="External"/><Relationship Id="rId39" Type="http://schemas.openxmlformats.org/officeDocument/2006/relationships/hyperlink" Target="https://drive.google.com/file/d/1Z9qTqKqjNvtsoWJt5ozci66B4sIdN86X/view?usp=sharing" TargetMode="External"/><Relationship Id="rId40" Type="http://schemas.openxmlformats.org/officeDocument/2006/relationships/hyperlink" Target="https://drive.google.com/file/d/15BAqp7be8cLBqkWUSSj5xEq1fr_12a4q/view?usp=sharing" TargetMode="External"/><Relationship Id="rId41" Type="http://schemas.openxmlformats.org/officeDocument/2006/relationships/hyperlink" Target="https://drive.google.com/file/d/1Zw60g86fuZbr8fkxJpHIoMiJUd81S3x0/view?usp=sharing" TargetMode="External"/><Relationship Id="rId42" Type="http://schemas.openxmlformats.org/officeDocument/2006/relationships/hyperlink" Target="https://photos.app.goo.gl/VNm8UCbPpW1sXKHh6" TargetMode="External"/><Relationship Id="rId43" Type="http://schemas.openxmlformats.org/officeDocument/2006/relationships/hyperlink" Target="https://drive.google.com/file/d/15aodWwheM0djMpQdhjONx7duLbgg4tdB/view?usp=sharing" TargetMode="External"/><Relationship Id="rId44" Type="http://schemas.openxmlformats.org/officeDocument/2006/relationships/hyperlink" Target="https://drive.google.com/file/d/1VPNxekobFXiDzi4fdC-RI8SzjNj3dl9p/view?usp=sharing" TargetMode="External"/><Relationship Id="rId45" Type="http://schemas.openxmlformats.org/officeDocument/2006/relationships/hyperlink" Target="https://photos.app.goo.gl/TPMAa3Tcsj1kc4HF9" TargetMode="External"/><Relationship Id="rId46" Type="http://schemas.openxmlformats.org/officeDocument/2006/relationships/hyperlink" Target="https://photos.app.goo.gl/ABn5JXgUGcnZ8Fj97" TargetMode="External"/><Relationship Id="rId47" Type="http://schemas.openxmlformats.org/officeDocument/2006/relationships/hyperlink" Target="https://photos.app.goo.gl/ABn5JXgUGcnZ8Fj97" TargetMode="External"/><Relationship Id="rId48" Type="http://schemas.openxmlformats.org/officeDocument/2006/relationships/hyperlink" Target="https://drive.google.com/file/d/1FoLked3HlxEC3oydzPBgvmXI3q0KpmjC/view?usp=sharing" TargetMode="External"/><Relationship Id="rId49" Type="http://schemas.openxmlformats.org/officeDocument/2006/relationships/hyperlink" Target="https://drive.google.com/drive/u/0/folders/16AhfBlYaUZgrv9uYtnBR21tedKBiRLF7" TargetMode="External"/><Relationship Id="rId50" Type="http://schemas.openxmlformats.org/officeDocument/2006/relationships/hyperlink" Target="https://drive.google.com/drive/u/0/folders/16AhfBlYaUZgrv9uYtnBR21tedKBiRLF7" TargetMode="External"/><Relationship Id="rId51" Type="http://schemas.openxmlformats.org/officeDocument/2006/relationships/hyperlink" Target="https://photos.app.goo.gl/djg86dGBLA4z6DvQ8" TargetMode="External"/><Relationship Id="rId52" Type="http://schemas.openxmlformats.org/officeDocument/2006/relationships/hyperlink" Target="https://drive.google.com/file/d/16sJV-kX_UGLOVYy_iBoNJ2XWNR_aztkk/view?usp=sharing" TargetMode="External"/><Relationship Id="rId53" Type="http://schemas.openxmlformats.org/officeDocument/2006/relationships/hyperlink" Target="https://drive.google.com/file/d/1n8HeBFhpzl5zNA2rVpfEdnuR_kzfJKOT/view?usp=sharing" TargetMode="External"/><Relationship Id="rId54" Type="http://schemas.openxmlformats.org/officeDocument/2006/relationships/hyperlink" Target="https://photos.app.goo.gl/XBqZ3pcfX7wr7axL6" TargetMode="External"/><Relationship Id="rId55" Type="http://schemas.openxmlformats.org/officeDocument/2006/relationships/drawing" Target="../drawings/drawing40.xml"/>
</Relationships>
</file>

<file path=xl/worksheets/_rels/sheet43.xml.rels><?xml version="1.0" encoding="UTF-8"?>
<Relationships xmlns="http://schemas.openxmlformats.org/package/2006/relationships"><Relationship Id="rId1" Type="http://schemas.openxmlformats.org/officeDocument/2006/relationships/comments" Target="../comments43.xml"/><Relationship Id="rId2" Type="http://schemas.openxmlformats.org/officeDocument/2006/relationships/hyperlink" Target="https://drive.google.com/file/d/1lZ9pR0KeA-GkJnXXaH_7TEEzZxdYwV56/view?usp=sharing" TargetMode="External"/><Relationship Id="rId3" Type="http://schemas.openxmlformats.org/officeDocument/2006/relationships/hyperlink" Target="https://photos.app.goo.gl/y7QeQ64HgWHYvKPP7" TargetMode="External"/><Relationship Id="rId4" Type="http://schemas.openxmlformats.org/officeDocument/2006/relationships/hyperlink" Target="https://drive.google.com/file/d/1q7F_tRhthxz8QNGZ8WdYh45Cdx75sZa3/view?usp=sharing" TargetMode="External"/><Relationship Id="rId5" Type="http://schemas.openxmlformats.org/officeDocument/2006/relationships/hyperlink" Target="https://drive.google.com/file/d/1jGgozqmJMXtYhVCNv6SUXj5l6HfwMVAH/view?usp=sharing" TargetMode="External"/><Relationship Id="rId6" Type="http://schemas.openxmlformats.org/officeDocument/2006/relationships/hyperlink" Target="https://photos.app.goo.gl/7k9eSwCTtxFbrLY36" TargetMode="External"/><Relationship Id="rId7" Type="http://schemas.openxmlformats.org/officeDocument/2006/relationships/hyperlink" Target="https://drive.google.com/file/d/1p8ZRtgQ9ZiJ3ozxpY8LkSXHMwPHaQAod/view?usp=sharing" TargetMode="External"/><Relationship Id="rId8" Type="http://schemas.openxmlformats.org/officeDocument/2006/relationships/hyperlink" Target="https://drive.google.com/file/d/14WSdAcLf5CIr5c5mwZCsyinydL3VNC2O/view?usp=sharing" TargetMode="External"/><Relationship Id="rId9" Type="http://schemas.openxmlformats.org/officeDocument/2006/relationships/hyperlink" Target="https://photos.app.goo.gl/irJGWLAiLKZdNZ1D8" TargetMode="External"/><Relationship Id="rId10" Type="http://schemas.openxmlformats.org/officeDocument/2006/relationships/hyperlink" Target="https://drive.google.com/file/d/1pIEBcW019B_y-F_iuQYt-tPeCWt3nwpS/view?usp=sharing" TargetMode="External"/><Relationship Id="rId11" Type="http://schemas.openxmlformats.org/officeDocument/2006/relationships/hyperlink" Target="https://drive.google.com/file/d/1nUKPOyG6KRJ4bLaOKRdDau81nJ1njY26/view?usp=sharing" TargetMode="External"/><Relationship Id="rId12" Type="http://schemas.openxmlformats.org/officeDocument/2006/relationships/hyperlink" Target="https://photos.app.goo.gl/EP2p7B8NW6wNnX5q9" TargetMode="External"/><Relationship Id="rId13" Type="http://schemas.openxmlformats.org/officeDocument/2006/relationships/hyperlink" Target="https://photos.app.goo.gl/8bfJTuV3JPj1zi538" TargetMode="External"/><Relationship Id="rId14" Type="http://schemas.openxmlformats.org/officeDocument/2006/relationships/hyperlink" Target="https://photos.app.goo.gl/iEyQyE2F58EopzG57" TargetMode="External"/><Relationship Id="rId15" Type="http://schemas.openxmlformats.org/officeDocument/2006/relationships/hyperlink" Target="https://photos.app.goo.gl/8bfJTuV3JPj1zi538" TargetMode="External"/><Relationship Id="rId16" Type="http://schemas.openxmlformats.org/officeDocument/2006/relationships/hyperlink" Target="https://drive.google.com/file/d/1tPV3LOEfwZFsYtJozRnHA93SxGOtV_oE/view?usp=sharing" TargetMode="External"/><Relationship Id="rId17" Type="http://schemas.openxmlformats.org/officeDocument/2006/relationships/hyperlink" Target="https://drive.google.com/file/d/1QVRk--dtReQxnAsFxqgMf1AbtsdA8-9m/view?usp=sharing" TargetMode="External"/><Relationship Id="rId18" Type="http://schemas.openxmlformats.org/officeDocument/2006/relationships/hyperlink" Target="https://photos.app.goo.gl/nU4Ez4sirn2qSJ9z9" TargetMode="External"/><Relationship Id="rId19" Type="http://schemas.openxmlformats.org/officeDocument/2006/relationships/hyperlink" Target="https://drive.google.com/file/d/1vBPHcO0JzVD_9ejwmdbomAWh9M-mFfit/view?usp=sharing" TargetMode="External"/><Relationship Id="rId20" Type="http://schemas.openxmlformats.org/officeDocument/2006/relationships/hyperlink" Target="https://drive.google.com/file/d/1qqvV_KvZjX18bXO2kabgQPzfuN-nsG9o/view?usp=sharing" TargetMode="External"/><Relationship Id="rId21" Type="http://schemas.openxmlformats.org/officeDocument/2006/relationships/hyperlink" Target="https://drive.google.com/file/d/1VJZsAssRiNTgDahh31ipk9QnDD7qSgAo/view?usp=sharing" TargetMode="External"/><Relationship Id="rId22" Type="http://schemas.openxmlformats.org/officeDocument/2006/relationships/hyperlink" Target="https://photos.app.goo.gl/arFUzqHLLMnMoXpb8" TargetMode="External"/><Relationship Id="rId23" Type="http://schemas.openxmlformats.org/officeDocument/2006/relationships/hyperlink" Target="https://drive.google.com/file/d/1s8UjlqomVWRNSzcjF9VDj1DekBc7XWcA/view?usp=sharing" TargetMode="External"/><Relationship Id="rId24" Type="http://schemas.openxmlformats.org/officeDocument/2006/relationships/hyperlink" Target="https://drive.google.com/file/d/1K-kMWTYXtW64ojtaPtk07Cp0Ul0eccO9/view?usp=sharing" TargetMode="External"/><Relationship Id="rId25" Type="http://schemas.openxmlformats.org/officeDocument/2006/relationships/hyperlink" Target="https://photos.app.goo.gl/7StJyP2533XUHeGx9" TargetMode="External"/><Relationship Id="rId26" Type="http://schemas.openxmlformats.org/officeDocument/2006/relationships/hyperlink" Target="https://drive.google.com/file/d/1sOiydmkIgYGDiXW6yYIKzp2oLM_tuWcc/view?usp=sharing" TargetMode="External"/><Relationship Id="rId27" Type="http://schemas.openxmlformats.org/officeDocument/2006/relationships/hyperlink" Target="https://drive.google.com/file/d/1Yq15fpFpTc_VUXlFL_LJ33l5-wM-p3EP/view?usp=sharing" TargetMode="External"/><Relationship Id="rId28" Type="http://schemas.openxmlformats.org/officeDocument/2006/relationships/hyperlink" Target="https://photos.app.goo.gl/anh3tbQn2CnSDJip8" TargetMode="External"/><Relationship Id="rId29" Type="http://schemas.openxmlformats.org/officeDocument/2006/relationships/hyperlink" Target="https://drive.google.com/file/d/1vRCIiHrNrZovU41hBVf_5SGPp5ujOJFQ/view?usp=sharing" TargetMode="External"/><Relationship Id="rId30" Type="http://schemas.openxmlformats.org/officeDocument/2006/relationships/hyperlink" Target="https://drive.google.com/file/d/1jIQ5ZjvWOMnUniudeDJY9OzHhVZfkc-8/view?usp=sharing" TargetMode="External"/><Relationship Id="rId31" Type="http://schemas.openxmlformats.org/officeDocument/2006/relationships/hyperlink" Target="https://photos.app.goo.gl/yHwmL4wMRe3Z1bGu9" TargetMode="External"/><Relationship Id="rId32" Type="http://schemas.openxmlformats.org/officeDocument/2006/relationships/hyperlink" Target="https://drive.google.com/file/d/1uLffqnEg91tJiKHbtciNssR3blcRToY_/view?usp=sharing" TargetMode="External"/><Relationship Id="rId33" Type="http://schemas.openxmlformats.org/officeDocument/2006/relationships/hyperlink" Target="https://drive.google.com/file/d/14a5tjYKqJ5xZ8BJoVBiGY3P3Zolv85w7/view?usp=sharing" TargetMode="External"/><Relationship Id="rId34" Type="http://schemas.openxmlformats.org/officeDocument/2006/relationships/hyperlink" Target="https://photos.app.goo.gl/WrroEahq4RAxJybM7" TargetMode="External"/><Relationship Id="rId35" Type="http://schemas.openxmlformats.org/officeDocument/2006/relationships/hyperlink" Target="https://drive.google.com/file/d/1vUZHLywfcSO7ec3-v3dhEHrvjpt-ya_Q/view?usp=sharing" TargetMode="External"/><Relationship Id="rId36" Type="http://schemas.openxmlformats.org/officeDocument/2006/relationships/hyperlink" Target="https://drive.google.com/file/d/1QSPbjV-ZprAwKMIvgTx3ev9vuSwOQj4Y/view?usp=sharing" TargetMode="External"/><Relationship Id="rId37" Type="http://schemas.openxmlformats.org/officeDocument/2006/relationships/hyperlink" Target="https://photos.app.goo.gl/baRqvkoWaxhSULVy7" TargetMode="External"/><Relationship Id="rId38" Type="http://schemas.openxmlformats.org/officeDocument/2006/relationships/hyperlink" Target="https://drive.google.com/file/d/19LnT1E0ZE8YURfr0kUoRhkXjZCCR_xpg/view?usp=sharing" TargetMode="External"/><Relationship Id="rId39" Type="http://schemas.openxmlformats.org/officeDocument/2006/relationships/hyperlink" Target="https://photos.app.goo.gl/dHkpTN2ztSpFn8kw6" TargetMode="External"/><Relationship Id="rId40" Type="http://schemas.openxmlformats.org/officeDocument/2006/relationships/drawing" Target="../drawings/drawing41.xml"/><Relationship Id="rId41" Type="http://schemas.openxmlformats.org/officeDocument/2006/relationships/vmlDrawing" Target="../drawings/vmlDrawing5.vml"/>
</Relationships>
</file>

<file path=xl/worksheets/_rels/sheet44.xml.rels><?xml version="1.0" encoding="UTF-8"?>
<Relationships xmlns="http://schemas.openxmlformats.org/package/2006/relationships"><Relationship Id="rId1" Type="http://schemas.openxmlformats.org/officeDocument/2006/relationships/hyperlink" Target="https://photos.app.goo.gl/Pcbu5pRdJb2RE28M8" TargetMode="External"/><Relationship Id="rId2" Type="http://schemas.openxmlformats.org/officeDocument/2006/relationships/hyperlink" Target="https://drive.google.com/file/d/1phL79Vpg8MIdZmIu-0aTHIBbRpD30tNN/view?usp=sharing" TargetMode="External"/><Relationship Id="rId3" Type="http://schemas.openxmlformats.org/officeDocument/2006/relationships/hyperlink" Target="https://drive.google.com/file/d/1t7rWRML-GALCTVAQoIDL8c6T_kbQFw1T/view?usp=sharing" TargetMode="External"/><Relationship Id="rId4" Type="http://schemas.openxmlformats.org/officeDocument/2006/relationships/hyperlink" Target="https://photos.app.goo.gl/buvjN1nbWkeLQE5q9" TargetMode="External"/><Relationship Id="rId5" Type="http://schemas.openxmlformats.org/officeDocument/2006/relationships/hyperlink" Target="https://drive.google.com/file/d/1pqNG8_h17e61oosfy9zPQsTO9MYr9A9w/view?usp=sharing" TargetMode="External"/><Relationship Id="rId6" Type="http://schemas.openxmlformats.org/officeDocument/2006/relationships/hyperlink" Target="https://drive.google.com/file/d/1GwSjcvb7HYZz48sA8wLbWcblEZb8BMvp/view?usp=sharing" TargetMode="External"/><Relationship Id="rId7" Type="http://schemas.openxmlformats.org/officeDocument/2006/relationships/hyperlink" Target="https://photos.app.goo.gl/Y1SAQ5Ntp42Qh7y96" TargetMode="External"/><Relationship Id="rId8" Type="http://schemas.openxmlformats.org/officeDocument/2006/relationships/drawing" Target="../drawings/drawing42.xml"/>
</Relationships>
</file>

<file path=xl/worksheets/_rels/sheet45.xml.rels><?xml version="1.0" encoding="UTF-8"?>
<Relationships xmlns="http://schemas.openxmlformats.org/package/2006/relationships"><Relationship Id="rId1" Type="http://schemas.openxmlformats.org/officeDocument/2006/relationships/drawing" Target="../drawings/drawing43.xml"/>
</Relationships>
</file>

<file path=xl/worksheets/_rels/sheet46.xml.rels><?xml version="1.0" encoding="UTF-8"?>
<Relationships xmlns="http://schemas.openxmlformats.org/package/2006/relationships"><Relationship Id="rId1" Type="http://schemas.openxmlformats.org/officeDocument/2006/relationships/drawing" Target="../drawings/drawing44.xml"/>
</Relationships>
</file>

<file path=xl/worksheets/_rels/sheet47.xml.rels><?xml version="1.0" encoding="UTF-8"?>
<Relationships xmlns="http://schemas.openxmlformats.org/package/2006/relationships"><Relationship Id="rId1" Type="http://schemas.openxmlformats.org/officeDocument/2006/relationships/hyperlink" Target="https://drive.google.com/file/d/17asIN9CZT7U_z39-lJiLwjSk6sIE6AeY/view?usp=sharing" TargetMode="External"/><Relationship Id="rId2" Type="http://schemas.openxmlformats.org/officeDocument/2006/relationships/hyperlink" Target="https://drive.google.com/file/d/11JzJsZG1NgvC4fpUpbIXHrdKJVSvEpX-/view?usp=sharing" TargetMode="External"/><Relationship Id="rId3" Type="http://schemas.openxmlformats.org/officeDocument/2006/relationships/drawing" Target="../drawings/drawing45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AF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7" ySplit="3" topLeftCell="H4" activePane="bottomRight" state="frozen"/>
      <selection pane="topLeft" activeCell="A1" activeCellId="0" sqref="A1"/>
      <selection pane="topRight" activeCell="H1" activeCellId="0" sqref="H1"/>
      <selection pane="bottomLeft" activeCell="A4" activeCellId="0" sqref="A4"/>
      <selection pane="bottomRight" activeCell="H1" activeCellId="0" sqref="H1"/>
    </sheetView>
  </sheetViews>
  <sheetFormatPr defaultColWidth="12.6328125" defaultRowHeight="15.75" zeroHeight="false" outlineLevelRow="0" outlineLevelCol="0"/>
  <cols>
    <col collapsed="false" customWidth="true" hidden="false" outlineLevel="0" max="1" min="1" style="1" width="10.25"/>
    <col collapsed="false" customWidth="true" hidden="false" outlineLevel="0" max="2" min="2" style="1" width="10.38"/>
    <col collapsed="false" customWidth="true" hidden="false" outlineLevel="0" max="4" min="3" style="1" width="16.38"/>
    <col collapsed="false" customWidth="true" hidden="false" outlineLevel="0" max="5" min="5" style="1" width="18.25"/>
    <col collapsed="false" customWidth="true" hidden="false" outlineLevel="0" max="6" min="6" style="1" width="29.38"/>
    <col collapsed="false" customWidth="true" hidden="false" outlineLevel="0" max="7" min="7" style="1" width="14.13"/>
    <col collapsed="false" customWidth="true" hidden="false" outlineLevel="0" max="8" min="8" style="1" width="10.13"/>
    <col collapsed="false" customWidth="true" hidden="true" outlineLevel="0" max="9" min="9" style="1" width="10.13"/>
    <col collapsed="false" customWidth="true" hidden="false" outlineLevel="0" max="10" min="10" style="1" width="12.88"/>
    <col collapsed="false" customWidth="true" hidden="false" outlineLevel="0" max="12" min="11" style="1" width="12"/>
    <col collapsed="false" customWidth="true" hidden="false" outlineLevel="0" max="13" min="13" style="1" width="10"/>
    <col collapsed="false" customWidth="true" hidden="false" outlineLevel="0" max="14" min="14" style="1" width="12.25"/>
    <col collapsed="false" customWidth="true" hidden="false" outlineLevel="0" max="15" min="15" style="1" width="26.12"/>
    <col collapsed="false" customWidth="true" hidden="true" outlineLevel="0" max="16" min="16" style="1" width="18"/>
    <col collapsed="false" customWidth="true" hidden="false" outlineLevel="0" max="18" min="17" style="1" width="10.63"/>
    <col collapsed="false" customWidth="true" hidden="false" outlineLevel="0" max="19" min="19" style="1" width="8.5"/>
    <col collapsed="false" customWidth="true" hidden="false" outlineLevel="0" max="21" min="21" style="1" width="25.38"/>
    <col collapsed="false" customWidth="true" hidden="false" outlineLevel="0" max="22" min="22" style="1" width="18.13"/>
    <col collapsed="false" customWidth="true" hidden="false" outlineLevel="0" max="23" min="23" style="1" width="10.13"/>
    <col collapsed="false" customWidth="true" hidden="false" outlineLevel="0" max="24" min="24" style="1" width="11.38"/>
    <col collapsed="false" customWidth="true" hidden="false" outlineLevel="0" max="26" min="26" style="1" width="13.5"/>
    <col collapsed="false" customWidth="true" hidden="false" outlineLevel="0" max="16384" min="16384" style="1" width="11.53"/>
  </cols>
  <sheetData>
    <row r="1" customFormat="false" ht="42.5" hidden="false" customHeight="false" outlineLevel="0" collapsed="false">
      <c r="A1" s="2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/>
      <c r="J1" s="4" t="s">
        <v>8</v>
      </c>
      <c r="K1" s="2"/>
      <c r="L1" s="2" t="s">
        <v>9</v>
      </c>
      <c r="M1" s="2" t="s">
        <v>10</v>
      </c>
      <c r="N1" s="4" t="s">
        <v>11</v>
      </c>
      <c r="O1" s="3" t="s">
        <v>12</v>
      </c>
      <c r="P1" s="7" t="s">
        <v>13</v>
      </c>
      <c r="Q1" s="7" t="s">
        <v>14</v>
      </c>
      <c r="R1" s="7" t="s">
        <v>15</v>
      </c>
      <c r="S1" s="7" t="s">
        <v>16</v>
      </c>
      <c r="T1" s="7" t="s">
        <v>17</v>
      </c>
      <c r="U1" s="8" t="s">
        <v>18</v>
      </c>
      <c r="V1" s="9" t="s">
        <v>19</v>
      </c>
      <c r="W1" s="9" t="s">
        <v>20</v>
      </c>
      <c r="X1" s="10" t="s">
        <v>15</v>
      </c>
      <c r="Y1" s="11" t="s">
        <v>21</v>
      </c>
      <c r="Z1" s="11" t="s">
        <v>22</v>
      </c>
      <c r="AA1" s="12"/>
      <c r="AB1" s="12"/>
      <c r="AC1" s="12"/>
      <c r="AD1" s="12"/>
      <c r="AE1" s="12"/>
      <c r="AF1" s="12"/>
    </row>
    <row r="2" customFormat="false" ht="15.75" hidden="false" customHeight="false" outlineLevel="0" collapsed="false">
      <c r="A2" s="13" t="n">
        <v>8297</v>
      </c>
      <c r="B2" s="14" t="n">
        <v>45666</v>
      </c>
      <c r="C2" s="15" t="s">
        <v>23</v>
      </c>
      <c r="D2" s="16" t="s">
        <v>24</v>
      </c>
      <c r="E2" s="16" t="s">
        <v>25</v>
      </c>
      <c r="F2" s="16" t="s">
        <v>26</v>
      </c>
      <c r="G2" s="16" t="s">
        <v>27</v>
      </c>
      <c r="H2" s="17" t="s">
        <v>28</v>
      </c>
      <c r="I2" s="16"/>
      <c r="J2" s="16" t="s">
        <v>28</v>
      </c>
      <c r="K2" s="16"/>
      <c r="L2" s="16"/>
      <c r="M2" s="16"/>
      <c r="N2" s="16" t="n">
        <v>15939</v>
      </c>
      <c r="O2" s="16"/>
      <c r="P2" s="18"/>
      <c r="Q2" s="16" t="s">
        <v>28</v>
      </c>
      <c r="R2" s="17" t="s">
        <v>28</v>
      </c>
      <c r="S2" s="16" t="s">
        <v>29</v>
      </c>
      <c r="T2" s="16" t="s">
        <v>30</v>
      </c>
      <c r="U2" s="16"/>
      <c r="V2" s="16" t="s">
        <v>31</v>
      </c>
      <c r="W2" s="17" t="s">
        <v>28</v>
      </c>
      <c r="X2" s="17" t="s">
        <v>28</v>
      </c>
      <c r="Y2" s="16" t="s">
        <v>28</v>
      </c>
      <c r="Z2" s="12" t="s">
        <v>32</v>
      </c>
    </row>
    <row r="3" customFormat="false" ht="15.75" hidden="false" customHeight="false" outlineLevel="0" collapsed="false">
      <c r="A3" s="13" t="n">
        <v>8298</v>
      </c>
      <c r="B3" s="14" t="n">
        <v>45666</v>
      </c>
      <c r="C3" s="15" t="s">
        <v>33</v>
      </c>
      <c r="D3" s="16" t="s">
        <v>24</v>
      </c>
      <c r="E3" s="16" t="s">
        <v>34</v>
      </c>
      <c r="F3" s="16" t="s">
        <v>35</v>
      </c>
      <c r="G3" s="16" t="s">
        <v>36</v>
      </c>
      <c r="H3" s="16" t="s">
        <v>37</v>
      </c>
      <c r="I3" s="16"/>
      <c r="J3" s="16" t="s">
        <v>37</v>
      </c>
      <c r="K3" s="16" t="s">
        <v>36</v>
      </c>
      <c r="L3" s="16" t="s">
        <v>36</v>
      </c>
      <c r="M3" s="16" t="s">
        <v>36</v>
      </c>
      <c r="N3" s="16" t="s">
        <v>36</v>
      </c>
      <c r="O3" s="16" t="s">
        <v>36</v>
      </c>
      <c r="P3" s="16"/>
      <c r="Q3" s="16" t="s">
        <v>37</v>
      </c>
      <c r="R3" s="16" t="s">
        <v>37</v>
      </c>
      <c r="S3" s="16" t="s">
        <v>36</v>
      </c>
      <c r="T3" s="16" t="s">
        <v>36</v>
      </c>
      <c r="U3" s="16" t="s">
        <v>36</v>
      </c>
      <c r="V3" s="16" t="s">
        <v>36</v>
      </c>
      <c r="W3" s="16" t="s">
        <v>37</v>
      </c>
      <c r="X3" s="16" t="s">
        <v>37</v>
      </c>
      <c r="Y3" s="16" t="s">
        <v>28</v>
      </c>
      <c r="Z3" s="12" t="s">
        <v>32</v>
      </c>
    </row>
    <row r="4" customFormat="false" ht="15.75" hidden="false" customHeight="false" outlineLevel="0" collapsed="false">
      <c r="A4" s="13" t="n">
        <v>8299</v>
      </c>
      <c r="B4" s="14" t="n">
        <v>45667</v>
      </c>
      <c r="C4" s="15" t="s">
        <v>38</v>
      </c>
      <c r="D4" s="16" t="s">
        <v>24</v>
      </c>
      <c r="E4" s="16" t="s">
        <v>34</v>
      </c>
      <c r="F4" s="16" t="s">
        <v>39</v>
      </c>
      <c r="G4" s="16"/>
      <c r="H4" s="16"/>
      <c r="I4" s="16"/>
      <c r="J4" s="16"/>
      <c r="K4" s="16"/>
      <c r="L4" s="16"/>
      <c r="M4" s="16"/>
      <c r="N4" s="16"/>
      <c r="O4" s="16"/>
      <c r="P4" s="18"/>
      <c r="Q4" s="16" t="s">
        <v>37</v>
      </c>
      <c r="R4" s="16" t="s">
        <v>37</v>
      </c>
      <c r="S4" s="16"/>
      <c r="T4" s="16"/>
      <c r="U4" s="16"/>
      <c r="V4" s="16"/>
      <c r="W4" s="16" t="s">
        <v>37</v>
      </c>
      <c r="X4" s="16" t="s">
        <v>37</v>
      </c>
      <c r="Y4" s="16" t="s">
        <v>37</v>
      </c>
      <c r="Z4" s="12" t="s">
        <v>40</v>
      </c>
    </row>
    <row r="5" customFormat="false" ht="15.75" hidden="false" customHeight="false" outlineLevel="0" collapsed="false">
      <c r="A5" s="19" t="n">
        <v>8300</v>
      </c>
      <c r="B5" s="14" t="n">
        <v>45667</v>
      </c>
      <c r="C5" s="16" t="s">
        <v>41</v>
      </c>
      <c r="D5" s="16" t="s">
        <v>24</v>
      </c>
      <c r="E5" s="16" t="s">
        <v>25</v>
      </c>
      <c r="F5" s="16" t="s">
        <v>42</v>
      </c>
      <c r="G5" s="16" t="s">
        <v>43</v>
      </c>
      <c r="H5" s="17" t="s">
        <v>28</v>
      </c>
      <c r="I5" s="16"/>
      <c r="J5" s="16" t="s">
        <v>28</v>
      </c>
      <c r="K5" s="16" t="s">
        <v>29</v>
      </c>
      <c r="L5" s="16" t="s">
        <v>29</v>
      </c>
      <c r="M5" s="16" t="s">
        <v>29</v>
      </c>
      <c r="N5" s="16" t="s">
        <v>44</v>
      </c>
      <c r="O5" s="16"/>
      <c r="P5" s="16"/>
      <c r="Q5" s="16"/>
      <c r="R5" s="16"/>
      <c r="S5" s="20"/>
      <c r="T5" s="16"/>
      <c r="U5" s="16"/>
      <c r="V5" s="16"/>
      <c r="W5" s="16"/>
      <c r="X5" s="16"/>
      <c r="Y5" s="16"/>
      <c r="Z5" s="12"/>
    </row>
    <row r="6" customFormat="false" ht="15.75" hidden="false" customHeight="false" outlineLevel="0" collapsed="false">
      <c r="A6" s="19" t="n">
        <v>8301</v>
      </c>
      <c r="B6" s="14" t="n">
        <v>45667</v>
      </c>
      <c r="C6" s="16" t="s">
        <v>41</v>
      </c>
      <c r="D6" s="16" t="s">
        <v>24</v>
      </c>
      <c r="E6" s="16" t="s">
        <v>25</v>
      </c>
      <c r="F6" s="16" t="s">
        <v>45</v>
      </c>
      <c r="G6" s="16" t="s">
        <v>46</v>
      </c>
      <c r="H6" s="17" t="s">
        <v>28</v>
      </c>
      <c r="I6" s="16"/>
      <c r="J6" s="16" t="s">
        <v>28</v>
      </c>
      <c r="K6" s="16" t="s">
        <v>29</v>
      </c>
      <c r="L6" s="16" t="s">
        <v>29</v>
      </c>
      <c r="M6" s="16" t="s">
        <v>29</v>
      </c>
      <c r="N6" s="16" t="s">
        <v>47</v>
      </c>
      <c r="O6" s="16"/>
      <c r="P6" s="16"/>
      <c r="Q6" s="16" t="s">
        <v>37</v>
      </c>
      <c r="R6" s="16" t="s">
        <v>37</v>
      </c>
      <c r="S6" s="16"/>
      <c r="T6" s="16"/>
      <c r="U6" s="16"/>
      <c r="V6" s="16"/>
      <c r="W6" s="16" t="s">
        <v>37</v>
      </c>
      <c r="X6" s="16" t="s">
        <v>37</v>
      </c>
      <c r="Y6" s="16" t="s">
        <v>28</v>
      </c>
      <c r="Z6" s="12" t="s">
        <v>48</v>
      </c>
    </row>
    <row r="7" customFormat="false" ht="15.75" hidden="false" customHeight="false" outlineLevel="0" collapsed="false">
      <c r="A7" s="19" t="n">
        <v>8302</v>
      </c>
      <c r="B7" s="14" t="n">
        <v>45667</v>
      </c>
      <c r="C7" s="16" t="s">
        <v>41</v>
      </c>
      <c r="D7" s="21" t="s">
        <v>24</v>
      </c>
      <c r="E7" s="21" t="s">
        <v>25</v>
      </c>
      <c r="F7" s="16" t="s">
        <v>49</v>
      </c>
      <c r="G7" s="16" t="s">
        <v>46</v>
      </c>
      <c r="H7" s="17" t="s">
        <v>28</v>
      </c>
      <c r="I7" s="16"/>
      <c r="J7" s="16" t="s">
        <v>28</v>
      </c>
      <c r="K7" s="16" t="s">
        <v>29</v>
      </c>
      <c r="L7" s="16" t="s">
        <v>29</v>
      </c>
      <c r="M7" s="16" t="s">
        <v>29</v>
      </c>
      <c r="N7" s="16" t="s">
        <v>47</v>
      </c>
      <c r="O7" s="16"/>
      <c r="P7" s="16"/>
      <c r="Q7" s="16" t="s">
        <v>37</v>
      </c>
      <c r="R7" s="16" t="s">
        <v>37</v>
      </c>
      <c r="S7" s="16"/>
      <c r="T7" s="16"/>
      <c r="U7" s="16"/>
      <c r="V7" s="16"/>
      <c r="W7" s="16" t="s">
        <v>37</v>
      </c>
      <c r="X7" s="16" t="s">
        <v>37</v>
      </c>
      <c r="Y7" s="16" t="s">
        <v>37</v>
      </c>
      <c r="Z7" s="12" t="s">
        <v>40</v>
      </c>
    </row>
    <row r="8" customFormat="false" ht="15.75" hidden="false" customHeight="false" outlineLevel="0" collapsed="false">
      <c r="A8" s="19" t="n">
        <v>8303</v>
      </c>
      <c r="B8" s="14" t="n">
        <v>45667</v>
      </c>
      <c r="C8" s="16" t="s">
        <v>50</v>
      </c>
      <c r="D8" s="21" t="s">
        <v>24</v>
      </c>
      <c r="E8" s="16" t="s">
        <v>25</v>
      </c>
      <c r="F8" s="16" t="s">
        <v>51</v>
      </c>
      <c r="G8" s="16" t="s">
        <v>52</v>
      </c>
      <c r="H8" s="17" t="s">
        <v>28</v>
      </c>
      <c r="I8" s="16"/>
      <c r="J8" s="16" t="s">
        <v>28</v>
      </c>
      <c r="K8" s="16" t="s">
        <v>29</v>
      </c>
      <c r="L8" s="16" t="s">
        <v>29</v>
      </c>
      <c r="M8" s="16" t="s">
        <v>29</v>
      </c>
      <c r="N8" s="16" t="n">
        <v>32227</v>
      </c>
      <c r="O8" s="16"/>
      <c r="P8" s="16"/>
      <c r="Q8" s="16" t="s">
        <v>37</v>
      </c>
      <c r="R8" s="16" t="s">
        <v>37</v>
      </c>
      <c r="S8" s="16"/>
      <c r="T8" s="16"/>
      <c r="U8" s="16"/>
      <c r="V8" s="16"/>
      <c r="W8" s="16" t="s">
        <v>37</v>
      </c>
      <c r="X8" s="16" t="s">
        <v>37</v>
      </c>
      <c r="Y8" s="16" t="s">
        <v>28</v>
      </c>
      <c r="Z8" s="12" t="s">
        <v>32</v>
      </c>
    </row>
    <row r="9" customFormat="false" ht="15.75" hidden="false" customHeight="false" outlineLevel="0" collapsed="false">
      <c r="A9" s="19" t="n">
        <v>8304</v>
      </c>
      <c r="B9" s="14" t="n">
        <v>45667</v>
      </c>
      <c r="C9" s="16" t="s">
        <v>53</v>
      </c>
      <c r="D9" s="21" t="s">
        <v>24</v>
      </c>
      <c r="E9" s="21" t="s">
        <v>25</v>
      </c>
      <c r="F9" s="16" t="s">
        <v>54</v>
      </c>
      <c r="G9" s="16" t="s">
        <v>55</v>
      </c>
      <c r="H9" s="17" t="s">
        <v>28</v>
      </c>
      <c r="I9" s="16"/>
      <c r="J9" s="16" t="s">
        <v>28</v>
      </c>
      <c r="K9" s="16" t="s">
        <v>29</v>
      </c>
      <c r="L9" s="16" t="s">
        <v>29</v>
      </c>
      <c r="M9" s="16" t="s">
        <v>29</v>
      </c>
      <c r="N9" s="16" t="s">
        <v>29</v>
      </c>
      <c r="O9" s="16"/>
      <c r="P9" s="16"/>
      <c r="Q9" s="16"/>
      <c r="R9" s="16"/>
      <c r="S9" s="16"/>
      <c r="T9" s="16"/>
      <c r="U9" s="16"/>
      <c r="V9" s="16" t="s">
        <v>31</v>
      </c>
      <c r="W9" s="17" t="s">
        <v>28</v>
      </c>
      <c r="X9" s="17" t="s">
        <v>28</v>
      </c>
      <c r="Y9" s="16" t="s">
        <v>28</v>
      </c>
      <c r="Z9" s="12" t="s">
        <v>48</v>
      </c>
    </row>
    <row r="10" customFormat="false" ht="15.75" hidden="false" customHeight="false" outlineLevel="0" collapsed="false">
      <c r="A10" s="19" t="n">
        <v>8305</v>
      </c>
      <c r="B10" s="14" t="n">
        <v>45667</v>
      </c>
      <c r="C10" s="16" t="s">
        <v>53</v>
      </c>
      <c r="D10" s="16" t="s">
        <v>24</v>
      </c>
      <c r="E10" s="16" t="s">
        <v>25</v>
      </c>
      <c r="F10" s="16" t="s">
        <v>56</v>
      </c>
      <c r="G10" s="16" t="s">
        <v>57</v>
      </c>
      <c r="H10" s="17" t="s">
        <v>28</v>
      </c>
      <c r="I10" s="16"/>
      <c r="J10" s="16" t="s">
        <v>28</v>
      </c>
      <c r="K10" s="16" t="s">
        <v>29</v>
      </c>
      <c r="L10" s="16" t="s">
        <v>29</v>
      </c>
      <c r="M10" s="16" t="s">
        <v>29</v>
      </c>
      <c r="N10" s="16" t="s">
        <v>29</v>
      </c>
      <c r="O10" s="16"/>
      <c r="P10" s="16"/>
      <c r="Q10" s="16"/>
      <c r="R10" s="16"/>
      <c r="S10" s="16"/>
      <c r="T10" s="16"/>
      <c r="U10" s="16"/>
      <c r="V10" s="16" t="s">
        <v>58</v>
      </c>
      <c r="W10" s="17" t="s">
        <v>28</v>
      </c>
      <c r="X10" s="17" t="s">
        <v>28</v>
      </c>
      <c r="Y10" s="16" t="s">
        <v>28</v>
      </c>
      <c r="Z10" s="12" t="s">
        <v>48</v>
      </c>
    </row>
    <row r="11" customFormat="false" ht="15.75" hidden="false" customHeight="false" outlineLevel="0" collapsed="false">
      <c r="A11" s="19" t="n">
        <v>8306</v>
      </c>
      <c r="B11" s="14" t="n">
        <v>45667</v>
      </c>
      <c r="C11" s="16" t="s">
        <v>53</v>
      </c>
      <c r="D11" s="16" t="s">
        <v>24</v>
      </c>
      <c r="E11" s="16" t="s">
        <v>25</v>
      </c>
      <c r="F11" s="16" t="s">
        <v>56</v>
      </c>
      <c r="G11" s="16" t="s">
        <v>57</v>
      </c>
      <c r="H11" s="17" t="s">
        <v>28</v>
      </c>
      <c r="I11" s="16"/>
      <c r="J11" s="16" t="s">
        <v>28</v>
      </c>
      <c r="K11" s="16" t="s">
        <v>29</v>
      </c>
      <c r="L11" s="16" t="s">
        <v>29</v>
      </c>
      <c r="M11" s="16" t="s">
        <v>29</v>
      </c>
      <c r="N11" s="16" t="s">
        <v>29</v>
      </c>
      <c r="O11" s="16"/>
      <c r="P11" s="16"/>
      <c r="Q11" s="17" t="s">
        <v>28</v>
      </c>
      <c r="R11" s="16" t="s">
        <v>28</v>
      </c>
      <c r="S11" s="16" t="s">
        <v>59</v>
      </c>
      <c r="T11" s="16" t="s">
        <v>25</v>
      </c>
      <c r="U11" s="16"/>
      <c r="V11" s="16" t="s">
        <v>58</v>
      </c>
      <c r="W11" s="17" t="s">
        <v>28</v>
      </c>
      <c r="X11" s="16" t="s">
        <v>28</v>
      </c>
      <c r="Y11" s="16" t="s">
        <v>28</v>
      </c>
      <c r="Z11" s="12" t="s">
        <v>48</v>
      </c>
    </row>
    <row r="12" customFormat="false" ht="15.75" hidden="false" customHeight="false" outlineLevel="0" collapsed="false">
      <c r="A12" s="19" t="n">
        <v>8307</v>
      </c>
      <c r="B12" s="22" t="n">
        <v>45667</v>
      </c>
      <c r="C12" s="16" t="s">
        <v>53</v>
      </c>
      <c r="D12" s="16" t="s">
        <v>24</v>
      </c>
      <c r="E12" s="16" t="s">
        <v>25</v>
      </c>
      <c r="F12" s="16" t="s">
        <v>60</v>
      </c>
      <c r="G12" s="16" t="s">
        <v>61</v>
      </c>
      <c r="H12" s="17" t="s">
        <v>28</v>
      </c>
      <c r="I12" s="16"/>
      <c r="J12" s="16" t="s">
        <v>28</v>
      </c>
      <c r="K12" s="16" t="s">
        <v>29</v>
      </c>
      <c r="L12" s="16" t="s">
        <v>29</v>
      </c>
      <c r="M12" s="16" t="s">
        <v>29</v>
      </c>
      <c r="N12" s="16" t="s">
        <v>29</v>
      </c>
      <c r="O12" s="16"/>
      <c r="P12" s="16"/>
      <c r="Q12" s="16" t="s">
        <v>28</v>
      </c>
      <c r="R12" s="17" t="s">
        <v>28</v>
      </c>
      <c r="S12" s="16" t="s">
        <v>59</v>
      </c>
      <c r="T12" s="16" t="s">
        <v>25</v>
      </c>
      <c r="U12" s="16"/>
      <c r="V12" s="16" t="s">
        <v>31</v>
      </c>
      <c r="W12" s="17" t="s">
        <v>28</v>
      </c>
      <c r="X12" s="17" t="s">
        <v>28</v>
      </c>
      <c r="Y12" s="16" t="s">
        <v>28</v>
      </c>
      <c r="Z12" s="12" t="s">
        <v>48</v>
      </c>
    </row>
    <row r="13" customFormat="false" ht="15.75" hidden="false" customHeight="false" outlineLevel="0" collapsed="false">
      <c r="A13" s="19" t="n">
        <v>8308</v>
      </c>
      <c r="B13" s="14" t="n">
        <v>45671</v>
      </c>
      <c r="C13" s="16" t="s">
        <v>62</v>
      </c>
      <c r="D13" s="16" t="s">
        <v>24</v>
      </c>
      <c r="E13" s="16" t="s">
        <v>34</v>
      </c>
      <c r="F13" s="16" t="s">
        <v>63</v>
      </c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 t="s">
        <v>37</v>
      </c>
      <c r="R13" s="16" t="s">
        <v>37</v>
      </c>
      <c r="S13" s="16"/>
      <c r="T13" s="16"/>
      <c r="U13" s="16"/>
      <c r="V13" s="16"/>
      <c r="W13" s="16" t="s">
        <v>37</v>
      </c>
      <c r="X13" s="16" t="s">
        <v>37</v>
      </c>
      <c r="Y13" s="16" t="s">
        <v>28</v>
      </c>
      <c r="Z13" s="12" t="s">
        <v>32</v>
      </c>
    </row>
    <row r="14" customFormat="false" ht="15.75" hidden="false" customHeight="false" outlineLevel="0" collapsed="false">
      <c r="A14" s="19" t="n">
        <v>8309</v>
      </c>
      <c r="B14" s="14" t="n">
        <v>45671</v>
      </c>
      <c r="C14" s="16" t="s">
        <v>50</v>
      </c>
      <c r="D14" s="16" t="s">
        <v>24</v>
      </c>
      <c r="E14" s="16" t="s">
        <v>34</v>
      </c>
      <c r="F14" s="16" t="s">
        <v>64</v>
      </c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 t="s">
        <v>37</v>
      </c>
      <c r="R14" s="16" t="s">
        <v>37</v>
      </c>
      <c r="S14" s="16"/>
      <c r="T14" s="16"/>
      <c r="U14" s="16"/>
      <c r="V14" s="16"/>
      <c r="W14" s="16" t="s">
        <v>37</v>
      </c>
      <c r="X14" s="16" t="s">
        <v>37</v>
      </c>
      <c r="Y14" s="16" t="s">
        <v>28</v>
      </c>
      <c r="Z14" s="12" t="s">
        <v>32</v>
      </c>
    </row>
    <row r="15" customFormat="false" ht="15.75" hidden="false" customHeight="false" outlineLevel="0" collapsed="false">
      <c r="A15" s="19" t="n">
        <v>8310</v>
      </c>
      <c r="B15" s="14" t="n">
        <v>45671</v>
      </c>
      <c r="C15" s="16" t="s">
        <v>50</v>
      </c>
      <c r="D15" s="16" t="s">
        <v>24</v>
      </c>
      <c r="E15" s="16" t="s">
        <v>34</v>
      </c>
      <c r="F15" s="16" t="s">
        <v>64</v>
      </c>
      <c r="G15" s="16"/>
      <c r="H15" s="16"/>
      <c r="I15" s="16"/>
      <c r="J15" s="16"/>
      <c r="K15" s="16"/>
      <c r="L15" s="16"/>
      <c r="M15" s="16"/>
      <c r="N15" s="23"/>
      <c r="O15" s="16"/>
      <c r="P15" s="16"/>
      <c r="Q15" s="16" t="s">
        <v>37</v>
      </c>
      <c r="R15" s="16" t="s">
        <v>37</v>
      </c>
      <c r="S15" s="16"/>
      <c r="T15" s="16"/>
      <c r="U15" s="16"/>
      <c r="V15" s="16"/>
      <c r="W15" s="16" t="s">
        <v>37</v>
      </c>
      <c r="X15" s="16" t="s">
        <v>37</v>
      </c>
      <c r="Y15" s="16" t="s">
        <v>28</v>
      </c>
      <c r="Z15" s="12" t="s">
        <v>32</v>
      </c>
    </row>
    <row r="16" customFormat="false" ht="15.75" hidden="false" customHeight="false" outlineLevel="0" collapsed="false">
      <c r="A16" s="19" t="n">
        <v>8311</v>
      </c>
      <c r="B16" s="14" t="n">
        <v>45671</v>
      </c>
      <c r="C16" s="16" t="s">
        <v>50</v>
      </c>
      <c r="D16" s="16" t="s">
        <v>24</v>
      </c>
      <c r="E16" s="16" t="s">
        <v>34</v>
      </c>
      <c r="F16" s="16" t="s">
        <v>64</v>
      </c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 t="s">
        <v>37</v>
      </c>
      <c r="R16" s="16" t="s">
        <v>37</v>
      </c>
      <c r="S16" s="16"/>
      <c r="T16" s="16"/>
      <c r="U16" s="16"/>
      <c r="V16" s="16"/>
      <c r="W16" s="16" t="s">
        <v>37</v>
      </c>
      <c r="X16" s="16" t="s">
        <v>37</v>
      </c>
      <c r="Y16" s="16" t="s">
        <v>28</v>
      </c>
      <c r="Z16" s="12" t="s">
        <v>32</v>
      </c>
    </row>
    <row r="17" customFormat="false" ht="15.75" hidden="false" customHeight="false" outlineLevel="0" collapsed="false">
      <c r="A17" s="19" t="n">
        <v>8312</v>
      </c>
      <c r="B17" s="14" t="n">
        <v>45671</v>
      </c>
      <c r="C17" s="16" t="s">
        <v>50</v>
      </c>
      <c r="D17" s="16" t="s">
        <v>24</v>
      </c>
      <c r="E17" s="16" t="s">
        <v>34</v>
      </c>
      <c r="F17" s="16" t="s">
        <v>64</v>
      </c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 t="s">
        <v>37</v>
      </c>
      <c r="R17" s="16" t="s">
        <v>37</v>
      </c>
      <c r="S17" s="16"/>
      <c r="T17" s="16"/>
      <c r="U17" s="16"/>
      <c r="V17" s="16"/>
      <c r="W17" s="16" t="s">
        <v>37</v>
      </c>
      <c r="X17" s="16" t="s">
        <v>37</v>
      </c>
      <c r="Y17" s="16" t="s">
        <v>28</v>
      </c>
      <c r="Z17" s="12" t="s">
        <v>32</v>
      </c>
    </row>
    <row r="18" customFormat="false" ht="15.75" hidden="false" customHeight="false" outlineLevel="0" collapsed="false">
      <c r="A18" s="19" t="n">
        <v>8313</v>
      </c>
      <c r="B18" s="14" t="n">
        <v>45672</v>
      </c>
      <c r="C18" s="16" t="s">
        <v>65</v>
      </c>
      <c r="D18" s="16" t="s">
        <v>24</v>
      </c>
      <c r="E18" s="16" t="s">
        <v>25</v>
      </c>
      <c r="F18" s="16" t="s">
        <v>66</v>
      </c>
      <c r="G18" s="16"/>
      <c r="H18" s="17" t="s">
        <v>28</v>
      </c>
      <c r="I18" s="16"/>
      <c r="J18" s="16" t="s">
        <v>28</v>
      </c>
      <c r="K18" s="16" t="s">
        <v>29</v>
      </c>
      <c r="L18" s="16" t="s">
        <v>29</v>
      </c>
      <c r="M18" s="16" t="s">
        <v>29</v>
      </c>
      <c r="N18" s="16" t="n">
        <v>72360</v>
      </c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 t="s">
        <v>28</v>
      </c>
      <c r="Z18" s="12" t="s">
        <v>48</v>
      </c>
    </row>
    <row r="19" customFormat="false" ht="15.75" hidden="false" customHeight="false" outlineLevel="0" collapsed="false">
      <c r="A19" s="19" t="n">
        <v>8314</v>
      </c>
      <c r="B19" s="14" t="n">
        <v>45673</v>
      </c>
      <c r="C19" s="16" t="s">
        <v>67</v>
      </c>
      <c r="D19" s="16" t="s">
        <v>24</v>
      </c>
      <c r="E19" s="16" t="s">
        <v>25</v>
      </c>
      <c r="F19" s="16" t="s">
        <v>68</v>
      </c>
      <c r="G19" s="16" t="s">
        <v>69</v>
      </c>
      <c r="H19" s="17" t="s">
        <v>28</v>
      </c>
      <c r="I19" s="16"/>
      <c r="J19" s="16" t="s">
        <v>28</v>
      </c>
      <c r="K19" s="16" t="s">
        <v>29</v>
      </c>
      <c r="L19" s="16" t="s">
        <v>29</v>
      </c>
      <c r="M19" s="16" t="s">
        <v>29</v>
      </c>
      <c r="N19" s="16" t="s">
        <v>29</v>
      </c>
      <c r="O19" s="16"/>
      <c r="P19" s="16"/>
      <c r="Q19" s="17" t="s">
        <v>28</v>
      </c>
      <c r="R19" s="17" t="s">
        <v>28</v>
      </c>
      <c r="S19" s="16" t="s">
        <v>59</v>
      </c>
      <c r="T19" s="16" t="s">
        <v>30</v>
      </c>
      <c r="U19" s="16"/>
      <c r="V19" s="16" t="s">
        <v>31</v>
      </c>
      <c r="W19" s="17" t="s">
        <v>28</v>
      </c>
      <c r="X19" s="17" t="s">
        <v>28</v>
      </c>
      <c r="Y19" s="16"/>
      <c r="Z19" s="12"/>
    </row>
    <row r="20" customFormat="false" ht="15.75" hidden="false" customHeight="false" outlineLevel="0" collapsed="false">
      <c r="A20" s="24" t="n">
        <v>8315</v>
      </c>
      <c r="B20" s="14" t="n">
        <v>45673</v>
      </c>
      <c r="C20" s="25" t="s">
        <v>70</v>
      </c>
      <c r="D20" s="16" t="s">
        <v>24</v>
      </c>
      <c r="E20" s="16" t="s">
        <v>25</v>
      </c>
      <c r="F20" s="16" t="s">
        <v>71</v>
      </c>
      <c r="G20" s="16" t="s">
        <v>72</v>
      </c>
      <c r="H20" s="17" t="s">
        <v>28</v>
      </c>
      <c r="I20" s="16"/>
      <c r="J20" s="16" t="s">
        <v>28</v>
      </c>
      <c r="K20" s="25" t="s">
        <v>29</v>
      </c>
      <c r="L20" s="25" t="s">
        <v>29</v>
      </c>
      <c r="M20" s="25" t="s">
        <v>29</v>
      </c>
      <c r="N20" s="25" t="s">
        <v>29</v>
      </c>
      <c r="O20" s="25"/>
      <c r="P20" s="25"/>
      <c r="Q20" s="25" t="s">
        <v>28</v>
      </c>
      <c r="R20" s="26" t="s">
        <v>28</v>
      </c>
      <c r="S20" s="16" t="s">
        <v>73</v>
      </c>
      <c r="T20" s="25" t="s">
        <v>74</v>
      </c>
      <c r="U20" s="25" t="s">
        <v>36</v>
      </c>
      <c r="V20" s="25" t="s">
        <v>74</v>
      </c>
      <c r="W20" s="26" t="s">
        <v>28</v>
      </c>
      <c r="X20" s="26" t="s">
        <v>28</v>
      </c>
      <c r="Y20" s="25"/>
      <c r="Z20" s="12"/>
    </row>
    <row r="21" customFormat="false" ht="15.75" hidden="false" customHeight="false" outlineLevel="0" collapsed="false">
      <c r="A21" s="19" t="n">
        <v>8316</v>
      </c>
      <c r="B21" s="14" t="n">
        <v>45674</v>
      </c>
      <c r="C21" s="16" t="s">
        <v>75</v>
      </c>
      <c r="D21" s="16" t="s">
        <v>24</v>
      </c>
      <c r="E21" s="16" t="s">
        <v>25</v>
      </c>
      <c r="F21" s="16" t="s">
        <v>76</v>
      </c>
      <c r="G21" s="25"/>
      <c r="H21" s="16" t="s">
        <v>28</v>
      </c>
      <c r="I21" s="16"/>
      <c r="J21" s="16" t="s">
        <v>28</v>
      </c>
      <c r="K21" s="16" t="s">
        <v>29</v>
      </c>
      <c r="L21" s="16" t="s">
        <v>29</v>
      </c>
      <c r="M21" s="16" t="s">
        <v>29</v>
      </c>
      <c r="N21" s="16" t="s">
        <v>77</v>
      </c>
      <c r="O21" s="16"/>
      <c r="P21" s="16"/>
      <c r="Q21" s="16" t="s">
        <v>37</v>
      </c>
      <c r="R21" s="16" t="s">
        <v>37</v>
      </c>
      <c r="S21" s="16"/>
      <c r="T21" s="16"/>
      <c r="U21" s="25"/>
      <c r="V21" s="16"/>
      <c r="W21" s="16" t="s">
        <v>37</v>
      </c>
      <c r="X21" s="16" t="s">
        <v>37</v>
      </c>
      <c r="Y21" s="16" t="s">
        <v>37</v>
      </c>
      <c r="Z21" s="12" t="s">
        <v>40</v>
      </c>
    </row>
    <row r="22" customFormat="false" ht="15.75" hidden="false" customHeight="false" outlineLevel="0" collapsed="false">
      <c r="A22" s="19" t="n">
        <v>8317</v>
      </c>
      <c r="B22" s="14" t="n">
        <v>45674</v>
      </c>
      <c r="C22" s="16" t="s">
        <v>78</v>
      </c>
      <c r="D22" s="16" t="s">
        <v>24</v>
      </c>
      <c r="E22" s="16" t="s">
        <v>25</v>
      </c>
      <c r="F22" s="16" t="s">
        <v>79</v>
      </c>
      <c r="G22" s="25"/>
      <c r="H22" s="16" t="s">
        <v>28</v>
      </c>
      <c r="I22" s="16"/>
      <c r="J22" s="16" t="s">
        <v>28</v>
      </c>
      <c r="K22" s="16" t="s">
        <v>29</v>
      </c>
      <c r="L22" s="16" t="s">
        <v>29</v>
      </c>
      <c r="M22" s="16" t="s">
        <v>29</v>
      </c>
      <c r="N22" s="16" t="s">
        <v>77</v>
      </c>
      <c r="O22" s="16"/>
      <c r="P22" s="16"/>
      <c r="Q22" s="16" t="s">
        <v>37</v>
      </c>
      <c r="R22" s="16" t="s">
        <v>37</v>
      </c>
      <c r="S22" s="16"/>
      <c r="T22" s="16"/>
      <c r="U22" s="16"/>
      <c r="V22" s="16"/>
      <c r="W22" s="16"/>
      <c r="X22" s="16"/>
      <c r="Y22" s="16" t="s">
        <v>37</v>
      </c>
      <c r="Z22" s="12" t="s">
        <v>40</v>
      </c>
    </row>
    <row r="23" customFormat="false" ht="15.75" hidden="false" customHeight="false" outlineLevel="0" collapsed="false">
      <c r="A23" s="19" t="n">
        <v>8318</v>
      </c>
      <c r="B23" s="14" t="n">
        <v>45674</v>
      </c>
      <c r="C23" s="16" t="s">
        <v>78</v>
      </c>
      <c r="D23" s="16" t="s">
        <v>24</v>
      </c>
      <c r="E23" s="16" t="s">
        <v>25</v>
      </c>
      <c r="F23" s="16" t="s">
        <v>80</v>
      </c>
      <c r="G23" s="16"/>
      <c r="H23" s="16" t="s">
        <v>28</v>
      </c>
      <c r="I23" s="16"/>
      <c r="J23" s="16" t="s">
        <v>37</v>
      </c>
      <c r="K23" s="16" t="s">
        <v>29</v>
      </c>
      <c r="L23" s="16" t="s">
        <v>29</v>
      </c>
      <c r="M23" s="16" t="s">
        <v>29</v>
      </c>
      <c r="N23" s="16" t="s">
        <v>77</v>
      </c>
      <c r="O23" s="16"/>
      <c r="P23" s="16"/>
      <c r="Q23" s="16" t="s">
        <v>37</v>
      </c>
      <c r="R23" s="16" t="s">
        <v>37</v>
      </c>
      <c r="S23" s="16"/>
      <c r="T23" s="16"/>
      <c r="U23" s="16"/>
      <c r="V23" s="16"/>
      <c r="W23" s="16" t="s">
        <v>37</v>
      </c>
      <c r="X23" s="16" t="s">
        <v>37</v>
      </c>
      <c r="Y23" s="16" t="s">
        <v>37</v>
      </c>
      <c r="Z23" s="12" t="s">
        <v>40</v>
      </c>
    </row>
    <row r="24" customFormat="false" ht="15.75" hidden="false" customHeight="false" outlineLevel="0" collapsed="false">
      <c r="A24" s="13" t="n">
        <v>8319</v>
      </c>
      <c r="B24" s="14" t="n">
        <v>45677</v>
      </c>
      <c r="C24" s="16" t="s">
        <v>70</v>
      </c>
      <c r="D24" s="16" t="s">
        <v>24</v>
      </c>
      <c r="E24" s="16" t="s">
        <v>25</v>
      </c>
      <c r="F24" s="16" t="s">
        <v>81</v>
      </c>
      <c r="G24" s="16"/>
      <c r="H24" s="17" t="s">
        <v>28</v>
      </c>
      <c r="I24" s="16"/>
      <c r="J24" s="16" t="s">
        <v>28</v>
      </c>
      <c r="K24" s="16" t="s">
        <v>29</v>
      </c>
      <c r="L24" s="16" t="s">
        <v>29</v>
      </c>
      <c r="M24" s="16" t="s">
        <v>29</v>
      </c>
      <c r="N24" s="16" t="s">
        <v>29</v>
      </c>
      <c r="O24" s="16"/>
      <c r="P24" s="16"/>
      <c r="Q24" s="16"/>
      <c r="R24" s="16"/>
      <c r="S24" s="16"/>
      <c r="T24" s="16"/>
      <c r="U24" s="16"/>
      <c r="V24" s="12"/>
      <c r="W24" s="16"/>
      <c r="X24" s="16"/>
      <c r="Y24" s="16"/>
      <c r="Z24" s="12"/>
    </row>
    <row r="25" customFormat="false" ht="15.75" hidden="false" customHeight="false" outlineLevel="0" collapsed="false">
      <c r="A25" s="13" t="n">
        <v>8320</v>
      </c>
      <c r="B25" s="22" t="n">
        <v>45678</v>
      </c>
      <c r="C25" s="16" t="s">
        <v>82</v>
      </c>
      <c r="D25" s="16" t="s">
        <v>24</v>
      </c>
      <c r="E25" s="16" t="s">
        <v>34</v>
      </c>
      <c r="F25" s="16" t="s">
        <v>83</v>
      </c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 t="s">
        <v>37</v>
      </c>
      <c r="R25" s="16" t="s">
        <v>37</v>
      </c>
      <c r="S25" s="16"/>
      <c r="T25" s="16"/>
      <c r="U25" s="16"/>
      <c r="V25" s="16"/>
      <c r="W25" s="16" t="s">
        <v>37</v>
      </c>
      <c r="X25" s="16" t="s">
        <v>37</v>
      </c>
      <c r="Y25" s="16" t="s">
        <v>28</v>
      </c>
      <c r="Z25" s="12" t="s">
        <v>32</v>
      </c>
    </row>
    <row r="26" customFormat="false" ht="15.75" hidden="false" customHeight="false" outlineLevel="0" collapsed="false">
      <c r="A26" s="24" t="n">
        <v>8321</v>
      </c>
      <c r="B26" s="14" t="n">
        <v>45678</v>
      </c>
      <c r="C26" s="25" t="s">
        <v>84</v>
      </c>
      <c r="D26" s="16" t="s">
        <v>24</v>
      </c>
      <c r="E26" s="16" t="s">
        <v>34</v>
      </c>
      <c r="F26" s="25" t="s">
        <v>85</v>
      </c>
      <c r="G26" s="16" t="s">
        <v>86</v>
      </c>
      <c r="H26" s="16" t="s">
        <v>37</v>
      </c>
      <c r="I26" s="16"/>
      <c r="J26" s="16" t="s">
        <v>37</v>
      </c>
      <c r="K26" s="16"/>
      <c r="L26" s="16"/>
      <c r="M26" s="16"/>
      <c r="N26" s="16"/>
      <c r="O26" s="16"/>
      <c r="P26" s="16"/>
      <c r="Q26" s="16" t="s">
        <v>37</v>
      </c>
      <c r="R26" s="16" t="s">
        <v>37</v>
      </c>
      <c r="S26" s="16"/>
      <c r="T26" s="16"/>
      <c r="U26" s="16"/>
      <c r="V26" s="16"/>
      <c r="W26" s="16" t="s">
        <v>37</v>
      </c>
      <c r="X26" s="16" t="s">
        <v>37</v>
      </c>
      <c r="Y26" s="16" t="s">
        <v>28</v>
      </c>
      <c r="Z26" s="12" t="s">
        <v>32</v>
      </c>
    </row>
    <row r="27" customFormat="false" ht="15.75" hidden="false" customHeight="false" outlineLevel="0" collapsed="false">
      <c r="A27" s="13" t="n">
        <v>8322</v>
      </c>
      <c r="B27" s="14" t="n">
        <v>45678</v>
      </c>
      <c r="C27" s="25" t="s">
        <v>87</v>
      </c>
      <c r="D27" s="16" t="s">
        <v>24</v>
      </c>
      <c r="E27" s="16" t="s">
        <v>34</v>
      </c>
      <c r="F27" s="16" t="s">
        <v>88</v>
      </c>
      <c r="G27" s="16"/>
      <c r="H27" s="16" t="s">
        <v>37</v>
      </c>
      <c r="I27" s="16"/>
      <c r="J27" s="16" t="s">
        <v>37</v>
      </c>
      <c r="K27" s="16"/>
      <c r="L27" s="16"/>
      <c r="M27" s="16"/>
      <c r="N27" s="16"/>
      <c r="O27" s="16"/>
      <c r="P27" s="16"/>
      <c r="Q27" s="16" t="s">
        <v>37</v>
      </c>
      <c r="R27" s="16" t="s">
        <v>37</v>
      </c>
      <c r="S27" s="16"/>
      <c r="T27" s="16"/>
      <c r="U27" s="16"/>
      <c r="V27" s="16"/>
      <c r="W27" s="16" t="s">
        <v>37</v>
      </c>
      <c r="X27" s="16" t="s">
        <v>37</v>
      </c>
      <c r="Y27" s="16" t="s">
        <v>28</v>
      </c>
      <c r="Z27" s="12" t="s">
        <v>32</v>
      </c>
    </row>
    <row r="28" customFormat="false" ht="15.75" hidden="false" customHeight="false" outlineLevel="0" collapsed="false">
      <c r="A28" s="13" t="n">
        <v>8323</v>
      </c>
      <c r="B28" s="14" t="n">
        <v>45679</v>
      </c>
      <c r="C28" s="25" t="s">
        <v>89</v>
      </c>
      <c r="D28" s="16" t="s">
        <v>24</v>
      </c>
      <c r="E28" s="16" t="s">
        <v>34</v>
      </c>
      <c r="F28" s="16" t="s">
        <v>90</v>
      </c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 t="s">
        <v>28</v>
      </c>
      <c r="Z28" s="12" t="s">
        <v>32</v>
      </c>
    </row>
    <row r="29" customFormat="false" ht="15.75" hidden="false" customHeight="false" outlineLevel="0" collapsed="false">
      <c r="A29" s="13" t="n">
        <v>8324</v>
      </c>
      <c r="B29" s="14" t="n">
        <v>45679</v>
      </c>
      <c r="C29" s="25" t="s">
        <v>91</v>
      </c>
      <c r="D29" s="16" t="s">
        <v>24</v>
      </c>
      <c r="E29" s="25" t="s">
        <v>25</v>
      </c>
      <c r="F29" s="16" t="s">
        <v>92</v>
      </c>
      <c r="G29" s="16"/>
      <c r="H29" s="17" t="s">
        <v>28</v>
      </c>
      <c r="I29" s="16"/>
      <c r="J29" s="16" t="s">
        <v>28</v>
      </c>
      <c r="K29" s="16" t="s">
        <v>29</v>
      </c>
      <c r="L29" s="16" t="s">
        <v>29</v>
      </c>
      <c r="M29" s="16" t="s">
        <v>29</v>
      </c>
      <c r="N29" s="16" t="s">
        <v>29</v>
      </c>
      <c r="O29" s="16"/>
      <c r="P29" s="16"/>
      <c r="Q29" s="16"/>
      <c r="R29" s="16"/>
      <c r="S29" s="16"/>
      <c r="T29" s="16"/>
      <c r="U29" s="16"/>
      <c r="V29" s="16" t="s">
        <v>74</v>
      </c>
      <c r="W29" s="17" t="s">
        <v>28</v>
      </c>
      <c r="X29" s="17" t="s">
        <v>28</v>
      </c>
      <c r="Y29" s="16" t="s">
        <v>28</v>
      </c>
      <c r="Z29" s="12" t="s">
        <v>32</v>
      </c>
    </row>
    <row r="30" customFormat="false" ht="15.75" hidden="false" customHeight="false" outlineLevel="0" collapsed="false">
      <c r="A30" s="13" t="n">
        <v>8325</v>
      </c>
      <c r="B30" s="14" t="n">
        <v>45680</v>
      </c>
      <c r="C30" s="25" t="s">
        <v>93</v>
      </c>
      <c r="D30" s="16" t="s">
        <v>24</v>
      </c>
      <c r="E30" s="25" t="s">
        <v>34</v>
      </c>
      <c r="F30" s="16" t="s">
        <v>94</v>
      </c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 t="s">
        <v>28</v>
      </c>
      <c r="Z30" s="12" t="s">
        <v>32</v>
      </c>
    </row>
    <row r="31" customFormat="false" ht="15.75" hidden="false" customHeight="false" outlineLevel="0" collapsed="false">
      <c r="A31" s="13" t="n">
        <v>8326</v>
      </c>
      <c r="B31" s="22" t="n">
        <v>45681</v>
      </c>
      <c r="C31" s="25" t="s">
        <v>95</v>
      </c>
      <c r="D31" s="16" t="s">
        <v>24</v>
      </c>
      <c r="E31" s="25" t="s">
        <v>30</v>
      </c>
      <c r="F31" s="16" t="s">
        <v>96</v>
      </c>
      <c r="G31" s="16" t="s">
        <v>97</v>
      </c>
      <c r="H31" s="17" t="s">
        <v>28</v>
      </c>
      <c r="I31" s="16"/>
      <c r="J31" s="16" t="s">
        <v>28</v>
      </c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 t="s">
        <v>58</v>
      </c>
      <c r="W31" s="17" t="s">
        <v>28</v>
      </c>
      <c r="X31" s="17" t="s">
        <v>28</v>
      </c>
      <c r="Y31" s="16" t="s">
        <v>37</v>
      </c>
      <c r="Z31" s="12" t="s">
        <v>40</v>
      </c>
    </row>
    <row r="32" customFormat="false" ht="15.75" hidden="false" customHeight="false" outlineLevel="0" collapsed="false">
      <c r="A32" s="13" t="n">
        <v>8327</v>
      </c>
      <c r="B32" s="14" t="n">
        <v>45684</v>
      </c>
      <c r="C32" s="16" t="s">
        <v>98</v>
      </c>
      <c r="D32" s="16" t="s">
        <v>24</v>
      </c>
      <c r="E32" s="25" t="s">
        <v>25</v>
      </c>
      <c r="F32" s="16" t="s">
        <v>99</v>
      </c>
      <c r="G32" s="16" t="s">
        <v>100</v>
      </c>
      <c r="H32" s="27" t="s">
        <v>28</v>
      </c>
      <c r="I32" s="16"/>
      <c r="J32" s="16" t="s">
        <v>28</v>
      </c>
      <c r="K32" s="16" t="s">
        <v>29</v>
      </c>
      <c r="L32" s="16" t="s">
        <v>29</v>
      </c>
      <c r="M32" s="16" t="s">
        <v>29</v>
      </c>
      <c r="N32" s="16" t="s">
        <v>29</v>
      </c>
      <c r="O32" s="16" t="s">
        <v>101</v>
      </c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2"/>
    </row>
    <row r="33" customFormat="false" ht="15.75" hidden="false" customHeight="false" outlineLevel="0" collapsed="false">
      <c r="A33" s="13" t="n">
        <v>8328</v>
      </c>
      <c r="B33" s="14" t="n">
        <v>45684</v>
      </c>
      <c r="C33" s="16" t="s">
        <v>102</v>
      </c>
      <c r="D33" s="16" t="s">
        <v>24</v>
      </c>
      <c r="E33" s="25" t="s">
        <v>25</v>
      </c>
      <c r="F33" s="16" t="s">
        <v>103</v>
      </c>
      <c r="G33" s="16" t="s">
        <v>104</v>
      </c>
      <c r="H33" s="17" t="s">
        <v>28</v>
      </c>
      <c r="I33" s="16"/>
      <c r="J33" s="16" t="s">
        <v>28</v>
      </c>
      <c r="K33" s="16" t="s">
        <v>29</v>
      </c>
      <c r="L33" s="16" t="s">
        <v>29</v>
      </c>
      <c r="M33" s="16" t="s">
        <v>29</v>
      </c>
      <c r="N33" s="16" t="s">
        <v>105</v>
      </c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2"/>
    </row>
    <row r="34" customFormat="false" ht="15.75" hidden="false" customHeight="false" outlineLevel="0" collapsed="false">
      <c r="A34" s="13" t="n">
        <v>8329</v>
      </c>
      <c r="B34" s="14" t="n">
        <v>45684</v>
      </c>
      <c r="C34" s="16" t="s">
        <v>102</v>
      </c>
      <c r="D34" s="16" t="s">
        <v>24</v>
      </c>
      <c r="E34" s="25" t="s">
        <v>25</v>
      </c>
      <c r="F34" s="16" t="s">
        <v>106</v>
      </c>
      <c r="G34" s="16"/>
      <c r="H34" s="17" t="s">
        <v>28</v>
      </c>
      <c r="I34" s="16"/>
      <c r="J34" s="16" t="s">
        <v>28</v>
      </c>
      <c r="K34" s="16" t="s">
        <v>29</v>
      </c>
      <c r="L34" s="16" t="s">
        <v>29</v>
      </c>
      <c r="M34" s="16" t="s">
        <v>29</v>
      </c>
      <c r="N34" s="16" t="n">
        <v>110295</v>
      </c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2"/>
    </row>
    <row r="35" customFormat="false" ht="15.75" hidden="false" customHeight="false" outlineLevel="0" collapsed="false">
      <c r="A35" s="13" t="n">
        <v>8330</v>
      </c>
      <c r="B35" s="14" t="n">
        <v>45684</v>
      </c>
      <c r="C35" s="16" t="s">
        <v>102</v>
      </c>
      <c r="D35" s="16" t="s">
        <v>24</v>
      </c>
      <c r="E35" s="25" t="s">
        <v>25</v>
      </c>
      <c r="F35" s="16" t="s">
        <v>107</v>
      </c>
      <c r="G35" s="16"/>
      <c r="H35" s="17" t="s">
        <v>28</v>
      </c>
      <c r="I35" s="16"/>
      <c r="J35" s="16" t="s">
        <v>28</v>
      </c>
      <c r="K35" s="16" t="s">
        <v>29</v>
      </c>
      <c r="L35" s="16" t="s">
        <v>29</v>
      </c>
      <c r="M35" s="16" t="s">
        <v>29</v>
      </c>
      <c r="N35" s="16" t="n">
        <v>110296</v>
      </c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2"/>
    </row>
    <row r="36" customFormat="false" ht="15.75" hidden="false" customHeight="false" outlineLevel="0" collapsed="false">
      <c r="A36" s="13" t="n">
        <v>8331</v>
      </c>
      <c r="B36" s="14" t="n">
        <v>45684</v>
      </c>
      <c r="C36" s="16" t="s">
        <v>102</v>
      </c>
      <c r="D36" s="16" t="s">
        <v>24</v>
      </c>
      <c r="E36" s="25" t="s">
        <v>25</v>
      </c>
      <c r="F36" s="16" t="s">
        <v>108</v>
      </c>
      <c r="G36" s="16"/>
      <c r="H36" s="17" t="s">
        <v>28</v>
      </c>
      <c r="I36" s="16"/>
      <c r="J36" s="16" t="s">
        <v>28</v>
      </c>
      <c r="K36" s="16" t="s">
        <v>29</v>
      </c>
      <c r="L36" s="16" t="s">
        <v>29</v>
      </c>
      <c r="M36" s="16" t="s">
        <v>29</v>
      </c>
      <c r="N36" s="16" t="n">
        <v>110296</v>
      </c>
      <c r="O36" s="16"/>
      <c r="P36" s="18"/>
      <c r="Q36" s="16"/>
      <c r="R36" s="16"/>
      <c r="S36" s="16"/>
      <c r="T36" s="16"/>
      <c r="U36" s="16"/>
      <c r="V36" s="16"/>
      <c r="W36" s="16"/>
      <c r="X36" s="16"/>
      <c r="Y36" s="16"/>
      <c r="Z36" s="12"/>
    </row>
    <row r="37" customFormat="false" ht="15.75" hidden="false" customHeight="false" outlineLevel="0" collapsed="false">
      <c r="A37" s="13"/>
      <c r="B37" s="14"/>
      <c r="C37" s="16"/>
      <c r="D37" s="16"/>
      <c r="E37" s="25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8"/>
      <c r="Q37" s="16"/>
      <c r="R37" s="16"/>
      <c r="S37" s="16"/>
      <c r="T37" s="16"/>
      <c r="U37" s="16"/>
      <c r="V37" s="16"/>
      <c r="W37" s="16"/>
      <c r="X37" s="16"/>
      <c r="Y37" s="16"/>
      <c r="Z37" s="12"/>
    </row>
    <row r="38" customFormat="false" ht="15.75" hidden="false" customHeight="false" outlineLevel="0" collapsed="false">
      <c r="A38" s="13"/>
      <c r="B38" s="14"/>
      <c r="C38" s="16"/>
      <c r="D38" s="16"/>
      <c r="E38" s="25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8"/>
      <c r="Q38" s="16"/>
      <c r="R38" s="16"/>
      <c r="S38" s="16"/>
      <c r="T38" s="16"/>
      <c r="U38" s="16"/>
      <c r="V38" s="16"/>
      <c r="W38" s="16"/>
      <c r="X38" s="16"/>
      <c r="Y38" s="16"/>
      <c r="Z38" s="12"/>
    </row>
    <row r="39" customFormat="false" ht="15.75" hidden="false" customHeight="false" outlineLevel="0" collapsed="false">
      <c r="A39" s="28"/>
      <c r="B39" s="14"/>
      <c r="C39" s="21"/>
      <c r="D39" s="16"/>
      <c r="E39" s="16"/>
      <c r="F39" s="21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2"/>
    </row>
    <row r="40" customFormat="false" ht="15.75" hidden="false" customHeight="false" outlineLevel="0" collapsed="false">
      <c r="A40" s="13"/>
      <c r="B40" s="14"/>
      <c r="C40" s="21"/>
      <c r="D40" s="16"/>
      <c r="E40" s="16"/>
      <c r="F40" s="21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2"/>
    </row>
    <row r="41" customFormat="false" ht="15.75" hidden="false" customHeight="false" outlineLevel="0" collapsed="false">
      <c r="A41" s="13"/>
      <c r="B41" s="22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2"/>
    </row>
    <row r="42" customFormat="false" ht="15.75" hidden="false" customHeight="false" outlineLevel="0" collapsed="false">
      <c r="A42" s="13"/>
      <c r="B42" s="14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8"/>
      <c r="Q42" s="16"/>
      <c r="R42" s="16"/>
      <c r="S42" s="16"/>
      <c r="T42" s="16"/>
      <c r="U42" s="16"/>
      <c r="V42" s="16"/>
      <c r="W42" s="16"/>
      <c r="X42" s="16"/>
      <c r="Y42" s="16"/>
      <c r="Z42" s="12"/>
    </row>
    <row r="43" customFormat="false" ht="15.75" hidden="false" customHeight="false" outlineLevel="0" collapsed="false">
      <c r="A43" s="13"/>
      <c r="B43" s="14"/>
      <c r="C43" s="15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8"/>
      <c r="Q43" s="16"/>
      <c r="R43" s="16"/>
      <c r="S43" s="16"/>
      <c r="T43" s="16"/>
      <c r="U43" s="16"/>
      <c r="V43" s="16"/>
      <c r="W43" s="16"/>
      <c r="X43" s="16"/>
      <c r="Y43" s="16"/>
      <c r="Z43" s="12"/>
    </row>
    <row r="44" customFormat="false" ht="15.75" hidden="false" customHeight="false" outlineLevel="0" collapsed="false">
      <c r="A44" s="13"/>
      <c r="B44" s="14"/>
      <c r="C44" s="15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8"/>
      <c r="Q44" s="16"/>
      <c r="R44" s="16"/>
      <c r="S44" s="16"/>
      <c r="T44" s="16"/>
      <c r="U44" s="16"/>
      <c r="V44" s="16"/>
      <c r="W44" s="16"/>
      <c r="X44" s="16"/>
      <c r="Y44" s="16"/>
      <c r="Z44" s="12"/>
    </row>
    <row r="45" customFormat="false" ht="15.75" hidden="false" customHeight="false" outlineLevel="0" collapsed="false">
      <c r="A45" s="13"/>
      <c r="B45" s="14"/>
      <c r="C45" s="15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2"/>
    </row>
    <row r="46" customFormat="false" ht="15.75" hidden="false" customHeight="false" outlineLevel="0" collapsed="false">
      <c r="A46" s="13"/>
      <c r="B46" s="14"/>
      <c r="C46" s="21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2"/>
    </row>
    <row r="47" customFormat="false" ht="15.75" hidden="false" customHeight="false" outlineLevel="0" collapsed="false">
      <c r="A47" s="13"/>
      <c r="B47" s="14"/>
      <c r="C47" s="15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2"/>
    </row>
    <row r="48" customFormat="false" ht="15.75" hidden="false" customHeight="false" outlineLevel="0" collapsed="false">
      <c r="A48" s="13"/>
      <c r="B48" s="14"/>
      <c r="C48" s="15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2"/>
    </row>
    <row r="49" customFormat="false" ht="15.75" hidden="false" customHeight="false" outlineLevel="0" collapsed="false">
      <c r="A49" s="13"/>
      <c r="B49" s="14"/>
      <c r="C49" s="15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8"/>
      <c r="Q49" s="16"/>
      <c r="R49" s="16"/>
      <c r="S49" s="16"/>
      <c r="T49" s="16"/>
      <c r="U49" s="16"/>
      <c r="V49" s="16"/>
      <c r="W49" s="16"/>
      <c r="X49" s="16"/>
      <c r="Y49" s="16"/>
      <c r="Z49" s="12"/>
    </row>
    <row r="50" customFormat="false" ht="15.75" hidden="false" customHeight="false" outlineLevel="0" collapsed="false">
      <c r="A50" s="13"/>
      <c r="B50" s="14"/>
      <c r="C50" s="15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8"/>
      <c r="Q50" s="16"/>
      <c r="R50" s="16"/>
      <c r="S50" s="16"/>
      <c r="T50" s="16"/>
      <c r="U50" s="16"/>
      <c r="V50" s="16"/>
      <c r="W50" s="16"/>
      <c r="X50" s="16"/>
      <c r="Y50" s="16"/>
      <c r="Z50" s="12"/>
    </row>
    <row r="51" customFormat="false" ht="15.75" hidden="false" customHeight="false" outlineLevel="0" collapsed="false">
      <c r="A51" s="13"/>
      <c r="B51" s="14"/>
      <c r="C51" s="15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8"/>
      <c r="Q51" s="16"/>
      <c r="R51" s="16"/>
      <c r="S51" s="16"/>
      <c r="T51" s="16"/>
      <c r="U51" s="16"/>
      <c r="V51" s="16"/>
      <c r="W51" s="16"/>
      <c r="X51" s="16"/>
      <c r="Y51" s="16"/>
      <c r="Z51" s="12"/>
    </row>
    <row r="52" customFormat="false" ht="15.75" hidden="false" customHeight="false" outlineLevel="0" collapsed="false">
      <c r="A52" s="13"/>
      <c r="B52" s="14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2"/>
    </row>
    <row r="53" customFormat="false" ht="15.75" hidden="false" customHeight="false" outlineLevel="0" collapsed="false">
      <c r="A53" s="13"/>
      <c r="B53" s="14"/>
      <c r="C53" s="21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2"/>
    </row>
    <row r="54" customFormat="false" ht="15.75" hidden="false" customHeight="false" outlineLevel="0" collapsed="false">
      <c r="A54" s="13"/>
      <c r="B54" s="14"/>
      <c r="C54" s="15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2"/>
    </row>
    <row r="55" customFormat="false" ht="15.75" hidden="false" customHeight="false" outlineLevel="0" collapsed="false">
      <c r="A55" s="13"/>
      <c r="B55" s="14"/>
      <c r="C55" s="15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2"/>
    </row>
    <row r="56" customFormat="false" ht="15.75" hidden="false" customHeight="false" outlineLevel="0" collapsed="false">
      <c r="A56" s="13"/>
      <c r="B56" s="14"/>
      <c r="C56" s="15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8"/>
      <c r="Q56" s="16"/>
      <c r="R56" s="16"/>
      <c r="S56" s="16"/>
      <c r="T56" s="16"/>
      <c r="U56" s="16"/>
      <c r="V56" s="16"/>
      <c r="W56" s="16"/>
      <c r="X56" s="16"/>
      <c r="Y56" s="16"/>
      <c r="Z56" s="12"/>
    </row>
    <row r="57" customFormat="false" ht="15.75" hidden="false" customHeight="false" outlineLevel="0" collapsed="false">
      <c r="A57" s="13"/>
      <c r="B57" s="14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8"/>
      <c r="Q57" s="16"/>
      <c r="R57" s="16"/>
      <c r="S57" s="16"/>
      <c r="T57" s="16"/>
      <c r="U57" s="16"/>
      <c r="V57" s="16"/>
      <c r="W57" s="16"/>
      <c r="X57" s="16"/>
      <c r="Y57" s="16"/>
      <c r="Z57" s="12"/>
    </row>
    <row r="58" customFormat="false" ht="15.75" hidden="false" customHeight="false" outlineLevel="0" collapsed="false">
      <c r="A58" s="13"/>
      <c r="B58" s="14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8"/>
      <c r="Q58" s="16"/>
      <c r="R58" s="16"/>
      <c r="S58" s="16"/>
      <c r="T58" s="16"/>
      <c r="U58" s="16"/>
      <c r="V58" s="16"/>
      <c r="W58" s="16"/>
      <c r="X58" s="16"/>
      <c r="Y58" s="16"/>
      <c r="Z58" s="12"/>
    </row>
    <row r="59" customFormat="false" ht="15.75" hidden="false" customHeight="false" outlineLevel="0" collapsed="false">
      <c r="A59" s="21"/>
      <c r="B59" s="29"/>
      <c r="C59" s="21"/>
      <c r="D59" s="21"/>
      <c r="E59" s="21"/>
      <c r="F59" s="21"/>
      <c r="G59" s="30"/>
      <c r="H59" s="31"/>
      <c r="I59" s="31"/>
      <c r="J59" s="21"/>
      <c r="K59" s="21"/>
      <c r="L59" s="21"/>
      <c r="M59" s="21"/>
      <c r="N59" s="21"/>
      <c r="O59" s="21"/>
      <c r="P59" s="30"/>
      <c r="Q59" s="21"/>
      <c r="R59" s="21"/>
      <c r="S59" s="21"/>
      <c r="T59" s="32"/>
      <c r="U59" s="32"/>
      <c r="V59" s="21"/>
      <c r="W59" s="21"/>
      <c r="X59" s="21"/>
      <c r="Y59" s="21"/>
      <c r="Z59" s="12"/>
    </row>
    <row r="60" customFormat="false" ht="15.75" hidden="false" customHeight="false" outlineLevel="0" collapsed="false">
      <c r="A60" s="21"/>
      <c r="B60" s="29"/>
      <c r="C60" s="21"/>
      <c r="D60" s="21"/>
      <c r="E60" s="21"/>
      <c r="F60" s="21"/>
      <c r="G60" s="30"/>
      <c r="H60" s="31"/>
      <c r="I60" s="31"/>
      <c r="J60" s="21"/>
      <c r="K60" s="21"/>
      <c r="L60" s="21"/>
      <c r="M60" s="21"/>
      <c r="N60" s="21"/>
      <c r="O60" s="21"/>
      <c r="P60" s="30"/>
      <c r="Q60" s="21"/>
      <c r="R60" s="21"/>
      <c r="S60" s="21"/>
      <c r="T60" s="32"/>
      <c r="U60" s="32"/>
      <c r="V60" s="21"/>
      <c r="W60" s="21"/>
      <c r="X60" s="21"/>
      <c r="Y60" s="21"/>
      <c r="Z60" s="12"/>
    </row>
    <row r="61" customFormat="false" ht="15.75" hidden="false" customHeight="false" outlineLevel="0" collapsed="false">
      <c r="A61" s="21"/>
      <c r="B61" s="29"/>
      <c r="C61" s="21"/>
      <c r="D61" s="21"/>
      <c r="E61" s="21"/>
      <c r="F61" s="21"/>
      <c r="G61" s="30"/>
      <c r="H61" s="31"/>
      <c r="I61" s="31"/>
      <c r="J61" s="21"/>
      <c r="K61" s="21"/>
      <c r="L61" s="21"/>
      <c r="M61" s="21"/>
      <c r="N61" s="21"/>
      <c r="O61" s="21"/>
      <c r="P61" s="30"/>
      <c r="Q61" s="21"/>
      <c r="R61" s="21"/>
      <c r="S61" s="21"/>
      <c r="T61" s="32"/>
      <c r="U61" s="32"/>
      <c r="V61" s="21"/>
      <c r="W61" s="21"/>
      <c r="X61" s="21"/>
      <c r="Y61" s="21"/>
      <c r="Z61" s="12"/>
    </row>
    <row r="62" customFormat="false" ht="15.75" hidden="false" customHeight="false" outlineLevel="0" collapsed="false">
      <c r="A62" s="21"/>
      <c r="B62" s="29"/>
      <c r="C62" s="21"/>
      <c r="D62" s="21"/>
      <c r="E62" s="21"/>
      <c r="F62" s="21"/>
      <c r="G62" s="30"/>
      <c r="H62" s="31"/>
      <c r="I62" s="31"/>
      <c r="J62" s="21"/>
      <c r="K62" s="21"/>
      <c r="L62" s="21"/>
      <c r="M62" s="21"/>
      <c r="N62" s="21"/>
      <c r="O62" s="21"/>
      <c r="P62" s="30"/>
      <c r="Q62" s="21"/>
      <c r="R62" s="21"/>
      <c r="S62" s="21"/>
      <c r="T62" s="32"/>
      <c r="U62" s="32"/>
      <c r="V62" s="21"/>
      <c r="W62" s="21"/>
      <c r="X62" s="21"/>
      <c r="Y62" s="21"/>
      <c r="Z62" s="12"/>
    </row>
    <row r="63" customFormat="false" ht="15.75" hidden="false" customHeight="false" outlineLevel="0" collapsed="false">
      <c r="A63" s="21"/>
      <c r="B63" s="29"/>
      <c r="C63" s="21"/>
      <c r="D63" s="21"/>
      <c r="E63" s="21"/>
      <c r="F63" s="21"/>
      <c r="G63" s="30"/>
      <c r="H63" s="31"/>
      <c r="I63" s="31"/>
      <c r="J63" s="21"/>
      <c r="K63" s="21"/>
      <c r="L63" s="21"/>
      <c r="M63" s="21"/>
      <c r="N63" s="21"/>
      <c r="O63" s="21"/>
      <c r="P63" s="30"/>
      <c r="Q63" s="21"/>
      <c r="R63" s="21"/>
      <c r="S63" s="21"/>
      <c r="T63" s="32"/>
      <c r="U63" s="32"/>
      <c r="V63" s="21"/>
      <c r="W63" s="21"/>
      <c r="X63" s="21"/>
      <c r="Y63" s="21"/>
      <c r="Z63" s="12"/>
    </row>
    <row r="64" customFormat="false" ht="15.75" hidden="false" customHeight="false" outlineLevel="0" collapsed="false">
      <c r="A64" s="21"/>
      <c r="B64" s="33"/>
      <c r="C64" s="21"/>
      <c r="D64" s="21"/>
      <c r="E64" s="21"/>
      <c r="F64" s="21"/>
      <c r="G64" s="30"/>
      <c r="H64" s="31"/>
      <c r="I64" s="31"/>
      <c r="J64" s="21"/>
      <c r="K64" s="21"/>
      <c r="L64" s="21"/>
      <c r="M64" s="21"/>
      <c r="N64" s="21"/>
      <c r="O64" s="21"/>
      <c r="P64" s="30"/>
      <c r="Q64" s="21"/>
      <c r="R64" s="21"/>
      <c r="S64" s="21"/>
      <c r="T64" s="32"/>
      <c r="U64" s="32"/>
      <c r="V64" s="21"/>
      <c r="W64" s="21"/>
      <c r="X64" s="21"/>
      <c r="Y64" s="21"/>
      <c r="Z64" s="12"/>
    </row>
    <row r="65" customFormat="false" ht="15.75" hidden="false" customHeight="false" outlineLevel="0" collapsed="false">
      <c r="A65" s="21"/>
      <c r="B65" s="29"/>
      <c r="C65" s="21"/>
      <c r="D65" s="21"/>
      <c r="E65" s="21"/>
      <c r="F65" s="21"/>
      <c r="G65" s="30"/>
      <c r="H65" s="31"/>
      <c r="I65" s="31"/>
      <c r="J65" s="21"/>
      <c r="K65" s="21"/>
      <c r="L65" s="21"/>
      <c r="M65" s="21"/>
      <c r="N65" s="21"/>
      <c r="O65" s="21"/>
      <c r="P65" s="30"/>
      <c r="Q65" s="21"/>
      <c r="R65" s="21"/>
      <c r="S65" s="21"/>
      <c r="T65" s="32"/>
      <c r="U65" s="32"/>
      <c r="V65" s="21"/>
      <c r="W65" s="21"/>
      <c r="X65" s="21"/>
      <c r="Y65" s="21"/>
      <c r="Z65" s="12"/>
    </row>
    <row r="66" customFormat="false" ht="15.75" hidden="false" customHeight="false" outlineLevel="0" collapsed="false">
      <c r="A66" s="21"/>
      <c r="B66" s="29"/>
      <c r="C66" s="21"/>
      <c r="D66" s="21"/>
      <c r="E66" s="21"/>
      <c r="F66" s="21"/>
      <c r="G66" s="30"/>
      <c r="H66" s="31"/>
      <c r="I66" s="31"/>
      <c r="J66" s="21"/>
      <c r="K66" s="21"/>
      <c r="L66" s="21"/>
      <c r="M66" s="21"/>
      <c r="N66" s="21"/>
      <c r="O66" s="21"/>
      <c r="P66" s="30"/>
      <c r="Q66" s="21"/>
      <c r="R66" s="21"/>
      <c r="S66" s="21"/>
      <c r="T66" s="32"/>
      <c r="U66" s="32"/>
      <c r="V66" s="21"/>
      <c r="W66" s="21"/>
      <c r="X66" s="21"/>
      <c r="Y66" s="21"/>
      <c r="Z66" s="12"/>
    </row>
    <row r="67" customFormat="false" ht="15.75" hidden="false" customHeight="false" outlineLevel="0" collapsed="false">
      <c r="A67" s="21"/>
      <c r="B67" s="29"/>
      <c r="C67" s="21"/>
      <c r="D67" s="21"/>
      <c r="E67" s="21"/>
      <c r="F67" s="21"/>
      <c r="G67" s="30"/>
      <c r="H67" s="31"/>
      <c r="I67" s="31"/>
      <c r="J67" s="21"/>
      <c r="K67" s="21"/>
      <c r="L67" s="21"/>
      <c r="M67" s="21"/>
      <c r="N67" s="21"/>
      <c r="O67" s="21"/>
      <c r="P67" s="30"/>
      <c r="Q67" s="21"/>
      <c r="R67" s="21"/>
      <c r="S67" s="21"/>
      <c r="T67" s="32"/>
      <c r="U67" s="32"/>
      <c r="V67" s="21"/>
      <c r="W67" s="21"/>
      <c r="X67" s="21"/>
      <c r="Y67" s="21"/>
      <c r="Z67" s="12"/>
    </row>
    <row r="68" customFormat="false" ht="15.75" hidden="false" customHeight="false" outlineLevel="0" collapsed="false">
      <c r="B68" s="34"/>
      <c r="D68" s="12"/>
      <c r="E68" s="12"/>
      <c r="G68" s="18"/>
      <c r="H68" s="35"/>
      <c r="I68" s="35"/>
      <c r="J68" s="12"/>
      <c r="P68" s="18"/>
      <c r="Q68" s="12"/>
      <c r="R68" s="12"/>
      <c r="T68" s="36"/>
      <c r="U68" s="36"/>
      <c r="V68" s="12"/>
      <c r="W68" s="12"/>
      <c r="X68" s="12"/>
      <c r="Y68" s="12"/>
    </row>
    <row r="69" customFormat="false" ht="15.75" hidden="false" customHeight="false" outlineLevel="0" collapsed="false">
      <c r="B69" s="34"/>
      <c r="D69" s="12"/>
      <c r="E69" s="12"/>
      <c r="G69" s="18"/>
      <c r="H69" s="35"/>
      <c r="I69" s="35"/>
      <c r="J69" s="12"/>
      <c r="P69" s="18"/>
      <c r="Q69" s="12"/>
      <c r="R69" s="12"/>
      <c r="T69" s="36"/>
      <c r="U69" s="36"/>
      <c r="V69" s="12"/>
      <c r="W69" s="12"/>
      <c r="X69" s="12"/>
      <c r="Y69" s="12"/>
    </row>
    <row r="70" customFormat="false" ht="15.75" hidden="false" customHeight="false" outlineLevel="0" collapsed="false">
      <c r="B70" s="34"/>
      <c r="D70" s="12"/>
      <c r="E70" s="12"/>
      <c r="G70" s="18"/>
      <c r="H70" s="35"/>
      <c r="I70" s="35"/>
      <c r="J70" s="12"/>
      <c r="P70" s="18"/>
      <c r="Q70" s="12"/>
      <c r="R70" s="12"/>
      <c r="T70" s="36"/>
      <c r="U70" s="36"/>
      <c r="V70" s="12"/>
      <c r="W70" s="12"/>
      <c r="X70" s="12"/>
      <c r="Y70" s="12"/>
    </row>
    <row r="71" customFormat="false" ht="15.75" hidden="false" customHeight="false" outlineLevel="0" collapsed="false">
      <c r="B71" s="34"/>
      <c r="D71" s="12"/>
      <c r="E71" s="12"/>
      <c r="G71" s="18"/>
      <c r="H71" s="35"/>
      <c r="I71" s="35"/>
      <c r="J71" s="12"/>
      <c r="P71" s="18"/>
      <c r="Q71" s="12"/>
      <c r="R71" s="12"/>
      <c r="T71" s="36"/>
      <c r="U71" s="36"/>
      <c r="V71" s="12"/>
      <c r="W71" s="12"/>
      <c r="X71" s="12"/>
      <c r="Y71" s="12"/>
    </row>
    <row r="72" customFormat="false" ht="15.75" hidden="false" customHeight="false" outlineLevel="0" collapsed="false">
      <c r="B72" s="34"/>
      <c r="D72" s="12"/>
      <c r="E72" s="12"/>
      <c r="G72" s="18"/>
      <c r="H72" s="35"/>
      <c r="I72" s="35"/>
      <c r="J72" s="12"/>
      <c r="P72" s="18"/>
      <c r="Q72" s="12"/>
      <c r="R72" s="12"/>
      <c r="T72" s="36"/>
      <c r="U72" s="36"/>
      <c r="V72" s="12"/>
      <c r="W72" s="12"/>
      <c r="X72" s="12"/>
      <c r="Y72" s="12"/>
    </row>
    <row r="73" customFormat="false" ht="15.75" hidden="false" customHeight="false" outlineLevel="0" collapsed="false">
      <c r="B73" s="34"/>
      <c r="D73" s="12"/>
      <c r="E73" s="12"/>
      <c r="G73" s="18"/>
      <c r="H73" s="35"/>
      <c r="I73" s="35"/>
      <c r="J73" s="12"/>
      <c r="P73" s="18"/>
      <c r="Q73" s="12"/>
      <c r="R73" s="12"/>
      <c r="T73" s="36"/>
      <c r="U73" s="36"/>
      <c r="V73" s="12"/>
      <c r="W73" s="12"/>
      <c r="X73" s="12"/>
      <c r="Y73" s="12"/>
    </row>
    <row r="74" customFormat="false" ht="15.75" hidden="false" customHeight="false" outlineLevel="0" collapsed="false">
      <c r="B74" s="34"/>
      <c r="D74" s="12"/>
      <c r="E74" s="12"/>
      <c r="G74" s="18"/>
      <c r="H74" s="35"/>
      <c r="I74" s="35"/>
      <c r="J74" s="12"/>
      <c r="P74" s="18"/>
      <c r="Q74" s="12"/>
      <c r="R74" s="12"/>
      <c r="T74" s="36"/>
      <c r="U74" s="36"/>
      <c r="V74" s="12"/>
      <c r="W74" s="12"/>
      <c r="X74" s="12"/>
      <c r="Y74" s="12"/>
    </row>
    <row r="75" customFormat="false" ht="15.75" hidden="false" customHeight="false" outlineLevel="0" collapsed="false">
      <c r="B75" s="34"/>
      <c r="D75" s="12"/>
      <c r="E75" s="12"/>
      <c r="G75" s="18"/>
      <c r="H75" s="35"/>
      <c r="I75" s="35"/>
      <c r="J75" s="12"/>
      <c r="P75" s="18"/>
      <c r="Q75" s="12"/>
      <c r="R75" s="12"/>
      <c r="T75" s="36"/>
      <c r="U75" s="36"/>
      <c r="V75" s="12"/>
      <c r="W75" s="12"/>
      <c r="X75" s="12"/>
      <c r="Y75" s="12"/>
    </row>
    <row r="76" customFormat="false" ht="15.75" hidden="false" customHeight="false" outlineLevel="0" collapsed="false">
      <c r="B76" s="34"/>
      <c r="D76" s="12"/>
      <c r="E76" s="12"/>
      <c r="G76" s="18"/>
      <c r="H76" s="35"/>
      <c r="I76" s="35"/>
      <c r="J76" s="12"/>
      <c r="P76" s="18"/>
      <c r="Q76" s="12"/>
      <c r="R76" s="12"/>
      <c r="T76" s="36"/>
      <c r="U76" s="36"/>
      <c r="V76" s="12"/>
      <c r="W76" s="12"/>
      <c r="X76" s="12"/>
      <c r="Y76" s="12"/>
    </row>
    <row r="77" customFormat="false" ht="15.75" hidden="false" customHeight="false" outlineLevel="0" collapsed="false">
      <c r="B77" s="34"/>
      <c r="D77" s="12"/>
      <c r="E77" s="12"/>
      <c r="G77" s="18"/>
      <c r="H77" s="35"/>
      <c r="I77" s="35"/>
      <c r="J77" s="12"/>
      <c r="P77" s="18"/>
      <c r="Q77" s="12"/>
      <c r="R77" s="12"/>
      <c r="T77" s="36"/>
      <c r="U77" s="36"/>
      <c r="V77" s="12"/>
      <c r="W77" s="12"/>
      <c r="X77" s="12"/>
      <c r="Y77" s="12"/>
    </row>
    <row r="78" customFormat="false" ht="15.75" hidden="false" customHeight="false" outlineLevel="0" collapsed="false">
      <c r="B78" s="34"/>
      <c r="D78" s="12"/>
      <c r="E78" s="12"/>
      <c r="G78" s="18"/>
      <c r="H78" s="35"/>
      <c r="I78" s="35"/>
      <c r="J78" s="12"/>
      <c r="P78" s="18"/>
      <c r="Q78" s="12"/>
      <c r="R78" s="12"/>
      <c r="T78" s="36"/>
      <c r="U78" s="36"/>
      <c r="V78" s="12"/>
      <c r="W78" s="12"/>
      <c r="X78" s="12"/>
      <c r="Y78" s="12"/>
    </row>
    <row r="79" customFormat="false" ht="15.75" hidden="false" customHeight="false" outlineLevel="0" collapsed="false">
      <c r="B79" s="34"/>
      <c r="D79" s="12"/>
      <c r="E79" s="12"/>
      <c r="G79" s="18"/>
      <c r="H79" s="35"/>
      <c r="I79" s="35"/>
      <c r="J79" s="12"/>
      <c r="P79" s="18"/>
      <c r="Q79" s="12"/>
      <c r="R79" s="12"/>
      <c r="T79" s="36"/>
      <c r="U79" s="36"/>
      <c r="V79" s="12"/>
      <c r="W79" s="12"/>
      <c r="X79" s="12"/>
      <c r="Y79" s="12"/>
    </row>
    <row r="80" customFormat="false" ht="15.75" hidden="false" customHeight="false" outlineLevel="0" collapsed="false">
      <c r="B80" s="34"/>
      <c r="D80" s="12"/>
      <c r="E80" s="12"/>
      <c r="G80" s="18"/>
      <c r="H80" s="35"/>
      <c r="I80" s="35"/>
      <c r="J80" s="12"/>
      <c r="P80" s="18"/>
      <c r="Q80" s="12"/>
      <c r="R80" s="12"/>
      <c r="T80" s="36"/>
      <c r="U80" s="36"/>
      <c r="V80" s="12"/>
      <c r="W80" s="12"/>
      <c r="X80" s="12"/>
      <c r="Y80" s="12"/>
    </row>
    <row r="81" customFormat="false" ht="15.75" hidden="false" customHeight="false" outlineLevel="0" collapsed="false">
      <c r="B81" s="34"/>
      <c r="D81" s="12"/>
      <c r="E81" s="12"/>
      <c r="G81" s="18"/>
      <c r="H81" s="35"/>
      <c r="I81" s="35"/>
      <c r="J81" s="12"/>
      <c r="P81" s="18"/>
      <c r="Q81" s="12"/>
      <c r="R81" s="12"/>
      <c r="T81" s="36"/>
      <c r="U81" s="36"/>
      <c r="V81" s="12"/>
      <c r="W81" s="12"/>
      <c r="X81" s="12"/>
      <c r="Y81" s="12"/>
    </row>
    <row r="82" customFormat="false" ht="15.75" hidden="false" customHeight="false" outlineLevel="0" collapsed="false">
      <c r="B82" s="34"/>
      <c r="D82" s="12"/>
      <c r="E82" s="12"/>
      <c r="G82" s="18"/>
      <c r="H82" s="35"/>
      <c r="I82" s="35"/>
      <c r="J82" s="12"/>
      <c r="P82" s="18"/>
      <c r="Q82" s="12"/>
      <c r="R82" s="12"/>
      <c r="T82" s="36"/>
      <c r="U82" s="36"/>
      <c r="V82" s="12"/>
      <c r="W82" s="12"/>
      <c r="X82" s="12"/>
      <c r="Y82" s="12"/>
    </row>
    <row r="83" customFormat="false" ht="15.75" hidden="false" customHeight="false" outlineLevel="0" collapsed="false">
      <c r="B83" s="34"/>
      <c r="D83" s="12"/>
      <c r="E83" s="12"/>
      <c r="G83" s="18"/>
      <c r="H83" s="35"/>
      <c r="I83" s="35"/>
      <c r="J83" s="12"/>
      <c r="P83" s="18"/>
      <c r="Q83" s="12"/>
      <c r="R83" s="12"/>
      <c r="T83" s="36"/>
      <c r="U83" s="36"/>
      <c r="V83" s="12"/>
      <c r="W83" s="12"/>
      <c r="X83" s="12"/>
      <c r="Y83" s="12"/>
    </row>
    <row r="84" customFormat="false" ht="15.75" hidden="false" customHeight="false" outlineLevel="0" collapsed="false">
      <c r="B84" s="34"/>
      <c r="D84" s="12"/>
      <c r="E84" s="12"/>
      <c r="G84" s="18"/>
      <c r="H84" s="35"/>
      <c r="I84" s="35"/>
      <c r="J84" s="12"/>
      <c r="P84" s="18"/>
      <c r="Q84" s="12"/>
      <c r="R84" s="12"/>
      <c r="T84" s="36"/>
      <c r="U84" s="36"/>
      <c r="V84" s="12"/>
      <c r="W84" s="12"/>
      <c r="X84" s="12"/>
      <c r="Y84" s="12"/>
    </row>
    <row r="85" customFormat="false" ht="15.75" hidden="false" customHeight="false" outlineLevel="0" collapsed="false">
      <c r="A85" s="12"/>
      <c r="B85" s="34"/>
      <c r="C85" s="12"/>
      <c r="D85" s="12"/>
      <c r="E85" s="12"/>
      <c r="F85" s="12"/>
      <c r="G85" s="18"/>
      <c r="H85" s="35"/>
      <c r="I85" s="35"/>
      <c r="J85" s="12"/>
      <c r="O85" s="12"/>
      <c r="P85" s="18"/>
      <c r="Q85" s="12"/>
      <c r="R85" s="12"/>
      <c r="S85" s="12"/>
      <c r="T85" s="36"/>
      <c r="U85" s="36"/>
      <c r="V85" s="12"/>
      <c r="W85" s="12"/>
      <c r="X85" s="12"/>
      <c r="Y85" s="12"/>
    </row>
    <row r="86" customFormat="false" ht="15.75" hidden="false" customHeight="false" outlineLevel="0" collapsed="false">
      <c r="A86" s="12"/>
      <c r="B86" s="34"/>
      <c r="C86" s="12"/>
      <c r="D86" s="12"/>
      <c r="E86" s="12"/>
      <c r="F86" s="12"/>
      <c r="G86" s="18"/>
      <c r="H86" s="35"/>
      <c r="I86" s="35"/>
      <c r="J86" s="12"/>
      <c r="O86" s="12"/>
      <c r="P86" s="18"/>
      <c r="Q86" s="12"/>
      <c r="R86" s="12"/>
      <c r="S86" s="12"/>
      <c r="T86" s="36"/>
      <c r="U86" s="36"/>
      <c r="V86" s="12"/>
      <c r="W86" s="12"/>
      <c r="X86" s="12"/>
      <c r="Y86" s="12"/>
    </row>
    <row r="87" customFormat="false" ht="15.75" hidden="false" customHeight="false" outlineLevel="0" collapsed="false">
      <c r="A87" s="12"/>
      <c r="B87" s="34"/>
      <c r="C87" s="12"/>
      <c r="D87" s="12"/>
      <c r="E87" s="12"/>
      <c r="F87" s="12"/>
      <c r="G87" s="18"/>
      <c r="H87" s="35"/>
      <c r="I87" s="35"/>
      <c r="J87" s="12"/>
      <c r="O87" s="12"/>
      <c r="P87" s="18"/>
      <c r="Q87" s="12"/>
      <c r="R87" s="12"/>
      <c r="S87" s="12"/>
      <c r="T87" s="36"/>
      <c r="U87" s="36"/>
      <c r="V87" s="12"/>
      <c r="W87" s="12"/>
      <c r="X87" s="12"/>
      <c r="Y87" s="12"/>
    </row>
    <row r="88" customFormat="false" ht="15.75" hidden="false" customHeight="false" outlineLevel="0" collapsed="false">
      <c r="A88" s="12"/>
      <c r="B88" s="34"/>
      <c r="C88" s="12"/>
      <c r="D88" s="12"/>
      <c r="E88" s="12"/>
      <c r="F88" s="12"/>
      <c r="G88" s="18"/>
      <c r="H88" s="35"/>
      <c r="I88" s="35"/>
      <c r="J88" s="12"/>
      <c r="O88" s="12"/>
      <c r="P88" s="18"/>
      <c r="Q88" s="12"/>
      <c r="R88" s="12"/>
      <c r="S88" s="12"/>
      <c r="T88" s="36"/>
      <c r="U88" s="36"/>
      <c r="V88" s="12"/>
      <c r="W88" s="12"/>
      <c r="X88" s="12"/>
      <c r="Y88" s="12"/>
    </row>
    <row r="89" customFormat="false" ht="15.75" hidden="false" customHeight="false" outlineLevel="0" collapsed="false">
      <c r="A89" s="12"/>
      <c r="B89" s="34"/>
      <c r="C89" s="12"/>
      <c r="D89" s="12"/>
      <c r="E89" s="12"/>
      <c r="F89" s="12"/>
      <c r="G89" s="18"/>
      <c r="H89" s="35"/>
      <c r="I89" s="35"/>
      <c r="J89" s="12"/>
      <c r="O89" s="12"/>
      <c r="P89" s="18"/>
      <c r="Q89" s="12"/>
      <c r="R89" s="12"/>
      <c r="S89" s="12"/>
      <c r="T89" s="36"/>
      <c r="U89" s="36"/>
      <c r="V89" s="12"/>
      <c r="W89" s="12"/>
      <c r="X89" s="12"/>
      <c r="Y89" s="12"/>
    </row>
    <row r="90" customFormat="false" ht="15.75" hidden="false" customHeight="false" outlineLevel="0" collapsed="false">
      <c r="A90" s="12"/>
      <c r="B90" s="34"/>
      <c r="C90" s="12"/>
      <c r="D90" s="12"/>
      <c r="E90" s="12"/>
      <c r="F90" s="12"/>
      <c r="G90" s="18"/>
      <c r="H90" s="35"/>
      <c r="I90" s="35"/>
      <c r="J90" s="12"/>
      <c r="O90" s="12"/>
      <c r="P90" s="18"/>
      <c r="Q90" s="12"/>
      <c r="R90" s="12"/>
      <c r="S90" s="12"/>
      <c r="T90" s="36"/>
      <c r="U90" s="36"/>
      <c r="V90" s="12"/>
      <c r="W90" s="12"/>
      <c r="X90" s="12"/>
      <c r="Y90" s="12"/>
    </row>
    <row r="91" customFormat="false" ht="15.75" hidden="false" customHeight="false" outlineLevel="0" collapsed="false">
      <c r="A91" s="12"/>
      <c r="B91" s="34"/>
      <c r="C91" s="12"/>
      <c r="D91" s="12"/>
      <c r="E91" s="12"/>
      <c r="F91" s="12"/>
      <c r="G91" s="18"/>
      <c r="H91" s="35"/>
      <c r="I91" s="35"/>
      <c r="J91" s="12"/>
      <c r="O91" s="12"/>
      <c r="P91" s="18"/>
      <c r="Q91" s="12"/>
      <c r="R91" s="12"/>
      <c r="S91" s="12"/>
      <c r="T91" s="36"/>
      <c r="U91" s="36"/>
      <c r="V91" s="12"/>
      <c r="W91" s="12"/>
      <c r="X91" s="12"/>
      <c r="Y91" s="12"/>
    </row>
    <row r="92" customFormat="false" ht="15.75" hidden="false" customHeight="false" outlineLevel="0" collapsed="false">
      <c r="A92" s="12"/>
      <c r="B92" s="34"/>
      <c r="C92" s="12"/>
      <c r="D92" s="12"/>
      <c r="E92" s="12"/>
      <c r="F92" s="12"/>
      <c r="G92" s="18"/>
      <c r="H92" s="35"/>
      <c r="I92" s="35"/>
      <c r="J92" s="12"/>
      <c r="O92" s="12"/>
      <c r="P92" s="18"/>
      <c r="Q92" s="12"/>
      <c r="R92" s="12"/>
      <c r="S92" s="12"/>
      <c r="T92" s="36"/>
      <c r="U92" s="36"/>
      <c r="V92" s="12"/>
      <c r="W92" s="12"/>
      <c r="X92" s="12"/>
      <c r="Y92" s="12"/>
    </row>
    <row r="93" customFormat="false" ht="15.75" hidden="false" customHeight="false" outlineLevel="0" collapsed="false">
      <c r="A93" s="12"/>
      <c r="B93" s="34"/>
      <c r="C93" s="12"/>
      <c r="D93" s="12"/>
      <c r="E93" s="12"/>
      <c r="F93" s="12"/>
      <c r="G93" s="18"/>
      <c r="H93" s="35"/>
      <c r="I93" s="35"/>
      <c r="J93" s="12"/>
      <c r="O93" s="12"/>
      <c r="P93" s="18"/>
      <c r="Q93" s="12"/>
      <c r="R93" s="12"/>
      <c r="S93" s="12"/>
      <c r="T93" s="36"/>
      <c r="U93" s="36"/>
      <c r="V93" s="12"/>
      <c r="W93" s="12"/>
      <c r="X93" s="12"/>
      <c r="Y93" s="12"/>
    </row>
    <row r="94" customFormat="false" ht="15.75" hidden="false" customHeight="false" outlineLevel="0" collapsed="false">
      <c r="A94" s="12"/>
      <c r="B94" s="34"/>
      <c r="C94" s="12"/>
      <c r="D94" s="12"/>
      <c r="E94" s="12"/>
      <c r="F94" s="12"/>
      <c r="G94" s="18"/>
      <c r="H94" s="35"/>
      <c r="I94" s="35"/>
      <c r="J94" s="12"/>
      <c r="O94" s="12"/>
      <c r="P94" s="18"/>
      <c r="Q94" s="12"/>
      <c r="R94" s="12"/>
      <c r="S94" s="12"/>
      <c r="T94" s="36"/>
      <c r="U94" s="36"/>
      <c r="V94" s="12"/>
      <c r="W94" s="12"/>
      <c r="X94" s="12"/>
      <c r="Y94" s="12"/>
    </row>
    <row r="95" customFormat="false" ht="15.75" hidden="false" customHeight="false" outlineLevel="0" collapsed="false">
      <c r="A95" s="12"/>
      <c r="B95" s="34"/>
      <c r="C95" s="12"/>
      <c r="D95" s="12"/>
      <c r="E95" s="12"/>
      <c r="F95" s="12"/>
      <c r="G95" s="18"/>
      <c r="H95" s="35"/>
      <c r="I95" s="35"/>
      <c r="J95" s="12"/>
      <c r="O95" s="12"/>
      <c r="P95" s="18"/>
      <c r="Q95" s="12"/>
      <c r="R95" s="12"/>
      <c r="S95" s="12"/>
      <c r="T95" s="36"/>
      <c r="U95" s="36"/>
      <c r="V95" s="12"/>
      <c r="W95" s="12"/>
      <c r="X95" s="12"/>
      <c r="Y95" s="12"/>
    </row>
    <row r="96" customFormat="false" ht="15.75" hidden="false" customHeight="false" outlineLevel="0" collapsed="false">
      <c r="A96" s="12"/>
      <c r="B96" s="34"/>
      <c r="C96" s="12"/>
      <c r="D96" s="12"/>
      <c r="E96" s="12"/>
      <c r="F96" s="12"/>
      <c r="G96" s="18"/>
      <c r="H96" s="35"/>
      <c r="I96" s="35"/>
      <c r="J96" s="12"/>
      <c r="O96" s="12"/>
      <c r="P96" s="18"/>
      <c r="Q96" s="12"/>
      <c r="R96" s="12"/>
      <c r="S96" s="12"/>
      <c r="T96" s="36"/>
      <c r="U96" s="36"/>
      <c r="V96" s="12"/>
      <c r="W96" s="12"/>
      <c r="X96" s="12"/>
      <c r="Y96" s="12"/>
    </row>
    <row r="97" customFormat="false" ht="15.75" hidden="false" customHeight="false" outlineLevel="0" collapsed="false">
      <c r="A97" s="12"/>
      <c r="B97" s="34"/>
      <c r="C97" s="12"/>
      <c r="D97" s="12"/>
      <c r="E97" s="12"/>
      <c r="F97" s="12"/>
      <c r="G97" s="18"/>
      <c r="H97" s="35"/>
      <c r="I97" s="35"/>
      <c r="J97" s="12"/>
      <c r="O97" s="12"/>
      <c r="P97" s="18"/>
      <c r="Q97" s="12"/>
      <c r="R97" s="12"/>
      <c r="S97" s="12"/>
      <c r="T97" s="36"/>
      <c r="U97" s="36"/>
      <c r="V97" s="12"/>
      <c r="W97" s="12"/>
      <c r="X97" s="12"/>
      <c r="Y97" s="12"/>
    </row>
    <row r="98" customFormat="false" ht="15.75" hidden="false" customHeight="false" outlineLevel="0" collapsed="false">
      <c r="A98" s="12"/>
      <c r="B98" s="34"/>
      <c r="C98" s="12"/>
      <c r="D98" s="12"/>
      <c r="E98" s="12"/>
      <c r="F98" s="12"/>
      <c r="G98" s="18"/>
      <c r="H98" s="35"/>
      <c r="I98" s="35"/>
      <c r="J98" s="12"/>
      <c r="O98" s="12"/>
      <c r="P98" s="18"/>
      <c r="Q98" s="12"/>
      <c r="R98" s="12"/>
      <c r="S98" s="12"/>
      <c r="T98" s="36"/>
      <c r="U98" s="36"/>
      <c r="V98" s="12"/>
      <c r="W98" s="12"/>
      <c r="X98" s="12"/>
      <c r="Y98" s="12"/>
    </row>
    <row r="99" customFormat="false" ht="15.75" hidden="false" customHeight="false" outlineLevel="0" collapsed="false">
      <c r="A99" s="12"/>
      <c r="B99" s="34"/>
      <c r="C99" s="12"/>
      <c r="D99" s="12"/>
      <c r="E99" s="12"/>
      <c r="F99" s="12"/>
      <c r="G99" s="18"/>
      <c r="H99" s="35"/>
      <c r="I99" s="35"/>
      <c r="J99" s="12"/>
      <c r="O99" s="12"/>
      <c r="P99" s="18"/>
      <c r="Q99" s="12"/>
      <c r="R99" s="12"/>
      <c r="S99" s="12"/>
      <c r="T99" s="36"/>
      <c r="U99" s="36"/>
      <c r="V99" s="12"/>
      <c r="W99" s="12"/>
      <c r="X99" s="12"/>
      <c r="Y99" s="12"/>
    </row>
    <row r="100" customFormat="false" ht="15.75" hidden="false" customHeight="false" outlineLevel="0" collapsed="false">
      <c r="A100" s="12"/>
      <c r="B100" s="34"/>
      <c r="C100" s="12"/>
      <c r="D100" s="12"/>
      <c r="E100" s="12"/>
      <c r="F100" s="12"/>
      <c r="G100" s="18"/>
      <c r="H100" s="35"/>
      <c r="I100" s="35"/>
      <c r="J100" s="12"/>
      <c r="O100" s="12"/>
      <c r="P100" s="18"/>
      <c r="Q100" s="12"/>
      <c r="R100" s="12"/>
      <c r="S100" s="12"/>
      <c r="T100" s="36"/>
      <c r="U100" s="36"/>
      <c r="V100" s="12"/>
      <c r="W100" s="12"/>
      <c r="X100" s="12"/>
      <c r="Y100" s="12"/>
    </row>
    <row r="101" customFormat="false" ht="15.75" hidden="false" customHeight="false" outlineLevel="0" collapsed="false">
      <c r="A101" s="12"/>
      <c r="B101" s="34"/>
      <c r="C101" s="12"/>
      <c r="D101" s="12"/>
      <c r="E101" s="12"/>
      <c r="F101" s="12"/>
      <c r="G101" s="18"/>
      <c r="H101" s="35"/>
      <c r="I101" s="35"/>
      <c r="J101" s="12"/>
      <c r="O101" s="12"/>
      <c r="P101" s="18"/>
      <c r="Q101" s="12"/>
      <c r="R101" s="12"/>
      <c r="S101" s="12"/>
      <c r="T101" s="36"/>
      <c r="U101" s="36"/>
      <c r="V101" s="12"/>
      <c r="W101" s="12"/>
      <c r="X101" s="12"/>
      <c r="Y101" s="12"/>
    </row>
    <row r="102" customFormat="false" ht="15.75" hidden="false" customHeight="false" outlineLevel="0" collapsed="false">
      <c r="A102" s="12"/>
      <c r="B102" s="34"/>
      <c r="C102" s="12"/>
      <c r="D102" s="12"/>
      <c r="E102" s="12"/>
      <c r="F102" s="12"/>
      <c r="G102" s="18"/>
      <c r="H102" s="35"/>
      <c r="I102" s="35"/>
      <c r="J102" s="12"/>
      <c r="O102" s="12"/>
      <c r="P102" s="18"/>
      <c r="Q102" s="12"/>
      <c r="R102" s="12"/>
      <c r="S102" s="12"/>
      <c r="T102" s="36"/>
      <c r="U102" s="36"/>
      <c r="V102" s="12"/>
      <c r="W102" s="12"/>
      <c r="X102" s="12"/>
      <c r="Y102" s="12"/>
    </row>
    <row r="103" customFormat="false" ht="15.75" hidden="false" customHeight="false" outlineLevel="0" collapsed="false">
      <c r="A103" s="12"/>
      <c r="B103" s="34"/>
      <c r="C103" s="12"/>
      <c r="D103" s="12"/>
      <c r="E103" s="12"/>
      <c r="F103" s="12"/>
      <c r="G103" s="18"/>
      <c r="H103" s="35"/>
      <c r="I103" s="35"/>
      <c r="J103" s="12"/>
      <c r="O103" s="12"/>
      <c r="P103" s="18"/>
      <c r="Q103" s="12"/>
      <c r="R103" s="12"/>
      <c r="S103" s="12"/>
      <c r="T103" s="36"/>
      <c r="U103" s="36"/>
      <c r="V103" s="12"/>
      <c r="W103" s="12"/>
      <c r="X103" s="12"/>
      <c r="Y103" s="12"/>
    </row>
    <row r="104" customFormat="false" ht="15.75" hidden="false" customHeight="false" outlineLevel="0" collapsed="false">
      <c r="A104" s="12"/>
      <c r="B104" s="34"/>
      <c r="C104" s="12"/>
      <c r="D104" s="12"/>
      <c r="E104" s="12"/>
      <c r="F104" s="12"/>
      <c r="G104" s="18"/>
      <c r="H104" s="35"/>
      <c r="I104" s="35"/>
      <c r="J104" s="12"/>
      <c r="O104" s="12"/>
      <c r="P104" s="18"/>
      <c r="Q104" s="12"/>
      <c r="R104" s="12"/>
      <c r="S104" s="12"/>
      <c r="T104" s="36"/>
      <c r="U104" s="36"/>
      <c r="V104" s="12"/>
      <c r="W104" s="12"/>
      <c r="X104" s="12"/>
      <c r="Y104" s="12"/>
    </row>
    <row r="105" customFormat="false" ht="15.75" hidden="false" customHeight="false" outlineLevel="0" collapsed="false">
      <c r="A105" s="12"/>
      <c r="B105" s="34"/>
      <c r="C105" s="12"/>
      <c r="D105" s="12"/>
      <c r="E105" s="12"/>
      <c r="F105" s="12"/>
      <c r="G105" s="18"/>
      <c r="H105" s="35"/>
      <c r="I105" s="35"/>
      <c r="J105" s="12"/>
      <c r="O105" s="12"/>
      <c r="P105" s="18"/>
      <c r="Q105" s="12"/>
      <c r="R105" s="12"/>
      <c r="S105" s="12"/>
      <c r="T105" s="36"/>
      <c r="U105" s="36"/>
      <c r="V105" s="12"/>
      <c r="W105" s="12"/>
      <c r="X105" s="12"/>
      <c r="Y105" s="12"/>
    </row>
    <row r="106" customFormat="false" ht="15.75" hidden="false" customHeight="false" outlineLevel="0" collapsed="false">
      <c r="A106" s="12"/>
      <c r="B106" s="34"/>
      <c r="C106" s="12"/>
      <c r="D106" s="12"/>
      <c r="E106" s="12"/>
      <c r="F106" s="12"/>
      <c r="G106" s="18"/>
      <c r="H106" s="35"/>
      <c r="I106" s="35"/>
      <c r="J106" s="12"/>
      <c r="O106" s="12"/>
      <c r="P106" s="18"/>
      <c r="Q106" s="12"/>
      <c r="R106" s="12"/>
      <c r="S106" s="12"/>
      <c r="T106" s="36"/>
      <c r="U106" s="36"/>
      <c r="V106" s="12"/>
      <c r="W106" s="12"/>
      <c r="X106" s="12"/>
      <c r="Y106" s="12"/>
    </row>
    <row r="107" customFormat="false" ht="15.75" hidden="false" customHeight="false" outlineLevel="0" collapsed="false">
      <c r="A107" s="12"/>
      <c r="B107" s="34"/>
      <c r="C107" s="12"/>
      <c r="D107" s="12"/>
      <c r="E107" s="12"/>
      <c r="F107" s="12"/>
      <c r="G107" s="18"/>
      <c r="H107" s="35"/>
      <c r="I107" s="35"/>
      <c r="J107" s="12"/>
      <c r="O107" s="12"/>
      <c r="P107" s="18"/>
      <c r="Q107" s="12"/>
      <c r="R107" s="12"/>
      <c r="S107" s="12"/>
      <c r="T107" s="36"/>
      <c r="U107" s="36"/>
      <c r="V107" s="12"/>
      <c r="W107" s="12"/>
      <c r="X107" s="12"/>
      <c r="Y107" s="12"/>
    </row>
    <row r="108" customFormat="false" ht="15.75" hidden="false" customHeight="false" outlineLevel="0" collapsed="false">
      <c r="A108" s="12"/>
      <c r="B108" s="34"/>
      <c r="C108" s="12"/>
      <c r="D108" s="12"/>
      <c r="E108" s="12"/>
      <c r="F108" s="12"/>
      <c r="G108" s="18"/>
      <c r="H108" s="35"/>
      <c r="I108" s="35"/>
      <c r="J108" s="12"/>
      <c r="O108" s="12"/>
      <c r="P108" s="18"/>
      <c r="Q108" s="12"/>
      <c r="R108" s="12"/>
      <c r="S108" s="12"/>
      <c r="T108" s="36"/>
      <c r="U108" s="36"/>
      <c r="V108" s="12"/>
      <c r="W108" s="12"/>
      <c r="X108" s="12"/>
      <c r="Y108" s="12"/>
    </row>
    <row r="109" customFormat="false" ht="15.75" hidden="false" customHeight="false" outlineLevel="0" collapsed="false">
      <c r="A109" s="12"/>
      <c r="B109" s="34"/>
      <c r="C109" s="12"/>
      <c r="D109" s="12"/>
      <c r="E109" s="12"/>
      <c r="F109" s="12"/>
      <c r="G109" s="18"/>
      <c r="H109" s="35"/>
      <c r="I109" s="35"/>
      <c r="J109" s="12"/>
      <c r="O109" s="12"/>
      <c r="P109" s="18"/>
      <c r="Q109" s="12"/>
      <c r="R109" s="12"/>
      <c r="S109" s="12"/>
      <c r="T109" s="36"/>
      <c r="U109" s="36"/>
      <c r="V109" s="12"/>
      <c r="W109" s="12"/>
      <c r="X109" s="12"/>
      <c r="Y109" s="12"/>
    </row>
    <row r="110" customFormat="false" ht="15.75" hidden="false" customHeight="false" outlineLevel="0" collapsed="false">
      <c r="A110" s="12"/>
      <c r="B110" s="34"/>
      <c r="C110" s="12"/>
      <c r="D110" s="12"/>
      <c r="E110" s="12"/>
      <c r="F110" s="12"/>
      <c r="G110" s="18"/>
      <c r="H110" s="35"/>
      <c r="I110" s="35"/>
      <c r="J110" s="12"/>
      <c r="O110" s="12"/>
      <c r="P110" s="18"/>
      <c r="Q110" s="12"/>
      <c r="R110" s="12"/>
      <c r="S110" s="12"/>
      <c r="T110" s="36"/>
      <c r="U110" s="36"/>
      <c r="V110" s="12"/>
      <c r="W110" s="12"/>
      <c r="X110" s="12"/>
      <c r="Y110" s="12"/>
    </row>
    <row r="111" customFormat="false" ht="15.75" hidden="false" customHeight="false" outlineLevel="0" collapsed="false">
      <c r="A111" s="12"/>
      <c r="B111" s="34"/>
      <c r="C111" s="12"/>
      <c r="D111" s="12"/>
      <c r="E111" s="12"/>
      <c r="F111" s="12"/>
      <c r="G111" s="18"/>
      <c r="H111" s="35"/>
      <c r="I111" s="35"/>
      <c r="J111" s="12"/>
      <c r="O111" s="12"/>
      <c r="P111" s="18"/>
      <c r="Q111" s="12"/>
      <c r="R111" s="12"/>
      <c r="S111" s="12"/>
      <c r="T111" s="36"/>
      <c r="U111" s="36"/>
      <c r="V111" s="12"/>
      <c r="W111" s="12"/>
      <c r="X111" s="12"/>
      <c r="Y111" s="12"/>
    </row>
    <row r="112" customFormat="false" ht="15.75" hidden="false" customHeight="false" outlineLevel="0" collapsed="false">
      <c r="A112" s="12"/>
      <c r="B112" s="34"/>
      <c r="C112" s="12"/>
      <c r="D112" s="12"/>
      <c r="E112" s="12"/>
      <c r="F112" s="12"/>
      <c r="G112" s="18"/>
      <c r="H112" s="35"/>
      <c r="I112" s="35"/>
      <c r="J112" s="12"/>
      <c r="O112" s="12"/>
      <c r="P112" s="18"/>
      <c r="Q112" s="12"/>
      <c r="R112" s="12"/>
      <c r="S112" s="12"/>
      <c r="T112" s="36"/>
      <c r="U112" s="36"/>
      <c r="V112" s="12"/>
      <c r="W112" s="12"/>
      <c r="X112" s="12"/>
      <c r="Y112" s="12"/>
    </row>
    <row r="113" customFormat="false" ht="15.75" hidden="false" customHeight="false" outlineLevel="0" collapsed="false">
      <c r="A113" s="12"/>
      <c r="B113" s="34"/>
      <c r="C113" s="12"/>
      <c r="D113" s="12"/>
      <c r="E113" s="12"/>
      <c r="F113" s="12"/>
      <c r="G113" s="18"/>
      <c r="H113" s="35"/>
      <c r="I113" s="35"/>
      <c r="J113" s="12"/>
      <c r="O113" s="12"/>
      <c r="P113" s="18"/>
      <c r="Q113" s="12"/>
      <c r="R113" s="12"/>
      <c r="S113" s="12"/>
      <c r="T113" s="36"/>
      <c r="U113" s="36"/>
      <c r="V113" s="12"/>
      <c r="W113" s="12"/>
      <c r="X113" s="12"/>
      <c r="Y113" s="12"/>
    </row>
    <row r="114" customFormat="false" ht="15.75" hidden="false" customHeight="false" outlineLevel="0" collapsed="false">
      <c r="A114" s="12"/>
      <c r="B114" s="34"/>
      <c r="C114" s="12"/>
      <c r="D114" s="12"/>
      <c r="E114" s="12"/>
      <c r="F114" s="12"/>
      <c r="G114" s="18"/>
      <c r="H114" s="35"/>
      <c r="I114" s="35"/>
      <c r="J114" s="12"/>
      <c r="O114" s="12"/>
      <c r="P114" s="18"/>
      <c r="Q114" s="12"/>
      <c r="R114" s="12"/>
      <c r="S114" s="12"/>
      <c r="T114" s="36"/>
      <c r="U114" s="36"/>
      <c r="V114" s="12"/>
      <c r="W114" s="12"/>
      <c r="X114" s="12"/>
      <c r="Y114" s="12"/>
    </row>
    <row r="115" customFormat="false" ht="15.75" hidden="false" customHeight="false" outlineLevel="0" collapsed="false">
      <c r="A115" s="12"/>
      <c r="B115" s="34"/>
      <c r="C115" s="12"/>
      <c r="D115" s="12"/>
      <c r="E115" s="12"/>
      <c r="F115" s="12"/>
      <c r="G115" s="18"/>
      <c r="H115" s="35"/>
      <c r="I115" s="35"/>
      <c r="J115" s="12"/>
      <c r="O115" s="12"/>
      <c r="P115" s="18"/>
      <c r="Q115" s="12"/>
      <c r="R115" s="12"/>
      <c r="S115" s="12"/>
      <c r="T115" s="36"/>
      <c r="U115" s="36"/>
      <c r="V115" s="12"/>
      <c r="W115" s="12"/>
      <c r="X115" s="12"/>
      <c r="Y115" s="12"/>
    </row>
    <row r="116" customFormat="false" ht="15.75" hidden="false" customHeight="false" outlineLevel="0" collapsed="false">
      <c r="A116" s="12"/>
      <c r="B116" s="34"/>
      <c r="C116" s="12"/>
      <c r="D116" s="12"/>
      <c r="E116" s="12"/>
      <c r="F116" s="12"/>
      <c r="G116" s="18"/>
      <c r="H116" s="35"/>
      <c r="I116" s="35"/>
      <c r="J116" s="12"/>
      <c r="O116" s="12"/>
      <c r="P116" s="18"/>
      <c r="Q116" s="12"/>
      <c r="R116" s="12"/>
      <c r="S116" s="12"/>
      <c r="T116" s="36"/>
      <c r="U116" s="36"/>
      <c r="V116" s="12"/>
      <c r="W116" s="12"/>
      <c r="X116" s="12"/>
      <c r="Y116" s="12"/>
    </row>
    <row r="117" customFormat="false" ht="15.75" hidden="false" customHeight="false" outlineLevel="0" collapsed="false">
      <c r="A117" s="12"/>
      <c r="B117" s="34"/>
      <c r="C117" s="12"/>
      <c r="D117" s="12"/>
      <c r="E117" s="12"/>
      <c r="F117" s="12"/>
      <c r="G117" s="18"/>
      <c r="H117" s="35"/>
      <c r="I117" s="35"/>
      <c r="J117" s="12"/>
      <c r="O117" s="12"/>
      <c r="P117" s="18"/>
      <c r="Q117" s="12"/>
      <c r="R117" s="12"/>
      <c r="S117" s="12"/>
      <c r="T117" s="36"/>
      <c r="U117" s="36"/>
      <c r="V117" s="12"/>
      <c r="W117" s="12"/>
      <c r="X117" s="12"/>
      <c r="Y117" s="12"/>
    </row>
    <row r="118" customFormat="false" ht="15.75" hidden="false" customHeight="false" outlineLevel="0" collapsed="false">
      <c r="A118" s="12"/>
      <c r="B118" s="34"/>
      <c r="C118" s="12"/>
      <c r="D118" s="12"/>
      <c r="E118" s="12"/>
      <c r="F118" s="12"/>
      <c r="G118" s="18"/>
      <c r="H118" s="35"/>
      <c r="I118" s="35"/>
      <c r="J118" s="12"/>
      <c r="O118" s="12"/>
      <c r="P118" s="18"/>
      <c r="Q118" s="12"/>
      <c r="R118" s="12"/>
      <c r="S118" s="12"/>
      <c r="T118" s="36"/>
      <c r="U118" s="36"/>
      <c r="V118" s="12"/>
      <c r="W118" s="12"/>
      <c r="X118" s="12"/>
      <c r="Y118" s="12"/>
    </row>
    <row r="119" customFormat="false" ht="15.75" hidden="false" customHeight="false" outlineLevel="0" collapsed="false">
      <c r="A119" s="12"/>
      <c r="B119" s="34"/>
      <c r="C119" s="12"/>
      <c r="D119" s="12"/>
      <c r="E119" s="12"/>
      <c r="F119" s="12"/>
      <c r="G119" s="18"/>
      <c r="H119" s="35"/>
      <c r="I119" s="35"/>
      <c r="J119" s="12"/>
      <c r="O119" s="12"/>
      <c r="P119" s="18"/>
      <c r="Q119" s="12"/>
      <c r="R119" s="12"/>
      <c r="S119" s="12"/>
      <c r="T119" s="36"/>
      <c r="U119" s="36"/>
      <c r="V119" s="12"/>
      <c r="W119" s="12"/>
      <c r="X119" s="12"/>
      <c r="Y119" s="12"/>
    </row>
    <row r="120" customFormat="false" ht="15.75" hidden="false" customHeight="false" outlineLevel="0" collapsed="false">
      <c r="A120" s="12"/>
      <c r="B120" s="34"/>
      <c r="C120" s="12"/>
      <c r="D120" s="12"/>
      <c r="E120" s="12"/>
      <c r="F120" s="12"/>
      <c r="G120" s="18"/>
      <c r="H120" s="35"/>
      <c r="I120" s="35"/>
      <c r="J120" s="12"/>
      <c r="O120" s="12"/>
      <c r="P120" s="18"/>
      <c r="Q120" s="12"/>
      <c r="R120" s="12"/>
      <c r="S120" s="12"/>
      <c r="T120" s="36"/>
      <c r="U120" s="36"/>
      <c r="V120" s="12"/>
      <c r="W120" s="12"/>
      <c r="X120" s="12"/>
      <c r="Y120" s="12"/>
    </row>
    <row r="121" customFormat="false" ht="15.75" hidden="false" customHeight="false" outlineLevel="0" collapsed="false">
      <c r="A121" s="12"/>
      <c r="B121" s="34"/>
      <c r="C121" s="12"/>
      <c r="D121" s="12"/>
      <c r="E121" s="12"/>
      <c r="F121" s="12"/>
      <c r="G121" s="18"/>
      <c r="H121" s="35"/>
      <c r="I121" s="35"/>
      <c r="J121" s="12"/>
      <c r="O121" s="12"/>
      <c r="P121" s="18"/>
      <c r="Q121" s="12"/>
      <c r="R121" s="12"/>
      <c r="S121" s="12"/>
      <c r="T121" s="36"/>
      <c r="U121" s="36"/>
      <c r="V121" s="12"/>
      <c r="W121" s="12"/>
      <c r="X121" s="12"/>
      <c r="Y121" s="12"/>
    </row>
    <row r="122" customFormat="false" ht="15.75" hidden="false" customHeight="false" outlineLevel="0" collapsed="false">
      <c r="A122" s="12"/>
      <c r="B122" s="34"/>
      <c r="C122" s="12"/>
      <c r="D122" s="12"/>
      <c r="E122" s="12"/>
      <c r="F122" s="12"/>
      <c r="G122" s="18"/>
      <c r="H122" s="35"/>
      <c r="I122" s="35"/>
      <c r="J122" s="12"/>
      <c r="O122" s="12"/>
      <c r="P122" s="18"/>
      <c r="Q122" s="12"/>
      <c r="R122" s="12"/>
      <c r="S122" s="12"/>
      <c r="T122" s="36"/>
      <c r="U122" s="36"/>
      <c r="V122" s="12"/>
      <c r="W122" s="12"/>
      <c r="X122" s="12"/>
      <c r="Y122" s="12"/>
    </row>
    <row r="123" customFormat="false" ht="15.75" hidden="false" customHeight="false" outlineLevel="0" collapsed="false">
      <c r="A123" s="12"/>
      <c r="B123" s="34"/>
      <c r="C123" s="12"/>
      <c r="D123" s="12"/>
      <c r="E123" s="12"/>
      <c r="F123" s="12"/>
      <c r="G123" s="18"/>
      <c r="H123" s="35"/>
      <c r="I123" s="35"/>
      <c r="J123" s="12"/>
      <c r="O123" s="12"/>
      <c r="P123" s="18"/>
      <c r="Q123" s="12"/>
      <c r="R123" s="12"/>
      <c r="S123" s="12"/>
      <c r="T123" s="36"/>
      <c r="U123" s="36"/>
      <c r="V123" s="12"/>
      <c r="W123" s="12"/>
      <c r="X123" s="12"/>
      <c r="Y123" s="12"/>
    </row>
    <row r="124" customFormat="false" ht="15.75" hidden="false" customHeight="false" outlineLevel="0" collapsed="false">
      <c r="A124" s="12"/>
      <c r="B124" s="34"/>
      <c r="C124" s="12"/>
      <c r="D124" s="12"/>
      <c r="E124" s="12"/>
      <c r="F124" s="12"/>
      <c r="G124" s="18"/>
      <c r="H124" s="35"/>
      <c r="I124" s="35"/>
      <c r="J124" s="12"/>
      <c r="O124" s="12"/>
      <c r="P124" s="18"/>
      <c r="Q124" s="12"/>
      <c r="R124" s="12"/>
      <c r="S124" s="12"/>
      <c r="T124" s="36"/>
      <c r="U124" s="36"/>
      <c r="V124" s="12"/>
      <c r="W124" s="12"/>
      <c r="X124" s="12"/>
      <c r="Y124" s="12"/>
    </row>
    <row r="125" customFormat="false" ht="15.75" hidden="false" customHeight="false" outlineLevel="0" collapsed="false">
      <c r="A125" s="12"/>
      <c r="B125" s="34"/>
      <c r="C125" s="12"/>
      <c r="D125" s="12"/>
      <c r="E125" s="12"/>
      <c r="F125" s="12"/>
      <c r="G125" s="18"/>
      <c r="H125" s="35"/>
      <c r="I125" s="35"/>
      <c r="J125" s="12"/>
      <c r="O125" s="12"/>
      <c r="P125" s="18"/>
      <c r="Q125" s="12"/>
      <c r="R125" s="12"/>
      <c r="S125" s="12"/>
      <c r="T125" s="36"/>
      <c r="U125" s="36"/>
      <c r="V125" s="12"/>
      <c r="W125" s="12"/>
      <c r="X125" s="12"/>
      <c r="Y125" s="12"/>
    </row>
    <row r="126" customFormat="false" ht="15.75" hidden="false" customHeight="false" outlineLevel="0" collapsed="false">
      <c r="A126" s="12"/>
      <c r="B126" s="34"/>
      <c r="C126" s="12"/>
      <c r="D126" s="12"/>
      <c r="E126" s="12"/>
      <c r="F126" s="12"/>
      <c r="G126" s="18"/>
      <c r="H126" s="35"/>
      <c r="I126" s="35"/>
      <c r="J126" s="12"/>
      <c r="O126" s="12"/>
      <c r="P126" s="18"/>
      <c r="Q126" s="12"/>
      <c r="R126" s="12"/>
      <c r="S126" s="12"/>
      <c r="T126" s="36"/>
      <c r="U126" s="36"/>
      <c r="V126" s="12"/>
      <c r="W126" s="12"/>
      <c r="X126" s="12"/>
      <c r="Y126" s="12"/>
    </row>
    <row r="127" customFormat="false" ht="15.75" hidden="false" customHeight="false" outlineLevel="0" collapsed="false">
      <c r="A127" s="12"/>
      <c r="B127" s="34"/>
      <c r="C127" s="12"/>
      <c r="D127" s="12"/>
      <c r="E127" s="12"/>
      <c r="F127" s="12"/>
      <c r="G127" s="18"/>
      <c r="H127" s="35"/>
      <c r="I127" s="35"/>
      <c r="J127" s="12"/>
      <c r="O127" s="12"/>
      <c r="P127" s="18"/>
      <c r="Q127" s="12"/>
      <c r="R127" s="12"/>
      <c r="S127" s="12"/>
      <c r="T127" s="36"/>
      <c r="U127" s="36"/>
      <c r="V127" s="12"/>
      <c r="W127" s="12"/>
      <c r="X127" s="12"/>
      <c r="Y127" s="12"/>
    </row>
    <row r="128" customFormat="false" ht="15.75" hidden="false" customHeight="false" outlineLevel="0" collapsed="false">
      <c r="A128" s="12"/>
      <c r="B128" s="34"/>
      <c r="C128" s="12"/>
      <c r="D128" s="12"/>
      <c r="E128" s="12"/>
      <c r="F128" s="12"/>
      <c r="G128" s="18"/>
      <c r="H128" s="35"/>
      <c r="I128" s="35"/>
      <c r="J128" s="12"/>
      <c r="O128" s="12"/>
      <c r="P128" s="18"/>
      <c r="Q128" s="12"/>
      <c r="R128" s="12"/>
      <c r="S128" s="12"/>
      <c r="T128" s="36"/>
      <c r="U128" s="36"/>
      <c r="V128" s="12"/>
      <c r="W128" s="12"/>
      <c r="X128" s="12"/>
      <c r="Y128" s="12"/>
    </row>
    <row r="129" customFormat="false" ht="15.75" hidden="false" customHeight="false" outlineLevel="0" collapsed="false">
      <c r="A129" s="12"/>
      <c r="B129" s="34"/>
      <c r="C129" s="12"/>
      <c r="D129" s="12"/>
      <c r="E129" s="12"/>
      <c r="F129" s="12"/>
      <c r="G129" s="18"/>
      <c r="H129" s="35"/>
      <c r="I129" s="35"/>
      <c r="J129" s="12"/>
      <c r="O129" s="12"/>
      <c r="P129" s="18"/>
      <c r="Q129" s="12"/>
      <c r="R129" s="12"/>
      <c r="S129" s="12"/>
      <c r="T129" s="36"/>
      <c r="U129" s="36"/>
      <c r="V129" s="12"/>
      <c r="W129" s="12"/>
      <c r="X129" s="12"/>
      <c r="Y129" s="12"/>
    </row>
    <row r="130" customFormat="false" ht="15.75" hidden="false" customHeight="false" outlineLevel="0" collapsed="false">
      <c r="A130" s="12"/>
      <c r="B130" s="34"/>
      <c r="C130" s="12"/>
      <c r="D130" s="12"/>
      <c r="E130" s="12"/>
      <c r="F130" s="12"/>
      <c r="G130" s="18"/>
      <c r="H130" s="35"/>
      <c r="I130" s="35"/>
      <c r="J130" s="12"/>
      <c r="O130" s="12"/>
      <c r="P130" s="18"/>
      <c r="Q130" s="12"/>
      <c r="R130" s="12"/>
      <c r="S130" s="12"/>
      <c r="T130" s="36"/>
      <c r="U130" s="36"/>
      <c r="V130" s="12"/>
      <c r="W130" s="12"/>
      <c r="X130" s="12"/>
      <c r="Y130" s="12"/>
    </row>
    <row r="131" customFormat="false" ht="15.75" hidden="false" customHeight="false" outlineLevel="0" collapsed="false">
      <c r="A131" s="12"/>
      <c r="B131" s="34"/>
      <c r="C131" s="12"/>
      <c r="D131" s="12"/>
      <c r="E131" s="12"/>
      <c r="F131" s="12"/>
      <c r="G131" s="18"/>
      <c r="H131" s="35"/>
      <c r="I131" s="35"/>
      <c r="J131" s="12"/>
      <c r="O131" s="12"/>
      <c r="P131" s="18"/>
      <c r="Q131" s="12"/>
      <c r="R131" s="12"/>
      <c r="S131" s="12"/>
      <c r="T131" s="36"/>
      <c r="U131" s="36"/>
      <c r="V131" s="12"/>
      <c r="W131" s="12"/>
      <c r="X131" s="12"/>
      <c r="Y131" s="12"/>
    </row>
    <row r="132" customFormat="false" ht="15.75" hidden="false" customHeight="false" outlineLevel="0" collapsed="false">
      <c r="A132" s="12"/>
      <c r="B132" s="34"/>
      <c r="C132" s="12"/>
      <c r="D132" s="12"/>
      <c r="E132" s="12"/>
      <c r="F132" s="12"/>
      <c r="G132" s="18"/>
      <c r="H132" s="35"/>
      <c r="I132" s="35"/>
      <c r="J132" s="12"/>
      <c r="O132" s="12"/>
      <c r="P132" s="18"/>
      <c r="Q132" s="12"/>
      <c r="R132" s="12"/>
      <c r="S132" s="12"/>
      <c r="T132" s="36"/>
      <c r="U132" s="36"/>
      <c r="V132" s="12"/>
      <c r="W132" s="12"/>
      <c r="X132" s="12"/>
      <c r="Y132" s="12"/>
    </row>
    <row r="133" customFormat="false" ht="15.75" hidden="false" customHeight="false" outlineLevel="0" collapsed="false">
      <c r="A133" s="12"/>
      <c r="B133" s="34"/>
      <c r="C133" s="12"/>
      <c r="D133" s="12"/>
      <c r="E133" s="12"/>
      <c r="F133" s="12"/>
      <c r="G133" s="18"/>
      <c r="H133" s="35"/>
      <c r="I133" s="35"/>
      <c r="J133" s="12"/>
      <c r="O133" s="12"/>
      <c r="P133" s="18"/>
      <c r="Q133" s="12"/>
      <c r="R133" s="12"/>
      <c r="S133" s="12"/>
      <c r="T133" s="36"/>
      <c r="U133" s="36"/>
      <c r="V133" s="12"/>
      <c r="W133" s="12"/>
      <c r="X133" s="12"/>
      <c r="Y133" s="12"/>
    </row>
    <row r="134" customFormat="false" ht="15.75" hidden="false" customHeight="false" outlineLevel="0" collapsed="false">
      <c r="A134" s="12"/>
      <c r="B134" s="34"/>
      <c r="C134" s="12"/>
      <c r="D134" s="12"/>
      <c r="E134" s="12"/>
      <c r="F134" s="12"/>
      <c r="G134" s="18"/>
      <c r="H134" s="35"/>
      <c r="I134" s="35"/>
      <c r="J134" s="12"/>
      <c r="O134" s="12"/>
      <c r="P134" s="18"/>
      <c r="Q134" s="12"/>
      <c r="R134" s="12"/>
      <c r="S134" s="12"/>
      <c r="T134" s="36"/>
      <c r="U134" s="36"/>
      <c r="V134" s="12"/>
      <c r="W134" s="12"/>
      <c r="X134" s="12"/>
      <c r="Y134" s="12"/>
    </row>
    <row r="135" customFormat="false" ht="15.75" hidden="false" customHeight="false" outlineLevel="0" collapsed="false">
      <c r="A135" s="12"/>
      <c r="B135" s="34"/>
      <c r="C135" s="12"/>
      <c r="D135" s="12"/>
      <c r="E135" s="12"/>
      <c r="F135" s="12"/>
      <c r="G135" s="18"/>
      <c r="H135" s="35"/>
      <c r="I135" s="35"/>
      <c r="J135" s="12"/>
      <c r="O135" s="12"/>
      <c r="P135" s="18"/>
      <c r="Q135" s="12"/>
      <c r="R135" s="12"/>
      <c r="S135" s="12"/>
      <c r="T135" s="36"/>
      <c r="U135" s="36"/>
      <c r="V135" s="12"/>
      <c r="W135" s="12"/>
      <c r="X135" s="12"/>
      <c r="Y135" s="12"/>
    </row>
    <row r="136" customFormat="false" ht="15.75" hidden="false" customHeight="false" outlineLevel="0" collapsed="false">
      <c r="A136" s="12"/>
      <c r="B136" s="34"/>
      <c r="C136" s="12"/>
      <c r="D136" s="12"/>
      <c r="E136" s="12"/>
      <c r="F136" s="12"/>
      <c r="G136" s="18"/>
      <c r="H136" s="35"/>
      <c r="I136" s="35"/>
      <c r="J136" s="12"/>
      <c r="O136" s="12"/>
      <c r="P136" s="18"/>
      <c r="Q136" s="12"/>
      <c r="R136" s="12"/>
      <c r="S136" s="12"/>
      <c r="T136" s="36"/>
      <c r="U136" s="36"/>
      <c r="V136" s="12"/>
      <c r="W136" s="12"/>
      <c r="X136" s="12"/>
      <c r="Y136" s="12"/>
    </row>
    <row r="137" customFormat="false" ht="15.75" hidden="false" customHeight="false" outlineLevel="0" collapsed="false">
      <c r="A137" s="12"/>
      <c r="B137" s="34"/>
      <c r="C137" s="12"/>
      <c r="D137" s="12"/>
      <c r="E137" s="12"/>
      <c r="F137" s="12"/>
      <c r="G137" s="18"/>
      <c r="H137" s="35"/>
      <c r="I137" s="35"/>
      <c r="J137" s="12"/>
      <c r="O137" s="12"/>
      <c r="P137" s="18"/>
      <c r="Q137" s="12"/>
      <c r="R137" s="12"/>
      <c r="S137" s="12"/>
      <c r="T137" s="36"/>
      <c r="U137" s="36"/>
      <c r="V137" s="12"/>
      <c r="W137" s="12"/>
      <c r="X137" s="12"/>
      <c r="Y137" s="12"/>
    </row>
    <row r="138" customFormat="false" ht="15.75" hidden="false" customHeight="false" outlineLevel="0" collapsed="false">
      <c r="A138" s="12"/>
      <c r="B138" s="34"/>
      <c r="C138" s="12"/>
      <c r="D138" s="12"/>
      <c r="E138" s="12"/>
      <c r="F138" s="12"/>
      <c r="G138" s="18"/>
      <c r="H138" s="35"/>
      <c r="I138" s="35"/>
      <c r="J138" s="12"/>
      <c r="O138" s="12"/>
      <c r="P138" s="18"/>
      <c r="Q138" s="12"/>
      <c r="R138" s="12"/>
      <c r="S138" s="12"/>
      <c r="T138" s="36"/>
      <c r="U138" s="36"/>
      <c r="V138" s="12"/>
      <c r="W138" s="12"/>
      <c r="X138" s="12"/>
      <c r="Y138" s="12"/>
    </row>
    <row r="139" customFormat="false" ht="15.75" hidden="false" customHeight="false" outlineLevel="0" collapsed="false">
      <c r="A139" s="12"/>
      <c r="B139" s="34"/>
      <c r="C139" s="12"/>
      <c r="D139" s="12"/>
      <c r="E139" s="12"/>
      <c r="F139" s="12"/>
      <c r="G139" s="18"/>
      <c r="H139" s="35"/>
      <c r="I139" s="35"/>
      <c r="J139" s="12"/>
      <c r="O139" s="12"/>
      <c r="P139" s="18"/>
      <c r="Q139" s="12"/>
      <c r="R139" s="12"/>
      <c r="S139" s="12"/>
      <c r="T139" s="36"/>
      <c r="U139" s="36"/>
      <c r="V139" s="12"/>
      <c r="W139" s="12"/>
      <c r="X139" s="12"/>
      <c r="Y139" s="12"/>
    </row>
    <row r="140" customFormat="false" ht="15.75" hidden="false" customHeight="false" outlineLevel="0" collapsed="false">
      <c r="A140" s="12"/>
      <c r="B140" s="34"/>
      <c r="C140" s="12"/>
      <c r="D140" s="12"/>
      <c r="E140" s="12"/>
      <c r="F140" s="12"/>
      <c r="G140" s="18"/>
      <c r="H140" s="35"/>
      <c r="I140" s="35"/>
      <c r="J140" s="12"/>
      <c r="O140" s="12"/>
      <c r="P140" s="18"/>
      <c r="Q140" s="12"/>
      <c r="R140" s="12"/>
      <c r="S140" s="12"/>
      <c r="T140" s="36"/>
      <c r="U140" s="36"/>
      <c r="V140" s="12"/>
      <c r="W140" s="12"/>
      <c r="X140" s="12"/>
      <c r="Y140" s="12"/>
    </row>
    <row r="141" customFormat="false" ht="15.75" hidden="false" customHeight="false" outlineLevel="0" collapsed="false">
      <c r="A141" s="12"/>
      <c r="B141" s="34"/>
      <c r="C141" s="12"/>
      <c r="D141" s="12"/>
      <c r="E141" s="12"/>
      <c r="F141" s="12"/>
      <c r="G141" s="18"/>
      <c r="H141" s="35"/>
      <c r="I141" s="35"/>
      <c r="J141" s="12"/>
      <c r="O141" s="12"/>
      <c r="P141" s="18"/>
      <c r="Q141" s="12"/>
      <c r="R141" s="12"/>
      <c r="S141" s="12"/>
      <c r="T141" s="36"/>
      <c r="U141" s="36"/>
      <c r="V141" s="12"/>
      <c r="W141" s="12"/>
      <c r="X141" s="12"/>
      <c r="Y141" s="12"/>
    </row>
    <row r="142" customFormat="false" ht="15.75" hidden="false" customHeight="false" outlineLevel="0" collapsed="false">
      <c r="A142" s="12"/>
      <c r="B142" s="34"/>
      <c r="C142" s="12"/>
      <c r="D142" s="12"/>
      <c r="E142" s="12"/>
      <c r="F142" s="12"/>
      <c r="G142" s="18"/>
      <c r="H142" s="35"/>
      <c r="I142" s="35"/>
      <c r="J142" s="12"/>
      <c r="O142" s="12"/>
      <c r="P142" s="18"/>
      <c r="Q142" s="12"/>
      <c r="R142" s="12"/>
      <c r="S142" s="12"/>
      <c r="T142" s="36"/>
      <c r="U142" s="36"/>
      <c r="V142" s="12"/>
      <c r="W142" s="12"/>
      <c r="X142" s="12"/>
      <c r="Y142" s="12"/>
    </row>
    <row r="143" customFormat="false" ht="15.75" hidden="false" customHeight="false" outlineLevel="0" collapsed="false">
      <c r="A143" s="12"/>
      <c r="B143" s="34"/>
      <c r="C143" s="12"/>
      <c r="D143" s="12"/>
      <c r="E143" s="12"/>
      <c r="F143" s="12"/>
      <c r="G143" s="18"/>
      <c r="H143" s="35"/>
      <c r="I143" s="35"/>
      <c r="J143" s="12"/>
      <c r="O143" s="12"/>
      <c r="P143" s="18"/>
      <c r="Q143" s="12"/>
      <c r="R143" s="12"/>
      <c r="S143" s="12"/>
      <c r="T143" s="36"/>
      <c r="U143" s="36"/>
      <c r="V143" s="12"/>
      <c r="W143" s="12"/>
      <c r="X143" s="12"/>
      <c r="Y143" s="12"/>
    </row>
    <row r="144" customFormat="false" ht="15.75" hidden="false" customHeight="false" outlineLevel="0" collapsed="false">
      <c r="A144" s="12"/>
      <c r="B144" s="34"/>
      <c r="C144" s="12"/>
      <c r="D144" s="12"/>
      <c r="E144" s="12"/>
      <c r="F144" s="12"/>
      <c r="G144" s="18"/>
      <c r="H144" s="35"/>
      <c r="I144" s="35"/>
      <c r="J144" s="12"/>
      <c r="O144" s="12"/>
      <c r="P144" s="18"/>
      <c r="Q144" s="12"/>
      <c r="R144" s="12"/>
      <c r="S144" s="12"/>
      <c r="T144" s="36"/>
      <c r="U144" s="36"/>
      <c r="V144" s="12"/>
      <c r="W144" s="12"/>
      <c r="X144" s="12"/>
      <c r="Y144" s="12"/>
    </row>
    <row r="145" customFormat="false" ht="15.75" hidden="false" customHeight="false" outlineLevel="0" collapsed="false">
      <c r="A145" s="12"/>
      <c r="B145" s="34"/>
      <c r="C145" s="12"/>
      <c r="D145" s="12"/>
      <c r="E145" s="12"/>
      <c r="F145" s="12"/>
      <c r="G145" s="18"/>
      <c r="H145" s="35"/>
      <c r="I145" s="35"/>
      <c r="J145" s="12"/>
      <c r="O145" s="12"/>
      <c r="P145" s="18"/>
      <c r="Q145" s="12"/>
      <c r="R145" s="12"/>
      <c r="S145" s="12"/>
      <c r="T145" s="36"/>
      <c r="U145" s="36"/>
      <c r="V145" s="12"/>
      <c r="W145" s="12"/>
      <c r="X145" s="12"/>
      <c r="Y145" s="12"/>
    </row>
    <row r="146" customFormat="false" ht="15.75" hidden="false" customHeight="false" outlineLevel="0" collapsed="false">
      <c r="A146" s="12"/>
      <c r="B146" s="34"/>
      <c r="C146" s="12"/>
      <c r="D146" s="12"/>
      <c r="E146" s="12"/>
      <c r="F146" s="12"/>
      <c r="G146" s="18"/>
      <c r="H146" s="35"/>
      <c r="I146" s="35"/>
      <c r="J146" s="12"/>
      <c r="O146" s="12"/>
      <c r="P146" s="18"/>
      <c r="Q146" s="12"/>
      <c r="R146" s="12"/>
      <c r="S146" s="12"/>
      <c r="T146" s="36"/>
      <c r="U146" s="36"/>
      <c r="V146" s="12"/>
      <c r="W146" s="12"/>
      <c r="X146" s="12"/>
      <c r="Y146" s="12"/>
    </row>
    <row r="147" customFormat="false" ht="15.75" hidden="false" customHeight="false" outlineLevel="0" collapsed="false">
      <c r="A147" s="12"/>
      <c r="B147" s="34"/>
      <c r="C147" s="12"/>
      <c r="D147" s="12"/>
      <c r="E147" s="12"/>
      <c r="F147" s="12"/>
      <c r="G147" s="18"/>
      <c r="H147" s="35"/>
      <c r="I147" s="35"/>
      <c r="J147" s="12"/>
      <c r="O147" s="12"/>
      <c r="P147" s="18"/>
      <c r="Q147" s="12"/>
      <c r="R147" s="12"/>
      <c r="S147" s="12"/>
      <c r="T147" s="36"/>
      <c r="U147" s="36"/>
      <c r="V147" s="12"/>
      <c r="W147" s="12"/>
      <c r="X147" s="12"/>
      <c r="Y147" s="12"/>
    </row>
    <row r="148" customFormat="false" ht="15.75" hidden="false" customHeight="false" outlineLevel="0" collapsed="false">
      <c r="A148" s="12"/>
      <c r="B148" s="34"/>
      <c r="C148" s="12"/>
      <c r="D148" s="12"/>
      <c r="E148" s="12"/>
      <c r="F148" s="12"/>
      <c r="G148" s="18"/>
      <c r="H148" s="35"/>
      <c r="I148" s="35"/>
      <c r="J148" s="12"/>
      <c r="O148" s="12"/>
      <c r="P148" s="18"/>
      <c r="Q148" s="12"/>
      <c r="R148" s="12"/>
      <c r="S148" s="12"/>
      <c r="T148" s="36"/>
      <c r="U148" s="36"/>
      <c r="V148" s="12"/>
      <c r="W148" s="12"/>
      <c r="X148" s="12"/>
      <c r="Y148" s="12"/>
    </row>
    <row r="149" customFormat="false" ht="15.75" hidden="false" customHeight="false" outlineLevel="0" collapsed="false">
      <c r="A149" s="12"/>
      <c r="B149" s="34"/>
      <c r="C149" s="12"/>
      <c r="D149" s="12"/>
      <c r="E149" s="12"/>
      <c r="F149" s="12"/>
      <c r="G149" s="18"/>
      <c r="H149" s="35"/>
      <c r="I149" s="35"/>
      <c r="J149" s="12"/>
      <c r="O149" s="12"/>
      <c r="P149" s="18"/>
      <c r="Q149" s="12"/>
      <c r="R149" s="12"/>
      <c r="S149" s="12"/>
      <c r="T149" s="36"/>
      <c r="U149" s="36"/>
      <c r="V149" s="12"/>
      <c r="W149" s="12"/>
      <c r="X149" s="12"/>
      <c r="Y149" s="12"/>
    </row>
    <row r="150" customFormat="false" ht="15.75" hidden="false" customHeight="false" outlineLevel="0" collapsed="false">
      <c r="A150" s="12"/>
      <c r="B150" s="34"/>
      <c r="C150" s="12"/>
      <c r="D150" s="12"/>
      <c r="E150" s="12"/>
      <c r="F150" s="12"/>
      <c r="G150" s="18"/>
      <c r="H150" s="35"/>
      <c r="I150" s="35"/>
      <c r="J150" s="12"/>
      <c r="O150" s="12"/>
      <c r="P150" s="18"/>
      <c r="Q150" s="12"/>
      <c r="R150" s="12"/>
      <c r="S150" s="12"/>
      <c r="T150" s="36"/>
      <c r="U150" s="36"/>
      <c r="V150" s="12"/>
      <c r="W150" s="12"/>
      <c r="X150" s="12"/>
      <c r="Y150" s="12"/>
    </row>
    <row r="151" customFormat="false" ht="15.75" hidden="false" customHeight="false" outlineLevel="0" collapsed="false">
      <c r="A151" s="12"/>
      <c r="B151" s="34"/>
      <c r="C151" s="12"/>
      <c r="D151" s="12"/>
      <c r="E151" s="12"/>
      <c r="F151" s="12"/>
      <c r="G151" s="18"/>
      <c r="H151" s="35"/>
      <c r="I151" s="35"/>
      <c r="J151" s="12"/>
      <c r="O151" s="12"/>
      <c r="P151" s="18"/>
      <c r="Q151" s="12"/>
      <c r="R151" s="12"/>
      <c r="S151" s="12"/>
      <c r="T151" s="36"/>
      <c r="U151" s="36"/>
      <c r="V151" s="12"/>
      <c r="W151" s="12"/>
      <c r="X151" s="12"/>
      <c r="Y151" s="12"/>
    </row>
    <row r="152" customFormat="false" ht="15.75" hidden="false" customHeight="false" outlineLevel="0" collapsed="false">
      <c r="A152" s="12"/>
      <c r="B152" s="34"/>
      <c r="C152" s="12"/>
      <c r="D152" s="12"/>
      <c r="E152" s="12"/>
      <c r="F152" s="12"/>
      <c r="G152" s="18"/>
      <c r="H152" s="35"/>
      <c r="I152" s="35"/>
      <c r="J152" s="12"/>
      <c r="O152" s="12"/>
      <c r="P152" s="18"/>
      <c r="Q152" s="12"/>
      <c r="R152" s="12"/>
      <c r="S152" s="12"/>
      <c r="T152" s="36"/>
      <c r="U152" s="36"/>
      <c r="V152" s="12"/>
      <c r="W152" s="12"/>
      <c r="X152" s="12"/>
      <c r="Y152" s="12"/>
    </row>
    <row r="153" customFormat="false" ht="15.75" hidden="false" customHeight="false" outlineLevel="0" collapsed="false">
      <c r="A153" s="12"/>
      <c r="B153" s="34"/>
      <c r="C153" s="12"/>
      <c r="D153" s="12"/>
      <c r="E153" s="12"/>
      <c r="F153" s="12"/>
      <c r="G153" s="18"/>
      <c r="H153" s="35"/>
      <c r="I153" s="35"/>
      <c r="J153" s="12"/>
      <c r="O153" s="12"/>
      <c r="P153" s="18"/>
      <c r="Q153" s="12"/>
      <c r="R153" s="12"/>
      <c r="S153" s="12"/>
      <c r="T153" s="36"/>
      <c r="U153" s="36"/>
      <c r="V153" s="12"/>
      <c r="W153" s="12"/>
      <c r="X153" s="12"/>
      <c r="Y153" s="12"/>
    </row>
    <row r="154" customFormat="false" ht="15.75" hidden="false" customHeight="false" outlineLevel="0" collapsed="false">
      <c r="A154" s="12"/>
      <c r="B154" s="34"/>
      <c r="C154" s="12"/>
      <c r="D154" s="12"/>
      <c r="E154" s="12"/>
      <c r="F154" s="12"/>
      <c r="G154" s="18"/>
      <c r="H154" s="35"/>
      <c r="I154" s="35"/>
      <c r="J154" s="12"/>
      <c r="O154" s="12"/>
      <c r="P154" s="18"/>
      <c r="Q154" s="12"/>
      <c r="R154" s="12"/>
      <c r="S154" s="12"/>
      <c r="T154" s="36"/>
      <c r="U154" s="36"/>
      <c r="V154" s="12"/>
      <c r="W154" s="12"/>
      <c r="X154" s="12"/>
      <c r="Y154" s="12"/>
    </row>
    <row r="155" customFormat="false" ht="15.75" hidden="false" customHeight="false" outlineLevel="0" collapsed="false">
      <c r="A155" s="12"/>
      <c r="B155" s="34"/>
      <c r="C155" s="12"/>
      <c r="D155" s="12"/>
      <c r="E155" s="12"/>
      <c r="F155" s="12"/>
      <c r="G155" s="18"/>
      <c r="H155" s="35"/>
      <c r="I155" s="35"/>
      <c r="J155" s="12"/>
      <c r="O155" s="12"/>
      <c r="P155" s="18"/>
      <c r="Q155" s="12"/>
      <c r="R155" s="12"/>
      <c r="S155" s="12"/>
      <c r="T155" s="36"/>
      <c r="U155" s="36"/>
      <c r="V155" s="12"/>
      <c r="W155" s="12"/>
      <c r="X155" s="12"/>
      <c r="Y155" s="12"/>
    </row>
    <row r="156" customFormat="false" ht="15.75" hidden="false" customHeight="false" outlineLevel="0" collapsed="false">
      <c r="A156" s="12"/>
      <c r="B156" s="34"/>
      <c r="C156" s="12"/>
      <c r="D156" s="12"/>
      <c r="E156" s="12"/>
      <c r="F156" s="12"/>
      <c r="G156" s="18"/>
      <c r="H156" s="35"/>
      <c r="I156" s="35"/>
      <c r="J156" s="12"/>
      <c r="O156" s="12"/>
      <c r="P156" s="18"/>
      <c r="Q156" s="12"/>
      <c r="R156" s="12"/>
      <c r="S156" s="12"/>
      <c r="T156" s="36"/>
      <c r="U156" s="36"/>
      <c r="V156" s="12"/>
      <c r="W156" s="12"/>
      <c r="X156" s="12"/>
      <c r="Y156" s="12"/>
    </row>
    <row r="157" customFormat="false" ht="15.75" hidden="false" customHeight="false" outlineLevel="0" collapsed="false">
      <c r="A157" s="12"/>
      <c r="B157" s="34"/>
      <c r="C157" s="12"/>
      <c r="D157" s="12"/>
      <c r="E157" s="12"/>
      <c r="F157" s="12"/>
      <c r="G157" s="18"/>
      <c r="H157" s="35"/>
      <c r="I157" s="35"/>
      <c r="J157" s="12"/>
      <c r="O157" s="12"/>
      <c r="P157" s="18"/>
      <c r="Q157" s="12"/>
      <c r="R157" s="12"/>
      <c r="S157" s="12"/>
      <c r="T157" s="36"/>
      <c r="U157" s="36"/>
      <c r="V157" s="12"/>
      <c r="W157" s="12"/>
      <c r="X157" s="12"/>
      <c r="Y157" s="12"/>
    </row>
    <row r="158" customFormat="false" ht="15.75" hidden="false" customHeight="false" outlineLevel="0" collapsed="false">
      <c r="A158" s="12"/>
      <c r="B158" s="34"/>
      <c r="C158" s="12"/>
      <c r="D158" s="12"/>
      <c r="E158" s="12"/>
      <c r="F158" s="12"/>
      <c r="G158" s="18"/>
      <c r="H158" s="35"/>
      <c r="I158" s="35"/>
      <c r="J158" s="12"/>
      <c r="O158" s="12"/>
      <c r="P158" s="18"/>
      <c r="Q158" s="12"/>
      <c r="R158" s="12"/>
      <c r="S158" s="12"/>
      <c r="T158" s="36"/>
      <c r="U158" s="36"/>
      <c r="V158" s="12"/>
      <c r="W158" s="12"/>
      <c r="X158" s="12"/>
      <c r="Y158" s="12"/>
    </row>
    <row r="159" customFormat="false" ht="15.75" hidden="false" customHeight="false" outlineLevel="0" collapsed="false">
      <c r="A159" s="12"/>
      <c r="B159" s="34"/>
      <c r="C159" s="12"/>
      <c r="D159" s="12"/>
      <c r="E159" s="12"/>
      <c r="F159" s="12"/>
      <c r="G159" s="18"/>
      <c r="H159" s="35"/>
      <c r="I159" s="35"/>
      <c r="J159" s="12"/>
      <c r="O159" s="12"/>
      <c r="P159" s="18"/>
      <c r="Q159" s="12"/>
      <c r="R159" s="12"/>
      <c r="S159" s="12"/>
      <c r="T159" s="36"/>
      <c r="U159" s="36"/>
      <c r="V159" s="12"/>
      <c r="W159" s="12"/>
      <c r="X159" s="12"/>
      <c r="Y159" s="12"/>
    </row>
    <row r="160" customFormat="false" ht="15.75" hidden="false" customHeight="false" outlineLevel="0" collapsed="false">
      <c r="A160" s="12"/>
      <c r="B160" s="34"/>
      <c r="C160" s="12"/>
      <c r="D160" s="12"/>
      <c r="E160" s="12"/>
      <c r="F160" s="12"/>
      <c r="G160" s="18"/>
      <c r="H160" s="35"/>
      <c r="I160" s="35"/>
      <c r="J160" s="12"/>
      <c r="O160" s="12"/>
      <c r="P160" s="18"/>
      <c r="Q160" s="12"/>
      <c r="R160" s="12"/>
      <c r="S160" s="12"/>
      <c r="T160" s="36"/>
      <c r="U160" s="36"/>
      <c r="V160" s="12"/>
      <c r="W160" s="12"/>
      <c r="X160" s="12"/>
      <c r="Y160" s="12"/>
    </row>
    <row r="161" customFormat="false" ht="15.75" hidden="false" customHeight="false" outlineLevel="0" collapsed="false">
      <c r="A161" s="12"/>
      <c r="B161" s="34"/>
      <c r="C161" s="12"/>
      <c r="D161" s="12"/>
      <c r="E161" s="12"/>
      <c r="F161" s="12"/>
      <c r="G161" s="18"/>
      <c r="H161" s="35"/>
      <c r="I161" s="35"/>
      <c r="J161" s="12"/>
      <c r="O161" s="12"/>
      <c r="P161" s="18"/>
      <c r="Q161" s="12"/>
      <c r="R161" s="12"/>
      <c r="S161" s="12"/>
      <c r="T161" s="36"/>
      <c r="U161" s="36"/>
      <c r="V161" s="12"/>
      <c r="W161" s="12"/>
      <c r="X161" s="12"/>
      <c r="Y161" s="12"/>
    </row>
    <row r="162" customFormat="false" ht="15.75" hidden="false" customHeight="false" outlineLevel="0" collapsed="false">
      <c r="A162" s="12"/>
      <c r="B162" s="34"/>
      <c r="C162" s="12"/>
      <c r="D162" s="12"/>
      <c r="E162" s="12"/>
      <c r="F162" s="12"/>
      <c r="G162" s="18"/>
      <c r="H162" s="35"/>
      <c r="I162" s="35"/>
      <c r="J162" s="12"/>
      <c r="O162" s="12"/>
      <c r="P162" s="18"/>
      <c r="Q162" s="12"/>
      <c r="R162" s="12"/>
      <c r="S162" s="12"/>
      <c r="T162" s="36"/>
      <c r="U162" s="36"/>
      <c r="V162" s="12"/>
      <c r="W162" s="12"/>
      <c r="X162" s="12"/>
      <c r="Y162" s="12"/>
    </row>
    <row r="163" customFormat="false" ht="15.75" hidden="false" customHeight="false" outlineLevel="0" collapsed="false">
      <c r="A163" s="12"/>
      <c r="B163" s="34"/>
      <c r="C163" s="12"/>
      <c r="D163" s="12"/>
      <c r="E163" s="12"/>
      <c r="F163" s="12"/>
      <c r="G163" s="18"/>
      <c r="H163" s="35"/>
      <c r="I163" s="35"/>
      <c r="J163" s="12"/>
      <c r="O163" s="12"/>
      <c r="P163" s="18"/>
      <c r="Q163" s="12"/>
      <c r="R163" s="12"/>
      <c r="S163" s="12"/>
      <c r="T163" s="36"/>
      <c r="U163" s="36"/>
      <c r="V163" s="12"/>
      <c r="W163" s="12"/>
      <c r="X163" s="12"/>
      <c r="Y163" s="12"/>
    </row>
    <row r="164" customFormat="false" ht="15.75" hidden="false" customHeight="false" outlineLevel="0" collapsed="false">
      <c r="A164" s="12"/>
      <c r="B164" s="34"/>
      <c r="C164" s="12"/>
      <c r="D164" s="12"/>
      <c r="E164" s="12"/>
      <c r="F164" s="12"/>
      <c r="G164" s="18"/>
      <c r="H164" s="35"/>
      <c r="I164" s="35"/>
      <c r="J164" s="12"/>
      <c r="O164" s="12"/>
      <c r="P164" s="18"/>
      <c r="Q164" s="12"/>
      <c r="R164" s="12"/>
      <c r="S164" s="12"/>
      <c r="T164" s="36"/>
      <c r="U164" s="36"/>
      <c r="V164" s="12"/>
      <c r="W164" s="12"/>
      <c r="X164" s="12"/>
      <c r="Y164" s="12"/>
    </row>
    <row r="165" customFormat="false" ht="15.75" hidden="false" customHeight="false" outlineLevel="0" collapsed="false">
      <c r="A165" s="12"/>
      <c r="B165" s="34"/>
      <c r="C165" s="12"/>
      <c r="D165" s="12"/>
      <c r="E165" s="12"/>
      <c r="F165" s="12"/>
      <c r="G165" s="18"/>
      <c r="H165" s="35"/>
      <c r="I165" s="35"/>
      <c r="J165" s="12"/>
      <c r="O165" s="12"/>
      <c r="P165" s="18"/>
      <c r="Q165" s="12"/>
      <c r="R165" s="12"/>
      <c r="S165" s="12"/>
      <c r="T165" s="36"/>
      <c r="U165" s="36"/>
      <c r="V165" s="12"/>
      <c r="W165" s="12"/>
      <c r="X165" s="12"/>
      <c r="Y165" s="12"/>
    </row>
    <row r="166" customFormat="false" ht="15.75" hidden="false" customHeight="false" outlineLevel="0" collapsed="false">
      <c r="A166" s="12"/>
      <c r="B166" s="34"/>
      <c r="C166" s="12"/>
      <c r="D166" s="12"/>
      <c r="E166" s="12"/>
      <c r="F166" s="12"/>
      <c r="G166" s="18"/>
      <c r="H166" s="35"/>
      <c r="I166" s="35"/>
      <c r="J166" s="12"/>
      <c r="O166" s="12"/>
      <c r="P166" s="18"/>
      <c r="Q166" s="12"/>
      <c r="R166" s="12"/>
      <c r="S166" s="12"/>
      <c r="T166" s="36"/>
      <c r="U166" s="36"/>
      <c r="V166" s="12"/>
      <c r="W166" s="12"/>
      <c r="X166" s="12"/>
      <c r="Y166" s="12"/>
    </row>
    <row r="167" customFormat="false" ht="15.75" hidden="false" customHeight="false" outlineLevel="0" collapsed="false">
      <c r="A167" s="12"/>
      <c r="B167" s="34"/>
      <c r="C167" s="12"/>
      <c r="D167" s="12"/>
      <c r="E167" s="12"/>
      <c r="F167" s="12"/>
      <c r="G167" s="18"/>
      <c r="H167" s="35"/>
      <c r="I167" s="35"/>
      <c r="J167" s="12"/>
      <c r="O167" s="12"/>
      <c r="P167" s="18"/>
      <c r="Q167" s="12"/>
      <c r="R167" s="12"/>
      <c r="S167" s="12"/>
      <c r="T167" s="36"/>
      <c r="U167" s="36"/>
      <c r="V167" s="12"/>
      <c r="W167" s="12"/>
      <c r="X167" s="12"/>
      <c r="Y167" s="12"/>
    </row>
    <row r="168" customFormat="false" ht="15.75" hidden="false" customHeight="false" outlineLevel="0" collapsed="false">
      <c r="A168" s="12"/>
      <c r="B168" s="34"/>
      <c r="C168" s="12"/>
      <c r="D168" s="12"/>
      <c r="E168" s="12"/>
      <c r="F168" s="12"/>
      <c r="G168" s="18"/>
      <c r="H168" s="35"/>
      <c r="I168" s="35"/>
      <c r="J168" s="12"/>
      <c r="O168" s="12"/>
      <c r="P168" s="18"/>
      <c r="Q168" s="12"/>
      <c r="R168" s="12"/>
      <c r="S168" s="12"/>
      <c r="T168" s="36"/>
      <c r="U168" s="36"/>
      <c r="V168" s="12"/>
      <c r="W168" s="12"/>
      <c r="X168" s="12"/>
      <c r="Y168" s="12"/>
    </row>
    <row r="169" customFormat="false" ht="15.75" hidden="false" customHeight="false" outlineLevel="0" collapsed="false">
      <c r="A169" s="12"/>
      <c r="B169" s="34"/>
      <c r="C169" s="12"/>
      <c r="D169" s="12"/>
      <c r="E169" s="12"/>
      <c r="F169" s="12"/>
      <c r="G169" s="18"/>
      <c r="H169" s="35"/>
      <c r="I169" s="35"/>
      <c r="J169" s="12"/>
      <c r="O169" s="12"/>
      <c r="P169" s="18"/>
      <c r="Q169" s="12"/>
      <c r="R169" s="12"/>
      <c r="S169" s="12"/>
      <c r="T169" s="36"/>
      <c r="U169" s="36"/>
      <c r="V169" s="12"/>
      <c r="W169" s="12"/>
      <c r="X169" s="12"/>
      <c r="Y169" s="12"/>
    </row>
    <row r="170" customFormat="false" ht="15.75" hidden="false" customHeight="false" outlineLevel="0" collapsed="false">
      <c r="A170" s="12"/>
      <c r="B170" s="34"/>
      <c r="C170" s="12"/>
      <c r="D170" s="12"/>
      <c r="E170" s="12"/>
      <c r="F170" s="12"/>
      <c r="G170" s="18"/>
      <c r="H170" s="35"/>
      <c r="I170" s="35"/>
      <c r="J170" s="12"/>
      <c r="O170" s="12"/>
      <c r="P170" s="18"/>
      <c r="Q170" s="12"/>
      <c r="R170" s="12"/>
      <c r="S170" s="12"/>
      <c r="T170" s="36"/>
      <c r="U170" s="36"/>
      <c r="V170" s="12"/>
      <c r="W170" s="12"/>
      <c r="X170" s="12"/>
      <c r="Y170" s="12"/>
    </row>
    <row r="171" customFormat="false" ht="15.75" hidden="false" customHeight="false" outlineLevel="0" collapsed="false">
      <c r="A171" s="12"/>
      <c r="B171" s="34"/>
      <c r="C171" s="12"/>
      <c r="D171" s="12"/>
      <c r="E171" s="12"/>
      <c r="F171" s="12"/>
      <c r="G171" s="18"/>
      <c r="H171" s="35"/>
      <c r="I171" s="35"/>
      <c r="J171" s="12"/>
      <c r="O171" s="12"/>
      <c r="P171" s="18"/>
      <c r="Q171" s="12"/>
      <c r="R171" s="12"/>
      <c r="S171" s="12"/>
      <c r="T171" s="36"/>
      <c r="U171" s="36"/>
      <c r="V171" s="12"/>
      <c r="W171" s="12"/>
      <c r="X171" s="12"/>
      <c r="Y171" s="12"/>
    </row>
    <row r="172" customFormat="false" ht="15.75" hidden="false" customHeight="false" outlineLevel="0" collapsed="false">
      <c r="A172" s="12"/>
      <c r="B172" s="34"/>
      <c r="C172" s="12"/>
      <c r="D172" s="12"/>
      <c r="E172" s="12"/>
      <c r="F172" s="12"/>
      <c r="G172" s="18"/>
      <c r="H172" s="35"/>
      <c r="I172" s="35"/>
      <c r="J172" s="12"/>
      <c r="O172" s="12"/>
      <c r="P172" s="18"/>
      <c r="Q172" s="12"/>
      <c r="R172" s="12"/>
      <c r="S172" s="12"/>
      <c r="T172" s="36"/>
      <c r="U172" s="36"/>
      <c r="V172" s="12"/>
      <c r="W172" s="12"/>
      <c r="X172" s="12"/>
      <c r="Y172" s="12"/>
    </row>
    <row r="173" customFormat="false" ht="15.75" hidden="false" customHeight="false" outlineLevel="0" collapsed="false">
      <c r="A173" s="12"/>
      <c r="B173" s="34"/>
      <c r="C173" s="12"/>
      <c r="D173" s="12"/>
      <c r="E173" s="12"/>
      <c r="F173" s="12"/>
      <c r="G173" s="18"/>
      <c r="H173" s="35"/>
      <c r="I173" s="35"/>
      <c r="J173" s="12"/>
      <c r="O173" s="12"/>
      <c r="P173" s="18"/>
      <c r="Q173" s="12"/>
      <c r="R173" s="12"/>
      <c r="S173" s="12"/>
      <c r="T173" s="36"/>
      <c r="U173" s="36"/>
      <c r="V173" s="12"/>
      <c r="W173" s="12"/>
      <c r="X173" s="12"/>
      <c r="Y173" s="12"/>
    </row>
    <row r="174" customFormat="false" ht="15.75" hidden="false" customHeight="false" outlineLevel="0" collapsed="false">
      <c r="A174" s="12"/>
      <c r="B174" s="34"/>
      <c r="C174" s="12"/>
      <c r="D174" s="12"/>
      <c r="E174" s="12"/>
      <c r="F174" s="12"/>
      <c r="G174" s="18"/>
      <c r="H174" s="35"/>
      <c r="I174" s="35"/>
      <c r="J174" s="12"/>
      <c r="O174" s="12"/>
      <c r="P174" s="18"/>
      <c r="Q174" s="12"/>
      <c r="R174" s="12"/>
      <c r="S174" s="12"/>
      <c r="T174" s="36"/>
      <c r="U174" s="36"/>
      <c r="V174" s="12"/>
      <c r="W174" s="12"/>
      <c r="X174" s="12"/>
      <c r="Y174" s="12"/>
    </row>
    <row r="175" customFormat="false" ht="15.75" hidden="false" customHeight="false" outlineLevel="0" collapsed="false">
      <c r="A175" s="12"/>
      <c r="B175" s="34"/>
      <c r="C175" s="12"/>
      <c r="D175" s="12"/>
      <c r="E175" s="12"/>
      <c r="F175" s="12"/>
      <c r="G175" s="18"/>
      <c r="H175" s="35"/>
      <c r="I175" s="35"/>
      <c r="J175" s="12"/>
      <c r="O175" s="12"/>
      <c r="P175" s="18"/>
      <c r="Q175" s="12"/>
      <c r="R175" s="12"/>
      <c r="S175" s="12"/>
      <c r="T175" s="36"/>
      <c r="U175" s="36"/>
      <c r="V175" s="12"/>
      <c r="W175" s="12"/>
      <c r="X175" s="12"/>
      <c r="Y175" s="12"/>
    </row>
    <row r="176" customFormat="false" ht="15.75" hidden="false" customHeight="false" outlineLevel="0" collapsed="false">
      <c r="A176" s="12"/>
      <c r="B176" s="34"/>
      <c r="C176" s="12"/>
      <c r="D176" s="12"/>
      <c r="E176" s="12"/>
      <c r="F176" s="12"/>
      <c r="G176" s="18"/>
      <c r="H176" s="35"/>
      <c r="I176" s="35"/>
      <c r="J176" s="12"/>
      <c r="O176" s="12"/>
      <c r="P176" s="18"/>
      <c r="Q176" s="12"/>
      <c r="R176" s="12"/>
      <c r="S176" s="12"/>
      <c r="T176" s="36"/>
      <c r="U176" s="36"/>
      <c r="V176" s="12"/>
      <c r="W176" s="12"/>
      <c r="X176" s="12"/>
      <c r="Y176" s="12"/>
    </row>
    <row r="177" customFormat="false" ht="15.75" hidden="false" customHeight="false" outlineLevel="0" collapsed="false">
      <c r="A177" s="12"/>
      <c r="B177" s="34"/>
      <c r="C177" s="12"/>
      <c r="D177" s="12"/>
      <c r="E177" s="12"/>
      <c r="F177" s="12"/>
      <c r="G177" s="18"/>
      <c r="H177" s="35"/>
      <c r="I177" s="35"/>
      <c r="J177" s="12"/>
      <c r="O177" s="12"/>
      <c r="P177" s="18"/>
      <c r="Q177" s="12"/>
      <c r="R177" s="12"/>
      <c r="S177" s="12"/>
      <c r="T177" s="36"/>
      <c r="U177" s="36"/>
      <c r="V177" s="12"/>
      <c r="W177" s="12"/>
      <c r="X177" s="12"/>
      <c r="Y177" s="12"/>
    </row>
    <row r="178" customFormat="false" ht="15.75" hidden="false" customHeight="false" outlineLevel="0" collapsed="false">
      <c r="A178" s="12"/>
      <c r="B178" s="34"/>
      <c r="C178" s="12"/>
      <c r="D178" s="12"/>
      <c r="E178" s="12"/>
      <c r="F178" s="12"/>
      <c r="G178" s="18"/>
      <c r="H178" s="35"/>
      <c r="I178" s="35"/>
      <c r="J178" s="12"/>
      <c r="O178" s="12"/>
      <c r="P178" s="18"/>
      <c r="Q178" s="12"/>
      <c r="R178" s="12"/>
      <c r="S178" s="12"/>
      <c r="T178" s="36"/>
      <c r="U178" s="36"/>
      <c r="V178" s="12"/>
      <c r="W178" s="12"/>
      <c r="X178" s="12"/>
      <c r="Y178" s="12"/>
    </row>
    <row r="179" customFormat="false" ht="15.75" hidden="false" customHeight="false" outlineLevel="0" collapsed="false">
      <c r="A179" s="12"/>
      <c r="B179" s="34"/>
      <c r="C179" s="12"/>
      <c r="D179" s="12"/>
      <c r="E179" s="12"/>
      <c r="F179" s="12"/>
      <c r="G179" s="18"/>
      <c r="H179" s="35"/>
      <c r="I179" s="35"/>
      <c r="J179" s="12"/>
      <c r="O179" s="12"/>
      <c r="P179" s="18"/>
      <c r="Q179" s="12"/>
      <c r="R179" s="12"/>
      <c r="S179" s="12"/>
      <c r="T179" s="36"/>
      <c r="U179" s="36"/>
      <c r="V179" s="12"/>
      <c r="W179" s="12"/>
      <c r="X179" s="12"/>
      <c r="Y179" s="12"/>
    </row>
    <row r="180" customFormat="false" ht="15.75" hidden="false" customHeight="false" outlineLevel="0" collapsed="false">
      <c r="A180" s="12"/>
      <c r="B180" s="34"/>
      <c r="C180" s="12"/>
      <c r="D180" s="12"/>
      <c r="E180" s="12"/>
      <c r="F180" s="12"/>
      <c r="G180" s="18"/>
      <c r="H180" s="35"/>
      <c r="I180" s="35"/>
      <c r="J180" s="12"/>
      <c r="O180" s="12"/>
      <c r="P180" s="18"/>
      <c r="Q180" s="12"/>
      <c r="R180" s="12"/>
      <c r="S180" s="12"/>
      <c r="T180" s="36"/>
      <c r="U180" s="36"/>
      <c r="V180" s="12"/>
      <c r="W180" s="12"/>
      <c r="X180" s="12"/>
      <c r="Y180" s="12"/>
    </row>
    <row r="181" customFormat="false" ht="15.75" hidden="false" customHeight="false" outlineLevel="0" collapsed="false">
      <c r="A181" s="12"/>
      <c r="B181" s="34"/>
      <c r="C181" s="12"/>
      <c r="D181" s="12"/>
      <c r="E181" s="12"/>
      <c r="F181" s="12"/>
      <c r="G181" s="18"/>
      <c r="H181" s="35"/>
      <c r="I181" s="35"/>
      <c r="J181" s="12"/>
      <c r="O181" s="12"/>
      <c r="P181" s="18"/>
      <c r="Q181" s="12"/>
      <c r="R181" s="12"/>
      <c r="S181" s="12"/>
      <c r="T181" s="36"/>
      <c r="U181" s="36"/>
      <c r="V181" s="12"/>
      <c r="W181" s="12"/>
      <c r="X181" s="12"/>
      <c r="Y181" s="12"/>
    </row>
    <row r="182" customFormat="false" ht="15.75" hidden="false" customHeight="false" outlineLevel="0" collapsed="false">
      <c r="A182" s="12"/>
      <c r="B182" s="34"/>
      <c r="C182" s="12"/>
      <c r="D182" s="12"/>
      <c r="E182" s="12"/>
      <c r="F182" s="12"/>
      <c r="G182" s="18"/>
      <c r="H182" s="35"/>
      <c r="I182" s="35"/>
      <c r="J182" s="12"/>
      <c r="O182" s="12"/>
      <c r="P182" s="18"/>
      <c r="Q182" s="12"/>
      <c r="R182" s="12"/>
      <c r="S182" s="12"/>
      <c r="T182" s="36"/>
      <c r="U182" s="36"/>
      <c r="V182" s="12"/>
      <c r="W182" s="12"/>
      <c r="X182" s="12"/>
      <c r="Y182" s="12"/>
    </row>
    <row r="183" customFormat="false" ht="15.75" hidden="false" customHeight="false" outlineLevel="0" collapsed="false">
      <c r="A183" s="12"/>
      <c r="B183" s="34"/>
      <c r="C183" s="12"/>
      <c r="D183" s="12"/>
      <c r="E183" s="12"/>
      <c r="F183" s="12"/>
      <c r="G183" s="18"/>
      <c r="H183" s="35"/>
      <c r="I183" s="35"/>
      <c r="J183" s="12"/>
      <c r="O183" s="12"/>
      <c r="P183" s="18"/>
      <c r="Q183" s="12"/>
      <c r="R183" s="12"/>
      <c r="S183" s="12"/>
      <c r="T183" s="36"/>
      <c r="U183" s="36"/>
      <c r="V183" s="12"/>
      <c r="W183" s="12"/>
      <c r="X183" s="12"/>
      <c r="Y183" s="12"/>
    </row>
    <row r="184" customFormat="false" ht="15.75" hidden="false" customHeight="false" outlineLevel="0" collapsed="false">
      <c r="A184" s="12"/>
      <c r="B184" s="34"/>
      <c r="C184" s="12"/>
      <c r="D184" s="12"/>
      <c r="E184" s="12"/>
      <c r="F184" s="12"/>
      <c r="G184" s="18"/>
      <c r="H184" s="35"/>
      <c r="I184" s="35"/>
      <c r="J184" s="12"/>
      <c r="O184" s="12"/>
      <c r="P184" s="18"/>
      <c r="Q184" s="12"/>
      <c r="R184" s="12"/>
      <c r="S184" s="12"/>
      <c r="T184" s="36"/>
      <c r="U184" s="36"/>
      <c r="V184" s="12"/>
      <c r="W184" s="12"/>
      <c r="X184" s="12"/>
      <c r="Y184" s="12"/>
    </row>
    <row r="185" customFormat="false" ht="15.75" hidden="false" customHeight="false" outlineLevel="0" collapsed="false">
      <c r="A185" s="12"/>
      <c r="B185" s="34"/>
      <c r="C185" s="12"/>
      <c r="D185" s="12"/>
      <c r="E185" s="12"/>
      <c r="F185" s="12"/>
      <c r="G185" s="18"/>
      <c r="H185" s="35"/>
      <c r="I185" s="35"/>
      <c r="J185" s="12"/>
      <c r="O185" s="12"/>
      <c r="P185" s="18"/>
      <c r="Q185" s="12"/>
      <c r="R185" s="12"/>
      <c r="S185" s="12"/>
      <c r="T185" s="36"/>
      <c r="U185" s="36"/>
      <c r="V185" s="12"/>
      <c r="W185" s="12"/>
      <c r="X185" s="12"/>
      <c r="Y185" s="12"/>
    </row>
    <row r="186" customFormat="false" ht="15.75" hidden="false" customHeight="false" outlineLevel="0" collapsed="false">
      <c r="A186" s="12"/>
      <c r="B186" s="34"/>
      <c r="C186" s="12"/>
      <c r="D186" s="12"/>
      <c r="E186" s="12"/>
      <c r="F186" s="12"/>
      <c r="G186" s="18"/>
      <c r="H186" s="35"/>
      <c r="I186" s="35"/>
      <c r="J186" s="12"/>
      <c r="O186" s="12"/>
      <c r="P186" s="18"/>
      <c r="Q186" s="12"/>
      <c r="R186" s="12"/>
      <c r="S186" s="12"/>
      <c r="T186" s="36"/>
      <c r="U186" s="36"/>
      <c r="V186" s="12"/>
      <c r="W186" s="12"/>
      <c r="X186" s="12"/>
      <c r="Y186" s="12"/>
    </row>
    <row r="187" customFormat="false" ht="15.75" hidden="false" customHeight="false" outlineLevel="0" collapsed="false">
      <c r="A187" s="12"/>
      <c r="B187" s="34"/>
      <c r="C187" s="12"/>
      <c r="D187" s="12"/>
      <c r="E187" s="12"/>
      <c r="F187" s="12"/>
      <c r="G187" s="18"/>
      <c r="H187" s="35"/>
      <c r="I187" s="35"/>
      <c r="J187" s="12"/>
      <c r="O187" s="12"/>
      <c r="P187" s="18"/>
      <c r="Q187" s="12"/>
      <c r="R187" s="12"/>
      <c r="S187" s="12"/>
      <c r="T187" s="36"/>
      <c r="U187" s="36"/>
      <c r="V187" s="12"/>
      <c r="W187" s="12"/>
      <c r="X187" s="12"/>
      <c r="Y187" s="12"/>
    </row>
    <row r="188" customFormat="false" ht="15.75" hidden="false" customHeight="false" outlineLevel="0" collapsed="false">
      <c r="A188" s="12"/>
      <c r="B188" s="34"/>
      <c r="C188" s="12"/>
      <c r="D188" s="12"/>
      <c r="E188" s="12"/>
      <c r="F188" s="12"/>
      <c r="G188" s="18"/>
      <c r="H188" s="35"/>
      <c r="I188" s="35"/>
      <c r="J188" s="12"/>
      <c r="O188" s="12"/>
      <c r="P188" s="18"/>
      <c r="Q188" s="12"/>
      <c r="R188" s="12"/>
      <c r="S188" s="12"/>
      <c r="T188" s="36"/>
      <c r="U188" s="36"/>
      <c r="V188" s="12"/>
      <c r="W188" s="12"/>
      <c r="X188" s="12"/>
      <c r="Y188" s="12"/>
    </row>
    <row r="189" customFormat="false" ht="15.75" hidden="false" customHeight="false" outlineLevel="0" collapsed="false">
      <c r="A189" s="12"/>
      <c r="B189" s="34"/>
      <c r="C189" s="12"/>
      <c r="D189" s="12"/>
      <c r="E189" s="12"/>
      <c r="F189" s="12"/>
      <c r="G189" s="18"/>
      <c r="H189" s="35"/>
      <c r="I189" s="35"/>
      <c r="J189" s="12"/>
      <c r="O189" s="12"/>
      <c r="P189" s="18"/>
      <c r="Q189" s="12"/>
      <c r="R189" s="12"/>
      <c r="S189" s="12"/>
      <c r="T189" s="36"/>
      <c r="U189" s="36"/>
      <c r="V189" s="12"/>
      <c r="W189" s="12"/>
      <c r="X189" s="12"/>
      <c r="Y189" s="12"/>
    </row>
    <row r="190" customFormat="false" ht="15.75" hidden="false" customHeight="false" outlineLevel="0" collapsed="false">
      <c r="A190" s="12"/>
      <c r="B190" s="34"/>
      <c r="C190" s="12"/>
      <c r="D190" s="12"/>
      <c r="E190" s="12"/>
      <c r="F190" s="12"/>
      <c r="G190" s="18"/>
      <c r="H190" s="35"/>
      <c r="I190" s="35"/>
      <c r="J190" s="12"/>
      <c r="O190" s="12"/>
      <c r="P190" s="18"/>
      <c r="Q190" s="12"/>
      <c r="R190" s="12"/>
      <c r="S190" s="12"/>
      <c r="T190" s="36"/>
      <c r="U190" s="36"/>
      <c r="V190" s="12"/>
      <c r="W190" s="12"/>
      <c r="X190" s="12"/>
      <c r="Y190" s="12"/>
    </row>
    <row r="191" customFormat="false" ht="15.75" hidden="false" customHeight="false" outlineLevel="0" collapsed="false">
      <c r="A191" s="12"/>
      <c r="B191" s="34"/>
      <c r="C191" s="12"/>
      <c r="D191" s="12"/>
      <c r="E191" s="12"/>
      <c r="F191" s="12"/>
      <c r="G191" s="18"/>
      <c r="H191" s="35"/>
      <c r="I191" s="35"/>
      <c r="J191" s="12"/>
      <c r="O191" s="12"/>
      <c r="P191" s="18"/>
      <c r="Q191" s="12"/>
      <c r="R191" s="12"/>
      <c r="S191" s="12"/>
      <c r="T191" s="36"/>
      <c r="U191" s="36"/>
      <c r="V191" s="12"/>
      <c r="W191" s="12"/>
      <c r="X191" s="12"/>
      <c r="Y191" s="12"/>
    </row>
    <row r="192" customFormat="false" ht="15.75" hidden="false" customHeight="false" outlineLevel="0" collapsed="false">
      <c r="A192" s="12"/>
      <c r="B192" s="34"/>
      <c r="C192" s="12"/>
      <c r="D192" s="12"/>
      <c r="E192" s="12"/>
      <c r="F192" s="12"/>
      <c r="G192" s="18"/>
      <c r="H192" s="35"/>
      <c r="I192" s="35"/>
      <c r="J192" s="12"/>
      <c r="O192" s="12"/>
      <c r="P192" s="18"/>
      <c r="Q192" s="12"/>
      <c r="R192" s="12"/>
      <c r="S192" s="12"/>
      <c r="T192" s="36"/>
      <c r="U192" s="36"/>
      <c r="V192" s="12"/>
      <c r="W192" s="12"/>
      <c r="X192" s="12"/>
      <c r="Y192" s="12"/>
    </row>
    <row r="193" customFormat="false" ht="15.75" hidden="false" customHeight="false" outlineLevel="0" collapsed="false">
      <c r="A193" s="12"/>
      <c r="B193" s="34"/>
      <c r="C193" s="12"/>
      <c r="D193" s="12"/>
      <c r="E193" s="12"/>
      <c r="F193" s="12"/>
      <c r="G193" s="18"/>
      <c r="H193" s="35"/>
      <c r="I193" s="35"/>
      <c r="J193" s="12"/>
      <c r="O193" s="12"/>
      <c r="P193" s="18"/>
      <c r="Q193" s="12"/>
      <c r="R193" s="12"/>
      <c r="S193" s="12"/>
      <c r="T193" s="36"/>
      <c r="U193" s="36"/>
      <c r="V193" s="12"/>
      <c r="W193" s="12"/>
      <c r="X193" s="12"/>
      <c r="Y193" s="12"/>
    </row>
    <row r="194" customFormat="false" ht="15.75" hidden="false" customHeight="false" outlineLevel="0" collapsed="false">
      <c r="A194" s="12"/>
      <c r="B194" s="34"/>
      <c r="C194" s="12"/>
      <c r="D194" s="12"/>
      <c r="E194" s="12"/>
      <c r="F194" s="12"/>
      <c r="G194" s="18"/>
      <c r="H194" s="35"/>
      <c r="I194" s="35"/>
      <c r="J194" s="12"/>
      <c r="O194" s="12"/>
      <c r="P194" s="18"/>
      <c r="Q194" s="12"/>
      <c r="R194" s="12"/>
      <c r="S194" s="12"/>
      <c r="T194" s="36"/>
      <c r="U194" s="36"/>
      <c r="V194" s="12"/>
      <c r="W194" s="12"/>
      <c r="X194" s="12"/>
      <c r="Y194" s="12"/>
    </row>
    <row r="195" customFormat="false" ht="15.75" hidden="false" customHeight="false" outlineLevel="0" collapsed="false">
      <c r="A195" s="12"/>
      <c r="B195" s="34"/>
      <c r="C195" s="12"/>
      <c r="D195" s="12"/>
      <c r="E195" s="12"/>
      <c r="F195" s="12"/>
      <c r="G195" s="18"/>
      <c r="H195" s="35"/>
      <c r="I195" s="35"/>
      <c r="J195" s="12"/>
      <c r="O195" s="12"/>
      <c r="P195" s="18"/>
      <c r="Q195" s="12"/>
      <c r="R195" s="12"/>
      <c r="S195" s="12"/>
      <c r="T195" s="36"/>
      <c r="U195" s="36"/>
      <c r="V195" s="12"/>
      <c r="W195" s="12"/>
      <c r="X195" s="12"/>
      <c r="Y195" s="12"/>
    </row>
    <row r="196" customFormat="false" ht="15.75" hidden="false" customHeight="false" outlineLevel="0" collapsed="false">
      <c r="A196" s="12"/>
      <c r="B196" s="34"/>
      <c r="C196" s="12"/>
      <c r="D196" s="12"/>
      <c r="E196" s="12"/>
      <c r="F196" s="12"/>
      <c r="G196" s="18"/>
      <c r="H196" s="35"/>
      <c r="I196" s="35"/>
      <c r="J196" s="12"/>
      <c r="O196" s="12"/>
      <c r="P196" s="18"/>
      <c r="Q196" s="12"/>
      <c r="R196" s="12"/>
      <c r="S196" s="12"/>
      <c r="T196" s="36"/>
      <c r="U196" s="36"/>
      <c r="V196" s="12"/>
      <c r="W196" s="12"/>
      <c r="X196" s="12"/>
      <c r="Y196" s="12"/>
    </row>
    <row r="197" customFormat="false" ht="15.75" hidden="false" customHeight="false" outlineLevel="0" collapsed="false">
      <c r="A197" s="12"/>
      <c r="B197" s="34"/>
      <c r="C197" s="12"/>
      <c r="D197" s="12"/>
      <c r="E197" s="12"/>
      <c r="F197" s="12"/>
      <c r="G197" s="18"/>
      <c r="H197" s="35"/>
      <c r="I197" s="35"/>
      <c r="J197" s="12"/>
      <c r="O197" s="12"/>
      <c r="P197" s="18"/>
      <c r="Q197" s="12"/>
      <c r="R197" s="12"/>
      <c r="S197" s="12"/>
      <c r="T197" s="36"/>
      <c r="U197" s="36"/>
      <c r="V197" s="12"/>
      <c r="W197" s="12"/>
      <c r="X197" s="12"/>
      <c r="Y197" s="12"/>
    </row>
    <row r="198" customFormat="false" ht="15.75" hidden="false" customHeight="false" outlineLevel="0" collapsed="false">
      <c r="A198" s="12"/>
      <c r="B198" s="34"/>
      <c r="C198" s="12"/>
      <c r="D198" s="12"/>
      <c r="E198" s="12"/>
      <c r="F198" s="12"/>
      <c r="G198" s="18"/>
      <c r="H198" s="35"/>
      <c r="I198" s="35"/>
      <c r="J198" s="12"/>
      <c r="O198" s="12"/>
      <c r="P198" s="18"/>
      <c r="Q198" s="12"/>
      <c r="R198" s="12"/>
      <c r="S198" s="12"/>
      <c r="T198" s="36"/>
      <c r="U198" s="36"/>
      <c r="V198" s="12"/>
      <c r="W198" s="12"/>
      <c r="X198" s="12"/>
      <c r="Y198" s="12"/>
    </row>
    <row r="199" customFormat="false" ht="15.75" hidden="false" customHeight="false" outlineLevel="0" collapsed="false">
      <c r="A199" s="12"/>
      <c r="B199" s="34"/>
      <c r="C199" s="12"/>
      <c r="D199" s="12"/>
      <c r="E199" s="12"/>
      <c r="F199" s="12"/>
      <c r="G199" s="18"/>
      <c r="H199" s="35"/>
      <c r="I199" s="35"/>
      <c r="J199" s="12"/>
      <c r="O199" s="12"/>
      <c r="P199" s="18"/>
      <c r="Q199" s="12"/>
      <c r="R199" s="12"/>
      <c r="S199" s="12"/>
      <c r="T199" s="36"/>
      <c r="U199" s="36"/>
      <c r="V199" s="12"/>
      <c r="W199" s="12"/>
      <c r="X199" s="12"/>
      <c r="Y199" s="12"/>
    </row>
    <row r="200" customFormat="false" ht="15.75" hidden="false" customHeight="false" outlineLevel="0" collapsed="false">
      <c r="A200" s="12"/>
      <c r="B200" s="34"/>
      <c r="C200" s="12"/>
      <c r="D200" s="12"/>
      <c r="E200" s="12"/>
      <c r="F200" s="12"/>
      <c r="G200" s="18"/>
      <c r="H200" s="35"/>
      <c r="I200" s="35"/>
      <c r="J200" s="12"/>
      <c r="O200" s="12"/>
      <c r="P200" s="18"/>
      <c r="Q200" s="12"/>
      <c r="R200" s="12"/>
      <c r="S200" s="12"/>
      <c r="T200" s="36"/>
      <c r="U200" s="36"/>
      <c r="V200" s="12"/>
      <c r="W200" s="12"/>
      <c r="X200" s="12"/>
      <c r="Y200" s="12"/>
    </row>
    <row r="201" customFormat="false" ht="15.75" hidden="false" customHeight="false" outlineLevel="0" collapsed="false">
      <c r="A201" s="12"/>
      <c r="B201" s="34"/>
      <c r="C201" s="12"/>
      <c r="D201" s="12"/>
      <c r="E201" s="12"/>
      <c r="F201" s="12"/>
      <c r="G201" s="18"/>
      <c r="H201" s="35"/>
      <c r="I201" s="35"/>
      <c r="J201" s="12"/>
      <c r="O201" s="12"/>
      <c r="P201" s="18"/>
      <c r="Q201" s="12"/>
      <c r="R201" s="12"/>
      <c r="S201" s="12"/>
      <c r="T201" s="36"/>
      <c r="U201" s="36"/>
      <c r="V201" s="12"/>
      <c r="W201" s="12"/>
      <c r="X201" s="12"/>
      <c r="Y201" s="12"/>
    </row>
    <row r="202" customFormat="false" ht="15.75" hidden="false" customHeight="false" outlineLevel="0" collapsed="false">
      <c r="A202" s="12"/>
      <c r="B202" s="34"/>
      <c r="C202" s="12"/>
      <c r="D202" s="12"/>
      <c r="E202" s="12"/>
      <c r="F202" s="12"/>
      <c r="G202" s="18"/>
      <c r="H202" s="35"/>
      <c r="I202" s="35"/>
      <c r="J202" s="12"/>
      <c r="O202" s="12"/>
      <c r="P202" s="18"/>
      <c r="Q202" s="12"/>
      <c r="R202" s="12"/>
      <c r="S202" s="12"/>
      <c r="T202" s="36"/>
      <c r="U202" s="36"/>
      <c r="V202" s="12"/>
      <c r="W202" s="12"/>
      <c r="X202" s="12"/>
      <c r="Y202" s="12"/>
    </row>
    <row r="203" customFormat="false" ht="15.75" hidden="false" customHeight="false" outlineLevel="0" collapsed="false">
      <c r="A203" s="12"/>
      <c r="B203" s="34"/>
      <c r="C203" s="12"/>
      <c r="D203" s="12"/>
      <c r="E203" s="12"/>
      <c r="F203" s="12"/>
      <c r="G203" s="18"/>
      <c r="H203" s="35"/>
      <c r="I203" s="35"/>
      <c r="J203" s="12"/>
      <c r="O203" s="12"/>
      <c r="P203" s="18"/>
      <c r="Q203" s="12"/>
      <c r="R203" s="12"/>
      <c r="S203" s="12"/>
      <c r="T203" s="36"/>
      <c r="U203" s="36"/>
      <c r="V203" s="12"/>
      <c r="W203" s="12"/>
      <c r="X203" s="12"/>
      <c r="Y203" s="12"/>
    </row>
    <row r="204" customFormat="false" ht="15.75" hidden="false" customHeight="false" outlineLevel="0" collapsed="false">
      <c r="A204" s="12"/>
      <c r="B204" s="34"/>
      <c r="C204" s="12"/>
      <c r="D204" s="12"/>
      <c r="E204" s="12"/>
      <c r="F204" s="12"/>
      <c r="G204" s="18"/>
      <c r="H204" s="35"/>
      <c r="I204" s="35"/>
      <c r="J204" s="12"/>
      <c r="O204" s="12"/>
      <c r="P204" s="18"/>
      <c r="Q204" s="12"/>
      <c r="R204" s="12"/>
      <c r="S204" s="12"/>
      <c r="T204" s="36"/>
      <c r="U204" s="36"/>
      <c r="V204" s="12"/>
      <c r="W204" s="12"/>
      <c r="X204" s="12"/>
      <c r="Y204" s="12"/>
    </row>
    <row r="205" customFormat="false" ht="15.75" hidden="false" customHeight="false" outlineLevel="0" collapsed="false">
      <c r="A205" s="12"/>
      <c r="B205" s="34"/>
      <c r="C205" s="12"/>
      <c r="D205" s="12"/>
      <c r="E205" s="12"/>
      <c r="F205" s="12"/>
      <c r="G205" s="18"/>
      <c r="H205" s="35"/>
      <c r="I205" s="35"/>
      <c r="J205" s="12"/>
      <c r="O205" s="12"/>
      <c r="P205" s="18"/>
      <c r="Q205" s="12"/>
      <c r="R205" s="12"/>
      <c r="S205" s="12"/>
      <c r="T205" s="36"/>
      <c r="U205" s="36"/>
      <c r="V205" s="12"/>
      <c r="W205" s="12"/>
      <c r="X205" s="12"/>
      <c r="Y205" s="12"/>
    </row>
    <row r="206" customFormat="false" ht="15.75" hidden="false" customHeight="false" outlineLevel="0" collapsed="false">
      <c r="A206" s="12"/>
      <c r="B206" s="34"/>
      <c r="C206" s="12"/>
      <c r="D206" s="12"/>
      <c r="E206" s="12"/>
      <c r="F206" s="12"/>
      <c r="G206" s="18"/>
      <c r="H206" s="35"/>
      <c r="I206" s="35"/>
      <c r="J206" s="12"/>
      <c r="O206" s="12"/>
      <c r="P206" s="18"/>
      <c r="Q206" s="12"/>
      <c r="R206" s="12"/>
      <c r="S206" s="12"/>
      <c r="T206" s="36"/>
      <c r="U206" s="36"/>
      <c r="V206" s="12"/>
      <c r="W206" s="12"/>
      <c r="X206" s="12"/>
      <c r="Y206" s="12"/>
    </row>
    <row r="207" customFormat="false" ht="15.75" hidden="false" customHeight="false" outlineLevel="0" collapsed="false">
      <c r="A207" s="12"/>
      <c r="B207" s="34"/>
      <c r="C207" s="12"/>
      <c r="D207" s="12"/>
      <c r="E207" s="12"/>
      <c r="F207" s="12"/>
      <c r="G207" s="18"/>
      <c r="H207" s="35"/>
      <c r="I207" s="35"/>
      <c r="J207" s="12"/>
      <c r="O207" s="12"/>
      <c r="P207" s="18"/>
      <c r="Q207" s="12"/>
      <c r="R207" s="12"/>
      <c r="S207" s="12"/>
      <c r="T207" s="36"/>
      <c r="U207" s="36"/>
      <c r="V207" s="12"/>
      <c r="W207" s="12"/>
      <c r="X207" s="12"/>
      <c r="Y207" s="12"/>
    </row>
    <row r="208" customFormat="false" ht="15.75" hidden="false" customHeight="false" outlineLevel="0" collapsed="false">
      <c r="A208" s="12"/>
      <c r="B208" s="34"/>
      <c r="C208" s="12"/>
      <c r="D208" s="12"/>
      <c r="E208" s="12"/>
      <c r="F208" s="12"/>
      <c r="G208" s="18"/>
      <c r="H208" s="35"/>
      <c r="I208" s="35"/>
      <c r="J208" s="12"/>
      <c r="O208" s="12"/>
      <c r="P208" s="18"/>
      <c r="Q208" s="12"/>
      <c r="R208" s="12"/>
      <c r="S208" s="12"/>
      <c r="T208" s="36"/>
      <c r="U208" s="36"/>
      <c r="V208" s="12"/>
      <c r="W208" s="12"/>
      <c r="X208" s="12"/>
      <c r="Y208" s="12"/>
    </row>
    <row r="209" customFormat="false" ht="15.75" hidden="false" customHeight="false" outlineLevel="0" collapsed="false">
      <c r="A209" s="12"/>
      <c r="B209" s="34"/>
      <c r="C209" s="12"/>
      <c r="D209" s="12"/>
      <c r="E209" s="12"/>
      <c r="F209" s="12"/>
      <c r="G209" s="18"/>
      <c r="H209" s="35"/>
      <c r="I209" s="35"/>
      <c r="J209" s="12"/>
      <c r="O209" s="12"/>
      <c r="P209" s="18"/>
      <c r="Q209" s="12"/>
      <c r="R209" s="12"/>
      <c r="S209" s="12"/>
      <c r="T209" s="36"/>
      <c r="U209" s="36"/>
      <c r="V209" s="12"/>
      <c r="W209" s="12"/>
      <c r="X209" s="12"/>
      <c r="Y209" s="12"/>
    </row>
    <row r="210" customFormat="false" ht="15.75" hidden="false" customHeight="false" outlineLevel="0" collapsed="false">
      <c r="A210" s="12"/>
      <c r="B210" s="34"/>
      <c r="C210" s="12"/>
      <c r="D210" s="12"/>
      <c r="E210" s="12"/>
      <c r="F210" s="12"/>
      <c r="G210" s="18"/>
      <c r="H210" s="35"/>
      <c r="I210" s="35"/>
      <c r="J210" s="12"/>
      <c r="O210" s="12"/>
      <c r="P210" s="18"/>
      <c r="Q210" s="12"/>
      <c r="R210" s="12"/>
      <c r="S210" s="12"/>
      <c r="T210" s="36"/>
      <c r="U210" s="36"/>
      <c r="V210" s="12"/>
      <c r="W210" s="12"/>
      <c r="X210" s="12"/>
      <c r="Y210" s="12"/>
    </row>
    <row r="211" customFormat="false" ht="15.75" hidden="false" customHeight="false" outlineLevel="0" collapsed="false">
      <c r="A211" s="12"/>
      <c r="B211" s="34"/>
      <c r="C211" s="12"/>
      <c r="D211" s="12"/>
      <c r="E211" s="12"/>
      <c r="F211" s="12"/>
      <c r="G211" s="18"/>
      <c r="H211" s="35"/>
      <c r="I211" s="35"/>
      <c r="J211" s="12"/>
      <c r="O211" s="12"/>
      <c r="P211" s="18"/>
      <c r="Q211" s="12"/>
      <c r="R211" s="12"/>
      <c r="S211" s="12"/>
      <c r="T211" s="36"/>
      <c r="U211" s="36"/>
      <c r="V211" s="12"/>
      <c r="W211" s="12"/>
      <c r="X211" s="12"/>
      <c r="Y211" s="12"/>
    </row>
    <row r="212" customFormat="false" ht="15.75" hidden="false" customHeight="false" outlineLevel="0" collapsed="false">
      <c r="A212" s="12"/>
      <c r="B212" s="34"/>
      <c r="C212" s="12"/>
      <c r="D212" s="12"/>
      <c r="E212" s="12"/>
      <c r="F212" s="12"/>
      <c r="G212" s="18"/>
      <c r="H212" s="35"/>
      <c r="I212" s="35"/>
      <c r="J212" s="12"/>
      <c r="O212" s="12"/>
      <c r="P212" s="18"/>
      <c r="Q212" s="12"/>
      <c r="R212" s="12"/>
      <c r="S212" s="12"/>
      <c r="T212" s="36"/>
      <c r="U212" s="36"/>
      <c r="V212" s="12"/>
      <c r="W212" s="12"/>
      <c r="X212" s="12"/>
      <c r="Y212" s="12"/>
    </row>
    <row r="213" customFormat="false" ht="15.75" hidden="false" customHeight="false" outlineLevel="0" collapsed="false">
      <c r="A213" s="12"/>
      <c r="B213" s="34"/>
      <c r="C213" s="12"/>
      <c r="D213" s="12"/>
      <c r="E213" s="12"/>
      <c r="F213" s="12"/>
      <c r="G213" s="18"/>
      <c r="H213" s="35"/>
      <c r="I213" s="35"/>
      <c r="J213" s="12"/>
      <c r="O213" s="12"/>
      <c r="P213" s="18"/>
      <c r="Q213" s="12"/>
      <c r="R213" s="12"/>
      <c r="S213" s="12"/>
      <c r="T213" s="36"/>
      <c r="U213" s="36"/>
      <c r="V213" s="12"/>
      <c r="W213" s="12"/>
      <c r="X213" s="12"/>
      <c r="Y213" s="12"/>
    </row>
    <row r="214" customFormat="false" ht="15.75" hidden="false" customHeight="false" outlineLevel="0" collapsed="false">
      <c r="A214" s="12"/>
      <c r="B214" s="34"/>
      <c r="C214" s="12"/>
      <c r="D214" s="12"/>
      <c r="E214" s="12"/>
      <c r="F214" s="12"/>
      <c r="G214" s="18"/>
      <c r="H214" s="35"/>
      <c r="I214" s="35"/>
      <c r="J214" s="12"/>
      <c r="O214" s="12"/>
      <c r="P214" s="18"/>
      <c r="Q214" s="12"/>
      <c r="R214" s="12"/>
      <c r="S214" s="12"/>
      <c r="T214" s="36"/>
      <c r="U214" s="36"/>
      <c r="V214" s="12"/>
      <c r="W214" s="12"/>
      <c r="X214" s="12"/>
      <c r="Y214" s="12"/>
    </row>
    <row r="215" customFormat="false" ht="15.75" hidden="false" customHeight="false" outlineLevel="0" collapsed="false">
      <c r="A215" s="12"/>
      <c r="B215" s="34"/>
      <c r="C215" s="12"/>
      <c r="D215" s="12"/>
      <c r="E215" s="12"/>
      <c r="F215" s="12"/>
      <c r="G215" s="18"/>
      <c r="H215" s="35"/>
      <c r="I215" s="35"/>
      <c r="J215" s="12"/>
      <c r="O215" s="12"/>
      <c r="P215" s="18"/>
      <c r="Q215" s="12"/>
      <c r="R215" s="12"/>
      <c r="S215" s="12"/>
      <c r="T215" s="36"/>
      <c r="U215" s="36"/>
      <c r="V215" s="12"/>
      <c r="W215" s="12"/>
      <c r="X215" s="12"/>
      <c r="Y215" s="12"/>
    </row>
    <row r="216" customFormat="false" ht="15.75" hidden="false" customHeight="false" outlineLevel="0" collapsed="false">
      <c r="A216" s="12"/>
      <c r="B216" s="34"/>
      <c r="C216" s="12"/>
      <c r="D216" s="12"/>
      <c r="E216" s="12"/>
      <c r="F216" s="12"/>
      <c r="G216" s="18"/>
      <c r="H216" s="35"/>
      <c r="I216" s="35"/>
      <c r="J216" s="12"/>
      <c r="O216" s="12"/>
      <c r="P216" s="18"/>
      <c r="Q216" s="12"/>
      <c r="R216" s="12"/>
      <c r="S216" s="12"/>
      <c r="T216" s="36"/>
      <c r="U216" s="36"/>
      <c r="V216" s="12"/>
      <c r="W216" s="12"/>
      <c r="X216" s="12"/>
      <c r="Y216" s="12"/>
    </row>
    <row r="217" customFormat="false" ht="15.75" hidden="false" customHeight="false" outlineLevel="0" collapsed="false">
      <c r="A217" s="12"/>
      <c r="B217" s="34"/>
      <c r="C217" s="12"/>
      <c r="D217" s="12"/>
      <c r="E217" s="12"/>
      <c r="F217" s="12"/>
      <c r="G217" s="18"/>
      <c r="H217" s="35"/>
      <c r="I217" s="35"/>
      <c r="J217" s="12"/>
      <c r="O217" s="12"/>
      <c r="P217" s="18"/>
      <c r="Q217" s="12"/>
      <c r="R217" s="12"/>
      <c r="S217" s="12"/>
      <c r="T217" s="36"/>
      <c r="U217" s="36"/>
      <c r="V217" s="12"/>
      <c r="W217" s="12"/>
      <c r="X217" s="12"/>
      <c r="Y217" s="12"/>
    </row>
    <row r="218" customFormat="false" ht="15.75" hidden="false" customHeight="false" outlineLevel="0" collapsed="false">
      <c r="A218" s="12"/>
      <c r="B218" s="34"/>
      <c r="C218" s="12"/>
      <c r="D218" s="12"/>
      <c r="E218" s="12"/>
      <c r="F218" s="12"/>
      <c r="G218" s="18"/>
      <c r="H218" s="35"/>
      <c r="I218" s="35"/>
      <c r="J218" s="12"/>
      <c r="O218" s="12"/>
      <c r="P218" s="18"/>
      <c r="Q218" s="12"/>
      <c r="R218" s="12"/>
      <c r="S218" s="12"/>
      <c r="T218" s="36"/>
      <c r="U218" s="36"/>
      <c r="V218" s="12"/>
      <c r="W218" s="12"/>
      <c r="X218" s="12"/>
      <c r="Y218" s="12"/>
    </row>
    <row r="219" customFormat="false" ht="15.75" hidden="false" customHeight="false" outlineLevel="0" collapsed="false">
      <c r="A219" s="12"/>
      <c r="B219" s="34"/>
      <c r="C219" s="12"/>
      <c r="D219" s="12"/>
      <c r="E219" s="12"/>
      <c r="F219" s="12"/>
      <c r="G219" s="18"/>
      <c r="H219" s="35"/>
      <c r="I219" s="35"/>
      <c r="J219" s="12"/>
      <c r="O219" s="12"/>
      <c r="P219" s="18"/>
      <c r="Q219" s="12"/>
      <c r="R219" s="12"/>
      <c r="S219" s="12"/>
      <c r="T219" s="36"/>
      <c r="U219" s="36"/>
      <c r="V219" s="12"/>
      <c r="W219" s="12"/>
      <c r="X219" s="12"/>
      <c r="Y219" s="12"/>
    </row>
    <row r="220" customFormat="false" ht="15.75" hidden="false" customHeight="false" outlineLevel="0" collapsed="false">
      <c r="A220" s="12"/>
      <c r="B220" s="34"/>
      <c r="C220" s="12"/>
      <c r="D220" s="12"/>
      <c r="E220" s="12"/>
      <c r="F220" s="12"/>
      <c r="G220" s="18"/>
      <c r="H220" s="35"/>
      <c r="I220" s="35"/>
      <c r="J220" s="12"/>
      <c r="O220" s="12"/>
      <c r="P220" s="18"/>
      <c r="Q220" s="12"/>
      <c r="R220" s="12"/>
      <c r="S220" s="12"/>
      <c r="T220" s="36"/>
      <c r="U220" s="36"/>
      <c r="V220" s="12"/>
      <c r="W220" s="12"/>
      <c r="X220" s="12"/>
      <c r="Y220" s="12"/>
    </row>
    <row r="221" customFormat="false" ht="15.75" hidden="false" customHeight="false" outlineLevel="0" collapsed="false">
      <c r="A221" s="12"/>
      <c r="B221" s="34"/>
      <c r="C221" s="12"/>
      <c r="D221" s="12"/>
      <c r="E221" s="12"/>
      <c r="F221" s="12"/>
      <c r="G221" s="18"/>
      <c r="H221" s="35"/>
      <c r="I221" s="35"/>
      <c r="J221" s="12"/>
      <c r="O221" s="12"/>
      <c r="P221" s="18"/>
      <c r="Q221" s="12"/>
      <c r="R221" s="12"/>
      <c r="S221" s="12"/>
      <c r="T221" s="36"/>
      <c r="U221" s="36"/>
      <c r="V221" s="12"/>
      <c r="W221" s="12"/>
      <c r="X221" s="12"/>
      <c r="Y221" s="12"/>
    </row>
    <row r="222" customFormat="false" ht="15.75" hidden="false" customHeight="false" outlineLevel="0" collapsed="false">
      <c r="A222" s="12"/>
      <c r="B222" s="34"/>
      <c r="C222" s="12"/>
      <c r="D222" s="12"/>
      <c r="E222" s="12"/>
      <c r="F222" s="12"/>
      <c r="G222" s="18"/>
      <c r="H222" s="35"/>
      <c r="I222" s="35"/>
      <c r="J222" s="12"/>
      <c r="O222" s="12"/>
      <c r="P222" s="18"/>
      <c r="Q222" s="12"/>
      <c r="R222" s="12"/>
      <c r="S222" s="12"/>
      <c r="T222" s="36"/>
      <c r="U222" s="36"/>
      <c r="V222" s="12"/>
      <c r="W222" s="12"/>
      <c r="X222" s="12"/>
      <c r="Y222" s="12"/>
    </row>
    <row r="223" customFormat="false" ht="15.75" hidden="false" customHeight="false" outlineLevel="0" collapsed="false">
      <c r="A223" s="12"/>
      <c r="B223" s="34"/>
      <c r="C223" s="12"/>
      <c r="D223" s="12"/>
      <c r="E223" s="12"/>
      <c r="F223" s="12"/>
      <c r="G223" s="18"/>
      <c r="H223" s="35"/>
      <c r="I223" s="35"/>
      <c r="J223" s="12"/>
      <c r="O223" s="12"/>
      <c r="P223" s="18"/>
      <c r="Q223" s="12"/>
      <c r="R223" s="12"/>
      <c r="S223" s="12"/>
      <c r="T223" s="36"/>
      <c r="U223" s="36"/>
      <c r="V223" s="12"/>
      <c r="W223" s="12"/>
      <c r="X223" s="12"/>
      <c r="Y223" s="12"/>
    </row>
    <row r="224" customFormat="false" ht="15.75" hidden="false" customHeight="false" outlineLevel="0" collapsed="false">
      <c r="A224" s="12"/>
      <c r="B224" s="34"/>
      <c r="C224" s="12"/>
      <c r="D224" s="12"/>
      <c r="E224" s="12"/>
      <c r="F224" s="12"/>
      <c r="G224" s="18"/>
      <c r="H224" s="35"/>
      <c r="I224" s="35"/>
      <c r="J224" s="12"/>
      <c r="O224" s="12"/>
      <c r="P224" s="18"/>
      <c r="Q224" s="12"/>
      <c r="R224" s="12"/>
      <c r="S224" s="12"/>
      <c r="T224" s="36"/>
      <c r="U224" s="36"/>
      <c r="V224" s="12"/>
      <c r="W224" s="12"/>
      <c r="X224" s="12"/>
      <c r="Y224" s="12"/>
    </row>
    <row r="225" customFormat="false" ht="15.75" hidden="false" customHeight="false" outlineLevel="0" collapsed="false">
      <c r="A225" s="12"/>
      <c r="B225" s="34"/>
      <c r="C225" s="12"/>
      <c r="D225" s="12"/>
      <c r="E225" s="12"/>
      <c r="F225" s="12"/>
      <c r="G225" s="18"/>
      <c r="H225" s="35"/>
      <c r="I225" s="35"/>
      <c r="J225" s="12"/>
      <c r="O225" s="12"/>
      <c r="P225" s="18"/>
      <c r="Q225" s="12"/>
      <c r="R225" s="12"/>
      <c r="S225" s="12"/>
      <c r="T225" s="36"/>
      <c r="U225" s="36"/>
      <c r="V225" s="12"/>
      <c r="W225" s="12"/>
      <c r="X225" s="12"/>
      <c r="Y225" s="12"/>
    </row>
    <row r="226" customFormat="false" ht="15.75" hidden="false" customHeight="false" outlineLevel="0" collapsed="false">
      <c r="A226" s="12"/>
      <c r="B226" s="34"/>
      <c r="C226" s="12"/>
      <c r="D226" s="12"/>
      <c r="E226" s="12"/>
      <c r="F226" s="12"/>
      <c r="G226" s="18"/>
      <c r="H226" s="35"/>
      <c r="I226" s="35"/>
      <c r="J226" s="12"/>
      <c r="O226" s="12"/>
      <c r="P226" s="18"/>
      <c r="Q226" s="12"/>
      <c r="R226" s="12"/>
      <c r="S226" s="12"/>
      <c r="T226" s="36"/>
      <c r="U226" s="36"/>
      <c r="V226" s="12"/>
      <c r="W226" s="12"/>
      <c r="X226" s="12"/>
      <c r="Y226" s="12"/>
    </row>
    <row r="227" customFormat="false" ht="15.75" hidden="false" customHeight="false" outlineLevel="0" collapsed="false">
      <c r="A227" s="12"/>
      <c r="B227" s="34"/>
      <c r="C227" s="12"/>
      <c r="D227" s="12"/>
      <c r="E227" s="12"/>
      <c r="F227" s="12"/>
      <c r="G227" s="18"/>
      <c r="H227" s="35"/>
      <c r="I227" s="35"/>
      <c r="J227" s="12"/>
      <c r="O227" s="12"/>
      <c r="P227" s="18"/>
      <c r="Q227" s="12"/>
      <c r="R227" s="12"/>
      <c r="S227" s="12"/>
      <c r="T227" s="36"/>
      <c r="U227" s="36"/>
      <c r="V227" s="12"/>
      <c r="W227" s="12"/>
      <c r="X227" s="12"/>
      <c r="Y227" s="12"/>
    </row>
    <row r="228" customFormat="false" ht="15.75" hidden="false" customHeight="false" outlineLevel="0" collapsed="false">
      <c r="A228" s="12"/>
      <c r="B228" s="34"/>
      <c r="C228" s="12"/>
      <c r="D228" s="12"/>
      <c r="E228" s="12"/>
      <c r="F228" s="12"/>
      <c r="G228" s="18"/>
      <c r="H228" s="35"/>
      <c r="I228" s="35"/>
      <c r="J228" s="12"/>
      <c r="O228" s="12"/>
      <c r="P228" s="18"/>
      <c r="Q228" s="12"/>
      <c r="R228" s="12"/>
      <c r="S228" s="12"/>
      <c r="T228" s="36"/>
      <c r="U228" s="36"/>
      <c r="V228" s="12"/>
      <c r="W228" s="12"/>
      <c r="X228" s="12"/>
      <c r="Y228" s="12"/>
    </row>
    <row r="229" customFormat="false" ht="15.75" hidden="false" customHeight="false" outlineLevel="0" collapsed="false">
      <c r="A229" s="12"/>
      <c r="B229" s="34"/>
      <c r="C229" s="12"/>
      <c r="D229" s="12"/>
      <c r="E229" s="12"/>
      <c r="F229" s="12"/>
      <c r="G229" s="18"/>
      <c r="H229" s="35"/>
      <c r="I229" s="35"/>
      <c r="J229" s="12"/>
      <c r="O229" s="12"/>
      <c r="P229" s="18"/>
      <c r="Q229" s="12"/>
      <c r="R229" s="12"/>
      <c r="S229" s="12"/>
      <c r="T229" s="36"/>
      <c r="U229" s="36"/>
      <c r="V229" s="12"/>
      <c r="W229" s="12"/>
      <c r="X229" s="12"/>
      <c r="Y229" s="12"/>
    </row>
    <row r="230" customFormat="false" ht="15.75" hidden="false" customHeight="false" outlineLevel="0" collapsed="false">
      <c r="A230" s="12"/>
      <c r="B230" s="34"/>
      <c r="C230" s="12"/>
      <c r="D230" s="12"/>
      <c r="E230" s="12"/>
      <c r="F230" s="12"/>
      <c r="G230" s="18"/>
      <c r="H230" s="35"/>
      <c r="I230" s="35"/>
      <c r="J230" s="12"/>
      <c r="O230" s="12"/>
      <c r="P230" s="18"/>
      <c r="Q230" s="12"/>
      <c r="R230" s="12"/>
      <c r="S230" s="12"/>
      <c r="T230" s="36"/>
      <c r="U230" s="36"/>
      <c r="V230" s="12"/>
      <c r="W230" s="12"/>
      <c r="X230" s="12"/>
      <c r="Y230" s="12"/>
    </row>
    <row r="231" customFormat="false" ht="15.75" hidden="false" customHeight="false" outlineLevel="0" collapsed="false">
      <c r="A231" s="12"/>
      <c r="B231" s="34"/>
      <c r="C231" s="12"/>
      <c r="D231" s="12"/>
      <c r="E231" s="12"/>
      <c r="F231" s="12"/>
      <c r="G231" s="18"/>
      <c r="H231" s="35"/>
      <c r="I231" s="35"/>
      <c r="J231" s="12"/>
      <c r="O231" s="12"/>
      <c r="P231" s="18"/>
      <c r="Q231" s="12"/>
      <c r="R231" s="12"/>
      <c r="S231" s="12"/>
      <c r="T231" s="36"/>
      <c r="U231" s="36"/>
      <c r="V231" s="12"/>
      <c r="W231" s="12"/>
      <c r="X231" s="12"/>
      <c r="Y231" s="12"/>
    </row>
    <row r="232" customFormat="false" ht="15.75" hidden="false" customHeight="false" outlineLevel="0" collapsed="false">
      <c r="A232" s="12"/>
      <c r="B232" s="34"/>
      <c r="C232" s="12"/>
      <c r="D232" s="12"/>
      <c r="E232" s="12"/>
      <c r="F232" s="12"/>
      <c r="G232" s="18"/>
      <c r="H232" s="35"/>
      <c r="I232" s="35"/>
      <c r="J232" s="12"/>
      <c r="O232" s="12"/>
      <c r="P232" s="18"/>
      <c r="Q232" s="12"/>
      <c r="R232" s="12"/>
      <c r="S232" s="12"/>
      <c r="T232" s="36"/>
      <c r="U232" s="36"/>
      <c r="V232" s="12"/>
      <c r="W232" s="12"/>
      <c r="X232" s="12"/>
      <c r="Y232" s="12"/>
    </row>
    <row r="233" customFormat="false" ht="15.75" hidden="false" customHeight="false" outlineLevel="0" collapsed="false">
      <c r="A233" s="12"/>
      <c r="B233" s="34"/>
      <c r="C233" s="12"/>
      <c r="D233" s="12"/>
      <c r="E233" s="12"/>
      <c r="F233" s="12"/>
      <c r="G233" s="18"/>
      <c r="H233" s="35"/>
      <c r="I233" s="35"/>
      <c r="J233" s="12"/>
      <c r="O233" s="12"/>
      <c r="P233" s="18"/>
      <c r="Q233" s="12"/>
      <c r="R233" s="12"/>
      <c r="S233" s="12"/>
      <c r="T233" s="36"/>
      <c r="U233" s="36"/>
      <c r="V233" s="12"/>
      <c r="W233" s="12"/>
      <c r="X233" s="12"/>
      <c r="Y233" s="12"/>
    </row>
    <row r="234" customFormat="false" ht="15.75" hidden="false" customHeight="false" outlineLevel="0" collapsed="false">
      <c r="A234" s="12"/>
      <c r="B234" s="34"/>
      <c r="C234" s="12"/>
      <c r="D234" s="12"/>
      <c r="E234" s="12"/>
      <c r="F234" s="12"/>
      <c r="G234" s="18"/>
      <c r="H234" s="35"/>
      <c r="I234" s="35"/>
      <c r="J234" s="12"/>
      <c r="O234" s="12"/>
      <c r="P234" s="18"/>
      <c r="Q234" s="12"/>
      <c r="R234" s="12"/>
      <c r="S234" s="12"/>
      <c r="T234" s="36"/>
      <c r="U234" s="36"/>
      <c r="V234" s="12"/>
      <c r="W234" s="12"/>
      <c r="X234" s="12"/>
      <c r="Y234" s="12"/>
    </row>
    <row r="235" customFormat="false" ht="15.75" hidden="false" customHeight="false" outlineLevel="0" collapsed="false">
      <c r="A235" s="12"/>
      <c r="B235" s="34"/>
      <c r="C235" s="12"/>
      <c r="D235" s="12"/>
      <c r="E235" s="12"/>
      <c r="F235" s="12"/>
      <c r="G235" s="18"/>
      <c r="H235" s="35"/>
      <c r="I235" s="35"/>
      <c r="J235" s="12"/>
      <c r="O235" s="12"/>
      <c r="P235" s="18"/>
      <c r="Q235" s="12"/>
      <c r="R235" s="12"/>
      <c r="S235" s="12"/>
      <c r="T235" s="36"/>
      <c r="U235" s="36"/>
      <c r="V235" s="12"/>
      <c r="W235" s="12"/>
      <c r="X235" s="12"/>
      <c r="Y235" s="12"/>
    </row>
    <row r="236" customFormat="false" ht="15.75" hidden="false" customHeight="false" outlineLevel="0" collapsed="false">
      <c r="A236" s="12"/>
      <c r="B236" s="34"/>
      <c r="C236" s="12"/>
      <c r="D236" s="12"/>
      <c r="E236" s="12"/>
      <c r="F236" s="12"/>
      <c r="G236" s="18"/>
      <c r="H236" s="35"/>
      <c r="I236" s="35"/>
      <c r="J236" s="12"/>
      <c r="O236" s="12"/>
      <c r="P236" s="18"/>
      <c r="Q236" s="12"/>
      <c r="R236" s="12"/>
      <c r="S236" s="12"/>
      <c r="T236" s="36"/>
      <c r="U236" s="36"/>
      <c r="V236" s="12"/>
      <c r="W236" s="12"/>
      <c r="X236" s="12"/>
      <c r="Y236" s="12"/>
    </row>
    <row r="237" customFormat="false" ht="15.75" hidden="false" customHeight="false" outlineLevel="0" collapsed="false">
      <c r="A237" s="12"/>
      <c r="B237" s="34"/>
      <c r="C237" s="12"/>
      <c r="D237" s="12"/>
      <c r="E237" s="12"/>
      <c r="F237" s="12"/>
      <c r="G237" s="18"/>
      <c r="H237" s="35"/>
      <c r="I237" s="35"/>
      <c r="J237" s="12"/>
      <c r="O237" s="12"/>
      <c r="P237" s="18"/>
      <c r="Q237" s="12"/>
      <c r="R237" s="12"/>
      <c r="S237" s="12"/>
      <c r="T237" s="36"/>
      <c r="U237" s="36"/>
      <c r="V237" s="12"/>
      <c r="W237" s="12"/>
      <c r="X237" s="12"/>
      <c r="Y237" s="12"/>
    </row>
    <row r="238" customFormat="false" ht="15.75" hidden="false" customHeight="false" outlineLevel="0" collapsed="false">
      <c r="A238" s="12"/>
      <c r="B238" s="34"/>
      <c r="C238" s="12"/>
      <c r="D238" s="12"/>
      <c r="E238" s="12"/>
      <c r="F238" s="12"/>
      <c r="G238" s="18"/>
      <c r="H238" s="35"/>
      <c r="I238" s="35"/>
      <c r="J238" s="12"/>
      <c r="O238" s="12"/>
      <c r="P238" s="18"/>
      <c r="Q238" s="12"/>
      <c r="R238" s="12"/>
      <c r="S238" s="12"/>
      <c r="T238" s="36"/>
      <c r="U238" s="36"/>
      <c r="V238" s="12"/>
      <c r="W238" s="12"/>
      <c r="X238" s="12"/>
      <c r="Y238" s="12"/>
    </row>
    <row r="239" customFormat="false" ht="15.75" hidden="false" customHeight="false" outlineLevel="0" collapsed="false">
      <c r="A239" s="12"/>
      <c r="B239" s="34"/>
      <c r="C239" s="12"/>
      <c r="D239" s="12"/>
      <c r="E239" s="12"/>
      <c r="F239" s="12"/>
      <c r="G239" s="18"/>
      <c r="H239" s="35"/>
      <c r="I239" s="35"/>
      <c r="J239" s="12"/>
      <c r="O239" s="12"/>
      <c r="P239" s="18"/>
      <c r="Q239" s="12"/>
      <c r="R239" s="12"/>
      <c r="S239" s="12"/>
      <c r="T239" s="36"/>
      <c r="U239" s="36"/>
      <c r="V239" s="12"/>
      <c r="W239" s="12"/>
      <c r="X239" s="12"/>
      <c r="Y239" s="12"/>
    </row>
    <row r="240" customFormat="false" ht="15.75" hidden="false" customHeight="false" outlineLevel="0" collapsed="false">
      <c r="A240" s="12"/>
      <c r="B240" s="34"/>
      <c r="C240" s="12"/>
      <c r="D240" s="12"/>
      <c r="E240" s="12"/>
      <c r="F240" s="12"/>
      <c r="G240" s="18"/>
      <c r="H240" s="35"/>
      <c r="I240" s="35"/>
      <c r="J240" s="12"/>
      <c r="O240" s="12"/>
      <c r="P240" s="18"/>
      <c r="Q240" s="12"/>
      <c r="R240" s="12"/>
      <c r="S240" s="12"/>
      <c r="T240" s="36"/>
      <c r="U240" s="36"/>
      <c r="V240" s="12"/>
      <c r="W240" s="12"/>
      <c r="X240" s="12"/>
      <c r="Y240" s="12"/>
    </row>
    <row r="241" customFormat="false" ht="15.75" hidden="false" customHeight="false" outlineLevel="0" collapsed="false">
      <c r="A241" s="12"/>
      <c r="B241" s="34"/>
      <c r="C241" s="12"/>
      <c r="D241" s="12"/>
      <c r="E241" s="12"/>
      <c r="F241" s="12"/>
      <c r="G241" s="18"/>
      <c r="H241" s="35"/>
      <c r="I241" s="35"/>
      <c r="J241" s="12"/>
      <c r="O241" s="12"/>
      <c r="P241" s="18"/>
      <c r="Q241" s="12"/>
      <c r="R241" s="12"/>
      <c r="S241" s="12"/>
      <c r="T241" s="36"/>
      <c r="U241" s="36"/>
      <c r="V241" s="12"/>
      <c r="W241" s="12"/>
      <c r="X241" s="12"/>
      <c r="Y241" s="12"/>
    </row>
    <row r="242" customFormat="false" ht="15.75" hidden="false" customHeight="false" outlineLevel="0" collapsed="false">
      <c r="A242" s="12"/>
      <c r="B242" s="34"/>
      <c r="C242" s="12"/>
      <c r="D242" s="12"/>
      <c r="E242" s="12"/>
      <c r="F242" s="12"/>
      <c r="G242" s="18"/>
      <c r="H242" s="35"/>
      <c r="I242" s="35"/>
      <c r="J242" s="12"/>
      <c r="O242" s="12"/>
      <c r="P242" s="18"/>
      <c r="Q242" s="12"/>
      <c r="R242" s="12"/>
      <c r="S242" s="12"/>
      <c r="T242" s="36"/>
      <c r="U242" s="36"/>
      <c r="V242" s="12"/>
      <c r="W242" s="12"/>
      <c r="X242" s="12"/>
      <c r="Y242" s="12"/>
    </row>
    <row r="243" customFormat="false" ht="15.75" hidden="false" customHeight="false" outlineLevel="0" collapsed="false">
      <c r="A243" s="12"/>
      <c r="B243" s="34"/>
      <c r="C243" s="12"/>
      <c r="D243" s="12"/>
      <c r="E243" s="12"/>
      <c r="F243" s="12"/>
      <c r="G243" s="18"/>
      <c r="H243" s="35"/>
      <c r="I243" s="35"/>
      <c r="J243" s="12"/>
      <c r="O243" s="12"/>
      <c r="P243" s="18"/>
      <c r="Q243" s="12"/>
      <c r="R243" s="12"/>
      <c r="S243" s="12"/>
      <c r="T243" s="36"/>
      <c r="U243" s="36"/>
      <c r="V243" s="12"/>
      <c r="W243" s="12"/>
      <c r="X243" s="12"/>
      <c r="Y243" s="12"/>
    </row>
    <row r="244" customFormat="false" ht="15.75" hidden="false" customHeight="false" outlineLevel="0" collapsed="false">
      <c r="A244" s="12"/>
      <c r="B244" s="34"/>
      <c r="C244" s="12"/>
      <c r="D244" s="12"/>
      <c r="E244" s="12"/>
      <c r="F244" s="12"/>
      <c r="G244" s="18"/>
      <c r="H244" s="35"/>
      <c r="I244" s="35"/>
      <c r="J244" s="12"/>
      <c r="O244" s="12"/>
      <c r="P244" s="18"/>
      <c r="Q244" s="12"/>
      <c r="R244" s="12"/>
      <c r="S244" s="12"/>
      <c r="T244" s="36"/>
      <c r="U244" s="36"/>
      <c r="V244" s="12"/>
      <c r="W244" s="12"/>
      <c r="X244" s="12"/>
      <c r="Y244" s="12"/>
    </row>
    <row r="245" customFormat="false" ht="15.75" hidden="false" customHeight="false" outlineLevel="0" collapsed="false">
      <c r="A245" s="12"/>
      <c r="B245" s="34"/>
      <c r="C245" s="12"/>
      <c r="D245" s="12"/>
      <c r="E245" s="12"/>
      <c r="F245" s="12"/>
      <c r="G245" s="18"/>
      <c r="H245" s="35"/>
      <c r="I245" s="35"/>
      <c r="J245" s="12"/>
      <c r="O245" s="12"/>
      <c r="P245" s="18"/>
      <c r="Q245" s="12"/>
      <c r="R245" s="12"/>
      <c r="S245" s="12"/>
      <c r="T245" s="36"/>
      <c r="U245" s="36"/>
      <c r="V245" s="12"/>
      <c r="W245" s="12"/>
      <c r="X245" s="12"/>
      <c r="Y245" s="12"/>
    </row>
    <row r="246" customFormat="false" ht="15.75" hidden="false" customHeight="false" outlineLevel="0" collapsed="false">
      <c r="A246" s="12"/>
      <c r="B246" s="34"/>
      <c r="C246" s="12"/>
      <c r="D246" s="12"/>
      <c r="E246" s="12"/>
      <c r="F246" s="12"/>
      <c r="G246" s="18"/>
      <c r="H246" s="35"/>
      <c r="I246" s="35"/>
      <c r="J246" s="12"/>
      <c r="O246" s="12"/>
      <c r="P246" s="18"/>
      <c r="Q246" s="12"/>
      <c r="R246" s="12"/>
      <c r="S246" s="12"/>
      <c r="T246" s="36"/>
      <c r="U246" s="36"/>
      <c r="V246" s="12"/>
      <c r="W246" s="12"/>
      <c r="X246" s="12"/>
      <c r="Y246" s="12"/>
    </row>
    <row r="247" customFormat="false" ht="15.75" hidden="false" customHeight="false" outlineLevel="0" collapsed="false">
      <c r="A247" s="12"/>
      <c r="B247" s="34"/>
      <c r="C247" s="12"/>
      <c r="D247" s="12"/>
      <c r="E247" s="12"/>
      <c r="F247" s="12"/>
      <c r="G247" s="18"/>
      <c r="H247" s="35"/>
      <c r="I247" s="35"/>
      <c r="J247" s="12"/>
      <c r="O247" s="12"/>
      <c r="P247" s="18"/>
      <c r="Q247" s="12"/>
      <c r="R247" s="12"/>
      <c r="S247" s="12"/>
      <c r="T247" s="36"/>
      <c r="U247" s="36"/>
      <c r="V247" s="12"/>
      <c r="W247" s="12"/>
      <c r="X247" s="12"/>
      <c r="Y247" s="12"/>
    </row>
    <row r="248" customFormat="false" ht="15.75" hidden="false" customHeight="false" outlineLevel="0" collapsed="false">
      <c r="A248" s="12"/>
      <c r="B248" s="34"/>
      <c r="C248" s="12"/>
      <c r="D248" s="12"/>
      <c r="E248" s="12"/>
      <c r="F248" s="12"/>
      <c r="G248" s="18"/>
      <c r="H248" s="35"/>
      <c r="I248" s="35"/>
      <c r="J248" s="12"/>
      <c r="O248" s="12"/>
      <c r="P248" s="18"/>
      <c r="Q248" s="12"/>
      <c r="R248" s="12"/>
      <c r="S248" s="12"/>
      <c r="T248" s="36"/>
      <c r="U248" s="36"/>
      <c r="V248" s="12"/>
      <c r="W248" s="12"/>
      <c r="X248" s="12"/>
      <c r="Y248" s="12"/>
    </row>
    <row r="249" customFormat="false" ht="15.75" hidden="false" customHeight="false" outlineLevel="0" collapsed="false">
      <c r="A249" s="12"/>
      <c r="B249" s="34"/>
      <c r="C249" s="12"/>
      <c r="D249" s="12"/>
      <c r="E249" s="12"/>
      <c r="F249" s="12"/>
      <c r="G249" s="18"/>
      <c r="H249" s="35"/>
      <c r="I249" s="35"/>
      <c r="J249" s="12"/>
      <c r="O249" s="12"/>
      <c r="P249" s="18"/>
      <c r="Q249" s="12"/>
      <c r="R249" s="12"/>
      <c r="S249" s="12"/>
      <c r="T249" s="36"/>
      <c r="U249" s="36"/>
      <c r="V249" s="12"/>
      <c r="W249" s="12"/>
      <c r="X249" s="12"/>
      <c r="Y249" s="12"/>
    </row>
    <row r="250" customFormat="false" ht="15.75" hidden="false" customHeight="false" outlineLevel="0" collapsed="false">
      <c r="A250" s="12"/>
      <c r="B250" s="34"/>
      <c r="C250" s="12"/>
      <c r="D250" s="12"/>
      <c r="E250" s="12"/>
      <c r="F250" s="12"/>
      <c r="G250" s="18"/>
      <c r="H250" s="35"/>
      <c r="I250" s="35"/>
      <c r="J250" s="12"/>
      <c r="O250" s="12"/>
      <c r="P250" s="18"/>
      <c r="Q250" s="12"/>
      <c r="R250" s="12"/>
      <c r="S250" s="12"/>
      <c r="T250" s="36"/>
      <c r="U250" s="36"/>
      <c r="V250" s="12"/>
      <c r="W250" s="12"/>
      <c r="X250" s="12"/>
      <c r="Y250" s="12"/>
    </row>
    <row r="251" customFormat="false" ht="15.75" hidden="false" customHeight="false" outlineLevel="0" collapsed="false">
      <c r="A251" s="12"/>
      <c r="B251" s="34"/>
      <c r="C251" s="12"/>
      <c r="D251" s="12"/>
      <c r="E251" s="12"/>
      <c r="F251" s="12"/>
      <c r="G251" s="18"/>
      <c r="H251" s="35"/>
      <c r="I251" s="35"/>
      <c r="J251" s="12"/>
      <c r="O251" s="12"/>
      <c r="P251" s="18"/>
      <c r="Q251" s="12"/>
      <c r="R251" s="12"/>
      <c r="S251" s="12"/>
      <c r="T251" s="36"/>
      <c r="U251" s="36"/>
      <c r="V251" s="12"/>
      <c r="W251" s="12"/>
      <c r="X251" s="12"/>
      <c r="Y251" s="12"/>
    </row>
    <row r="252" customFormat="false" ht="15.75" hidden="false" customHeight="false" outlineLevel="0" collapsed="false">
      <c r="A252" s="12"/>
      <c r="B252" s="34"/>
      <c r="C252" s="12"/>
      <c r="D252" s="12"/>
      <c r="E252" s="12"/>
      <c r="F252" s="12"/>
      <c r="G252" s="18"/>
      <c r="H252" s="35"/>
      <c r="I252" s="35"/>
      <c r="J252" s="12"/>
      <c r="O252" s="12"/>
      <c r="P252" s="18"/>
      <c r="Q252" s="12"/>
      <c r="R252" s="12"/>
      <c r="S252" s="12"/>
      <c r="T252" s="36"/>
      <c r="U252" s="36"/>
      <c r="V252" s="12"/>
      <c r="W252" s="12"/>
      <c r="X252" s="12"/>
      <c r="Y252" s="12"/>
    </row>
    <row r="253" customFormat="false" ht="15.75" hidden="false" customHeight="false" outlineLevel="0" collapsed="false">
      <c r="A253" s="12"/>
      <c r="B253" s="34"/>
      <c r="C253" s="12"/>
      <c r="D253" s="12"/>
      <c r="E253" s="12"/>
      <c r="F253" s="12"/>
      <c r="G253" s="18"/>
      <c r="H253" s="35"/>
      <c r="I253" s="35"/>
      <c r="J253" s="12"/>
      <c r="O253" s="12"/>
      <c r="P253" s="18"/>
      <c r="Q253" s="12"/>
      <c r="R253" s="12"/>
      <c r="S253" s="12"/>
      <c r="T253" s="36"/>
      <c r="U253" s="36"/>
      <c r="V253" s="12"/>
      <c r="W253" s="12"/>
      <c r="X253" s="12"/>
      <c r="Y253" s="12"/>
    </row>
    <row r="254" customFormat="false" ht="15.75" hidden="false" customHeight="false" outlineLevel="0" collapsed="false">
      <c r="A254" s="12"/>
      <c r="B254" s="34"/>
      <c r="C254" s="12"/>
      <c r="D254" s="12"/>
      <c r="E254" s="12"/>
      <c r="F254" s="12"/>
      <c r="G254" s="18"/>
      <c r="H254" s="35"/>
      <c r="I254" s="35"/>
      <c r="J254" s="12"/>
      <c r="O254" s="12"/>
      <c r="P254" s="18"/>
      <c r="Q254" s="12"/>
      <c r="R254" s="12"/>
      <c r="S254" s="12"/>
      <c r="T254" s="36"/>
      <c r="U254" s="36"/>
      <c r="V254" s="12"/>
      <c r="W254" s="12"/>
      <c r="X254" s="12"/>
      <c r="Y254" s="12"/>
    </row>
    <row r="255" customFormat="false" ht="15.75" hidden="false" customHeight="false" outlineLevel="0" collapsed="false">
      <c r="A255" s="12"/>
      <c r="B255" s="34"/>
      <c r="C255" s="12"/>
      <c r="D255" s="12"/>
      <c r="E255" s="12"/>
      <c r="F255" s="12"/>
      <c r="G255" s="18"/>
      <c r="H255" s="35"/>
      <c r="I255" s="35"/>
      <c r="J255" s="12"/>
      <c r="O255" s="12"/>
      <c r="P255" s="18"/>
      <c r="Q255" s="12"/>
      <c r="R255" s="12"/>
      <c r="S255" s="12"/>
      <c r="T255" s="36"/>
      <c r="U255" s="36"/>
      <c r="V255" s="12"/>
      <c r="W255" s="12"/>
      <c r="X255" s="12"/>
      <c r="Y255" s="12"/>
    </row>
    <row r="256" customFormat="false" ht="15.75" hidden="false" customHeight="false" outlineLevel="0" collapsed="false">
      <c r="A256" s="12"/>
      <c r="B256" s="34"/>
      <c r="C256" s="12"/>
      <c r="D256" s="12"/>
      <c r="E256" s="12"/>
      <c r="F256" s="12"/>
      <c r="G256" s="18"/>
      <c r="H256" s="35"/>
      <c r="I256" s="35"/>
      <c r="J256" s="12"/>
      <c r="O256" s="12"/>
      <c r="P256" s="18"/>
      <c r="Q256" s="12"/>
      <c r="R256" s="12"/>
      <c r="S256" s="12"/>
      <c r="T256" s="36"/>
      <c r="U256" s="36"/>
      <c r="V256" s="12"/>
      <c r="W256" s="12"/>
      <c r="X256" s="12"/>
      <c r="Y256" s="12"/>
    </row>
    <row r="257" customFormat="false" ht="15.75" hidden="false" customHeight="false" outlineLevel="0" collapsed="false">
      <c r="A257" s="12"/>
      <c r="B257" s="34"/>
      <c r="C257" s="12"/>
      <c r="D257" s="12"/>
      <c r="E257" s="12"/>
      <c r="F257" s="12"/>
      <c r="G257" s="18"/>
      <c r="H257" s="35"/>
      <c r="I257" s="35"/>
      <c r="J257" s="12"/>
      <c r="O257" s="12"/>
      <c r="P257" s="18"/>
      <c r="Q257" s="12"/>
      <c r="R257" s="12"/>
      <c r="S257" s="12"/>
      <c r="T257" s="36"/>
      <c r="U257" s="36"/>
      <c r="V257" s="12"/>
      <c r="W257" s="12"/>
      <c r="X257" s="12"/>
      <c r="Y257" s="12"/>
    </row>
    <row r="258" customFormat="false" ht="15.75" hidden="false" customHeight="false" outlineLevel="0" collapsed="false">
      <c r="A258" s="12"/>
      <c r="B258" s="34"/>
      <c r="C258" s="12"/>
      <c r="D258" s="12"/>
      <c r="E258" s="12"/>
      <c r="F258" s="12"/>
      <c r="G258" s="18"/>
      <c r="H258" s="35"/>
      <c r="I258" s="35"/>
      <c r="J258" s="12"/>
      <c r="O258" s="12"/>
      <c r="P258" s="18"/>
      <c r="Q258" s="12"/>
      <c r="R258" s="12"/>
      <c r="S258" s="12"/>
      <c r="T258" s="36"/>
      <c r="U258" s="36"/>
      <c r="V258" s="12"/>
      <c r="W258" s="12"/>
      <c r="X258" s="12"/>
      <c r="Y258" s="12"/>
    </row>
    <row r="259" customFormat="false" ht="15.75" hidden="false" customHeight="false" outlineLevel="0" collapsed="false">
      <c r="A259" s="12"/>
      <c r="B259" s="34"/>
      <c r="C259" s="12"/>
      <c r="D259" s="12"/>
      <c r="E259" s="12"/>
      <c r="F259" s="12"/>
      <c r="G259" s="18"/>
      <c r="H259" s="35"/>
      <c r="I259" s="35"/>
      <c r="J259" s="12"/>
      <c r="O259" s="12"/>
      <c r="P259" s="18"/>
      <c r="Q259" s="12"/>
      <c r="R259" s="12"/>
      <c r="S259" s="12"/>
      <c r="T259" s="36"/>
      <c r="U259" s="36"/>
      <c r="V259" s="12"/>
      <c r="W259" s="12"/>
      <c r="X259" s="12"/>
      <c r="Y259" s="12"/>
    </row>
    <row r="260" customFormat="false" ht="15.75" hidden="false" customHeight="false" outlineLevel="0" collapsed="false">
      <c r="A260" s="12"/>
      <c r="B260" s="34"/>
      <c r="C260" s="12"/>
      <c r="D260" s="12"/>
      <c r="E260" s="12"/>
      <c r="F260" s="12"/>
      <c r="G260" s="18"/>
      <c r="H260" s="35"/>
      <c r="I260" s="35"/>
      <c r="J260" s="12"/>
      <c r="O260" s="12"/>
      <c r="P260" s="18"/>
      <c r="Q260" s="12"/>
      <c r="R260" s="12"/>
      <c r="S260" s="12"/>
      <c r="T260" s="36"/>
      <c r="U260" s="36"/>
      <c r="V260" s="12"/>
      <c r="W260" s="12"/>
      <c r="X260" s="12"/>
      <c r="Y260" s="12"/>
    </row>
    <row r="261" customFormat="false" ht="15.75" hidden="false" customHeight="false" outlineLevel="0" collapsed="false">
      <c r="A261" s="12"/>
      <c r="B261" s="34"/>
      <c r="C261" s="12"/>
      <c r="D261" s="12"/>
      <c r="E261" s="12"/>
      <c r="F261" s="12"/>
      <c r="G261" s="18"/>
      <c r="H261" s="35"/>
      <c r="I261" s="35"/>
      <c r="J261" s="12"/>
      <c r="O261" s="12"/>
      <c r="P261" s="18"/>
      <c r="Q261" s="12"/>
      <c r="R261" s="12"/>
      <c r="S261" s="12"/>
      <c r="T261" s="36"/>
      <c r="U261" s="36"/>
      <c r="V261" s="12"/>
      <c r="W261" s="12"/>
      <c r="X261" s="12"/>
      <c r="Y261" s="12"/>
    </row>
    <row r="262" customFormat="false" ht="15.75" hidden="false" customHeight="false" outlineLevel="0" collapsed="false">
      <c r="A262" s="12"/>
      <c r="B262" s="34"/>
      <c r="C262" s="12"/>
      <c r="D262" s="12"/>
      <c r="E262" s="12"/>
      <c r="F262" s="12"/>
      <c r="G262" s="18"/>
      <c r="H262" s="35"/>
      <c r="I262" s="35"/>
      <c r="J262" s="12"/>
      <c r="O262" s="12"/>
      <c r="P262" s="18"/>
      <c r="Q262" s="12"/>
      <c r="R262" s="12"/>
      <c r="S262" s="12"/>
      <c r="T262" s="36"/>
      <c r="U262" s="36"/>
      <c r="V262" s="12"/>
      <c r="W262" s="12"/>
      <c r="X262" s="12"/>
      <c r="Y262" s="12"/>
    </row>
    <row r="263" customFormat="false" ht="15.75" hidden="false" customHeight="false" outlineLevel="0" collapsed="false">
      <c r="A263" s="12"/>
      <c r="B263" s="34"/>
      <c r="C263" s="12"/>
      <c r="D263" s="12"/>
      <c r="E263" s="12"/>
      <c r="F263" s="12"/>
      <c r="G263" s="18"/>
      <c r="H263" s="35"/>
      <c r="I263" s="35"/>
      <c r="J263" s="12"/>
      <c r="O263" s="12"/>
      <c r="P263" s="18"/>
      <c r="Q263" s="12"/>
      <c r="R263" s="12"/>
      <c r="S263" s="12"/>
      <c r="T263" s="36"/>
      <c r="U263" s="36"/>
      <c r="V263" s="12"/>
      <c r="W263" s="12"/>
      <c r="X263" s="12"/>
      <c r="Y263" s="12"/>
    </row>
    <row r="264" customFormat="false" ht="15.75" hidden="false" customHeight="false" outlineLevel="0" collapsed="false">
      <c r="A264" s="12"/>
      <c r="B264" s="34"/>
      <c r="C264" s="12"/>
      <c r="D264" s="12"/>
      <c r="E264" s="12"/>
      <c r="F264" s="12"/>
      <c r="G264" s="18"/>
      <c r="H264" s="35"/>
      <c r="I264" s="35"/>
      <c r="J264" s="12"/>
      <c r="O264" s="12"/>
      <c r="P264" s="18"/>
      <c r="Q264" s="12"/>
      <c r="R264" s="12"/>
      <c r="S264" s="12"/>
      <c r="T264" s="36"/>
      <c r="U264" s="36"/>
      <c r="V264" s="12"/>
      <c r="W264" s="12"/>
      <c r="X264" s="12"/>
      <c r="Y264" s="12"/>
    </row>
    <row r="265" customFormat="false" ht="15.75" hidden="false" customHeight="false" outlineLevel="0" collapsed="false">
      <c r="A265" s="12"/>
      <c r="B265" s="34"/>
      <c r="C265" s="12"/>
      <c r="D265" s="12"/>
      <c r="E265" s="12"/>
      <c r="F265" s="12"/>
      <c r="G265" s="18"/>
      <c r="H265" s="35"/>
      <c r="I265" s="35"/>
      <c r="J265" s="12"/>
      <c r="O265" s="12"/>
      <c r="P265" s="18"/>
      <c r="Q265" s="12"/>
      <c r="R265" s="12"/>
      <c r="S265" s="12"/>
      <c r="T265" s="36"/>
      <c r="U265" s="36"/>
      <c r="V265" s="12"/>
      <c r="W265" s="12"/>
      <c r="X265" s="12"/>
      <c r="Y265" s="12"/>
    </row>
    <row r="266" customFormat="false" ht="15.75" hidden="false" customHeight="false" outlineLevel="0" collapsed="false">
      <c r="A266" s="12"/>
      <c r="B266" s="34"/>
      <c r="C266" s="12"/>
      <c r="D266" s="12"/>
      <c r="E266" s="12"/>
      <c r="F266" s="12"/>
      <c r="G266" s="18"/>
      <c r="H266" s="35"/>
      <c r="I266" s="35"/>
      <c r="J266" s="12"/>
      <c r="O266" s="12"/>
      <c r="P266" s="18"/>
      <c r="Q266" s="12"/>
      <c r="R266" s="12"/>
      <c r="S266" s="12"/>
      <c r="T266" s="36"/>
      <c r="U266" s="36"/>
      <c r="V266" s="12"/>
      <c r="W266" s="12"/>
      <c r="X266" s="12"/>
      <c r="Y266" s="12"/>
    </row>
    <row r="267" customFormat="false" ht="15.75" hidden="false" customHeight="false" outlineLevel="0" collapsed="false">
      <c r="A267" s="12"/>
      <c r="B267" s="34"/>
      <c r="C267" s="12"/>
      <c r="D267" s="12"/>
      <c r="E267" s="12"/>
      <c r="F267" s="12"/>
      <c r="G267" s="18"/>
      <c r="H267" s="35"/>
      <c r="I267" s="35"/>
      <c r="J267" s="12"/>
      <c r="O267" s="12"/>
      <c r="P267" s="18"/>
      <c r="Q267" s="12"/>
      <c r="R267" s="12"/>
      <c r="S267" s="12"/>
      <c r="T267" s="36"/>
      <c r="U267" s="36"/>
      <c r="V267" s="12"/>
      <c r="W267" s="12"/>
      <c r="X267" s="12"/>
      <c r="Y267" s="12"/>
    </row>
    <row r="268" customFormat="false" ht="15.75" hidden="false" customHeight="false" outlineLevel="0" collapsed="false">
      <c r="A268" s="12"/>
      <c r="B268" s="34"/>
      <c r="C268" s="12"/>
      <c r="D268" s="12"/>
      <c r="E268" s="12"/>
      <c r="F268" s="12"/>
      <c r="G268" s="18"/>
      <c r="H268" s="35"/>
      <c r="I268" s="35"/>
      <c r="J268" s="12"/>
      <c r="O268" s="12"/>
      <c r="P268" s="18"/>
      <c r="Q268" s="12"/>
      <c r="R268" s="12"/>
      <c r="S268" s="12"/>
      <c r="T268" s="36"/>
      <c r="U268" s="36"/>
      <c r="V268" s="12"/>
      <c r="W268" s="12"/>
      <c r="X268" s="12"/>
      <c r="Y268" s="12"/>
    </row>
    <row r="269" customFormat="false" ht="15.75" hidden="false" customHeight="false" outlineLevel="0" collapsed="false">
      <c r="A269" s="12"/>
      <c r="B269" s="34"/>
      <c r="C269" s="12"/>
      <c r="D269" s="12"/>
      <c r="E269" s="12"/>
      <c r="F269" s="12"/>
      <c r="G269" s="18"/>
      <c r="H269" s="35"/>
      <c r="I269" s="35"/>
      <c r="J269" s="12"/>
      <c r="O269" s="12"/>
      <c r="P269" s="18"/>
      <c r="Q269" s="12"/>
      <c r="R269" s="12"/>
      <c r="S269" s="12"/>
      <c r="T269" s="36"/>
      <c r="U269" s="36"/>
      <c r="V269" s="12"/>
      <c r="W269" s="12"/>
      <c r="X269" s="12"/>
      <c r="Y269" s="12"/>
    </row>
    <row r="270" customFormat="false" ht="15.75" hidden="false" customHeight="false" outlineLevel="0" collapsed="false">
      <c r="A270" s="12"/>
      <c r="B270" s="34"/>
      <c r="C270" s="12"/>
      <c r="D270" s="12"/>
      <c r="E270" s="12"/>
      <c r="F270" s="12"/>
      <c r="G270" s="18"/>
      <c r="H270" s="35"/>
      <c r="I270" s="35"/>
      <c r="J270" s="12"/>
      <c r="O270" s="12"/>
      <c r="P270" s="18"/>
      <c r="Q270" s="12"/>
      <c r="R270" s="12"/>
      <c r="S270" s="12"/>
      <c r="T270" s="36"/>
      <c r="U270" s="36"/>
      <c r="V270" s="12"/>
      <c r="W270" s="12"/>
      <c r="X270" s="12"/>
      <c r="Y270" s="12"/>
    </row>
    <row r="271" customFormat="false" ht="15.75" hidden="false" customHeight="false" outlineLevel="0" collapsed="false">
      <c r="A271" s="12"/>
      <c r="B271" s="34"/>
      <c r="C271" s="12"/>
      <c r="D271" s="12"/>
      <c r="E271" s="12"/>
      <c r="F271" s="12"/>
      <c r="G271" s="18"/>
      <c r="H271" s="35"/>
      <c r="I271" s="35"/>
      <c r="J271" s="12"/>
      <c r="O271" s="12"/>
      <c r="P271" s="18"/>
      <c r="Q271" s="12"/>
      <c r="R271" s="12"/>
      <c r="S271" s="12"/>
      <c r="T271" s="36"/>
      <c r="U271" s="36"/>
      <c r="V271" s="12"/>
      <c r="W271" s="12"/>
      <c r="X271" s="12"/>
      <c r="Y271" s="12"/>
    </row>
    <row r="272" customFormat="false" ht="15.75" hidden="false" customHeight="false" outlineLevel="0" collapsed="false">
      <c r="A272" s="12"/>
      <c r="B272" s="34"/>
      <c r="C272" s="12"/>
      <c r="D272" s="12"/>
      <c r="E272" s="12"/>
      <c r="F272" s="12"/>
      <c r="G272" s="18"/>
      <c r="H272" s="35"/>
      <c r="I272" s="35"/>
      <c r="J272" s="12"/>
      <c r="O272" s="12"/>
      <c r="P272" s="18"/>
      <c r="Q272" s="12"/>
      <c r="R272" s="12"/>
      <c r="S272" s="12"/>
      <c r="T272" s="36"/>
      <c r="U272" s="36"/>
      <c r="V272" s="12"/>
      <c r="W272" s="12"/>
      <c r="X272" s="12"/>
      <c r="Y272" s="12"/>
    </row>
    <row r="273" customFormat="false" ht="15.75" hidden="false" customHeight="false" outlineLevel="0" collapsed="false">
      <c r="A273" s="12"/>
      <c r="B273" s="34"/>
      <c r="C273" s="12"/>
      <c r="D273" s="12"/>
      <c r="E273" s="12"/>
      <c r="F273" s="12"/>
      <c r="G273" s="18"/>
      <c r="H273" s="35"/>
      <c r="I273" s="35"/>
      <c r="J273" s="12"/>
      <c r="O273" s="12"/>
      <c r="P273" s="18"/>
      <c r="Q273" s="12"/>
      <c r="R273" s="12"/>
      <c r="S273" s="12"/>
      <c r="T273" s="36"/>
      <c r="U273" s="36"/>
      <c r="V273" s="12"/>
      <c r="W273" s="12"/>
      <c r="X273" s="12"/>
      <c r="Y273" s="12"/>
    </row>
    <row r="274" customFormat="false" ht="15.75" hidden="false" customHeight="false" outlineLevel="0" collapsed="false">
      <c r="A274" s="12"/>
      <c r="B274" s="34"/>
      <c r="C274" s="12"/>
      <c r="D274" s="12"/>
      <c r="E274" s="12"/>
      <c r="F274" s="12"/>
      <c r="G274" s="18"/>
      <c r="H274" s="35"/>
      <c r="I274" s="35"/>
      <c r="J274" s="12"/>
      <c r="O274" s="12"/>
      <c r="P274" s="18"/>
      <c r="Q274" s="12"/>
      <c r="R274" s="12"/>
      <c r="S274" s="12"/>
      <c r="T274" s="36"/>
      <c r="U274" s="36"/>
      <c r="V274" s="12"/>
      <c r="W274" s="12"/>
      <c r="X274" s="12"/>
      <c r="Y274" s="12"/>
    </row>
    <row r="275" customFormat="false" ht="15.75" hidden="false" customHeight="false" outlineLevel="0" collapsed="false">
      <c r="A275" s="12"/>
      <c r="B275" s="34"/>
      <c r="C275" s="12"/>
      <c r="D275" s="12"/>
      <c r="E275" s="12"/>
      <c r="F275" s="12"/>
      <c r="G275" s="18"/>
      <c r="H275" s="35"/>
      <c r="I275" s="35"/>
      <c r="J275" s="12"/>
      <c r="O275" s="12"/>
      <c r="P275" s="18"/>
      <c r="Q275" s="12"/>
      <c r="R275" s="12"/>
      <c r="S275" s="12"/>
      <c r="T275" s="36"/>
      <c r="U275" s="36"/>
      <c r="V275" s="12"/>
      <c r="W275" s="12"/>
      <c r="X275" s="12"/>
      <c r="Y275" s="12"/>
    </row>
    <row r="276" customFormat="false" ht="15.75" hidden="false" customHeight="false" outlineLevel="0" collapsed="false">
      <c r="A276" s="12"/>
      <c r="B276" s="34"/>
      <c r="C276" s="12"/>
      <c r="D276" s="12"/>
      <c r="E276" s="12"/>
      <c r="F276" s="12"/>
      <c r="G276" s="18"/>
      <c r="H276" s="35"/>
      <c r="I276" s="35"/>
      <c r="J276" s="12"/>
      <c r="O276" s="12"/>
      <c r="P276" s="18"/>
      <c r="Q276" s="12"/>
      <c r="R276" s="12"/>
      <c r="S276" s="12"/>
      <c r="T276" s="36"/>
      <c r="U276" s="36"/>
      <c r="V276" s="12"/>
      <c r="W276" s="12"/>
      <c r="X276" s="12"/>
      <c r="Y276" s="12"/>
    </row>
    <row r="277" customFormat="false" ht="15.75" hidden="false" customHeight="false" outlineLevel="0" collapsed="false">
      <c r="A277" s="12"/>
      <c r="B277" s="34"/>
      <c r="C277" s="12"/>
      <c r="D277" s="12"/>
      <c r="E277" s="12"/>
      <c r="F277" s="12"/>
      <c r="G277" s="18"/>
      <c r="H277" s="35"/>
      <c r="I277" s="35"/>
      <c r="J277" s="12"/>
      <c r="O277" s="12"/>
      <c r="P277" s="18"/>
      <c r="Q277" s="12"/>
      <c r="R277" s="12"/>
      <c r="S277" s="12"/>
      <c r="T277" s="36"/>
      <c r="U277" s="36"/>
      <c r="V277" s="12"/>
      <c r="W277" s="12"/>
      <c r="X277" s="12"/>
      <c r="Y277" s="12"/>
    </row>
    <row r="278" customFormat="false" ht="15.75" hidden="false" customHeight="false" outlineLevel="0" collapsed="false">
      <c r="A278" s="12"/>
      <c r="B278" s="34"/>
      <c r="C278" s="12"/>
      <c r="D278" s="12"/>
      <c r="E278" s="12"/>
      <c r="F278" s="12"/>
      <c r="G278" s="18"/>
      <c r="H278" s="35"/>
      <c r="I278" s="35"/>
      <c r="J278" s="12"/>
      <c r="O278" s="12"/>
      <c r="P278" s="18"/>
      <c r="Q278" s="12"/>
      <c r="R278" s="12"/>
      <c r="S278" s="12"/>
      <c r="T278" s="36"/>
      <c r="U278" s="36"/>
      <c r="V278" s="12"/>
      <c r="W278" s="12"/>
      <c r="X278" s="12"/>
      <c r="Y278" s="12"/>
    </row>
    <row r="279" customFormat="false" ht="15.75" hidden="false" customHeight="false" outlineLevel="0" collapsed="false">
      <c r="A279" s="12"/>
      <c r="B279" s="34"/>
      <c r="C279" s="12"/>
      <c r="D279" s="12"/>
      <c r="E279" s="12"/>
      <c r="F279" s="12"/>
      <c r="G279" s="18"/>
      <c r="H279" s="35"/>
      <c r="I279" s="35"/>
      <c r="J279" s="12"/>
      <c r="O279" s="12"/>
      <c r="P279" s="18"/>
      <c r="Q279" s="12"/>
      <c r="R279" s="12"/>
      <c r="S279" s="12"/>
      <c r="T279" s="36"/>
      <c r="U279" s="36"/>
      <c r="V279" s="12"/>
      <c r="W279" s="12"/>
      <c r="X279" s="12"/>
      <c r="Y279" s="12"/>
    </row>
    <row r="280" customFormat="false" ht="15.75" hidden="false" customHeight="false" outlineLevel="0" collapsed="false">
      <c r="A280" s="12"/>
      <c r="B280" s="34"/>
      <c r="C280" s="12"/>
      <c r="D280" s="12"/>
      <c r="E280" s="12"/>
      <c r="F280" s="12"/>
      <c r="G280" s="18"/>
      <c r="H280" s="35"/>
      <c r="I280" s="35"/>
      <c r="J280" s="12"/>
      <c r="O280" s="12"/>
      <c r="P280" s="18"/>
      <c r="Q280" s="12"/>
      <c r="R280" s="12"/>
      <c r="S280" s="12"/>
      <c r="T280" s="36"/>
      <c r="U280" s="36"/>
      <c r="V280" s="12"/>
      <c r="W280" s="12"/>
      <c r="X280" s="12"/>
      <c r="Y280" s="12"/>
    </row>
    <row r="281" customFormat="false" ht="15.75" hidden="false" customHeight="false" outlineLevel="0" collapsed="false">
      <c r="A281" s="12"/>
      <c r="B281" s="34"/>
      <c r="C281" s="12"/>
      <c r="D281" s="12"/>
      <c r="E281" s="12"/>
      <c r="F281" s="12"/>
      <c r="G281" s="18"/>
      <c r="H281" s="35"/>
      <c r="I281" s="35"/>
      <c r="J281" s="12"/>
      <c r="O281" s="12"/>
      <c r="P281" s="18"/>
      <c r="Q281" s="12"/>
      <c r="R281" s="12"/>
      <c r="S281" s="12"/>
      <c r="T281" s="36"/>
      <c r="U281" s="36"/>
      <c r="V281" s="12"/>
      <c r="W281" s="12"/>
      <c r="X281" s="12"/>
      <c r="Y281" s="12"/>
    </row>
    <row r="282" customFormat="false" ht="15.75" hidden="false" customHeight="false" outlineLevel="0" collapsed="false">
      <c r="A282" s="12"/>
      <c r="B282" s="34"/>
      <c r="C282" s="12"/>
      <c r="D282" s="12"/>
      <c r="E282" s="12"/>
      <c r="F282" s="12"/>
      <c r="G282" s="18"/>
      <c r="H282" s="35"/>
      <c r="I282" s="35"/>
      <c r="J282" s="12"/>
      <c r="O282" s="12"/>
      <c r="P282" s="18"/>
      <c r="Q282" s="12"/>
      <c r="R282" s="12"/>
      <c r="S282" s="12"/>
      <c r="T282" s="36"/>
      <c r="U282" s="36"/>
      <c r="V282" s="12"/>
      <c r="W282" s="12"/>
      <c r="X282" s="12"/>
      <c r="Y282" s="12"/>
    </row>
    <row r="283" customFormat="false" ht="15.75" hidden="false" customHeight="false" outlineLevel="0" collapsed="false">
      <c r="A283" s="12"/>
      <c r="B283" s="34"/>
      <c r="C283" s="12"/>
      <c r="D283" s="12"/>
      <c r="E283" s="12"/>
      <c r="F283" s="12"/>
      <c r="G283" s="18"/>
      <c r="H283" s="35"/>
      <c r="I283" s="35"/>
      <c r="J283" s="12"/>
      <c r="O283" s="12"/>
      <c r="P283" s="18"/>
      <c r="Q283" s="12"/>
      <c r="R283" s="12"/>
      <c r="S283" s="12"/>
      <c r="T283" s="36"/>
      <c r="U283" s="36"/>
      <c r="V283" s="12"/>
      <c r="W283" s="12"/>
      <c r="X283" s="12"/>
      <c r="Y283" s="12"/>
    </row>
    <row r="284" customFormat="false" ht="15.75" hidden="false" customHeight="false" outlineLevel="0" collapsed="false">
      <c r="A284" s="12"/>
      <c r="B284" s="34"/>
      <c r="C284" s="12"/>
      <c r="D284" s="12"/>
      <c r="E284" s="12"/>
      <c r="F284" s="12"/>
      <c r="G284" s="18"/>
      <c r="H284" s="35"/>
      <c r="I284" s="35"/>
      <c r="J284" s="12"/>
      <c r="O284" s="12"/>
      <c r="P284" s="18"/>
      <c r="Q284" s="12"/>
      <c r="R284" s="12"/>
      <c r="S284" s="12"/>
      <c r="T284" s="36"/>
      <c r="U284" s="36"/>
      <c r="V284" s="12"/>
      <c r="W284" s="12"/>
      <c r="X284" s="12"/>
      <c r="Y284" s="12"/>
    </row>
    <row r="285" customFormat="false" ht="15.75" hidden="false" customHeight="false" outlineLevel="0" collapsed="false">
      <c r="A285" s="12"/>
      <c r="B285" s="34"/>
      <c r="C285" s="12"/>
      <c r="D285" s="12"/>
      <c r="E285" s="12"/>
      <c r="F285" s="12"/>
      <c r="G285" s="18"/>
      <c r="H285" s="35"/>
      <c r="I285" s="35"/>
      <c r="J285" s="12"/>
      <c r="O285" s="12"/>
      <c r="P285" s="18"/>
      <c r="Q285" s="12"/>
      <c r="R285" s="12"/>
      <c r="S285" s="12"/>
      <c r="T285" s="36"/>
      <c r="U285" s="36"/>
      <c r="V285" s="12"/>
      <c r="W285" s="12"/>
      <c r="X285" s="12"/>
      <c r="Y285" s="12"/>
    </row>
    <row r="286" customFormat="false" ht="15.75" hidden="false" customHeight="false" outlineLevel="0" collapsed="false">
      <c r="A286" s="12"/>
      <c r="B286" s="34"/>
      <c r="C286" s="12"/>
      <c r="D286" s="12"/>
      <c r="E286" s="12"/>
      <c r="F286" s="12"/>
      <c r="G286" s="18"/>
      <c r="H286" s="35"/>
      <c r="I286" s="35"/>
      <c r="J286" s="12"/>
      <c r="O286" s="12"/>
      <c r="P286" s="18"/>
      <c r="Q286" s="12"/>
      <c r="R286" s="12"/>
      <c r="S286" s="12"/>
      <c r="T286" s="36"/>
      <c r="U286" s="36"/>
      <c r="V286" s="12"/>
      <c r="W286" s="12"/>
      <c r="X286" s="12"/>
      <c r="Y286" s="12"/>
    </row>
    <row r="287" customFormat="false" ht="15.75" hidden="false" customHeight="false" outlineLevel="0" collapsed="false">
      <c r="A287" s="12"/>
      <c r="B287" s="34"/>
      <c r="C287" s="12"/>
      <c r="D287" s="12"/>
      <c r="E287" s="12"/>
      <c r="F287" s="12"/>
      <c r="G287" s="18"/>
      <c r="H287" s="35"/>
      <c r="I287" s="35"/>
      <c r="J287" s="12"/>
      <c r="O287" s="12"/>
      <c r="P287" s="18"/>
      <c r="Q287" s="12"/>
      <c r="R287" s="12"/>
      <c r="S287" s="12"/>
      <c r="T287" s="36"/>
      <c r="U287" s="36"/>
      <c r="V287" s="12"/>
      <c r="W287" s="12"/>
      <c r="X287" s="12"/>
      <c r="Y287" s="12"/>
    </row>
    <row r="288" customFormat="false" ht="15.75" hidden="false" customHeight="false" outlineLevel="0" collapsed="false">
      <c r="A288" s="12"/>
      <c r="B288" s="34"/>
      <c r="C288" s="12"/>
      <c r="D288" s="12"/>
      <c r="E288" s="12"/>
      <c r="F288" s="12"/>
      <c r="G288" s="18"/>
      <c r="H288" s="35"/>
      <c r="I288" s="35"/>
      <c r="J288" s="12"/>
      <c r="O288" s="12"/>
      <c r="P288" s="18"/>
      <c r="Q288" s="12"/>
      <c r="R288" s="12"/>
      <c r="S288" s="12"/>
      <c r="T288" s="36"/>
      <c r="U288" s="36"/>
      <c r="V288" s="12"/>
      <c r="W288" s="12"/>
      <c r="X288" s="12"/>
      <c r="Y288" s="12"/>
    </row>
    <row r="289" customFormat="false" ht="15.75" hidden="false" customHeight="false" outlineLevel="0" collapsed="false">
      <c r="A289" s="12"/>
      <c r="B289" s="34"/>
      <c r="C289" s="12"/>
      <c r="D289" s="12"/>
      <c r="E289" s="12"/>
      <c r="F289" s="12"/>
      <c r="G289" s="18"/>
      <c r="H289" s="35"/>
      <c r="I289" s="35"/>
      <c r="J289" s="12"/>
      <c r="O289" s="12"/>
      <c r="P289" s="18"/>
      <c r="Q289" s="12"/>
      <c r="R289" s="12"/>
      <c r="S289" s="12"/>
      <c r="T289" s="36"/>
      <c r="U289" s="36"/>
      <c r="V289" s="12"/>
      <c r="W289" s="12"/>
      <c r="X289" s="12"/>
      <c r="Y289" s="12"/>
    </row>
    <row r="290" customFormat="false" ht="15.75" hidden="false" customHeight="false" outlineLevel="0" collapsed="false">
      <c r="A290" s="12"/>
      <c r="B290" s="34"/>
      <c r="C290" s="12"/>
      <c r="D290" s="12"/>
      <c r="E290" s="12"/>
      <c r="F290" s="12"/>
      <c r="G290" s="18"/>
      <c r="H290" s="35"/>
      <c r="I290" s="35"/>
      <c r="J290" s="12"/>
      <c r="O290" s="12"/>
      <c r="P290" s="18"/>
      <c r="Q290" s="12"/>
      <c r="R290" s="12"/>
      <c r="S290" s="12"/>
      <c r="T290" s="36"/>
      <c r="U290" s="36"/>
      <c r="V290" s="12"/>
      <c r="W290" s="12"/>
      <c r="X290" s="12"/>
      <c r="Y290" s="12"/>
    </row>
    <row r="291" customFormat="false" ht="15.75" hidden="false" customHeight="false" outlineLevel="0" collapsed="false">
      <c r="A291" s="12"/>
      <c r="B291" s="34"/>
      <c r="C291" s="12"/>
      <c r="D291" s="12"/>
      <c r="E291" s="12"/>
      <c r="F291" s="12"/>
      <c r="G291" s="18"/>
      <c r="H291" s="35"/>
      <c r="I291" s="35"/>
      <c r="J291" s="12"/>
      <c r="O291" s="12"/>
      <c r="P291" s="18"/>
      <c r="Q291" s="12"/>
      <c r="R291" s="12"/>
      <c r="S291" s="12"/>
      <c r="T291" s="36"/>
      <c r="U291" s="36"/>
      <c r="V291" s="12"/>
      <c r="W291" s="12"/>
      <c r="X291" s="12"/>
      <c r="Y291" s="12"/>
    </row>
    <row r="292" customFormat="false" ht="15.75" hidden="false" customHeight="false" outlineLevel="0" collapsed="false">
      <c r="A292" s="12"/>
      <c r="B292" s="34"/>
      <c r="C292" s="12"/>
      <c r="D292" s="12"/>
      <c r="E292" s="12"/>
      <c r="F292" s="12"/>
      <c r="G292" s="18"/>
      <c r="H292" s="35"/>
      <c r="I292" s="35"/>
      <c r="J292" s="12"/>
      <c r="O292" s="12"/>
      <c r="P292" s="18"/>
      <c r="Q292" s="12"/>
      <c r="R292" s="12"/>
      <c r="S292" s="12"/>
      <c r="T292" s="36"/>
      <c r="U292" s="36"/>
      <c r="V292" s="12"/>
      <c r="W292" s="12"/>
      <c r="X292" s="12"/>
      <c r="Y292" s="12"/>
    </row>
    <row r="293" customFormat="false" ht="15.75" hidden="false" customHeight="false" outlineLevel="0" collapsed="false">
      <c r="A293" s="12"/>
      <c r="B293" s="34"/>
      <c r="C293" s="12"/>
      <c r="D293" s="12"/>
      <c r="E293" s="12"/>
      <c r="F293" s="12"/>
      <c r="G293" s="18"/>
      <c r="H293" s="35"/>
      <c r="I293" s="35"/>
      <c r="J293" s="12"/>
      <c r="O293" s="12"/>
      <c r="P293" s="18"/>
      <c r="Q293" s="12"/>
      <c r="R293" s="12"/>
      <c r="S293" s="12"/>
      <c r="T293" s="36"/>
      <c r="U293" s="36"/>
      <c r="V293" s="12"/>
      <c r="W293" s="12"/>
      <c r="X293" s="12"/>
      <c r="Y293" s="12"/>
    </row>
    <row r="294" customFormat="false" ht="15.75" hidden="false" customHeight="false" outlineLevel="0" collapsed="false">
      <c r="A294" s="12"/>
      <c r="B294" s="34"/>
      <c r="C294" s="12"/>
      <c r="D294" s="12"/>
      <c r="E294" s="12"/>
      <c r="F294" s="12"/>
      <c r="G294" s="18"/>
      <c r="H294" s="35"/>
      <c r="I294" s="35"/>
      <c r="J294" s="12"/>
      <c r="O294" s="12"/>
      <c r="P294" s="18"/>
      <c r="Q294" s="12"/>
      <c r="R294" s="12"/>
      <c r="S294" s="12"/>
      <c r="T294" s="36"/>
      <c r="U294" s="36"/>
      <c r="V294" s="12"/>
      <c r="W294" s="12"/>
      <c r="X294" s="12"/>
      <c r="Y294" s="12"/>
    </row>
    <row r="295" customFormat="false" ht="15.75" hidden="false" customHeight="false" outlineLevel="0" collapsed="false">
      <c r="A295" s="12"/>
      <c r="B295" s="34"/>
      <c r="C295" s="12"/>
      <c r="D295" s="12"/>
      <c r="E295" s="12"/>
      <c r="F295" s="12"/>
      <c r="G295" s="18"/>
      <c r="H295" s="35"/>
      <c r="I295" s="35"/>
      <c r="J295" s="12"/>
      <c r="O295" s="12"/>
      <c r="P295" s="18"/>
      <c r="Q295" s="12"/>
      <c r="R295" s="12"/>
      <c r="S295" s="12"/>
      <c r="T295" s="36"/>
      <c r="U295" s="36"/>
      <c r="V295" s="12"/>
      <c r="W295" s="12"/>
      <c r="X295" s="12"/>
      <c r="Y295" s="12"/>
    </row>
    <row r="296" customFormat="false" ht="15.75" hidden="false" customHeight="false" outlineLevel="0" collapsed="false">
      <c r="A296" s="12"/>
      <c r="B296" s="34"/>
      <c r="C296" s="12"/>
      <c r="D296" s="12"/>
      <c r="E296" s="12"/>
      <c r="F296" s="12"/>
      <c r="G296" s="18"/>
      <c r="H296" s="35"/>
      <c r="I296" s="35"/>
      <c r="J296" s="12"/>
      <c r="O296" s="12"/>
      <c r="P296" s="18"/>
      <c r="Q296" s="12"/>
      <c r="R296" s="12"/>
      <c r="S296" s="12"/>
      <c r="T296" s="36"/>
      <c r="U296" s="36"/>
      <c r="V296" s="12"/>
      <c r="W296" s="12"/>
      <c r="X296" s="12"/>
      <c r="Y296" s="12"/>
    </row>
    <row r="297" customFormat="false" ht="15.75" hidden="false" customHeight="false" outlineLevel="0" collapsed="false">
      <c r="A297" s="12"/>
      <c r="B297" s="34"/>
      <c r="C297" s="12"/>
      <c r="D297" s="12"/>
      <c r="E297" s="12"/>
      <c r="F297" s="12"/>
      <c r="G297" s="18"/>
      <c r="H297" s="35"/>
      <c r="I297" s="35"/>
      <c r="J297" s="12"/>
      <c r="O297" s="12"/>
      <c r="P297" s="18"/>
      <c r="Q297" s="12"/>
      <c r="R297" s="12"/>
      <c r="S297" s="12"/>
      <c r="T297" s="36"/>
      <c r="U297" s="36"/>
      <c r="V297" s="12"/>
      <c r="W297" s="12"/>
      <c r="X297" s="12"/>
      <c r="Y297" s="12"/>
    </row>
    <row r="298" customFormat="false" ht="15.75" hidden="false" customHeight="false" outlineLevel="0" collapsed="false">
      <c r="A298" s="12"/>
      <c r="B298" s="34"/>
      <c r="C298" s="12"/>
      <c r="D298" s="12"/>
      <c r="E298" s="12"/>
      <c r="F298" s="12"/>
      <c r="G298" s="18"/>
      <c r="H298" s="35"/>
      <c r="I298" s="35"/>
      <c r="J298" s="12"/>
      <c r="O298" s="12"/>
      <c r="P298" s="18"/>
      <c r="Q298" s="12"/>
      <c r="R298" s="12"/>
      <c r="S298" s="12"/>
      <c r="T298" s="36"/>
      <c r="U298" s="36"/>
      <c r="V298" s="12"/>
      <c r="W298" s="12"/>
      <c r="X298" s="12"/>
      <c r="Y298" s="12"/>
    </row>
    <row r="299" customFormat="false" ht="15.75" hidden="false" customHeight="false" outlineLevel="0" collapsed="false">
      <c r="A299" s="12"/>
      <c r="B299" s="34"/>
      <c r="C299" s="12"/>
      <c r="D299" s="12"/>
      <c r="E299" s="12"/>
      <c r="F299" s="12"/>
      <c r="G299" s="18"/>
      <c r="H299" s="35"/>
      <c r="I299" s="35"/>
      <c r="J299" s="12"/>
      <c r="O299" s="12"/>
      <c r="P299" s="18"/>
      <c r="Q299" s="12"/>
      <c r="R299" s="12"/>
      <c r="S299" s="12"/>
      <c r="T299" s="36"/>
      <c r="U299" s="36"/>
      <c r="V299" s="12"/>
      <c r="W299" s="12"/>
      <c r="X299" s="12"/>
      <c r="Y299" s="12"/>
    </row>
    <row r="300" customFormat="false" ht="15.75" hidden="false" customHeight="false" outlineLevel="0" collapsed="false">
      <c r="A300" s="12"/>
      <c r="B300" s="34"/>
      <c r="C300" s="12"/>
      <c r="D300" s="12"/>
      <c r="E300" s="12"/>
      <c r="F300" s="12"/>
      <c r="G300" s="18"/>
      <c r="H300" s="35"/>
      <c r="I300" s="35"/>
      <c r="J300" s="12"/>
      <c r="O300" s="12"/>
      <c r="P300" s="18"/>
      <c r="Q300" s="12"/>
      <c r="R300" s="12"/>
      <c r="S300" s="12"/>
      <c r="T300" s="36"/>
      <c r="U300" s="36"/>
      <c r="V300" s="12"/>
      <c r="W300" s="12"/>
      <c r="X300" s="12"/>
      <c r="Y300" s="12"/>
    </row>
    <row r="301" customFormat="false" ht="15.75" hidden="false" customHeight="false" outlineLevel="0" collapsed="false">
      <c r="A301" s="12"/>
      <c r="B301" s="34"/>
      <c r="C301" s="12"/>
      <c r="D301" s="12"/>
      <c r="E301" s="12"/>
      <c r="F301" s="12"/>
      <c r="G301" s="18"/>
      <c r="H301" s="35"/>
      <c r="I301" s="35"/>
      <c r="J301" s="12"/>
      <c r="O301" s="12"/>
      <c r="P301" s="18"/>
      <c r="Q301" s="12"/>
      <c r="R301" s="12"/>
      <c r="S301" s="12"/>
      <c r="T301" s="36"/>
      <c r="U301" s="36"/>
      <c r="V301" s="12"/>
      <c r="W301" s="12"/>
      <c r="X301" s="12"/>
      <c r="Y301" s="12"/>
    </row>
    <row r="302" customFormat="false" ht="15.75" hidden="false" customHeight="false" outlineLevel="0" collapsed="false">
      <c r="A302" s="12"/>
      <c r="B302" s="34"/>
      <c r="C302" s="12"/>
      <c r="D302" s="12"/>
      <c r="E302" s="12"/>
      <c r="F302" s="12"/>
      <c r="G302" s="18"/>
      <c r="H302" s="35"/>
      <c r="I302" s="35"/>
      <c r="J302" s="12"/>
      <c r="O302" s="12"/>
      <c r="P302" s="18"/>
      <c r="Q302" s="12"/>
      <c r="R302" s="12"/>
      <c r="S302" s="12"/>
      <c r="T302" s="36"/>
      <c r="U302" s="36"/>
      <c r="V302" s="12"/>
      <c r="W302" s="12"/>
      <c r="X302" s="12"/>
      <c r="Y302" s="12"/>
    </row>
    <row r="303" customFormat="false" ht="15.75" hidden="false" customHeight="false" outlineLevel="0" collapsed="false">
      <c r="A303" s="12"/>
      <c r="B303" s="34"/>
      <c r="C303" s="12"/>
      <c r="D303" s="12"/>
      <c r="E303" s="12"/>
      <c r="F303" s="12"/>
      <c r="G303" s="18"/>
      <c r="H303" s="35"/>
      <c r="I303" s="35"/>
      <c r="J303" s="12"/>
      <c r="O303" s="12"/>
      <c r="P303" s="18"/>
      <c r="Q303" s="12"/>
      <c r="R303" s="12"/>
      <c r="S303" s="12"/>
      <c r="T303" s="36"/>
      <c r="U303" s="36"/>
      <c r="V303" s="12"/>
      <c r="W303" s="12"/>
      <c r="X303" s="12"/>
      <c r="Y303" s="12"/>
    </row>
    <row r="304" customFormat="false" ht="15.75" hidden="false" customHeight="false" outlineLevel="0" collapsed="false">
      <c r="A304" s="12"/>
      <c r="B304" s="34"/>
      <c r="C304" s="12"/>
      <c r="D304" s="12"/>
      <c r="E304" s="12"/>
      <c r="F304" s="12"/>
      <c r="G304" s="18"/>
      <c r="H304" s="35"/>
      <c r="I304" s="35"/>
      <c r="J304" s="12"/>
      <c r="O304" s="12"/>
      <c r="P304" s="18"/>
      <c r="Q304" s="12"/>
      <c r="R304" s="12"/>
      <c r="S304" s="12"/>
      <c r="T304" s="36"/>
      <c r="U304" s="36"/>
      <c r="V304" s="12"/>
      <c r="W304" s="12"/>
      <c r="X304" s="12"/>
      <c r="Y304" s="12"/>
    </row>
    <row r="305" customFormat="false" ht="15.75" hidden="false" customHeight="false" outlineLevel="0" collapsed="false">
      <c r="A305" s="12"/>
      <c r="B305" s="34"/>
      <c r="C305" s="12"/>
      <c r="D305" s="12"/>
      <c r="E305" s="12"/>
      <c r="F305" s="12"/>
      <c r="G305" s="18"/>
      <c r="H305" s="35"/>
      <c r="I305" s="35"/>
      <c r="J305" s="12"/>
      <c r="O305" s="12"/>
      <c r="P305" s="18"/>
      <c r="Q305" s="12"/>
      <c r="R305" s="12"/>
      <c r="S305" s="12"/>
      <c r="T305" s="36"/>
      <c r="U305" s="36"/>
      <c r="V305" s="12"/>
      <c r="W305" s="12"/>
      <c r="X305" s="12"/>
      <c r="Y305" s="12"/>
    </row>
    <row r="306" customFormat="false" ht="15.75" hidden="false" customHeight="false" outlineLevel="0" collapsed="false">
      <c r="A306" s="12"/>
      <c r="B306" s="34"/>
      <c r="C306" s="12"/>
      <c r="D306" s="12"/>
      <c r="E306" s="12"/>
      <c r="F306" s="12"/>
      <c r="G306" s="18"/>
      <c r="H306" s="35"/>
      <c r="I306" s="35"/>
      <c r="J306" s="12"/>
      <c r="O306" s="12"/>
      <c r="P306" s="18"/>
      <c r="Q306" s="12"/>
      <c r="R306" s="12"/>
      <c r="S306" s="12"/>
      <c r="T306" s="36"/>
      <c r="U306" s="36"/>
      <c r="V306" s="12"/>
      <c r="W306" s="12"/>
      <c r="X306" s="12"/>
      <c r="Y306" s="12"/>
    </row>
    <row r="307" customFormat="false" ht="15.75" hidden="false" customHeight="false" outlineLevel="0" collapsed="false">
      <c r="A307" s="12"/>
      <c r="B307" s="34"/>
      <c r="C307" s="12"/>
      <c r="D307" s="12"/>
      <c r="E307" s="12"/>
      <c r="F307" s="12"/>
      <c r="G307" s="18"/>
      <c r="H307" s="35"/>
      <c r="I307" s="35"/>
      <c r="J307" s="12"/>
      <c r="O307" s="12"/>
      <c r="P307" s="18"/>
      <c r="Q307" s="12"/>
      <c r="R307" s="12"/>
      <c r="S307" s="12"/>
      <c r="T307" s="36"/>
      <c r="U307" s="36"/>
      <c r="V307" s="12"/>
      <c r="W307" s="12"/>
      <c r="X307" s="12"/>
      <c r="Y307" s="12"/>
    </row>
    <row r="308" customFormat="false" ht="15.75" hidden="false" customHeight="false" outlineLevel="0" collapsed="false">
      <c r="A308" s="12"/>
      <c r="B308" s="34"/>
      <c r="C308" s="12"/>
      <c r="D308" s="12"/>
      <c r="E308" s="12"/>
      <c r="F308" s="12"/>
      <c r="G308" s="18"/>
      <c r="H308" s="35"/>
      <c r="I308" s="35"/>
      <c r="J308" s="12"/>
      <c r="O308" s="12"/>
      <c r="P308" s="18"/>
      <c r="Q308" s="12"/>
      <c r="R308" s="12"/>
      <c r="S308" s="12"/>
      <c r="T308" s="36"/>
      <c r="U308" s="36"/>
      <c r="V308" s="12"/>
      <c r="W308" s="12"/>
      <c r="X308" s="12"/>
      <c r="Y308" s="12"/>
    </row>
    <row r="309" customFormat="false" ht="15.75" hidden="false" customHeight="false" outlineLevel="0" collapsed="false">
      <c r="A309" s="12"/>
      <c r="B309" s="34"/>
      <c r="C309" s="12"/>
      <c r="D309" s="12"/>
      <c r="E309" s="12"/>
      <c r="F309" s="12"/>
      <c r="G309" s="18"/>
      <c r="H309" s="35"/>
      <c r="I309" s="35"/>
      <c r="J309" s="12"/>
      <c r="O309" s="12"/>
      <c r="P309" s="18"/>
      <c r="Q309" s="12"/>
      <c r="R309" s="12"/>
      <c r="S309" s="12"/>
      <c r="T309" s="36"/>
      <c r="U309" s="36"/>
      <c r="V309" s="12"/>
      <c r="W309" s="12"/>
      <c r="X309" s="12"/>
      <c r="Y309" s="12"/>
    </row>
    <row r="310" customFormat="false" ht="15.75" hidden="false" customHeight="false" outlineLevel="0" collapsed="false">
      <c r="A310" s="12"/>
      <c r="B310" s="34"/>
      <c r="C310" s="12"/>
      <c r="D310" s="12"/>
      <c r="E310" s="12"/>
      <c r="F310" s="12"/>
      <c r="G310" s="18"/>
      <c r="H310" s="35"/>
      <c r="I310" s="35"/>
      <c r="J310" s="12"/>
      <c r="O310" s="12"/>
      <c r="P310" s="18"/>
      <c r="Q310" s="12"/>
      <c r="R310" s="12"/>
      <c r="S310" s="12"/>
      <c r="T310" s="36"/>
      <c r="U310" s="36"/>
      <c r="V310" s="12"/>
      <c r="W310" s="12"/>
      <c r="X310" s="12"/>
      <c r="Y310" s="12"/>
    </row>
    <row r="311" customFormat="false" ht="15.75" hidden="false" customHeight="false" outlineLevel="0" collapsed="false">
      <c r="A311" s="12"/>
      <c r="B311" s="34"/>
      <c r="C311" s="12"/>
      <c r="D311" s="12"/>
      <c r="E311" s="12"/>
      <c r="F311" s="12"/>
      <c r="G311" s="18"/>
      <c r="H311" s="35"/>
      <c r="I311" s="35"/>
      <c r="J311" s="12"/>
      <c r="O311" s="12"/>
      <c r="P311" s="18"/>
      <c r="Q311" s="12"/>
      <c r="R311" s="12"/>
      <c r="S311" s="12"/>
      <c r="T311" s="36"/>
      <c r="U311" s="36"/>
      <c r="V311" s="12"/>
      <c r="W311" s="12"/>
      <c r="X311" s="12"/>
      <c r="Y311" s="12"/>
    </row>
    <row r="312" customFormat="false" ht="15.75" hidden="false" customHeight="false" outlineLevel="0" collapsed="false">
      <c r="A312" s="12"/>
      <c r="B312" s="34"/>
      <c r="C312" s="12"/>
      <c r="D312" s="12"/>
      <c r="E312" s="12"/>
      <c r="F312" s="12"/>
      <c r="G312" s="18"/>
      <c r="H312" s="35"/>
      <c r="I312" s="35"/>
      <c r="J312" s="12"/>
      <c r="O312" s="12"/>
      <c r="P312" s="18"/>
      <c r="Q312" s="12"/>
      <c r="R312" s="12"/>
      <c r="S312" s="12"/>
      <c r="T312" s="36"/>
      <c r="U312" s="36"/>
      <c r="V312" s="12"/>
      <c r="W312" s="12"/>
      <c r="X312" s="12"/>
      <c r="Y312" s="12"/>
    </row>
    <row r="313" customFormat="false" ht="15.75" hidden="false" customHeight="false" outlineLevel="0" collapsed="false">
      <c r="A313" s="12"/>
      <c r="B313" s="34"/>
      <c r="C313" s="12"/>
      <c r="D313" s="12"/>
      <c r="E313" s="12"/>
      <c r="F313" s="12"/>
      <c r="G313" s="18"/>
      <c r="H313" s="35"/>
      <c r="I313" s="35"/>
      <c r="J313" s="12"/>
      <c r="O313" s="12"/>
      <c r="P313" s="18"/>
      <c r="Q313" s="12"/>
      <c r="R313" s="12"/>
      <c r="S313" s="12"/>
      <c r="T313" s="36"/>
      <c r="U313" s="36"/>
      <c r="V313" s="12"/>
      <c r="W313" s="12"/>
      <c r="X313" s="12"/>
      <c r="Y313" s="12"/>
    </row>
    <row r="314" customFormat="false" ht="15.75" hidden="false" customHeight="false" outlineLevel="0" collapsed="false">
      <c r="A314" s="12"/>
      <c r="B314" s="34"/>
      <c r="C314" s="12"/>
      <c r="D314" s="12"/>
      <c r="E314" s="12"/>
      <c r="F314" s="12"/>
      <c r="G314" s="18"/>
      <c r="H314" s="35"/>
      <c r="I314" s="35"/>
      <c r="J314" s="12"/>
      <c r="O314" s="12"/>
      <c r="P314" s="18"/>
      <c r="Q314" s="12"/>
      <c r="R314" s="12"/>
      <c r="S314" s="12"/>
      <c r="T314" s="36"/>
      <c r="U314" s="36"/>
      <c r="V314" s="12"/>
      <c r="W314" s="12"/>
      <c r="X314" s="12"/>
      <c r="Y314" s="12"/>
    </row>
    <row r="315" customFormat="false" ht="15.75" hidden="false" customHeight="false" outlineLevel="0" collapsed="false">
      <c r="A315" s="12"/>
      <c r="B315" s="34"/>
      <c r="C315" s="12"/>
      <c r="D315" s="12"/>
      <c r="E315" s="12"/>
      <c r="F315" s="12"/>
      <c r="G315" s="18"/>
      <c r="H315" s="35"/>
      <c r="I315" s="35"/>
      <c r="J315" s="12"/>
      <c r="O315" s="12"/>
      <c r="P315" s="18"/>
      <c r="Q315" s="12"/>
      <c r="R315" s="12"/>
      <c r="S315" s="12"/>
      <c r="T315" s="36"/>
      <c r="U315" s="36"/>
      <c r="V315" s="12"/>
      <c r="W315" s="12"/>
      <c r="X315" s="12"/>
      <c r="Y315" s="12"/>
    </row>
    <row r="316" customFormat="false" ht="15.75" hidden="false" customHeight="false" outlineLevel="0" collapsed="false">
      <c r="A316" s="12"/>
      <c r="B316" s="34"/>
      <c r="C316" s="12"/>
      <c r="D316" s="12"/>
      <c r="E316" s="12"/>
      <c r="F316" s="12"/>
      <c r="G316" s="18"/>
      <c r="H316" s="35"/>
      <c r="I316" s="35"/>
      <c r="J316" s="12"/>
      <c r="O316" s="12"/>
      <c r="P316" s="18"/>
      <c r="Q316" s="12"/>
      <c r="R316" s="12"/>
      <c r="S316" s="12"/>
      <c r="T316" s="36"/>
      <c r="U316" s="36"/>
      <c r="V316" s="12"/>
      <c r="W316" s="12"/>
      <c r="X316" s="12"/>
      <c r="Y316" s="12"/>
    </row>
    <row r="317" customFormat="false" ht="15.75" hidden="false" customHeight="false" outlineLevel="0" collapsed="false">
      <c r="A317" s="12"/>
      <c r="B317" s="34"/>
      <c r="C317" s="12"/>
      <c r="D317" s="12"/>
      <c r="E317" s="12"/>
      <c r="F317" s="12"/>
      <c r="G317" s="18"/>
      <c r="H317" s="35"/>
      <c r="I317" s="35"/>
      <c r="J317" s="12"/>
      <c r="O317" s="12"/>
      <c r="P317" s="18"/>
      <c r="Q317" s="12"/>
      <c r="R317" s="12"/>
      <c r="S317" s="12"/>
      <c r="T317" s="36"/>
      <c r="U317" s="36"/>
      <c r="V317" s="12"/>
      <c r="W317" s="12"/>
      <c r="X317" s="12"/>
      <c r="Y317" s="12"/>
    </row>
    <row r="318" customFormat="false" ht="15.75" hidden="false" customHeight="false" outlineLevel="0" collapsed="false">
      <c r="A318" s="12"/>
      <c r="B318" s="34"/>
      <c r="C318" s="12"/>
      <c r="D318" s="12"/>
      <c r="E318" s="12"/>
      <c r="F318" s="12"/>
      <c r="G318" s="18"/>
      <c r="H318" s="35"/>
      <c r="I318" s="35"/>
      <c r="J318" s="12"/>
      <c r="O318" s="12"/>
      <c r="P318" s="18"/>
      <c r="Q318" s="12"/>
      <c r="R318" s="12"/>
      <c r="S318" s="12"/>
      <c r="T318" s="36"/>
      <c r="U318" s="36"/>
      <c r="V318" s="12"/>
      <c r="W318" s="12"/>
      <c r="X318" s="12"/>
      <c r="Y318" s="12"/>
    </row>
    <row r="319" customFormat="false" ht="15.75" hidden="false" customHeight="false" outlineLevel="0" collapsed="false">
      <c r="A319" s="12"/>
      <c r="B319" s="34"/>
      <c r="C319" s="12"/>
      <c r="D319" s="12"/>
      <c r="E319" s="12"/>
      <c r="F319" s="12"/>
      <c r="G319" s="18"/>
      <c r="H319" s="35"/>
      <c r="I319" s="35"/>
      <c r="J319" s="12"/>
      <c r="O319" s="12"/>
      <c r="P319" s="18"/>
      <c r="Q319" s="12"/>
      <c r="R319" s="12"/>
      <c r="S319" s="12"/>
      <c r="T319" s="36"/>
      <c r="U319" s="36"/>
      <c r="V319" s="12"/>
      <c r="W319" s="12"/>
      <c r="X319" s="12"/>
      <c r="Y319" s="12"/>
    </row>
    <row r="320" customFormat="false" ht="15.75" hidden="false" customHeight="false" outlineLevel="0" collapsed="false">
      <c r="A320" s="12"/>
      <c r="B320" s="34"/>
      <c r="C320" s="12"/>
      <c r="D320" s="12"/>
      <c r="E320" s="12"/>
      <c r="F320" s="12"/>
      <c r="G320" s="18"/>
      <c r="H320" s="35"/>
      <c r="I320" s="35"/>
      <c r="J320" s="12"/>
      <c r="O320" s="12"/>
      <c r="P320" s="18"/>
      <c r="Q320" s="12"/>
      <c r="R320" s="12"/>
      <c r="S320" s="12"/>
      <c r="T320" s="36"/>
      <c r="U320" s="36"/>
      <c r="V320" s="12"/>
      <c r="W320" s="12"/>
      <c r="X320" s="12"/>
      <c r="Y320" s="12"/>
    </row>
    <row r="321" customFormat="false" ht="15.75" hidden="false" customHeight="false" outlineLevel="0" collapsed="false">
      <c r="A321" s="12"/>
      <c r="B321" s="34"/>
      <c r="C321" s="12"/>
      <c r="D321" s="12"/>
      <c r="E321" s="12"/>
      <c r="F321" s="12"/>
      <c r="G321" s="18"/>
      <c r="H321" s="35"/>
      <c r="I321" s="35"/>
      <c r="J321" s="12"/>
      <c r="O321" s="12"/>
      <c r="P321" s="18"/>
      <c r="Q321" s="12"/>
      <c r="R321" s="12"/>
      <c r="S321" s="12"/>
      <c r="T321" s="36"/>
      <c r="U321" s="36"/>
      <c r="V321" s="12"/>
      <c r="W321" s="12"/>
      <c r="X321" s="12"/>
      <c r="Y321" s="12"/>
    </row>
    <row r="322" customFormat="false" ht="15.75" hidden="false" customHeight="false" outlineLevel="0" collapsed="false">
      <c r="A322" s="12"/>
      <c r="B322" s="34"/>
      <c r="C322" s="12"/>
      <c r="D322" s="12"/>
      <c r="E322" s="12"/>
      <c r="F322" s="12"/>
      <c r="G322" s="18"/>
      <c r="H322" s="35"/>
      <c r="I322" s="35"/>
      <c r="J322" s="12"/>
      <c r="O322" s="12"/>
      <c r="P322" s="18"/>
      <c r="Q322" s="12"/>
      <c r="R322" s="12"/>
      <c r="S322" s="12"/>
      <c r="T322" s="36"/>
      <c r="U322" s="36"/>
      <c r="V322" s="12"/>
      <c r="W322" s="12"/>
      <c r="X322" s="12"/>
      <c r="Y322" s="12"/>
    </row>
    <row r="323" customFormat="false" ht="15.75" hidden="false" customHeight="false" outlineLevel="0" collapsed="false">
      <c r="A323" s="12"/>
      <c r="B323" s="34"/>
      <c r="C323" s="12"/>
      <c r="D323" s="12"/>
      <c r="E323" s="12"/>
      <c r="F323" s="12"/>
      <c r="G323" s="18"/>
      <c r="H323" s="35"/>
      <c r="I323" s="35"/>
      <c r="J323" s="12"/>
      <c r="O323" s="12"/>
      <c r="P323" s="18"/>
      <c r="Q323" s="12"/>
      <c r="R323" s="12"/>
      <c r="S323" s="12"/>
      <c r="T323" s="36"/>
      <c r="U323" s="36"/>
      <c r="V323" s="12"/>
      <c r="W323" s="12"/>
      <c r="X323" s="12"/>
      <c r="Y323" s="12"/>
    </row>
    <row r="324" customFormat="false" ht="15.75" hidden="false" customHeight="false" outlineLevel="0" collapsed="false">
      <c r="A324" s="12"/>
      <c r="B324" s="34"/>
      <c r="C324" s="12"/>
      <c r="D324" s="12"/>
      <c r="E324" s="12"/>
      <c r="F324" s="12"/>
      <c r="G324" s="18"/>
      <c r="H324" s="35"/>
      <c r="I324" s="35"/>
      <c r="J324" s="12"/>
      <c r="O324" s="12"/>
      <c r="P324" s="18"/>
      <c r="Q324" s="12"/>
      <c r="R324" s="12"/>
      <c r="S324" s="12"/>
      <c r="T324" s="36"/>
      <c r="U324" s="36"/>
      <c r="V324" s="12"/>
      <c r="W324" s="12"/>
      <c r="X324" s="12"/>
      <c r="Y324" s="12"/>
    </row>
    <row r="325" customFormat="false" ht="15.75" hidden="false" customHeight="false" outlineLevel="0" collapsed="false">
      <c r="A325" s="12"/>
      <c r="B325" s="34"/>
      <c r="C325" s="12"/>
      <c r="D325" s="12"/>
      <c r="E325" s="12"/>
      <c r="F325" s="12"/>
      <c r="G325" s="18"/>
      <c r="H325" s="35"/>
      <c r="I325" s="35"/>
      <c r="J325" s="12"/>
      <c r="O325" s="12"/>
      <c r="P325" s="18"/>
      <c r="Q325" s="12"/>
      <c r="R325" s="12"/>
      <c r="S325" s="12"/>
      <c r="T325" s="36"/>
      <c r="U325" s="36"/>
      <c r="V325" s="12"/>
      <c r="W325" s="12"/>
      <c r="X325" s="12"/>
      <c r="Y325" s="12"/>
    </row>
    <row r="326" customFormat="false" ht="15.75" hidden="false" customHeight="false" outlineLevel="0" collapsed="false">
      <c r="A326" s="12"/>
      <c r="B326" s="34"/>
      <c r="C326" s="12"/>
      <c r="D326" s="12"/>
      <c r="E326" s="12"/>
      <c r="F326" s="12"/>
      <c r="G326" s="18"/>
      <c r="H326" s="35"/>
      <c r="I326" s="35"/>
      <c r="J326" s="12"/>
      <c r="O326" s="12"/>
      <c r="P326" s="18"/>
      <c r="Q326" s="12"/>
      <c r="R326" s="12"/>
      <c r="S326" s="12"/>
      <c r="T326" s="36"/>
      <c r="U326" s="36"/>
      <c r="V326" s="12"/>
      <c r="W326" s="12"/>
      <c r="X326" s="12"/>
      <c r="Y326" s="12"/>
    </row>
    <row r="327" customFormat="false" ht="15.75" hidden="false" customHeight="false" outlineLevel="0" collapsed="false">
      <c r="A327" s="12"/>
      <c r="B327" s="34"/>
      <c r="C327" s="12"/>
      <c r="D327" s="12"/>
      <c r="E327" s="12"/>
      <c r="F327" s="12"/>
      <c r="G327" s="18"/>
      <c r="H327" s="35"/>
      <c r="I327" s="35"/>
      <c r="J327" s="12"/>
      <c r="O327" s="12"/>
      <c r="P327" s="18"/>
      <c r="Q327" s="12"/>
      <c r="R327" s="12"/>
      <c r="S327" s="12"/>
      <c r="T327" s="36"/>
      <c r="U327" s="36"/>
      <c r="V327" s="12"/>
      <c r="W327" s="12"/>
      <c r="X327" s="12"/>
      <c r="Y327" s="12"/>
    </row>
    <row r="328" customFormat="false" ht="15.75" hidden="false" customHeight="false" outlineLevel="0" collapsed="false">
      <c r="A328" s="12"/>
      <c r="B328" s="34"/>
      <c r="C328" s="12"/>
      <c r="D328" s="12"/>
      <c r="E328" s="12"/>
      <c r="F328" s="12"/>
      <c r="G328" s="18"/>
      <c r="H328" s="35"/>
      <c r="I328" s="35"/>
      <c r="J328" s="12"/>
      <c r="O328" s="12"/>
      <c r="P328" s="18"/>
      <c r="Q328" s="12"/>
      <c r="R328" s="12"/>
      <c r="S328" s="12"/>
      <c r="T328" s="36"/>
      <c r="U328" s="36"/>
      <c r="V328" s="12"/>
      <c r="W328" s="12"/>
      <c r="X328" s="12"/>
      <c r="Y328" s="12"/>
    </row>
    <row r="329" customFormat="false" ht="15.75" hidden="false" customHeight="false" outlineLevel="0" collapsed="false">
      <c r="A329" s="12"/>
      <c r="B329" s="34"/>
      <c r="C329" s="12"/>
      <c r="D329" s="12"/>
      <c r="E329" s="12"/>
      <c r="F329" s="12"/>
      <c r="G329" s="18"/>
      <c r="H329" s="35"/>
      <c r="I329" s="35"/>
      <c r="J329" s="12"/>
      <c r="O329" s="12"/>
      <c r="P329" s="18"/>
      <c r="Q329" s="12"/>
      <c r="R329" s="12"/>
      <c r="S329" s="12"/>
      <c r="T329" s="36"/>
      <c r="U329" s="36"/>
      <c r="V329" s="12"/>
      <c r="W329" s="12"/>
      <c r="X329" s="12"/>
      <c r="Y329" s="12"/>
    </row>
    <row r="330" customFormat="false" ht="15.75" hidden="false" customHeight="false" outlineLevel="0" collapsed="false">
      <c r="A330" s="12"/>
      <c r="B330" s="34"/>
      <c r="C330" s="12"/>
      <c r="D330" s="12"/>
      <c r="E330" s="12"/>
      <c r="F330" s="12"/>
      <c r="G330" s="18"/>
      <c r="H330" s="35"/>
      <c r="I330" s="35"/>
      <c r="J330" s="12"/>
      <c r="O330" s="12"/>
      <c r="P330" s="18"/>
      <c r="Q330" s="12"/>
      <c r="R330" s="12"/>
      <c r="S330" s="12"/>
      <c r="T330" s="36"/>
      <c r="U330" s="36"/>
      <c r="V330" s="12"/>
      <c r="W330" s="12"/>
      <c r="X330" s="12"/>
      <c r="Y330" s="12"/>
    </row>
    <row r="331" customFormat="false" ht="15.75" hidden="false" customHeight="false" outlineLevel="0" collapsed="false">
      <c r="A331" s="12"/>
      <c r="B331" s="34"/>
      <c r="C331" s="12"/>
      <c r="D331" s="12"/>
      <c r="E331" s="12"/>
      <c r="F331" s="12"/>
      <c r="G331" s="18"/>
      <c r="H331" s="35"/>
      <c r="I331" s="35"/>
      <c r="J331" s="12"/>
      <c r="O331" s="12"/>
      <c r="P331" s="18"/>
      <c r="Q331" s="12"/>
      <c r="R331" s="12"/>
      <c r="S331" s="12"/>
      <c r="T331" s="36"/>
      <c r="U331" s="36"/>
      <c r="V331" s="12"/>
      <c r="W331" s="12"/>
      <c r="X331" s="12"/>
      <c r="Y331" s="12"/>
    </row>
    <row r="332" customFormat="false" ht="15.75" hidden="false" customHeight="false" outlineLevel="0" collapsed="false">
      <c r="A332" s="12"/>
      <c r="B332" s="34"/>
      <c r="C332" s="12"/>
      <c r="D332" s="12"/>
      <c r="E332" s="12"/>
      <c r="F332" s="12"/>
      <c r="G332" s="18"/>
      <c r="H332" s="35"/>
      <c r="I332" s="35"/>
      <c r="J332" s="12"/>
      <c r="O332" s="12"/>
      <c r="P332" s="18"/>
      <c r="Q332" s="12"/>
      <c r="R332" s="12"/>
      <c r="S332" s="12"/>
      <c r="T332" s="36"/>
      <c r="U332" s="36"/>
      <c r="V332" s="12"/>
      <c r="W332" s="12"/>
      <c r="X332" s="12"/>
      <c r="Y332" s="12"/>
    </row>
    <row r="333" customFormat="false" ht="15.75" hidden="false" customHeight="false" outlineLevel="0" collapsed="false">
      <c r="A333" s="12"/>
      <c r="B333" s="34"/>
      <c r="C333" s="12"/>
      <c r="D333" s="12"/>
      <c r="E333" s="12"/>
      <c r="F333" s="12"/>
      <c r="G333" s="18"/>
      <c r="H333" s="35"/>
      <c r="I333" s="35"/>
      <c r="J333" s="12"/>
      <c r="O333" s="12"/>
      <c r="P333" s="18"/>
      <c r="Q333" s="12"/>
      <c r="R333" s="12"/>
      <c r="S333" s="12"/>
      <c r="T333" s="36"/>
      <c r="U333" s="36"/>
      <c r="V333" s="12"/>
      <c r="W333" s="12"/>
      <c r="X333" s="12"/>
      <c r="Y333" s="12"/>
    </row>
    <row r="334" customFormat="false" ht="15.75" hidden="false" customHeight="false" outlineLevel="0" collapsed="false">
      <c r="A334" s="12"/>
      <c r="B334" s="34"/>
      <c r="C334" s="12"/>
      <c r="D334" s="12"/>
      <c r="E334" s="12"/>
      <c r="F334" s="12"/>
      <c r="G334" s="18"/>
      <c r="H334" s="35"/>
      <c r="I334" s="35"/>
      <c r="J334" s="12"/>
      <c r="O334" s="12"/>
      <c r="P334" s="18"/>
      <c r="Q334" s="12"/>
      <c r="R334" s="12"/>
      <c r="S334" s="12"/>
      <c r="T334" s="36"/>
      <c r="U334" s="36"/>
      <c r="V334" s="12"/>
      <c r="W334" s="12"/>
      <c r="X334" s="12"/>
      <c r="Y334" s="12"/>
    </row>
    <row r="335" customFormat="false" ht="15.75" hidden="false" customHeight="false" outlineLevel="0" collapsed="false">
      <c r="A335" s="12"/>
      <c r="B335" s="34"/>
      <c r="C335" s="12"/>
      <c r="D335" s="12"/>
      <c r="E335" s="12"/>
      <c r="F335" s="12"/>
      <c r="G335" s="18"/>
      <c r="H335" s="35"/>
      <c r="I335" s="35"/>
      <c r="J335" s="12"/>
      <c r="O335" s="12"/>
      <c r="P335" s="18"/>
      <c r="Q335" s="12"/>
      <c r="R335" s="12"/>
      <c r="S335" s="12"/>
      <c r="T335" s="36"/>
      <c r="U335" s="36"/>
      <c r="V335" s="12"/>
      <c r="W335" s="12"/>
      <c r="X335" s="12"/>
      <c r="Y335" s="12"/>
    </row>
    <row r="336" customFormat="false" ht="15.75" hidden="false" customHeight="false" outlineLevel="0" collapsed="false">
      <c r="A336" s="12"/>
      <c r="B336" s="34"/>
      <c r="C336" s="12"/>
      <c r="D336" s="12"/>
      <c r="E336" s="12"/>
      <c r="F336" s="12"/>
      <c r="G336" s="18"/>
      <c r="H336" s="35"/>
      <c r="I336" s="35"/>
      <c r="J336" s="12"/>
      <c r="O336" s="12"/>
      <c r="P336" s="18"/>
      <c r="Q336" s="12"/>
      <c r="R336" s="12"/>
      <c r="S336" s="12"/>
      <c r="T336" s="36"/>
      <c r="U336" s="36"/>
      <c r="V336" s="12"/>
      <c r="W336" s="12"/>
      <c r="X336" s="12"/>
      <c r="Y336" s="12"/>
    </row>
    <row r="337" customFormat="false" ht="15.75" hidden="false" customHeight="false" outlineLevel="0" collapsed="false">
      <c r="A337" s="12"/>
      <c r="B337" s="34"/>
      <c r="C337" s="12"/>
      <c r="D337" s="12"/>
      <c r="E337" s="12"/>
      <c r="F337" s="12"/>
      <c r="G337" s="18"/>
      <c r="H337" s="35"/>
      <c r="I337" s="35"/>
      <c r="J337" s="12"/>
      <c r="O337" s="12"/>
      <c r="P337" s="18"/>
      <c r="Q337" s="12"/>
      <c r="R337" s="12"/>
      <c r="S337" s="12"/>
      <c r="T337" s="36"/>
      <c r="U337" s="36"/>
      <c r="V337" s="12"/>
      <c r="W337" s="12"/>
      <c r="X337" s="12"/>
      <c r="Y337" s="12"/>
    </row>
    <row r="338" customFormat="false" ht="15.75" hidden="false" customHeight="false" outlineLevel="0" collapsed="false">
      <c r="A338" s="12"/>
      <c r="B338" s="34"/>
      <c r="C338" s="12"/>
      <c r="D338" s="12"/>
      <c r="E338" s="12"/>
      <c r="F338" s="12"/>
      <c r="G338" s="18"/>
      <c r="H338" s="35"/>
      <c r="I338" s="35"/>
      <c r="J338" s="12"/>
      <c r="O338" s="12"/>
      <c r="P338" s="18"/>
      <c r="Q338" s="12"/>
      <c r="R338" s="12"/>
      <c r="S338" s="12"/>
      <c r="T338" s="36"/>
      <c r="U338" s="36"/>
      <c r="V338" s="12"/>
      <c r="W338" s="12"/>
      <c r="X338" s="12"/>
      <c r="Y338" s="12"/>
    </row>
    <row r="339" customFormat="false" ht="15.75" hidden="false" customHeight="false" outlineLevel="0" collapsed="false">
      <c r="A339" s="12"/>
      <c r="B339" s="34"/>
      <c r="C339" s="12"/>
      <c r="D339" s="12"/>
      <c r="E339" s="12"/>
      <c r="F339" s="12"/>
      <c r="G339" s="18"/>
      <c r="H339" s="35"/>
      <c r="I339" s="35"/>
      <c r="J339" s="12"/>
      <c r="O339" s="12"/>
      <c r="P339" s="18"/>
      <c r="Q339" s="12"/>
      <c r="R339" s="12"/>
      <c r="S339" s="12"/>
      <c r="T339" s="36"/>
      <c r="U339" s="36"/>
      <c r="V339" s="12"/>
      <c r="W339" s="12"/>
      <c r="X339" s="12"/>
      <c r="Y339" s="12"/>
    </row>
    <row r="340" customFormat="false" ht="15.75" hidden="false" customHeight="false" outlineLevel="0" collapsed="false">
      <c r="A340" s="12"/>
      <c r="B340" s="34"/>
      <c r="C340" s="12"/>
      <c r="D340" s="12"/>
      <c r="E340" s="12"/>
      <c r="F340" s="12"/>
      <c r="G340" s="18"/>
      <c r="H340" s="35"/>
      <c r="I340" s="35"/>
      <c r="J340" s="12"/>
      <c r="O340" s="12"/>
      <c r="P340" s="18"/>
      <c r="Q340" s="12"/>
      <c r="R340" s="12"/>
      <c r="S340" s="12"/>
      <c r="T340" s="36"/>
      <c r="U340" s="36"/>
      <c r="V340" s="12"/>
      <c r="W340" s="12"/>
      <c r="X340" s="12"/>
      <c r="Y340" s="12"/>
    </row>
    <row r="341" customFormat="false" ht="15.75" hidden="false" customHeight="false" outlineLevel="0" collapsed="false">
      <c r="A341" s="12"/>
      <c r="B341" s="34"/>
      <c r="C341" s="12"/>
      <c r="D341" s="12"/>
      <c r="E341" s="12"/>
      <c r="F341" s="12"/>
      <c r="G341" s="18"/>
      <c r="H341" s="35"/>
      <c r="I341" s="35"/>
      <c r="J341" s="12"/>
      <c r="O341" s="12"/>
      <c r="P341" s="18"/>
      <c r="Q341" s="12"/>
      <c r="R341" s="12"/>
      <c r="S341" s="12"/>
      <c r="T341" s="36"/>
      <c r="U341" s="36"/>
      <c r="V341" s="12"/>
      <c r="W341" s="12"/>
      <c r="X341" s="12"/>
      <c r="Y341" s="12"/>
    </row>
    <row r="342" customFormat="false" ht="15.75" hidden="false" customHeight="false" outlineLevel="0" collapsed="false">
      <c r="A342" s="12"/>
      <c r="B342" s="34"/>
      <c r="C342" s="12"/>
      <c r="D342" s="12"/>
      <c r="E342" s="12"/>
      <c r="F342" s="12"/>
      <c r="G342" s="18"/>
      <c r="H342" s="35"/>
      <c r="I342" s="35"/>
      <c r="J342" s="12"/>
      <c r="O342" s="12"/>
      <c r="P342" s="18"/>
      <c r="Q342" s="12"/>
      <c r="R342" s="12"/>
      <c r="S342" s="12"/>
      <c r="T342" s="36"/>
      <c r="U342" s="36"/>
      <c r="V342" s="12"/>
      <c r="W342" s="12"/>
      <c r="X342" s="12"/>
      <c r="Y342" s="12"/>
    </row>
    <row r="343" customFormat="false" ht="15.75" hidden="false" customHeight="false" outlineLevel="0" collapsed="false">
      <c r="A343" s="12"/>
      <c r="B343" s="34"/>
      <c r="C343" s="12"/>
      <c r="D343" s="12"/>
      <c r="E343" s="12"/>
      <c r="F343" s="12"/>
      <c r="G343" s="18"/>
      <c r="H343" s="35"/>
      <c r="I343" s="35"/>
      <c r="J343" s="12"/>
      <c r="O343" s="12"/>
      <c r="P343" s="18"/>
      <c r="Q343" s="12"/>
      <c r="R343" s="12"/>
      <c r="S343" s="12"/>
      <c r="T343" s="36"/>
      <c r="U343" s="36"/>
      <c r="V343" s="12"/>
      <c r="W343" s="12"/>
      <c r="X343" s="12"/>
      <c r="Y343" s="12"/>
    </row>
    <row r="344" customFormat="false" ht="15.75" hidden="false" customHeight="false" outlineLevel="0" collapsed="false">
      <c r="A344" s="12"/>
      <c r="B344" s="34"/>
      <c r="C344" s="12"/>
      <c r="D344" s="12"/>
      <c r="E344" s="12"/>
      <c r="F344" s="12"/>
      <c r="G344" s="18"/>
      <c r="H344" s="35"/>
      <c r="I344" s="35"/>
      <c r="J344" s="12"/>
      <c r="O344" s="12"/>
      <c r="P344" s="18"/>
      <c r="Q344" s="12"/>
      <c r="R344" s="12"/>
      <c r="S344" s="12"/>
      <c r="T344" s="36"/>
      <c r="U344" s="36"/>
      <c r="V344" s="12"/>
      <c r="W344" s="12"/>
      <c r="X344" s="12"/>
      <c r="Y344" s="12"/>
    </row>
    <row r="345" customFormat="false" ht="15.75" hidden="false" customHeight="false" outlineLevel="0" collapsed="false">
      <c r="A345" s="12"/>
      <c r="B345" s="34"/>
      <c r="C345" s="12"/>
      <c r="D345" s="12"/>
      <c r="E345" s="12"/>
      <c r="F345" s="12"/>
      <c r="G345" s="18"/>
      <c r="H345" s="35"/>
      <c r="I345" s="35"/>
      <c r="J345" s="12"/>
      <c r="O345" s="12"/>
      <c r="P345" s="18"/>
      <c r="Q345" s="12"/>
      <c r="R345" s="12"/>
      <c r="S345" s="12"/>
      <c r="T345" s="36"/>
      <c r="U345" s="36"/>
      <c r="V345" s="12"/>
      <c r="W345" s="12"/>
      <c r="X345" s="12"/>
      <c r="Y345" s="12"/>
    </row>
    <row r="346" customFormat="false" ht="15.75" hidden="false" customHeight="false" outlineLevel="0" collapsed="false">
      <c r="A346" s="12"/>
      <c r="B346" s="34"/>
      <c r="C346" s="12"/>
      <c r="D346" s="12"/>
      <c r="E346" s="12"/>
      <c r="F346" s="12"/>
      <c r="G346" s="18"/>
      <c r="H346" s="35"/>
      <c r="I346" s="35"/>
      <c r="J346" s="12"/>
      <c r="O346" s="12"/>
      <c r="P346" s="18"/>
      <c r="Q346" s="12"/>
      <c r="R346" s="12"/>
      <c r="S346" s="12"/>
      <c r="T346" s="36"/>
      <c r="U346" s="36"/>
      <c r="V346" s="12"/>
      <c r="W346" s="12"/>
      <c r="X346" s="12"/>
      <c r="Y346" s="12"/>
    </row>
    <row r="347" customFormat="false" ht="15.75" hidden="false" customHeight="false" outlineLevel="0" collapsed="false">
      <c r="A347" s="12"/>
      <c r="B347" s="34"/>
      <c r="C347" s="12"/>
      <c r="D347" s="12"/>
      <c r="E347" s="12"/>
      <c r="F347" s="12"/>
      <c r="G347" s="18"/>
      <c r="H347" s="35"/>
      <c r="I347" s="35"/>
      <c r="J347" s="12"/>
      <c r="O347" s="12"/>
      <c r="P347" s="18"/>
      <c r="Q347" s="12"/>
      <c r="R347" s="12"/>
      <c r="S347" s="12"/>
      <c r="T347" s="36"/>
      <c r="U347" s="36"/>
      <c r="V347" s="12"/>
      <c r="W347" s="12"/>
      <c r="X347" s="12"/>
      <c r="Y347" s="12"/>
    </row>
    <row r="348" customFormat="false" ht="15.75" hidden="false" customHeight="false" outlineLevel="0" collapsed="false">
      <c r="A348" s="12"/>
      <c r="B348" s="34"/>
      <c r="C348" s="12"/>
      <c r="D348" s="12"/>
      <c r="E348" s="12"/>
      <c r="F348" s="12"/>
      <c r="G348" s="18"/>
      <c r="H348" s="35"/>
      <c r="I348" s="35"/>
      <c r="J348" s="12"/>
      <c r="O348" s="12"/>
      <c r="P348" s="18"/>
      <c r="Q348" s="12"/>
      <c r="R348" s="12"/>
      <c r="S348" s="12"/>
      <c r="T348" s="36"/>
      <c r="U348" s="36"/>
      <c r="V348" s="12"/>
      <c r="W348" s="12"/>
      <c r="X348" s="12"/>
      <c r="Y348" s="12"/>
    </row>
    <row r="349" customFormat="false" ht="15.75" hidden="false" customHeight="false" outlineLevel="0" collapsed="false">
      <c r="A349" s="12"/>
      <c r="B349" s="34"/>
      <c r="C349" s="12"/>
      <c r="D349" s="12"/>
      <c r="E349" s="12"/>
      <c r="F349" s="12"/>
      <c r="G349" s="18"/>
      <c r="H349" s="35"/>
      <c r="I349" s="35"/>
      <c r="J349" s="12"/>
      <c r="O349" s="12"/>
      <c r="P349" s="18"/>
      <c r="Q349" s="12"/>
      <c r="R349" s="12"/>
      <c r="S349" s="12"/>
      <c r="T349" s="36"/>
      <c r="U349" s="36"/>
      <c r="V349" s="12"/>
      <c r="W349" s="12"/>
      <c r="X349" s="12"/>
      <c r="Y349" s="12"/>
    </row>
    <row r="350" customFormat="false" ht="15.75" hidden="false" customHeight="false" outlineLevel="0" collapsed="false">
      <c r="A350" s="12"/>
      <c r="B350" s="34"/>
      <c r="C350" s="12"/>
      <c r="D350" s="12"/>
      <c r="E350" s="12"/>
      <c r="F350" s="12"/>
      <c r="G350" s="18"/>
      <c r="H350" s="35"/>
      <c r="I350" s="35"/>
      <c r="J350" s="12"/>
      <c r="O350" s="12"/>
      <c r="P350" s="18"/>
      <c r="Q350" s="12"/>
      <c r="R350" s="12"/>
      <c r="S350" s="12"/>
      <c r="T350" s="36"/>
      <c r="U350" s="36"/>
      <c r="V350" s="12"/>
      <c r="W350" s="12"/>
      <c r="X350" s="12"/>
      <c r="Y350" s="12"/>
    </row>
    <row r="351" customFormat="false" ht="15.75" hidden="false" customHeight="false" outlineLevel="0" collapsed="false">
      <c r="A351" s="12"/>
      <c r="B351" s="34"/>
      <c r="C351" s="12"/>
      <c r="D351" s="12"/>
      <c r="E351" s="12"/>
      <c r="F351" s="12"/>
      <c r="G351" s="18"/>
      <c r="H351" s="35"/>
      <c r="I351" s="35"/>
      <c r="J351" s="12"/>
      <c r="O351" s="12"/>
      <c r="P351" s="18"/>
      <c r="Q351" s="12"/>
      <c r="R351" s="12"/>
      <c r="S351" s="12"/>
      <c r="T351" s="36"/>
      <c r="U351" s="36"/>
      <c r="V351" s="12"/>
      <c r="W351" s="12"/>
      <c r="X351" s="12"/>
      <c r="Y351" s="12"/>
    </row>
    <row r="352" customFormat="false" ht="15.75" hidden="false" customHeight="false" outlineLevel="0" collapsed="false">
      <c r="A352" s="12"/>
      <c r="B352" s="34"/>
      <c r="C352" s="12"/>
      <c r="D352" s="12"/>
      <c r="E352" s="12"/>
      <c r="F352" s="12"/>
      <c r="G352" s="18"/>
      <c r="H352" s="35"/>
      <c r="I352" s="35"/>
      <c r="J352" s="12"/>
      <c r="O352" s="12"/>
      <c r="P352" s="18"/>
      <c r="Q352" s="12"/>
      <c r="R352" s="12"/>
      <c r="S352" s="12"/>
      <c r="T352" s="36"/>
      <c r="U352" s="36"/>
      <c r="V352" s="12"/>
      <c r="W352" s="12"/>
      <c r="X352" s="12"/>
      <c r="Y352" s="12"/>
    </row>
    <row r="353" customFormat="false" ht="15.75" hidden="false" customHeight="false" outlineLevel="0" collapsed="false">
      <c r="A353" s="12"/>
      <c r="B353" s="34"/>
      <c r="C353" s="12"/>
      <c r="D353" s="12"/>
      <c r="E353" s="12"/>
      <c r="F353" s="12"/>
      <c r="G353" s="18"/>
      <c r="H353" s="35"/>
      <c r="I353" s="35"/>
      <c r="J353" s="12"/>
      <c r="O353" s="12"/>
      <c r="P353" s="18"/>
      <c r="Q353" s="12"/>
      <c r="R353" s="12"/>
      <c r="S353" s="12"/>
      <c r="T353" s="36"/>
      <c r="U353" s="36"/>
      <c r="V353" s="12"/>
      <c r="W353" s="12"/>
      <c r="X353" s="12"/>
      <c r="Y353" s="12"/>
    </row>
    <row r="354" customFormat="false" ht="15.75" hidden="false" customHeight="false" outlineLevel="0" collapsed="false">
      <c r="A354" s="12"/>
      <c r="B354" s="34"/>
      <c r="C354" s="12"/>
      <c r="D354" s="12"/>
      <c r="E354" s="12"/>
      <c r="F354" s="12"/>
      <c r="G354" s="18"/>
      <c r="H354" s="35"/>
      <c r="I354" s="35"/>
      <c r="J354" s="12"/>
      <c r="O354" s="12"/>
      <c r="P354" s="18"/>
      <c r="Q354" s="12"/>
      <c r="R354" s="12"/>
      <c r="S354" s="12"/>
      <c r="T354" s="36"/>
      <c r="U354" s="36"/>
      <c r="V354" s="12"/>
      <c r="W354" s="12"/>
      <c r="X354" s="12"/>
      <c r="Y354" s="12"/>
    </row>
    <row r="355" customFormat="false" ht="15.75" hidden="false" customHeight="false" outlineLevel="0" collapsed="false">
      <c r="A355" s="12"/>
      <c r="B355" s="34"/>
      <c r="C355" s="12"/>
      <c r="D355" s="12"/>
      <c r="E355" s="12"/>
      <c r="F355" s="12"/>
      <c r="G355" s="18"/>
      <c r="H355" s="35"/>
      <c r="I355" s="35"/>
      <c r="J355" s="12"/>
      <c r="O355" s="12"/>
      <c r="P355" s="18"/>
      <c r="Q355" s="12"/>
      <c r="R355" s="12"/>
      <c r="S355" s="12"/>
      <c r="T355" s="36"/>
      <c r="U355" s="36"/>
      <c r="V355" s="12"/>
      <c r="W355" s="12"/>
      <c r="X355" s="12"/>
      <c r="Y355" s="12"/>
    </row>
    <row r="356" customFormat="false" ht="15.75" hidden="false" customHeight="false" outlineLevel="0" collapsed="false">
      <c r="A356" s="12"/>
      <c r="B356" s="34"/>
      <c r="C356" s="12"/>
      <c r="D356" s="12"/>
      <c r="E356" s="12"/>
      <c r="F356" s="12"/>
      <c r="G356" s="18"/>
      <c r="H356" s="35"/>
      <c r="I356" s="35"/>
      <c r="J356" s="12"/>
      <c r="O356" s="12"/>
      <c r="P356" s="18"/>
      <c r="Q356" s="12"/>
      <c r="R356" s="12"/>
      <c r="S356" s="12"/>
      <c r="T356" s="36"/>
      <c r="U356" s="36"/>
      <c r="V356" s="12"/>
      <c r="W356" s="12"/>
      <c r="X356" s="12"/>
      <c r="Y356" s="12"/>
    </row>
    <row r="357" customFormat="false" ht="15.75" hidden="false" customHeight="false" outlineLevel="0" collapsed="false">
      <c r="A357" s="12"/>
      <c r="B357" s="34"/>
      <c r="C357" s="12"/>
      <c r="D357" s="12"/>
      <c r="E357" s="12"/>
      <c r="F357" s="12"/>
      <c r="G357" s="18"/>
      <c r="H357" s="35"/>
      <c r="I357" s="35"/>
      <c r="J357" s="12"/>
      <c r="O357" s="12"/>
      <c r="P357" s="18"/>
      <c r="Q357" s="12"/>
      <c r="R357" s="12"/>
      <c r="S357" s="12"/>
      <c r="T357" s="36"/>
      <c r="U357" s="36"/>
      <c r="V357" s="12"/>
      <c r="W357" s="12"/>
      <c r="X357" s="12"/>
      <c r="Y357" s="12"/>
    </row>
    <row r="358" customFormat="false" ht="15.75" hidden="false" customHeight="false" outlineLevel="0" collapsed="false">
      <c r="A358" s="12"/>
      <c r="B358" s="34"/>
      <c r="C358" s="12"/>
      <c r="D358" s="12"/>
      <c r="E358" s="12"/>
      <c r="F358" s="12"/>
      <c r="G358" s="18"/>
      <c r="H358" s="35"/>
      <c r="I358" s="35"/>
      <c r="J358" s="12"/>
      <c r="O358" s="12"/>
      <c r="P358" s="18"/>
      <c r="Q358" s="12"/>
      <c r="R358" s="12"/>
      <c r="S358" s="12"/>
      <c r="T358" s="36"/>
      <c r="U358" s="36"/>
      <c r="V358" s="12"/>
      <c r="W358" s="12"/>
      <c r="X358" s="12"/>
      <c r="Y358" s="12"/>
    </row>
    <row r="359" customFormat="false" ht="15.75" hidden="false" customHeight="false" outlineLevel="0" collapsed="false">
      <c r="A359" s="12"/>
      <c r="B359" s="34"/>
      <c r="C359" s="12"/>
      <c r="D359" s="12"/>
      <c r="E359" s="12"/>
      <c r="F359" s="12"/>
      <c r="G359" s="18"/>
      <c r="H359" s="35"/>
      <c r="I359" s="35"/>
      <c r="J359" s="12"/>
      <c r="O359" s="12"/>
      <c r="P359" s="18"/>
      <c r="Q359" s="12"/>
      <c r="R359" s="12"/>
      <c r="S359" s="12"/>
      <c r="T359" s="36"/>
      <c r="U359" s="36"/>
      <c r="V359" s="12"/>
      <c r="W359" s="12"/>
      <c r="X359" s="12"/>
      <c r="Y359" s="12"/>
    </row>
    <row r="360" customFormat="false" ht="15.75" hidden="false" customHeight="false" outlineLevel="0" collapsed="false">
      <c r="A360" s="12"/>
      <c r="B360" s="34"/>
      <c r="C360" s="12"/>
      <c r="D360" s="12"/>
      <c r="E360" s="12"/>
      <c r="F360" s="12"/>
      <c r="G360" s="18"/>
      <c r="H360" s="35"/>
      <c r="I360" s="35"/>
      <c r="J360" s="12"/>
      <c r="O360" s="12"/>
      <c r="P360" s="18"/>
      <c r="Q360" s="12"/>
      <c r="R360" s="12"/>
      <c r="S360" s="12"/>
      <c r="T360" s="36"/>
      <c r="U360" s="36"/>
      <c r="V360" s="12"/>
      <c r="W360" s="12"/>
      <c r="X360" s="12"/>
      <c r="Y360" s="12"/>
    </row>
    <row r="361" customFormat="false" ht="15.75" hidden="false" customHeight="false" outlineLevel="0" collapsed="false">
      <c r="A361" s="12"/>
      <c r="B361" s="34"/>
      <c r="C361" s="12"/>
      <c r="D361" s="12"/>
      <c r="E361" s="12"/>
      <c r="F361" s="12"/>
      <c r="G361" s="18"/>
      <c r="H361" s="35"/>
      <c r="I361" s="35"/>
      <c r="J361" s="12"/>
      <c r="O361" s="12"/>
      <c r="P361" s="18"/>
      <c r="Q361" s="12"/>
      <c r="R361" s="12"/>
      <c r="S361" s="12"/>
      <c r="T361" s="36"/>
      <c r="U361" s="36"/>
      <c r="V361" s="12"/>
      <c r="W361" s="12"/>
      <c r="X361" s="12"/>
      <c r="Y361" s="12"/>
    </row>
    <row r="362" customFormat="false" ht="15.75" hidden="false" customHeight="false" outlineLevel="0" collapsed="false">
      <c r="A362" s="12"/>
      <c r="B362" s="34"/>
      <c r="C362" s="12"/>
      <c r="D362" s="12"/>
      <c r="E362" s="12"/>
      <c r="F362" s="12"/>
      <c r="G362" s="18"/>
      <c r="H362" s="35"/>
      <c r="I362" s="35"/>
      <c r="J362" s="12"/>
      <c r="O362" s="12"/>
      <c r="P362" s="18"/>
      <c r="Q362" s="12"/>
      <c r="R362" s="12"/>
      <c r="S362" s="12"/>
      <c r="T362" s="36"/>
      <c r="U362" s="36"/>
      <c r="V362" s="12"/>
      <c r="W362" s="12"/>
      <c r="X362" s="12"/>
      <c r="Y362" s="12"/>
    </row>
    <row r="363" customFormat="false" ht="15.75" hidden="false" customHeight="false" outlineLevel="0" collapsed="false">
      <c r="A363" s="12"/>
      <c r="B363" s="34"/>
      <c r="C363" s="12"/>
      <c r="D363" s="12"/>
      <c r="E363" s="12"/>
      <c r="F363" s="12"/>
      <c r="G363" s="18"/>
      <c r="H363" s="35"/>
      <c r="I363" s="35"/>
      <c r="J363" s="12"/>
      <c r="O363" s="12"/>
      <c r="P363" s="18"/>
      <c r="Q363" s="12"/>
      <c r="R363" s="12"/>
      <c r="S363" s="12"/>
      <c r="T363" s="36"/>
      <c r="U363" s="36"/>
      <c r="V363" s="12"/>
      <c r="W363" s="12"/>
      <c r="X363" s="12"/>
      <c r="Y363" s="12"/>
    </row>
    <row r="364" customFormat="false" ht="15.75" hidden="false" customHeight="false" outlineLevel="0" collapsed="false">
      <c r="A364" s="12"/>
      <c r="B364" s="34"/>
      <c r="C364" s="12"/>
      <c r="D364" s="12"/>
      <c r="E364" s="12"/>
      <c r="F364" s="12"/>
      <c r="G364" s="18"/>
      <c r="H364" s="35"/>
      <c r="I364" s="35"/>
      <c r="J364" s="12"/>
      <c r="O364" s="12"/>
      <c r="P364" s="18"/>
      <c r="Q364" s="12"/>
      <c r="R364" s="12"/>
      <c r="S364" s="12"/>
      <c r="T364" s="36"/>
      <c r="U364" s="36"/>
      <c r="V364" s="12"/>
      <c r="W364" s="12"/>
      <c r="X364" s="12"/>
      <c r="Y364" s="12"/>
    </row>
    <row r="365" customFormat="false" ht="15.75" hidden="false" customHeight="false" outlineLevel="0" collapsed="false">
      <c r="A365" s="12"/>
      <c r="B365" s="34"/>
      <c r="C365" s="12"/>
      <c r="D365" s="12"/>
      <c r="E365" s="12"/>
      <c r="F365" s="12"/>
      <c r="G365" s="18"/>
      <c r="H365" s="35"/>
      <c r="I365" s="35"/>
      <c r="J365" s="12"/>
      <c r="O365" s="12"/>
      <c r="P365" s="18"/>
      <c r="Q365" s="12"/>
      <c r="R365" s="12"/>
      <c r="S365" s="12"/>
      <c r="T365" s="36"/>
      <c r="U365" s="36"/>
      <c r="V365" s="12"/>
      <c r="W365" s="12"/>
      <c r="X365" s="12"/>
      <c r="Y365" s="12"/>
    </row>
    <row r="366" customFormat="false" ht="15.75" hidden="false" customHeight="false" outlineLevel="0" collapsed="false">
      <c r="A366" s="12"/>
      <c r="B366" s="34"/>
      <c r="C366" s="12"/>
      <c r="D366" s="12"/>
      <c r="E366" s="12"/>
      <c r="F366" s="12"/>
      <c r="G366" s="18"/>
      <c r="H366" s="35"/>
      <c r="I366" s="35"/>
      <c r="J366" s="12"/>
      <c r="O366" s="12"/>
      <c r="P366" s="18"/>
      <c r="Q366" s="12"/>
      <c r="R366" s="12"/>
      <c r="S366" s="12"/>
      <c r="T366" s="36"/>
      <c r="U366" s="36"/>
      <c r="V366" s="12"/>
      <c r="W366" s="12"/>
      <c r="X366" s="12"/>
      <c r="Y366" s="12"/>
    </row>
    <row r="367" customFormat="false" ht="15.75" hidden="false" customHeight="false" outlineLevel="0" collapsed="false">
      <c r="A367" s="12"/>
      <c r="B367" s="34"/>
      <c r="C367" s="12"/>
      <c r="D367" s="12"/>
      <c r="E367" s="12"/>
      <c r="F367" s="12"/>
      <c r="G367" s="18"/>
      <c r="H367" s="35"/>
      <c r="I367" s="35"/>
      <c r="J367" s="12"/>
      <c r="O367" s="12"/>
      <c r="P367" s="18"/>
      <c r="Q367" s="12"/>
      <c r="R367" s="12"/>
      <c r="S367" s="12"/>
      <c r="T367" s="36"/>
      <c r="U367" s="36"/>
      <c r="V367" s="12"/>
      <c r="W367" s="12"/>
      <c r="X367" s="12"/>
      <c r="Y367" s="12"/>
    </row>
    <row r="368" customFormat="false" ht="15.75" hidden="false" customHeight="false" outlineLevel="0" collapsed="false">
      <c r="A368" s="12"/>
      <c r="B368" s="34"/>
      <c r="C368" s="12"/>
      <c r="D368" s="12"/>
      <c r="E368" s="12"/>
      <c r="F368" s="12"/>
      <c r="G368" s="18"/>
      <c r="H368" s="35"/>
      <c r="I368" s="35"/>
      <c r="J368" s="12"/>
      <c r="O368" s="12"/>
      <c r="P368" s="18"/>
      <c r="Q368" s="12"/>
      <c r="R368" s="12"/>
      <c r="S368" s="12"/>
      <c r="T368" s="36"/>
      <c r="U368" s="36"/>
      <c r="V368" s="12"/>
      <c r="W368" s="12"/>
      <c r="X368" s="12"/>
      <c r="Y368" s="12"/>
    </row>
    <row r="369" customFormat="false" ht="15.75" hidden="false" customHeight="false" outlineLevel="0" collapsed="false">
      <c r="A369" s="12"/>
      <c r="B369" s="34"/>
      <c r="C369" s="12"/>
      <c r="D369" s="12"/>
      <c r="E369" s="12"/>
      <c r="F369" s="12"/>
      <c r="G369" s="18"/>
      <c r="H369" s="35"/>
      <c r="I369" s="35"/>
      <c r="J369" s="12"/>
      <c r="O369" s="12"/>
      <c r="P369" s="18"/>
      <c r="Q369" s="12"/>
      <c r="R369" s="12"/>
      <c r="S369" s="12"/>
      <c r="T369" s="36"/>
      <c r="U369" s="36"/>
      <c r="V369" s="12"/>
      <c r="W369" s="12"/>
      <c r="X369" s="12"/>
      <c r="Y369" s="12"/>
    </row>
    <row r="370" customFormat="false" ht="15.75" hidden="false" customHeight="false" outlineLevel="0" collapsed="false">
      <c r="A370" s="12"/>
      <c r="B370" s="34"/>
      <c r="C370" s="12"/>
      <c r="D370" s="12"/>
      <c r="E370" s="12"/>
      <c r="F370" s="12"/>
      <c r="G370" s="18"/>
      <c r="H370" s="35"/>
      <c r="I370" s="35"/>
      <c r="J370" s="12"/>
      <c r="O370" s="12"/>
      <c r="P370" s="18"/>
      <c r="Q370" s="12"/>
      <c r="R370" s="12"/>
      <c r="S370" s="12"/>
      <c r="T370" s="36"/>
      <c r="U370" s="36"/>
      <c r="V370" s="12"/>
      <c r="W370" s="12"/>
      <c r="X370" s="12"/>
      <c r="Y370" s="12"/>
    </row>
    <row r="371" customFormat="false" ht="15.75" hidden="false" customHeight="false" outlineLevel="0" collapsed="false">
      <c r="A371" s="12"/>
      <c r="B371" s="34"/>
      <c r="C371" s="12"/>
      <c r="D371" s="12"/>
      <c r="E371" s="12"/>
      <c r="F371" s="12"/>
      <c r="G371" s="18"/>
      <c r="H371" s="35"/>
      <c r="I371" s="35"/>
      <c r="J371" s="12"/>
      <c r="O371" s="12"/>
      <c r="P371" s="18"/>
      <c r="Q371" s="12"/>
      <c r="R371" s="12"/>
      <c r="S371" s="12"/>
      <c r="T371" s="36"/>
      <c r="U371" s="36"/>
      <c r="V371" s="12"/>
      <c r="W371" s="12"/>
      <c r="X371" s="12"/>
      <c r="Y371" s="12"/>
    </row>
    <row r="372" customFormat="false" ht="15.75" hidden="false" customHeight="false" outlineLevel="0" collapsed="false">
      <c r="A372" s="12"/>
      <c r="B372" s="34"/>
      <c r="C372" s="12"/>
      <c r="D372" s="12"/>
      <c r="E372" s="12"/>
      <c r="F372" s="12"/>
      <c r="G372" s="18"/>
      <c r="H372" s="35"/>
      <c r="I372" s="35"/>
      <c r="J372" s="12"/>
      <c r="O372" s="12"/>
      <c r="P372" s="18"/>
      <c r="Q372" s="12"/>
      <c r="R372" s="12"/>
      <c r="S372" s="12"/>
      <c r="T372" s="36"/>
      <c r="U372" s="36"/>
      <c r="V372" s="12"/>
      <c r="W372" s="12"/>
      <c r="X372" s="12"/>
      <c r="Y372" s="12"/>
    </row>
    <row r="373" customFormat="false" ht="15.75" hidden="false" customHeight="false" outlineLevel="0" collapsed="false">
      <c r="A373" s="12"/>
      <c r="B373" s="34"/>
      <c r="C373" s="12"/>
      <c r="D373" s="12"/>
      <c r="E373" s="12"/>
      <c r="F373" s="12"/>
      <c r="G373" s="18"/>
      <c r="H373" s="35"/>
      <c r="I373" s="35"/>
      <c r="J373" s="12"/>
      <c r="O373" s="12"/>
      <c r="P373" s="18"/>
      <c r="Q373" s="12"/>
      <c r="R373" s="12"/>
      <c r="S373" s="12"/>
      <c r="T373" s="36"/>
      <c r="U373" s="36"/>
      <c r="V373" s="12"/>
      <c r="W373" s="12"/>
      <c r="X373" s="12"/>
      <c r="Y373" s="12"/>
    </row>
    <row r="374" customFormat="false" ht="15.75" hidden="false" customHeight="false" outlineLevel="0" collapsed="false">
      <c r="A374" s="12"/>
      <c r="B374" s="34"/>
      <c r="C374" s="12"/>
      <c r="D374" s="12"/>
      <c r="E374" s="12"/>
      <c r="F374" s="12"/>
      <c r="G374" s="18"/>
      <c r="H374" s="35"/>
      <c r="I374" s="35"/>
      <c r="J374" s="12"/>
      <c r="O374" s="12"/>
      <c r="P374" s="18"/>
      <c r="Q374" s="12"/>
      <c r="R374" s="12"/>
      <c r="S374" s="12"/>
      <c r="T374" s="36"/>
      <c r="U374" s="36"/>
      <c r="V374" s="12"/>
      <c r="W374" s="12"/>
      <c r="X374" s="12"/>
      <c r="Y374" s="12"/>
    </row>
    <row r="375" customFormat="false" ht="15.75" hidden="false" customHeight="false" outlineLevel="0" collapsed="false">
      <c r="A375" s="12"/>
      <c r="B375" s="34"/>
      <c r="C375" s="12"/>
      <c r="D375" s="12"/>
      <c r="E375" s="12"/>
      <c r="F375" s="12"/>
      <c r="G375" s="18"/>
      <c r="H375" s="35"/>
      <c r="I375" s="35"/>
      <c r="J375" s="12"/>
      <c r="O375" s="12"/>
      <c r="P375" s="18"/>
      <c r="Q375" s="12"/>
      <c r="R375" s="12"/>
      <c r="S375" s="12"/>
      <c r="T375" s="36"/>
      <c r="U375" s="36"/>
      <c r="V375" s="12"/>
      <c r="W375" s="12"/>
      <c r="X375" s="12"/>
      <c r="Y375" s="12"/>
    </row>
    <row r="376" customFormat="false" ht="15.75" hidden="false" customHeight="false" outlineLevel="0" collapsed="false">
      <c r="A376" s="12"/>
      <c r="B376" s="34"/>
      <c r="C376" s="12"/>
      <c r="D376" s="12"/>
      <c r="E376" s="12"/>
      <c r="F376" s="12"/>
      <c r="G376" s="18"/>
      <c r="H376" s="35"/>
      <c r="I376" s="35"/>
      <c r="J376" s="12"/>
      <c r="O376" s="12"/>
      <c r="P376" s="18"/>
      <c r="Q376" s="12"/>
      <c r="R376" s="12"/>
      <c r="S376" s="12"/>
      <c r="T376" s="36"/>
      <c r="U376" s="36"/>
      <c r="V376" s="12"/>
      <c r="W376" s="12"/>
      <c r="X376" s="12"/>
      <c r="Y376" s="12"/>
    </row>
    <row r="377" customFormat="false" ht="15.75" hidden="false" customHeight="false" outlineLevel="0" collapsed="false">
      <c r="A377" s="12"/>
      <c r="B377" s="34"/>
      <c r="C377" s="12"/>
      <c r="D377" s="12"/>
      <c r="E377" s="12"/>
      <c r="F377" s="12"/>
      <c r="G377" s="18"/>
      <c r="H377" s="35"/>
      <c r="I377" s="35"/>
      <c r="J377" s="12"/>
      <c r="O377" s="12"/>
      <c r="P377" s="18"/>
      <c r="Q377" s="12"/>
      <c r="R377" s="12"/>
      <c r="S377" s="12"/>
      <c r="T377" s="36"/>
      <c r="U377" s="36"/>
      <c r="V377" s="12"/>
      <c r="W377" s="12"/>
      <c r="X377" s="12"/>
      <c r="Y377" s="12"/>
    </row>
    <row r="378" customFormat="false" ht="15.75" hidden="false" customHeight="false" outlineLevel="0" collapsed="false">
      <c r="A378" s="12"/>
      <c r="B378" s="34"/>
      <c r="C378" s="12"/>
      <c r="D378" s="12"/>
      <c r="E378" s="12"/>
      <c r="F378" s="12"/>
      <c r="G378" s="18"/>
      <c r="H378" s="35"/>
      <c r="I378" s="35"/>
      <c r="J378" s="12"/>
      <c r="O378" s="12"/>
      <c r="P378" s="18"/>
      <c r="Q378" s="12"/>
      <c r="R378" s="12"/>
      <c r="S378" s="12"/>
      <c r="T378" s="36"/>
      <c r="U378" s="36"/>
      <c r="V378" s="12"/>
      <c r="W378" s="12"/>
      <c r="X378" s="12"/>
      <c r="Y378" s="12"/>
    </row>
    <row r="379" customFormat="false" ht="15.75" hidden="false" customHeight="false" outlineLevel="0" collapsed="false">
      <c r="A379" s="12"/>
      <c r="B379" s="34"/>
      <c r="C379" s="12"/>
      <c r="D379" s="12"/>
      <c r="E379" s="12"/>
      <c r="F379" s="12"/>
      <c r="G379" s="18"/>
      <c r="H379" s="35"/>
      <c r="I379" s="35"/>
      <c r="J379" s="12"/>
      <c r="O379" s="12"/>
      <c r="P379" s="18"/>
      <c r="Q379" s="12"/>
      <c r="R379" s="12"/>
      <c r="S379" s="12"/>
      <c r="T379" s="36"/>
      <c r="U379" s="36"/>
      <c r="V379" s="12"/>
      <c r="W379" s="12"/>
      <c r="X379" s="12"/>
      <c r="Y379" s="12"/>
    </row>
    <row r="380" customFormat="false" ht="15.75" hidden="false" customHeight="false" outlineLevel="0" collapsed="false">
      <c r="A380" s="12"/>
      <c r="B380" s="34"/>
      <c r="C380" s="12"/>
      <c r="D380" s="12"/>
      <c r="E380" s="12"/>
      <c r="F380" s="12"/>
      <c r="G380" s="18"/>
      <c r="H380" s="35"/>
      <c r="I380" s="35"/>
      <c r="J380" s="12"/>
      <c r="O380" s="12"/>
      <c r="P380" s="18"/>
      <c r="Q380" s="12"/>
      <c r="R380" s="12"/>
      <c r="S380" s="12"/>
      <c r="T380" s="36"/>
      <c r="U380" s="36"/>
      <c r="V380" s="12"/>
      <c r="W380" s="12"/>
      <c r="X380" s="12"/>
      <c r="Y380" s="12"/>
    </row>
    <row r="381" customFormat="false" ht="15.75" hidden="false" customHeight="false" outlineLevel="0" collapsed="false">
      <c r="A381" s="12"/>
      <c r="B381" s="34"/>
      <c r="C381" s="12"/>
      <c r="D381" s="12"/>
      <c r="E381" s="12"/>
      <c r="F381" s="12"/>
      <c r="G381" s="18"/>
      <c r="H381" s="35"/>
      <c r="I381" s="35"/>
      <c r="J381" s="12"/>
      <c r="O381" s="12"/>
      <c r="P381" s="18"/>
      <c r="Q381" s="12"/>
      <c r="R381" s="12"/>
      <c r="S381" s="12"/>
      <c r="T381" s="36"/>
      <c r="U381" s="36"/>
      <c r="V381" s="12"/>
      <c r="W381" s="12"/>
      <c r="X381" s="12"/>
      <c r="Y381" s="12"/>
    </row>
    <row r="382" customFormat="false" ht="15.75" hidden="false" customHeight="false" outlineLevel="0" collapsed="false">
      <c r="A382" s="12"/>
      <c r="B382" s="34"/>
      <c r="C382" s="12"/>
      <c r="D382" s="12"/>
      <c r="E382" s="12"/>
      <c r="F382" s="12"/>
      <c r="G382" s="18"/>
      <c r="H382" s="35"/>
      <c r="I382" s="35"/>
      <c r="J382" s="12"/>
      <c r="O382" s="12"/>
      <c r="P382" s="18"/>
      <c r="Q382" s="12"/>
      <c r="R382" s="12"/>
      <c r="S382" s="12"/>
      <c r="T382" s="36"/>
      <c r="U382" s="36"/>
      <c r="V382" s="12"/>
      <c r="W382" s="12"/>
      <c r="X382" s="12"/>
      <c r="Y382" s="12"/>
    </row>
    <row r="383" customFormat="false" ht="15.75" hidden="false" customHeight="false" outlineLevel="0" collapsed="false">
      <c r="A383" s="12"/>
      <c r="B383" s="34"/>
      <c r="C383" s="12"/>
      <c r="D383" s="12"/>
      <c r="E383" s="12"/>
      <c r="F383" s="12"/>
      <c r="G383" s="18"/>
      <c r="H383" s="35"/>
      <c r="I383" s="35"/>
      <c r="J383" s="12"/>
      <c r="O383" s="12"/>
      <c r="P383" s="18"/>
      <c r="Q383" s="12"/>
      <c r="R383" s="12"/>
      <c r="S383" s="12"/>
      <c r="T383" s="36"/>
      <c r="U383" s="36"/>
      <c r="V383" s="12"/>
      <c r="W383" s="12"/>
      <c r="X383" s="12"/>
      <c r="Y383" s="12"/>
    </row>
    <row r="384" customFormat="false" ht="15.75" hidden="false" customHeight="false" outlineLevel="0" collapsed="false">
      <c r="A384" s="12"/>
      <c r="B384" s="34"/>
      <c r="C384" s="12"/>
      <c r="D384" s="12"/>
      <c r="E384" s="12"/>
      <c r="F384" s="12"/>
      <c r="G384" s="18"/>
      <c r="H384" s="35"/>
      <c r="I384" s="35"/>
      <c r="J384" s="12"/>
      <c r="O384" s="12"/>
      <c r="P384" s="18"/>
      <c r="Q384" s="12"/>
      <c r="R384" s="12"/>
      <c r="S384" s="12"/>
      <c r="T384" s="36"/>
      <c r="U384" s="36"/>
      <c r="V384" s="12"/>
      <c r="W384" s="12"/>
      <c r="X384" s="12"/>
      <c r="Y384" s="12"/>
    </row>
    <row r="385" customFormat="false" ht="15.75" hidden="false" customHeight="false" outlineLevel="0" collapsed="false">
      <c r="A385" s="12"/>
      <c r="B385" s="34"/>
      <c r="C385" s="12"/>
      <c r="D385" s="12"/>
      <c r="E385" s="12"/>
      <c r="F385" s="12"/>
      <c r="G385" s="18"/>
      <c r="H385" s="35"/>
      <c r="I385" s="35"/>
      <c r="J385" s="12"/>
      <c r="O385" s="12"/>
      <c r="P385" s="18"/>
      <c r="Q385" s="12"/>
      <c r="R385" s="12"/>
      <c r="S385" s="12"/>
      <c r="T385" s="36"/>
      <c r="U385" s="36"/>
      <c r="V385" s="12"/>
      <c r="W385" s="12"/>
      <c r="X385" s="12"/>
      <c r="Y385" s="12"/>
    </row>
    <row r="386" customFormat="false" ht="15.75" hidden="false" customHeight="false" outlineLevel="0" collapsed="false">
      <c r="A386" s="12"/>
      <c r="B386" s="34"/>
      <c r="C386" s="12"/>
      <c r="D386" s="12"/>
      <c r="E386" s="12"/>
      <c r="F386" s="12"/>
      <c r="G386" s="18"/>
      <c r="H386" s="35"/>
      <c r="I386" s="35"/>
      <c r="J386" s="12"/>
      <c r="O386" s="12"/>
      <c r="P386" s="18"/>
      <c r="Q386" s="12"/>
      <c r="R386" s="12"/>
      <c r="S386" s="12"/>
      <c r="T386" s="36"/>
      <c r="U386" s="36"/>
      <c r="V386" s="12"/>
      <c r="W386" s="12"/>
      <c r="X386" s="12"/>
      <c r="Y386" s="12"/>
    </row>
    <row r="387" customFormat="false" ht="15.75" hidden="false" customHeight="false" outlineLevel="0" collapsed="false">
      <c r="A387" s="12"/>
      <c r="B387" s="34"/>
      <c r="C387" s="12"/>
      <c r="D387" s="12"/>
      <c r="E387" s="12"/>
      <c r="F387" s="12"/>
      <c r="G387" s="18"/>
      <c r="H387" s="35"/>
      <c r="I387" s="35"/>
      <c r="J387" s="12"/>
      <c r="O387" s="12"/>
      <c r="P387" s="18"/>
      <c r="Q387" s="12"/>
      <c r="R387" s="12"/>
      <c r="S387" s="12"/>
      <c r="T387" s="36"/>
      <c r="U387" s="36"/>
      <c r="V387" s="12"/>
      <c r="W387" s="12"/>
      <c r="X387" s="12"/>
      <c r="Y387" s="12"/>
    </row>
    <row r="388" customFormat="false" ht="15.75" hidden="false" customHeight="false" outlineLevel="0" collapsed="false">
      <c r="A388" s="12"/>
      <c r="B388" s="34"/>
      <c r="C388" s="12"/>
      <c r="D388" s="12"/>
      <c r="E388" s="12"/>
      <c r="F388" s="12"/>
      <c r="G388" s="18"/>
      <c r="H388" s="35"/>
      <c r="I388" s="35"/>
      <c r="J388" s="12"/>
      <c r="O388" s="12"/>
      <c r="P388" s="18"/>
      <c r="Q388" s="12"/>
      <c r="R388" s="12"/>
      <c r="S388" s="12"/>
      <c r="T388" s="36"/>
      <c r="U388" s="36"/>
      <c r="V388" s="12"/>
      <c r="W388" s="12"/>
      <c r="X388" s="12"/>
      <c r="Y388" s="12"/>
    </row>
    <row r="389" customFormat="false" ht="15.75" hidden="false" customHeight="false" outlineLevel="0" collapsed="false">
      <c r="A389" s="12"/>
      <c r="B389" s="34"/>
      <c r="C389" s="12"/>
      <c r="D389" s="12"/>
      <c r="E389" s="12"/>
      <c r="F389" s="12"/>
      <c r="G389" s="18"/>
      <c r="H389" s="35"/>
      <c r="I389" s="35"/>
      <c r="J389" s="12"/>
      <c r="O389" s="12"/>
      <c r="P389" s="18"/>
      <c r="Q389" s="12"/>
      <c r="R389" s="12"/>
      <c r="S389" s="12"/>
      <c r="T389" s="36"/>
      <c r="U389" s="36"/>
      <c r="V389" s="12"/>
      <c r="W389" s="12"/>
      <c r="X389" s="12"/>
      <c r="Y389" s="12"/>
    </row>
    <row r="390" customFormat="false" ht="15.75" hidden="false" customHeight="false" outlineLevel="0" collapsed="false">
      <c r="A390" s="12"/>
      <c r="B390" s="34"/>
      <c r="C390" s="12"/>
      <c r="D390" s="12"/>
      <c r="E390" s="12"/>
      <c r="F390" s="12"/>
      <c r="G390" s="18"/>
      <c r="H390" s="35"/>
      <c r="I390" s="35"/>
      <c r="J390" s="12"/>
      <c r="O390" s="12"/>
      <c r="P390" s="18"/>
      <c r="Q390" s="12"/>
      <c r="R390" s="12"/>
      <c r="S390" s="12"/>
      <c r="T390" s="36"/>
      <c r="U390" s="36"/>
      <c r="V390" s="12"/>
      <c r="W390" s="12"/>
      <c r="X390" s="12"/>
      <c r="Y390" s="12"/>
    </row>
    <row r="391" customFormat="false" ht="15.75" hidden="false" customHeight="false" outlineLevel="0" collapsed="false">
      <c r="A391" s="12"/>
      <c r="B391" s="34"/>
      <c r="C391" s="12"/>
      <c r="D391" s="12"/>
      <c r="E391" s="12"/>
      <c r="F391" s="12"/>
      <c r="G391" s="18"/>
      <c r="H391" s="35"/>
      <c r="I391" s="35"/>
      <c r="J391" s="12"/>
      <c r="O391" s="12"/>
      <c r="P391" s="18"/>
      <c r="Q391" s="12"/>
      <c r="R391" s="12"/>
      <c r="S391" s="12"/>
      <c r="T391" s="36"/>
      <c r="U391" s="36"/>
      <c r="V391" s="12"/>
      <c r="W391" s="12"/>
      <c r="X391" s="12"/>
      <c r="Y391" s="12"/>
    </row>
    <row r="392" customFormat="false" ht="15.75" hidden="false" customHeight="false" outlineLevel="0" collapsed="false">
      <c r="A392" s="12"/>
      <c r="B392" s="34"/>
      <c r="C392" s="12"/>
      <c r="D392" s="12"/>
      <c r="E392" s="12"/>
      <c r="F392" s="12"/>
      <c r="G392" s="18"/>
      <c r="H392" s="35"/>
      <c r="I392" s="35"/>
      <c r="J392" s="12"/>
      <c r="O392" s="12"/>
      <c r="P392" s="18"/>
      <c r="Q392" s="12"/>
      <c r="R392" s="12"/>
      <c r="S392" s="12"/>
      <c r="T392" s="36"/>
      <c r="U392" s="36"/>
      <c r="V392" s="12"/>
      <c r="W392" s="12"/>
      <c r="X392" s="12"/>
      <c r="Y392" s="12"/>
    </row>
    <row r="393" customFormat="false" ht="15.75" hidden="false" customHeight="false" outlineLevel="0" collapsed="false">
      <c r="A393" s="12"/>
      <c r="B393" s="34"/>
      <c r="C393" s="12"/>
      <c r="D393" s="12"/>
      <c r="E393" s="12"/>
      <c r="F393" s="12"/>
      <c r="G393" s="18"/>
      <c r="H393" s="35"/>
      <c r="I393" s="35"/>
      <c r="J393" s="12"/>
      <c r="O393" s="12"/>
      <c r="P393" s="18"/>
      <c r="Q393" s="12"/>
      <c r="R393" s="12"/>
      <c r="S393" s="12"/>
      <c r="T393" s="36"/>
      <c r="U393" s="36"/>
      <c r="V393" s="12"/>
      <c r="W393" s="12"/>
      <c r="X393" s="12"/>
      <c r="Y393" s="12"/>
    </row>
    <row r="394" customFormat="false" ht="15.75" hidden="false" customHeight="false" outlineLevel="0" collapsed="false">
      <c r="A394" s="12"/>
      <c r="B394" s="34"/>
      <c r="C394" s="12"/>
      <c r="D394" s="12"/>
      <c r="E394" s="12"/>
      <c r="F394" s="12"/>
      <c r="G394" s="18"/>
      <c r="H394" s="35"/>
      <c r="I394" s="35"/>
      <c r="J394" s="12"/>
      <c r="O394" s="12"/>
      <c r="P394" s="18"/>
      <c r="Q394" s="12"/>
      <c r="R394" s="12"/>
      <c r="S394" s="12"/>
      <c r="T394" s="36"/>
      <c r="U394" s="36"/>
      <c r="V394" s="12"/>
      <c r="W394" s="12"/>
      <c r="X394" s="12"/>
      <c r="Y394" s="12"/>
    </row>
    <row r="395" customFormat="false" ht="15.75" hidden="false" customHeight="false" outlineLevel="0" collapsed="false">
      <c r="A395" s="12"/>
      <c r="B395" s="34"/>
      <c r="C395" s="12"/>
      <c r="D395" s="12"/>
      <c r="E395" s="12"/>
      <c r="F395" s="12"/>
      <c r="G395" s="18"/>
      <c r="H395" s="35"/>
      <c r="I395" s="35"/>
      <c r="J395" s="12"/>
      <c r="O395" s="12"/>
      <c r="P395" s="18"/>
      <c r="Q395" s="12"/>
      <c r="R395" s="12"/>
      <c r="S395" s="12"/>
      <c r="T395" s="36"/>
      <c r="U395" s="36"/>
      <c r="V395" s="12"/>
      <c r="W395" s="12"/>
      <c r="X395" s="12"/>
      <c r="Y395" s="12"/>
    </row>
    <row r="396" customFormat="false" ht="15.75" hidden="false" customHeight="false" outlineLevel="0" collapsed="false">
      <c r="A396" s="12"/>
      <c r="B396" s="34"/>
      <c r="C396" s="12"/>
      <c r="D396" s="12"/>
      <c r="E396" s="12"/>
      <c r="F396" s="12"/>
      <c r="G396" s="18"/>
      <c r="H396" s="35"/>
      <c r="I396" s="35"/>
      <c r="J396" s="12"/>
      <c r="O396" s="12"/>
      <c r="P396" s="18"/>
      <c r="Q396" s="12"/>
      <c r="R396" s="12"/>
      <c r="S396" s="12"/>
      <c r="T396" s="36"/>
      <c r="U396" s="36"/>
      <c r="V396" s="12"/>
      <c r="W396" s="12"/>
      <c r="X396" s="12"/>
      <c r="Y396" s="12"/>
    </row>
    <row r="397" customFormat="false" ht="15.75" hidden="false" customHeight="false" outlineLevel="0" collapsed="false">
      <c r="A397" s="12"/>
      <c r="B397" s="34"/>
      <c r="C397" s="12"/>
      <c r="D397" s="12"/>
      <c r="E397" s="12"/>
      <c r="F397" s="12"/>
      <c r="G397" s="18"/>
      <c r="H397" s="35"/>
      <c r="I397" s="35"/>
      <c r="J397" s="12"/>
      <c r="O397" s="12"/>
      <c r="P397" s="18"/>
      <c r="Q397" s="12"/>
      <c r="R397" s="12"/>
      <c r="S397" s="12"/>
      <c r="T397" s="36"/>
      <c r="U397" s="36"/>
      <c r="V397" s="12"/>
      <c r="W397" s="12"/>
      <c r="X397" s="12"/>
      <c r="Y397" s="12"/>
    </row>
    <row r="398" customFormat="false" ht="15.75" hidden="false" customHeight="false" outlineLevel="0" collapsed="false">
      <c r="A398" s="12"/>
      <c r="B398" s="34"/>
      <c r="C398" s="12"/>
      <c r="D398" s="12"/>
      <c r="E398" s="12"/>
      <c r="F398" s="12"/>
      <c r="G398" s="18"/>
      <c r="H398" s="35"/>
      <c r="I398" s="35"/>
      <c r="J398" s="12"/>
      <c r="O398" s="12"/>
      <c r="P398" s="18"/>
      <c r="Q398" s="12"/>
      <c r="R398" s="12"/>
      <c r="S398" s="12"/>
      <c r="T398" s="36"/>
      <c r="U398" s="36"/>
      <c r="V398" s="12"/>
      <c r="W398" s="12"/>
      <c r="X398" s="12"/>
      <c r="Y398" s="12"/>
    </row>
    <row r="399" customFormat="false" ht="15.75" hidden="false" customHeight="false" outlineLevel="0" collapsed="false">
      <c r="A399" s="12"/>
      <c r="B399" s="34"/>
      <c r="C399" s="12"/>
      <c r="D399" s="12"/>
      <c r="E399" s="12"/>
      <c r="F399" s="12"/>
      <c r="G399" s="18"/>
      <c r="H399" s="35"/>
      <c r="I399" s="35"/>
      <c r="J399" s="12"/>
      <c r="O399" s="12"/>
      <c r="P399" s="18"/>
      <c r="Q399" s="12"/>
      <c r="R399" s="12"/>
      <c r="S399" s="12"/>
      <c r="T399" s="36"/>
      <c r="U399" s="36"/>
      <c r="V399" s="12"/>
      <c r="W399" s="12"/>
      <c r="X399" s="12"/>
      <c r="Y399" s="12"/>
    </row>
    <row r="400" customFormat="false" ht="15.75" hidden="false" customHeight="false" outlineLevel="0" collapsed="false">
      <c r="A400" s="12"/>
      <c r="B400" s="34"/>
      <c r="C400" s="12"/>
      <c r="D400" s="12"/>
      <c r="E400" s="12"/>
      <c r="F400" s="12"/>
      <c r="G400" s="18"/>
      <c r="H400" s="35"/>
      <c r="I400" s="35"/>
      <c r="J400" s="12"/>
      <c r="O400" s="12"/>
      <c r="P400" s="18"/>
      <c r="Q400" s="12"/>
      <c r="R400" s="12"/>
      <c r="S400" s="12"/>
      <c r="T400" s="36"/>
      <c r="U400" s="36"/>
      <c r="V400" s="12"/>
      <c r="W400" s="12"/>
      <c r="X400" s="12"/>
      <c r="Y400" s="12"/>
    </row>
    <row r="401" customFormat="false" ht="15.75" hidden="false" customHeight="false" outlineLevel="0" collapsed="false">
      <c r="A401" s="12"/>
      <c r="B401" s="34"/>
      <c r="C401" s="12"/>
      <c r="D401" s="12"/>
      <c r="E401" s="12"/>
      <c r="F401" s="12"/>
      <c r="G401" s="18"/>
      <c r="H401" s="35"/>
      <c r="I401" s="35"/>
      <c r="J401" s="12"/>
      <c r="O401" s="12"/>
      <c r="P401" s="18"/>
      <c r="Q401" s="12"/>
      <c r="R401" s="12"/>
      <c r="S401" s="12"/>
      <c r="T401" s="36"/>
      <c r="U401" s="36"/>
      <c r="V401" s="12"/>
      <c r="W401" s="12"/>
      <c r="X401" s="12"/>
      <c r="Y401" s="12"/>
    </row>
    <row r="402" customFormat="false" ht="15.75" hidden="false" customHeight="false" outlineLevel="0" collapsed="false">
      <c r="A402" s="12"/>
      <c r="B402" s="34"/>
      <c r="C402" s="12"/>
      <c r="D402" s="12"/>
      <c r="E402" s="12"/>
      <c r="F402" s="12"/>
      <c r="G402" s="18"/>
      <c r="H402" s="35"/>
      <c r="I402" s="35"/>
      <c r="J402" s="12"/>
      <c r="O402" s="12"/>
      <c r="P402" s="18"/>
      <c r="Q402" s="12"/>
      <c r="R402" s="12"/>
      <c r="S402" s="12"/>
      <c r="T402" s="36"/>
      <c r="U402" s="36"/>
      <c r="V402" s="12"/>
      <c r="W402" s="12"/>
      <c r="X402" s="12"/>
      <c r="Y402" s="12"/>
    </row>
    <row r="403" customFormat="false" ht="15.75" hidden="false" customHeight="false" outlineLevel="0" collapsed="false">
      <c r="A403" s="12"/>
      <c r="B403" s="34"/>
      <c r="C403" s="12"/>
      <c r="D403" s="12"/>
      <c r="E403" s="12"/>
      <c r="F403" s="12"/>
      <c r="G403" s="18"/>
      <c r="H403" s="35"/>
      <c r="I403" s="35"/>
      <c r="J403" s="12"/>
      <c r="O403" s="12"/>
      <c r="P403" s="18"/>
      <c r="Q403" s="12"/>
      <c r="R403" s="12"/>
      <c r="S403" s="12"/>
      <c r="T403" s="36"/>
      <c r="U403" s="36"/>
      <c r="V403" s="12"/>
      <c r="W403" s="12"/>
      <c r="X403" s="12"/>
      <c r="Y403" s="12"/>
    </row>
    <row r="404" customFormat="false" ht="15.75" hidden="false" customHeight="false" outlineLevel="0" collapsed="false">
      <c r="A404" s="12"/>
      <c r="B404" s="34"/>
      <c r="C404" s="12"/>
      <c r="D404" s="12"/>
      <c r="E404" s="12"/>
      <c r="F404" s="12"/>
      <c r="G404" s="18"/>
      <c r="H404" s="35"/>
      <c r="I404" s="35"/>
      <c r="J404" s="12"/>
      <c r="O404" s="12"/>
      <c r="P404" s="18"/>
      <c r="Q404" s="12"/>
      <c r="R404" s="12"/>
      <c r="S404" s="12"/>
      <c r="T404" s="36"/>
      <c r="U404" s="36"/>
      <c r="V404" s="12"/>
      <c r="W404" s="12"/>
      <c r="X404" s="12"/>
      <c r="Y404" s="12"/>
    </row>
    <row r="405" customFormat="false" ht="15.75" hidden="false" customHeight="false" outlineLevel="0" collapsed="false">
      <c r="A405" s="12"/>
      <c r="B405" s="34"/>
      <c r="C405" s="12"/>
      <c r="D405" s="12"/>
      <c r="E405" s="12"/>
      <c r="F405" s="12"/>
      <c r="G405" s="18"/>
      <c r="H405" s="35"/>
      <c r="I405" s="35"/>
      <c r="J405" s="12"/>
      <c r="O405" s="12"/>
      <c r="P405" s="18"/>
      <c r="Q405" s="12"/>
      <c r="R405" s="12"/>
      <c r="S405" s="12"/>
      <c r="T405" s="36"/>
      <c r="U405" s="36"/>
      <c r="V405" s="12"/>
      <c r="W405" s="12"/>
      <c r="X405" s="12"/>
      <c r="Y405" s="12"/>
    </row>
    <row r="406" customFormat="false" ht="15.75" hidden="false" customHeight="false" outlineLevel="0" collapsed="false">
      <c r="A406" s="12"/>
      <c r="B406" s="34"/>
      <c r="C406" s="12"/>
      <c r="D406" s="12"/>
      <c r="E406" s="12"/>
      <c r="F406" s="12"/>
      <c r="G406" s="18"/>
      <c r="H406" s="35"/>
      <c r="I406" s="35"/>
      <c r="J406" s="12"/>
      <c r="O406" s="12"/>
      <c r="P406" s="18"/>
      <c r="Q406" s="12"/>
      <c r="R406" s="12"/>
      <c r="S406" s="12"/>
      <c r="T406" s="36"/>
      <c r="U406" s="36"/>
      <c r="V406" s="12"/>
      <c r="W406" s="12"/>
      <c r="X406" s="12"/>
      <c r="Y406" s="12"/>
    </row>
    <row r="407" customFormat="false" ht="15.75" hidden="false" customHeight="false" outlineLevel="0" collapsed="false">
      <c r="A407" s="12"/>
      <c r="B407" s="34"/>
      <c r="C407" s="12"/>
      <c r="D407" s="12"/>
      <c r="E407" s="12"/>
      <c r="F407" s="12"/>
      <c r="G407" s="18"/>
      <c r="H407" s="35"/>
      <c r="I407" s="35"/>
      <c r="J407" s="12"/>
      <c r="O407" s="12"/>
      <c r="P407" s="18"/>
      <c r="Q407" s="12"/>
      <c r="R407" s="12"/>
      <c r="S407" s="12"/>
      <c r="T407" s="36"/>
      <c r="U407" s="36"/>
      <c r="V407" s="12"/>
      <c r="W407" s="12"/>
      <c r="X407" s="12"/>
      <c r="Y407" s="12"/>
    </row>
    <row r="408" customFormat="false" ht="15.75" hidden="false" customHeight="false" outlineLevel="0" collapsed="false">
      <c r="A408" s="12"/>
      <c r="B408" s="34"/>
      <c r="C408" s="12"/>
      <c r="D408" s="12"/>
      <c r="E408" s="12"/>
      <c r="F408" s="12"/>
      <c r="G408" s="18"/>
      <c r="H408" s="35"/>
      <c r="I408" s="35"/>
      <c r="J408" s="12"/>
      <c r="O408" s="12"/>
      <c r="P408" s="18"/>
      <c r="Q408" s="12"/>
      <c r="R408" s="12"/>
      <c r="S408" s="12"/>
      <c r="T408" s="36"/>
      <c r="U408" s="36"/>
      <c r="V408" s="12"/>
      <c r="W408" s="12"/>
      <c r="X408" s="12"/>
      <c r="Y408" s="12"/>
    </row>
    <row r="409" customFormat="false" ht="15.75" hidden="false" customHeight="false" outlineLevel="0" collapsed="false">
      <c r="A409" s="12"/>
      <c r="B409" s="34"/>
      <c r="C409" s="12"/>
      <c r="D409" s="12"/>
      <c r="E409" s="12"/>
      <c r="F409" s="12"/>
      <c r="G409" s="18"/>
      <c r="H409" s="35"/>
      <c r="I409" s="35"/>
      <c r="J409" s="12"/>
      <c r="O409" s="12"/>
      <c r="P409" s="18"/>
      <c r="Q409" s="12"/>
      <c r="R409" s="12"/>
      <c r="S409" s="12"/>
      <c r="T409" s="36"/>
      <c r="U409" s="36"/>
      <c r="V409" s="12"/>
      <c r="W409" s="12"/>
      <c r="X409" s="12"/>
      <c r="Y409" s="12"/>
    </row>
    <row r="410" customFormat="false" ht="15.75" hidden="false" customHeight="false" outlineLevel="0" collapsed="false">
      <c r="A410" s="12"/>
      <c r="B410" s="34"/>
      <c r="C410" s="12"/>
      <c r="D410" s="12"/>
      <c r="E410" s="12"/>
      <c r="F410" s="12"/>
      <c r="G410" s="18"/>
      <c r="H410" s="35"/>
      <c r="I410" s="35"/>
      <c r="J410" s="12"/>
      <c r="O410" s="12"/>
      <c r="P410" s="18"/>
      <c r="Q410" s="12"/>
      <c r="R410" s="12"/>
      <c r="S410" s="12"/>
      <c r="T410" s="36"/>
      <c r="U410" s="36"/>
      <c r="V410" s="12"/>
      <c r="W410" s="12"/>
      <c r="X410" s="12"/>
      <c r="Y410" s="12"/>
    </row>
    <row r="411" customFormat="false" ht="15.75" hidden="false" customHeight="false" outlineLevel="0" collapsed="false">
      <c r="A411" s="12"/>
      <c r="B411" s="34"/>
      <c r="C411" s="12"/>
      <c r="D411" s="12"/>
      <c r="E411" s="12"/>
      <c r="F411" s="12"/>
      <c r="G411" s="18"/>
      <c r="H411" s="35"/>
      <c r="I411" s="35"/>
      <c r="J411" s="12"/>
      <c r="O411" s="12"/>
      <c r="P411" s="18"/>
      <c r="Q411" s="12"/>
      <c r="R411" s="12"/>
      <c r="S411" s="12"/>
      <c r="T411" s="36"/>
      <c r="U411" s="36"/>
      <c r="V411" s="12"/>
      <c r="W411" s="12"/>
      <c r="X411" s="12"/>
      <c r="Y411" s="12"/>
    </row>
    <row r="412" customFormat="false" ht="15.75" hidden="false" customHeight="false" outlineLevel="0" collapsed="false">
      <c r="A412" s="12"/>
      <c r="B412" s="34"/>
      <c r="C412" s="12"/>
      <c r="D412" s="12"/>
      <c r="E412" s="12"/>
      <c r="F412" s="12"/>
      <c r="G412" s="18"/>
      <c r="H412" s="35"/>
      <c r="I412" s="35"/>
      <c r="J412" s="12"/>
      <c r="O412" s="12"/>
      <c r="P412" s="18"/>
      <c r="Q412" s="12"/>
      <c r="R412" s="12"/>
      <c r="S412" s="12"/>
      <c r="T412" s="36"/>
      <c r="U412" s="36"/>
      <c r="V412" s="12"/>
      <c r="W412" s="12"/>
      <c r="X412" s="12"/>
      <c r="Y412" s="12"/>
    </row>
    <row r="413" customFormat="false" ht="15.75" hidden="false" customHeight="false" outlineLevel="0" collapsed="false">
      <c r="A413" s="12"/>
      <c r="B413" s="34"/>
      <c r="C413" s="12"/>
      <c r="D413" s="12"/>
      <c r="E413" s="12"/>
      <c r="F413" s="12"/>
      <c r="G413" s="18"/>
      <c r="H413" s="35"/>
      <c r="I413" s="35"/>
      <c r="J413" s="12"/>
      <c r="O413" s="12"/>
      <c r="P413" s="18"/>
      <c r="Q413" s="12"/>
      <c r="R413" s="12"/>
      <c r="S413" s="12"/>
      <c r="T413" s="36"/>
      <c r="U413" s="36"/>
      <c r="V413" s="12"/>
      <c r="W413" s="12"/>
      <c r="X413" s="12"/>
      <c r="Y413" s="12"/>
    </row>
    <row r="414" customFormat="false" ht="15.75" hidden="false" customHeight="false" outlineLevel="0" collapsed="false">
      <c r="A414" s="12"/>
      <c r="B414" s="34"/>
      <c r="C414" s="12"/>
      <c r="D414" s="12"/>
      <c r="E414" s="12"/>
      <c r="F414" s="12"/>
      <c r="G414" s="18"/>
      <c r="H414" s="35"/>
      <c r="I414" s="35"/>
      <c r="J414" s="12"/>
      <c r="O414" s="12"/>
      <c r="P414" s="18"/>
      <c r="Q414" s="12"/>
      <c r="R414" s="12"/>
      <c r="S414" s="12"/>
      <c r="T414" s="36"/>
      <c r="U414" s="36"/>
      <c r="V414" s="12"/>
      <c r="W414" s="12"/>
      <c r="X414" s="12"/>
      <c r="Y414" s="12"/>
    </row>
    <row r="415" customFormat="false" ht="15.75" hidden="false" customHeight="false" outlineLevel="0" collapsed="false">
      <c r="A415" s="12"/>
      <c r="B415" s="34"/>
      <c r="C415" s="12"/>
      <c r="D415" s="12"/>
      <c r="E415" s="12"/>
      <c r="F415" s="12"/>
      <c r="G415" s="18"/>
      <c r="H415" s="35"/>
      <c r="I415" s="35"/>
      <c r="J415" s="12"/>
      <c r="O415" s="12"/>
      <c r="P415" s="18"/>
      <c r="Q415" s="12"/>
      <c r="R415" s="12"/>
      <c r="S415" s="12"/>
      <c r="T415" s="36"/>
      <c r="U415" s="36"/>
      <c r="V415" s="12"/>
      <c r="W415" s="12"/>
      <c r="X415" s="12"/>
      <c r="Y415" s="12"/>
    </row>
    <row r="416" customFormat="false" ht="15.75" hidden="false" customHeight="false" outlineLevel="0" collapsed="false">
      <c r="A416" s="12"/>
      <c r="B416" s="34"/>
      <c r="C416" s="12"/>
      <c r="D416" s="12"/>
      <c r="E416" s="12"/>
      <c r="F416" s="12"/>
      <c r="G416" s="18"/>
      <c r="H416" s="35"/>
      <c r="I416" s="35"/>
      <c r="J416" s="12"/>
      <c r="O416" s="12"/>
      <c r="P416" s="18"/>
      <c r="Q416" s="12"/>
      <c r="R416" s="12"/>
      <c r="S416" s="12"/>
      <c r="T416" s="36"/>
      <c r="U416" s="36"/>
      <c r="V416" s="12"/>
      <c r="W416" s="12"/>
      <c r="X416" s="12"/>
      <c r="Y416" s="12"/>
    </row>
    <row r="417" customFormat="false" ht="15.75" hidden="false" customHeight="false" outlineLevel="0" collapsed="false">
      <c r="A417" s="12"/>
      <c r="B417" s="34"/>
      <c r="C417" s="12"/>
      <c r="D417" s="12"/>
      <c r="E417" s="12"/>
      <c r="F417" s="12"/>
      <c r="G417" s="18"/>
      <c r="H417" s="35"/>
      <c r="I417" s="35"/>
      <c r="J417" s="12"/>
      <c r="O417" s="12"/>
      <c r="P417" s="18"/>
      <c r="Q417" s="12"/>
      <c r="R417" s="12"/>
      <c r="S417" s="12"/>
      <c r="T417" s="36"/>
      <c r="U417" s="36"/>
      <c r="V417" s="12"/>
      <c r="W417" s="12"/>
      <c r="X417" s="12"/>
      <c r="Y417" s="12"/>
    </row>
    <row r="418" customFormat="false" ht="15.75" hidden="false" customHeight="false" outlineLevel="0" collapsed="false">
      <c r="A418" s="12"/>
      <c r="B418" s="34"/>
      <c r="C418" s="12"/>
      <c r="D418" s="12"/>
      <c r="E418" s="12"/>
      <c r="F418" s="12"/>
      <c r="G418" s="18"/>
      <c r="H418" s="35"/>
      <c r="I418" s="35"/>
      <c r="J418" s="12"/>
      <c r="O418" s="12"/>
      <c r="P418" s="18"/>
      <c r="Q418" s="12"/>
      <c r="R418" s="12"/>
      <c r="S418" s="12"/>
      <c r="T418" s="36"/>
      <c r="U418" s="36"/>
      <c r="V418" s="12"/>
      <c r="W418" s="12"/>
      <c r="X418" s="12"/>
      <c r="Y418" s="12"/>
    </row>
    <row r="419" customFormat="false" ht="15.75" hidden="false" customHeight="false" outlineLevel="0" collapsed="false">
      <c r="A419" s="12"/>
      <c r="B419" s="34"/>
      <c r="C419" s="12"/>
      <c r="D419" s="12"/>
      <c r="E419" s="12"/>
      <c r="F419" s="12"/>
      <c r="G419" s="18"/>
      <c r="H419" s="35"/>
      <c r="I419" s="35"/>
      <c r="J419" s="12"/>
      <c r="O419" s="12"/>
      <c r="P419" s="18"/>
      <c r="Q419" s="12"/>
      <c r="R419" s="12"/>
      <c r="S419" s="12"/>
      <c r="T419" s="36"/>
      <c r="U419" s="36"/>
      <c r="V419" s="12"/>
      <c r="W419" s="12"/>
      <c r="X419" s="12"/>
      <c r="Y419" s="12"/>
    </row>
    <row r="420" customFormat="false" ht="15.75" hidden="false" customHeight="false" outlineLevel="0" collapsed="false">
      <c r="A420" s="12"/>
      <c r="B420" s="34"/>
      <c r="C420" s="12"/>
      <c r="D420" s="12"/>
      <c r="E420" s="12"/>
      <c r="F420" s="12"/>
      <c r="G420" s="18"/>
      <c r="H420" s="35"/>
      <c r="I420" s="35"/>
      <c r="J420" s="12"/>
      <c r="O420" s="12"/>
      <c r="P420" s="18"/>
      <c r="Q420" s="12"/>
      <c r="R420" s="12"/>
      <c r="S420" s="12"/>
      <c r="T420" s="36"/>
      <c r="U420" s="36"/>
      <c r="V420" s="12"/>
      <c r="W420" s="12"/>
      <c r="X420" s="12"/>
      <c r="Y420" s="12"/>
    </row>
    <row r="421" customFormat="false" ht="15.75" hidden="false" customHeight="false" outlineLevel="0" collapsed="false">
      <c r="A421" s="12"/>
      <c r="B421" s="34"/>
      <c r="C421" s="12"/>
      <c r="D421" s="12"/>
      <c r="E421" s="12"/>
      <c r="F421" s="12"/>
      <c r="G421" s="18"/>
      <c r="H421" s="35"/>
      <c r="I421" s="35"/>
      <c r="J421" s="12"/>
      <c r="O421" s="12"/>
      <c r="P421" s="18"/>
      <c r="Q421" s="12"/>
      <c r="R421" s="12"/>
      <c r="S421" s="12"/>
      <c r="T421" s="36"/>
      <c r="U421" s="36"/>
      <c r="V421" s="12"/>
      <c r="W421" s="12"/>
      <c r="X421" s="12"/>
      <c r="Y421" s="12"/>
    </row>
    <row r="422" customFormat="false" ht="15.75" hidden="false" customHeight="false" outlineLevel="0" collapsed="false">
      <c r="A422" s="12"/>
      <c r="B422" s="34"/>
      <c r="C422" s="12"/>
      <c r="D422" s="12"/>
      <c r="E422" s="12"/>
      <c r="F422" s="12"/>
      <c r="G422" s="18"/>
      <c r="H422" s="35"/>
      <c r="I422" s="35"/>
      <c r="J422" s="12"/>
      <c r="O422" s="12"/>
      <c r="P422" s="18"/>
      <c r="Q422" s="12"/>
      <c r="R422" s="12"/>
      <c r="S422" s="12"/>
      <c r="T422" s="36"/>
      <c r="U422" s="36"/>
      <c r="V422" s="12"/>
      <c r="W422" s="12"/>
      <c r="X422" s="12"/>
      <c r="Y422" s="12"/>
    </row>
    <row r="423" customFormat="false" ht="15.75" hidden="false" customHeight="false" outlineLevel="0" collapsed="false">
      <c r="A423" s="12"/>
      <c r="B423" s="34"/>
      <c r="C423" s="12"/>
      <c r="D423" s="12"/>
      <c r="E423" s="12"/>
      <c r="F423" s="12"/>
      <c r="G423" s="18"/>
      <c r="H423" s="35"/>
      <c r="I423" s="35"/>
      <c r="J423" s="12"/>
      <c r="O423" s="12"/>
      <c r="P423" s="18"/>
      <c r="Q423" s="12"/>
      <c r="R423" s="12"/>
      <c r="S423" s="12"/>
      <c r="T423" s="36"/>
      <c r="U423" s="36"/>
      <c r="V423" s="12"/>
      <c r="W423" s="12"/>
      <c r="X423" s="12"/>
      <c r="Y423" s="12"/>
    </row>
    <row r="424" customFormat="false" ht="15.75" hidden="false" customHeight="false" outlineLevel="0" collapsed="false">
      <c r="A424" s="12"/>
      <c r="B424" s="34"/>
      <c r="C424" s="12"/>
      <c r="D424" s="12"/>
      <c r="E424" s="12"/>
      <c r="F424" s="12"/>
      <c r="G424" s="18"/>
      <c r="H424" s="35"/>
      <c r="I424" s="35"/>
      <c r="J424" s="12"/>
      <c r="O424" s="12"/>
      <c r="P424" s="18"/>
      <c r="Q424" s="12"/>
      <c r="R424" s="12"/>
      <c r="S424" s="12"/>
      <c r="T424" s="36"/>
      <c r="U424" s="36"/>
      <c r="V424" s="12"/>
      <c r="W424" s="12"/>
      <c r="X424" s="12"/>
      <c r="Y424" s="12"/>
    </row>
    <row r="425" customFormat="false" ht="15.75" hidden="false" customHeight="false" outlineLevel="0" collapsed="false">
      <c r="A425" s="12"/>
      <c r="B425" s="34"/>
      <c r="C425" s="12"/>
      <c r="D425" s="12"/>
      <c r="E425" s="12"/>
      <c r="F425" s="12"/>
      <c r="G425" s="18"/>
      <c r="H425" s="35"/>
      <c r="I425" s="35"/>
      <c r="J425" s="12"/>
      <c r="O425" s="12"/>
      <c r="P425" s="18"/>
      <c r="Q425" s="12"/>
      <c r="R425" s="12"/>
      <c r="S425" s="12"/>
      <c r="T425" s="36"/>
      <c r="U425" s="36"/>
      <c r="V425" s="12"/>
      <c r="W425" s="12"/>
      <c r="X425" s="12"/>
      <c r="Y425" s="12"/>
    </row>
    <row r="426" customFormat="false" ht="15.75" hidden="false" customHeight="false" outlineLevel="0" collapsed="false">
      <c r="A426" s="12"/>
      <c r="B426" s="34"/>
      <c r="C426" s="12"/>
      <c r="D426" s="12"/>
      <c r="E426" s="12"/>
      <c r="F426" s="12"/>
      <c r="G426" s="18"/>
      <c r="H426" s="35"/>
      <c r="I426" s="35"/>
      <c r="J426" s="12"/>
      <c r="O426" s="12"/>
      <c r="P426" s="18"/>
      <c r="Q426" s="12"/>
      <c r="R426" s="12"/>
      <c r="S426" s="12"/>
      <c r="T426" s="36"/>
      <c r="U426" s="36"/>
      <c r="V426" s="12"/>
      <c r="W426" s="12"/>
      <c r="X426" s="12"/>
      <c r="Y426" s="12"/>
    </row>
    <row r="427" customFormat="false" ht="15.75" hidden="false" customHeight="false" outlineLevel="0" collapsed="false">
      <c r="A427" s="12"/>
      <c r="B427" s="34"/>
      <c r="C427" s="12"/>
      <c r="D427" s="12"/>
      <c r="E427" s="12"/>
      <c r="F427" s="12"/>
      <c r="G427" s="18"/>
      <c r="H427" s="35"/>
      <c r="I427" s="35"/>
      <c r="J427" s="12"/>
      <c r="O427" s="12"/>
      <c r="P427" s="18"/>
      <c r="Q427" s="12"/>
      <c r="R427" s="12"/>
      <c r="S427" s="12"/>
      <c r="T427" s="36"/>
      <c r="U427" s="36"/>
      <c r="V427" s="12"/>
      <c r="W427" s="12"/>
      <c r="X427" s="12"/>
      <c r="Y427" s="12"/>
    </row>
    <row r="428" customFormat="false" ht="15.75" hidden="false" customHeight="false" outlineLevel="0" collapsed="false">
      <c r="A428" s="12"/>
      <c r="B428" s="34"/>
      <c r="C428" s="12"/>
      <c r="D428" s="12"/>
      <c r="E428" s="12"/>
      <c r="F428" s="12"/>
      <c r="G428" s="18"/>
      <c r="H428" s="35"/>
      <c r="I428" s="35"/>
      <c r="J428" s="12"/>
      <c r="O428" s="12"/>
      <c r="P428" s="18"/>
      <c r="Q428" s="12"/>
      <c r="R428" s="12"/>
      <c r="S428" s="12"/>
      <c r="T428" s="36"/>
      <c r="U428" s="36"/>
      <c r="V428" s="12"/>
      <c r="W428" s="12"/>
      <c r="X428" s="12"/>
      <c r="Y428" s="12"/>
    </row>
    <row r="429" customFormat="false" ht="15.75" hidden="false" customHeight="false" outlineLevel="0" collapsed="false">
      <c r="A429" s="12"/>
      <c r="B429" s="34"/>
      <c r="C429" s="12"/>
      <c r="D429" s="12"/>
      <c r="E429" s="12"/>
      <c r="F429" s="12"/>
      <c r="G429" s="18"/>
      <c r="H429" s="35"/>
      <c r="I429" s="35"/>
      <c r="J429" s="12"/>
      <c r="O429" s="12"/>
      <c r="P429" s="18"/>
      <c r="Q429" s="12"/>
      <c r="R429" s="12"/>
      <c r="S429" s="12"/>
      <c r="T429" s="36"/>
      <c r="U429" s="36"/>
      <c r="V429" s="12"/>
      <c r="W429" s="12"/>
      <c r="X429" s="12"/>
      <c r="Y429" s="12"/>
    </row>
    <row r="430" customFormat="false" ht="15.75" hidden="false" customHeight="false" outlineLevel="0" collapsed="false">
      <c r="A430" s="12"/>
      <c r="B430" s="34"/>
      <c r="C430" s="12"/>
      <c r="D430" s="12"/>
      <c r="E430" s="12"/>
      <c r="F430" s="12"/>
      <c r="G430" s="18"/>
      <c r="H430" s="35"/>
      <c r="I430" s="35"/>
      <c r="J430" s="12"/>
      <c r="O430" s="12"/>
      <c r="P430" s="18"/>
      <c r="Q430" s="12"/>
      <c r="R430" s="12"/>
      <c r="S430" s="12"/>
      <c r="T430" s="36"/>
      <c r="U430" s="36"/>
      <c r="V430" s="12"/>
      <c r="W430" s="12"/>
      <c r="X430" s="12"/>
      <c r="Y430" s="12"/>
    </row>
    <row r="431" customFormat="false" ht="15.75" hidden="false" customHeight="false" outlineLevel="0" collapsed="false">
      <c r="A431" s="12"/>
      <c r="B431" s="34"/>
      <c r="C431" s="12"/>
      <c r="D431" s="12"/>
      <c r="E431" s="12"/>
      <c r="F431" s="12"/>
      <c r="G431" s="18"/>
      <c r="H431" s="35"/>
      <c r="I431" s="35"/>
      <c r="J431" s="12"/>
      <c r="O431" s="12"/>
      <c r="P431" s="18"/>
      <c r="Q431" s="12"/>
      <c r="R431" s="12"/>
      <c r="S431" s="12"/>
      <c r="T431" s="36"/>
      <c r="U431" s="36"/>
      <c r="V431" s="12"/>
      <c r="W431" s="12"/>
      <c r="X431" s="12"/>
      <c r="Y431" s="12"/>
    </row>
    <row r="432" customFormat="false" ht="15.75" hidden="false" customHeight="false" outlineLevel="0" collapsed="false">
      <c r="A432" s="12"/>
      <c r="B432" s="34"/>
      <c r="C432" s="12"/>
      <c r="D432" s="12"/>
      <c r="E432" s="12"/>
      <c r="F432" s="12"/>
      <c r="G432" s="18"/>
      <c r="H432" s="35"/>
      <c r="I432" s="35"/>
      <c r="J432" s="12"/>
      <c r="O432" s="12"/>
      <c r="P432" s="18"/>
      <c r="Q432" s="12"/>
      <c r="R432" s="12"/>
      <c r="S432" s="12"/>
      <c r="T432" s="36"/>
      <c r="U432" s="36"/>
      <c r="V432" s="12"/>
      <c r="W432" s="12"/>
      <c r="X432" s="12"/>
      <c r="Y432" s="12"/>
    </row>
    <row r="433" customFormat="false" ht="15.75" hidden="false" customHeight="false" outlineLevel="0" collapsed="false">
      <c r="A433" s="12"/>
      <c r="B433" s="34"/>
      <c r="C433" s="12"/>
      <c r="D433" s="12"/>
      <c r="E433" s="12"/>
      <c r="F433" s="12"/>
      <c r="G433" s="18"/>
      <c r="H433" s="35"/>
      <c r="I433" s="35"/>
      <c r="J433" s="12"/>
      <c r="O433" s="12"/>
      <c r="P433" s="18"/>
      <c r="Q433" s="12"/>
      <c r="R433" s="12"/>
      <c r="S433" s="12"/>
      <c r="T433" s="36"/>
      <c r="U433" s="36"/>
      <c r="V433" s="12"/>
      <c r="W433" s="12"/>
      <c r="X433" s="12"/>
      <c r="Y433" s="12"/>
    </row>
    <row r="434" customFormat="false" ht="15.75" hidden="false" customHeight="false" outlineLevel="0" collapsed="false">
      <c r="A434" s="12"/>
      <c r="B434" s="34"/>
      <c r="C434" s="12"/>
      <c r="D434" s="12"/>
      <c r="E434" s="12"/>
      <c r="F434" s="12"/>
      <c r="G434" s="18"/>
      <c r="H434" s="35"/>
      <c r="I434" s="35"/>
      <c r="J434" s="12"/>
      <c r="O434" s="12"/>
      <c r="P434" s="18"/>
      <c r="Q434" s="12"/>
      <c r="R434" s="12"/>
      <c r="S434" s="12"/>
      <c r="T434" s="36"/>
      <c r="U434" s="36"/>
      <c r="V434" s="12"/>
      <c r="W434" s="12"/>
      <c r="X434" s="12"/>
      <c r="Y434" s="12"/>
    </row>
    <row r="435" customFormat="false" ht="15.75" hidden="false" customHeight="false" outlineLevel="0" collapsed="false">
      <c r="A435" s="12"/>
      <c r="B435" s="34"/>
      <c r="C435" s="12"/>
      <c r="D435" s="12"/>
      <c r="E435" s="12"/>
      <c r="F435" s="12"/>
      <c r="G435" s="18"/>
      <c r="H435" s="35"/>
      <c r="I435" s="35"/>
      <c r="J435" s="12"/>
      <c r="O435" s="12"/>
      <c r="P435" s="18"/>
      <c r="Q435" s="12"/>
      <c r="R435" s="12"/>
      <c r="S435" s="12"/>
      <c r="T435" s="36"/>
      <c r="U435" s="36"/>
      <c r="V435" s="12"/>
      <c r="W435" s="12"/>
      <c r="X435" s="12"/>
      <c r="Y435" s="12"/>
    </row>
    <row r="436" customFormat="false" ht="15.75" hidden="false" customHeight="false" outlineLevel="0" collapsed="false">
      <c r="A436" s="12"/>
      <c r="B436" s="34"/>
      <c r="C436" s="12"/>
      <c r="D436" s="12"/>
      <c r="E436" s="12"/>
      <c r="F436" s="12"/>
      <c r="G436" s="18"/>
      <c r="H436" s="35"/>
      <c r="I436" s="35"/>
      <c r="J436" s="12"/>
      <c r="O436" s="12"/>
      <c r="P436" s="18"/>
      <c r="Q436" s="12"/>
      <c r="R436" s="12"/>
      <c r="S436" s="12"/>
      <c r="T436" s="36"/>
      <c r="U436" s="36"/>
      <c r="V436" s="12"/>
      <c r="W436" s="12"/>
      <c r="X436" s="12"/>
      <c r="Y436" s="12"/>
    </row>
    <row r="437" customFormat="false" ht="15.75" hidden="false" customHeight="false" outlineLevel="0" collapsed="false">
      <c r="A437" s="12"/>
      <c r="B437" s="34"/>
      <c r="C437" s="12"/>
      <c r="D437" s="12"/>
      <c r="E437" s="12"/>
      <c r="F437" s="12"/>
      <c r="G437" s="18"/>
      <c r="H437" s="35"/>
      <c r="I437" s="35"/>
      <c r="J437" s="12"/>
      <c r="O437" s="12"/>
      <c r="P437" s="18"/>
      <c r="Q437" s="12"/>
      <c r="R437" s="12"/>
      <c r="S437" s="12"/>
      <c r="T437" s="36"/>
      <c r="U437" s="36"/>
      <c r="V437" s="12"/>
      <c r="W437" s="12"/>
      <c r="X437" s="12"/>
      <c r="Y437" s="12"/>
    </row>
    <row r="438" customFormat="false" ht="15.75" hidden="false" customHeight="false" outlineLevel="0" collapsed="false">
      <c r="A438" s="12"/>
      <c r="B438" s="34"/>
      <c r="C438" s="12"/>
      <c r="D438" s="12"/>
      <c r="E438" s="12"/>
      <c r="F438" s="12"/>
      <c r="G438" s="18"/>
      <c r="H438" s="35"/>
      <c r="I438" s="35"/>
      <c r="J438" s="12"/>
      <c r="O438" s="12"/>
      <c r="P438" s="18"/>
      <c r="Q438" s="12"/>
      <c r="R438" s="12"/>
      <c r="S438" s="12"/>
      <c r="T438" s="36"/>
      <c r="U438" s="36"/>
      <c r="V438" s="12"/>
      <c r="W438" s="12"/>
      <c r="X438" s="12"/>
      <c r="Y438" s="12"/>
    </row>
    <row r="439" customFormat="false" ht="15.75" hidden="false" customHeight="false" outlineLevel="0" collapsed="false">
      <c r="A439" s="12"/>
      <c r="B439" s="34"/>
      <c r="C439" s="12"/>
      <c r="D439" s="12"/>
      <c r="E439" s="12"/>
      <c r="F439" s="12"/>
      <c r="G439" s="18"/>
      <c r="H439" s="35"/>
      <c r="I439" s="35"/>
      <c r="J439" s="12"/>
      <c r="O439" s="12"/>
      <c r="P439" s="18"/>
      <c r="Q439" s="12"/>
      <c r="R439" s="12"/>
      <c r="S439" s="12"/>
      <c r="T439" s="36"/>
      <c r="U439" s="36"/>
      <c r="V439" s="12"/>
      <c r="W439" s="12"/>
      <c r="X439" s="12"/>
      <c r="Y439" s="12"/>
    </row>
    <row r="440" customFormat="false" ht="15.75" hidden="false" customHeight="false" outlineLevel="0" collapsed="false">
      <c r="A440" s="12"/>
      <c r="B440" s="34"/>
      <c r="C440" s="12"/>
      <c r="D440" s="12"/>
      <c r="E440" s="12"/>
      <c r="F440" s="12"/>
      <c r="G440" s="18"/>
      <c r="H440" s="35"/>
      <c r="I440" s="35"/>
      <c r="J440" s="12"/>
      <c r="O440" s="12"/>
      <c r="P440" s="18"/>
      <c r="Q440" s="12"/>
      <c r="R440" s="12"/>
      <c r="S440" s="12"/>
      <c r="T440" s="36"/>
      <c r="U440" s="36"/>
      <c r="V440" s="12"/>
      <c r="W440" s="12"/>
      <c r="X440" s="12"/>
      <c r="Y440" s="12"/>
    </row>
    <row r="441" customFormat="false" ht="15.75" hidden="false" customHeight="false" outlineLevel="0" collapsed="false">
      <c r="A441" s="12"/>
      <c r="B441" s="34"/>
      <c r="C441" s="12"/>
      <c r="D441" s="12"/>
      <c r="E441" s="12"/>
      <c r="F441" s="12"/>
      <c r="G441" s="18"/>
      <c r="H441" s="35"/>
      <c r="I441" s="35"/>
      <c r="J441" s="12"/>
      <c r="O441" s="12"/>
      <c r="P441" s="18"/>
      <c r="Q441" s="12"/>
      <c r="R441" s="12"/>
      <c r="S441" s="12"/>
      <c r="T441" s="36"/>
      <c r="U441" s="36"/>
      <c r="V441" s="12"/>
      <c r="W441" s="12"/>
      <c r="X441" s="12"/>
      <c r="Y441" s="12"/>
    </row>
    <row r="442" customFormat="false" ht="15.75" hidden="false" customHeight="false" outlineLevel="0" collapsed="false">
      <c r="A442" s="12"/>
      <c r="B442" s="34"/>
      <c r="C442" s="12"/>
      <c r="D442" s="12"/>
      <c r="E442" s="12"/>
      <c r="F442" s="12"/>
      <c r="G442" s="18"/>
      <c r="H442" s="35"/>
      <c r="I442" s="35"/>
      <c r="J442" s="12"/>
      <c r="O442" s="12"/>
      <c r="P442" s="18"/>
      <c r="Q442" s="12"/>
      <c r="R442" s="12"/>
      <c r="S442" s="12"/>
      <c r="T442" s="36"/>
      <c r="U442" s="36"/>
      <c r="V442" s="12"/>
      <c r="W442" s="12"/>
      <c r="X442" s="12"/>
      <c r="Y442" s="12"/>
    </row>
    <row r="443" customFormat="false" ht="15.75" hidden="false" customHeight="false" outlineLevel="0" collapsed="false">
      <c r="A443" s="12"/>
      <c r="B443" s="34"/>
      <c r="C443" s="12"/>
      <c r="D443" s="12"/>
      <c r="E443" s="12"/>
      <c r="F443" s="12"/>
      <c r="G443" s="18"/>
      <c r="H443" s="35"/>
      <c r="I443" s="35"/>
      <c r="J443" s="12"/>
      <c r="O443" s="12"/>
      <c r="P443" s="18"/>
      <c r="Q443" s="12"/>
      <c r="R443" s="12"/>
      <c r="S443" s="12"/>
      <c r="T443" s="36"/>
      <c r="U443" s="36"/>
      <c r="V443" s="12"/>
      <c r="W443" s="12"/>
      <c r="X443" s="12"/>
      <c r="Y443" s="12"/>
    </row>
    <row r="444" customFormat="false" ht="15.75" hidden="false" customHeight="false" outlineLevel="0" collapsed="false">
      <c r="A444" s="12"/>
      <c r="B444" s="34"/>
      <c r="C444" s="12"/>
      <c r="D444" s="12"/>
      <c r="E444" s="12"/>
      <c r="F444" s="12"/>
      <c r="G444" s="18"/>
      <c r="H444" s="35"/>
      <c r="I444" s="35"/>
      <c r="J444" s="12"/>
      <c r="O444" s="12"/>
      <c r="P444" s="18"/>
      <c r="Q444" s="12"/>
      <c r="R444" s="12"/>
      <c r="S444" s="12"/>
      <c r="T444" s="36"/>
      <c r="U444" s="36"/>
      <c r="V444" s="12"/>
      <c r="W444" s="12"/>
      <c r="X444" s="12"/>
      <c r="Y444" s="12"/>
    </row>
    <row r="445" customFormat="false" ht="15.75" hidden="false" customHeight="false" outlineLevel="0" collapsed="false">
      <c r="A445" s="12"/>
      <c r="B445" s="34"/>
      <c r="C445" s="12"/>
      <c r="D445" s="12"/>
      <c r="E445" s="12"/>
      <c r="F445" s="12"/>
      <c r="G445" s="18"/>
      <c r="H445" s="35"/>
      <c r="I445" s="35"/>
      <c r="J445" s="12"/>
      <c r="O445" s="12"/>
      <c r="P445" s="18"/>
      <c r="Q445" s="12"/>
      <c r="R445" s="12"/>
      <c r="S445" s="12"/>
      <c r="T445" s="36"/>
      <c r="U445" s="36"/>
      <c r="V445" s="12"/>
      <c r="W445" s="12"/>
      <c r="X445" s="12"/>
      <c r="Y445" s="12"/>
    </row>
    <row r="446" customFormat="false" ht="15.75" hidden="false" customHeight="false" outlineLevel="0" collapsed="false">
      <c r="A446" s="12"/>
      <c r="B446" s="34"/>
      <c r="C446" s="12"/>
      <c r="D446" s="12"/>
      <c r="E446" s="12"/>
      <c r="F446" s="12"/>
      <c r="G446" s="18"/>
      <c r="H446" s="35"/>
      <c r="I446" s="35"/>
      <c r="J446" s="12"/>
      <c r="O446" s="12"/>
      <c r="P446" s="18"/>
      <c r="Q446" s="12"/>
      <c r="R446" s="12"/>
      <c r="S446" s="12"/>
      <c r="T446" s="36"/>
      <c r="U446" s="36"/>
      <c r="V446" s="12"/>
      <c r="W446" s="12"/>
      <c r="X446" s="12"/>
      <c r="Y446" s="12"/>
    </row>
    <row r="447" customFormat="false" ht="15.75" hidden="false" customHeight="false" outlineLevel="0" collapsed="false">
      <c r="A447" s="12"/>
      <c r="B447" s="34"/>
      <c r="C447" s="12"/>
      <c r="D447" s="12"/>
      <c r="E447" s="12"/>
      <c r="F447" s="12"/>
      <c r="G447" s="18"/>
      <c r="H447" s="35"/>
      <c r="I447" s="35"/>
      <c r="J447" s="12"/>
      <c r="O447" s="12"/>
      <c r="P447" s="18"/>
      <c r="Q447" s="12"/>
      <c r="R447" s="12"/>
      <c r="S447" s="12"/>
      <c r="T447" s="36"/>
      <c r="U447" s="36"/>
      <c r="V447" s="12"/>
      <c r="W447" s="12"/>
      <c r="X447" s="12"/>
      <c r="Y447" s="12"/>
    </row>
    <row r="448" customFormat="false" ht="15.75" hidden="false" customHeight="false" outlineLevel="0" collapsed="false">
      <c r="A448" s="12"/>
      <c r="B448" s="34"/>
      <c r="C448" s="12"/>
      <c r="D448" s="12"/>
      <c r="E448" s="12"/>
      <c r="F448" s="12"/>
      <c r="G448" s="18"/>
      <c r="H448" s="35"/>
      <c r="I448" s="35"/>
      <c r="J448" s="12"/>
      <c r="O448" s="12"/>
      <c r="P448" s="18"/>
      <c r="Q448" s="12"/>
      <c r="R448" s="12"/>
      <c r="S448" s="12"/>
      <c r="T448" s="36"/>
      <c r="U448" s="36"/>
      <c r="V448" s="12"/>
      <c r="W448" s="12"/>
      <c r="X448" s="12"/>
      <c r="Y448" s="12"/>
    </row>
    <row r="449" customFormat="false" ht="15.75" hidden="false" customHeight="false" outlineLevel="0" collapsed="false">
      <c r="A449" s="12"/>
      <c r="B449" s="34"/>
      <c r="C449" s="12"/>
      <c r="D449" s="12"/>
      <c r="E449" s="12"/>
      <c r="F449" s="12"/>
      <c r="G449" s="18"/>
      <c r="H449" s="35"/>
      <c r="I449" s="35"/>
      <c r="J449" s="12"/>
      <c r="O449" s="12"/>
      <c r="P449" s="18"/>
      <c r="Q449" s="12"/>
      <c r="R449" s="12"/>
      <c r="S449" s="12"/>
      <c r="T449" s="36"/>
      <c r="U449" s="36"/>
      <c r="V449" s="12"/>
      <c r="W449" s="12"/>
      <c r="X449" s="12"/>
      <c r="Y449" s="12"/>
    </row>
    <row r="450" customFormat="false" ht="15.75" hidden="false" customHeight="false" outlineLevel="0" collapsed="false">
      <c r="A450" s="12"/>
      <c r="B450" s="34"/>
      <c r="C450" s="12"/>
      <c r="D450" s="12"/>
      <c r="E450" s="12"/>
      <c r="F450" s="12"/>
      <c r="G450" s="18"/>
      <c r="H450" s="35"/>
      <c r="I450" s="35"/>
      <c r="J450" s="12"/>
      <c r="O450" s="12"/>
      <c r="P450" s="18"/>
      <c r="Q450" s="12"/>
      <c r="R450" s="12"/>
      <c r="S450" s="12"/>
      <c r="T450" s="36"/>
      <c r="U450" s="36"/>
      <c r="V450" s="12"/>
      <c r="W450" s="12"/>
      <c r="X450" s="12"/>
      <c r="Y450" s="12"/>
    </row>
    <row r="451" customFormat="false" ht="15.75" hidden="false" customHeight="false" outlineLevel="0" collapsed="false">
      <c r="A451" s="12"/>
      <c r="B451" s="34"/>
      <c r="C451" s="12"/>
      <c r="D451" s="12"/>
      <c r="E451" s="12"/>
      <c r="F451" s="12"/>
      <c r="G451" s="18"/>
      <c r="H451" s="35"/>
      <c r="I451" s="35"/>
      <c r="J451" s="12"/>
      <c r="O451" s="12"/>
      <c r="P451" s="18"/>
      <c r="Q451" s="12"/>
      <c r="R451" s="12"/>
      <c r="S451" s="12"/>
      <c r="T451" s="36"/>
      <c r="U451" s="36"/>
      <c r="V451" s="12"/>
      <c r="W451" s="12"/>
      <c r="X451" s="12"/>
      <c r="Y451" s="12"/>
    </row>
    <row r="452" customFormat="false" ht="15.75" hidden="false" customHeight="false" outlineLevel="0" collapsed="false">
      <c r="A452" s="12"/>
      <c r="B452" s="34"/>
      <c r="C452" s="12"/>
      <c r="D452" s="12"/>
      <c r="E452" s="12"/>
      <c r="F452" s="12"/>
      <c r="G452" s="18"/>
      <c r="H452" s="35"/>
      <c r="I452" s="35"/>
      <c r="J452" s="12"/>
      <c r="O452" s="12"/>
      <c r="P452" s="18"/>
      <c r="Q452" s="12"/>
      <c r="R452" s="12"/>
      <c r="S452" s="12"/>
      <c r="T452" s="36"/>
      <c r="U452" s="36"/>
      <c r="V452" s="12"/>
      <c r="W452" s="12"/>
      <c r="X452" s="12"/>
      <c r="Y452" s="12"/>
    </row>
    <row r="453" customFormat="false" ht="15.75" hidden="false" customHeight="false" outlineLevel="0" collapsed="false">
      <c r="A453" s="12"/>
      <c r="B453" s="34"/>
      <c r="C453" s="12"/>
      <c r="D453" s="12"/>
      <c r="E453" s="12"/>
      <c r="F453" s="12"/>
      <c r="G453" s="18"/>
      <c r="H453" s="35"/>
      <c r="I453" s="35"/>
      <c r="J453" s="12"/>
      <c r="O453" s="12"/>
      <c r="P453" s="18"/>
      <c r="Q453" s="12"/>
      <c r="R453" s="12"/>
      <c r="S453" s="12"/>
      <c r="T453" s="36"/>
      <c r="U453" s="36"/>
      <c r="V453" s="12"/>
      <c r="W453" s="12"/>
      <c r="X453" s="12"/>
      <c r="Y453" s="12"/>
    </row>
    <row r="454" customFormat="false" ht="15.75" hidden="false" customHeight="false" outlineLevel="0" collapsed="false">
      <c r="A454" s="12"/>
      <c r="B454" s="34"/>
      <c r="C454" s="12"/>
      <c r="D454" s="12"/>
      <c r="E454" s="12"/>
      <c r="F454" s="12"/>
      <c r="G454" s="18"/>
      <c r="H454" s="35"/>
      <c r="I454" s="35"/>
      <c r="J454" s="12"/>
      <c r="O454" s="12"/>
      <c r="P454" s="18"/>
      <c r="Q454" s="12"/>
      <c r="R454" s="12"/>
      <c r="S454" s="12"/>
      <c r="T454" s="36"/>
      <c r="U454" s="36"/>
      <c r="V454" s="12"/>
      <c r="W454" s="12"/>
      <c r="X454" s="12"/>
      <c r="Y454" s="12"/>
    </row>
    <row r="455" customFormat="false" ht="15.75" hidden="false" customHeight="false" outlineLevel="0" collapsed="false">
      <c r="A455" s="12"/>
      <c r="B455" s="34"/>
      <c r="C455" s="12"/>
      <c r="D455" s="12"/>
      <c r="E455" s="12"/>
      <c r="F455" s="12"/>
      <c r="G455" s="18"/>
      <c r="H455" s="35"/>
      <c r="I455" s="35"/>
      <c r="J455" s="12"/>
      <c r="O455" s="12"/>
      <c r="P455" s="18"/>
      <c r="Q455" s="12"/>
      <c r="R455" s="12"/>
      <c r="S455" s="12"/>
      <c r="T455" s="36"/>
      <c r="U455" s="36"/>
      <c r="V455" s="12"/>
      <c r="W455" s="12"/>
      <c r="X455" s="12"/>
      <c r="Y455" s="12"/>
    </row>
    <row r="456" customFormat="false" ht="15.75" hidden="false" customHeight="false" outlineLevel="0" collapsed="false">
      <c r="A456" s="12"/>
      <c r="B456" s="34"/>
      <c r="C456" s="12"/>
      <c r="D456" s="12"/>
      <c r="E456" s="12"/>
      <c r="F456" s="12"/>
      <c r="G456" s="18"/>
      <c r="H456" s="35"/>
      <c r="I456" s="35"/>
      <c r="J456" s="12"/>
      <c r="O456" s="12"/>
      <c r="P456" s="18"/>
      <c r="Q456" s="12"/>
      <c r="R456" s="12"/>
      <c r="S456" s="12"/>
      <c r="T456" s="36"/>
      <c r="U456" s="36"/>
      <c r="V456" s="12"/>
      <c r="W456" s="12"/>
      <c r="X456" s="12"/>
      <c r="Y456" s="12"/>
    </row>
    <row r="457" customFormat="false" ht="15.75" hidden="false" customHeight="false" outlineLevel="0" collapsed="false">
      <c r="A457" s="12"/>
      <c r="B457" s="34"/>
      <c r="C457" s="12"/>
      <c r="D457" s="12"/>
      <c r="E457" s="12"/>
      <c r="F457" s="12"/>
      <c r="G457" s="18"/>
      <c r="H457" s="35"/>
      <c r="I457" s="35"/>
      <c r="J457" s="12"/>
      <c r="O457" s="12"/>
      <c r="P457" s="18"/>
      <c r="Q457" s="12"/>
      <c r="R457" s="12"/>
      <c r="S457" s="12"/>
      <c r="T457" s="36"/>
      <c r="U457" s="36"/>
      <c r="V457" s="12"/>
      <c r="W457" s="12"/>
      <c r="X457" s="12"/>
      <c r="Y457" s="12"/>
    </row>
    <row r="458" customFormat="false" ht="15.75" hidden="false" customHeight="false" outlineLevel="0" collapsed="false">
      <c r="A458" s="12"/>
      <c r="B458" s="34"/>
      <c r="C458" s="12"/>
      <c r="D458" s="12"/>
      <c r="E458" s="12"/>
      <c r="F458" s="12"/>
      <c r="G458" s="18"/>
      <c r="H458" s="35"/>
      <c r="I458" s="35"/>
      <c r="J458" s="12"/>
      <c r="O458" s="12"/>
      <c r="P458" s="18"/>
      <c r="Q458" s="12"/>
      <c r="R458" s="12"/>
      <c r="S458" s="12"/>
      <c r="T458" s="36"/>
      <c r="U458" s="36"/>
      <c r="V458" s="12"/>
      <c r="W458" s="12"/>
      <c r="X458" s="12"/>
      <c r="Y458" s="12"/>
    </row>
    <row r="459" customFormat="false" ht="15.75" hidden="false" customHeight="false" outlineLevel="0" collapsed="false">
      <c r="A459" s="12"/>
      <c r="B459" s="34"/>
      <c r="C459" s="12"/>
      <c r="D459" s="12"/>
      <c r="E459" s="12"/>
      <c r="F459" s="12"/>
      <c r="G459" s="18"/>
      <c r="H459" s="35"/>
      <c r="I459" s="35"/>
      <c r="J459" s="12"/>
      <c r="O459" s="12"/>
      <c r="P459" s="18"/>
      <c r="Q459" s="12"/>
      <c r="R459" s="12"/>
      <c r="S459" s="12"/>
      <c r="T459" s="36"/>
      <c r="U459" s="36"/>
      <c r="V459" s="12"/>
      <c r="W459" s="12"/>
      <c r="X459" s="12"/>
      <c r="Y459" s="12"/>
    </row>
    <row r="460" customFormat="false" ht="15.75" hidden="false" customHeight="false" outlineLevel="0" collapsed="false">
      <c r="A460" s="12"/>
      <c r="B460" s="34"/>
      <c r="C460" s="12"/>
      <c r="D460" s="12"/>
      <c r="E460" s="12"/>
      <c r="F460" s="12"/>
      <c r="G460" s="18"/>
      <c r="H460" s="35"/>
      <c r="I460" s="35"/>
      <c r="J460" s="12"/>
      <c r="O460" s="12"/>
      <c r="P460" s="18"/>
      <c r="Q460" s="12"/>
      <c r="R460" s="12"/>
      <c r="S460" s="12"/>
      <c r="T460" s="36"/>
      <c r="U460" s="36"/>
      <c r="V460" s="12"/>
      <c r="W460" s="12"/>
      <c r="X460" s="12"/>
      <c r="Y460" s="12"/>
    </row>
    <row r="461" customFormat="false" ht="15.75" hidden="false" customHeight="false" outlineLevel="0" collapsed="false">
      <c r="A461" s="12"/>
      <c r="B461" s="34"/>
      <c r="C461" s="12"/>
      <c r="D461" s="12"/>
      <c r="E461" s="12"/>
      <c r="F461" s="12"/>
      <c r="G461" s="18"/>
      <c r="H461" s="35"/>
      <c r="I461" s="35"/>
      <c r="J461" s="12"/>
      <c r="O461" s="12"/>
      <c r="P461" s="18"/>
      <c r="Q461" s="12"/>
      <c r="R461" s="12"/>
      <c r="S461" s="12"/>
      <c r="T461" s="36"/>
      <c r="U461" s="36"/>
      <c r="V461" s="12"/>
      <c r="W461" s="12"/>
      <c r="X461" s="12"/>
      <c r="Y461" s="12"/>
    </row>
    <row r="462" customFormat="false" ht="15.75" hidden="false" customHeight="false" outlineLevel="0" collapsed="false">
      <c r="A462" s="12"/>
      <c r="B462" s="34"/>
      <c r="C462" s="12"/>
      <c r="D462" s="12"/>
      <c r="E462" s="12"/>
      <c r="F462" s="12"/>
      <c r="G462" s="18"/>
      <c r="H462" s="35"/>
      <c r="I462" s="35"/>
      <c r="J462" s="12"/>
      <c r="O462" s="12"/>
      <c r="P462" s="18"/>
      <c r="Q462" s="12"/>
      <c r="R462" s="12"/>
      <c r="S462" s="12"/>
      <c r="T462" s="36"/>
      <c r="U462" s="36"/>
      <c r="V462" s="12"/>
      <c r="W462" s="12"/>
      <c r="X462" s="12"/>
      <c r="Y462" s="12"/>
    </row>
    <row r="463" customFormat="false" ht="15.75" hidden="false" customHeight="false" outlineLevel="0" collapsed="false">
      <c r="A463" s="12"/>
      <c r="B463" s="34"/>
      <c r="C463" s="12"/>
      <c r="D463" s="12"/>
      <c r="E463" s="12"/>
      <c r="F463" s="12"/>
      <c r="G463" s="18"/>
      <c r="H463" s="35"/>
      <c r="I463" s="35"/>
      <c r="J463" s="12"/>
      <c r="O463" s="12"/>
      <c r="P463" s="18"/>
      <c r="Q463" s="12"/>
      <c r="R463" s="12"/>
      <c r="S463" s="12"/>
      <c r="T463" s="36"/>
      <c r="U463" s="36"/>
      <c r="V463" s="12"/>
      <c r="W463" s="12"/>
      <c r="X463" s="12"/>
      <c r="Y463" s="12"/>
    </row>
    <row r="464" customFormat="false" ht="15.75" hidden="false" customHeight="false" outlineLevel="0" collapsed="false">
      <c r="A464" s="12"/>
      <c r="B464" s="34"/>
      <c r="C464" s="12"/>
      <c r="D464" s="12"/>
      <c r="E464" s="12"/>
      <c r="F464" s="12"/>
      <c r="G464" s="18"/>
      <c r="H464" s="35"/>
      <c r="I464" s="35"/>
      <c r="J464" s="12"/>
      <c r="O464" s="12"/>
      <c r="P464" s="18"/>
      <c r="Q464" s="12"/>
      <c r="R464" s="12"/>
      <c r="S464" s="12"/>
      <c r="T464" s="36"/>
      <c r="U464" s="36"/>
      <c r="V464" s="12"/>
      <c r="W464" s="12"/>
      <c r="X464" s="12"/>
      <c r="Y464" s="12"/>
    </row>
    <row r="465" customFormat="false" ht="15.75" hidden="false" customHeight="false" outlineLevel="0" collapsed="false">
      <c r="A465" s="12"/>
      <c r="B465" s="34"/>
      <c r="C465" s="12"/>
      <c r="D465" s="12"/>
      <c r="E465" s="12"/>
      <c r="F465" s="12"/>
      <c r="G465" s="18"/>
      <c r="H465" s="35"/>
      <c r="I465" s="35"/>
      <c r="J465" s="12"/>
      <c r="O465" s="12"/>
      <c r="P465" s="18"/>
      <c r="Q465" s="12"/>
      <c r="R465" s="12"/>
      <c r="S465" s="12"/>
      <c r="T465" s="36"/>
      <c r="U465" s="36"/>
      <c r="V465" s="12"/>
      <c r="W465" s="12"/>
      <c r="X465" s="12"/>
      <c r="Y465" s="12"/>
    </row>
    <row r="466" customFormat="false" ht="15.75" hidden="false" customHeight="false" outlineLevel="0" collapsed="false">
      <c r="A466" s="12"/>
      <c r="B466" s="34"/>
      <c r="C466" s="12"/>
      <c r="D466" s="12"/>
      <c r="E466" s="12"/>
      <c r="F466" s="12"/>
      <c r="G466" s="18"/>
      <c r="H466" s="35"/>
      <c r="I466" s="35"/>
      <c r="J466" s="12"/>
      <c r="O466" s="12"/>
      <c r="P466" s="18"/>
      <c r="Q466" s="12"/>
      <c r="R466" s="12"/>
      <c r="S466" s="12"/>
      <c r="T466" s="36"/>
      <c r="U466" s="36"/>
      <c r="V466" s="12"/>
      <c r="W466" s="12"/>
      <c r="X466" s="12"/>
      <c r="Y466" s="12"/>
    </row>
    <row r="467" customFormat="false" ht="15.75" hidden="false" customHeight="false" outlineLevel="0" collapsed="false">
      <c r="A467" s="12"/>
      <c r="B467" s="34"/>
      <c r="C467" s="12"/>
      <c r="D467" s="12"/>
      <c r="E467" s="12"/>
      <c r="F467" s="12"/>
      <c r="G467" s="18"/>
      <c r="H467" s="35"/>
      <c r="I467" s="35"/>
      <c r="J467" s="12"/>
      <c r="O467" s="12"/>
      <c r="P467" s="18"/>
      <c r="Q467" s="12"/>
      <c r="R467" s="12"/>
      <c r="S467" s="12"/>
      <c r="T467" s="36"/>
      <c r="U467" s="36"/>
      <c r="V467" s="12"/>
      <c r="W467" s="12"/>
      <c r="X467" s="12"/>
      <c r="Y467" s="12"/>
    </row>
    <row r="468" customFormat="false" ht="15.75" hidden="false" customHeight="false" outlineLevel="0" collapsed="false">
      <c r="A468" s="12"/>
      <c r="B468" s="34"/>
      <c r="C468" s="12"/>
      <c r="D468" s="12"/>
      <c r="E468" s="12"/>
      <c r="F468" s="12"/>
      <c r="G468" s="18"/>
      <c r="H468" s="35"/>
      <c r="I468" s="35"/>
      <c r="J468" s="12"/>
      <c r="O468" s="12"/>
      <c r="P468" s="18"/>
      <c r="Q468" s="12"/>
      <c r="R468" s="12"/>
      <c r="S468" s="12"/>
      <c r="T468" s="36"/>
      <c r="U468" s="36"/>
      <c r="V468" s="12"/>
      <c r="W468" s="12"/>
      <c r="X468" s="12"/>
      <c r="Y468" s="12"/>
    </row>
    <row r="469" customFormat="false" ht="15.75" hidden="false" customHeight="false" outlineLevel="0" collapsed="false">
      <c r="A469" s="12"/>
      <c r="B469" s="34"/>
      <c r="C469" s="12"/>
      <c r="D469" s="12"/>
      <c r="E469" s="12"/>
      <c r="F469" s="12"/>
      <c r="G469" s="18"/>
      <c r="H469" s="35"/>
      <c r="I469" s="35"/>
      <c r="J469" s="12"/>
      <c r="O469" s="12"/>
      <c r="P469" s="18"/>
      <c r="Q469" s="12"/>
      <c r="R469" s="12"/>
      <c r="S469" s="12"/>
      <c r="T469" s="36"/>
      <c r="U469" s="36"/>
      <c r="V469" s="12"/>
      <c r="W469" s="12"/>
      <c r="X469" s="12"/>
      <c r="Y469" s="12"/>
    </row>
    <row r="470" customFormat="false" ht="15.75" hidden="false" customHeight="false" outlineLevel="0" collapsed="false">
      <c r="A470" s="12"/>
      <c r="B470" s="34"/>
      <c r="C470" s="12"/>
      <c r="D470" s="12"/>
      <c r="E470" s="12"/>
      <c r="F470" s="12"/>
      <c r="G470" s="18"/>
      <c r="H470" s="35"/>
      <c r="I470" s="35"/>
      <c r="J470" s="12"/>
      <c r="O470" s="12"/>
      <c r="P470" s="18"/>
      <c r="Q470" s="12"/>
      <c r="R470" s="12"/>
      <c r="S470" s="12"/>
      <c r="T470" s="36"/>
      <c r="U470" s="36"/>
      <c r="V470" s="12"/>
      <c r="W470" s="12"/>
      <c r="X470" s="12"/>
      <c r="Y470" s="12"/>
    </row>
    <row r="471" customFormat="false" ht="15.75" hidden="false" customHeight="false" outlineLevel="0" collapsed="false">
      <c r="A471" s="12"/>
      <c r="B471" s="34"/>
      <c r="C471" s="12"/>
      <c r="D471" s="12"/>
      <c r="E471" s="12"/>
      <c r="F471" s="12"/>
      <c r="G471" s="18"/>
      <c r="H471" s="35"/>
      <c r="I471" s="35"/>
      <c r="J471" s="12"/>
      <c r="O471" s="12"/>
      <c r="P471" s="18"/>
      <c r="Q471" s="12"/>
      <c r="R471" s="12"/>
      <c r="S471" s="12"/>
      <c r="T471" s="36"/>
      <c r="U471" s="36"/>
      <c r="V471" s="12"/>
      <c r="W471" s="12"/>
      <c r="X471" s="12"/>
      <c r="Y471" s="12"/>
    </row>
    <row r="472" customFormat="false" ht="15.75" hidden="false" customHeight="false" outlineLevel="0" collapsed="false">
      <c r="A472" s="12"/>
      <c r="B472" s="34"/>
      <c r="C472" s="12"/>
      <c r="D472" s="12"/>
      <c r="E472" s="12"/>
      <c r="F472" s="12"/>
      <c r="G472" s="18"/>
      <c r="H472" s="35"/>
      <c r="I472" s="35"/>
      <c r="J472" s="12"/>
      <c r="O472" s="12"/>
      <c r="P472" s="18"/>
      <c r="Q472" s="12"/>
      <c r="R472" s="12"/>
      <c r="S472" s="12"/>
      <c r="T472" s="36"/>
      <c r="U472" s="36"/>
      <c r="V472" s="12"/>
      <c r="W472" s="12"/>
      <c r="X472" s="12"/>
      <c r="Y472" s="12"/>
    </row>
    <row r="473" customFormat="false" ht="15.75" hidden="false" customHeight="false" outlineLevel="0" collapsed="false">
      <c r="A473" s="12"/>
      <c r="B473" s="34"/>
      <c r="C473" s="12"/>
      <c r="D473" s="12"/>
      <c r="E473" s="12"/>
      <c r="F473" s="12"/>
      <c r="G473" s="18"/>
      <c r="H473" s="35"/>
      <c r="I473" s="35"/>
      <c r="J473" s="12"/>
      <c r="O473" s="12"/>
      <c r="P473" s="18"/>
      <c r="Q473" s="12"/>
      <c r="R473" s="12"/>
      <c r="S473" s="12"/>
      <c r="T473" s="36"/>
      <c r="U473" s="36"/>
      <c r="V473" s="12"/>
      <c r="W473" s="12"/>
      <c r="X473" s="12"/>
      <c r="Y473" s="12"/>
    </row>
    <row r="474" customFormat="false" ht="15.75" hidden="false" customHeight="false" outlineLevel="0" collapsed="false">
      <c r="A474" s="12"/>
      <c r="B474" s="34"/>
      <c r="C474" s="12"/>
      <c r="D474" s="12"/>
      <c r="E474" s="12"/>
      <c r="F474" s="12"/>
      <c r="G474" s="18"/>
      <c r="H474" s="35"/>
      <c r="I474" s="35"/>
      <c r="J474" s="12"/>
      <c r="O474" s="12"/>
      <c r="P474" s="18"/>
      <c r="Q474" s="12"/>
      <c r="R474" s="12"/>
      <c r="S474" s="12"/>
      <c r="T474" s="36"/>
      <c r="U474" s="36"/>
      <c r="V474" s="12"/>
      <c r="W474" s="12"/>
      <c r="X474" s="12"/>
      <c r="Y474" s="12"/>
    </row>
    <row r="475" customFormat="false" ht="15.75" hidden="false" customHeight="false" outlineLevel="0" collapsed="false">
      <c r="A475" s="12"/>
      <c r="B475" s="34"/>
      <c r="C475" s="12"/>
      <c r="D475" s="12"/>
      <c r="E475" s="12"/>
      <c r="F475" s="12"/>
      <c r="G475" s="18"/>
      <c r="H475" s="35"/>
      <c r="I475" s="35"/>
      <c r="J475" s="12"/>
      <c r="O475" s="12"/>
      <c r="P475" s="18"/>
      <c r="Q475" s="12"/>
      <c r="R475" s="12"/>
      <c r="S475" s="12"/>
      <c r="T475" s="36"/>
      <c r="U475" s="36"/>
      <c r="V475" s="12"/>
      <c r="W475" s="12"/>
      <c r="X475" s="12"/>
      <c r="Y475" s="12"/>
    </row>
    <row r="476" customFormat="false" ht="15.75" hidden="false" customHeight="false" outlineLevel="0" collapsed="false">
      <c r="A476" s="12"/>
      <c r="B476" s="34"/>
      <c r="C476" s="12"/>
      <c r="D476" s="12"/>
      <c r="E476" s="12"/>
      <c r="F476" s="12"/>
      <c r="G476" s="18"/>
      <c r="H476" s="35"/>
      <c r="I476" s="35"/>
      <c r="J476" s="12"/>
      <c r="O476" s="12"/>
      <c r="P476" s="18"/>
      <c r="Q476" s="12"/>
      <c r="R476" s="12"/>
      <c r="S476" s="12"/>
      <c r="T476" s="36"/>
      <c r="U476" s="36"/>
      <c r="V476" s="12"/>
      <c r="W476" s="12"/>
      <c r="X476" s="12"/>
      <c r="Y476" s="12"/>
    </row>
    <row r="477" customFormat="false" ht="15.75" hidden="false" customHeight="false" outlineLevel="0" collapsed="false">
      <c r="A477" s="12"/>
      <c r="B477" s="34"/>
      <c r="C477" s="12"/>
      <c r="D477" s="12"/>
      <c r="E477" s="12"/>
      <c r="F477" s="12"/>
      <c r="G477" s="18"/>
      <c r="H477" s="35"/>
      <c r="I477" s="35"/>
      <c r="J477" s="12"/>
      <c r="O477" s="12"/>
      <c r="P477" s="18"/>
      <c r="Q477" s="12"/>
      <c r="R477" s="12"/>
      <c r="S477" s="12"/>
      <c r="T477" s="36"/>
      <c r="U477" s="36"/>
      <c r="V477" s="12"/>
      <c r="W477" s="12"/>
      <c r="X477" s="12"/>
      <c r="Y477" s="12"/>
    </row>
    <row r="478" customFormat="false" ht="15.75" hidden="false" customHeight="false" outlineLevel="0" collapsed="false">
      <c r="A478" s="12"/>
      <c r="B478" s="34"/>
      <c r="C478" s="12"/>
      <c r="D478" s="12"/>
      <c r="E478" s="12"/>
      <c r="F478" s="12"/>
      <c r="G478" s="18"/>
      <c r="H478" s="35"/>
      <c r="I478" s="35"/>
      <c r="J478" s="12"/>
      <c r="O478" s="12"/>
      <c r="P478" s="18"/>
      <c r="Q478" s="12"/>
      <c r="R478" s="12"/>
      <c r="S478" s="12"/>
      <c r="T478" s="36"/>
      <c r="U478" s="36"/>
      <c r="V478" s="12"/>
      <c r="W478" s="12"/>
      <c r="X478" s="12"/>
      <c r="Y478" s="12"/>
    </row>
    <row r="479" customFormat="false" ht="15.75" hidden="false" customHeight="false" outlineLevel="0" collapsed="false">
      <c r="A479" s="12"/>
      <c r="B479" s="34"/>
      <c r="C479" s="12"/>
      <c r="D479" s="12"/>
      <c r="E479" s="12"/>
      <c r="F479" s="12"/>
      <c r="G479" s="18"/>
      <c r="H479" s="35"/>
      <c r="I479" s="35"/>
      <c r="J479" s="12"/>
      <c r="O479" s="12"/>
      <c r="P479" s="18"/>
      <c r="Q479" s="12"/>
      <c r="R479" s="12"/>
      <c r="S479" s="12"/>
      <c r="T479" s="36"/>
      <c r="U479" s="36"/>
      <c r="V479" s="12"/>
      <c r="W479" s="12"/>
      <c r="X479" s="12"/>
      <c r="Y479" s="12"/>
    </row>
    <row r="480" customFormat="false" ht="15.75" hidden="false" customHeight="false" outlineLevel="0" collapsed="false">
      <c r="A480" s="12"/>
      <c r="B480" s="34"/>
      <c r="C480" s="12"/>
      <c r="D480" s="12"/>
      <c r="E480" s="12"/>
      <c r="F480" s="12"/>
      <c r="G480" s="18"/>
      <c r="H480" s="35"/>
      <c r="I480" s="35"/>
      <c r="J480" s="12"/>
      <c r="O480" s="12"/>
      <c r="P480" s="18"/>
      <c r="Q480" s="12"/>
      <c r="R480" s="12"/>
      <c r="S480" s="12"/>
      <c r="T480" s="36"/>
      <c r="U480" s="36"/>
      <c r="V480" s="12"/>
      <c r="W480" s="12"/>
      <c r="X480" s="12"/>
      <c r="Y480" s="12"/>
    </row>
    <row r="481" customFormat="false" ht="15.75" hidden="false" customHeight="false" outlineLevel="0" collapsed="false">
      <c r="A481" s="12"/>
      <c r="B481" s="34"/>
      <c r="C481" s="12"/>
      <c r="D481" s="12"/>
      <c r="E481" s="12"/>
      <c r="F481" s="12"/>
      <c r="G481" s="18"/>
      <c r="H481" s="35"/>
      <c r="I481" s="35"/>
      <c r="J481" s="12"/>
      <c r="O481" s="12"/>
      <c r="P481" s="18"/>
      <c r="Q481" s="12"/>
      <c r="R481" s="12"/>
      <c r="S481" s="12"/>
      <c r="T481" s="36"/>
      <c r="U481" s="36"/>
      <c r="V481" s="12"/>
      <c r="W481" s="12"/>
      <c r="X481" s="12"/>
      <c r="Y481" s="12"/>
    </row>
    <row r="482" customFormat="false" ht="15.75" hidden="false" customHeight="false" outlineLevel="0" collapsed="false">
      <c r="A482" s="12"/>
      <c r="B482" s="34"/>
      <c r="C482" s="12"/>
      <c r="D482" s="12"/>
      <c r="E482" s="12"/>
      <c r="F482" s="12"/>
      <c r="G482" s="18"/>
      <c r="H482" s="35"/>
      <c r="I482" s="35"/>
      <c r="J482" s="12"/>
      <c r="O482" s="12"/>
      <c r="P482" s="18"/>
      <c r="Q482" s="12"/>
      <c r="R482" s="12"/>
      <c r="S482" s="12"/>
      <c r="T482" s="36"/>
      <c r="U482" s="36"/>
      <c r="V482" s="12"/>
      <c r="W482" s="12"/>
      <c r="X482" s="12"/>
      <c r="Y482" s="12"/>
    </row>
    <row r="483" customFormat="false" ht="15.75" hidden="false" customHeight="false" outlineLevel="0" collapsed="false">
      <c r="A483" s="12"/>
      <c r="B483" s="34"/>
      <c r="C483" s="12"/>
      <c r="D483" s="12"/>
      <c r="E483" s="12"/>
      <c r="F483" s="12"/>
      <c r="G483" s="18"/>
      <c r="H483" s="35"/>
      <c r="I483" s="35"/>
      <c r="J483" s="12"/>
      <c r="O483" s="12"/>
      <c r="P483" s="18"/>
      <c r="Q483" s="12"/>
      <c r="R483" s="12"/>
      <c r="S483" s="12"/>
      <c r="T483" s="36"/>
      <c r="U483" s="36"/>
      <c r="V483" s="12"/>
      <c r="W483" s="12"/>
      <c r="X483" s="12"/>
      <c r="Y483" s="12"/>
    </row>
    <row r="484" customFormat="false" ht="15.75" hidden="false" customHeight="false" outlineLevel="0" collapsed="false">
      <c r="A484" s="12"/>
      <c r="B484" s="34"/>
      <c r="C484" s="12"/>
      <c r="D484" s="12"/>
      <c r="E484" s="12"/>
      <c r="F484" s="12"/>
      <c r="G484" s="18"/>
      <c r="H484" s="35"/>
      <c r="I484" s="35"/>
      <c r="J484" s="12"/>
      <c r="O484" s="12"/>
      <c r="P484" s="18"/>
      <c r="Q484" s="12"/>
      <c r="R484" s="12"/>
      <c r="S484" s="12"/>
      <c r="T484" s="36"/>
      <c r="U484" s="36"/>
      <c r="V484" s="12"/>
      <c r="W484" s="12"/>
      <c r="X484" s="12"/>
      <c r="Y484" s="12"/>
    </row>
    <row r="485" customFormat="false" ht="15.75" hidden="false" customHeight="false" outlineLevel="0" collapsed="false">
      <c r="A485" s="12"/>
      <c r="B485" s="34"/>
      <c r="C485" s="12"/>
      <c r="D485" s="12"/>
      <c r="E485" s="12"/>
      <c r="F485" s="12"/>
      <c r="G485" s="18"/>
      <c r="H485" s="35"/>
      <c r="I485" s="35"/>
      <c r="J485" s="12"/>
      <c r="O485" s="12"/>
      <c r="P485" s="18"/>
      <c r="Q485" s="12"/>
      <c r="R485" s="12"/>
      <c r="S485" s="12"/>
      <c r="T485" s="36"/>
      <c r="U485" s="36"/>
      <c r="V485" s="12"/>
      <c r="W485" s="12"/>
      <c r="X485" s="12"/>
      <c r="Y485" s="12"/>
    </row>
    <row r="486" customFormat="false" ht="15.75" hidden="false" customHeight="false" outlineLevel="0" collapsed="false">
      <c r="A486" s="12"/>
      <c r="B486" s="34"/>
      <c r="C486" s="12"/>
      <c r="D486" s="12"/>
      <c r="E486" s="12"/>
      <c r="F486" s="12"/>
      <c r="G486" s="18"/>
      <c r="H486" s="35"/>
      <c r="I486" s="35"/>
      <c r="J486" s="12"/>
      <c r="O486" s="12"/>
      <c r="P486" s="18"/>
      <c r="Q486" s="12"/>
      <c r="R486" s="12"/>
      <c r="S486" s="12"/>
      <c r="T486" s="36"/>
      <c r="U486" s="36"/>
      <c r="V486" s="12"/>
      <c r="W486" s="12"/>
      <c r="X486" s="12"/>
      <c r="Y486" s="12"/>
    </row>
    <row r="487" customFormat="false" ht="15.75" hidden="false" customHeight="false" outlineLevel="0" collapsed="false">
      <c r="A487" s="12"/>
      <c r="B487" s="34"/>
      <c r="C487" s="12"/>
      <c r="D487" s="12"/>
      <c r="E487" s="12"/>
      <c r="F487" s="12"/>
      <c r="G487" s="18"/>
      <c r="H487" s="35"/>
      <c r="I487" s="35"/>
      <c r="J487" s="12"/>
      <c r="O487" s="12"/>
      <c r="P487" s="18"/>
      <c r="Q487" s="12"/>
      <c r="R487" s="12"/>
      <c r="S487" s="12"/>
      <c r="T487" s="36"/>
      <c r="U487" s="36"/>
      <c r="V487" s="12"/>
      <c r="W487" s="12"/>
      <c r="X487" s="12"/>
      <c r="Y487" s="12"/>
    </row>
    <row r="488" customFormat="false" ht="15.75" hidden="false" customHeight="false" outlineLevel="0" collapsed="false">
      <c r="A488" s="12"/>
      <c r="B488" s="34"/>
      <c r="C488" s="12"/>
      <c r="D488" s="12"/>
      <c r="E488" s="12"/>
      <c r="F488" s="12"/>
      <c r="G488" s="18"/>
      <c r="H488" s="35"/>
      <c r="I488" s="35"/>
      <c r="J488" s="12"/>
      <c r="O488" s="12"/>
      <c r="P488" s="18"/>
      <c r="Q488" s="12"/>
      <c r="R488" s="12"/>
      <c r="S488" s="12"/>
      <c r="T488" s="36"/>
      <c r="U488" s="36"/>
      <c r="V488" s="12"/>
      <c r="W488" s="12"/>
      <c r="X488" s="12"/>
      <c r="Y488" s="12"/>
    </row>
    <row r="489" customFormat="false" ht="15.75" hidden="false" customHeight="false" outlineLevel="0" collapsed="false">
      <c r="A489" s="12"/>
      <c r="B489" s="34"/>
      <c r="C489" s="12"/>
      <c r="D489" s="12"/>
      <c r="E489" s="12"/>
      <c r="F489" s="12"/>
      <c r="G489" s="18"/>
      <c r="H489" s="35"/>
      <c r="I489" s="35"/>
      <c r="J489" s="12"/>
      <c r="O489" s="12"/>
      <c r="P489" s="18"/>
      <c r="Q489" s="12"/>
      <c r="R489" s="12"/>
      <c r="S489" s="12"/>
      <c r="T489" s="36"/>
      <c r="U489" s="36"/>
      <c r="V489" s="12"/>
      <c r="W489" s="12"/>
      <c r="X489" s="12"/>
      <c r="Y489" s="12"/>
    </row>
    <row r="490" customFormat="false" ht="15.75" hidden="false" customHeight="false" outlineLevel="0" collapsed="false">
      <c r="A490" s="12"/>
      <c r="B490" s="34"/>
      <c r="C490" s="12"/>
      <c r="D490" s="12"/>
      <c r="E490" s="12"/>
      <c r="F490" s="12"/>
      <c r="G490" s="18"/>
      <c r="H490" s="35"/>
      <c r="I490" s="35"/>
      <c r="J490" s="12"/>
      <c r="O490" s="12"/>
      <c r="P490" s="18"/>
      <c r="Q490" s="12"/>
      <c r="R490" s="12"/>
      <c r="S490" s="12"/>
      <c r="T490" s="36"/>
      <c r="U490" s="36"/>
      <c r="V490" s="12"/>
      <c r="W490" s="12"/>
      <c r="X490" s="12"/>
      <c r="Y490" s="12"/>
    </row>
    <row r="491" customFormat="false" ht="15.75" hidden="false" customHeight="false" outlineLevel="0" collapsed="false">
      <c r="A491" s="12"/>
      <c r="B491" s="34"/>
      <c r="C491" s="12"/>
      <c r="D491" s="12"/>
      <c r="E491" s="12"/>
      <c r="F491" s="12"/>
      <c r="G491" s="18"/>
      <c r="H491" s="35"/>
      <c r="I491" s="35"/>
      <c r="J491" s="12"/>
      <c r="O491" s="12"/>
      <c r="P491" s="18"/>
      <c r="Q491" s="12"/>
      <c r="R491" s="12"/>
      <c r="S491" s="12"/>
      <c r="T491" s="36"/>
      <c r="U491" s="36"/>
      <c r="V491" s="12"/>
      <c r="W491" s="12"/>
      <c r="X491" s="12"/>
      <c r="Y491" s="12"/>
    </row>
    <row r="492" customFormat="false" ht="15.75" hidden="false" customHeight="false" outlineLevel="0" collapsed="false">
      <c r="A492" s="12"/>
      <c r="B492" s="34"/>
      <c r="C492" s="12"/>
      <c r="D492" s="12"/>
      <c r="E492" s="12"/>
      <c r="F492" s="12"/>
      <c r="G492" s="18"/>
      <c r="H492" s="35"/>
      <c r="I492" s="35"/>
      <c r="J492" s="12"/>
      <c r="O492" s="12"/>
      <c r="P492" s="18"/>
      <c r="Q492" s="12"/>
      <c r="R492" s="12"/>
      <c r="S492" s="12"/>
      <c r="T492" s="36"/>
      <c r="U492" s="36"/>
      <c r="V492" s="12"/>
      <c r="W492" s="12"/>
      <c r="X492" s="12"/>
      <c r="Y492" s="12"/>
    </row>
    <row r="493" customFormat="false" ht="15.75" hidden="false" customHeight="false" outlineLevel="0" collapsed="false">
      <c r="A493" s="12"/>
      <c r="B493" s="34"/>
      <c r="C493" s="12"/>
      <c r="D493" s="12"/>
      <c r="E493" s="12"/>
      <c r="F493" s="12"/>
      <c r="G493" s="18"/>
      <c r="H493" s="35"/>
      <c r="I493" s="35"/>
      <c r="J493" s="12"/>
      <c r="O493" s="12"/>
      <c r="P493" s="18"/>
      <c r="Q493" s="12"/>
      <c r="R493" s="12"/>
      <c r="S493" s="12"/>
      <c r="T493" s="36"/>
      <c r="U493" s="36"/>
      <c r="V493" s="12"/>
      <c r="W493" s="12"/>
      <c r="X493" s="12"/>
      <c r="Y493" s="12"/>
    </row>
    <row r="494" customFormat="false" ht="15.75" hidden="false" customHeight="false" outlineLevel="0" collapsed="false">
      <c r="A494" s="12"/>
      <c r="B494" s="34"/>
      <c r="C494" s="12"/>
      <c r="D494" s="12"/>
      <c r="E494" s="12"/>
      <c r="F494" s="12"/>
      <c r="G494" s="18"/>
      <c r="H494" s="35"/>
      <c r="I494" s="35"/>
      <c r="J494" s="12"/>
      <c r="O494" s="12"/>
      <c r="P494" s="18"/>
      <c r="Q494" s="12"/>
      <c r="R494" s="12"/>
      <c r="S494" s="12"/>
      <c r="T494" s="36"/>
      <c r="U494" s="36"/>
      <c r="V494" s="12"/>
      <c r="W494" s="12"/>
      <c r="X494" s="12"/>
      <c r="Y494" s="12"/>
    </row>
    <row r="495" customFormat="false" ht="15.75" hidden="false" customHeight="false" outlineLevel="0" collapsed="false">
      <c r="A495" s="12"/>
      <c r="B495" s="34"/>
      <c r="C495" s="12"/>
      <c r="D495" s="12"/>
      <c r="E495" s="12"/>
      <c r="F495" s="12"/>
      <c r="G495" s="18"/>
      <c r="H495" s="35"/>
      <c r="I495" s="35"/>
      <c r="J495" s="12"/>
      <c r="O495" s="12"/>
      <c r="P495" s="18"/>
      <c r="Q495" s="12"/>
      <c r="R495" s="12"/>
      <c r="S495" s="12"/>
      <c r="T495" s="36"/>
      <c r="U495" s="36"/>
      <c r="V495" s="12"/>
      <c r="W495" s="12"/>
      <c r="X495" s="12"/>
      <c r="Y495" s="12"/>
    </row>
    <row r="496" customFormat="false" ht="15.75" hidden="false" customHeight="false" outlineLevel="0" collapsed="false">
      <c r="A496" s="12"/>
      <c r="B496" s="34"/>
      <c r="C496" s="12"/>
      <c r="D496" s="12"/>
      <c r="E496" s="12"/>
      <c r="F496" s="12"/>
      <c r="G496" s="18"/>
      <c r="H496" s="35"/>
      <c r="I496" s="35"/>
      <c r="J496" s="12"/>
      <c r="O496" s="12"/>
      <c r="P496" s="18"/>
      <c r="Q496" s="12"/>
      <c r="R496" s="12"/>
      <c r="S496" s="12"/>
      <c r="T496" s="36"/>
      <c r="U496" s="36"/>
      <c r="V496" s="12"/>
      <c r="W496" s="12"/>
      <c r="X496" s="12"/>
      <c r="Y496" s="12"/>
    </row>
    <row r="497" customFormat="false" ht="15.75" hidden="false" customHeight="false" outlineLevel="0" collapsed="false">
      <c r="A497" s="12"/>
      <c r="B497" s="34"/>
      <c r="C497" s="12"/>
      <c r="D497" s="12"/>
      <c r="E497" s="12"/>
      <c r="F497" s="12"/>
      <c r="G497" s="18"/>
      <c r="H497" s="35"/>
      <c r="I497" s="35"/>
      <c r="J497" s="12"/>
      <c r="O497" s="12"/>
      <c r="P497" s="18"/>
      <c r="Q497" s="12"/>
      <c r="R497" s="12"/>
      <c r="S497" s="12"/>
      <c r="T497" s="36"/>
      <c r="U497" s="36"/>
      <c r="V497" s="12"/>
      <c r="W497" s="12"/>
      <c r="X497" s="12"/>
      <c r="Y497" s="12"/>
    </row>
    <row r="498" customFormat="false" ht="15.75" hidden="false" customHeight="false" outlineLevel="0" collapsed="false">
      <c r="A498" s="12"/>
      <c r="B498" s="34"/>
      <c r="C498" s="12"/>
      <c r="D498" s="12"/>
      <c r="E498" s="12"/>
      <c r="F498" s="12"/>
      <c r="G498" s="18"/>
      <c r="H498" s="35"/>
      <c r="I498" s="35"/>
      <c r="J498" s="12"/>
      <c r="O498" s="12"/>
      <c r="P498" s="18"/>
      <c r="Q498" s="12"/>
      <c r="R498" s="12"/>
      <c r="S498" s="12"/>
      <c r="T498" s="36"/>
      <c r="U498" s="36"/>
      <c r="V498" s="12"/>
      <c r="W498" s="12"/>
      <c r="X498" s="12"/>
      <c r="Y498" s="12"/>
    </row>
    <row r="499" customFormat="false" ht="15.75" hidden="false" customHeight="false" outlineLevel="0" collapsed="false">
      <c r="A499" s="12"/>
      <c r="B499" s="34"/>
      <c r="C499" s="12"/>
      <c r="D499" s="12"/>
      <c r="E499" s="12"/>
      <c r="F499" s="12"/>
      <c r="G499" s="18"/>
      <c r="H499" s="35"/>
      <c r="I499" s="35"/>
      <c r="J499" s="12"/>
      <c r="O499" s="12"/>
      <c r="P499" s="18"/>
      <c r="Q499" s="12"/>
      <c r="R499" s="12"/>
      <c r="S499" s="12"/>
      <c r="T499" s="36"/>
      <c r="U499" s="36"/>
      <c r="V499" s="12"/>
      <c r="W499" s="12"/>
      <c r="X499" s="12"/>
      <c r="Y499" s="12"/>
    </row>
    <row r="500" customFormat="false" ht="15.75" hidden="false" customHeight="false" outlineLevel="0" collapsed="false">
      <c r="A500" s="12"/>
      <c r="B500" s="34"/>
      <c r="C500" s="12"/>
      <c r="D500" s="12"/>
      <c r="E500" s="12"/>
      <c r="F500" s="12"/>
      <c r="G500" s="18"/>
      <c r="H500" s="35"/>
      <c r="I500" s="35"/>
      <c r="J500" s="12"/>
      <c r="O500" s="12"/>
      <c r="P500" s="18"/>
      <c r="Q500" s="12"/>
      <c r="R500" s="12"/>
      <c r="S500" s="12"/>
      <c r="T500" s="36"/>
      <c r="U500" s="36"/>
      <c r="V500" s="12"/>
      <c r="W500" s="12"/>
      <c r="X500" s="12"/>
      <c r="Y500" s="12"/>
    </row>
    <row r="501" customFormat="false" ht="15.75" hidden="false" customHeight="false" outlineLevel="0" collapsed="false">
      <c r="A501" s="12"/>
      <c r="B501" s="34"/>
      <c r="C501" s="12"/>
      <c r="D501" s="12"/>
      <c r="E501" s="12"/>
      <c r="F501" s="12"/>
      <c r="G501" s="18"/>
      <c r="H501" s="35"/>
      <c r="I501" s="35"/>
      <c r="J501" s="12"/>
      <c r="O501" s="12"/>
      <c r="P501" s="18"/>
      <c r="Q501" s="12"/>
      <c r="R501" s="12"/>
      <c r="S501" s="12"/>
      <c r="T501" s="36"/>
      <c r="U501" s="36"/>
      <c r="V501" s="12"/>
      <c r="W501" s="12"/>
      <c r="X501" s="12"/>
      <c r="Y501" s="12"/>
    </row>
    <row r="502" customFormat="false" ht="15.75" hidden="false" customHeight="false" outlineLevel="0" collapsed="false">
      <c r="A502" s="12"/>
      <c r="B502" s="34"/>
      <c r="C502" s="12"/>
      <c r="D502" s="12"/>
      <c r="E502" s="12"/>
      <c r="F502" s="12"/>
      <c r="G502" s="18"/>
      <c r="H502" s="35"/>
      <c r="I502" s="35"/>
      <c r="J502" s="12"/>
      <c r="O502" s="12"/>
      <c r="P502" s="18"/>
      <c r="Q502" s="12"/>
      <c r="R502" s="12"/>
      <c r="S502" s="12"/>
      <c r="T502" s="36"/>
      <c r="U502" s="36"/>
      <c r="V502" s="12"/>
      <c r="W502" s="12"/>
      <c r="X502" s="12"/>
      <c r="Y502" s="12"/>
    </row>
    <row r="503" customFormat="false" ht="15.75" hidden="false" customHeight="false" outlineLevel="0" collapsed="false">
      <c r="A503" s="12"/>
      <c r="B503" s="34"/>
      <c r="C503" s="12"/>
      <c r="D503" s="12"/>
      <c r="E503" s="12"/>
      <c r="F503" s="12"/>
      <c r="G503" s="18"/>
      <c r="H503" s="35"/>
      <c r="I503" s="35"/>
      <c r="J503" s="12"/>
      <c r="O503" s="12"/>
      <c r="P503" s="18"/>
      <c r="Q503" s="12"/>
      <c r="R503" s="12"/>
      <c r="S503" s="12"/>
      <c r="T503" s="36"/>
      <c r="U503" s="36"/>
      <c r="V503" s="12"/>
      <c r="W503" s="12"/>
      <c r="X503" s="12"/>
      <c r="Y503" s="12"/>
    </row>
    <row r="504" customFormat="false" ht="15.75" hidden="false" customHeight="false" outlineLevel="0" collapsed="false">
      <c r="A504" s="12"/>
      <c r="B504" s="34"/>
      <c r="C504" s="12"/>
      <c r="D504" s="12"/>
      <c r="E504" s="12"/>
      <c r="F504" s="12"/>
      <c r="G504" s="18"/>
      <c r="H504" s="35"/>
      <c r="I504" s="35"/>
      <c r="J504" s="12"/>
      <c r="O504" s="12"/>
      <c r="P504" s="18"/>
      <c r="Q504" s="12"/>
      <c r="R504" s="12"/>
      <c r="S504" s="12"/>
      <c r="T504" s="36"/>
      <c r="U504" s="36"/>
      <c r="V504" s="12"/>
      <c r="W504" s="12"/>
      <c r="X504" s="12"/>
      <c r="Y504" s="12"/>
    </row>
    <row r="505" customFormat="false" ht="15.75" hidden="false" customHeight="false" outlineLevel="0" collapsed="false">
      <c r="A505" s="12"/>
      <c r="B505" s="34"/>
      <c r="C505" s="12"/>
      <c r="D505" s="12"/>
      <c r="E505" s="12"/>
      <c r="F505" s="12"/>
      <c r="G505" s="18"/>
      <c r="H505" s="35"/>
      <c r="I505" s="35"/>
      <c r="J505" s="12"/>
      <c r="O505" s="12"/>
      <c r="P505" s="18"/>
      <c r="Q505" s="12"/>
      <c r="R505" s="12"/>
      <c r="S505" s="12"/>
      <c r="T505" s="36"/>
      <c r="U505" s="36"/>
      <c r="V505" s="12"/>
      <c r="W505" s="12"/>
      <c r="X505" s="12"/>
      <c r="Y505" s="12"/>
    </row>
    <row r="506" customFormat="false" ht="15.75" hidden="false" customHeight="false" outlineLevel="0" collapsed="false">
      <c r="A506" s="12"/>
      <c r="B506" s="34"/>
      <c r="C506" s="12"/>
      <c r="D506" s="12"/>
      <c r="E506" s="12"/>
      <c r="F506" s="12"/>
      <c r="G506" s="18"/>
      <c r="H506" s="35"/>
      <c r="I506" s="35"/>
      <c r="J506" s="12"/>
      <c r="O506" s="12"/>
      <c r="P506" s="18"/>
      <c r="Q506" s="12"/>
      <c r="R506" s="12"/>
      <c r="S506" s="12"/>
      <c r="T506" s="36"/>
      <c r="U506" s="36"/>
      <c r="V506" s="12"/>
      <c r="W506" s="12"/>
      <c r="X506" s="12"/>
      <c r="Y506" s="12"/>
    </row>
    <row r="507" customFormat="false" ht="15.75" hidden="false" customHeight="false" outlineLevel="0" collapsed="false">
      <c r="A507" s="12"/>
      <c r="B507" s="34"/>
      <c r="C507" s="12"/>
      <c r="D507" s="12"/>
      <c r="E507" s="12"/>
      <c r="F507" s="12"/>
      <c r="G507" s="18"/>
      <c r="H507" s="35"/>
      <c r="I507" s="35"/>
      <c r="J507" s="12"/>
      <c r="O507" s="12"/>
      <c r="P507" s="18"/>
      <c r="Q507" s="12"/>
      <c r="R507" s="12"/>
      <c r="S507" s="12"/>
      <c r="T507" s="36"/>
      <c r="U507" s="36"/>
      <c r="V507" s="12"/>
      <c r="W507" s="12"/>
      <c r="X507" s="12"/>
      <c r="Y507" s="12"/>
    </row>
    <row r="508" customFormat="false" ht="15.75" hidden="false" customHeight="false" outlineLevel="0" collapsed="false">
      <c r="A508" s="12"/>
      <c r="B508" s="34"/>
      <c r="C508" s="12"/>
      <c r="D508" s="12"/>
      <c r="E508" s="12"/>
      <c r="F508" s="12"/>
      <c r="G508" s="18"/>
      <c r="H508" s="35"/>
      <c r="I508" s="35"/>
      <c r="J508" s="12"/>
      <c r="O508" s="12"/>
      <c r="P508" s="18"/>
      <c r="Q508" s="12"/>
      <c r="R508" s="12"/>
      <c r="S508" s="12"/>
      <c r="T508" s="36"/>
      <c r="U508" s="36"/>
      <c r="V508" s="12"/>
      <c r="W508" s="12"/>
      <c r="X508" s="12"/>
      <c r="Y508" s="12"/>
    </row>
    <row r="509" customFormat="false" ht="15.75" hidden="false" customHeight="false" outlineLevel="0" collapsed="false">
      <c r="A509" s="12"/>
      <c r="B509" s="34"/>
      <c r="C509" s="12"/>
      <c r="D509" s="12"/>
      <c r="E509" s="12"/>
      <c r="F509" s="12"/>
      <c r="G509" s="18"/>
      <c r="H509" s="35"/>
      <c r="I509" s="35"/>
      <c r="J509" s="12"/>
      <c r="O509" s="12"/>
      <c r="P509" s="18"/>
      <c r="Q509" s="12"/>
      <c r="R509" s="12"/>
      <c r="S509" s="12"/>
      <c r="T509" s="36"/>
      <c r="U509" s="36"/>
      <c r="V509" s="12"/>
      <c r="W509" s="12"/>
      <c r="X509" s="12"/>
      <c r="Y509" s="12"/>
    </row>
    <row r="510" customFormat="false" ht="15.75" hidden="false" customHeight="false" outlineLevel="0" collapsed="false">
      <c r="A510" s="12"/>
      <c r="B510" s="34"/>
      <c r="C510" s="12"/>
      <c r="D510" s="12"/>
      <c r="E510" s="12"/>
      <c r="F510" s="12"/>
      <c r="G510" s="18"/>
      <c r="H510" s="35"/>
      <c r="I510" s="35"/>
      <c r="J510" s="12"/>
      <c r="O510" s="12"/>
      <c r="P510" s="18"/>
      <c r="Q510" s="12"/>
      <c r="R510" s="12"/>
      <c r="S510" s="12"/>
      <c r="T510" s="36"/>
      <c r="U510" s="36"/>
      <c r="V510" s="12"/>
      <c r="W510" s="12"/>
      <c r="X510" s="12"/>
      <c r="Y510" s="12"/>
    </row>
    <row r="511" customFormat="false" ht="15.75" hidden="false" customHeight="false" outlineLevel="0" collapsed="false">
      <c r="A511" s="12"/>
      <c r="B511" s="34"/>
      <c r="C511" s="12"/>
      <c r="D511" s="12"/>
      <c r="E511" s="12"/>
      <c r="F511" s="12"/>
      <c r="G511" s="18"/>
      <c r="H511" s="35"/>
      <c r="I511" s="35"/>
      <c r="J511" s="12"/>
      <c r="O511" s="12"/>
      <c r="P511" s="18"/>
      <c r="Q511" s="12"/>
      <c r="R511" s="12"/>
      <c r="S511" s="12"/>
      <c r="T511" s="36"/>
      <c r="U511" s="36"/>
      <c r="V511" s="12"/>
      <c r="W511" s="12"/>
      <c r="X511" s="12"/>
      <c r="Y511" s="12"/>
    </row>
    <row r="512" customFormat="false" ht="15.75" hidden="false" customHeight="false" outlineLevel="0" collapsed="false">
      <c r="A512" s="12"/>
      <c r="B512" s="34"/>
      <c r="C512" s="12"/>
      <c r="D512" s="12"/>
      <c r="E512" s="12"/>
      <c r="F512" s="12"/>
      <c r="G512" s="18"/>
      <c r="H512" s="35"/>
      <c r="I512" s="35"/>
      <c r="J512" s="12"/>
      <c r="O512" s="12"/>
      <c r="P512" s="18"/>
      <c r="Q512" s="12"/>
      <c r="R512" s="12"/>
      <c r="S512" s="12"/>
      <c r="T512" s="36"/>
      <c r="U512" s="36"/>
      <c r="V512" s="12"/>
      <c r="W512" s="12"/>
      <c r="X512" s="12"/>
      <c r="Y512" s="12"/>
    </row>
    <row r="513" customFormat="false" ht="15.75" hidden="false" customHeight="false" outlineLevel="0" collapsed="false">
      <c r="A513" s="12"/>
      <c r="B513" s="34"/>
      <c r="C513" s="12"/>
      <c r="D513" s="12"/>
      <c r="E513" s="12"/>
      <c r="F513" s="12"/>
      <c r="G513" s="18"/>
      <c r="H513" s="35"/>
      <c r="I513" s="35"/>
      <c r="J513" s="12"/>
      <c r="O513" s="12"/>
      <c r="P513" s="18"/>
      <c r="Q513" s="12"/>
      <c r="R513" s="12"/>
      <c r="S513" s="12"/>
      <c r="T513" s="36"/>
      <c r="U513" s="36"/>
      <c r="V513" s="12"/>
      <c r="W513" s="12"/>
      <c r="X513" s="12"/>
      <c r="Y513" s="12"/>
    </row>
    <row r="514" customFormat="false" ht="15.75" hidden="false" customHeight="false" outlineLevel="0" collapsed="false">
      <c r="A514" s="12"/>
      <c r="B514" s="34"/>
      <c r="C514" s="12"/>
      <c r="D514" s="12"/>
      <c r="E514" s="12"/>
      <c r="F514" s="12"/>
      <c r="G514" s="18"/>
      <c r="H514" s="35"/>
      <c r="I514" s="35"/>
      <c r="J514" s="12"/>
      <c r="O514" s="12"/>
      <c r="P514" s="18"/>
      <c r="Q514" s="12"/>
      <c r="R514" s="12"/>
      <c r="S514" s="12"/>
      <c r="T514" s="36"/>
      <c r="U514" s="36"/>
      <c r="V514" s="12"/>
      <c r="W514" s="12"/>
      <c r="X514" s="12"/>
      <c r="Y514" s="12"/>
    </row>
    <row r="515" customFormat="false" ht="15.75" hidden="false" customHeight="false" outlineLevel="0" collapsed="false">
      <c r="A515" s="12"/>
      <c r="B515" s="34"/>
      <c r="C515" s="12"/>
      <c r="D515" s="12"/>
      <c r="E515" s="12"/>
      <c r="F515" s="12"/>
      <c r="G515" s="18"/>
      <c r="H515" s="35"/>
      <c r="I515" s="35"/>
      <c r="J515" s="12"/>
      <c r="O515" s="12"/>
      <c r="P515" s="18"/>
      <c r="Q515" s="12"/>
      <c r="R515" s="12"/>
      <c r="S515" s="12"/>
      <c r="T515" s="36"/>
      <c r="U515" s="36"/>
      <c r="V515" s="12"/>
      <c r="W515" s="12"/>
      <c r="X515" s="12"/>
      <c r="Y515" s="12"/>
    </row>
    <row r="516" customFormat="false" ht="15.75" hidden="false" customHeight="false" outlineLevel="0" collapsed="false">
      <c r="A516" s="12"/>
      <c r="B516" s="34"/>
      <c r="C516" s="12"/>
      <c r="D516" s="12"/>
      <c r="E516" s="12"/>
      <c r="F516" s="12"/>
      <c r="G516" s="18"/>
      <c r="H516" s="35"/>
      <c r="I516" s="35"/>
      <c r="J516" s="12"/>
      <c r="O516" s="12"/>
      <c r="P516" s="18"/>
      <c r="Q516" s="12"/>
      <c r="R516" s="12"/>
      <c r="S516" s="12"/>
      <c r="T516" s="36"/>
      <c r="U516" s="36"/>
      <c r="V516" s="12"/>
      <c r="W516" s="12"/>
      <c r="X516" s="12"/>
      <c r="Y516" s="12"/>
    </row>
    <row r="517" customFormat="false" ht="15.75" hidden="false" customHeight="false" outlineLevel="0" collapsed="false">
      <c r="A517" s="12"/>
      <c r="B517" s="34"/>
      <c r="C517" s="12"/>
      <c r="D517" s="12"/>
      <c r="E517" s="12"/>
      <c r="F517" s="12"/>
      <c r="G517" s="18"/>
      <c r="H517" s="35"/>
      <c r="I517" s="35"/>
      <c r="J517" s="12"/>
      <c r="O517" s="12"/>
      <c r="P517" s="18"/>
      <c r="Q517" s="12"/>
      <c r="R517" s="12"/>
      <c r="S517" s="12"/>
      <c r="T517" s="36"/>
      <c r="U517" s="36"/>
      <c r="V517" s="12"/>
      <c r="W517" s="12"/>
      <c r="X517" s="12"/>
      <c r="Y517" s="12"/>
    </row>
    <row r="518" customFormat="false" ht="15.75" hidden="false" customHeight="false" outlineLevel="0" collapsed="false">
      <c r="A518" s="12"/>
      <c r="B518" s="34"/>
      <c r="C518" s="12"/>
      <c r="D518" s="12"/>
      <c r="E518" s="12"/>
      <c r="F518" s="12"/>
      <c r="G518" s="18"/>
      <c r="H518" s="35"/>
      <c r="I518" s="35"/>
      <c r="J518" s="12"/>
      <c r="O518" s="12"/>
      <c r="P518" s="18"/>
      <c r="Q518" s="12"/>
      <c r="R518" s="12"/>
      <c r="S518" s="12"/>
      <c r="T518" s="36"/>
      <c r="U518" s="36"/>
      <c r="V518" s="12"/>
      <c r="W518" s="12"/>
      <c r="X518" s="12"/>
      <c r="Y518" s="12"/>
    </row>
    <row r="519" customFormat="false" ht="15.75" hidden="false" customHeight="false" outlineLevel="0" collapsed="false">
      <c r="A519" s="12"/>
      <c r="B519" s="34"/>
      <c r="C519" s="12"/>
      <c r="D519" s="12"/>
      <c r="E519" s="12"/>
      <c r="F519" s="12"/>
      <c r="G519" s="18"/>
      <c r="H519" s="35"/>
      <c r="I519" s="35"/>
      <c r="J519" s="12"/>
      <c r="O519" s="12"/>
      <c r="P519" s="18"/>
      <c r="Q519" s="12"/>
      <c r="R519" s="12"/>
      <c r="S519" s="12"/>
      <c r="T519" s="36"/>
      <c r="U519" s="36"/>
      <c r="V519" s="12"/>
      <c r="W519" s="12"/>
      <c r="X519" s="12"/>
      <c r="Y519" s="12"/>
    </row>
    <row r="520" customFormat="false" ht="15.75" hidden="false" customHeight="false" outlineLevel="0" collapsed="false">
      <c r="A520" s="12"/>
      <c r="B520" s="34"/>
      <c r="C520" s="12"/>
      <c r="D520" s="12"/>
      <c r="E520" s="12"/>
      <c r="F520" s="12"/>
      <c r="G520" s="18"/>
      <c r="H520" s="35"/>
      <c r="I520" s="35"/>
      <c r="J520" s="12"/>
      <c r="O520" s="12"/>
      <c r="P520" s="18"/>
      <c r="Q520" s="12"/>
      <c r="R520" s="12"/>
      <c r="S520" s="12"/>
      <c r="T520" s="36"/>
      <c r="U520" s="36"/>
      <c r="V520" s="12"/>
      <c r="W520" s="12"/>
      <c r="X520" s="12"/>
      <c r="Y520" s="12"/>
    </row>
    <row r="521" customFormat="false" ht="15.75" hidden="false" customHeight="false" outlineLevel="0" collapsed="false">
      <c r="A521" s="12"/>
      <c r="B521" s="34"/>
      <c r="C521" s="12"/>
      <c r="D521" s="12"/>
      <c r="E521" s="12"/>
      <c r="F521" s="12"/>
      <c r="G521" s="18"/>
      <c r="H521" s="35"/>
      <c r="I521" s="35"/>
      <c r="J521" s="12"/>
      <c r="O521" s="12"/>
      <c r="P521" s="18"/>
      <c r="Q521" s="12"/>
      <c r="R521" s="12"/>
      <c r="S521" s="12"/>
      <c r="T521" s="36"/>
      <c r="U521" s="36"/>
      <c r="V521" s="12"/>
      <c r="W521" s="12"/>
      <c r="X521" s="12"/>
      <c r="Y521" s="12"/>
    </row>
    <row r="522" customFormat="false" ht="15.75" hidden="false" customHeight="false" outlineLevel="0" collapsed="false">
      <c r="A522" s="12"/>
      <c r="B522" s="34"/>
      <c r="C522" s="12"/>
      <c r="D522" s="12"/>
      <c r="E522" s="12"/>
      <c r="F522" s="12"/>
      <c r="G522" s="18"/>
      <c r="H522" s="35"/>
      <c r="I522" s="35"/>
      <c r="J522" s="12"/>
      <c r="O522" s="12"/>
      <c r="P522" s="18"/>
      <c r="Q522" s="12"/>
      <c r="R522" s="12"/>
      <c r="S522" s="12"/>
      <c r="T522" s="36"/>
      <c r="U522" s="36"/>
      <c r="V522" s="12"/>
      <c r="W522" s="12"/>
      <c r="X522" s="12"/>
      <c r="Y522" s="12"/>
    </row>
    <row r="523" customFormat="false" ht="15.75" hidden="false" customHeight="false" outlineLevel="0" collapsed="false">
      <c r="A523" s="12"/>
      <c r="B523" s="34"/>
      <c r="C523" s="12"/>
      <c r="D523" s="12"/>
      <c r="E523" s="12"/>
      <c r="F523" s="12"/>
      <c r="G523" s="18"/>
      <c r="H523" s="35"/>
      <c r="I523" s="35"/>
      <c r="J523" s="12"/>
      <c r="O523" s="12"/>
      <c r="P523" s="18"/>
      <c r="Q523" s="12"/>
      <c r="R523" s="12"/>
      <c r="S523" s="12"/>
      <c r="T523" s="36"/>
      <c r="U523" s="36"/>
      <c r="V523" s="12"/>
      <c r="W523" s="12"/>
      <c r="X523" s="12"/>
      <c r="Y523" s="12"/>
    </row>
    <row r="524" customFormat="false" ht="15.75" hidden="false" customHeight="false" outlineLevel="0" collapsed="false">
      <c r="A524" s="12"/>
      <c r="B524" s="34"/>
      <c r="C524" s="12"/>
      <c r="D524" s="12"/>
      <c r="E524" s="12"/>
      <c r="F524" s="12"/>
      <c r="G524" s="18"/>
      <c r="H524" s="35"/>
      <c r="I524" s="35"/>
      <c r="J524" s="12"/>
      <c r="O524" s="12"/>
      <c r="P524" s="18"/>
      <c r="Q524" s="12"/>
      <c r="R524" s="12"/>
      <c r="S524" s="12"/>
      <c r="T524" s="36"/>
      <c r="U524" s="36"/>
      <c r="V524" s="12"/>
      <c r="W524" s="12"/>
      <c r="X524" s="12"/>
      <c r="Y524" s="12"/>
    </row>
    <row r="525" customFormat="false" ht="15.75" hidden="false" customHeight="false" outlineLevel="0" collapsed="false">
      <c r="A525" s="12"/>
      <c r="B525" s="34"/>
      <c r="C525" s="12"/>
      <c r="D525" s="12"/>
      <c r="E525" s="12"/>
      <c r="F525" s="12"/>
      <c r="G525" s="18"/>
      <c r="H525" s="35"/>
      <c r="I525" s="35"/>
      <c r="J525" s="12"/>
      <c r="O525" s="12"/>
      <c r="P525" s="18"/>
      <c r="Q525" s="12"/>
      <c r="R525" s="12"/>
      <c r="S525" s="12"/>
      <c r="T525" s="36"/>
      <c r="U525" s="36"/>
      <c r="V525" s="12"/>
      <c r="W525" s="12"/>
      <c r="X525" s="12"/>
      <c r="Y525" s="12"/>
    </row>
    <row r="526" customFormat="false" ht="15.75" hidden="false" customHeight="false" outlineLevel="0" collapsed="false">
      <c r="A526" s="12"/>
      <c r="B526" s="34"/>
      <c r="C526" s="12"/>
      <c r="D526" s="12"/>
      <c r="E526" s="12"/>
      <c r="F526" s="12"/>
      <c r="G526" s="18"/>
      <c r="H526" s="35"/>
      <c r="I526" s="35"/>
      <c r="J526" s="12"/>
      <c r="O526" s="12"/>
      <c r="P526" s="18"/>
      <c r="Q526" s="12"/>
      <c r="R526" s="12"/>
      <c r="S526" s="12"/>
      <c r="T526" s="36"/>
      <c r="U526" s="36"/>
      <c r="V526" s="12"/>
      <c r="W526" s="12"/>
      <c r="X526" s="12"/>
      <c r="Y526" s="12"/>
    </row>
    <row r="527" customFormat="false" ht="15.75" hidden="false" customHeight="false" outlineLevel="0" collapsed="false">
      <c r="A527" s="12"/>
      <c r="B527" s="34"/>
      <c r="C527" s="12"/>
      <c r="D527" s="12"/>
      <c r="E527" s="12"/>
      <c r="F527" s="12"/>
      <c r="G527" s="18"/>
      <c r="H527" s="35"/>
      <c r="I527" s="35"/>
      <c r="J527" s="12"/>
      <c r="O527" s="12"/>
      <c r="P527" s="18"/>
      <c r="Q527" s="12"/>
      <c r="R527" s="12"/>
      <c r="S527" s="12"/>
      <c r="T527" s="36"/>
      <c r="U527" s="36"/>
      <c r="V527" s="12"/>
      <c r="W527" s="12"/>
      <c r="X527" s="12"/>
      <c r="Y527" s="12"/>
    </row>
    <row r="528" customFormat="false" ht="15.75" hidden="false" customHeight="false" outlineLevel="0" collapsed="false">
      <c r="A528" s="12"/>
      <c r="B528" s="34"/>
      <c r="C528" s="12"/>
      <c r="D528" s="12"/>
      <c r="E528" s="12"/>
      <c r="F528" s="12"/>
      <c r="G528" s="18"/>
      <c r="H528" s="35"/>
      <c r="I528" s="35"/>
      <c r="J528" s="12"/>
      <c r="O528" s="12"/>
      <c r="P528" s="18"/>
      <c r="Q528" s="12"/>
      <c r="R528" s="12"/>
      <c r="S528" s="12"/>
      <c r="T528" s="36"/>
      <c r="U528" s="36"/>
      <c r="V528" s="12"/>
      <c r="W528" s="12"/>
      <c r="X528" s="12"/>
      <c r="Y528" s="12"/>
    </row>
    <row r="529" customFormat="false" ht="15.75" hidden="false" customHeight="false" outlineLevel="0" collapsed="false">
      <c r="A529" s="12"/>
      <c r="B529" s="34"/>
      <c r="C529" s="12"/>
      <c r="D529" s="12"/>
      <c r="E529" s="12"/>
      <c r="F529" s="12"/>
      <c r="G529" s="18"/>
      <c r="H529" s="35"/>
      <c r="I529" s="35"/>
      <c r="J529" s="12"/>
      <c r="O529" s="12"/>
      <c r="P529" s="18"/>
      <c r="Q529" s="12"/>
      <c r="R529" s="12"/>
      <c r="S529" s="12"/>
      <c r="T529" s="36"/>
      <c r="U529" s="36"/>
      <c r="V529" s="12"/>
      <c r="W529" s="12"/>
      <c r="X529" s="12"/>
      <c r="Y529" s="12"/>
    </row>
    <row r="530" customFormat="false" ht="15.75" hidden="false" customHeight="false" outlineLevel="0" collapsed="false">
      <c r="A530" s="12"/>
      <c r="B530" s="34"/>
      <c r="C530" s="12"/>
      <c r="D530" s="12"/>
      <c r="E530" s="12"/>
      <c r="F530" s="12"/>
      <c r="G530" s="18"/>
      <c r="H530" s="35"/>
      <c r="I530" s="35"/>
      <c r="J530" s="12"/>
      <c r="O530" s="12"/>
      <c r="P530" s="18"/>
      <c r="Q530" s="12"/>
      <c r="R530" s="12"/>
      <c r="S530" s="12"/>
      <c r="T530" s="36"/>
      <c r="U530" s="36"/>
      <c r="V530" s="12"/>
      <c r="W530" s="12"/>
      <c r="X530" s="12"/>
      <c r="Y530" s="12"/>
    </row>
    <row r="531" customFormat="false" ht="15.75" hidden="false" customHeight="false" outlineLevel="0" collapsed="false">
      <c r="A531" s="12"/>
      <c r="B531" s="34"/>
      <c r="C531" s="12"/>
      <c r="D531" s="12"/>
      <c r="E531" s="12"/>
      <c r="F531" s="12"/>
      <c r="G531" s="18"/>
      <c r="H531" s="35"/>
      <c r="I531" s="35"/>
      <c r="J531" s="12"/>
      <c r="O531" s="12"/>
      <c r="P531" s="18"/>
      <c r="Q531" s="12"/>
      <c r="R531" s="12"/>
      <c r="S531" s="12"/>
      <c r="T531" s="36"/>
      <c r="U531" s="36"/>
      <c r="V531" s="12"/>
      <c r="W531" s="12"/>
      <c r="X531" s="12"/>
      <c r="Y531" s="12"/>
    </row>
    <row r="532" customFormat="false" ht="15.75" hidden="false" customHeight="false" outlineLevel="0" collapsed="false">
      <c r="A532" s="12"/>
      <c r="B532" s="34"/>
      <c r="C532" s="12"/>
      <c r="D532" s="12"/>
      <c r="E532" s="12"/>
      <c r="F532" s="12"/>
      <c r="G532" s="18"/>
      <c r="H532" s="35"/>
      <c r="I532" s="35"/>
      <c r="J532" s="12"/>
      <c r="O532" s="12"/>
      <c r="P532" s="18"/>
      <c r="Q532" s="12"/>
      <c r="R532" s="12"/>
      <c r="S532" s="12"/>
      <c r="T532" s="36"/>
      <c r="U532" s="36"/>
      <c r="V532" s="12"/>
      <c r="W532" s="12"/>
      <c r="X532" s="12"/>
      <c r="Y532" s="12"/>
    </row>
    <row r="533" customFormat="false" ht="15.75" hidden="false" customHeight="false" outlineLevel="0" collapsed="false">
      <c r="A533" s="12"/>
      <c r="B533" s="34"/>
      <c r="C533" s="12"/>
      <c r="D533" s="12"/>
      <c r="E533" s="12"/>
      <c r="F533" s="12"/>
      <c r="G533" s="18"/>
      <c r="H533" s="35"/>
      <c r="I533" s="35"/>
      <c r="J533" s="12"/>
      <c r="O533" s="12"/>
      <c r="P533" s="18"/>
      <c r="Q533" s="12"/>
      <c r="R533" s="12"/>
      <c r="S533" s="12"/>
      <c r="T533" s="36"/>
      <c r="U533" s="36"/>
      <c r="V533" s="12"/>
      <c r="W533" s="12"/>
      <c r="X533" s="12"/>
      <c r="Y533" s="12"/>
    </row>
    <row r="534" customFormat="false" ht="15.75" hidden="false" customHeight="false" outlineLevel="0" collapsed="false">
      <c r="A534" s="12"/>
      <c r="B534" s="34"/>
      <c r="C534" s="12"/>
      <c r="D534" s="12"/>
      <c r="E534" s="12"/>
      <c r="F534" s="12"/>
      <c r="G534" s="18"/>
      <c r="H534" s="35"/>
      <c r="I534" s="35"/>
      <c r="J534" s="12"/>
      <c r="O534" s="12"/>
      <c r="P534" s="18"/>
      <c r="Q534" s="12"/>
      <c r="R534" s="12"/>
      <c r="S534" s="12"/>
      <c r="T534" s="36"/>
      <c r="U534" s="36"/>
      <c r="V534" s="12"/>
      <c r="W534" s="12"/>
      <c r="X534" s="12"/>
      <c r="Y534" s="12"/>
    </row>
    <row r="535" customFormat="false" ht="15.75" hidden="false" customHeight="false" outlineLevel="0" collapsed="false">
      <c r="A535" s="12"/>
      <c r="B535" s="34"/>
      <c r="C535" s="12"/>
      <c r="D535" s="12"/>
      <c r="E535" s="12"/>
      <c r="F535" s="12"/>
      <c r="G535" s="18"/>
      <c r="H535" s="35"/>
      <c r="I535" s="35"/>
      <c r="J535" s="12"/>
      <c r="O535" s="12"/>
      <c r="P535" s="18"/>
      <c r="Q535" s="12"/>
      <c r="R535" s="12"/>
      <c r="S535" s="12"/>
      <c r="T535" s="36"/>
      <c r="U535" s="36"/>
      <c r="V535" s="12"/>
      <c r="W535" s="12"/>
      <c r="X535" s="12"/>
      <c r="Y535" s="12"/>
    </row>
    <row r="536" customFormat="false" ht="15.75" hidden="false" customHeight="false" outlineLevel="0" collapsed="false">
      <c r="A536" s="12"/>
      <c r="B536" s="34"/>
      <c r="C536" s="12"/>
      <c r="D536" s="12"/>
      <c r="E536" s="12"/>
      <c r="F536" s="12"/>
      <c r="G536" s="18"/>
      <c r="H536" s="35"/>
      <c r="I536" s="35"/>
      <c r="J536" s="12"/>
      <c r="O536" s="12"/>
      <c r="P536" s="18"/>
      <c r="Q536" s="12"/>
      <c r="R536" s="12"/>
      <c r="S536" s="12"/>
      <c r="T536" s="36"/>
      <c r="U536" s="36"/>
      <c r="V536" s="12"/>
      <c r="W536" s="12"/>
      <c r="X536" s="12"/>
      <c r="Y536" s="12"/>
    </row>
    <row r="537" customFormat="false" ht="15.75" hidden="false" customHeight="false" outlineLevel="0" collapsed="false">
      <c r="A537" s="12"/>
      <c r="B537" s="34"/>
      <c r="C537" s="12"/>
      <c r="D537" s="12"/>
      <c r="E537" s="12"/>
      <c r="F537" s="12"/>
      <c r="G537" s="18"/>
      <c r="H537" s="35"/>
      <c r="I537" s="35"/>
      <c r="J537" s="12"/>
      <c r="O537" s="12"/>
      <c r="P537" s="18"/>
      <c r="Q537" s="12"/>
      <c r="R537" s="12"/>
      <c r="S537" s="12"/>
      <c r="T537" s="36"/>
      <c r="U537" s="36"/>
      <c r="V537" s="12"/>
      <c r="W537" s="12"/>
      <c r="X537" s="12"/>
      <c r="Y537" s="12"/>
    </row>
    <row r="538" customFormat="false" ht="15.75" hidden="false" customHeight="false" outlineLevel="0" collapsed="false">
      <c r="A538" s="12"/>
      <c r="B538" s="34"/>
      <c r="C538" s="12"/>
      <c r="D538" s="12"/>
      <c r="E538" s="12"/>
      <c r="F538" s="12"/>
      <c r="G538" s="18"/>
      <c r="H538" s="35"/>
      <c r="I538" s="35"/>
      <c r="J538" s="12"/>
      <c r="O538" s="12"/>
      <c r="P538" s="18"/>
      <c r="Q538" s="12"/>
      <c r="R538" s="12"/>
      <c r="S538" s="12"/>
      <c r="T538" s="36"/>
      <c r="U538" s="36"/>
      <c r="V538" s="12"/>
      <c r="W538" s="12"/>
      <c r="X538" s="12"/>
      <c r="Y538" s="12"/>
    </row>
    <row r="539" customFormat="false" ht="15.75" hidden="false" customHeight="false" outlineLevel="0" collapsed="false">
      <c r="A539" s="12"/>
      <c r="B539" s="34"/>
      <c r="C539" s="12"/>
      <c r="D539" s="12"/>
      <c r="E539" s="12"/>
      <c r="F539" s="12"/>
      <c r="G539" s="18"/>
      <c r="H539" s="35"/>
      <c r="I539" s="35"/>
      <c r="J539" s="12"/>
      <c r="O539" s="12"/>
      <c r="P539" s="18"/>
      <c r="Q539" s="12"/>
      <c r="R539" s="12"/>
      <c r="S539" s="12"/>
      <c r="T539" s="36"/>
      <c r="U539" s="36"/>
      <c r="V539" s="12"/>
      <c r="W539" s="12"/>
      <c r="X539" s="12"/>
      <c r="Y539" s="12"/>
    </row>
    <row r="540" customFormat="false" ht="15.75" hidden="false" customHeight="false" outlineLevel="0" collapsed="false">
      <c r="A540" s="12"/>
      <c r="B540" s="34"/>
      <c r="C540" s="12"/>
      <c r="D540" s="12"/>
      <c r="E540" s="12"/>
      <c r="F540" s="12"/>
      <c r="G540" s="18"/>
      <c r="H540" s="35"/>
      <c r="I540" s="35"/>
      <c r="J540" s="12"/>
      <c r="O540" s="12"/>
      <c r="P540" s="18"/>
      <c r="Q540" s="12"/>
      <c r="R540" s="12"/>
      <c r="S540" s="12"/>
      <c r="T540" s="36"/>
      <c r="U540" s="36"/>
      <c r="V540" s="12"/>
      <c r="W540" s="12"/>
      <c r="X540" s="12"/>
      <c r="Y540" s="12"/>
    </row>
    <row r="541" customFormat="false" ht="15.75" hidden="false" customHeight="false" outlineLevel="0" collapsed="false">
      <c r="A541" s="12"/>
      <c r="B541" s="34"/>
      <c r="C541" s="12"/>
      <c r="D541" s="12"/>
      <c r="E541" s="12"/>
      <c r="F541" s="12"/>
      <c r="G541" s="18"/>
      <c r="H541" s="35"/>
      <c r="I541" s="35"/>
      <c r="J541" s="12"/>
      <c r="O541" s="12"/>
      <c r="P541" s="18"/>
      <c r="Q541" s="12"/>
      <c r="R541" s="12"/>
      <c r="S541" s="12"/>
      <c r="T541" s="36"/>
      <c r="U541" s="36"/>
      <c r="V541" s="12"/>
      <c r="W541" s="12"/>
      <c r="X541" s="12"/>
      <c r="Y541" s="12"/>
    </row>
    <row r="542" customFormat="false" ht="15.75" hidden="false" customHeight="false" outlineLevel="0" collapsed="false">
      <c r="A542" s="12"/>
      <c r="B542" s="34"/>
      <c r="C542" s="12"/>
      <c r="D542" s="12"/>
      <c r="E542" s="12"/>
      <c r="F542" s="12"/>
      <c r="G542" s="18"/>
      <c r="H542" s="35"/>
      <c r="I542" s="35"/>
      <c r="J542" s="12"/>
      <c r="O542" s="12"/>
      <c r="P542" s="18"/>
      <c r="Q542" s="12"/>
      <c r="R542" s="12"/>
      <c r="S542" s="12"/>
      <c r="T542" s="36"/>
      <c r="U542" s="36"/>
      <c r="V542" s="12"/>
      <c r="W542" s="12"/>
      <c r="X542" s="12"/>
      <c r="Y542" s="12"/>
    </row>
    <row r="543" customFormat="false" ht="15.75" hidden="false" customHeight="false" outlineLevel="0" collapsed="false">
      <c r="A543" s="12"/>
      <c r="B543" s="34"/>
      <c r="C543" s="12"/>
      <c r="D543" s="12"/>
      <c r="E543" s="12"/>
      <c r="F543" s="12"/>
      <c r="G543" s="18"/>
      <c r="H543" s="35"/>
      <c r="I543" s="35"/>
      <c r="J543" s="12"/>
      <c r="O543" s="12"/>
      <c r="P543" s="18"/>
      <c r="Q543" s="12"/>
      <c r="R543" s="12"/>
      <c r="S543" s="12"/>
      <c r="T543" s="36"/>
      <c r="U543" s="36"/>
      <c r="V543" s="12"/>
      <c r="W543" s="12"/>
      <c r="X543" s="12"/>
      <c r="Y543" s="12"/>
    </row>
    <row r="544" customFormat="false" ht="15.75" hidden="false" customHeight="false" outlineLevel="0" collapsed="false">
      <c r="A544" s="12"/>
      <c r="B544" s="34"/>
      <c r="C544" s="12"/>
      <c r="D544" s="12"/>
      <c r="E544" s="12"/>
      <c r="F544" s="12"/>
      <c r="G544" s="18"/>
      <c r="H544" s="35"/>
      <c r="I544" s="35"/>
      <c r="J544" s="12"/>
      <c r="O544" s="12"/>
      <c r="P544" s="18"/>
      <c r="Q544" s="12"/>
      <c r="R544" s="12"/>
      <c r="S544" s="12"/>
      <c r="T544" s="36"/>
      <c r="U544" s="36"/>
      <c r="V544" s="12"/>
      <c r="W544" s="12"/>
      <c r="X544" s="12"/>
      <c r="Y544" s="12"/>
    </row>
    <row r="1048575" customFormat="false" ht="12.8" hidden="false" customHeight="true" outlineLevel="0" collapsed="false"/>
    <row r="1048576" customFormat="false" ht="12.8" hidden="false" customHeight="true" outlineLevel="0" collapsed="false"/>
  </sheetData>
  <conditionalFormatting sqref="G2:G4 P2:P4 G14">
    <cfRule type="containsText" priority="2" operator="containsText" aboveAverage="0" equalAverage="0" bottom="0" percent="0" rank="0" text="x" dxfId="0">
      <formula>NOT(ISERROR(SEARCH("x",G2)))</formula>
    </cfRule>
  </conditionalFormatting>
  <conditionalFormatting sqref="G2:J4 Q2:R4 W2:Y4 G14">
    <cfRule type="cellIs" priority="3" operator="equal" aboveAverage="0" equalAverage="0" bottom="0" percent="0" rank="0" text="" dxfId="0">
      <formula>"Completo"</formula>
    </cfRule>
    <cfRule type="cellIs" priority="4" operator="equal" aboveAverage="0" equalAverage="0" bottom="0" percent="0" rank="0" text="" dxfId="1">
      <formula>"No Aplica"</formula>
    </cfRule>
  </conditionalFormatting>
  <conditionalFormatting sqref="S2 T2:U4">
    <cfRule type="expression" priority="5" aboveAverage="0" equalAverage="0" bottom="0" percent="0" rank="0" text="" dxfId="0">
      <formula>LEN(TRIM(S2))&gt;0</formula>
    </cfRule>
  </conditionalFormatting>
  <conditionalFormatting sqref="S2:S4">
    <cfRule type="expression" priority="6" aboveAverage="0" equalAverage="0" bottom="0" percent="0" rank="0" text="" dxfId="0">
      <formula>LEN(TRIM(S2))&gt;0</formula>
    </cfRule>
  </conditionalFormatting>
  <conditionalFormatting sqref="V2:V4">
    <cfRule type="expression" priority="7" aboveAverage="0" equalAverage="0" bottom="0" percent="0" rank="0" text="" dxfId="0">
      <formula>LEN(TRIM(V2))&gt;0</formula>
    </cfRule>
  </conditionalFormatting>
  <conditionalFormatting sqref="Y2:Y4">
    <cfRule type="cellIs" priority="8" operator="equal" aboveAverage="0" equalAverage="0" bottom="0" percent="0" rank="0" text="" dxfId="0">
      <formula>"Completo"</formula>
    </cfRule>
    <cfRule type="cellIs" priority="9" operator="equal" aboveAverage="0" equalAverage="0" bottom="0" percent="0" rank="0" text="" dxfId="1">
      <formula>"No aplica"</formula>
    </cfRule>
  </conditionalFormatting>
  <conditionalFormatting sqref="T5:U544">
    <cfRule type="expression" priority="10" aboveAverage="0" equalAverage="0" bottom="0" percent="0" rank="0" text="" dxfId="0">
      <formula>LEN(TRIM(T5))&gt;0</formula>
    </cfRule>
  </conditionalFormatting>
  <conditionalFormatting sqref="S5:S544">
    <cfRule type="expression" priority="11" aboveAverage="0" equalAverage="0" bottom="0" percent="0" rank="0" text="" dxfId="0">
      <formula>LEN(TRIM(S5))&gt;0</formula>
    </cfRule>
  </conditionalFormatting>
  <conditionalFormatting sqref="G5:G544 P5:P544">
    <cfRule type="containsText" priority="12" operator="containsText" aboveAverage="0" equalAverage="0" bottom="0" percent="0" rank="0" text="x" dxfId="0">
      <formula>NOT(ISERROR(SEARCH("x",G5)))</formula>
    </cfRule>
  </conditionalFormatting>
  <conditionalFormatting sqref="V5:V23 V25:V544">
    <cfRule type="expression" priority="13" aboveAverage="0" equalAverage="0" bottom="0" percent="0" rank="0" text="" dxfId="0">
      <formula>LEN(TRIM(V5))&gt;0</formula>
    </cfRule>
  </conditionalFormatting>
  <conditionalFormatting sqref="Y5:Y544">
    <cfRule type="cellIs" priority="14" operator="equal" aboveAverage="0" equalAverage="0" bottom="0" percent="0" rank="0" text="" dxfId="0">
      <formula>"Completo"</formula>
    </cfRule>
    <cfRule type="cellIs" priority="15" operator="equal" aboveAverage="0" equalAverage="0" bottom="0" percent="0" rank="0" text="" dxfId="1">
      <formula>"No aplica"</formula>
    </cfRule>
  </conditionalFormatting>
  <conditionalFormatting sqref="G5:J544 Q5:R544 W5:Y544">
    <cfRule type="cellIs" priority="16" operator="equal" aboveAverage="0" equalAverage="0" bottom="0" percent="0" rank="0" text="" dxfId="0">
      <formula>"Completo"</formula>
    </cfRule>
    <cfRule type="cellIs" priority="17" operator="equal" aboveAverage="0" equalAverage="0" bottom="0" percent="0" rank="0" text="" dxfId="1">
      <formula>"No Aplica"</formula>
    </cfRule>
  </conditionalFormatting>
  <dataValidations count="6">
    <dataValidation allowBlank="true" errorStyle="stop" operator="between" showDropDown="false" showErrorMessage="true" showInputMessage="false" sqref="Z2:Z25 V24 Z26:Z67" type="list">
      <formula1>"Aceptada,En espera,Rechazada,No aplica"</formula1>
      <formula2>0</formula2>
    </dataValidation>
    <dataValidation allowBlank="true" errorStyle="stop" operator="between" showDropDown="false" showErrorMessage="false" showInputMessage="false" sqref="V2:V23 V25:V544" type="list">
      <formula1>LEYENDA!$A$23:$A$24</formula1>
      <formula2>0</formula2>
    </dataValidation>
    <dataValidation allowBlank="true" errorStyle="stop" operator="between" showDropDown="false" showErrorMessage="false" showInputMessage="false" sqref="T2:T544" type="list">
      <formula1>LEYENDA!$A$15:$A$21</formula1>
      <formula2>0</formula2>
    </dataValidation>
    <dataValidation allowBlank="true" errorStyle="stop" operator="between" showDropDown="false" showErrorMessage="true" showInputMessage="false" sqref="D2:D544" type="list">
      <formula1>LEYENDA!$B$2:$D$2</formula1>
      <formula2>0</formula2>
    </dataValidation>
    <dataValidation allowBlank="true" errorStyle="stop" operator="between" showDropDown="false" showErrorMessage="true" showInputMessage="false" sqref="H2:J544 Q2:R544 W2:Y544" type="list">
      <formula1>LEYENDA!$B$1:$C$1</formula1>
      <formula2>0</formula2>
    </dataValidation>
    <dataValidation allowBlank="true" errorStyle="stop" operator="between" showDropDown="false" showErrorMessage="false" showInputMessage="false" sqref="E2:E544" type="list">
      <formula1>LEYENDA!$A$8:$A$12</formula1>
      <formula2>0</formula2>
    </dataValidation>
  </dataValidations>
  <hyperlinks>
    <hyperlink ref="H2" r:id="rId1" display="Completo"/>
    <hyperlink ref="R2" r:id="rId2" display="Completo"/>
    <hyperlink ref="W2" r:id="rId3" display="Completo"/>
    <hyperlink ref="X2" r:id="rId4" display="Completo"/>
    <hyperlink ref="H5" r:id="rId5" display="Completo"/>
    <hyperlink ref="H6" r:id="rId6" display="Completo"/>
    <hyperlink ref="H7" r:id="rId7" display="Completo"/>
    <hyperlink ref="H8" r:id="rId8" display="Completo"/>
    <hyperlink ref="H9" r:id="rId9" display="Completo"/>
    <hyperlink ref="W9" r:id="rId10" display="Completo"/>
    <hyperlink ref="X9" r:id="rId11" display="Completo"/>
    <hyperlink ref="H10" r:id="rId12" display="Completo"/>
    <hyperlink ref="W10" r:id="rId13" display="Completo"/>
    <hyperlink ref="X10" r:id="rId14" display="Completo"/>
    <hyperlink ref="H11" r:id="rId15" display="Completo"/>
    <hyperlink ref="Q11" r:id="rId16" display="Completo"/>
    <hyperlink ref="W11" r:id="rId17" display="Completo"/>
    <hyperlink ref="H12" r:id="rId18" display="Completo"/>
    <hyperlink ref="R12" r:id="rId19" display="Completo"/>
    <hyperlink ref="W12" r:id="rId20" display="Completo"/>
    <hyperlink ref="X12" r:id="rId21" display="Completo"/>
    <hyperlink ref="H18" r:id="rId22" display="Completo"/>
    <hyperlink ref="H19" r:id="rId23" display="Completo"/>
    <hyperlink ref="Q19" r:id="rId24" display="Completo"/>
    <hyperlink ref="R19" r:id="rId25" display="Completo"/>
    <hyperlink ref="W19" r:id="rId26" display="Completo"/>
    <hyperlink ref="X19" r:id="rId27" display="Completo"/>
    <hyperlink ref="H20" r:id="rId28" display="Completo"/>
    <hyperlink ref="R20" r:id="rId29" display="Completo"/>
    <hyperlink ref="W20" r:id="rId30" display="Completo"/>
    <hyperlink ref="X20" r:id="rId31" display="Completo"/>
    <hyperlink ref="H24" r:id="rId32" display="Completo"/>
    <hyperlink ref="H29" r:id="rId33" display="Completo"/>
    <hyperlink ref="W29" r:id="rId34" display="Completo"/>
    <hyperlink ref="X29" r:id="rId35" display="Completo"/>
    <hyperlink ref="H31" r:id="rId36" display="Completo"/>
    <hyperlink ref="W31" r:id="rId37" display="Completo"/>
    <hyperlink ref="X31" r:id="rId38" display="Completo"/>
    <hyperlink ref="H32" r:id="rId39" display="Completo"/>
    <hyperlink ref="H33" r:id="rId40" display="Completo"/>
    <hyperlink ref="H34" r:id="rId41" display="Completo"/>
    <hyperlink ref="H35" r:id="rId42" display="Completo"/>
    <hyperlink ref="H36" r:id="rId43" display="Completo"/>
  </hyperlinks>
  <printOptions headings="false" gridLines="true" gridLinesSet="true" horizontalCentered="true" verticalCentered="false"/>
  <pageMargins left="0.7" right="0.7" top="0.75" bottom="0.75" header="0.511811023622047" footer="0.511811023622047"/>
  <pageSetup paperSize="9" scale="100" fitToWidth="1" fitToHeight="0" pageOrder="overThenDown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XFD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7" ySplit="3" topLeftCell="H4" activePane="bottomRight" state="frozen"/>
      <selection pane="topLeft" activeCell="A1" activeCellId="0" sqref="A1"/>
      <selection pane="topRight" activeCell="H1" activeCellId="0" sqref="H1"/>
      <selection pane="bottomLeft" activeCell="A4" activeCellId="0" sqref="A4"/>
      <selection pane="bottomRight" activeCell="F9" activeCellId="0" sqref="F9"/>
    </sheetView>
  </sheetViews>
  <sheetFormatPr defaultColWidth="12.6328125" defaultRowHeight="15.75" zeroHeight="false" outlineLevelRow="0" outlineLevelCol="0"/>
  <cols>
    <col collapsed="false" customWidth="true" hidden="false" outlineLevel="0" max="1" min="1" style="1" width="10.25"/>
    <col collapsed="false" customWidth="true" hidden="false" outlineLevel="0" max="2" min="2" style="1" width="10.38"/>
    <col collapsed="false" customWidth="true" hidden="false" outlineLevel="0" max="4" min="3" style="1" width="16.38"/>
    <col collapsed="false" customWidth="true" hidden="false" outlineLevel="0" max="5" min="5" style="1" width="18.25"/>
    <col collapsed="false" customWidth="true" hidden="false" outlineLevel="0" max="6" min="6" style="1" width="29.38"/>
    <col collapsed="false" customWidth="true" hidden="false" outlineLevel="0" max="7" min="7" style="1" width="14.13"/>
    <col collapsed="false" customWidth="true" hidden="false" outlineLevel="0" max="8" min="8" style="1" width="10.13"/>
    <col collapsed="false" customWidth="true" hidden="true" outlineLevel="0" max="9" min="9" style="1" width="10.13"/>
    <col collapsed="false" customWidth="true" hidden="false" outlineLevel="0" max="10" min="10" style="1" width="12.88"/>
    <col collapsed="false" customWidth="true" hidden="false" outlineLevel="0" max="12" min="11" style="1" width="12"/>
    <col collapsed="false" customWidth="true" hidden="false" outlineLevel="0" max="13" min="13" style="1" width="10"/>
    <col collapsed="false" customWidth="true" hidden="false" outlineLevel="0" max="14" min="14" style="1" width="12.25"/>
    <col collapsed="false" customWidth="true" hidden="false" outlineLevel="0" max="15" min="15" style="1" width="26.12"/>
    <col collapsed="false" customWidth="true" hidden="true" outlineLevel="0" max="16" min="16" style="1" width="18"/>
    <col collapsed="false" customWidth="true" hidden="false" outlineLevel="0" max="18" min="17" style="1" width="10.63"/>
    <col collapsed="false" customWidth="true" hidden="false" outlineLevel="0" max="19" min="19" style="1" width="8.5"/>
    <col collapsed="false" customWidth="true" hidden="false" outlineLevel="0" max="21" min="21" style="1" width="25.38"/>
    <col collapsed="false" customWidth="true" hidden="false" outlineLevel="0" max="22" min="22" style="1" width="18.13"/>
    <col collapsed="false" customWidth="true" hidden="false" outlineLevel="0" max="23" min="23" style="1" width="10.13"/>
    <col collapsed="false" customWidth="true" hidden="false" outlineLevel="0" max="24" min="24" style="1" width="11.38"/>
    <col collapsed="false" customWidth="true" hidden="false" outlineLevel="0" max="26" min="26" style="1" width="13.5"/>
    <col collapsed="false" customWidth="true" hidden="false" outlineLevel="0" max="16384" min="16384" style="1" width="11.53"/>
  </cols>
  <sheetData>
    <row r="1" customFormat="false" ht="42.5" hidden="false" customHeight="false" outlineLevel="0" collapsed="false">
      <c r="A1" s="2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/>
      <c r="J1" s="4" t="s">
        <v>8</v>
      </c>
      <c r="K1" s="2"/>
      <c r="L1" s="2" t="s">
        <v>9</v>
      </c>
      <c r="M1" s="2" t="s">
        <v>10</v>
      </c>
      <c r="N1" s="4" t="s">
        <v>11</v>
      </c>
      <c r="O1" s="3" t="s">
        <v>12</v>
      </c>
      <c r="P1" s="7" t="s">
        <v>13</v>
      </c>
      <c r="Q1" s="7" t="s">
        <v>14</v>
      </c>
      <c r="R1" s="7" t="s">
        <v>15</v>
      </c>
      <c r="S1" s="7" t="s">
        <v>16</v>
      </c>
      <c r="T1" s="7" t="s">
        <v>17</v>
      </c>
      <c r="U1" s="8" t="s">
        <v>18</v>
      </c>
      <c r="V1" s="9" t="s">
        <v>19</v>
      </c>
      <c r="W1" s="9" t="s">
        <v>20</v>
      </c>
      <c r="X1" s="10" t="s">
        <v>15</v>
      </c>
      <c r="Y1" s="11" t="s">
        <v>21</v>
      </c>
      <c r="Z1" s="11" t="s">
        <v>22</v>
      </c>
      <c r="AA1" s="12"/>
      <c r="AB1" s="12"/>
      <c r="AC1" s="12"/>
      <c r="AD1" s="12"/>
      <c r="AE1" s="12"/>
      <c r="AF1" s="12"/>
      <c r="XFD1" s="0"/>
    </row>
    <row r="2" customFormat="false" ht="15.75" hidden="false" customHeight="false" outlineLevel="0" collapsed="false">
      <c r="A2" s="13" t="n">
        <v>8248</v>
      </c>
      <c r="B2" s="14" t="n">
        <v>45629</v>
      </c>
      <c r="C2" s="15" t="s">
        <v>41</v>
      </c>
      <c r="D2" s="16" t="s">
        <v>24</v>
      </c>
      <c r="E2" s="16" t="s">
        <v>25</v>
      </c>
      <c r="F2" s="16" t="s">
        <v>109</v>
      </c>
      <c r="G2" s="16" t="s">
        <v>110</v>
      </c>
      <c r="H2" s="17" t="s">
        <v>28</v>
      </c>
      <c r="I2" s="16"/>
      <c r="J2" s="16" t="s">
        <v>28</v>
      </c>
      <c r="K2" s="16" t="s">
        <v>29</v>
      </c>
      <c r="L2" s="16" t="s">
        <v>29</v>
      </c>
      <c r="M2" s="16" t="s">
        <v>29</v>
      </c>
      <c r="N2" s="16" t="s">
        <v>111</v>
      </c>
      <c r="O2" s="16"/>
      <c r="P2" s="16"/>
      <c r="Q2" s="16" t="s">
        <v>28</v>
      </c>
      <c r="R2" s="17" t="s">
        <v>28</v>
      </c>
      <c r="S2" s="16" t="s">
        <v>36</v>
      </c>
      <c r="T2" s="16" t="s">
        <v>30</v>
      </c>
      <c r="U2" s="16"/>
      <c r="V2" s="16" t="s">
        <v>58</v>
      </c>
      <c r="W2" s="17" t="s">
        <v>28</v>
      </c>
      <c r="X2" s="17" t="s">
        <v>28</v>
      </c>
      <c r="Y2" s="16" t="s">
        <v>28</v>
      </c>
      <c r="Z2" s="12" t="s">
        <v>32</v>
      </c>
    </row>
    <row r="3" customFormat="false" ht="15.75" hidden="false" customHeight="false" outlineLevel="0" collapsed="false">
      <c r="A3" s="13" t="n">
        <v>8249</v>
      </c>
      <c r="B3" s="14" t="n">
        <v>45631</v>
      </c>
      <c r="C3" s="15" t="s">
        <v>112</v>
      </c>
      <c r="D3" s="16" t="s">
        <v>24</v>
      </c>
      <c r="E3" s="16" t="s">
        <v>34</v>
      </c>
      <c r="F3" s="16" t="s">
        <v>113</v>
      </c>
      <c r="G3" s="16" t="s">
        <v>36</v>
      </c>
      <c r="H3" s="16" t="s">
        <v>37</v>
      </c>
      <c r="I3" s="16"/>
      <c r="J3" s="16" t="s">
        <v>37</v>
      </c>
      <c r="K3" s="16"/>
      <c r="L3" s="16"/>
      <c r="M3" s="16"/>
      <c r="N3" s="16"/>
      <c r="O3" s="16"/>
      <c r="P3" s="16"/>
      <c r="Q3" s="16" t="s">
        <v>37</v>
      </c>
      <c r="R3" s="16" t="s">
        <v>37</v>
      </c>
      <c r="S3" s="16"/>
      <c r="T3" s="16"/>
      <c r="U3" s="16"/>
      <c r="V3" s="16"/>
      <c r="W3" s="16" t="s">
        <v>37</v>
      </c>
      <c r="X3" s="16" t="s">
        <v>37</v>
      </c>
      <c r="Y3" s="16" t="s">
        <v>28</v>
      </c>
      <c r="Z3" s="12" t="s">
        <v>32</v>
      </c>
    </row>
    <row r="4" customFormat="false" ht="15.75" hidden="false" customHeight="false" outlineLevel="0" collapsed="false">
      <c r="A4" s="13" t="n">
        <v>8250</v>
      </c>
      <c r="B4" s="14" t="n">
        <v>45631</v>
      </c>
      <c r="C4" s="15" t="s">
        <v>114</v>
      </c>
      <c r="D4" s="16" t="s">
        <v>24</v>
      </c>
      <c r="E4" s="16" t="s">
        <v>34</v>
      </c>
      <c r="F4" s="16" t="s">
        <v>115</v>
      </c>
      <c r="G4" s="16" t="s">
        <v>36</v>
      </c>
      <c r="H4" s="16" t="s">
        <v>37</v>
      </c>
      <c r="I4" s="16"/>
      <c r="J4" s="16" t="s">
        <v>37</v>
      </c>
      <c r="K4" s="16"/>
      <c r="L4" s="16"/>
      <c r="M4" s="16"/>
      <c r="N4" s="16"/>
      <c r="O4" s="16"/>
      <c r="P4" s="18"/>
      <c r="Q4" s="16" t="s">
        <v>37</v>
      </c>
      <c r="R4" s="16" t="s">
        <v>37</v>
      </c>
      <c r="S4" s="16"/>
      <c r="T4" s="16"/>
      <c r="U4" s="16"/>
      <c r="V4" s="16"/>
      <c r="W4" s="16" t="s">
        <v>37</v>
      </c>
      <c r="X4" s="16" t="s">
        <v>37</v>
      </c>
      <c r="Y4" s="16" t="s">
        <v>28</v>
      </c>
      <c r="Z4" s="12" t="s">
        <v>32</v>
      </c>
    </row>
    <row r="5" customFormat="false" ht="15.75" hidden="false" customHeight="false" outlineLevel="0" collapsed="false">
      <c r="A5" s="19" t="n">
        <v>8251</v>
      </c>
      <c r="B5" s="14" t="n">
        <v>45632</v>
      </c>
      <c r="C5" s="16" t="s">
        <v>91</v>
      </c>
      <c r="D5" s="16" t="s">
        <v>24</v>
      </c>
      <c r="E5" s="16" t="s">
        <v>34</v>
      </c>
      <c r="F5" s="16" t="s">
        <v>116</v>
      </c>
      <c r="G5" s="16" t="s">
        <v>36</v>
      </c>
      <c r="H5" s="16" t="s">
        <v>37</v>
      </c>
      <c r="I5" s="16"/>
      <c r="J5" s="16" t="s">
        <v>37</v>
      </c>
      <c r="K5" s="16"/>
      <c r="L5" s="16"/>
      <c r="M5" s="16"/>
      <c r="N5" s="16"/>
      <c r="O5" s="16"/>
      <c r="P5" s="16"/>
      <c r="Q5" s="16" t="s">
        <v>37</v>
      </c>
      <c r="R5" s="16" t="s">
        <v>37</v>
      </c>
      <c r="S5" s="20"/>
      <c r="T5" s="16"/>
      <c r="U5" s="16"/>
      <c r="V5" s="16"/>
      <c r="W5" s="16" t="s">
        <v>37</v>
      </c>
      <c r="X5" s="16" t="s">
        <v>37</v>
      </c>
      <c r="Y5" s="16" t="s">
        <v>28</v>
      </c>
      <c r="Z5" s="12" t="s">
        <v>32</v>
      </c>
    </row>
    <row r="6" customFormat="false" ht="15.75" hidden="false" customHeight="false" outlineLevel="0" collapsed="false">
      <c r="A6" s="19" t="n">
        <v>8252</v>
      </c>
      <c r="B6" s="14" t="n">
        <v>45632</v>
      </c>
      <c r="C6" s="37" t="s">
        <v>91</v>
      </c>
      <c r="D6" s="16" t="s">
        <v>24</v>
      </c>
      <c r="E6" s="16" t="s">
        <v>34</v>
      </c>
      <c r="F6" s="16" t="s">
        <v>117</v>
      </c>
      <c r="G6" s="16" t="s">
        <v>36</v>
      </c>
      <c r="H6" s="16" t="s">
        <v>37</v>
      </c>
      <c r="I6" s="16"/>
      <c r="J6" s="16" t="s">
        <v>37</v>
      </c>
      <c r="K6" s="16"/>
      <c r="L6" s="16"/>
      <c r="M6" s="16"/>
      <c r="N6" s="16"/>
      <c r="O6" s="16"/>
      <c r="P6" s="16"/>
      <c r="Q6" s="16" t="s">
        <v>37</v>
      </c>
      <c r="R6" s="16" t="s">
        <v>37</v>
      </c>
      <c r="S6" s="16"/>
      <c r="T6" s="16"/>
      <c r="U6" s="16"/>
      <c r="V6" s="16"/>
      <c r="W6" s="16" t="s">
        <v>37</v>
      </c>
      <c r="X6" s="16" t="s">
        <v>37</v>
      </c>
      <c r="Y6" s="16" t="s">
        <v>28</v>
      </c>
      <c r="Z6" s="12" t="s">
        <v>32</v>
      </c>
    </row>
    <row r="7" customFormat="false" ht="15.75" hidden="false" customHeight="false" outlineLevel="0" collapsed="false">
      <c r="A7" s="19" t="n">
        <v>8253</v>
      </c>
      <c r="B7" s="14" t="n">
        <v>45632</v>
      </c>
      <c r="C7" s="16" t="s">
        <v>118</v>
      </c>
      <c r="D7" s="21" t="s">
        <v>24</v>
      </c>
      <c r="E7" s="21" t="s">
        <v>34</v>
      </c>
      <c r="F7" s="16" t="s">
        <v>119</v>
      </c>
      <c r="G7" s="16" t="s">
        <v>36</v>
      </c>
      <c r="H7" s="16" t="s">
        <v>37</v>
      </c>
      <c r="I7" s="16"/>
      <c r="J7" s="16" t="s">
        <v>37</v>
      </c>
      <c r="K7" s="16"/>
      <c r="L7" s="16"/>
      <c r="M7" s="16"/>
      <c r="N7" s="23"/>
      <c r="O7" s="16"/>
      <c r="P7" s="16"/>
      <c r="Q7" s="16" t="s">
        <v>37</v>
      </c>
      <c r="R7" s="16" t="s">
        <v>37</v>
      </c>
      <c r="S7" s="16"/>
      <c r="T7" s="16"/>
      <c r="U7" s="16"/>
      <c r="V7" s="16"/>
      <c r="W7" s="16" t="s">
        <v>37</v>
      </c>
      <c r="X7" s="16" t="s">
        <v>37</v>
      </c>
      <c r="Y7" s="16" t="s">
        <v>28</v>
      </c>
      <c r="Z7" s="12" t="s">
        <v>32</v>
      </c>
    </row>
    <row r="8" customFormat="false" ht="15.75" hidden="false" customHeight="false" outlineLevel="0" collapsed="false">
      <c r="A8" s="19" t="n">
        <v>8254</v>
      </c>
      <c r="B8" s="14" t="n">
        <v>45639</v>
      </c>
      <c r="C8" s="16" t="s">
        <v>120</v>
      </c>
      <c r="D8" s="21" t="s">
        <v>24</v>
      </c>
      <c r="E8" s="16" t="s">
        <v>25</v>
      </c>
      <c r="F8" s="16" t="s">
        <v>121</v>
      </c>
      <c r="G8" s="16" t="s">
        <v>29</v>
      </c>
      <c r="H8" s="17" t="s">
        <v>28</v>
      </c>
      <c r="I8" s="16"/>
      <c r="J8" s="16" t="s">
        <v>28</v>
      </c>
      <c r="K8" s="16" t="s">
        <v>29</v>
      </c>
      <c r="L8" s="16" t="s">
        <v>29</v>
      </c>
      <c r="M8" s="16" t="s">
        <v>29</v>
      </c>
      <c r="N8" s="16" t="n">
        <v>5577</v>
      </c>
      <c r="O8" s="16"/>
      <c r="P8" s="16"/>
      <c r="Q8" s="16" t="s">
        <v>37</v>
      </c>
      <c r="R8" s="16" t="s">
        <v>37</v>
      </c>
      <c r="S8" s="16"/>
      <c r="T8" s="16"/>
      <c r="U8" s="16"/>
      <c r="V8" s="16"/>
      <c r="W8" s="16" t="s">
        <v>37</v>
      </c>
      <c r="X8" s="16" t="s">
        <v>37</v>
      </c>
      <c r="Y8" s="16" t="s">
        <v>28</v>
      </c>
      <c r="Z8" s="12" t="s">
        <v>32</v>
      </c>
    </row>
    <row r="9" customFormat="false" ht="15.75" hidden="false" customHeight="false" outlineLevel="0" collapsed="false">
      <c r="A9" s="19" t="n">
        <v>8255</v>
      </c>
      <c r="B9" s="14" t="n">
        <v>45639</v>
      </c>
      <c r="C9" s="16" t="s">
        <v>67</v>
      </c>
      <c r="D9" s="21" t="s">
        <v>24</v>
      </c>
      <c r="E9" s="21" t="s">
        <v>25</v>
      </c>
      <c r="F9" s="16" t="s">
        <v>122</v>
      </c>
      <c r="G9" s="16" t="s">
        <v>29</v>
      </c>
      <c r="H9" s="17" t="s">
        <v>28</v>
      </c>
      <c r="I9" s="16"/>
      <c r="J9" s="16" t="s">
        <v>28</v>
      </c>
      <c r="K9" s="16" t="s">
        <v>29</v>
      </c>
      <c r="L9" s="16" t="s">
        <v>29</v>
      </c>
      <c r="M9" s="16" t="s">
        <v>29</v>
      </c>
      <c r="N9" s="16" t="s">
        <v>29</v>
      </c>
      <c r="O9" s="16"/>
      <c r="P9" s="16"/>
      <c r="Q9" s="16" t="s">
        <v>37</v>
      </c>
      <c r="R9" s="16" t="s">
        <v>37</v>
      </c>
      <c r="S9" s="16"/>
      <c r="T9" s="16"/>
      <c r="U9" s="16"/>
      <c r="V9" s="16"/>
      <c r="W9" s="16" t="s">
        <v>37</v>
      </c>
      <c r="X9" s="16" t="s">
        <v>37</v>
      </c>
      <c r="Y9" s="16" t="s">
        <v>37</v>
      </c>
      <c r="Z9" s="12" t="s">
        <v>40</v>
      </c>
    </row>
    <row r="10" customFormat="false" ht="15.75" hidden="false" customHeight="false" outlineLevel="0" collapsed="false">
      <c r="A10" s="19" t="n">
        <v>8256</v>
      </c>
      <c r="B10" s="14" t="n">
        <v>45639</v>
      </c>
      <c r="C10" s="16" t="s">
        <v>120</v>
      </c>
      <c r="D10" s="16" t="s">
        <v>24</v>
      </c>
      <c r="E10" s="16" t="s">
        <v>25</v>
      </c>
      <c r="F10" s="16" t="s">
        <v>123</v>
      </c>
      <c r="G10" s="16" t="s">
        <v>124</v>
      </c>
      <c r="H10" s="17" t="s">
        <v>28</v>
      </c>
      <c r="I10" s="16"/>
      <c r="J10" s="16" t="s">
        <v>28</v>
      </c>
      <c r="K10" s="16" t="s">
        <v>29</v>
      </c>
      <c r="L10" s="16" t="s">
        <v>29</v>
      </c>
      <c r="M10" s="16" t="s">
        <v>29</v>
      </c>
      <c r="N10" s="16" t="n">
        <v>5540</v>
      </c>
      <c r="O10" s="16"/>
      <c r="P10" s="16"/>
      <c r="Q10" s="16" t="s">
        <v>28</v>
      </c>
      <c r="R10" s="17" t="s">
        <v>28</v>
      </c>
      <c r="S10" s="16" t="s">
        <v>73</v>
      </c>
      <c r="T10" s="16" t="s">
        <v>74</v>
      </c>
      <c r="U10" s="16" t="s">
        <v>36</v>
      </c>
      <c r="V10" s="16" t="s">
        <v>74</v>
      </c>
      <c r="W10" s="17" t="s">
        <v>28</v>
      </c>
      <c r="X10" s="17" t="s">
        <v>28</v>
      </c>
      <c r="Y10" s="16" t="s">
        <v>28</v>
      </c>
      <c r="Z10" s="12" t="s">
        <v>32</v>
      </c>
    </row>
    <row r="11" customFormat="false" ht="15.75" hidden="false" customHeight="false" outlineLevel="0" collapsed="false">
      <c r="A11" s="19" t="n">
        <v>8257</v>
      </c>
      <c r="B11" s="14" t="n">
        <v>45639</v>
      </c>
      <c r="C11" s="16" t="s">
        <v>120</v>
      </c>
      <c r="D11" s="16" t="s">
        <v>24</v>
      </c>
      <c r="E11" s="16" t="s">
        <v>25</v>
      </c>
      <c r="F11" s="16" t="s">
        <v>125</v>
      </c>
      <c r="G11" s="16" t="s">
        <v>124</v>
      </c>
      <c r="H11" s="17" t="s">
        <v>28</v>
      </c>
      <c r="I11" s="16"/>
      <c r="J11" s="16" t="s">
        <v>28</v>
      </c>
      <c r="K11" s="16" t="s">
        <v>29</v>
      </c>
      <c r="L11" s="16" t="s">
        <v>29</v>
      </c>
      <c r="M11" s="16" t="s">
        <v>29</v>
      </c>
      <c r="N11" s="16" t="n">
        <v>5540</v>
      </c>
      <c r="O11" s="16"/>
      <c r="P11" s="16"/>
      <c r="Q11" s="16" t="s">
        <v>28</v>
      </c>
      <c r="R11" s="17" t="s">
        <v>28</v>
      </c>
      <c r="S11" s="16" t="s">
        <v>36</v>
      </c>
      <c r="T11" s="16" t="s">
        <v>30</v>
      </c>
      <c r="U11" s="16" t="s">
        <v>36</v>
      </c>
      <c r="V11" s="16" t="s">
        <v>74</v>
      </c>
      <c r="W11" s="17" t="s">
        <v>28</v>
      </c>
      <c r="X11" s="17" t="s">
        <v>28</v>
      </c>
      <c r="Y11" s="16" t="s">
        <v>28</v>
      </c>
      <c r="Z11" s="12" t="s">
        <v>32</v>
      </c>
    </row>
    <row r="12" customFormat="false" ht="15.75" hidden="false" customHeight="false" outlineLevel="0" collapsed="false">
      <c r="A12" s="19" t="n">
        <v>8258</v>
      </c>
      <c r="B12" s="22" t="n">
        <v>45639</v>
      </c>
      <c r="C12" s="16" t="s">
        <v>126</v>
      </c>
      <c r="D12" s="16" t="s">
        <v>24</v>
      </c>
      <c r="E12" s="16" t="s">
        <v>25</v>
      </c>
      <c r="F12" s="16" t="s">
        <v>127</v>
      </c>
      <c r="G12" s="16" t="s">
        <v>128</v>
      </c>
      <c r="H12" s="17" t="s">
        <v>28</v>
      </c>
      <c r="I12" s="16"/>
      <c r="J12" s="16" t="s">
        <v>28</v>
      </c>
      <c r="K12" s="16" t="s">
        <v>29</v>
      </c>
      <c r="L12" s="16" t="s">
        <v>29</v>
      </c>
      <c r="M12" s="16" t="s">
        <v>29</v>
      </c>
      <c r="N12" s="16" t="s">
        <v>29</v>
      </c>
      <c r="O12" s="16"/>
      <c r="P12" s="16"/>
      <c r="Q12" s="16" t="s">
        <v>28</v>
      </c>
      <c r="R12" s="17" t="s">
        <v>28</v>
      </c>
      <c r="S12" s="16" t="s">
        <v>73</v>
      </c>
      <c r="T12" s="16" t="s">
        <v>74</v>
      </c>
      <c r="U12" s="16" t="s">
        <v>36</v>
      </c>
      <c r="V12" s="16" t="s">
        <v>74</v>
      </c>
      <c r="W12" s="17" t="s">
        <v>28</v>
      </c>
      <c r="X12" s="17" t="s">
        <v>28</v>
      </c>
      <c r="Y12" s="16" t="s">
        <v>28</v>
      </c>
      <c r="Z12" s="12" t="s">
        <v>32</v>
      </c>
    </row>
    <row r="13" customFormat="false" ht="15.75" hidden="false" customHeight="false" outlineLevel="0" collapsed="false">
      <c r="A13" s="19" t="n">
        <v>8259</v>
      </c>
      <c r="B13" s="14" t="n">
        <v>45639</v>
      </c>
      <c r="C13" s="16" t="s">
        <v>129</v>
      </c>
      <c r="D13" s="16" t="s">
        <v>24</v>
      </c>
      <c r="E13" s="16" t="s">
        <v>25</v>
      </c>
      <c r="F13" s="16" t="s">
        <v>130</v>
      </c>
      <c r="G13" s="16" t="s">
        <v>131</v>
      </c>
      <c r="H13" s="17" t="s">
        <v>28</v>
      </c>
      <c r="I13" s="16"/>
      <c r="J13" s="16" t="s">
        <v>28</v>
      </c>
      <c r="K13" s="16" t="s">
        <v>29</v>
      </c>
      <c r="L13" s="16" t="s">
        <v>29</v>
      </c>
      <c r="M13" s="16" t="s">
        <v>29</v>
      </c>
      <c r="N13" s="16" t="n">
        <v>26530</v>
      </c>
      <c r="O13" s="16"/>
      <c r="P13" s="16"/>
      <c r="Q13" s="16" t="s">
        <v>37</v>
      </c>
      <c r="R13" s="16" t="s">
        <v>37</v>
      </c>
      <c r="S13" s="16"/>
      <c r="T13" s="16"/>
      <c r="U13" s="16"/>
      <c r="V13" s="16"/>
      <c r="W13" s="16" t="s">
        <v>37</v>
      </c>
      <c r="X13" s="16" t="s">
        <v>37</v>
      </c>
      <c r="Y13" s="16" t="s">
        <v>28</v>
      </c>
      <c r="Z13" s="12" t="s">
        <v>32</v>
      </c>
    </row>
    <row r="14" customFormat="false" ht="15.75" hidden="false" customHeight="false" outlineLevel="0" collapsed="false">
      <c r="A14" s="19" t="n">
        <v>8260</v>
      </c>
      <c r="B14" s="14" t="n">
        <v>45639</v>
      </c>
      <c r="C14" s="16" t="s">
        <v>126</v>
      </c>
      <c r="D14" s="16" t="s">
        <v>24</v>
      </c>
      <c r="E14" s="21" t="s">
        <v>34</v>
      </c>
      <c r="F14" s="16" t="s">
        <v>132</v>
      </c>
      <c r="G14" s="16" t="s">
        <v>36</v>
      </c>
      <c r="H14" s="16" t="s">
        <v>37</v>
      </c>
      <c r="I14" s="16"/>
      <c r="J14" s="16" t="s">
        <v>37</v>
      </c>
      <c r="K14" s="16"/>
      <c r="L14" s="16"/>
      <c r="M14" s="16"/>
      <c r="N14" s="16"/>
      <c r="O14" s="16"/>
      <c r="P14" s="16"/>
      <c r="Q14" s="16" t="s">
        <v>37</v>
      </c>
      <c r="R14" s="16" t="s">
        <v>37</v>
      </c>
      <c r="S14" s="16"/>
      <c r="T14" s="16"/>
      <c r="U14" s="16"/>
      <c r="V14" s="16"/>
      <c r="W14" s="16" t="s">
        <v>37</v>
      </c>
      <c r="X14" s="16" t="s">
        <v>37</v>
      </c>
      <c r="Y14" s="16" t="s">
        <v>37</v>
      </c>
      <c r="Z14" s="12" t="s">
        <v>40</v>
      </c>
    </row>
    <row r="15" customFormat="false" ht="15.75" hidden="false" customHeight="false" outlineLevel="0" collapsed="false">
      <c r="A15" s="19" t="n">
        <v>8261</v>
      </c>
      <c r="B15" s="14" t="n">
        <v>45642</v>
      </c>
      <c r="C15" s="16" t="s">
        <v>133</v>
      </c>
      <c r="D15" s="16" t="s">
        <v>24</v>
      </c>
      <c r="E15" s="16" t="s">
        <v>25</v>
      </c>
      <c r="F15" s="16" t="s">
        <v>134</v>
      </c>
      <c r="G15" s="16" t="s">
        <v>135</v>
      </c>
      <c r="H15" s="17" t="s">
        <v>28</v>
      </c>
      <c r="I15" s="16"/>
      <c r="J15" s="16" t="s">
        <v>28</v>
      </c>
      <c r="K15" s="16" t="s">
        <v>29</v>
      </c>
      <c r="L15" s="16" t="s">
        <v>29</v>
      </c>
      <c r="M15" s="16" t="s">
        <v>29</v>
      </c>
      <c r="N15" s="23" t="n">
        <v>2764188</v>
      </c>
      <c r="O15" s="16"/>
      <c r="P15" s="16"/>
      <c r="Q15" s="16"/>
      <c r="R15" s="16"/>
      <c r="S15" s="16"/>
      <c r="T15" s="16"/>
      <c r="U15" s="16"/>
      <c r="V15" s="16" t="s">
        <v>58</v>
      </c>
      <c r="W15" s="17" t="s">
        <v>28</v>
      </c>
      <c r="X15" s="17" t="s">
        <v>28</v>
      </c>
      <c r="Y15" s="16"/>
      <c r="Z15" s="12" t="s">
        <v>48</v>
      </c>
    </row>
    <row r="16" customFormat="false" ht="15.75" hidden="false" customHeight="false" outlineLevel="0" collapsed="false">
      <c r="A16" s="19" t="n">
        <v>8262</v>
      </c>
      <c r="B16" s="14" t="n">
        <v>45642</v>
      </c>
      <c r="C16" s="16" t="s">
        <v>136</v>
      </c>
      <c r="D16" s="16" t="s">
        <v>24</v>
      </c>
      <c r="E16" s="16" t="s">
        <v>137</v>
      </c>
      <c r="F16" s="16" t="s">
        <v>138</v>
      </c>
      <c r="G16" s="16" t="s">
        <v>36</v>
      </c>
      <c r="H16" s="16" t="s">
        <v>37</v>
      </c>
      <c r="I16" s="16"/>
      <c r="J16" s="16" t="s">
        <v>37</v>
      </c>
      <c r="K16" s="16"/>
      <c r="L16" s="16"/>
      <c r="M16" s="16"/>
      <c r="N16" s="16"/>
      <c r="O16" s="16"/>
      <c r="P16" s="16"/>
      <c r="Q16" s="16" t="s">
        <v>37</v>
      </c>
      <c r="R16" s="16" t="s">
        <v>37</v>
      </c>
      <c r="S16" s="16"/>
      <c r="T16" s="16"/>
      <c r="U16" s="16"/>
      <c r="V16" s="16"/>
      <c r="W16" s="16" t="s">
        <v>37</v>
      </c>
      <c r="X16" s="16" t="s">
        <v>37</v>
      </c>
      <c r="Y16" s="16" t="s">
        <v>28</v>
      </c>
      <c r="Z16" s="12" t="s">
        <v>32</v>
      </c>
    </row>
    <row r="17" customFormat="false" ht="15.75" hidden="false" customHeight="false" outlineLevel="0" collapsed="false">
      <c r="A17" s="19" t="n">
        <v>8263</v>
      </c>
      <c r="B17" s="14" t="n">
        <v>45642</v>
      </c>
      <c r="C17" s="16" t="s">
        <v>112</v>
      </c>
      <c r="D17" s="16" t="s">
        <v>24</v>
      </c>
      <c r="E17" s="16" t="s">
        <v>25</v>
      </c>
      <c r="F17" s="16" t="s">
        <v>139</v>
      </c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 t="s">
        <v>28</v>
      </c>
      <c r="R17" s="16" t="s">
        <v>28</v>
      </c>
      <c r="S17" s="16"/>
      <c r="T17" s="16"/>
      <c r="U17" s="16"/>
      <c r="V17" s="16"/>
      <c r="W17" s="16" t="s">
        <v>37</v>
      </c>
      <c r="X17" s="16" t="s">
        <v>37</v>
      </c>
      <c r="Y17" s="16" t="s">
        <v>28</v>
      </c>
      <c r="Z17" s="12" t="s">
        <v>32</v>
      </c>
    </row>
    <row r="18" customFormat="false" ht="15.75" hidden="false" customHeight="false" outlineLevel="0" collapsed="false">
      <c r="A18" s="19" t="n">
        <v>8264</v>
      </c>
      <c r="B18" s="14" t="n">
        <v>45643</v>
      </c>
      <c r="C18" s="16" t="s">
        <v>140</v>
      </c>
      <c r="D18" s="16" t="s">
        <v>24</v>
      </c>
      <c r="E18" s="16" t="s">
        <v>137</v>
      </c>
      <c r="F18" s="16" t="s">
        <v>138</v>
      </c>
      <c r="G18" s="16" t="s">
        <v>36</v>
      </c>
      <c r="H18" s="16" t="s">
        <v>37</v>
      </c>
      <c r="I18" s="16"/>
      <c r="J18" s="16" t="s">
        <v>37</v>
      </c>
      <c r="K18" s="16"/>
      <c r="L18" s="16"/>
      <c r="M18" s="16"/>
      <c r="N18" s="16"/>
      <c r="O18" s="16"/>
      <c r="P18" s="16"/>
      <c r="Q18" s="16" t="s">
        <v>37</v>
      </c>
      <c r="R18" s="16" t="s">
        <v>37</v>
      </c>
      <c r="S18" s="16"/>
      <c r="T18" s="16"/>
      <c r="U18" s="16"/>
      <c r="V18" s="16"/>
      <c r="W18" s="16" t="s">
        <v>37</v>
      </c>
      <c r="X18" s="16" t="s">
        <v>37</v>
      </c>
      <c r="Y18" s="16" t="s">
        <v>28</v>
      </c>
      <c r="Z18" s="12" t="s">
        <v>32</v>
      </c>
    </row>
    <row r="19" customFormat="false" ht="15.75" hidden="false" customHeight="false" outlineLevel="0" collapsed="false">
      <c r="A19" s="19" t="n">
        <v>8265</v>
      </c>
      <c r="B19" s="14" t="n">
        <v>45643</v>
      </c>
      <c r="C19" s="16" t="s">
        <v>140</v>
      </c>
      <c r="D19" s="16" t="s">
        <v>24</v>
      </c>
      <c r="E19" s="16" t="s">
        <v>137</v>
      </c>
      <c r="F19" s="16" t="s">
        <v>141</v>
      </c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 t="s">
        <v>37</v>
      </c>
      <c r="R19" s="16" t="s">
        <v>37</v>
      </c>
      <c r="S19" s="16"/>
      <c r="T19" s="16"/>
      <c r="U19" s="16"/>
      <c r="V19" s="16"/>
      <c r="W19" s="16" t="s">
        <v>37</v>
      </c>
      <c r="X19" s="16" t="s">
        <v>37</v>
      </c>
      <c r="Y19" s="16" t="s">
        <v>28</v>
      </c>
      <c r="Z19" s="12" t="s">
        <v>32</v>
      </c>
    </row>
    <row r="20" customFormat="false" ht="15.75" hidden="false" customHeight="false" outlineLevel="0" collapsed="false">
      <c r="A20" s="24" t="n">
        <v>8266</v>
      </c>
      <c r="B20" s="14" t="n">
        <v>45645</v>
      </c>
      <c r="C20" s="25" t="s">
        <v>142</v>
      </c>
      <c r="D20" s="16" t="s">
        <v>24</v>
      </c>
      <c r="E20" s="16" t="s">
        <v>137</v>
      </c>
      <c r="F20" s="16" t="s">
        <v>138</v>
      </c>
      <c r="G20" s="16" t="s">
        <v>36</v>
      </c>
      <c r="H20" s="16" t="s">
        <v>37</v>
      </c>
      <c r="I20" s="16"/>
      <c r="J20" s="16" t="s">
        <v>37</v>
      </c>
      <c r="K20" s="25"/>
      <c r="L20" s="25"/>
      <c r="M20" s="25"/>
      <c r="N20" s="25"/>
      <c r="O20" s="25"/>
      <c r="P20" s="25"/>
      <c r="Q20" s="25" t="s">
        <v>37</v>
      </c>
      <c r="R20" s="25" t="s">
        <v>37</v>
      </c>
      <c r="S20" s="16"/>
      <c r="T20" s="25"/>
      <c r="U20" s="25"/>
      <c r="V20" s="25"/>
      <c r="W20" s="25" t="s">
        <v>37</v>
      </c>
      <c r="X20" s="25" t="s">
        <v>37</v>
      </c>
      <c r="Y20" s="25" t="s">
        <v>28</v>
      </c>
      <c r="Z20" s="12" t="s">
        <v>32</v>
      </c>
    </row>
    <row r="21" customFormat="false" ht="15.75" hidden="false" customHeight="false" outlineLevel="0" collapsed="false">
      <c r="A21" s="19" t="n">
        <v>8267</v>
      </c>
      <c r="B21" s="14" t="n">
        <v>45646</v>
      </c>
      <c r="C21" s="16" t="s">
        <v>91</v>
      </c>
      <c r="D21" s="16" t="s">
        <v>24</v>
      </c>
      <c r="E21" s="16" t="s">
        <v>34</v>
      </c>
      <c r="F21" s="16" t="s">
        <v>143</v>
      </c>
      <c r="G21" s="25" t="s">
        <v>36</v>
      </c>
      <c r="H21" s="16" t="s">
        <v>37</v>
      </c>
      <c r="I21" s="16"/>
      <c r="J21" s="16" t="s">
        <v>37</v>
      </c>
      <c r="K21" s="16" t="s">
        <v>36</v>
      </c>
      <c r="L21" s="16" t="s">
        <v>36</v>
      </c>
      <c r="M21" s="16" t="s">
        <v>36</v>
      </c>
      <c r="N21" s="16" t="s">
        <v>36</v>
      </c>
      <c r="O21" s="16" t="s">
        <v>36</v>
      </c>
      <c r="P21" s="16"/>
      <c r="Q21" s="16" t="s">
        <v>37</v>
      </c>
      <c r="R21" s="16" t="s">
        <v>37</v>
      </c>
      <c r="S21" s="16" t="s">
        <v>36</v>
      </c>
      <c r="T21" s="16" t="s">
        <v>36</v>
      </c>
      <c r="U21" s="25" t="s">
        <v>36</v>
      </c>
      <c r="V21" s="16" t="s">
        <v>36</v>
      </c>
      <c r="W21" s="16" t="s">
        <v>37</v>
      </c>
      <c r="X21" s="16" t="s">
        <v>37</v>
      </c>
      <c r="Y21" s="16" t="s">
        <v>28</v>
      </c>
      <c r="Z21" s="12" t="s">
        <v>32</v>
      </c>
    </row>
    <row r="22" customFormat="false" ht="15.75" hidden="false" customHeight="false" outlineLevel="0" collapsed="false">
      <c r="A22" s="19" t="n">
        <v>8268</v>
      </c>
      <c r="B22" s="14" t="n">
        <v>45649</v>
      </c>
      <c r="C22" s="16" t="s">
        <v>140</v>
      </c>
      <c r="D22" s="16" t="s">
        <v>24</v>
      </c>
      <c r="E22" s="16" t="s">
        <v>34</v>
      </c>
      <c r="F22" s="16" t="s">
        <v>144</v>
      </c>
      <c r="G22" s="25"/>
      <c r="H22" s="16"/>
      <c r="I22" s="16"/>
      <c r="J22" s="16"/>
      <c r="K22" s="16"/>
      <c r="L22" s="16"/>
      <c r="M22" s="16"/>
      <c r="N22" s="16"/>
      <c r="O22" s="16"/>
      <c r="P22" s="16"/>
      <c r="Q22" s="16" t="s">
        <v>37</v>
      </c>
      <c r="R22" s="16" t="s">
        <v>37</v>
      </c>
      <c r="S22" s="16"/>
      <c r="T22" s="16"/>
      <c r="U22" s="16"/>
      <c r="V22" s="16" t="s">
        <v>74</v>
      </c>
      <c r="W22" s="17" t="s">
        <v>28</v>
      </c>
      <c r="X22" s="17" t="s">
        <v>28</v>
      </c>
      <c r="Y22" s="16" t="s">
        <v>28</v>
      </c>
      <c r="Z22" s="12" t="s">
        <v>32</v>
      </c>
    </row>
    <row r="23" customFormat="false" ht="15.75" hidden="false" customHeight="false" outlineLevel="0" collapsed="false">
      <c r="A23" s="19" t="n">
        <v>8269</v>
      </c>
      <c r="B23" s="14" t="n">
        <v>45649</v>
      </c>
      <c r="C23" s="16" t="s">
        <v>140</v>
      </c>
      <c r="D23" s="16" t="s">
        <v>24</v>
      </c>
      <c r="E23" s="16" t="s">
        <v>34</v>
      </c>
      <c r="F23" s="16" t="s">
        <v>144</v>
      </c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 t="s">
        <v>37</v>
      </c>
      <c r="R23" s="16" t="s">
        <v>37</v>
      </c>
      <c r="S23" s="16"/>
      <c r="T23" s="16"/>
      <c r="U23" s="16"/>
      <c r="V23" s="16" t="s">
        <v>74</v>
      </c>
      <c r="W23" s="17" t="s">
        <v>28</v>
      </c>
      <c r="X23" s="17" t="s">
        <v>28</v>
      </c>
      <c r="Y23" s="16" t="s">
        <v>28</v>
      </c>
      <c r="Z23" s="12" t="s">
        <v>32</v>
      </c>
    </row>
    <row r="24" customFormat="false" ht="15.75" hidden="false" customHeight="false" outlineLevel="0" collapsed="false">
      <c r="A24" s="13" t="n">
        <v>8270</v>
      </c>
      <c r="B24" s="14" t="n">
        <v>45649</v>
      </c>
      <c r="C24" s="16" t="s">
        <v>120</v>
      </c>
      <c r="D24" s="16" t="s">
        <v>24</v>
      </c>
      <c r="E24" s="16" t="s">
        <v>25</v>
      </c>
      <c r="F24" s="16" t="s">
        <v>145</v>
      </c>
      <c r="G24" s="16" t="s">
        <v>29</v>
      </c>
      <c r="H24" s="17" t="s">
        <v>28</v>
      </c>
      <c r="I24" s="16"/>
      <c r="J24" s="16" t="s">
        <v>28</v>
      </c>
      <c r="K24" s="16" t="s">
        <v>29</v>
      </c>
      <c r="L24" s="16" t="s">
        <v>29</v>
      </c>
      <c r="M24" s="16" t="s">
        <v>29</v>
      </c>
      <c r="N24" s="16" t="n">
        <v>5569</v>
      </c>
      <c r="O24" s="16"/>
      <c r="P24" s="16"/>
      <c r="Q24" s="16" t="s">
        <v>28</v>
      </c>
      <c r="R24" s="16" t="s">
        <v>28</v>
      </c>
      <c r="S24" s="16"/>
      <c r="T24" s="16"/>
      <c r="U24" s="16"/>
      <c r="V24" s="12"/>
      <c r="W24" s="16"/>
      <c r="X24" s="16"/>
      <c r="Y24" s="16" t="s">
        <v>28</v>
      </c>
      <c r="Z24" s="12" t="s">
        <v>32</v>
      </c>
    </row>
    <row r="25" customFormat="false" ht="15.75" hidden="false" customHeight="false" outlineLevel="0" collapsed="false">
      <c r="A25" s="13" t="n">
        <v>8271</v>
      </c>
      <c r="B25" s="22" t="n">
        <v>45649</v>
      </c>
      <c r="C25" s="16" t="s">
        <v>120</v>
      </c>
      <c r="D25" s="16" t="s">
        <v>24</v>
      </c>
      <c r="E25" s="16" t="s">
        <v>25</v>
      </c>
      <c r="F25" s="16" t="s">
        <v>146</v>
      </c>
      <c r="G25" s="16" t="s">
        <v>29</v>
      </c>
      <c r="H25" s="17" t="s">
        <v>28</v>
      </c>
      <c r="I25" s="16"/>
      <c r="J25" s="16" t="s">
        <v>28</v>
      </c>
      <c r="K25" s="16"/>
      <c r="L25" s="16"/>
      <c r="M25" s="16"/>
      <c r="N25" s="16" t="n">
        <v>5569</v>
      </c>
      <c r="O25" s="16"/>
      <c r="P25" s="16"/>
      <c r="Q25" s="16" t="s">
        <v>28</v>
      </c>
      <c r="R25" s="17" t="s">
        <v>28</v>
      </c>
      <c r="S25" s="16" t="s">
        <v>29</v>
      </c>
      <c r="T25" s="16" t="s">
        <v>30</v>
      </c>
      <c r="U25" s="16" t="s">
        <v>29</v>
      </c>
      <c r="V25" s="16"/>
      <c r="W25" s="16"/>
      <c r="X25" s="16"/>
      <c r="Y25" s="16" t="s">
        <v>28</v>
      </c>
      <c r="Z25" s="12" t="s">
        <v>32</v>
      </c>
    </row>
    <row r="26" customFormat="false" ht="15.75" hidden="false" customHeight="false" outlineLevel="0" collapsed="false">
      <c r="A26" s="24" t="n">
        <v>8272</v>
      </c>
      <c r="B26" s="14" t="n">
        <v>45649</v>
      </c>
      <c r="C26" s="25" t="s">
        <v>120</v>
      </c>
      <c r="D26" s="16" t="s">
        <v>24</v>
      </c>
      <c r="E26" s="16" t="s">
        <v>25</v>
      </c>
      <c r="F26" s="25" t="s">
        <v>147</v>
      </c>
      <c r="G26" s="16" t="s">
        <v>29</v>
      </c>
      <c r="H26" s="17" t="s">
        <v>28</v>
      </c>
      <c r="I26" s="16"/>
      <c r="J26" s="16" t="s">
        <v>28</v>
      </c>
      <c r="K26" s="16" t="s">
        <v>29</v>
      </c>
      <c r="L26" s="16" t="s">
        <v>29</v>
      </c>
      <c r="M26" s="16" t="s">
        <v>29</v>
      </c>
      <c r="N26" s="16" t="n">
        <v>5569</v>
      </c>
      <c r="O26" s="16"/>
      <c r="P26" s="16"/>
      <c r="Q26" s="16" t="s">
        <v>28</v>
      </c>
      <c r="R26" s="16" t="s">
        <v>28</v>
      </c>
      <c r="S26" s="16"/>
      <c r="T26" s="16"/>
      <c r="U26" s="16"/>
      <c r="V26" s="16"/>
      <c r="W26" s="16" t="s">
        <v>37</v>
      </c>
      <c r="X26" s="16" t="s">
        <v>37</v>
      </c>
      <c r="Y26" s="16" t="s">
        <v>28</v>
      </c>
      <c r="Z26" s="12" t="s">
        <v>32</v>
      </c>
    </row>
    <row r="27" customFormat="false" ht="15.75" hidden="false" customHeight="false" outlineLevel="0" collapsed="false">
      <c r="A27" s="13" t="n">
        <v>8273</v>
      </c>
      <c r="B27" s="14" t="n">
        <v>45649</v>
      </c>
      <c r="C27" s="25" t="s">
        <v>120</v>
      </c>
      <c r="D27" s="16" t="s">
        <v>24</v>
      </c>
      <c r="E27" s="25" t="s">
        <v>25</v>
      </c>
      <c r="F27" s="16" t="s">
        <v>148</v>
      </c>
      <c r="G27" s="16" t="s">
        <v>149</v>
      </c>
      <c r="H27" s="17" t="s">
        <v>28</v>
      </c>
      <c r="I27" s="16"/>
      <c r="J27" s="16" t="s">
        <v>28</v>
      </c>
      <c r="K27" s="16" t="s">
        <v>29</v>
      </c>
      <c r="L27" s="16" t="s">
        <v>29</v>
      </c>
      <c r="M27" s="16" t="s">
        <v>29</v>
      </c>
      <c r="N27" s="16" t="s">
        <v>29</v>
      </c>
      <c r="O27" s="16"/>
      <c r="P27" s="16"/>
      <c r="Q27" s="16" t="s">
        <v>37</v>
      </c>
      <c r="R27" s="16" t="s">
        <v>37</v>
      </c>
      <c r="S27" s="16"/>
      <c r="T27" s="16"/>
      <c r="U27" s="16"/>
      <c r="V27" s="16"/>
      <c r="W27" s="16" t="s">
        <v>37</v>
      </c>
      <c r="X27" s="16" t="s">
        <v>37</v>
      </c>
      <c r="Y27" s="16" t="s">
        <v>28</v>
      </c>
      <c r="Z27" s="12" t="s">
        <v>32</v>
      </c>
    </row>
    <row r="28" customFormat="false" ht="15.75" hidden="false" customHeight="false" outlineLevel="0" collapsed="false">
      <c r="A28" s="13" t="n">
        <v>8274</v>
      </c>
      <c r="B28" s="14" t="n">
        <v>45649</v>
      </c>
      <c r="C28" s="25" t="s">
        <v>120</v>
      </c>
      <c r="D28" s="16" t="s">
        <v>24</v>
      </c>
      <c r="E28" s="25" t="s">
        <v>25</v>
      </c>
      <c r="F28" s="16" t="s">
        <v>148</v>
      </c>
      <c r="G28" s="16" t="s">
        <v>149</v>
      </c>
      <c r="H28" s="17" t="s">
        <v>28</v>
      </c>
      <c r="I28" s="16"/>
      <c r="J28" s="16" t="s">
        <v>28</v>
      </c>
      <c r="K28" s="16" t="s">
        <v>29</v>
      </c>
      <c r="L28" s="16" t="s">
        <v>29</v>
      </c>
      <c r="M28" s="16" t="s">
        <v>29</v>
      </c>
      <c r="N28" s="16" t="s">
        <v>29</v>
      </c>
      <c r="O28" s="16"/>
      <c r="P28" s="16"/>
      <c r="Q28" s="16" t="s">
        <v>37</v>
      </c>
      <c r="R28" s="16" t="s">
        <v>37</v>
      </c>
      <c r="S28" s="16"/>
      <c r="T28" s="16"/>
      <c r="U28" s="16"/>
      <c r="V28" s="16"/>
      <c r="W28" s="16" t="s">
        <v>37</v>
      </c>
      <c r="X28" s="16" t="s">
        <v>37</v>
      </c>
      <c r="Y28" s="16" t="s">
        <v>28</v>
      </c>
      <c r="Z28" s="12" t="s">
        <v>32</v>
      </c>
    </row>
    <row r="29" customFormat="false" ht="15.75" hidden="false" customHeight="false" outlineLevel="0" collapsed="false">
      <c r="A29" s="13" t="n">
        <v>8275</v>
      </c>
      <c r="B29" s="14" t="n">
        <v>45649</v>
      </c>
      <c r="C29" s="25" t="s">
        <v>120</v>
      </c>
      <c r="D29" s="16" t="s">
        <v>24</v>
      </c>
      <c r="E29" s="25" t="s">
        <v>25</v>
      </c>
      <c r="F29" s="16" t="s">
        <v>148</v>
      </c>
      <c r="G29" s="16" t="s">
        <v>149</v>
      </c>
      <c r="H29" s="17" t="s">
        <v>28</v>
      </c>
      <c r="I29" s="16"/>
      <c r="J29" s="16" t="s">
        <v>28</v>
      </c>
      <c r="K29" s="16" t="s">
        <v>29</v>
      </c>
      <c r="L29" s="16" t="s">
        <v>29</v>
      </c>
      <c r="M29" s="16" t="s">
        <v>29</v>
      </c>
      <c r="N29" s="16" t="s">
        <v>29</v>
      </c>
      <c r="O29" s="16"/>
      <c r="P29" s="16"/>
      <c r="Q29" s="16" t="s">
        <v>37</v>
      </c>
      <c r="R29" s="16" t="s">
        <v>37</v>
      </c>
      <c r="S29" s="16"/>
      <c r="T29" s="16"/>
      <c r="U29" s="16"/>
      <c r="V29" s="16"/>
      <c r="W29" s="16" t="s">
        <v>37</v>
      </c>
      <c r="X29" s="16" t="s">
        <v>37</v>
      </c>
      <c r="Y29" s="16" t="s">
        <v>28</v>
      </c>
      <c r="Z29" s="12" t="s">
        <v>32</v>
      </c>
    </row>
    <row r="30" customFormat="false" ht="15.75" hidden="false" customHeight="false" outlineLevel="0" collapsed="false">
      <c r="A30" s="13" t="n">
        <v>8276</v>
      </c>
      <c r="B30" s="14" t="n">
        <v>45649</v>
      </c>
      <c r="C30" s="25" t="s">
        <v>150</v>
      </c>
      <c r="D30" s="16" t="s">
        <v>24</v>
      </c>
      <c r="E30" s="25" t="s">
        <v>25</v>
      </c>
      <c r="F30" s="16" t="s">
        <v>76</v>
      </c>
      <c r="G30" s="16" t="s">
        <v>151</v>
      </c>
      <c r="H30" s="17" t="s">
        <v>28</v>
      </c>
      <c r="I30" s="16"/>
      <c r="J30" s="16" t="s">
        <v>28</v>
      </c>
      <c r="K30" s="16" t="s">
        <v>29</v>
      </c>
      <c r="L30" s="16" t="s">
        <v>29</v>
      </c>
      <c r="M30" s="16" t="s">
        <v>29</v>
      </c>
      <c r="N30" s="16" t="s">
        <v>29</v>
      </c>
      <c r="O30" s="16"/>
      <c r="P30" s="16"/>
      <c r="Q30" s="16" t="s">
        <v>28</v>
      </c>
      <c r="R30" s="17" t="s">
        <v>28</v>
      </c>
      <c r="S30" s="16" t="s">
        <v>29</v>
      </c>
      <c r="T30" s="16" t="s">
        <v>30</v>
      </c>
      <c r="U30" s="16"/>
      <c r="V30" s="16" t="s">
        <v>74</v>
      </c>
      <c r="W30" s="17" t="s">
        <v>28</v>
      </c>
      <c r="X30" s="17" t="s">
        <v>28</v>
      </c>
      <c r="Y30" s="16" t="s">
        <v>28</v>
      </c>
      <c r="Z30" s="12" t="s">
        <v>32</v>
      </c>
    </row>
    <row r="31" customFormat="false" ht="15.75" hidden="false" customHeight="false" outlineLevel="0" collapsed="false">
      <c r="A31" s="13" t="n">
        <v>8277</v>
      </c>
      <c r="B31" s="22" t="n">
        <v>45649</v>
      </c>
      <c r="C31" s="25" t="s">
        <v>150</v>
      </c>
      <c r="D31" s="16" t="s">
        <v>24</v>
      </c>
      <c r="E31" s="25" t="s">
        <v>25</v>
      </c>
      <c r="F31" s="16" t="s">
        <v>152</v>
      </c>
      <c r="G31" s="16" t="s">
        <v>151</v>
      </c>
      <c r="H31" s="17" t="s">
        <v>28</v>
      </c>
      <c r="I31" s="16"/>
      <c r="J31" s="16" t="s">
        <v>28</v>
      </c>
      <c r="K31" s="16" t="s">
        <v>29</v>
      </c>
      <c r="L31" s="16" t="s">
        <v>29</v>
      </c>
      <c r="M31" s="16" t="s">
        <v>29</v>
      </c>
      <c r="N31" s="16" t="s">
        <v>29</v>
      </c>
      <c r="O31" s="16"/>
      <c r="P31" s="16"/>
      <c r="Q31" s="16"/>
      <c r="R31" s="16"/>
      <c r="S31" s="16"/>
      <c r="T31" s="16"/>
      <c r="U31" s="16"/>
      <c r="V31" s="16" t="s">
        <v>74</v>
      </c>
      <c r="W31" s="17" t="s">
        <v>28</v>
      </c>
      <c r="X31" s="17" t="s">
        <v>28</v>
      </c>
      <c r="Y31" s="16" t="s">
        <v>28</v>
      </c>
      <c r="Z31" s="12" t="s">
        <v>32</v>
      </c>
    </row>
    <row r="32" customFormat="false" ht="15.75" hidden="false" customHeight="false" outlineLevel="0" collapsed="false">
      <c r="A32" s="13" t="n">
        <v>8278</v>
      </c>
      <c r="B32" s="14" t="n">
        <v>45650</v>
      </c>
      <c r="C32" s="16" t="s">
        <v>41</v>
      </c>
      <c r="D32" s="16" t="s">
        <v>24</v>
      </c>
      <c r="E32" s="25" t="s">
        <v>34</v>
      </c>
      <c r="F32" s="16" t="s">
        <v>153</v>
      </c>
      <c r="G32" s="16"/>
      <c r="H32" s="37" t="s">
        <v>37</v>
      </c>
      <c r="I32" s="16"/>
      <c r="J32" s="16" t="s">
        <v>37</v>
      </c>
      <c r="K32" s="16"/>
      <c r="L32" s="16"/>
      <c r="M32" s="16"/>
      <c r="N32" s="16"/>
      <c r="O32" s="16"/>
      <c r="P32" s="16"/>
      <c r="Q32" s="16" t="s">
        <v>37</v>
      </c>
      <c r="R32" s="16" t="s">
        <v>37</v>
      </c>
      <c r="S32" s="16"/>
      <c r="T32" s="16"/>
      <c r="U32" s="16"/>
      <c r="V32" s="16"/>
      <c r="W32" s="16" t="s">
        <v>37</v>
      </c>
      <c r="X32" s="16" t="s">
        <v>37</v>
      </c>
      <c r="Y32" s="16" t="s">
        <v>28</v>
      </c>
      <c r="Z32" s="12" t="s">
        <v>32</v>
      </c>
    </row>
    <row r="33" customFormat="false" ht="15.75" hidden="false" customHeight="false" outlineLevel="0" collapsed="false">
      <c r="A33" s="13" t="n">
        <v>8279</v>
      </c>
      <c r="B33" s="14" t="n">
        <v>45650</v>
      </c>
      <c r="C33" s="16" t="s">
        <v>41</v>
      </c>
      <c r="D33" s="16" t="s">
        <v>24</v>
      </c>
      <c r="E33" s="25" t="s">
        <v>34</v>
      </c>
      <c r="F33" s="16" t="s">
        <v>153</v>
      </c>
      <c r="G33" s="16"/>
      <c r="H33" s="16" t="s">
        <v>37</v>
      </c>
      <c r="I33" s="16"/>
      <c r="J33" s="16" t="s">
        <v>37</v>
      </c>
      <c r="K33" s="16"/>
      <c r="L33" s="16"/>
      <c r="M33" s="16"/>
      <c r="N33" s="16"/>
      <c r="O33" s="16"/>
      <c r="P33" s="16"/>
      <c r="Q33" s="16" t="s">
        <v>37</v>
      </c>
      <c r="R33" s="16" t="s">
        <v>37</v>
      </c>
      <c r="S33" s="16"/>
      <c r="T33" s="16"/>
      <c r="U33" s="16"/>
      <c r="V33" s="16"/>
      <c r="W33" s="16"/>
      <c r="X33" s="16"/>
      <c r="Y33" s="16" t="s">
        <v>28</v>
      </c>
      <c r="Z33" s="12" t="s">
        <v>32</v>
      </c>
    </row>
    <row r="34" customFormat="false" ht="15.75" hidden="false" customHeight="false" outlineLevel="0" collapsed="false">
      <c r="A34" s="13" t="n">
        <v>8280</v>
      </c>
      <c r="B34" s="14" t="n">
        <v>45650</v>
      </c>
      <c r="C34" s="16" t="s">
        <v>154</v>
      </c>
      <c r="D34" s="16" t="s">
        <v>24</v>
      </c>
      <c r="E34" s="25" t="s">
        <v>25</v>
      </c>
      <c r="F34" s="16" t="s">
        <v>155</v>
      </c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 t="s">
        <v>37</v>
      </c>
      <c r="R34" s="16" t="s">
        <v>37</v>
      </c>
      <c r="S34" s="16"/>
      <c r="T34" s="16"/>
      <c r="U34" s="16"/>
      <c r="V34" s="16"/>
      <c r="W34" s="16" t="s">
        <v>37</v>
      </c>
      <c r="X34" s="16" t="s">
        <v>37</v>
      </c>
      <c r="Y34" s="16" t="s">
        <v>28</v>
      </c>
      <c r="Z34" s="12" t="s">
        <v>156</v>
      </c>
    </row>
    <row r="35" customFormat="false" ht="15.75" hidden="false" customHeight="false" outlineLevel="0" collapsed="false">
      <c r="A35" s="13" t="n">
        <v>8281</v>
      </c>
      <c r="B35" s="14" t="n">
        <v>45652</v>
      </c>
      <c r="C35" s="16" t="s">
        <v>38</v>
      </c>
      <c r="D35" s="16" t="s">
        <v>24</v>
      </c>
      <c r="E35" s="25" t="s">
        <v>34</v>
      </c>
      <c r="F35" s="16" t="s">
        <v>157</v>
      </c>
      <c r="G35" s="16"/>
      <c r="H35" s="17" t="s">
        <v>28</v>
      </c>
      <c r="I35" s="16"/>
      <c r="J35" s="16"/>
      <c r="K35" s="16"/>
      <c r="L35" s="16"/>
      <c r="M35" s="16"/>
      <c r="N35" s="16"/>
      <c r="O35" s="16"/>
      <c r="P35" s="16"/>
      <c r="Q35" s="16" t="s">
        <v>37</v>
      </c>
      <c r="R35" s="16" t="s">
        <v>37</v>
      </c>
      <c r="S35" s="16"/>
      <c r="T35" s="16"/>
      <c r="U35" s="16"/>
      <c r="V35" s="16"/>
      <c r="W35" s="16" t="s">
        <v>37</v>
      </c>
      <c r="X35" s="16" t="s">
        <v>37</v>
      </c>
      <c r="Y35" s="16" t="s">
        <v>28</v>
      </c>
      <c r="Z35" s="12" t="s">
        <v>32</v>
      </c>
    </row>
    <row r="36" customFormat="false" ht="15.75" hidden="false" customHeight="false" outlineLevel="0" collapsed="false">
      <c r="A36" s="13" t="n">
        <v>8282</v>
      </c>
      <c r="B36" s="14" t="n">
        <v>45652</v>
      </c>
      <c r="C36" s="16" t="s">
        <v>38</v>
      </c>
      <c r="D36" s="16" t="s">
        <v>24</v>
      </c>
      <c r="E36" s="25" t="s">
        <v>34</v>
      </c>
      <c r="F36" s="16" t="s">
        <v>158</v>
      </c>
      <c r="G36" s="16"/>
      <c r="H36" s="17" t="s">
        <v>28</v>
      </c>
      <c r="I36" s="16"/>
      <c r="J36" s="16"/>
      <c r="K36" s="16"/>
      <c r="L36" s="16"/>
      <c r="M36" s="16"/>
      <c r="N36" s="16"/>
      <c r="O36" s="16"/>
      <c r="P36" s="18"/>
      <c r="Q36" s="16" t="s">
        <v>37</v>
      </c>
      <c r="R36" s="16" t="s">
        <v>37</v>
      </c>
      <c r="S36" s="16"/>
      <c r="T36" s="16"/>
      <c r="U36" s="16"/>
      <c r="V36" s="16"/>
      <c r="W36" s="16" t="s">
        <v>37</v>
      </c>
      <c r="X36" s="16" t="s">
        <v>37</v>
      </c>
      <c r="Y36" s="16" t="s">
        <v>37</v>
      </c>
      <c r="Z36" s="12" t="s">
        <v>40</v>
      </c>
    </row>
    <row r="37" customFormat="false" ht="15.75" hidden="false" customHeight="false" outlineLevel="0" collapsed="false">
      <c r="A37" s="13" t="n">
        <v>8283</v>
      </c>
      <c r="B37" s="14" t="n">
        <v>45652</v>
      </c>
      <c r="C37" s="16" t="s">
        <v>38</v>
      </c>
      <c r="D37" s="16" t="s">
        <v>24</v>
      </c>
      <c r="E37" s="25" t="s">
        <v>34</v>
      </c>
      <c r="F37" s="16" t="s">
        <v>159</v>
      </c>
      <c r="G37" s="16"/>
      <c r="H37" s="16" t="s">
        <v>28</v>
      </c>
      <c r="I37" s="16"/>
      <c r="J37" s="16"/>
      <c r="K37" s="16"/>
      <c r="L37" s="16"/>
      <c r="M37" s="16"/>
      <c r="N37" s="16"/>
      <c r="O37" s="16"/>
      <c r="P37" s="18"/>
      <c r="Q37" s="16" t="s">
        <v>37</v>
      </c>
      <c r="R37" s="16" t="s">
        <v>37</v>
      </c>
      <c r="S37" s="16"/>
      <c r="T37" s="16"/>
      <c r="U37" s="16"/>
      <c r="V37" s="16"/>
      <c r="W37" s="16" t="s">
        <v>37</v>
      </c>
      <c r="X37" s="16" t="s">
        <v>37</v>
      </c>
      <c r="Y37" s="16" t="s">
        <v>28</v>
      </c>
      <c r="Z37" s="12" t="s">
        <v>32</v>
      </c>
    </row>
    <row r="38" customFormat="false" ht="15.75" hidden="false" customHeight="false" outlineLevel="0" collapsed="false">
      <c r="A38" s="13" t="n">
        <v>8284</v>
      </c>
      <c r="B38" s="14" t="n">
        <v>45652</v>
      </c>
      <c r="C38" s="16" t="s">
        <v>140</v>
      </c>
      <c r="D38" s="16" t="s">
        <v>24</v>
      </c>
      <c r="E38" s="25" t="s">
        <v>160</v>
      </c>
      <c r="F38" s="16" t="s">
        <v>161</v>
      </c>
      <c r="G38" s="16"/>
      <c r="H38" s="16" t="s">
        <v>28</v>
      </c>
      <c r="I38" s="16"/>
      <c r="J38" s="16"/>
      <c r="K38" s="16"/>
      <c r="L38" s="16"/>
      <c r="M38" s="16"/>
      <c r="N38" s="16"/>
      <c r="O38" s="16"/>
      <c r="P38" s="18"/>
      <c r="Q38" s="16" t="s">
        <v>37</v>
      </c>
      <c r="R38" s="16" t="s">
        <v>37</v>
      </c>
      <c r="S38" s="16"/>
      <c r="T38" s="16"/>
      <c r="U38" s="16"/>
      <c r="V38" s="16"/>
      <c r="W38" s="16" t="s">
        <v>37</v>
      </c>
      <c r="X38" s="16" t="s">
        <v>37</v>
      </c>
      <c r="Y38" s="16" t="s">
        <v>28</v>
      </c>
      <c r="Z38" s="12" t="s">
        <v>32</v>
      </c>
    </row>
    <row r="39" customFormat="false" ht="15.75" hidden="false" customHeight="false" outlineLevel="0" collapsed="false">
      <c r="A39" s="28" t="n">
        <v>8285</v>
      </c>
      <c r="B39" s="14" t="n">
        <v>45652</v>
      </c>
      <c r="C39" s="21" t="s">
        <v>162</v>
      </c>
      <c r="D39" s="16" t="s">
        <v>24</v>
      </c>
      <c r="E39" s="16" t="s">
        <v>25</v>
      </c>
      <c r="F39" s="21" t="s">
        <v>163</v>
      </c>
      <c r="G39" s="16"/>
      <c r="H39" s="17" t="s">
        <v>28</v>
      </c>
      <c r="I39" s="16"/>
      <c r="J39" s="16" t="s">
        <v>28</v>
      </c>
      <c r="K39" s="16" t="s">
        <v>29</v>
      </c>
      <c r="L39" s="16" t="s">
        <v>29</v>
      </c>
      <c r="M39" s="16" t="s">
        <v>29</v>
      </c>
      <c r="N39" s="16" t="s">
        <v>29</v>
      </c>
      <c r="O39" s="16"/>
      <c r="P39" s="16"/>
      <c r="Q39" s="16" t="s">
        <v>28</v>
      </c>
      <c r="R39" s="17" t="s">
        <v>28</v>
      </c>
      <c r="S39" s="16" t="s">
        <v>164</v>
      </c>
      <c r="T39" s="16" t="s">
        <v>25</v>
      </c>
      <c r="U39" s="16"/>
      <c r="V39" s="16"/>
      <c r="W39" s="16" t="s">
        <v>37</v>
      </c>
      <c r="X39" s="16" t="s">
        <v>37</v>
      </c>
      <c r="Y39" s="16" t="s">
        <v>28</v>
      </c>
      <c r="Z39" s="12" t="s">
        <v>32</v>
      </c>
    </row>
    <row r="40" customFormat="false" ht="15.75" hidden="false" customHeight="false" outlineLevel="0" collapsed="false">
      <c r="A40" s="13" t="n">
        <v>8286</v>
      </c>
      <c r="B40" s="14" t="n">
        <v>45652</v>
      </c>
      <c r="C40" s="21" t="s">
        <v>165</v>
      </c>
      <c r="D40" s="16" t="s">
        <v>24</v>
      </c>
      <c r="E40" s="16" t="s">
        <v>25</v>
      </c>
      <c r="F40" s="21" t="s">
        <v>166</v>
      </c>
      <c r="G40" s="16"/>
      <c r="H40" s="16" t="s">
        <v>28</v>
      </c>
      <c r="I40" s="16"/>
      <c r="J40" s="16" t="s">
        <v>28</v>
      </c>
      <c r="K40" s="16" t="s">
        <v>29</v>
      </c>
      <c r="L40" s="16"/>
      <c r="M40" s="16" t="s">
        <v>29</v>
      </c>
      <c r="N40" s="16" t="s">
        <v>29</v>
      </c>
      <c r="O40" s="16"/>
      <c r="P40" s="16"/>
      <c r="Q40" s="16" t="s">
        <v>28</v>
      </c>
      <c r="R40" s="16" t="s">
        <v>28</v>
      </c>
      <c r="S40" s="16"/>
      <c r="T40" s="16"/>
      <c r="U40" s="16"/>
      <c r="V40" s="16"/>
      <c r="W40" s="16"/>
      <c r="X40" s="16"/>
      <c r="Y40" s="16" t="s">
        <v>28</v>
      </c>
      <c r="Z40" s="12" t="s">
        <v>48</v>
      </c>
    </row>
    <row r="41" customFormat="false" ht="15.75" hidden="false" customHeight="false" outlineLevel="0" collapsed="false">
      <c r="A41" s="13" t="n">
        <v>8287</v>
      </c>
      <c r="B41" s="22" t="n">
        <v>45652</v>
      </c>
      <c r="C41" s="16" t="s">
        <v>165</v>
      </c>
      <c r="D41" s="16" t="s">
        <v>24</v>
      </c>
      <c r="E41" s="16" t="s">
        <v>25</v>
      </c>
      <c r="F41" s="16" t="s">
        <v>167</v>
      </c>
      <c r="G41" s="16"/>
      <c r="H41" s="16" t="s">
        <v>28</v>
      </c>
      <c r="I41" s="16"/>
      <c r="J41" s="16" t="s">
        <v>28</v>
      </c>
      <c r="K41" s="16" t="s">
        <v>29</v>
      </c>
      <c r="L41" s="16" t="s">
        <v>29</v>
      </c>
      <c r="M41" s="16" t="s">
        <v>29</v>
      </c>
      <c r="N41" s="16" t="s">
        <v>29</v>
      </c>
      <c r="O41" s="16"/>
      <c r="P41" s="16"/>
      <c r="Q41" s="16" t="s">
        <v>28</v>
      </c>
      <c r="R41" s="17" t="s">
        <v>28</v>
      </c>
      <c r="S41" s="16" t="s">
        <v>59</v>
      </c>
      <c r="T41" s="16" t="s">
        <v>30</v>
      </c>
      <c r="U41" s="16"/>
      <c r="V41" s="16" t="s">
        <v>31</v>
      </c>
      <c r="W41" s="16" t="s">
        <v>28</v>
      </c>
      <c r="X41" s="17" t="s">
        <v>28</v>
      </c>
      <c r="Y41" s="16" t="s">
        <v>28</v>
      </c>
      <c r="Z41" s="12" t="s">
        <v>48</v>
      </c>
    </row>
    <row r="42" customFormat="false" ht="15.75" hidden="false" customHeight="false" outlineLevel="0" collapsed="false">
      <c r="A42" s="13" t="n">
        <v>8288</v>
      </c>
      <c r="B42" s="14" t="n">
        <v>45653</v>
      </c>
      <c r="C42" s="16" t="s">
        <v>168</v>
      </c>
      <c r="D42" s="16" t="s">
        <v>24</v>
      </c>
      <c r="E42" s="16" t="s">
        <v>34</v>
      </c>
      <c r="F42" s="16" t="s">
        <v>169</v>
      </c>
      <c r="G42" s="16"/>
      <c r="H42" s="16"/>
      <c r="I42" s="16"/>
      <c r="J42" s="16"/>
      <c r="K42" s="16"/>
      <c r="L42" s="16" t="s">
        <v>29</v>
      </c>
      <c r="M42" s="16"/>
      <c r="N42" s="16"/>
      <c r="O42" s="16"/>
      <c r="P42" s="18"/>
      <c r="Q42" s="16" t="s">
        <v>37</v>
      </c>
      <c r="R42" s="16" t="s">
        <v>37</v>
      </c>
      <c r="S42" s="16"/>
      <c r="T42" s="16"/>
      <c r="U42" s="16"/>
      <c r="V42" s="16"/>
      <c r="W42" s="16" t="s">
        <v>37</v>
      </c>
      <c r="X42" s="16" t="s">
        <v>37</v>
      </c>
      <c r="Y42" s="16" t="s">
        <v>28</v>
      </c>
      <c r="Z42" s="12" t="s">
        <v>156</v>
      </c>
    </row>
    <row r="43" customFormat="false" ht="15.75" hidden="false" customHeight="false" outlineLevel="0" collapsed="false">
      <c r="A43" s="13" t="n">
        <v>8289</v>
      </c>
      <c r="B43" s="14" t="n">
        <v>45653</v>
      </c>
      <c r="C43" s="15" t="s">
        <v>168</v>
      </c>
      <c r="D43" s="16" t="s">
        <v>24</v>
      </c>
      <c r="E43" s="16" t="s">
        <v>34</v>
      </c>
      <c r="F43" s="16" t="s">
        <v>169</v>
      </c>
      <c r="G43" s="16"/>
      <c r="H43" s="16"/>
      <c r="I43" s="16"/>
      <c r="J43" s="16"/>
      <c r="K43" s="16"/>
      <c r="L43" s="16"/>
      <c r="M43" s="16"/>
      <c r="N43" s="16"/>
      <c r="O43" s="16"/>
      <c r="P43" s="18"/>
      <c r="Q43" s="16" t="s">
        <v>37</v>
      </c>
      <c r="R43" s="16" t="s">
        <v>37</v>
      </c>
      <c r="S43" s="16"/>
      <c r="T43" s="16"/>
      <c r="U43" s="16"/>
      <c r="V43" s="16"/>
      <c r="W43" s="16" t="s">
        <v>37</v>
      </c>
      <c r="X43" s="16" t="s">
        <v>37</v>
      </c>
      <c r="Y43" s="16" t="s">
        <v>28</v>
      </c>
      <c r="Z43" s="12" t="s">
        <v>156</v>
      </c>
    </row>
    <row r="44" customFormat="false" ht="15.75" hidden="false" customHeight="false" outlineLevel="0" collapsed="false">
      <c r="A44" s="13" t="n">
        <v>8290</v>
      </c>
      <c r="B44" s="14" t="n">
        <v>45656</v>
      </c>
      <c r="C44" s="15" t="s">
        <v>41</v>
      </c>
      <c r="D44" s="16" t="s">
        <v>24</v>
      </c>
      <c r="E44" s="16" t="s">
        <v>25</v>
      </c>
      <c r="F44" s="16" t="s">
        <v>170</v>
      </c>
      <c r="G44" s="16"/>
      <c r="H44" s="17" t="s">
        <v>28</v>
      </c>
      <c r="I44" s="16"/>
      <c r="J44" s="16" t="s">
        <v>28</v>
      </c>
      <c r="K44" s="16" t="s">
        <v>29</v>
      </c>
      <c r="L44" s="16" t="s">
        <v>29</v>
      </c>
      <c r="M44" s="16" t="s">
        <v>29</v>
      </c>
      <c r="N44" s="16" t="s">
        <v>171</v>
      </c>
      <c r="O44" s="16"/>
      <c r="P44" s="18"/>
      <c r="Q44" s="16" t="s">
        <v>37</v>
      </c>
      <c r="R44" s="16" t="s">
        <v>37</v>
      </c>
      <c r="S44" s="16"/>
      <c r="T44" s="16"/>
      <c r="U44" s="16"/>
      <c r="V44" s="16"/>
      <c r="W44" s="16" t="s">
        <v>37</v>
      </c>
      <c r="X44" s="16" t="s">
        <v>37</v>
      </c>
      <c r="Y44" s="16" t="s">
        <v>28</v>
      </c>
      <c r="Z44" s="12" t="s">
        <v>32</v>
      </c>
    </row>
    <row r="45" customFormat="false" ht="15.75" hidden="false" customHeight="false" outlineLevel="0" collapsed="false">
      <c r="A45" s="13" t="n">
        <v>8291</v>
      </c>
      <c r="B45" s="14" t="n">
        <v>45656</v>
      </c>
      <c r="C45" s="15" t="s">
        <v>41</v>
      </c>
      <c r="D45" s="16" t="s">
        <v>24</v>
      </c>
      <c r="E45" s="16" t="s">
        <v>25</v>
      </c>
      <c r="F45" s="16" t="s">
        <v>172</v>
      </c>
      <c r="G45" s="16"/>
      <c r="H45" s="17" t="s">
        <v>28</v>
      </c>
      <c r="I45" s="16"/>
      <c r="J45" s="16" t="s">
        <v>28</v>
      </c>
      <c r="K45" s="16"/>
      <c r="L45" s="16" t="s">
        <v>29</v>
      </c>
      <c r="M45" s="16" t="s">
        <v>29</v>
      </c>
      <c r="N45" s="16" t="s">
        <v>171</v>
      </c>
      <c r="O45" s="16"/>
      <c r="P45" s="16"/>
      <c r="Q45" s="16" t="s">
        <v>37</v>
      </c>
      <c r="R45" s="16" t="s">
        <v>37</v>
      </c>
      <c r="S45" s="16"/>
      <c r="T45" s="16"/>
      <c r="U45" s="16"/>
      <c r="V45" s="16"/>
      <c r="W45" s="16" t="s">
        <v>37</v>
      </c>
      <c r="X45" s="16" t="s">
        <v>37</v>
      </c>
      <c r="Y45" s="16" t="s">
        <v>28</v>
      </c>
      <c r="Z45" s="12" t="s">
        <v>32</v>
      </c>
    </row>
    <row r="46" customFormat="false" ht="15.75" hidden="false" customHeight="false" outlineLevel="0" collapsed="false">
      <c r="A46" s="13" t="n">
        <v>8292</v>
      </c>
      <c r="B46" s="14" t="n">
        <v>45656</v>
      </c>
      <c r="C46" s="21" t="s">
        <v>41</v>
      </c>
      <c r="D46" s="16" t="s">
        <v>24</v>
      </c>
      <c r="E46" s="16" t="s">
        <v>25</v>
      </c>
      <c r="F46" s="16" t="s">
        <v>173</v>
      </c>
      <c r="G46" s="16"/>
      <c r="H46" s="17" t="s">
        <v>28</v>
      </c>
      <c r="I46" s="16"/>
      <c r="J46" s="16" t="s">
        <v>28</v>
      </c>
      <c r="K46" s="16" t="s">
        <v>29</v>
      </c>
      <c r="L46" s="16" t="s">
        <v>29</v>
      </c>
      <c r="M46" s="16" t="s">
        <v>29</v>
      </c>
      <c r="N46" s="16" t="s">
        <v>171</v>
      </c>
      <c r="O46" s="16"/>
      <c r="P46" s="16"/>
      <c r="Q46" s="16" t="s">
        <v>37</v>
      </c>
      <c r="R46" s="16" t="s">
        <v>37</v>
      </c>
      <c r="S46" s="16"/>
      <c r="T46" s="16"/>
      <c r="U46" s="16"/>
      <c r="V46" s="16"/>
      <c r="W46" s="16" t="s">
        <v>37</v>
      </c>
      <c r="X46" s="16" t="s">
        <v>37</v>
      </c>
      <c r="Y46" s="16" t="s">
        <v>28</v>
      </c>
      <c r="Z46" s="12" t="s">
        <v>32</v>
      </c>
    </row>
    <row r="47" customFormat="false" ht="15.75" hidden="false" customHeight="false" outlineLevel="0" collapsed="false">
      <c r="A47" s="13" t="n">
        <v>8293</v>
      </c>
      <c r="B47" s="14" t="n">
        <v>45656</v>
      </c>
      <c r="C47" s="15" t="s">
        <v>41</v>
      </c>
      <c r="D47" s="16" t="s">
        <v>24</v>
      </c>
      <c r="E47" s="16" t="s">
        <v>25</v>
      </c>
      <c r="F47" s="16" t="s">
        <v>174</v>
      </c>
      <c r="G47" s="16"/>
      <c r="H47" s="16" t="s">
        <v>28</v>
      </c>
      <c r="I47" s="16"/>
      <c r="J47" s="16" t="s">
        <v>28</v>
      </c>
      <c r="K47" s="16" t="s">
        <v>29</v>
      </c>
      <c r="L47" s="16" t="s">
        <v>29</v>
      </c>
      <c r="M47" s="16" t="s">
        <v>29</v>
      </c>
      <c r="N47" s="16" t="s">
        <v>171</v>
      </c>
      <c r="O47" s="16"/>
      <c r="P47" s="16"/>
      <c r="Q47" s="16" t="s">
        <v>28</v>
      </c>
      <c r="R47" s="16" t="s">
        <v>28</v>
      </c>
      <c r="S47" s="16"/>
      <c r="T47" s="16"/>
      <c r="U47" s="16"/>
      <c r="V47" s="16"/>
      <c r="W47" s="16" t="s">
        <v>37</v>
      </c>
      <c r="X47" s="16" t="s">
        <v>37</v>
      </c>
      <c r="Y47" s="16" t="s">
        <v>28</v>
      </c>
      <c r="Z47" s="12" t="s">
        <v>32</v>
      </c>
    </row>
    <row r="48" customFormat="false" ht="15.75" hidden="false" customHeight="false" outlineLevel="0" collapsed="false">
      <c r="A48" s="13" t="n">
        <v>8294</v>
      </c>
      <c r="B48" s="14" t="n">
        <v>45656</v>
      </c>
      <c r="C48" s="15" t="s">
        <v>41</v>
      </c>
      <c r="D48" s="16" t="s">
        <v>24</v>
      </c>
      <c r="E48" s="16" t="s">
        <v>25</v>
      </c>
      <c r="F48" s="16" t="s">
        <v>174</v>
      </c>
      <c r="G48" s="16"/>
      <c r="H48" s="17" t="s">
        <v>28</v>
      </c>
      <c r="I48" s="16"/>
      <c r="J48" s="16" t="s">
        <v>28</v>
      </c>
      <c r="K48" s="16" t="s">
        <v>29</v>
      </c>
      <c r="L48" s="16" t="s">
        <v>29</v>
      </c>
      <c r="M48" s="16" t="s">
        <v>29</v>
      </c>
      <c r="N48" s="16" t="s">
        <v>171</v>
      </c>
      <c r="O48" s="16"/>
      <c r="P48" s="16"/>
      <c r="Q48" s="16" t="s">
        <v>28</v>
      </c>
      <c r="R48" s="16" t="s">
        <v>28</v>
      </c>
      <c r="S48" s="16"/>
      <c r="T48" s="16"/>
      <c r="U48" s="16"/>
      <c r="V48" s="16"/>
      <c r="W48" s="16" t="s">
        <v>37</v>
      </c>
      <c r="X48" s="16" t="s">
        <v>37</v>
      </c>
      <c r="Y48" s="16" t="s">
        <v>28</v>
      </c>
      <c r="Z48" s="12" t="s">
        <v>32</v>
      </c>
    </row>
    <row r="49" customFormat="false" ht="15.75" hidden="false" customHeight="false" outlineLevel="0" collapsed="false">
      <c r="A49" s="13" t="n">
        <v>8295</v>
      </c>
      <c r="B49" s="14" t="n">
        <v>45656</v>
      </c>
      <c r="C49" s="15" t="s">
        <v>136</v>
      </c>
      <c r="D49" s="16" t="s">
        <v>24</v>
      </c>
      <c r="E49" s="16" t="s">
        <v>25</v>
      </c>
      <c r="F49" s="16" t="s">
        <v>175</v>
      </c>
      <c r="G49" s="16"/>
      <c r="H49" s="17" t="s">
        <v>28</v>
      </c>
      <c r="I49" s="16"/>
      <c r="J49" s="16" t="s">
        <v>28</v>
      </c>
      <c r="K49" s="16" t="s">
        <v>29</v>
      </c>
      <c r="L49" s="16" t="s">
        <v>29</v>
      </c>
      <c r="M49" s="16" t="s">
        <v>29</v>
      </c>
      <c r="N49" s="16" t="n">
        <v>8975</v>
      </c>
      <c r="O49" s="16"/>
      <c r="P49" s="18"/>
      <c r="Q49" s="16" t="s">
        <v>28</v>
      </c>
      <c r="R49" s="16" t="s">
        <v>28</v>
      </c>
      <c r="S49" s="16"/>
      <c r="T49" s="16"/>
      <c r="U49" s="16"/>
      <c r="V49" s="16" t="s">
        <v>58</v>
      </c>
      <c r="W49" s="17" t="s">
        <v>28</v>
      </c>
      <c r="X49" s="17" t="s">
        <v>28</v>
      </c>
      <c r="Y49" s="16" t="s">
        <v>28</v>
      </c>
      <c r="Z49" s="12" t="s">
        <v>32</v>
      </c>
    </row>
    <row r="50" customFormat="false" ht="15.75" hidden="false" customHeight="false" outlineLevel="0" collapsed="false">
      <c r="A50" s="13" t="n">
        <v>8296</v>
      </c>
      <c r="B50" s="14" t="n">
        <v>45656</v>
      </c>
      <c r="C50" s="15" t="s">
        <v>176</v>
      </c>
      <c r="D50" s="16" t="s">
        <v>24</v>
      </c>
      <c r="E50" s="16" t="s">
        <v>25</v>
      </c>
      <c r="F50" s="16" t="s">
        <v>175</v>
      </c>
      <c r="G50" s="16"/>
      <c r="H50" s="17" t="s">
        <v>28</v>
      </c>
      <c r="I50" s="16"/>
      <c r="J50" s="16" t="s">
        <v>28</v>
      </c>
      <c r="K50" s="16" t="s">
        <v>29</v>
      </c>
      <c r="L50" s="16" t="s">
        <v>29</v>
      </c>
      <c r="M50" s="16" t="s">
        <v>29</v>
      </c>
      <c r="N50" s="16" t="n">
        <v>8975</v>
      </c>
      <c r="O50" s="16"/>
      <c r="P50" s="18"/>
      <c r="Q50" s="16" t="s">
        <v>28</v>
      </c>
      <c r="R50" s="17" t="s">
        <v>28</v>
      </c>
      <c r="S50" s="16" t="s">
        <v>177</v>
      </c>
      <c r="T50" s="16" t="s">
        <v>25</v>
      </c>
      <c r="U50" s="16"/>
      <c r="V50" s="16" t="s">
        <v>58</v>
      </c>
      <c r="W50" s="17" t="s">
        <v>28</v>
      </c>
      <c r="X50" s="17" t="s">
        <v>28</v>
      </c>
      <c r="Y50" s="16" t="s">
        <v>28</v>
      </c>
      <c r="Z50" s="12" t="s">
        <v>32</v>
      </c>
    </row>
    <row r="51" customFormat="false" ht="18.55" hidden="false" customHeight="false" outlineLevel="0" collapsed="false">
      <c r="A51" s="38" t="s">
        <v>178</v>
      </c>
      <c r="B51" s="38"/>
      <c r="C51" s="38"/>
      <c r="D51" s="39"/>
      <c r="E51" s="39"/>
      <c r="F51" s="39"/>
      <c r="G51" s="39"/>
      <c r="H51" s="39"/>
      <c r="I51" s="39"/>
      <c r="J51" s="39"/>
      <c r="K51" s="39"/>
      <c r="L51" s="39"/>
      <c r="M51" s="39"/>
      <c r="N51" s="39"/>
      <c r="O51" s="39"/>
      <c r="P51" s="40"/>
      <c r="Q51" s="39"/>
      <c r="R51" s="39"/>
      <c r="S51" s="39"/>
      <c r="T51" s="39"/>
      <c r="U51" s="39"/>
      <c r="V51" s="39"/>
      <c r="W51" s="39"/>
      <c r="X51" s="39"/>
      <c r="Y51" s="39"/>
      <c r="Z51" s="41"/>
    </row>
    <row r="52" customFormat="false" ht="15.75" hidden="false" customHeight="false" outlineLevel="0" collapsed="false">
      <c r="A52" s="13"/>
      <c r="B52" s="14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2"/>
    </row>
    <row r="53" customFormat="false" ht="15.75" hidden="false" customHeight="false" outlineLevel="0" collapsed="false">
      <c r="A53" s="13"/>
      <c r="B53" s="14"/>
      <c r="C53" s="21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2"/>
    </row>
    <row r="54" customFormat="false" ht="15.75" hidden="false" customHeight="false" outlineLevel="0" collapsed="false">
      <c r="A54" s="13"/>
      <c r="B54" s="14"/>
      <c r="C54" s="15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2"/>
    </row>
    <row r="55" customFormat="false" ht="15.75" hidden="false" customHeight="false" outlineLevel="0" collapsed="false">
      <c r="A55" s="13"/>
      <c r="B55" s="14"/>
      <c r="C55" s="15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2"/>
    </row>
    <row r="56" customFormat="false" ht="15.75" hidden="false" customHeight="false" outlineLevel="0" collapsed="false">
      <c r="A56" s="13"/>
      <c r="B56" s="14"/>
      <c r="C56" s="15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8"/>
      <c r="Q56" s="16"/>
      <c r="R56" s="16"/>
      <c r="S56" s="16"/>
      <c r="T56" s="16"/>
      <c r="U56" s="16"/>
      <c r="V56" s="16"/>
      <c r="W56" s="16"/>
      <c r="X56" s="16"/>
      <c r="Y56" s="16"/>
      <c r="Z56" s="12"/>
    </row>
    <row r="57" customFormat="false" ht="15.75" hidden="false" customHeight="false" outlineLevel="0" collapsed="false">
      <c r="A57" s="13"/>
      <c r="B57" s="14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8"/>
      <c r="Q57" s="16"/>
      <c r="R57" s="16"/>
      <c r="S57" s="16"/>
      <c r="T57" s="16"/>
      <c r="U57" s="16"/>
      <c r="V57" s="16"/>
      <c r="W57" s="16"/>
      <c r="X57" s="16"/>
      <c r="Y57" s="16"/>
      <c r="Z57" s="12"/>
    </row>
    <row r="58" customFormat="false" ht="15.75" hidden="false" customHeight="false" outlineLevel="0" collapsed="false">
      <c r="A58" s="13"/>
      <c r="B58" s="14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8"/>
      <c r="Q58" s="16"/>
      <c r="R58" s="16"/>
      <c r="S58" s="16"/>
      <c r="T58" s="16"/>
      <c r="U58" s="16"/>
      <c r="V58" s="16"/>
      <c r="W58" s="16"/>
      <c r="X58" s="16"/>
      <c r="Y58" s="16"/>
      <c r="Z58" s="12"/>
    </row>
    <row r="59" customFormat="false" ht="15.75" hidden="false" customHeight="false" outlineLevel="0" collapsed="false">
      <c r="A59" s="21"/>
      <c r="B59" s="29"/>
      <c r="C59" s="21"/>
      <c r="D59" s="21"/>
      <c r="E59" s="21"/>
      <c r="F59" s="21"/>
      <c r="G59" s="30"/>
      <c r="H59" s="31"/>
      <c r="I59" s="31"/>
      <c r="J59" s="21"/>
      <c r="K59" s="21"/>
      <c r="L59" s="21"/>
      <c r="M59" s="21"/>
      <c r="N59" s="21"/>
      <c r="O59" s="21"/>
      <c r="P59" s="30"/>
      <c r="Q59" s="21"/>
      <c r="R59" s="21"/>
      <c r="S59" s="21"/>
      <c r="T59" s="32"/>
      <c r="U59" s="32"/>
      <c r="V59" s="21"/>
      <c r="W59" s="21"/>
      <c r="X59" s="21"/>
      <c r="Y59" s="21"/>
      <c r="Z59" s="12"/>
    </row>
    <row r="60" customFormat="false" ht="15.75" hidden="false" customHeight="false" outlineLevel="0" collapsed="false">
      <c r="A60" s="21"/>
      <c r="B60" s="29"/>
      <c r="C60" s="21"/>
      <c r="D60" s="21"/>
      <c r="E60" s="21"/>
      <c r="F60" s="21"/>
      <c r="G60" s="30"/>
      <c r="H60" s="31"/>
      <c r="I60" s="31"/>
      <c r="J60" s="21"/>
      <c r="K60" s="21"/>
      <c r="L60" s="21"/>
      <c r="M60" s="21"/>
      <c r="N60" s="21"/>
      <c r="O60" s="21"/>
      <c r="P60" s="30"/>
      <c r="Q60" s="21"/>
      <c r="R60" s="21"/>
      <c r="S60" s="21"/>
      <c r="T60" s="32"/>
      <c r="U60" s="32"/>
      <c r="V60" s="21"/>
      <c r="W60" s="21"/>
      <c r="X60" s="21"/>
      <c r="Y60" s="21"/>
      <c r="Z60" s="12"/>
    </row>
    <row r="61" customFormat="false" ht="15.75" hidden="false" customHeight="false" outlineLevel="0" collapsed="false">
      <c r="A61" s="21"/>
      <c r="B61" s="29"/>
      <c r="C61" s="21"/>
      <c r="D61" s="21"/>
      <c r="E61" s="21"/>
      <c r="F61" s="21"/>
      <c r="G61" s="30"/>
      <c r="H61" s="31"/>
      <c r="I61" s="31"/>
      <c r="J61" s="21"/>
      <c r="K61" s="21"/>
      <c r="L61" s="21"/>
      <c r="M61" s="21"/>
      <c r="N61" s="21"/>
      <c r="O61" s="21"/>
      <c r="P61" s="30"/>
      <c r="Q61" s="21"/>
      <c r="R61" s="21"/>
      <c r="S61" s="21"/>
      <c r="T61" s="32"/>
      <c r="U61" s="32"/>
      <c r="V61" s="21"/>
      <c r="W61" s="21"/>
      <c r="X61" s="21"/>
      <c r="Y61" s="21"/>
      <c r="Z61" s="12"/>
    </row>
    <row r="62" customFormat="false" ht="15.75" hidden="false" customHeight="false" outlineLevel="0" collapsed="false">
      <c r="A62" s="21"/>
      <c r="B62" s="29"/>
      <c r="C62" s="21"/>
      <c r="D62" s="21"/>
      <c r="E62" s="21"/>
      <c r="F62" s="21"/>
      <c r="G62" s="30"/>
      <c r="H62" s="31"/>
      <c r="I62" s="31"/>
      <c r="J62" s="21"/>
      <c r="K62" s="21"/>
      <c r="L62" s="21"/>
      <c r="M62" s="21"/>
      <c r="N62" s="21"/>
      <c r="O62" s="21"/>
      <c r="P62" s="30"/>
      <c r="Q62" s="21"/>
      <c r="R62" s="21"/>
      <c r="S62" s="21"/>
      <c r="T62" s="32"/>
      <c r="U62" s="32"/>
      <c r="V62" s="21"/>
      <c r="W62" s="21"/>
      <c r="X62" s="21"/>
      <c r="Y62" s="21"/>
      <c r="Z62" s="12"/>
    </row>
    <row r="63" customFormat="false" ht="15.75" hidden="false" customHeight="false" outlineLevel="0" collapsed="false">
      <c r="A63" s="21"/>
      <c r="B63" s="29"/>
      <c r="C63" s="21"/>
      <c r="D63" s="21"/>
      <c r="E63" s="21"/>
      <c r="F63" s="21"/>
      <c r="G63" s="30"/>
      <c r="H63" s="31"/>
      <c r="I63" s="31"/>
      <c r="J63" s="21"/>
      <c r="K63" s="21"/>
      <c r="L63" s="21"/>
      <c r="M63" s="21"/>
      <c r="N63" s="21"/>
      <c r="O63" s="21"/>
      <c r="P63" s="30"/>
      <c r="Q63" s="21"/>
      <c r="R63" s="21"/>
      <c r="S63" s="21"/>
      <c r="T63" s="32"/>
      <c r="U63" s="32"/>
      <c r="V63" s="21"/>
      <c r="W63" s="21"/>
      <c r="X63" s="21"/>
      <c r="Y63" s="21"/>
      <c r="Z63" s="12"/>
    </row>
    <row r="64" customFormat="false" ht="15.75" hidden="false" customHeight="false" outlineLevel="0" collapsed="false">
      <c r="A64" s="21"/>
      <c r="B64" s="33"/>
      <c r="C64" s="21"/>
      <c r="D64" s="21"/>
      <c r="E64" s="21"/>
      <c r="F64" s="21"/>
      <c r="G64" s="30"/>
      <c r="H64" s="31"/>
      <c r="I64" s="31"/>
      <c r="J64" s="21"/>
      <c r="K64" s="21"/>
      <c r="L64" s="21"/>
      <c r="M64" s="21"/>
      <c r="N64" s="21"/>
      <c r="O64" s="21"/>
      <c r="P64" s="30"/>
      <c r="Q64" s="21"/>
      <c r="R64" s="21"/>
      <c r="S64" s="21"/>
      <c r="T64" s="32"/>
      <c r="U64" s="32"/>
      <c r="V64" s="21"/>
      <c r="W64" s="21"/>
      <c r="X64" s="21"/>
      <c r="Y64" s="21"/>
      <c r="Z64" s="12"/>
    </row>
    <row r="65" customFormat="false" ht="15.75" hidden="false" customHeight="false" outlineLevel="0" collapsed="false">
      <c r="A65" s="21"/>
      <c r="B65" s="29"/>
      <c r="C65" s="21"/>
      <c r="D65" s="21"/>
      <c r="E65" s="21"/>
      <c r="F65" s="21"/>
      <c r="G65" s="30"/>
      <c r="H65" s="31"/>
      <c r="I65" s="31"/>
      <c r="J65" s="21"/>
      <c r="K65" s="21"/>
      <c r="L65" s="21"/>
      <c r="M65" s="21"/>
      <c r="N65" s="21"/>
      <c r="O65" s="21"/>
      <c r="P65" s="30"/>
      <c r="Q65" s="21"/>
      <c r="R65" s="21"/>
      <c r="S65" s="21"/>
      <c r="T65" s="32"/>
      <c r="U65" s="32"/>
      <c r="V65" s="21"/>
      <c r="W65" s="21"/>
      <c r="X65" s="21"/>
      <c r="Y65" s="21"/>
      <c r="Z65" s="12"/>
    </row>
    <row r="66" customFormat="false" ht="15.75" hidden="false" customHeight="false" outlineLevel="0" collapsed="false">
      <c r="A66" s="21"/>
      <c r="B66" s="29"/>
      <c r="C66" s="21"/>
      <c r="D66" s="21"/>
      <c r="E66" s="21"/>
      <c r="F66" s="21"/>
      <c r="G66" s="30"/>
      <c r="H66" s="31"/>
      <c r="I66" s="31"/>
      <c r="J66" s="21"/>
      <c r="K66" s="21"/>
      <c r="L66" s="21"/>
      <c r="M66" s="21"/>
      <c r="N66" s="21"/>
      <c r="O66" s="21"/>
      <c r="P66" s="30"/>
      <c r="Q66" s="21"/>
      <c r="R66" s="21"/>
      <c r="S66" s="21"/>
      <c r="T66" s="32"/>
      <c r="U66" s="32"/>
      <c r="V66" s="21"/>
      <c r="W66" s="21"/>
      <c r="X66" s="21"/>
      <c r="Y66" s="21"/>
      <c r="Z66" s="12"/>
    </row>
    <row r="67" customFormat="false" ht="15.75" hidden="false" customHeight="false" outlineLevel="0" collapsed="false">
      <c r="A67" s="21"/>
      <c r="B67" s="29"/>
      <c r="C67" s="21"/>
      <c r="D67" s="21"/>
      <c r="E67" s="21"/>
      <c r="F67" s="21"/>
      <c r="G67" s="30"/>
      <c r="H67" s="31"/>
      <c r="I67" s="31"/>
      <c r="J67" s="21"/>
      <c r="K67" s="21"/>
      <c r="L67" s="21"/>
      <c r="M67" s="21"/>
      <c r="N67" s="21"/>
      <c r="O67" s="21"/>
      <c r="P67" s="30"/>
      <c r="Q67" s="21"/>
      <c r="R67" s="21"/>
      <c r="S67" s="21"/>
      <c r="T67" s="32"/>
      <c r="U67" s="32"/>
      <c r="V67" s="21"/>
      <c r="W67" s="21"/>
      <c r="X67" s="21"/>
      <c r="Y67" s="21"/>
      <c r="Z67" s="12"/>
    </row>
    <row r="68" customFormat="false" ht="15.75" hidden="false" customHeight="false" outlineLevel="0" collapsed="false">
      <c r="B68" s="34"/>
      <c r="D68" s="12"/>
      <c r="E68" s="12"/>
      <c r="G68" s="18"/>
      <c r="H68" s="35"/>
      <c r="I68" s="35"/>
      <c r="J68" s="12"/>
      <c r="P68" s="18"/>
      <c r="Q68" s="12"/>
      <c r="R68" s="12"/>
      <c r="T68" s="36"/>
      <c r="U68" s="36"/>
      <c r="V68" s="12"/>
      <c r="W68" s="12"/>
      <c r="X68" s="12"/>
      <c r="Y68" s="12"/>
    </row>
    <row r="69" customFormat="false" ht="15.75" hidden="false" customHeight="false" outlineLevel="0" collapsed="false">
      <c r="B69" s="34"/>
      <c r="D69" s="12"/>
      <c r="E69" s="12"/>
      <c r="G69" s="18"/>
      <c r="H69" s="35"/>
      <c r="I69" s="35"/>
      <c r="J69" s="12"/>
      <c r="P69" s="18"/>
      <c r="Q69" s="12"/>
      <c r="R69" s="12"/>
      <c r="T69" s="36"/>
      <c r="U69" s="36"/>
      <c r="V69" s="12"/>
      <c r="W69" s="12"/>
      <c r="X69" s="12"/>
      <c r="Y69" s="12"/>
    </row>
    <row r="70" customFormat="false" ht="15.75" hidden="false" customHeight="false" outlineLevel="0" collapsed="false">
      <c r="B70" s="34"/>
      <c r="D70" s="12"/>
      <c r="E70" s="12"/>
      <c r="G70" s="18"/>
      <c r="H70" s="35"/>
      <c r="I70" s="35"/>
      <c r="J70" s="12"/>
      <c r="P70" s="18"/>
      <c r="Q70" s="12"/>
      <c r="R70" s="12"/>
      <c r="T70" s="36"/>
      <c r="U70" s="36"/>
      <c r="V70" s="12"/>
      <c r="W70" s="12"/>
      <c r="X70" s="12"/>
      <c r="Y70" s="12"/>
    </row>
    <row r="71" customFormat="false" ht="15.75" hidden="false" customHeight="false" outlineLevel="0" collapsed="false">
      <c r="B71" s="34"/>
      <c r="D71" s="12"/>
      <c r="E71" s="12"/>
      <c r="G71" s="18"/>
      <c r="H71" s="35"/>
      <c r="I71" s="35"/>
      <c r="J71" s="12"/>
      <c r="P71" s="18"/>
      <c r="Q71" s="12"/>
      <c r="R71" s="12"/>
      <c r="T71" s="36"/>
      <c r="U71" s="36"/>
      <c r="V71" s="12"/>
      <c r="W71" s="12"/>
      <c r="X71" s="12"/>
      <c r="Y71" s="12"/>
    </row>
    <row r="72" customFormat="false" ht="15.75" hidden="false" customHeight="false" outlineLevel="0" collapsed="false">
      <c r="B72" s="34"/>
      <c r="D72" s="12"/>
      <c r="E72" s="12"/>
      <c r="G72" s="18"/>
      <c r="H72" s="35"/>
      <c r="I72" s="35"/>
      <c r="J72" s="12"/>
      <c r="P72" s="18"/>
      <c r="Q72" s="12"/>
      <c r="R72" s="12"/>
      <c r="T72" s="36"/>
      <c r="U72" s="36"/>
      <c r="V72" s="12"/>
      <c r="W72" s="12"/>
      <c r="X72" s="12"/>
      <c r="Y72" s="12"/>
    </row>
    <row r="73" customFormat="false" ht="15.75" hidden="false" customHeight="false" outlineLevel="0" collapsed="false">
      <c r="B73" s="34"/>
      <c r="D73" s="12"/>
      <c r="E73" s="12"/>
      <c r="G73" s="18"/>
      <c r="H73" s="35"/>
      <c r="I73" s="35"/>
      <c r="J73" s="12"/>
      <c r="P73" s="18"/>
      <c r="Q73" s="12"/>
      <c r="R73" s="12"/>
      <c r="T73" s="36"/>
      <c r="U73" s="36"/>
      <c r="V73" s="12"/>
      <c r="W73" s="12"/>
      <c r="X73" s="12"/>
      <c r="Y73" s="12"/>
    </row>
    <row r="74" customFormat="false" ht="15.75" hidden="false" customHeight="false" outlineLevel="0" collapsed="false">
      <c r="B74" s="34"/>
      <c r="D74" s="12"/>
      <c r="E74" s="12"/>
      <c r="G74" s="18"/>
      <c r="H74" s="35"/>
      <c r="I74" s="35"/>
      <c r="J74" s="12"/>
      <c r="P74" s="18"/>
      <c r="Q74" s="12"/>
      <c r="R74" s="12"/>
      <c r="T74" s="36"/>
      <c r="U74" s="36"/>
      <c r="V74" s="12"/>
      <c r="W74" s="12"/>
      <c r="X74" s="12"/>
      <c r="Y74" s="12"/>
    </row>
    <row r="75" customFormat="false" ht="15.75" hidden="false" customHeight="false" outlineLevel="0" collapsed="false">
      <c r="B75" s="34"/>
      <c r="D75" s="12"/>
      <c r="E75" s="12"/>
      <c r="G75" s="18"/>
      <c r="H75" s="35"/>
      <c r="I75" s="35"/>
      <c r="J75" s="12"/>
      <c r="P75" s="18"/>
      <c r="Q75" s="12"/>
      <c r="R75" s="12"/>
      <c r="T75" s="36"/>
      <c r="U75" s="36"/>
      <c r="V75" s="12"/>
      <c r="W75" s="12"/>
      <c r="X75" s="12"/>
      <c r="Y75" s="12"/>
    </row>
    <row r="76" customFormat="false" ht="15.75" hidden="false" customHeight="false" outlineLevel="0" collapsed="false">
      <c r="B76" s="34"/>
      <c r="D76" s="12"/>
      <c r="E76" s="12"/>
      <c r="G76" s="18"/>
      <c r="H76" s="35"/>
      <c r="I76" s="35"/>
      <c r="J76" s="12"/>
      <c r="P76" s="18"/>
      <c r="Q76" s="12"/>
      <c r="R76" s="12"/>
      <c r="T76" s="36"/>
      <c r="U76" s="36"/>
      <c r="V76" s="12"/>
      <c r="W76" s="12"/>
      <c r="X76" s="12"/>
      <c r="Y76" s="12"/>
    </row>
    <row r="77" customFormat="false" ht="15.75" hidden="false" customHeight="false" outlineLevel="0" collapsed="false">
      <c r="B77" s="34"/>
      <c r="D77" s="12"/>
      <c r="E77" s="12"/>
      <c r="G77" s="18"/>
      <c r="H77" s="35"/>
      <c r="I77" s="35"/>
      <c r="J77" s="12"/>
      <c r="P77" s="18"/>
      <c r="Q77" s="12"/>
      <c r="R77" s="12"/>
      <c r="T77" s="36"/>
      <c r="U77" s="36"/>
      <c r="V77" s="12"/>
      <c r="W77" s="12"/>
      <c r="X77" s="12"/>
      <c r="Y77" s="12"/>
    </row>
    <row r="78" customFormat="false" ht="15.75" hidden="false" customHeight="false" outlineLevel="0" collapsed="false">
      <c r="B78" s="34"/>
      <c r="D78" s="12"/>
      <c r="E78" s="12"/>
      <c r="G78" s="18"/>
      <c r="H78" s="35"/>
      <c r="I78" s="35"/>
      <c r="J78" s="12"/>
      <c r="P78" s="18"/>
      <c r="Q78" s="12"/>
      <c r="R78" s="12"/>
      <c r="T78" s="36"/>
      <c r="U78" s="36"/>
      <c r="V78" s="12"/>
      <c r="W78" s="12"/>
      <c r="X78" s="12"/>
      <c r="Y78" s="12"/>
    </row>
    <row r="79" customFormat="false" ht="15.75" hidden="false" customHeight="false" outlineLevel="0" collapsed="false">
      <c r="B79" s="34"/>
      <c r="D79" s="12"/>
      <c r="E79" s="12"/>
      <c r="G79" s="18"/>
      <c r="H79" s="35"/>
      <c r="I79" s="35"/>
      <c r="J79" s="12"/>
      <c r="P79" s="18"/>
      <c r="Q79" s="12"/>
      <c r="R79" s="12"/>
      <c r="T79" s="36"/>
      <c r="U79" s="36"/>
      <c r="V79" s="12"/>
      <c r="W79" s="12"/>
      <c r="X79" s="12"/>
      <c r="Y79" s="12"/>
    </row>
    <row r="80" customFormat="false" ht="15.75" hidden="false" customHeight="false" outlineLevel="0" collapsed="false">
      <c r="B80" s="34"/>
      <c r="D80" s="12"/>
      <c r="E80" s="12"/>
      <c r="G80" s="18"/>
      <c r="H80" s="35"/>
      <c r="I80" s="35"/>
      <c r="J80" s="12"/>
      <c r="P80" s="18"/>
      <c r="Q80" s="12"/>
      <c r="R80" s="12"/>
      <c r="T80" s="36"/>
      <c r="U80" s="36"/>
      <c r="V80" s="12"/>
      <c r="W80" s="12"/>
      <c r="X80" s="12"/>
      <c r="Y80" s="12"/>
    </row>
    <row r="81" customFormat="false" ht="15.75" hidden="false" customHeight="false" outlineLevel="0" collapsed="false">
      <c r="B81" s="34"/>
      <c r="D81" s="12"/>
      <c r="E81" s="12"/>
      <c r="G81" s="18"/>
      <c r="H81" s="35"/>
      <c r="I81" s="35"/>
      <c r="J81" s="12"/>
      <c r="P81" s="18"/>
      <c r="Q81" s="12"/>
      <c r="R81" s="12"/>
      <c r="T81" s="36"/>
      <c r="U81" s="36"/>
      <c r="V81" s="12"/>
      <c r="W81" s="12"/>
      <c r="X81" s="12"/>
      <c r="Y81" s="12"/>
    </row>
    <row r="82" customFormat="false" ht="15.75" hidden="false" customHeight="false" outlineLevel="0" collapsed="false">
      <c r="B82" s="34"/>
      <c r="D82" s="12"/>
      <c r="E82" s="12"/>
      <c r="G82" s="18"/>
      <c r="H82" s="35"/>
      <c r="I82" s="35"/>
      <c r="J82" s="12"/>
      <c r="P82" s="18"/>
      <c r="Q82" s="12"/>
      <c r="R82" s="12"/>
      <c r="T82" s="36"/>
      <c r="U82" s="36"/>
      <c r="V82" s="12"/>
      <c r="W82" s="12"/>
      <c r="X82" s="12"/>
      <c r="Y82" s="12"/>
    </row>
    <row r="83" customFormat="false" ht="15.75" hidden="false" customHeight="false" outlineLevel="0" collapsed="false">
      <c r="B83" s="34"/>
      <c r="D83" s="12"/>
      <c r="E83" s="12"/>
      <c r="G83" s="18"/>
      <c r="H83" s="35"/>
      <c r="I83" s="35"/>
      <c r="J83" s="12"/>
      <c r="P83" s="18"/>
      <c r="Q83" s="12"/>
      <c r="R83" s="12"/>
      <c r="T83" s="36"/>
      <c r="U83" s="36"/>
      <c r="V83" s="12"/>
      <c r="W83" s="12"/>
      <c r="X83" s="12"/>
      <c r="Y83" s="12"/>
    </row>
    <row r="84" customFormat="false" ht="15.75" hidden="false" customHeight="false" outlineLevel="0" collapsed="false">
      <c r="B84" s="34"/>
      <c r="D84" s="12"/>
      <c r="E84" s="12"/>
      <c r="G84" s="18"/>
      <c r="H84" s="35"/>
      <c r="I84" s="35"/>
      <c r="J84" s="12"/>
      <c r="P84" s="18"/>
      <c r="Q84" s="12"/>
      <c r="R84" s="12"/>
      <c r="T84" s="36"/>
      <c r="U84" s="36"/>
      <c r="V84" s="12"/>
      <c r="W84" s="12"/>
      <c r="X84" s="12"/>
      <c r="Y84" s="12"/>
    </row>
    <row r="85" customFormat="false" ht="15.75" hidden="false" customHeight="false" outlineLevel="0" collapsed="false">
      <c r="A85" s="12"/>
      <c r="B85" s="34"/>
      <c r="C85" s="12"/>
      <c r="D85" s="12"/>
      <c r="E85" s="12"/>
      <c r="F85" s="12"/>
      <c r="G85" s="18"/>
      <c r="H85" s="35"/>
      <c r="I85" s="35"/>
      <c r="J85" s="12"/>
      <c r="O85" s="12"/>
      <c r="P85" s="18"/>
      <c r="Q85" s="12"/>
      <c r="R85" s="12"/>
      <c r="S85" s="12"/>
      <c r="T85" s="36"/>
      <c r="U85" s="36"/>
      <c r="V85" s="12"/>
      <c r="W85" s="12"/>
      <c r="X85" s="12"/>
      <c r="Y85" s="12"/>
    </row>
    <row r="86" customFormat="false" ht="15.75" hidden="false" customHeight="false" outlineLevel="0" collapsed="false">
      <c r="A86" s="12"/>
      <c r="B86" s="34"/>
      <c r="C86" s="12"/>
      <c r="D86" s="12"/>
      <c r="E86" s="12"/>
      <c r="F86" s="12"/>
      <c r="G86" s="18"/>
      <c r="H86" s="35"/>
      <c r="I86" s="35"/>
      <c r="J86" s="12"/>
      <c r="O86" s="12"/>
      <c r="P86" s="18"/>
      <c r="Q86" s="12"/>
      <c r="R86" s="12"/>
      <c r="S86" s="12"/>
      <c r="T86" s="36"/>
      <c r="U86" s="36"/>
      <c r="V86" s="12"/>
      <c r="W86" s="12"/>
      <c r="X86" s="12"/>
      <c r="Y86" s="12"/>
    </row>
    <row r="87" customFormat="false" ht="15.75" hidden="false" customHeight="false" outlineLevel="0" collapsed="false">
      <c r="A87" s="12"/>
      <c r="B87" s="34"/>
      <c r="C87" s="12"/>
      <c r="D87" s="12"/>
      <c r="E87" s="12"/>
      <c r="F87" s="12"/>
      <c r="G87" s="18"/>
      <c r="H87" s="35"/>
      <c r="I87" s="35"/>
      <c r="J87" s="12"/>
      <c r="O87" s="12"/>
      <c r="P87" s="18"/>
      <c r="Q87" s="12"/>
      <c r="R87" s="12"/>
      <c r="S87" s="12"/>
      <c r="T87" s="36"/>
      <c r="U87" s="36"/>
      <c r="V87" s="12"/>
      <c r="W87" s="12"/>
      <c r="X87" s="12"/>
      <c r="Y87" s="12"/>
    </row>
    <row r="88" customFormat="false" ht="15.75" hidden="false" customHeight="false" outlineLevel="0" collapsed="false">
      <c r="A88" s="12"/>
      <c r="B88" s="34"/>
      <c r="C88" s="12"/>
      <c r="D88" s="12"/>
      <c r="E88" s="12"/>
      <c r="F88" s="12"/>
      <c r="G88" s="18"/>
      <c r="H88" s="35"/>
      <c r="I88" s="35"/>
      <c r="J88" s="12"/>
      <c r="O88" s="12"/>
      <c r="P88" s="18"/>
      <c r="Q88" s="12"/>
      <c r="R88" s="12"/>
      <c r="S88" s="12"/>
      <c r="T88" s="36"/>
      <c r="U88" s="36"/>
      <c r="V88" s="12"/>
      <c r="W88" s="12"/>
      <c r="X88" s="12"/>
      <c r="Y88" s="12"/>
    </row>
    <row r="89" customFormat="false" ht="15.75" hidden="false" customHeight="false" outlineLevel="0" collapsed="false">
      <c r="A89" s="12"/>
      <c r="B89" s="34"/>
      <c r="C89" s="12"/>
      <c r="D89" s="12"/>
      <c r="E89" s="12"/>
      <c r="F89" s="12"/>
      <c r="G89" s="18"/>
      <c r="H89" s="35"/>
      <c r="I89" s="35"/>
      <c r="J89" s="12"/>
      <c r="O89" s="12"/>
      <c r="P89" s="18"/>
      <c r="Q89" s="12"/>
      <c r="R89" s="12"/>
      <c r="S89" s="12"/>
      <c r="T89" s="36"/>
      <c r="U89" s="36"/>
      <c r="V89" s="12"/>
      <c r="W89" s="12"/>
      <c r="X89" s="12"/>
      <c r="Y89" s="12"/>
    </row>
    <row r="90" customFormat="false" ht="15.75" hidden="false" customHeight="false" outlineLevel="0" collapsed="false">
      <c r="A90" s="12"/>
      <c r="B90" s="34"/>
      <c r="C90" s="12"/>
      <c r="D90" s="12"/>
      <c r="E90" s="12"/>
      <c r="F90" s="12"/>
      <c r="G90" s="18"/>
      <c r="H90" s="35"/>
      <c r="I90" s="35"/>
      <c r="J90" s="12"/>
      <c r="O90" s="12"/>
      <c r="P90" s="18"/>
      <c r="Q90" s="12"/>
      <c r="R90" s="12"/>
      <c r="S90" s="12"/>
      <c r="T90" s="36"/>
      <c r="U90" s="36"/>
      <c r="V90" s="12"/>
      <c r="W90" s="12"/>
      <c r="X90" s="12"/>
      <c r="Y90" s="12"/>
    </row>
    <row r="91" customFormat="false" ht="15.75" hidden="false" customHeight="false" outlineLevel="0" collapsed="false">
      <c r="A91" s="12"/>
      <c r="B91" s="34"/>
      <c r="C91" s="12"/>
      <c r="D91" s="12"/>
      <c r="E91" s="12"/>
      <c r="F91" s="12"/>
      <c r="G91" s="18"/>
      <c r="H91" s="35"/>
      <c r="I91" s="35"/>
      <c r="J91" s="12"/>
      <c r="O91" s="12"/>
      <c r="P91" s="18"/>
      <c r="Q91" s="12"/>
      <c r="R91" s="12"/>
      <c r="S91" s="12"/>
      <c r="T91" s="36"/>
      <c r="U91" s="36"/>
      <c r="V91" s="12"/>
      <c r="W91" s="12"/>
      <c r="X91" s="12"/>
      <c r="Y91" s="12"/>
    </row>
    <row r="92" customFormat="false" ht="15.75" hidden="false" customHeight="false" outlineLevel="0" collapsed="false">
      <c r="A92" s="12"/>
      <c r="B92" s="34"/>
      <c r="C92" s="12"/>
      <c r="D92" s="12"/>
      <c r="E92" s="12"/>
      <c r="F92" s="12"/>
      <c r="G92" s="18"/>
      <c r="H92" s="35"/>
      <c r="I92" s="35"/>
      <c r="J92" s="12"/>
      <c r="O92" s="12"/>
      <c r="P92" s="18"/>
      <c r="Q92" s="12"/>
      <c r="R92" s="12"/>
      <c r="S92" s="12"/>
      <c r="T92" s="36"/>
      <c r="U92" s="36"/>
      <c r="V92" s="12"/>
      <c r="W92" s="12"/>
      <c r="X92" s="12"/>
      <c r="Y92" s="12"/>
    </row>
    <row r="93" customFormat="false" ht="15.75" hidden="false" customHeight="false" outlineLevel="0" collapsed="false">
      <c r="A93" s="12"/>
      <c r="B93" s="34"/>
      <c r="C93" s="12"/>
      <c r="D93" s="12"/>
      <c r="E93" s="12"/>
      <c r="F93" s="12"/>
      <c r="G93" s="18"/>
      <c r="H93" s="35"/>
      <c r="I93" s="35"/>
      <c r="J93" s="12"/>
      <c r="O93" s="12"/>
      <c r="P93" s="18"/>
      <c r="Q93" s="12"/>
      <c r="R93" s="12"/>
      <c r="S93" s="12"/>
      <c r="T93" s="36"/>
      <c r="U93" s="36"/>
      <c r="V93" s="12"/>
      <c r="W93" s="12"/>
      <c r="X93" s="12"/>
      <c r="Y93" s="12"/>
    </row>
    <row r="94" customFormat="false" ht="15.75" hidden="false" customHeight="false" outlineLevel="0" collapsed="false">
      <c r="A94" s="12"/>
      <c r="B94" s="34"/>
      <c r="C94" s="12"/>
      <c r="D94" s="12"/>
      <c r="E94" s="12"/>
      <c r="F94" s="12"/>
      <c r="G94" s="18"/>
      <c r="H94" s="35"/>
      <c r="I94" s="35"/>
      <c r="J94" s="12"/>
      <c r="O94" s="12"/>
      <c r="P94" s="18"/>
      <c r="Q94" s="12"/>
      <c r="R94" s="12"/>
      <c r="S94" s="12"/>
      <c r="T94" s="36"/>
      <c r="U94" s="36"/>
      <c r="V94" s="12"/>
      <c r="W94" s="12"/>
      <c r="X94" s="12"/>
      <c r="Y94" s="12"/>
    </row>
    <row r="95" customFormat="false" ht="15.75" hidden="false" customHeight="false" outlineLevel="0" collapsed="false">
      <c r="A95" s="12"/>
      <c r="B95" s="34"/>
      <c r="C95" s="12"/>
      <c r="D95" s="12"/>
      <c r="E95" s="12"/>
      <c r="F95" s="12"/>
      <c r="G95" s="18"/>
      <c r="H95" s="35"/>
      <c r="I95" s="35"/>
      <c r="J95" s="12"/>
      <c r="O95" s="12"/>
      <c r="P95" s="18"/>
      <c r="Q95" s="12"/>
      <c r="R95" s="12"/>
      <c r="S95" s="12"/>
      <c r="T95" s="36"/>
      <c r="U95" s="36"/>
      <c r="V95" s="12"/>
      <c r="W95" s="12"/>
      <c r="X95" s="12"/>
      <c r="Y95" s="12"/>
    </row>
    <row r="96" customFormat="false" ht="15.75" hidden="false" customHeight="false" outlineLevel="0" collapsed="false">
      <c r="A96" s="12"/>
      <c r="B96" s="34"/>
      <c r="C96" s="12"/>
      <c r="D96" s="12"/>
      <c r="E96" s="12"/>
      <c r="F96" s="12"/>
      <c r="G96" s="18"/>
      <c r="H96" s="35"/>
      <c r="I96" s="35"/>
      <c r="J96" s="12"/>
      <c r="O96" s="12"/>
      <c r="P96" s="18"/>
      <c r="Q96" s="12"/>
      <c r="R96" s="12"/>
      <c r="S96" s="12"/>
      <c r="T96" s="36"/>
      <c r="U96" s="36"/>
      <c r="V96" s="12"/>
      <c r="W96" s="12"/>
      <c r="X96" s="12"/>
      <c r="Y96" s="12"/>
    </row>
    <row r="97" customFormat="false" ht="15.75" hidden="false" customHeight="false" outlineLevel="0" collapsed="false">
      <c r="A97" s="12"/>
      <c r="B97" s="34"/>
      <c r="C97" s="12"/>
      <c r="D97" s="12"/>
      <c r="E97" s="12"/>
      <c r="F97" s="12"/>
      <c r="G97" s="18"/>
      <c r="H97" s="35"/>
      <c r="I97" s="35"/>
      <c r="J97" s="12"/>
      <c r="O97" s="12"/>
      <c r="P97" s="18"/>
      <c r="Q97" s="12"/>
      <c r="R97" s="12"/>
      <c r="S97" s="12"/>
      <c r="T97" s="36"/>
      <c r="U97" s="36"/>
      <c r="V97" s="12"/>
      <c r="W97" s="12"/>
      <c r="X97" s="12"/>
      <c r="Y97" s="12"/>
    </row>
    <row r="98" customFormat="false" ht="15.75" hidden="false" customHeight="false" outlineLevel="0" collapsed="false">
      <c r="A98" s="12"/>
      <c r="B98" s="34"/>
      <c r="C98" s="12"/>
      <c r="D98" s="12"/>
      <c r="E98" s="12"/>
      <c r="F98" s="12"/>
      <c r="G98" s="18"/>
      <c r="H98" s="35"/>
      <c r="I98" s="35"/>
      <c r="J98" s="12"/>
      <c r="O98" s="12"/>
      <c r="P98" s="18"/>
      <c r="Q98" s="12"/>
      <c r="R98" s="12"/>
      <c r="S98" s="12"/>
      <c r="T98" s="36"/>
      <c r="U98" s="36"/>
      <c r="V98" s="12"/>
      <c r="W98" s="12"/>
      <c r="X98" s="12"/>
      <c r="Y98" s="12"/>
    </row>
    <row r="99" customFormat="false" ht="15.75" hidden="false" customHeight="false" outlineLevel="0" collapsed="false">
      <c r="A99" s="12"/>
      <c r="B99" s="34"/>
      <c r="C99" s="12"/>
      <c r="D99" s="12"/>
      <c r="E99" s="12"/>
      <c r="F99" s="12"/>
      <c r="G99" s="18"/>
      <c r="H99" s="35"/>
      <c r="I99" s="35"/>
      <c r="J99" s="12"/>
      <c r="O99" s="12"/>
      <c r="P99" s="18"/>
      <c r="Q99" s="12"/>
      <c r="R99" s="12"/>
      <c r="S99" s="12"/>
      <c r="T99" s="36"/>
      <c r="U99" s="36"/>
      <c r="V99" s="12"/>
      <c r="W99" s="12"/>
      <c r="X99" s="12"/>
      <c r="Y99" s="12"/>
    </row>
    <row r="100" customFormat="false" ht="15.75" hidden="false" customHeight="false" outlineLevel="0" collapsed="false">
      <c r="A100" s="12"/>
      <c r="B100" s="34"/>
      <c r="C100" s="12"/>
      <c r="D100" s="12"/>
      <c r="E100" s="12"/>
      <c r="F100" s="12"/>
      <c r="G100" s="18"/>
      <c r="H100" s="35"/>
      <c r="I100" s="35"/>
      <c r="J100" s="12"/>
      <c r="O100" s="12"/>
      <c r="P100" s="18"/>
      <c r="Q100" s="12"/>
      <c r="R100" s="12"/>
      <c r="S100" s="12"/>
      <c r="T100" s="36"/>
      <c r="U100" s="36"/>
      <c r="V100" s="12"/>
      <c r="W100" s="12"/>
      <c r="X100" s="12"/>
      <c r="Y100" s="12"/>
    </row>
    <row r="101" customFormat="false" ht="15.75" hidden="false" customHeight="false" outlineLevel="0" collapsed="false">
      <c r="A101" s="12"/>
      <c r="B101" s="34"/>
      <c r="C101" s="12"/>
      <c r="D101" s="12"/>
      <c r="E101" s="12"/>
      <c r="F101" s="12"/>
      <c r="G101" s="18"/>
      <c r="H101" s="35"/>
      <c r="I101" s="35"/>
      <c r="J101" s="12"/>
      <c r="O101" s="12"/>
      <c r="P101" s="18"/>
      <c r="Q101" s="12"/>
      <c r="R101" s="12"/>
      <c r="S101" s="12"/>
      <c r="T101" s="36"/>
      <c r="U101" s="36"/>
      <c r="V101" s="12"/>
      <c r="W101" s="12"/>
      <c r="X101" s="12"/>
      <c r="Y101" s="12"/>
    </row>
    <row r="102" customFormat="false" ht="15.75" hidden="false" customHeight="false" outlineLevel="0" collapsed="false">
      <c r="A102" s="12"/>
      <c r="B102" s="34"/>
      <c r="C102" s="12"/>
      <c r="D102" s="12"/>
      <c r="E102" s="12"/>
      <c r="F102" s="12"/>
      <c r="G102" s="18"/>
      <c r="H102" s="35"/>
      <c r="I102" s="35"/>
      <c r="J102" s="12"/>
      <c r="O102" s="12"/>
      <c r="P102" s="18"/>
      <c r="Q102" s="12"/>
      <c r="R102" s="12"/>
      <c r="S102" s="12"/>
      <c r="T102" s="36"/>
      <c r="U102" s="36"/>
      <c r="V102" s="12"/>
      <c r="W102" s="12"/>
      <c r="X102" s="12"/>
      <c r="Y102" s="12"/>
    </row>
    <row r="103" customFormat="false" ht="15.75" hidden="false" customHeight="false" outlineLevel="0" collapsed="false">
      <c r="A103" s="12"/>
      <c r="B103" s="34"/>
      <c r="C103" s="12"/>
      <c r="D103" s="12"/>
      <c r="E103" s="12"/>
      <c r="F103" s="12"/>
      <c r="G103" s="18"/>
      <c r="H103" s="35"/>
      <c r="I103" s="35"/>
      <c r="J103" s="12"/>
      <c r="O103" s="12"/>
      <c r="P103" s="18"/>
      <c r="Q103" s="12"/>
      <c r="R103" s="12"/>
      <c r="S103" s="12"/>
      <c r="T103" s="36"/>
      <c r="U103" s="36"/>
      <c r="V103" s="12"/>
      <c r="W103" s="12"/>
      <c r="X103" s="12"/>
      <c r="Y103" s="12"/>
    </row>
    <row r="104" customFormat="false" ht="15.75" hidden="false" customHeight="false" outlineLevel="0" collapsed="false">
      <c r="A104" s="12"/>
      <c r="B104" s="34"/>
      <c r="C104" s="12"/>
      <c r="D104" s="12"/>
      <c r="E104" s="12"/>
      <c r="F104" s="12"/>
      <c r="G104" s="18"/>
      <c r="H104" s="35"/>
      <c r="I104" s="35"/>
      <c r="J104" s="12"/>
      <c r="O104" s="12"/>
      <c r="P104" s="18"/>
      <c r="Q104" s="12"/>
      <c r="R104" s="12"/>
      <c r="S104" s="12"/>
      <c r="T104" s="36"/>
      <c r="U104" s="36"/>
      <c r="V104" s="12"/>
      <c r="W104" s="12"/>
      <c r="X104" s="12"/>
      <c r="Y104" s="12"/>
    </row>
    <row r="105" customFormat="false" ht="15.75" hidden="false" customHeight="false" outlineLevel="0" collapsed="false">
      <c r="A105" s="12"/>
      <c r="B105" s="34"/>
      <c r="C105" s="12"/>
      <c r="D105" s="12"/>
      <c r="E105" s="12"/>
      <c r="F105" s="12"/>
      <c r="G105" s="18"/>
      <c r="H105" s="35"/>
      <c r="I105" s="35"/>
      <c r="J105" s="12"/>
      <c r="O105" s="12"/>
      <c r="P105" s="18"/>
      <c r="Q105" s="12"/>
      <c r="R105" s="12"/>
      <c r="S105" s="12"/>
      <c r="T105" s="36"/>
      <c r="U105" s="36"/>
      <c r="V105" s="12"/>
      <c r="W105" s="12"/>
      <c r="X105" s="12"/>
      <c r="Y105" s="12"/>
    </row>
    <row r="106" customFormat="false" ht="15.75" hidden="false" customHeight="false" outlineLevel="0" collapsed="false">
      <c r="A106" s="12"/>
      <c r="B106" s="34"/>
      <c r="C106" s="12"/>
      <c r="D106" s="12"/>
      <c r="E106" s="12"/>
      <c r="F106" s="12"/>
      <c r="G106" s="18"/>
      <c r="H106" s="35"/>
      <c r="I106" s="35"/>
      <c r="J106" s="12"/>
      <c r="O106" s="12"/>
      <c r="P106" s="18"/>
      <c r="Q106" s="12"/>
      <c r="R106" s="12"/>
      <c r="S106" s="12"/>
      <c r="T106" s="36"/>
      <c r="U106" s="36"/>
      <c r="V106" s="12"/>
      <c r="W106" s="12"/>
      <c r="X106" s="12"/>
      <c r="Y106" s="12"/>
    </row>
    <row r="107" customFormat="false" ht="15.75" hidden="false" customHeight="false" outlineLevel="0" collapsed="false">
      <c r="A107" s="12"/>
      <c r="B107" s="34"/>
      <c r="C107" s="12"/>
      <c r="D107" s="12"/>
      <c r="E107" s="12"/>
      <c r="F107" s="12"/>
      <c r="G107" s="18"/>
      <c r="H107" s="35"/>
      <c r="I107" s="35"/>
      <c r="J107" s="12"/>
      <c r="O107" s="12"/>
      <c r="P107" s="18"/>
      <c r="Q107" s="12"/>
      <c r="R107" s="12"/>
      <c r="S107" s="12"/>
      <c r="T107" s="36"/>
      <c r="U107" s="36"/>
      <c r="V107" s="12"/>
      <c r="W107" s="12"/>
      <c r="X107" s="12"/>
      <c r="Y107" s="12"/>
    </row>
    <row r="108" customFormat="false" ht="15.75" hidden="false" customHeight="false" outlineLevel="0" collapsed="false">
      <c r="A108" s="12"/>
      <c r="B108" s="34"/>
      <c r="C108" s="12"/>
      <c r="D108" s="12"/>
      <c r="E108" s="12"/>
      <c r="F108" s="12"/>
      <c r="G108" s="18"/>
      <c r="H108" s="35"/>
      <c r="I108" s="35"/>
      <c r="J108" s="12"/>
      <c r="O108" s="12"/>
      <c r="P108" s="18"/>
      <c r="Q108" s="12"/>
      <c r="R108" s="12"/>
      <c r="S108" s="12"/>
      <c r="T108" s="36"/>
      <c r="U108" s="36"/>
      <c r="V108" s="12"/>
      <c r="W108" s="12"/>
      <c r="X108" s="12"/>
      <c r="Y108" s="12"/>
    </row>
    <row r="109" customFormat="false" ht="15.75" hidden="false" customHeight="false" outlineLevel="0" collapsed="false">
      <c r="A109" s="12"/>
      <c r="B109" s="34"/>
      <c r="C109" s="12"/>
      <c r="D109" s="12"/>
      <c r="E109" s="12"/>
      <c r="F109" s="12"/>
      <c r="G109" s="18"/>
      <c r="H109" s="35"/>
      <c r="I109" s="35"/>
      <c r="J109" s="12"/>
      <c r="O109" s="12"/>
      <c r="P109" s="18"/>
      <c r="Q109" s="12"/>
      <c r="R109" s="12"/>
      <c r="S109" s="12"/>
      <c r="T109" s="36"/>
      <c r="U109" s="36"/>
      <c r="V109" s="12"/>
      <c r="W109" s="12"/>
      <c r="X109" s="12"/>
      <c r="Y109" s="12"/>
    </row>
    <row r="110" customFormat="false" ht="15.75" hidden="false" customHeight="false" outlineLevel="0" collapsed="false">
      <c r="A110" s="12"/>
      <c r="B110" s="34"/>
      <c r="C110" s="12"/>
      <c r="D110" s="12"/>
      <c r="E110" s="12"/>
      <c r="F110" s="12"/>
      <c r="G110" s="18"/>
      <c r="H110" s="35"/>
      <c r="I110" s="35"/>
      <c r="J110" s="12"/>
      <c r="O110" s="12"/>
      <c r="P110" s="18"/>
      <c r="Q110" s="12"/>
      <c r="R110" s="12"/>
      <c r="S110" s="12"/>
      <c r="T110" s="36"/>
      <c r="U110" s="36"/>
      <c r="V110" s="12"/>
      <c r="W110" s="12"/>
      <c r="X110" s="12"/>
      <c r="Y110" s="12"/>
    </row>
    <row r="111" customFormat="false" ht="15.75" hidden="false" customHeight="false" outlineLevel="0" collapsed="false">
      <c r="A111" s="12"/>
      <c r="B111" s="34"/>
      <c r="C111" s="12"/>
      <c r="D111" s="12"/>
      <c r="E111" s="12"/>
      <c r="F111" s="12"/>
      <c r="G111" s="18"/>
      <c r="H111" s="35"/>
      <c r="I111" s="35"/>
      <c r="J111" s="12"/>
      <c r="O111" s="12"/>
      <c r="P111" s="18"/>
      <c r="Q111" s="12"/>
      <c r="R111" s="12"/>
      <c r="S111" s="12"/>
      <c r="T111" s="36"/>
      <c r="U111" s="36"/>
      <c r="V111" s="12"/>
      <c r="W111" s="12"/>
      <c r="X111" s="12"/>
      <c r="Y111" s="12"/>
    </row>
    <row r="112" customFormat="false" ht="15.75" hidden="false" customHeight="false" outlineLevel="0" collapsed="false">
      <c r="A112" s="12"/>
      <c r="B112" s="34"/>
      <c r="C112" s="12"/>
      <c r="D112" s="12"/>
      <c r="E112" s="12"/>
      <c r="F112" s="12"/>
      <c r="G112" s="18"/>
      <c r="H112" s="35"/>
      <c r="I112" s="35"/>
      <c r="J112" s="12"/>
      <c r="O112" s="12"/>
      <c r="P112" s="18"/>
      <c r="Q112" s="12"/>
      <c r="R112" s="12"/>
      <c r="S112" s="12"/>
      <c r="T112" s="36"/>
      <c r="U112" s="36"/>
      <c r="V112" s="12"/>
      <c r="W112" s="12"/>
      <c r="X112" s="12"/>
      <c r="Y112" s="12"/>
    </row>
    <row r="113" customFormat="false" ht="15.75" hidden="false" customHeight="false" outlineLevel="0" collapsed="false">
      <c r="A113" s="12"/>
      <c r="B113" s="34"/>
      <c r="C113" s="12"/>
      <c r="D113" s="12"/>
      <c r="E113" s="12"/>
      <c r="F113" s="12"/>
      <c r="G113" s="18"/>
      <c r="H113" s="35"/>
      <c r="I113" s="35"/>
      <c r="J113" s="12"/>
      <c r="O113" s="12"/>
      <c r="P113" s="18"/>
      <c r="Q113" s="12"/>
      <c r="R113" s="12"/>
      <c r="S113" s="12"/>
      <c r="T113" s="36"/>
      <c r="U113" s="36"/>
      <c r="V113" s="12"/>
      <c r="W113" s="12"/>
      <c r="X113" s="12"/>
      <c r="Y113" s="12"/>
    </row>
    <row r="114" customFormat="false" ht="15.75" hidden="false" customHeight="false" outlineLevel="0" collapsed="false">
      <c r="A114" s="12"/>
      <c r="B114" s="34"/>
      <c r="C114" s="12"/>
      <c r="D114" s="12"/>
      <c r="E114" s="12"/>
      <c r="F114" s="12"/>
      <c r="G114" s="18"/>
      <c r="H114" s="35"/>
      <c r="I114" s="35"/>
      <c r="J114" s="12"/>
      <c r="O114" s="12"/>
      <c r="P114" s="18"/>
      <c r="Q114" s="12"/>
      <c r="R114" s="12"/>
      <c r="S114" s="12"/>
      <c r="T114" s="36"/>
      <c r="U114" s="36"/>
      <c r="V114" s="12"/>
      <c r="W114" s="12"/>
      <c r="X114" s="12"/>
      <c r="Y114" s="12"/>
    </row>
    <row r="115" customFormat="false" ht="15.75" hidden="false" customHeight="false" outlineLevel="0" collapsed="false">
      <c r="A115" s="12"/>
      <c r="B115" s="34"/>
      <c r="C115" s="12"/>
      <c r="D115" s="12"/>
      <c r="E115" s="12"/>
      <c r="F115" s="12"/>
      <c r="G115" s="18"/>
      <c r="H115" s="35"/>
      <c r="I115" s="35"/>
      <c r="J115" s="12"/>
      <c r="O115" s="12"/>
      <c r="P115" s="18"/>
      <c r="Q115" s="12"/>
      <c r="R115" s="12"/>
      <c r="S115" s="12"/>
      <c r="T115" s="36"/>
      <c r="U115" s="36"/>
      <c r="V115" s="12"/>
      <c r="W115" s="12"/>
      <c r="X115" s="12"/>
      <c r="Y115" s="12"/>
    </row>
    <row r="116" customFormat="false" ht="15.75" hidden="false" customHeight="false" outlineLevel="0" collapsed="false">
      <c r="A116" s="12"/>
      <c r="B116" s="34"/>
      <c r="C116" s="12"/>
      <c r="D116" s="12"/>
      <c r="E116" s="12"/>
      <c r="F116" s="12"/>
      <c r="G116" s="18"/>
      <c r="H116" s="35"/>
      <c r="I116" s="35"/>
      <c r="J116" s="12"/>
      <c r="O116" s="12"/>
      <c r="P116" s="18"/>
      <c r="Q116" s="12"/>
      <c r="R116" s="12"/>
      <c r="S116" s="12"/>
      <c r="T116" s="36"/>
      <c r="U116" s="36"/>
      <c r="V116" s="12"/>
      <c r="W116" s="12"/>
      <c r="X116" s="12"/>
      <c r="Y116" s="12"/>
    </row>
    <row r="117" customFormat="false" ht="15.75" hidden="false" customHeight="false" outlineLevel="0" collapsed="false">
      <c r="A117" s="12"/>
      <c r="B117" s="34"/>
      <c r="C117" s="12"/>
      <c r="D117" s="12"/>
      <c r="E117" s="12"/>
      <c r="F117" s="12"/>
      <c r="G117" s="18"/>
      <c r="H117" s="35"/>
      <c r="I117" s="35"/>
      <c r="J117" s="12"/>
      <c r="O117" s="12"/>
      <c r="P117" s="18"/>
      <c r="Q117" s="12"/>
      <c r="R117" s="12"/>
      <c r="S117" s="12"/>
      <c r="T117" s="36"/>
      <c r="U117" s="36"/>
      <c r="V117" s="12"/>
      <c r="W117" s="12"/>
      <c r="X117" s="12"/>
      <c r="Y117" s="12"/>
    </row>
    <row r="118" customFormat="false" ht="15.75" hidden="false" customHeight="false" outlineLevel="0" collapsed="false">
      <c r="A118" s="12"/>
      <c r="B118" s="34"/>
      <c r="C118" s="12"/>
      <c r="D118" s="12"/>
      <c r="E118" s="12"/>
      <c r="F118" s="12"/>
      <c r="G118" s="18"/>
      <c r="H118" s="35"/>
      <c r="I118" s="35"/>
      <c r="J118" s="12"/>
      <c r="O118" s="12"/>
      <c r="P118" s="18"/>
      <c r="Q118" s="12"/>
      <c r="R118" s="12"/>
      <c r="S118" s="12"/>
      <c r="T118" s="36"/>
      <c r="U118" s="36"/>
      <c r="V118" s="12"/>
      <c r="W118" s="12"/>
      <c r="X118" s="12"/>
      <c r="Y118" s="12"/>
    </row>
    <row r="119" customFormat="false" ht="15.75" hidden="false" customHeight="false" outlineLevel="0" collapsed="false">
      <c r="A119" s="12"/>
      <c r="B119" s="34"/>
      <c r="C119" s="12"/>
      <c r="D119" s="12"/>
      <c r="E119" s="12"/>
      <c r="F119" s="12"/>
      <c r="G119" s="18"/>
      <c r="H119" s="35"/>
      <c r="I119" s="35"/>
      <c r="J119" s="12"/>
      <c r="O119" s="12"/>
      <c r="P119" s="18"/>
      <c r="Q119" s="12"/>
      <c r="R119" s="12"/>
      <c r="S119" s="12"/>
      <c r="T119" s="36"/>
      <c r="U119" s="36"/>
      <c r="V119" s="12"/>
      <c r="W119" s="12"/>
      <c r="X119" s="12"/>
      <c r="Y119" s="12"/>
    </row>
    <row r="120" customFormat="false" ht="15.75" hidden="false" customHeight="false" outlineLevel="0" collapsed="false">
      <c r="A120" s="12"/>
      <c r="B120" s="34"/>
      <c r="C120" s="12"/>
      <c r="D120" s="12"/>
      <c r="E120" s="12"/>
      <c r="F120" s="12"/>
      <c r="G120" s="18"/>
      <c r="H120" s="35"/>
      <c r="I120" s="35"/>
      <c r="J120" s="12"/>
      <c r="O120" s="12"/>
      <c r="P120" s="18"/>
      <c r="Q120" s="12"/>
      <c r="R120" s="12"/>
      <c r="S120" s="12"/>
      <c r="T120" s="36"/>
      <c r="U120" s="36"/>
      <c r="V120" s="12"/>
      <c r="W120" s="12"/>
      <c r="X120" s="12"/>
      <c r="Y120" s="12"/>
    </row>
    <row r="121" customFormat="false" ht="15.75" hidden="false" customHeight="false" outlineLevel="0" collapsed="false">
      <c r="A121" s="12"/>
      <c r="B121" s="34"/>
      <c r="C121" s="12"/>
      <c r="D121" s="12"/>
      <c r="E121" s="12"/>
      <c r="F121" s="12"/>
      <c r="G121" s="18"/>
      <c r="H121" s="35"/>
      <c r="I121" s="35"/>
      <c r="J121" s="12"/>
      <c r="O121" s="12"/>
      <c r="P121" s="18"/>
      <c r="Q121" s="12"/>
      <c r="R121" s="12"/>
      <c r="S121" s="12"/>
      <c r="T121" s="36"/>
      <c r="U121" s="36"/>
      <c r="V121" s="12"/>
      <c r="W121" s="12"/>
      <c r="X121" s="12"/>
      <c r="Y121" s="12"/>
    </row>
    <row r="122" customFormat="false" ht="15.75" hidden="false" customHeight="false" outlineLevel="0" collapsed="false">
      <c r="A122" s="12"/>
      <c r="B122" s="34"/>
      <c r="C122" s="12"/>
      <c r="D122" s="12"/>
      <c r="E122" s="12"/>
      <c r="F122" s="12"/>
      <c r="G122" s="18"/>
      <c r="H122" s="35"/>
      <c r="I122" s="35"/>
      <c r="J122" s="12"/>
      <c r="O122" s="12"/>
      <c r="P122" s="18"/>
      <c r="Q122" s="12"/>
      <c r="R122" s="12"/>
      <c r="S122" s="12"/>
      <c r="T122" s="36"/>
      <c r="U122" s="36"/>
      <c r="V122" s="12"/>
      <c r="W122" s="12"/>
      <c r="X122" s="12"/>
      <c r="Y122" s="12"/>
    </row>
    <row r="123" customFormat="false" ht="15.75" hidden="false" customHeight="false" outlineLevel="0" collapsed="false">
      <c r="A123" s="12"/>
      <c r="B123" s="34"/>
      <c r="C123" s="12"/>
      <c r="D123" s="12"/>
      <c r="E123" s="12"/>
      <c r="F123" s="12"/>
      <c r="G123" s="18"/>
      <c r="H123" s="35"/>
      <c r="I123" s="35"/>
      <c r="J123" s="12"/>
      <c r="O123" s="12"/>
      <c r="P123" s="18"/>
      <c r="Q123" s="12"/>
      <c r="R123" s="12"/>
      <c r="S123" s="12"/>
      <c r="T123" s="36"/>
      <c r="U123" s="36"/>
      <c r="V123" s="12"/>
      <c r="W123" s="12"/>
      <c r="X123" s="12"/>
      <c r="Y123" s="12"/>
    </row>
    <row r="124" customFormat="false" ht="15.75" hidden="false" customHeight="false" outlineLevel="0" collapsed="false">
      <c r="A124" s="12"/>
      <c r="B124" s="34"/>
      <c r="C124" s="12"/>
      <c r="D124" s="12"/>
      <c r="E124" s="12"/>
      <c r="F124" s="12"/>
      <c r="G124" s="18"/>
      <c r="H124" s="35"/>
      <c r="I124" s="35"/>
      <c r="J124" s="12"/>
      <c r="O124" s="12"/>
      <c r="P124" s="18"/>
      <c r="Q124" s="12"/>
      <c r="R124" s="12"/>
      <c r="S124" s="12"/>
      <c r="T124" s="36"/>
      <c r="U124" s="36"/>
      <c r="V124" s="12"/>
      <c r="W124" s="12"/>
      <c r="X124" s="12"/>
      <c r="Y124" s="12"/>
    </row>
    <row r="125" customFormat="false" ht="15.75" hidden="false" customHeight="false" outlineLevel="0" collapsed="false">
      <c r="A125" s="12"/>
      <c r="B125" s="34"/>
      <c r="C125" s="12"/>
      <c r="D125" s="12"/>
      <c r="E125" s="12"/>
      <c r="F125" s="12"/>
      <c r="G125" s="18"/>
      <c r="H125" s="35"/>
      <c r="I125" s="35"/>
      <c r="J125" s="12"/>
      <c r="O125" s="12"/>
      <c r="P125" s="18"/>
      <c r="Q125" s="12"/>
      <c r="R125" s="12"/>
      <c r="S125" s="12"/>
      <c r="T125" s="36"/>
      <c r="U125" s="36"/>
      <c r="V125" s="12"/>
      <c r="W125" s="12"/>
      <c r="X125" s="12"/>
      <c r="Y125" s="12"/>
    </row>
    <row r="126" customFormat="false" ht="15.75" hidden="false" customHeight="false" outlineLevel="0" collapsed="false">
      <c r="A126" s="12"/>
      <c r="B126" s="34"/>
      <c r="C126" s="12"/>
      <c r="D126" s="12"/>
      <c r="E126" s="12"/>
      <c r="F126" s="12"/>
      <c r="G126" s="18"/>
      <c r="H126" s="35"/>
      <c r="I126" s="35"/>
      <c r="J126" s="12"/>
      <c r="O126" s="12"/>
      <c r="P126" s="18"/>
      <c r="Q126" s="12"/>
      <c r="R126" s="12"/>
      <c r="S126" s="12"/>
      <c r="T126" s="36"/>
      <c r="U126" s="36"/>
      <c r="V126" s="12"/>
      <c r="W126" s="12"/>
      <c r="X126" s="12"/>
      <c r="Y126" s="12"/>
    </row>
    <row r="127" customFormat="false" ht="15.75" hidden="false" customHeight="false" outlineLevel="0" collapsed="false">
      <c r="A127" s="12"/>
      <c r="B127" s="34"/>
      <c r="C127" s="12"/>
      <c r="D127" s="12"/>
      <c r="E127" s="12"/>
      <c r="F127" s="12"/>
      <c r="G127" s="18"/>
      <c r="H127" s="35"/>
      <c r="I127" s="35"/>
      <c r="J127" s="12"/>
      <c r="O127" s="12"/>
      <c r="P127" s="18"/>
      <c r="Q127" s="12"/>
      <c r="R127" s="12"/>
      <c r="S127" s="12"/>
      <c r="T127" s="36"/>
      <c r="U127" s="36"/>
      <c r="V127" s="12"/>
      <c r="W127" s="12"/>
      <c r="X127" s="12"/>
      <c r="Y127" s="12"/>
    </row>
    <row r="128" customFormat="false" ht="15.75" hidden="false" customHeight="false" outlineLevel="0" collapsed="false">
      <c r="A128" s="12"/>
      <c r="B128" s="34"/>
      <c r="C128" s="12"/>
      <c r="D128" s="12"/>
      <c r="E128" s="12"/>
      <c r="F128" s="12"/>
      <c r="G128" s="18"/>
      <c r="H128" s="35"/>
      <c r="I128" s="35"/>
      <c r="J128" s="12"/>
      <c r="O128" s="12"/>
      <c r="P128" s="18"/>
      <c r="Q128" s="12"/>
      <c r="R128" s="12"/>
      <c r="S128" s="12"/>
      <c r="T128" s="36"/>
      <c r="U128" s="36"/>
      <c r="V128" s="12"/>
      <c r="W128" s="12"/>
      <c r="X128" s="12"/>
      <c r="Y128" s="12"/>
    </row>
    <row r="129" customFormat="false" ht="15.75" hidden="false" customHeight="false" outlineLevel="0" collapsed="false">
      <c r="A129" s="12"/>
      <c r="B129" s="34"/>
      <c r="C129" s="12"/>
      <c r="D129" s="12"/>
      <c r="E129" s="12"/>
      <c r="F129" s="12"/>
      <c r="G129" s="18"/>
      <c r="H129" s="35"/>
      <c r="I129" s="35"/>
      <c r="J129" s="12"/>
      <c r="O129" s="12"/>
      <c r="P129" s="18"/>
      <c r="Q129" s="12"/>
      <c r="R129" s="12"/>
      <c r="S129" s="12"/>
      <c r="T129" s="36"/>
      <c r="U129" s="36"/>
      <c r="V129" s="12"/>
      <c r="W129" s="12"/>
      <c r="X129" s="12"/>
      <c r="Y129" s="12"/>
    </row>
    <row r="130" customFormat="false" ht="15.75" hidden="false" customHeight="false" outlineLevel="0" collapsed="false">
      <c r="A130" s="12"/>
      <c r="B130" s="34"/>
      <c r="C130" s="12"/>
      <c r="D130" s="12"/>
      <c r="E130" s="12"/>
      <c r="F130" s="12"/>
      <c r="G130" s="18"/>
      <c r="H130" s="35"/>
      <c r="I130" s="35"/>
      <c r="J130" s="12"/>
      <c r="O130" s="12"/>
      <c r="P130" s="18"/>
      <c r="Q130" s="12"/>
      <c r="R130" s="12"/>
      <c r="S130" s="12"/>
      <c r="T130" s="36"/>
      <c r="U130" s="36"/>
      <c r="V130" s="12"/>
      <c r="W130" s="12"/>
      <c r="X130" s="12"/>
      <c r="Y130" s="12"/>
    </row>
    <row r="131" customFormat="false" ht="15.75" hidden="false" customHeight="false" outlineLevel="0" collapsed="false">
      <c r="A131" s="12"/>
      <c r="B131" s="34"/>
      <c r="C131" s="12"/>
      <c r="D131" s="12"/>
      <c r="E131" s="12"/>
      <c r="F131" s="12"/>
      <c r="G131" s="18"/>
      <c r="H131" s="35"/>
      <c r="I131" s="35"/>
      <c r="J131" s="12"/>
      <c r="O131" s="12"/>
      <c r="P131" s="18"/>
      <c r="Q131" s="12"/>
      <c r="R131" s="12"/>
      <c r="S131" s="12"/>
      <c r="T131" s="36"/>
      <c r="U131" s="36"/>
      <c r="V131" s="12"/>
      <c r="W131" s="12"/>
      <c r="X131" s="12"/>
      <c r="Y131" s="12"/>
    </row>
    <row r="132" customFormat="false" ht="15.75" hidden="false" customHeight="false" outlineLevel="0" collapsed="false">
      <c r="A132" s="12"/>
      <c r="B132" s="34"/>
      <c r="C132" s="12"/>
      <c r="D132" s="12"/>
      <c r="E132" s="12"/>
      <c r="F132" s="12"/>
      <c r="G132" s="18"/>
      <c r="H132" s="35"/>
      <c r="I132" s="35"/>
      <c r="J132" s="12"/>
      <c r="O132" s="12"/>
      <c r="P132" s="18"/>
      <c r="Q132" s="12"/>
      <c r="R132" s="12"/>
      <c r="S132" s="12"/>
      <c r="T132" s="36"/>
      <c r="U132" s="36"/>
      <c r="V132" s="12"/>
      <c r="W132" s="12"/>
      <c r="X132" s="12"/>
      <c r="Y132" s="12"/>
    </row>
    <row r="133" customFormat="false" ht="15.75" hidden="false" customHeight="false" outlineLevel="0" collapsed="false">
      <c r="A133" s="12"/>
      <c r="B133" s="34"/>
      <c r="C133" s="12"/>
      <c r="D133" s="12"/>
      <c r="E133" s="12"/>
      <c r="F133" s="12"/>
      <c r="G133" s="18"/>
      <c r="H133" s="35"/>
      <c r="I133" s="35"/>
      <c r="J133" s="12"/>
      <c r="O133" s="12"/>
      <c r="P133" s="18"/>
      <c r="Q133" s="12"/>
      <c r="R133" s="12"/>
      <c r="S133" s="12"/>
      <c r="T133" s="36"/>
      <c r="U133" s="36"/>
      <c r="V133" s="12"/>
      <c r="W133" s="12"/>
      <c r="X133" s="12"/>
      <c r="Y133" s="12"/>
    </row>
    <row r="134" customFormat="false" ht="15.75" hidden="false" customHeight="false" outlineLevel="0" collapsed="false">
      <c r="A134" s="12"/>
      <c r="B134" s="34"/>
      <c r="C134" s="12"/>
      <c r="D134" s="12"/>
      <c r="E134" s="12"/>
      <c r="F134" s="12"/>
      <c r="G134" s="18"/>
      <c r="H134" s="35"/>
      <c r="I134" s="35"/>
      <c r="J134" s="12"/>
      <c r="O134" s="12"/>
      <c r="P134" s="18"/>
      <c r="Q134" s="12"/>
      <c r="R134" s="12"/>
      <c r="S134" s="12"/>
      <c r="T134" s="36"/>
      <c r="U134" s="36"/>
      <c r="V134" s="12"/>
      <c r="W134" s="12"/>
      <c r="X134" s="12"/>
      <c r="Y134" s="12"/>
    </row>
    <row r="135" customFormat="false" ht="15.75" hidden="false" customHeight="false" outlineLevel="0" collapsed="false">
      <c r="A135" s="12"/>
      <c r="B135" s="34"/>
      <c r="C135" s="12"/>
      <c r="D135" s="12"/>
      <c r="E135" s="12"/>
      <c r="F135" s="12"/>
      <c r="G135" s="18"/>
      <c r="H135" s="35"/>
      <c r="I135" s="35"/>
      <c r="J135" s="12"/>
      <c r="O135" s="12"/>
      <c r="P135" s="18"/>
      <c r="Q135" s="12"/>
      <c r="R135" s="12"/>
      <c r="S135" s="12"/>
      <c r="T135" s="36"/>
      <c r="U135" s="36"/>
      <c r="V135" s="12"/>
      <c r="W135" s="12"/>
      <c r="X135" s="12"/>
      <c r="Y135" s="12"/>
    </row>
    <row r="136" customFormat="false" ht="15.75" hidden="false" customHeight="false" outlineLevel="0" collapsed="false">
      <c r="A136" s="12"/>
      <c r="B136" s="34"/>
      <c r="C136" s="12"/>
      <c r="D136" s="12"/>
      <c r="E136" s="12"/>
      <c r="F136" s="12"/>
      <c r="G136" s="18"/>
      <c r="H136" s="35"/>
      <c r="I136" s="35"/>
      <c r="J136" s="12"/>
      <c r="O136" s="12"/>
      <c r="P136" s="18"/>
      <c r="Q136" s="12"/>
      <c r="R136" s="12"/>
      <c r="S136" s="12"/>
      <c r="T136" s="36"/>
      <c r="U136" s="36"/>
      <c r="V136" s="12"/>
      <c r="W136" s="12"/>
      <c r="X136" s="12"/>
      <c r="Y136" s="12"/>
    </row>
    <row r="137" customFormat="false" ht="15.75" hidden="false" customHeight="false" outlineLevel="0" collapsed="false">
      <c r="A137" s="12"/>
      <c r="B137" s="34"/>
      <c r="C137" s="12"/>
      <c r="D137" s="12"/>
      <c r="E137" s="12"/>
      <c r="F137" s="12"/>
      <c r="G137" s="18"/>
      <c r="H137" s="35"/>
      <c r="I137" s="35"/>
      <c r="J137" s="12"/>
      <c r="O137" s="12"/>
      <c r="P137" s="18"/>
      <c r="Q137" s="12"/>
      <c r="R137" s="12"/>
      <c r="S137" s="12"/>
      <c r="T137" s="36"/>
      <c r="U137" s="36"/>
      <c r="V137" s="12"/>
      <c r="W137" s="12"/>
      <c r="X137" s="12"/>
      <c r="Y137" s="12"/>
    </row>
    <row r="138" customFormat="false" ht="15.75" hidden="false" customHeight="false" outlineLevel="0" collapsed="false">
      <c r="A138" s="12"/>
      <c r="B138" s="34"/>
      <c r="C138" s="12"/>
      <c r="D138" s="12"/>
      <c r="E138" s="12"/>
      <c r="F138" s="12"/>
      <c r="G138" s="18"/>
      <c r="H138" s="35"/>
      <c r="I138" s="35"/>
      <c r="J138" s="12"/>
      <c r="O138" s="12"/>
      <c r="P138" s="18"/>
      <c r="Q138" s="12"/>
      <c r="R138" s="12"/>
      <c r="S138" s="12"/>
      <c r="T138" s="36"/>
      <c r="U138" s="36"/>
      <c r="V138" s="12"/>
      <c r="W138" s="12"/>
      <c r="X138" s="12"/>
      <c r="Y138" s="12"/>
    </row>
    <row r="139" customFormat="false" ht="15.75" hidden="false" customHeight="false" outlineLevel="0" collapsed="false">
      <c r="A139" s="12"/>
      <c r="B139" s="34"/>
      <c r="C139" s="12"/>
      <c r="D139" s="12"/>
      <c r="E139" s="12"/>
      <c r="F139" s="12"/>
      <c r="G139" s="18"/>
      <c r="H139" s="35"/>
      <c r="I139" s="35"/>
      <c r="J139" s="12"/>
      <c r="O139" s="12"/>
      <c r="P139" s="18"/>
      <c r="Q139" s="12"/>
      <c r="R139" s="12"/>
      <c r="S139" s="12"/>
      <c r="T139" s="36"/>
      <c r="U139" s="36"/>
      <c r="V139" s="12"/>
      <c r="W139" s="12"/>
      <c r="X139" s="12"/>
      <c r="Y139" s="12"/>
    </row>
    <row r="140" customFormat="false" ht="15.75" hidden="false" customHeight="false" outlineLevel="0" collapsed="false">
      <c r="A140" s="12"/>
      <c r="B140" s="34"/>
      <c r="C140" s="12"/>
      <c r="D140" s="12"/>
      <c r="E140" s="12"/>
      <c r="F140" s="12"/>
      <c r="G140" s="18"/>
      <c r="H140" s="35"/>
      <c r="I140" s="35"/>
      <c r="J140" s="12"/>
      <c r="O140" s="12"/>
      <c r="P140" s="18"/>
      <c r="Q140" s="12"/>
      <c r="R140" s="12"/>
      <c r="S140" s="12"/>
      <c r="T140" s="36"/>
      <c r="U140" s="36"/>
      <c r="V140" s="12"/>
      <c r="W140" s="12"/>
      <c r="X140" s="12"/>
      <c r="Y140" s="12"/>
    </row>
    <row r="141" customFormat="false" ht="15.75" hidden="false" customHeight="false" outlineLevel="0" collapsed="false">
      <c r="A141" s="12"/>
      <c r="B141" s="34"/>
      <c r="C141" s="12"/>
      <c r="D141" s="12"/>
      <c r="E141" s="12"/>
      <c r="F141" s="12"/>
      <c r="G141" s="18"/>
      <c r="H141" s="35"/>
      <c r="I141" s="35"/>
      <c r="J141" s="12"/>
      <c r="O141" s="12"/>
      <c r="P141" s="18"/>
      <c r="Q141" s="12"/>
      <c r="R141" s="12"/>
      <c r="S141" s="12"/>
      <c r="T141" s="36"/>
      <c r="U141" s="36"/>
      <c r="V141" s="12"/>
      <c r="W141" s="12"/>
      <c r="X141" s="12"/>
      <c r="Y141" s="12"/>
    </row>
    <row r="142" customFormat="false" ht="15.75" hidden="false" customHeight="false" outlineLevel="0" collapsed="false">
      <c r="A142" s="12"/>
      <c r="B142" s="34"/>
      <c r="C142" s="12"/>
      <c r="D142" s="12"/>
      <c r="E142" s="12"/>
      <c r="F142" s="12"/>
      <c r="G142" s="18"/>
      <c r="H142" s="35"/>
      <c r="I142" s="35"/>
      <c r="J142" s="12"/>
      <c r="O142" s="12"/>
      <c r="P142" s="18"/>
      <c r="Q142" s="12"/>
      <c r="R142" s="12"/>
      <c r="S142" s="12"/>
      <c r="T142" s="36"/>
      <c r="U142" s="36"/>
      <c r="V142" s="12"/>
      <c r="W142" s="12"/>
      <c r="X142" s="12"/>
      <c r="Y142" s="12"/>
    </row>
    <row r="143" customFormat="false" ht="15.75" hidden="false" customHeight="false" outlineLevel="0" collapsed="false">
      <c r="A143" s="12"/>
      <c r="B143" s="34"/>
      <c r="C143" s="12"/>
      <c r="D143" s="12"/>
      <c r="E143" s="12"/>
      <c r="F143" s="12"/>
      <c r="G143" s="18"/>
      <c r="H143" s="35"/>
      <c r="I143" s="35"/>
      <c r="J143" s="12"/>
      <c r="O143" s="12"/>
      <c r="P143" s="18"/>
      <c r="Q143" s="12"/>
      <c r="R143" s="12"/>
      <c r="S143" s="12"/>
      <c r="T143" s="36"/>
      <c r="U143" s="36"/>
      <c r="V143" s="12"/>
      <c r="W143" s="12"/>
      <c r="X143" s="12"/>
      <c r="Y143" s="12"/>
    </row>
    <row r="144" customFormat="false" ht="15.75" hidden="false" customHeight="false" outlineLevel="0" collapsed="false">
      <c r="A144" s="12"/>
      <c r="B144" s="34"/>
      <c r="C144" s="12"/>
      <c r="D144" s="12"/>
      <c r="E144" s="12"/>
      <c r="F144" s="12"/>
      <c r="G144" s="18"/>
      <c r="H144" s="35"/>
      <c r="I144" s="35"/>
      <c r="J144" s="12"/>
      <c r="O144" s="12"/>
      <c r="P144" s="18"/>
      <c r="Q144" s="12"/>
      <c r="R144" s="12"/>
      <c r="S144" s="12"/>
      <c r="T144" s="36"/>
      <c r="U144" s="36"/>
      <c r="V144" s="12"/>
      <c r="W144" s="12"/>
      <c r="X144" s="12"/>
      <c r="Y144" s="12"/>
    </row>
    <row r="145" customFormat="false" ht="15.75" hidden="false" customHeight="false" outlineLevel="0" collapsed="false">
      <c r="A145" s="12"/>
      <c r="B145" s="34"/>
      <c r="C145" s="12"/>
      <c r="D145" s="12"/>
      <c r="E145" s="12"/>
      <c r="F145" s="12"/>
      <c r="G145" s="18"/>
      <c r="H145" s="35"/>
      <c r="I145" s="35"/>
      <c r="J145" s="12"/>
      <c r="O145" s="12"/>
      <c r="P145" s="18"/>
      <c r="Q145" s="12"/>
      <c r="R145" s="12"/>
      <c r="S145" s="12"/>
      <c r="T145" s="36"/>
      <c r="U145" s="36"/>
      <c r="V145" s="12"/>
      <c r="W145" s="12"/>
      <c r="X145" s="12"/>
      <c r="Y145" s="12"/>
    </row>
    <row r="146" customFormat="false" ht="15.75" hidden="false" customHeight="false" outlineLevel="0" collapsed="false">
      <c r="A146" s="12"/>
      <c r="B146" s="34"/>
      <c r="C146" s="12"/>
      <c r="D146" s="12"/>
      <c r="E146" s="12"/>
      <c r="F146" s="12"/>
      <c r="G146" s="18"/>
      <c r="H146" s="35"/>
      <c r="I146" s="35"/>
      <c r="J146" s="12"/>
      <c r="O146" s="12"/>
      <c r="P146" s="18"/>
      <c r="Q146" s="12"/>
      <c r="R146" s="12"/>
      <c r="S146" s="12"/>
      <c r="T146" s="36"/>
      <c r="U146" s="36"/>
      <c r="V146" s="12"/>
      <c r="W146" s="12"/>
      <c r="X146" s="12"/>
      <c r="Y146" s="12"/>
    </row>
    <row r="147" customFormat="false" ht="15.75" hidden="false" customHeight="false" outlineLevel="0" collapsed="false">
      <c r="A147" s="12"/>
      <c r="B147" s="34"/>
      <c r="C147" s="12"/>
      <c r="D147" s="12"/>
      <c r="E147" s="12"/>
      <c r="F147" s="12"/>
      <c r="G147" s="18"/>
      <c r="H147" s="35"/>
      <c r="I147" s="35"/>
      <c r="J147" s="12"/>
      <c r="O147" s="12"/>
      <c r="P147" s="18"/>
      <c r="Q147" s="12"/>
      <c r="R147" s="12"/>
      <c r="S147" s="12"/>
      <c r="T147" s="36"/>
      <c r="U147" s="36"/>
      <c r="V147" s="12"/>
      <c r="W147" s="12"/>
      <c r="X147" s="12"/>
      <c r="Y147" s="12"/>
    </row>
    <row r="148" customFormat="false" ht="15.75" hidden="false" customHeight="false" outlineLevel="0" collapsed="false">
      <c r="A148" s="12"/>
      <c r="B148" s="34"/>
      <c r="C148" s="12"/>
      <c r="D148" s="12"/>
      <c r="E148" s="12"/>
      <c r="F148" s="12"/>
      <c r="G148" s="18"/>
      <c r="H148" s="35"/>
      <c r="I148" s="35"/>
      <c r="J148" s="12"/>
      <c r="O148" s="12"/>
      <c r="P148" s="18"/>
      <c r="Q148" s="12"/>
      <c r="R148" s="12"/>
      <c r="S148" s="12"/>
      <c r="T148" s="36"/>
      <c r="U148" s="36"/>
      <c r="V148" s="12"/>
      <c r="W148" s="12"/>
      <c r="X148" s="12"/>
      <c r="Y148" s="12"/>
    </row>
    <row r="149" customFormat="false" ht="15.75" hidden="false" customHeight="false" outlineLevel="0" collapsed="false">
      <c r="A149" s="12"/>
      <c r="B149" s="34"/>
      <c r="C149" s="12"/>
      <c r="D149" s="12"/>
      <c r="E149" s="12"/>
      <c r="F149" s="12"/>
      <c r="G149" s="18"/>
      <c r="H149" s="35"/>
      <c r="I149" s="35"/>
      <c r="J149" s="12"/>
      <c r="O149" s="12"/>
      <c r="P149" s="18"/>
      <c r="Q149" s="12"/>
      <c r="R149" s="12"/>
      <c r="S149" s="12"/>
      <c r="T149" s="36"/>
      <c r="U149" s="36"/>
      <c r="V149" s="12"/>
      <c r="W149" s="12"/>
      <c r="X149" s="12"/>
      <c r="Y149" s="12"/>
    </row>
    <row r="150" customFormat="false" ht="15.75" hidden="false" customHeight="false" outlineLevel="0" collapsed="false">
      <c r="A150" s="12"/>
      <c r="B150" s="34"/>
      <c r="C150" s="12"/>
      <c r="D150" s="12"/>
      <c r="E150" s="12"/>
      <c r="F150" s="12"/>
      <c r="G150" s="18"/>
      <c r="H150" s="35"/>
      <c r="I150" s="35"/>
      <c r="J150" s="12"/>
      <c r="O150" s="12"/>
      <c r="P150" s="18"/>
      <c r="Q150" s="12"/>
      <c r="R150" s="12"/>
      <c r="S150" s="12"/>
      <c r="T150" s="36"/>
      <c r="U150" s="36"/>
      <c r="V150" s="12"/>
      <c r="W150" s="12"/>
      <c r="X150" s="12"/>
      <c r="Y150" s="12"/>
    </row>
    <row r="151" customFormat="false" ht="15.75" hidden="false" customHeight="false" outlineLevel="0" collapsed="false">
      <c r="A151" s="12"/>
      <c r="B151" s="34"/>
      <c r="C151" s="12"/>
      <c r="D151" s="12"/>
      <c r="E151" s="12"/>
      <c r="F151" s="12"/>
      <c r="G151" s="18"/>
      <c r="H151" s="35"/>
      <c r="I151" s="35"/>
      <c r="J151" s="12"/>
      <c r="O151" s="12"/>
      <c r="P151" s="18"/>
      <c r="Q151" s="12"/>
      <c r="R151" s="12"/>
      <c r="S151" s="12"/>
      <c r="T151" s="36"/>
      <c r="U151" s="36"/>
      <c r="V151" s="12"/>
      <c r="W151" s="12"/>
      <c r="X151" s="12"/>
      <c r="Y151" s="12"/>
    </row>
    <row r="152" customFormat="false" ht="15.75" hidden="false" customHeight="false" outlineLevel="0" collapsed="false">
      <c r="A152" s="12"/>
      <c r="B152" s="34"/>
      <c r="C152" s="12"/>
      <c r="D152" s="12"/>
      <c r="E152" s="12"/>
      <c r="F152" s="12"/>
      <c r="G152" s="18"/>
      <c r="H152" s="35"/>
      <c r="I152" s="35"/>
      <c r="J152" s="12"/>
      <c r="O152" s="12"/>
      <c r="P152" s="18"/>
      <c r="Q152" s="12"/>
      <c r="R152" s="12"/>
      <c r="S152" s="12"/>
      <c r="T152" s="36"/>
      <c r="U152" s="36"/>
      <c r="V152" s="12"/>
      <c r="W152" s="12"/>
      <c r="X152" s="12"/>
      <c r="Y152" s="12"/>
    </row>
    <row r="153" customFormat="false" ht="15.75" hidden="false" customHeight="false" outlineLevel="0" collapsed="false">
      <c r="A153" s="12"/>
      <c r="B153" s="34"/>
      <c r="C153" s="12"/>
      <c r="D153" s="12"/>
      <c r="E153" s="12"/>
      <c r="F153" s="12"/>
      <c r="G153" s="18"/>
      <c r="H153" s="35"/>
      <c r="I153" s="35"/>
      <c r="J153" s="12"/>
      <c r="O153" s="12"/>
      <c r="P153" s="18"/>
      <c r="Q153" s="12"/>
      <c r="R153" s="12"/>
      <c r="S153" s="12"/>
      <c r="T153" s="36"/>
      <c r="U153" s="36"/>
      <c r="V153" s="12"/>
      <c r="W153" s="12"/>
      <c r="X153" s="12"/>
      <c r="Y153" s="12"/>
    </row>
    <row r="154" customFormat="false" ht="15.75" hidden="false" customHeight="false" outlineLevel="0" collapsed="false">
      <c r="A154" s="12"/>
      <c r="B154" s="34"/>
      <c r="C154" s="12"/>
      <c r="D154" s="12"/>
      <c r="E154" s="12"/>
      <c r="F154" s="12"/>
      <c r="G154" s="18"/>
      <c r="H154" s="35"/>
      <c r="I154" s="35"/>
      <c r="J154" s="12"/>
      <c r="O154" s="12"/>
      <c r="P154" s="18"/>
      <c r="Q154" s="12"/>
      <c r="R154" s="12"/>
      <c r="S154" s="12"/>
      <c r="T154" s="36"/>
      <c r="U154" s="36"/>
      <c r="V154" s="12"/>
      <c r="W154" s="12"/>
      <c r="X154" s="12"/>
      <c r="Y154" s="12"/>
    </row>
    <row r="155" customFormat="false" ht="15.75" hidden="false" customHeight="false" outlineLevel="0" collapsed="false">
      <c r="A155" s="12"/>
      <c r="B155" s="34"/>
      <c r="C155" s="12"/>
      <c r="D155" s="12"/>
      <c r="E155" s="12"/>
      <c r="F155" s="12"/>
      <c r="G155" s="18"/>
      <c r="H155" s="35"/>
      <c r="I155" s="35"/>
      <c r="J155" s="12"/>
      <c r="O155" s="12"/>
      <c r="P155" s="18"/>
      <c r="Q155" s="12"/>
      <c r="R155" s="12"/>
      <c r="S155" s="12"/>
      <c r="T155" s="36"/>
      <c r="U155" s="36"/>
      <c r="V155" s="12"/>
      <c r="W155" s="12"/>
      <c r="X155" s="12"/>
      <c r="Y155" s="12"/>
    </row>
    <row r="156" customFormat="false" ht="15.75" hidden="false" customHeight="false" outlineLevel="0" collapsed="false">
      <c r="A156" s="12"/>
      <c r="B156" s="34"/>
      <c r="C156" s="12"/>
      <c r="D156" s="12"/>
      <c r="E156" s="12"/>
      <c r="F156" s="12"/>
      <c r="G156" s="18"/>
      <c r="H156" s="35"/>
      <c r="I156" s="35"/>
      <c r="J156" s="12"/>
      <c r="O156" s="12"/>
      <c r="P156" s="18"/>
      <c r="Q156" s="12"/>
      <c r="R156" s="12"/>
      <c r="S156" s="12"/>
      <c r="T156" s="36"/>
      <c r="U156" s="36"/>
      <c r="V156" s="12"/>
      <c r="W156" s="12"/>
      <c r="X156" s="12"/>
      <c r="Y156" s="12"/>
    </row>
    <row r="157" customFormat="false" ht="15.75" hidden="false" customHeight="false" outlineLevel="0" collapsed="false">
      <c r="A157" s="12"/>
      <c r="B157" s="34"/>
      <c r="C157" s="12"/>
      <c r="D157" s="12"/>
      <c r="E157" s="12"/>
      <c r="F157" s="12"/>
      <c r="G157" s="18"/>
      <c r="H157" s="35"/>
      <c r="I157" s="35"/>
      <c r="J157" s="12"/>
      <c r="O157" s="12"/>
      <c r="P157" s="18"/>
      <c r="Q157" s="12"/>
      <c r="R157" s="12"/>
      <c r="S157" s="12"/>
      <c r="T157" s="36"/>
      <c r="U157" s="36"/>
      <c r="V157" s="12"/>
      <c r="W157" s="12"/>
      <c r="X157" s="12"/>
      <c r="Y157" s="12"/>
    </row>
    <row r="158" customFormat="false" ht="15.75" hidden="false" customHeight="false" outlineLevel="0" collapsed="false">
      <c r="A158" s="12"/>
      <c r="B158" s="34"/>
      <c r="C158" s="12"/>
      <c r="D158" s="12"/>
      <c r="E158" s="12"/>
      <c r="F158" s="12"/>
      <c r="G158" s="18"/>
      <c r="H158" s="35"/>
      <c r="I158" s="35"/>
      <c r="J158" s="12"/>
      <c r="O158" s="12"/>
      <c r="P158" s="18"/>
      <c r="Q158" s="12"/>
      <c r="R158" s="12"/>
      <c r="S158" s="12"/>
      <c r="T158" s="36"/>
      <c r="U158" s="36"/>
      <c r="V158" s="12"/>
      <c r="W158" s="12"/>
      <c r="X158" s="12"/>
      <c r="Y158" s="12"/>
    </row>
    <row r="159" customFormat="false" ht="15.75" hidden="false" customHeight="false" outlineLevel="0" collapsed="false">
      <c r="A159" s="12"/>
      <c r="B159" s="34"/>
      <c r="C159" s="12"/>
      <c r="D159" s="12"/>
      <c r="E159" s="12"/>
      <c r="F159" s="12"/>
      <c r="G159" s="18"/>
      <c r="H159" s="35"/>
      <c r="I159" s="35"/>
      <c r="J159" s="12"/>
      <c r="O159" s="12"/>
      <c r="P159" s="18"/>
      <c r="Q159" s="12"/>
      <c r="R159" s="12"/>
      <c r="S159" s="12"/>
      <c r="T159" s="36"/>
      <c r="U159" s="36"/>
      <c r="V159" s="12"/>
      <c r="W159" s="12"/>
      <c r="X159" s="12"/>
      <c r="Y159" s="12"/>
    </row>
    <row r="160" customFormat="false" ht="15.75" hidden="false" customHeight="false" outlineLevel="0" collapsed="false">
      <c r="A160" s="12"/>
      <c r="B160" s="34"/>
      <c r="C160" s="12"/>
      <c r="D160" s="12"/>
      <c r="E160" s="12"/>
      <c r="F160" s="12"/>
      <c r="G160" s="18"/>
      <c r="H160" s="35"/>
      <c r="I160" s="35"/>
      <c r="J160" s="12"/>
      <c r="O160" s="12"/>
      <c r="P160" s="18"/>
      <c r="Q160" s="12"/>
      <c r="R160" s="12"/>
      <c r="S160" s="12"/>
      <c r="T160" s="36"/>
      <c r="U160" s="36"/>
      <c r="V160" s="12"/>
      <c r="W160" s="12"/>
      <c r="X160" s="12"/>
      <c r="Y160" s="12"/>
    </row>
    <row r="161" customFormat="false" ht="15.75" hidden="false" customHeight="false" outlineLevel="0" collapsed="false">
      <c r="A161" s="12"/>
      <c r="B161" s="34"/>
      <c r="C161" s="12"/>
      <c r="D161" s="12"/>
      <c r="E161" s="12"/>
      <c r="F161" s="12"/>
      <c r="G161" s="18"/>
      <c r="H161" s="35"/>
      <c r="I161" s="35"/>
      <c r="J161" s="12"/>
      <c r="O161" s="12"/>
      <c r="P161" s="18"/>
      <c r="Q161" s="12"/>
      <c r="R161" s="12"/>
      <c r="S161" s="12"/>
      <c r="T161" s="36"/>
      <c r="U161" s="36"/>
      <c r="V161" s="12"/>
      <c r="W161" s="12"/>
      <c r="X161" s="12"/>
      <c r="Y161" s="12"/>
    </row>
    <row r="162" customFormat="false" ht="15.75" hidden="false" customHeight="false" outlineLevel="0" collapsed="false">
      <c r="A162" s="12"/>
      <c r="B162" s="34"/>
      <c r="C162" s="12"/>
      <c r="D162" s="12"/>
      <c r="E162" s="12"/>
      <c r="F162" s="12"/>
      <c r="G162" s="18"/>
      <c r="H162" s="35"/>
      <c r="I162" s="35"/>
      <c r="J162" s="12"/>
      <c r="O162" s="12"/>
      <c r="P162" s="18"/>
      <c r="Q162" s="12"/>
      <c r="R162" s="12"/>
      <c r="S162" s="12"/>
      <c r="T162" s="36"/>
      <c r="U162" s="36"/>
      <c r="V162" s="12"/>
      <c r="W162" s="12"/>
      <c r="X162" s="12"/>
      <c r="Y162" s="12"/>
    </row>
    <row r="163" customFormat="false" ht="15.75" hidden="false" customHeight="false" outlineLevel="0" collapsed="false">
      <c r="A163" s="12"/>
      <c r="B163" s="34"/>
      <c r="C163" s="12"/>
      <c r="D163" s="12"/>
      <c r="E163" s="12"/>
      <c r="F163" s="12"/>
      <c r="G163" s="18"/>
      <c r="H163" s="35"/>
      <c r="I163" s="35"/>
      <c r="J163" s="12"/>
      <c r="O163" s="12"/>
      <c r="P163" s="18"/>
      <c r="Q163" s="12"/>
      <c r="R163" s="12"/>
      <c r="S163" s="12"/>
      <c r="T163" s="36"/>
      <c r="U163" s="36"/>
      <c r="V163" s="12"/>
      <c r="W163" s="12"/>
      <c r="X163" s="12"/>
      <c r="Y163" s="12"/>
    </row>
    <row r="164" customFormat="false" ht="15.75" hidden="false" customHeight="false" outlineLevel="0" collapsed="false">
      <c r="A164" s="12"/>
      <c r="B164" s="34"/>
      <c r="C164" s="12"/>
      <c r="D164" s="12"/>
      <c r="E164" s="12"/>
      <c r="F164" s="12"/>
      <c r="G164" s="18"/>
      <c r="H164" s="35"/>
      <c r="I164" s="35"/>
      <c r="J164" s="12"/>
      <c r="O164" s="12"/>
      <c r="P164" s="18"/>
      <c r="Q164" s="12"/>
      <c r="R164" s="12"/>
      <c r="S164" s="12"/>
      <c r="T164" s="36"/>
      <c r="U164" s="36"/>
      <c r="V164" s="12"/>
      <c r="W164" s="12"/>
      <c r="X164" s="12"/>
      <c r="Y164" s="12"/>
    </row>
    <row r="165" customFormat="false" ht="15.75" hidden="false" customHeight="false" outlineLevel="0" collapsed="false">
      <c r="A165" s="12"/>
      <c r="B165" s="34"/>
      <c r="C165" s="12"/>
      <c r="D165" s="12"/>
      <c r="E165" s="12"/>
      <c r="F165" s="12"/>
      <c r="G165" s="18"/>
      <c r="H165" s="35"/>
      <c r="I165" s="35"/>
      <c r="J165" s="12"/>
      <c r="O165" s="12"/>
      <c r="P165" s="18"/>
      <c r="Q165" s="12"/>
      <c r="R165" s="12"/>
      <c r="S165" s="12"/>
      <c r="T165" s="36"/>
      <c r="U165" s="36"/>
      <c r="V165" s="12"/>
      <c r="W165" s="12"/>
      <c r="X165" s="12"/>
      <c r="Y165" s="12"/>
    </row>
    <row r="166" customFormat="false" ht="15.75" hidden="false" customHeight="false" outlineLevel="0" collapsed="false">
      <c r="A166" s="12"/>
      <c r="B166" s="34"/>
      <c r="C166" s="12"/>
      <c r="D166" s="12"/>
      <c r="E166" s="12"/>
      <c r="F166" s="12"/>
      <c r="G166" s="18"/>
      <c r="H166" s="35"/>
      <c r="I166" s="35"/>
      <c r="J166" s="12"/>
      <c r="O166" s="12"/>
      <c r="P166" s="18"/>
      <c r="Q166" s="12"/>
      <c r="R166" s="12"/>
      <c r="S166" s="12"/>
      <c r="T166" s="36"/>
      <c r="U166" s="36"/>
      <c r="V166" s="12"/>
      <c r="W166" s="12"/>
      <c r="X166" s="12"/>
      <c r="Y166" s="12"/>
    </row>
    <row r="167" customFormat="false" ht="15.75" hidden="false" customHeight="false" outlineLevel="0" collapsed="false">
      <c r="A167" s="12"/>
      <c r="B167" s="34"/>
      <c r="C167" s="12"/>
      <c r="D167" s="12"/>
      <c r="E167" s="12"/>
      <c r="F167" s="12"/>
      <c r="G167" s="18"/>
      <c r="H167" s="35"/>
      <c r="I167" s="35"/>
      <c r="J167" s="12"/>
      <c r="O167" s="12"/>
      <c r="P167" s="18"/>
      <c r="Q167" s="12"/>
      <c r="R167" s="12"/>
      <c r="S167" s="12"/>
      <c r="T167" s="36"/>
      <c r="U167" s="36"/>
      <c r="V167" s="12"/>
      <c r="W167" s="12"/>
      <c r="X167" s="12"/>
      <c r="Y167" s="12"/>
    </row>
    <row r="168" customFormat="false" ht="15.75" hidden="false" customHeight="false" outlineLevel="0" collapsed="false">
      <c r="A168" s="12"/>
      <c r="B168" s="34"/>
      <c r="C168" s="12"/>
      <c r="D168" s="12"/>
      <c r="E168" s="12"/>
      <c r="F168" s="12"/>
      <c r="G168" s="18"/>
      <c r="H168" s="35"/>
      <c r="I168" s="35"/>
      <c r="J168" s="12"/>
      <c r="O168" s="12"/>
      <c r="P168" s="18"/>
      <c r="Q168" s="12"/>
      <c r="R168" s="12"/>
      <c r="S168" s="12"/>
      <c r="T168" s="36"/>
      <c r="U168" s="36"/>
      <c r="V168" s="12"/>
      <c r="W168" s="12"/>
      <c r="X168" s="12"/>
      <c r="Y168" s="12"/>
    </row>
    <row r="169" customFormat="false" ht="15.75" hidden="false" customHeight="false" outlineLevel="0" collapsed="false">
      <c r="A169" s="12"/>
      <c r="B169" s="34"/>
      <c r="C169" s="12"/>
      <c r="D169" s="12"/>
      <c r="E169" s="12"/>
      <c r="F169" s="12"/>
      <c r="G169" s="18"/>
      <c r="H169" s="35"/>
      <c r="I169" s="35"/>
      <c r="J169" s="12"/>
      <c r="O169" s="12"/>
      <c r="P169" s="18"/>
      <c r="Q169" s="12"/>
      <c r="R169" s="12"/>
      <c r="S169" s="12"/>
      <c r="T169" s="36"/>
      <c r="U169" s="36"/>
      <c r="V169" s="12"/>
      <c r="W169" s="12"/>
      <c r="X169" s="12"/>
      <c r="Y169" s="12"/>
    </row>
    <row r="170" customFormat="false" ht="15.75" hidden="false" customHeight="false" outlineLevel="0" collapsed="false">
      <c r="A170" s="12"/>
      <c r="B170" s="34"/>
      <c r="C170" s="12"/>
      <c r="D170" s="12"/>
      <c r="E170" s="12"/>
      <c r="F170" s="12"/>
      <c r="G170" s="18"/>
      <c r="H170" s="35"/>
      <c r="I170" s="35"/>
      <c r="J170" s="12"/>
      <c r="O170" s="12"/>
      <c r="P170" s="18"/>
      <c r="Q170" s="12"/>
      <c r="R170" s="12"/>
      <c r="S170" s="12"/>
      <c r="T170" s="36"/>
      <c r="U170" s="36"/>
      <c r="V170" s="12"/>
      <c r="W170" s="12"/>
      <c r="X170" s="12"/>
      <c r="Y170" s="12"/>
    </row>
    <row r="171" customFormat="false" ht="15.75" hidden="false" customHeight="false" outlineLevel="0" collapsed="false">
      <c r="A171" s="12"/>
      <c r="B171" s="34"/>
      <c r="C171" s="12"/>
      <c r="D171" s="12"/>
      <c r="E171" s="12"/>
      <c r="F171" s="12"/>
      <c r="G171" s="18"/>
      <c r="H171" s="35"/>
      <c r="I171" s="35"/>
      <c r="J171" s="12"/>
      <c r="O171" s="12"/>
      <c r="P171" s="18"/>
      <c r="Q171" s="12"/>
      <c r="R171" s="12"/>
      <c r="S171" s="12"/>
      <c r="T171" s="36"/>
      <c r="U171" s="36"/>
      <c r="V171" s="12"/>
      <c r="W171" s="12"/>
      <c r="X171" s="12"/>
      <c r="Y171" s="12"/>
    </row>
    <row r="172" customFormat="false" ht="15.75" hidden="false" customHeight="false" outlineLevel="0" collapsed="false">
      <c r="A172" s="12"/>
      <c r="B172" s="34"/>
      <c r="C172" s="12"/>
      <c r="D172" s="12"/>
      <c r="E172" s="12"/>
      <c r="F172" s="12"/>
      <c r="G172" s="18"/>
      <c r="H172" s="35"/>
      <c r="I172" s="35"/>
      <c r="J172" s="12"/>
      <c r="O172" s="12"/>
      <c r="P172" s="18"/>
      <c r="Q172" s="12"/>
      <c r="R172" s="12"/>
      <c r="S172" s="12"/>
      <c r="T172" s="36"/>
      <c r="U172" s="36"/>
      <c r="V172" s="12"/>
      <c r="W172" s="12"/>
      <c r="X172" s="12"/>
      <c r="Y172" s="12"/>
    </row>
    <row r="173" customFormat="false" ht="15.75" hidden="false" customHeight="false" outlineLevel="0" collapsed="false">
      <c r="A173" s="12"/>
      <c r="B173" s="34"/>
      <c r="C173" s="12"/>
      <c r="D173" s="12"/>
      <c r="E173" s="12"/>
      <c r="F173" s="12"/>
      <c r="G173" s="18"/>
      <c r="H173" s="35"/>
      <c r="I173" s="35"/>
      <c r="J173" s="12"/>
      <c r="O173" s="12"/>
      <c r="P173" s="18"/>
      <c r="Q173" s="12"/>
      <c r="R173" s="12"/>
      <c r="S173" s="12"/>
      <c r="T173" s="36"/>
      <c r="U173" s="36"/>
      <c r="V173" s="12"/>
      <c r="W173" s="12"/>
      <c r="X173" s="12"/>
      <c r="Y173" s="12"/>
    </row>
    <row r="174" customFormat="false" ht="15.75" hidden="false" customHeight="false" outlineLevel="0" collapsed="false">
      <c r="A174" s="12"/>
      <c r="B174" s="34"/>
      <c r="C174" s="12"/>
      <c r="D174" s="12"/>
      <c r="E174" s="12"/>
      <c r="F174" s="12"/>
      <c r="G174" s="18"/>
      <c r="H174" s="35"/>
      <c r="I174" s="35"/>
      <c r="J174" s="12"/>
      <c r="O174" s="12"/>
      <c r="P174" s="18"/>
      <c r="Q174" s="12"/>
      <c r="R174" s="12"/>
      <c r="S174" s="12"/>
      <c r="T174" s="36"/>
      <c r="U174" s="36"/>
      <c r="V174" s="12"/>
      <c r="W174" s="12"/>
      <c r="X174" s="12"/>
      <c r="Y174" s="12"/>
    </row>
    <row r="175" customFormat="false" ht="15.75" hidden="false" customHeight="false" outlineLevel="0" collapsed="false">
      <c r="A175" s="12"/>
      <c r="B175" s="34"/>
      <c r="C175" s="12"/>
      <c r="D175" s="12"/>
      <c r="E175" s="12"/>
      <c r="F175" s="12"/>
      <c r="G175" s="18"/>
      <c r="H175" s="35"/>
      <c r="I175" s="35"/>
      <c r="J175" s="12"/>
      <c r="O175" s="12"/>
      <c r="P175" s="18"/>
      <c r="Q175" s="12"/>
      <c r="R175" s="12"/>
      <c r="S175" s="12"/>
      <c r="T175" s="36"/>
      <c r="U175" s="36"/>
      <c r="V175" s="12"/>
      <c r="W175" s="12"/>
      <c r="X175" s="12"/>
      <c r="Y175" s="12"/>
    </row>
    <row r="176" customFormat="false" ht="15.75" hidden="false" customHeight="false" outlineLevel="0" collapsed="false">
      <c r="A176" s="12"/>
      <c r="B176" s="34"/>
      <c r="C176" s="12"/>
      <c r="D176" s="12"/>
      <c r="E176" s="12"/>
      <c r="F176" s="12"/>
      <c r="G176" s="18"/>
      <c r="H176" s="35"/>
      <c r="I176" s="35"/>
      <c r="J176" s="12"/>
      <c r="O176" s="12"/>
      <c r="P176" s="18"/>
      <c r="Q176" s="12"/>
      <c r="R176" s="12"/>
      <c r="S176" s="12"/>
      <c r="T176" s="36"/>
      <c r="U176" s="36"/>
      <c r="V176" s="12"/>
      <c r="W176" s="12"/>
      <c r="X176" s="12"/>
      <c r="Y176" s="12"/>
    </row>
    <row r="177" customFormat="false" ht="15.75" hidden="false" customHeight="false" outlineLevel="0" collapsed="false">
      <c r="A177" s="12"/>
      <c r="B177" s="34"/>
      <c r="C177" s="12"/>
      <c r="D177" s="12"/>
      <c r="E177" s="12"/>
      <c r="F177" s="12"/>
      <c r="G177" s="18"/>
      <c r="H177" s="35"/>
      <c r="I177" s="35"/>
      <c r="J177" s="12"/>
      <c r="O177" s="12"/>
      <c r="P177" s="18"/>
      <c r="Q177" s="12"/>
      <c r="R177" s="12"/>
      <c r="S177" s="12"/>
      <c r="T177" s="36"/>
      <c r="U177" s="36"/>
      <c r="V177" s="12"/>
      <c r="W177" s="12"/>
      <c r="X177" s="12"/>
      <c r="Y177" s="12"/>
    </row>
    <row r="178" customFormat="false" ht="15.75" hidden="false" customHeight="false" outlineLevel="0" collapsed="false">
      <c r="A178" s="12"/>
      <c r="B178" s="34"/>
      <c r="C178" s="12"/>
      <c r="D178" s="12"/>
      <c r="E178" s="12"/>
      <c r="F178" s="12"/>
      <c r="G178" s="18"/>
      <c r="H178" s="35"/>
      <c r="I178" s="35"/>
      <c r="J178" s="12"/>
      <c r="O178" s="12"/>
      <c r="P178" s="18"/>
      <c r="Q178" s="12"/>
      <c r="R178" s="12"/>
      <c r="S178" s="12"/>
      <c r="T178" s="36"/>
      <c r="U178" s="36"/>
      <c r="V178" s="12"/>
      <c r="W178" s="12"/>
      <c r="X178" s="12"/>
      <c r="Y178" s="12"/>
    </row>
    <row r="179" customFormat="false" ht="15.75" hidden="false" customHeight="false" outlineLevel="0" collapsed="false">
      <c r="A179" s="12"/>
      <c r="B179" s="34"/>
      <c r="C179" s="12"/>
      <c r="D179" s="12"/>
      <c r="E179" s="12"/>
      <c r="F179" s="12"/>
      <c r="G179" s="18"/>
      <c r="H179" s="35"/>
      <c r="I179" s="35"/>
      <c r="J179" s="12"/>
      <c r="O179" s="12"/>
      <c r="P179" s="18"/>
      <c r="Q179" s="12"/>
      <c r="R179" s="12"/>
      <c r="S179" s="12"/>
      <c r="T179" s="36"/>
      <c r="U179" s="36"/>
      <c r="V179" s="12"/>
      <c r="W179" s="12"/>
      <c r="X179" s="12"/>
      <c r="Y179" s="12"/>
    </row>
    <row r="180" customFormat="false" ht="15.75" hidden="false" customHeight="false" outlineLevel="0" collapsed="false">
      <c r="A180" s="12"/>
      <c r="B180" s="34"/>
      <c r="C180" s="12"/>
      <c r="D180" s="12"/>
      <c r="E180" s="12"/>
      <c r="F180" s="12"/>
      <c r="G180" s="18"/>
      <c r="H180" s="35"/>
      <c r="I180" s="35"/>
      <c r="J180" s="12"/>
      <c r="O180" s="12"/>
      <c r="P180" s="18"/>
      <c r="Q180" s="12"/>
      <c r="R180" s="12"/>
      <c r="S180" s="12"/>
      <c r="T180" s="36"/>
      <c r="U180" s="36"/>
      <c r="V180" s="12"/>
      <c r="W180" s="12"/>
      <c r="X180" s="12"/>
      <c r="Y180" s="12"/>
    </row>
    <row r="181" customFormat="false" ht="15.75" hidden="false" customHeight="false" outlineLevel="0" collapsed="false">
      <c r="A181" s="12"/>
      <c r="B181" s="34"/>
      <c r="C181" s="12"/>
      <c r="D181" s="12"/>
      <c r="E181" s="12"/>
      <c r="F181" s="12"/>
      <c r="G181" s="18"/>
      <c r="H181" s="35"/>
      <c r="I181" s="35"/>
      <c r="J181" s="12"/>
      <c r="O181" s="12"/>
      <c r="P181" s="18"/>
      <c r="Q181" s="12"/>
      <c r="R181" s="12"/>
      <c r="S181" s="12"/>
      <c r="T181" s="36"/>
      <c r="U181" s="36"/>
      <c r="V181" s="12"/>
      <c r="W181" s="12"/>
      <c r="X181" s="12"/>
      <c r="Y181" s="12"/>
    </row>
    <row r="182" customFormat="false" ht="15.75" hidden="false" customHeight="false" outlineLevel="0" collapsed="false">
      <c r="A182" s="12"/>
      <c r="B182" s="34"/>
      <c r="C182" s="12"/>
      <c r="D182" s="12"/>
      <c r="E182" s="12"/>
      <c r="F182" s="12"/>
      <c r="G182" s="18"/>
      <c r="H182" s="35"/>
      <c r="I182" s="35"/>
      <c r="J182" s="12"/>
      <c r="O182" s="12"/>
      <c r="P182" s="18"/>
      <c r="Q182" s="12"/>
      <c r="R182" s="12"/>
      <c r="S182" s="12"/>
      <c r="T182" s="36"/>
      <c r="U182" s="36"/>
      <c r="V182" s="12"/>
      <c r="W182" s="12"/>
      <c r="X182" s="12"/>
      <c r="Y182" s="12"/>
    </row>
    <row r="183" customFormat="false" ht="15.75" hidden="false" customHeight="false" outlineLevel="0" collapsed="false">
      <c r="A183" s="12"/>
      <c r="B183" s="34"/>
      <c r="C183" s="12"/>
      <c r="D183" s="12"/>
      <c r="E183" s="12"/>
      <c r="F183" s="12"/>
      <c r="G183" s="18"/>
      <c r="H183" s="35"/>
      <c r="I183" s="35"/>
      <c r="J183" s="12"/>
      <c r="O183" s="12"/>
      <c r="P183" s="18"/>
      <c r="Q183" s="12"/>
      <c r="R183" s="12"/>
      <c r="S183" s="12"/>
      <c r="T183" s="36"/>
      <c r="U183" s="36"/>
      <c r="V183" s="12"/>
      <c r="W183" s="12"/>
      <c r="X183" s="12"/>
      <c r="Y183" s="12"/>
    </row>
    <row r="184" customFormat="false" ht="15.75" hidden="false" customHeight="false" outlineLevel="0" collapsed="false">
      <c r="A184" s="12"/>
      <c r="B184" s="34"/>
      <c r="C184" s="12"/>
      <c r="D184" s="12"/>
      <c r="E184" s="12"/>
      <c r="F184" s="12"/>
      <c r="G184" s="18"/>
      <c r="H184" s="35"/>
      <c r="I184" s="35"/>
      <c r="J184" s="12"/>
      <c r="O184" s="12"/>
      <c r="P184" s="18"/>
      <c r="Q184" s="12"/>
      <c r="R184" s="12"/>
      <c r="S184" s="12"/>
      <c r="T184" s="36"/>
      <c r="U184" s="36"/>
      <c r="V184" s="12"/>
      <c r="W184" s="12"/>
      <c r="X184" s="12"/>
      <c r="Y184" s="12"/>
    </row>
    <row r="185" customFormat="false" ht="15.75" hidden="false" customHeight="false" outlineLevel="0" collapsed="false">
      <c r="A185" s="12"/>
      <c r="B185" s="34"/>
      <c r="C185" s="12"/>
      <c r="D185" s="12"/>
      <c r="E185" s="12"/>
      <c r="F185" s="12"/>
      <c r="G185" s="18"/>
      <c r="H185" s="35"/>
      <c r="I185" s="35"/>
      <c r="J185" s="12"/>
      <c r="O185" s="12"/>
      <c r="P185" s="18"/>
      <c r="Q185" s="12"/>
      <c r="R185" s="12"/>
      <c r="S185" s="12"/>
      <c r="T185" s="36"/>
      <c r="U185" s="36"/>
      <c r="V185" s="12"/>
      <c r="W185" s="12"/>
      <c r="X185" s="12"/>
      <c r="Y185" s="12"/>
    </row>
    <row r="186" customFormat="false" ht="15.75" hidden="false" customHeight="false" outlineLevel="0" collapsed="false">
      <c r="A186" s="12"/>
      <c r="B186" s="34"/>
      <c r="C186" s="12"/>
      <c r="D186" s="12"/>
      <c r="E186" s="12"/>
      <c r="F186" s="12"/>
      <c r="G186" s="18"/>
      <c r="H186" s="35"/>
      <c r="I186" s="35"/>
      <c r="J186" s="12"/>
      <c r="O186" s="12"/>
      <c r="P186" s="18"/>
      <c r="Q186" s="12"/>
      <c r="R186" s="12"/>
      <c r="S186" s="12"/>
      <c r="T186" s="36"/>
      <c r="U186" s="36"/>
      <c r="V186" s="12"/>
      <c r="W186" s="12"/>
      <c r="X186" s="12"/>
      <c r="Y186" s="12"/>
    </row>
    <row r="187" customFormat="false" ht="15.75" hidden="false" customHeight="false" outlineLevel="0" collapsed="false">
      <c r="A187" s="12"/>
      <c r="B187" s="34"/>
      <c r="C187" s="12"/>
      <c r="D187" s="12"/>
      <c r="E187" s="12"/>
      <c r="F187" s="12"/>
      <c r="G187" s="18"/>
      <c r="H187" s="35"/>
      <c r="I187" s="35"/>
      <c r="J187" s="12"/>
      <c r="O187" s="12"/>
      <c r="P187" s="18"/>
      <c r="Q187" s="12"/>
      <c r="R187" s="12"/>
      <c r="S187" s="12"/>
      <c r="T187" s="36"/>
      <c r="U187" s="36"/>
      <c r="V187" s="12"/>
      <c r="W187" s="12"/>
      <c r="X187" s="12"/>
      <c r="Y187" s="12"/>
    </row>
    <row r="188" customFormat="false" ht="15.75" hidden="false" customHeight="false" outlineLevel="0" collapsed="false">
      <c r="A188" s="12"/>
      <c r="B188" s="34"/>
      <c r="C188" s="12"/>
      <c r="D188" s="12"/>
      <c r="E188" s="12"/>
      <c r="F188" s="12"/>
      <c r="G188" s="18"/>
      <c r="H188" s="35"/>
      <c r="I188" s="35"/>
      <c r="J188" s="12"/>
      <c r="O188" s="12"/>
      <c r="P188" s="18"/>
      <c r="Q188" s="12"/>
      <c r="R188" s="12"/>
      <c r="S188" s="12"/>
      <c r="T188" s="36"/>
      <c r="U188" s="36"/>
      <c r="V188" s="12"/>
      <c r="W188" s="12"/>
      <c r="X188" s="12"/>
      <c r="Y188" s="12"/>
    </row>
    <row r="189" customFormat="false" ht="15.75" hidden="false" customHeight="false" outlineLevel="0" collapsed="false">
      <c r="A189" s="12"/>
      <c r="B189" s="34"/>
      <c r="C189" s="12"/>
      <c r="D189" s="12"/>
      <c r="E189" s="12"/>
      <c r="F189" s="12"/>
      <c r="G189" s="18"/>
      <c r="H189" s="35"/>
      <c r="I189" s="35"/>
      <c r="J189" s="12"/>
      <c r="O189" s="12"/>
      <c r="P189" s="18"/>
      <c r="Q189" s="12"/>
      <c r="R189" s="12"/>
      <c r="S189" s="12"/>
      <c r="T189" s="36"/>
      <c r="U189" s="36"/>
      <c r="V189" s="12"/>
      <c r="W189" s="12"/>
      <c r="X189" s="12"/>
      <c r="Y189" s="12"/>
    </row>
    <row r="190" customFormat="false" ht="15.75" hidden="false" customHeight="false" outlineLevel="0" collapsed="false">
      <c r="A190" s="12"/>
      <c r="B190" s="34"/>
      <c r="C190" s="12"/>
      <c r="D190" s="12"/>
      <c r="E190" s="12"/>
      <c r="F190" s="12"/>
      <c r="G190" s="18"/>
      <c r="H190" s="35"/>
      <c r="I190" s="35"/>
      <c r="J190" s="12"/>
      <c r="O190" s="12"/>
      <c r="P190" s="18"/>
      <c r="Q190" s="12"/>
      <c r="R190" s="12"/>
      <c r="S190" s="12"/>
      <c r="T190" s="36"/>
      <c r="U190" s="36"/>
      <c r="V190" s="12"/>
      <c r="W190" s="12"/>
      <c r="X190" s="12"/>
      <c r="Y190" s="12"/>
    </row>
    <row r="191" customFormat="false" ht="15.75" hidden="false" customHeight="false" outlineLevel="0" collapsed="false">
      <c r="A191" s="12"/>
      <c r="B191" s="34"/>
      <c r="C191" s="12"/>
      <c r="D191" s="12"/>
      <c r="E191" s="12"/>
      <c r="F191" s="12"/>
      <c r="G191" s="18"/>
      <c r="H191" s="35"/>
      <c r="I191" s="35"/>
      <c r="J191" s="12"/>
      <c r="O191" s="12"/>
      <c r="P191" s="18"/>
      <c r="Q191" s="12"/>
      <c r="R191" s="12"/>
      <c r="S191" s="12"/>
      <c r="T191" s="36"/>
      <c r="U191" s="36"/>
      <c r="V191" s="12"/>
      <c r="W191" s="12"/>
      <c r="X191" s="12"/>
      <c r="Y191" s="12"/>
    </row>
    <row r="192" customFormat="false" ht="15.75" hidden="false" customHeight="false" outlineLevel="0" collapsed="false">
      <c r="A192" s="12"/>
      <c r="B192" s="34"/>
      <c r="C192" s="12"/>
      <c r="D192" s="12"/>
      <c r="E192" s="12"/>
      <c r="F192" s="12"/>
      <c r="G192" s="18"/>
      <c r="H192" s="35"/>
      <c r="I192" s="35"/>
      <c r="J192" s="12"/>
      <c r="O192" s="12"/>
      <c r="P192" s="18"/>
      <c r="Q192" s="12"/>
      <c r="R192" s="12"/>
      <c r="S192" s="12"/>
      <c r="T192" s="36"/>
      <c r="U192" s="36"/>
      <c r="V192" s="12"/>
      <c r="W192" s="12"/>
      <c r="X192" s="12"/>
      <c r="Y192" s="12"/>
    </row>
    <row r="193" customFormat="false" ht="15.75" hidden="false" customHeight="false" outlineLevel="0" collapsed="false">
      <c r="A193" s="12"/>
      <c r="B193" s="34"/>
      <c r="C193" s="12"/>
      <c r="D193" s="12"/>
      <c r="E193" s="12"/>
      <c r="F193" s="12"/>
      <c r="G193" s="18"/>
      <c r="H193" s="35"/>
      <c r="I193" s="35"/>
      <c r="J193" s="12"/>
      <c r="O193" s="12"/>
      <c r="P193" s="18"/>
      <c r="Q193" s="12"/>
      <c r="R193" s="12"/>
      <c r="S193" s="12"/>
      <c r="T193" s="36"/>
      <c r="U193" s="36"/>
      <c r="V193" s="12"/>
      <c r="W193" s="12"/>
      <c r="X193" s="12"/>
      <c r="Y193" s="12"/>
    </row>
    <row r="194" customFormat="false" ht="15.75" hidden="false" customHeight="false" outlineLevel="0" collapsed="false">
      <c r="A194" s="12"/>
      <c r="B194" s="34"/>
      <c r="C194" s="12"/>
      <c r="D194" s="12"/>
      <c r="E194" s="12"/>
      <c r="F194" s="12"/>
      <c r="G194" s="18"/>
      <c r="H194" s="35"/>
      <c r="I194" s="35"/>
      <c r="J194" s="12"/>
      <c r="O194" s="12"/>
      <c r="P194" s="18"/>
      <c r="Q194" s="12"/>
      <c r="R194" s="12"/>
      <c r="S194" s="12"/>
      <c r="T194" s="36"/>
      <c r="U194" s="36"/>
      <c r="V194" s="12"/>
      <c r="W194" s="12"/>
      <c r="X194" s="12"/>
      <c r="Y194" s="12"/>
    </row>
    <row r="195" customFormat="false" ht="15.75" hidden="false" customHeight="false" outlineLevel="0" collapsed="false">
      <c r="A195" s="12"/>
      <c r="B195" s="34"/>
      <c r="C195" s="12"/>
      <c r="D195" s="12"/>
      <c r="E195" s="12"/>
      <c r="F195" s="12"/>
      <c r="G195" s="18"/>
      <c r="H195" s="35"/>
      <c r="I195" s="35"/>
      <c r="J195" s="12"/>
      <c r="O195" s="12"/>
      <c r="P195" s="18"/>
      <c r="Q195" s="12"/>
      <c r="R195" s="12"/>
      <c r="S195" s="12"/>
      <c r="T195" s="36"/>
      <c r="U195" s="36"/>
      <c r="V195" s="12"/>
      <c r="W195" s="12"/>
      <c r="X195" s="12"/>
      <c r="Y195" s="12"/>
    </row>
    <row r="196" customFormat="false" ht="15.75" hidden="false" customHeight="false" outlineLevel="0" collapsed="false">
      <c r="A196" s="12"/>
      <c r="B196" s="34"/>
      <c r="C196" s="12"/>
      <c r="D196" s="12"/>
      <c r="E196" s="12"/>
      <c r="F196" s="12"/>
      <c r="G196" s="18"/>
      <c r="H196" s="35"/>
      <c r="I196" s="35"/>
      <c r="J196" s="12"/>
      <c r="O196" s="12"/>
      <c r="P196" s="18"/>
      <c r="Q196" s="12"/>
      <c r="R196" s="12"/>
      <c r="S196" s="12"/>
      <c r="T196" s="36"/>
      <c r="U196" s="36"/>
      <c r="V196" s="12"/>
      <c r="W196" s="12"/>
      <c r="X196" s="12"/>
      <c r="Y196" s="12"/>
    </row>
    <row r="197" customFormat="false" ht="15.75" hidden="false" customHeight="false" outlineLevel="0" collapsed="false">
      <c r="A197" s="12"/>
      <c r="B197" s="34"/>
      <c r="C197" s="12"/>
      <c r="D197" s="12"/>
      <c r="E197" s="12"/>
      <c r="F197" s="12"/>
      <c r="G197" s="18"/>
      <c r="H197" s="35"/>
      <c r="I197" s="35"/>
      <c r="J197" s="12"/>
      <c r="O197" s="12"/>
      <c r="P197" s="18"/>
      <c r="Q197" s="12"/>
      <c r="R197" s="12"/>
      <c r="S197" s="12"/>
      <c r="T197" s="36"/>
      <c r="U197" s="36"/>
      <c r="V197" s="12"/>
      <c r="W197" s="12"/>
      <c r="X197" s="12"/>
      <c r="Y197" s="12"/>
    </row>
    <row r="198" customFormat="false" ht="15.75" hidden="false" customHeight="false" outlineLevel="0" collapsed="false">
      <c r="A198" s="12"/>
      <c r="B198" s="34"/>
      <c r="C198" s="12"/>
      <c r="D198" s="12"/>
      <c r="E198" s="12"/>
      <c r="F198" s="12"/>
      <c r="G198" s="18"/>
      <c r="H198" s="35"/>
      <c r="I198" s="35"/>
      <c r="J198" s="12"/>
      <c r="O198" s="12"/>
      <c r="P198" s="18"/>
      <c r="Q198" s="12"/>
      <c r="R198" s="12"/>
      <c r="S198" s="12"/>
      <c r="T198" s="36"/>
      <c r="U198" s="36"/>
      <c r="V198" s="12"/>
      <c r="W198" s="12"/>
      <c r="X198" s="12"/>
      <c r="Y198" s="12"/>
    </row>
    <row r="199" customFormat="false" ht="15.75" hidden="false" customHeight="false" outlineLevel="0" collapsed="false">
      <c r="A199" s="12"/>
      <c r="B199" s="34"/>
      <c r="C199" s="12"/>
      <c r="D199" s="12"/>
      <c r="E199" s="12"/>
      <c r="F199" s="12"/>
      <c r="G199" s="18"/>
      <c r="H199" s="35"/>
      <c r="I199" s="35"/>
      <c r="J199" s="12"/>
      <c r="O199" s="12"/>
      <c r="P199" s="18"/>
      <c r="Q199" s="12"/>
      <c r="R199" s="12"/>
      <c r="S199" s="12"/>
      <c r="T199" s="36"/>
      <c r="U199" s="36"/>
      <c r="V199" s="12"/>
      <c r="W199" s="12"/>
      <c r="X199" s="12"/>
      <c r="Y199" s="12"/>
    </row>
    <row r="200" customFormat="false" ht="15.75" hidden="false" customHeight="false" outlineLevel="0" collapsed="false">
      <c r="A200" s="12"/>
      <c r="B200" s="34"/>
      <c r="C200" s="12"/>
      <c r="D200" s="12"/>
      <c r="E200" s="12"/>
      <c r="F200" s="12"/>
      <c r="G200" s="18"/>
      <c r="H200" s="35"/>
      <c r="I200" s="35"/>
      <c r="J200" s="12"/>
      <c r="O200" s="12"/>
      <c r="P200" s="18"/>
      <c r="Q200" s="12"/>
      <c r="R200" s="12"/>
      <c r="S200" s="12"/>
      <c r="T200" s="36"/>
      <c r="U200" s="36"/>
      <c r="V200" s="12"/>
      <c r="W200" s="12"/>
      <c r="X200" s="12"/>
      <c r="Y200" s="12"/>
    </row>
    <row r="201" customFormat="false" ht="15.75" hidden="false" customHeight="false" outlineLevel="0" collapsed="false">
      <c r="A201" s="12"/>
      <c r="B201" s="34"/>
      <c r="C201" s="12"/>
      <c r="D201" s="12"/>
      <c r="E201" s="12"/>
      <c r="F201" s="12"/>
      <c r="G201" s="18"/>
      <c r="H201" s="35"/>
      <c r="I201" s="35"/>
      <c r="J201" s="12"/>
      <c r="O201" s="12"/>
      <c r="P201" s="18"/>
      <c r="Q201" s="12"/>
      <c r="R201" s="12"/>
      <c r="S201" s="12"/>
      <c r="T201" s="36"/>
      <c r="U201" s="36"/>
      <c r="V201" s="12"/>
      <c r="W201" s="12"/>
      <c r="X201" s="12"/>
      <c r="Y201" s="12"/>
    </row>
    <row r="202" customFormat="false" ht="15.75" hidden="false" customHeight="false" outlineLevel="0" collapsed="false">
      <c r="A202" s="12"/>
      <c r="B202" s="34"/>
      <c r="C202" s="12"/>
      <c r="D202" s="12"/>
      <c r="E202" s="12"/>
      <c r="F202" s="12"/>
      <c r="G202" s="18"/>
      <c r="H202" s="35"/>
      <c r="I202" s="35"/>
      <c r="J202" s="12"/>
      <c r="O202" s="12"/>
      <c r="P202" s="18"/>
      <c r="Q202" s="12"/>
      <c r="R202" s="12"/>
      <c r="S202" s="12"/>
      <c r="T202" s="36"/>
      <c r="U202" s="36"/>
      <c r="V202" s="12"/>
      <c r="W202" s="12"/>
      <c r="X202" s="12"/>
      <c r="Y202" s="12"/>
    </row>
    <row r="203" customFormat="false" ht="15.75" hidden="false" customHeight="false" outlineLevel="0" collapsed="false">
      <c r="A203" s="12"/>
      <c r="B203" s="34"/>
      <c r="C203" s="12"/>
      <c r="D203" s="12"/>
      <c r="E203" s="12"/>
      <c r="F203" s="12"/>
      <c r="G203" s="18"/>
      <c r="H203" s="35"/>
      <c r="I203" s="35"/>
      <c r="J203" s="12"/>
      <c r="O203" s="12"/>
      <c r="P203" s="18"/>
      <c r="Q203" s="12"/>
      <c r="R203" s="12"/>
      <c r="S203" s="12"/>
      <c r="T203" s="36"/>
      <c r="U203" s="36"/>
      <c r="V203" s="12"/>
      <c r="W203" s="12"/>
      <c r="X203" s="12"/>
      <c r="Y203" s="12"/>
    </row>
    <row r="204" customFormat="false" ht="15.75" hidden="false" customHeight="false" outlineLevel="0" collapsed="false">
      <c r="A204" s="12"/>
      <c r="B204" s="34"/>
      <c r="C204" s="12"/>
      <c r="D204" s="12"/>
      <c r="E204" s="12"/>
      <c r="F204" s="12"/>
      <c r="G204" s="18"/>
      <c r="H204" s="35"/>
      <c r="I204" s="35"/>
      <c r="J204" s="12"/>
      <c r="O204" s="12"/>
      <c r="P204" s="18"/>
      <c r="Q204" s="12"/>
      <c r="R204" s="12"/>
      <c r="S204" s="12"/>
      <c r="T204" s="36"/>
      <c r="U204" s="36"/>
      <c r="V204" s="12"/>
      <c r="W204" s="12"/>
      <c r="X204" s="12"/>
      <c r="Y204" s="12"/>
    </row>
    <row r="205" customFormat="false" ht="15.75" hidden="false" customHeight="false" outlineLevel="0" collapsed="false">
      <c r="A205" s="12"/>
      <c r="B205" s="34"/>
      <c r="C205" s="12"/>
      <c r="D205" s="12"/>
      <c r="E205" s="12"/>
      <c r="F205" s="12"/>
      <c r="G205" s="18"/>
      <c r="H205" s="35"/>
      <c r="I205" s="35"/>
      <c r="J205" s="12"/>
      <c r="O205" s="12"/>
      <c r="P205" s="18"/>
      <c r="Q205" s="12"/>
      <c r="R205" s="12"/>
      <c r="S205" s="12"/>
      <c r="T205" s="36"/>
      <c r="U205" s="36"/>
      <c r="V205" s="12"/>
      <c r="W205" s="12"/>
      <c r="X205" s="12"/>
      <c r="Y205" s="12"/>
    </row>
    <row r="206" customFormat="false" ht="15.75" hidden="false" customHeight="false" outlineLevel="0" collapsed="false">
      <c r="A206" s="12"/>
      <c r="B206" s="34"/>
      <c r="C206" s="12"/>
      <c r="D206" s="12"/>
      <c r="E206" s="12"/>
      <c r="F206" s="12"/>
      <c r="G206" s="18"/>
      <c r="H206" s="35"/>
      <c r="I206" s="35"/>
      <c r="J206" s="12"/>
      <c r="O206" s="12"/>
      <c r="P206" s="18"/>
      <c r="Q206" s="12"/>
      <c r="R206" s="12"/>
      <c r="S206" s="12"/>
      <c r="T206" s="36"/>
      <c r="U206" s="36"/>
      <c r="V206" s="12"/>
      <c r="W206" s="12"/>
      <c r="X206" s="12"/>
      <c r="Y206" s="12"/>
    </row>
    <row r="207" customFormat="false" ht="15.75" hidden="false" customHeight="false" outlineLevel="0" collapsed="false">
      <c r="A207" s="12"/>
      <c r="B207" s="34"/>
      <c r="C207" s="12"/>
      <c r="D207" s="12"/>
      <c r="E207" s="12"/>
      <c r="F207" s="12"/>
      <c r="G207" s="18"/>
      <c r="H207" s="35"/>
      <c r="I207" s="35"/>
      <c r="J207" s="12"/>
      <c r="O207" s="12"/>
      <c r="P207" s="18"/>
      <c r="Q207" s="12"/>
      <c r="R207" s="12"/>
      <c r="S207" s="12"/>
      <c r="T207" s="36"/>
      <c r="U207" s="36"/>
      <c r="V207" s="12"/>
      <c r="W207" s="12"/>
      <c r="X207" s="12"/>
      <c r="Y207" s="12"/>
    </row>
    <row r="208" customFormat="false" ht="15.75" hidden="false" customHeight="false" outlineLevel="0" collapsed="false">
      <c r="A208" s="12"/>
      <c r="B208" s="34"/>
      <c r="C208" s="12"/>
      <c r="D208" s="12"/>
      <c r="E208" s="12"/>
      <c r="F208" s="12"/>
      <c r="G208" s="18"/>
      <c r="H208" s="35"/>
      <c r="I208" s="35"/>
      <c r="J208" s="12"/>
      <c r="O208" s="12"/>
      <c r="P208" s="18"/>
      <c r="Q208" s="12"/>
      <c r="R208" s="12"/>
      <c r="S208" s="12"/>
      <c r="T208" s="36"/>
      <c r="U208" s="36"/>
      <c r="V208" s="12"/>
      <c r="W208" s="12"/>
      <c r="X208" s="12"/>
      <c r="Y208" s="12"/>
    </row>
    <row r="209" customFormat="false" ht="15.75" hidden="false" customHeight="false" outlineLevel="0" collapsed="false">
      <c r="A209" s="12"/>
      <c r="B209" s="34"/>
      <c r="C209" s="12"/>
      <c r="D209" s="12"/>
      <c r="E209" s="12"/>
      <c r="F209" s="12"/>
      <c r="G209" s="18"/>
      <c r="H209" s="35"/>
      <c r="I209" s="35"/>
      <c r="J209" s="12"/>
      <c r="O209" s="12"/>
      <c r="P209" s="18"/>
      <c r="Q209" s="12"/>
      <c r="R209" s="12"/>
      <c r="S209" s="12"/>
      <c r="T209" s="36"/>
      <c r="U209" s="36"/>
      <c r="V209" s="12"/>
      <c r="W209" s="12"/>
      <c r="X209" s="12"/>
      <c r="Y209" s="12"/>
    </row>
    <row r="210" customFormat="false" ht="15.75" hidden="false" customHeight="false" outlineLevel="0" collapsed="false">
      <c r="A210" s="12"/>
      <c r="B210" s="34"/>
      <c r="C210" s="12"/>
      <c r="D210" s="12"/>
      <c r="E210" s="12"/>
      <c r="F210" s="12"/>
      <c r="G210" s="18"/>
      <c r="H210" s="35"/>
      <c r="I210" s="35"/>
      <c r="J210" s="12"/>
      <c r="O210" s="12"/>
      <c r="P210" s="18"/>
      <c r="Q210" s="12"/>
      <c r="R210" s="12"/>
      <c r="S210" s="12"/>
      <c r="T210" s="36"/>
      <c r="U210" s="36"/>
      <c r="V210" s="12"/>
      <c r="W210" s="12"/>
      <c r="X210" s="12"/>
      <c r="Y210" s="12"/>
    </row>
    <row r="211" customFormat="false" ht="15.75" hidden="false" customHeight="false" outlineLevel="0" collapsed="false">
      <c r="A211" s="12"/>
      <c r="B211" s="34"/>
      <c r="C211" s="12"/>
      <c r="D211" s="12"/>
      <c r="E211" s="12"/>
      <c r="F211" s="12"/>
      <c r="G211" s="18"/>
      <c r="H211" s="35"/>
      <c r="I211" s="35"/>
      <c r="J211" s="12"/>
      <c r="O211" s="12"/>
      <c r="P211" s="18"/>
      <c r="Q211" s="12"/>
      <c r="R211" s="12"/>
      <c r="S211" s="12"/>
      <c r="T211" s="36"/>
      <c r="U211" s="36"/>
      <c r="V211" s="12"/>
      <c r="W211" s="12"/>
      <c r="X211" s="12"/>
      <c r="Y211" s="12"/>
    </row>
    <row r="212" customFormat="false" ht="15.75" hidden="false" customHeight="false" outlineLevel="0" collapsed="false">
      <c r="A212" s="12"/>
      <c r="B212" s="34"/>
      <c r="C212" s="12"/>
      <c r="D212" s="12"/>
      <c r="E212" s="12"/>
      <c r="F212" s="12"/>
      <c r="G212" s="18"/>
      <c r="H212" s="35"/>
      <c r="I212" s="35"/>
      <c r="J212" s="12"/>
      <c r="O212" s="12"/>
      <c r="P212" s="18"/>
      <c r="Q212" s="12"/>
      <c r="R212" s="12"/>
      <c r="S212" s="12"/>
      <c r="T212" s="36"/>
      <c r="U212" s="36"/>
      <c r="V212" s="12"/>
      <c r="W212" s="12"/>
      <c r="X212" s="12"/>
      <c r="Y212" s="12"/>
    </row>
    <row r="213" customFormat="false" ht="15.75" hidden="false" customHeight="false" outlineLevel="0" collapsed="false">
      <c r="A213" s="12"/>
      <c r="B213" s="34"/>
      <c r="C213" s="12"/>
      <c r="D213" s="12"/>
      <c r="E213" s="12"/>
      <c r="F213" s="12"/>
      <c r="G213" s="18"/>
      <c r="H213" s="35"/>
      <c r="I213" s="35"/>
      <c r="J213" s="12"/>
      <c r="O213" s="12"/>
      <c r="P213" s="18"/>
      <c r="Q213" s="12"/>
      <c r="R213" s="12"/>
      <c r="S213" s="12"/>
      <c r="T213" s="36"/>
      <c r="U213" s="36"/>
      <c r="V213" s="12"/>
      <c r="W213" s="12"/>
      <c r="X213" s="12"/>
      <c r="Y213" s="12"/>
    </row>
    <row r="214" customFormat="false" ht="15.75" hidden="false" customHeight="false" outlineLevel="0" collapsed="false">
      <c r="A214" s="12"/>
      <c r="B214" s="34"/>
      <c r="C214" s="12"/>
      <c r="D214" s="12"/>
      <c r="E214" s="12"/>
      <c r="F214" s="12"/>
      <c r="G214" s="18"/>
      <c r="H214" s="35"/>
      <c r="I214" s="35"/>
      <c r="J214" s="12"/>
      <c r="O214" s="12"/>
      <c r="P214" s="18"/>
      <c r="Q214" s="12"/>
      <c r="R214" s="12"/>
      <c r="S214" s="12"/>
      <c r="T214" s="36"/>
      <c r="U214" s="36"/>
      <c r="V214" s="12"/>
      <c r="W214" s="12"/>
      <c r="X214" s="12"/>
      <c r="Y214" s="12"/>
    </row>
    <row r="215" customFormat="false" ht="15.75" hidden="false" customHeight="false" outlineLevel="0" collapsed="false">
      <c r="A215" s="12"/>
      <c r="B215" s="34"/>
      <c r="C215" s="12"/>
      <c r="D215" s="12"/>
      <c r="E215" s="12"/>
      <c r="F215" s="12"/>
      <c r="G215" s="18"/>
      <c r="H215" s="35"/>
      <c r="I215" s="35"/>
      <c r="J215" s="12"/>
      <c r="O215" s="12"/>
      <c r="P215" s="18"/>
      <c r="Q215" s="12"/>
      <c r="R215" s="12"/>
      <c r="S215" s="12"/>
      <c r="T215" s="36"/>
      <c r="U215" s="36"/>
      <c r="V215" s="12"/>
      <c r="W215" s="12"/>
      <c r="X215" s="12"/>
      <c r="Y215" s="12"/>
    </row>
    <row r="216" customFormat="false" ht="15.75" hidden="false" customHeight="false" outlineLevel="0" collapsed="false">
      <c r="A216" s="12"/>
      <c r="B216" s="34"/>
      <c r="C216" s="12"/>
      <c r="D216" s="12"/>
      <c r="E216" s="12"/>
      <c r="F216" s="12"/>
      <c r="G216" s="18"/>
      <c r="H216" s="35"/>
      <c r="I216" s="35"/>
      <c r="J216" s="12"/>
      <c r="O216" s="12"/>
      <c r="P216" s="18"/>
      <c r="Q216" s="12"/>
      <c r="R216" s="12"/>
      <c r="S216" s="12"/>
      <c r="T216" s="36"/>
      <c r="U216" s="36"/>
      <c r="V216" s="12"/>
      <c r="W216" s="12"/>
      <c r="X216" s="12"/>
      <c r="Y216" s="12"/>
    </row>
    <row r="217" customFormat="false" ht="15.75" hidden="false" customHeight="false" outlineLevel="0" collapsed="false">
      <c r="A217" s="12"/>
      <c r="B217" s="34"/>
      <c r="C217" s="12"/>
      <c r="D217" s="12"/>
      <c r="E217" s="12"/>
      <c r="F217" s="12"/>
      <c r="G217" s="18"/>
      <c r="H217" s="35"/>
      <c r="I217" s="35"/>
      <c r="J217" s="12"/>
      <c r="O217" s="12"/>
      <c r="P217" s="18"/>
      <c r="Q217" s="12"/>
      <c r="R217" s="12"/>
      <c r="S217" s="12"/>
      <c r="T217" s="36"/>
      <c r="U217" s="36"/>
      <c r="V217" s="12"/>
      <c r="W217" s="12"/>
      <c r="X217" s="12"/>
      <c r="Y217" s="12"/>
    </row>
    <row r="218" customFormat="false" ht="15.75" hidden="false" customHeight="false" outlineLevel="0" collapsed="false">
      <c r="A218" s="12"/>
      <c r="B218" s="34"/>
      <c r="C218" s="12"/>
      <c r="D218" s="12"/>
      <c r="E218" s="12"/>
      <c r="F218" s="12"/>
      <c r="G218" s="18"/>
      <c r="H218" s="35"/>
      <c r="I218" s="35"/>
      <c r="J218" s="12"/>
      <c r="O218" s="12"/>
      <c r="P218" s="18"/>
      <c r="Q218" s="12"/>
      <c r="R218" s="12"/>
      <c r="S218" s="12"/>
      <c r="T218" s="36"/>
      <c r="U218" s="36"/>
      <c r="V218" s="12"/>
      <c r="W218" s="12"/>
      <c r="X218" s="12"/>
      <c r="Y218" s="12"/>
    </row>
    <row r="219" customFormat="false" ht="15.75" hidden="false" customHeight="false" outlineLevel="0" collapsed="false">
      <c r="A219" s="12"/>
      <c r="B219" s="34"/>
      <c r="C219" s="12"/>
      <c r="D219" s="12"/>
      <c r="E219" s="12"/>
      <c r="F219" s="12"/>
      <c r="G219" s="18"/>
      <c r="H219" s="35"/>
      <c r="I219" s="35"/>
      <c r="J219" s="12"/>
      <c r="O219" s="12"/>
      <c r="P219" s="18"/>
      <c r="Q219" s="12"/>
      <c r="R219" s="12"/>
      <c r="S219" s="12"/>
      <c r="T219" s="36"/>
      <c r="U219" s="36"/>
      <c r="V219" s="12"/>
      <c r="W219" s="12"/>
      <c r="X219" s="12"/>
      <c r="Y219" s="12"/>
    </row>
    <row r="220" customFormat="false" ht="15.75" hidden="false" customHeight="false" outlineLevel="0" collapsed="false">
      <c r="A220" s="12"/>
      <c r="B220" s="34"/>
      <c r="C220" s="12"/>
      <c r="D220" s="12"/>
      <c r="E220" s="12"/>
      <c r="F220" s="12"/>
      <c r="G220" s="18"/>
      <c r="H220" s="35"/>
      <c r="I220" s="35"/>
      <c r="J220" s="12"/>
      <c r="O220" s="12"/>
      <c r="P220" s="18"/>
      <c r="Q220" s="12"/>
      <c r="R220" s="12"/>
      <c r="S220" s="12"/>
      <c r="T220" s="36"/>
      <c r="U220" s="36"/>
      <c r="V220" s="12"/>
      <c r="W220" s="12"/>
      <c r="X220" s="12"/>
      <c r="Y220" s="12"/>
    </row>
    <row r="221" customFormat="false" ht="15.75" hidden="false" customHeight="false" outlineLevel="0" collapsed="false">
      <c r="A221" s="12"/>
      <c r="B221" s="34"/>
      <c r="C221" s="12"/>
      <c r="D221" s="12"/>
      <c r="E221" s="12"/>
      <c r="F221" s="12"/>
      <c r="G221" s="18"/>
      <c r="H221" s="35"/>
      <c r="I221" s="35"/>
      <c r="J221" s="12"/>
      <c r="O221" s="12"/>
      <c r="P221" s="18"/>
      <c r="Q221" s="12"/>
      <c r="R221" s="12"/>
      <c r="S221" s="12"/>
      <c r="T221" s="36"/>
      <c r="U221" s="36"/>
      <c r="V221" s="12"/>
      <c r="W221" s="12"/>
      <c r="X221" s="12"/>
      <c r="Y221" s="12"/>
    </row>
    <row r="222" customFormat="false" ht="15.75" hidden="false" customHeight="false" outlineLevel="0" collapsed="false">
      <c r="A222" s="12"/>
      <c r="B222" s="34"/>
      <c r="C222" s="12"/>
      <c r="D222" s="12"/>
      <c r="E222" s="12"/>
      <c r="F222" s="12"/>
      <c r="G222" s="18"/>
      <c r="H222" s="35"/>
      <c r="I222" s="35"/>
      <c r="J222" s="12"/>
      <c r="O222" s="12"/>
      <c r="P222" s="18"/>
      <c r="Q222" s="12"/>
      <c r="R222" s="12"/>
      <c r="S222" s="12"/>
      <c r="T222" s="36"/>
      <c r="U222" s="36"/>
      <c r="V222" s="12"/>
      <c r="W222" s="12"/>
      <c r="X222" s="12"/>
      <c r="Y222" s="12"/>
    </row>
    <row r="223" customFormat="false" ht="15.75" hidden="false" customHeight="false" outlineLevel="0" collapsed="false">
      <c r="A223" s="12"/>
      <c r="B223" s="34"/>
      <c r="C223" s="12"/>
      <c r="D223" s="12"/>
      <c r="E223" s="12"/>
      <c r="F223" s="12"/>
      <c r="G223" s="18"/>
      <c r="H223" s="35"/>
      <c r="I223" s="35"/>
      <c r="J223" s="12"/>
      <c r="O223" s="12"/>
      <c r="P223" s="18"/>
      <c r="Q223" s="12"/>
      <c r="R223" s="12"/>
      <c r="S223" s="12"/>
      <c r="T223" s="36"/>
      <c r="U223" s="36"/>
      <c r="V223" s="12"/>
      <c r="W223" s="12"/>
      <c r="X223" s="12"/>
      <c r="Y223" s="12"/>
    </row>
    <row r="224" customFormat="false" ht="15.75" hidden="false" customHeight="false" outlineLevel="0" collapsed="false">
      <c r="A224" s="12"/>
      <c r="B224" s="34"/>
      <c r="C224" s="12"/>
      <c r="D224" s="12"/>
      <c r="E224" s="12"/>
      <c r="F224" s="12"/>
      <c r="G224" s="18"/>
      <c r="H224" s="35"/>
      <c r="I224" s="35"/>
      <c r="J224" s="12"/>
      <c r="O224" s="12"/>
      <c r="P224" s="18"/>
      <c r="Q224" s="12"/>
      <c r="R224" s="12"/>
      <c r="S224" s="12"/>
      <c r="T224" s="36"/>
      <c r="U224" s="36"/>
      <c r="V224" s="12"/>
      <c r="W224" s="12"/>
      <c r="X224" s="12"/>
      <c r="Y224" s="12"/>
    </row>
    <row r="225" customFormat="false" ht="15.75" hidden="false" customHeight="false" outlineLevel="0" collapsed="false">
      <c r="A225" s="12"/>
      <c r="B225" s="34"/>
      <c r="C225" s="12"/>
      <c r="D225" s="12"/>
      <c r="E225" s="12"/>
      <c r="F225" s="12"/>
      <c r="G225" s="18"/>
      <c r="H225" s="35"/>
      <c r="I225" s="35"/>
      <c r="J225" s="12"/>
      <c r="O225" s="12"/>
      <c r="P225" s="18"/>
      <c r="Q225" s="12"/>
      <c r="R225" s="12"/>
      <c r="S225" s="12"/>
      <c r="T225" s="36"/>
      <c r="U225" s="36"/>
      <c r="V225" s="12"/>
      <c r="W225" s="12"/>
      <c r="X225" s="12"/>
      <c r="Y225" s="12"/>
    </row>
    <row r="226" customFormat="false" ht="15.75" hidden="false" customHeight="false" outlineLevel="0" collapsed="false">
      <c r="A226" s="12"/>
      <c r="B226" s="34"/>
      <c r="C226" s="12"/>
      <c r="D226" s="12"/>
      <c r="E226" s="12"/>
      <c r="F226" s="12"/>
      <c r="G226" s="18"/>
      <c r="H226" s="35"/>
      <c r="I226" s="35"/>
      <c r="J226" s="12"/>
      <c r="O226" s="12"/>
      <c r="P226" s="18"/>
      <c r="Q226" s="12"/>
      <c r="R226" s="12"/>
      <c r="S226" s="12"/>
      <c r="T226" s="36"/>
      <c r="U226" s="36"/>
      <c r="V226" s="12"/>
      <c r="W226" s="12"/>
      <c r="X226" s="12"/>
      <c r="Y226" s="12"/>
    </row>
    <row r="227" customFormat="false" ht="15.75" hidden="false" customHeight="false" outlineLevel="0" collapsed="false">
      <c r="A227" s="12"/>
      <c r="B227" s="34"/>
      <c r="C227" s="12"/>
      <c r="D227" s="12"/>
      <c r="E227" s="12"/>
      <c r="F227" s="12"/>
      <c r="G227" s="18"/>
      <c r="H227" s="35"/>
      <c r="I227" s="35"/>
      <c r="J227" s="12"/>
      <c r="O227" s="12"/>
      <c r="P227" s="18"/>
      <c r="Q227" s="12"/>
      <c r="R227" s="12"/>
      <c r="S227" s="12"/>
      <c r="T227" s="36"/>
      <c r="U227" s="36"/>
      <c r="V227" s="12"/>
      <c r="W227" s="12"/>
      <c r="X227" s="12"/>
      <c r="Y227" s="12"/>
    </row>
    <row r="228" customFormat="false" ht="15.75" hidden="false" customHeight="false" outlineLevel="0" collapsed="false">
      <c r="A228" s="12"/>
      <c r="B228" s="34"/>
      <c r="C228" s="12"/>
      <c r="D228" s="12"/>
      <c r="E228" s="12"/>
      <c r="F228" s="12"/>
      <c r="G228" s="18"/>
      <c r="H228" s="35"/>
      <c r="I228" s="35"/>
      <c r="J228" s="12"/>
      <c r="O228" s="12"/>
      <c r="P228" s="18"/>
      <c r="Q228" s="12"/>
      <c r="R228" s="12"/>
      <c r="S228" s="12"/>
      <c r="T228" s="36"/>
      <c r="U228" s="36"/>
      <c r="V228" s="12"/>
      <c r="W228" s="12"/>
      <c r="X228" s="12"/>
      <c r="Y228" s="12"/>
    </row>
    <row r="229" customFormat="false" ht="15.75" hidden="false" customHeight="false" outlineLevel="0" collapsed="false">
      <c r="A229" s="12"/>
      <c r="B229" s="34"/>
      <c r="C229" s="12"/>
      <c r="D229" s="12"/>
      <c r="E229" s="12"/>
      <c r="F229" s="12"/>
      <c r="G229" s="18"/>
      <c r="H229" s="35"/>
      <c r="I229" s="35"/>
      <c r="J229" s="12"/>
      <c r="O229" s="12"/>
      <c r="P229" s="18"/>
      <c r="Q229" s="12"/>
      <c r="R229" s="12"/>
      <c r="S229" s="12"/>
      <c r="T229" s="36"/>
      <c r="U229" s="36"/>
      <c r="V229" s="12"/>
      <c r="W229" s="12"/>
      <c r="X229" s="12"/>
      <c r="Y229" s="12"/>
    </row>
    <row r="230" customFormat="false" ht="15.75" hidden="false" customHeight="false" outlineLevel="0" collapsed="false">
      <c r="A230" s="12"/>
      <c r="B230" s="34"/>
      <c r="C230" s="12"/>
      <c r="D230" s="12"/>
      <c r="E230" s="12"/>
      <c r="F230" s="12"/>
      <c r="G230" s="18"/>
      <c r="H230" s="35"/>
      <c r="I230" s="35"/>
      <c r="J230" s="12"/>
      <c r="O230" s="12"/>
      <c r="P230" s="18"/>
      <c r="Q230" s="12"/>
      <c r="R230" s="12"/>
      <c r="S230" s="12"/>
      <c r="T230" s="36"/>
      <c r="U230" s="36"/>
      <c r="V230" s="12"/>
      <c r="W230" s="12"/>
      <c r="X230" s="12"/>
      <c r="Y230" s="12"/>
    </row>
    <row r="231" customFormat="false" ht="15.75" hidden="false" customHeight="false" outlineLevel="0" collapsed="false">
      <c r="A231" s="12"/>
      <c r="B231" s="34"/>
      <c r="C231" s="12"/>
      <c r="D231" s="12"/>
      <c r="E231" s="12"/>
      <c r="F231" s="12"/>
      <c r="G231" s="18"/>
      <c r="H231" s="35"/>
      <c r="I231" s="35"/>
      <c r="J231" s="12"/>
      <c r="O231" s="12"/>
      <c r="P231" s="18"/>
      <c r="Q231" s="12"/>
      <c r="R231" s="12"/>
      <c r="S231" s="12"/>
      <c r="T231" s="36"/>
      <c r="U231" s="36"/>
      <c r="V231" s="12"/>
      <c r="W231" s="12"/>
      <c r="X231" s="12"/>
      <c r="Y231" s="12"/>
    </row>
    <row r="232" customFormat="false" ht="15.75" hidden="false" customHeight="false" outlineLevel="0" collapsed="false">
      <c r="A232" s="12"/>
      <c r="B232" s="34"/>
      <c r="C232" s="12"/>
      <c r="D232" s="12"/>
      <c r="E232" s="12"/>
      <c r="F232" s="12"/>
      <c r="G232" s="18"/>
      <c r="H232" s="35"/>
      <c r="I232" s="35"/>
      <c r="J232" s="12"/>
      <c r="O232" s="12"/>
      <c r="P232" s="18"/>
      <c r="Q232" s="12"/>
      <c r="R232" s="12"/>
      <c r="S232" s="12"/>
      <c r="T232" s="36"/>
      <c r="U232" s="36"/>
      <c r="V232" s="12"/>
      <c r="W232" s="12"/>
      <c r="X232" s="12"/>
      <c r="Y232" s="12"/>
    </row>
    <row r="233" customFormat="false" ht="15.75" hidden="false" customHeight="false" outlineLevel="0" collapsed="false">
      <c r="A233" s="12"/>
      <c r="B233" s="34"/>
      <c r="C233" s="12"/>
      <c r="D233" s="12"/>
      <c r="E233" s="12"/>
      <c r="F233" s="12"/>
      <c r="G233" s="18"/>
      <c r="H233" s="35"/>
      <c r="I233" s="35"/>
      <c r="J233" s="12"/>
      <c r="O233" s="12"/>
      <c r="P233" s="18"/>
      <c r="Q233" s="12"/>
      <c r="R233" s="12"/>
      <c r="S233" s="12"/>
      <c r="T233" s="36"/>
      <c r="U233" s="36"/>
      <c r="V233" s="12"/>
      <c r="W233" s="12"/>
      <c r="X233" s="12"/>
      <c r="Y233" s="12"/>
    </row>
    <row r="234" customFormat="false" ht="15.75" hidden="false" customHeight="false" outlineLevel="0" collapsed="false">
      <c r="A234" s="12"/>
      <c r="B234" s="34"/>
      <c r="C234" s="12"/>
      <c r="D234" s="12"/>
      <c r="E234" s="12"/>
      <c r="F234" s="12"/>
      <c r="G234" s="18"/>
      <c r="H234" s="35"/>
      <c r="I234" s="35"/>
      <c r="J234" s="12"/>
      <c r="O234" s="12"/>
      <c r="P234" s="18"/>
      <c r="Q234" s="12"/>
      <c r="R234" s="12"/>
      <c r="S234" s="12"/>
      <c r="T234" s="36"/>
      <c r="U234" s="36"/>
      <c r="V234" s="12"/>
      <c r="W234" s="12"/>
      <c r="X234" s="12"/>
      <c r="Y234" s="12"/>
    </row>
    <row r="235" customFormat="false" ht="15.75" hidden="false" customHeight="false" outlineLevel="0" collapsed="false">
      <c r="A235" s="12"/>
      <c r="B235" s="34"/>
      <c r="C235" s="12"/>
      <c r="D235" s="12"/>
      <c r="E235" s="12"/>
      <c r="F235" s="12"/>
      <c r="G235" s="18"/>
      <c r="H235" s="35"/>
      <c r="I235" s="35"/>
      <c r="J235" s="12"/>
      <c r="O235" s="12"/>
      <c r="P235" s="18"/>
      <c r="Q235" s="12"/>
      <c r="R235" s="12"/>
      <c r="S235" s="12"/>
      <c r="T235" s="36"/>
      <c r="U235" s="36"/>
      <c r="V235" s="12"/>
      <c r="W235" s="12"/>
      <c r="X235" s="12"/>
      <c r="Y235" s="12"/>
    </row>
    <row r="236" customFormat="false" ht="15.75" hidden="false" customHeight="false" outlineLevel="0" collapsed="false">
      <c r="A236" s="12"/>
      <c r="B236" s="34"/>
      <c r="C236" s="12"/>
      <c r="D236" s="12"/>
      <c r="E236" s="12"/>
      <c r="F236" s="12"/>
      <c r="G236" s="18"/>
      <c r="H236" s="35"/>
      <c r="I236" s="35"/>
      <c r="J236" s="12"/>
      <c r="O236" s="12"/>
      <c r="P236" s="18"/>
      <c r="Q236" s="12"/>
      <c r="R236" s="12"/>
      <c r="S236" s="12"/>
      <c r="T236" s="36"/>
      <c r="U236" s="36"/>
      <c r="V236" s="12"/>
      <c r="W236" s="12"/>
      <c r="X236" s="12"/>
      <c r="Y236" s="12"/>
    </row>
    <row r="237" customFormat="false" ht="15.75" hidden="false" customHeight="false" outlineLevel="0" collapsed="false">
      <c r="A237" s="12"/>
      <c r="B237" s="34"/>
      <c r="C237" s="12"/>
      <c r="D237" s="12"/>
      <c r="E237" s="12"/>
      <c r="F237" s="12"/>
      <c r="G237" s="18"/>
      <c r="H237" s="35"/>
      <c r="I237" s="35"/>
      <c r="J237" s="12"/>
      <c r="O237" s="12"/>
      <c r="P237" s="18"/>
      <c r="Q237" s="12"/>
      <c r="R237" s="12"/>
      <c r="S237" s="12"/>
      <c r="T237" s="36"/>
      <c r="U237" s="36"/>
      <c r="V237" s="12"/>
      <c r="W237" s="12"/>
      <c r="X237" s="12"/>
      <c r="Y237" s="12"/>
    </row>
    <row r="238" customFormat="false" ht="15.75" hidden="false" customHeight="false" outlineLevel="0" collapsed="false">
      <c r="A238" s="12"/>
      <c r="B238" s="34"/>
      <c r="C238" s="12"/>
      <c r="D238" s="12"/>
      <c r="E238" s="12"/>
      <c r="F238" s="12"/>
      <c r="G238" s="18"/>
      <c r="H238" s="35"/>
      <c r="I238" s="35"/>
      <c r="J238" s="12"/>
      <c r="O238" s="12"/>
      <c r="P238" s="18"/>
      <c r="Q238" s="12"/>
      <c r="R238" s="12"/>
      <c r="S238" s="12"/>
      <c r="T238" s="36"/>
      <c r="U238" s="36"/>
      <c r="V238" s="12"/>
      <c r="W238" s="12"/>
      <c r="X238" s="12"/>
      <c r="Y238" s="12"/>
    </row>
    <row r="239" customFormat="false" ht="15.75" hidden="false" customHeight="false" outlineLevel="0" collapsed="false">
      <c r="A239" s="12"/>
      <c r="B239" s="34"/>
      <c r="C239" s="12"/>
      <c r="D239" s="12"/>
      <c r="E239" s="12"/>
      <c r="F239" s="12"/>
      <c r="G239" s="18"/>
      <c r="H239" s="35"/>
      <c r="I239" s="35"/>
      <c r="J239" s="12"/>
      <c r="O239" s="12"/>
      <c r="P239" s="18"/>
      <c r="Q239" s="12"/>
      <c r="R239" s="12"/>
      <c r="S239" s="12"/>
      <c r="T239" s="36"/>
      <c r="U239" s="36"/>
      <c r="V239" s="12"/>
      <c r="W239" s="12"/>
      <c r="X239" s="12"/>
      <c r="Y239" s="12"/>
    </row>
    <row r="240" customFormat="false" ht="15.75" hidden="false" customHeight="false" outlineLevel="0" collapsed="false">
      <c r="A240" s="12"/>
      <c r="B240" s="34"/>
      <c r="C240" s="12"/>
      <c r="D240" s="12"/>
      <c r="E240" s="12"/>
      <c r="F240" s="12"/>
      <c r="G240" s="18"/>
      <c r="H240" s="35"/>
      <c r="I240" s="35"/>
      <c r="J240" s="12"/>
      <c r="O240" s="12"/>
      <c r="P240" s="18"/>
      <c r="Q240" s="12"/>
      <c r="R240" s="12"/>
      <c r="S240" s="12"/>
      <c r="T240" s="36"/>
      <c r="U240" s="36"/>
      <c r="V240" s="12"/>
      <c r="W240" s="12"/>
      <c r="X240" s="12"/>
      <c r="Y240" s="12"/>
    </row>
    <row r="241" customFormat="false" ht="15.75" hidden="false" customHeight="false" outlineLevel="0" collapsed="false">
      <c r="A241" s="12"/>
      <c r="B241" s="34"/>
      <c r="C241" s="12"/>
      <c r="D241" s="12"/>
      <c r="E241" s="12"/>
      <c r="F241" s="12"/>
      <c r="G241" s="18"/>
      <c r="H241" s="35"/>
      <c r="I241" s="35"/>
      <c r="J241" s="12"/>
      <c r="O241" s="12"/>
      <c r="P241" s="18"/>
      <c r="Q241" s="12"/>
      <c r="R241" s="12"/>
      <c r="S241" s="12"/>
      <c r="T241" s="36"/>
      <c r="U241" s="36"/>
      <c r="V241" s="12"/>
      <c r="W241" s="12"/>
      <c r="X241" s="12"/>
      <c r="Y241" s="12"/>
    </row>
    <row r="242" customFormat="false" ht="15.75" hidden="false" customHeight="false" outlineLevel="0" collapsed="false">
      <c r="A242" s="12"/>
      <c r="B242" s="34"/>
      <c r="C242" s="12"/>
      <c r="D242" s="12"/>
      <c r="E242" s="12"/>
      <c r="F242" s="12"/>
      <c r="G242" s="18"/>
      <c r="H242" s="35"/>
      <c r="I242" s="35"/>
      <c r="J242" s="12"/>
      <c r="O242" s="12"/>
      <c r="P242" s="18"/>
      <c r="Q242" s="12"/>
      <c r="R242" s="12"/>
      <c r="S242" s="12"/>
      <c r="T242" s="36"/>
      <c r="U242" s="36"/>
      <c r="V242" s="12"/>
      <c r="W242" s="12"/>
      <c r="X242" s="12"/>
      <c r="Y242" s="12"/>
    </row>
    <row r="243" customFormat="false" ht="15.75" hidden="false" customHeight="false" outlineLevel="0" collapsed="false">
      <c r="A243" s="12"/>
      <c r="B243" s="34"/>
      <c r="C243" s="12"/>
      <c r="D243" s="12"/>
      <c r="E243" s="12"/>
      <c r="F243" s="12"/>
      <c r="G243" s="18"/>
      <c r="H243" s="35"/>
      <c r="I243" s="35"/>
      <c r="J243" s="12"/>
      <c r="O243" s="12"/>
      <c r="P243" s="18"/>
      <c r="Q243" s="12"/>
      <c r="R243" s="12"/>
      <c r="S243" s="12"/>
      <c r="T243" s="36"/>
      <c r="U243" s="36"/>
      <c r="V243" s="12"/>
      <c r="W243" s="12"/>
      <c r="X243" s="12"/>
      <c r="Y243" s="12"/>
    </row>
    <row r="244" customFormat="false" ht="15.75" hidden="false" customHeight="false" outlineLevel="0" collapsed="false">
      <c r="A244" s="12"/>
      <c r="B244" s="34"/>
      <c r="C244" s="12"/>
      <c r="D244" s="12"/>
      <c r="E244" s="12"/>
      <c r="F244" s="12"/>
      <c r="G244" s="18"/>
      <c r="H244" s="35"/>
      <c r="I244" s="35"/>
      <c r="J244" s="12"/>
      <c r="O244" s="12"/>
      <c r="P244" s="18"/>
      <c r="Q244" s="12"/>
      <c r="R244" s="12"/>
      <c r="S244" s="12"/>
      <c r="T244" s="36"/>
      <c r="U244" s="36"/>
      <c r="V244" s="12"/>
      <c r="W244" s="12"/>
      <c r="X244" s="12"/>
      <c r="Y244" s="12"/>
    </row>
    <row r="245" customFormat="false" ht="15.75" hidden="false" customHeight="false" outlineLevel="0" collapsed="false">
      <c r="A245" s="12"/>
      <c r="B245" s="34"/>
      <c r="C245" s="12"/>
      <c r="D245" s="12"/>
      <c r="E245" s="12"/>
      <c r="F245" s="12"/>
      <c r="G245" s="18"/>
      <c r="H245" s="35"/>
      <c r="I245" s="35"/>
      <c r="J245" s="12"/>
      <c r="O245" s="12"/>
      <c r="P245" s="18"/>
      <c r="Q245" s="12"/>
      <c r="R245" s="12"/>
      <c r="S245" s="12"/>
      <c r="T245" s="36"/>
      <c r="U245" s="36"/>
      <c r="V245" s="12"/>
      <c r="W245" s="12"/>
      <c r="X245" s="12"/>
      <c r="Y245" s="12"/>
    </row>
    <row r="246" customFormat="false" ht="15.75" hidden="false" customHeight="false" outlineLevel="0" collapsed="false">
      <c r="A246" s="12"/>
      <c r="B246" s="34"/>
      <c r="C246" s="12"/>
      <c r="D246" s="12"/>
      <c r="E246" s="12"/>
      <c r="F246" s="12"/>
      <c r="G246" s="18"/>
      <c r="H246" s="35"/>
      <c r="I246" s="35"/>
      <c r="J246" s="12"/>
      <c r="O246" s="12"/>
      <c r="P246" s="18"/>
      <c r="Q246" s="12"/>
      <c r="R246" s="12"/>
      <c r="S246" s="12"/>
      <c r="T246" s="36"/>
      <c r="U246" s="36"/>
      <c r="V246" s="12"/>
      <c r="W246" s="12"/>
      <c r="X246" s="12"/>
      <c r="Y246" s="12"/>
    </row>
    <row r="247" customFormat="false" ht="15.75" hidden="false" customHeight="false" outlineLevel="0" collapsed="false">
      <c r="A247" s="12"/>
      <c r="B247" s="34"/>
      <c r="C247" s="12"/>
      <c r="D247" s="12"/>
      <c r="E247" s="12"/>
      <c r="F247" s="12"/>
      <c r="G247" s="18"/>
      <c r="H247" s="35"/>
      <c r="I247" s="35"/>
      <c r="J247" s="12"/>
      <c r="O247" s="12"/>
      <c r="P247" s="18"/>
      <c r="Q247" s="12"/>
      <c r="R247" s="12"/>
      <c r="S247" s="12"/>
      <c r="T247" s="36"/>
      <c r="U247" s="36"/>
      <c r="V247" s="12"/>
      <c r="W247" s="12"/>
      <c r="X247" s="12"/>
      <c r="Y247" s="12"/>
    </row>
    <row r="248" customFormat="false" ht="15.75" hidden="false" customHeight="false" outlineLevel="0" collapsed="false">
      <c r="A248" s="12"/>
      <c r="B248" s="34"/>
      <c r="C248" s="12"/>
      <c r="D248" s="12"/>
      <c r="E248" s="12"/>
      <c r="F248" s="12"/>
      <c r="G248" s="18"/>
      <c r="H248" s="35"/>
      <c r="I248" s="35"/>
      <c r="J248" s="12"/>
      <c r="O248" s="12"/>
      <c r="P248" s="18"/>
      <c r="Q248" s="12"/>
      <c r="R248" s="12"/>
      <c r="S248" s="12"/>
      <c r="T248" s="36"/>
      <c r="U248" s="36"/>
      <c r="V248" s="12"/>
      <c r="W248" s="12"/>
      <c r="X248" s="12"/>
      <c r="Y248" s="12"/>
    </row>
    <row r="249" customFormat="false" ht="15.75" hidden="false" customHeight="false" outlineLevel="0" collapsed="false">
      <c r="A249" s="12"/>
      <c r="B249" s="34"/>
      <c r="C249" s="12"/>
      <c r="D249" s="12"/>
      <c r="E249" s="12"/>
      <c r="F249" s="12"/>
      <c r="G249" s="18"/>
      <c r="H249" s="35"/>
      <c r="I249" s="35"/>
      <c r="J249" s="12"/>
      <c r="O249" s="12"/>
      <c r="P249" s="18"/>
      <c r="Q249" s="12"/>
      <c r="R249" s="12"/>
      <c r="S249" s="12"/>
      <c r="T249" s="36"/>
      <c r="U249" s="36"/>
      <c r="V249" s="12"/>
      <c r="W249" s="12"/>
      <c r="X249" s="12"/>
      <c r="Y249" s="12"/>
    </row>
    <row r="250" customFormat="false" ht="15.75" hidden="false" customHeight="false" outlineLevel="0" collapsed="false">
      <c r="A250" s="12"/>
      <c r="B250" s="34"/>
      <c r="C250" s="12"/>
      <c r="D250" s="12"/>
      <c r="E250" s="12"/>
      <c r="F250" s="12"/>
      <c r="G250" s="18"/>
      <c r="H250" s="35"/>
      <c r="I250" s="35"/>
      <c r="J250" s="12"/>
      <c r="O250" s="12"/>
      <c r="P250" s="18"/>
      <c r="Q250" s="12"/>
      <c r="R250" s="12"/>
      <c r="S250" s="12"/>
      <c r="T250" s="36"/>
      <c r="U250" s="36"/>
      <c r="V250" s="12"/>
      <c r="W250" s="12"/>
      <c r="X250" s="12"/>
      <c r="Y250" s="12"/>
    </row>
    <row r="251" customFormat="false" ht="15.75" hidden="false" customHeight="false" outlineLevel="0" collapsed="false">
      <c r="A251" s="12"/>
      <c r="B251" s="34"/>
      <c r="C251" s="12"/>
      <c r="D251" s="12"/>
      <c r="E251" s="12"/>
      <c r="F251" s="12"/>
      <c r="G251" s="18"/>
      <c r="H251" s="35"/>
      <c r="I251" s="35"/>
      <c r="J251" s="12"/>
      <c r="O251" s="12"/>
      <c r="P251" s="18"/>
      <c r="Q251" s="12"/>
      <c r="R251" s="12"/>
      <c r="S251" s="12"/>
      <c r="T251" s="36"/>
      <c r="U251" s="36"/>
      <c r="V251" s="12"/>
      <c r="W251" s="12"/>
      <c r="X251" s="12"/>
      <c r="Y251" s="12"/>
    </row>
    <row r="252" customFormat="false" ht="15.75" hidden="false" customHeight="false" outlineLevel="0" collapsed="false">
      <c r="A252" s="12"/>
      <c r="B252" s="34"/>
      <c r="C252" s="12"/>
      <c r="D252" s="12"/>
      <c r="E252" s="12"/>
      <c r="F252" s="12"/>
      <c r="G252" s="18"/>
      <c r="H252" s="35"/>
      <c r="I252" s="35"/>
      <c r="J252" s="12"/>
      <c r="O252" s="12"/>
      <c r="P252" s="18"/>
      <c r="Q252" s="12"/>
      <c r="R252" s="12"/>
      <c r="S252" s="12"/>
      <c r="T252" s="36"/>
      <c r="U252" s="36"/>
      <c r="V252" s="12"/>
      <c r="W252" s="12"/>
      <c r="X252" s="12"/>
      <c r="Y252" s="12"/>
    </row>
    <row r="253" customFormat="false" ht="15.75" hidden="false" customHeight="false" outlineLevel="0" collapsed="false">
      <c r="A253" s="12"/>
      <c r="B253" s="34"/>
      <c r="C253" s="12"/>
      <c r="D253" s="12"/>
      <c r="E253" s="12"/>
      <c r="F253" s="12"/>
      <c r="G253" s="18"/>
      <c r="H253" s="35"/>
      <c r="I253" s="35"/>
      <c r="J253" s="12"/>
      <c r="O253" s="12"/>
      <c r="P253" s="18"/>
      <c r="Q253" s="12"/>
      <c r="R253" s="12"/>
      <c r="S253" s="12"/>
      <c r="T253" s="36"/>
      <c r="U253" s="36"/>
      <c r="V253" s="12"/>
      <c r="W253" s="12"/>
      <c r="X253" s="12"/>
      <c r="Y253" s="12"/>
    </row>
    <row r="254" customFormat="false" ht="15.75" hidden="false" customHeight="false" outlineLevel="0" collapsed="false">
      <c r="A254" s="12"/>
      <c r="B254" s="34"/>
      <c r="C254" s="12"/>
      <c r="D254" s="12"/>
      <c r="E254" s="12"/>
      <c r="F254" s="12"/>
      <c r="G254" s="18"/>
      <c r="H254" s="35"/>
      <c r="I254" s="35"/>
      <c r="J254" s="12"/>
      <c r="O254" s="12"/>
      <c r="P254" s="18"/>
      <c r="Q254" s="12"/>
      <c r="R254" s="12"/>
      <c r="S254" s="12"/>
      <c r="T254" s="36"/>
      <c r="U254" s="36"/>
      <c r="V254" s="12"/>
      <c r="W254" s="12"/>
      <c r="X254" s="12"/>
      <c r="Y254" s="12"/>
    </row>
    <row r="255" customFormat="false" ht="15.75" hidden="false" customHeight="false" outlineLevel="0" collapsed="false">
      <c r="A255" s="12"/>
      <c r="B255" s="34"/>
      <c r="C255" s="12"/>
      <c r="D255" s="12"/>
      <c r="E255" s="12"/>
      <c r="F255" s="12"/>
      <c r="G255" s="18"/>
      <c r="H255" s="35"/>
      <c r="I255" s="35"/>
      <c r="J255" s="12"/>
      <c r="O255" s="12"/>
      <c r="P255" s="18"/>
      <c r="Q255" s="12"/>
      <c r="R255" s="12"/>
      <c r="S255" s="12"/>
      <c r="T255" s="36"/>
      <c r="U255" s="36"/>
      <c r="V255" s="12"/>
      <c r="W255" s="12"/>
      <c r="X255" s="12"/>
      <c r="Y255" s="12"/>
    </row>
    <row r="256" customFormat="false" ht="15.75" hidden="false" customHeight="false" outlineLevel="0" collapsed="false">
      <c r="A256" s="12"/>
      <c r="B256" s="34"/>
      <c r="C256" s="12"/>
      <c r="D256" s="12"/>
      <c r="E256" s="12"/>
      <c r="F256" s="12"/>
      <c r="G256" s="18"/>
      <c r="H256" s="35"/>
      <c r="I256" s="35"/>
      <c r="J256" s="12"/>
      <c r="O256" s="12"/>
      <c r="P256" s="18"/>
      <c r="Q256" s="12"/>
      <c r="R256" s="12"/>
      <c r="S256" s="12"/>
      <c r="T256" s="36"/>
      <c r="U256" s="36"/>
      <c r="V256" s="12"/>
      <c r="W256" s="12"/>
      <c r="X256" s="12"/>
      <c r="Y256" s="12"/>
    </row>
    <row r="257" customFormat="false" ht="15.75" hidden="false" customHeight="false" outlineLevel="0" collapsed="false">
      <c r="A257" s="12"/>
      <c r="B257" s="34"/>
      <c r="C257" s="12"/>
      <c r="D257" s="12"/>
      <c r="E257" s="12"/>
      <c r="F257" s="12"/>
      <c r="G257" s="18"/>
      <c r="H257" s="35"/>
      <c r="I257" s="35"/>
      <c r="J257" s="12"/>
      <c r="O257" s="12"/>
      <c r="P257" s="18"/>
      <c r="Q257" s="12"/>
      <c r="R257" s="12"/>
      <c r="S257" s="12"/>
      <c r="T257" s="36"/>
      <c r="U257" s="36"/>
      <c r="V257" s="12"/>
      <c r="W257" s="12"/>
      <c r="X257" s="12"/>
      <c r="Y257" s="12"/>
    </row>
    <row r="258" customFormat="false" ht="15.75" hidden="false" customHeight="false" outlineLevel="0" collapsed="false">
      <c r="A258" s="12"/>
      <c r="B258" s="34"/>
      <c r="C258" s="12"/>
      <c r="D258" s="12"/>
      <c r="E258" s="12"/>
      <c r="F258" s="12"/>
      <c r="G258" s="18"/>
      <c r="H258" s="35"/>
      <c r="I258" s="35"/>
      <c r="J258" s="12"/>
      <c r="O258" s="12"/>
      <c r="P258" s="18"/>
      <c r="Q258" s="12"/>
      <c r="R258" s="12"/>
      <c r="S258" s="12"/>
      <c r="T258" s="36"/>
      <c r="U258" s="36"/>
      <c r="V258" s="12"/>
      <c r="W258" s="12"/>
      <c r="X258" s="12"/>
      <c r="Y258" s="12"/>
    </row>
    <row r="259" customFormat="false" ht="15.75" hidden="false" customHeight="false" outlineLevel="0" collapsed="false">
      <c r="A259" s="12"/>
      <c r="B259" s="34"/>
      <c r="C259" s="12"/>
      <c r="D259" s="12"/>
      <c r="E259" s="12"/>
      <c r="F259" s="12"/>
      <c r="G259" s="18"/>
      <c r="H259" s="35"/>
      <c r="I259" s="35"/>
      <c r="J259" s="12"/>
      <c r="O259" s="12"/>
      <c r="P259" s="18"/>
      <c r="Q259" s="12"/>
      <c r="R259" s="12"/>
      <c r="S259" s="12"/>
      <c r="T259" s="36"/>
      <c r="U259" s="36"/>
      <c r="V259" s="12"/>
      <c r="W259" s="12"/>
      <c r="X259" s="12"/>
      <c r="Y259" s="12"/>
    </row>
    <row r="260" customFormat="false" ht="15.75" hidden="false" customHeight="false" outlineLevel="0" collapsed="false">
      <c r="A260" s="12"/>
      <c r="B260" s="34"/>
      <c r="C260" s="12"/>
      <c r="D260" s="12"/>
      <c r="E260" s="12"/>
      <c r="F260" s="12"/>
      <c r="G260" s="18"/>
      <c r="H260" s="35"/>
      <c r="I260" s="35"/>
      <c r="J260" s="12"/>
      <c r="O260" s="12"/>
      <c r="P260" s="18"/>
      <c r="Q260" s="12"/>
      <c r="R260" s="12"/>
      <c r="S260" s="12"/>
      <c r="T260" s="36"/>
      <c r="U260" s="36"/>
      <c r="V260" s="12"/>
      <c r="W260" s="12"/>
      <c r="X260" s="12"/>
      <c r="Y260" s="12"/>
    </row>
    <row r="261" customFormat="false" ht="15.75" hidden="false" customHeight="false" outlineLevel="0" collapsed="false">
      <c r="A261" s="12"/>
      <c r="B261" s="34"/>
      <c r="C261" s="12"/>
      <c r="D261" s="12"/>
      <c r="E261" s="12"/>
      <c r="F261" s="12"/>
      <c r="G261" s="18"/>
      <c r="H261" s="35"/>
      <c r="I261" s="35"/>
      <c r="J261" s="12"/>
      <c r="O261" s="12"/>
      <c r="P261" s="18"/>
      <c r="Q261" s="12"/>
      <c r="R261" s="12"/>
      <c r="S261" s="12"/>
      <c r="T261" s="36"/>
      <c r="U261" s="36"/>
      <c r="V261" s="12"/>
      <c r="W261" s="12"/>
      <c r="X261" s="12"/>
      <c r="Y261" s="12"/>
    </row>
    <row r="262" customFormat="false" ht="15.75" hidden="false" customHeight="false" outlineLevel="0" collapsed="false">
      <c r="A262" s="12"/>
      <c r="B262" s="34"/>
      <c r="C262" s="12"/>
      <c r="D262" s="12"/>
      <c r="E262" s="12"/>
      <c r="F262" s="12"/>
      <c r="G262" s="18"/>
      <c r="H262" s="35"/>
      <c r="I262" s="35"/>
      <c r="J262" s="12"/>
      <c r="O262" s="12"/>
      <c r="P262" s="18"/>
      <c r="Q262" s="12"/>
      <c r="R262" s="12"/>
      <c r="S262" s="12"/>
      <c r="T262" s="36"/>
      <c r="U262" s="36"/>
      <c r="V262" s="12"/>
      <c r="W262" s="12"/>
      <c r="X262" s="12"/>
      <c r="Y262" s="12"/>
    </row>
    <row r="263" customFormat="false" ht="15.75" hidden="false" customHeight="false" outlineLevel="0" collapsed="false">
      <c r="A263" s="12"/>
      <c r="B263" s="34"/>
      <c r="C263" s="12"/>
      <c r="D263" s="12"/>
      <c r="E263" s="12"/>
      <c r="F263" s="12"/>
      <c r="G263" s="18"/>
      <c r="H263" s="35"/>
      <c r="I263" s="35"/>
      <c r="J263" s="12"/>
      <c r="O263" s="12"/>
      <c r="P263" s="18"/>
      <c r="Q263" s="12"/>
      <c r="R263" s="12"/>
      <c r="S263" s="12"/>
      <c r="T263" s="36"/>
      <c r="U263" s="36"/>
      <c r="V263" s="12"/>
      <c r="W263" s="12"/>
      <c r="X263" s="12"/>
      <c r="Y263" s="12"/>
    </row>
    <row r="264" customFormat="false" ht="15.75" hidden="false" customHeight="false" outlineLevel="0" collapsed="false">
      <c r="A264" s="12"/>
      <c r="B264" s="34"/>
      <c r="C264" s="12"/>
      <c r="D264" s="12"/>
      <c r="E264" s="12"/>
      <c r="F264" s="12"/>
      <c r="G264" s="18"/>
      <c r="H264" s="35"/>
      <c r="I264" s="35"/>
      <c r="J264" s="12"/>
      <c r="O264" s="12"/>
      <c r="P264" s="18"/>
      <c r="Q264" s="12"/>
      <c r="R264" s="12"/>
      <c r="S264" s="12"/>
      <c r="T264" s="36"/>
      <c r="U264" s="36"/>
      <c r="V264" s="12"/>
      <c r="W264" s="12"/>
      <c r="X264" s="12"/>
      <c r="Y264" s="12"/>
    </row>
    <row r="265" customFormat="false" ht="15.75" hidden="false" customHeight="false" outlineLevel="0" collapsed="false">
      <c r="A265" s="12"/>
      <c r="B265" s="34"/>
      <c r="C265" s="12"/>
      <c r="D265" s="12"/>
      <c r="E265" s="12"/>
      <c r="F265" s="12"/>
      <c r="G265" s="18"/>
      <c r="H265" s="35"/>
      <c r="I265" s="35"/>
      <c r="J265" s="12"/>
      <c r="O265" s="12"/>
      <c r="P265" s="18"/>
      <c r="Q265" s="12"/>
      <c r="R265" s="12"/>
      <c r="S265" s="12"/>
      <c r="T265" s="36"/>
      <c r="U265" s="36"/>
      <c r="V265" s="12"/>
      <c r="W265" s="12"/>
      <c r="X265" s="12"/>
      <c r="Y265" s="12"/>
    </row>
    <row r="266" customFormat="false" ht="15.75" hidden="false" customHeight="false" outlineLevel="0" collapsed="false">
      <c r="A266" s="12"/>
      <c r="B266" s="34"/>
      <c r="C266" s="12"/>
      <c r="D266" s="12"/>
      <c r="E266" s="12"/>
      <c r="F266" s="12"/>
      <c r="G266" s="18"/>
      <c r="H266" s="35"/>
      <c r="I266" s="35"/>
      <c r="J266" s="12"/>
      <c r="O266" s="12"/>
      <c r="P266" s="18"/>
      <c r="Q266" s="12"/>
      <c r="R266" s="12"/>
      <c r="S266" s="12"/>
      <c r="T266" s="36"/>
      <c r="U266" s="36"/>
      <c r="V266" s="12"/>
      <c r="W266" s="12"/>
      <c r="X266" s="12"/>
      <c r="Y266" s="12"/>
    </row>
    <row r="267" customFormat="false" ht="15.75" hidden="false" customHeight="false" outlineLevel="0" collapsed="false">
      <c r="A267" s="12"/>
      <c r="B267" s="34"/>
      <c r="C267" s="12"/>
      <c r="D267" s="12"/>
      <c r="E267" s="12"/>
      <c r="F267" s="12"/>
      <c r="G267" s="18"/>
      <c r="H267" s="35"/>
      <c r="I267" s="35"/>
      <c r="J267" s="12"/>
      <c r="O267" s="12"/>
      <c r="P267" s="18"/>
      <c r="Q267" s="12"/>
      <c r="R267" s="12"/>
      <c r="S267" s="12"/>
      <c r="T267" s="36"/>
      <c r="U267" s="36"/>
      <c r="V267" s="12"/>
      <c r="W267" s="12"/>
      <c r="X267" s="12"/>
      <c r="Y267" s="12"/>
    </row>
    <row r="268" customFormat="false" ht="15.75" hidden="false" customHeight="false" outlineLevel="0" collapsed="false">
      <c r="A268" s="12"/>
      <c r="B268" s="34"/>
      <c r="C268" s="12"/>
      <c r="D268" s="12"/>
      <c r="E268" s="12"/>
      <c r="F268" s="12"/>
      <c r="G268" s="18"/>
      <c r="H268" s="35"/>
      <c r="I268" s="35"/>
      <c r="J268" s="12"/>
      <c r="O268" s="12"/>
      <c r="P268" s="18"/>
      <c r="Q268" s="12"/>
      <c r="R268" s="12"/>
      <c r="S268" s="12"/>
      <c r="T268" s="36"/>
      <c r="U268" s="36"/>
      <c r="V268" s="12"/>
      <c r="W268" s="12"/>
      <c r="X268" s="12"/>
      <c r="Y268" s="12"/>
    </row>
    <row r="269" customFormat="false" ht="15.75" hidden="false" customHeight="false" outlineLevel="0" collapsed="false">
      <c r="A269" s="12"/>
      <c r="B269" s="34"/>
      <c r="C269" s="12"/>
      <c r="D269" s="12"/>
      <c r="E269" s="12"/>
      <c r="F269" s="12"/>
      <c r="G269" s="18"/>
      <c r="H269" s="35"/>
      <c r="I269" s="35"/>
      <c r="J269" s="12"/>
      <c r="O269" s="12"/>
      <c r="P269" s="18"/>
      <c r="Q269" s="12"/>
      <c r="R269" s="12"/>
      <c r="S269" s="12"/>
      <c r="T269" s="36"/>
      <c r="U269" s="36"/>
      <c r="V269" s="12"/>
      <c r="W269" s="12"/>
      <c r="X269" s="12"/>
      <c r="Y269" s="12"/>
    </row>
    <row r="270" customFormat="false" ht="15.75" hidden="false" customHeight="false" outlineLevel="0" collapsed="false">
      <c r="A270" s="12"/>
      <c r="B270" s="34"/>
      <c r="C270" s="12"/>
      <c r="D270" s="12"/>
      <c r="E270" s="12"/>
      <c r="F270" s="12"/>
      <c r="G270" s="18"/>
      <c r="H270" s="35"/>
      <c r="I270" s="35"/>
      <c r="J270" s="12"/>
      <c r="O270" s="12"/>
      <c r="P270" s="18"/>
      <c r="Q270" s="12"/>
      <c r="R270" s="12"/>
      <c r="S270" s="12"/>
      <c r="T270" s="36"/>
      <c r="U270" s="36"/>
      <c r="V270" s="12"/>
      <c r="W270" s="12"/>
      <c r="X270" s="12"/>
      <c r="Y270" s="12"/>
    </row>
    <row r="271" customFormat="false" ht="15.75" hidden="false" customHeight="false" outlineLevel="0" collapsed="false">
      <c r="A271" s="12"/>
      <c r="B271" s="34"/>
      <c r="C271" s="12"/>
      <c r="D271" s="12"/>
      <c r="E271" s="12"/>
      <c r="F271" s="12"/>
      <c r="G271" s="18"/>
      <c r="H271" s="35"/>
      <c r="I271" s="35"/>
      <c r="J271" s="12"/>
      <c r="O271" s="12"/>
      <c r="P271" s="18"/>
      <c r="Q271" s="12"/>
      <c r="R271" s="12"/>
      <c r="S271" s="12"/>
      <c r="T271" s="36"/>
      <c r="U271" s="36"/>
      <c r="V271" s="12"/>
      <c r="W271" s="12"/>
      <c r="X271" s="12"/>
      <c r="Y271" s="12"/>
    </row>
    <row r="272" customFormat="false" ht="15.75" hidden="false" customHeight="false" outlineLevel="0" collapsed="false">
      <c r="A272" s="12"/>
      <c r="B272" s="34"/>
      <c r="C272" s="12"/>
      <c r="D272" s="12"/>
      <c r="E272" s="12"/>
      <c r="F272" s="12"/>
      <c r="G272" s="18"/>
      <c r="H272" s="35"/>
      <c r="I272" s="35"/>
      <c r="J272" s="12"/>
      <c r="O272" s="12"/>
      <c r="P272" s="18"/>
      <c r="Q272" s="12"/>
      <c r="R272" s="12"/>
      <c r="S272" s="12"/>
      <c r="T272" s="36"/>
      <c r="U272" s="36"/>
      <c r="V272" s="12"/>
      <c r="W272" s="12"/>
      <c r="X272" s="12"/>
      <c r="Y272" s="12"/>
    </row>
    <row r="273" customFormat="false" ht="15.75" hidden="false" customHeight="false" outlineLevel="0" collapsed="false">
      <c r="A273" s="12"/>
      <c r="B273" s="34"/>
      <c r="C273" s="12"/>
      <c r="D273" s="12"/>
      <c r="E273" s="12"/>
      <c r="F273" s="12"/>
      <c r="G273" s="18"/>
      <c r="H273" s="35"/>
      <c r="I273" s="35"/>
      <c r="J273" s="12"/>
      <c r="O273" s="12"/>
      <c r="P273" s="18"/>
      <c r="Q273" s="12"/>
      <c r="R273" s="12"/>
      <c r="S273" s="12"/>
      <c r="T273" s="36"/>
      <c r="U273" s="36"/>
      <c r="V273" s="12"/>
      <c r="W273" s="12"/>
      <c r="X273" s="12"/>
      <c r="Y273" s="12"/>
    </row>
    <row r="274" customFormat="false" ht="15.75" hidden="false" customHeight="false" outlineLevel="0" collapsed="false">
      <c r="A274" s="12"/>
      <c r="B274" s="34"/>
      <c r="C274" s="12"/>
      <c r="D274" s="12"/>
      <c r="E274" s="12"/>
      <c r="F274" s="12"/>
      <c r="G274" s="18"/>
      <c r="H274" s="35"/>
      <c r="I274" s="35"/>
      <c r="J274" s="12"/>
      <c r="O274" s="12"/>
      <c r="P274" s="18"/>
      <c r="Q274" s="12"/>
      <c r="R274" s="12"/>
      <c r="S274" s="12"/>
      <c r="T274" s="36"/>
      <c r="U274" s="36"/>
      <c r="V274" s="12"/>
      <c r="W274" s="12"/>
      <c r="X274" s="12"/>
      <c r="Y274" s="12"/>
    </row>
    <row r="275" customFormat="false" ht="15.75" hidden="false" customHeight="false" outlineLevel="0" collapsed="false">
      <c r="A275" s="12"/>
      <c r="B275" s="34"/>
      <c r="C275" s="12"/>
      <c r="D275" s="12"/>
      <c r="E275" s="12"/>
      <c r="F275" s="12"/>
      <c r="G275" s="18"/>
      <c r="H275" s="35"/>
      <c r="I275" s="35"/>
      <c r="J275" s="12"/>
      <c r="O275" s="12"/>
      <c r="P275" s="18"/>
      <c r="Q275" s="12"/>
      <c r="R275" s="12"/>
      <c r="S275" s="12"/>
      <c r="T275" s="36"/>
      <c r="U275" s="36"/>
      <c r="V275" s="12"/>
      <c r="W275" s="12"/>
      <c r="X275" s="12"/>
      <c r="Y275" s="12"/>
    </row>
    <row r="276" customFormat="false" ht="15.75" hidden="false" customHeight="false" outlineLevel="0" collapsed="false">
      <c r="A276" s="12"/>
      <c r="B276" s="34"/>
      <c r="C276" s="12"/>
      <c r="D276" s="12"/>
      <c r="E276" s="12"/>
      <c r="F276" s="12"/>
      <c r="G276" s="18"/>
      <c r="H276" s="35"/>
      <c r="I276" s="35"/>
      <c r="J276" s="12"/>
      <c r="O276" s="12"/>
      <c r="P276" s="18"/>
      <c r="Q276" s="12"/>
      <c r="R276" s="12"/>
      <c r="S276" s="12"/>
      <c r="T276" s="36"/>
      <c r="U276" s="36"/>
      <c r="V276" s="12"/>
      <c r="W276" s="12"/>
      <c r="X276" s="12"/>
      <c r="Y276" s="12"/>
    </row>
    <row r="277" customFormat="false" ht="15.75" hidden="false" customHeight="false" outlineLevel="0" collapsed="false">
      <c r="A277" s="12"/>
      <c r="B277" s="34"/>
      <c r="C277" s="12"/>
      <c r="D277" s="12"/>
      <c r="E277" s="12"/>
      <c r="F277" s="12"/>
      <c r="G277" s="18"/>
      <c r="H277" s="35"/>
      <c r="I277" s="35"/>
      <c r="J277" s="12"/>
      <c r="O277" s="12"/>
      <c r="P277" s="18"/>
      <c r="Q277" s="12"/>
      <c r="R277" s="12"/>
      <c r="S277" s="12"/>
      <c r="T277" s="36"/>
      <c r="U277" s="36"/>
      <c r="V277" s="12"/>
      <c r="W277" s="12"/>
      <c r="X277" s="12"/>
      <c r="Y277" s="12"/>
    </row>
    <row r="278" customFormat="false" ht="15.75" hidden="false" customHeight="false" outlineLevel="0" collapsed="false">
      <c r="A278" s="12"/>
      <c r="B278" s="34"/>
      <c r="C278" s="12"/>
      <c r="D278" s="12"/>
      <c r="E278" s="12"/>
      <c r="F278" s="12"/>
      <c r="G278" s="18"/>
      <c r="H278" s="35"/>
      <c r="I278" s="35"/>
      <c r="J278" s="12"/>
      <c r="O278" s="12"/>
      <c r="P278" s="18"/>
      <c r="Q278" s="12"/>
      <c r="R278" s="12"/>
      <c r="S278" s="12"/>
      <c r="T278" s="36"/>
      <c r="U278" s="36"/>
      <c r="V278" s="12"/>
      <c r="W278" s="12"/>
      <c r="X278" s="12"/>
      <c r="Y278" s="12"/>
    </row>
    <row r="279" customFormat="false" ht="15.75" hidden="false" customHeight="false" outlineLevel="0" collapsed="false">
      <c r="A279" s="12"/>
      <c r="B279" s="34"/>
      <c r="C279" s="12"/>
      <c r="D279" s="12"/>
      <c r="E279" s="12"/>
      <c r="F279" s="12"/>
      <c r="G279" s="18"/>
      <c r="H279" s="35"/>
      <c r="I279" s="35"/>
      <c r="J279" s="12"/>
      <c r="O279" s="12"/>
      <c r="P279" s="18"/>
      <c r="Q279" s="12"/>
      <c r="R279" s="12"/>
      <c r="S279" s="12"/>
      <c r="T279" s="36"/>
      <c r="U279" s="36"/>
      <c r="V279" s="12"/>
      <c r="W279" s="12"/>
      <c r="X279" s="12"/>
      <c r="Y279" s="12"/>
    </row>
    <row r="280" customFormat="false" ht="15.75" hidden="false" customHeight="false" outlineLevel="0" collapsed="false">
      <c r="A280" s="12"/>
      <c r="B280" s="34"/>
      <c r="C280" s="12"/>
      <c r="D280" s="12"/>
      <c r="E280" s="12"/>
      <c r="F280" s="12"/>
      <c r="G280" s="18"/>
      <c r="H280" s="35"/>
      <c r="I280" s="35"/>
      <c r="J280" s="12"/>
      <c r="O280" s="12"/>
      <c r="P280" s="18"/>
      <c r="Q280" s="12"/>
      <c r="R280" s="12"/>
      <c r="S280" s="12"/>
      <c r="T280" s="36"/>
      <c r="U280" s="36"/>
      <c r="V280" s="12"/>
      <c r="W280" s="12"/>
      <c r="X280" s="12"/>
      <c r="Y280" s="12"/>
    </row>
    <row r="281" customFormat="false" ht="15.75" hidden="false" customHeight="false" outlineLevel="0" collapsed="false">
      <c r="A281" s="12"/>
      <c r="B281" s="34"/>
      <c r="C281" s="12"/>
      <c r="D281" s="12"/>
      <c r="E281" s="12"/>
      <c r="F281" s="12"/>
      <c r="G281" s="18"/>
      <c r="H281" s="35"/>
      <c r="I281" s="35"/>
      <c r="J281" s="12"/>
      <c r="O281" s="12"/>
      <c r="P281" s="18"/>
      <c r="Q281" s="12"/>
      <c r="R281" s="12"/>
      <c r="S281" s="12"/>
      <c r="T281" s="36"/>
      <c r="U281" s="36"/>
      <c r="V281" s="12"/>
      <c r="W281" s="12"/>
      <c r="X281" s="12"/>
      <c r="Y281" s="12"/>
    </row>
    <row r="282" customFormat="false" ht="15.75" hidden="false" customHeight="false" outlineLevel="0" collapsed="false">
      <c r="A282" s="12"/>
      <c r="B282" s="34"/>
      <c r="C282" s="12"/>
      <c r="D282" s="12"/>
      <c r="E282" s="12"/>
      <c r="F282" s="12"/>
      <c r="G282" s="18"/>
      <c r="H282" s="35"/>
      <c r="I282" s="35"/>
      <c r="J282" s="12"/>
      <c r="O282" s="12"/>
      <c r="P282" s="18"/>
      <c r="Q282" s="12"/>
      <c r="R282" s="12"/>
      <c r="S282" s="12"/>
      <c r="T282" s="36"/>
      <c r="U282" s="36"/>
      <c r="V282" s="12"/>
      <c r="W282" s="12"/>
      <c r="X282" s="12"/>
      <c r="Y282" s="12"/>
    </row>
    <row r="283" customFormat="false" ht="15.75" hidden="false" customHeight="false" outlineLevel="0" collapsed="false">
      <c r="A283" s="12"/>
      <c r="B283" s="34"/>
      <c r="C283" s="12"/>
      <c r="D283" s="12"/>
      <c r="E283" s="12"/>
      <c r="F283" s="12"/>
      <c r="G283" s="18"/>
      <c r="H283" s="35"/>
      <c r="I283" s="35"/>
      <c r="J283" s="12"/>
      <c r="O283" s="12"/>
      <c r="P283" s="18"/>
      <c r="Q283" s="12"/>
      <c r="R283" s="12"/>
      <c r="S283" s="12"/>
      <c r="T283" s="36"/>
      <c r="U283" s="36"/>
      <c r="V283" s="12"/>
      <c r="W283" s="12"/>
      <c r="X283" s="12"/>
      <c r="Y283" s="12"/>
    </row>
    <row r="284" customFormat="false" ht="15.75" hidden="false" customHeight="false" outlineLevel="0" collapsed="false">
      <c r="A284" s="12"/>
      <c r="B284" s="34"/>
      <c r="C284" s="12"/>
      <c r="D284" s="12"/>
      <c r="E284" s="12"/>
      <c r="F284" s="12"/>
      <c r="G284" s="18"/>
      <c r="H284" s="35"/>
      <c r="I284" s="35"/>
      <c r="J284" s="12"/>
      <c r="O284" s="12"/>
      <c r="P284" s="18"/>
      <c r="Q284" s="12"/>
      <c r="R284" s="12"/>
      <c r="S284" s="12"/>
      <c r="T284" s="36"/>
      <c r="U284" s="36"/>
      <c r="V284" s="12"/>
      <c r="W284" s="12"/>
      <c r="X284" s="12"/>
      <c r="Y284" s="12"/>
    </row>
    <row r="285" customFormat="false" ht="15.75" hidden="false" customHeight="false" outlineLevel="0" collapsed="false">
      <c r="A285" s="12"/>
      <c r="B285" s="34"/>
      <c r="C285" s="12"/>
      <c r="D285" s="12"/>
      <c r="E285" s="12"/>
      <c r="F285" s="12"/>
      <c r="G285" s="18"/>
      <c r="H285" s="35"/>
      <c r="I285" s="35"/>
      <c r="J285" s="12"/>
      <c r="O285" s="12"/>
      <c r="P285" s="18"/>
      <c r="Q285" s="12"/>
      <c r="R285" s="12"/>
      <c r="S285" s="12"/>
      <c r="T285" s="36"/>
      <c r="U285" s="36"/>
      <c r="V285" s="12"/>
      <c r="W285" s="12"/>
      <c r="X285" s="12"/>
      <c r="Y285" s="12"/>
    </row>
    <row r="286" customFormat="false" ht="15.75" hidden="false" customHeight="false" outlineLevel="0" collapsed="false">
      <c r="A286" s="12"/>
      <c r="B286" s="34"/>
      <c r="C286" s="12"/>
      <c r="D286" s="12"/>
      <c r="E286" s="12"/>
      <c r="F286" s="12"/>
      <c r="G286" s="18"/>
      <c r="H286" s="35"/>
      <c r="I286" s="35"/>
      <c r="J286" s="12"/>
      <c r="O286" s="12"/>
      <c r="P286" s="18"/>
      <c r="Q286" s="12"/>
      <c r="R286" s="12"/>
      <c r="S286" s="12"/>
      <c r="T286" s="36"/>
      <c r="U286" s="36"/>
      <c r="V286" s="12"/>
      <c r="W286" s="12"/>
      <c r="X286" s="12"/>
      <c r="Y286" s="12"/>
    </row>
    <row r="287" customFormat="false" ht="15.75" hidden="false" customHeight="false" outlineLevel="0" collapsed="false">
      <c r="A287" s="12"/>
      <c r="B287" s="34"/>
      <c r="C287" s="12"/>
      <c r="D287" s="12"/>
      <c r="E287" s="12"/>
      <c r="F287" s="12"/>
      <c r="G287" s="18"/>
      <c r="H287" s="35"/>
      <c r="I287" s="35"/>
      <c r="J287" s="12"/>
      <c r="O287" s="12"/>
      <c r="P287" s="18"/>
      <c r="Q287" s="12"/>
      <c r="R287" s="12"/>
      <c r="S287" s="12"/>
      <c r="T287" s="36"/>
      <c r="U287" s="36"/>
      <c r="V287" s="12"/>
      <c r="W287" s="12"/>
      <c r="X287" s="12"/>
      <c r="Y287" s="12"/>
    </row>
    <row r="288" customFormat="false" ht="15.75" hidden="false" customHeight="false" outlineLevel="0" collapsed="false">
      <c r="A288" s="12"/>
      <c r="B288" s="34"/>
      <c r="C288" s="12"/>
      <c r="D288" s="12"/>
      <c r="E288" s="12"/>
      <c r="F288" s="12"/>
      <c r="G288" s="18"/>
      <c r="H288" s="35"/>
      <c r="I288" s="35"/>
      <c r="J288" s="12"/>
      <c r="O288" s="12"/>
      <c r="P288" s="18"/>
      <c r="Q288" s="12"/>
      <c r="R288" s="12"/>
      <c r="S288" s="12"/>
      <c r="T288" s="36"/>
      <c r="U288" s="36"/>
      <c r="V288" s="12"/>
      <c r="W288" s="12"/>
      <c r="X288" s="12"/>
      <c r="Y288" s="12"/>
    </row>
    <row r="289" customFormat="false" ht="15.75" hidden="false" customHeight="false" outlineLevel="0" collapsed="false">
      <c r="A289" s="12"/>
      <c r="B289" s="34"/>
      <c r="C289" s="12"/>
      <c r="D289" s="12"/>
      <c r="E289" s="12"/>
      <c r="F289" s="12"/>
      <c r="G289" s="18"/>
      <c r="H289" s="35"/>
      <c r="I289" s="35"/>
      <c r="J289" s="12"/>
      <c r="O289" s="12"/>
      <c r="P289" s="18"/>
      <c r="Q289" s="12"/>
      <c r="R289" s="12"/>
      <c r="S289" s="12"/>
      <c r="T289" s="36"/>
      <c r="U289" s="36"/>
      <c r="V289" s="12"/>
      <c r="W289" s="12"/>
      <c r="X289" s="12"/>
      <c r="Y289" s="12"/>
    </row>
    <row r="290" customFormat="false" ht="15.75" hidden="false" customHeight="false" outlineLevel="0" collapsed="false">
      <c r="A290" s="12"/>
      <c r="B290" s="34"/>
      <c r="C290" s="12"/>
      <c r="D290" s="12"/>
      <c r="E290" s="12"/>
      <c r="F290" s="12"/>
      <c r="G290" s="18"/>
      <c r="H290" s="35"/>
      <c r="I290" s="35"/>
      <c r="J290" s="12"/>
      <c r="O290" s="12"/>
      <c r="P290" s="18"/>
      <c r="Q290" s="12"/>
      <c r="R290" s="12"/>
      <c r="S290" s="12"/>
      <c r="T290" s="36"/>
      <c r="U290" s="36"/>
      <c r="V290" s="12"/>
      <c r="W290" s="12"/>
      <c r="X290" s="12"/>
      <c r="Y290" s="12"/>
    </row>
    <row r="291" customFormat="false" ht="15.75" hidden="false" customHeight="false" outlineLevel="0" collapsed="false">
      <c r="A291" s="12"/>
      <c r="B291" s="34"/>
      <c r="C291" s="12"/>
      <c r="D291" s="12"/>
      <c r="E291" s="12"/>
      <c r="F291" s="12"/>
      <c r="G291" s="18"/>
      <c r="H291" s="35"/>
      <c r="I291" s="35"/>
      <c r="J291" s="12"/>
      <c r="O291" s="12"/>
      <c r="P291" s="18"/>
      <c r="Q291" s="12"/>
      <c r="R291" s="12"/>
      <c r="S291" s="12"/>
      <c r="T291" s="36"/>
      <c r="U291" s="36"/>
      <c r="V291" s="12"/>
      <c r="W291" s="12"/>
      <c r="X291" s="12"/>
      <c r="Y291" s="12"/>
    </row>
    <row r="292" customFormat="false" ht="15.75" hidden="false" customHeight="false" outlineLevel="0" collapsed="false">
      <c r="A292" s="12"/>
      <c r="B292" s="34"/>
      <c r="C292" s="12"/>
      <c r="D292" s="12"/>
      <c r="E292" s="12"/>
      <c r="F292" s="12"/>
      <c r="G292" s="18"/>
      <c r="H292" s="35"/>
      <c r="I292" s="35"/>
      <c r="J292" s="12"/>
      <c r="O292" s="12"/>
      <c r="P292" s="18"/>
      <c r="Q292" s="12"/>
      <c r="R292" s="12"/>
      <c r="S292" s="12"/>
      <c r="T292" s="36"/>
      <c r="U292" s="36"/>
      <c r="V292" s="12"/>
      <c r="W292" s="12"/>
      <c r="X292" s="12"/>
      <c r="Y292" s="12"/>
    </row>
    <row r="293" customFormat="false" ht="15.75" hidden="false" customHeight="false" outlineLevel="0" collapsed="false">
      <c r="A293" s="12"/>
      <c r="B293" s="34"/>
      <c r="C293" s="12"/>
      <c r="D293" s="12"/>
      <c r="E293" s="12"/>
      <c r="F293" s="12"/>
      <c r="G293" s="18"/>
      <c r="H293" s="35"/>
      <c r="I293" s="35"/>
      <c r="J293" s="12"/>
      <c r="O293" s="12"/>
      <c r="P293" s="18"/>
      <c r="Q293" s="12"/>
      <c r="R293" s="12"/>
      <c r="S293" s="12"/>
      <c r="T293" s="36"/>
      <c r="U293" s="36"/>
      <c r="V293" s="12"/>
      <c r="W293" s="12"/>
      <c r="X293" s="12"/>
      <c r="Y293" s="12"/>
    </row>
    <row r="294" customFormat="false" ht="15.75" hidden="false" customHeight="false" outlineLevel="0" collapsed="false">
      <c r="A294" s="12"/>
      <c r="B294" s="34"/>
      <c r="C294" s="12"/>
      <c r="D294" s="12"/>
      <c r="E294" s="12"/>
      <c r="F294" s="12"/>
      <c r="G294" s="18"/>
      <c r="H294" s="35"/>
      <c r="I294" s="35"/>
      <c r="J294" s="12"/>
      <c r="O294" s="12"/>
      <c r="P294" s="18"/>
      <c r="Q294" s="12"/>
      <c r="R294" s="12"/>
      <c r="S294" s="12"/>
      <c r="T294" s="36"/>
      <c r="U294" s="36"/>
      <c r="V294" s="12"/>
      <c r="W294" s="12"/>
      <c r="X294" s="12"/>
      <c r="Y294" s="12"/>
    </row>
    <row r="295" customFormat="false" ht="15.75" hidden="false" customHeight="false" outlineLevel="0" collapsed="false">
      <c r="A295" s="12"/>
      <c r="B295" s="34"/>
      <c r="C295" s="12"/>
      <c r="D295" s="12"/>
      <c r="E295" s="12"/>
      <c r="F295" s="12"/>
      <c r="G295" s="18"/>
      <c r="H295" s="35"/>
      <c r="I295" s="35"/>
      <c r="J295" s="12"/>
      <c r="O295" s="12"/>
      <c r="P295" s="18"/>
      <c r="Q295" s="12"/>
      <c r="R295" s="12"/>
      <c r="S295" s="12"/>
      <c r="T295" s="36"/>
      <c r="U295" s="36"/>
      <c r="V295" s="12"/>
      <c r="W295" s="12"/>
      <c r="X295" s="12"/>
      <c r="Y295" s="12"/>
    </row>
    <row r="296" customFormat="false" ht="15.75" hidden="false" customHeight="false" outlineLevel="0" collapsed="false">
      <c r="A296" s="12"/>
      <c r="B296" s="34"/>
      <c r="C296" s="12"/>
      <c r="D296" s="12"/>
      <c r="E296" s="12"/>
      <c r="F296" s="12"/>
      <c r="G296" s="18"/>
      <c r="H296" s="35"/>
      <c r="I296" s="35"/>
      <c r="J296" s="12"/>
      <c r="O296" s="12"/>
      <c r="P296" s="18"/>
      <c r="Q296" s="12"/>
      <c r="R296" s="12"/>
      <c r="S296" s="12"/>
      <c r="T296" s="36"/>
      <c r="U296" s="36"/>
      <c r="V296" s="12"/>
      <c r="W296" s="12"/>
      <c r="X296" s="12"/>
      <c r="Y296" s="12"/>
    </row>
    <row r="297" customFormat="false" ht="15.75" hidden="false" customHeight="false" outlineLevel="0" collapsed="false">
      <c r="A297" s="12"/>
      <c r="B297" s="34"/>
      <c r="C297" s="12"/>
      <c r="D297" s="12"/>
      <c r="E297" s="12"/>
      <c r="F297" s="12"/>
      <c r="G297" s="18"/>
      <c r="H297" s="35"/>
      <c r="I297" s="35"/>
      <c r="J297" s="12"/>
      <c r="O297" s="12"/>
      <c r="P297" s="18"/>
      <c r="Q297" s="12"/>
      <c r="R297" s="12"/>
      <c r="S297" s="12"/>
      <c r="T297" s="36"/>
      <c r="U297" s="36"/>
      <c r="V297" s="12"/>
      <c r="W297" s="12"/>
      <c r="X297" s="12"/>
      <c r="Y297" s="12"/>
    </row>
    <row r="298" customFormat="false" ht="15.75" hidden="false" customHeight="false" outlineLevel="0" collapsed="false">
      <c r="A298" s="12"/>
      <c r="B298" s="34"/>
      <c r="C298" s="12"/>
      <c r="D298" s="12"/>
      <c r="E298" s="12"/>
      <c r="F298" s="12"/>
      <c r="G298" s="18"/>
      <c r="H298" s="35"/>
      <c r="I298" s="35"/>
      <c r="J298" s="12"/>
      <c r="O298" s="12"/>
      <c r="P298" s="18"/>
      <c r="Q298" s="12"/>
      <c r="R298" s="12"/>
      <c r="S298" s="12"/>
      <c r="T298" s="36"/>
      <c r="U298" s="36"/>
      <c r="V298" s="12"/>
      <c r="W298" s="12"/>
      <c r="X298" s="12"/>
      <c r="Y298" s="12"/>
    </row>
    <row r="299" customFormat="false" ht="15.75" hidden="false" customHeight="false" outlineLevel="0" collapsed="false">
      <c r="A299" s="12"/>
      <c r="B299" s="34"/>
      <c r="C299" s="12"/>
      <c r="D299" s="12"/>
      <c r="E299" s="12"/>
      <c r="F299" s="12"/>
      <c r="G299" s="18"/>
      <c r="H299" s="35"/>
      <c r="I299" s="35"/>
      <c r="J299" s="12"/>
      <c r="O299" s="12"/>
      <c r="P299" s="18"/>
      <c r="Q299" s="12"/>
      <c r="R299" s="12"/>
      <c r="S299" s="12"/>
      <c r="T299" s="36"/>
      <c r="U299" s="36"/>
      <c r="V299" s="12"/>
      <c r="W299" s="12"/>
      <c r="X299" s="12"/>
      <c r="Y299" s="12"/>
    </row>
    <row r="300" customFormat="false" ht="15.75" hidden="false" customHeight="false" outlineLevel="0" collapsed="false">
      <c r="A300" s="12"/>
      <c r="B300" s="34"/>
      <c r="C300" s="12"/>
      <c r="D300" s="12"/>
      <c r="E300" s="12"/>
      <c r="F300" s="12"/>
      <c r="G300" s="18"/>
      <c r="H300" s="35"/>
      <c r="I300" s="35"/>
      <c r="J300" s="12"/>
      <c r="O300" s="12"/>
      <c r="P300" s="18"/>
      <c r="Q300" s="12"/>
      <c r="R300" s="12"/>
      <c r="S300" s="12"/>
      <c r="T300" s="36"/>
      <c r="U300" s="36"/>
      <c r="V300" s="12"/>
      <c r="W300" s="12"/>
      <c r="X300" s="12"/>
      <c r="Y300" s="12"/>
    </row>
    <row r="301" customFormat="false" ht="15.75" hidden="false" customHeight="false" outlineLevel="0" collapsed="false">
      <c r="A301" s="12"/>
      <c r="B301" s="34"/>
      <c r="C301" s="12"/>
      <c r="D301" s="12"/>
      <c r="E301" s="12"/>
      <c r="F301" s="12"/>
      <c r="G301" s="18"/>
      <c r="H301" s="35"/>
      <c r="I301" s="35"/>
      <c r="J301" s="12"/>
      <c r="O301" s="12"/>
      <c r="P301" s="18"/>
      <c r="Q301" s="12"/>
      <c r="R301" s="12"/>
      <c r="S301" s="12"/>
      <c r="T301" s="36"/>
      <c r="U301" s="36"/>
      <c r="V301" s="12"/>
      <c r="W301" s="12"/>
      <c r="X301" s="12"/>
      <c r="Y301" s="12"/>
    </row>
    <row r="302" customFormat="false" ht="15.75" hidden="false" customHeight="false" outlineLevel="0" collapsed="false">
      <c r="A302" s="12"/>
      <c r="B302" s="34"/>
      <c r="C302" s="12"/>
      <c r="D302" s="12"/>
      <c r="E302" s="12"/>
      <c r="F302" s="12"/>
      <c r="G302" s="18"/>
      <c r="H302" s="35"/>
      <c r="I302" s="35"/>
      <c r="J302" s="12"/>
      <c r="O302" s="12"/>
      <c r="P302" s="18"/>
      <c r="Q302" s="12"/>
      <c r="R302" s="12"/>
      <c r="S302" s="12"/>
      <c r="T302" s="36"/>
      <c r="U302" s="36"/>
      <c r="V302" s="12"/>
      <c r="W302" s="12"/>
      <c r="X302" s="12"/>
      <c r="Y302" s="12"/>
    </row>
    <row r="303" customFormat="false" ht="15.75" hidden="false" customHeight="false" outlineLevel="0" collapsed="false">
      <c r="A303" s="12"/>
      <c r="B303" s="34"/>
      <c r="C303" s="12"/>
      <c r="D303" s="12"/>
      <c r="E303" s="12"/>
      <c r="F303" s="12"/>
      <c r="G303" s="18"/>
      <c r="H303" s="35"/>
      <c r="I303" s="35"/>
      <c r="J303" s="12"/>
      <c r="O303" s="12"/>
      <c r="P303" s="18"/>
      <c r="Q303" s="12"/>
      <c r="R303" s="12"/>
      <c r="S303" s="12"/>
      <c r="T303" s="36"/>
      <c r="U303" s="36"/>
      <c r="V303" s="12"/>
      <c r="W303" s="12"/>
      <c r="X303" s="12"/>
      <c r="Y303" s="12"/>
    </row>
    <row r="304" customFormat="false" ht="15.75" hidden="false" customHeight="false" outlineLevel="0" collapsed="false">
      <c r="A304" s="12"/>
      <c r="B304" s="34"/>
      <c r="C304" s="12"/>
      <c r="D304" s="12"/>
      <c r="E304" s="12"/>
      <c r="F304" s="12"/>
      <c r="G304" s="18"/>
      <c r="H304" s="35"/>
      <c r="I304" s="35"/>
      <c r="J304" s="12"/>
      <c r="O304" s="12"/>
      <c r="P304" s="18"/>
      <c r="Q304" s="12"/>
      <c r="R304" s="12"/>
      <c r="S304" s="12"/>
      <c r="T304" s="36"/>
      <c r="U304" s="36"/>
      <c r="V304" s="12"/>
      <c r="W304" s="12"/>
      <c r="X304" s="12"/>
      <c r="Y304" s="12"/>
    </row>
    <row r="305" customFormat="false" ht="15.75" hidden="false" customHeight="false" outlineLevel="0" collapsed="false">
      <c r="A305" s="12"/>
      <c r="B305" s="34"/>
      <c r="C305" s="12"/>
      <c r="D305" s="12"/>
      <c r="E305" s="12"/>
      <c r="F305" s="12"/>
      <c r="G305" s="18"/>
      <c r="H305" s="35"/>
      <c r="I305" s="35"/>
      <c r="J305" s="12"/>
      <c r="O305" s="12"/>
      <c r="P305" s="18"/>
      <c r="Q305" s="12"/>
      <c r="R305" s="12"/>
      <c r="S305" s="12"/>
      <c r="T305" s="36"/>
      <c r="U305" s="36"/>
      <c r="V305" s="12"/>
      <c r="W305" s="12"/>
      <c r="X305" s="12"/>
      <c r="Y305" s="12"/>
    </row>
    <row r="306" customFormat="false" ht="15.75" hidden="false" customHeight="false" outlineLevel="0" collapsed="false">
      <c r="A306" s="12"/>
      <c r="B306" s="34"/>
      <c r="C306" s="12"/>
      <c r="D306" s="12"/>
      <c r="E306" s="12"/>
      <c r="F306" s="12"/>
      <c r="G306" s="18"/>
      <c r="H306" s="35"/>
      <c r="I306" s="35"/>
      <c r="J306" s="12"/>
      <c r="O306" s="12"/>
      <c r="P306" s="18"/>
      <c r="Q306" s="12"/>
      <c r="R306" s="12"/>
      <c r="S306" s="12"/>
      <c r="T306" s="36"/>
      <c r="U306" s="36"/>
      <c r="V306" s="12"/>
      <c r="W306" s="12"/>
      <c r="X306" s="12"/>
      <c r="Y306" s="12"/>
    </row>
    <row r="307" customFormat="false" ht="15.75" hidden="false" customHeight="false" outlineLevel="0" collapsed="false">
      <c r="A307" s="12"/>
      <c r="B307" s="34"/>
      <c r="C307" s="12"/>
      <c r="D307" s="12"/>
      <c r="E307" s="12"/>
      <c r="F307" s="12"/>
      <c r="G307" s="18"/>
      <c r="H307" s="35"/>
      <c r="I307" s="35"/>
      <c r="J307" s="12"/>
      <c r="O307" s="12"/>
      <c r="P307" s="18"/>
      <c r="Q307" s="12"/>
      <c r="R307" s="12"/>
      <c r="S307" s="12"/>
      <c r="T307" s="36"/>
      <c r="U307" s="36"/>
      <c r="V307" s="12"/>
      <c r="W307" s="12"/>
      <c r="X307" s="12"/>
      <c r="Y307" s="12"/>
    </row>
    <row r="308" customFormat="false" ht="15.75" hidden="false" customHeight="false" outlineLevel="0" collapsed="false">
      <c r="A308" s="12"/>
      <c r="B308" s="34"/>
      <c r="C308" s="12"/>
      <c r="D308" s="12"/>
      <c r="E308" s="12"/>
      <c r="F308" s="12"/>
      <c r="G308" s="18"/>
      <c r="H308" s="35"/>
      <c r="I308" s="35"/>
      <c r="J308" s="12"/>
      <c r="O308" s="12"/>
      <c r="P308" s="18"/>
      <c r="Q308" s="12"/>
      <c r="R308" s="12"/>
      <c r="S308" s="12"/>
      <c r="T308" s="36"/>
      <c r="U308" s="36"/>
      <c r="V308" s="12"/>
      <c r="W308" s="12"/>
      <c r="X308" s="12"/>
      <c r="Y308" s="12"/>
    </row>
    <row r="309" customFormat="false" ht="15.75" hidden="false" customHeight="false" outlineLevel="0" collapsed="false">
      <c r="A309" s="12"/>
      <c r="B309" s="34"/>
      <c r="C309" s="12"/>
      <c r="D309" s="12"/>
      <c r="E309" s="12"/>
      <c r="F309" s="12"/>
      <c r="G309" s="18"/>
      <c r="H309" s="35"/>
      <c r="I309" s="35"/>
      <c r="J309" s="12"/>
      <c r="O309" s="12"/>
      <c r="P309" s="18"/>
      <c r="Q309" s="12"/>
      <c r="R309" s="12"/>
      <c r="S309" s="12"/>
      <c r="T309" s="36"/>
      <c r="U309" s="36"/>
      <c r="V309" s="12"/>
      <c r="W309" s="12"/>
      <c r="X309" s="12"/>
      <c r="Y309" s="12"/>
    </row>
    <row r="310" customFormat="false" ht="15.75" hidden="false" customHeight="false" outlineLevel="0" collapsed="false">
      <c r="A310" s="12"/>
      <c r="B310" s="34"/>
      <c r="C310" s="12"/>
      <c r="D310" s="12"/>
      <c r="E310" s="12"/>
      <c r="F310" s="12"/>
      <c r="G310" s="18"/>
      <c r="H310" s="35"/>
      <c r="I310" s="35"/>
      <c r="J310" s="12"/>
      <c r="O310" s="12"/>
      <c r="P310" s="18"/>
      <c r="Q310" s="12"/>
      <c r="R310" s="12"/>
      <c r="S310" s="12"/>
      <c r="T310" s="36"/>
      <c r="U310" s="36"/>
      <c r="V310" s="12"/>
      <c r="W310" s="12"/>
      <c r="X310" s="12"/>
      <c r="Y310" s="12"/>
    </row>
    <row r="311" customFormat="false" ht="15.75" hidden="false" customHeight="false" outlineLevel="0" collapsed="false">
      <c r="A311" s="12"/>
      <c r="B311" s="34"/>
      <c r="C311" s="12"/>
      <c r="D311" s="12"/>
      <c r="E311" s="12"/>
      <c r="F311" s="12"/>
      <c r="G311" s="18"/>
      <c r="H311" s="35"/>
      <c r="I311" s="35"/>
      <c r="J311" s="12"/>
      <c r="O311" s="12"/>
      <c r="P311" s="18"/>
      <c r="Q311" s="12"/>
      <c r="R311" s="12"/>
      <c r="S311" s="12"/>
      <c r="T311" s="36"/>
      <c r="U311" s="36"/>
      <c r="V311" s="12"/>
      <c r="W311" s="12"/>
      <c r="X311" s="12"/>
      <c r="Y311" s="12"/>
    </row>
    <row r="312" customFormat="false" ht="15.75" hidden="false" customHeight="false" outlineLevel="0" collapsed="false">
      <c r="A312" s="12"/>
      <c r="B312" s="34"/>
      <c r="C312" s="12"/>
      <c r="D312" s="12"/>
      <c r="E312" s="12"/>
      <c r="F312" s="12"/>
      <c r="G312" s="18"/>
      <c r="H312" s="35"/>
      <c r="I312" s="35"/>
      <c r="J312" s="12"/>
      <c r="O312" s="12"/>
      <c r="P312" s="18"/>
      <c r="Q312" s="12"/>
      <c r="R312" s="12"/>
      <c r="S312" s="12"/>
      <c r="T312" s="36"/>
      <c r="U312" s="36"/>
      <c r="V312" s="12"/>
      <c r="W312" s="12"/>
      <c r="X312" s="12"/>
      <c r="Y312" s="12"/>
    </row>
    <row r="313" customFormat="false" ht="15.75" hidden="false" customHeight="false" outlineLevel="0" collapsed="false">
      <c r="A313" s="12"/>
      <c r="B313" s="34"/>
      <c r="C313" s="12"/>
      <c r="D313" s="12"/>
      <c r="E313" s="12"/>
      <c r="F313" s="12"/>
      <c r="G313" s="18"/>
      <c r="H313" s="35"/>
      <c r="I313" s="35"/>
      <c r="J313" s="12"/>
      <c r="O313" s="12"/>
      <c r="P313" s="18"/>
      <c r="Q313" s="12"/>
      <c r="R313" s="12"/>
      <c r="S313" s="12"/>
      <c r="T313" s="36"/>
      <c r="U313" s="36"/>
      <c r="V313" s="12"/>
      <c r="W313" s="12"/>
      <c r="X313" s="12"/>
      <c r="Y313" s="12"/>
    </row>
    <row r="314" customFormat="false" ht="15.75" hidden="false" customHeight="false" outlineLevel="0" collapsed="false">
      <c r="A314" s="12"/>
      <c r="B314" s="34"/>
      <c r="C314" s="12"/>
      <c r="D314" s="12"/>
      <c r="E314" s="12"/>
      <c r="F314" s="12"/>
      <c r="G314" s="18"/>
      <c r="H314" s="35"/>
      <c r="I314" s="35"/>
      <c r="J314" s="12"/>
      <c r="O314" s="12"/>
      <c r="P314" s="18"/>
      <c r="Q314" s="12"/>
      <c r="R314" s="12"/>
      <c r="S314" s="12"/>
      <c r="T314" s="36"/>
      <c r="U314" s="36"/>
      <c r="V314" s="12"/>
      <c r="W314" s="12"/>
      <c r="X314" s="12"/>
      <c r="Y314" s="12"/>
    </row>
    <row r="315" customFormat="false" ht="15.75" hidden="false" customHeight="false" outlineLevel="0" collapsed="false">
      <c r="A315" s="12"/>
      <c r="B315" s="34"/>
      <c r="C315" s="12"/>
      <c r="D315" s="12"/>
      <c r="E315" s="12"/>
      <c r="F315" s="12"/>
      <c r="G315" s="18"/>
      <c r="H315" s="35"/>
      <c r="I315" s="35"/>
      <c r="J315" s="12"/>
      <c r="O315" s="12"/>
      <c r="P315" s="18"/>
      <c r="Q315" s="12"/>
      <c r="R315" s="12"/>
      <c r="S315" s="12"/>
      <c r="T315" s="36"/>
      <c r="U315" s="36"/>
      <c r="V315" s="12"/>
      <c r="W315" s="12"/>
      <c r="X315" s="12"/>
      <c r="Y315" s="12"/>
    </row>
    <row r="316" customFormat="false" ht="15.75" hidden="false" customHeight="false" outlineLevel="0" collapsed="false">
      <c r="A316" s="12"/>
      <c r="B316" s="34"/>
      <c r="C316" s="12"/>
      <c r="D316" s="12"/>
      <c r="E316" s="12"/>
      <c r="F316" s="12"/>
      <c r="G316" s="18"/>
      <c r="H316" s="35"/>
      <c r="I316" s="35"/>
      <c r="J316" s="12"/>
      <c r="O316" s="12"/>
      <c r="P316" s="18"/>
      <c r="Q316" s="12"/>
      <c r="R316" s="12"/>
      <c r="S316" s="12"/>
      <c r="T316" s="36"/>
      <c r="U316" s="36"/>
      <c r="V316" s="12"/>
      <c r="W316" s="12"/>
      <c r="X316" s="12"/>
      <c r="Y316" s="12"/>
    </row>
    <row r="317" customFormat="false" ht="15.75" hidden="false" customHeight="false" outlineLevel="0" collapsed="false">
      <c r="A317" s="12"/>
      <c r="B317" s="34"/>
      <c r="C317" s="12"/>
      <c r="D317" s="12"/>
      <c r="E317" s="12"/>
      <c r="F317" s="12"/>
      <c r="G317" s="18"/>
      <c r="H317" s="35"/>
      <c r="I317" s="35"/>
      <c r="J317" s="12"/>
      <c r="O317" s="12"/>
      <c r="P317" s="18"/>
      <c r="Q317" s="12"/>
      <c r="R317" s="12"/>
      <c r="S317" s="12"/>
      <c r="T317" s="36"/>
      <c r="U317" s="36"/>
      <c r="V317" s="12"/>
      <c r="W317" s="12"/>
      <c r="X317" s="12"/>
      <c r="Y317" s="12"/>
    </row>
    <row r="318" customFormat="false" ht="15.75" hidden="false" customHeight="false" outlineLevel="0" collapsed="false">
      <c r="A318" s="12"/>
      <c r="B318" s="34"/>
      <c r="C318" s="12"/>
      <c r="D318" s="12"/>
      <c r="E318" s="12"/>
      <c r="F318" s="12"/>
      <c r="G318" s="18"/>
      <c r="H318" s="35"/>
      <c r="I318" s="35"/>
      <c r="J318" s="12"/>
      <c r="O318" s="12"/>
      <c r="P318" s="18"/>
      <c r="Q318" s="12"/>
      <c r="R318" s="12"/>
      <c r="S318" s="12"/>
      <c r="T318" s="36"/>
      <c r="U318" s="36"/>
      <c r="V318" s="12"/>
      <c r="W318" s="12"/>
      <c r="X318" s="12"/>
      <c r="Y318" s="12"/>
    </row>
    <row r="319" customFormat="false" ht="15.75" hidden="false" customHeight="false" outlineLevel="0" collapsed="false">
      <c r="A319" s="12"/>
      <c r="B319" s="34"/>
      <c r="C319" s="12"/>
      <c r="D319" s="12"/>
      <c r="E319" s="12"/>
      <c r="F319" s="12"/>
      <c r="G319" s="18"/>
      <c r="H319" s="35"/>
      <c r="I319" s="35"/>
      <c r="J319" s="12"/>
      <c r="O319" s="12"/>
      <c r="P319" s="18"/>
      <c r="Q319" s="12"/>
      <c r="R319" s="12"/>
      <c r="S319" s="12"/>
      <c r="T319" s="36"/>
      <c r="U319" s="36"/>
      <c r="V319" s="12"/>
      <c r="W319" s="12"/>
      <c r="X319" s="12"/>
      <c r="Y319" s="12"/>
    </row>
    <row r="320" customFormat="false" ht="15.75" hidden="false" customHeight="false" outlineLevel="0" collapsed="false">
      <c r="A320" s="12"/>
      <c r="B320" s="34"/>
      <c r="C320" s="12"/>
      <c r="D320" s="12"/>
      <c r="E320" s="12"/>
      <c r="F320" s="12"/>
      <c r="G320" s="18"/>
      <c r="H320" s="35"/>
      <c r="I320" s="35"/>
      <c r="J320" s="12"/>
      <c r="O320" s="12"/>
      <c r="P320" s="18"/>
      <c r="Q320" s="12"/>
      <c r="R320" s="12"/>
      <c r="S320" s="12"/>
      <c r="T320" s="36"/>
      <c r="U320" s="36"/>
      <c r="V320" s="12"/>
      <c r="W320" s="12"/>
      <c r="X320" s="12"/>
      <c r="Y320" s="12"/>
    </row>
    <row r="321" customFormat="false" ht="15.75" hidden="false" customHeight="false" outlineLevel="0" collapsed="false">
      <c r="A321" s="12"/>
      <c r="B321" s="34"/>
      <c r="C321" s="12"/>
      <c r="D321" s="12"/>
      <c r="E321" s="12"/>
      <c r="F321" s="12"/>
      <c r="G321" s="18"/>
      <c r="H321" s="35"/>
      <c r="I321" s="35"/>
      <c r="J321" s="12"/>
      <c r="O321" s="12"/>
      <c r="P321" s="18"/>
      <c r="Q321" s="12"/>
      <c r="R321" s="12"/>
      <c r="S321" s="12"/>
      <c r="T321" s="36"/>
      <c r="U321" s="36"/>
      <c r="V321" s="12"/>
      <c r="W321" s="12"/>
      <c r="X321" s="12"/>
      <c r="Y321" s="12"/>
    </row>
    <row r="322" customFormat="false" ht="15.75" hidden="false" customHeight="false" outlineLevel="0" collapsed="false">
      <c r="A322" s="12"/>
      <c r="B322" s="34"/>
      <c r="C322" s="12"/>
      <c r="D322" s="12"/>
      <c r="E322" s="12"/>
      <c r="F322" s="12"/>
      <c r="G322" s="18"/>
      <c r="H322" s="35"/>
      <c r="I322" s="35"/>
      <c r="J322" s="12"/>
      <c r="O322" s="12"/>
      <c r="P322" s="18"/>
      <c r="Q322" s="12"/>
      <c r="R322" s="12"/>
      <c r="S322" s="12"/>
      <c r="T322" s="36"/>
      <c r="U322" s="36"/>
      <c r="V322" s="12"/>
      <c r="W322" s="12"/>
      <c r="X322" s="12"/>
      <c r="Y322" s="12"/>
    </row>
    <row r="323" customFormat="false" ht="15.75" hidden="false" customHeight="false" outlineLevel="0" collapsed="false">
      <c r="A323" s="12"/>
      <c r="B323" s="34"/>
      <c r="C323" s="12"/>
      <c r="D323" s="12"/>
      <c r="E323" s="12"/>
      <c r="F323" s="12"/>
      <c r="G323" s="18"/>
      <c r="H323" s="35"/>
      <c r="I323" s="35"/>
      <c r="J323" s="12"/>
      <c r="O323" s="12"/>
      <c r="P323" s="18"/>
      <c r="Q323" s="12"/>
      <c r="R323" s="12"/>
      <c r="S323" s="12"/>
      <c r="T323" s="36"/>
      <c r="U323" s="36"/>
      <c r="V323" s="12"/>
      <c r="W323" s="12"/>
      <c r="X323" s="12"/>
      <c r="Y323" s="12"/>
    </row>
    <row r="324" customFormat="false" ht="15.75" hidden="false" customHeight="false" outlineLevel="0" collapsed="false">
      <c r="A324" s="12"/>
      <c r="B324" s="34"/>
      <c r="C324" s="12"/>
      <c r="D324" s="12"/>
      <c r="E324" s="12"/>
      <c r="F324" s="12"/>
      <c r="G324" s="18"/>
      <c r="H324" s="35"/>
      <c r="I324" s="35"/>
      <c r="J324" s="12"/>
      <c r="O324" s="12"/>
      <c r="P324" s="18"/>
      <c r="Q324" s="12"/>
      <c r="R324" s="12"/>
      <c r="S324" s="12"/>
      <c r="T324" s="36"/>
      <c r="U324" s="36"/>
      <c r="V324" s="12"/>
      <c r="W324" s="12"/>
      <c r="X324" s="12"/>
      <c r="Y324" s="12"/>
    </row>
    <row r="325" customFormat="false" ht="15.75" hidden="false" customHeight="false" outlineLevel="0" collapsed="false">
      <c r="A325" s="12"/>
      <c r="B325" s="34"/>
      <c r="C325" s="12"/>
      <c r="D325" s="12"/>
      <c r="E325" s="12"/>
      <c r="F325" s="12"/>
      <c r="G325" s="18"/>
      <c r="H325" s="35"/>
      <c r="I325" s="35"/>
      <c r="J325" s="12"/>
      <c r="O325" s="12"/>
      <c r="P325" s="18"/>
      <c r="Q325" s="12"/>
      <c r="R325" s="12"/>
      <c r="S325" s="12"/>
      <c r="T325" s="36"/>
      <c r="U325" s="36"/>
      <c r="V325" s="12"/>
      <c r="W325" s="12"/>
      <c r="X325" s="12"/>
      <c r="Y325" s="12"/>
    </row>
    <row r="326" customFormat="false" ht="15.75" hidden="false" customHeight="false" outlineLevel="0" collapsed="false">
      <c r="A326" s="12"/>
      <c r="B326" s="34"/>
      <c r="C326" s="12"/>
      <c r="D326" s="12"/>
      <c r="E326" s="12"/>
      <c r="F326" s="12"/>
      <c r="G326" s="18"/>
      <c r="H326" s="35"/>
      <c r="I326" s="35"/>
      <c r="J326" s="12"/>
      <c r="O326" s="12"/>
      <c r="P326" s="18"/>
      <c r="Q326" s="12"/>
      <c r="R326" s="12"/>
      <c r="S326" s="12"/>
      <c r="T326" s="36"/>
      <c r="U326" s="36"/>
      <c r="V326" s="12"/>
      <c r="W326" s="12"/>
      <c r="X326" s="12"/>
      <c r="Y326" s="12"/>
    </row>
    <row r="327" customFormat="false" ht="15.75" hidden="false" customHeight="false" outlineLevel="0" collapsed="false">
      <c r="A327" s="12"/>
      <c r="B327" s="34"/>
      <c r="C327" s="12"/>
      <c r="D327" s="12"/>
      <c r="E327" s="12"/>
      <c r="F327" s="12"/>
      <c r="G327" s="18"/>
      <c r="H327" s="35"/>
      <c r="I327" s="35"/>
      <c r="J327" s="12"/>
      <c r="O327" s="12"/>
      <c r="P327" s="18"/>
      <c r="Q327" s="12"/>
      <c r="R327" s="12"/>
      <c r="S327" s="12"/>
      <c r="T327" s="36"/>
      <c r="U327" s="36"/>
      <c r="V327" s="12"/>
      <c r="W327" s="12"/>
      <c r="X327" s="12"/>
      <c r="Y327" s="12"/>
    </row>
    <row r="328" customFormat="false" ht="15.75" hidden="false" customHeight="false" outlineLevel="0" collapsed="false">
      <c r="A328" s="12"/>
      <c r="B328" s="34"/>
      <c r="C328" s="12"/>
      <c r="D328" s="12"/>
      <c r="E328" s="12"/>
      <c r="F328" s="12"/>
      <c r="G328" s="18"/>
      <c r="H328" s="35"/>
      <c r="I328" s="35"/>
      <c r="J328" s="12"/>
      <c r="O328" s="12"/>
      <c r="P328" s="18"/>
      <c r="Q328" s="12"/>
      <c r="R328" s="12"/>
      <c r="S328" s="12"/>
      <c r="T328" s="36"/>
      <c r="U328" s="36"/>
      <c r="V328" s="12"/>
      <c r="W328" s="12"/>
      <c r="X328" s="12"/>
      <c r="Y328" s="12"/>
    </row>
    <row r="329" customFormat="false" ht="15.75" hidden="false" customHeight="false" outlineLevel="0" collapsed="false">
      <c r="A329" s="12"/>
      <c r="B329" s="34"/>
      <c r="C329" s="12"/>
      <c r="D329" s="12"/>
      <c r="E329" s="12"/>
      <c r="F329" s="12"/>
      <c r="G329" s="18"/>
      <c r="H329" s="35"/>
      <c r="I329" s="35"/>
      <c r="J329" s="12"/>
      <c r="O329" s="12"/>
      <c r="P329" s="18"/>
      <c r="Q329" s="12"/>
      <c r="R329" s="12"/>
      <c r="S329" s="12"/>
      <c r="T329" s="36"/>
      <c r="U329" s="36"/>
      <c r="V329" s="12"/>
      <c r="W329" s="12"/>
      <c r="X329" s="12"/>
      <c r="Y329" s="12"/>
    </row>
    <row r="330" customFormat="false" ht="15.75" hidden="false" customHeight="false" outlineLevel="0" collapsed="false">
      <c r="A330" s="12"/>
      <c r="B330" s="34"/>
      <c r="C330" s="12"/>
      <c r="D330" s="12"/>
      <c r="E330" s="12"/>
      <c r="F330" s="12"/>
      <c r="G330" s="18"/>
      <c r="H330" s="35"/>
      <c r="I330" s="35"/>
      <c r="J330" s="12"/>
      <c r="O330" s="12"/>
      <c r="P330" s="18"/>
      <c r="Q330" s="12"/>
      <c r="R330" s="12"/>
      <c r="S330" s="12"/>
      <c r="T330" s="36"/>
      <c r="U330" s="36"/>
      <c r="V330" s="12"/>
      <c r="W330" s="12"/>
      <c r="X330" s="12"/>
      <c r="Y330" s="12"/>
    </row>
    <row r="331" customFormat="false" ht="15.75" hidden="false" customHeight="false" outlineLevel="0" collapsed="false">
      <c r="A331" s="12"/>
      <c r="B331" s="34"/>
      <c r="C331" s="12"/>
      <c r="D331" s="12"/>
      <c r="E331" s="12"/>
      <c r="F331" s="12"/>
      <c r="G331" s="18"/>
      <c r="H331" s="35"/>
      <c r="I331" s="35"/>
      <c r="J331" s="12"/>
      <c r="O331" s="12"/>
      <c r="P331" s="18"/>
      <c r="Q331" s="12"/>
      <c r="R331" s="12"/>
      <c r="S331" s="12"/>
      <c r="T331" s="36"/>
      <c r="U331" s="36"/>
      <c r="V331" s="12"/>
      <c r="W331" s="12"/>
      <c r="X331" s="12"/>
      <c r="Y331" s="12"/>
    </row>
    <row r="332" customFormat="false" ht="15.75" hidden="false" customHeight="false" outlineLevel="0" collapsed="false">
      <c r="A332" s="12"/>
      <c r="B332" s="34"/>
      <c r="C332" s="12"/>
      <c r="D332" s="12"/>
      <c r="E332" s="12"/>
      <c r="F332" s="12"/>
      <c r="G332" s="18"/>
      <c r="H332" s="35"/>
      <c r="I332" s="35"/>
      <c r="J332" s="12"/>
      <c r="O332" s="12"/>
      <c r="P332" s="18"/>
      <c r="Q332" s="12"/>
      <c r="R332" s="12"/>
      <c r="S332" s="12"/>
      <c r="T332" s="36"/>
      <c r="U332" s="36"/>
      <c r="V332" s="12"/>
      <c r="W332" s="12"/>
      <c r="X332" s="12"/>
      <c r="Y332" s="12"/>
    </row>
    <row r="333" customFormat="false" ht="15.75" hidden="false" customHeight="false" outlineLevel="0" collapsed="false">
      <c r="A333" s="12"/>
      <c r="B333" s="34"/>
      <c r="C333" s="12"/>
      <c r="D333" s="12"/>
      <c r="E333" s="12"/>
      <c r="F333" s="12"/>
      <c r="G333" s="18"/>
      <c r="H333" s="35"/>
      <c r="I333" s="35"/>
      <c r="J333" s="12"/>
      <c r="O333" s="12"/>
      <c r="P333" s="18"/>
      <c r="Q333" s="12"/>
      <c r="R333" s="12"/>
      <c r="S333" s="12"/>
      <c r="T333" s="36"/>
      <c r="U333" s="36"/>
      <c r="V333" s="12"/>
      <c r="W333" s="12"/>
      <c r="X333" s="12"/>
      <c r="Y333" s="12"/>
    </row>
    <row r="334" customFormat="false" ht="15.75" hidden="false" customHeight="false" outlineLevel="0" collapsed="false">
      <c r="A334" s="12"/>
      <c r="B334" s="34"/>
      <c r="C334" s="12"/>
      <c r="D334" s="12"/>
      <c r="E334" s="12"/>
      <c r="F334" s="12"/>
      <c r="G334" s="18"/>
      <c r="H334" s="35"/>
      <c r="I334" s="35"/>
      <c r="J334" s="12"/>
      <c r="O334" s="12"/>
      <c r="P334" s="18"/>
      <c r="Q334" s="12"/>
      <c r="R334" s="12"/>
      <c r="S334" s="12"/>
      <c r="T334" s="36"/>
      <c r="U334" s="36"/>
      <c r="V334" s="12"/>
      <c r="W334" s="12"/>
      <c r="X334" s="12"/>
      <c r="Y334" s="12"/>
    </row>
    <row r="335" customFormat="false" ht="15.75" hidden="false" customHeight="false" outlineLevel="0" collapsed="false">
      <c r="A335" s="12"/>
      <c r="B335" s="34"/>
      <c r="C335" s="12"/>
      <c r="D335" s="12"/>
      <c r="E335" s="12"/>
      <c r="F335" s="12"/>
      <c r="G335" s="18"/>
      <c r="H335" s="35"/>
      <c r="I335" s="35"/>
      <c r="J335" s="12"/>
      <c r="O335" s="12"/>
      <c r="P335" s="18"/>
      <c r="Q335" s="12"/>
      <c r="R335" s="12"/>
      <c r="S335" s="12"/>
      <c r="T335" s="36"/>
      <c r="U335" s="36"/>
      <c r="V335" s="12"/>
      <c r="W335" s="12"/>
      <c r="X335" s="12"/>
      <c r="Y335" s="12"/>
    </row>
    <row r="336" customFormat="false" ht="15.75" hidden="false" customHeight="false" outlineLevel="0" collapsed="false">
      <c r="A336" s="12"/>
      <c r="B336" s="34"/>
      <c r="C336" s="12"/>
      <c r="D336" s="12"/>
      <c r="E336" s="12"/>
      <c r="F336" s="12"/>
      <c r="G336" s="18"/>
      <c r="H336" s="35"/>
      <c r="I336" s="35"/>
      <c r="J336" s="12"/>
      <c r="O336" s="12"/>
      <c r="P336" s="18"/>
      <c r="Q336" s="12"/>
      <c r="R336" s="12"/>
      <c r="S336" s="12"/>
      <c r="T336" s="36"/>
      <c r="U336" s="36"/>
      <c r="V336" s="12"/>
      <c r="W336" s="12"/>
      <c r="X336" s="12"/>
      <c r="Y336" s="12"/>
    </row>
    <row r="337" customFormat="false" ht="15.75" hidden="false" customHeight="false" outlineLevel="0" collapsed="false">
      <c r="A337" s="12"/>
      <c r="B337" s="34"/>
      <c r="C337" s="12"/>
      <c r="D337" s="12"/>
      <c r="E337" s="12"/>
      <c r="F337" s="12"/>
      <c r="G337" s="18"/>
      <c r="H337" s="35"/>
      <c r="I337" s="35"/>
      <c r="J337" s="12"/>
      <c r="O337" s="12"/>
      <c r="P337" s="18"/>
      <c r="Q337" s="12"/>
      <c r="R337" s="12"/>
      <c r="S337" s="12"/>
      <c r="T337" s="36"/>
      <c r="U337" s="36"/>
      <c r="V337" s="12"/>
      <c r="W337" s="12"/>
      <c r="X337" s="12"/>
      <c r="Y337" s="12"/>
    </row>
    <row r="338" customFormat="false" ht="15.75" hidden="false" customHeight="false" outlineLevel="0" collapsed="false">
      <c r="A338" s="12"/>
      <c r="B338" s="34"/>
      <c r="C338" s="12"/>
      <c r="D338" s="12"/>
      <c r="E338" s="12"/>
      <c r="F338" s="12"/>
      <c r="G338" s="18"/>
      <c r="H338" s="35"/>
      <c r="I338" s="35"/>
      <c r="J338" s="12"/>
      <c r="O338" s="12"/>
      <c r="P338" s="18"/>
      <c r="Q338" s="12"/>
      <c r="R338" s="12"/>
      <c r="S338" s="12"/>
      <c r="T338" s="36"/>
      <c r="U338" s="36"/>
      <c r="V338" s="12"/>
      <c r="W338" s="12"/>
      <c r="X338" s="12"/>
      <c r="Y338" s="12"/>
    </row>
    <row r="339" customFormat="false" ht="15.75" hidden="false" customHeight="false" outlineLevel="0" collapsed="false">
      <c r="A339" s="12"/>
      <c r="B339" s="34"/>
      <c r="C339" s="12"/>
      <c r="D339" s="12"/>
      <c r="E339" s="12"/>
      <c r="F339" s="12"/>
      <c r="G339" s="18"/>
      <c r="H339" s="35"/>
      <c r="I339" s="35"/>
      <c r="J339" s="12"/>
      <c r="O339" s="12"/>
      <c r="P339" s="18"/>
      <c r="Q339" s="12"/>
      <c r="R339" s="12"/>
      <c r="S339" s="12"/>
      <c r="T339" s="36"/>
      <c r="U339" s="36"/>
      <c r="V339" s="12"/>
      <c r="W339" s="12"/>
      <c r="X339" s="12"/>
      <c r="Y339" s="12"/>
    </row>
    <row r="340" customFormat="false" ht="15.75" hidden="false" customHeight="false" outlineLevel="0" collapsed="false">
      <c r="A340" s="12"/>
      <c r="B340" s="34"/>
      <c r="C340" s="12"/>
      <c r="D340" s="12"/>
      <c r="E340" s="12"/>
      <c r="F340" s="12"/>
      <c r="G340" s="18"/>
      <c r="H340" s="35"/>
      <c r="I340" s="35"/>
      <c r="J340" s="12"/>
      <c r="O340" s="12"/>
      <c r="P340" s="18"/>
      <c r="Q340" s="12"/>
      <c r="R340" s="12"/>
      <c r="S340" s="12"/>
      <c r="T340" s="36"/>
      <c r="U340" s="36"/>
      <c r="V340" s="12"/>
      <c r="W340" s="12"/>
      <c r="X340" s="12"/>
      <c r="Y340" s="12"/>
    </row>
    <row r="341" customFormat="false" ht="15.75" hidden="false" customHeight="false" outlineLevel="0" collapsed="false">
      <c r="A341" s="12"/>
      <c r="B341" s="34"/>
      <c r="C341" s="12"/>
      <c r="D341" s="12"/>
      <c r="E341" s="12"/>
      <c r="F341" s="12"/>
      <c r="G341" s="18"/>
      <c r="H341" s="35"/>
      <c r="I341" s="35"/>
      <c r="J341" s="12"/>
      <c r="O341" s="12"/>
      <c r="P341" s="18"/>
      <c r="Q341" s="12"/>
      <c r="R341" s="12"/>
      <c r="S341" s="12"/>
      <c r="T341" s="36"/>
      <c r="U341" s="36"/>
      <c r="V341" s="12"/>
      <c r="W341" s="12"/>
      <c r="X341" s="12"/>
      <c r="Y341" s="12"/>
    </row>
    <row r="342" customFormat="false" ht="15.75" hidden="false" customHeight="false" outlineLevel="0" collapsed="false">
      <c r="A342" s="12"/>
      <c r="B342" s="34"/>
      <c r="C342" s="12"/>
      <c r="D342" s="12"/>
      <c r="E342" s="12"/>
      <c r="F342" s="12"/>
      <c r="G342" s="18"/>
      <c r="H342" s="35"/>
      <c r="I342" s="35"/>
      <c r="J342" s="12"/>
      <c r="O342" s="12"/>
      <c r="P342" s="18"/>
      <c r="Q342" s="12"/>
      <c r="R342" s="12"/>
      <c r="S342" s="12"/>
      <c r="T342" s="36"/>
      <c r="U342" s="36"/>
      <c r="V342" s="12"/>
      <c r="W342" s="12"/>
      <c r="X342" s="12"/>
      <c r="Y342" s="12"/>
    </row>
    <row r="343" customFormat="false" ht="15.75" hidden="false" customHeight="false" outlineLevel="0" collapsed="false">
      <c r="A343" s="12"/>
      <c r="B343" s="34"/>
      <c r="C343" s="12"/>
      <c r="D343" s="12"/>
      <c r="E343" s="12"/>
      <c r="F343" s="12"/>
      <c r="G343" s="18"/>
      <c r="H343" s="35"/>
      <c r="I343" s="35"/>
      <c r="J343" s="12"/>
      <c r="O343" s="12"/>
      <c r="P343" s="18"/>
      <c r="Q343" s="12"/>
      <c r="R343" s="12"/>
      <c r="S343" s="12"/>
      <c r="T343" s="36"/>
      <c r="U343" s="36"/>
      <c r="V343" s="12"/>
      <c r="W343" s="12"/>
      <c r="X343" s="12"/>
      <c r="Y343" s="12"/>
    </row>
    <row r="344" customFormat="false" ht="15.75" hidden="false" customHeight="false" outlineLevel="0" collapsed="false">
      <c r="A344" s="12"/>
      <c r="B344" s="34"/>
      <c r="C344" s="12"/>
      <c r="D344" s="12"/>
      <c r="E344" s="12"/>
      <c r="F344" s="12"/>
      <c r="G344" s="18"/>
      <c r="H344" s="35"/>
      <c r="I344" s="35"/>
      <c r="J344" s="12"/>
      <c r="O344" s="12"/>
      <c r="P344" s="18"/>
      <c r="Q344" s="12"/>
      <c r="R344" s="12"/>
      <c r="S344" s="12"/>
      <c r="T344" s="36"/>
      <c r="U344" s="36"/>
      <c r="V344" s="12"/>
      <c r="W344" s="12"/>
      <c r="X344" s="12"/>
      <c r="Y344" s="12"/>
    </row>
    <row r="345" customFormat="false" ht="15.75" hidden="false" customHeight="false" outlineLevel="0" collapsed="false">
      <c r="A345" s="12"/>
      <c r="B345" s="34"/>
      <c r="C345" s="12"/>
      <c r="D345" s="12"/>
      <c r="E345" s="12"/>
      <c r="F345" s="12"/>
      <c r="G345" s="18"/>
      <c r="H345" s="35"/>
      <c r="I345" s="35"/>
      <c r="J345" s="12"/>
      <c r="O345" s="12"/>
      <c r="P345" s="18"/>
      <c r="Q345" s="12"/>
      <c r="R345" s="12"/>
      <c r="S345" s="12"/>
      <c r="T345" s="36"/>
      <c r="U345" s="36"/>
      <c r="V345" s="12"/>
      <c r="W345" s="12"/>
      <c r="X345" s="12"/>
      <c r="Y345" s="12"/>
    </row>
    <row r="346" customFormat="false" ht="15.75" hidden="false" customHeight="false" outlineLevel="0" collapsed="false">
      <c r="A346" s="12"/>
      <c r="B346" s="34"/>
      <c r="C346" s="12"/>
      <c r="D346" s="12"/>
      <c r="E346" s="12"/>
      <c r="F346" s="12"/>
      <c r="G346" s="18"/>
      <c r="H346" s="35"/>
      <c r="I346" s="35"/>
      <c r="J346" s="12"/>
      <c r="O346" s="12"/>
      <c r="P346" s="18"/>
      <c r="Q346" s="12"/>
      <c r="R346" s="12"/>
      <c r="S346" s="12"/>
      <c r="T346" s="36"/>
      <c r="U346" s="36"/>
      <c r="V346" s="12"/>
      <c r="W346" s="12"/>
      <c r="X346" s="12"/>
      <c r="Y346" s="12"/>
    </row>
    <row r="347" customFormat="false" ht="15.75" hidden="false" customHeight="false" outlineLevel="0" collapsed="false">
      <c r="A347" s="12"/>
      <c r="B347" s="34"/>
      <c r="C347" s="12"/>
      <c r="D347" s="12"/>
      <c r="E347" s="12"/>
      <c r="F347" s="12"/>
      <c r="G347" s="18"/>
      <c r="H347" s="35"/>
      <c r="I347" s="35"/>
      <c r="J347" s="12"/>
      <c r="O347" s="12"/>
      <c r="P347" s="18"/>
      <c r="Q347" s="12"/>
      <c r="R347" s="12"/>
      <c r="S347" s="12"/>
      <c r="T347" s="36"/>
      <c r="U347" s="36"/>
      <c r="V347" s="12"/>
      <c r="W347" s="12"/>
      <c r="X347" s="12"/>
      <c r="Y347" s="12"/>
    </row>
    <row r="348" customFormat="false" ht="15.75" hidden="false" customHeight="false" outlineLevel="0" collapsed="false">
      <c r="A348" s="12"/>
      <c r="B348" s="34"/>
      <c r="C348" s="12"/>
      <c r="D348" s="12"/>
      <c r="E348" s="12"/>
      <c r="F348" s="12"/>
      <c r="G348" s="18"/>
      <c r="H348" s="35"/>
      <c r="I348" s="35"/>
      <c r="J348" s="12"/>
      <c r="O348" s="12"/>
      <c r="P348" s="18"/>
      <c r="Q348" s="12"/>
      <c r="R348" s="12"/>
      <c r="S348" s="12"/>
      <c r="T348" s="36"/>
      <c r="U348" s="36"/>
      <c r="V348" s="12"/>
      <c r="W348" s="12"/>
      <c r="X348" s="12"/>
      <c r="Y348" s="12"/>
    </row>
    <row r="349" customFormat="false" ht="15.75" hidden="false" customHeight="false" outlineLevel="0" collapsed="false">
      <c r="A349" s="12"/>
      <c r="B349" s="34"/>
      <c r="C349" s="12"/>
      <c r="D349" s="12"/>
      <c r="E349" s="12"/>
      <c r="F349" s="12"/>
      <c r="G349" s="18"/>
      <c r="H349" s="35"/>
      <c r="I349" s="35"/>
      <c r="J349" s="12"/>
      <c r="O349" s="12"/>
      <c r="P349" s="18"/>
      <c r="Q349" s="12"/>
      <c r="R349" s="12"/>
      <c r="S349" s="12"/>
      <c r="T349" s="36"/>
      <c r="U349" s="36"/>
      <c r="V349" s="12"/>
      <c r="W349" s="12"/>
      <c r="X349" s="12"/>
      <c r="Y349" s="12"/>
    </row>
    <row r="350" customFormat="false" ht="15.75" hidden="false" customHeight="false" outlineLevel="0" collapsed="false">
      <c r="A350" s="12"/>
      <c r="B350" s="34"/>
      <c r="C350" s="12"/>
      <c r="D350" s="12"/>
      <c r="E350" s="12"/>
      <c r="F350" s="12"/>
      <c r="G350" s="18"/>
      <c r="H350" s="35"/>
      <c r="I350" s="35"/>
      <c r="J350" s="12"/>
      <c r="O350" s="12"/>
      <c r="P350" s="18"/>
      <c r="Q350" s="12"/>
      <c r="R350" s="12"/>
      <c r="S350" s="12"/>
      <c r="T350" s="36"/>
      <c r="U350" s="36"/>
      <c r="V350" s="12"/>
      <c r="W350" s="12"/>
      <c r="X350" s="12"/>
      <c r="Y350" s="12"/>
    </row>
    <row r="351" customFormat="false" ht="15.75" hidden="false" customHeight="false" outlineLevel="0" collapsed="false">
      <c r="A351" s="12"/>
      <c r="B351" s="34"/>
      <c r="C351" s="12"/>
      <c r="D351" s="12"/>
      <c r="E351" s="12"/>
      <c r="F351" s="12"/>
      <c r="G351" s="18"/>
      <c r="H351" s="35"/>
      <c r="I351" s="35"/>
      <c r="J351" s="12"/>
      <c r="O351" s="12"/>
      <c r="P351" s="18"/>
      <c r="Q351" s="12"/>
      <c r="R351" s="12"/>
      <c r="S351" s="12"/>
      <c r="T351" s="36"/>
      <c r="U351" s="36"/>
      <c r="V351" s="12"/>
      <c r="W351" s="12"/>
      <c r="X351" s="12"/>
      <c r="Y351" s="12"/>
    </row>
    <row r="352" customFormat="false" ht="15.75" hidden="false" customHeight="false" outlineLevel="0" collapsed="false">
      <c r="A352" s="12"/>
      <c r="B352" s="34"/>
      <c r="C352" s="12"/>
      <c r="D352" s="12"/>
      <c r="E352" s="12"/>
      <c r="F352" s="12"/>
      <c r="G352" s="18"/>
      <c r="H352" s="35"/>
      <c r="I352" s="35"/>
      <c r="J352" s="12"/>
      <c r="O352" s="12"/>
      <c r="P352" s="18"/>
      <c r="Q352" s="12"/>
      <c r="R352" s="12"/>
      <c r="S352" s="12"/>
      <c r="T352" s="36"/>
      <c r="U352" s="36"/>
      <c r="V352" s="12"/>
      <c r="W352" s="12"/>
      <c r="X352" s="12"/>
      <c r="Y352" s="12"/>
    </row>
    <row r="353" customFormat="false" ht="15.75" hidden="false" customHeight="false" outlineLevel="0" collapsed="false">
      <c r="A353" s="12"/>
      <c r="B353" s="34"/>
      <c r="C353" s="12"/>
      <c r="D353" s="12"/>
      <c r="E353" s="12"/>
      <c r="F353" s="12"/>
      <c r="G353" s="18"/>
      <c r="H353" s="35"/>
      <c r="I353" s="35"/>
      <c r="J353" s="12"/>
      <c r="O353" s="12"/>
      <c r="P353" s="18"/>
      <c r="Q353" s="12"/>
      <c r="R353" s="12"/>
      <c r="S353" s="12"/>
      <c r="T353" s="36"/>
      <c r="U353" s="36"/>
      <c r="V353" s="12"/>
      <c r="W353" s="12"/>
      <c r="X353" s="12"/>
      <c r="Y353" s="12"/>
    </row>
    <row r="354" customFormat="false" ht="15.75" hidden="false" customHeight="false" outlineLevel="0" collapsed="false">
      <c r="A354" s="12"/>
      <c r="B354" s="34"/>
      <c r="C354" s="12"/>
      <c r="D354" s="12"/>
      <c r="E354" s="12"/>
      <c r="F354" s="12"/>
      <c r="G354" s="18"/>
      <c r="H354" s="35"/>
      <c r="I354" s="35"/>
      <c r="J354" s="12"/>
      <c r="O354" s="12"/>
      <c r="P354" s="18"/>
      <c r="Q354" s="12"/>
      <c r="R354" s="12"/>
      <c r="S354" s="12"/>
      <c r="T354" s="36"/>
      <c r="U354" s="36"/>
      <c r="V354" s="12"/>
      <c r="W354" s="12"/>
      <c r="X354" s="12"/>
      <c r="Y354" s="12"/>
    </row>
    <row r="355" customFormat="false" ht="15.75" hidden="false" customHeight="false" outlineLevel="0" collapsed="false">
      <c r="A355" s="12"/>
      <c r="B355" s="34"/>
      <c r="C355" s="12"/>
      <c r="D355" s="12"/>
      <c r="E355" s="12"/>
      <c r="F355" s="12"/>
      <c r="G355" s="18"/>
      <c r="H355" s="35"/>
      <c r="I355" s="35"/>
      <c r="J355" s="12"/>
      <c r="O355" s="12"/>
      <c r="P355" s="18"/>
      <c r="Q355" s="12"/>
      <c r="R355" s="12"/>
      <c r="S355" s="12"/>
      <c r="T355" s="36"/>
      <c r="U355" s="36"/>
      <c r="V355" s="12"/>
      <c r="W355" s="12"/>
      <c r="X355" s="12"/>
      <c r="Y355" s="12"/>
    </row>
    <row r="356" customFormat="false" ht="15.75" hidden="false" customHeight="false" outlineLevel="0" collapsed="false">
      <c r="A356" s="12"/>
      <c r="B356" s="34"/>
      <c r="C356" s="12"/>
      <c r="D356" s="12"/>
      <c r="E356" s="12"/>
      <c r="F356" s="12"/>
      <c r="G356" s="18"/>
      <c r="H356" s="35"/>
      <c r="I356" s="35"/>
      <c r="J356" s="12"/>
      <c r="O356" s="12"/>
      <c r="P356" s="18"/>
      <c r="Q356" s="12"/>
      <c r="R356" s="12"/>
      <c r="S356" s="12"/>
      <c r="T356" s="36"/>
      <c r="U356" s="36"/>
      <c r="V356" s="12"/>
      <c r="W356" s="12"/>
      <c r="X356" s="12"/>
      <c r="Y356" s="12"/>
    </row>
    <row r="357" customFormat="false" ht="15.75" hidden="false" customHeight="false" outlineLevel="0" collapsed="false">
      <c r="A357" s="12"/>
      <c r="B357" s="34"/>
      <c r="C357" s="12"/>
      <c r="D357" s="12"/>
      <c r="E357" s="12"/>
      <c r="F357" s="12"/>
      <c r="G357" s="18"/>
      <c r="H357" s="35"/>
      <c r="I357" s="35"/>
      <c r="J357" s="12"/>
      <c r="O357" s="12"/>
      <c r="P357" s="18"/>
      <c r="Q357" s="12"/>
      <c r="R357" s="12"/>
      <c r="S357" s="12"/>
      <c r="T357" s="36"/>
      <c r="U357" s="36"/>
      <c r="V357" s="12"/>
      <c r="W357" s="12"/>
      <c r="X357" s="12"/>
      <c r="Y357" s="12"/>
    </row>
    <row r="358" customFormat="false" ht="15.75" hidden="false" customHeight="false" outlineLevel="0" collapsed="false">
      <c r="A358" s="12"/>
      <c r="B358" s="34"/>
      <c r="C358" s="12"/>
      <c r="D358" s="12"/>
      <c r="E358" s="12"/>
      <c r="F358" s="12"/>
      <c r="G358" s="18"/>
      <c r="H358" s="35"/>
      <c r="I358" s="35"/>
      <c r="J358" s="12"/>
      <c r="O358" s="12"/>
      <c r="P358" s="18"/>
      <c r="Q358" s="12"/>
      <c r="R358" s="12"/>
      <c r="S358" s="12"/>
      <c r="T358" s="36"/>
      <c r="U358" s="36"/>
      <c r="V358" s="12"/>
      <c r="W358" s="12"/>
      <c r="X358" s="12"/>
      <c r="Y358" s="12"/>
    </row>
    <row r="359" customFormat="false" ht="15.75" hidden="false" customHeight="false" outlineLevel="0" collapsed="false">
      <c r="A359" s="12"/>
      <c r="B359" s="34"/>
      <c r="C359" s="12"/>
      <c r="D359" s="12"/>
      <c r="E359" s="12"/>
      <c r="F359" s="12"/>
      <c r="G359" s="18"/>
      <c r="H359" s="35"/>
      <c r="I359" s="35"/>
      <c r="J359" s="12"/>
      <c r="O359" s="12"/>
      <c r="P359" s="18"/>
      <c r="Q359" s="12"/>
      <c r="R359" s="12"/>
      <c r="S359" s="12"/>
      <c r="T359" s="36"/>
      <c r="U359" s="36"/>
      <c r="V359" s="12"/>
      <c r="W359" s="12"/>
      <c r="X359" s="12"/>
      <c r="Y359" s="12"/>
    </row>
    <row r="360" customFormat="false" ht="15.75" hidden="false" customHeight="false" outlineLevel="0" collapsed="false">
      <c r="A360" s="12"/>
      <c r="B360" s="34"/>
      <c r="C360" s="12"/>
      <c r="D360" s="12"/>
      <c r="E360" s="12"/>
      <c r="F360" s="12"/>
      <c r="G360" s="18"/>
      <c r="H360" s="35"/>
      <c r="I360" s="35"/>
      <c r="J360" s="12"/>
      <c r="O360" s="12"/>
      <c r="P360" s="18"/>
      <c r="Q360" s="12"/>
      <c r="R360" s="12"/>
      <c r="S360" s="12"/>
      <c r="T360" s="36"/>
      <c r="U360" s="36"/>
      <c r="V360" s="12"/>
      <c r="W360" s="12"/>
      <c r="X360" s="12"/>
      <c r="Y360" s="12"/>
    </row>
    <row r="361" customFormat="false" ht="15.75" hidden="false" customHeight="false" outlineLevel="0" collapsed="false">
      <c r="A361" s="12"/>
      <c r="B361" s="34"/>
      <c r="C361" s="12"/>
      <c r="D361" s="12"/>
      <c r="E361" s="12"/>
      <c r="F361" s="12"/>
      <c r="G361" s="18"/>
      <c r="H361" s="35"/>
      <c r="I361" s="35"/>
      <c r="J361" s="12"/>
      <c r="O361" s="12"/>
      <c r="P361" s="18"/>
      <c r="Q361" s="12"/>
      <c r="R361" s="12"/>
      <c r="S361" s="12"/>
      <c r="T361" s="36"/>
      <c r="U361" s="36"/>
      <c r="V361" s="12"/>
      <c r="W361" s="12"/>
      <c r="X361" s="12"/>
      <c r="Y361" s="12"/>
    </row>
    <row r="362" customFormat="false" ht="15.75" hidden="false" customHeight="false" outlineLevel="0" collapsed="false">
      <c r="A362" s="12"/>
      <c r="B362" s="34"/>
      <c r="C362" s="12"/>
      <c r="D362" s="12"/>
      <c r="E362" s="12"/>
      <c r="F362" s="12"/>
      <c r="G362" s="18"/>
      <c r="H362" s="35"/>
      <c r="I362" s="35"/>
      <c r="J362" s="12"/>
      <c r="O362" s="12"/>
      <c r="P362" s="18"/>
      <c r="Q362" s="12"/>
      <c r="R362" s="12"/>
      <c r="S362" s="12"/>
      <c r="T362" s="36"/>
      <c r="U362" s="36"/>
      <c r="V362" s="12"/>
      <c r="W362" s="12"/>
      <c r="X362" s="12"/>
      <c r="Y362" s="12"/>
    </row>
    <row r="363" customFormat="false" ht="15.75" hidden="false" customHeight="false" outlineLevel="0" collapsed="false">
      <c r="A363" s="12"/>
      <c r="B363" s="34"/>
      <c r="C363" s="12"/>
      <c r="D363" s="12"/>
      <c r="E363" s="12"/>
      <c r="F363" s="12"/>
      <c r="G363" s="18"/>
      <c r="H363" s="35"/>
      <c r="I363" s="35"/>
      <c r="J363" s="12"/>
      <c r="O363" s="12"/>
      <c r="P363" s="18"/>
      <c r="Q363" s="12"/>
      <c r="R363" s="12"/>
      <c r="S363" s="12"/>
      <c r="T363" s="36"/>
      <c r="U363" s="36"/>
      <c r="V363" s="12"/>
      <c r="W363" s="12"/>
      <c r="X363" s="12"/>
      <c r="Y363" s="12"/>
    </row>
    <row r="364" customFormat="false" ht="15.75" hidden="false" customHeight="false" outlineLevel="0" collapsed="false">
      <c r="A364" s="12"/>
      <c r="B364" s="34"/>
      <c r="C364" s="12"/>
      <c r="D364" s="12"/>
      <c r="E364" s="12"/>
      <c r="F364" s="12"/>
      <c r="G364" s="18"/>
      <c r="H364" s="35"/>
      <c r="I364" s="35"/>
      <c r="J364" s="12"/>
      <c r="O364" s="12"/>
      <c r="P364" s="18"/>
      <c r="Q364" s="12"/>
      <c r="R364" s="12"/>
      <c r="S364" s="12"/>
      <c r="T364" s="36"/>
      <c r="U364" s="36"/>
      <c r="V364" s="12"/>
      <c r="W364" s="12"/>
      <c r="X364" s="12"/>
      <c r="Y364" s="12"/>
    </row>
    <row r="365" customFormat="false" ht="15.75" hidden="false" customHeight="false" outlineLevel="0" collapsed="false">
      <c r="A365" s="12"/>
      <c r="B365" s="34"/>
      <c r="C365" s="12"/>
      <c r="D365" s="12"/>
      <c r="E365" s="12"/>
      <c r="F365" s="12"/>
      <c r="G365" s="18"/>
      <c r="H365" s="35"/>
      <c r="I365" s="35"/>
      <c r="J365" s="12"/>
      <c r="O365" s="12"/>
      <c r="P365" s="18"/>
      <c r="Q365" s="12"/>
      <c r="R365" s="12"/>
      <c r="S365" s="12"/>
      <c r="T365" s="36"/>
      <c r="U365" s="36"/>
      <c r="V365" s="12"/>
      <c r="W365" s="12"/>
      <c r="X365" s="12"/>
      <c r="Y365" s="12"/>
    </row>
    <row r="366" customFormat="false" ht="15.75" hidden="false" customHeight="false" outlineLevel="0" collapsed="false">
      <c r="A366" s="12"/>
      <c r="B366" s="34"/>
      <c r="C366" s="12"/>
      <c r="D366" s="12"/>
      <c r="E366" s="12"/>
      <c r="F366" s="12"/>
      <c r="G366" s="18"/>
      <c r="H366" s="35"/>
      <c r="I366" s="35"/>
      <c r="J366" s="12"/>
      <c r="O366" s="12"/>
      <c r="P366" s="18"/>
      <c r="Q366" s="12"/>
      <c r="R366" s="12"/>
      <c r="S366" s="12"/>
      <c r="T366" s="36"/>
      <c r="U366" s="36"/>
      <c r="V366" s="12"/>
      <c r="W366" s="12"/>
      <c r="X366" s="12"/>
      <c r="Y366" s="12"/>
    </row>
    <row r="367" customFormat="false" ht="15.75" hidden="false" customHeight="false" outlineLevel="0" collapsed="false">
      <c r="A367" s="12"/>
      <c r="B367" s="34"/>
      <c r="C367" s="12"/>
      <c r="D367" s="12"/>
      <c r="E367" s="12"/>
      <c r="F367" s="12"/>
      <c r="G367" s="18"/>
      <c r="H367" s="35"/>
      <c r="I367" s="35"/>
      <c r="J367" s="12"/>
      <c r="O367" s="12"/>
      <c r="P367" s="18"/>
      <c r="Q367" s="12"/>
      <c r="R367" s="12"/>
      <c r="S367" s="12"/>
      <c r="T367" s="36"/>
      <c r="U367" s="36"/>
      <c r="V367" s="12"/>
      <c r="W367" s="12"/>
      <c r="X367" s="12"/>
      <c r="Y367" s="12"/>
    </row>
    <row r="368" customFormat="false" ht="15.75" hidden="false" customHeight="false" outlineLevel="0" collapsed="false">
      <c r="A368" s="12"/>
      <c r="B368" s="34"/>
      <c r="C368" s="12"/>
      <c r="D368" s="12"/>
      <c r="E368" s="12"/>
      <c r="F368" s="12"/>
      <c r="G368" s="18"/>
      <c r="H368" s="35"/>
      <c r="I368" s="35"/>
      <c r="J368" s="12"/>
      <c r="O368" s="12"/>
      <c r="P368" s="18"/>
      <c r="Q368" s="12"/>
      <c r="R368" s="12"/>
      <c r="S368" s="12"/>
      <c r="T368" s="36"/>
      <c r="U368" s="36"/>
      <c r="V368" s="12"/>
      <c r="W368" s="12"/>
      <c r="X368" s="12"/>
      <c r="Y368" s="12"/>
    </row>
    <row r="369" customFormat="false" ht="15.75" hidden="false" customHeight="false" outlineLevel="0" collapsed="false">
      <c r="A369" s="12"/>
      <c r="B369" s="34"/>
      <c r="C369" s="12"/>
      <c r="D369" s="12"/>
      <c r="E369" s="12"/>
      <c r="F369" s="12"/>
      <c r="G369" s="18"/>
      <c r="H369" s="35"/>
      <c r="I369" s="35"/>
      <c r="J369" s="12"/>
      <c r="O369" s="12"/>
      <c r="P369" s="18"/>
      <c r="Q369" s="12"/>
      <c r="R369" s="12"/>
      <c r="S369" s="12"/>
      <c r="T369" s="36"/>
      <c r="U369" s="36"/>
      <c r="V369" s="12"/>
      <c r="W369" s="12"/>
      <c r="X369" s="12"/>
      <c r="Y369" s="12"/>
    </row>
    <row r="370" customFormat="false" ht="15.75" hidden="false" customHeight="false" outlineLevel="0" collapsed="false">
      <c r="A370" s="12"/>
      <c r="B370" s="34"/>
      <c r="C370" s="12"/>
      <c r="D370" s="12"/>
      <c r="E370" s="12"/>
      <c r="F370" s="12"/>
      <c r="G370" s="18"/>
      <c r="H370" s="35"/>
      <c r="I370" s="35"/>
      <c r="J370" s="12"/>
      <c r="O370" s="12"/>
      <c r="P370" s="18"/>
      <c r="Q370" s="12"/>
      <c r="R370" s="12"/>
      <c r="S370" s="12"/>
      <c r="T370" s="36"/>
      <c r="U370" s="36"/>
      <c r="V370" s="12"/>
      <c r="W370" s="12"/>
      <c r="X370" s="12"/>
      <c r="Y370" s="12"/>
    </row>
    <row r="371" customFormat="false" ht="15.75" hidden="false" customHeight="false" outlineLevel="0" collapsed="false">
      <c r="A371" s="12"/>
      <c r="B371" s="34"/>
      <c r="C371" s="12"/>
      <c r="D371" s="12"/>
      <c r="E371" s="12"/>
      <c r="F371" s="12"/>
      <c r="G371" s="18"/>
      <c r="H371" s="35"/>
      <c r="I371" s="35"/>
      <c r="J371" s="12"/>
      <c r="O371" s="12"/>
      <c r="P371" s="18"/>
      <c r="Q371" s="12"/>
      <c r="R371" s="12"/>
      <c r="S371" s="12"/>
      <c r="T371" s="36"/>
      <c r="U371" s="36"/>
      <c r="V371" s="12"/>
      <c r="W371" s="12"/>
      <c r="X371" s="12"/>
      <c r="Y371" s="12"/>
    </row>
    <row r="372" customFormat="false" ht="15.75" hidden="false" customHeight="false" outlineLevel="0" collapsed="false">
      <c r="A372" s="12"/>
      <c r="B372" s="34"/>
      <c r="C372" s="12"/>
      <c r="D372" s="12"/>
      <c r="E372" s="12"/>
      <c r="F372" s="12"/>
      <c r="G372" s="18"/>
      <c r="H372" s="35"/>
      <c r="I372" s="35"/>
      <c r="J372" s="12"/>
      <c r="O372" s="12"/>
      <c r="P372" s="18"/>
      <c r="Q372" s="12"/>
      <c r="R372" s="12"/>
      <c r="S372" s="12"/>
      <c r="T372" s="36"/>
      <c r="U372" s="36"/>
      <c r="V372" s="12"/>
      <c r="W372" s="12"/>
      <c r="X372" s="12"/>
      <c r="Y372" s="12"/>
    </row>
    <row r="373" customFormat="false" ht="15.75" hidden="false" customHeight="false" outlineLevel="0" collapsed="false">
      <c r="A373" s="12"/>
      <c r="B373" s="34"/>
      <c r="C373" s="12"/>
      <c r="D373" s="12"/>
      <c r="E373" s="12"/>
      <c r="F373" s="12"/>
      <c r="G373" s="18"/>
      <c r="H373" s="35"/>
      <c r="I373" s="35"/>
      <c r="J373" s="12"/>
      <c r="O373" s="12"/>
      <c r="P373" s="18"/>
      <c r="Q373" s="12"/>
      <c r="R373" s="12"/>
      <c r="S373" s="12"/>
      <c r="T373" s="36"/>
      <c r="U373" s="36"/>
      <c r="V373" s="12"/>
      <c r="W373" s="12"/>
      <c r="X373" s="12"/>
      <c r="Y373" s="12"/>
    </row>
    <row r="374" customFormat="false" ht="15.75" hidden="false" customHeight="false" outlineLevel="0" collapsed="false">
      <c r="A374" s="12"/>
      <c r="B374" s="34"/>
      <c r="C374" s="12"/>
      <c r="D374" s="12"/>
      <c r="E374" s="12"/>
      <c r="F374" s="12"/>
      <c r="G374" s="18"/>
      <c r="H374" s="35"/>
      <c r="I374" s="35"/>
      <c r="J374" s="12"/>
      <c r="O374" s="12"/>
      <c r="P374" s="18"/>
      <c r="Q374" s="12"/>
      <c r="R374" s="12"/>
      <c r="S374" s="12"/>
      <c r="T374" s="36"/>
      <c r="U374" s="36"/>
      <c r="V374" s="12"/>
      <c r="W374" s="12"/>
      <c r="X374" s="12"/>
      <c r="Y374" s="12"/>
    </row>
    <row r="375" customFormat="false" ht="15.75" hidden="false" customHeight="false" outlineLevel="0" collapsed="false">
      <c r="A375" s="12"/>
      <c r="B375" s="34"/>
      <c r="C375" s="12"/>
      <c r="D375" s="12"/>
      <c r="E375" s="12"/>
      <c r="F375" s="12"/>
      <c r="G375" s="18"/>
      <c r="H375" s="35"/>
      <c r="I375" s="35"/>
      <c r="J375" s="12"/>
      <c r="O375" s="12"/>
      <c r="P375" s="18"/>
      <c r="Q375" s="12"/>
      <c r="R375" s="12"/>
      <c r="S375" s="12"/>
      <c r="T375" s="36"/>
      <c r="U375" s="36"/>
      <c r="V375" s="12"/>
      <c r="W375" s="12"/>
      <c r="X375" s="12"/>
      <c r="Y375" s="12"/>
    </row>
    <row r="376" customFormat="false" ht="15.75" hidden="false" customHeight="false" outlineLevel="0" collapsed="false">
      <c r="A376" s="12"/>
      <c r="B376" s="34"/>
      <c r="C376" s="12"/>
      <c r="D376" s="12"/>
      <c r="E376" s="12"/>
      <c r="F376" s="12"/>
      <c r="G376" s="18"/>
      <c r="H376" s="35"/>
      <c r="I376" s="35"/>
      <c r="J376" s="12"/>
      <c r="O376" s="12"/>
      <c r="P376" s="18"/>
      <c r="Q376" s="12"/>
      <c r="R376" s="12"/>
      <c r="S376" s="12"/>
      <c r="T376" s="36"/>
      <c r="U376" s="36"/>
      <c r="V376" s="12"/>
      <c r="W376" s="12"/>
      <c r="X376" s="12"/>
      <c r="Y376" s="12"/>
    </row>
    <row r="377" customFormat="false" ht="15.75" hidden="false" customHeight="false" outlineLevel="0" collapsed="false">
      <c r="A377" s="12"/>
      <c r="B377" s="34"/>
      <c r="C377" s="12"/>
      <c r="D377" s="12"/>
      <c r="E377" s="12"/>
      <c r="F377" s="12"/>
      <c r="G377" s="18"/>
      <c r="H377" s="35"/>
      <c r="I377" s="35"/>
      <c r="J377" s="12"/>
      <c r="O377" s="12"/>
      <c r="P377" s="18"/>
      <c r="Q377" s="12"/>
      <c r="R377" s="12"/>
      <c r="S377" s="12"/>
      <c r="T377" s="36"/>
      <c r="U377" s="36"/>
      <c r="V377" s="12"/>
      <c r="W377" s="12"/>
      <c r="X377" s="12"/>
      <c r="Y377" s="12"/>
    </row>
    <row r="378" customFormat="false" ht="15.75" hidden="false" customHeight="false" outlineLevel="0" collapsed="false">
      <c r="A378" s="12"/>
      <c r="B378" s="34"/>
      <c r="C378" s="12"/>
      <c r="D378" s="12"/>
      <c r="E378" s="12"/>
      <c r="F378" s="12"/>
      <c r="G378" s="18"/>
      <c r="H378" s="35"/>
      <c r="I378" s="35"/>
      <c r="J378" s="12"/>
      <c r="O378" s="12"/>
      <c r="P378" s="18"/>
      <c r="Q378" s="12"/>
      <c r="R378" s="12"/>
      <c r="S378" s="12"/>
      <c r="T378" s="36"/>
      <c r="U378" s="36"/>
      <c r="V378" s="12"/>
      <c r="W378" s="12"/>
      <c r="X378" s="12"/>
      <c r="Y378" s="12"/>
    </row>
    <row r="379" customFormat="false" ht="15.75" hidden="false" customHeight="false" outlineLevel="0" collapsed="false">
      <c r="A379" s="12"/>
      <c r="B379" s="34"/>
      <c r="C379" s="12"/>
      <c r="D379" s="12"/>
      <c r="E379" s="12"/>
      <c r="F379" s="12"/>
      <c r="G379" s="18"/>
      <c r="H379" s="35"/>
      <c r="I379" s="35"/>
      <c r="J379" s="12"/>
      <c r="O379" s="12"/>
      <c r="P379" s="18"/>
      <c r="Q379" s="12"/>
      <c r="R379" s="12"/>
      <c r="S379" s="12"/>
      <c r="T379" s="36"/>
      <c r="U379" s="36"/>
      <c r="V379" s="12"/>
      <c r="W379" s="12"/>
      <c r="X379" s="12"/>
      <c r="Y379" s="12"/>
    </row>
    <row r="380" customFormat="false" ht="15.75" hidden="false" customHeight="false" outlineLevel="0" collapsed="false">
      <c r="A380" s="12"/>
      <c r="B380" s="34"/>
      <c r="C380" s="12"/>
      <c r="D380" s="12"/>
      <c r="E380" s="12"/>
      <c r="F380" s="12"/>
      <c r="G380" s="18"/>
      <c r="H380" s="35"/>
      <c r="I380" s="35"/>
      <c r="J380" s="12"/>
      <c r="O380" s="12"/>
      <c r="P380" s="18"/>
      <c r="Q380" s="12"/>
      <c r="R380" s="12"/>
      <c r="S380" s="12"/>
      <c r="T380" s="36"/>
      <c r="U380" s="36"/>
      <c r="V380" s="12"/>
      <c r="W380" s="12"/>
      <c r="X380" s="12"/>
      <c r="Y380" s="12"/>
    </row>
    <row r="381" customFormat="false" ht="15.75" hidden="false" customHeight="false" outlineLevel="0" collapsed="false">
      <c r="A381" s="12"/>
      <c r="B381" s="34"/>
      <c r="C381" s="12"/>
      <c r="D381" s="12"/>
      <c r="E381" s="12"/>
      <c r="F381" s="12"/>
      <c r="G381" s="18"/>
      <c r="H381" s="35"/>
      <c r="I381" s="35"/>
      <c r="J381" s="12"/>
      <c r="O381" s="12"/>
      <c r="P381" s="18"/>
      <c r="Q381" s="12"/>
      <c r="R381" s="12"/>
      <c r="S381" s="12"/>
      <c r="T381" s="36"/>
      <c r="U381" s="36"/>
      <c r="V381" s="12"/>
      <c r="W381" s="12"/>
      <c r="X381" s="12"/>
      <c r="Y381" s="12"/>
    </row>
    <row r="382" customFormat="false" ht="15.75" hidden="false" customHeight="false" outlineLevel="0" collapsed="false">
      <c r="A382" s="12"/>
      <c r="B382" s="34"/>
      <c r="C382" s="12"/>
      <c r="D382" s="12"/>
      <c r="E382" s="12"/>
      <c r="F382" s="12"/>
      <c r="G382" s="18"/>
      <c r="H382" s="35"/>
      <c r="I382" s="35"/>
      <c r="J382" s="12"/>
      <c r="O382" s="12"/>
      <c r="P382" s="18"/>
      <c r="Q382" s="12"/>
      <c r="R382" s="12"/>
      <c r="S382" s="12"/>
      <c r="T382" s="36"/>
      <c r="U382" s="36"/>
      <c r="V382" s="12"/>
      <c r="W382" s="12"/>
      <c r="X382" s="12"/>
      <c r="Y382" s="12"/>
    </row>
    <row r="383" customFormat="false" ht="15.75" hidden="false" customHeight="false" outlineLevel="0" collapsed="false">
      <c r="A383" s="12"/>
      <c r="B383" s="34"/>
      <c r="C383" s="12"/>
      <c r="D383" s="12"/>
      <c r="E383" s="12"/>
      <c r="F383" s="12"/>
      <c r="G383" s="18"/>
      <c r="H383" s="35"/>
      <c r="I383" s="35"/>
      <c r="J383" s="12"/>
      <c r="O383" s="12"/>
      <c r="P383" s="18"/>
      <c r="Q383" s="12"/>
      <c r="R383" s="12"/>
      <c r="S383" s="12"/>
      <c r="T383" s="36"/>
      <c r="U383" s="36"/>
      <c r="V383" s="12"/>
      <c r="W383" s="12"/>
      <c r="X383" s="12"/>
      <c r="Y383" s="12"/>
    </row>
    <row r="384" customFormat="false" ht="15.75" hidden="false" customHeight="false" outlineLevel="0" collapsed="false">
      <c r="A384" s="12"/>
      <c r="B384" s="34"/>
      <c r="C384" s="12"/>
      <c r="D384" s="12"/>
      <c r="E384" s="12"/>
      <c r="F384" s="12"/>
      <c r="G384" s="18"/>
      <c r="H384" s="35"/>
      <c r="I384" s="35"/>
      <c r="J384" s="12"/>
      <c r="O384" s="12"/>
      <c r="P384" s="18"/>
      <c r="Q384" s="12"/>
      <c r="R384" s="12"/>
      <c r="S384" s="12"/>
      <c r="T384" s="36"/>
      <c r="U384" s="36"/>
      <c r="V384" s="12"/>
      <c r="W384" s="12"/>
      <c r="X384" s="12"/>
      <c r="Y384" s="12"/>
    </row>
    <row r="385" customFormat="false" ht="15.75" hidden="false" customHeight="false" outlineLevel="0" collapsed="false">
      <c r="A385" s="12"/>
      <c r="B385" s="34"/>
      <c r="C385" s="12"/>
      <c r="D385" s="12"/>
      <c r="E385" s="12"/>
      <c r="F385" s="12"/>
      <c r="G385" s="18"/>
      <c r="H385" s="35"/>
      <c r="I385" s="35"/>
      <c r="J385" s="12"/>
      <c r="O385" s="12"/>
      <c r="P385" s="18"/>
      <c r="Q385" s="12"/>
      <c r="R385" s="12"/>
      <c r="S385" s="12"/>
      <c r="T385" s="36"/>
      <c r="U385" s="36"/>
      <c r="V385" s="12"/>
      <c r="W385" s="12"/>
      <c r="X385" s="12"/>
      <c r="Y385" s="12"/>
    </row>
    <row r="386" customFormat="false" ht="15.75" hidden="false" customHeight="false" outlineLevel="0" collapsed="false">
      <c r="A386" s="12"/>
      <c r="B386" s="34"/>
      <c r="C386" s="12"/>
      <c r="D386" s="12"/>
      <c r="E386" s="12"/>
      <c r="F386" s="12"/>
      <c r="G386" s="18"/>
      <c r="H386" s="35"/>
      <c r="I386" s="35"/>
      <c r="J386" s="12"/>
      <c r="O386" s="12"/>
      <c r="P386" s="18"/>
      <c r="Q386" s="12"/>
      <c r="R386" s="12"/>
      <c r="S386" s="12"/>
      <c r="T386" s="36"/>
      <c r="U386" s="36"/>
      <c r="V386" s="12"/>
      <c r="W386" s="12"/>
      <c r="X386" s="12"/>
      <c r="Y386" s="12"/>
    </row>
    <row r="387" customFormat="false" ht="15.75" hidden="false" customHeight="false" outlineLevel="0" collapsed="false">
      <c r="A387" s="12"/>
      <c r="B387" s="34"/>
      <c r="C387" s="12"/>
      <c r="D387" s="12"/>
      <c r="E387" s="12"/>
      <c r="F387" s="12"/>
      <c r="G387" s="18"/>
      <c r="H387" s="35"/>
      <c r="I387" s="35"/>
      <c r="J387" s="12"/>
      <c r="O387" s="12"/>
      <c r="P387" s="18"/>
      <c r="Q387" s="12"/>
      <c r="R387" s="12"/>
      <c r="S387" s="12"/>
      <c r="T387" s="36"/>
      <c r="U387" s="36"/>
      <c r="V387" s="12"/>
      <c r="W387" s="12"/>
      <c r="X387" s="12"/>
      <c r="Y387" s="12"/>
    </row>
    <row r="388" customFormat="false" ht="15.75" hidden="false" customHeight="false" outlineLevel="0" collapsed="false">
      <c r="A388" s="12"/>
      <c r="B388" s="34"/>
      <c r="C388" s="12"/>
      <c r="D388" s="12"/>
      <c r="E388" s="12"/>
      <c r="F388" s="12"/>
      <c r="G388" s="18"/>
      <c r="H388" s="35"/>
      <c r="I388" s="35"/>
      <c r="J388" s="12"/>
      <c r="O388" s="12"/>
      <c r="P388" s="18"/>
      <c r="Q388" s="12"/>
      <c r="R388" s="12"/>
      <c r="S388" s="12"/>
      <c r="T388" s="36"/>
      <c r="U388" s="36"/>
      <c r="V388" s="12"/>
      <c r="W388" s="12"/>
      <c r="X388" s="12"/>
      <c r="Y388" s="12"/>
    </row>
    <row r="389" customFormat="false" ht="15.75" hidden="false" customHeight="false" outlineLevel="0" collapsed="false">
      <c r="A389" s="12"/>
      <c r="B389" s="34"/>
      <c r="C389" s="12"/>
      <c r="D389" s="12"/>
      <c r="E389" s="12"/>
      <c r="F389" s="12"/>
      <c r="G389" s="18"/>
      <c r="H389" s="35"/>
      <c r="I389" s="35"/>
      <c r="J389" s="12"/>
      <c r="O389" s="12"/>
      <c r="P389" s="18"/>
      <c r="Q389" s="12"/>
      <c r="R389" s="12"/>
      <c r="S389" s="12"/>
      <c r="T389" s="36"/>
      <c r="U389" s="36"/>
      <c r="V389" s="12"/>
      <c r="W389" s="12"/>
      <c r="X389" s="12"/>
      <c r="Y389" s="12"/>
    </row>
    <row r="390" customFormat="false" ht="15.75" hidden="false" customHeight="false" outlineLevel="0" collapsed="false">
      <c r="A390" s="12"/>
      <c r="B390" s="34"/>
      <c r="C390" s="12"/>
      <c r="D390" s="12"/>
      <c r="E390" s="12"/>
      <c r="F390" s="12"/>
      <c r="G390" s="18"/>
      <c r="H390" s="35"/>
      <c r="I390" s="35"/>
      <c r="J390" s="12"/>
      <c r="O390" s="12"/>
      <c r="P390" s="18"/>
      <c r="Q390" s="12"/>
      <c r="R390" s="12"/>
      <c r="S390" s="12"/>
      <c r="T390" s="36"/>
      <c r="U390" s="36"/>
      <c r="V390" s="12"/>
      <c r="W390" s="12"/>
      <c r="X390" s="12"/>
      <c r="Y390" s="12"/>
    </row>
    <row r="391" customFormat="false" ht="15.75" hidden="false" customHeight="false" outlineLevel="0" collapsed="false">
      <c r="A391" s="12"/>
      <c r="B391" s="34"/>
      <c r="C391" s="12"/>
      <c r="D391" s="12"/>
      <c r="E391" s="12"/>
      <c r="F391" s="12"/>
      <c r="G391" s="18"/>
      <c r="H391" s="35"/>
      <c r="I391" s="35"/>
      <c r="J391" s="12"/>
      <c r="O391" s="12"/>
      <c r="P391" s="18"/>
      <c r="Q391" s="12"/>
      <c r="R391" s="12"/>
      <c r="S391" s="12"/>
      <c r="T391" s="36"/>
      <c r="U391" s="36"/>
      <c r="V391" s="12"/>
      <c r="W391" s="12"/>
      <c r="X391" s="12"/>
      <c r="Y391" s="12"/>
    </row>
    <row r="392" customFormat="false" ht="15.75" hidden="false" customHeight="false" outlineLevel="0" collapsed="false">
      <c r="A392" s="12"/>
      <c r="B392" s="34"/>
      <c r="C392" s="12"/>
      <c r="D392" s="12"/>
      <c r="E392" s="12"/>
      <c r="F392" s="12"/>
      <c r="G392" s="18"/>
      <c r="H392" s="35"/>
      <c r="I392" s="35"/>
      <c r="J392" s="12"/>
      <c r="O392" s="12"/>
      <c r="P392" s="18"/>
      <c r="Q392" s="12"/>
      <c r="R392" s="12"/>
      <c r="S392" s="12"/>
      <c r="T392" s="36"/>
      <c r="U392" s="36"/>
      <c r="V392" s="12"/>
      <c r="W392" s="12"/>
      <c r="X392" s="12"/>
      <c r="Y392" s="12"/>
    </row>
    <row r="393" customFormat="false" ht="15.75" hidden="false" customHeight="false" outlineLevel="0" collapsed="false">
      <c r="A393" s="12"/>
      <c r="B393" s="34"/>
      <c r="C393" s="12"/>
      <c r="D393" s="12"/>
      <c r="E393" s="12"/>
      <c r="F393" s="12"/>
      <c r="G393" s="18"/>
      <c r="H393" s="35"/>
      <c r="I393" s="35"/>
      <c r="J393" s="12"/>
      <c r="O393" s="12"/>
      <c r="P393" s="18"/>
      <c r="Q393" s="12"/>
      <c r="R393" s="12"/>
      <c r="S393" s="12"/>
      <c r="T393" s="36"/>
      <c r="U393" s="36"/>
      <c r="V393" s="12"/>
      <c r="W393" s="12"/>
      <c r="X393" s="12"/>
      <c r="Y393" s="12"/>
    </row>
    <row r="394" customFormat="false" ht="15.75" hidden="false" customHeight="false" outlineLevel="0" collapsed="false">
      <c r="A394" s="12"/>
      <c r="B394" s="34"/>
      <c r="C394" s="12"/>
      <c r="D394" s="12"/>
      <c r="E394" s="12"/>
      <c r="F394" s="12"/>
      <c r="G394" s="18"/>
      <c r="H394" s="35"/>
      <c r="I394" s="35"/>
      <c r="J394" s="12"/>
      <c r="O394" s="12"/>
      <c r="P394" s="18"/>
      <c r="Q394" s="12"/>
      <c r="R394" s="12"/>
      <c r="S394" s="12"/>
      <c r="T394" s="36"/>
      <c r="U394" s="36"/>
      <c r="V394" s="12"/>
      <c r="W394" s="12"/>
      <c r="X394" s="12"/>
      <c r="Y394" s="12"/>
    </row>
    <row r="395" customFormat="false" ht="15.75" hidden="false" customHeight="false" outlineLevel="0" collapsed="false">
      <c r="A395" s="12"/>
      <c r="B395" s="34"/>
      <c r="C395" s="12"/>
      <c r="D395" s="12"/>
      <c r="E395" s="12"/>
      <c r="F395" s="12"/>
      <c r="G395" s="18"/>
      <c r="H395" s="35"/>
      <c r="I395" s="35"/>
      <c r="J395" s="12"/>
      <c r="O395" s="12"/>
      <c r="P395" s="18"/>
      <c r="Q395" s="12"/>
      <c r="R395" s="12"/>
      <c r="S395" s="12"/>
      <c r="T395" s="36"/>
      <c r="U395" s="36"/>
      <c r="V395" s="12"/>
      <c r="W395" s="12"/>
      <c r="X395" s="12"/>
      <c r="Y395" s="12"/>
    </row>
    <row r="396" customFormat="false" ht="15.75" hidden="false" customHeight="false" outlineLevel="0" collapsed="false">
      <c r="A396" s="12"/>
      <c r="B396" s="34"/>
      <c r="C396" s="12"/>
      <c r="D396" s="12"/>
      <c r="E396" s="12"/>
      <c r="F396" s="12"/>
      <c r="G396" s="18"/>
      <c r="H396" s="35"/>
      <c r="I396" s="35"/>
      <c r="J396" s="12"/>
      <c r="O396" s="12"/>
      <c r="P396" s="18"/>
      <c r="Q396" s="12"/>
      <c r="R396" s="12"/>
      <c r="S396" s="12"/>
      <c r="T396" s="36"/>
      <c r="U396" s="36"/>
      <c r="V396" s="12"/>
      <c r="W396" s="12"/>
      <c r="X396" s="12"/>
      <c r="Y396" s="12"/>
    </row>
    <row r="397" customFormat="false" ht="15.75" hidden="false" customHeight="false" outlineLevel="0" collapsed="false">
      <c r="A397" s="12"/>
      <c r="B397" s="34"/>
      <c r="C397" s="12"/>
      <c r="D397" s="12"/>
      <c r="E397" s="12"/>
      <c r="F397" s="12"/>
      <c r="G397" s="18"/>
      <c r="H397" s="35"/>
      <c r="I397" s="35"/>
      <c r="J397" s="12"/>
      <c r="O397" s="12"/>
      <c r="P397" s="18"/>
      <c r="Q397" s="12"/>
      <c r="R397" s="12"/>
      <c r="S397" s="12"/>
      <c r="T397" s="36"/>
      <c r="U397" s="36"/>
      <c r="V397" s="12"/>
      <c r="W397" s="12"/>
      <c r="X397" s="12"/>
      <c r="Y397" s="12"/>
    </row>
    <row r="398" customFormat="false" ht="15.75" hidden="false" customHeight="false" outlineLevel="0" collapsed="false">
      <c r="A398" s="12"/>
      <c r="B398" s="34"/>
      <c r="C398" s="12"/>
      <c r="D398" s="12"/>
      <c r="E398" s="12"/>
      <c r="F398" s="12"/>
      <c r="G398" s="18"/>
      <c r="H398" s="35"/>
      <c r="I398" s="35"/>
      <c r="J398" s="12"/>
      <c r="O398" s="12"/>
      <c r="P398" s="18"/>
      <c r="Q398" s="12"/>
      <c r="R398" s="12"/>
      <c r="S398" s="12"/>
      <c r="T398" s="36"/>
      <c r="U398" s="36"/>
      <c r="V398" s="12"/>
      <c r="W398" s="12"/>
      <c r="X398" s="12"/>
      <c r="Y398" s="12"/>
    </row>
    <row r="399" customFormat="false" ht="15.75" hidden="false" customHeight="false" outlineLevel="0" collapsed="false">
      <c r="A399" s="12"/>
      <c r="B399" s="34"/>
      <c r="C399" s="12"/>
      <c r="D399" s="12"/>
      <c r="E399" s="12"/>
      <c r="F399" s="12"/>
      <c r="G399" s="18"/>
      <c r="H399" s="35"/>
      <c r="I399" s="35"/>
      <c r="J399" s="12"/>
      <c r="O399" s="12"/>
      <c r="P399" s="18"/>
      <c r="Q399" s="12"/>
      <c r="R399" s="12"/>
      <c r="S399" s="12"/>
      <c r="T399" s="36"/>
      <c r="U399" s="36"/>
      <c r="V399" s="12"/>
      <c r="W399" s="12"/>
      <c r="X399" s="12"/>
      <c r="Y399" s="12"/>
    </row>
    <row r="400" customFormat="false" ht="15.75" hidden="false" customHeight="false" outlineLevel="0" collapsed="false">
      <c r="A400" s="12"/>
      <c r="B400" s="34"/>
      <c r="C400" s="12"/>
      <c r="D400" s="12"/>
      <c r="E400" s="12"/>
      <c r="F400" s="12"/>
      <c r="G400" s="18"/>
      <c r="H400" s="35"/>
      <c r="I400" s="35"/>
      <c r="J400" s="12"/>
      <c r="O400" s="12"/>
      <c r="P400" s="18"/>
      <c r="Q400" s="12"/>
      <c r="R400" s="12"/>
      <c r="S400" s="12"/>
      <c r="T400" s="36"/>
      <c r="U400" s="36"/>
      <c r="V400" s="12"/>
      <c r="W400" s="12"/>
      <c r="X400" s="12"/>
      <c r="Y400" s="12"/>
    </row>
    <row r="401" customFormat="false" ht="15.75" hidden="false" customHeight="false" outlineLevel="0" collapsed="false">
      <c r="A401" s="12"/>
      <c r="B401" s="34"/>
      <c r="C401" s="12"/>
      <c r="D401" s="12"/>
      <c r="E401" s="12"/>
      <c r="F401" s="12"/>
      <c r="G401" s="18"/>
      <c r="H401" s="35"/>
      <c r="I401" s="35"/>
      <c r="J401" s="12"/>
      <c r="O401" s="12"/>
      <c r="P401" s="18"/>
      <c r="Q401" s="12"/>
      <c r="R401" s="12"/>
      <c r="S401" s="12"/>
      <c r="T401" s="36"/>
      <c r="U401" s="36"/>
      <c r="V401" s="12"/>
      <c r="W401" s="12"/>
      <c r="X401" s="12"/>
      <c r="Y401" s="12"/>
    </row>
    <row r="402" customFormat="false" ht="15.75" hidden="false" customHeight="false" outlineLevel="0" collapsed="false">
      <c r="A402" s="12"/>
      <c r="B402" s="34"/>
      <c r="C402" s="12"/>
      <c r="D402" s="12"/>
      <c r="E402" s="12"/>
      <c r="F402" s="12"/>
      <c r="G402" s="18"/>
      <c r="H402" s="35"/>
      <c r="I402" s="35"/>
      <c r="J402" s="12"/>
      <c r="O402" s="12"/>
      <c r="P402" s="18"/>
      <c r="Q402" s="12"/>
      <c r="R402" s="12"/>
      <c r="S402" s="12"/>
      <c r="T402" s="36"/>
      <c r="U402" s="36"/>
      <c r="V402" s="12"/>
      <c r="W402" s="12"/>
      <c r="X402" s="12"/>
      <c r="Y402" s="12"/>
    </row>
    <row r="403" customFormat="false" ht="15.75" hidden="false" customHeight="false" outlineLevel="0" collapsed="false">
      <c r="A403" s="12"/>
      <c r="B403" s="34"/>
      <c r="C403" s="12"/>
      <c r="D403" s="12"/>
      <c r="E403" s="12"/>
      <c r="F403" s="12"/>
      <c r="G403" s="18"/>
      <c r="H403" s="35"/>
      <c r="I403" s="35"/>
      <c r="J403" s="12"/>
      <c r="O403" s="12"/>
      <c r="P403" s="18"/>
      <c r="Q403" s="12"/>
      <c r="R403" s="12"/>
      <c r="S403" s="12"/>
      <c r="T403" s="36"/>
      <c r="U403" s="36"/>
      <c r="V403" s="12"/>
      <c r="W403" s="12"/>
      <c r="X403" s="12"/>
      <c r="Y403" s="12"/>
    </row>
    <row r="404" customFormat="false" ht="15.75" hidden="false" customHeight="false" outlineLevel="0" collapsed="false">
      <c r="A404" s="12"/>
      <c r="B404" s="34"/>
      <c r="C404" s="12"/>
      <c r="D404" s="12"/>
      <c r="E404" s="12"/>
      <c r="F404" s="12"/>
      <c r="G404" s="18"/>
      <c r="H404" s="35"/>
      <c r="I404" s="35"/>
      <c r="J404" s="12"/>
      <c r="O404" s="12"/>
      <c r="P404" s="18"/>
      <c r="Q404" s="12"/>
      <c r="R404" s="12"/>
      <c r="S404" s="12"/>
      <c r="T404" s="36"/>
      <c r="U404" s="36"/>
      <c r="V404" s="12"/>
      <c r="W404" s="12"/>
      <c r="X404" s="12"/>
      <c r="Y404" s="12"/>
    </row>
    <row r="405" customFormat="false" ht="15.75" hidden="false" customHeight="false" outlineLevel="0" collapsed="false">
      <c r="A405" s="12"/>
      <c r="B405" s="34"/>
      <c r="C405" s="12"/>
      <c r="D405" s="12"/>
      <c r="E405" s="12"/>
      <c r="F405" s="12"/>
      <c r="G405" s="18"/>
      <c r="H405" s="35"/>
      <c r="I405" s="35"/>
      <c r="J405" s="12"/>
      <c r="O405" s="12"/>
      <c r="P405" s="18"/>
      <c r="Q405" s="12"/>
      <c r="R405" s="12"/>
      <c r="S405" s="12"/>
      <c r="T405" s="36"/>
      <c r="U405" s="36"/>
      <c r="V405" s="12"/>
      <c r="W405" s="12"/>
      <c r="X405" s="12"/>
      <c r="Y405" s="12"/>
    </row>
    <row r="406" customFormat="false" ht="15.75" hidden="false" customHeight="false" outlineLevel="0" collapsed="false">
      <c r="A406" s="12"/>
      <c r="B406" s="34"/>
      <c r="C406" s="12"/>
      <c r="D406" s="12"/>
      <c r="E406" s="12"/>
      <c r="F406" s="12"/>
      <c r="G406" s="18"/>
      <c r="H406" s="35"/>
      <c r="I406" s="35"/>
      <c r="J406" s="12"/>
      <c r="O406" s="12"/>
      <c r="P406" s="18"/>
      <c r="Q406" s="12"/>
      <c r="R406" s="12"/>
      <c r="S406" s="12"/>
      <c r="T406" s="36"/>
      <c r="U406" s="36"/>
      <c r="V406" s="12"/>
      <c r="W406" s="12"/>
      <c r="X406" s="12"/>
      <c r="Y406" s="12"/>
    </row>
    <row r="407" customFormat="false" ht="15.75" hidden="false" customHeight="false" outlineLevel="0" collapsed="false">
      <c r="A407" s="12"/>
      <c r="B407" s="34"/>
      <c r="C407" s="12"/>
      <c r="D407" s="12"/>
      <c r="E407" s="12"/>
      <c r="F407" s="12"/>
      <c r="G407" s="18"/>
      <c r="H407" s="35"/>
      <c r="I407" s="35"/>
      <c r="J407" s="12"/>
      <c r="O407" s="12"/>
      <c r="P407" s="18"/>
      <c r="Q407" s="12"/>
      <c r="R407" s="12"/>
      <c r="S407" s="12"/>
      <c r="T407" s="36"/>
      <c r="U407" s="36"/>
      <c r="V407" s="12"/>
      <c r="W407" s="12"/>
      <c r="X407" s="12"/>
      <c r="Y407" s="12"/>
    </row>
    <row r="408" customFormat="false" ht="15.75" hidden="false" customHeight="false" outlineLevel="0" collapsed="false">
      <c r="A408" s="12"/>
      <c r="B408" s="34"/>
      <c r="C408" s="12"/>
      <c r="D408" s="12"/>
      <c r="E408" s="12"/>
      <c r="F408" s="12"/>
      <c r="G408" s="18"/>
      <c r="H408" s="35"/>
      <c r="I408" s="35"/>
      <c r="J408" s="12"/>
      <c r="O408" s="12"/>
      <c r="P408" s="18"/>
      <c r="Q408" s="12"/>
      <c r="R408" s="12"/>
      <c r="S408" s="12"/>
      <c r="T408" s="36"/>
      <c r="U408" s="36"/>
      <c r="V408" s="12"/>
      <c r="W408" s="12"/>
      <c r="X408" s="12"/>
      <c r="Y408" s="12"/>
    </row>
    <row r="409" customFormat="false" ht="15.75" hidden="false" customHeight="false" outlineLevel="0" collapsed="false">
      <c r="A409" s="12"/>
      <c r="B409" s="34"/>
      <c r="C409" s="12"/>
      <c r="D409" s="12"/>
      <c r="E409" s="12"/>
      <c r="F409" s="12"/>
      <c r="G409" s="18"/>
      <c r="H409" s="35"/>
      <c r="I409" s="35"/>
      <c r="J409" s="12"/>
      <c r="O409" s="12"/>
      <c r="P409" s="18"/>
      <c r="Q409" s="12"/>
      <c r="R409" s="12"/>
      <c r="S409" s="12"/>
      <c r="T409" s="36"/>
      <c r="U409" s="36"/>
      <c r="V409" s="12"/>
      <c r="W409" s="12"/>
      <c r="X409" s="12"/>
      <c r="Y409" s="12"/>
    </row>
    <row r="410" customFormat="false" ht="15.75" hidden="false" customHeight="false" outlineLevel="0" collapsed="false">
      <c r="A410" s="12"/>
      <c r="B410" s="34"/>
      <c r="C410" s="12"/>
      <c r="D410" s="12"/>
      <c r="E410" s="12"/>
      <c r="F410" s="12"/>
      <c r="G410" s="18"/>
      <c r="H410" s="35"/>
      <c r="I410" s="35"/>
      <c r="J410" s="12"/>
      <c r="O410" s="12"/>
      <c r="P410" s="18"/>
      <c r="Q410" s="12"/>
      <c r="R410" s="12"/>
      <c r="S410" s="12"/>
      <c r="T410" s="36"/>
      <c r="U410" s="36"/>
      <c r="V410" s="12"/>
      <c r="W410" s="12"/>
      <c r="X410" s="12"/>
      <c r="Y410" s="12"/>
    </row>
    <row r="411" customFormat="false" ht="15.75" hidden="false" customHeight="false" outlineLevel="0" collapsed="false">
      <c r="A411" s="12"/>
      <c r="B411" s="34"/>
      <c r="C411" s="12"/>
      <c r="D411" s="12"/>
      <c r="E411" s="12"/>
      <c r="F411" s="12"/>
      <c r="G411" s="18"/>
      <c r="H411" s="35"/>
      <c r="I411" s="35"/>
      <c r="J411" s="12"/>
      <c r="O411" s="12"/>
      <c r="P411" s="18"/>
      <c r="Q411" s="12"/>
      <c r="R411" s="12"/>
      <c r="S411" s="12"/>
      <c r="T411" s="36"/>
      <c r="U411" s="36"/>
      <c r="V411" s="12"/>
      <c r="W411" s="12"/>
      <c r="X411" s="12"/>
      <c r="Y411" s="12"/>
    </row>
    <row r="412" customFormat="false" ht="15.75" hidden="false" customHeight="false" outlineLevel="0" collapsed="false">
      <c r="A412" s="12"/>
      <c r="B412" s="34"/>
      <c r="C412" s="12"/>
      <c r="D412" s="12"/>
      <c r="E412" s="12"/>
      <c r="F412" s="12"/>
      <c r="G412" s="18"/>
      <c r="H412" s="35"/>
      <c r="I412" s="35"/>
      <c r="J412" s="12"/>
      <c r="O412" s="12"/>
      <c r="P412" s="18"/>
      <c r="Q412" s="12"/>
      <c r="R412" s="12"/>
      <c r="S412" s="12"/>
      <c r="T412" s="36"/>
      <c r="U412" s="36"/>
      <c r="V412" s="12"/>
      <c r="W412" s="12"/>
      <c r="X412" s="12"/>
      <c r="Y412" s="12"/>
    </row>
    <row r="413" customFormat="false" ht="15.75" hidden="false" customHeight="false" outlineLevel="0" collapsed="false">
      <c r="A413" s="12"/>
      <c r="B413" s="34"/>
      <c r="C413" s="12"/>
      <c r="D413" s="12"/>
      <c r="E413" s="12"/>
      <c r="F413" s="12"/>
      <c r="G413" s="18"/>
      <c r="H413" s="35"/>
      <c r="I413" s="35"/>
      <c r="J413" s="12"/>
      <c r="O413" s="12"/>
      <c r="P413" s="18"/>
      <c r="Q413" s="12"/>
      <c r="R413" s="12"/>
      <c r="S413" s="12"/>
      <c r="T413" s="36"/>
      <c r="U413" s="36"/>
      <c r="V413" s="12"/>
      <c r="W413" s="12"/>
      <c r="X413" s="12"/>
      <c r="Y413" s="12"/>
    </row>
    <row r="414" customFormat="false" ht="15.75" hidden="false" customHeight="false" outlineLevel="0" collapsed="false">
      <c r="A414" s="12"/>
      <c r="B414" s="34"/>
      <c r="C414" s="12"/>
      <c r="D414" s="12"/>
      <c r="E414" s="12"/>
      <c r="F414" s="12"/>
      <c r="G414" s="18"/>
      <c r="H414" s="35"/>
      <c r="I414" s="35"/>
      <c r="J414" s="12"/>
      <c r="O414" s="12"/>
      <c r="P414" s="18"/>
      <c r="Q414" s="12"/>
      <c r="R414" s="12"/>
      <c r="S414" s="12"/>
      <c r="T414" s="36"/>
      <c r="U414" s="36"/>
      <c r="V414" s="12"/>
      <c r="W414" s="12"/>
      <c r="X414" s="12"/>
      <c r="Y414" s="12"/>
    </row>
    <row r="415" customFormat="false" ht="15.75" hidden="false" customHeight="false" outlineLevel="0" collapsed="false">
      <c r="A415" s="12"/>
      <c r="B415" s="34"/>
      <c r="C415" s="12"/>
      <c r="D415" s="12"/>
      <c r="E415" s="12"/>
      <c r="F415" s="12"/>
      <c r="G415" s="18"/>
      <c r="H415" s="35"/>
      <c r="I415" s="35"/>
      <c r="J415" s="12"/>
      <c r="O415" s="12"/>
      <c r="P415" s="18"/>
      <c r="Q415" s="12"/>
      <c r="R415" s="12"/>
      <c r="S415" s="12"/>
      <c r="T415" s="36"/>
      <c r="U415" s="36"/>
      <c r="V415" s="12"/>
      <c r="W415" s="12"/>
      <c r="X415" s="12"/>
      <c r="Y415" s="12"/>
    </row>
    <row r="416" customFormat="false" ht="15.75" hidden="false" customHeight="false" outlineLevel="0" collapsed="false">
      <c r="A416" s="12"/>
      <c r="B416" s="34"/>
      <c r="C416" s="12"/>
      <c r="D416" s="12"/>
      <c r="E416" s="12"/>
      <c r="F416" s="12"/>
      <c r="G416" s="18"/>
      <c r="H416" s="35"/>
      <c r="I416" s="35"/>
      <c r="J416" s="12"/>
      <c r="O416" s="12"/>
      <c r="P416" s="18"/>
      <c r="Q416" s="12"/>
      <c r="R416" s="12"/>
      <c r="S416" s="12"/>
      <c r="T416" s="36"/>
      <c r="U416" s="36"/>
      <c r="V416" s="12"/>
      <c r="W416" s="12"/>
      <c r="X416" s="12"/>
      <c r="Y416" s="12"/>
    </row>
    <row r="417" customFormat="false" ht="15.75" hidden="false" customHeight="false" outlineLevel="0" collapsed="false">
      <c r="A417" s="12"/>
      <c r="B417" s="34"/>
      <c r="C417" s="12"/>
      <c r="D417" s="12"/>
      <c r="E417" s="12"/>
      <c r="F417" s="12"/>
      <c r="G417" s="18"/>
      <c r="H417" s="35"/>
      <c r="I417" s="35"/>
      <c r="J417" s="12"/>
      <c r="O417" s="12"/>
      <c r="P417" s="18"/>
      <c r="Q417" s="12"/>
      <c r="R417" s="12"/>
      <c r="S417" s="12"/>
      <c r="T417" s="36"/>
      <c r="U417" s="36"/>
      <c r="V417" s="12"/>
      <c r="W417" s="12"/>
      <c r="X417" s="12"/>
      <c r="Y417" s="12"/>
    </row>
    <row r="418" customFormat="false" ht="15.75" hidden="false" customHeight="false" outlineLevel="0" collapsed="false">
      <c r="A418" s="12"/>
      <c r="B418" s="34"/>
      <c r="C418" s="12"/>
      <c r="D418" s="12"/>
      <c r="E418" s="12"/>
      <c r="F418" s="12"/>
      <c r="G418" s="18"/>
      <c r="H418" s="35"/>
      <c r="I418" s="35"/>
      <c r="J418" s="12"/>
      <c r="O418" s="12"/>
      <c r="P418" s="18"/>
      <c r="Q418" s="12"/>
      <c r="R418" s="12"/>
      <c r="S418" s="12"/>
      <c r="T418" s="36"/>
      <c r="U418" s="36"/>
      <c r="V418" s="12"/>
      <c r="W418" s="12"/>
      <c r="X418" s="12"/>
      <c r="Y418" s="12"/>
    </row>
    <row r="419" customFormat="false" ht="15.75" hidden="false" customHeight="false" outlineLevel="0" collapsed="false">
      <c r="A419" s="12"/>
      <c r="B419" s="34"/>
      <c r="C419" s="12"/>
      <c r="D419" s="12"/>
      <c r="E419" s="12"/>
      <c r="F419" s="12"/>
      <c r="G419" s="18"/>
      <c r="H419" s="35"/>
      <c r="I419" s="35"/>
      <c r="J419" s="12"/>
      <c r="O419" s="12"/>
      <c r="P419" s="18"/>
      <c r="Q419" s="12"/>
      <c r="R419" s="12"/>
      <c r="S419" s="12"/>
      <c r="T419" s="36"/>
      <c r="U419" s="36"/>
      <c r="V419" s="12"/>
      <c r="W419" s="12"/>
      <c r="X419" s="12"/>
      <c r="Y419" s="12"/>
    </row>
    <row r="420" customFormat="false" ht="15.75" hidden="false" customHeight="false" outlineLevel="0" collapsed="false">
      <c r="A420" s="12"/>
      <c r="B420" s="34"/>
      <c r="C420" s="12"/>
      <c r="D420" s="12"/>
      <c r="E420" s="12"/>
      <c r="F420" s="12"/>
      <c r="G420" s="18"/>
      <c r="H420" s="35"/>
      <c r="I420" s="35"/>
      <c r="J420" s="12"/>
      <c r="O420" s="12"/>
      <c r="P420" s="18"/>
      <c r="Q420" s="12"/>
      <c r="R420" s="12"/>
      <c r="S420" s="12"/>
      <c r="T420" s="36"/>
      <c r="U420" s="36"/>
      <c r="V420" s="12"/>
      <c r="W420" s="12"/>
      <c r="X420" s="12"/>
      <c r="Y420" s="12"/>
    </row>
    <row r="421" customFormat="false" ht="15.75" hidden="false" customHeight="false" outlineLevel="0" collapsed="false">
      <c r="A421" s="12"/>
      <c r="B421" s="34"/>
      <c r="C421" s="12"/>
      <c r="D421" s="12"/>
      <c r="E421" s="12"/>
      <c r="F421" s="12"/>
      <c r="G421" s="18"/>
      <c r="H421" s="35"/>
      <c r="I421" s="35"/>
      <c r="J421" s="12"/>
      <c r="O421" s="12"/>
      <c r="P421" s="18"/>
      <c r="Q421" s="12"/>
      <c r="R421" s="12"/>
      <c r="S421" s="12"/>
      <c r="T421" s="36"/>
      <c r="U421" s="36"/>
      <c r="V421" s="12"/>
      <c r="W421" s="12"/>
      <c r="X421" s="12"/>
      <c r="Y421" s="12"/>
    </row>
    <row r="422" customFormat="false" ht="15.75" hidden="false" customHeight="false" outlineLevel="0" collapsed="false">
      <c r="A422" s="12"/>
      <c r="B422" s="34"/>
      <c r="C422" s="12"/>
      <c r="D422" s="12"/>
      <c r="E422" s="12"/>
      <c r="F422" s="12"/>
      <c r="G422" s="18"/>
      <c r="H422" s="35"/>
      <c r="I422" s="35"/>
      <c r="J422" s="12"/>
      <c r="O422" s="12"/>
      <c r="P422" s="18"/>
      <c r="Q422" s="12"/>
      <c r="R422" s="12"/>
      <c r="S422" s="12"/>
      <c r="T422" s="36"/>
      <c r="U422" s="36"/>
      <c r="V422" s="12"/>
      <c r="W422" s="12"/>
      <c r="X422" s="12"/>
      <c r="Y422" s="12"/>
    </row>
    <row r="423" customFormat="false" ht="15.75" hidden="false" customHeight="false" outlineLevel="0" collapsed="false">
      <c r="A423" s="12"/>
      <c r="B423" s="34"/>
      <c r="C423" s="12"/>
      <c r="D423" s="12"/>
      <c r="E423" s="12"/>
      <c r="F423" s="12"/>
      <c r="G423" s="18"/>
      <c r="H423" s="35"/>
      <c r="I423" s="35"/>
      <c r="J423" s="12"/>
      <c r="O423" s="12"/>
      <c r="P423" s="18"/>
      <c r="Q423" s="12"/>
      <c r="R423" s="12"/>
      <c r="S423" s="12"/>
      <c r="T423" s="36"/>
      <c r="U423" s="36"/>
      <c r="V423" s="12"/>
      <c r="W423" s="12"/>
      <c r="X423" s="12"/>
      <c r="Y423" s="12"/>
    </row>
    <row r="424" customFormat="false" ht="15.75" hidden="false" customHeight="false" outlineLevel="0" collapsed="false">
      <c r="A424" s="12"/>
      <c r="B424" s="34"/>
      <c r="C424" s="12"/>
      <c r="D424" s="12"/>
      <c r="E424" s="12"/>
      <c r="F424" s="12"/>
      <c r="G424" s="18"/>
      <c r="H424" s="35"/>
      <c r="I424" s="35"/>
      <c r="J424" s="12"/>
      <c r="O424" s="12"/>
      <c r="P424" s="18"/>
      <c r="Q424" s="12"/>
      <c r="R424" s="12"/>
      <c r="S424" s="12"/>
      <c r="T424" s="36"/>
      <c r="U424" s="36"/>
      <c r="V424" s="12"/>
      <c r="W424" s="12"/>
      <c r="X424" s="12"/>
      <c r="Y424" s="12"/>
    </row>
    <row r="425" customFormat="false" ht="15.75" hidden="false" customHeight="false" outlineLevel="0" collapsed="false">
      <c r="A425" s="12"/>
      <c r="B425" s="34"/>
      <c r="C425" s="12"/>
      <c r="D425" s="12"/>
      <c r="E425" s="12"/>
      <c r="F425" s="12"/>
      <c r="G425" s="18"/>
      <c r="H425" s="35"/>
      <c r="I425" s="35"/>
      <c r="J425" s="12"/>
      <c r="O425" s="12"/>
      <c r="P425" s="18"/>
      <c r="Q425" s="12"/>
      <c r="R425" s="12"/>
      <c r="S425" s="12"/>
      <c r="T425" s="36"/>
      <c r="U425" s="36"/>
      <c r="V425" s="12"/>
      <c r="W425" s="12"/>
      <c r="X425" s="12"/>
      <c r="Y425" s="12"/>
    </row>
    <row r="426" customFormat="false" ht="15.75" hidden="false" customHeight="false" outlineLevel="0" collapsed="false">
      <c r="A426" s="12"/>
      <c r="B426" s="34"/>
      <c r="C426" s="12"/>
      <c r="D426" s="12"/>
      <c r="E426" s="12"/>
      <c r="F426" s="12"/>
      <c r="G426" s="18"/>
      <c r="H426" s="35"/>
      <c r="I426" s="35"/>
      <c r="J426" s="12"/>
      <c r="O426" s="12"/>
      <c r="P426" s="18"/>
      <c r="Q426" s="12"/>
      <c r="R426" s="12"/>
      <c r="S426" s="12"/>
      <c r="T426" s="36"/>
      <c r="U426" s="36"/>
      <c r="V426" s="12"/>
      <c r="W426" s="12"/>
      <c r="X426" s="12"/>
      <c r="Y426" s="12"/>
    </row>
    <row r="427" customFormat="false" ht="15.75" hidden="false" customHeight="false" outlineLevel="0" collapsed="false">
      <c r="A427" s="12"/>
      <c r="B427" s="34"/>
      <c r="C427" s="12"/>
      <c r="D427" s="12"/>
      <c r="E427" s="12"/>
      <c r="F427" s="12"/>
      <c r="G427" s="18"/>
      <c r="H427" s="35"/>
      <c r="I427" s="35"/>
      <c r="J427" s="12"/>
      <c r="O427" s="12"/>
      <c r="P427" s="18"/>
      <c r="Q427" s="12"/>
      <c r="R427" s="12"/>
      <c r="S427" s="12"/>
      <c r="T427" s="36"/>
      <c r="U427" s="36"/>
      <c r="V427" s="12"/>
      <c r="W427" s="12"/>
      <c r="X427" s="12"/>
      <c r="Y427" s="12"/>
    </row>
    <row r="428" customFormat="false" ht="15.75" hidden="false" customHeight="false" outlineLevel="0" collapsed="false">
      <c r="A428" s="12"/>
      <c r="B428" s="34"/>
      <c r="C428" s="12"/>
      <c r="D428" s="12"/>
      <c r="E428" s="12"/>
      <c r="F428" s="12"/>
      <c r="G428" s="18"/>
      <c r="H428" s="35"/>
      <c r="I428" s="35"/>
      <c r="J428" s="12"/>
      <c r="O428" s="12"/>
      <c r="P428" s="18"/>
      <c r="Q428" s="12"/>
      <c r="R428" s="12"/>
      <c r="S428" s="12"/>
      <c r="T428" s="36"/>
      <c r="U428" s="36"/>
      <c r="V428" s="12"/>
      <c r="W428" s="12"/>
      <c r="X428" s="12"/>
      <c r="Y428" s="12"/>
    </row>
    <row r="429" customFormat="false" ht="15.75" hidden="false" customHeight="false" outlineLevel="0" collapsed="false">
      <c r="A429" s="12"/>
      <c r="B429" s="34"/>
      <c r="C429" s="12"/>
      <c r="D429" s="12"/>
      <c r="E429" s="12"/>
      <c r="F429" s="12"/>
      <c r="G429" s="18"/>
      <c r="H429" s="35"/>
      <c r="I429" s="35"/>
      <c r="J429" s="12"/>
      <c r="O429" s="12"/>
      <c r="P429" s="18"/>
      <c r="Q429" s="12"/>
      <c r="R429" s="12"/>
      <c r="S429" s="12"/>
      <c r="T429" s="36"/>
      <c r="U429" s="36"/>
      <c r="V429" s="12"/>
      <c r="W429" s="12"/>
      <c r="X429" s="12"/>
      <c r="Y429" s="12"/>
    </row>
    <row r="430" customFormat="false" ht="15.75" hidden="false" customHeight="false" outlineLevel="0" collapsed="false">
      <c r="A430" s="12"/>
      <c r="B430" s="34"/>
      <c r="C430" s="12"/>
      <c r="D430" s="12"/>
      <c r="E430" s="12"/>
      <c r="F430" s="12"/>
      <c r="G430" s="18"/>
      <c r="H430" s="35"/>
      <c r="I430" s="35"/>
      <c r="J430" s="12"/>
      <c r="O430" s="12"/>
      <c r="P430" s="18"/>
      <c r="Q430" s="12"/>
      <c r="R430" s="12"/>
      <c r="S430" s="12"/>
      <c r="T430" s="36"/>
      <c r="U430" s="36"/>
      <c r="V430" s="12"/>
      <c r="W430" s="12"/>
      <c r="X430" s="12"/>
      <c r="Y430" s="12"/>
    </row>
    <row r="431" customFormat="false" ht="15.75" hidden="false" customHeight="false" outlineLevel="0" collapsed="false">
      <c r="A431" s="12"/>
      <c r="B431" s="34"/>
      <c r="C431" s="12"/>
      <c r="D431" s="12"/>
      <c r="E431" s="12"/>
      <c r="F431" s="12"/>
      <c r="G431" s="18"/>
      <c r="H431" s="35"/>
      <c r="I431" s="35"/>
      <c r="J431" s="12"/>
      <c r="O431" s="12"/>
      <c r="P431" s="18"/>
      <c r="Q431" s="12"/>
      <c r="R431" s="12"/>
      <c r="S431" s="12"/>
      <c r="T431" s="36"/>
      <c r="U431" s="36"/>
      <c r="V431" s="12"/>
      <c r="W431" s="12"/>
      <c r="X431" s="12"/>
      <c r="Y431" s="12"/>
    </row>
    <row r="432" customFormat="false" ht="15.75" hidden="false" customHeight="false" outlineLevel="0" collapsed="false">
      <c r="A432" s="12"/>
      <c r="B432" s="34"/>
      <c r="C432" s="12"/>
      <c r="D432" s="12"/>
      <c r="E432" s="12"/>
      <c r="F432" s="12"/>
      <c r="G432" s="18"/>
      <c r="H432" s="35"/>
      <c r="I432" s="35"/>
      <c r="J432" s="12"/>
      <c r="O432" s="12"/>
      <c r="P432" s="18"/>
      <c r="Q432" s="12"/>
      <c r="R432" s="12"/>
      <c r="S432" s="12"/>
      <c r="T432" s="36"/>
      <c r="U432" s="36"/>
      <c r="V432" s="12"/>
      <c r="W432" s="12"/>
      <c r="X432" s="12"/>
      <c r="Y432" s="12"/>
    </row>
    <row r="433" customFormat="false" ht="15.75" hidden="false" customHeight="false" outlineLevel="0" collapsed="false">
      <c r="A433" s="12"/>
      <c r="B433" s="34"/>
      <c r="C433" s="12"/>
      <c r="D433" s="12"/>
      <c r="E433" s="12"/>
      <c r="F433" s="12"/>
      <c r="G433" s="18"/>
      <c r="H433" s="35"/>
      <c r="I433" s="35"/>
      <c r="J433" s="12"/>
      <c r="O433" s="12"/>
      <c r="P433" s="18"/>
      <c r="Q433" s="12"/>
      <c r="R433" s="12"/>
      <c r="S433" s="12"/>
      <c r="T433" s="36"/>
      <c r="U433" s="36"/>
      <c r="V433" s="12"/>
      <c r="W433" s="12"/>
      <c r="X433" s="12"/>
      <c r="Y433" s="12"/>
    </row>
    <row r="434" customFormat="false" ht="15.75" hidden="false" customHeight="false" outlineLevel="0" collapsed="false">
      <c r="A434" s="12"/>
      <c r="B434" s="34"/>
      <c r="C434" s="12"/>
      <c r="D434" s="12"/>
      <c r="E434" s="12"/>
      <c r="F434" s="12"/>
      <c r="G434" s="18"/>
      <c r="H434" s="35"/>
      <c r="I434" s="35"/>
      <c r="J434" s="12"/>
      <c r="O434" s="12"/>
      <c r="P434" s="18"/>
      <c r="Q434" s="12"/>
      <c r="R434" s="12"/>
      <c r="S434" s="12"/>
      <c r="T434" s="36"/>
      <c r="U434" s="36"/>
      <c r="V434" s="12"/>
      <c r="W434" s="12"/>
      <c r="X434" s="12"/>
      <c r="Y434" s="12"/>
    </row>
    <row r="435" customFormat="false" ht="15.75" hidden="false" customHeight="false" outlineLevel="0" collapsed="false">
      <c r="A435" s="12"/>
      <c r="B435" s="34"/>
      <c r="C435" s="12"/>
      <c r="D435" s="12"/>
      <c r="E435" s="12"/>
      <c r="F435" s="12"/>
      <c r="G435" s="18"/>
      <c r="H435" s="35"/>
      <c r="I435" s="35"/>
      <c r="J435" s="12"/>
      <c r="O435" s="12"/>
      <c r="P435" s="18"/>
      <c r="Q435" s="12"/>
      <c r="R435" s="12"/>
      <c r="S435" s="12"/>
      <c r="T435" s="36"/>
      <c r="U435" s="36"/>
      <c r="V435" s="12"/>
      <c r="W435" s="12"/>
      <c r="X435" s="12"/>
      <c r="Y435" s="12"/>
    </row>
    <row r="436" customFormat="false" ht="15.75" hidden="false" customHeight="false" outlineLevel="0" collapsed="false">
      <c r="A436" s="12"/>
      <c r="B436" s="34"/>
      <c r="C436" s="12"/>
      <c r="D436" s="12"/>
      <c r="E436" s="12"/>
      <c r="F436" s="12"/>
      <c r="G436" s="18"/>
      <c r="H436" s="35"/>
      <c r="I436" s="35"/>
      <c r="J436" s="12"/>
      <c r="O436" s="12"/>
      <c r="P436" s="18"/>
      <c r="Q436" s="12"/>
      <c r="R436" s="12"/>
      <c r="S436" s="12"/>
      <c r="T436" s="36"/>
      <c r="U436" s="36"/>
      <c r="V436" s="12"/>
      <c r="W436" s="12"/>
      <c r="X436" s="12"/>
      <c r="Y436" s="12"/>
    </row>
    <row r="437" customFormat="false" ht="15.75" hidden="false" customHeight="false" outlineLevel="0" collapsed="false">
      <c r="A437" s="12"/>
      <c r="B437" s="34"/>
      <c r="C437" s="12"/>
      <c r="D437" s="12"/>
      <c r="E437" s="12"/>
      <c r="F437" s="12"/>
      <c r="G437" s="18"/>
      <c r="H437" s="35"/>
      <c r="I437" s="35"/>
      <c r="J437" s="12"/>
      <c r="O437" s="12"/>
      <c r="P437" s="18"/>
      <c r="Q437" s="12"/>
      <c r="R437" s="12"/>
      <c r="S437" s="12"/>
      <c r="T437" s="36"/>
      <c r="U437" s="36"/>
      <c r="V437" s="12"/>
      <c r="W437" s="12"/>
      <c r="X437" s="12"/>
      <c r="Y437" s="12"/>
    </row>
    <row r="438" customFormat="false" ht="15.75" hidden="false" customHeight="false" outlineLevel="0" collapsed="false">
      <c r="A438" s="12"/>
      <c r="B438" s="34"/>
      <c r="C438" s="12"/>
      <c r="D438" s="12"/>
      <c r="E438" s="12"/>
      <c r="F438" s="12"/>
      <c r="G438" s="18"/>
      <c r="H438" s="35"/>
      <c r="I438" s="35"/>
      <c r="J438" s="12"/>
      <c r="O438" s="12"/>
      <c r="P438" s="18"/>
      <c r="Q438" s="12"/>
      <c r="R438" s="12"/>
      <c r="S438" s="12"/>
      <c r="T438" s="36"/>
      <c r="U438" s="36"/>
      <c r="V438" s="12"/>
      <c r="W438" s="12"/>
      <c r="X438" s="12"/>
      <c r="Y438" s="12"/>
    </row>
    <row r="439" customFormat="false" ht="15.75" hidden="false" customHeight="false" outlineLevel="0" collapsed="false">
      <c r="A439" s="12"/>
      <c r="B439" s="34"/>
      <c r="C439" s="12"/>
      <c r="D439" s="12"/>
      <c r="E439" s="12"/>
      <c r="F439" s="12"/>
      <c r="G439" s="18"/>
      <c r="H439" s="35"/>
      <c r="I439" s="35"/>
      <c r="J439" s="12"/>
      <c r="O439" s="12"/>
      <c r="P439" s="18"/>
      <c r="Q439" s="12"/>
      <c r="R439" s="12"/>
      <c r="S439" s="12"/>
      <c r="T439" s="36"/>
      <c r="U439" s="36"/>
      <c r="V439" s="12"/>
      <c r="W439" s="12"/>
      <c r="X439" s="12"/>
      <c r="Y439" s="12"/>
    </row>
    <row r="440" customFormat="false" ht="15.75" hidden="false" customHeight="false" outlineLevel="0" collapsed="false">
      <c r="A440" s="12"/>
      <c r="B440" s="34"/>
      <c r="C440" s="12"/>
      <c r="D440" s="12"/>
      <c r="E440" s="12"/>
      <c r="F440" s="12"/>
      <c r="G440" s="18"/>
      <c r="H440" s="35"/>
      <c r="I440" s="35"/>
      <c r="J440" s="12"/>
      <c r="O440" s="12"/>
      <c r="P440" s="18"/>
      <c r="Q440" s="12"/>
      <c r="R440" s="12"/>
      <c r="S440" s="12"/>
      <c r="T440" s="36"/>
      <c r="U440" s="36"/>
      <c r="V440" s="12"/>
      <c r="W440" s="12"/>
      <c r="X440" s="12"/>
      <c r="Y440" s="12"/>
    </row>
    <row r="441" customFormat="false" ht="15.75" hidden="false" customHeight="false" outlineLevel="0" collapsed="false">
      <c r="A441" s="12"/>
      <c r="B441" s="34"/>
      <c r="C441" s="12"/>
      <c r="D441" s="12"/>
      <c r="E441" s="12"/>
      <c r="F441" s="12"/>
      <c r="G441" s="18"/>
      <c r="H441" s="35"/>
      <c r="I441" s="35"/>
      <c r="J441" s="12"/>
      <c r="O441" s="12"/>
      <c r="P441" s="18"/>
      <c r="Q441" s="12"/>
      <c r="R441" s="12"/>
      <c r="S441" s="12"/>
      <c r="T441" s="36"/>
      <c r="U441" s="36"/>
      <c r="V441" s="12"/>
      <c r="W441" s="12"/>
      <c r="X441" s="12"/>
      <c r="Y441" s="12"/>
    </row>
    <row r="442" customFormat="false" ht="15.75" hidden="false" customHeight="false" outlineLevel="0" collapsed="false">
      <c r="A442" s="12"/>
      <c r="B442" s="34"/>
      <c r="C442" s="12"/>
      <c r="D442" s="12"/>
      <c r="E442" s="12"/>
      <c r="F442" s="12"/>
      <c r="G442" s="18"/>
      <c r="H442" s="35"/>
      <c r="I442" s="35"/>
      <c r="J442" s="12"/>
      <c r="O442" s="12"/>
      <c r="P442" s="18"/>
      <c r="Q442" s="12"/>
      <c r="R442" s="12"/>
      <c r="S442" s="12"/>
      <c r="T442" s="36"/>
      <c r="U442" s="36"/>
      <c r="V442" s="12"/>
      <c r="W442" s="12"/>
      <c r="X442" s="12"/>
      <c r="Y442" s="12"/>
    </row>
    <row r="443" customFormat="false" ht="15.75" hidden="false" customHeight="false" outlineLevel="0" collapsed="false">
      <c r="A443" s="12"/>
      <c r="B443" s="34"/>
      <c r="C443" s="12"/>
      <c r="D443" s="12"/>
      <c r="E443" s="12"/>
      <c r="F443" s="12"/>
      <c r="G443" s="18"/>
      <c r="H443" s="35"/>
      <c r="I443" s="35"/>
      <c r="J443" s="12"/>
      <c r="O443" s="12"/>
      <c r="P443" s="18"/>
      <c r="Q443" s="12"/>
      <c r="R443" s="12"/>
      <c r="S443" s="12"/>
      <c r="T443" s="36"/>
      <c r="U443" s="36"/>
      <c r="V443" s="12"/>
      <c r="W443" s="12"/>
      <c r="X443" s="12"/>
      <c r="Y443" s="12"/>
    </row>
    <row r="444" customFormat="false" ht="15.75" hidden="false" customHeight="false" outlineLevel="0" collapsed="false">
      <c r="A444" s="12"/>
      <c r="B444" s="34"/>
      <c r="C444" s="12"/>
      <c r="D444" s="12"/>
      <c r="E444" s="12"/>
      <c r="F444" s="12"/>
      <c r="G444" s="18"/>
      <c r="H444" s="35"/>
      <c r="I444" s="35"/>
      <c r="J444" s="12"/>
      <c r="O444" s="12"/>
      <c r="P444" s="18"/>
      <c r="Q444" s="12"/>
      <c r="R444" s="12"/>
      <c r="S444" s="12"/>
      <c r="T444" s="36"/>
      <c r="U444" s="36"/>
      <c r="V444" s="12"/>
      <c r="W444" s="12"/>
      <c r="X444" s="12"/>
      <c r="Y444" s="12"/>
    </row>
    <row r="445" customFormat="false" ht="15.75" hidden="false" customHeight="false" outlineLevel="0" collapsed="false">
      <c r="A445" s="12"/>
      <c r="B445" s="34"/>
      <c r="C445" s="12"/>
      <c r="D445" s="12"/>
      <c r="E445" s="12"/>
      <c r="F445" s="12"/>
      <c r="G445" s="18"/>
      <c r="H445" s="35"/>
      <c r="I445" s="35"/>
      <c r="J445" s="12"/>
      <c r="O445" s="12"/>
      <c r="P445" s="18"/>
      <c r="Q445" s="12"/>
      <c r="R445" s="12"/>
      <c r="S445" s="12"/>
      <c r="T445" s="36"/>
      <c r="U445" s="36"/>
      <c r="V445" s="12"/>
      <c r="W445" s="12"/>
      <c r="X445" s="12"/>
      <c r="Y445" s="12"/>
    </row>
    <row r="446" customFormat="false" ht="15.75" hidden="false" customHeight="false" outlineLevel="0" collapsed="false">
      <c r="A446" s="12"/>
      <c r="B446" s="34"/>
      <c r="C446" s="12"/>
      <c r="D446" s="12"/>
      <c r="E446" s="12"/>
      <c r="F446" s="12"/>
      <c r="G446" s="18"/>
      <c r="H446" s="35"/>
      <c r="I446" s="35"/>
      <c r="J446" s="12"/>
      <c r="O446" s="12"/>
      <c r="P446" s="18"/>
      <c r="Q446" s="12"/>
      <c r="R446" s="12"/>
      <c r="S446" s="12"/>
      <c r="T446" s="36"/>
      <c r="U446" s="36"/>
      <c r="V446" s="12"/>
      <c r="W446" s="12"/>
      <c r="X446" s="12"/>
      <c r="Y446" s="12"/>
    </row>
    <row r="447" customFormat="false" ht="15.75" hidden="false" customHeight="false" outlineLevel="0" collapsed="false">
      <c r="A447" s="12"/>
      <c r="B447" s="34"/>
      <c r="C447" s="12"/>
      <c r="D447" s="12"/>
      <c r="E447" s="12"/>
      <c r="F447" s="12"/>
      <c r="G447" s="18"/>
      <c r="H447" s="35"/>
      <c r="I447" s="35"/>
      <c r="J447" s="12"/>
      <c r="O447" s="12"/>
      <c r="P447" s="18"/>
      <c r="Q447" s="12"/>
      <c r="R447" s="12"/>
      <c r="S447" s="12"/>
      <c r="T447" s="36"/>
      <c r="U447" s="36"/>
      <c r="V447" s="12"/>
      <c r="W447" s="12"/>
      <c r="X447" s="12"/>
      <c r="Y447" s="12"/>
    </row>
    <row r="448" customFormat="false" ht="15.75" hidden="false" customHeight="false" outlineLevel="0" collapsed="false">
      <c r="A448" s="12"/>
      <c r="B448" s="34"/>
      <c r="C448" s="12"/>
      <c r="D448" s="12"/>
      <c r="E448" s="12"/>
      <c r="F448" s="12"/>
      <c r="G448" s="18"/>
      <c r="H448" s="35"/>
      <c r="I448" s="35"/>
      <c r="J448" s="12"/>
      <c r="O448" s="12"/>
      <c r="P448" s="18"/>
      <c r="Q448" s="12"/>
      <c r="R448" s="12"/>
      <c r="S448" s="12"/>
      <c r="T448" s="36"/>
      <c r="U448" s="36"/>
      <c r="V448" s="12"/>
      <c r="W448" s="12"/>
      <c r="X448" s="12"/>
      <c r="Y448" s="12"/>
    </row>
    <row r="449" customFormat="false" ht="15.75" hidden="false" customHeight="false" outlineLevel="0" collapsed="false">
      <c r="A449" s="12"/>
      <c r="B449" s="34"/>
      <c r="C449" s="12"/>
      <c r="D449" s="12"/>
      <c r="E449" s="12"/>
      <c r="F449" s="12"/>
      <c r="G449" s="18"/>
      <c r="H449" s="35"/>
      <c r="I449" s="35"/>
      <c r="J449" s="12"/>
      <c r="O449" s="12"/>
      <c r="P449" s="18"/>
      <c r="Q449" s="12"/>
      <c r="R449" s="12"/>
      <c r="S449" s="12"/>
      <c r="T449" s="36"/>
      <c r="U449" s="36"/>
      <c r="V449" s="12"/>
      <c r="W449" s="12"/>
      <c r="X449" s="12"/>
      <c r="Y449" s="12"/>
    </row>
    <row r="450" customFormat="false" ht="15.75" hidden="false" customHeight="false" outlineLevel="0" collapsed="false">
      <c r="A450" s="12"/>
      <c r="B450" s="34"/>
      <c r="C450" s="12"/>
      <c r="D450" s="12"/>
      <c r="E450" s="12"/>
      <c r="F450" s="12"/>
      <c r="G450" s="18"/>
      <c r="H450" s="35"/>
      <c r="I450" s="35"/>
      <c r="J450" s="12"/>
      <c r="O450" s="12"/>
      <c r="P450" s="18"/>
      <c r="Q450" s="12"/>
      <c r="R450" s="12"/>
      <c r="S450" s="12"/>
      <c r="T450" s="36"/>
      <c r="U450" s="36"/>
      <c r="V450" s="12"/>
      <c r="W450" s="12"/>
      <c r="X450" s="12"/>
      <c r="Y450" s="12"/>
    </row>
    <row r="451" customFormat="false" ht="15.75" hidden="false" customHeight="false" outlineLevel="0" collapsed="false">
      <c r="A451" s="12"/>
      <c r="B451" s="34"/>
      <c r="C451" s="12"/>
      <c r="D451" s="12"/>
      <c r="E451" s="12"/>
      <c r="F451" s="12"/>
      <c r="G451" s="18"/>
      <c r="H451" s="35"/>
      <c r="I451" s="35"/>
      <c r="J451" s="12"/>
      <c r="O451" s="12"/>
      <c r="P451" s="18"/>
      <c r="Q451" s="12"/>
      <c r="R451" s="12"/>
      <c r="S451" s="12"/>
      <c r="T451" s="36"/>
      <c r="U451" s="36"/>
      <c r="V451" s="12"/>
      <c r="W451" s="12"/>
      <c r="X451" s="12"/>
      <c r="Y451" s="12"/>
    </row>
    <row r="452" customFormat="false" ht="15.75" hidden="false" customHeight="false" outlineLevel="0" collapsed="false">
      <c r="A452" s="12"/>
      <c r="B452" s="34"/>
      <c r="C452" s="12"/>
      <c r="D452" s="12"/>
      <c r="E452" s="12"/>
      <c r="F452" s="12"/>
      <c r="G452" s="18"/>
      <c r="H452" s="35"/>
      <c r="I452" s="35"/>
      <c r="J452" s="12"/>
      <c r="O452" s="12"/>
      <c r="P452" s="18"/>
      <c r="Q452" s="12"/>
      <c r="R452" s="12"/>
      <c r="S452" s="12"/>
      <c r="T452" s="36"/>
      <c r="U452" s="36"/>
      <c r="V452" s="12"/>
      <c r="W452" s="12"/>
      <c r="X452" s="12"/>
      <c r="Y452" s="12"/>
    </row>
    <row r="453" customFormat="false" ht="15.75" hidden="false" customHeight="false" outlineLevel="0" collapsed="false">
      <c r="A453" s="12"/>
      <c r="B453" s="34"/>
      <c r="C453" s="12"/>
      <c r="D453" s="12"/>
      <c r="E453" s="12"/>
      <c r="F453" s="12"/>
      <c r="G453" s="18"/>
      <c r="H453" s="35"/>
      <c r="I453" s="35"/>
      <c r="J453" s="12"/>
      <c r="O453" s="12"/>
      <c r="P453" s="18"/>
      <c r="Q453" s="12"/>
      <c r="R453" s="12"/>
      <c r="S453" s="12"/>
      <c r="T453" s="36"/>
      <c r="U453" s="36"/>
      <c r="V453" s="12"/>
      <c r="W453" s="12"/>
      <c r="X453" s="12"/>
      <c r="Y453" s="12"/>
    </row>
    <row r="454" customFormat="false" ht="15.75" hidden="false" customHeight="false" outlineLevel="0" collapsed="false">
      <c r="A454" s="12"/>
      <c r="B454" s="34"/>
      <c r="C454" s="12"/>
      <c r="D454" s="12"/>
      <c r="E454" s="12"/>
      <c r="F454" s="12"/>
      <c r="G454" s="18"/>
      <c r="H454" s="35"/>
      <c r="I454" s="35"/>
      <c r="J454" s="12"/>
      <c r="O454" s="12"/>
      <c r="P454" s="18"/>
      <c r="Q454" s="12"/>
      <c r="R454" s="12"/>
      <c r="S454" s="12"/>
      <c r="T454" s="36"/>
      <c r="U454" s="36"/>
      <c r="V454" s="12"/>
      <c r="W454" s="12"/>
      <c r="X454" s="12"/>
      <c r="Y454" s="12"/>
    </row>
    <row r="455" customFormat="false" ht="15.75" hidden="false" customHeight="false" outlineLevel="0" collapsed="false">
      <c r="A455" s="12"/>
      <c r="B455" s="34"/>
      <c r="C455" s="12"/>
      <c r="D455" s="12"/>
      <c r="E455" s="12"/>
      <c r="F455" s="12"/>
      <c r="G455" s="18"/>
      <c r="H455" s="35"/>
      <c r="I455" s="35"/>
      <c r="J455" s="12"/>
      <c r="O455" s="12"/>
      <c r="P455" s="18"/>
      <c r="Q455" s="12"/>
      <c r="R455" s="12"/>
      <c r="S455" s="12"/>
      <c r="T455" s="36"/>
      <c r="U455" s="36"/>
      <c r="V455" s="12"/>
      <c r="W455" s="12"/>
      <c r="X455" s="12"/>
      <c r="Y455" s="12"/>
    </row>
    <row r="456" customFormat="false" ht="15.75" hidden="false" customHeight="false" outlineLevel="0" collapsed="false">
      <c r="A456" s="12"/>
      <c r="B456" s="34"/>
      <c r="C456" s="12"/>
      <c r="D456" s="12"/>
      <c r="E456" s="12"/>
      <c r="F456" s="12"/>
      <c r="G456" s="18"/>
      <c r="H456" s="35"/>
      <c r="I456" s="35"/>
      <c r="J456" s="12"/>
      <c r="O456" s="12"/>
      <c r="P456" s="18"/>
      <c r="Q456" s="12"/>
      <c r="R456" s="12"/>
      <c r="S456" s="12"/>
      <c r="T456" s="36"/>
      <c r="U456" s="36"/>
      <c r="V456" s="12"/>
      <c r="W456" s="12"/>
      <c r="X456" s="12"/>
      <c r="Y456" s="12"/>
    </row>
    <row r="457" customFormat="false" ht="15.75" hidden="false" customHeight="false" outlineLevel="0" collapsed="false">
      <c r="A457" s="12"/>
      <c r="B457" s="34"/>
      <c r="C457" s="12"/>
      <c r="D457" s="12"/>
      <c r="E457" s="12"/>
      <c r="F457" s="12"/>
      <c r="G457" s="18"/>
      <c r="H457" s="35"/>
      <c r="I457" s="35"/>
      <c r="J457" s="12"/>
      <c r="O457" s="12"/>
      <c r="P457" s="18"/>
      <c r="Q457" s="12"/>
      <c r="R457" s="12"/>
      <c r="S457" s="12"/>
      <c r="T457" s="36"/>
      <c r="U457" s="36"/>
      <c r="V457" s="12"/>
      <c r="W457" s="12"/>
      <c r="X457" s="12"/>
      <c r="Y457" s="12"/>
    </row>
    <row r="458" customFormat="false" ht="15.75" hidden="false" customHeight="false" outlineLevel="0" collapsed="false">
      <c r="A458" s="12"/>
      <c r="B458" s="34"/>
      <c r="C458" s="12"/>
      <c r="D458" s="12"/>
      <c r="E458" s="12"/>
      <c r="F458" s="12"/>
      <c r="G458" s="18"/>
      <c r="H458" s="35"/>
      <c r="I458" s="35"/>
      <c r="J458" s="12"/>
      <c r="O458" s="12"/>
      <c r="P458" s="18"/>
      <c r="Q458" s="12"/>
      <c r="R458" s="12"/>
      <c r="S458" s="12"/>
      <c r="T458" s="36"/>
      <c r="U458" s="36"/>
      <c r="V458" s="12"/>
      <c r="W458" s="12"/>
      <c r="X458" s="12"/>
      <c r="Y458" s="12"/>
    </row>
    <row r="459" customFormat="false" ht="15.75" hidden="false" customHeight="false" outlineLevel="0" collapsed="false">
      <c r="A459" s="12"/>
      <c r="B459" s="34"/>
      <c r="C459" s="12"/>
      <c r="D459" s="12"/>
      <c r="E459" s="12"/>
      <c r="F459" s="12"/>
      <c r="G459" s="18"/>
      <c r="H459" s="35"/>
      <c r="I459" s="35"/>
      <c r="J459" s="12"/>
      <c r="O459" s="12"/>
      <c r="P459" s="18"/>
      <c r="Q459" s="12"/>
      <c r="R459" s="12"/>
      <c r="S459" s="12"/>
      <c r="T459" s="36"/>
      <c r="U459" s="36"/>
      <c r="V459" s="12"/>
      <c r="W459" s="12"/>
      <c r="X459" s="12"/>
      <c r="Y459" s="12"/>
    </row>
    <row r="460" customFormat="false" ht="15.75" hidden="false" customHeight="false" outlineLevel="0" collapsed="false">
      <c r="A460" s="12"/>
      <c r="B460" s="34"/>
      <c r="C460" s="12"/>
      <c r="D460" s="12"/>
      <c r="E460" s="12"/>
      <c r="F460" s="12"/>
      <c r="G460" s="18"/>
      <c r="H460" s="35"/>
      <c r="I460" s="35"/>
      <c r="J460" s="12"/>
      <c r="O460" s="12"/>
      <c r="P460" s="18"/>
      <c r="Q460" s="12"/>
      <c r="R460" s="12"/>
      <c r="S460" s="12"/>
      <c r="T460" s="36"/>
      <c r="U460" s="36"/>
      <c r="V460" s="12"/>
      <c r="W460" s="12"/>
      <c r="X460" s="12"/>
      <c r="Y460" s="12"/>
    </row>
    <row r="461" customFormat="false" ht="15.75" hidden="false" customHeight="false" outlineLevel="0" collapsed="false">
      <c r="A461" s="12"/>
      <c r="B461" s="34"/>
      <c r="C461" s="12"/>
      <c r="D461" s="12"/>
      <c r="E461" s="12"/>
      <c r="F461" s="12"/>
      <c r="G461" s="18"/>
      <c r="H461" s="35"/>
      <c r="I461" s="35"/>
      <c r="J461" s="12"/>
      <c r="O461" s="12"/>
      <c r="P461" s="18"/>
      <c r="Q461" s="12"/>
      <c r="R461" s="12"/>
      <c r="S461" s="12"/>
      <c r="T461" s="36"/>
      <c r="U461" s="36"/>
      <c r="V461" s="12"/>
      <c r="W461" s="12"/>
      <c r="X461" s="12"/>
      <c r="Y461" s="12"/>
    </row>
    <row r="462" customFormat="false" ht="15.75" hidden="false" customHeight="false" outlineLevel="0" collapsed="false">
      <c r="A462" s="12"/>
      <c r="B462" s="34"/>
      <c r="C462" s="12"/>
      <c r="D462" s="12"/>
      <c r="E462" s="12"/>
      <c r="F462" s="12"/>
      <c r="G462" s="18"/>
      <c r="H462" s="35"/>
      <c r="I462" s="35"/>
      <c r="J462" s="12"/>
      <c r="O462" s="12"/>
      <c r="P462" s="18"/>
      <c r="Q462" s="12"/>
      <c r="R462" s="12"/>
      <c r="S462" s="12"/>
      <c r="T462" s="36"/>
      <c r="U462" s="36"/>
      <c r="V462" s="12"/>
      <c r="W462" s="12"/>
      <c r="X462" s="12"/>
      <c r="Y462" s="12"/>
    </row>
    <row r="463" customFormat="false" ht="15.75" hidden="false" customHeight="false" outlineLevel="0" collapsed="false">
      <c r="A463" s="12"/>
      <c r="B463" s="34"/>
      <c r="C463" s="12"/>
      <c r="D463" s="12"/>
      <c r="E463" s="12"/>
      <c r="F463" s="12"/>
      <c r="G463" s="18"/>
      <c r="H463" s="35"/>
      <c r="I463" s="35"/>
      <c r="J463" s="12"/>
      <c r="O463" s="12"/>
      <c r="P463" s="18"/>
      <c r="Q463" s="12"/>
      <c r="R463" s="12"/>
      <c r="S463" s="12"/>
      <c r="T463" s="36"/>
      <c r="U463" s="36"/>
      <c r="V463" s="12"/>
      <c r="W463" s="12"/>
      <c r="X463" s="12"/>
      <c r="Y463" s="12"/>
    </row>
    <row r="464" customFormat="false" ht="15.75" hidden="false" customHeight="false" outlineLevel="0" collapsed="false">
      <c r="A464" s="12"/>
      <c r="B464" s="34"/>
      <c r="C464" s="12"/>
      <c r="D464" s="12"/>
      <c r="E464" s="12"/>
      <c r="F464" s="12"/>
      <c r="G464" s="18"/>
      <c r="H464" s="35"/>
      <c r="I464" s="35"/>
      <c r="J464" s="12"/>
      <c r="O464" s="12"/>
      <c r="P464" s="18"/>
      <c r="Q464" s="12"/>
      <c r="R464" s="12"/>
      <c r="S464" s="12"/>
      <c r="T464" s="36"/>
      <c r="U464" s="36"/>
      <c r="V464" s="12"/>
      <c r="W464" s="12"/>
      <c r="X464" s="12"/>
      <c r="Y464" s="12"/>
    </row>
    <row r="465" customFormat="false" ht="15.75" hidden="false" customHeight="false" outlineLevel="0" collapsed="false">
      <c r="A465" s="12"/>
      <c r="B465" s="34"/>
      <c r="C465" s="12"/>
      <c r="D465" s="12"/>
      <c r="E465" s="12"/>
      <c r="F465" s="12"/>
      <c r="G465" s="18"/>
      <c r="H465" s="35"/>
      <c r="I465" s="35"/>
      <c r="J465" s="12"/>
      <c r="O465" s="12"/>
      <c r="P465" s="18"/>
      <c r="Q465" s="12"/>
      <c r="R465" s="12"/>
      <c r="S465" s="12"/>
      <c r="T465" s="36"/>
      <c r="U465" s="36"/>
      <c r="V465" s="12"/>
      <c r="W465" s="12"/>
      <c r="X465" s="12"/>
      <c r="Y465" s="12"/>
    </row>
    <row r="466" customFormat="false" ht="15.75" hidden="false" customHeight="false" outlineLevel="0" collapsed="false">
      <c r="A466" s="12"/>
      <c r="B466" s="34"/>
      <c r="C466" s="12"/>
      <c r="D466" s="12"/>
      <c r="E466" s="12"/>
      <c r="F466" s="12"/>
      <c r="G466" s="18"/>
      <c r="H466" s="35"/>
      <c r="I466" s="35"/>
      <c r="J466" s="12"/>
      <c r="O466" s="12"/>
      <c r="P466" s="18"/>
      <c r="Q466" s="12"/>
      <c r="R466" s="12"/>
      <c r="S466" s="12"/>
      <c r="T466" s="36"/>
      <c r="U466" s="36"/>
      <c r="V466" s="12"/>
      <c r="W466" s="12"/>
      <c r="X466" s="12"/>
      <c r="Y466" s="12"/>
    </row>
    <row r="467" customFormat="false" ht="15.75" hidden="false" customHeight="false" outlineLevel="0" collapsed="false">
      <c r="A467" s="12"/>
      <c r="B467" s="34"/>
      <c r="C467" s="12"/>
      <c r="D467" s="12"/>
      <c r="E467" s="12"/>
      <c r="F467" s="12"/>
      <c r="G467" s="18"/>
      <c r="H467" s="35"/>
      <c r="I467" s="35"/>
      <c r="J467" s="12"/>
      <c r="O467" s="12"/>
      <c r="P467" s="18"/>
      <c r="Q467" s="12"/>
      <c r="R467" s="12"/>
      <c r="S467" s="12"/>
      <c r="T467" s="36"/>
      <c r="U467" s="36"/>
      <c r="V467" s="12"/>
      <c r="W467" s="12"/>
      <c r="X467" s="12"/>
      <c r="Y467" s="12"/>
    </row>
    <row r="468" customFormat="false" ht="15.75" hidden="false" customHeight="false" outlineLevel="0" collapsed="false">
      <c r="A468" s="12"/>
      <c r="B468" s="34"/>
      <c r="C468" s="12"/>
      <c r="D468" s="12"/>
      <c r="E468" s="12"/>
      <c r="F468" s="12"/>
      <c r="G468" s="18"/>
      <c r="H468" s="35"/>
      <c r="I468" s="35"/>
      <c r="J468" s="12"/>
      <c r="O468" s="12"/>
      <c r="P468" s="18"/>
      <c r="Q468" s="12"/>
      <c r="R468" s="12"/>
      <c r="S468" s="12"/>
      <c r="T468" s="36"/>
      <c r="U468" s="36"/>
      <c r="V468" s="12"/>
      <c r="W468" s="12"/>
      <c r="X468" s="12"/>
      <c r="Y468" s="12"/>
    </row>
    <row r="469" customFormat="false" ht="15.75" hidden="false" customHeight="false" outlineLevel="0" collapsed="false">
      <c r="A469" s="12"/>
      <c r="B469" s="34"/>
      <c r="C469" s="12"/>
      <c r="D469" s="12"/>
      <c r="E469" s="12"/>
      <c r="F469" s="12"/>
      <c r="G469" s="18"/>
      <c r="H469" s="35"/>
      <c r="I469" s="35"/>
      <c r="J469" s="12"/>
      <c r="O469" s="12"/>
      <c r="P469" s="18"/>
      <c r="Q469" s="12"/>
      <c r="R469" s="12"/>
      <c r="S469" s="12"/>
      <c r="T469" s="36"/>
      <c r="U469" s="36"/>
      <c r="V469" s="12"/>
      <c r="W469" s="12"/>
      <c r="X469" s="12"/>
      <c r="Y469" s="12"/>
    </row>
    <row r="470" customFormat="false" ht="15.75" hidden="false" customHeight="false" outlineLevel="0" collapsed="false">
      <c r="A470" s="12"/>
      <c r="B470" s="34"/>
      <c r="C470" s="12"/>
      <c r="D470" s="12"/>
      <c r="E470" s="12"/>
      <c r="F470" s="12"/>
      <c r="G470" s="18"/>
      <c r="H470" s="35"/>
      <c r="I470" s="35"/>
      <c r="J470" s="12"/>
      <c r="O470" s="12"/>
      <c r="P470" s="18"/>
      <c r="Q470" s="12"/>
      <c r="R470" s="12"/>
      <c r="S470" s="12"/>
      <c r="T470" s="36"/>
      <c r="U470" s="36"/>
      <c r="V470" s="12"/>
      <c r="W470" s="12"/>
      <c r="X470" s="12"/>
      <c r="Y470" s="12"/>
    </row>
    <row r="471" customFormat="false" ht="15.75" hidden="false" customHeight="false" outlineLevel="0" collapsed="false">
      <c r="A471" s="12"/>
      <c r="B471" s="34"/>
      <c r="C471" s="12"/>
      <c r="D471" s="12"/>
      <c r="E471" s="12"/>
      <c r="F471" s="12"/>
      <c r="G471" s="18"/>
      <c r="H471" s="35"/>
      <c r="I471" s="35"/>
      <c r="J471" s="12"/>
      <c r="O471" s="12"/>
      <c r="P471" s="18"/>
      <c r="Q471" s="12"/>
      <c r="R471" s="12"/>
      <c r="S471" s="12"/>
      <c r="T471" s="36"/>
      <c r="U471" s="36"/>
      <c r="V471" s="12"/>
      <c r="W471" s="12"/>
      <c r="X471" s="12"/>
      <c r="Y471" s="12"/>
    </row>
    <row r="472" customFormat="false" ht="15.75" hidden="false" customHeight="false" outlineLevel="0" collapsed="false">
      <c r="A472" s="12"/>
      <c r="B472" s="34"/>
      <c r="C472" s="12"/>
      <c r="D472" s="12"/>
      <c r="E472" s="12"/>
      <c r="F472" s="12"/>
      <c r="G472" s="18"/>
      <c r="H472" s="35"/>
      <c r="I472" s="35"/>
      <c r="J472" s="12"/>
      <c r="O472" s="12"/>
      <c r="P472" s="18"/>
      <c r="Q472" s="12"/>
      <c r="R472" s="12"/>
      <c r="S472" s="12"/>
      <c r="T472" s="36"/>
      <c r="U472" s="36"/>
      <c r="V472" s="12"/>
      <c r="W472" s="12"/>
      <c r="X472" s="12"/>
      <c r="Y472" s="12"/>
    </row>
    <row r="473" customFormat="false" ht="15.75" hidden="false" customHeight="false" outlineLevel="0" collapsed="false">
      <c r="A473" s="12"/>
      <c r="B473" s="34"/>
      <c r="C473" s="12"/>
      <c r="D473" s="12"/>
      <c r="E473" s="12"/>
      <c r="F473" s="12"/>
      <c r="G473" s="18"/>
      <c r="H473" s="35"/>
      <c r="I473" s="35"/>
      <c r="J473" s="12"/>
      <c r="O473" s="12"/>
      <c r="P473" s="18"/>
      <c r="Q473" s="12"/>
      <c r="R473" s="12"/>
      <c r="S473" s="12"/>
      <c r="T473" s="36"/>
      <c r="U473" s="36"/>
      <c r="V473" s="12"/>
      <c r="W473" s="12"/>
      <c r="X473" s="12"/>
      <c r="Y473" s="12"/>
    </row>
    <row r="474" customFormat="false" ht="15.75" hidden="false" customHeight="false" outlineLevel="0" collapsed="false">
      <c r="A474" s="12"/>
      <c r="B474" s="34"/>
      <c r="C474" s="12"/>
      <c r="D474" s="12"/>
      <c r="E474" s="12"/>
      <c r="F474" s="12"/>
      <c r="G474" s="18"/>
      <c r="H474" s="35"/>
      <c r="I474" s="35"/>
      <c r="J474" s="12"/>
      <c r="O474" s="12"/>
      <c r="P474" s="18"/>
      <c r="Q474" s="12"/>
      <c r="R474" s="12"/>
      <c r="S474" s="12"/>
      <c r="T474" s="36"/>
      <c r="U474" s="36"/>
      <c r="V474" s="12"/>
      <c r="W474" s="12"/>
      <c r="X474" s="12"/>
      <c r="Y474" s="12"/>
    </row>
    <row r="475" customFormat="false" ht="15.75" hidden="false" customHeight="false" outlineLevel="0" collapsed="false">
      <c r="A475" s="12"/>
      <c r="B475" s="34"/>
      <c r="C475" s="12"/>
      <c r="D475" s="12"/>
      <c r="E475" s="12"/>
      <c r="F475" s="12"/>
      <c r="G475" s="18"/>
      <c r="H475" s="35"/>
      <c r="I475" s="35"/>
      <c r="J475" s="12"/>
      <c r="O475" s="12"/>
      <c r="P475" s="18"/>
      <c r="Q475" s="12"/>
      <c r="R475" s="12"/>
      <c r="S475" s="12"/>
      <c r="T475" s="36"/>
      <c r="U475" s="36"/>
      <c r="V475" s="12"/>
      <c r="W475" s="12"/>
      <c r="X475" s="12"/>
      <c r="Y475" s="12"/>
    </row>
    <row r="476" customFormat="false" ht="15.75" hidden="false" customHeight="false" outlineLevel="0" collapsed="false">
      <c r="A476" s="12"/>
      <c r="B476" s="34"/>
      <c r="C476" s="12"/>
      <c r="D476" s="12"/>
      <c r="E476" s="12"/>
      <c r="F476" s="12"/>
      <c r="G476" s="18"/>
      <c r="H476" s="35"/>
      <c r="I476" s="35"/>
      <c r="J476" s="12"/>
      <c r="O476" s="12"/>
      <c r="P476" s="18"/>
      <c r="Q476" s="12"/>
      <c r="R476" s="12"/>
      <c r="S476" s="12"/>
      <c r="T476" s="36"/>
      <c r="U476" s="36"/>
      <c r="V476" s="12"/>
      <c r="W476" s="12"/>
      <c r="X476" s="12"/>
      <c r="Y476" s="12"/>
    </row>
    <row r="477" customFormat="false" ht="15.75" hidden="false" customHeight="false" outlineLevel="0" collapsed="false">
      <c r="A477" s="12"/>
      <c r="B477" s="34"/>
      <c r="C477" s="12"/>
      <c r="D477" s="12"/>
      <c r="E477" s="12"/>
      <c r="F477" s="12"/>
      <c r="G477" s="18"/>
      <c r="H477" s="35"/>
      <c r="I477" s="35"/>
      <c r="J477" s="12"/>
      <c r="O477" s="12"/>
      <c r="P477" s="18"/>
      <c r="Q477" s="12"/>
      <c r="R477" s="12"/>
      <c r="S477" s="12"/>
      <c r="T477" s="36"/>
      <c r="U477" s="36"/>
      <c r="V477" s="12"/>
      <c r="W477" s="12"/>
      <c r="X477" s="12"/>
      <c r="Y477" s="12"/>
    </row>
    <row r="478" customFormat="false" ht="15.75" hidden="false" customHeight="false" outlineLevel="0" collapsed="false">
      <c r="A478" s="12"/>
      <c r="B478" s="34"/>
      <c r="C478" s="12"/>
      <c r="D478" s="12"/>
      <c r="E478" s="12"/>
      <c r="F478" s="12"/>
      <c r="G478" s="18"/>
      <c r="H478" s="35"/>
      <c r="I478" s="35"/>
      <c r="J478" s="12"/>
      <c r="O478" s="12"/>
      <c r="P478" s="18"/>
      <c r="Q478" s="12"/>
      <c r="R478" s="12"/>
      <c r="S478" s="12"/>
      <c r="T478" s="36"/>
      <c r="U478" s="36"/>
      <c r="V478" s="12"/>
      <c r="W478" s="12"/>
      <c r="X478" s="12"/>
      <c r="Y478" s="12"/>
    </row>
    <row r="479" customFormat="false" ht="15.75" hidden="false" customHeight="false" outlineLevel="0" collapsed="false">
      <c r="A479" s="12"/>
      <c r="B479" s="34"/>
      <c r="C479" s="12"/>
      <c r="D479" s="12"/>
      <c r="E479" s="12"/>
      <c r="F479" s="12"/>
      <c r="G479" s="18"/>
      <c r="H479" s="35"/>
      <c r="I479" s="35"/>
      <c r="J479" s="12"/>
      <c r="O479" s="12"/>
      <c r="P479" s="18"/>
      <c r="Q479" s="12"/>
      <c r="R479" s="12"/>
      <c r="S479" s="12"/>
      <c r="T479" s="36"/>
      <c r="U479" s="36"/>
      <c r="V479" s="12"/>
      <c r="W479" s="12"/>
      <c r="X479" s="12"/>
      <c r="Y479" s="12"/>
    </row>
    <row r="480" customFormat="false" ht="15.75" hidden="false" customHeight="false" outlineLevel="0" collapsed="false">
      <c r="A480" s="12"/>
      <c r="B480" s="34"/>
      <c r="C480" s="12"/>
      <c r="D480" s="12"/>
      <c r="E480" s="12"/>
      <c r="F480" s="12"/>
      <c r="G480" s="18"/>
      <c r="H480" s="35"/>
      <c r="I480" s="35"/>
      <c r="J480" s="12"/>
      <c r="O480" s="12"/>
      <c r="P480" s="18"/>
      <c r="Q480" s="12"/>
      <c r="R480" s="12"/>
      <c r="S480" s="12"/>
      <c r="T480" s="36"/>
      <c r="U480" s="36"/>
      <c r="V480" s="12"/>
      <c r="W480" s="12"/>
      <c r="X480" s="12"/>
      <c r="Y480" s="12"/>
    </row>
    <row r="481" customFormat="false" ht="15.75" hidden="false" customHeight="false" outlineLevel="0" collapsed="false">
      <c r="A481" s="12"/>
      <c r="B481" s="34"/>
      <c r="C481" s="12"/>
      <c r="D481" s="12"/>
      <c r="E481" s="12"/>
      <c r="F481" s="12"/>
      <c r="G481" s="18"/>
      <c r="H481" s="35"/>
      <c r="I481" s="35"/>
      <c r="J481" s="12"/>
      <c r="O481" s="12"/>
      <c r="P481" s="18"/>
      <c r="Q481" s="12"/>
      <c r="R481" s="12"/>
      <c r="S481" s="12"/>
      <c r="T481" s="36"/>
      <c r="U481" s="36"/>
      <c r="V481" s="12"/>
      <c r="W481" s="12"/>
      <c r="X481" s="12"/>
      <c r="Y481" s="12"/>
    </row>
    <row r="482" customFormat="false" ht="15.75" hidden="false" customHeight="false" outlineLevel="0" collapsed="false">
      <c r="A482" s="12"/>
      <c r="B482" s="34"/>
      <c r="C482" s="12"/>
      <c r="D482" s="12"/>
      <c r="E482" s="12"/>
      <c r="F482" s="12"/>
      <c r="G482" s="18"/>
      <c r="H482" s="35"/>
      <c r="I482" s="35"/>
      <c r="J482" s="12"/>
      <c r="O482" s="12"/>
      <c r="P482" s="18"/>
      <c r="Q482" s="12"/>
      <c r="R482" s="12"/>
      <c r="S482" s="12"/>
      <c r="T482" s="36"/>
      <c r="U482" s="36"/>
      <c r="V482" s="12"/>
      <c r="W482" s="12"/>
      <c r="X482" s="12"/>
      <c r="Y482" s="12"/>
    </row>
    <row r="483" customFormat="false" ht="15.75" hidden="false" customHeight="false" outlineLevel="0" collapsed="false">
      <c r="A483" s="12"/>
      <c r="B483" s="34"/>
      <c r="C483" s="12"/>
      <c r="D483" s="12"/>
      <c r="E483" s="12"/>
      <c r="F483" s="12"/>
      <c r="G483" s="18"/>
      <c r="H483" s="35"/>
      <c r="I483" s="35"/>
      <c r="J483" s="12"/>
      <c r="O483" s="12"/>
      <c r="P483" s="18"/>
      <c r="Q483" s="12"/>
      <c r="R483" s="12"/>
      <c r="S483" s="12"/>
      <c r="T483" s="36"/>
      <c r="U483" s="36"/>
      <c r="V483" s="12"/>
      <c r="W483" s="12"/>
      <c r="X483" s="12"/>
      <c r="Y483" s="12"/>
    </row>
    <row r="484" customFormat="false" ht="15.75" hidden="false" customHeight="false" outlineLevel="0" collapsed="false">
      <c r="A484" s="12"/>
      <c r="B484" s="34"/>
      <c r="C484" s="12"/>
      <c r="D484" s="12"/>
      <c r="E484" s="12"/>
      <c r="F484" s="12"/>
      <c r="G484" s="18"/>
      <c r="H484" s="35"/>
      <c r="I484" s="35"/>
      <c r="J484" s="12"/>
      <c r="O484" s="12"/>
      <c r="P484" s="18"/>
      <c r="Q484" s="12"/>
      <c r="R484" s="12"/>
      <c r="S484" s="12"/>
      <c r="T484" s="36"/>
      <c r="U484" s="36"/>
      <c r="V484" s="12"/>
      <c r="W484" s="12"/>
      <c r="X484" s="12"/>
      <c r="Y484" s="12"/>
    </row>
    <row r="485" customFormat="false" ht="15.75" hidden="false" customHeight="false" outlineLevel="0" collapsed="false">
      <c r="A485" s="12"/>
      <c r="B485" s="34"/>
      <c r="C485" s="12"/>
      <c r="D485" s="12"/>
      <c r="E485" s="12"/>
      <c r="F485" s="12"/>
      <c r="G485" s="18"/>
      <c r="H485" s="35"/>
      <c r="I485" s="35"/>
      <c r="J485" s="12"/>
      <c r="O485" s="12"/>
      <c r="P485" s="18"/>
      <c r="Q485" s="12"/>
      <c r="R485" s="12"/>
      <c r="S485" s="12"/>
      <c r="T485" s="36"/>
      <c r="U485" s="36"/>
      <c r="V485" s="12"/>
      <c r="W485" s="12"/>
      <c r="X485" s="12"/>
      <c r="Y485" s="12"/>
    </row>
    <row r="486" customFormat="false" ht="15.75" hidden="false" customHeight="false" outlineLevel="0" collapsed="false">
      <c r="A486" s="12"/>
      <c r="B486" s="34"/>
      <c r="C486" s="12"/>
      <c r="D486" s="12"/>
      <c r="E486" s="12"/>
      <c r="F486" s="12"/>
      <c r="G486" s="18"/>
      <c r="H486" s="35"/>
      <c r="I486" s="35"/>
      <c r="J486" s="12"/>
      <c r="O486" s="12"/>
      <c r="P486" s="18"/>
      <c r="Q486" s="12"/>
      <c r="R486" s="12"/>
      <c r="S486" s="12"/>
      <c r="T486" s="36"/>
      <c r="U486" s="36"/>
      <c r="V486" s="12"/>
      <c r="W486" s="12"/>
      <c r="X486" s="12"/>
      <c r="Y486" s="12"/>
    </row>
    <row r="487" customFormat="false" ht="15.75" hidden="false" customHeight="false" outlineLevel="0" collapsed="false">
      <c r="A487" s="12"/>
      <c r="B487" s="34"/>
      <c r="C487" s="12"/>
      <c r="D487" s="12"/>
      <c r="E487" s="12"/>
      <c r="F487" s="12"/>
      <c r="G487" s="18"/>
      <c r="H487" s="35"/>
      <c r="I487" s="35"/>
      <c r="J487" s="12"/>
      <c r="O487" s="12"/>
      <c r="P487" s="18"/>
      <c r="Q487" s="12"/>
      <c r="R487" s="12"/>
      <c r="S487" s="12"/>
      <c r="T487" s="36"/>
      <c r="U487" s="36"/>
      <c r="V487" s="12"/>
      <c r="W487" s="12"/>
      <c r="X487" s="12"/>
      <c r="Y487" s="12"/>
    </row>
    <row r="488" customFormat="false" ht="15.75" hidden="false" customHeight="false" outlineLevel="0" collapsed="false">
      <c r="A488" s="12"/>
      <c r="B488" s="34"/>
      <c r="C488" s="12"/>
      <c r="D488" s="12"/>
      <c r="E488" s="12"/>
      <c r="F488" s="12"/>
      <c r="G488" s="18"/>
      <c r="H488" s="35"/>
      <c r="I488" s="35"/>
      <c r="J488" s="12"/>
      <c r="O488" s="12"/>
      <c r="P488" s="18"/>
      <c r="Q488" s="12"/>
      <c r="R488" s="12"/>
      <c r="S488" s="12"/>
      <c r="T488" s="36"/>
      <c r="U488" s="36"/>
      <c r="V488" s="12"/>
      <c r="W488" s="12"/>
      <c r="X488" s="12"/>
      <c r="Y488" s="12"/>
    </row>
    <row r="489" customFormat="false" ht="15.75" hidden="false" customHeight="false" outlineLevel="0" collapsed="false">
      <c r="A489" s="12"/>
      <c r="B489" s="34"/>
      <c r="C489" s="12"/>
      <c r="D489" s="12"/>
      <c r="E489" s="12"/>
      <c r="F489" s="12"/>
      <c r="G489" s="18"/>
      <c r="H489" s="35"/>
      <c r="I489" s="35"/>
      <c r="J489" s="12"/>
      <c r="O489" s="12"/>
      <c r="P489" s="18"/>
      <c r="Q489" s="12"/>
      <c r="R489" s="12"/>
      <c r="S489" s="12"/>
      <c r="T489" s="36"/>
      <c r="U489" s="36"/>
      <c r="V489" s="12"/>
      <c r="W489" s="12"/>
      <c r="X489" s="12"/>
      <c r="Y489" s="12"/>
    </row>
    <row r="490" customFormat="false" ht="15.75" hidden="false" customHeight="false" outlineLevel="0" collapsed="false">
      <c r="A490" s="12"/>
      <c r="B490" s="34"/>
      <c r="C490" s="12"/>
      <c r="D490" s="12"/>
      <c r="E490" s="12"/>
      <c r="F490" s="12"/>
      <c r="G490" s="18"/>
      <c r="H490" s="35"/>
      <c r="I490" s="35"/>
      <c r="J490" s="12"/>
      <c r="O490" s="12"/>
      <c r="P490" s="18"/>
      <c r="Q490" s="12"/>
      <c r="R490" s="12"/>
      <c r="S490" s="12"/>
      <c r="T490" s="36"/>
      <c r="U490" s="36"/>
      <c r="V490" s="12"/>
      <c r="W490" s="12"/>
      <c r="X490" s="12"/>
      <c r="Y490" s="12"/>
    </row>
    <row r="491" customFormat="false" ht="15.75" hidden="false" customHeight="false" outlineLevel="0" collapsed="false">
      <c r="A491" s="12"/>
      <c r="B491" s="34"/>
      <c r="C491" s="12"/>
      <c r="D491" s="12"/>
      <c r="E491" s="12"/>
      <c r="F491" s="12"/>
      <c r="G491" s="18"/>
      <c r="H491" s="35"/>
      <c r="I491" s="35"/>
      <c r="J491" s="12"/>
      <c r="O491" s="12"/>
      <c r="P491" s="18"/>
      <c r="Q491" s="12"/>
      <c r="R491" s="12"/>
      <c r="S491" s="12"/>
      <c r="T491" s="36"/>
      <c r="U491" s="36"/>
      <c r="V491" s="12"/>
      <c r="W491" s="12"/>
      <c r="X491" s="12"/>
      <c r="Y491" s="12"/>
    </row>
    <row r="492" customFormat="false" ht="15.75" hidden="false" customHeight="false" outlineLevel="0" collapsed="false">
      <c r="A492" s="12"/>
      <c r="B492" s="34"/>
      <c r="C492" s="12"/>
      <c r="D492" s="12"/>
      <c r="E492" s="12"/>
      <c r="F492" s="12"/>
      <c r="G492" s="18"/>
      <c r="H492" s="35"/>
      <c r="I492" s="35"/>
      <c r="J492" s="12"/>
      <c r="O492" s="12"/>
      <c r="P492" s="18"/>
      <c r="Q492" s="12"/>
      <c r="R492" s="12"/>
      <c r="S492" s="12"/>
      <c r="T492" s="36"/>
      <c r="U492" s="36"/>
      <c r="V492" s="12"/>
      <c r="W492" s="12"/>
      <c r="X492" s="12"/>
      <c r="Y492" s="12"/>
    </row>
    <row r="493" customFormat="false" ht="15.75" hidden="false" customHeight="false" outlineLevel="0" collapsed="false">
      <c r="A493" s="12"/>
      <c r="B493" s="34"/>
      <c r="C493" s="12"/>
      <c r="D493" s="12"/>
      <c r="E493" s="12"/>
      <c r="F493" s="12"/>
      <c r="G493" s="18"/>
      <c r="H493" s="35"/>
      <c r="I493" s="35"/>
      <c r="J493" s="12"/>
      <c r="O493" s="12"/>
      <c r="P493" s="18"/>
      <c r="Q493" s="12"/>
      <c r="R493" s="12"/>
      <c r="S493" s="12"/>
      <c r="T493" s="36"/>
      <c r="U493" s="36"/>
      <c r="V493" s="12"/>
      <c r="W493" s="12"/>
      <c r="X493" s="12"/>
      <c r="Y493" s="12"/>
    </row>
    <row r="494" customFormat="false" ht="15.75" hidden="false" customHeight="false" outlineLevel="0" collapsed="false">
      <c r="A494" s="12"/>
      <c r="B494" s="34"/>
      <c r="C494" s="12"/>
      <c r="D494" s="12"/>
      <c r="E494" s="12"/>
      <c r="F494" s="12"/>
      <c r="G494" s="18"/>
      <c r="H494" s="35"/>
      <c r="I494" s="35"/>
      <c r="J494" s="12"/>
      <c r="O494" s="12"/>
      <c r="P494" s="18"/>
      <c r="Q494" s="12"/>
      <c r="R494" s="12"/>
      <c r="S494" s="12"/>
      <c r="T494" s="36"/>
      <c r="U494" s="36"/>
      <c r="V494" s="12"/>
      <c r="W494" s="12"/>
      <c r="X494" s="12"/>
      <c r="Y494" s="12"/>
    </row>
    <row r="495" customFormat="false" ht="15.75" hidden="false" customHeight="false" outlineLevel="0" collapsed="false">
      <c r="A495" s="12"/>
      <c r="B495" s="34"/>
      <c r="C495" s="12"/>
      <c r="D495" s="12"/>
      <c r="E495" s="12"/>
      <c r="F495" s="12"/>
      <c r="G495" s="18"/>
      <c r="H495" s="35"/>
      <c r="I495" s="35"/>
      <c r="J495" s="12"/>
      <c r="O495" s="12"/>
      <c r="P495" s="18"/>
      <c r="Q495" s="12"/>
      <c r="R495" s="12"/>
      <c r="S495" s="12"/>
      <c r="T495" s="36"/>
      <c r="U495" s="36"/>
      <c r="V495" s="12"/>
      <c r="W495" s="12"/>
      <c r="X495" s="12"/>
      <c r="Y495" s="12"/>
    </row>
    <row r="496" customFormat="false" ht="15.75" hidden="false" customHeight="false" outlineLevel="0" collapsed="false">
      <c r="A496" s="12"/>
      <c r="B496" s="34"/>
      <c r="C496" s="12"/>
      <c r="D496" s="12"/>
      <c r="E496" s="12"/>
      <c r="F496" s="12"/>
      <c r="G496" s="18"/>
      <c r="H496" s="35"/>
      <c r="I496" s="35"/>
      <c r="J496" s="12"/>
      <c r="O496" s="12"/>
      <c r="P496" s="18"/>
      <c r="Q496" s="12"/>
      <c r="R496" s="12"/>
      <c r="S496" s="12"/>
      <c r="T496" s="36"/>
      <c r="U496" s="36"/>
      <c r="V496" s="12"/>
      <c r="W496" s="12"/>
      <c r="X496" s="12"/>
      <c r="Y496" s="12"/>
    </row>
    <row r="497" customFormat="false" ht="15.75" hidden="false" customHeight="false" outlineLevel="0" collapsed="false">
      <c r="A497" s="12"/>
      <c r="B497" s="34"/>
      <c r="C497" s="12"/>
      <c r="D497" s="12"/>
      <c r="E497" s="12"/>
      <c r="F497" s="12"/>
      <c r="G497" s="18"/>
      <c r="H497" s="35"/>
      <c r="I497" s="35"/>
      <c r="J497" s="12"/>
      <c r="O497" s="12"/>
      <c r="P497" s="18"/>
      <c r="Q497" s="12"/>
      <c r="R497" s="12"/>
      <c r="S497" s="12"/>
      <c r="T497" s="36"/>
      <c r="U497" s="36"/>
      <c r="V497" s="12"/>
      <c r="W497" s="12"/>
      <c r="X497" s="12"/>
      <c r="Y497" s="12"/>
    </row>
    <row r="498" customFormat="false" ht="15.75" hidden="false" customHeight="false" outlineLevel="0" collapsed="false">
      <c r="A498" s="12"/>
      <c r="B498" s="34"/>
      <c r="C498" s="12"/>
      <c r="D498" s="12"/>
      <c r="E498" s="12"/>
      <c r="F498" s="12"/>
      <c r="G498" s="18"/>
      <c r="H498" s="35"/>
      <c r="I498" s="35"/>
      <c r="J498" s="12"/>
      <c r="O498" s="12"/>
      <c r="P498" s="18"/>
      <c r="Q498" s="12"/>
      <c r="R498" s="12"/>
      <c r="S498" s="12"/>
      <c r="T498" s="36"/>
      <c r="U498" s="36"/>
      <c r="V498" s="12"/>
      <c r="W498" s="12"/>
      <c r="X498" s="12"/>
      <c r="Y498" s="12"/>
    </row>
    <row r="499" customFormat="false" ht="15.75" hidden="false" customHeight="false" outlineLevel="0" collapsed="false">
      <c r="A499" s="12"/>
      <c r="B499" s="34"/>
      <c r="C499" s="12"/>
      <c r="D499" s="12"/>
      <c r="E499" s="12"/>
      <c r="F499" s="12"/>
      <c r="G499" s="18"/>
      <c r="H499" s="35"/>
      <c r="I499" s="35"/>
      <c r="J499" s="12"/>
      <c r="O499" s="12"/>
      <c r="P499" s="18"/>
      <c r="Q499" s="12"/>
      <c r="R499" s="12"/>
      <c r="S499" s="12"/>
      <c r="T499" s="36"/>
      <c r="U499" s="36"/>
      <c r="V499" s="12"/>
      <c r="W499" s="12"/>
      <c r="X499" s="12"/>
      <c r="Y499" s="12"/>
    </row>
    <row r="500" customFormat="false" ht="15.75" hidden="false" customHeight="false" outlineLevel="0" collapsed="false">
      <c r="A500" s="12"/>
      <c r="B500" s="34"/>
      <c r="C500" s="12"/>
      <c r="D500" s="12"/>
      <c r="E500" s="12"/>
      <c r="F500" s="12"/>
      <c r="G500" s="18"/>
      <c r="H500" s="35"/>
      <c r="I500" s="35"/>
      <c r="J500" s="12"/>
      <c r="O500" s="12"/>
      <c r="P500" s="18"/>
      <c r="Q500" s="12"/>
      <c r="R500" s="12"/>
      <c r="S500" s="12"/>
      <c r="T500" s="36"/>
      <c r="U500" s="36"/>
      <c r="V500" s="12"/>
      <c r="W500" s="12"/>
      <c r="X500" s="12"/>
      <c r="Y500" s="12"/>
    </row>
    <row r="501" customFormat="false" ht="15.75" hidden="false" customHeight="false" outlineLevel="0" collapsed="false">
      <c r="A501" s="12"/>
      <c r="B501" s="34"/>
      <c r="C501" s="12"/>
      <c r="D501" s="12"/>
      <c r="E501" s="12"/>
      <c r="F501" s="12"/>
      <c r="G501" s="18"/>
      <c r="H501" s="35"/>
      <c r="I501" s="35"/>
      <c r="J501" s="12"/>
      <c r="O501" s="12"/>
      <c r="P501" s="18"/>
      <c r="Q501" s="12"/>
      <c r="R501" s="12"/>
      <c r="S501" s="12"/>
      <c r="T501" s="36"/>
      <c r="U501" s="36"/>
      <c r="V501" s="12"/>
      <c r="W501" s="12"/>
      <c r="X501" s="12"/>
      <c r="Y501" s="12"/>
    </row>
    <row r="502" customFormat="false" ht="15.75" hidden="false" customHeight="false" outlineLevel="0" collapsed="false">
      <c r="A502" s="12"/>
      <c r="B502" s="34"/>
      <c r="C502" s="12"/>
      <c r="D502" s="12"/>
      <c r="E502" s="12"/>
      <c r="F502" s="12"/>
      <c r="G502" s="18"/>
      <c r="H502" s="35"/>
      <c r="I502" s="35"/>
      <c r="J502" s="12"/>
      <c r="O502" s="12"/>
      <c r="P502" s="18"/>
      <c r="Q502" s="12"/>
      <c r="R502" s="12"/>
      <c r="S502" s="12"/>
      <c r="T502" s="36"/>
      <c r="U502" s="36"/>
      <c r="V502" s="12"/>
      <c r="W502" s="12"/>
      <c r="X502" s="12"/>
      <c r="Y502" s="12"/>
    </row>
    <row r="503" customFormat="false" ht="15.75" hidden="false" customHeight="false" outlineLevel="0" collapsed="false">
      <c r="A503" s="12"/>
      <c r="B503" s="34"/>
      <c r="C503" s="12"/>
      <c r="D503" s="12"/>
      <c r="E503" s="12"/>
      <c r="F503" s="12"/>
      <c r="G503" s="18"/>
      <c r="H503" s="35"/>
      <c r="I503" s="35"/>
      <c r="J503" s="12"/>
      <c r="O503" s="12"/>
      <c r="P503" s="18"/>
      <c r="Q503" s="12"/>
      <c r="R503" s="12"/>
      <c r="S503" s="12"/>
      <c r="T503" s="36"/>
      <c r="U503" s="36"/>
      <c r="V503" s="12"/>
      <c r="W503" s="12"/>
      <c r="X503" s="12"/>
      <c r="Y503" s="12"/>
    </row>
    <row r="504" customFormat="false" ht="15.75" hidden="false" customHeight="false" outlineLevel="0" collapsed="false">
      <c r="A504" s="12"/>
      <c r="B504" s="34"/>
      <c r="C504" s="12"/>
      <c r="D504" s="12"/>
      <c r="E504" s="12"/>
      <c r="F504" s="12"/>
      <c r="G504" s="18"/>
      <c r="H504" s="35"/>
      <c r="I504" s="35"/>
      <c r="J504" s="12"/>
      <c r="O504" s="12"/>
      <c r="P504" s="18"/>
      <c r="Q504" s="12"/>
      <c r="R504" s="12"/>
      <c r="S504" s="12"/>
      <c r="T504" s="36"/>
      <c r="U504" s="36"/>
      <c r="V504" s="12"/>
      <c r="W504" s="12"/>
      <c r="X504" s="12"/>
      <c r="Y504" s="12"/>
    </row>
    <row r="505" customFormat="false" ht="15.75" hidden="false" customHeight="false" outlineLevel="0" collapsed="false">
      <c r="A505" s="12"/>
      <c r="B505" s="34"/>
      <c r="C505" s="12"/>
      <c r="D505" s="12"/>
      <c r="E505" s="12"/>
      <c r="F505" s="12"/>
      <c r="G505" s="18"/>
      <c r="H505" s="35"/>
      <c r="I505" s="35"/>
      <c r="J505" s="12"/>
      <c r="O505" s="12"/>
      <c r="P505" s="18"/>
      <c r="Q505" s="12"/>
      <c r="R505" s="12"/>
      <c r="S505" s="12"/>
      <c r="T505" s="36"/>
      <c r="U505" s="36"/>
      <c r="V505" s="12"/>
      <c r="W505" s="12"/>
      <c r="X505" s="12"/>
      <c r="Y505" s="12"/>
    </row>
    <row r="506" customFormat="false" ht="15.75" hidden="false" customHeight="false" outlineLevel="0" collapsed="false">
      <c r="A506" s="12"/>
      <c r="B506" s="34"/>
      <c r="C506" s="12"/>
      <c r="D506" s="12"/>
      <c r="E506" s="12"/>
      <c r="F506" s="12"/>
      <c r="G506" s="18"/>
      <c r="H506" s="35"/>
      <c r="I506" s="35"/>
      <c r="J506" s="12"/>
      <c r="O506" s="12"/>
      <c r="P506" s="18"/>
      <c r="Q506" s="12"/>
      <c r="R506" s="12"/>
      <c r="S506" s="12"/>
      <c r="T506" s="36"/>
      <c r="U506" s="36"/>
      <c r="V506" s="12"/>
      <c r="W506" s="12"/>
      <c r="X506" s="12"/>
      <c r="Y506" s="12"/>
    </row>
    <row r="507" customFormat="false" ht="15.75" hidden="false" customHeight="false" outlineLevel="0" collapsed="false">
      <c r="A507" s="12"/>
      <c r="B507" s="34"/>
      <c r="C507" s="12"/>
      <c r="D507" s="12"/>
      <c r="E507" s="12"/>
      <c r="F507" s="12"/>
      <c r="G507" s="18"/>
      <c r="H507" s="35"/>
      <c r="I507" s="35"/>
      <c r="J507" s="12"/>
      <c r="O507" s="12"/>
      <c r="P507" s="18"/>
      <c r="Q507" s="12"/>
      <c r="R507" s="12"/>
      <c r="S507" s="12"/>
      <c r="T507" s="36"/>
      <c r="U507" s="36"/>
      <c r="V507" s="12"/>
      <c r="W507" s="12"/>
      <c r="X507" s="12"/>
      <c r="Y507" s="12"/>
    </row>
    <row r="508" customFormat="false" ht="15.75" hidden="false" customHeight="false" outlineLevel="0" collapsed="false">
      <c r="A508" s="12"/>
      <c r="B508" s="34"/>
      <c r="C508" s="12"/>
      <c r="D508" s="12"/>
      <c r="E508" s="12"/>
      <c r="F508" s="12"/>
      <c r="G508" s="18"/>
      <c r="H508" s="35"/>
      <c r="I508" s="35"/>
      <c r="J508" s="12"/>
      <c r="O508" s="12"/>
      <c r="P508" s="18"/>
      <c r="Q508" s="12"/>
      <c r="R508" s="12"/>
      <c r="S508" s="12"/>
      <c r="T508" s="36"/>
      <c r="U508" s="36"/>
      <c r="V508" s="12"/>
      <c r="W508" s="12"/>
      <c r="X508" s="12"/>
      <c r="Y508" s="12"/>
    </row>
    <row r="509" customFormat="false" ht="15.75" hidden="false" customHeight="false" outlineLevel="0" collapsed="false">
      <c r="A509" s="12"/>
      <c r="B509" s="34"/>
      <c r="C509" s="12"/>
      <c r="D509" s="12"/>
      <c r="E509" s="12"/>
      <c r="F509" s="12"/>
      <c r="G509" s="18"/>
      <c r="H509" s="35"/>
      <c r="I509" s="35"/>
      <c r="J509" s="12"/>
      <c r="O509" s="12"/>
      <c r="P509" s="18"/>
      <c r="Q509" s="12"/>
      <c r="R509" s="12"/>
      <c r="S509" s="12"/>
      <c r="T509" s="36"/>
      <c r="U509" s="36"/>
      <c r="V509" s="12"/>
      <c r="W509" s="12"/>
      <c r="X509" s="12"/>
      <c r="Y509" s="12"/>
    </row>
    <row r="510" customFormat="false" ht="15.75" hidden="false" customHeight="false" outlineLevel="0" collapsed="false">
      <c r="A510" s="12"/>
      <c r="B510" s="34"/>
      <c r="C510" s="12"/>
      <c r="D510" s="12"/>
      <c r="E510" s="12"/>
      <c r="F510" s="12"/>
      <c r="G510" s="18"/>
      <c r="H510" s="35"/>
      <c r="I510" s="35"/>
      <c r="J510" s="12"/>
      <c r="O510" s="12"/>
      <c r="P510" s="18"/>
      <c r="Q510" s="12"/>
      <c r="R510" s="12"/>
      <c r="S510" s="12"/>
      <c r="T510" s="36"/>
      <c r="U510" s="36"/>
      <c r="V510" s="12"/>
      <c r="W510" s="12"/>
      <c r="X510" s="12"/>
      <c r="Y510" s="12"/>
    </row>
    <row r="511" customFormat="false" ht="15.75" hidden="false" customHeight="false" outlineLevel="0" collapsed="false">
      <c r="A511" s="12"/>
      <c r="B511" s="34"/>
      <c r="C511" s="12"/>
      <c r="D511" s="12"/>
      <c r="E511" s="12"/>
      <c r="F511" s="12"/>
      <c r="G511" s="18"/>
      <c r="H511" s="35"/>
      <c r="I511" s="35"/>
      <c r="J511" s="12"/>
      <c r="O511" s="12"/>
      <c r="P511" s="18"/>
      <c r="Q511" s="12"/>
      <c r="R511" s="12"/>
      <c r="S511" s="12"/>
      <c r="T511" s="36"/>
      <c r="U511" s="36"/>
      <c r="V511" s="12"/>
      <c r="W511" s="12"/>
      <c r="X511" s="12"/>
      <c r="Y511" s="12"/>
    </row>
    <row r="512" customFormat="false" ht="15.75" hidden="false" customHeight="false" outlineLevel="0" collapsed="false">
      <c r="A512" s="12"/>
      <c r="B512" s="34"/>
      <c r="C512" s="12"/>
      <c r="D512" s="12"/>
      <c r="E512" s="12"/>
      <c r="F512" s="12"/>
      <c r="G512" s="18"/>
      <c r="H512" s="35"/>
      <c r="I512" s="35"/>
      <c r="J512" s="12"/>
      <c r="O512" s="12"/>
      <c r="P512" s="18"/>
      <c r="Q512" s="12"/>
      <c r="R512" s="12"/>
      <c r="S512" s="12"/>
      <c r="T512" s="36"/>
      <c r="U512" s="36"/>
      <c r="V512" s="12"/>
      <c r="W512" s="12"/>
      <c r="X512" s="12"/>
      <c r="Y512" s="12"/>
    </row>
    <row r="513" customFormat="false" ht="15.75" hidden="false" customHeight="false" outlineLevel="0" collapsed="false">
      <c r="A513" s="12"/>
      <c r="B513" s="34"/>
      <c r="C513" s="12"/>
      <c r="D513" s="12"/>
      <c r="E513" s="12"/>
      <c r="F513" s="12"/>
      <c r="G513" s="18"/>
      <c r="H513" s="35"/>
      <c r="I513" s="35"/>
      <c r="J513" s="12"/>
      <c r="O513" s="12"/>
      <c r="P513" s="18"/>
      <c r="Q513" s="12"/>
      <c r="R513" s="12"/>
      <c r="S513" s="12"/>
      <c r="T513" s="36"/>
      <c r="U513" s="36"/>
      <c r="V513" s="12"/>
      <c r="W513" s="12"/>
      <c r="X513" s="12"/>
      <c r="Y513" s="12"/>
    </row>
    <row r="514" customFormat="false" ht="15.75" hidden="false" customHeight="false" outlineLevel="0" collapsed="false">
      <c r="A514" s="12"/>
      <c r="B514" s="34"/>
      <c r="C514" s="12"/>
      <c r="D514" s="12"/>
      <c r="E514" s="12"/>
      <c r="F514" s="12"/>
      <c r="G514" s="18"/>
      <c r="H514" s="35"/>
      <c r="I514" s="35"/>
      <c r="J514" s="12"/>
      <c r="O514" s="12"/>
      <c r="P514" s="18"/>
      <c r="Q514" s="12"/>
      <c r="R514" s="12"/>
      <c r="S514" s="12"/>
      <c r="T514" s="36"/>
      <c r="U514" s="36"/>
      <c r="V514" s="12"/>
      <c r="W514" s="12"/>
      <c r="X514" s="12"/>
      <c r="Y514" s="12"/>
    </row>
    <row r="515" customFormat="false" ht="15.75" hidden="false" customHeight="false" outlineLevel="0" collapsed="false">
      <c r="A515" s="12"/>
      <c r="B515" s="34"/>
      <c r="C515" s="12"/>
      <c r="D515" s="12"/>
      <c r="E515" s="12"/>
      <c r="F515" s="12"/>
      <c r="G515" s="18"/>
      <c r="H515" s="35"/>
      <c r="I515" s="35"/>
      <c r="J515" s="12"/>
      <c r="O515" s="12"/>
      <c r="P515" s="18"/>
      <c r="Q515" s="12"/>
      <c r="R515" s="12"/>
      <c r="S515" s="12"/>
      <c r="T515" s="36"/>
      <c r="U515" s="36"/>
      <c r="V515" s="12"/>
      <c r="W515" s="12"/>
      <c r="X515" s="12"/>
      <c r="Y515" s="12"/>
    </row>
    <row r="516" customFormat="false" ht="15.75" hidden="false" customHeight="false" outlineLevel="0" collapsed="false">
      <c r="A516" s="12"/>
      <c r="B516" s="34"/>
      <c r="C516" s="12"/>
      <c r="D516" s="12"/>
      <c r="E516" s="12"/>
      <c r="F516" s="12"/>
      <c r="G516" s="18"/>
      <c r="H516" s="35"/>
      <c r="I516" s="35"/>
      <c r="J516" s="12"/>
      <c r="O516" s="12"/>
      <c r="P516" s="18"/>
      <c r="Q516" s="12"/>
      <c r="R516" s="12"/>
      <c r="S516" s="12"/>
      <c r="T516" s="36"/>
      <c r="U516" s="36"/>
      <c r="V516" s="12"/>
      <c r="W516" s="12"/>
      <c r="X516" s="12"/>
      <c r="Y516" s="12"/>
    </row>
    <row r="517" customFormat="false" ht="15.75" hidden="false" customHeight="false" outlineLevel="0" collapsed="false">
      <c r="A517" s="12"/>
      <c r="B517" s="34"/>
      <c r="C517" s="12"/>
      <c r="D517" s="12"/>
      <c r="E517" s="12"/>
      <c r="F517" s="12"/>
      <c r="G517" s="18"/>
      <c r="H517" s="35"/>
      <c r="I517" s="35"/>
      <c r="J517" s="12"/>
      <c r="O517" s="12"/>
      <c r="P517" s="18"/>
      <c r="Q517" s="12"/>
      <c r="R517" s="12"/>
      <c r="S517" s="12"/>
      <c r="T517" s="36"/>
      <c r="U517" s="36"/>
      <c r="V517" s="12"/>
      <c r="W517" s="12"/>
      <c r="X517" s="12"/>
      <c r="Y517" s="12"/>
    </row>
    <row r="518" customFormat="false" ht="15.75" hidden="false" customHeight="false" outlineLevel="0" collapsed="false">
      <c r="A518" s="12"/>
      <c r="B518" s="34"/>
      <c r="C518" s="12"/>
      <c r="D518" s="12"/>
      <c r="E518" s="12"/>
      <c r="F518" s="12"/>
      <c r="G518" s="18"/>
      <c r="H518" s="35"/>
      <c r="I518" s="35"/>
      <c r="J518" s="12"/>
      <c r="O518" s="12"/>
      <c r="P518" s="18"/>
      <c r="Q518" s="12"/>
      <c r="R518" s="12"/>
      <c r="S518" s="12"/>
      <c r="T518" s="36"/>
      <c r="U518" s="36"/>
      <c r="V518" s="12"/>
      <c r="W518" s="12"/>
      <c r="X518" s="12"/>
      <c r="Y518" s="12"/>
    </row>
    <row r="519" customFormat="false" ht="15.75" hidden="false" customHeight="false" outlineLevel="0" collapsed="false">
      <c r="A519" s="12"/>
      <c r="B519" s="34"/>
      <c r="C519" s="12"/>
      <c r="D519" s="12"/>
      <c r="E519" s="12"/>
      <c r="F519" s="12"/>
      <c r="G519" s="18"/>
      <c r="H519" s="35"/>
      <c r="I519" s="35"/>
      <c r="J519" s="12"/>
      <c r="O519" s="12"/>
      <c r="P519" s="18"/>
      <c r="Q519" s="12"/>
      <c r="R519" s="12"/>
      <c r="S519" s="12"/>
      <c r="T519" s="36"/>
      <c r="U519" s="36"/>
      <c r="V519" s="12"/>
      <c r="W519" s="12"/>
      <c r="X519" s="12"/>
      <c r="Y519" s="12"/>
    </row>
    <row r="520" customFormat="false" ht="15.75" hidden="false" customHeight="false" outlineLevel="0" collapsed="false">
      <c r="A520" s="12"/>
      <c r="B520" s="34"/>
      <c r="C520" s="12"/>
      <c r="D520" s="12"/>
      <c r="E520" s="12"/>
      <c r="F520" s="12"/>
      <c r="G520" s="18"/>
      <c r="H520" s="35"/>
      <c r="I520" s="35"/>
      <c r="J520" s="12"/>
      <c r="O520" s="12"/>
      <c r="P520" s="18"/>
      <c r="Q520" s="12"/>
      <c r="R520" s="12"/>
      <c r="S520" s="12"/>
      <c r="T520" s="36"/>
      <c r="U520" s="36"/>
      <c r="V520" s="12"/>
      <c r="W520" s="12"/>
      <c r="X520" s="12"/>
      <c r="Y520" s="12"/>
    </row>
    <row r="521" customFormat="false" ht="15.75" hidden="false" customHeight="false" outlineLevel="0" collapsed="false">
      <c r="A521" s="12"/>
      <c r="B521" s="34"/>
      <c r="C521" s="12"/>
      <c r="D521" s="12"/>
      <c r="E521" s="12"/>
      <c r="F521" s="12"/>
      <c r="G521" s="18"/>
      <c r="H521" s="35"/>
      <c r="I521" s="35"/>
      <c r="J521" s="12"/>
      <c r="O521" s="12"/>
      <c r="P521" s="18"/>
      <c r="Q521" s="12"/>
      <c r="R521" s="12"/>
      <c r="S521" s="12"/>
      <c r="T521" s="36"/>
      <c r="U521" s="36"/>
      <c r="V521" s="12"/>
      <c r="W521" s="12"/>
      <c r="X521" s="12"/>
      <c r="Y521" s="12"/>
    </row>
    <row r="522" customFormat="false" ht="15.75" hidden="false" customHeight="false" outlineLevel="0" collapsed="false">
      <c r="A522" s="12"/>
      <c r="B522" s="34"/>
      <c r="C522" s="12"/>
      <c r="D522" s="12"/>
      <c r="E522" s="12"/>
      <c r="F522" s="12"/>
      <c r="G522" s="18"/>
      <c r="H522" s="35"/>
      <c r="I522" s="35"/>
      <c r="J522" s="12"/>
      <c r="O522" s="12"/>
      <c r="P522" s="18"/>
      <c r="Q522" s="12"/>
      <c r="R522" s="12"/>
      <c r="S522" s="12"/>
      <c r="T522" s="36"/>
      <c r="U522" s="36"/>
      <c r="V522" s="12"/>
      <c r="W522" s="12"/>
      <c r="X522" s="12"/>
      <c r="Y522" s="12"/>
    </row>
    <row r="523" customFormat="false" ht="15.75" hidden="false" customHeight="false" outlineLevel="0" collapsed="false">
      <c r="A523" s="12"/>
      <c r="B523" s="34"/>
      <c r="C523" s="12"/>
      <c r="D523" s="12"/>
      <c r="E523" s="12"/>
      <c r="F523" s="12"/>
      <c r="G523" s="18"/>
      <c r="H523" s="35"/>
      <c r="I523" s="35"/>
      <c r="J523" s="12"/>
      <c r="O523" s="12"/>
      <c r="P523" s="18"/>
      <c r="Q523" s="12"/>
      <c r="R523" s="12"/>
      <c r="S523" s="12"/>
      <c r="T523" s="36"/>
      <c r="U523" s="36"/>
      <c r="V523" s="12"/>
      <c r="W523" s="12"/>
      <c r="X523" s="12"/>
      <c r="Y523" s="12"/>
    </row>
    <row r="524" customFormat="false" ht="15.75" hidden="false" customHeight="false" outlineLevel="0" collapsed="false">
      <c r="A524" s="12"/>
      <c r="B524" s="34"/>
      <c r="C524" s="12"/>
      <c r="D524" s="12"/>
      <c r="E524" s="12"/>
      <c r="F524" s="12"/>
      <c r="G524" s="18"/>
      <c r="H524" s="35"/>
      <c r="I524" s="35"/>
      <c r="J524" s="12"/>
      <c r="O524" s="12"/>
      <c r="P524" s="18"/>
      <c r="Q524" s="12"/>
      <c r="R524" s="12"/>
      <c r="S524" s="12"/>
      <c r="T524" s="36"/>
      <c r="U524" s="36"/>
      <c r="V524" s="12"/>
      <c r="W524" s="12"/>
      <c r="X524" s="12"/>
      <c r="Y524" s="12"/>
    </row>
    <row r="525" customFormat="false" ht="15.75" hidden="false" customHeight="false" outlineLevel="0" collapsed="false">
      <c r="A525" s="12"/>
      <c r="B525" s="34"/>
      <c r="C525" s="12"/>
      <c r="D525" s="12"/>
      <c r="E525" s="12"/>
      <c r="F525" s="12"/>
      <c r="G525" s="18"/>
      <c r="H525" s="35"/>
      <c r="I525" s="35"/>
      <c r="J525" s="12"/>
      <c r="O525" s="12"/>
      <c r="P525" s="18"/>
      <c r="Q525" s="12"/>
      <c r="R525" s="12"/>
      <c r="S525" s="12"/>
      <c r="T525" s="36"/>
      <c r="U525" s="36"/>
      <c r="V525" s="12"/>
      <c r="W525" s="12"/>
      <c r="X525" s="12"/>
      <c r="Y525" s="12"/>
    </row>
    <row r="526" customFormat="false" ht="15.75" hidden="false" customHeight="false" outlineLevel="0" collapsed="false">
      <c r="A526" s="12"/>
      <c r="B526" s="34"/>
      <c r="C526" s="12"/>
      <c r="D526" s="12"/>
      <c r="E526" s="12"/>
      <c r="F526" s="12"/>
      <c r="G526" s="18"/>
      <c r="H526" s="35"/>
      <c r="I526" s="35"/>
      <c r="J526" s="12"/>
      <c r="O526" s="12"/>
      <c r="P526" s="18"/>
      <c r="Q526" s="12"/>
      <c r="R526" s="12"/>
      <c r="S526" s="12"/>
      <c r="T526" s="36"/>
      <c r="U526" s="36"/>
      <c r="V526" s="12"/>
      <c r="W526" s="12"/>
      <c r="X526" s="12"/>
      <c r="Y526" s="12"/>
    </row>
    <row r="527" customFormat="false" ht="15.75" hidden="false" customHeight="false" outlineLevel="0" collapsed="false">
      <c r="A527" s="12"/>
      <c r="B527" s="34"/>
      <c r="C527" s="12"/>
      <c r="D527" s="12"/>
      <c r="E527" s="12"/>
      <c r="F527" s="12"/>
      <c r="G527" s="18"/>
      <c r="H527" s="35"/>
      <c r="I527" s="35"/>
      <c r="J527" s="12"/>
      <c r="O527" s="12"/>
      <c r="P527" s="18"/>
      <c r="Q527" s="12"/>
      <c r="R527" s="12"/>
      <c r="S527" s="12"/>
      <c r="T527" s="36"/>
      <c r="U527" s="36"/>
      <c r="V527" s="12"/>
      <c r="W527" s="12"/>
      <c r="X527" s="12"/>
      <c r="Y527" s="12"/>
    </row>
    <row r="528" customFormat="false" ht="15.75" hidden="false" customHeight="false" outlineLevel="0" collapsed="false">
      <c r="A528" s="12"/>
      <c r="B528" s="34"/>
      <c r="C528" s="12"/>
      <c r="D528" s="12"/>
      <c r="E528" s="12"/>
      <c r="F528" s="12"/>
      <c r="G528" s="18"/>
      <c r="H528" s="35"/>
      <c r="I528" s="35"/>
      <c r="J528" s="12"/>
      <c r="O528" s="12"/>
      <c r="P528" s="18"/>
      <c r="Q528" s="12"/>
      <c r="R528" s="12"/>
      <c r="S528" s="12"/>
      <c r="T528" s="36"/>
      <c r="U528" s="36"/>
      <c r="V528" s="12"/>
      <c r="W528" s="12"/>
      <c r="X528" s="12"/>
      <c r="Y528" s="12"/>
    </row>
    <row r="529" customFormat="false" ht="15.75" hidden="false" customHeight="false" outlineLevel="0" collapsed="false">
      <c r="A529" s="12"/>
      <c r="B529" s="34"/>
      <c r="C529" s="12"/>
      <c r="D529" s="12"/>
      <c r="E529" s="12"/>
      <c r="F529" s="12"/>
      <c r="G529" s="18"/>
      <c r="H529" s="35"/>
      <c r="I529" s="35"/>
      <c r="J529" s="12"/>
      <c r="O529" s="12"/>
      <c r="P529" s="18"/>
      <c r="Q529" s="12"/>
      <c r="R529" s="12"/>
      <c r="S529" s="12"/>
      <c r="T529" s="36"/>
      <c r="U529" s="36"/>
      <c r="V529" s="12"/>
      <c r="W529" s="12"/>
      <c r="X529" s="12"/>
      <c r="Y529" s="12"/>
    </row>
    <row r="530" customFormat="false" ht="15.75" hidden="false" customHeight="false" outlineLevel="0" collapsed="false">
      <c r="A530" s="12"/>
      <c r="B530" s="34"/>
      <c r="C530" s="12"/>
      <c r="D530" s="12"/>
      <c r="E530" s="12"/>
      <c r="F530" s="12"/>
      <c r="G530" s="18"/>
      <c r="H530" s="35"/>
      <c r="I530" s="35"/>
      <c r="J530" s="12"/>
      <c r="O530" s="12"/>
      <c r="P530" s="18"/>
      <c r="Q530" s="12"/>
      <c r="R530" s="12"/>
      <c r="S530" s="12"/>
      <c r="T530" s="36"/>
      <c r="U530" s="36"/>
      <c r="V530" s="12"/>
      <c r="W530" s="12"/>
      <c r="X530" s="12"/>
      <c r="Y530" s="12"/>
    </row>
    <row r="531" customFormat="false" ht="15.75" hidden="false" customHeight="false" outlineLevel="0" collapsed="false">
      <c r="A531" s="12"/>
      <c r="B531" s="34"/>
      <c r="C531" s="12"/>
      <c r="D531" s="12"/>
      <c r="E531" s="12"/>
      <c r="F531" s="12"/>
      <c r="G531" s="18"/>
      <c r="H531" s="35"/>
      <c r="I531" s="35"/>
      <c r="J531" s="12"/>
      <c r="O531" s="12"/>
      <c r="P531" s="18"/>
      <c r="Q531" s="12"/>
      <c r="R531" s="12"/>
      <c r="S531" s="12"/>
      <c r="T531" s="36"/>
      <c r="U531" s="36"/>
      <c r="V531" s="12"/>
      <c r="W531" s="12"/>
      <c r="X531" s="12"/>
      <c r="Y531" s="12"/>
    </row>
    <row r="532" customFormat="false" ht="15.75" hidden="false" customHeight="false" outlineLevel="0" collapsed="false">
      <c r="A532" s="12"/>
      <c r="B532" s="34"/>
      <c r="C532" s="12"/>
      <c r="D532" s="12"/>
      <c r="E532" s="12"/>
      <c r="F532" s="12"/>
      <c r="G532" s="18"/>
      <c r="H532" s="35"/>
      <c r="I532" s="35"/>
      <c r="J532" s="12"/>
      <c r="O532" s="12"/>
      <c r="P532" s="18"/>
      <c r="Q532" s="12"/>
      <c r="R532" s="12"/>
      <c r="S532" s="12"/>
      <c r="T532" s="36"/>
      <c r="U532" s="36"/>
      <c r="V532" s="12"/>
      <c r="W532" s="12"/>
      <c r="X532" s="12"/>
      <c r="Y532" s="12"/>
    </row>
    <row r="533" customFormat="false" ht="15.75" hidden="false" customHeight="false" outlineLevel="0" collapsed="false">
      <c r="A533" s="12"/>
      <c r="B533" s="34"/>
      <c r="C533" s="12"/>
      <c r="D533" s="12"/>
      <c r="E533" s="12"/>
      <c r="F533" s="12"/>
      <c r="G533" s="18"/>
      <c r="H533" s="35"/>
      <c r="I533" s="35"/>
      <c r="J533" s="12"/>
      <c r="O533" s="12"/>
      <c r="P533" s="18"/>
      <c r="Q533" s="12"/>
      <c r="R533" s="12"/>
      <c r="S533" s="12"/>
      <c r="T533" s="36"/>
      <c r="U533" s="36"/>
      <c r="V533" s="12"/>
      <c r="W533" s="12"/>
      <c r="X533" s="12"/>
      <c r="Y533" s="12"/>
    </row>
    <row r="534" customFormat="false" ht="15.75" hidden="false" customHeight="false" outlineLevel="0" collapsed="false">
      <c r="A534" s="12"/>
      <c r="B534" s="34"/>
      <c r="C534" s="12"/>
      <c r="D534" s="12"/>
      <c r="E534" s="12"/>
      <c r="F534" s="12"/>
      <c r="G534" s="18"/>
      <c r="H534" s="35"/>
      <c r="I534" s="35"/>
      <c r="J534" s="12"/>
      <c r="O534" s="12"/>
      <c r="P534" s="18"/>
      <c r="Q534" s="12"/>
      <c r="R534" s="12"/>
      <c r="S534" s="12"/>
      <c r="T534" s="36"/>
      <c r="U534" s="36"/>
      <c r="V534" s="12"/>
      <c r="W534" s="12"/>
      <c r="X534" s="12"/>
      <c r="Y534" s="12"/>
    </row>
    <row r="535" customFormat="false" ht="15.75" hidden="false" customHeight="false" outlineLevel="0" collapsed="false">
      <c r="A535" s="12"/>
      <c r="B535" s="34"/>
      <c r="C535" s="12"/>
      <c r="D535" s="12"/>
      <c r="E535" s="12"/>
      <c r="F535" s="12"/>
      <c r="G535" s="18"/>
      <c r="H535" s="35"/>
      <c r="I535" s="35"/>
      <c r="J535" s="12"/>
      <c r="O535" s="12"/>
      <c r="P535" s="18"/>
      <c r="Q535" s="12"/>
      <c r="R535" s="12"/>
      <c r="S535" s="12"/>
      <c r="T535" s="36"/>
      <c r="U535" s="36"/>
      <c r="V535" s="12"/>
      <c r="W535" s="12"/>
      <c r="X535" s="12"/>
      <c r="Y535" s="12"/>
    </row>
    <row r="536" customFormat="false" ht="15.75" hidden="false" customHeight="false" outlineLevel="0" collapsed="false">
      <c r="A536" s="12"/>
      <c r="B536" s="34"/>
      <c r="C536" s="12"/>
      <c r="D536" s="12"/>
      <c r="E536" s="12"/>
      <c r="F536" s="12"/>
      <c r="G536" s="18"/>
      <c r="H536" s="35"/>
      <c r="I536" s="35"/>
      <c r="J536" s="12"/>
      <c r="O536" s="12"/>
      <c r="P536" s="18"/>
      <c r="Q536" s="12"/>
      <c r="R536" s="12"/>
      <c r="S536" s="12"/>
      <c r="T536" s="36"/>
      <c r="U536" s="36"/>
      <c r="V536" s="12"/>
      <c r="W536" s="12"/>
      <c r="X536" s="12"/>
      <c r="Y536" s="12"/>
    </row>
    <row r="537" customFormat="false" ht="15.75" hidden="false" customHeight="false" outlineLevel="0" collapsed="false">
      <c r="A537" s="12"/>
      <c r="B537" s="34"/>
      <c r="C537" s="12"/>
      <c r="D537" s="12"/>
      <c r="E537" s="12"/>
      <c r="F537" s="12"/>
      <c r="G537" s="18"/>
      <c r="H537" s="35"/>
      <c r="I537" s="35"/>
      <c r="J537" s="12"/>
      <c r="O537" s="12"/>
      <c r="P537" s="18"/>
      <c r="Q537" s="12"/>
      <c r="R537" s="12"/>
      <c r="S537" s="12"/>
      <c r="T537" s="36"/>
      <c r="U537" s="36"/>
      <c r="V537" s="12"/>
      <c r="W537" s="12"/>
      <c r="X537" s="12"/>
      <c r="Y537" s="12"/>
    </row>
    <row r="538" customFormat="false" ht="15.75" hidden="false" customHeight="false" outlineLevel="0" collapsed="false">
      <c r="A538" s="12"/>
      <c r="B538" s="34"/>
      <c r="C538" s="12"/>
      <c r="D538" s="12"/>
      <c r="E538" s="12"/>
      <c r="F538" s="12"/>
      <c r="G538" s="18"/>
      <c r="H538" s="35"/>
      <c r="I538" s="35"/>
      <c r="J538" s="12"/>
      <c r="O538" s="12"/>
      <c r="P538" s="18"/>
      <c r="Q538" s="12"/>
      <c r="R538" s="12"/>
      <c r="S538" s="12"/>
      <c r="T538" s="36"/>
      <c r="U538" s="36"/>
      <c r="V538" s="12"/>
      <c r="W538" s="12"/>
      <c r="X538" s="12"/>
      <c r="Y538" s="12"/>
    </row>
    <row r="539" customFormat="false" ht="15.75" hidden="false" customHeight="false" outlineLevel="0" collapsed="false">
      <c r="A539" s="12"/>
      <c r="B539" s="34"/>
      <c r="C539" s="12"/>
      <c r="D539" s="12"/>
      <c r="E539" s="12"/>
      <c r="F539" s="12"/>
      <c r="G539" s="18"/>
      <c r="H539" s="35"/>
      <c r="I539" s="35"/>
      <c r="J539" s="12"/>
      <c r="O539" s="12"/>
      <c r="P539" s="18"/>
      <c r="Q539" s="12"/>
      <c r="R539" s="12"/>
      <c r="S539" s="12"/>
      <c r="T539" s="36"/>
      <c r="U539" s="36"/>
      <c r="V539" s="12"/>
      <c r="W539" s="12"/>
      <c r="X539" s="12"/>
      <c r="Y539" s="12"/>
    </row>
    <row r="540" customFormat="false" ht="15.75" hidden="false" customHeight="false" outlineLevel="0" collapsed="false">
      <c r="A540" s="12"/>
      <c r="B540" s="34"/>
      <c r="C540" s="12"/>
      <c r="D540" s="12"/>
      <c r="E540" s="12"/>
      <c r="F540" s="12"/>
      <c r="G540" s="18"/>
      <c r="H540" s="35"/>
      <c r="I540" s="35"/>
      <c r="J540" s="12"/>
      <c r="O540" s="12"/>
      <c r="P540" s="18"/>
      <c r="Q540" s="12"/>
      <c r="R540" s="12"/>
      <c r="S540" s="12"/>
      <c r="T540" s="36"/>
      <c r="U540" s="36"/>
      <c r="V540" s="12"/>
      <c r="W540" s="12"/>
      <c r="X540" s="12"/>
      <c r="Y540" s="12"/>
    </row>
    <row r="541" customFormat="false" ht="15.75" hidden="false" customHeight="false" outlineLevel="0" collapsed="false">
      <c r="A541" s="12"/>
      <c r="B541" s="34"/>
      <c r="C541" s="12"/>
      <c r="D541" s="12"/>
      <c r="E541" s="12"/>
      <c r="F541" s="12"/>
      <c r="G541" s="18"/>
      <c r="H541" s="35"/>
      <c r="I541" s="35"/>
      <c r="J541" s="12"/>
      <c r="O541" s="12"/>
      <c r="P541" s="18"/>
      <c r="Q541" s="12"/>
      <c r="R541" s="12"/>
      <c r="S541" s="12"/>
      <c r="T541" s="36"/>
      <c r="U541" s="36"/>
      <c r="V541" s="12"/>
      <c r="W541" s="12"/>
      <c r="X541" s="12"/>
      <c r="Y541" s="12"/>
    </row>
    <row r="542" customFormat="false" ht="15.75" hidden="false" customHeight="false" outlineLevel="0" collapsed="false">
      <c r="A542" s="12"/>
      <c r="B542" s="34"/>
      <c r="C542" s="12"/>
      <c r="D542" s="12"/>
      <c r="E542" s="12"/>
      <c r="F542" s="12"/>
      <c r="G542" s="18"/>
      <c r="H542" s="35"/>
      <c r="I542" s="35"/>
      <c r="J542" s="12"/>
      <c r="O542" s="12"/>
      <c r="P542" s="18"/>
      <c r="Q542" s="12"/>
      <c r="R542" s="12"/>
      <c r="S542" s="12"/>
      <c r="T542" s="36"/>
      <c r="U542" s="36"/>
      <c r="V542" s="12"/>
      <c r="W542" s="12"/>
      <c r="X542" s="12"/>
      <c r="Y542" s="12"/>
    </row>
    <row r="543" customFormat="false" ht="15.75" hidden="false" customHeight="false" outlineLevel="0" collapsed="false">
      <c r="A543" s="12"/>
      <c r="B543" s="34"/>
      <c r="C543" s="12"/>
      <c r="D543" s="12"/>
      <c r="E543" s="12"/>
      <c r="F543" s="12"/>
      <c r="G543" s="18"/>
      <c r="H543" s="35"/>
      <c r="I543" s="35"/>
      <c r="J543" s="12"/>
      <c r="O543" s="12"/>
      <c r="P543" s="18"/>
      <c r="Q543" s="12"/>
      <c r="R543" s="12"/>
      <c r="S543" s="12"/>
      <c r="T543" s="36"/>
      <c r="U543" s="36"/>
      <c r="V543" s="12"/>
      <c r="W543" s="12"/>
      <c r="X543" s="12"/>
      <c r="Y543" s="12"/>
    </row>
    <row r="544" customFormat="false" ht="15.75" hidden="false" customHeight="false" outlineLevel="0" collapsed="false">
      <c r="A544" s="12"/>
      <c r="B544" s="34"/>
      <c r="C544" s="12"/>
      <c r="D544" s="12"/>
      <c r="E544" s="12"/>
      <c r="F544" s="12"/>
      <c r="G544" s="18"/>
      <c r="H544" s="35"/>
      <c r="I544" s="35"/>
      <c r="J544" s="12"/>
      <c r="O544" s="12"/>
      <c r="P544" s="18"/>
      <c r="Q544" s="12"/>
      <c r="R544" s="12"/>
      <c r="S544" s="12"/>
      <c r="T544" s="36"/>
      <c r="U544" s="36"/>
      <c r="V544" s="12"/>
      <c r="W544" s="12"/>
      <c r="X544" s="12"/>
      <c r="Y544" s="12"/>
    </row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AF67"/>
  <mergeCells count="1">
    <mergeCell ref="A51:C51"/>
  </mergeCells>
  <conditionalFormatting sqref="G2:G4 P2:P4 G14">
    <cfRule type="containsText" priority="2" operator="containsText" aboveAverage="0" equalAverage="0" bottom="0" percent="0" rank="0" text="x" dxfId="0">
      <formula>NOT(ISERROR(SEARCH("x",G2)))</formula>
    </cfRule>
  </conditionalFormatting>
  <conditionalFormatting sqref="G2:J4 Q2:R4 W2:Y4 G14">
    <cfRule type="cellIs" priority="3" operator="equal" aboveAverage="0" equalAverage="0" bottom="0" percent="0" rank="0" text="" dxfId="0">
      <formula>"Completo"</formula>
    </cfRule>
    <cfRule type="cellIs" priority="4" operator="equal" aboveAverage="0" equalAverage="0" bottom="0" percent="0" rank="0" text="" dxfId="1">
      <formula>"No Aplica"</formula>
    </cfRule>
  </conditionalFormatting>
  <conditionalFormatting sqref="T2:U4">
    <cfRule type="expression" priority="5" aboveAverage="0" equalAverage="0" bottom="0" percent="0" rank="0" text="" dxfId="0">
      <formula>LEN(TRIM(T2))&gt;0</formula>
    </cfRule>
  </conditionalFormatting>
  <conditionalFormatting sqref="S2:S4">
    <cfRule type="expression" priority="6" aboveAverage="0" equalAverage="0" bottom="0" percent="0" rank="0" text="" dxfId="0">
      <formula>LEN(TRIM(S2))&gt;0</formula>
    </cfRule>
  </conditionalFormatting>
  <conditionalFormatting sqref="V2:V4">
    <cfRule type="expression" priority="7" aboveAverage="0" equalAverage="0" bottom="0" percent="0" rank="0" text="" dxfId="0">
      <formula>LEN(TRIM(V2))&gt;0</formula>
    </cfRule>
  </conditionalFormatting>
  <conditionalFormatting sqref="Y2:Y4">
    <cfRule type="cellIs" priority="8" operator="equal" aboveAverage="0" equalAverage="0" bottom="0" percent="0" rank="0" text="" dxfId="0">
      <formula>"Completo"</formula>
    </cfRule>
    <cfRule type="cellIs" priority="9" operator="equal" aboveAverage="0" equalAverage="0" bottom="0" percent="0" rank="0" text="" dxfId="1">
      <formula>"No aplica"</formula>
    </cfRule>
  </conditionalFormatting>
  <conditionalFormatting sqref="T5:U544">
    <cfRule type="expression" priority="10" aboveAverage="0" equalAverage="0" bottom="0" percent="0" rank="0" text="" dxfId="0">
      <formula>LEN(TRIM(T5))&gt;0</formula>
    </cfRule>
  </conditionalFormatting>
  <conditionalFormatting sqref="S5:S544">
    <cfRule type="expression" priority="11" aboveAverage="0" equalAverage="0" bottom="0" percent="0" rank="0" text="" dxfId="0">
      <formula>LEN(TRIM(S5))&gt;0</formula>
    </cfRule>
  </conditionalFormatting>
  <conditionalFormatting sqref="G5:G544 P5:P544">
    <cfRule type="containsText" priority="12" operator="containsText" aboveAverage="0" equalAverage="0" bottom="0" percent="0" rank="0" text="x" dxfId="0">
      <formula>NOT(ISERROR(SEARCH("x",G5)))</formula>
    </cfRule>
  </conditionalFormatting>
  <conditionalFormatting sqref="V5:V23 V25:V544">
    <cfRule type="expression" priority="13" aboveAverage="0" equalAverage="0" bottom="0" percent="0" rank="0" text="" dxfId="0">
      <formula>LEN(TRIM(V5))&gt;0</formula>
    </cfRule>
  </conditionalFormatting>
  <conditionalFormatting sqref="Y5:Y544">
    <cfRule type="cellIs" priority="14" operator="equal" aboveAverage="0" equalAverage="0" bottom="0" percent="0" rank="0" text="" dxfId="0">
      <formula>"Completo"</formula>
    </cfRule>
    <cfRule type="cellIs" priority="15" operator="equal" aboveAverage="0" equalAverage="0" bottom="0" percent="0" rank="0" text="" dxfId="1">
      <formula>"No aplica"</formula>
    </cfRule>
  </conditionalFormatting>
  <conditionalFormatting sqref="G5:J544 Q5:R544 W5:Y544">
    <cfRule type="cellIs" priority="16" operator="equal" aboveAverage="0" equalAverage="0" bottom="0" percent="0" rank="0" text="" dxfId="0">
      <formula>"Completo"</formula>
    </cfRule>
    <cfRule type="cellIs" priority="17" operator="equal" aboveAverage="0" equalAverage="0" bottom="0" percent="0" rank="0" text="" dxfId="1">
      <formula>"No Aplica"</formula>
    </cfRule>
  </conditionalFormatting>
  <dataValidations count="6">
    <dataValidation allowBlank="true" errorStyle="stop" operator="between" showDropDown="false" showErrorMessage="true" showInputMessage="false" sqref="Z2:Z25 V24 Z26:Z67" type="list">
      <formula1>"Aceptada,En espera,Rechazada,No aplica"</formula1>
      <formula2>0</formula2>
    </dataValidation>
    <dataValidation allowBlank="true" errorStyle="stop" operator="between" showDropDown="false" showErrorMessage="false" showInputMessage="false" sqref="V2:V23 V25:V544" type="list">
      <formula1>LEYENDA!$A$23:$A$24</formula1>
      <formula2>0</formula2>
    </dataValidation>
    <dataValidation allowBlank="true" errorStyle="stop" operator="between" showDropDown="false" showErrorMessage="false" showInputMessage="false" sqref="T2:T544" type="list">
      <formula1>LEYENDA!$A$15:$A$21</formula1>
      <formula2>0</formula2>
    </dataValidation>
    <dataValidation allowBlank="true" errorStyle="stop" operator="between" showDropDown="false" showErrorMessage="true" showInputMessage="false" sqref="D2:D544" type="list">
      <formula1>LEYENDA!$B$2:$D$2</formula1>
      <formula2>0</formula2>
    </dataValidation>
    <dataValidation allowBlank="true" errorStyle="stop" operator="between" showDropDown="false" showErrorMessage="true" showInputMessage="false" sqref="H2:J544 Q2:R544 W2:Y544" type="list">
      <formula1>LEYENDA!$B$1:$C$1</formula1>
      <formula2>0</formula2>
    </dataValidation>
    <dataValidation allowBlank="true" errorStyle="stop" operator="between" showDropDown="false" showErrorMessage="false" showInputMessage="false" sqref="E2:E544" type="list">
      <formula1>LEYENDA!$A$8:$A$12</formula1>
      <formula2>0</formula2>
    </dataValidation>
  </dataValidations>
  <hyperlinks>
    <hyperlink ref="H2" r:id="rId1" display="Completo"/>
    <hyperlink ref="R2" r:id="rId2" display="Completo"/>
    <hyperlink ref="W2" r:id="rId3" display="Completo"/>
    <hyperlink ref="X2" r:id="rId4" display="Completo"/>
    <hyperlink ref="H8" r:id="rId5" display="Completo"/>
    <hyperlink ref="H9" r:id="rId6" display="Completo"/>
    <hyperlink ref="H10" r:id="rId7" display="Completo"/>
    <hyperlink ref="R10" r:id="rId8" display="Completo"/>
    <hyperlink ref="W10" r:id="rId9" display="Completo"/>
    <hyperlink ref="X10" r:id="rId10" display="Completo"/>
    <hyperlink ref="H11" r:id="rId11" display="Completo"/>
    <hyperlink ref="R11" r:id="rId12" display="Completo"/>
    <hyperlink ref="W11" r:id="rId13" display="Completo"/>
    <hyperlink ref="X11" r:id="rId14" display="Completo"/>
    <hyperlink ref="H12" r:id="rId15" display="Completo"/>
    <hyperlink ref="R12" r:id="rId16" display="Completo"/>
    <hyperlink ref="W12" r:id="rId17" display="Completo"/>
    <hyperlink ref="X12" r:id="rId18" display="Completo"/>
    <hyperlink ref="H13" r:id="rId19" display="Completo"/>
    <hyperlink ref="H15" r:id="rId20" display="Completo"/>
    <hyperlink ref="W15" r:id="rId21" display="Completo"/>
    <hyperlink ref="X15" r:id="rId22" display="Completo"/>
    <hyperlink ref="W22" r:id="rId23" display="Completo"/>
    <hyperlink ref="X22" r:id="rId24" display="Completo"/>
    <hyperlink ref="W23" r:id="rId25" display="Completo"/>
    <hyperlink ref="X23" r:id="rId26" display="Completo"/>
    <hyperlink ref="H24" r:id="rId27" display="Completo"/>
    <hyperlink ref="H25" r:id="rId28" display="Completo"/>
    <hyperlink ref="R25" r:id="rId29" display="Completo"/>
    <hyperlink ref="H26" r:id="rId30" display="Completo"/>
    <hyperlink ref="H27" r:id="rId31" display="Completo"/>
    <hyperlink ref="H28" r:id="rId32" display="Completo"/>
    <hyperlink ref="H29" r:id="rId33" display="Completo"/>
    <hyperlink ref="H30" r:id="rId34" display="Completo"/>
    <hyperlink ref="R30" r:id="rId35" display="Completo"/>
    <hyperlink ref="W30" r:id="rId36" display="Completo"/>
    <hyperlink ref="X30" r:id="rId37" display="Completo"/>
    <hyperlink ref="H31" r:id="rId38" display="Completo"/>
    <hyperlink ref="W31" r:id="rId39" display="Completo"/>
    <hyperlink ref="X31" r:id="rId40" display="Completo"/>
    <hyperlink ref="H35" r:id="rId41" display="Completo"/>
    <hyperlink ref="H36" r:id="rId42" display="Completo"/>
    <hyperlink ref="H39" r:id="rId43" display="Completo"/>
    <hyperlink ref="R39" r:id="rId44" display="Completo"/>
    <hyperlink ref="R41" r:id="rId45" display="Completo"/>
    <hyperlink ref="X41" r:id="rId46" display="Completo"/>
    <hyperlink ref="H44" r:id="rId47" display="Completo"/>
    <hyperlink ref="H45" r:id="rId48" display="Completo"/>
    <hyperlink ref="H46" r:id="rId49" display="Completo"/>
    <hyperlink ref="H48" r:id="rId50" display="Completo"/>
    <hyperlink ref="H49" r:id="rId51" display="Completo"/>
    <hyperlink ref="W49" r:id="rId52" display="Completo"/>
    <hyperlink ref="X49" r:id="rId53" display="Completo"/>
    <hyperlink ref="H50" r:id="rId54" display="Completo"/>
    <hyperlink ref="R50" r:id="rId55" display="Completo"/>
    <hyperlink ref="W50" r:id="rId56" display="Completo"/>
    <hyperlink ref="X50" r:id="rId57" display="Completo"/>
  </hyperlinks>
  <printOptions headings="false" gridLines="true" gridLinesSet="true" horizontalCentered="true" verticalCentered="false"/>
  <pageMargins left="0.7" right="0.7" top="0.75" bottom="0.75" header="0.511811023622047" footer="0.511811023622047"/>
  <pageSetup paperSize="9" scale="100" fitToWidth="1" fitToHeight="0" pageOrder="overThenDown" orientation="landscape" blackAndWhite="false" draft="false" cellComments="none" horizontalDpi="300" verticalDpi="300" copies="1"/>
  <headerFooter differentFirst="false" differentOddEven="false">
    <oddHeader/>
    <oddFooter/>
  </headerFooter>
  <drawing r:id="rId58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XFD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7" ySplit="3" topLeftCell="H4" activePane="bottomRight" state="frozen"/>
      <selection pane="topLeft" activeCell="A1" activeCellId="0" sqref="A1"/>
      <selection pane="topRight" activeCell="H1" activeCellId="0" sqref="H1"/>
      <selection pane="bottomLeft" activeCell="A4" activeCellId="0" sqref="A4"/>
      <selection pane="bottomRight" activeCell="F11" activeCellId="0" sqref="F11"/>
    </sheetView>
  </sheetViews>
  <sheetFormatPr defaultColWidth="12.6328125" defaultRowHeight="15.75" zeroHeight="false" outlineLevelRow="0" outlineLevelCol="0"/>
  <cols>
    <col collapsed="false" customWidth="true" hidden="false" outlineLevel="0" max="1" min="1" style="1" width="10.25"/>
    <col collapsed="false" customWidth="true" hidden="false" outlineLevel="0" max="2" min="2" style="1" width="10.38"/>
    <col collapsed="false" customWidth="true" hidden="false" outlineLevel="0" max="4" min="3" style="1" width="16.38"/>
    <col collapsed="false" customWidth="true" hidden="false" outlineLevel="0" max="5" min="5" style="1" width="18.25"/>
    <col collapsed="false" customWidth="true" hidden="false" outlineLevel="0" max="6" min="6" style="1" width="29.38"/>
    <col collapsed="false" customWidth="true" hidden="false" outlineLevel="0" max="7" min="7" style="1" width="14.13"/>
    <col collapsed="false" customWidth="true" hidden="false" outlineLevel="0" max="8" min="8" style="1" width="10.13"/>
    <col collapsed="false" customWidth="true" hidden="true" outlineLevel="0" max="9" min="9" style="1" width="10.13"/>
    <col collapsed="false" customWidth="true" hidden="false" outlineLevel="0" max="10" min="10" style="1" width="12.88"/>
    <col collapsed="false" customWidth="true" hidden="false" outlineLevel="0" max="12" min="11" style="1" width="12"/>
    <col collapsed="false" customWidth="true" hidden="false" outlineLevel="0" max="13" min="13" style="1" width="10"/>
    <col collapsed="false" customWidth="true" hidden="false" outlineLevel="0" max="14" min="14" style="1" width="12.25"/>
    <col collapsed="false" customWidth="true" hidden="false" outlineLevel="0" max="15" min="15" style="1" width="26.12"/>
    <col collapsed="false" customWidth="true" hidden="true" outlineLevel="0" max="16" min="16" style="1" width="18"/>
    <col collapsed="false" customWidth="true" hidden="false" outlineLevel="0" max="18" min="17" style="1" width="10.63"/>
    <col collapsed="false" customWidth="true" hidden="false" outlineLevel="0" max="19" min="19" style="1" width="8.5"/>
    <col collapsed="false" customWidth="true" hidden="false" outlineLevel="0" max="21" min="21" style="1" width="25.38"/>
    <col collapsed="false" customWidth="true" hidden="false" outlineLevel="0" max="22" min="22" style="1" width="18.13"/>
    <col collapsed="false" customWidth="true" hidden="false" outlineLevel="0" max="23" min="23" style="1" width="10.13"/>
    <col collapsed="false" customWidth="true" hidden="false" outlineLevel="0" max="24" min="24" style="1" width="12.75"/>
    <col collapsed="false" customWidth="true" hidden="false" outlineLevel="0" max="26" min="26" style="1" width="13.5"/>
    <col collapsed="false" customWidth="true" hidden="false" outlineLevel="0" max="16384" min="16384" style="1" width="11.53"/>
  </cols>
  <sheetData>
    <row r="1" customFormat="false" ht="42.5" hidden="false" customHeight="false" outlineLevel="0" collapsed="false">
      <c r="A1" s="2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/>
      <c r="J1" s="4" t="s">
        <v>8</v>
      </c>
      <c r="K1" s="2"/>
      <c r="L1" s="2" t="s">
        <v>9</v>
      </c>
      <c r="M1" s="2" t="s">
        <v>10</v>
      </c>
      <c r="N1" s="4" t="s">
        <v>11</v>
      </c>
      <c r="O1" s="3" t="s">
        <v>12</v>
      </c>
      <c r="P1" s="7" t="s">
        <v>13</v>
      </c>
      <c r="Q1" s="7" t="s">
        <v>14</v>
      </c>
      <c r="R1" s="7" t="s">
        <v>15</v>
      </c>
      <c r="S1" s="7" t="s">
        <v>16</v>
      </c>
      <c r="T1" s="7" t="s">
        <v>17</v>
      </c>
      <c r="U1" s="8" t="s">
        <v>18</v>
      </c>
      <c r="V1" s="9" t="s">
        <v>19</v>
      </c>
      <c r="W1" s="9" t="s">
        <v>20</v>
      </c>
      <c r="X1" s="10" t="s">
        <v>15</v>
      </c>
      <c r="Y1" s="11" t="s">
        <v>21</v>
      </c>
      <c r="Z1" s="11" t="s">
        <v>22</v>
      </c>
      <c r="AA1" s="12"/>
      <c r="AB1" s="12"/>
      <c r="AC1" s="12"/>
      <c r="AD1" s="12"/>
      <c r="AE1" s="12"/>
      <c r="AF1" s="12"/>
      <c r="XFD1" s="0"/>
    </row>
    <row r="2" customFormat="false" ht="15.75" hidden="false" customHeight="false" outlineLevel="0" collapsed="false">
      <c r="A2" s="13" t="n">
        <v>8203</v>
      </c>
      <c r="B2" s="14" t="n">
        <v>45600</v>
      </c>
      <c r="C2" s="15" t="s">
        <v>142</v>
      </c>
      <c r="D2" s="16" t="s">
        <v>24</v>
      </c>
      <c r="E2" s="16" t="s">
        <v>25</v>
      </c>
      <c r="F2" s="16" t="s">
        <v>179</v>
      </c>
      <c r="G2" s="16" t="s">
        <v>180</v>
      </c>
      <c r="H2" s="17" t="s">
        <v>28</v>
      </c>
      <c r="I2" s="16"/>
      <c r="J2" s="16" t="s">
        <v>28</v>
      </c>
      <c r="K2" s="16" t="s">
        <v>29</v>
      </c>
      <c r="L2" s="16" t="s">
        <v>29</v>
      </c>
      <c r="M2" s="16" t="s">
        <v>29</v>
      </c>
      <c r="N2" s="16" t="s">
        <v>181</v>
      </c>
      <c r="O2" s="16"/>
      <c r="P2" s="16"/>
      <c r="Q2" s="16"/>
      <c r="R2" s="16"/>
      <c r="S2" s="16"/>
      <c r="T2" s="16"/>
      <c r="U2" s="16"/>
      <c r="V2" s="16" t="s">
        <v>74</v>
      </c>
      <c r="W2" s="17" t="s">
        <v>28</v>
      </c>
      <c r="X2" s="17" t="s">
        <v>28</v>
      </c>
      <c r="Y2" s="16" t="s">
        <v>28</v>
      </c>
      <c r="Z2" s="12" t="s">
        <v>32</v>
      </c>
    </row>
    <row r="3" customFormat="false" ht="15.75" hidden="false" customHeight="false" outlineLevel="0" collapsed="false">
      <c r="A3" s="13" t="n">
        <v>8204</v>
      </c>
      <c r="B3" s="14" t="n">
        <v>45600</v>
      </c>
      <c r="C3" s="15" t="s">
        <v>142</v>
      </c>
      <c r="D3" s="16" t="s">
        <v>24</v>
      </c>
      <c r="E3" s="16" t="s">
        <v>25</v>
      </c>
      <c r="F3" s="16" t="s">
        <v>179</v>
      </c>
      <c r="G3" s="16" t="s">
        <v>180</v>
      </c>
      <c r="H3" s="17" t="s">
        <v>28</v>
      </c>
      <c r="I3" s="16"/>
      <c r="J3" s="16" t="s">
        <v>28</v>
      </c>
      <c r="K3" s="16" t="s">
        <v>29</v>
      </c>
      <c r="L3" s="16" t="s">
        <v>29</v>
      </c>
      <c r="M3" s="16" t="s">
        <v>29</v>
      </c>
      <c r="N3" s="16" t="s">
        <v>181</v>
      </c>
      <c r="O3" s="16"/>
      <c r="P3" s="16"/>
      <c r="Q3" s="16" t="s">
        <v>28</v>
      </c>
      <c r="R3" s="17" t="s">
        <v>28</v>
      </c>
      <c r="S3" s="16" t="s">
        <v>182</v>
      </c>
      <c r="T3" s="16" t="s">
        <v>30</v>
      </c>
      <c r="U3" s="16"/>
      <c r="V3" s="16" t="s">
        <v>74</v>
      </c>
      <c r="W3" s="17" t="s">
        <v>28</v>
      </c>
      <c r="X3" s="17" t="s">
        <v>28</v>
      </c>
      <c r="Y3" s="16" t="s">
        <v>28</v>
      </c>
      <c r="Z3" s="12" t="s">
        <v>32</v>
      </c>
    </row>
    <row r="4" customFormat="false" ht="15.75" hidden="false" customHeight="false" outlineLevel="0" collapsed="false">
      <c r="A4" s="13" t="n">
        <v>8205</v>
      </c>
      <c r="B4" s="14" t="n">
        <v>45600</v>
      </c>
      <c r="C4" s="15" t="s">
        <v>142</v>
      </c>
      <c r="D4" s="16" t="s">
        <v>24</v>
      </c>
      <c r="E4" s="16" t="s">
        <v>25</v>
      </c>
      <c r="F4" s="16" t="s">
        <v>183</v>
      </c>
      <c r="G4" s="16" t="s">
        <v>184</v>
      </c>
      <c r="H4" s="17" t="s">
        <v>28</v>
      </c>
      <c r="I4" s="16"/>
      <c r="J4" s="16" t="s">
        <v>28</v>
      </c>
      <c r="K4" s="16" t="s">
        <v>29</v>
      </c>
      <c r="L4" s="16" t="s">
        <v>29</v>
      </c>
      <c r="M4" s="16" t="s">
        <v>29</v>
      </c>
      <c r="N4" s="16" t="s">
        <v>181</v>
      </c>
      <c r="O4" s="16"/>
      <c r="P4" s="18"/>
      <c r="Q4" s="16" t="s">
        <v>28</v>
      </c>
      <c r="R4" s="17" t="s">
        <v>28</v>
      </c>
      <c r="S4" s="16" t="s">
        <v>185</v>
      </c>
      <c r="T4" s="16" t="s">
        <v>186</v>
      </c>
      <c r="U4" s="16"/>
      <c r="V4" s="16" t="s">
        <v>74</v>
      </c>
      <c r="W4" s="17" t="s">
        <v>28</v>
      </c>
      <c r="X4" s="17" t="s">
        <v>28</v>
      </c>
      <c r="Y4" s="16" t="s">
        <v>28</v>
      </c>
      <c r="Z4" s="12" t="s">
        <v>32</v>
      </c>
    </row>
    <row r="5" customFormat="false" ht="15.75" hidden="false" customHeight="false" outlineLevel="0" collapsed="false">
      <c r="A5" s="19" t="n">
        <v>8206</v>
      </c>
      <c r="B5" s="14" t="n">
        <v>45600</v>
      </c>
      <c r="C5" s="16" t="s">
        <v>142</v>
      </c>
      <c r="D5" s="16" t="s">
        <v>24</v>
      </c>
      <c r="E5" s="16" t="s">
        <v>25</v>
      </c>
      <c r="F5" s="16" t="s">
        <v>187</v>
      </c>
      <c r="G5" s="16" t="s">
        <v>184</v>
      </c>
      <c r="H5" s="17" t="s">
        <v>28</v>
      </c>
      <c r="I5" s="16"/>
      <c r="J5" s="16" t="s">
        <v>28</v>
      </c>
      <c r="K5" s="16" t="s">
        <v>29</v>
      </c>
      <c r="L5" s="16" t="s">
        <v>29</v>
      </c>
      <c r="M5" s="16" t="s">
        <v>29</v>
      </c>
      <c r="N5" s="16" t="s">
        <v>181</v>
      </c>
      <c r="O5" s="16"/>
      <c r="P5" s="16"/>
      <c r="Q5" s="16" t="s">
        <v>28</v>
      </c>
      <c r="R5" s="17" t="s">
        <v>28</v>
      </c>
      <c r="S5" s="20" t="s">
        <v>185</v>
      </c>
      <c r="T5" s="16" t="s">
        <v>186</v>
      </c>
      <c r="U5" s="16"/>
      <c r="V5" s="16" t="s">
        <v>74</v>
      </c>
      <c r="W5" s="17" t="s">
        <v>28</v>
      </c>
      <c r="X5" s="17" t="s">
        <v>28</v>
      </c>
      <c r="Y5" s="16" t="s">
        <v>28</v>
      </c>
      <c r="Z5" s="12" t="s">
        <v>32</v>
      </c>
    </row>
    <row r="6" customFormat="false" ht="15.75" hidden="false" customHeight="false" outlineLevel="0" collapsed="false">
      <c r="A6" s="19" t="n">
        <v>8207</v>
      </c>
      <c r="B6" s="14" t="n">
        <v>45601</v>
      </c>
      <c r="C6" s="21" t="s">
        <v>188</v>
      </c>
      <c r="D6" s="16" t="s">
        <v>24</v>
      </c>
      <c r="E6" s="21" t="s">
        <v>34</v>
      </c>
      <c r="F6" s="16" t="s">
        <v>189</v>
      </c>
      <c r="G6" s="16"/>
      <c r="H6" s="16" t="s">
        <v>37</v>
      </c>
      <c r="I6" s="16"/>
      <c r="J6" s="16" t="s">
        <v>37</v>
      </c>
      <c r="K6" s="16"/>
      <c r="L6" s="16"/>
      <c r="M6" s="16"/>
      <c r="N6" s="16"/>
      <c r="O6" s="16"/>
      <c r="P6" s="16"/>
      <c r="Q6" s="16" t="s">
        <v>37</v>
      </c>
      <c r="R6" s="16" t="s">
        <v>37</v>
      </c>
      <c r="S6" s="16"/>
      <c r="T6" s="16"/>
      <c r="U6" s="16"/>
      <c r="V6" s="16"/>
      <c r="W6" s="16" t="s">
        <v>37</v>
      </c>
      <c r="X6" s="16" t="s">
        <v>37</v>
      </c>
      <c r="Y6" s="16" t="s">
        <v>28</v>
      </c>
      <c r="Z6" s="12" t="s">
        <v>32</v>
      </c>
    </row>
    <row r="7" customFormat="false" ht="15.75" hidden="false" customHeight="false" outlineLevel="0" collapsed="false">
      <c r="A7" s="19" t="n">
        <v>8208</v>
      </c>
      <c r="B7" s="14" t="n">
        <v>45602</v>
      </c>
      <c r="C7" s="16" t="s">
        <v>126</v>
      </c>
      <c r="D7" s="21" t="s">
        <v>24</v>
      </c>
      <c r="E7" s="21" t="s">
        <v>25</v>
      </c>
      <c r="F7" s="16" t="s">
        <v>190</v>
      </c>
      <c r="G7" s="16" t="s">
        <v>191</v>
      </c>
      <c r="H7" s="17" t="s">
        <v>28</v>
      </c>
      <c r="I7" s="16"/>
      <c r="J7" s="16" t="s">
        <v>28</v>
      </c>
      <c r="K7" s="16" t="s">
        <v>29</v>
      </c>
      <c r="L7" s="16" t="s">
        <v>29</v>
      </c>
      <c r="M7" s="16" t="s">
        <v>29</v>
      </c>
      <c r="N7" s="23" t="s">
        <v>192</v>
      </c>
      <c r="O7" s="16"/>
      <c r="P7" s="16"/>
      <c r="Q7" s="16" t="s">
        <v>28</v>
      </c>
      <c r="R7" s="17" t="s">
        <v>28</v>
      </c>
      <c r="S7" s="16" t="s">
        <v>29</v>
      </c>
      <c r="T7" s="16" t="s">
        <v>30</v>
      </c>
      <c r="U7" s="16"/>
      <c r="V7" s="16"/>
      <c r="W7" s="16" t="s">
        <v>37</v>
      </c>
      <c r="X7" s="16" t="s">
        <v>37</v>
      </c>
      <c r="Y7" s="16" t="s">
        <v>28</v>
      </c>
      <c r="Z7" s="12" t="s">
        <v>32</v>
      </c>
    </row>
    <row r="8" customFormat="false" ht="15.75" hidden="false" customHeight="false" outlineLevel="0" collapsed="false">
      <c r="A8" s="19" t="n">
        <v>8209</v>
      </c>
      <c r="B8" s="14" t="n">
        <v>45602</v>
      </c>
      <c r="C8" s="16" t="s">
        <v>126</v>
      </c>
      <c r="D8" s="21" t="s">
        <v>24</v>
      </c>
      <c r="E8" s="16" t="s">
        <v>25</v>
      </c>
      <c r="F8" s="16" t="s">
        <v>193</v>
      </c>
      <c r="G8" s="16"/>
      <c r="H8" s="17" t="s">
        <v>28</v>
      </c>
      <c r="I8" s="16"/>
      <c r="J8" s="16" t="s">
        <v>28</v>
      </c>
      <c r="K8" s="16" t="s">
        <v>29</v>
      </c>
      <c r="L8" s="16" t="s">
        <v>29</v>
      </c>
      <c r="M8" s="16" t="s">
        <v>29</v>
      </c>
      <c r="N8" s="23" t="s">
        <v>192</v>
      </c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2" t="s">
        <v>48</v>
      </c>
    </row>
    <row r="9" customFormat="false" ht="15.75" hidden="false" customHeight="false" outlineLevel="0" collapsed="false">
      <c r="A9" s="19" t="n">
        <v>8210</v>
      </c>
      <c r="B9" s="14" t="n">
        <v>45603</v>
      </c>
      <c r="C9" s="16" t="s">
        <v>67</v>
      </c>
      <c r="D9" s="21" t="s">
        <v>24</v>
      </c>
      <c r="E9" s="21" t="s">
        <v>25</v>
      </c>
      <c r="F9" s="16" t="s">
        <v>194</v>
      </c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 t="s">
        <v>37</v>
      </c>
      <c r="X9" s="16" t="s">
        <v>37</v>
      </c>
      <c r="Y9" s="16" t="s">
        <v>37</v>
      </c>
      <c r="Z9" s="12" t="s">
        <v>40</v>
      </c>
    </row>
    <row r="10" customFormat="false" ht="15.75" hidden="false" customHeight="false" outlineLevel="0" collapsed="false">
      <c r="A10" s="19" t="n">
        <v>8211</v>
      </c>
      <c r="B10" s="14" t="n">
        <v>45604</v>
      </c>
      <c r="C10" s="16" t="s">
        <v>195</v>
      </c>
      <c r="D10" s="16" t="s">
        <v>24</v>
      </c>
      <c r="E10" s="16" t="s">
        <v>74</v>
      </c>
      <c r="F10" s="16" t="s">
        <v>196</v>
      </c>
      <c r="G10" s="16" t="s">
        <v>197</v>
      </c>
      <c r="H10" s="17" t="s">
        <v>28</v>
      </c>
      <c r="I10" s="16"/>
      <c r="J10" s="16" t="s">
        <v>28</v>
      </c>
      <c r="K10" s="16"/>
      <c r="L10" s="16"/>
      <c r="M10" s="16"/>
      <c r="N10" s="16" t="s">
        <v>198</v>
      </c>
      <c r="O10" s="16"/>
      <c r="P10" s="16"/>
      <c r="Q10" s="16"/>
      <c r="R10" s="16"/>
      <c r="S10" s="16"/>
      <c r="T10" s="16"/>
      <c r="U10" s="16"/>
      <c r="V10" s="16" t="s">
        <v>58</v>
      </c>
      <c r="W10" s="17" t="s">
        <v>28</v>
      </c>
      <c r="X10" s="17" t="s">
        <v>28</v>
      </c>
      <c r="Y10" s="16" t="s">
        <v>28</v>
      </c>
      <c r="Z10" s="12" t="s">
        <v>156</v>
      </c>
    </row>
    <row r="11" customFormat="false" ht="15.75" hidden="false" customHeight="false" outlineLevel="0" collapsed="false">
      <c r="A11" s="19" t="n">
        <v>8212</v>
      </c>
      <c r="B11" s="14" t="n">
        <v>45604</v>
      </c>
      <c r="C11" s="16" t="s">
        <v>41</v>
      </c>
      <c r="D11" s="16" t="s">
        <v>24</v>
      </c>
      <c r="E11" s="16" t="s">
        <v>30</v>
      </c>
      <c r="F11" s="16" t="s">
        <v>199</v>
      </c>
      <c r="G11" s="16" t="s">
        <v>200</v>
      </c>
      <c r="H11" s="17" t="s">
        <v>28</v>
      </c>
      <c r="I11" s="16"/>
      <c r="J11" s="16" t="s">
        <v>28</v>
      </c>
      <c r="K11" s="16" t="s">
        <v>29</v>
      </c>
      <c r="L11" s="16" t="s">
        <v>29</v>
      </c>
      <c r="M11" s="16" t="s">
        <v>29</v>
      </c>
      <c r="N11" s="16" t="s">
        <v>198</v>
      </c>
      <c r="O11" s="16"/>
      <c r="P11" s="16"/>
      <c r="Q11" s="16" t="s">
        <v>28</v>
      </c>
      <c r="R11" s="17" t="s">
        <v>28</v>
      </c>
      <c r="S11" s="16" t="s">
        <v>201</v>
      </c>
      <c r="T11" s="16" t="s">
        <v>58</v>
      </c>
      <c r="U11" s="16"/>
      <c r="V11" s="16"/>
      <c r="W11" s="16"/>
      <c r="X11" s="16"/>
      <c r="Y11" s="16" t="s">
        <v>28</v>
      </c>
      <c r="Z11" s="12" t="s">
        <v>48</v>
      </c>
    </row>
    <row r="12" customFormat="false" ht="15.75" hidden="false" customHeight="false" outlineLevel="0" collapsed="false">
      <c r="A12" s="19" t="n">
        <v>8213</v>
      </c>
      <c r="B12" s="22" t="n">
        <v>45604</v>
      </c>
      <c r="C12" s="16" t="s">
        <v>33</v>
      </c>
      <c r="D12" s="16" t="s">
        <v>24</v>
      </c>
      <c r="E12" s="16" t="s">
        <v>34</v>
      </c>
      <c r="F12" s="16" t="s">
        <v>202</v>
      </c>
      <c r="G12" s="16"/>
      <c r="H12" s="16" t="s">
        <v>37</v>
      </c>
      <c r="I12" s="16"/>
      <c r="J12" s="16" t="s">
        <v>37</v>
      </c>
      <c r="K12" s="16" t="s">
        <v>36</v>
      </c>
      <c r="L12" s="16" t="s">
        <v>36</v>
      </c>
      <c r="M12" s="16" t="s">
        <v>36</v>
      </c>
      <c r="N12" s="16" t="s">
        <v>36</v>
      </c>
      <c r="O12" s="16" t="s">
        <v>36</v>
      </c>
      <c r="P12" s="16"/>
      <c r="Q12" s="16"/>
      <c r="R12" s="16"/>
      <c r="S12" s="16"/>
      <c r="T12" s="16"/>
      <c r="U12" s="16"/>
      <c r="V12" s="16"/>
      <c r="W12" s="16" t="s">
        <v>37</v>
      </c>
      <c r="X12" s="16" t="s">
        <v>37</v>
      </c>
      <c r="Y12" s="16" t="s">
        <v>28</v>
      </c>
      <c r="Z12" s="12" t="s">
        <v>32</v>
      </c>
    </row>
    <row r="13" customFormat="false" ht="15.75" hidden="false" customHeight="false" outlineLevel="0" collapsed="false">
      <c r="A13" s="19" t="n">
        <v>8214</v>
      </c>
      <c r="B13" s="14" t="n">
        <v>45607</v>
      </c>
      <c r="C13" s="16" t="s">
        <v>84</v>
      </c>
      <c r="D13" s="16" t="s">
        <v>24</v>
      </c>
      <c r="E13" s="16" t="s">
        <v>160</v>
      </c>
      <c r="F13" s="16" t="s">
        <v>203</v>
      </c>
      <c r="G13" s="16"/>
      <c r="H13" s="16" t="s">
        <v>37</v>
      </c>
      <c r="I13" s="16"/>
      <c r="J13" s="16" t="s">
        <v>37</v>
      </c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 t="s">
        <v>37</v>
      </c>
      <c r="X13" s="16" t="s">
        <v>37</v>
      </c>
      <c r="Y13" s="16" t="s">
        <v>28</v>
      </c>
      <c r="Z13" s="12" t="s">
        <v>32</v>
      </c>
    </row>
    <row r="14" customFormat="false" ht="15.75" hidden="false" customHeight="false" outlineLevel="0" collapsed="false">
      <c r="A14" s="19" t="n">
        <v>8215</v>
      </c>
      <c r="B14" s="14" t="n">
        <v>45607</v>
      </c>
      <c r="C14" s="16" t="s">
        <v>41</v>
      </c>
      <c r="D14" s="16" t="s">
        <v>24</v>
      </c>
      <c r="E14" s="21" t="s">
        <v>25</v>
      </c>
      <c r="F14" s="16" t="s">
        <v>204</v>
      </c>
      <c r="G14" s="16"/>
      <c r="H14" s="17" t="s">
        <v>28</v>
      </c>
      <c r="I14" s="16"/>
      <c r="J14" s="16" t="s">
        <v>28</v>
      </c>
      <c r="K14" s="16" t="s">
        <v>29</v>
      </c>
      <c r="L14" s="16" t="s">
        <v>29</v>
      </c>
      <c r="M14" s="16" t="s">
        <v>29</v>
      </c>
      <c r="N14" s="16" t="s">
        <v>198</v>
      </c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 t="s">
        <v>28</v>
      </c>
      <c r="Z14" s="12" t="s">
        <v>48</v>
      </c>
    </row>
    <row r="15" customFormat="false" ht="15.75" hidden="false" customHeight="false" outlineLevel="0" collapsed="false">
      <c r="A15" s="42" t="n">
        <v>943455</v>
      </c>
      <c r="B15" s="14" t="n">
        <v>45608</v>
      </c>
      <c r="C15" s="16" t="s">
        <v>205</v>
      </c>
      <c r="D15" s="16" t="s">
        <v>24</v>
      </c>
      <c r="E15" s="16" t="s">
        <v>25</v>
      </c>
      <c r="F15" s="16" t="s">
        <v>206</v>
      </c>
      <c r="G15" s="16"/>
      <c r="H15" s="17" t="s">
        <v>28</v>
      </c>
      <c r="I15" s="16"/>
      <c r="J15" s="16" t="s">
        <v>28</v>
      </c>
      <c r="K15" s="16" t="s">
        <v>29</v>
      </c>
      <c r="L15" s="16" t="s">
        <v>29</v>
      </c>
      <c r="M15" s="16" t="s">
        <v>29</v>
      </c>
      <c r="N15" s="16" t="s">
        <v>207</v>
      </c>
      <c r="O15" s="16"/>
      <c r="P15" s="16"/>
      <c r="Q15" s="16"/>
      <c r="R15" s="16"/>
      <c r="S15" s="16"/>
      <c r="T15" s="16"/>
      <c r="U15" s="16"/>
      <c r="V15" s="16"/>
      <c r="W15" s="16" t="s">
        <v>37</v>
      </c>
      <c r="X15" s="16" t="s">
        <v>37</v>
      </c>
      <c r="Y15" s="16" t="s">
        <v>37</v>
      </c>
      <c r="Z15" s="12" t="s">
        <v>40</v>
      </c>
    </row>
    <row r="16" customFormat="false" ht="15.75" hidden="false" customHeight="false" outlineLevel="0" collapsed="false">
      <c r="A16" s="19" t="n">
        <v>8216</v>
      </c>
      <c r="B16" s="14" t="n">
        <v>45609</v>
      </c>
      <c r="C16" s="16" t="s">
        <v>50</v>
      </c>
      <c r="D16" s="16" t="s">
        <v>24</v>
      </c>
      <c r="E16" s="16" t="s">
        <v>30</v>
      </c>
      <c r="F16" s="16" t="s">
        <v>208</v>
      </c>
      <c r="G16" s="16"/>
      <c r="H16" s="17" t="s">
        <v>28</v>
      </c>
      <c r="I16" s="16"/>
      <c r="J16" s="16" t="s">
        <v>28</v>
      </c>
      <c r="K16" s="16" t="s">
        <v>29</v>
      </c>
      <c r="L16" s="16" t="s">
        <v>29</v>
      </c>
      <c r="M16" s="16" t="s">
        <v>29</v>
      </c>
      <c r="N16" s="16" t="s">
        <v>209</v>
      </c>
      <c r="O16" s="16" t="s">
        <v>210</v>
      </c>
      <c r="P16" s="16"/>
      <c r="Q16" s="16"/>
      <c r="R16" s="16"/>
      <c r="S16" s="16"/>
      <c r="T16" s="16"/>
      <c r="U16" s="16"/>
      <c r="V16" s="16"/>
      <c r="W16" s="16" t="s">
        <v>37</v>
      </c>
      <c r="X16" s="16" t="s">
        <v>37</v>
      </c>
      <c r="Y16" s="16" t="s">
        <v>28</v>
      </c>
      <c r="Z16" s="12" t="s">
        <v>156</v>
      </c>
    </row>
    <row r="17" customFormat="false" ht="15.75" hidden="false" customHeight="false" outlineLevel="0" collapsed="false">
      <c r="A17" s="19" t="n">
        <v>8217</v>
      </c>
      <c r="B17" s="14" t="n">
        <v>45609</v>
      </c>
      <c r="C17" s="16" t="s">
        <v>41</v>
      </c>
      <c r="D17" s="16" t="s">
        <v>24</v>
      </c>
      <c r="E17" s="16" t="s">
        <v>25</v>
      </c>
      <c r="F17" s="16" t="s">
        <v>211</v>
      </c>
      <c r="G17" s="16" t="s">
        <v>212</v>
      </c>
      <c r="H17" s="17" t="s">
        <v>28</v>
      </c>
      <c r="I17" s="16"/>
      <c r="J17" s="16" t="s">
        <v>28</v>
      </c>
      <c r="K17" s="16" t="s">
        <v>29</v>
      </c>
      <c r="L17" s="16" t="s">
        <v>29</v>
      </c>
      <c r="M17" s="16" t="s">
        <v>29</v>
      </c>
      <c r="N17" s="16" t="s">
        <v>213</v>
      </c>
      <c r="O17" s="16"/>
      <c r="P17" s="16"/>
      <c r="Q17" s="16" t="s">
        <v>28</v>
      </c>
      <c r="R17" s="17" t="s">
        <v>28</v>
      </c>
      <c r="S17" s="16" t="s">
        <v>214</v>
      </c>
      <c r="T17" s="16" t="s">
        <v>30</v>
      </c>
      <c r="U17" s="16"/>
      <c r="V17" s="16" t="s">
        <v>74</v>
      </c>
      <c r="W17" s="17" t="s">
        <v>28</v>
      </c>
      <c r="X17" s="17" t="s">
        <v>28</v>
      </c>
      <c r="Y17" s="16" t="s">
        <v>28</v>
      </c>
      <c r="Z17" s="12" t="s">
        <v>32</v>
      </c>
    </row>
    <row r="18" customFormat="false" ht="15.75" hidden="false" customHeight="false" outlineLevel="0" collapsed="false">
      <c r="A18" s="19" t="n">
        <v>8218</v>
      </c>
      <c r="B18" s="14" t="n">
        <v>45609</v>
      </c>
      <c r="C18" s="16" t="s">
        <v>41</v>
      </c>
      <c r="D18" s="16" t="s">
        <v>24</v>
      </c>
      <c r="E18" s="16" t="s">
        <v>25</v>
      </c>
      <c r="F18" s="16" t="s">
        <v>215</v>
      </c>
      <c r="G18" s="16" t="s">
        <v>216</v>
      </c>
      <c r="H18" s="17" t="s">
        <v>28</v>
      </c>
      <c r="I18" s="16"/>
      <c r="J18" s="16" t="s">
        <v>28</v>
      </c>
      <c r="K18" s="16" t="s">
        <v>29</v>
      </c>
      <c r="L18" s="16" t="s">
        <v>29</v>
      </c>
      <c r="M18" s="16" t="s">
        <v>29</v>
      </c>
      <c r="N18" s="16" t="s">
        <v>213</v>
      </c>
      <c r="O18" s="16"/>
      <c r="P18" s="16"/>
      <c r="Q18" s="16" t="s">
        <v>28</v>
      </c>
      <c r="R18" s="17" t="s">
        <v>28</v>
      </c>
      <c r="S18" s="16" t="s">
        <v>59</v>
      </c>
      <c r="T18" s="16" t="s">
        <v>30</v>
      </c>
      <c r="U18" s="16"/>
      <c r="V18" s="16" t="s">
        <v>74</v>
      </c>
      <c r="W18" s="17" t="s">
        <v>28</v>
      </c>
      <c r="X18" s="17" t="s">
        <v>28</v>
      </c>
      <c r="Y18" s="16" t="s">
        <v>28</v>
      </c>
      <c r="Z18" s="12" t="s">
        <v>32</v>
      </c>
    </row>
    <row r="19" customFormat="false" ht="15.75" hidden="false" customHeight="false" outlineLevel="0" collapsed="false">
      <c r="A19" s="24" t="n">
        <v>8219</v>
      </c>
      <c r="B19" s="14" t="n">
        <v>45611</v>
      </c>
      <c r="C19" s="15" t="s">
        <v>142</v>
      </c>
      <c r="D19" s="16" t="s">
        <v>24</v>
      </c>
      <c r="E19" s="16" t="s">
        <v>34</v>
      </c>
      <c r="F19" s="16" t="s">
        <v>217</v>
      </c>
      <c r="G19" s="16"/>
      <c r="H19" s="16" t="s">
        <v>37</v>
      </c>
      <c r="I19" s="16"/>
      <c r="J19" s="16" t="s">
        <v>37</v>
      </c>
      <c r="K19" s="16"/>
      <c r="L19" s="16"/>
      <c r="M19" s="16"/>
      <c r="N19" s="16"/>
      <c r="O19" s="16"/>
      <c r="P19" s="16"/>
      <c r="Q19" s="16" t="s">
        <v>37</v>
      </c>
      <c r="R19" s="16" t="s">
        <v>37</v>
      </c>
      <c r="S19" s="16"/>
      <c r="T19" s="16"/>
      <c r="U19" s="16"/>
      <c r="V19" s="16"/>
      <c r="W19" s="16" t="s">
        <v>37</v>
      </c>
      <c r="X19" s="16" t="s">
        <v>37</v>
      </c>
      <c r="Y19" s="16" t="s">
        <v>28</v>
      </c>
      <c r="Z19" s="12" t="s">
        <v>32</v>
      </c>
    </row>
    <row r="20" customFormat="false" ht="15.75" hidden="false" customHeight="false" outlineLevel="0" collapsed="false">
      <c r="A20" s="24" t="n">
        <v>8220</v>
      </c>
      <c r="B20" s="14" t="n">
        <v>45611</v>
      </c>
      <c r="C20" s="25" t="s">
        <v>23</v>
      </c>
      <c r="D20" s="25" t="s">
        <v>24</v>
      </c>
      <c r="E20" s="25" t="s">
        <v>25</v>
      </c>
      <c r="F20" s="25" t="s">
        <v>218</v>
      </c>
      <c r="G20" s="25" t="s">
        <v>219</v>
      </c>
      <c r="H20" s="26" t="s">
        <v>28</v>
      </c>
      <c r="I20" s="25"/>
      <c r="J20" s="25" t="s">
        <v>28</v>
      </c>
      <c r="K20" s="25" t="s">
        <v>29</v>
      </c>
      <c r="L20" s="25" t="s">
        <v>29</v>
      </c>
      <c r="M20" s="25" t="s">
        <v>29</v>
      </c>
      <c r="N20" s="25" t="s">
        <v>29</v>
      </c>
      <c r="O20" s="25"/>
      <c r="P20" s="25"/>
      <c r="Q20" s="25"/>
      <c r="R20" s="25"/>
      <c r="S20" s="16"/>
      <c r="T20" s="25"/>
      <c r="U20" s="25"/>
      <c r="V20" s="25"/>
      <c r="W20" s="25" t="s">
        <v>37</v>
      </c>
      <c r="X20" s="25" t="s">
        <v>37</v>
      </c>
      <c r="Y20" s="25" t="s">
        <v>28</v>
      </c>
      <c r="Z20" s="12" t="s">
        <v>32</v>
      </c>
    </row>
    <row r="21" customFormat="false" ht="15.75" hidden="false" customHeight="false" outlineLevel="0" collapsed="false">
      <c r="A21" s="19" t="n">
        <v>8221</v>
      </c>
      <c r="B21" s="14" t="n">
        <v>45612</v>
      </c>
      <c r="C21" s="16" t="s">
        <v>126</v>
      </c>
      <c r="D21" s="16" t="s">
        <v>24</v>
      </c>
      <c r="E21" s="16" t="s">
        <v>34</v>
      </c>
      <c r="F21" s="16" t="s">
        <v>220</v>
      </c>
      <c r="G21" s="25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25"/>
      <c r="V21" s="16"/>
      <c r="W21" s="16" t="s">
        <v>37</v>
      </c>
      <c r="X21" s="16" t="s">
        <v>37</v>
      </c>
      <c r="Y21" s="16" t="s">
        <v>28</v>
      </c>
      <c r="Z21" s="12" t="s">
        <v>32</v>
      </c>
    </row>
    <row r="22" customFormat="false" ht="15.75" hidden="false" customHeight="false" outlineLevel="0" collapsed="false">
      <c r="A22" s="19" t="n">
        <v>8222</v>
      </c>
      <c r="B22" s="14" t="n">
        <v>45615</v>
      </c>
      <c r="C22" s="16" t="s">
        <v>221</v>
      </c>
      <c r="D22" s="16" t="s">
        <v>24</v>
      </c>
      <c r="E22" s="16" t="s">
        <v>222</v>
      </c>
      <c r="F22" s="16" t="s">
        <v>223</v>
      </c>
      <c r="G22" s="25" t="s">
        <v>224</v>
      </c>
      <c r="H22" s="17" t="s">
        <v>28</v>
      </c>
      <c r="I22" s="16"/>
      <c r="J22" s="16" t="s">
        <v>28</v>
      </c>
      <c r="K22" s="16"/>
      <c r="L22" s="16"/>
      <c r="M22" s="16"/>
      <c r="N22" s="16"/>
      <c r="O22" s="16"/>
      <c r="P22" s="16"/>
      <c r="Q22" s="16" t="s">
        <v>28</v>
      </c>
      <c r="R22" s="17" t="s">
        <v>28</v>
      </c>
      <c r="S22" s="16" t="s">
        <v>59</v>
      </c>
      <c r="T22" s="16" t="s">
        <v>222</v>
      </c>
      <c r="U22" s="16"/>
      <c r="V22" s="16"/>
      <c r="W22" s="16" t="s">
        <v>37</v>
      </c>
      <c r="X22" s="16" t="s">
        <v>37</v>
      </c>
      <c r="Y22" s="16" t="s">
        <v>28</v>
      </c>
      <c r="Z22" s="12" t="s">
        <v>32</v>
      </c>
    </row>
    <row r="23" customFormat="false" ht="15.75" hidden="false" customHeight="false" outlineLevel="0" collapsed="false">
      <c r="A23" s="19" t="n">
        <v>8223</v>
      </c>
      <c r="B23" s="14" t="n">
        <v>45615</v>
      </c>
      <c r="C23" s="16" t="s">
        <v>33</v>
      </c>
      <c r="D23" s="16" t="s">
        <v>24</v>
      </c>
      <c r="E23" s="16" t="s">
        <v>34</v>
      </c>
      <c r="F23" s="16" t="s">
        <v>225</v>
      </c>
      <c r="G23" s="16"/>
      <c r="H23" s="16" t="s">
        <v>37</v>
      </c>
      <c r="I23" s="16"/>
      <c r="J23" s="16" t="s">
        <v>37</v>
      </c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 t="s">
        <v>37</v>
      </c>
      <c r="X23" s="16" t="s">
        <v>37</v>
      </c>
      <c r="Y23" s="16" t="s">
        <v>28</v>
      </c>
      <c r="Z23" s="12" t="s">
        <v>32</v>
      </c>
    </row>
    <row r="24" customFormat="false" ht="15.75" hidden="false" customHeight="false" outlineLevel="0" collapsed="false">
      <c r="A24" s="13" t="n">
        <v>8224</v>
      </c>
      <c r="B24" s="14" t="n">
        <v>45615</v>
      </c>
      <c r="C24" s="16" t="s">
        <v>226</v>
      </c>
      <c r="D24" s="16" t="s">
        <v>24</v>
      </c>
      <c r="E24" s="16" t="s">
        <v>34</v>
      </c>
      <c r="F24" s="16" t="s">
        <v>227</v>
      </c>
      <c r="G24" s="16"/>
      <c r="H24" s="16" t="s">
        <v>37</v>
      </c>
      <c r="I24" s="16"/>
      <c r="J24" s="16" t="s">
        <v>37</v>
      </c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2"/>
      <c r="W24" s="16" t="s">
        <v>37</v>
      </c>
      <c r="X24" s="16" t="s">
        <v>37</v>
      </c>
      <c r="Y24" s="16" t="s">
        <v>28</v>
      </c>
      <c r="Z24" s="12" t="s">
        <v>32</v>
      </c>
    </row>
    <row r="25" customFormat="false" ht="15.75" hidden="false" customHeight="false" outlineLevel="0" collapsed="false">
      <c r="A25" s="13" t="n">
        <v>8225</v>
      </c>
      <c r="B25" s="22" t="n">
        <v>45616</v>
      </c>
      <c r="C25" s="16" t="s">
        <v>221</v>
      </c>
      <c r="D25" s="16" t="s">
        <v>24</v>
      </c>
      <c r="E25" s="16" t="s">
        <v>222</v>
      </c>
      <c r="F25" s="16" t="s">
        <v>127</v>
      </c>
      <c r="G25" s="16" t="s">
        <v>228</v>
      </c>
      <c r="H25" s="17" t="s">
        <v>28</v>
      </c>
      <c r="I25" s="16"/>
      <c r="J25" s="16" t="s">
        <v>28</v>
      </c>
      <c r="K25" s="16"/>
      <c r="L25" s="16"/>
      <c r="M25" s="16"/>
      <c r="N25" s="16"/>
      <c r="O25" s="16"/>
      <c r="P25" s="16"/>
      <c r="Q25" s="16" t="s">
        <v>28</v>
      </c>
      <c r="R25" s="17" t="s">
        <v>28</v>
      </c>
      <c r="S25" s="16" t="s">
        <v>59</v>
      </c>
      <c r="T25" s="16" t="s">
        <v>222</v>
      </c>
      <c r="U25" s="16"/>
      <c r="V25" s="16" t="s">
        <v>74</v>
      </c>
      <c r="W25" s="17" t="s">
        <v>28</v>
      </c>
      <c r="X25" s="17" t="s">
        <v>28</v>
      </c>
      <c r="Y25" s="16" t="s">
        <v>28</v>
      </c>
      <c r="Z25" s="12" t="s">
        <v>32</v>
      </c>
    </row>
    <row r="26" customFormat="false" ht="15.75" hidden="false" customHeight="false" outlineLevel="0" collapsed="false">
      <c r="A26" s="24" t="n">
        <v>8226</v>
      </c>
      <c r="B26" s="14" t="n">
        <v>45616</v>
      </c>
      <c r="C26" s="25" t="s">
        <v>126</v>
      </c>
      <c r="D26" s="16" t="s">
        <v>24</v>
      </c>
      <c r="E26" s="16" t="s">
        <v>34</v>
      </c>
      <c r="F26" s="25" t="s">
        <v>229</v>
      </c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 t="s">
        <v>37</v>
      </c>
      <c r="X26" s="16" t="s">
        <v>37</v>
      </c>
      <c r="Y26" s="16" t="s">
        <v>28</v>
      </c>
      <c r="Z26" s="12" t="s">
        <v>32</v>
      </c>
    </row>
    <row r="27" customFormat="false" ht="15.75" hidden="false" customHeight="false" outlineLevel="0" collapsed="false">
      <c r="A27" s="13" t="n">
        <v>8227</v>
      </c>
      <c r="B27" s="14" t="n">
        <v>45621</v>
      </c>
      <c r="C27" s="25" t="s">
        <v>23</v>
      </c>
      <c r="D27" s="16" t="s">
        <v>24</v>
      </c>
      <c r="E27" s="25" t="s">
        <v>34</v>
      </c>
      <c r="F27" s="16" t="s">
        <v>230</v>
      </c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 t="s">
        <v>37</v>
      </c>
      <c r="X27" s="16" t="s">
        <v>37</v>
      </c>
      <c r="Y27" s="16" t="s">
        <v>28</v>
      </c>
      <c r="Z27" s="12" t="s">
        <v>32</v>
      </c>
    </row>
    <row r="28" customFormat="false" ht="15.75" hidden="false" customHeight="false" outlineLevel="0" collapsed="false">
      <c r="A28" s="13" t="n">
        <v>8228</v>
      </c>
      <c r="B28" s="14" t="n">
        <v>45617</v>
      </c>
      <c r="C28" s="25" t="s">
        <v>142</v>
      </c>
      <c r="D28" s="16" t="s">
        <v>24</v>
      </c>
      <c r="E28" s="25" t="s">
        <v>34</v>
      </c>
      <c r="F28" s="16" t="s">
        <v>231</v>
      </c>
      <c r="G28" s="16"/>
      <c r="H28" s="16" t="s">
        <v>37</v>
      </c>
      <c r="I28" s="16"/>
      <c r="J28" s="16" t="s">
        <v>37</v>
      </c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 t="s">
        <v>37</v>
      </c>
      <c r="X28" s="16" t="s">
        <v>37</v>
      </c>
      <c r="Y28" s="16" t="s">
        <v>28</v>
      </c>
      <c r="Z28" s="12" t="s">
        <v>32</v>
      </c>
    </row>
    <row r="29" customFormat="false" ht="15.75" hidden="false" customHeight="false" outlineLevel="0" collapsed="false">
      <c r="A29" s="13" t="n">
        <v>8229</v>
      </c>
      <c r="B29" s="14" t="n">
        <v>45617</v>
      </c>
      <c r="C29" s="25" t="s">
        <v>142</v>
      </c>
      <c r="D29" s="16" t="s">
        <v>24</v>
      </c>
      <c r="E29" s="25" t="s">
        <v>34</v>
      </c>
      <c r="F29" s="16" t="s">
        <v>231</v>
      </c>
      <c r="G29" s="16"/>
      <c r="H29" s="16" t="s">
        <v>37</v>
      </c>
      <c r="I29" s="16"/>
      <c r="J29" s="16" t="s">
        <v>37</v>
      </c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 t="s">
        <v>37</v>
      </c>
      <c r="X29" s="16" t="s">
        <v>37</v>
      </c>
      <c r="Y29" s="16" t="s">
        <v>28</v>
      </c>
      <c r="Z29" s="12" t="s">
        <v>32</v>
      </c>
    </row>
    <row r="30" customFormat="false" ht="15.75" hidden="false" customHeight="false" outlineLevel="0" collapsed="false">
      <c r="A30" s="13" t="n">
        <v>8230</v>
      </c>
      <c r="B30" s="14" t="n">
        <v>45617</v>
      </c>
      <c r="C30" s="25" t="s">
        <v>142</v>
      </c>
      <c r="D30" s="16" t="s">
        <v>24</v>
      </c>
      <c r="E30" s="25" t="s">
        <v>34</v>
      </c>
      <c r="F30" s="16" t="s">
        <v>232</v>
      </c>
      <c r="G30" s="16"/>
      <c r="H30" s="16" t="s">
        <v>37</v>
      </c>
      <c r="I30" s="16"/>
      <c r="J30" s="16" t="s">
        <v>37</v>
      </c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 t="s">
        <v>37</v>
      </c>
      <c r="X30" s="16" t="s">
        <v>37</v>
      </c>
      <c r="Y30" s="16" t="s">
        <v>28</v>
      </c>
      <c r="Z30" s="12" t="s">
        <v>32</v>
      </c>
    </row>
    <row r="31" customFormat="false" ht="15.75" hidden="false" customHeight="false" outlineLevel="0" collapsed="false">
      <c r="A31" s="13" t="n">
        <v>8231</v>
      </c>
      <c r="B31" s="14" t="n">
        <v>45617</v>
      </c>
      <c r="C31" s="25" t="s">
        <v>142</v>
      </c>
      <c r="D31" s="16" t="s">
        <v>24</v>
      </c>
      <c r="E31" s="25" t="s">
        <v>34</v>
      </c>
      <c r="F31" s="16" t="s">
        <v>232</v>
      </c>
      <c r="G31" s="16"/>
      <c r="H31" s="16" t="s">
        <v>37</v>
      </c>
      <c r="I31" s="16"/>
      <c r="J31" s="16" t="s">
        <v>37</v>
      </c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 t="s">
        <v>37</v>
      </c>
      <c r="X31" s="16" t="s">
        <v>37</v>
      </c>
      <c r="Y31" s="16" t="s">
        <v>28</v>
      </c>
      <c r="Z31" s="12" t="s">
        <v>32</v>
      </c>
    </row>
    <row r="32" customFormat="false" ht="15.75" hidden="false" customHeight="false" outlineLevel="0" collapsed="false">
      <c r="A32" s="13" t="n">
        <v>8232</v>
      </c>
      <c r="B32" s="14" t="n">
        <v>45617</v>
      </c>
      <c r="C32" s="16" t="s">
        <v>233</v>
      </c>
      <c r="D32" s="16" t="s">
        <v>24</v>
      </c>
      <c r="E32" s="25" t="s">
        <v>34</v>
      </c>
      <c r="F32" s="16" t="s">
        <v>234</v>
      </c>
      <c r="G32" s="16"/>
      <c r="H32" s="37" t="s">
        <v>37</v>
      </c>
      <c r="I32" s="16"/>
      <c r="J32" s="16" t="s">
        <v>37</v>
      </c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 t="s">
        <v>37</v>
      </c>
      <c r="X32" s="16" t="s">
        <v>37</v>
      </c>
      <c r="Y32" s="16" t="s">
        <v>28</v>
      </c>
      <c r="Z32" s="12" t="s">
        <v>32</v>
      </c>
    </row>
    <row r="33" customFormat="false" ht="15.75" hidden="false" customHeight="false" outlineLevel="0" collapsed="false">
      <c r="A33" s="13" t="n">
        <v>8233</v>
      </c>
      <c r="B33" s="14" t="n">
        <v>45617</v>
      </c>
      <c r="C33" s="16" t="s">
        <v>235</v>
      </c>
      <c r="D33" s="16" t="s">
        <v>24</v>
      </c>
      <c r="E33" s="25" t="s">
        <v>222</v>
      </c>
      <c r="F33" s="16" t="s">
        <v>236</v>
      </c>
      <c r="G33" s="16" t="s">
        <v>237</v>
      </c>
      <c r="H33" s="17" t="s">
        <v>28</v>
      </c>
      <c r="I33" s="16"/>
      <c r="J33" s="16" t="s">
        <v>28</v>
      </c>
      <c r="K33" s="16"/>
      <c r="L33" s="16" t="s">
        <v>238</v>
      </c>
      <c r="M33" s="16"/>
      <c r="N33" s="16" t="s">
        <v>239</v>
      </c>
      <c r="O33" s="16"/>
      <c r="P33" s="16"/>
      <c r="Q33" s="16" t="s">
        <v>28</v>
      </c>
      <c r="R33" s="17" t="s">
        <v>28</v>
      </c>
      <c r="S33" s="16" t="s">
        <v>59</v>
      </c>
      <c r="T33" s="16" t="s">
        <v>222</v>
      </c>
      <c r="U33" s="16"/>
      <c r="V33" s="16" t="s">
        <v>74</v>
      </c>
      <c r="W33" s="17" t="s">
        <v>28</v>
      </c>
      <c r="X33" s="17" t="s">
        <v>28</v>
      </c>
      <c r="Y33" s="16" t="s">
        <v>28</v>
      </c>
      <c r="Z33" s="12" t="s">
        <v>32</v>
      </c>
    </row>
    <row r="34" customFormat="false" ht="15.75" hidden="false" customHeight="false" outlineLevel="0" collapsed="false">
      <c r="A34" s="13" t="n">
        <v>8234</v>
      </c>
      <c r="B34" s="14" t="n">
        <v>45621</v>
      </c>
      <c r="C34" s="16" t="s">
        <v>221</v>
      </c>
      <c r="D34" s="16" t="s">
        <v>24</v>
      </c>
      <c r="E34" s="25" t="s">
        <v>25</v>
      </c>
      <c r="F34" s="16" t="s">
        <v>240</v>
      </c>
      <c r="G34" s="16"/>
      <c r="H34" s="17" t="s">
        <v>28</v>
      </c>
      <c r="I34" s="16"/>
      <c r="J34" s="16" t="s">
        <v>28</v>
      </c>
      <c r="K34" s="16" t="s">
        <v>29</v>
      </c>
      <c r="L34" s="16" t="s">
        <v>29</v>
      </c>
      <c r="M34" s="16" t="s">
        <v>29</v>
      </c>
      <c r="N34" s="16" t="s">
        <v>29</v>
      </c>
      <c r="O34" s="16"/>
      <c r="P34" s="16"/>
      <c r="Q34" s="16"/>
      <c r="R34" s="16"/>
      <c r="S34" s="16"/>
      <c r="T34" s="16"/>
      <c r="U34" s="16"/>
      <c r="V34" s="16" t="s">
        <v>58</v>
      </c>
      <c r="W34" s="17" t="s">
        <v>28</v>
      </c>
      <c r="X34" s="17" t="s">
        <v>28</v>
      </c>
      <c r="Y34" s="16" t="s">
        <v>28</v>
      </c>
      <c r="Z34" s="12" t="s">
        <v>32</v>
      </c>
    </row>
    <row r="35" customFormat="false" ht="15.75" hidden="false" customHeight="false" outlineLevel="0" collapsed="false">
      <c r="A35" s="13" t="n">
        <v>8235</v>
      </c>
      <c r="B35" s="14" t="n">
        <v>45621</v>
      </c>
      <c r="C35" s="16" t="s">
        <v>91</v>
      </c>
      <c r="D35" s="16" t="s">
        <v>24</v>
      </c>
      <c r="E35" s="25" t="s">
        <v>25</v>
      </c>
      <c r="F35" s="16" t="s">
        <v>241</v>
      </c>
      <c r="G35" s="16"/>
      <c r="H35" s="17" t="s">
        <v>28</v>
      </c>
      <c r="I35" s="16"/>
      <c r="J35" s="16" t="s">
        <v>28</v>
      </c>
      <c r="K35" s="16" t="s">
        <v>29</v>
      </c>
      <c r="L35" s="16" t="s">
        <v>29</v>
      </c>
      <c r="M35" s="16" t="s">
        <v>29</v>
      </c>
      <c r="N35" s="16" t="s">
        <v>29</v>
      </c>
      <c r="O35" s="16"/>
      <c r="P35" s="16"/>
      <c r="Q35" s="16"/>
      <c r="R35" s="16"/>
      <c r="S35" s="16"/>
      <c r="T35" s="16"/>
      <c r="U35" s="16"/>
      <c r="V35" s="16" t="s">
        <v>74</v>
      </c>
      <c r="W35" s="17" t="s">
        <v>28</v>
      </c>
      <c r="X35" s="17" t="s">
        <v>28</v>
      </c>
      <c r="Y35" s="16" t="s">
        <v>28</v>
      </c>
      <c r="Z35" s="12" t="s">
        <v>32</v>
      </c>
    </row>
    <row r="36" customFormat="false" ht="15.75" hidden="false" customHeight="false" outlineLevel="0" collapsed="false">
      <c r="A36" s="13" t="n">
        <v>8236</v>
      </c>
      <c r="B36" s="14" t="n">
        <v>45621</v>
      </c>
      <c r="C36" s="16" t="s">
        <v>91</v>
      </c>
      <c r="D36" s="16" t="s">
        <v>24</v>
      </c>
      <c r="E36" s="25" t="s">
        <v>25</v>
      </c>
      <c r="F36" s="16" t="s">
        <v>242</v>
      </c>
      <c r="G36" s="16"/>
      <c r="H36" s="17" t="s">
        <v>28</v>
      </c>
      <c r="I36" s="16"/>
      <c r="J36" s="16" t="s">
        <v>28</v>
      </c>
      <c r="K36" s="16" t="s">
        <v>29</v>
      </c>
      <c r="L36" s="16" t="s">
        <v>29</v>
      </c>
      <c r="M36" s="16" t="s">
        <v>29</v>
      </c>
      <c r="N36" s="16" t="s">
        <v>29</v>
      </c>
      <c r="O36" s="16"/>
      <c r="P36" s="18"/>
      <c r="Q36" s="16"/>
      <c r="R36" s="16"/>
      <c r="S36" s="16"/>
      <c r="T36" s="16"/>
      <c r="U36" s="16"/>
      <c r="V36" s="16" t="s">
        <v>74</v>
      </c>
      <c r="W36" s="17" t="s">
        <v>28</v>
      </c>
      <c r="X36" s="17" t="s">
        <v>28</v>
      </c>
      <c r="Y36" s="16" t="s">
        <v>28</v>
      </c>
      <c r="Z36" s="12" t="s">
        <v>32</v>
      </c>
    </row>
    <row r="37" customFormat="false" ht="15.75" hidden="false" customHeight="false" outlineLevel="0" collapsed="false">
      <c r="A37" s="13" t="n">
        <v>8237</v>
      </c>
      <c r="B37" s="14" t="n">
        <v>45621</v>
      </c>
      <c r="C37" s="16" t="s">
        <v>91</v>
      </c>
      <c r="D37" s="16" t="s">
        <v>24</v>
      </c>
      <c r="E37" s="25" t="s">
        <v>25</v>
      </c>
      <c r="F37" s="16" t="s">
        <v>243</v>
      </c>
      <c r="G37" s="16"/>
      <c r="H37" s="17" t="s">
        <v>28</v>
      </c>
      <c r="I37" s="16"/>
      <c r="J37" s="16" t="s">
        <v>28</v>
      </c>
      <c r="K37" s="16" t="s">
        <v>29</v>
      </c>
      <c r="L37" s="16" t="s">
        <v>29</v>
      </c>
      <c r="M37" s="16" t="s">
        <v>29</v>
      </c>
      <c r="N37" s="16" t="s">
        <v>29</v>
      </c>
      <c r="O37" s="16"/>
      <c r="P37" s="18"/>
      <c r="Q37" s="16"/>
      <c r="R37" s="16"/>
      <c r="S37" s="16"/>
      <c r="T37" s="16"/>
      <c r="U37" s="16"/>
      <c r="V37" s="16" t="s">
        <v>74</v>
      </c>
      <c r="W37" s="17" t="s">
        <v>28</v>
      </c>
      <c r="X37" s="17" t="s">
        <v>28</v>
      </c>
      <c r="Y37" s="16" t="s">
        <v>28</v>
      </c>
      <c r="Z37" s="12" t="s">
        <v>32</v>
      </c>
    </row>
    <row r="38" customFormat="false" ht="15.75" hidden="false" customHeight="false" outlineLevel="0" collapsed="false">
      <c r="A38" s="13" t="n">
        <v>8238</v>
      </c>
      <c r="B38" s="14" t="n">
        <v>45621</v>
      </c>
      <c r="C38" s="16" t="s">
        <v>91</v>
      </c>
      <c r="D38" s="16" t="s">
        <v>24</v>
      </c>
      <c r="E38" s="25" t="s">
        <v>25</v>
      </c>
      <c r="F38" s="16" t="s">
        <v>244</v>
      </c>
      <c r="G38" s="16"/>
      <c r="H38" s="17" t="s">
        <v>28</v>
      </c>
      <c r="I38" s="16"/>
      <c r="J38" s="16" t="s">
        <v>28</v>
      </c>
      <c r="K38" s="16" t="s">
        <v>29</v>
      </c>
      <c r="L38" s="16" t="s">
        <v>29</v>
      </c>
      <c r="M38" s="16" t="s">
        <v>29</v>
      </c>
      <c r="N38" s="16" t="s">
        <v>29</v>
      </c>
      <c r="O38" s="16"/>
      <c r="P38" s="18"/>
      <c r="Q38" s="16"/>
      <c r="R38" s="16"/>
      <c r="S38" s="16"/>
      <c r="T38" s="16"/>
      <c r="U38" s="16"/>
      <c r="V38" s="16" t="s">
        <v>74</v>
      </c>
      <c r="W38" s="17" t="s">
        <v>28</v>
      </c>
      <c r="X38" s="17" t="s">
        <v>28</v>
      </c>
      <c r="Y38" s="16" t="s">
        <v>28</v>
      </c>
      <c r="Z38" s="12" t="s">
        <v>32</v>
      </c>
    </row>
    <row r="39" customFormat="false" ht="15.75" hidden="false" customHeight="false" outlineLevel="0" collapsed="false">
      <c r="A39" s="28" t="n">
        <v>8240</v>
      </c>
      <c r="B39" s="14" t="n">
        <v>45624</v>
      </c>
      <c r="C39" s="21" t="s">
        <v>245</v>
      </c>
      <c r="D39" s="16" t="s">
        <v>24</v>
      </c>
      <c r="E39" s="16" t="s">
        <v>30</v>
      </c>
      <c r="F39" s="16" t="s">
        <v>246</v>
      </c>
      <c r="G39" s="16" t="s">
        <v>247</v>
      </c>
      <c r="H39" s="17" t="s">
        <v>28</v>
      </c>
      <c r="I39" s="16"/>
      <c r="J39" s="16" t="s">
        <v>28</v>
      </c>
      <c r="K39" s="16"/>
      <c r="L39" s="16" t="n">
        <v>3543462539</v>
      </c>
      <c r="M39" s="16" t="s">
        <v>248</v>
      </c>
      <c r="N39" s="16" t="n">
        <v>800001500</v>
      </c>
      <c r="O39" s="16" t="s">
        <v>249</v>
      </c>
      <c r="P39" s="16"/>
      <c r="Q39" s="16"/>
      <c r="R39" s="16"/>
      <c r="S39" s="16"/>
      <c r="T39" s="16"/>
      <c r="U39" s="16"/>
      <c r="V39" s="16" t="s">
        <v>74</v>
      </c>
      <c r="W39" s="17" t="s">
        <v>28</v>
      </c>
      <c r="X39" s="17" t="s">
        <v>28</v>
      </c>
      <c r="Y39" s="16" t="s">
        <v>28</v>
      </c>
      <c r="Z39" s="12" t="s">
        <v>32</v>
      </c>
    </row>
    <row r="40" customFormat="false" ht="15.75" hidden="false" customHeight="false" outlineLevel="0" collapsed="false">
      <c r="A40" s="13" t="n">
        <v>8241</v>
      </c>
      <c r="B40" s="14" t="n">
        <v>45624</v>
      </c>
      <c r="C40" s="21" t="s">
        <v>250</v>
      </c>
      <c r="D40" s="16" t="s">
        <v>24</v>
      </c>
      <c r="E40" s="16" t="s">
        <v>34</v>
      </c>
      <c r="F40" s="16" t="s">
        <v>251</v>
      </c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 t="s">
        <v>37</v>
      </c>
      <c r="X40" s="16" t="s">
        <v>37</v>
      </c>
      <c r="Y40" s="16" t="s">
        <v>28</v>
      </c>
      <c r="Z40" s="12" t="s">
        <v>32</v>
      </c>
    </row>
    <row r="41" customFormat="false" ht="15.75" hidden="false" customHeight="false" outlineLevel="0" collapsed="false">
      <c r="A41" s="13" t="n">
        <v>8242</v>
      </c>
      <c r="B41" s="22" t="n">
        <v>45624</v>
      </c>
      <c r="C41" s="16" t="s">
        <v>252</v>
      </c>
      <c r="D41" s="16" t="s">
        <v>24</v>
      </c>
      <c r="E41" s="16" t="s">
        <v>25</v>
      </c>
      <c r="F41" s="16" t="s">
        <v>253</v>
      </c>
      <c r="G41" s="16" t="s">
        <v>254</v>
      </c>
      <c r="H41" s="17" t="s">
        <v>28</v>
      </c>
      <c r="I41" s="16"/>
      <c r="J41" s="16" t="s">
        <v>28</v>
      </c>
      <c r="K41" s="16" t="s">
        <v>29</v>
      </c>
      <c r="L41" s="16" t="s">
        <v>29</v>
      </c>
      <c r="M41" s="16" t="s">
        <v>29</v>
      </c>
      <c r="N41" s="16" t="n">
        <v>1408</v>
      </c>
      <c r="O41" s="16"/>
      <c r="P41" s="16"/>
      <c r="Q41" s="16"/>
      <c r="R41" s="16"/>
      <c r="S41" s="16"/>
      <c r="T41" s="16"/>
      <c r="U41" s="16"/>
      <c r="V41" s="16"/>
      <c r="W41" s="16" t="s">
        <v>37</v>
      </c>
      <c r="X41" s="16" t="s">
        <v>37</v>
      </c>
      <c r="Y41" s="16" t="s">
        <v>28</v>
      </c>
      <c r="Z41" s="12" t="s">
        <v>32</v>
      </c>
    </row>
    <row r="42" customFormat="false" ht="15.75" hidden="false" customHeight="false" outlineLevel="0" collapsed="false">
      <c r="A42" s="13" t="n">
        <v>8243</v>
      </c>
      <c r="B42" s="14" t="n">
        <v>45624</v>
      </c>
      <c r="C42" s="16" t="s">
        <v>252</v>
      </c>
      <c r="D42" s="16" t="s">
        <v>24</v>
      </c>
      <c r="E42" s="16" t="s">
        <v>25</v>
      </c>
      <c r="F42" s="16" t="s">
        <v>255</v>
      </c>
      <c r="G42" s="16" t="s">
        <v>256</v>
      </c>
      <c r="H42" s="17" t="s">
        <v>28</v>
      </c>
      <c r="I42" s="16"/>
      <c r="J42" s="16" t="s">
        <v>28</v>
      </c>
      <c r="K42" s="16" t="s">
        <v>29</v>
      </c>
      <c r="L42" s="16" t="s">
        <v>29</v>
      </c>
      <c r="M42" s="16" t="s">
        <v>29</v>
      </c>
      <c r="N42" s="16" t="n">
        <v>1408</v>
      </c>
      <c r="O42" s="16"/>
      <c r="P42" s="18"/>
      <c r="Q42" s="16"/>
      <c r="R42" s="16"/>
      <c r="S42" s="16"/>
      <c r="T42" s="16"/>
      <c r="U42" s="16"/>
      <c r="V42" s="16"/>
      <c r="W42" s="16" t="s">
        <v>37</v>
      </c>
      <c r="X42" s="16" t="s">
        <v>37</v>
      </c>
      <c r="Y42" s="16" t="s">
        <v>28</v>
      </c>
      <c r="Z42" s="12" t="s">
        <v>32</v>
      </c>
    </row>
    <row r="43" customFormat="false" ht="15.75" hidden="false" customHeight="false" outlineLevel="0" collapsed="false">
      <c r="A43" s="13" t="n">
        <v>8244</v>
      </c>
      <c r="B43" s="14" t="n">
        <v>45624</v>
      </c>
      <c r="C43" s="15" t="s">
        <v>41</v>
      </c>
      <c r="D43" s="16" t="s">
        <v>24</v>
      </c>
      <c r="E43" s="16" t="s">
        <v>25</v>
      </c>
      <c r="F43" s="16" t="s">
        <v>257</v>
      </c>
      <c r="G43" s="16" t="s">
        <v>258</v>
      </c>
      <c r="H43" s="17" t="s">
        <v>28</v>
      </c>
      <c r="I43" s="16"/>
      <c r="J43" s="16" t="s">
        <v>28</v>
      </c>
      <c r="K43" s="16" t="s">
        <v>29</v>
      </c>
      <c r="L43" s="16" t="s">
        <v>29</v>
      </c>
      <c r="M43" s="16" t="s">
        <v>29</v>
      </c>
      <c r="N43" s="16" t="s">
        <v>29</v>
      </c>
      <c r="O43" s="16"/>
      <c r="P43" s="18"/>
      <c r="Q43" s="16"/>
      <c r="R43" s="16"/>
      <c r="S43" s="16"/>
      <c r="T43" s="16"/>
      <c r="U43" s="16"/>
      <c r="V43" s="16"/>
      <c r="W43" s="16" t="s">
        <v>37</v>
      </c>
      <c r="X43" s="16" t="s">
        <v>37</v>
      </c>
      <c r="Y43" s="16" t="s">
        <v>28</v>
      </c>
      <c r="Z43" s="12" t="s">
        <v>32</v>
      </c>
    </row>
    <row r="44" customFormat="false" ht="15.75" hidden="false" customHeight="false" outlineLevel="0" collapsed="false">
      <c r="A44" s="13" t="n">
        <v>8245</v>
      </c>
      <c r="B44" s="14" t="n">
        <v>45624</v>
      </c>
      <c r="C44" s="15" t="s">
        <v>41</v>
      </c>
      <c r="D44" s="16" t="s">
        <v>24</v>
      </c>
      <c r="E44" s="16" t="s">
        <v>25</v>
      </c>
      <c r="F44" s="16" t="s">
        <v>259</v>
      </c>
      <c r="G44" s="16" t="s">
        <v>258</v>
      </c>
      <c r="H44" s="17" t="s">
        <v>28</v>
      </c>
      <c r="I44" s="16"/>
      <c r="J44" s="16" t="s">
        <v>28</v>
      </c>
      <c r="K44" s="16" t="s">
        <v>29</v>
      </c>
      <c r="L44" s="16" t="s">
        <v>260</v>
      </c>
      <c r="M44" s="16" t="s">
        <v>29</v>
      </c>
      <c r="N44" s="16" t="s">
        <v>29</v>
      </c>
      <c r="O44" s="16"/>
      <c r="P44" s="18"/>
      <c r="Q44" s="16"/>
      <c r="R44" s="16"/>
      <c r="S44" s="16"/>
      <c r="T44" s="16"/>
      <c r="U44" s="16"/>
      <c r="V44" s="16"/>
      <c r="W44" s="16" t="s">
        <v>37</v>
      </c>
      <c r="X44" s="16" t="s">
        <v>37</v>
      </c>
      <c r="Y44" s="16" t="s">
        <v>28</v>
      </c>
      <c r="Z44" s="12" t="s">
        <v>32</v>
      </c>
    </row>
    <row r="45" customFormat="false" ht="15.75" hidden="false" customHeight="false" outlineLevel="0" collapsed="false">
      <c r="A45" s="13" t="n">
        <v>8246</v>
      </c>
      <c r="B45" s="14" t="n">
        <v>45624</v>
      </c>
      <c r="C45" s="15" t="s">
        <v>41</v>
      </c>
      <c r="D45" s="16" t="s">
        <v>24</v>
      </c>
      <c r="E45" s="16" t="s">
        <v>25</v>
      </c>
      <c r="F45" s="16" t="s">
        <v>261</v>
      </c>
      <c r="G45" s="16" t="s">
        <v>262</v>
      </c>
      <c r="H45" s="17" t="s">
        <v>28</v>
      </c>
      <c r="I45" s="16"/>
      <c r="J45" s="16" t="s">
        <v>28</v>
      </c>
      <c r="K45" s="16" t="s">
        <v>29</v>
      </c>
      <c r="L45" s="16" t="s">
        <v>29</v>
      </c>
      <c r="M45" s="16" t="s">
        <v>29</v>
      </c>
      <c r="N45" s="16" t="s">
        <v>263</v>
      </c>
      <c r="O45" s="16"/>
      <c r="P45" s="16"/>
      <c r="Q45" s="16"/>
      <c r="R45" s="16"/>
      <c r="S45" s="16"/>
      <c r="T45" s="16"/>
      <c r="U45" s="16"/>
      <c r="V45" s="16"/>
      <c r="W45" s="16" t="s">
        <v>37</v>
      </c>
      <c r="X45" s="16" t="s">
        <v>37</v>
      </c>
      <c r="Y45" s="16" t="s">
        <v>28</v>
      </c>
      <c r="Z45" s="12" t="s">
        <v>32</v>
      </c>
    </row>
    <row r="46" customFormat="false" ht="15.75" hidden="false" customHeight="false" outlineLevel="0" collapsed="false">
      <c r="A46" s="13" t="n">
        <v>8247</v>
      </c>
      <c r="B46" s="14" t="n">
        <v>45624</v>
      </c>
      <c r="C46" s="21" t="s">
        <v>250</v>
      </c>
      <c r="D46" s="16" t="s">
        <v>24</v>
      </c>
      <c r="E46" s="16" t="s">
        <v>34</v>
      </c>
      <c r="F46" s="16" t="s">
        <v>264</v>
      </c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 t="s">
        <v>37</v>
      </c>
      <c r="X46" s="16" t="s">
        <v>37</v>
      </c>
      <c r="Y46" s="16" t="s">
        <v>28</v>
      </c>
      <c r="Z46" s="12" t="s">
        <v>32</v>
      </c>
    </row>
    <row r="47" customFormat="false" ht="15.75" hidden="false" customHeight="false" outlineLevel="0" collapsed="false">
      <c r="A47" s="13"/>
      <c r="B47" s="14"/>
      <c r="C47" s="15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2"/>
    </row>
    <row r="48" customFormat="false" ht="15.75" hidden="false" customHeight="false" outlineLevel="0" collapsed="false">
      <c r="A48" s="13"/>
      <c r="B48" s="14"/>
      <c r="C48" s="15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2"/>
    </row>
    <row r="49" customFormat="false" ht="15.75" hidden="false" customHeight="false" outlineLevel="0" collapsed="false">
      <c r="A49" s="13"/>
      <c r="B49" s="14"/>
      <c r="C49" s="15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8"/>
      <c r="Q49" s="16"/>
      <c r="R49" s="16"/>
      <c r="S49" s="16"/>
      <c r="T49" s="16"/>
      <c r="U49" s="16"/>
      <c r="V49" s="16"/>
      <c r="W49" s="16"/>
      <c r="X49" s="16"/>
      <c r="Y49" s="16"/>
      <c r="Z49" s="12"/>
    </row>
    <row r="50" customFormat="false" ht="15.75" hidden="false" customHeight="false" outlineLevel="0" collapsed="false">
      <c r="A50" s="13"/>
      <c r="B50" s="14"/>
      <c r="C50" s="15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8"/>
      <c r="Q50" s="16"/>
      <c r="R50" s="16"/>
      <c r="S50" s="16"/>
      <c r="T50" s="16"/>
      <c r="U50" s="16"/>
      <c r="V50" s="16"/>
      <c r="W50" s="16"/>
      <c r="X50" s="16"/>
      <c r="Y50" s="16"/>
      <c r="Z50" s="12"/>
    </row>
    <row r="51" customFormat="false" ht="15.75" hidden="false" customHeight="false" outlineLevel="0" collapsed="false">
      <c r="A51" s="13"/>
      <c r="B51" s="14"/>
      <c r="C51" s="15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8"/>
      <c r="Q51" s="16"/>
      <c r="R51" s="16"/>
      <c r="S51" s="16"/>
      <c r="T51" s="16"/>
      <c r="U51" s="16"/>
      <c r="V51" s="16"/>
      <c r="W51" s="16"/>
      <c r="X51" s="16"/>
      <c r="Y51" s="16"/>
      <c r="Z51" s="12"/>
    </row>
    <row r="52" customFormat="false" ht="15.75" hidden="false" customHeight="false" outlineLevel="0" collapsed="false">
      <c r="A52" s="13"/>
      <c r="B52" s="14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2"/>
    </row>
    <row r="53" customFormat="false" ht="15.75" hidden="false" customHeight="false" outlineLevel="0" collapsed="false">
      <c r="A53" s="13"/>
      <c r="B53" s="14"/>
      <c r="C53" s="21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2"/>
    </row>
    <row r="54" customFormat="false" ht="15.75" hidden="false" customHeight="false" outlineLevel="0" collapsed="false">
      <c r="A54" s="13"/>
      <c r="B54" s="14"/>
      <c r="C54" s="15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2"/>
    </row>
    <row r="55" customFormat="false" ht="15.75" hidden="false" customHeight="false" outlineLevel="0" collapsed="false">
      <c r="A55" s="13"/>
      <c r="B55" s="14"/>
      <c r="C55" s="15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2"/>
    </row>
    <row r="56" customFormat="false" ht="15.75" hidden="false" customHeight="false" outlineLevel="0" collapsed="false">
      <c r="A56" s="13"/>
      <c r="B56" s="14"/>
      <c r="C56" s="15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8"/>
      <c r="Q56" s="16"/>
      <c r="R56" s="16"/>
      <c r="S56" s="16"/>
      <c r="T56" s="16"/>
      <c r="U56" s="16"/>
      <c r="V56" s="16"/>
      <c r="W56" s="16"/>
      <c r="X56" s="16"/>
      <c r="Y56" s="16"/>
      <c r="Z56" s="12"/>
    </row>
    <row r="57" customFormat="false" ht="15.75" hidden="false" customHeight="false" outlineLevel="0" collapsed="false">
      <c r="A57" s="13"/>
      <c r="B57" s="14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8"/>
      <c r="Q57" s="16"/>
      <c r="R57" s="16"/>
      <c r="S57" s="16"/>
      <c r="T57" s="16"/>
      <c r="U57" s="16"/>
      <c r="V57" s="16"/>
      <c r="W57" s="16"/>
      <c r="X57" s="16"/>
      <c r="Y57" s="16"/>
      <c r="Z57" s="12"/>
    </row>
    <row r="58" customFormat="false" ht="15.75" hidden="false" customHeight="false" outlineLevel="0" collapsed="false">
      <c r="A58" s="13"/>
      <c r="B58" s="14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8"/>
      <c r="Q58" s="16"/>
      <c r="R58" s="16"/>
      <c r="S58" s="16"/>
      <c r="T58" s="16"/>
      <c r="U58" s="16"/>
      <c r="V58" s="16"/>
      <c r="W58" s="16"/>
      <c r="X58" s="16"/>
      <c r="Y58" s="16"/>
      <c r="Z58" s="12"/>
    </row>
    <row r="59" customFormat="false" ht="15.75" hidden="false" customHeight="false" outlineLevel="0" collapsed="false">
      <c r="A59" s="21"/>
      <c r="B59" s="29"/>
      <c r="C59" s="21"/>
      <c r="D59" s="21"/>
      <c r="E59" s="21"/>
      <c r="F59" s="21"/>
      <c r="G59" s="30"/>
      <c r="H59" s="31"/>
      <c r="I59" s="31"/>
      <c r="J59" s="21"/>
      <c r="K59" s="21"/>
      <c r="L59" s="21"/>
      <c r="M59" s="21"/>
      <c r="N59" s="21"/>
      <c r="O59" s="21"/>
      <c r="P59" s="30"/>
      <c r="Q59" s="21"/>
      <c r="R59" s="21"/>
      <c r="S59" s="21"/>
      <c r="T59" s="32"/>
      <c r="U59" s="32"/>
      <c r="V59" s="21"/>
      <c r="W59" s="21"/>
      <c r="X59" s="21"/>
      <c r="Y59" s="21"/>
      <c r="Z59" s="12"/>
    </row>
    <row r="60" customFormat="false" ht="15.75" hidden="false" customHeight="false" outlineLevel="0" collapsed="false">
      <c r="A60" s="21"/>
      <c r="B60" s="29"/>
      <c r="C60" s="21"/>
      <c r="D60" s="21"/>
      <c r="E60" s="21"/>
      <c r="F60" s="21"/>
      <c r="G60" s="30"/>
      <c r="H60" s="31"/>
      <c r="I60" s="31"/>
      <c r="J60" s="21"/>
      <c r="K60" s="21"/>
      <c r="L60" s="21"/>
      <c r="M60" s="21"/>
      <c r="N60" s="21"/>
      <c r="O60" s="21"/>
      <c r="P60" s="30"/>
      <c r="Q60" s="21"/>
      <c r="R60" s="21"/>
      <c r="S60" s="21"/>
      <c r="T60" s="32"/>
      <c r="U60" s="32"/>
      <c r="V60" s="21"/>
      <c r="W60" s="21"/>
      <c r="X60" s="21"/>
      <c r="Y60" s="21"/>
      <c r="Z60" s="12"/>
    </row>
    <row r="61" customFormat="false" ht="15.75" hidden="false" customHeight="false" outlineLevel="0" collapsed="false">
      <c r="A61" s="21"/>
      <c r="B61" s="29"/>
      <c r="C61" s="21"/>
      <c r="D61" s="21"/>
      <c r="E61" s="21"/>
      <c r="F61" s="21"/>
      <c r="G61" s="30"/>
      <c r="H61" s="31"/>
      <c r="I61" s="31"/>
      <c r="J61" s="21"/>
      <c r="K61" s="21"/>
      <c r="L61" s="21"/>
      <c r="M61" s="21"/>
      <c r="N61" s="21"/>
      <c r="O61" s="21"/>
      <c r="P61" s="30"/>
      <c r="Q61" s="21"/>
      <c r="R61" s="21"/>
      <c r="S61" s="21"/>
      <c r="T61" s="32"/>
      <c r="U61" s="32"/>
      <c r="V61" s="21"/>
      <c r="W61" s="21"/>
      <c r="X61" s="21"/>
      <c r="Y61" s="21"/>
      <c r="Z61" s="12"/>
    </row>
    <row r="62" customFormat="false" ht="15.75" hidden="false" customHeight="false" outlineLevel="0" collapsed="false">
      <c r="A62" s="21"/>
      <c r="B62" s="29"/>
      <c r="C62" s="21"/>
      <c r="D62" s="21"/>
      <c r="E62" s="21"/>
      <c r="F62" s="21"/>
      <c r="G62" s="30"/>
      <c r="H62" s="31"/>
      <c r="I62" s="31"/>
      <c r="J62" s="21"/>
      <c r="K62" s="21"/>
      <c r="L62" s="21"/>
      <c r="M62" s="21"/>
      <c r="N62" s="21"/>
      <c r="O62" s="21"/>
      <c r="P62" s="30"/>
      <c r="Q62" s="21"/>
      <c r="R62" s="21"/>
      <c r="S62" s="21"/>
      <c r="T62" s="32"/>
      <c r="U62" s="32"/>
      <c r="V62" s="21"/>
      <c r="W62" s="21"/>
      <c r="X62" s="21"/>
      <c r="Y62" s="21"/>
      <c r="Z62" s="12"/>
    </row>
    <row r="63" customFormat="false" ht="15.75" hidden="false" customHeight="false" outlineLevel="0" collapsed="false">
      <c r="A63" s="21"/>
      <c r="B63" s="29"/>
      <c r="C63" s="21"/>
      <c r="D63" s="21"/>
      <c r="E63" s="21"/>
      <c r="F63" s="21"/>
      <c r="G63" s="30"/>
      <c r="H63" s="31"/>
      <c r="I63" s="31"/>
      <c r="J63" s="21"/>
      <c r="K63" s="21"/>
      <c r="L63" s="21"/>
      <c r="M63" s="21"/>
      <c r="N63" s="21"/>
      <c r="O63" s="21"/>
      <c r="P63" s="30"/>
      <c r="Q63" s="21"/>
      <c r="R63" s="21"/>
      <c r="S63" s="21"/>
      <c r="T63" s="32"/>
      <c r="U63" s="32"/>
      <c r="V63" s="21"/>
      <c r="W63" s="21"/>
      <c r="X63" s="21"/>
      <c r="Y63" s="21"/>
      <c r="Z63" s="12"/>
    </row>
    <row r="64" customFormat="false" ht="15.75" hidden="false" customHeight="false" outlineLevel="0" collapsed="false">
      <c r="A64" s="21"/>
      <c r="B64" s="33"/>
      <c r="C64" s="21"/>
      <c r="D64" s="21"/>
      <c r="E64" s="21"/>
      <c r="F64" s="21"/>
      <c r="G64" s="30"/>
      <c r="H64" s="31"/>
      <c r="I64" s="31"/>
      <c r="J64" s="21"/>
      <c r="K64" s="21"/>
      <c r="L64" s="21"/>
      <c r="M64" s="21"/>
      <c r="N64" s="21"/>
      <c r="O64" s="21"/>
      <c r="P64" s="30"/>
      <c r="Q64" s="21"/>
      <c r="R64" s="21"/>
      <c r="S64" s="21"/>
      <c r="T64" s="32"/>
      <c r="U64" s="32"/>
      <c r="V64" s="21"/>
      <c r="W64" s="21"/>
      <c r="X64" s="21"/>
      <c r="Y64" s="21"/>
      <c r="Z64" s="12"/>
    </row>
    <row r="65" customFormat="false" ht="15.75" hidden="false" customHeight="false" outlineLevel="0" collapsed="false">
      <c r="A65" s="21"/>
      <c r="B65" s="29"/>
      <c r="C65" s="21"/>
      <c r="D65" s="21"/>
      <c r="E65" s="21"/>
      <c r="F65" s="21"/>
      <c r="G65" s="30"/>
      <c r="H65" s="31"/>
      <c r="I65" s="31"/>
      <c r="J65" s="21"/>
      <c r="K65" s="21"/>
      <c r="L65" s="21"/>
      <c r="M65" s="21"/>
      <c r="N65" s="21"/>
      <c r="O65" s="21"/>
      <c r="P65" s="30"/>
      <c r="Q65" s="21"/>
      <c r="R65" s="21"/>
      <c r="S65" s="21"/>
      <c r="T65" s="32"/>
      <c r="U65" s="32"/>
      <c r="V65" s="21"/>
      <c r="W65" s="21"/>
      <c r="X65" s="21"/>
      <c r="Y65" s="21"/>
      <c r="Z65" s="12"/>
    </row>
    <row r="66" customFormat="false" ht="15.75" hidden="false" customHeight="false" outlineLevel="0" collapsed="false">
      <c r="A66" s="21"/>
      <c r="B66" s="29"/>
      <c r="C66" s="21"/>
      <c r="D66" s="21"/>
      <c r="E66" s="21"/>
      <c r="F66" s="21"/>
      <c r="G66" s="30"/>
      <c r="H66" s="31"/>
      <c r="I66" s="31"/>
      <c r="J66" s="21"/>
      <c r="K66" s="21"/>
      <c r="L66" s="21"/>
      <c r="M66" s="21"/>
      <c r="N66" s="21"/>
      <c r="O66" s="21"/>
      <c r="P66" s="30"/>
      <c r="Q66" s="21"/>
      <c r="R66" s="21"/>
      <c r="S66" s="21"/>
      <c r="T66" s="32"/>
      <c r="U66" s="32"/>
      <c r="V66" s="21"/>
      <c r="W66" s="21"/>
      <c r="X66" s="21"/>
      <c r="Y66" s="21"/>
      <c r="Z66" s="12"/>
    </row>
    <row r="67" customFormat="false" ht="15.75" hidden="false" customHeight="false" outlineLevel="0" collapsed="false">
      <c r="A67" s="21"/>
      <c r="B67" s="29"/>
      <c r="C67" s="21"/>
      <c r="D67" s="21"/>
      <c r="E67" s="21"/>
      <c r="F67" s="21"/>
      <c r="G67" s="30"/>
      <c r="H67" s="31"/>
      <c r="I67" s="31"/>
      <c r="J67" s="21"/>
      <c r="K67" s="21"/>
      <c r="L67" s="21"/>
      <c r="M67" s="21"/>
      <c r="N67" s="21"/>
      <c r="O67" s="21"/>
      <c r="P67" s="30"/>
      <c r="Q67" s="21"/>
      <c r="R67" s="21"/>
      <c r="S67" s="21"/>
      <c r="T67" s="32"/>
      <c r="U67" s="32"/>
      <c r="V67" s="21"/>
      <c r="W67" s="21"/>
      <c r="X67" s="21"/>
      <c r="Y67" s="21"/>
      <c r="Z67" s="12"/>
    </row>
    <row r="68" customFormat="false" ht="15.75" hidden="false" customHeight="false" outlineLevel="0" collapsed="false">
      <c r="B68" s="34"/>
      <c r="D68" s="12"/>
      <c r="E68" s="12"/>
      <c r="G68" s="18"/>
      <c r="H68" s="35"/>
      <c r="I68" s="35"/>
      <c r="J68" s="12"/>
      <c r="P68" s="18"/>
      <c r="Q68" s="12"/>
      <c r="R68" s="12"/>
      <c r="T68" s="36"/>
      <c r="U68" s="36"/>
      <c r="V68" s="12"/>
      <c r="W68" s="12"/>
      <c r="X68" s="12"/>
      <c r="Y68" s="12"/>
    </row>
    <row r="69" customFormat="false" ht="15.75" hidden="false" customHeight="false" outlineLevel="0" collapsed="false">
      <c r="B69" s="34"/>
      <c r="D69" s="12"/>
      <c r="E69" s="12"/>
      <c r="G69" s="18"/>
      <c r="H69" s="35"/>
      <c r="I69" s="35"/>
      <c r="J69" s="12"/>
      <c r="P69" s="18"/>
      <c r="Q69" s="12"/>
      <c r="R69" s="12"/>
      <c r="T69" s="36"/>
      <c r="U69" s="36"/>
      <c r="V69" s="12"/>
      <c r="W69" s="12"/>
      <c r="X69" s="12"/>
      <c r="Y69" s="12"/>
    </row>
    <row r="70" customFormat="false" ht="15.75" hidden="false" customHeight="false" outlineLevel="0" collapsed="false">
      <c r="B70" s="34"/>
      <c r="D70" s="12"/>
      <c r="E70" s="12"/>
      <c r="G70" s="18"/>
      <c r="H70" s="35"/>
      <c r="I70" s="35"/>
      <c r="J70" s="12"/>
      <c r="P70" s="18"/>
      <c r="Q70" s="12"/>
      <c r="R70" s="12"/>
      <c r="T70" s="36"/>
      <c r="U70" s="36"/>
      <c r="V70" s="12"/>
      <c r="W70" s="12"/>
      <c r="X70" s="12"/>
      <c r="Y70" s="12"/>
    </row>
    <row r="71" customFormat="false" ht="15.75" hidden="false" customHeight="false" outlineLevel="0" collapsed="false">
      <c r="B71" s="34"/>
      <c r="D71" s="12"/>
      <c r="E71" s="12"/>
      <c r="G71" s="18"/>
      <c r="H71" s="35"/>
      <c r="I71" s="35"/>
      <c r="J71" s="12"/>
      <c r="P71" s="18"/>
      <c r="Q71" s="12"/>
      <c r="R71" s="12"/>
      <c r="T71" s="36"/>
      <c r="U71" s="36"/>
      <c r="V71" s="12"/>
      <c r="W71" s="12"/>
      <c r="X71" s="12"/>
      <c r="Y71" s="12"/>
    </row>
    <row r="72" customFormat="false" ht="15.75" hidden="false" customHeight="false" outlineLevel="0" collapsed="false">
      <c r="B72" s="34"/>
      <c r="D72" s="12"/>
      <c r="E72" s="12"/>
      <c r="G72" s="18"/>
      <c r="H72" s="35"/>
      <c r="I72" s="35"/>
      <c r="J72" s="12"/>
      <c r="P72" s="18"/>
      <c r="Q72" s="12"/>
      <c r="R72" s="12"/>
      <c r="T72" s="36"/>
      <c r="U72" s="36"/>
      <c r="V72" s="12"/>
      <c r="W72" s="12"/>
      <c r="X72" s="12"/>
      <c r="Y72" s="12"/>
    </row>
    <row r="73" customFormat="false" ht="15.75" hidden="false" customHeight="false" outlineLevel="0" collapsed="false">
      <c r="B73" s="34"/>
      <c r="D73" s="12"/>
      <c r="E73" s="12"/>
      <c r="G73" s="18"/>
      <c r="H73" s="35"/>
      <c r="I73" s="35"/>
      <c r="J73" s="12"/>
      <c r="P73" s="18"/>
      <c r="Q73" s="12"/>
      <c r="R73" s="12"/>
      <c r="T73" s="36"/>
      <c r="U73" s="36"/>
      <c r="V73" s="12"/>
      <c r="W73" s="12"/>
      <c r="X73" s="12"/>
      <c r="Y73" s="12"/>
    </row>
    <row r="74" customFormat="false" ht="15.75" hidden="false" customHeight="false" outlineLevel="0" collapsed="false">
      <c r="B74" s="34"/>
      <c r="D74" s="12"/>
      <c r="E74" s="12"/>
      <c r="G74" s="18"/>
      <c r="H74" s="35"/>
      <c r="I74" s="35"/>
      <c r="J74" s="12"/>
      <c r="P74" s="18"/>
      <c r="Q74" s="12"/>
      <c r="R74" s="12"/>
      <c r="T74" s="36"/>
      <c r="U74" s="36"/>
      <c r="V74" s="12"/>
      <c r="W74" s="12"/>
      <c r="X74" s="12"/>
      <c r="Y74" s="12"/>
    </row>
    <row r="75" customFormat="false" ht="15.75" hidden="false" customHeight="false" outlineLevel="0" collapsed="false">
      <c r="B75" s="34"/>
      <c r="D75" s="12"/>
      <c r="E75" s="12"/>
      <c r="G75" s="18"/>
      <c r="H75" s="35"/>
      <c r="I75" s="35"/>
      <c r="J75" s="12"/>
      <c r="P75" s="18"/>
      <c r="Q75" s="12"/>
      <c r="R75" s="12"/>
      <c r="T75" s="36"/>
      <c r="U75" s="36"/>
      <c r="V75" s="12"/>
      <c r="W75" s="12"/>
      <c r="X75" s="12"/>
      <c r="Y75" s="12"/>
    </row>
    <row r="76" customFormat="false" ht="15.75" hidden="false" customHeight="false" outlineLevel="0" collapsed="false">
      <c r="B76" s="34"/>
      <c r="D76" s="12"/>
      <c r="E76" s="12"/>
      <c r="G76" s="18"/>
      <c r="H76" s="35"/>
      <c r="I76" s="35"/>
      <c r="J76" s="12"/>
      <c r="P76" s="18"/>
      <c r="Q76" s="12"/>
      <c r="R76" s="12"/>
      <c r="T76" s="36"/>
      <c r="U76" s="36"/>
      <c r="V76" s="12"/>
      <c r="W76" s="12"/>
      <c r="X76" s="12"/>
      <c r="Y76" s="12"/>
    </row>
    <row r="77" customFormat="false" ht="15.75" hidden="false" customHeight="false" outlineLevel="0" collapsed="false">
      <c r="B77" s="34"/>
      <c r="D77" s="12"/>
      <c r="E77" s="12"/>
      <c r="G77" s="18"/>
      <c r="H77" s="35"/>
      <c r="I77" s="35"/>
      <c r="J77" s="12"/>
      <c r="P77" s="18"/>
      <c r="Q77" s="12"/>
      <c r="R77" s="12"/>
      <c r="T77" s="36"/>
      <c r="U77" s="36"/>
      <c r="V77" s="12"/>
      <c r="W77" s="12"/>
      <c r="X77" s="12"/>
      <c r="Y77" s="12"/>
    </row>
    <row r="78" customFormat="false" ht="15.75" hidden="false" customHeight="false" outlineLevel="0" collapsed="false">
      <c r="B78" s="34"/>
      <c r="D78" s="12"/>
      <c r="E78" s="12"/>
      <c r="G78" s="18"/>
      <c r="H78" s="35"/>
      <c r="I78" s="35"/>
      <c r="J78" s="12"/>
      <c r="P78" s="18"/>
      <c r="Q78" s="12"/>
      <c r="R78" s="12"/>
      <c r="T78" s="36"/>
      <c r="U78" s="36"/>
      <c r="V78" s="12"/>
      <c r="W78" s="12"/>
      <c r="X78" s="12"/>
      <c r="Y78" s="12"/>
    </row>
    <row r="79" customFormat="false" ht="15.75" hidden="false" customHeight="false" outlineLevel="0" collapsed="false">
      <c r="B79" s="34"/>
      <c r="D79" s="12"/>
      <c r="E79" s="12"/>
      <c r="G79" s="18"/>
      <c r="H79" s="35"/>
      <c r="I79" s="35"/>
      <c r="J79" s="12"/>
      <c r="P79" s="18"/>
      <c r="Q79" s="12"/>
      <c r="R79" s="12"/>
      <c r="T79" s="36"/>
      <c r="U79" s="36"/>
      <c r="V79" s="12"/>
      <c r="W79" s="12"/>
      <c r="X79" s="12"/>
      <c r="Y79" s="12"/>
    </row>
    <row r="80" customFormat="false" ht="15.75" hidden="false" customHeight="false" outlineLevel="0" collapsed="false">
      <c r="B80" s="34"/>
      <c r="D80" s="12"/>
      <c r="E80" s="12"/>
      <c r="G80" s="18"/>
      <c r="H80" s="35"/>
      <c r="I80" s="35"/>
      <c r="J80" s="12"/>
      <c r="P80" s="18"/>
      <c r="Q80" s="12"/>
      <c r="R80" s="12"/>
      <c r="T80" s="36"/>
      <c r="U80" s="36"/>
      <c r="V80" s="12"/>
      <c r="W80" s="12"/>
      <c r="X80" s="12"/>
      <c r="Y80" s="12"/>
    </row>
    <row r="81" customFormat="false" ht="15.75" hidden="false" customHeight="false" outlineLevel="0" collapsed="false">
      <c r="B81" s="34"/>
      <c r="D81" s="12"/>
      <c r="E81" s="12"/>
      <c r="G81" s="18"/>
      <c r="H81" s="35"/>
      <c r="I81" s="35"/>
      <c r="J81" s="12"/>
      <c r="P81" s="18"/>
      <c r="Q81" s="12"/>
      <c r="R81" s="12"/>
      <c r="T81" s="36"/>
      <c r="U81" s="36"/>
      <c r="V81" s="12"/>
      <c r="W81" s="12"/>
      <c r="X81" s="12"/>
      <c r="Y81" s="12"/>
    </row>
    <row r="82" customFormat="false" ht="15.75" hidden="false" customHeight="false" outlineLevel="0" collapsed="false">
      <c r="B82" s="34"/>
      <c r="D82" s="12"/>
      <c r="E82" s="12"/>
      <c r="G82" s="18"/>
      <c r="H82" s="35"/>
      <c r="I82" s="35"/>
      <c r="J82" s="12"/>
      <c r="P82" s="18"/>
      <c r="Q82" s="12"/>
      <c r="R82" s="12"/>
      <c r="T82" s="36"/>
      <c r="U82" s="36"/>
      <c r="V82" s="12"/>
      <c r="W82" s="12"/>
      <c r="X82" s="12"/>
      <c r="Y82" s="12"/>
    </row>
    <row r="83" customFormat="false" ht="15.75" hidden="false" customHeight="false" outlineLevel="0" collapsed="false">
      <c r="B83" s="34"/>
      <c r="D83" s="12"/>
      <c r="E83" s="12"/>
      <c r="G83" s="18"/>
      <c r="H83" s="35"/>
      <c r="I83" s="35"/>
      <c r="J83" s="12"/>
      <c r="P83" s="18"/>
      <c r="Q83" s="12"/>
      <c r="R83" s="12"/>
      <c r="T83" s="36"/>
      <c r="U83" s="36"/>
      <c r="V83" s="12"/>
      <c r="W83" s="12"/>
      <c r="X83" s="12"/>
      <c r="Y83" s="12"/>
    </row>
    <row r="84" customFormat="false" ht="15.75" hidden="false" customHeight="false" outlineLevel="0" collapsed="false">
      <c r="B84" s="34"/>
      <c r="D84" s="12"/>
      <c r="E84" s="12"/>
      <c r="G84" s="18"/>
      <c r="H84" s="35"/>
      <c r="I84" s="35"/>
      <c r="J84" s="12"/>
      <c r="P84" s="18"/>
      <c r="Q84" s="12"/>
      <c r="R84" s="12"/>
      <c r="T84" s="36"/>
      <c r="U84" s="36"/>
      <c r="V84" s="12"/>
      <c r="W84" s="12"/>
      <c r="X84" s="12"/>
      <c r="Y84" s="12"/>
    </row>
    <row r="85" customFormat="false" ht="15.75" hidden="false" customHeight="false" outlineLevel="0" collapsed="false">
      <c r="A85" s="12"/>
      <c r="B85" s="34"/>
      <c r="C85" s="12"/>
      <c r="D85" s="12"/>
      <c r="E85" s="12"/>
      <c r="F85" s="12"/>
      <c r="G85" s="18"/>
      <c r="H85" s="35"/>
      <c r="I85" s="35"/>
      <c r="J85" s="12"/>
      <c r="O85" s="12"/>
      <c r="P85" s="18"/>
      <c r="Q85" s="12"/>
      <c r="R85" s="12"/>
      <c r="S85" s="12"/>
      <c r="T85" s="36"/>
      <c r="U85" s="36"/>
      <c r="V85" s="12"/>
      <c r="W85" s="12"/>
      <c r="X85" s="12"/>
      <c r="Y85" s="12"/>
    </row>
    <row r="86" customFormat="false" ht="15.75" hidden="false" customHeight="false" outlineLevel="0" collapsed="false">
      <c r="A86" s="12"/>
      <c r="B86" s="34"/>
      <c r="C86" s="12"/>
      <c r="D86" s="12"/>
      <c r="E86" s="12"/>
      <c r="F86" s="12"/>
      <c r="G86" s="18"/>
      <c r="H86" s="35"/>
      <c r="I86" s="35"/>
      <c r="J86" s="12"/>
      <c r="O86" s="12"/>
      <c r="P86" s="18"/>
      <c r="Q86" s="12"/>
      <c r="R86" s="12"/>
      <c r="S86" s="12"/>
      <c r="T86" s="36"/>
      <c r="U86" s="36"/>
      <c r="V86" s="12"/>
      <c r="W86" s="12"/>
      <c r="X86" s="12"/>
      <c r="Y86" s="12"/>
    </row>
    <row r="87" customFormat="false" ht="15.75" hidden="false" customHeight="false" outlineLevel="0" collapsed="false">
      <c r="A87" s="12"/>
      <c r="B87" s="34"/>
      <c r="C87" s="12"/>
      <c r="D87" s="12"/>
      <c r="E87" s="12"/>
      <c r="F87" s="12"/>
      <c r="G87" s="18"/>
      <c r="H87" s="35"/>
      <c r="I87" s="35"/>
      <c r="J87" s="12"/>
      <c r="O87" s="12"/>
      <c r="P87" s="18"/>
      <c r="Q87" s="12"/>
      <c r="R87" s="12"/>
      <c r="S87" s="12"/>
      <c r="T87" s="36"/>
      <c r="U87" s="36"/>
      <c r="V87" s="12"/>
      <c r="W87" s="12"/>
      <c r="X87" s="12"/>
      <c r="Y87" s="12"/>
    </row>
    <row r="88" customFormat="false" ht="15.75" hidden="false" customHeight="false" outlineLevel="0" collapsed="false">
      <c r="A88" s="12"/>
      <c r="B88" s="34"/>
      <c r="C88" s="12"/>
      <c r="D88" s="12"/>
      <c r="E88" s="12"/>
      <c r="F88" s="12"/>
      <c r="G88" s="18"/>
      <c r="H88" s="35"/>
      <c r="I88" s="35"/>
      <c r="J88" s="12"/>
      <c r="O88" s="12"/>
      <c r="P88" s="18"/>
      <c r="Q88" s="12"/>
      <c r="R88" s="12"/>
      <c r="S88" s="12"/>
      <c r="T88" s="36"/>
      <c r="U88" s="36"/>
      <c r="V88" s="12"/>
      <c r="W88" s="12"/>
      <c r="X88" s="12"/>
      <c r="Y88" s="12"/>
    </row>
    <row r="89" customFormat="false" ht="15.75" hidden="false" customHeight="false" outlineLevel="0" collapsed="false">
      <c r="A89" s="12"/>
      <c r="B89" s="34"/>
      <c r="C89" s="12"/>
      <c r="D89" s="12"/>
      <c r="E89" s="12"/>
      <c r="F89" s="12"/>
      <c r="G89" s="18"/>
      <c r="H89" s="35"/>
      <c r="I89" s="35"/>
      <c r="J89" s="12"/>
      <c r="O89" s="12"/>
      <c r="P89" s="18"/>
      <c r="Q89" s="12"/>
      <c r="R89" s="12"/>
      <c r="S89" s="12"/>
      <c r="T89" s="36"/>
      <c r="U89" s="36"/>
      <c r="V89" s="12"/>
      <c r="W89" s="12"/>
      <c r="X89" s="12"/>
      <c r="Y89" s="12"/>
    </row>
    <row r="90" customFormat="false" ht="15.75" hidden="false" customHeight="false" outlineLevel="0" collapsed="false">
      <c r="A90" s="12"/>
      <c r="B90" s="34"/>
      <c r="C90" s="12"/>
      <c r="D90" s="12"/>
      <c r="E90" s="12"/>
      <c r="F90" s="12"/>
      <c r="G90" s="18"/>
      <c r="H90" s="35"/>
      <c r="I90" s="35"/>
      <c r="J90" s="12"/>
      <c r="O90" s="12"/>
      <c r="P90" s="18"/>
      <c r="Q90" s="12"/>
      <c r="R90" s="12"/>
      <c r="S90" s="12"/>
      <c r="T90" s="36"/>
      <c r="U90" s="36"/>
      <c r="V90" s="12"/>
      <c r="W90" s="12"/>
      <c r="X90" s="12"/>
      <c r="Y90" s="12"/>
    </row>
    <row r="91" customFormat="false" ht="15.75" hidden="false" customHeight="false" outlineLevel="0" collapsed="false">
      <c r="A91" s="12"/>
      <c r="B91" s="34"/>
      <c r="C91" s="12"/>
      <c r="D91" s="12"/>
      <c r="E91" s="12"/>
      <c r="F91" s="12"/>
      <c r="G91" s="18"/>
      <c r="H91" s="35"/>
      <c r="I91" s="35"/>
      <c r="J91" s="12"/>
      <c r="O91" s="12"/>
      <c r="P91" s="18"/>
      <c r="Q91" s="12"/>
      <c r="R91" s="12"/>
      <c r="S91" s="12"/>
      <c r="T91" s="36"/>
      <c r="U91" s="36"/>
      <c r="V91" s="12"/>
      <c r="W91" s="12"/>
      <c r="X91" s="12"/>
      <c r="Y91" s="12"/>
    </row>
    <row r="92" customFormat="false" ht="15.75" hidden="false" customHeight="false" outlineLevel="0" collapsed="false">
      <c r="A92" s="12"/>
      <c r="B92" s="34"/>
      <c r="C92" s="12"/>
      <c r="D92" s="12"/>
      <c r="E92" s="12"/>
      <c r="F92" s="12"/>
      <c r="G92" s="18"/>
      <c r="H92" s="35"/>
      <c r="I92" s="35"/>
      <c r="J92" s="12"/>
      <c r="O92" s="12"/>
      <c r="P92" s="18"/>
      <c r="Q92" s="12"/>
      <c r="R92" s="12"/>
      <c r="S92" s="12"/>
      <c r="T92" s="36"/>
      <c r="U92" s="36"/>
      <c r="V92" s="12"/>
      <c r="W92" s="12"/>
      <c r="X92" s="12"/>
      <c r="Y92" s="12"/>
    </row>
    <row r="93" customFormat="false" ht="15.75" hidden="false" customHeight="false" outlineLevel="0" collapsed="false">
      <c r="A93" s="12"/>
      <c r="B93" s="34"/>
      <c r="C93" s="12"/>
      <c r="D93" s="12"/>
      <c r="E93" s="12"/>
      <c r="F93" s="12"/>
      <c r="G93" s="18"/>
      <c r="H93" s="35"/>
      <c r="I93" s="35"/>
      <c r="J93" s="12"/>
      <c r="O93" s="12"/>
      <c r="P93" s="18"/>
      <c r="Q93" s="12"/>
      <c r="R93" s="12"/>
      <c r="S93" s="12"/>
      <c r="T93" s="36"/>
      <c r="U93" s="36"/>
      <c r="V93" s="12"/>
      <c r="W93" s="12"/>
      <c r="X93" s="12"/>
      <c r="Y93" s="12"/>
    </row>
    <row r="94" customFormat="false" ht="15.75" hidden="false" customHeight="false" outlineLevel="0" collapsed="false">
      <c r="A94" s="12"/>
      <c r="B94" s="34"/>
      <c r="C94" s="12"/>
      <c r="D94" s="12"/>
      <c r="E94" s="12"/>
      <c r="F94" s="12"/>
      <c r="G94" s="18"/>
      <c r="H94" s="35"/>
      <c r="I94" s="35"/>
      <c r="J94" s="12"/>
      <c r="O94" s="12"/>
      <c r="P94" s="18"/>
      <c r="Q94" s="12"/>
      <c r="R94" s="12"/>
      <c r="S94" s="12"/>
      <c r="T94" s="36"/>
      <c r="U94" s="36"/>
      <c r="V94" s="12"/>
      <c r="W94" s="12"/>
      <c r="X94" s="12"/>
      <c r="Y94" s="12"/>
    </row>
    <row r="95" customFormat="false" ht="15.75" hidden="false" customHeight="false" outlineLevel="0" collapsed="false">
      <c r="A95" s="12"/>
      <c r="B95" s="34"/>
      <c r="C95" s="12"/>
      <c r="D95" s="12"/>
      <c r="E95" s="12"/>
      <c r="F95" s="12"/>
      <c r="G95" s="18"/>
      <c r="H95" s="35"/>
      <c r="I95" s="35"/>
      <c r="J95" s="12"/>
      <c r="O95" s="12"/>
      <c r="P95" s="18"/>
      <c r="Q95" s="12"/>
      <c r="R95" s="12"/>
      <c r="S95" s="12"/>
      <c r="T95" s="36"/>
      <c r="U95" s="36"/>
      <c r="V95" s="12"/>
      <c r="W95" s="12"/>
      <c r="X95" s="12"/>
      <c r="Y95" s="12"/>
    </row>
    <row r="96" customFormat="false" ht="15.75" hidden="false" customHeight="false" outlineLevel="0" collapsed="false">
      <c r="A96" s="12"/>
      <c r="B96" s="34"/>
      <c r="C96" s="12"/>
      <c r="D96" s="12"/>
      <c r="E96" s="12"/>
      <c r="F96" s="12"/>
      <c r="G96" s="18"/>
      <c r="H96" s="35"/>
      <c r="I96" s="35"/>
      <c r="J96" s="12"/>
      <c r="O96" s="12"/>
      <c r="P96" s="18"/>
      <c r="Q96" s="12"/>
      <c r="R96" s="12"/>
      <c r="S96" s="12"/>
      <c r="T96" s="36"/>
      <c r="U96" s="36"/>
      <c r="V96" s="12"/>
      <c r="W96" s="12"/>
      <c r="X96" s="12"/>
      <c r="Y96" s="12"/>
    </row>
    <row r="97" customFormat="false" ht="15.75" hidden="false" customHeight="false" outlineLevel="0" collapsed="false">
      <c r="A97" s="12"/>
      <c r="B97" s="34"/>
      <c r="C97" s="12"/>
      <c r="D97" s="12"/>
      <c r="E97" s="12"/>
      <c r="F97" s="12"/>
      <c r="G97" s="18"/>
      <c r="H97" s="35"/>
      <c r="I97" s="35"/>
      <c r="J97" s="12"/>
      <c r="O97" s="12"/>
      <c r="P97" s="18"/>
      <c r="Q97" s="12"/>
      <c r="R97" s="12"/>
      <c r="S97" s="12"/>
      <c r="T97" s="36"/>
      <c r="U97" s="36"/>
      <c r="V97" s="12"/>
      <c r="W97" s="12"/>
      <c r="X97" s="12"/>
      <c r="Y97" s="12"/>
    </row>
    <row r="98" customFormat="false" ht="15.75" hidden="false" customHeight="false" outlineLevel="0" collapsed="false">
      <c r="A98" s="12"/>
      <c r="B98" s="34"/>
      <c r="C98" s="12"/>
      <c r="D98" s="12"/>
      <c r="E98" s="12"/>
      <c r="F98" s="12"/>
      <c r="G98" s="18"/>
      <c r="H98" s="35"/>
      <c r="I98" s="35"/>
      <c r="J98" s="12"/>
      <c r="O98" s="12"/>
      <c r="P98" s="18"/>
      <c r="Q98" s="12"/>
      <c r="R98" s="12"/>
      <c r="S98" s="12"/>
      <c r="T98" s="36"/>
      <c r="U98" s="36"/>
      <c r="V98" s="12"/>
      <c r="W98" s="12"/>
      <c r="X98" s="12"/>
      <c r="Y98" s="12"/>
    </row>
    <row r="99" customFormat="false" ht="15.75" hidden="false" customHeight="false" outlineLevel="0" collapsed="false">
      <c r="A99" s="12"/>
      <c r="B99" s="34"/>
      <c r="C99" s="12"/>
      <c r="D99" s="12"/>
      <c r="E99" s="12"/>
      <c r="F99" s="12"/>
      <c r="G99" s="18"/>
      <c r="H99" s="35"/>
      <c r="I99" s="35"/>
      <c r="J99" s="12"/>
      <c r="O99" s="12"/>
      <c r="P99" s="18"/>
      <c r="Q99" s="12"/>
      <c r="R99" s="12"/>
      <c r="S99" s="12"/>
      <c r="T99" s="36"/>
      <c r="U99" s="36"/>
      <c r="V99" s="12"/>
      <c r="W99" s="12"/>
      <c r="X99" s="12"/>
      <c r="Y99" s="12"/>
    </row>
    <row r="100" customFormat="false" ht="15.75" hidden="false" customHeight="false" outlineLevel="0" collapsed="false">
      <c r="A100" s="12"/>
      <c r="B100" s="34"/>
      <c r="C100" s="12"/>
      <c r="D100" s="12"/>
      <c r="E100" s="12"/>
      <c r="F100" s="12"/>
      <c r="G100" s="18"/>
      <c r="H100" s="35"/>
      <c r="I100" s="35"/>
      <c r="J100" s="12"/>
      <c r="O100" s="12"/>
      <c r="P100" s="18"/>
      <c r="Q100" s="12"/>
      <c r="R100" s="12"/>
      <c r="S100" s="12"/>
      <c r="T100" s="36"/>
      <c r="U100" s="36"/>
      <c r="V100" s="12"/>
      <c r="W100" s="12"/>
      <c r="X100" s="12"/>
      <c r="Y100" s="12"/>
    </row>
    <row r="101" customFormat="false" ht="15.75" hidden="false" customHeight="false" outlineLevel="0" collapsed="false">
      <c r="A101" s="12"/>
      <c r="B101" s="34"/>
      <c r="C101" s="12"/>
      <c r="D101" s="12"/>
      <c r="E101" s="12"/>
      <c r="F101" s="12"/>
      <c r="G101" s="18"/>
      <c r="H101" s="35"/>
      <c r="I101" s="35"/>
      <c r="J101" s="12"/>
      <c r="O101" s="12"/>
      <c r="P101" s="18"/>
      <c r="Q101" s="12"/>
      <c r="R101" s="12"/>
      <c r="S101" s="12"/>
      <c r="T101" s="36"/>
      <c r="U101" s="36"/>
      <c r="V101" s="12"/>
      <c r="W101" s="12"/>
      <c r="X101" s="12"/>
      <c r="Y101" s="12"/>
    </row>
    <row r="102" customFormat="false" ht="15.75" hidden="false" customHeight="false" outlineLevel="0" collapsed="false">
      <c r="A102" s="12"/>
      <c r="B102" s="34"/>
      <c r="C102" s="12"/>
      <c r="D102" s="12"/>
      <c r="E102" s="12"/>
      <c r="F102" s="12"/>
      <c r="G102" s="18"/>
      <c r="H102" s="35"/>
      <c r="I102" s="35"/>
      <c r="J102" s="12"/>
      <c r="O102" s="12"/>
      <c r="P102" s="18"/>
      <c r="Q102" s="12"/>
      <c r="R102" s="12"/>
      <c r="S102" s="12"/>
      <c r="T102" s="36"/>
      <c r="U102" s="36"/>
      <c r="V102" s="12"/>
      <c r="W102" s="12"/>
      <c r="X102" s="12"/>
      <c r="Y102" s="12"/>
    </row>
    <row r="103" customFormat="false" ht="15.75" hidden="false" customHeight="false" outlineLevel="0" collapsed="false">
      <c r="A103" s="12"/>
      <c r="B103" s="34"/>
      <c r="C103" s="12"/>
      <c r="D103" s="12"/>
      <c r="E103" s="12"/>
      <c r="F103" s="12"/>
      <c r="G103" s="18"/>
      <c r="H103" s="35"/>
      <c r="I103" s="35"/>
      <c r="J103" s="12"/>
      <c r="O103" s="12"/>
      <c r="P103" s="18"/>
      <c r="Q103" s="12"/>
      <c r="R103" s="12"/>
      <c r="S103" s="12"/>
      <c r="T103" s="36"/>
      <c r="U103" s="36"/>
      <c r="V103" s="12"/>
      <c r="W103" s="12"/>
      <c r="X103" s="12"/>
      <c r="Y103" s="12"/>
    </row>
    <row r="104" customFormat="false" ht="15.75" hidden="false" customHeight="false" outlineLevel="0" collapsed="false">
      <c r="A104" s="12"/>
      <c r="B104" s="34"/>
      <c r="C104" s="12"/>
      <c r="D104" s="12"/>
      <c r="E104" s="12"/>
      <c r="F104" s="12"/>
      <c r="G104" s="18"/>
      <c r="H104" s="35"/>
      <c r="I104" s="35"/>
      <c r="J104" s="12"/>
      <c r="O104" s="12"/>
      <c r="P104" s="18"/>
      <c r="Q104" s="12"/>
      <c r="R104" s="12"/>
      <c r="S104" s="12"/>
      <c r="T104" s="36"/>
      <c r="U104" s="36"/>
      <c r="V104" s="12"/>
      <c r="W104" s="12"/>
      <c r="X104" s="12"/>
      <c r="Y104" s="12"/>
    </row>
    <row r="105" customFormat="false" ht="15.75" hidden="false" customHeight="false" outlineLevel="0" collapsed="false">
      <c r="A105" s="12"/>
      <c r="B105" s="34"/>
      <c r="C105" s="12"/>
      <c r="D105" s="12"/>
      <c r="E105" s="12"/>
      <c r="F105" s="12"/>
      <c r="G105" s="18"/>
      <c r="H105" s="35"/>
      <c r="I105" s="35"/>
      <c r="J105" s="12"/>
      <c r="O105" s="12"/>
      <c r="P105" s="18"/>
      <c r="Q105" s="12"/>
      <c r="R105" s="12"/>
      <c r="S105" s="12"/>
      <c r="T105" s="36"/>
      <c r="U105" s="36"/>
      <c r="V105" s="12"/>
      <c r="W105" s="12"/>
      <c r="X105" s="12"/>
      <c r="Y105" s="12"/>
    </row>
    <row r="106" customFormat="false" ht="15.75" hidden="false" customHeight="false" outlineLevel="0" collapsed="false">
      <c r="A106" s="12"/>
      <c r="B106" s="34"/>
      <c r="C106" s="12"/>
      <c r="D106" s="12"/>
      <c r="E106" s="12"/>
      <c r="F106" s="12"/>
      <c r="G106" s="18"/>
      <c r="H106" s="35"/>
      <c r="I106" s="35"/>
      <c r="J106" s="12"/>
      <c r="O106" s="12"/>
      <c r="P106" s="18"/>
      <c r="Q106" s="12"/>
      <c r="R106" s="12"/>
      <c r="S106" s="12"/>
      <c r="T106" s="36"/>
      <c r="U106" s="36"/>
      <c r="V106" s="12"/>
      <c r="W106" s="12"/>
      <c r="X106" s="12"/>
      <c r="Y106" s="12"/>
    </row>
    <row r="107" customFormat="false" ht="15.75" hidden="false" customHeight="false" outlineLevel="0" collapsed="false">
      <c r="A107" s="12"/>
      <c r="B107" s="34"/>
      <c r="C107" s="12"/>
      <c r="D107" s="12"/>
      <c r="E107" s="12"/>
      <c r="F107" s="12"/>
      <c r="G107" s="18"/>
      <c r="H107" s="35"/>
      <c r="I107" s="35"/>
      <c r="J107" s="12"/>
      <c r="O107" s="12"/>
      <c r="P107" s="18"/>
      <c r="Q107" s="12"/>
      <c r="R107" s="12"/>
      <c r="S107" s="12"/>
      <c r="T107" s="36"/>
      <c r="U107" s="36"/>
      <c r="V107" s="12"/>
      <c r="W107" s="12"/>
      <c r="X107" s="12"/>
      <c r="Y107" s="12"/>
    </row>
    <row r="108" customFormat="false" ht="15.75" hidden="false" customHeight="false" outlineLevel="0" collapsed="false">
      <c r="A108" s="12"/>
      <c r="B108" s="34"/>
      <c r="C108" s="12"/>
      <c r="D108" s="12"/>
      <c r="E108" s="12"/>
      <c r="F108" s="12"/>
      <c r="G108" s="18"/>
      <c r="H108" s="35"/>
      <c r="I108" s="35"/>
      <c r="J108" s="12"/>
      <c r="O108" s="12"/>
      <c r="P108" s="18"/>
      <c r="Q108" s="12"/>
      <c r="R108" s="12"/>
      <c r="S108" s="12"/>
      <c r="T108" s="36"/>
      <c r="U108" s="36"/>
      <c r="V108" s="12"/>
      <c r="W108" s="12"/>
      <c r="X108" s="12"/>
      <c r="Y108" s="12"/>
    </row>
    <row r="109" customFormat="false" ht="15.75" hidden="false" customHeight="false" outlineLevel="0" collapsed="false">
      <c r="A109" s="12"/>
      <c r="B109" s="34"/>
      <c r="C109" s="12"/>
      <c r="D109" s="12"/>
      <c r="E109" s="12"/>
      <c r="F109" s="12"/>
      <c r="G109" s="18"/>
      <c r="H109" s="35"/>
      <c r="I109" s="35"/>
      <c r="J109" s="12"/>
      <c r="O109" s="12"/>
      <c r="P109" s="18"/>
      <c r="Q109" s="12"/>
      <c r="R109" s="12"/>
      <c r="S109" s="12"/>
      <c r="T109" s="36"/>
      <c r="U109" s="36"/>
      <c r="V109" s="12"/>
      <c r="W109" s="12"/>
      <c r="X109" s="12"/>
      <c r="Y109" s="12"/>
    </row>
    <row r="110" customFormat="false" ht="15.75" hidden="false" customHeight="false" outlineLevel="0" collapsed="false">
      <c r="A110" s="12"/>
      <c r="B110" s="34"/>
      <c r="C110" s="12"/>
      <c r="D110" s="12"/>
      <c r="E110" s="12"/>
      <c r="F110" s="12"/>
      <c r="G110" s="18"/>
      <c r="H110" s="35"/>
      <c r="I110" s="35"/>
      <c r="J110" s="12"/>
      <c r="O110" s="12"/>
      <c r="P110" s="18"/>
      <c r="Q110" s="12"/>
      <c r="R110" s="12"/>
      <c r="S110" s="12"/>
      <c r="T110" s="36"/>
      <c r="U110" s="36"/>
      <c r="V110" s="12"/>
      <c r="W110" s="12"/>
      <c r="X110" s="12"/>
      <c r="Y110" s="12"/>
    </row>
    <row r="111" customFormat="false" ht="15.75" hidden="false" customHeight="false" outlineLevel="0" collapsed="false">
      <c r="A111" s="12"/>
      <c r="B111" s="34"/>
      <c r="C111" s="12"/>
      <c r="D111" s="12"/>
      <c r="E111" s="12"/>
      <c r="F111" s="12"/>
      <c r="G111" s="18"/>
      <c r="H111" s="35"/>
      <c r="I111" s="35"/>
      <c r="J111" s="12"/>
      <c r="O111" s="12"/>
      <c r="P111" s="18"/>
      <c r="Q111" s="12"/>
      <c r="R111" s="12"/>
      <c r="S111" s="12"/>
      <c r="T111" s="36"/>
      <c r="U111" s="36"/>
      <c r="V111" s="12"/>
      <c r="W111" s="12"/>
      <c r="X111" s="12"/>
      <c r="Y111" s="12"/>
    </row>
    <row r="112" customFormat="false" ht="15.75" hidden="false" customHeight="false" outlineLevel="0" collapsed="false">
      <c r="A112" s="12"/>
      <c r="B112" s="34"/>
      <c r="C112" s="12"/>
      <c r="D112" s="12"/>
      <c r="E112" s="12"/>
      <c r="F112" s="12"/>
      <c r="G112" s="18"/>
      <c r="H112" s="35"/>
      <c r="I112" s="35"/>
      <c r="J112" s="12"/>
      <c r="O112" s="12"/>
      <c r="P112" s="18"/>
      <c r="Q112" s="12"/>
      <c r="R112" s="12"/>
      <c r="S112" s="12"/>
      <c r="T112" s="36"/>
      <c r="U112" s="36"/>
      <c r="V112" s="12"/>
      <c r="W112" s="12"/>
      <c r="X112" s="12"/>
      <c r="Y112" s="12"/>
    </row>
    <row r="113" customFormat="false" ht="15.75" hidden="false" customHeight="false" outlineLevel="0" collapsed="false">
      <c r="A113" s="12"/>
      <c r="B113" s="34"/>
      <c r="C113" s="12"/>
      <c r="D113" s="12"/>
      <c r="E113" s="12"/>
      <c r="F113" s="12"/>
      <c r="G113" s="18"/>
      <c r="H113" s="35"/>
      <c r="I113" s="35"/>
      <c r="J113" s="12"/>
      <c r="O113" s="12"/>
      <c r="P113" s="18"/>
      <c r="Q113" s="12"/>
      <c r="R113" s="12"/>
      <c r="S113" s="12"/>
      <c r="T113" s="36"/>
      <c r="U113" s="36"/>
      <c r="V113" s="12"/>
      <c r="W113" s="12"/>
      <c r="X113" s="12"/>
      <c r="Y113" s="12"/>
    </row>
    <row r="114" customFormat="false" ht="15.75" hidden="false" customHeight="false" outlineLevel="0" collapsed="false">
      <c r="A114" s="12"/>
      <c r="B114" s="34"/>
      <c r="C114" s="12"/>
      <c r="D114" s="12"/>
      <c r="E114" s="12"/>
      <c r="F114" s="12"/>
      <c r="G114" s="18"/>
      <c r="H114" s="35"/>
      <c r="I114" s="35"/>
      <c r="J114" s="12"/>
      <c r="O114" s="12"/>
      <c r="P114" s="18"/>
      <c r="Q114" s="12"/>
      <c r="R114" s="12"/>
      <c r="S114" s="12"/>
      <c r="T114" s="36"/>
      <c r="U114" s="36"/>
      <c r="V114" s="12"/>
      <c r="W114" s="12"/>
      <c r="X114" s="12"/>
      <c r="Y114" s="12"/>
    </row>
    <row r="115" customFormat="false" ht="15.75" hidden="false" customHeight="false" outlineLevel="0" collapsed="false">
      <c r="A115" s="12"/>
      <c r="B115" s="34"/>
      <c r="C115" s="12"/>
      <c r="D115" s="12"/>
      <c r="E115" s="12"/>
      <c r="F115" s="12"/>
      <c r="G115" s="18"/>
      <c r="H115" s="35"/>
      <c r="I115" s="35"/>
      <c r="J115" s="12"/>
      <c r="O115" s="12"/>
      <c r="P115" s="18"/>
      <c r="Q115" s="12"/>
      <c r="R115" s="12"/>
      <c r="S115" s="12"/>
      <c r="T115" s="36"/>
      <c r="U115" s="36"/>
      <c r="V115" s="12"/>
      <c r="W115" s="12"/>
      <c r="X115" s="12"/>
      <c r="Y115" s="12"/>
    </row>
    <row r="116" customFormat="false" ht="15.75" hidden="false" customHeight="false" outlineLevel="0" collapsed="false">
      <c r="A116" s="12"/>
      <c r="B116" s="34"/>
      <c r="C116" s="12"/>
      <c r="D116" s="12"/>
      <c r="E116" s="12"/>
      <c r="F116" s="12"/>
      <c r="G116" s="18"/>
      <c r="H116" s="35"/>
      <c r="I116" s="35"/>
      <c r="J116" s="12"/>
      <c r="O116" s="12"/>
      <c r="P116" s="18"/>
      <c r="Q116" s="12"/>
      <c r="R116" s="12"/>
      <c r="S116" s="12"/>
      <c r="T116" s="36"/>
      <c r="U116" s="36"/>
      <c r="V116" s="12"/>
      <c r="W116" s="12"/>
      <c r="X116" s="12"/>
      <c r="Y116" s="12"/>
    </row>
    <row r="117" customFormat="false" ht="15.75" hidden="false" customHeight="false" outlineLevel="0" collapsed="false">
      <c r="A117" s="12"/>
      <c r="B117" s="34"/>
      <c r="C117" s="12"/>
      <c r="D117" s="12"/>
      <c r="E117" s="12"/>
      <c r="F117" s="12"/>
      <c r="G117" s="18"/>
      <c r="H117" s="35"/>
      <c r="I117" s="35"/>
      <c r="J117" s="12"/>
      <c r="O117" s="12"/>
      <c r="P117" s="18"/>
      <c r="Q117" s="12"/>
      <c r="R117" s="12"/>
      <c r="S117" s="12"/>
      <c r="T117" s="36"/>
      <c r="U117" s="36"/>
      <c r="V117" s="12"/>
      <c r="W117" s="12"/>
      <c r="X117" s="12"/>
      <c r="Y117" s="12"/>
    </row>
    <row r="118" customFormat="false" ht="15.75" hidden="false" customHeight="false" outlineLevel="0" collapsed="false">
      <c r="A118" s="12"/>
      <c r="B118" s="34"/>
      <c r="C118" s="12"/>
      <c r="D118" s="12"/>
      <c r="E118" s="12"/>
      <c r="F118" s="12"/>
      <c r="G118" s="18"/>
      <c r="H118" s="35"/>
      <c r="I118" s="35"/>
      <c r="J118" s="12"/>
      <c r="O118" s="12"/>
      <c r="P118" s="18"/>
      <c r="Q118" s="12"/>
      <c r="R118" s="12"/>
      <c r="S118" s="12"/>
      <c r="T118" s="36"/>
      <c r="U118" s="36"/>
      <c r="V118" s="12"/>
      <c r="W118" s="12"/>
      <c r="X118" s="12"/>
      <c r="Y118" s="12"/>
    </row>
    <row r="119" customFormat="false" ht="15.75" hidden="false" customHeight="false" outlineLevel="0" collapsed="false">
      <c r="A119" s="12"/>
      <c r="B119" s="34"/>
      <c r="C119" s="12"/>
      <c r="D119" s="12"/>
      <c r="E119" s="12"/>
      <c r="F119" s="12"/>
      <c r="G119" s="18"/>
      <c r="H119" s="35"/>
      <c r="I119" s="35"/>
      <c r="J119" s="12"/>
      <c r="O119" s="12"/>
      <c r="P119" s="18"/>
      <c r="Q119" s="12"/>
      <c r="R119" s="12"/>
      <c r="S119" s="12"/>
      <c r="T119" s="36"/>
      <c r="U119" s="36"/>
      <c r="V119" s="12"/>
      <c r="W119" s="12"/>
      <c r="X119" s="12"/>
      <c r="Y119" s="12"/>
    </row>
    <row r="120" customFormat="false" ht="15.75" hidden="false" customHeight="false" outlineLevel="0" collapsed="false">
      <c r="A120" s="12"/>
      <c r="B120" s="34"/>
      <c r="C120" s="12"/>
      <c r="D120" s="12"/>
      <c r="E120" s="12"/>
      <c r="F120" s="12"/>
      <c r="G120" s="18"/>
      <c r="H120" s="35"/>
      <c r="I120" s="35"/>
      <c r="J120" s="12"/>
      <c r="O120" s="12"/>
      <c r="P120" s="18"/>
      <c r="Q120" s="12"/>
      <c r="R120" s="12"/>
      <c r="S120" s="12"/>
      <c r="T120" s="36"/>
      <c r="U120" s="36"/>
      <c r="V120" s="12"/>
      <c r="W120" s="12"/>
      <c r="X120" s="12"/>
      <c r="Y120" s="12"/>
    </row>
    <row r="121" customFormat="false" ht="15.75" hidden="false" customHeight="false" outlineLevel="0" collapsed="false">
      <c r="A121" s="12"/>
      <c r="B121" s="34"/>
      <c r="C121" s="12"/>
      <c r="D121" s="12"/>
      <c r="E121" s="12"/>
      <c r="F121" s="12"/>
      <c r="G121" s="18"/>
      <c r="H121" s="35"/>
      <c r="I121" s="35"/>
      <c r="J121" s="12"/>
      <c r="O121" s="12"/>
      <c r="P121" s="18"/>
      <c r="Q121" s="12"/>
      <c r="R121" s="12"/>
      <c r="S121" s="12"/>
      <c r="T121" s="36"/>
      <c r="U121" s="36"/>
      <c r="V121" s="12"/>
      <c r="W121" s="12"/>
      <c r="X121" s="12"/>
      <c r="Y121" s="12"/>
    </row>
    <row r="122" customFormat="false" ht="15.75" hidden="false" customHeight="false" outlineLevel="0" collapsed="false">
      <c r="A122" s="12"/>
      <c r="B122" s="34"/>
      <c r="C122" s="12"/>
      <c r="D122" s="12"/>
      <c r="E122" s="12"/>
      <c r="F122" s="12"/>
      <c r="G122" s="18"/>
      <c r="H122" s="35"/>
      <c r="I122" s="35"/>
      <c r="J122" s="12"/>
      <c r="O122" s="12"/>
      <c r="P122" s="18"/>
      <c r="Q122" s="12"/>
      <c r="R122" s="12"/>
      <c r="S122" s="12"/>
      <c r="T122" s="36"/>
      <c r="U122" s="36"/>
      <c r="V122" s="12"/>
      <c r="W122" s="12"/>
      <c r="X122" s="12"/>
      <c r="Y122" s="12"/>
    </row>
    <row r="123" customFormat="false" ht="15.75" hidden="false" customHeight="false" outlineLevel="0" collapsed="false">
      <c r="A123" s="12"/>
      <c r="B123" s="34"/>
      <c r="C123" s="12"/>
      <c r="D123" s="12"/>
      <c r="E123" s="12"/>
      <c r="F123" s="12"/>
      <c r="G123" s="18"/>
      <c r="H123" s="35"/>
      <c r="I123" s="35"/>
      <c r="J123" s="12"/>
      <c r="O123" s="12"/>
      <c r="P123" s="18"/>
      <c r="Q123" s="12"/>
      <c r="R123" s="12"/>
      <c r="S123" s="12"/>
      <c r="T123" s="36"/>
      <c r="U123" s="36"/>
      <c r="V123" s="12"/>
      <c r="W123" s="12"/>
      <c r="X123" s="12"/>
      <c r="Y123" s="12"/>
    </row>
    <row r="124" customFormat="false" ht="15.75" hidden="false" customHeight="false" outlineLevel="0" collapsed="false">
      <c r="A124" s="12"/>
      <c r="B124" s="34"/>
      <c r="C124" s="12"/>
      <c r="D124" s="12"/>
      <c r="E124" s="12"/>
      <c r="F124" s="12"/>
      <c r="G124" s="18"/>
      <c r="H124" s="35"/>
      <c r="I124" s="35"/>
      <c r="J124" s="12"/>
      <c r="O124" s="12"/>
      <c r="P124" s="18"/>
      <c r="Q124" s="12"/>
      <c r="R124" s="12"/>
      <c r="S124" s="12"/>
      <c r="T124" s="36"/>
      <c r="U124" s="36"/>
      <c r="V124" s="12"/>
      <c r="W124" s="12"/>
      <c r="X124" s="12"/>
      <c r="Y124" s="12"/>
    </row>
    <row r="125" customFormat="false" ht="15.75" hidden="false" customHeight="false" outlineLevel="0" collapsed="false">
      <c r="A125" s="12"/>
      <c r="B125" s="34"/>
      <c r="C125" s="12"/>
      <c r="D125" s="12"/>
      <c r="E125" s="12"/>
      <c r="F125" s="12"/>
      <c r="G125" s="18"/>
      <c r="H125" s="35"/>
      <c r="I125" s="35"/>
      <c r="J125" s="12"/>
      <c r="O125" s="12"/>
      <c r="P125" s="18"/>
      <c r="Q125" s="12"/>
      <c r="R125" s="12"/>
      <c r="S125" s="12"/>
      <c r="T125" s="36"/>
      <c r="U125" s="36"/>
      <c r="V125" s="12"/>
      <c r="W125" s="12"/>
      <c r="X125" s="12"/>
      <c r="Y125" s="12"/>
    </row>
    <row r="126" customFormat="false" ht="15.75" hidden="false" customHeight="false" outlineLevel="0" collapsed="false">
      <c r="A126" s="12"/>
      <c r="B126" s="34"/>
      <c r="C126" s="12"/>
      <c r="D126" s="12"/>
      <c r="E126" s="12"/>
      <c r="F126" s="12"/>
      <c r="G126" s="18"/>
      <c r="H126" s="35"/>
      <c r="I126" s="35"/>
      <c r="J126" s="12"/>
      <c r="O126" s="12"/>
      <c r="P126" s="18"/>
      <c r="Q126" s="12"/>
      <c r="R126" s="12"/>
      <c r="S126" s="12"/>
      <c r="T126" s="36"/>
      <c r="U126" s="36"/>
      <c r="V126" s="12"/>
      <c r="W126" s="12"/>
      <c r="X126" s="12"/>
      <c r="Y126" s="12"/>
    </row>
    <row r="127" customFormat="false" ht="15.75" hidden="false" customHeight="false" outlineLevel="0" collapsed="false">
      <c r="A127" s="12"/>
      <c r="B127" s="34"/>
      <c r="C127" s="12"/>
      <c r="D127" s="12"/>
      <c r="E127" s="12"/>
      <c r="F127" s="12"/>
      <c r="G127" s="18"/>
      <c r="H127" s="35"/>
      <c r="I127" s="35"/>
      <c r="J127" s="12"/>
      <c r="O127" s="12"/>
      <c r="P127" s="18"/>
      <c r="Q127" s="12"/>
      <c r="R127" s="12"/>
      <c r="S127" s="12"/>
      <c r="T127" s="36"/>
      <c r="U127" s="36"/>
      <c r="V127" s="12"/>
      <c r="W127" s="12"/>
      <c r="X127" s="12"/>
      <c r="Y127" s="12"/>
    </row>
    <row r="128" customFormat="false" ht="15.75" hidden="false" customHeight="false" outlineLevel="0" collapsed="false">
      <c r="A128" s="12"/>
      <c r="B128" s="34"/>
      <c r="C128" s="12"/>
      <c r="D128" s="12"/>
      <c r="E128" s="12"/>
      <c r="F128" s="12"/>
      <c r="G128" s="18"/>
      <c r="H128" s="35"/>
      <c r="I128" s="35"/>
      <c r="J128" s="12"/>
      <c r="O128" s="12"/>
      <c r="P128" s="18"/>
      <c r="Q128" s="12"/>
      <c r="R128" s="12"/>
      <c r="S128" s="12"/>
      <c r="T128" s="36"/>
      <c r="U128" s="36"/>
      <c r="V128" s="12"/>
      <c r="W128" s="12"/>
      <c r="X128" s="12"/>
      <c r="Y128" s="12"/>
    </row>
    <row r="129" customFormat="false" ht="15.75" hidden="false" customHeight="false" outlineLevel="0" collapsed="false">
      <c r="A129" s="12"/>
      <c r="B129" s="34"/>
      <c r="C129" s="12"/>
      <c r="D129" s="12"/>
      <c r="E129" s="12"/>
      <c r="F129" s="12"/>
      <c r="G129" s="18"/>
      <c r="H129" s="35"/>
      <c r="I129" s="35"/>
      <c r="J129" s="12"/>
      <c r="O129" s="12"/>
      <c r="P129" s="18"/>
      <c r="Q129" s="12"/>
      <c r="R129" s="12"/>
      <c r="S129" s="12"/>
      <c r="T129" s="36"/>
      <c r="U129" s="36"/>
      <c r="V129" s="12"/>
      <c r="W129" s="12"/>
      <c r="X129" s="12"/>
      <c r="Y129" s="12"/>
    </row>
    <row r="130" customFormat="false" ht="15.75" hidden="false" customHeight="false" outlineLevel="0" collapsed="false">
      <c r="A130" s="12"/>
      <c r="B130" s="34"/>
      <c r="C130" s="12"/>
      <c r="D130" s="12"/>
      <c r="E130" s="12"/>
      <c r="F130" s="12"/>
      <c r="G130" s="18"/>
      <c r="H130" s="35"/>
      <c r="I130" s="35"/>
      <c r="J130" s="12"/>
      <c r="O130" s="12"/>
      <c r="P130" s="18"/>
      <c r="Q130" s="12"/>
      <c r="R130" s="12"/>
      <c r="S130" s="12"/>
      <c r="T130" s="36"/>
      <c r="U130" s="36"/>
      <c r="V130" s="12"/>
      <c r="W130" s="12"/>
      <c r="X130" s="12"/>
      <c r="Y130" s="12"/>
    </row>
    <row r="131" customFormat="false" ht="15.75" hidden="false" customHeight="false" outlineLevel="0" collapsed="false">
      <c r="A131" s="12"/>
      <c r="B131" s="34"/>
      <c r="C131" s="12"/>
      <c r="D131" s="12"/>
      <c r="E131" s="12"/>
      <c r="F131" s="12"/>
      <c r="G131" s="18"/>
      <c r="H131" s="35"/>
      <c r="I131" s="35"/>
      <c r="J131" s="12"/>
      <c r="O131" s="12"/>
      <c r="P131" s="18"/>
      <c r="Q131" s="12"/>
      <c r="R131" s="12"/>
      <c r="S131" s="12"/>
      <c r="T131" s="36"/>
      <c r="U131" s="36"/>
      <c r="V131" s="12"/>
      <c r="W131" s="12"/>
      <c r="X131" s="12"/>
      <c r="Y131" s="12"/>
    </row>
    <row r="132" customFormat="false" ht="15.75" hidden="false" customHeight="false" outlineLevel="0" collapsed="false">
      <c r="A132" s="12"/>
      <c r="B132" s="34"/>
      <c r="C132" s="12"/>
      <c r="D132" s="12"/>
      <c r="E132" s="12"/>
      <c r="F132" s="12"/>
      <c r="G132" s="18"/>
      <c r="H132" s="35"/>
      <c r="I132" s="35"/>
      <c r="J132" s="12"/>
      <c r="O132" s="12"/>
      <c r="P132" s="18"/>
      <c r="Q132" s="12"/>
      <c r="R132" s="12"/>
      <c r="S132" s="12"/>
      <c r="T132" s="36"/>
      <c r="U132" s="36"/>
      <c r="V132" s="12"/>
      <c r="W132" s="12"/>
      <c r="X132" s="12"/>
      <c r="Y132" s="12"/>
    </row>
    <row r="133" customFormat="false" ht="15.75" hidden="false" customHeight="false" outlineLevel="0" collapsed="false">
      <c r="A133" s="12"/>
      <c r="B133" s="34"/>
      <c r="C133" s="12"/>
      <c r="D133" s="12"/>
      <c r="E133" s="12"/>
      <c r="F133" s="12"/>
      <c r="G133" s="18"/>
      <c r="H133" s="35"/>
      <c r="I133" s="35"/>
      <c r="J133" s="12"/>
      <c r="O133" s="12"/>
      <c r="P133" s="18"/>
      <c r="Q133" s="12"/>
      <c r="R133" s="12"/>
      <c r="S133" s="12"/>
      <c r="T133" s="36"/>
      <c r="U133" s="36"/>
      <c r="V133" s="12"/>
      <c r="W133" s="12"/>
      <c r="X133" s="12"/>
      <c r="Y133" s="12"/>
    </row>
    <row r="134" customFormat="false" ht="15.75" hidden="false" customHeight="false" outlineLevel="0" collapsed="false">
      <c r="A134" s="12"/>
      <c r="B134" s="34"/>
      <c r="C134" s="12"/>
      <c r="D134" s="12"/>
      <c r="E134" s="12"/>
      <c r="F134" s="12"/>
      <c r="G134" s="18"/>
      <c r="H134" s="35"/>
      <c r="I134" s="35"/>
      <c r="J134" s="12"/>
      <c r="O134" s="12"/>
      <c r="P134" s="18"/>
      <c r="Q134" s="12"/>
      <c r="R134" s="12"/>
      <c r="S134" s="12"/>
      <c r="T134" s="36"/>
      <c r="U134" s="36"/>
      <c r="V134" s="12"/>
      <c r="W134" s="12"/>
      <c r="X134" s="12"/>
      <c r="Y134" s="12"/>
    </row>
    <row r="135" customFormat="false" ht="15.75" hidden="false" customHeight="false" outlineLevel="0" collapsed="false">
      <c r="A135" s="12"/>
      <c r="B135" s="34"/>
      <c r="C135" s="12"/>
      <c r="D135" s="12"/>
      <c r="E135" s="12"/>
      <c r="F135" s="12"/>
      <c r="G135" s="18"/>
      <c r="H135" s="35"/>
      <c r="I135" s="35"/>
      <c r="J135" s="12"/>
      <c r="O135" s="12"/>
      <c r="P135" s="18"/>
      <c r="Q135" s="12"/>
      <c r="R135" s="12"/>
      <c r="S135" s="12"/>
      <c r="T135" s="36"/>
      <c r="U135" s="36"/>
      <c r="V135" s="12"/>
      <c r="W135" s="12"/>
      <c r="X135" s="12"/>
      <c r="Y135" s="12"/>
    </row>
    <row r="136" customFormat="false" ht="15.75" hidden="false" customHeight="false" outlineLevel="0" collapsed="false">
      <c r="A136" s="12"/>
      <c r="B136" s="34"/>
      <c r="C136" s="12"/>
      <c r="D136" s="12"/>
      <c r="E136" s="12"/>
      <c r="F136" s="12"/>
      <c r="G136" s="18"/>
      <c r="H136" s="35"/>
      <c r="I136" s="35"/>
      <c r="J136" s="12"/>
      <c r="O136" s="12"/>
      <c r="P136" s="18"/>
      <c r="Q136" s="12"/>
      <c r="R136" s="12"/>
      <c r="S136" s="12"/>
      <c r="T136" s="36"/>
      <c r="U136" s="36"/>
      <c r="V136" s="12"/>
      <c r="W136" s="12"/>
      <c r="X136" s="12"/>
      <c r="Y136" s="12"/>
    </row>
    <row r="137" customFormat="false" ht="15.75" hidden="false" customHeight="false" outlineLevel="0" collapsed="false">
      <c r="A137" s="12"/>
      <c r="B137" s="34"/>
      <c r="C137" s="12"/>
      <c r="D137" s="12"/>
      <c r="E137" s="12"/>
      <c r="F137" s="12"/>
      <c r="G137" s="18"/>
      <c r="H137" s="35"/>
      <c r="I137" s="35"/>
      <c r="J137" s="12"/>
      <c r="O137" s="12"/>
      <c r="P137" s="18"/>
      <c r="Q137" s="12"/>
      <c r="R137" s="12"/>
      <c r="S137" s="12"/>
      <c r="T137" s="36"/>
      <c r="U137" s="36"/>
      <c r="V137" s="12"/>
      <c r="W137" s="12"/>
      <c r="X137" s="12"/>
      <c r="Y137" s="12"/>
    </row>
    <row r="138" customFormat="false" ht="15.75" hidden="false" customHeight="false" outlineLevel="0" collapsed="false">
      <c r="A138" s="12"/>
      <c r="B138" s="34"/>
      <c r="C138" s="12"/>
      <c r="D138" s="12"/>
      <c r="E138" s="12"/>
      <c r="F138" s="12"/>
      <c r="G138" s="18"/>
      <c r="H138" s="35"/>
      <c r="I138" s="35"/>
      <c r="J138" s="12"/>
      <c r="O138" s="12"/>
      <c r="P138" s="18"/>
      <c r="Q138" s="12"/>
      <c r="R138" s="12"/>
      <c r="S138" s="12"/>
      <c r="T138" s="36"/>
      <c r="U138" s="36"/>
      <c r="V138" s="12"/>
      <c r="W138" s="12"/>
      <c r="X138" s="12"/>
      <c r="Y138" s="12"/>
    </row>
    <row r="139" customFormat="false" ht="15.75" hidden="false" customHeight="false" outlineLevel="0" collapsed="false">
      <c r="A139" s="12"/>
      <c r="B139" s="34"/>
      <c r="C139" s="12"/>
      <c r="D139" s="12"/>
      <c r="E139" s="12"/>
      <c r="F139" s="12"/>
      <c r="G139" s="18"/>
      <c r="H139" s="35"/>
      <c r="I139" s="35"/>
      <c r="J139" s="12"/>
      <c r="O139" s="12"/>
      <c r="P139" s="18"/>
      <c r="Q139" s="12"/>
      <c r="R139" s="12"/>
      <c r="S139" s="12"/>
      <c r="T139" s="36"/>
      <c r="U139" s="36"/>
      <c r="V139" s="12"/>
      <c r="W139" s="12"/>
      <c r="X139" s="12"/>
      <c r="Y139" s="12"/>
    </row>
    <row r="140" customFormat="false" ht="15.75" hidden="false" customHeight="false" outlineLevel="0" collapsed="false">
      <c r="A140" s="12"/>
      <c r="B140" s="34"/>
      <c r="C140" s="12"/>
      <c r="D140" s="12"/>
      <c r="E140" s="12"/>
      <c r="F140" s="12"/>
      <c r="G140" s="18"/>
      <c r="H140" s="35"/>
      <c r="I140" s="35"/>
      <c r="J140" s="12"/>
      <c r="O140" s="12"/>
      <c r="P140" s="18"/>
      <c r="Q140" s="12"/>
      <c r="R140" s="12"/>
      <c r="S140" s="12"/>
      <c r="T140" s="36"/>
      <c r="U140" s="36"/>
      <c r="V140" s="12"/>
      <c r="W140" s="12"/>
      <c r="X140" s="12"/>
      <c r="Y140" s="12"/>
    </row>
    <row r="141" customFormat="false" ht="15.75" hidden="false" customHeight="false" outlineLevel="0" collapsed="false">
      <c r="A141" s="12"/>
      <c r="B141" s="34"/>
      <c r="C141" s="12"/>
      <c r="D141" s="12"/>
      <c r="E141" s="12"/>
      <c r="F141" s="12"/>
      <c r="G141" s="18"/>
      <c r="H141" s="35"/>
      <c r="I141" s="35"/>
      <c r="J141" s="12"/>
      <c r="O141" s="12"/>
      <c r="P141" s="18"/>
      <c r="Q141" s="12"/>
      <c r="R141" s="12"/>
      <c r="S141" s="12"/>
      <c r="T141" s="36"/>
      <c r="U141" s="36"/>
      <c r="V141" s="12"/>
      <c r="W141" s="12"/>
      <c r="X141" s="12"/>
      <c r="Y141" s="12"/>
    </row>
    <row r="142" customFormat="false" ht="15.75" hidden="false" customHeight="false" outlineLevel="0" collapsed="false">
      <c r="A142" s="12"/>
      <c r="B142" s="34"/>
      <c r="C142" s="12"/>
      <c r="D142" s="12"/>
      <c r="E142" s="12"/>
      <c r="F142" s="12"/>
      <c r="G142" s="18"/>
      <c r="H142" s="35"/>
      <c r="I142" s="35"/>
      <c r="J142" s="12"/>
      <c r="O142" s="12"/>
      <c r="P142" s="18"/>
      <c r="Q142" s="12"/>
      <c r="R142" s="12"/>
      <c r="S142" s="12"/>
      <c r="T142" s="36"/>
      <c r="U142" s="36"/>
      <c r="V142" s="12"/>
      <c r="W142" s="12"/>
      <c r="X142" s="12"/>
      <c r="Y142" s="12"/>
    </row>
    <row r="143" customFormat="false" ht="15.75" hidden="false" customHeight="false" outlineLevel="0" collapsed="false">
      <c r="A143" s="12"/>
      <c r="B143" s="34"/>
      <c r="C143" s="12"/>
      <c r="D143" s="12"/>
      <c r="E143" s="12"/>
      <c r="F143" s="12"/>
      <c r="G143" s="18"/>
      <c r="H143" s="35"/>
      <c r="I143" s="35"/>
      <c r="J143" s="12"/>
      <c r="O143" s="12"/>
      <c r="P143" s="18"/>
      <c r="Q143" s="12"/>
      <c r="R143" s="12"/>
      <c r="S143" s="12"/>
      <c r="T143" s="36"/>
      <c r="U143" s="36"/>
      <c r="V143" s="12"/>
      <c r="W143" s="12"/>
      <c r="X143" s="12"/>
      <c r="Y143" s="12"/>
    </row>
    <row r="144" customFormat="false" ht="15.75" hidden="false" customHeight="false" outlineLevel="0" collapsed="false">
      <c r="A144" s="12"/>
      <c r="B144" s="34"/>
      <c r="C144" s="12"/>
      <c r="D144" s="12"/>
      <c r="E144" s="12"/>
      <c r="F144" s="12"/>
      <c r="G144" s="18"/>
      <c r="H144" s="35"/>
      <c r="I144" s="35"/>
      <c r="J144" s="12"/>
      <c r="O144" s="12"/>
      <c r="P144" s="18"/>
      <c r="Q144" s="12"/>
      <c r="R144" s="12"/>
      <c r="S144" s="12"/>
      <c r="T144" s="36"/>
      <c r="U144" s="36"/>
      <c r="V144" s="12"/>
      <c r="W144" s="12"/>
      <c r="X144" s="12"/>
      <c r="Y144" s="12"/>
    </row>
    <row r="145" customFormat="false" ht="15.75" hidden="false" customHeight="false" outlineLevel="0" collapsed="false">
      <c r="A145" s="12"/>
      <c r="B145" s="34"/>
      <c r="C145" s="12"/>
      <c r="D145" s="12"/>
      <c r="E145" s="12"/>
      <c r="F145" s="12"/>
      <c r="G145" s="18"/>
      <c r="H145" s="35"/>
      <c r="I145" s="35"/>
      <c r="J145" s="12"/>
      <c r="O145" s="12"/>
      <c r="P145" s="18"/>
      <c r="Q145" s="12"/>
      <c r="R145" s="12"/>
      <c r="S145" s="12"/>
      <c r="T145" s="36"/>
      <c r="U145" s="36"/>
      <c r="V145" s="12"/>
      <c r="W145" s="12"/>
      <c r="X145" s="12"/>
      <c r="Y145" s="12"/>
    </row>
    <row r="146" customFormat="false" ht="15.75" hidden="false" customHeight="false" outlineLevel="0" collapsed="false">
      <c r="A146" s="12"/>
      <c r="B146" s="34"/>
      <c r="C146" s="12"/>
      <c r="D146" s="12"/>
      <c r="E146" s="12"/>
      <c r="F146" s="12"/>
      <c r="G146" s="18"/>
      <c r="H146" s="35"/>
      <c r="I146" s="35"/>
      <c r="J146" s="12"/>
      <c r="O146" s="12"/>
      <c r="P146" s="18"/>
      <c r="Q146" s="12"/>
      <c r="R146" s="12"/>
      <c r="S146" s="12"/>
      <c r="T146" s="36"/>
      <c r="U146" s="36"/>
      <c r="V146" s="12"/>
      <c r="W146" s="12"/>
      <c r="X146" s="12"/>
      <c r="Y146" s="12"/>
    </row>
    <row r="147" customFormat="false" ht="15.75" hidden="false" customHeight="false" outlineLevel="0" collapsed="false">
      <c r="A147" s="12"/>
      <c r="B147" s="34"/>
      <c r="C147" s="12"/>
      <c r="D147" s="12"/>
      <c r="E147" s="12"/>
      <c r="F147" s="12"/>
      <c r="G147" s="18"/>
      <c r="H147" s="35"/>
      <c r="I147" s="35"/>
      <c r="J147" s="12"/>
      <c r="O147" s="12"/>
      <c r="P147" s="18"/>
      <c r="Q147" s="12"/>
      <c r="R147" s="12"/>
      <c r="S147" s="12"/>
      <c r="T147" s="36"/>
      <c r="U147" s="36"/>
      <c r="V147" s="12"/>
      <c r="W147" s="12"/>
      <c r="X147" s="12"/>
      <c r="Y147" s="12"/>
    </row>
    <row r="148" customFormat="false" ht="15.75" hidden="false" customHeight="false" outlineLevel="0" collapsed="false">
      <c r="A148" s="12"/>
      <c r="B148" s="34"/>
      <c r="C148" s="12"/>
      <c r="D148" s="12"/>
      <c r="E148" s="12"/>
      <c r="F148" s="12"/>
      <c r="G148" s="18"/>
      <c r="H148" s="35"/>
      <c r="I148" s="35"/>
      <c r="J148" s="12"/>
      <c r="O148" s="12"/>
      <c r="P148" s="18"/>
      <c r="Q148" s="12"/>
      <c r="R148" s="12"/>
      <c r="S148" s="12"/>
      <c r="T148" s="36"/>
      <c r="U148" s="36"/>
      <c r="V148" s="12"/>
      <c r="W148" s="12"/>
      <c r="X148" s="12"/>
      <c r="Y148" s="12"/>
    </row>
    <row r="149" customFormat="false" ht="15.75" hidden="false" customHeight="false" outlineLevel="0" collapsed="false">
      <c r="A149" s="12"/>
      <c r="B149" s="34"/>
      <c r="C149" s="12"/>
      <c r="D149" s="12"/>
      <c r="E149" s="12"/>
      <c r="F149" s="12"/>
      <c r="G149" s="18"/>
      <c r="H149" s="35"/>
      <c r="I149" s="35"/>
      <c r="J149" s="12"/>
      <c r="O149" s="12"/>
      <c r="P149" s="18"/>
      <c r="Q149" s="12"/>
      <c r="R149" s="12"/>
      <c r="S149" s="12"/>
      <c r="T149" s="36"/>
      <c r="U149" s="36"/>
      <c r="V149" s="12"/>
      <c r="W149" s="12"/>
      <c r="X149" s="12"/>
      <c r="Y149" s="12"/>
    </row>
    <row r="150" customFormat="false" ht="15.75" hidden="false" customHeight="false" outlineLevel="0" collapsed="false">
      <c r="A150" s="12"/>
      <c r="B150" s="34"/>
      <c r="C150" s="12"/>
      <c r="D150" s="12"/>
      <c r="E150" s="12"/>
      <c r="F150" s="12"/>
      <c r="G150" s="18"/>
      <c r="H150" s="35"/>
      <c r="I150" s="35"/>
      <c r="J150" s="12"/>
      <c r="O150" s="12"/>
      <c r="P150" s="18"/>
      <c r="Q150" s="12"/>
      <c r="R150" s="12"/>
      <c r="S150" s="12"/>
      <c r="T150" s="36"/>
      <c r="U150" s="36"/>
      <c r="V150" s="12"/>
      <c r="W150" s="12"/>
      <c r="X150" s="12"/>
      <c r="Y150" s="12"/>
    </row>
    <row r="151" customFormat="false" ht="15.75" hidden="false" customHeight="false" outlineLevel="0" collapsed="false">
      <c r="A151" s="12"/>
      <c r="B151" s="34"/>
      <c r="C151" s="12"/>
      <c r="D151" s="12"/>
      <c r="E151" s="12"/>
      <c r="F151" s="12"/>
      <c r="G151" s="18"/>
      <c r="H151" s="35"/>
      <c r="I151" s="35"/>
      <c r="J151" s="12"/>
      <c r="O151" s="12"/>
      <c r="P151" s="18"/>
      <c r="Q151" s="12"/>
      <c r="R151" s="12"/>
      <c r="S151" s="12"/>
      <c r="T151" s="36"/>
      <c r="U151" s="36"/>
      <c r="V151" s="12"/>
      <c r="W151" s="12"/>
      <c r="X151" s="12"/>
      <c r="Y151" s="12"/>
    </row>
    <row r="152" customFormat="false" ht="15.75" hidden="false" customHeight="false" outlineLevel="0" collapsed="false">
      <c r="A152" s="12"/>
      <c r="B152" s="34"/>
      <c r="C152" s="12"/>
      <c r="D152" s="12"/>
      <c r="E152" s="12"/>
      <c r="F152" s="12"/>
      <c r="G152" s="18"/>
      <c r="H152" s="35"/>
      <c r="I152" s="35"/>
      <c r="J152" s="12"/>
      <c r="O152" s="12"/>
      <c r="P152" s="18"/>
      <c r="Q152" s="12"/>
      <c r="R152" s="12"/>
      <c r="S152" s="12"/>
      <c r="T152" s="36"/>
      <c r="U152" s="36"/>
      <c r="V152" s="12"/>
      <c r="W152" s="12"/>
      <c r="X152" s="12"/>
      <c r="Y152" s="12"/>
    </row>
    <row r="153" customFormat="false" ht="15.75" hidden="false" customHeight="false" outlineLevel="0" collapsed="false">
      <c r="A153" s="12"/>
      <c r="B153" s="34"/>
      <c r="C153" s="12"/>
      <c r="D153" s="12"/>
      <c r="E153" s="12"/>
      <c r="F153" s="12"/>
      <c r="G153" s="18"/>
      <c r="H153" s="35"/>
      <c r="I153" s="35"/>
      <c r="J153" s="12"/>
      <c r="O153" s="12"/>
      <c r="P153" s="18"/>
      <c r="Q153" s="12"/>
      <c r="R153" s="12"/>
      <c r="S153" s="12"/>
      <c r="T153" s="36"/>
      <c r="U153" s="36"/>
      <c r="V153" s="12"/>
      <c r="W153" s="12"/>
      <c r="X153" s="12"/>
      <c r="Y153" s="12"/>
    </row>
    <row r="154" customFormat="false" ht="15.75" hidden="false" customHeight="false" outlineLevel="0" collapsed="false">
      <c r="A154" s="12"/>
      <c r="B154" s="34"/>
      <c r="C154" s="12"/>
      <c r="D154" s="12"/>
      <c r="E154" s="12"/>
      <c r="F154" s="12"/>
      <c r="G154" s="18"/>
      <c r="H154" s="35"/>
      <c r="I154" s="35"/>
      <c r="J154" s="12"/>
      <c r="O154" s="12"/>
      <c r="P154" s="18"/>
      <c r="Q154" s="12"/>
      <c r="R154" s="12"/>
      <c r="S154" s="12"/>
      <c r="T154" s="36"/>
      <c r="U154" s="36"/>
      <c r="V154" s="12"/>
      <c r="W154" s="12"/>
      <c r="X154" s="12"/>
      <c r="Y154" s="12"/>
    </row>
    <row r="155" customFormat="false" ht="15.75" hidden="false" customHeight="false" outlineLevel="0" collapsed="false">
      <c r="A155" s="12"/>
      <c r="B155" s="34"/>
      <c r="C155" s="12"/>
      <c r="D155" s="12"/>
      <c r="E155" s="12"/>
      <c r="F155" s="12"/>
      <c r="G155" s="18"/>
      <c r="H155" s="35"/>
      <c r="I155" s="35"/>
      <c r="J155" s="12"/>
      <c r="O155" s="12"/>
      <c r="P155" s="18"/>
      <c r="Q155" s="12"/>
      <c r="R155" s="12"/>
      <c r="S155" s="12"/>
      <c r="T155" s="36"/>
      <c r="U155" s="36"/>
      <c r="V155" s="12"/>
      <c r="W155" s="12"/>
      <c r="X155" s="12"/>
      <c r="Y155" s="12"/>
    </row>
    <row r="156" customFormat="false" ht="15.75" hidden="false" customHeight="false" outlineLevel="0" collapsed="false">
      <c r="A156" s="12"/>
      <c r="B156" s="34"/>
      <c r="C156" s="12"/>
      <c r="D156" s="12"/>
      <c r="E156" s="12"/>
      <c r="F156" s="12"/>
      <c r="G156" s="18"/>
      <c r="H156" s="35"/>
      <c r="I156" s="35"/>
      <c r="J156" s="12"/>
      <c r="O156" s="12"/>
      <c r="P156" s="18"/>
      <c r="Q156" s="12"/>
      <c r="R156" s="12"/>
      <c r="S156" s="12"/>
      <c r="T156" s="36"/>
      <c r="U156" s="36"/>
      <c r="V156" s="12"/>
      <c r="W156" s="12"/>
      <c r="X156" s="12"/>
      <c r="Y156" s="12"/>
    </row>
    <row r="157" customFormat="false" ht="15.75" hidden="false" customHeight="false" outlineLevel="0" collapsed="false">
      <c r="A157" s="12"/>
      <c r="B157" s="34"/>
      <c r="C157" s="12"/>
      <c r="D157" s="12"/>
      <c r="E157" s="12"/>
      <c r="F157" s="12"/>
      <c r="G157" s="18"/>
      <c r="H157" s="35"/>
      <c r="I157" s="35"/>
      <c r="J157" s="12"/>
      <c r="O157" s="12"/>
      <c r="P157" s="18"/>
      <c r="Q157" s="12"/>
      <c r="R157" s="12"/>
      <c r="S157" s="12"/>
      <c r="T157" s="36"/>
      <c r="U157" s="36"/>
      <c r="V157" s="12"/>
      <c r="W157" s="12"/>
      <c r="X157" s="12"/>
      <c r="Y157" s="12"/>
    </row>
    <row r="158" customFormat="false" ht="15.75" hidden="false" customHeight="false" outlineLevel="0" collapsed="false">
      <c r="A158" s="12"/>
      <c r="B158" s="34"/>
      <c r="C158" s="12"/>
      <c r="D158" s="12"/>
      <c r="E158" s="12"/>
      <c r="F158" s="12"/>
      <c r="G158" s="18"/>
      <c r="H158" s="35"/>
      <c r="I158" s="35"/>
      <c r="J158" s="12"/>
      <c r="O158" s="12"/>
      <c r="P158" s="18"/>
      <c r="Q158" s="12"/>
      <c r="R158" s="12"/>
      <c r="S158" s="12"/>
      <c r="T158" s="36"/>
      <c r="U158" s="36"/>
      <c r="V158" s="12"/>
      <c r="W158" s="12"/>
      <c r="X158" s="12"/>
      <c r="Y158" s="12"/>
    </row>
    <row r="159" customFormat="false" ht="15.75" hidden="false" customHeight="false" outlineLevel="0" collapsed="false">
      <c r="A159" s="12"/>
      <c r="B159" s="34"/>
      <c r="C159" s="12"/>
      <c r="D159" s="12"/>
      <c r="E159" s="12"/>
      <c r="F159" s="12"/>
      <c r="G159" s="18"/>
      <c r="H159" s="35"/>
      <c r="I159" s="35"/>
      <c r="J159" s="12"/>
      <c r="O159" s="12"/>
      <c r="P159" s="18"/>
      <c r="Q159" s="12"/>
      <c r="R159" s="12"/>
      <c r="S159" s="12"/>
      <c r="T159" s="36"/>
      <c r="U159" s="36"/>
      <c r="V159" s="12"/>
      <c r="W159" s="12"/>
      <c r="X159" s="12"/>
      <c r="Y159" s="12"/>
    </row>
    <row r="160" customFormat="false" ht="15.75" hidden="false" customHeight="false" outlineLevel="0" collapsed="false">
      <c r="A160" s="12"/>
      <c r="B160" s="34"/>
      <c r="C160" s="12"/>
      <c r="D160" s="12"/>
      <c r="E160" s="12"/>
      <c r="F160" s="12"/>
      <c r="G160" s="18"/>
      <c r="H160" s="35"/>
      <c r="I160" s="35"/>
      <c r="J160" s="12"/>
      <c r="O160" s="12"/>
      <c r="P160" s="18"/>
      <c r="Q160" s="12"/>
      <c r="R160" s="12"/>
      <c r="S160" s="12"/>
      <c r="T160" s="36"/>
      <c r="U160" s="36"/>
      <c r="V160" s="12"/>
      <c r="W160" s="12"/>
      <c r="X160" s="12"/>
      <c r="Y160" s="12"/>
    </row>
    <row r="161" customFormat="false" ht="15.75" hidden="false" customHeight="false" outlineLevel="0" collapsed="false">
      <c r="A161" s="12"/>
      <c r="B161" s="34"/>
      <c r="C161" s="12"/>
      <c r="D161" s="12"/>
      <c r="E161" s="12"/>
      <c r="F161" s="12"/>
      <c r="G161" s="18"/>
      <c r="H161" s="35"/>
      <c r="I161" s="35"/>
      <c r="J161" s="12"/>
      <c r="O161" s="12"/>
      <c r="P161" s="18"/>
      <c r="Q161" s="12"/>
      <c r="R161" s="12"/>
      <c r="S161" s="12"/>
      <c r="T161" s="36"/>
      <c r="U161" s="36"/>
      <c r="V161" s="12"/>
      <c r="W161" s="12"/>
      <c r="X161" s="12"/>
      <c r="Y161" s="12"/>
    </row>
    <row r="162" customFormat="false" ht="15.75" hidden="false" customHeight="false" outlineLevel="0" collapsed="false">
      <c r="A162" s="12"/>
      <c r="B162" s="34"/>
      <c r="C162" s="12"/>
      <c r="D162" s="12"/>
      <c r="E162" s="12"/>
      <c r="F162" s="12"/>
      <c r="G162" s="18"/>
      <c r="H162" s="35"/>
      <c r="I162" s="35"/>
      <c r="J162" s="12"/>
      <c r="O162" s="12"/>
      <c r="P162" s="18"/>
      <c r="Q162" s="12"/>
      <c r="R162" s="12"/>
      <c r="S162" s="12"/>
      <c r="T162" s="36"/>
      <c r="U162" s="36"/>
      <c r="V162" s="12"/>
      <c r="W162" s="12"/>
      <c r="X162" s="12"/>
      <c r="Y162" s="12"/>
    </row>
    <row r="163" customFormat="false" ht="15.75" hidden="false" customHeight="false" outlineLevel="0" collapsed="false">
      <c r="A163" s="12"/>
      <c r="B163" s="34"/>
      <c r="C163" s="12"/>
      <c r="D163" s="12"/>
      <c r="E163" s="12"/>
      <c r="F163" s="12"/>
      <c r="G163" s="18"/>
      <c r="H163" s="35"/>
      <c r="I163" s="35"/>
      <c r="J163" s="12"/>
      <c r="O163" s="12"/>
      <c r="P163" s="18"/>
      <c r="Q163" s="12"/>
      <c r="R163" s="12"/>
      <c r="S163" s="12"/>
      <c r="T163" s="36"/>
      <c r="U163" s="36"/>
      <c r="V163" s="12"/>
      <c r="W163" s="12"/>
      <c r="X163" s="12"/>
      <c r="Y163" s="12"/>
    </row>
    <row r="164" customFormat="false" ht="15.75" hidden="false" customHeight="false" outlineLevel="0" collapsed="false">
      <c r="A164" s="12"/>
      <c r="B164" s="34"/>
      <c r="C164" s="12"/>
      <c r="D164" s="12"/>
      <c r="E164" s="12"/>
      <c r="F164" s="12"/>
      <c r="G164" s="18"/>
      <c r="H164" s="35"/>
      <c r="I164" s="35"/>
      <c r="J164" s="12"/>
      <c r="O164" s="12"/>
      <c r="P164" s="18"/>
      <c r="Q164" s="12"/>
      <c r="R164" s="12"/>
      <c r="S164" s="12"/>
      <c r="T164" s="36"/>
      <c r="U164" s="36"/>
      <c r="V164" s="12"/>
      <c r="W164" s="12"/>
      <c r="X164" s="12"/>
      <c r="Y164" s="12"/>
    </row>
    <row r="165" customFormat="false" ht="15.75" hidden="false" customHeight="false" outlineLevel="0" collapsed="false">
      <c r="A165" s="12"/>
      <c r="B165" s="34"/>
      <c r="C165" s="12"/>
      <c r="D165" s="12"/>
      <c r="E165" s="12"/>
      <c r="F165" s="12"/>
      <c r="G165" s="18"/>
      <c r="H165" s="35"/>
      <c r="I165" s="35"/>
      <c r="J165" s="12"/>
      <c r="O165" s="12"/>
      <c r="P165" s="18"/>
      <c r="Q165" s="12"/>
      <c r="R165" s="12"/>
      <c r="S165" s="12"/>
      <c r="T165" s="36"/>
      <c r="U165" s="36"/>
      <c r="V165" s="12"/>
      <c r="W165" s="12"/>
      <c r="X165" s="12"/>
      <c r="Y165" s="12"/>
    </row>
    <row r="166" customFormat="false" ht="15.75" hidden="false" customHeight="false" outlineLevel="0" collapsed="false">
      <c r="A166" s="12"/>
      <c r="B166" s="34"/>
      <c r="C166" s="12"/>
      <c r="D166" s="12"/>
      <c r="E166" s="12"/>
      <c r="F166" s="12"/>
      <c r="G166" s="18"/>
      <c r="H166" s="35"/>
      <c r="I166" s="35"/>
      <c r="J166" s="12"/>
      <c r="O166" s="12"/>
      <c r="P166" s="18"/>
      <c r="Q166" s="12"/>
      <c r="R166" s="12"/>
      <c r="S166" s="12"/>
      <c r="T166" s="36"/>
      <c r="U166" s="36"/>
      <c r="V166" s="12"/>
      <c r="W166" s="12"/>
      <c r="X166" s="12"/>
      <c r="Y166" s="12"/>
    </row>
    <row r="167" customFormat="false" ht="15.75" hidden="false" customHeight="false" outlineLevel="0" collapsed="false">
      <c r="A167" s="12"/>
      <c r="B167" s="34"/>
      <c r="C167" s="12"/>
      <c r="D167" s="12"/>
      <c r="E167" s="12"/>
      <c r="F167" s="12"/>
      <c r="G167" s="18"/>
      <c r="H167" s="35"/>
      <c r="I167" s="35"/>
      <c r="J167" s="12"/>
      <c r="O167" s="12"/>
      <c r="P167" s="18"/>
      <c r="Q167" s="12"/>
      <c r="R167" s="12"/>
      <c r="S167" s="12"/>
      <c r="T167" s="36"/>
      <c r="U167" s="36"/>
      <c r="V167" s="12"/>
      <c r="W167" s="12"/>
      <c r="X167" s="12"/>
      <c r="Y167" s="12"/>
    </row>
    <row r="168" customFormat="false" ht="15.75" hidden="false" customHeight="false" outlineLevel="0" collapsed="false">
      <c r="A168" s="12"/>
      <c r="B168" s="34"/>
      <c r="C168" s="12"/>
      <c r="D168" s="12"/>
      <c r="E168" s="12"/>
      <c r="F168" s="12"/>
      <c r="G168" s="18"/>
      <c r="H168" s="35"/>
      <c r="I168" s="35"/>
      <c r="J168" s="12"/>
      <c r="O168" s="12"/>
      <c r="P168" s="18"/>
      <c r="Q168" s="12"/>
      <c r="R168" s="12"/>
      <c r="S168" s="12"/>
      <c r="T168" s="36"/>
      <c r="U168" s="36"/>
      <c r="V168" s="12"/>
      <c r="W168" s="12"/>
      <c r="X168" s="12"/>
      <c r="Y168" s="12"/>
    </row>
    <row r="169" customFormat="false" ht="15.75" hidden="false" customHeight="false" outlineLevel="0" collapsed="false">
      <c r="A169" s="12"/>
      <c r="B169" s="34"/>
      <c r="C169" s="12"/>
      <c r="D169" s="12"/>
      <c r="E169" s="12"/>
      <c r="F169" s="12"/>
      <c r="G169" s="18"/>
      <c r="H169" s="35"/>
      <c r="I169" s="35"/>
      <c r="J169" s="12"/>
      <c r="O169" s="12"/>
      <c r="P169" s="18"/>
      <c r="Q169" s="12"/>
      <c r="R169" s="12"/>
      <c r="S169" s="12"/>
      <c r="T169" s="36"/>
      <c r="U169" s="36"/>
      <c r="V169" s="12"/>
      <c r="W169" s="12"/>
      <c r="X169" s="12"/>
      <c r="Y169" s="12"/>
    </row>
    <row r="170" customFormat="false" ht="15.75" hidden="false" customHeight="false" outlineLevel="0" collapsed="false">
      <c r="A170" s="12"/>
      <c r="B170" s="34"/>
      <c r="C170" s="12"/>
      <c r="D170" s="12"/>
      <c r="E170" s="12"/>
      <c r="F170" s="12"/>
      <c r="G170" s="18"/>
      <c r="H170" s="35"/>
      <c r="I170" s="35"/>
      <c r="J170" s="12"/>
      <c r="O170" s="12"/>
      <c r="P170" s="18"/>
      <c r="Q170" s="12"/>
      <c r="R170" s="12"/>
      <c r="S170" s="12"/>
      <c r="T170" s="36"/>
      <c r="U170" s="36"/>
      <c r="V170" s="12"/>
      <c r="W170" s="12"/>
      <c r="X170" s="12"/>
      <c r="Y170" s="12"/>
    </row>
    <row r="171" customFormat="false" ht="15.75" hidden="false" customHeight="false" outlineLevel="0" collapsed="false">
      <c r="A171" s="12"/>
      <c r="B171" s="34"/>
      <c r="C171" s="12"/>
      <c r="D171" s="12"/>
      <c r="E171" s="12"/>
      <c r="F171" s="12"/>
      <c r="G171" s="18"/>
      <c r="H171" s="35"/>
      <c r="I171" s="35"/>
      <c r="J171" s="12"/>
      <c r="O171" s="12"/>
      <c r="P171" s="18"/>
      <c r="Q171" s="12"/>
      <c r="R171" s="12"/>
      <c r="S171" s="12"/>
      <c r="T171" s="36"/>
      <c r="U171" s="36"/>
      <c r="V171" s="12"/>
      <c r="W171" s="12"/>
      <c r="X171" s="12"/>
      <c r="Y171" s="12"/>
    </row>
    <row r="172" customFormat="false" ht="15.75" hidden="false" customHeight="false" outlineLevel="0" collapsed="false">
      <c r="A172" s="12"/>
      <c r="B172" s="34"/>
      <c r="C172" s="12"/>
      <c r="D172" s="12"/>
      <c r="E172" s="12"/>
      <c r="F172" s="12"/>
      <c r="G172" s="18"/>
      <c r="H172" s="35"/>
      <c r="I172" s="35"/>
      <c r="J172" s="12"/>
      <c r="O172" s="12"/>
      <c r="P172" s="18"/>
      <c r="Q172" s="12"/>
      <c r="R172" s="12"/>
      <c r="S172" s="12"/>
      <c r="T172" s="36"/>
      <c r="U172" s="36"/>
      <c r="V172" s="12"/>
      <c r="W172" s="12"/>
      <c r="X172" s="12"/>
      <c r="Y172" s="12"/>
    </row>
    <row r="173" customFormat="false" ht="15.75" hidden="false" customHeight="false" outlineLevel="0" collapsed="false">
      <c r="A173" s="12"/>
      <c r="B173" s="34"/>
      <c r="C173" s="12"/>
      <c r="D173" s="12"/>
      <c r="E173" s="12"/>
      <c r="F173" s="12"/>
      <c r="G173" s="18"/>
      <c r="H173" s="35"/>
      <c r="I173" s="35"/>
      <c r="J173" s="12"/>
      <c r="O173" s="12"/>
      <c r="P173" s="18"/>
      <c r="Q173" s="12"/>
      <c r="R173" s="12"/>
      <c r="S173" s="12"/>
      <c r="T173" s="36"/>
      <c r="U173" s="36"/>
      <c r="V173" s="12"/>
      <c r="W173" s="12"/>
      <c r="X173" s="12"/>
      <c r="Y173" s="12"/>
    </row>
    <row r="174" customFormat="false" ht="15.75" hidden="false" customHeight="false" outlineLevel="0" collapsed="false">
      <c r="A174" s="12"/>
      <c r="B174" s="34"/>
      <c r="C174" s="12"/>
      <c r="D174" s="12"/>
      <c r="E174" s="12"/>
      <c r="F174" s="12"/>
      <c r="G174" s="18"/>
      <c r="H174" s="35"/>
      <c r="I174" s="35"/>
      <c r="J174" s="12"/>
      <c r="O174" s="12"/>
      <c r="P174" s="18"/>
      <c r="Q174" s="12"/>
      <c r="R174" s="12"/>
      <c r="S174" s="12"/>
      <c r="T174" s="36"/>
      <c r="U174" s="36"/>
      <c r="V174" s="12"/>
      <c r="W174" s="12"/>
      <c r="X174" s="12"/>
      <c r="Y174" s="12"/>
    </row>
    <row r="175" customFormat="false" ht="15.75" hidden="false" customHeight="false" outlineLevel="0" collapsed="false">
      <c r="A175" s="12"/>
      <c r="B175" s="34"/>
      <c r="C175" s="12"/>
      <c r="D175" s="12"/>
      <c r="E175" s="12"/>
      <c r="F175" s="12"/>
      <c r="G175" s="18"/>
      <c r="H175" s="35"/>
      <c r="I175" s="35"/>
      <c r="J175" s="12"/>
      <c r="O175" s="12"/>
      <c r="P175" s="18"/>
      <c r="Q175" s="12"/>
      <c r="R175" s="12"/>
      <c r="S175" s="12"/>
      <c r="T175" s="36"/>
      <c r="U175" s="36"/>
      <c r="V175" s="12"/>
      <c r="W175" s="12"/>
      <c r="X175" s="12"/>
      <c r="Y175" s="12"/>
    </row>
    <row r="176" customFormat="false" ht="15.75" hidden="false" customHeight="false" outlineLevel="0" collapsed="false">
      <c r="A176" s="12"/>
      <c r="B176" s="34"/>
      <c r="C176" s="12"/>
      <c r="D176" s="12"/>
      <c r="E176" s="12"/>
      <c r="F176" s="12"/>
      <c r="G176" s="18"/>
      <c r="H176" s="35"/>
      <c r="I176" s="35"/>
      <c r="J176" s="12"/>
      <c r="O176" s="12"/>
      <c r="P176" s="18"/>
      <c r="Q176" s="12"/>
      <c r="R176" s="12"/>
      <c r="S176" s="12"/>
      <c r="T176" s="36"/>
      <c r="U176" s="36"/>
      <c r="V176" s="12"/>
      <c r="W176" s="12"/>
      <c r="X176" s="12"/>
      <c r="Y176" s="12"/>
    </row>
    <row r="177" customFormat="false" ht="15.75" hidden="false" customHeight="false" outlineLevel="0" collapsed="false">
      <c r="A177" s="12"/>
      <c r="B177" s="34"/>
      <c r="C177" s="12"/>
      <c r="D177" s="12"/>
      <c r="E177" s="12"/>
      <c r="F177" s="12"/>
      <c r="G177" s="18"/>
      <c r="H177" s="35"/>
      <c r="I177" s="35"/>
      <c r="J177" s="12"/>
      <c r="O177" s="12"/>
      <c r="P177" s="18"/>
      <c r="Q177" s="12"/>
      <c r="R177" s="12"/>
      <c r="S177" s="12"/>
      <c r="T177" s="36"/>
      <c r="U177" s="36"/>
      <c r="V177" s="12"/>
      <c r="W177" s="12"/>
      <c r="X177" s="12"/>
      <c r="Y177" s="12"/>
    </row>
    <row r="178" customFormat="false" ht="15.75" hidden="false" customHeight="false" outlineLevel="0" collapsed="false">
      <c r="A178" s="12"/>
      <c r="B178" s="34"/>
      <c r="C178" s="12"/>
      <c r="D178" s="12"/>
      <c r="E178" s="12"/>
      <c r="F178" s="12"/>
      <c r="G178" s="18"/>
      <c r="H178" s="35"/>
      <c r="I178" s="35"/>
      <c r="J178" s="12"/>
      <c r="O178" s="12"/>
      <c r="P178" s="18"/>
      <c r="Q178" s="12"/>
      <c r="R178" s="12"/>
      <c r="S178" s="12"/>
      <c r="T178" s="36"/>
      <c r="U178" s="36"/>
      <c r="V178" s="12"/>
      <c r="W178" s="12"/>
      <c r="X178" s="12"/>
      <c r="Y178" s="12"/>
    </row>
    <row r="179" customFormat="false" ht="15.75" hidden="false" customHeight="false" outlineLevel="0" collapsed="false">
      <c r="A179" s="12"/>
      <c r="B179" s="34"/>
      <c r="C179" s="12"/>
      <c r="D179" s="12"/>
      <c r="E179" s="12"/>
      <c r="F179" s="12"/>
      <c r="G179" s="18"/>
      <c r="H179" s="35"/>
      <c r="I179" s="35"/>
      <c r="J179" s="12"/>
      <c r="O179" s="12"/>
      <c r="P179" s="18"/>
      <c r="Q179" s="12"/>
      <c r="R179" s="12"/>
      <c r="S179" s="12"/>
      <c r="T179" s="36"/>
      <c r="U179" s="36"/>
      <c r="V179" s="12"/>
      <c r="W179" s="12"/>
      <c r="X179" s="12"/>
      <c r="Y179" s="12"/>
    </row>
    <row r="180" customFormat="false" ht="15.75" hidden="false" customHeight="false" outlineLevel="0" collapsed="false">
      <c r="A180" s="12"/>
      <c r="B180" s="34"/>
      <c r="C180" s="12"/>
      <c r="D180" s="12"/>
      <c r="E180" s="12"/>
      <c r="F180" s="12"/>
      <c r="G180" s="18"/>
      <c r="H180" s="35"/>
      <c r="I180" s="35"/>
      <c r="J180" s="12"/>
      <c r="O180" s="12"/>
      <c r="P180" s="18"/>
      <c r="Q180" s="12"/>
      <c r="R180" s="12"/>
      <c r="S180" s="12"/>
      <c r="T180" s="36"/>
      <c r="U180" s="36"/>
      <c r="V180" s="12"/>
      <c r="W180" s="12"/>
      <c r="X180" s="12"/>
      <c r="Y180" s="12"/>
    </row>
    <row r="181" customFormat="false" ht="15.75" hidden="false" customHeight="false" outlineLevel="0" collapsed="false">
      <c r="A181" s="12"/>
      <c r="B181" s="34"/>
      <c r="C181" s="12"/>
      <c r="D181" s="12"/>
      <c r="E181" s="12"/>
      <c r="F181" s="12"/>
      <c r="G181" s="18"/>
      <c r="H181" s="35"/>
      <c r="I181" s="35"/>
      <c r="J181" s="12"/>
      <c r="O181" s="12"/>
      <c r="P181" s="18"/>
      <c r="Q181" s="12"/>
      <c r="R181" s="12"/>
      <c r="S181" s="12"/>
      <c r="T181" s="36"/>
      <c r="U181" s="36"/>
      <c r="V181" s="12"/>
      <c r="W181" s="12"/>
      <c r="X181" s="12"/>
      <c r="Y181" s="12"/>
    </row>
    <row r="182" customFormat="false" ht="15.75" hidden="false" customHeight="false" outlineLevel="0" collapsed="false">
      <c r="A182" s="12"/>
      <c r="B182" s="34"/>
      <c r="C182" s="12"/>
      <c r="D182" s="12"/>
      <c r="E182" s="12"/>
      <c r="F182" s="12"/>
      <c r="G182" s="18"/>
      <c r="H182" s="35"/>
      <c r="I182" s="35"/>
      <c r="J182" s="12"/>
      <c r="O182" s="12"/>
      <c r="P182" s="18"/>
      <c r="Q182" s="12"/>
      <c r="R182" s="12"/>
      <c r="S182" s="12"/>
      <c r="T182" s="36"/>
      <c r="U182" s="36"/>
      <c r="V182" s="12"/>
      <c r="W182" s="12"/>
      <c r="X182" s="12"/>
      <c r="Y182" s="12"/>
    </row>
    <row r="183" customFormat="false" ht="15.75" hidden="false" customHeight="false" outlineLevel="0" collapsed="false">
      <c r="A183" s="12"/>
      <c r="B183" s="34"/>
      <c r="C183" s="12"/>
      <c r="D183" s="12"/>
      <c r="E183" s="12"/>
      <c r="F183" s="12"/>
      <c r="G183" s="18"/>
      <c r="H183" s="35"/>
      <c r="I183" s="35"/>
      <c r="J183" s="12"/>
      <c r="O183" s="12"/>
      <c r="P183" s="18"/>
      <c r="Q183" s="12"/>
      <c r="R183" s="12"/>
      <c r="S183" s="12"/>
      <c r="T183" s="36"/>
      <c r="U183" s="36"/>
      <c r="V183" s="12"/>
      <c r="W183" s="12"/>
      <c r="X183" s="12"/>
      <c r="Y183" s="12"/>
    </row>
    <row r="184" customFormat="false" ht="15.75" hidden="false" customHeight="false" outlineLevel="0" collapsed="false">
      <c r="A184" s="12"/>
      <c r="B184" s="34"/>
      <c r="C184" s="12"/>
      <c r="D184" s="12"/>
      <c r="E184" s="12"/>
      <c r="F184" s="12"/>
      <c r="G184" s="18"/>
      <c r="H184" s="35"/>
      <c r="I184" s="35"/>
      <c r="J184" s="12"/>
      <c r="O184" s="12"/>
      <c r="P184" s="18"/>
      <c r="Q184" s="12"/>
      <c r="R184" s="12"/>
      <c r="S184" s="12"/>
      <c r="T184" s="36"/>
      <c r="U184" s="36"/>
      <c r="V184" s="12"/>
      <c r="W184" s="12"/>
      <c r="X184" s="12"/>
      <c r="Y184" s="12"/>
    </row>
    <row r="185" customFormat="false" ht="15.75" hidden="false" customHeight="false" outlineLevel="0" collapsed="false">
      <c r="A185" s="12"/>
      <c r="B185" s="34"/>
      <c r="C185" s="12"/>
      <c r="D185" s="12"/>
      <c r="E185" s="12"/>
      <c r="F185" s="12"/>
      <c r="G185" s="18"/>
      <c r="H185" s="35"/>
      <c r="I185" s="35"/>
      <c r="J185" s="12"/>
      <c r="O185" s="12"/>
      <c r="P185" s="18"/>
      <c r="Q185" s="12"/>
      <c r="R185" s="12"/>
      <c r="S185" s="12"/>
      <c r="T185" s="36"/>
      <c r="U185" s="36"/>
      <c r="V185" s="12"/>
      <c r="W185" s="12"/>
      <c r="X185" s="12"/>
      <c r="Y185" s="12"/>
    </row>
    <row r="186" customFormat="false" ht="15.75" hidden="false" customHeight="false" outlineLevel="0" collapsed="false">
      <c r="A186" s="12"/>
      <c r="B186" s="34"/>
      <c r="C186" s="12"/>
      <c r="D186" s="12"/>
      <c r="E186" s="12"/>
      <c r="F186" s="12"/>
      <c r="G186" s="18"/>
      <c r="H186" s="35"/>
      <c r="I186" s="35"/>
      <c r="J186" s="12"/>
      <c r="O186" s="12"/>
      <c r="P186" s="18"/>
      <c r="Q186" s="12"/>
      <c r="R186" s="12"/>
      <c r="S186" s="12"/>
      <c r="T186" s="36"/>
      <c r="U186" s="36"/>
      <c r="V186" s="12"/>
      <c r="W186" s="12"/>
      <c r="X186" s="12"/>
      <c r="Y186" s="12"/>
    </row>
    <row r="187" customFormat="false" ht="15.75" hidden="false" customHeight="false" outlineLevel="0" collapsed="false">
      <c r="A187" s="12"/>
      <c r="B187" s="34"/>
      <c r="C187" s="12"/>
      <c r="D187" s="12"/>
      <c r="E187" s="12"/>
      <c r="F187" s="12"/>
      <c r="G187" s="18"/>
      <c r="H187" s="35"/>
      <c r="I187" s="35"/>
      <c r="J187" s="12"/>
      <c r="O187" s="12"/>
      <c r="P187" s="18"/>
      <c r="Q187" s="12"/>
      <c r="R187" s="12"/>
      <c r="S187" s="12"/>
      <c r="T187" s="36"/>
      <c r="U187" s="36"/>
      <c r="V187" s="12"/>
      <c r="W187" s="12"/>
      <c r="X187" s="12"/>
      <c r="Y187" s="12"/>
    </row>
    <row r="188" customFormat="false" ht="15.75" hidden="false" customHeight="false" outlineLevel="0" collapsed="false">
      <c r="A188" s="12"/>
      <c r="B188" s="34"/>
      <c r="C188" s="12"/>
      <c r="D188" s="12"/>
      <c r="E188" s="12"/>
      <c r="F188" s="12"/>
      <c r="G188" s="18"/>
      <c r="H188" s="35"/>
      <c r="I188" s="35"/>
      <c r="J188" s="12"/>
      <c r="O188" s="12"/>
      <c r="P188" s="18"/>
      <c r="Q188" s="12"/>
      <c r="R188" s="12"/>
      <c r="S188" s="12"/>
      <c r="T188" s="36"/>
      <c r="U188" s="36"/>
      <c r="V188" s="12"/>
      <c r="W188" s="12"/>
      <c r="X188" s="12"/>
      <c r="Y188" s="12"/>
    </row>
    <row r="189" customFormat="false" ht="15.75" hidden="false" customHeight="false" outlineLevel="0" collapsed="false">
      <c r="A189" s="12"/>
      <c r="B189" s="34"/>
      <c r="C189" s="12"/>
      <c r="D189" s="12"/>
      <c r="E189" s="12"/>
      <c r="F189" s="12"/>
      <c r="G189" s="18"/>
      <c r="H189" s="35"/>
      <c r="I189" s="35"/>
      <c r="J189" s="12"/>
      <c r="O189" s="12"/>
      <c r="P189" s="18"/>
      <c r="Q189" s="12"/>
      <c r="R189" s="12"/>
      <c r="S189" s="12"/>
      <c r="T189" s="36"/>
      <c r="U189" s="36"/>
      <c r="V189" s="12"/>
      <c r="W189" s="12"/>
      <c r="X189" s="12"/>
      <c r="Y189" s="12"/>
    </row>
    <row r="190" customFormat="false" ht="15.75" hidden="false" customHeight="false" outlineLevel="0" collapsed="false">
      <c r="A190" s="12"/>
      <c r="B190" s="34"/>
      <c r="C190" s="12"/>
      <c r="D190" s="12"/>
      <c r="E190" s="12"/>
      <c r="F190" s="12"/>
      <c r="G190" s="18"/>
      <c r="H190" s="35"/>
      <c r="I190" s="35"/>
      <c r="J190" s="12"/>
      <c r="O190" s="12"/>
      <c r="P190" s="18"/>
      <c r="Q190" s="12"/>
      <c r="R190" s="12"/>
      <c r="S190" s="12"/>
      <c r="T190" s="36"/>
      <c r="U190" s="36"/>
      <c r="V190" s="12"/>
      <c r="W190" s="12"/>
      <c r="X190" s="12"/>
      <c r="Y190" s="12"/>
    </row>
    <row r="191" customFormat="false" ht="15.75" hidden="false" customHeight="false" outlineLevel="0" collapsed="false">
      <c r="A191" s="12"/>
      <c r="B191" s="34"/>
      <c r="C191" s="12"/>
      <c r="D191" s="12"/>
      <c r="E191" s="12"/>
      <c r="F191" s="12"/>
      <c r="G191" s="18"/>
      <c r="H191" s="35"/>
      <c r="I191" s="35"/>
      <c r="J191" s="12"/>
      <c r="O191" s="12"/>
      <c r="P191" s="18"/>
      <c r="Q191" s="12"/>
      <c r="R191" s="12"/>
      <c r="S191" s="12"/>
      <c r="T191" s="36"/>
      <c r="U191" s="36"/>
      <c r="V191" s="12"/>
      <c r="W191" s="12"/>
      <c r="X191" s="12"/>
      <c r="Y191" s="12"/>
    </row>
    <row r="192" customFormat="false" ht="15.75" hidden="false" customHeight="false" outlineLevel="0" collapsed="false">
      <c r="A192" s="12"/>
      <c r="B192" s="34"/>
      <c r="C192" s="12"/>
      <c r="D192" s="12"/>
      <c r="E192" s="12"/>
      <c r="F192" s="12"/>
      <c r="G192" s="18"/>
      <c r="H192" s="35"/>
      <c r="I192" s="35"/>
      <c r="J192" s="12"/>
      <c r="O192" s="12"/>
      <c r="P192" s="18"/>
      <c r="Q192" s="12"/>
      <c r="R192" s="12"/>
      <c r="S192" s="12"/>
      <c r="T192" s="36"/>
      <c r="U192" s="36"/>
      <c r="V192" s="12"/>
      <c r="W192" s="12"/>
      <c r="X192" s="12"/>
      <c r="Y192" s="12"/>
    </row>
    <row r="193" customFormat="false" ht="15.75" hidden="false" customHeight="false" outlineLevel="0" collapsed="false">
      <c r="A193" s="12"/>
      <c r="B193" s="34"/>
      <c r="C193" s="12"/>
      <c r="D193" s="12"/>
      <c r="E193" s="12"/>
      <c r="F193" s="12"/>
      <c r="G193" s="18"/>
      <c r="H193" s="35"/>
      <c r="I193" s="35"/>
      <c r="J193" s="12"/>
      <c r="O193" s="12"/>
      <c r="P193" s="18"/>
      <c r="Q193" s="12"/>
      <c r="R193" s="12"/>
      <c r="S193" s="12"/>
      <c r="T193" s="36"/>
      <c r="U193" s="36"/>
      <c r="V193" s="12"/>
      <c r="W193" s="12"/>
      <c r="X193" s="12"/>
      <c r="Y193" s="12"/>
    </row>
    <row r="194" customFormat="false" ht="15.75" hidden="false" customHeight="false" outlineLevel="0" collapsed="false">
      <c r="A194" s="12"/>
      <c r="B194" s="34"/>
      <c r="C194" s="12"/>
      <c r="D194" s="12"/>
      <c r="E194" s="12"/>
      <c r="F194" s="12"/>
      <c r="G194" s="18"/>
      <c r="H194" s="35"/>
      <c r="I194" s="35"/>
      <c r="J194" s="12"/>
      <c r="O194" s="12"/>
      <c r="P194" s="18"/>
      <c r="Q194" s="12"/>
      <c r="R194" s="12"/>
      <c r="S194" s="12"/>
      <c r="T194" s="36"/>
      <c r="U194" s="36"/>
      <c r="V194" s="12"/>
      <c r="W194" s="12"/>
      <c r="X194" s="12"/>
      <c r="Y194" s="12"/>
    </row>
    <row r="195" customFormat="false" ht="15.75" hidden="false" customHeight="false" outlineLevel="0" collapsed="false">
      <c r="A195" s="12"/>
      <c r="B195" s="34"/>
      <c r="C195" s="12"/>
      <c r="D195" s="12"/>
      <c r="E195" s="12"/>
      <c r="F195" s="12"/>
      <c r="G195" s="18"/>
      <c r="H195" s="35"/>
      <c r="I195" s="35"/>
      <c r="J195" s="12"/>
      <c r="O195" s="12"/>
      <c r="P195" s="18"/>
      <c r="Q195" s="12"/>
      <c r="R195" s="12"/>
      <c r="S195" s="12"/>
      <c r="T195" s="36"/>
      <c r="U195" s="36"/>
      <c r="V195" s="12"/>
      <c r="W195" s="12"/>
      <c r="X195" s="12"/>
      <c r="Y195" s="12"/>
    </row>
    <row r="196" customFormat="false" ht="15.75" hidden="false" customHeight="false" outlineLevel="0" collapsed="false">
      <c r="A196" s="12"/>
      <c r="B196" s="34"/>
      <c r="C196" s="12"/>
      <c r="D196" s="12"/>
      <c r="E196" s="12"/>
      <c r="F196" s="12"/>
      <c r="G196" s="18"/>
      <c r="H196" s="35"/>
      <c r="I196" s="35"/>
      <c r="J196" s="12"/>
      <c r="O196" s="12"/>
      <c r="P196" s="18"/>
      <c r="Q196" s="12"/>
      <c r="R196" s="12"/>
      <c r="S196" s="12"/>
      <c r="T196" s="36"/>
      <c r="U196" s="36"/>
      <c r="V196" s="12"/>
      <c r="W196" s="12"/>
      <c r="X196" s="12"/>
      <c r="Y196" s="12"/>
    </row>
    <row r="197" customFormat="false" ht="15.75" hidden="false" customHeight="false" outlineLevel="0" collapsed="false">
      <c r="A197" s="12"/>
      <c r="B197" s="34"/>
      <c r="C197" s="12"/>
      <c r="D197" s="12"/>
      <c r="E197" s="12"/>
      <c r="F197" s="12"/>
      <c r="G197" s="18"/>
      <c r="H197" s="35"/>
      <c r="I197" s="35"/>
      <c r="J197" s="12"/>
      <c r="O197" s="12"/>
      <c r="P197" s="18"/>
      <c r="Q197" s="12"/>
      <c r="R197" s="12"/>
      <c r="S197" s="12"/>
      <c r="T197" s="36"/>
      <c r="U197" s="36"/>
      <c r="V197" s="12"/>
      <c r="W197" s="12"/>
      <c r="X197" s="12"/>
      <c r="Y197" s="12"/>
    </row>
    <row r="198" customFormat="false" ht="15.75" hidden="false" customHeight="false" outlineLevel="0" collapsed="false">
      <c r="A198" s="12"/>
      <c r="B198" s="34"/>
      <c r="C198" s="12"/>
      <c r="D198" s="12"/>
      <c r="E198" s="12"/>
      <c r="F198" s="12"/>
      <c r="G198" s="18"/>
      <c r="H198" s="35"/>
      <c r="I198" s="35"/>
      <c r="J198" s="12"/>
      <c r="O198" s="12"/>
      <c r="P198" s="18"/>
      <c r="Q198" s="12"/>
      <c r="R198" s="12"/>
      <c r="S198" s="12"/>
      <c r="T198" s="36"/>
      <c r="U198" s="36"/>
      <c r="V198" s="12"/>
      <c r="W198" s="12"/>
      <c r="X198" s="12"/>
      <c r="Y198" s="12"/>
    </row>
    <row r="199" customFormat="false" ht="15.75" hidden="false" customHeight="false" outlineLevel="0" collapsed="false">
      <c r="A199" s="12"/>
      <c r="B199" s="34"/>
      <c r="C199" s="12"/>
      <c r="D199" s="12"/>
      <c r="E199" s="12"/>
      <c r="F199" s="12"/>
      <c r="G199" s="18"/>
      <c r="H199" s="35"/>
      <c r="I199" s="35"/>
      <c r="J199" s="12"/>
      <c r="O199" s="12"/>
      <c r="P199" s="18"/>
      <c r="Q199" s="12"/>
      <c r="R199" s="12"/>
      <c r="S199" s="12"/>
      <c r="T199" s="36"/>
      <c r="U199" s="36"/>
      <c r="V199" s="12"/>
      <c r="W199" s="12"/>
      <c r="X199" s="12"/>
      <c r="Y199" s="12"/>
    </row>
    <row r="200" customFormat="false" ht="15.75" hidden="false" customHeight="false" outlineLevel="0" collapsed="false">
      <c r="A200" s="12"/>
      <c r="B200" s="34"/>
      <c r="C200" s="12"/>
      <c r="D200" s="12"/>
      <c r="E200" s="12"/>
      <c r="F200" s="12"/>
      <c r="G200" s="18"/>
      <c r="H200" s="35"/>
      <c r="I200" s="35"/>
      <c r="J200" s="12"/>
      <c r="O200" s="12"/>
      <c r="P200" s="18"/>
      <c r="Q200" s="12"/>
      <c r="R200" s="12"/>
      <c r="S200" s="12"/>
      <c r="T200" s="36"/>
      <c r="U200" s="36"/>
      <c r="V200" s="12"/>
      <c r="W200" s="12"/>
      <c r="X200" s="12"/>
      <c r="Y200" s="12"/>
    </row>
    <row r="201" customFormat="false" ht="15.75" hidden="false" customHeight="false" outlineLevel="0" collapsed="false">
      <c r="A201" s="12"/>
      <c r="B201" s="34"/>
      <c r="C201" s="12"/>
      <c r="D201" s="12"/>
      <c r="E201" s="12"/>
      <c r="F201" s="12"/>
      <c r="G201" s="18"/>
      <c r="H201" s="35"/>
      <c r="I201" s="35"/>
      <c r="J201" s="12"/>
      <c r="O201" s="12"/>
      <c r="P201" s="18"/>
      <c r="Q201" s="12"/>
      <c r="R201" s="12"/>
      <c r="S201" s="12"/>
      <c r="T201" s="36"/>
      <c r="U201" s="36"/>
      <c r="V201" s="12"/>
      <c r="W201" s="12"/>
      <c r="X201" s="12"/>
      <c r="Y201" s="12"/>
    </row>
    <row r="202" customFormat="false" ht="15.75" hidden="false" customHeight="false" outlineLevel="0" collapsed="false">
      <c r="A202" s="12"/>
      <c r="B202" s="34"/>
      <c r="C202" s="12"/>
      <c r="D202" s="12"/>
      <c r="E202" s="12"/>
      <c r="F202" s="12"/>
      <c r="G202" s="18"/>
      <c r="H202" s="35"/>
      <c r="I202" s="35"/>
      <c r="J202" s="12"/>
      <c r="O202" s="12"/>
      <c r="P202" s="18"/>
      <c r="Q202" s="12"/>
      <c r="R202" s="12"/>
      <c r="S202" s="12"/>
      <c r="T202" s="36"/>
      <c r="U202" s="36"/>
      <c r="V202" s="12"/>
      <c r="W202" s="12"/>
      <c r="X202" s="12"/>
      <c r="Y202" s="12"/>
    </row>
    <row r="203" customFormat="false" ht="15.75" hidden="false" customHeight="false" outlineLevel="0" collapsed="false">
      <c r="A203" s="12"/>
      <c r="B203" s="34"/>
      <c r="C203" s="12"/>
      <c r="D203" s="12"/>
      <c r="E203" s="12"/>
      <c r="F203" s="12"/>
      <c r="G203" s="18"/>
      <c r="H203" s="35"/>
      <c r="I203" s="35"/>
      <c r="J203" s="12"/>
      <c r="O203" s="12"/>
      <c r="P203" s="18"/>
      <c r="Q203" s="12"/>
      <c r="R203" s="12"/>
      <c r="S203" s="12"/>
      <c r="T203" s="36"/>
      <c r="U203" s="36"/>
      <c r="V203" s="12"/>
      <c r="W203" s="12"/>
      <c r="X203" s="12"/>
      <c r="Y203" s="12"/>
    </row>
    <row r="204" customFormat="false" ht="15.75" hidden="false" customHeight="false" outlineLevel="0" collapsed="false">
      <c r="A204" s="12"/>
      <c r="B204" s="34"/>
      <c r="C204" s="12"/>
      <c r="D204" s="12"/>
      <c r="E204" s="12"/>
      <c r="F204" s="12"/>
      <c r="G204" s="18"/>
      <c r="H204" s="35"/>
      <c r="I204" s="35"/>
      <c r="J204" s="12"/>
      <c r="O204" s="12"/>
      <c r="P204" s="18"/>
      <c r="Q204" s="12"/>
      <c r="R204" s="12"/>
      <c r="S204" s="12"/>
      <c r="T204" s="36"/>
      <c r="U204" s="36"/>
      <c r="V204" s="12"/>
      <c r="W204" s="12"/>
      <c r="X204" s="12"/>
      <c r="Y204" s="12"/>
    </row>
    <row r="205" customFormat="false" ht="15.75" hidden="false" customHeight="false" outlineLevel="0" collapsed="false">
      <c r="A205" s="12"/>
      <c r="B205" s="34"/>
      <c r="C205" s="12"/>
      <c r="D205" s="12"/>
      <c r="E205" s="12"/>
      <c r="F205" s="12"/>
      <c r="G205" s="18"/>
      <c r="H205" s="35"/>
      <c r="I205" s="35"/>
      <c r="J205" s="12"/>
      <c r="O205" s="12"/>
      <c r="P205" s="18"/>
      <c r="Q205" s="12"/>
      <c r="R205" s="12"/>
      <c r="S205" s="12"/>
      <c r="T205" s="36"/>
      <c r="U205" s="36"/>
      <c r="V205" s="12"/>
      <c r="W205" s="12"/>
      <c r="X205" s="12"/>
      <c r="Y205" s="12"/>
    </row>
    <row r="206" customFormat="false" ht="15.75" hidden="false" customHeight="false" outlineLevel="0" collapsed="false">
      <c r="A206" s="12"/>
      <c r="B206" s="34"/>
      <c r="C206" s="12"/>
      <c r="D206" s="12"/>
      <c r="E206" s="12"/>
      <c r="F206" s="12"/>
      <c r="G206" s="18"/>
      <c r="H206" s="35"/>
      <c r="I206" s="35"/>
      <c r="J206" s="12"/>
      <c r="O206" s="12"/>
      <c r="P206" s="18"/>
      <c r="Q206" s="12"/>
      <c r="R206" s="12"/>
      <c r="S206" s="12"/>
      <c r="T206" s="36"/>
      <c r="U206" s="36"/>
      <c r="V206" s="12"/>
      <c r="W206" s="12"/>
      <c r="X206" s="12"/>
      <c r="Y206" s="12"/>
    </row>
    <row r="207" customFormat="false" ht="15.75" hidden="false" customHeight="false" outlineLevel="0" collapsed="false">
      <c r="A207" s="12"/>
      <c r="B207" s="34"/>
      <c r="C207" s="12"/>
      <c r="D207" s="12"/>
      <c r="E207" s="12"/>
      <c r="F207" s="12"/>
      <c r="G207" s="18"/>
      <c r="H207" s="35"/>
      <c r="I207" s="35"/>
      <c r="J207" s="12"/>
      <c r="O207" s="12"/>
      <c r="P207" s="18"/>
      <c r="Q207" s="12"/>
      <c r="R207" s="12"/>
      <c r="S207" s="12"/>
      <c r="T207" s="36"/>
      <c r="U207" s="36"/>
      <c r="V207" s="12"/>
      <c r="W207" s="12"/>
      <c r="X207" s="12"/>
      <c r="Y207" s="12"/>
    </row>
    <row r="208" customFormat="false" ht="15.75" hidden="false" customHeight="false" outlineLevel="0" collapsed="false">
      <c r="A208" s="12"/>
      <c r="B208" s="34"/>
      <c r="C208" s="12"/>
      <c r="D208" s="12"/>
      <c r="E208" s="12"/>
      <c r="F208" s="12"/>
      <c r="G208" s="18"/>
      <c r="H208" s="35"/>
      <c r="I208" s="35"/>
      <c r="J208" s="12"/>
      <c r="O208" s="12"/>
      <c r="P208" s="18"/>
      <c r="Q208" s="12"/>
      <c r="R208" s="12"/>
      <c r="S208" s="12"/>
      <c r="T208" s="36"/>
      <c r="U208" s="36"/>
      <c r="V208" s="12"/>
      <c r="W208" s="12"/>
      <c r="X208" s="12"/>
      <c r="Y208" s="12"/>
    </row>
    <row r="209" customFormat="false" ht="15.75" hidden="false" customHeight="false" outlineLevel="0" collapsed="false">
      <c r="A209" s="12"/>
      <c r="B209" s="34"/>
      <c r="C209" s="12"/>
      <c r="D209" s="12"/>
      <c r="E209" s="12"/>
      <c r="F209" s="12"/>
      <c r="G209" s="18"/>
      <c r="H209" s="35"/>
      <c r="I209" s="35"/>
      <c r="J209" s="12"/>
      <c r="O209" s="12"/>
      <c r="P209" s="18"/>
      <c r="Q209" s="12"/>
      <c r="R209" s="12"/>
      <c r="S209" s="12"/>
      <c r="T209" s="36"/>
      <c r="U209" s="36"/>
      <c r="V209" s="12"/>
      <c r="W209" s="12"/>
      <c r="X209" s="12"/>
      <c r="Y209" s="12"/>
    </row>
    <row r="210" customFormat="false" ht="15.75" hidden="false" customHeight="false" outlineLevel="0" collapsed="false">
      <c r="A210" s="12"/>
      <c r="B210" s="34"/>
      <c r="C210" s="12"/>
      <c r="D210" s="12"/>
      <c r="E210" s="12"/>
      <c r="F210" s="12"/>
      <c r="G210" s="18"/>
      <c r="H210" s="35"/>
      <c r="I210" s="35"/>
      <c r="J210" s="12"/>
      <c r="O210" s="12"/>
      <c r="P210" s="18"/>
      <c r="Q210" s="12"/>
      <c r="R210" s="12"/>
      <c r="S210" s="12"/>
      <c r="T210" s="36"/>
      <c r="U210" s="36"/>
      <c r="V210" s="12"/>
      <c r="W210" s="12"/>
      <c r="X210" s="12"/>
      <c r="Y210" s="12"/>
    </row>
    <row r="211" customFormat="false" ht="15.75" hidden="false" customHeight="false" outlineLevel="0" collapsed="false">
      <c r="A211" s="12"/>
      <c r="B211" s="34"/>
      <c r="C211" s="12"/>
      <c r="D211" s="12"/>
      <c r="E211" s="12"/>
      <c r="F211" s="12"/>
      <c r="G211" s="18"/>
      <c r="H211" s="35"/>
      <c r="I211" s="35"/>
      <c r="J211" s="12"/>
      <c r="O211" s="12"/>
      <c r="P211" s="18"/>
      <c r="Q211" s="12"/>
      <c r="R211" s="12"/>
      <c r="S211" s="12"/>
      <c r="T211" s="36"/>
      <c r="U211" s="36"/>
      <c r="V211" s="12"/>
      <c r="W211" s="12"/>
      <c r="X211" s="12"/>
      <c r="Y211" s="12"/>
    </row>
    <row r="212" customFormat="false" ht="15.75" hidden="false" customHeight="false" outlineLevel="0" collapsed="false">
      <c r="A212" s="12"/>
      <c r="B212" s="34"/>
      <c r="C212" s="12"/>
      <c r="D212" s="12"/>
      <c r="E212" s="12"/>
      <c r="F212" s="12"/>
      <c r="G212" s="18"/>
      <c r="H212" s="35"/>
      <c r="I212" s="35"/>
      <c r="J212" s="12"/>
      <c r="O212" s="12"/>
      <c r="P212" s="18"/>
      <c r="Q212" s="12"/>
      <c r="R212" s="12"/>
      <c r="S212" s="12"/>
      <c r="T212" s="36"/>
      <c r="U212" s="36"/>
      <c r="V212" s="12"/>
      <c r="W212" s="12"/>
      <c r="X212" s="12"/>
      <c r="Y212" s="12"/>
    </row>
    <row r="213" customFormat="false" ht="15.75" hidden="false" customHeight="false" outlineLevel="0" collapsed="false">
      <c r="A213" s="12"/>
      <c r="B213" s="34"/>
      <c r="C213" s="12"/>
      <c r="D213" s="12"/>
      <c r="E213" s="12"/>
      <c r="F213" s="12"/>
      <c r="G213" s="18"/>
      <c r="H213" s="35"/>
      <c r="I213" s="35"/>
      <c r="J213" s="12"/>
      <c r="O213" s="12"/>
      <c r="P213" s="18"/>
      <c r="Q213" s="12"/>
      <c r="R213" s="12"/>
      <c r="S213" s="12"/>
      <c r="T213" s="36"/>
      <c r="U213" s="36"/>
      <c r="V213" s="12"/>
      <c r="W213" s="12"/>
      <c r="X213" s="12"/>
      <c r="Y213" s="12"/>
    </row>
    <row r="214" customFormat="false" ht="15.75" hidden="false" customHeight="false" outlineLevel="0" collapsed="false">
      <c r="A214" s="12"/>
      <c r="B214" s="34"/>
      <c r="C214" s="12"/>
      <c r="D214" s="12"/>
      <c r="E214" s="12"/>
      <c r="F214" s="12"/>
      <c r="G214" s="18"/>
      <c r="H214" s="35"/>
      <c r="I214" s="35"/>
      <c r="J214" s="12"/>
      <c r="O214" s="12"/>
      <c r="P214" s="18"/>
      <c r="Q214" s="12"/>
      <c r="R214" s="12"/>
      <c r="S214" s="12"/>
      <c r="T214" s="36"/>
      <c r="U214" s="36"/>
      <c r="V214" s="12"/>
      <c r="W214" s="12"/>
      <c r="X214" s="12"/>
      <c r="Y214" s="12"/>
    </row>
    <row r="215" customFormat="false" ht="15.75" hidden="false" customHeight="false" outlineLevel="0" collapsed="false">
      <c r="A215" s="12"/>
      <c r="B215" s="34"/>
      <c r="C215" s="12"/>
      <c r="D215" s="12"/>
      <c r="E215" s="12"/>
      <c r="F215" s="12"/>
      <c r="G215" s="18"/>
      <c r="H215" s="35"/>
      <c r="I215" s="35"/>
      <c r="J215" s="12"/>
      <c r="O215" s="12"/>
      <c r="P215" s="18"/>
      <c r="Q215" s="12"/>
      <c r="R215" s="12"/>
      <c r="S215" s="12"/>
      <c r="T215" s="36"/>
      <c r="U215" s="36"/>
      <c r="V215" s="12"/>
      <c r="W215" s="12"/>
      <c r="X215" s="12"/>
      <c r="Y215" s="12"/>
    </row>
    <row r="216" customFormat="false" ht="15.75" hidden="false" customHeight="false" outlineLevel="0" collapsed="false">
      <c r="A216" s="12"/>
      <c r="B216" s="34"/>
      <c r="C216" s="12"/>
      <c r="D216" s="12"/>
      <c r="E216" s="12"/>
      <c r="F216" s="12"/>
      <c r="G216" s="18"/>
      <c r="H216" s="35"/>
      <c r="I216" s="35"/>
      <c r="J216" s="12"/>
      <c r="O216" s="12"/>
      <c r="P216" s="18"/>
      <c r="Q216" s="12"/>
      <c r="R216" s="12"/>
      <c r="S216" s="12"/>
      <c r="T216" s="36"/>
      <c r="U216" s="36"/>
      <c r="V216" s="12"/>
      <c r="W216" s="12"/>
      <c r="X216" s="12"/>
      <c r="Y216" s="12"/>
    </row>
    <row r="217" customFormat="false" ht="15.75" hidden="false" customHeight="false" outlineLevel="0" collapsed="false">
      <c r="A217" s="12"/>
      <c r="B217" s="34"/>
      <c r="C217" s="12"/>
      <c r="D217" s="12"/>
      <c r="E217" s="12"/>
      <c r="F217" s="12"/>
      <c r="G217" s="18"/>
      <c r="H217" s="35"/>
      <c r="I217" s="35"/>
      <c r="J217" s="12"/>
      <c r="O217" s="12"/>
      <c r="P217" s="18"/>
      <c r="Q217" s="12"/>
      <c r="R217" s="12"/>
      <c r="S217" s="12"/>
      <c r="T217" s="36"/>
      <c r="U217" s="36"/>
      <c r="V217" s="12"/>
      <c r="W217" s="12"/>
      <c r="X217" s="12"/>
      <c r="Y217" s="12"/>
    </row>
    <row r="218" customFormat="false" ht="15.75" hidden="false" customHeight="false" outlineLevel="0" collapsed="false">
      <c r="A218" s="12"/>
      <c r="B218" s="34"/>
      <c r="C218" s="12"/>
      <c r="D218" s="12"/>
      <c r="E218" s="12"/>
      <c r="F218" s="12"/>
      <c r="G218" s="18"/>
      <c r="H218" s="35"/>
      <c r="I218" s="35"/>
      <c r="J218" s="12"/>
      <c r="O218" s="12"/>
      <c r="P218" s="18"/>
      <c r="Q218" s="12"/>
      <c r="R218" s="12"/>
      <c r="S218" s="12"/>
      <c r="T218" s="36"/>
      <c r="U218" s="36"/>
      <c r="V218" s="12"/>
      <c r="W218" s="12"/>
      <c r="X218" s="12"/>
      <c r="Y218" s="12"/>
    </row>
    <row r="219" customFormat="false" ht="15.75" hidden="false" customHeight="false" outlineLevel="0" collapsed="false">
      <c r="A219" s="12"/>
      <c r="B219" s="34"/>
      <c r="C219" s="12"/>
      <c r="D219" s="12"/>
      <c r="E219" s="12"/>
      <c r="F219" s="12"/>
      <c r="G219" s="18"/>
      <c r="H219" s="35"/>
      <c r="I219" s="35"/>
      <c r="J219" s="12"/>
      <c r="O219" s="12"/>
      <c r="P219" s="18"/>
      <c r="Q219" s="12"/>
      <c r="R219" s="12"/>
      <c r="S219" s="12"/>
      <c r="T219" s="36"/>
      <c r="U219" s="36"/>
      <c r="V219" s="12"/>
      <c r="W219" s="12"/>
      <c r="X219" s="12"/>
      <c r="Y219" s="12"/>
    </row>
    <row r="220" customFormat="false" ht="15.75" hidden="false" customHeight="false" outlineLevel="0" collapsed="false">
      <c r="A220" s="12"/>
      <c r="B220" s="34"/>
      <c r="C220" s="12"/>
      <c r="D220" s="12"/>
      <c r="E220" s="12"/>
      <c r="F220" s="12"/>
      <c r="G220" s="18"/>
      <c r="H220" s="35"/>
      <c r="I220" s="35"/>
      <c r="J220" s="12"/>
      <c r="O220" s="12"/>
      <c r="P220" s="18"/>
      <c r="Q220" s="12"/>
      <c r="R220" s="12"/>
      <c r="S220" s="12"/>
      <c r="T220" s="36"/>
      <c r="U220" s="36"/>
      <c r="V220" s="12"/>
      <c r="W220" s="12"/>
      <c r="X220" s="12"/>
      <c r="Y220" s="12"/>
    </row>
    <row r="221" customFormat="false" ht="15.75" hidden="false" customHeight="false" outlineLevel="0" collapsed="false">
      <c r="A221" s="12"/>
      <c r="B221" s="34"/>
      <c r="C221" s="12"/>
      <c r="D221" s="12"/>
      <c r="E221" s="12"/>
      <c r="F221" s="12"/>
      <c r="G221" s="18"/>
      <c r="H221" s="35"/>
      <c r="I221" s="35"/>
      <c r="J221" s="12"/>
      <c r="O221" s="12"/>
      <c r="P221" s="18"/>
      <c r="Q221" s="12"/>
      <c r="R221" s="12"/>
      <c r="S221" s="12"/>
      <c r="T221" s="36"/>
      <c r="U221" s="36"/>
      <c r="V221" s="12"/>
      <c r="W221" s="12"/>
      <c r="X221" s="12"/>
      <c r="Y221" s="12"/>
    </row>
    <row r="222" customFormat="false" ht="15.75" hidden="false" customHeight="false" outlineLevel="0" collapsed="false">
      <c r="A222" s="12"/>
      <c r="B222" s="34"/>
      <c r="C222" s="12"/>
      <c r="D222" s="12"/>
      <c r="E222" s="12"/>
      <c r="F222" s="12"/>
      <c r="G222" s="18"/>
      <c r="H222" s="35"/>
      <c r="I222" s="35"/>
      <c r="J222" s="12"/>
      <c r="O222" s="12"/>
      <c r="P222" s="18"/>
      <c r="Q222" s="12"/>
      <c r="R222" s="12"/>
      <c r="S222" s="12"/>
      <c r="T222" s="36"/>
      <c r="U222" s="36"/>
      <c r="V222" s="12"/>
      <c r="W222" s="12"/>
      <c r="X222" s="12"/>
      <c r="Y222" s="12"/>
    </row>
    <row r="223" customFormat="false" ht="15.75" hidden="false" customHeight="false" outlineLevel="0" collapsed="false">
      <c r="A223" s="12"/>
      <c r="B223" s="34"/>
      <c r="C223" s="12"/>
      <c r="D223" s="12"/>
      <c r="E223" s="12"/>
      <c r="F223" s="12"/>
      <c r="G223" s="18"/>
      <c r="H223" s="35"/>
      <c r="I223" s="35"/>
      <c r="J223" s="12"/>
      <c r="O223" s="12"/>
      <c r="P223" s="18"/>
      <c r="Q223" s="12"/>
      <c r="R223" s="12"/>
      <c r="S223" s="12"/>
      <c r="T223" s="36"/>
      <c r="U223" s="36"/>
      <c r="V223" s="12"/>
      <c r="W223" s="12"/>
      <c r="X223" s="12"/>
      <c r="Y223" s="12"/>
    </row>
    <row r="224" customFormat="false" ht="15.75" hidden="false" customHeight="false" outlineLevel="0" collapsed="false">
      <c r="A224" s="12"/>
      <c r="B224" s="34"/>
      <c r="C224" s="12"/>
      <c r="D224" s="12"/>
      <c r="E224" s="12"/>
      <c r="F224" s="12"/>
      <c r="G224" s="18"/>
      <c r="H224" s="35"/>
      <c r="I224" s="35"/>
      <c r="J224" s="12"/>
      <c r="O224" s="12"/>
      <c r="P224" s="18"/>
      <c r="Q224" s="12"/>
      <c r="R224" s="12"/>
      <c r="S224" s="12"/>
      <c r="T224" s="36"/>
      <c r="U224" s="36"/>
      <c r="V224" s="12"/>
      <c r="W224" s="12"/>
      <c r="X224" s="12"/>
      <c r="Y224" s="12"/>
    </row>
    <row r="225" customFormat="false" ht="15.75" hidden="false" customHeight="false" outlineLevel="0" collapsed="false">
      <c r="A225" s="12"/>
      <c r="B225" s="34"/>
      <c r="C225" s="12"/>
      <c r="D225" s="12"/>
      <c r="E225" s="12"/>
      <c r="F225" s="12"/>
      <c r="G225" s="18"/>
      <c r="H225" s="35"/>
      <c r="I225" s="35"/>
      <c r="J225" s="12"/>
      <c r="O225" s="12"/>
      <c r="P225" s="18"/>
      <c r="Q225" s="12"/>
      <c r="R225" s="12"/>
      <c r="S225" s="12"/>
      <c r="T225" s="36"/>
      <c r="U225" s="36"/>
      <c r="V225" s="12"/>
      <c r="W225" s="12"/>
      <c r="X225" s="12"/>
      <c r="Y225" s="12"/>
    </row>
    <row r="226" customFormat="false" ht="15.75" hidden="false" customHeight="false" outlineLevel="0" collapsed="false">
      <c r="A226" s="12"/>
      <c r="B226" s="34"/>
      <c r="C226" s="12"/>
      <c r="D226" s="12"/>
      <c r="E226" s="12"/>
      <c r="F226" s="12"/>
      <c r="G226" s="18"/>
      <c r="H226" s="35"/>
      <c r="I226" s="35"/>
      <c r="J226" s="12"/>
      <c r="O226" s="12"/>
      <c r="P226" s="18"/>
      <c r="Q226" s="12"/>
      <c r="R226" s="12"/>
      <c r="S226" s="12"/>
      <c r="T226" s="36"/>
      <c r="U226" s="36"/>
      <c r="V226" s="12"/>
      <c r="W226" s="12"/>
      <c r="X226" s="12"/>
      <c r="Y226" s="12"/>
    </row>
    <row r="227" customFormat="false" ht="15.75" hidden="false" customHeight="false" outlineLevel="0" collapsed="false">
      <c r="A227" s="12"/>
      <c r="B227" s="34"/>
      <c r="C227" s="12"/>
      <c r="D227" s="12"/>
      <c r="E227" s="12"/>
      <c r="F227" s="12"/>
      <c r="G227" s="18"/>
      <c r="H227" s="35"/>
      <c r="I227" s="35"/>
      <c r="J227" s="12"/>
      <c r="O227" s="12"/>
      <c r="P227" s="18"/>
      <c r="Q227" s="12"/>
      <c r="R227" s="12"/>
      <c r="S227" s="12"/>
      <c r="T227" s="36"/>
      <c r="U227" s="36"/>
      <c r="V227" s="12"/>
      <c r="W227" s="12"/>
      <c r="X227" s="12"/>
      <c r="Y227" s="12"/>
    </row>
    <row r="228" customFormat="false" ht="15.75" hidden="false" customHeight="false" outlineLevel="0" collapsed="false">
      <c r="A228" s="12"/>
      <c r="B228" s="34"/>
      <c r="C228" s="12"/>
      <c r="D228" s="12"/>
      <c r="E228" s="12"/>
      <c r="F228" s="12"/>
      <c r="G228" s="18"/>
      <c r="H228" s="35"/>
      <c r="I228" s="35"/>
      <c r="J228" s="12"/>
      <c r="O228" s="12"/>
      <c r="P228" s="18"/>
      <c r="Q228" s="12"/>
      <c r="R228" s="12"/>
      <c r="S228" s="12"/>
      <c r="T228" s="36"/>
      <c r="U228" s="36"/>
      <c r="V228" s="12"/>
      <c r="W228" s="12"/>
      <c r="X228" s="12"/>
      <c r="Y228" s="12"/>
    </row>
    <row r="229" customFormat="false" ht="15.75" hidden="false" customHeight="false" outlineLevel="0" collapsed="false">
      <c r="A229" s="12"/>
      <c r="B229" s="34"/>
      <c r="C229" s="12"/>
      <c r="D229" s="12"/>
      <c r="E229" s="12"/>
      <c r="F229" s="12"/>
      <c r="G229" s="18"/>
      <c r="H229" s="35"/>
      <c r="I229" s="35"/>
      <c r="J229" s="12"/>
      <c r="O229" s="12"/>
      <c r="P229" s="18"/>
      <c r="Q229" s="12"/>
      <c r="R229" s="12"/>
      <c r="S229" s="12"/>
      <c r="T229" s="36"/>
      <c r="U229" s="36"/>
      <c r="V229" s="12"/>
      <c r="W229" s="12"/>
      <c r="X229" s="12"/>
      <c r="Y229" s="12"/>
    </row>
    <row r="230" customFormat="false" ht="15.75" hidden="false" customHeight="false" outlineLevel="0" collapsed="false">
      <c r="A230" s="12"/>
      <c r="B230" s="34"/>
      <c r="C230" s="12"/>
      <c r="D230" s="12"/>
      <c r="E230" s="12"/>
      <c r="F230" s="12"/>
      <c r="G230" s="18"/>
      <c r="H230" s="35"/>
      <c r="I230" s="35"/>
      <c r="J230" s="12"/>
      <c r="O230" s="12"/>
      <c r="P230" s="18"/>
      <c r="Q230" s="12"/>
      <c r="R230" s="12"/>
      <c r="S230" s="12"/>
      <c r="T230" s="36"/>
      <c r="U230" s="36"/>
      <c r="V230" s="12"/>
      <c r="W230" s="12"/>
      <c r="X230" s="12"/>
      <c r="Y230" s="12"/>
    </row>
    <row r="231" customFormat="false" ht="15.75" hidden="false" customHeight="false" outlineLevel="0" collapsed="false">
      <c r="A231" s="12"/>
      <c r="B231" s="34"/>
      <c r="C231" s="12"/>
      <c r="D231" s="12"/>
      <c r="E231" s="12"/>
      <c r="F231" s="12"/>
      <c r="G231" s="18"/>
      <c r="H231" s="35"/>
      <c r="I231" s="35"/>
      <c r="J231" s="12"/>
      <c r="O231" s="12"/>
      <c r="P231" s="18"/>
      <c r="Q231" s="12"/>
      <c r="R231" s="12"/>
      <c r="S231" s="12"/>
      <c r="T231" s="36"/>
      <c r="U231" s="36"/>
      <c r="V231" s="12"/>
      <c r="W231" s="12"/>
      <c r="X231" s="12"/>
      <c r="Y231" s="12"/>
    </row>
    <row r="232" customFormat="false" ht="15.75" hidden="false" customHeight="false" outlineLevel="0" collapsed="false">
      <c r="A232" s="12"/>
      <c r="B232" s="34"/>
      <c r="C232" s="12"/>
      <c r="D232" s="12"/>
      <c r="E232" s="12"/>
      <c r="F232" s="12"/>
      <c r="G232" s="18"/>
      <c r="H232" s="35"/>
      <c r="I232" s="35"/>
      <c r="J232" s="12"/>
      <c r="O232" s="12"/>
      <c r="P232" s="18"/>
      <c r="Q232" s="12"/>
      <c r="R232" s="12"/>
      <c r="S232" s="12"/>
      <c r="T232" s="36"/>
      <c r="U232" s="36"/>
      <c r="V232" s="12"/>
      <c r="W232" s="12"/>
      <c r="X232" s="12"/>
      <c r="Y232" s="12"/>
    </row>
    <row r="233" customFormat="false" ht="15.75" hidden="false" customHeight="false" outlineLevel="0" collapsed="false">
      <c r="A233" s="12"/>
      <c r="B233" s="34"/>
      <c r="C233" s="12"/>
      <c r="D233" s="12"/>
      <c r="E233" s="12"/>
      <c r="F233" s="12"/>
      <c r="G233" s="18"/>
      <c r="H233" s="35"/>
      <c r="I233" s="35"/>
      <c r="J233" s="12"/>
      <c r="O233" s="12"/>
      <c r="P233" s="18"/>
      <c r="Q233" s="12"/>
      <c r="R233" s="12"/>
      <c r="S233" s="12"/>
      <c r="T233" s="36"/>
      <c r="U233" s="36"/>
      <c r="V233" s="12"/>
      <c r="W233" s="12"/>
      <c r="X233" s="12"/>
      <c r="Y233" s="12"/>
    </row>
    <row r="234" customFormat="false" ht="15.75" hidden="false" customHeight="false" outlineLevel="0" collapsed="false">
      <c r="A234" s="12"/>
      <c r="B234" s="34"/>
      <c r="C234" s="12"/>
      <c r="D234" s="12"/>
      <c r="E234" s="12"/>
      <c r="F234" s="12"/>
      <c r="G234" s="18"/>
      <c r="H234" s="35"/>
      <c r="I234" s="35"/>
      <c r="J234" s="12"/>
      <c r="O234" s="12"/>
      <c r="P234" s="18"/>
      <c r="Q234" s="12"/>
      <c r="R234" s="12"/>
      <c r="S234" s="12"/>
      <c r="T234" s="36"/>
      <c r="U234" s="36"/>
      <c r="V234" s="12"/>
      <c r="W234" s="12"/>
      <c r="X234" s="12"/>
      <c r="Y234" s="12"/>
    </row>
    <row r="235" customFormat="false" ht="15.75" hidden="false" customHeight="false" outlineLevel="0" collapsed="false">
      <c r="A235" s="12"/>
      <c r="B235" s="34"/>
      <c r="C235" s="12"/>
      <c r="D235" s="12"/>
      <c r="E235" s="12"/>
      <c r="F235" s="12"/>
      <c r="G235" s="18"/>
      <c r="H235" s="35"/>
      <c r="I235" s="35"/>
      <c r="J235" s="12"/>
      <c r="O235" s="12"/>
      <c r="P235" s="18"/>
      <c r="Q235" s="12"/>
      <c r="R235" s="12"/>
      <c r="S235" s="12"/>
      <c r="T235" s="36"/>
      <c r="U235" s="36"/>
      <c r="V235" s="12"/>
      <c r="W235" s="12"/>
      <c r="X235" s="12"/>
      <c r="Y235" s="12"/>
    </row>
    <row r="236" customFormat="false" ht="15.75" hidden="false" customHeight="false" outlineLevel="0" collapsed="false">
      <c r="A236" s="12"/>
      <c r="B236" s="34"/>
      <c r="C236" s="12"/>
      <c r="D236" s="12"/>
      <c r="E236" s="12"/>
      <c r="F236" s="12"/>
      <c r="G236" s="18"/>
      <c r="H236" s="35"/>
      <c r="I236" s="35"/>
      <c r="J236" s="12"/>
      <c r="O236" s="12"/>
      <c r="P236" s="18"/>
      <c r="Q236" s="12"/>
      <c r="R236" s="12"/>
      <c r="S236" s="12"/>
      <c r="T236" s="36"/>
      <c r="U236" s="36"/>
      <c r="V236" s="12"/>
      <c r="W236" s="12"/>
      <c r="X236" s="12"/>
      <c r="Y236" s="12"/>
    </row>
    <row r="237" customFormat="false" ht="15.75" hidden="false" customHeight="false" outlineLevel="0" collapsed="false">
      <c r="A237" s="12"/>
      <c r="B237" s="34"/>
      <c r="C237" s="12"/>
      <c r="D237" s="12"/>
      <c r="E237" s="12"/>
      <c r="F237" s="12"/>
      <c r="G237" s="18"/>
      <c r="H237" s="35"/>
      <c r="I237" s="35"/>
      <c r="J237" s="12"/>
      <c r="O237" s="12"/>
      <c r="P237" s="18"/>
      <c r="Q237" s="12"/>
      <c r="R237" s="12"/>
      <c r="S237" s="12"/>
      <c r="T237" s="36"/>
      <c r="U237" s="36"/>
      <c r="V237" s="12"/>
      <c r="W237" s="12"/>
      <c r="X237" s="12"/>
      <c r="Y237" s="12"/>
    </row>
    <row r="238" customFormat="false" ht="15.75" hidden="false" customHeight="false" outlineLevel="0" collapsed="false">
      <c r="A238" s="12"/>
      <c r="B238" s="34"/>
      <c r="C238" s="12"/>
      <c r="D238" s="12"/>
      <c r="E238" s="12"/>
      <c r="F238" s="12"/>
      <c r="G238" s="18"/>
      <c r="H238" s="35"/>
      <c r="I238" s="35"/>
      <c r="J238" s="12"/>
      <c r="O238" s="12"/>
      <c r="P238" s="18"/>
      <c r="Q238" s="12"/>
      <c r="R238" s="12"/>
      <c r="S238" s="12"/>
      <c r="T238" s="36"/>
      <c r="U238" s="36"/>
      <c r="V238" s="12"/>
      <c r="W238" s="12"/>
      <c r="X238" s="12"/>
      <c r="Y238" s="12"/>
    </row>
    <row r="239" customFormat="false" ht="15.75" hidden="false" customHeight="false" outlineLevel="0" collapsed="false">
      <c r="A239" s="12"/>
      <c r="B239" s="34"/>
      <c r="C239" s="12"/>
      <c r="D239" s="12"/>
      <c r="E239" s="12"/>
      <c r="F239" s="12"/>
      <c r="G239" s="18"/>
      <c r="H239" s="35"/>
      <c r="I239" s="35"/>
      <c r="J239" s="12"/>
      <c r="O239" s="12"/>
      <c r="P239" s="18"/>
      <c r="Q239" s="12"/>
      <c r="R239" s="12"/>
      <c r="S239" s="12"/>
      <c r="T239" s="36"/>
      <c r="U239" s="36"/>
      <c r="V239" s="12"/>
      <c r="W239" s="12"/>
      <c r="X239" s="12"/>
      <c r="Y239" s="12"/>
    </row>
    <row r="240" customFormat="false" ht="15.75" hidden="false" customHeight="false" outlineLevel="0" collapsed="false">
      <c r="A240" s="12"/>
      <c r="B240" s="34"/>
      <c r="C240" s="12"/>
      <c r="D240" s="12"/>
      <c r="E240" s="12"/>
      <c r="F240" s="12"/>
      <c r="G240" s="18"/>
      <c r="H240" s="35"/>
      <c r="I240" s="35"/>
      <c r="J240" s="12"/>
      <c r="O240" s="12"/>
      <c r="P240" s="18"/>
      <c r="Q240" s="12"/>
      <c r="R240" s="12"/>
      <c r="S240" s="12"/>
      <c r="T240" s="36"/>
      <c r="U240" s="36"/>
      <c r="V240" s="12"/>
      <c r="W240" s="12"/>
      <c r="X240" s="12"/>
      <c r="Y240" s="12"/>
    </row>
    <row r="241" customFormat="false" ht="15.75" hidden="false" customHeight="false" outlineLevel="0" collapsed="false">
      <c r="A241" s="12"/>
      <c r="B241" s="34"/>
      <c r="C241" s="12"/>
      <c r="D241" s="12"/>
      <c r="E241" s="12"/>
      <c r="F241" s="12"/>
      <c r="G241" s="18"/>
      <c r="H241" s="35"/>
      <c r="I241" s="35"/>
      <c r="J241" s="12"/>
      <c r="O241" s="12"/>
      <c r="P241" s="18"/>
      <c r="Q241" s="12"/>
      <c r="R241" s="12"/>
      <c r="S241" s="12"/>
      <c r="T241" s="36"/>
      <c r="U241" s="36"/>
      <c r="V241" s="12"/>
      <c r="W241" s="12"/>
      <c r="X241" s="12"/>
      <c r="Y241" s="12"/>
    </row>
    <row r="242" customFormat="false" ht="15.75" hidden="false" customHeight="false" outlineLevel="0" collapsed="false">
      <c r="A242" s="12"/>
      <c r="B242" s="34"/>
      <c r="C242" s="12"/>
      <c r="D242" s="12"/>
      <c r="E242" s="12"/>
      <c r="F242" s="12"/>
      <c r="G242" s="18"/>
      <c r="H242" s="35"/>
      <c r="I242" s="35"/>
      <c r="J242" s="12"/>
      <c r="O242" s="12"/>
      <c r="P242" s="18"/>
      <c r="Q242" s="12"/>
      <c r="R242" s="12"/>
      <c r="S242" s="12"/>
      <c r="T242" s="36"/>
      <c r="U242" s="36"/>
      <c r="V242" s="12"/>
      <c r="W242" s="12"/>
      <c r="X242" s="12"/>
      <c r="Y242" s="12"/>
    </row>
    <row r="243" customFormat="false" ht="15.75" hidden="false" customHeight="false" outlineLevel="0" collapsed="false">
      <c r="A243" s="12"/>
      <c r="B243" s="34"/>
      <c r="C243" s="12"/>
      <c r="D243" s="12"/>
      <c r="E243" s="12"/>
      <c r="F243" s="12"/>
      <c r="G243" s="18"/>
      <c r="H243" s="35"/>
      <c r="I243" s="35"/>
      <c r="J243" s="12"/>
      <c r="O243" s="12"/>
      <c r="P243" s="18"/>
      <c r="Q243" s="12"/>
      <c r="R243" s="12"/>
      <c r="S243" s="12"/>
      <c r="T243" s="36"/>
      <c r="U243" s="36"/>
      <c r="V243" s="12"/>
      <c r="W243" s="12"/>
      <c r="X243" s="12"/>
      <c r="Y243" s="12"/>
    </row>
    <row r="244" customFormat="false" ht="15.75" hidden="false" customHeight="false" outlineLevel="0" collapsed="false">
      <c r="A244" s="12"/>
      <c r="B244" s="34"/>
      <c r="C244" s="12"/>
      <c r="D244" s="12"/>
      <c r="E244" s="12"/>
      <c r="F244" s="12"/>
      <c r="G244" s="18"/>
      <c r="H244" s="35"/>
      <c r="I244" s="35"/>
      <c r="J244" s="12"/>
      <c r="O244" s="12"/>
      <c r="P244" s="18"/>
      <c r="Q244" s="12"/>
      <c r="R244" s="12"/>
      <c r="S244" s="12"/>
      <c r="T244" s="36"/>
      <c r="U244" s="36"/>
      <c r="V244" s="12"/>
      <c r="W244" s="12"/>
      <c r="X244" s="12"/>
      <c r="Y244" s="12"/>
    </row>
    <row r="245" customFormat="false" ht="15.75" hidden="false" customHeight="false" outlineLevel="0" collapsed="false">
      <c r="A245" s="12"/>
      <c r="B245" s="34"/>
      <c r="C245" s="12"/>
      <c r="D245" s="12"/>
      <c r="E245" s="12"/>
      <c r="F245" s="12"/>
      <c r="G245" s="18"/>
      <c r="H245" s="35"/>
      <c r="I245" s="35"/>
      <c r="J245" s="12"/>
      <c r="O245" s="12"/>
      <c r="P245" s="18"/>
      <c r="Q245" s="12"/>
      <c r="R245" s="12"/>
      <c r="S245" s="12"/>
      <c r="T245" s="36"/>
      <c r="U245" s="36"/>
      <c r="V245" s="12"/>
      <c r="W245" s="12"/>
      <c r="X245" s="12"/>
      <c r="Y245" s="12"/>
    </row>
    <row r="246" customFormat="false" ht="15.75" hidden="false" customHeight="false" outlineLevel="0" collapsed="false">
      <c r="A246" s="12"/>
      <c r="B246" s="34"/>
      <c r="C246" s="12"/>
      <c r="D246" s="12"/>
      <c r="E246" s="12"/>
      <c r="F246" s="12"/>
      <c r="G246" s="18"/>
      <c r="H246" s="35"/>
      <c r="I246" s="35"/>
      <c r="J246" s="12"/>
      <c r="O246" s="12"/>
      <c r="P246" s="18"/>
      <c r="Q246" s="12"/>
      <c r="R246" s="12"/>
      <c r="S246" s="12"/>
      <c r="T246" s="36"/>
      <c r="U246" s="36"/>
      <c r="V246" s="12"/>
      <c r="W246" s="12"/>
      <c r="X246" s="12"/>
      <c r="Y246" s="12"/>
    </row>
    <row r="247" customFormat="false" ht="15.75" hidden="false" customHeight="false" outlineLevel="0" collapsed="false">
      <c r="A247" s="12"/>
      <c r="B247" s="34"/>
      <c r="C247" s="12"/>
      <c r="D247" s="12"/>
      <c r="E247" s="12"/>
      <c r="F247" s="12"/>
      <c r="G247" s="18"/>
      <c r="H247" s="35"/>
      <c r="I247" s="35"/>
      <c r="J247" s="12"/>
      <c r="O247" s="12"/>
      <c r="P247" s="18"/>
      <c r="Q247" s="12"/>
      <c r="R247" s="12"/>
      <c r="S247" s="12"/>
      <c r="T247" s="36"/>
      <c r="U247" s="36"/>
      <c r="V247" s="12"/>
      <c r="W247" s="12"/>
      <c r="X247" s="12"/>
      <c r="Y247" s="12"/>
    </row>
    <row r="248" customFormat="false" ht="15.75" hidden="false" customHeight="false" outlineLevel="0" collapsed="false">
      <c r="A248" s="12"/>
      <c r="B248" s="34"/>
      <c r="C248" s="12"/>
      <c r="D248" s="12"/>
      <c r="E248" s="12"/>
      <c r="F248" s="12"/>
      <c r="G248" s="18"/>
      <c r="H248" s="35"/>
      <c r="I248" s="35"/>
      <c r="J248" s="12"/>
      <c r="O248" s="12"/>
      <c r="P248" s="18"/>
      <c r="Q248" s="12"/>
      <c r="R248" s="12"/>
      <c r="S248" s="12"/>
      <c r="T248" s="36"/>
      <c r="U248" s="36"/>
      <c r="V248" s="12"/>
      <c r="W248" s="12"/>
      <c r="X248" s="12"/>
      <c r="Y248" s="12"/>
    </row>
    <row r="249" customFormat="false" ht="15.75" hidden="false" customHeight="false" outlineLevel="0" collapsed="false">
      <c r="A249" s="12"/>
      <c r="B249" s="34"/>
      <c r="C249" s="12"/>
      <c r="D249" s="12"/>
      <c r="E249" s="12"/>
      <c r="F249" s="12"/>
      <c r="G249" s="18"/>
      <c r="H249" s="35"/>
      <c r="I249" s="35"/>
      <c r="J249" s="12"/>
      <c r="O249" s="12"/>
      <c r="P249" s="18"/>
      <c r="Q249" s="12"/>
      <c r="R249" s="12"/>
      <c r="S249" s="12"/>
      <c r="T249" s="36"/>
      <c r="U249" s="36"/>
      <c r="V249" s="12"/>
      <c r="W249" s="12"/>
      <c r="X249" s="12"/>
      <c r="Y249" s="12"/>
    </row>
    <row r="250" customFormat="false" ht="15.75" hidden="false" customHeight="false" outlineLevel="0" collapsed="false">
      <c r="A250" s="12"/>
      <c r="B250" s="34"/>
      <c r="C250" s="12"/>
      <c r="D250" s="12"/>
      <c r="E250" s="12"/>
      <c r="F250" s="12"/>
      <c r="G250" s="18"/>
      <c r="H250" s="35"/>
      <c r="I250" s="35"/>
      <c r="J250" s="12"/>
      <c r="O250" s="12"/>
      <c r="P250" s="18"/>
      <c r="Q250" s="12"/>
      <c r="R250" s="12"/>
      <c r="S250" s="12"/>
      <c r="T250" s="36"/>
      <c r="U250" s="36"/>
      <c r="V250" s="12"/>
      <c r="W250" s="12"/>
      <c r="X250" s="12"/>
      <c r="Y250" s="12"/>
    </row>
    <row r="251" customFormat="false" ht="15.75" hidden="false" customHeight="false" outlineLevel="0" collapsed="false">
      <c r="A251" s="12"/>
      <c r="B251" s="34"/>
      <c r="C251" s="12"/>
      <c r="D251" s="12"/>
      <c r="E251" s="12"/>
      <c r="F251" s="12"/>
      <c r="G251" s="18"/>
      <c r="H251" s="35"/>
      <c r="I251" s="35"/>
      <c r="J251" s="12"/>
      <c r="O251" s="12"/>
      <c r="P251" s="18"/>
      <c r="Q251" s="12"/>
      <c r="R251" s="12"/>
      <c r="S251" s="12"/>
      <c r="T251" s="36"/>
      <c r="U251" s="36"/>
      <c r="V251" s="12"/>
      <c r="W251" s="12"/>
      <c r="X251" s="12"/>
      <c r="Y251" s="12"/>
    </row>
    <row r="252" customFormat="false" ht="15.75" hidden="false" customHeight="false" outlineLevel="0" collapsed="false">
      <c r="A252" s="12"/>
      <c r="B252" s="34"/>
      <c r="C252" s="12"/>
      <c r="D252" s="12"/>
      <c r="E252" s="12"/>
      <c r="F252" s="12"/>
      <c r="G252" s="18"/>
      <c r="H252" s="35"/>
      <c r="I252" s="35"/>
      <c r="J252" s="12"/>
      <c r="O252" s="12"/>
      <c r="P252" s="18"/>
      <c r="Q252" s="12"/>
      <c r="R252" s="12"/>
      <c r="S252" s="12"/>
      <c r="T252" s="36"/>
      <c r="U252" s="36"/>
      <c r="V252" s="12"/>
      <c r="W252" s="12"/>
      <c r="X252" s="12"/>
      <c r="Y252" s="12"/>
    </row>
    <row r="253" customFormat="false" ht="15.75" hidden="false" customHeight="false" outlineLevel="0" collapsed="false">
      <c r="A253" s="12"/>
      <c r="B253" s="34"/>
      <c r="C253" s="12"/>
      <c r="D253" s="12"/>
      <c r="E253" s="12"/>
      <c r="F253" s="12"/>
      <c r="G253" s="18"/>
      <c r="H253" s="35"/>
      <c r="I253" s="35"/>
      <c r="J253" s="12"/>
      <c r="O253" s="12"/>
      <c r="P253" s="18"/>
      <c r="Q253" s="12"/>
      <c r="R253" s="12"/>
      <c r="S253" s="12"/>
      <c r="T253" s="36"/>
      <c r="U253" s="36"/>
      <c r="V253" s="12"/>
      <c r="W253" s="12"/>
      <c r="X253" s="12"/>
      <c r="Y253" s="12"/>
    </row>
    <row r="254" customFormat="false" ht="15.75" hidden="false" customHeight="false" outlineLevel="0" collapsed="false">
      <c r="A254" s="12"/>
      <c r="B254" s="34"/>
      <c r="C254" s="12"/>
      <c r="D254" s="12"/>
      <c r="E254" s="12"/>
      <c r="F254" s="12"/>
      <c r="G254" s="18"/>
      <c r="H254" s="35"/>
      <c r="I254" s="35"/>
      <c r="J254" s="12"/>
      <c r="O254" s="12"/>
      <c r="P254" s="18"/>
      <c r="Q254" s="12"/>
      <c r="R254" s="12"/>
      <c r="S254" s="12"/>
      <c r="T254" s="36"/>
      <c r="U254" s="36"/>
      <c r="V254" s="12"/>
      <c r="W254" s="12"/>
      <c r="X254" s="12"/>
      <c r="Y254" s="12"/>
    </row>
    <row r="255" customFormat="false" ht="15.75" hidden="false" customHeight="false" outlineLevel="0" collapsed="false">
      <c r="A255" s="12"/>
      <c r="B255" s="34"/>
      <c r="C255" s="12"/>
      <c r="D255" s="12"/>
      <c r="E255" s="12"/>
      <c r="F255" s="12"/>
      <c r="G255" s="18"/>
      <c r="H255" s="35"/>
      <c r="I255" s="35"/>
      <c r="J255" s="12"/>
      <c r="O255" s="12"/>
      <c r="P255" s="18"/>
      <c r="Q255" s="12"/>
      <c r="R255" s="12"/>
      <c r="S255" s="12"/>
      <c r="T255" s="36"/>
      <c r="U255" s="36"/>
      <c r="V255" s="12"/>
      <c r="W255" s="12"/>
      <c r="X255" s="12"/>
      <c r="Y255" s="12"/>
    </row>
    <row r="256" customFormat="false" ht="15.75" hidden="false" customHeight="false" outlineLevel="0" collapsed="false">
      <c r="A256" s="12"/>
      <c r="B256" s="34"/>
      <c r="C256" s="12"/>
      <c r="D256" s="12"/>
      <c r="E256" s="12"/>
      <c r="F256" s="12"/>
      <c r="G256" s="18"/>
      <c r="H256" s="35"/>
      <c r="I256" s="35"/>
      <c r="J256" s="12"/>
      <c r="O256" s="12"/>
      <c r="P256" s="18"/>
      <c r="Q256" s="12"/>
      <c r="R256" s="12"/>
      <c r="S256" s="12"/>
      <c r="T256" s="36"/>
      <c r="U256" s="36"/>
      <c r="V256" s="12"/>
      <c r="W256" s="12"/>
      <c r="X256" s="12"/>
      <c r="Y256" s="12"/>
    </row>
    <row r="257" customFormat="false" ht="15.75" hidden="false" customHeight="false" outlineLevel="0" collapsed="false">
      <c r="A257" s="12"/>
      <c r="B257" s="34"/>
      <c r="C257" s="12"/>
      <c r="D257" s="12"/>
      <c r="E257" s="12"/>
      <c r="F257" s="12"/>
      <c r="G257" s="18"/>
      <c r="H257" s="35"/>
      <c r="I257" s="35"/>
      <c r="J257" s="12"/>
      <c r="O257" s="12"/>
      <c r="P257" s="18"/>
      <c r="Q257" s="12"/>
      <c r="R257" s="12"/>
      <c r="S257" s="12"/>
      <c r="T257" s="36"/>
      <c r="U257" s="36"/>
      <c r="V257" s="12"/>
      <c r="W257" s="12"/>
      <c r="X257" s="12"/>
      <c r="Y257" s="12"/>
    </row>
    <row r="258" customFormat="false" ht="15.75" hidden="false" customHeight="false" outlineLevel="0" collapsed="false">
      <c r="A258" s="12"/>
      <c r="B258" s="34"/>
      <c r="C258" s="12"/>
      <c r="D258" s="12"/>
      <c r="E258" s="12"/>
      <c r="F258" s="12"/>
      <c r="G258" s="18"/>
      <c r="H258" s="35"/>
      <c r="I258" s="35"/>
      <c r="J258" s="12"/>
      <c r="O258" s="12"/>
      <c r="P258" s="18"/>
      <c r="Q258" s="12"/>
      <c r="R258" s="12"/>
      <c r="S258" s="12"/>
      <c r="T258" s="36"/>
      <c r="U258" s="36"/>
      <c r="V258" s="12"/>
      <c r="W258" s="12"/>
      <c r="X258" s="12"/>
      <c r="Y258" s="12"/>
    </row>
    <row r="259" customFormat="false" ht="15.75" hidden="false" customHeight="false" outlineLevel="0" collapsed="false">
      <c r="A259" s="12"/>
      <c r="B259" s="34"/>
      <c r="C259" s="12"/>
      <c r="D259" s="12"/>
      <c r="E259" s="12"/>
      <c r="F259" s="12"/>
      <c r="G259" s="18"/>
      <c r="H259" s="35"/>
      <c r="I259" s="35"/>
      <c r="J259" s="12"/>
      <c r="O259" s="12"/>
      <c r="P259" s="18"/>
      <c r="Q259" s="12"/>
      <c r="R259" s="12"/>
      <c r="S259" s="12"/>
      <c r="T259" s="36"/>
      <c r="U259" s="36"/>
      <c r="V259" s="12"/>
      <c r="W259" s="12"/>
      <c r="X259" s="12"/>
      <c r="Y259" s="12"/>
    </row>
    <row r="260" customFormat="false" ht="15.75" hidden="false" customHeight="false" outlineLevel="0" collapsed="false">
      <c r="A260" s="12"/>
      <c r="B260" s="34"/>
      <c r="C260" s="12"/>
      <c r="D260" s="12"/>
      <c r="E260" s="12"/>
      <c r="F260" s="12"/>
      <c r="G260" s="18"/>
      <c r="H260" s="35"/>
      <c r="I260" s="35"/>
      <c r="J260" s="12"/>
      <c r="O260" s="12"/>
      <c r="P260" s="18"/>
      <c r="Q260" s="12"/>
      <c r="R260" s="12"/>
      <c r="S260" s="12"/>
      <c r="T260" s="36"/>
      <c r="U260" s="36"/>
      <c r="V260" s="12"/>
      <c r="W260" s="12"/>
      <c r="X260" s="12"/>
      <c r="Y260" s="12"/>
    </row>
    <row r="261" customFormat="false" ht="15.75" hidden="false" customHeight="false" outlineLevel="0" collapsed="false">
      <c r="A261" s="12"/>
      <c r="B261" s="34"/>
      <c r="C261" s="12"/>
      <c r="D261" s="12"/>
      <c r="E261" s="12"/>
      <c r="F261" s="12"/>
      <c r="G261" s="18"/>
      <c r="H261" s="35"/>
      <c r="I261" s="35"/>
      <c r="J261" s="12"/>
      <c r="O261" s="12"/>
      <c r="P261" s="18"/>
      <c r="Q261" s="12"/>
      <c r="R261" s="12"/>
      <c r="S261" s="12"/>
      <c r="T261" s="36"/>
      <c r="U261" s="36"/>
      <c r="V261" s="12"/>
      <c r="W261" s="12"/>
      <c r="X261" s="12"/>
      <c r="Y261" s="12"/>
    </row>
    <row r="262" customFormat="false" ht="15.75" hidden="false" customHeight="false" outlineLevel="0" collapsed="false">
      <c r="A262" s="12"/>
      <c r="B262" s="34"/>
      <c r="C262" s="12"/>
      <c r="D262" s="12"/>
      <c r="E262" s="12"/>
      <c r="F262" s="12"/>
      <c r="G262" s="18"/>
      <c r="H262" s="35"/>
      <c r="I262" s="35"/>
      <c r="J262" s="12"/>
      <c r="O262" s="12"/>
      <c r="P262" s="18"/>
      <c r="Q262" s="12"/>
      <c r="R262" s="12"/>
      <c r="S262" s="12"/>
      <c r="T262" s="36"/>
      <c r="U262" s="36"/>
      <c r="V262" s="12"/>
      <c r="W262" s="12"/>
      <c r="X262" s="12"/>
      <c r="Y262" s="12"/>
    </row>
    <row r="263" customFormat="false" ht="15.75" hidden="false" customHeight="false" outlineLevel="0" collapsed="false">
      <c r="A263" s="12"/>
      <c r="B263" s="34"/>
      <c r="C263" s="12"/>
      <c r="D263" s="12"/>
      <c r="E263" s="12"/>
      <c r="F263" s="12"/>
      <c r="G263" s="18"/>
      <c r="H263" s="35"/>
      <c r="I263" s="35"/>
      <c r="J263" s="12"/>
      <c r="O263" s="12"/>
      <c r="P263" s="18"/>
      <c r="Q263" s="12"/>
      <c r="R263" s="12"/>
      <c r="S263" s="12"/>
      <c r="T263" s="36"/>
      <c r="U263" s="36"/>
      <c r="V263" s="12"/>
      <c r="W263" s="12"/>
      <c r="X263" s="12"/>
      <c r="Y263" s="12"/>
    </row>
    <row r="264" customFormat="false" ht="15.75" hidden="false" customHeight="false" outlineLevel="0" collapsed="false">
      <c r="A264" s="12"/>
      <c r="B264" s="34"/>
      <c r="C264" s="12"/>
      <c r="D264" s="12"/>
      <c r="E264" s="12"/>
      <c r="F264" s="12"/>
      <c r="G264" s="18"/>
      <c r="H264" s="35"/>
      <c r="I264" s="35"/>
      <c r="J264" s="12"/>
      <c r="O264" s="12"/>
      <c r="P264" s="18"/>
      <c r="Q264" s="12"/>
      <c r="R264" s="12"/>
      <c r="S264" s="12"/>
      <c r="T264" s="36"/>
      <c r="U264" s="36"/>
      <c r="V264" s="12"/>
      <c r="W264" s="12"/>
      <c r="X264" s="12"/>
      <c r="Y264" s="12"/>
    </row>
    <row r="265" customFormat="false" ht="15.75" hidden="false" customHeight="false" outlineLevel="0" collapsed="false">
      <c r="A265" s="12"/>
      <c r="B265" s="34"/>
      <c r="C265" s="12"/>
      <c r="D265" s="12"/>
      <c r="E265" s="12"/>
      <c r="F265" s="12"/>
      <c r="G265" s="18"/>
      <c r="H265" s="35"/>
      <c r="I265" s="35"/>
      <c r="J265" s="12"/>
      <c r="O265" s="12"/>
      <c r="P265" s="18"/>
      <c r="Q265" s="12"/>
      <c r="R265" s="12"/>
      <c r="S265" s="12"/>
      <c r="T265" s="36"/>
      <c r="U265" s="36"/>
      <c r="V265" s="12"/>
      <c r="W265" s="12"/>
      <c r="X265" s="12"/>
      <c r="Y265" s="12"/>
    </row>
    <row r="266" customFormat="false" ht="15.75" hidden="false" customHeight="false" outlineLevel="0" collapsed="false">
      <c r="A266" s="12"/>
      <c r="B266" s="34"/>
      <c r="C266" s="12"/>
      <c r="D266" s="12"/>
      <c r="E266" s="12"/>
      <c r="F266" s="12"/>
      <c r="G266" s="18"/>
      <c r="H266" s="35"/>
      <c r="I266" s="35"/>
      <c r="J266" s="12"/>
      <c r="O266" s="12"/>
      <c r="P266" s="18"/>
      <c r="Q266" s="12"/>
      <c r="R266" s="12"/>
      <c r="S266" s="12"/>
      <c r="T266" s="36"/>
      <c r="U266" s="36"/>
      <c r="V266" s="12"/>
      <c r="W266" s="12"/>
      <c r="X266" s="12"/>
      <c r="Y266" s="12"/>
    </row>
    <row r="267" customFormat="false" ht="15.75" hidden="false" customHeight="false" outlineLevel="0" collapsed="false">
      <c r="A267" s="12"/>
      <c r="B267" s="34"/>
      <c r="C267" s="12"/>
      <c r="D267" s="12"/>
      <c r="E267" s="12"/>
      <c r="F267" s="12"/>
      <c r="G267" s="18"/>
      <c r="H267" s="35"/>
      <c r="I267" s="35"/>
      <c r="J267" s="12"/>
      <c r="O267" s="12"/>
      <c r="P267" s="18"/>
      <c r="Q267" s="12"/>
      <c r="R267" s="12"/>
      <c r="S267" s="12"/>
      <c r="T267" s="36"/>
      <c r="U267" s="36"/>
      <c r="V267" s="12"/>
      <c r="W267" s="12"/>
      <c r="X267" s="12"/>
      <c r="Y267" s="12"/>
    </row>
    <row r="268" customFormat="false" ht="15.75" hidden="false" customHeight="false" outlineLevel="0" collapsed="false">
      <c r="A268" s="12"/>
      <c r="B268" s="34"/>
      <c r="C268" s="12"/>
      <c r="D268" s="12"/>
      <c r="E268" s="12"/>
      <c r="F268" s="12"/>
      <c r="G268" s="18"/>
      <c r="H268" s="35"/>
      <c r="I268" s="35"/>
      <c r="J268" s="12"/>
      <c r="O268" s="12"/>
      <c r="P268" s="18"/>
      <c r="Q268" s="12"/>
      <c r="R268" s="12"/>
      <c r="S268" s="12"/>
      <c r="T268" s="36"/>
      <c r="U268" s="36"/>
      <c r="V268" s="12"/>
      <c r="W268" s="12"/>
      <c r="X268" s="12"/>
      <c r="Y268" s="12"/>
    </row>
    <row r="269" customFormat="false" ht="15.75" hidden="false" customHeight="false" outlineLevel="0" collapsed="false">
      <c r="A269" s="12"/>
      <c r="B269" s="34"/>
      <c r="C269" s="12"/>
      <c r="D269" s="12"/>
      <c r="E269" s="12"/>
      <c r="F269" s="12"/>
      <c r="G269" s="18"/>
      <c r="H269" s="35"/>
      <c r="I269" s="35"/>
      <c r="J269" s="12"/>
      <c r="O269" s="12"/>
      <c r="P269" s="18"/>
      <c r="Q269" s="12"/>
      <c r="R269" s="12"/>
      <c r="S269" s="12"/>
      <c r="T269" s="36"/>
      <c r="U269" s="36"/>
      <c r="V269" s="12"/>
      <c r="W269" s="12"/>
      <c r="X269" s="12"/>
      <c r="Y269" s="12"/>
    </row>
    <row r="270" customFormat="false" ht="15.75" hidden="false" customHeight="false" outlineLevel="0" collapsed="false">
      <c r="A270" s="12"/>
      <c r="B270" s="34"/>
      <c r="C270" s="12"/>
      <c r="D270" s="12"/>
      <c r="E270" s="12"/>
      <c r="F270" s="12"/>
      <c r="G270" s="18"/>
      <c r="H270" s="35"/>
      <c r="I270" s="35"/>
      <c r="J270" s="12"/>
      <c r="O270" s="12"/>
      <c r="P270" s="18"/>
      <c r="Q270" s="12"/>
      <c r="R270" s="12"/>
      <c r="S270" s="12"/>
      <c r="T270" s="36"/>
      <c r="U270" s="36"/>
      <c r="V270" s="12"/>
      <c r="W270" s="12"/>
      <c r="X270" s="12"/>
      <c r="Y270" s="12"/>
    </row>
    <row r="271" customFormat="false" ht="15.75" hidden="false" customHeight="false" outlineLevel="0" collapsed="false">
      <c r="A271" s="12"/>
      <c r="B271" s="34"/>
      <c r="C271" s="12"/>
      <c r="D271" s="12"/>
      <c r="E271" s="12"/>
      <c r="F271" s="12"/>
      <c r="G271" s="18"/>
      <c r="H271" s="35"/>
      <c r="I271" s="35"/>
      <c r="J271" s="12"/>
      <c r="O271" s="12"/>
      <c r="P271" s="18"/>
      <c r="Q271" s="12"/>
      <c r="R271" s="12"/>
      <c r="S271" s="12"/>
      <c r="T271" s="36"/>
      <c r="U271" s="36"/>
      <c r="V271" s="12"/>
      <c r="W271" s="12"/>
      <c r="X271" s="12"/>
      <c r="Y271" s="12"/>
    </row>
    <row r="272" customFormat="false" ht="15.75" hidden="false" customHeight="false" outlineLevel="0" collapsed="false">
      <c r="A272" s="12"/>
      <c r="B272" s="34"/>
      <c r="C272" s="12"/>
      <c r="D272" s="12"/>
      <c r="E272" s="12"/>
      <c r="F272" s="12"/>
      <c r="G272" s="18"/>
      <c r="H272" s="35"/>
      <c r="I272" s="35"/>
      <c r="J272" s="12"/>
      <c r="O272" s="12"/>
      <c r="P272" s="18"/>
      <c r="Q272" s="12"/>
      <c r="R272" s="12"/>
      <c r="S272" s="12"/>
      <c r="T272" s="36"/>
      <c r="U272" s="36"/>
      <c r="V272" s="12"/>
      <c r="W272" s="12"/>
      <c r="X272" s="12"/>
      <c r="Y272" s="12"/>
    </row>
    <row r="273" customFormat="false" ht="15.75" hidden="false" customHeight="false" outlineLevel="0" collapsed="false">
      <c r="A273" s="12"/>
      <c r="B273" s="34"/>
      <c r="C273" s="12"/>
      <c r="D273" s="12"/>
      <c r="E273" s="12"/>
      <c r="F273" s="12"/>
      <c r="G273" s="18"/>
      <c r="H273" s="35"/>
      <c r="I273" s="35"/>
      <c r="J273" s="12"/>
      <c r="O273" s="12"/>
      <c r="P273" s="18"/>
      <c r="Q273" s="12"/>
      <c r="R273" s="12"/>
      <c r="S273" s="12"/>
      <c r="T273" s="36"/>
      <c r="U273" s="36"/>
      <c r="V273" s="12"/>
      <c r="W273" s="12"/>
      <c r="X273" s="12"/>
      <c r="Y273" s="12"/>
    </row>
    <row r="274" customFormat="false" ht="15.75" hidden="false" customHeight="false" outlineLevel="0" collapsed="false">
      <c r="A274" s="12"/>
      <c r="B274" s="34"/>
      <c r="C274" s="12"/>
      <c r="D274" s="12"/>
      <c r="E274" s="12"/>
      <c r="F274" s="12"/>
      <c r="G274" s="18"/>
      <c r="H274" s="35"/>
      <c r="I274" s="35"/>
      <c r="J274" s="12"/>
      <c r="O274" s="12"/>
      <c r="P274" s="18"/>
      <c r="Q274" s="12"/>
      <c r="R274" s="12"/>
      <c r="S274" s="12"/>
      <c r="T274" s="36"/>
      <c r="U274" s="36"/>
      <c r="V274" s="12"/>
      <c r="W274" s="12"/>
      <c r="X274" s="12"/>
      <c r="Y274" s="12"/>
    </row>
    <row r="275" customFormat="false" ht="15.75" hidden="false" customHeight="false" outlineLevel="0" collapsed="false">
      <c r="A275" s="12"/>
      <c r="B275" s="34"/>
      <c r="C275" s="12"/>
      <c r="D275" s="12"/>
      <c r="E275" s="12"/>
      <c r="F275" s="12"/>
      <c r="G275" s="18"/>
      <c r="H275" s="35"/>
      <c r="I275" s="35"/>
      <c r="J275" s="12"/>
      <c r="O275" s="12"/>
      <c r="P275" s="18"/>
      <c r="Q275" s="12"/>
      <c r="R275" s="12"/>
      <c r="S275" s="12"/>
      <c r="T275" s="36"/>
      <c r="U275" s="36"/>
      <c r="V275" s="12"/>
      <c r="W275" s="12"/>
      <c r="X275" s="12"/>
      <c r="Y275" s="12"/>
    </row>
    <row r="276" customFormat="false" ht="15.75" hidden="false" customHeight="false" outlineLevel="0" collapsed="false">
      <c r="A276" s="12"/>
      <c r="B276" s="34"/>
      <c r="C276" s="12"/>
      <c r="D276" s="12"/>
      <c r="E276" s="12"/>
      <c r="F276" s="12"/>
      <c r="G276" s="18"/>
      <c r="H276" s="35"/>
      <c r="I276" s="35"/>
      <c r="J276" s="12"/>
      <c r="O276" s="12"/>
      <c r="P276" s="18"/>
      <c r="Q276" s="12"/>
      <c r="R276" s="12"/>
      <c r="S276" s="12"/>
      <c r="T276" s="36"/>
      <c r="U276" s="36"/>
      <c r="V276" s="12"/>
      <c r="W276" s="12"/>
      <c r="X276" s="12"/>
      <c r="Y276" s="12"/>
    </row>
    <row r="277" customFormat="false" ht="15.75" hidden="false" customHeight="false" outlineLevel="0" collapsed="false">
      <c r="A277" s="12"/>
      <c r="B277" s="34"/>
      <c r="C277" s="12"/>
      <c r="D277" s="12"/>
      <c r="E277" s="12"/>
      <c r="F277" s="12"/>
      <c r="G277" s="18"/>
      <c r="H277" s="35"/>
      <c r="I277" s="35"/>
      <c r="J277" s="12"/>
      <c r="O277" s="12"/>
      <c r="P277" s="18"/>
      <c r="Q277" s="12"/>
      <c r="R277" s="12"/>
      <c r="S277" s="12"/>
      <c r="T277" s="36"/>
      <c r="U277" s="36"/>
      <c r="V277" s="12"/>
      <c r="W277" s="12"/>
      <c r="X277" s="12"/>
      <c r="Y277" s="12"/>
    </row>
    <row r="278" customFormat="false" ht="15.75" hidden="false" customHeight="false" outlineLevel="0" collapsed="false">
      <c r="A278" s="12"/>
      <c r="B278" s="34"/>
      <c r="C278" s="12"/>
      <c r="D278" s="12"/>
      <c r="E278" s="12"/>
      <c r="F278" s="12"/>
      <c r="G278" s="18"/>
      <c r="H278" s="35"/>
      <c r="I278" s="35"/>
      <c r="J278" s="12"/>
      <c r="O278" s="12"/>
      <c r="P278" s="18"/>
      <c r="Q278" s="12"/>
      <c r="R278" s="12"/>
      <c r="S278" s="12"/>
      <c r="T278" s="36"/>
      <c r="U278" s="36"/>
      <c r="V278" s="12"/>
      <c r="W278" s="12"/>
      <c r="X278" s="12"/>
      <c r="Y278" s="12"/>
    </row>
    <row r="279" customFormat="false" ht="15.75" hidden="false" customHeight="false" outlineLevel="0" collapsed="false">
      <c r="A279" s="12"/>
      <c r="B279" s="34"/>
      <c r="C279" s="12"/>
      <c r="D279" s="12"/>
      <c r="E279" s="12"/>
      <c r="F279" s="12"/>
      <c r="G279" s="18"/>
      <c r="H279" s="35"/>
      <c r="I279" s="35"/>
      <c r="J279" s="12"/>
      <c r="O279" s="12"/>
      <c r="P279" s="18"/>
      <c r="Q279" s="12"/>
      <c r="R279" s="12"/>
      <c r="S279" s="12"/>
      <c r="T279" s="36"/>
      <c r="U279" s="36"/>
      <c r="V279" s="12"/>
      <c r="W279" s="12"/>
      <c r="X279" s="12"/>
      <c r="Y279" s="12"/>
    </row>
    <row r="280" customFormat="false" ht="15.75" hidden="false" customHeight="false" outlineLevel="0" collapsed="false">
      <c r="A280" s="12"/>
      <c r="B280" s="34"/>
      <c r="C280" s="12"/>
      <c r="D280" s="12"/>
      <c r="E280" s="12"/>
      <c r="F280" s="12"/>
      <c r="G280" s="18"/>
      <c r="H280" s="35"/>
      <c r="I280" s="35"/>
      <c r="J280" s="12"/>
      <c r="O280" s="12"/>
      <c r="P280" s="18"/>
      <c r="Q280" s="12"/>
      <c r="R280" s="12"/>
      <c r="S280" s="12"/>
      <c r="T280" s="36"/>
      <c r="U280" s="36"/>
      <c r="V280" s="12"/>
      <c r="W280" s="12"/>
      <c r="X280" s="12"/>
      <c r="Y280" s="12"/>
    </row>
    <row r="281" customFormat="false" ht="15.75" hidden="false" customHeight="false" outlineLevel="0" collapsed="false">
      <c r="A281" s="12"/>
      <c r="B281" s="34"/>
      <c r="C281" s="12"/>
      <c r="D281" s="12"/>
      <c r="E281" s="12"/>
      <c r="F281" s="12"/>
      <c r="G281" s="18"/>
      <c r="H281" s="35"/>
      <c r="I281" s="35"/>
      <c r="J281" s="12"/>
      <c r="O281" s="12"/>
      <c r="P281" s="18"/>
      <c r="Q281" s="12"/>
      <c r="R281" s="12"/>
      <c r="S281" s="12"/>
      <c r="T281" s="36"/>
      <c r="U281" s="36"/>
      <c r="V281" s="12"/>
      <c r="W281" s="12"/>
      <c r="X281" s="12"/>
      <c r="Y281" s="12"/>
    </row>
    <row r="282" customFormat="false" ht="15.75" hidden="false" customHeight="false" outlineLevel="0" collapsed="false">
      <c r="A282" s="12"/>
      <c r="B282" s="34"/>
      <c r="C282" s="12"/>
      <c r="D282" s="12"/>
      <c r="E282" s="12"/>
      <c r="F282" s="12"/>
      <c r="G282" s="18"/>
      <c r="H282" s="35"/>
      <c r="I282" s="35"/>
      <c r="J282" s="12"/>
      <c r="O282" s="12"/>
      <c r="P282" s="18"/>
      <c r="Q282" s="12"/>
      <c r="R282" s="12"/>
      <c r="S282" s="12"/>
      <c r="T282" s="36"/>
      <c r="U282" s="36"/>
      <c r="V282" s="12"/>
      <c r="W282" s="12"/>
      <c r="X282" s="12"/>
      <c r="Y282" s="12"/>
    </row>
    <row r="283" customFormat="false" ht="15.75" hidden="false" customHeight="false" outlineLevel="0" collapsed="false">
      <c r="A283" s="12"/>
      <c r="B283" s="34"/>
      <c r="C283" s="12"/>
      <c r="D283" s="12"/>
      <c r="E283" s="12"/>
      <c r="F283" s="12"/>
      <c r="G283" s="18"/>
      <c r="H283" s="35"/>
      <c r="I283" s="35"/>
      <c r="J283" s="12"/>
      <c r="O283" s="12"/>
      <c r="P283" s="18"/>
      <c r="Q283" s="12"/>
      <c r="R283" s="12"/>
      <c r="S283" s="12"/>
      <c r="T283" s="36"/>
      <c r="U283" s="36"/>
      <c r="V283" s="12"/>
      <c r="W283" s="12"/>
      <c r="X283" s="12"/>
      <c r="Y283" s="12"/>
    </row>
    <row r="284" customFormat="false" ht="15.75" hidden="false" customHeight="false" outlineLevel="0" collapsed="false">
      <c r="A284" s="12"/>
      <c r="B284" s="34"/>
      <c r="C284" s="12"/>
      <c r="D284" s="12"/>
      <c r="E284" s="12"/>
      <c r="F284" s="12"/>
      <c r="G284" s="18"/>
      <c r="H284" s="35"/>
      <c r="I284" s="35"/>
      <c r="J284" s="12"/>
      <c r="O284" s="12"/>
      <c r="P284" s="18"/>
      <c r="Q284" s="12"/>
      <c r="R284" s="12"/>
      <c r="S284" s="12"/>
      <c r="T284" s="36"/>
      <c r="U284" s="36"/>
      <c r="V284" s="12"/>
      <c r="W284" s="12"/>
      <c r="X284" s="12"/>
      <c r="Y284" s="12"/>
    </row>
    <row r="285" customFormat="false" ht="15.75" hidden="false" customHeight="false" outlineLevel="0" collapsed="false">
      <c r="A285" s="12"/>
      <c r="B285" s="34"/>
      <c r="C285" s="12"/>
      <c r="D285" s="12"/>
      <c r="E285" s="12"/>
      <c r="F285" s="12"/>
      <c r="G285" s="18"/>
      <c r="H285" s="35"/>
      <c r="I285" s="35"/>
      <c r="J285" s="12"/>
      <c r="O285" s="12"/>
      <c r="P285" s="18"/>
      <c r="Q285" s="12"/>
      <c r="R285" s="12"/>
      <c r="S285" s="12"/>
      <c r="T285" s="36"/>
      <c r="U285" s="36"/>
      <c r="V285" s="12"/>
      <c r="W285" s="12"/>
      <c r="X285" s="12"/>
      <c r="Y285" s="12"/>
    </row>
    <row r="286" customFormat="false" ht="15.75" hidden="false" customHeight="false" outlineLevel="0" collapsed="false">
      <c r="A286" s="12"/>
      <c r="B286" s="34"/>
      <c r="C286" s="12"/>
      <c r="D286" s="12"/>
      <c r="E286" s="12"/>
      <c r="F286" s="12"/>
      <c r="G286" s="18"/>
      <c r="H286" s="35"/>
      <c r="I286" s="35"/>
      <c r="J286" s="12"/>
      <c r="O286" s="12"/>
      <c r="P286" s="18"/>
      <c r="Q286" s="12"/>
      <c r="R286" s="12"/>
      <c r="S286" s="12"/>
      <c r="T286" s="36"/>
      <c r="U286" s="36"/>
      <c r="V286" s="12"/>
      <c r="W286" s="12"/>
      <c r="X286" s="12"/>
      <c r="Y286" s="12"/>
    </row>
    <row r="287" customFormat="false" ht="15.75" hidden="false" customHeight="false" outlineLevel="0" collapsed="false">
      <c r="A287" s="12"/>
      <c r="B287" s="34"/>
      <c r="C287" s="12"/>
      <c r="D287" s="12"/>
      <c r="E287" s="12"/>
      <c r="F287" s="12"/>
      <c r="G287" s="18"/>
      <c r="H287" s="35"/>
      <c r="I287" s="35"/>
      <c r="J287" s="12"/>
      <c r="O287" s="12"/>
      <c r="P287" s="18"/>
      <c r="Q287" s="12"/>
      <c r="R287" s="12"/>
      <c r="S287" s="12"/>
      <c r="T287" s="36"/>
      <c r="U287" s="36"/>
      <c r="V287" s="12"/>
      <c r="W287" s="12"/>
      <c r="X287" s="12"/>
      <c r="Y287" s="12"/>
    </row>
    <row r="288" customFormat="false" ht="15.75" hidden="false" customHeight="false" outlineLevel="0" collapsed="false">
      <c r="A288" s="12"/>
      <c r="B288" s="34"/>
      <c r="C288" s="12"/>
      <c r="D288" s="12"/>
      <c r="E288" s="12"/>
      <c r="F288" s="12"/>
      <c r="G288" s="18"/>
      <c r="H288" s="35"/>
      <c r="I288" s="35"/>
      <c r="J288" s="12"/>
      <c r="O288" s="12"/>
      <c r="P288" s="18"/>
      <c r="Q288" s="12"/>
      <c r="R288" s="12"/>
      <c r="S288" s="12"/>
      <c r="T288" s="36"/>
      <c r="U288" s="36"/>
      <c r="V288" s="12"/>
      <c r="W288" s="12"/>
      <c r="X288" s="12"/>
      <c r="Y288" s="12"/>
    </row>
    <row r="289" customFormat="false" ht="15.75" hidden="false" customHeight="false" outlineLevel="0" collapsed="false">
      <c r="A289" s="12"/>
      <c r="B289" s="34"/>
      <c r="C289" s="12"/>
      <c r="D289" s="12"/>
      <c r="E289" s="12"/>
      <c r="F289" s="12"/>
      <c r="G289" s="18"/>
      <c r="H289" s="35"/>
      <c r="I289" s="35"/>
      <c r="J289" s="12"/>
      <c r="O289" s="12"/>
      <c r="P289" s="18"/>
      <c r="Q289" s="12"/>
      <c r="R289" s="12"/>
      <c r="S289" s="12"/>
      <c r="T289" s="36"/>
      <c r="U289" s="36"/>
      <c r="V289" s="12"/>
      <c r="W289" s="12"/>
      <c r="X289" s="12"/>
      <c r="Y289" s="12"/>
    </row>
    <row r="290" customFormat="false" ht="15.75" hidden="false" customHeight="false" outlineLevel="0" collapsed="false">
      <c r="A290" s="12"/>
      <c r="B290" s="34"/>
      <c r="C290" s="12"/>
      <c r="D290" s="12"/>
      <c r="E290" s="12"/>
      <c r="F290" s="12"/>
      <c r="G290" s="18"/>
      <c r="H290" s="35"/>
      <c r="I290" s="35"/>
      <c r="J290" s="12"/>
      <c r="O290" s="12"/>
      <c r="P290" s="18"/>
      <c r="Q290" s="12"/>
      <c r="R290" s="12"/>
      <c r="S290" s="12"/>
      <c r="T290" s="36"/>
      <c r="U290" s="36"/>
      <c r="V290" s="12"/>
      <c r="W290" s="12"/>
      <c r="X290" s="12"/>
      <c r="Y290" s="12"/>
    </row>
    <row r="291" customFormat="false" ht="15.75" hidden="false" customHeight="false" outlineLevel="0" collapsed="false">
      <c r="A291" s="12"/>
      <c r="B291" s="34"/>
      <c r="C291" s="12"/>
      <c r="D291" s="12"/>
      <c r="E291" s="12"/>
      <c r="F291" s="12"/>
      <c r="G291" s="18"/>
      <c r="H291" s="35"/>
      <c r="I291" s="35"/>
      <c r="J291" s="12"/>
      <c r="O291" s="12"/>
      <c r="P291" s="18"/>
      <c r="Q291" s="12"/>
      <c r="R291" s="12"/>
      <c r="S291" s="12"/>
      <c r="T291" s="36"/>
      <c r="U291" s="36"/>
      <c r="V291" s="12"/>
      <c r="W291" s="12"/>
      <c r="X291" s="12"/>
      <c r="Y291" s="12"/>
    </row>
    <row r="292" customFormat="false" ht="15.75" hidden="false" customHeight="false" outlineLevel="0" collapsed="false">
      <c r="A292" s="12"/>
      <c r="B292" s="34"/>
      <c r="C292" s="12"/>
      <c r="D292" s="12"/>
      <c r="E292" s="12"/>
      <c r="F292" s="12"/>
      <c r="G292" s="18"/>
      <c r="H292" s="35"/>
      <c r="I292" s="35"/>
      <c r="J292" s="12"/>
      <c r="O292" s="12"/>
      <c r="P292" s="18"/>
      <c r="Q292" s="12"/>
      <c r="R292" s="12"/>
      <c r="S292" s="12"/>
      <c r="T292" s="36"/>
      <c r="U292" s="36"/>
      <c r="V292" s="12"/>
      <c r="W292" s="12"/>
      <c r="X292" s="12"/>
      <c r="Y292" s="12"/>
    </row>
    <row r="293" customFormat="false" ht="15.75" hidden="false" customHeight="false" outlineLevel="0" collapsed="false">
      <c r="A293" s="12"/>
      <c r="B293" s="34"/>
      <c r="C293" s="12"/>
      <c r="D293" s="12"/>
      <c r="E293" s="12"/>
      <c r="F293" s="12"/>
      <c r="G293" s="18"/>
      <c r="H293" s="35"/>
      <c r="I293" s="35"/>
      <c r="J293" s="12"/>
      <c r="O293" s="12"/>
      <c r="P293" s="18"/>
      <c r="Q293" s="12"/>
      <c r="R293" s="12"/>
      <c r="S293" s="12"/>
      <c r="T293" s="36"/>
      <c r="U293" s="36"/>
      <c r="V293" s="12"/>
      <c r="W293" s="12"/>
      <c r="X293" s="12"/>
      <c r="Y293" s="12"/>
    </row>
    <row r="294" customFormat="false" ht="15.75" hidden="false" customHeight="false" outlineLevel="0" collapsed="false">
      <c r="A294" s="12"/>
      <c r="B294" s="34"/>
      <c r="C294" s="12"/>
      <c r="D294" s="12"/>
      <c r="E294" s="12"/>
      <c r="F294" s="12"/>
      <c r="G294" s="18"/>
      <c r="H294" s="35"/>
      <c r="I294" s="35"/>
      <c r="J294" s="12"/>
      <c r="O294" s="12"/>
      <c r="P294" s="18"/>
      <c r="Q294" s="12"/>
      <c r="R294" s="12"/>
      <c r="S294" s="12"/>
      <c r="T294" s="36"/>
      <c r="U294" s="36"/>
      <c r="V294" s="12"/>
      <c r="W294" s="12"/>
      <c r="X294" s="12"/>
      <c r="Y294" s="12"/>
    </row>
    <row r="295" customFormat="false" ht="15.75" hidden="false" customHeight="false" outlineLevel="0" collapsed="false">
      <c r="A295" s="12"/>
      <c r="B295" s="34"/>
      <c r="C295" s="12"/>
      <c r="D295" s="12"/>
      <c r="E295" s="12"/>
      <c r="F295" s="12"/>
      <c r="G295" s="18"/>
      <c r="H295" s="35"/>
      <c r="I295" s="35"/>
      <c r="J295" s="12"/>
      <c r="O295" s="12"/>
      <c r="P295" s="18"/>
      <c r="Q295" s="12"/>
      <c r="R295" s="12"/>
      <c r="S295" s="12"/>
      <c r="T295" s="36"/>
      <c r="U295" s="36"/>
      <c r="V295" s="12"/>
      <c r="W295" s="12"/>
      <c r="X295" s="12"/>
      <c r="Y295" s="12"/>
    </row>
    <row r="296" customFormat="false" ht="15.75" hidden="false" customHeight="false" outlineLevel="0" collapsed="false">
      <c r="A296" s="12"/>
      <c r="B296" s="34"/>
      <c r="C296" s="12"/>
      <c r="D296" s="12"/>
      <c r="E296" s="12"/>
      <c r="F296" s="12"/>
      <c r="G296" s="18"/>
      <c r="H296" s="35"/>
      <c r="I296" s="35"/>
      <c r="J296" s="12"/>
      <c r="O296" s="12"/>
      <c r="P296" s="18"/>
      <c r="Q296" s="12"/>
      <c r="R296" s="12"/>
      <c r="S296" s="12"/>
      <c r="T296" s="36"/>
      <c r="U296" s="36"/>
      <c r="V296" s="12"/>
      <c r="W296" s="12"/>
      <c r="X296" s="12"/>
      <c r="Y296" s="12"/>
    </row>
    <row r="297" customFormat="false" ht="15.75" hidden="false" customHeight="false" outlineLevel="0" collapsed="false">
      <c r="A297" s="12"/>
      <c r="B297" s="34"/>
      <c r="C297" s="12"/>
      <c r="D297" s="12"/>
      <c r="E297" s="12"/>
      <c r="F297" s="12"/>
      <c r="G297" s="18"/>
      <c r="H297" s="35"/>
      <c r="I297" s="35"/>
      <c r="J297" s="12"/>
      <c r="O297" s="12"/>
      <c r="P297" s="18"/>
      <c r="Q297" s="12"/>
      <c r="R297" s="12"/>
      <c r="S297" s="12"/>
      <c r="T297" s="36"/>
      <c r="U297" s="36"/>
      <c r="V297" s="12"/>
      <c r="W297" s="12"/>
      <c r="X297" s="12"/>
      <c r="Y297" s="12"/>
    </row>
    <row r="298" customFormat="false" ht="15.75" hidden="false" customHeight="false" outlineLevel="0" collapsed="false">
      <c r="A298" s="12"/>
      <c r="B298" s="34"/>
      <c r="C298" s="12"/>
      <c r="D298" s="12"/>
      <c r="E298" s="12"/>
      <c r="F298" s="12"/>
      <c r="G298" s="18"/>
      <c r="H298" s="35"/>
      <c r="I298" s="35"/>
      <c r="J298" s="12"/>
      <c r="O298" s="12"/>
      <c r="P298" s="18"/>
      <c r="Q298" s="12"/>
      <c r="R298" s="12"/>
      <c r="S298" s="12"/>
      <c r="T298" s="36"/>
      <c r="U298" s="36"/>
      <c r="V298" s="12"/>
      <c r="W298" s="12"/>
      <c r="X298" s="12"/>
      <c r="Y298" s="12"/>
    </row>
    <row r="299" customFormat="false" ht="15.75" hidden="false" customHeight="false" outlineLevel="0" collapsed="false">
      <c r="A299" s="12"/>
      <c r="B299" s="34"/>
      <c r="C299" s="12"/>
      <c r="D299" s="12"/>
      <c r="E299" s="12"/>
      <c r="F299" s="12"/>
      <c r="G299" s="18"/>
      <c r="H299" s="35"/>
      <c r="I299" s="35"/>
      <c r="J299" s="12"/>
      <c r="O299" s="12"/>
      <c r="P299" s="18"/>
      <c r="Q299" s="12"/>
      <c r="R299" s="12"/>
      <c r="S299" s="12"/>
      <c r="T299" s="36"/>
      <c r="U299" s="36"/>
      <c r="V299" s="12"/>
      <c r="W299" s="12"/>
      <c r="X299" s="12"/>
      <c r="Y299" s="12"/>
    </row>
    <row r="300" customFormat="false" ht="15.75" hidden="false" customHeight="false" outlineLevel="0" collapsed="false">
      <c r="A300" s="12"/>
      <c r="B300" s="34"/>
      <c r="C300" s="12"/>
      <c r="D300" s="12"/>
      <c r="E300" s="12"/>
      <c r="F300" s="12"/>
      <c r="G300" s="18"/>
      <c r="H300" s="35"/>
      <c r="I300" s="35"/>
      <c r="J300" s="12"/>
      <c r="O300" s="12"/>
      <c r="P300" s="18"/>
      <c r="Q300" s="12"/>
      <c r="R300" s="12"/>
      <c r="S300" s="12"/>
      <c r="T300" s="36"/>
      <c r="U300" s="36"/>
      <c r="V300" s="12"/>
      <c r="W300" s="12"/>
      <c r="X300" s="12"/>
      <c r="Y300" s="12"/>
    </row>
    <row r="301" customFormat="false" ht="15.75" hidden="false" customHeight="false" outlineLevel="0" collapsed="false">
      <c r="A301" s="12"/>
      <c r="B301" s="34"/>
      <c r="C301" s="12"/>
      <c r="D301" s="12"/>
      <c r="E301" s="12"/>
      <c r="F301" s="12"/>
      <c r="G301" s="18"/>
      <c r="H301" s="35"/>
      <c r="I301" s="35"/>
      <c r="J301" s="12"/>
      <c r="O301" s="12"/>
      <c r="P301" s="18"/>
      <c r="Q301" s="12"/>
      <c r="R301" s="12"/>
      <c r="S301" s="12"/>
      <c r="T301" s="36"/>
      <c r="U301" s="36"/>
      <c r="V301" s="12"/>
      <c r="W301" s="12"/>
      <c r="X301" s="12"/>
      <c r="Y301" s="12"/>
    </row>
    <row r="302" customFormat="false" ht="15.75" hidden="false" customHeight="false" outlineLevel="0" collapsed="false">
      <c r="A302" s="12"/>
      <c r="B302" s="34"/>
      <c r="C302" s="12"/>
      <c r="D302" s="12"/>
      <c r="E302" s="12"/>
      <c r="F302" s="12"/>
      <c r="G302" s="18"/>
      <c r="H302" s="35"/>
      <c r="I302" s="35"/>
      <c r="J302" s="12"/>
      <c r="O302" s="12"/>
      <c r="P302" s="18"/>
      <c r="Q302" s="12"/>
      <c r="R302" s="12"/>
      <c r="S302" s="12"/>
      <c r="T302" s="36"/>
      <c r="U302" s="36"/>
      <c r="V302" s="12"/>
      <c r="W302" s="12"/>
      <c r="X302" s="12"/>
      <c r="Y302" s="12"/>
    </row>
    <row r="303" customFormat="false" ht="15.75" hidden="false" customHeight="false" outlineLevel="0" collapsed="false">
      <c r="A303" s="12"/>
      <c r="B303" s="34"/>
      <c r="C303" s="12"/>
      <c r="D303" s="12"/>
      <c r="E303" s="12"/>
      <c r="F303" s="12"/>
      <c r="G303" s="18"/>
      <c r="H303" s="35"/>
      <c r="I303" s="35"/>
      <c r="J303" s="12"/>
      <c r="O303" s="12"/>
      <c r="P303" s="18"/>
      <c r="Q303" s="12"/>
      <c r="R303" s="12"/>
      <c r="S303" s="12"/>
      <c r="T303" s="36"/>
      <c r="U303" s="36"/>
      <c r="V303" s="12"/>
      <c r="W303" s="12"/>
      <c r="X303" s="12"/>
      <c r="Y303" s="12"/>
    </row>
    <row r="304" customFormat="false" ht="15.75" hidden="false" customHeight="false" outlineLevel="0" collapsed="false">
      <c r="A304" s="12"/>
      <c r="B304" s="34"/>
      <c r="C304" s="12"/>
      <c r="D304" s="12"/>
      <c r="E304" s="12"/>
      <c r="F304" s="12"/>
      <c r="G304" s="18"/>
      <c r="H304" s="35"/>
      <c r="I304" s="35"/>
      <c r="J304" s="12"/>
      <c r="O304" s="12"/>
      <c r="P304" s="18"/>
      <c r="Q304" s="12"/>
      <c r="R304" s="12"/>
      <c r="S304" s="12"/>
      <c r="T304" s="36"/>
      <c r="U304" s="36"/>
      <c r="V304" s="12"/>
      <c r="W304" s="12"/>
      <c r="X304" s="12"/>
      <c r="Y304" s="12"/>
    </row>
    <row r="305" customFormat="false" ht="15.75" hidden="false" customHeight="false" outlineLevel="0" collapsed="false">
      <c r="A305" s="12"/>
      <c r="B305" s="34"/>
      <c r="C305" s="12"/>
      <c r="D305" s="12"/>
      <c r="E305" s="12"/>
      <c r="F305" s="12"/>
      <c r="G305" s="18"/>
      <c r="H305" s="35"/>
      <c r="I305" s="35"/>
      <c r="J305" s="12"/>
      <c r="O305" s="12"/>
      <c r="P305" s="18"/>
      <c r="Q305" s="12"/>
      <c r="R305" s="12"/>
      <c r="S305" s="12"/>
      <c r="T305" s="36"/>
      <c r="U305" s="36"/>
      <c r="V305" s="12"/>
      <c r="W305" s="12"/>
      <c r="X305" s="12"/>
      <c r="Y305" s="12"/>
    </row>
    <row r="306" customFormat="false" ht="15.75" hidden="false" customHeight="false" outlineLevel="0" collapsed="false">
      <c r="A306" s="12"/>
      <c r="B306" s="34"/>
      <c r="C306" s="12"/>
      <c r="D306" s="12"/>
      <c r="E306" s="12"/>
      <c r="F306" s="12"/>
      <c r="G306" s="18"/>
      <c r="H306" s="35"/>
      <c r="I306" s="35"/>
      <c r="J306" s="12"/>
      <c r="O306" s="12"/>
      <c r="P306" s="18"/>
      <c r="Q306" s="12"/>
      <c r="R306" s="12"/>
      <c r="S306" s="12"/>
      <c r="T306" s="36"/>
      <c r="U306" s="36"/>
      <c r="V306" s="12"/>
      <c r="W306" s="12"/>
      <c r="X306" s="12"/>
      <c r="Y306" s="12"/>
    </row>
    <row r="307" customFormat="false" ht="15.75" hidden="false" customHeight="false" outlineLevel="0" collapsed="false">
      <c r="A307" s="12"/>
      <c r="B307" s="34"/>
      <c r="C307" s="12"/>
      <c r="D307" s="12"/>
      <c r="E307" s="12"/>
      <c r="F307" s="12"/>
      <c r="G307" s="18"/>
      <c r="H307" s="35"/>
      <c r="I307" s="35"/>
      <c r="J307" s="12"/>
      <c r="O307" s="12"/>
      <c r="P307" s="18"/>
      <c r="Q307" s="12"/>
      <c r="R307" s="12"/>
      <c r="S307" s="12"/>
      <c r="T307" s="36"/>
      <c r="U307" s="36"/>
      <c r="V307" s="12"/>
      <c r="W307" s="12"/>
      <c r="X307" s="12"/>
      <c r="Y307" s="12"/>
    </row>
    <row r="308" customFormat="false" ht="15.75" hidden="false" customHeight="false" outlineLevel="0" collapsed="false">
      <c r="A308" s="12"/>
      <c r="B308" s="34"/>
      <c r="C308" s="12"/>
      <c r="D308" s="12"/>
      <c r="E308" s="12"/>
      <c r="F308" s="12"/>
      <c r="G308" s="18"/>
      <c r="H308" s="35"/>
      <c r="I308" s="35"/>
      <c r="J308" s="12"/>
      <c r="O308" s="12"/>
      <c r="P308" s="18"/>
      <c r="Q308" s="12"/>
      <c r="R308" s="12"/>
      <c r="S308" s="12"/>
      <c r="T308" s="36"/>
      <c r="U308" s="36"/>
      <c r="V308" s="12"/>
      <c r="W308" s="12"/>
      <c r="X308" s="12"/>
      <c r="Y308" s="12"/>
    </row>
    <row r="309" customFormat="false" ht="15.75" hidden="false" customHeight="false" outlineLevel="0" collapsed="false">
      <c r="A309" s="12"/>
      <c r="B309" s="34"/>
      <c r="C309" s="12"/>
      <c r="D309" s="12"/>
      <c r="E309" s="12"/>
      <c r="F309" s="12"/>
      <c r="G309" s="18"/>
      <c r="H309" s="35"/>
      <c r="I309" s="35"/>
      <c r="J309" s="12"/>
      <c r="O309" s="12"/>
      <c r="P309" s="18"/>
      <c r="Q309" s="12"/>
      <c r="R309" s="12"/>
      <c r="S309" s="12"/>
      <c r="T309" s="36"/>
      <c r="U309" s="36"/>
      <c r="V309" s="12"/>
      <c r="W309" s="12"/>
      <c r="X309" s="12"/>
      <c r="Y309" s="12"/>
    </row>
    <row r="310" customFormat="false" ht="15.75" hidden="false" customHeight="false" outlineLevel="0" collapsed="false">
      <c r="A310" s="12"/>
      <c r="B310" s="34"/>
      <c r="C310" s="12"/>
      <c r="D310" s="12"/>
      <c r="E310" s="12"/>
      <c r="F310" s="12"/>
      <c r="G310" s="18"/>
      <c r="H310" s="35"/>
      <c r="I310" s="35"/>
      <c r="J310" s="12"/>
      <c r="O310" s="12"/>
      <c r="P310" s="18"/>
      <c r="Q310" s="12"/>
      <c r="R310" s="12"/>
      <c r="S310" s="12"/>
      <c r="T310" s="36"/>
      <c r="U310" s="36"/>
      <c r="V310" s="12"/>
      <c r="W310" s="12"/>
      <c r="X310" s="12"/>
      <c r="Y310" s="12"/>
    </row>
    <row r="311" customFormat="false" ht="15.75" hidden="false" customHeight="false" outlineLevel="0" collapsed="false">
      <c r="A311" s="12"/>
      <c r="B311" s="34"/>
      <c r="C311" s="12"/>
      <c r="D311" s="12"/>
      <c r="E311" s="12"/>
      <c r="F311" s="12"/>
      <c r="G311" s="18"/>
      <c r="H311" s="35"/>
      <c r="I311" s="35"/>
      <c r="J311" s="12"/>
      <c r="O311" s="12"/>
      <c r="P311" s="18"/>
      <c r="Q311" s="12"/>
      <c r="R311" s="12"/>
      <c r="S311" s="12"/>
      <c r="T311" s="36"/>
      <c r="U311" s="36"/>
      <c r="V311" s="12"/>
      <c r="W311" s="12"/>
      <c r="X311" s="12"/>
      <c r="Y311" s="12"/>
    </row>
    <row r="312" customFormat="false" ht="15.75" hidden="false" customHeight="false" outlineLevel="0" collapsed="false">
      <c r="A312" s="12"/>
      <c r="B312" s="34"/>
      <c r="C312" s="12"/>
      <c r="D312" s="12"/>
      <c r="E312" s="12"/>
      <c r="F312" s="12"/>
      <c r="G312" s="18"/>
      <c r="H312" s="35"/>
      <c r="I312" s="35"/>
      <c r="J312" s="12"/>
      <c r="O312" s="12"/>
      <c r="P312" s="18"/>
      <c r="Q312" s="12"/>
      <c r="R312" s="12"/>
      <c r="S312" s="12"/>
      <c r="T312" s="36"/>
      <c r="U312" s="36"/>
      <c r="V312" s="12"/>
      <c r="W312" s="12"/>
      <c r="X312" s="12"/>
      <c r="Y312" s="12"/>
    </row>
    <row r="313" customFormat="false" ht="15.75" hidden="false" customHeight="false" outlineLevel="0" collapsed="false">
      <c r="A313" s="12"/>
      <c r="B313" s="34"/>
      <c r="C313" s="12"/>
      <c r="D313" s="12"/>
      <c r="E313" s="12"/>
      <c r="F313" s="12"/>
      <c r="G313" s="18"/>
      <c r="H313" s="35"/>
      <c r="I313" s="35"/>
      <c r="J313" s="12"/>
      <c r="O313" s="12"/>
      <c r="P313" s="18"/>
      <c r="Q313" s="12"/>
      <c r="R313" s="12"/>
      <c r="S313" s="12"/>
      <c r="T313" s="36"/>
      <c r="U313" s="36"/>
      <c r="V313" s="12"/>
      <c r="W313" s="12"/>
      <c r="X313" s="12"/>
      <c r="Y313" s="12"/>
    </row>
    <row r="314" customFormat="false" ht="15.75" hidden="false" customHeight="false" outlineLevel="0" collapsed="false">
      <c r="A314" s="12"/>
      <c r="B314" s="34"/>
      <c r="C314" s="12"/>
      <c r="D314" s="12"/>
      <c r="E314" s="12"/>
      <c r="F314" s="12"/>
      <c r="G314" s="18"/>
      <c r="H314" s="35"/>
      <c r="I314" s="35"/>
      <c r="J314" s="12"/>
      <c r="O314" s="12"/>
      <c r="P314" s="18"/>
      <c r="Q314" s="12"/>
      <c r="R314" s="12"/>
      <c r="S314" s="12"/>
      <c r="T314" s="36"/>
      <c r="U314" s="36"/>
      <c r="V314" s="12"/>
      <c r="W314" s="12"/>
      <c r="X314" s="12"/>
      <c r="Y314" s="12"/>
    </row>
    <row r="315" customFormat="false" ht="15.75" hidden="false" customHeight="false" outlineLevel="0" collapsed="false">
      <c r="A315" s="12"/>
      <c r="B315" s="34"/>
      <c r="C315" s="12"/>
      <c r="D315" s="12"/>
      <c r="E315" s="12"/>
      <c r="F315" s="12"/>
      <c r="G315" s="18"/>
      <c r="H315" s="35"/>
      <c r="I315" s="35"/>
      <c r="J315" s="12"/>
      <c r="O315" s="12"/>
      <c r="P315" s="18"/>
      <c r="Q315" s="12"/>
      <c r="R315" s="12"/>
      <c r="S315" s="12"/>
      <c r="T315" s="36"/>
      <c r="U315" s="36"/>
      <c r="V315" s="12"/>
      <c r="W315" s="12"/>
      <c r="X315" s="12"/>
      <c r="Y315" s="12"/>
    </row>
    <row r="316" customFormat="false" ht="15.75" hidden="false" customHeight="false" outlineLevel="0" collapsed="false">
      <c r="A316" s="12"/>
      <c r="B316" s="34"/>
      <c r="C316" s="12"/>
      <c r="D316" s="12"/>
      <c r="E316" s="12"/>
      <c r="F316" s="12"/>
      <c r="G316" s="18"/>
      <c r="H316" s="35"/>
      <c r="I316" s="35"/>
      <c r="J316" s="12"/>
      <c r="O316" s="12"/>
      <c r="P316" s="18"/>
      <c r="Q316" s="12"/>
      <c r="R316" s="12"/>
      <c r="S316" s="12"/>
      <c r="T316" s="36"/>
      <c r="U316" s="36"/>
      <c r="V316" s="12"/>
      <c r="W316" s="12"/>
      <c r="X316" s="12"/>
      <c r="Y316" s="12"/>
    </row>
    <row r="317" customFormat="false" ht="15.75" hidden="false" customHeight="false" outlineLevel="0" collapsed="false">
      <c r="A317" s="12"/>
      <c r="B317" s="34"/>
      <c r="C317" s="12"/>
      <c r="D317" s="12"/>
      <c r="E317" s="12"/>
      <c r="F317" s="12"/>
      <c r="G317" s="18"/>
      <c r="H317" s="35"/>
      <c r="I317" s="35"/>
      <c r="J317" s="12"/>
      <c r="O317" s="12"/>
      <c r="P317" s="18"/>
      <c r="Q317" s="12"/>
      <c r="R317" s="12"/>
      <c r="S317" s="12"/>
      <c r="T317" s="36"/>
      <c r="U317" s="36"/>
      <c r="V317" s="12"/>
      <c r="W317" s="12"/>
      <c r="X317" s="12"/>
      <c r="Y317" s="12"/>
    </row>
    <row r="318" customFormat="false" ht="15.75" hidden="false" customHeight="false" outlineLevel="0" collapsed="false">
      <c r="A318" s="12"/>
      <c r="B318" s="34"/>
      <c r="C318" s="12"/>
      <c r="D318" s="12"/>
      <c r="E318" s="12"/>
      <c r="F318" s="12"/>
      <c r="G318" s="18"/>
      <c r="H318" s="35"/>
      <c r="I318" s="35"/>
      <c r="J318" s="12"/>
      <c r="O318" s="12"/>
      <c r="P318" s="18"/>
      <c r="Q318" s="12"/>
      <c r="R318" s="12"/>
      <c r="S318" s="12"/>
      <c r="T318" s="36"/>
      <c r="U318" s="36"/>
      <c r="V318" s="12"/>
      <c r="W318" s="12"/>
      <c r="X318" s="12"/>
      <c r="Y318" s="12"/>
    </row>
    <row r="319" customFormat="false" ht="15.75" hidden="false" customHeight="false" outlineLevel="0" collapsed="false">
      <c r="A319" s="12"/>
      <c r="B319" s="34"/>
      <c r="C319" s="12"/>
      <c r="D319" s="12"/>
      <c r="E319" s="12"/>
      <c r="F319" s="12"/>
      <c r="G319" s="18"/>
      <c r="H319" s="35"/>
      <c r="I319" s="35"/>
      <c r="J319" s="12"/>
      <c r="O319" s="12"/>
      <c r="P319" s="18"/>
      <c r="Q319" s="12"/>
      <c r="R319" s="12"/>
      <c r="S319" s="12"/>
      <c r="T319" s="36"/>
      <c r="U319" s="36"/>
      <c r="V319" s="12"/>
      <c r="W319" s="12"/>
      <c r="X319" s="12"/>
      <c r="Y319" s="12"/>
    </row>
    <row r="320" customFormat="false" ht="15.75" hidden="false" customHeight="false" outlineLevel="0" collapsed="false">
      <c r="A320" s="12"/>
      <c r="B320" s="34"/>
      <c r="C320" s="12"/>
      <c r="D320" s="12"/>
      <c r="E320" s="12"/>
      <c r="F320" s="12"/>
      <c r="G320" s="18"/>
      <c r="H320" s="35"/>
      <c r="I320" s="35"/>
      <c r="J320" s="12"/>
      <c r="O320" s="12"/>
      <c r="P320" s="18"/>
      <c r="Q320" s="12"/>
      <c r="R320" s="12"/>
      <c r="S320" s="12"/>
      <c r="T320" s="36"/>
      <c r="U320" s="36"/>
      <c r="V320" s="12"/>
      <c r="W320" s="12"/>
      <c r="X320" s="12"/>
      <c r="Y320" s="12"/>
    </row>
    <row r="321" customFormat="false" ht="15.75" hidden="false" customHeight="false" outlineLevel="0" collapsed="false">
      <c r="A321" s="12"/>
      <c r="B321" s="34"/>
      <c r="C321" s="12"/>
      <c r="D321" s="12"/>
      <c r="E321" s="12"/>
      <c r="F321" s="12"/>
      <c r="G321" s="18"/>
      <c r="H321" s="35"/>
      <c r="I321" s="35"/>
      <c r="J321" s="12"/>
      <c r="O321" s="12"/>
      <c r="P321" s="18"/>
      <c r="Q321" s="12"/>
      <c r="R321" s="12"/>
      <c r="S321" s="12"/>
      <c r="T321" s="36"/>
      <c r="U321" s="36"/>
      <c r="V321" s="12"/>
      <c r="W321" s="12"/>
      <c r="X321" s="12"/>
      <c r="Y321" s="12"/>
    </row>
    <row r="322" customFormat="false" ht="15.75" hidden="false" customHeight="false" outlineLevel="0" collapsed="false">
      <c r="A322" s="12"/>
      <c r="B322" s="34"/>
      <c r="C322" s="12"/>
      <c r="D322" s="12"/>
      <c r="E322" s="12"/>
      <c r="F322" s="12"/>
      <c r="G322" s="18"/>
      <c r="H322" s="35"/>
      <c r="I322" s="35"/>
      <c r="J322" s="12"/>
      <c r="O322" s="12"/>
      <c r="P322" s="18"/>
      <c r="Q322" s="12"/>
      <c r="R322" s="12"/>
      <c r="S322" s="12"/>
      <c r="T322" s="36"/>
      <c r="U322" s="36"/>
      <c r="V322" s="12"/>
      <c r="W322" s="12"/>
      <c r="X322" s="12"/>
      <c r="Y322" s="12"/>
    </row>
    <row r="323" customFormat="false" ht="15.75" hidden="false" customHeight="false" outlineLevel="0" collapsed="false">
      <c r="A323" s="12"/>
      <c r="B323" s="34"/>
      <c r="C323" s="12"/>
      <c r="D323" s="12"/>
      <c r="E323" s="12"/>
      <c r="F323" s="12"/>
      <c r="G323" s="18"/>
      <c r="H323" s="35"/>
      <c r="I323" s="35"/>
      <c r="J323" s="12"/>
      <c r="O323" s="12"/>
      <c r="P323" s="18"/>
      <c r="Q323" s="12"/>
      <c r="R323" s="12"/>
      <c r="S323" s="12"/>
      <c r="T323" s="36"/>
      <c r="U323" s="36"/>
      <c r="V323" s="12"/>
      <c r="W323" s="12"/>
      <c r="X323" s="12"/>
      <c r="Y323" s="12"/>
    </row>
    <row r="324" customFormat="false" ht="15.75" hidden="false" customHeight="false" outlineLevel="0" collapsed="false">
      <c r="A324" s="12"/>
      <c r="B324" s="34"/>
      <c r="C324" s="12"/>
      <c r="D324" s="12"/>
      <c r="E324" s="12"/>
      <c r="F324" s="12"/>
      <c r="G324" s="18"/>
      <c r="H324" s="35"/>
      <c r="I324" s="35"/>
      <c r="J324" s="12"/>
      <c r="O324" s="12"/>
      <c r="P324" s="18"/>
      <c r="Q324" s="12"/>
      <c r="R324" s="12"/>
      <c r="S324" s="12"/>
      <c r="T324" s="36"/>
      <c r="U324" s="36"/>
      <c r="V324" s="12"/>
      <c r="W324" s="12"/>
      <c r="X324" s="12"/>
      <c r="Y324" s="12"/>
    </row>
    <row r="325" customFormat="false" ht="15.75" hidden="false" customHeight="false" outlineLevel="0" collapsed="false">
      <c r="A325" s="12"/>
      <c r="B325" s="34"/>
      <c r="C325" s="12"/>
      <c r="D325" s="12"/>
      <c r="E325" s="12"/>
      <c r="F325" s="12"/>
      <c r="G325" s="18"/>
      <c r="H325" s="35"/>
      <c r="I325" s="35"/>
      <c r="J325" s="12"/>
      <c r="O325" s="12"/>
      <c r="P325" s="18"/>
      <c r="Q325" s="12"/>
      <c r="R325" s="12"/>
      <c r="S325" s="12"/>
      <c r="T325" s="36"/>
      <c r="U325" s="36"/>
      <c r="V325" s="12"/>
      <c r="W325" s="12"/>
      <c r="X325" s="12"/>
      <c r="Y325" s="12"/>
    </row>
    <row r="326" customFormat="false" ht="15.75" hidden="false" customHeight="false" outlineLevel="0" collapsed="false">
      <c r="A326" s="12"/>
      <c r="B326" s="34"/>
      <c r="C326" s="12"/>
      <c r="D326" s="12"/>
      <c r="E326" s="12"/>
      <c r="F326" s="12"/>
      <c r="G326" s="18"/>
      <c r="H326" s="35"/>
      <c r="I326" s="35"/>
      <c r="J326" s="12"/>
      <c r="O326" s="12"/>
      <c r="P326" s="18"/>
      <c r="Q326" s="12"/>
      <c r="R326" s="12"/>
      <c r="S326" s="12"/>
      <c r="T326" s="36"/>
      <c r="U326" s="36"/>
      <c r="V326" s="12"/>
      <c r="W326" s="12"/>
      <c r="X326" s="12"/>
      <c r="Y326" s="12"/>
    </row>
    <row r="327" customFormat="false" ht="15.75" hidden="false" customHeight="false" outlineLevel="0" collapsed="false">
      <c r="A327" s="12"/>
      <c r="B327" s="34"/>
      <c r="C327" s="12"/>
      <c r="D327" s="12"/>
      <c r="E327" s="12"/>
      <c r="F327" s="12"/>
      <c r="G327" s="18"/>
      <c r="H327" s="35"/>
      <c r="I327" s="35"/>
      <c r="J327" s="12"/>
      <c r="O327" s="12"/>
      <c r="P327" s="18"/>
      <c r="Q327" s="12"/>
      <c r="R327" s="12"/>
      <c r="S327" s="12"/>
      <c r="T327" s="36"/>
      <c r="U327" s="36"/>
      <c r="V327" s="12"/>
      <c r="W327" s="12"/>
      <c r="X327" s="12"/>
      <c r="Y327" s="12"/>
    </row>
    <row r="328" customFormat="false" ht="15.75" hidden="false" customHeight="false" outlineLevel="0" collapsed="false">
      <c r="A328" s="12"/>
      <c r="B328" s="34"/>
      <c r="C328" s="12"/>
      <c r="D328" s="12"/>
      <c r="E328" s="12"/>
      <c r="F328" s="12"/>
      <c r="G328" s="18"/>
      <c r="H328" s="35"/>
      <c r="I328" s="35"/>
      <c r="J328" s="12"/>
      <c r="O328" s="12"/>
      <c r="P328" s="18"/>
      <c r="Q328" s="12"/>
      <c r="R328" s="12"/>
      <c r="S328" s="12"/>
      <c r="T328" s="36"/>
      <c r="U328" s="36"/>
      <c r="V328" s="12"/>
      <c r="W328" s="12"/>
      <c r="X328" s="12"/>
      <c r="Y328" s="12"/>
    </row>
    <row r="329" customFormat="false" ht="15.75" hidden="false" customHeight="false" outlineLevel="0" collapsed="false">
      <c r="A329" s="12"/>
      <c r="B329" s="34"/>
      <c r="C329" s="12"/>
      <c r="D329" s="12"/>
      <c r="E329" s="12"/>
      <c r="F329" s="12"/>
      <c r="G329" s="18"/>
      <c r="H329" s="35"/>
      <c r="I329" s="35"/>
      <c r="J329" s="12"/>
      <c r="O329" s="12"/>
      <c r="P329" s="18"/>
      <c r="Q329" s="12"/>
      <c r="R329" s="12"/>
      <c r="S329" s="12"/>
      <c r="T329" s="36"/>
      <c r="U329" s="36"/>
      <c r="V329" s="12"/>
      <c r="W329" s="12"/>
      <c r="X329" s="12"/>
      <c r="Y329" s="12"/>
    </row>
    <row r="330" customFormat="false" ht="15.75" hidden="false" customHeight="false" outlineLevel="0" collapsed="false">
      <c r="A330" s="12"/>
      <c r="B330" s="34"/>
      <c r="C330" s="12"/>
      <c r="D330" s="12"/>
      <c r="E330" s="12"/>
      <c r="F330" s="12"/>
      <c r="G330" s="18"/>
      <c r="H330" s="35"/>
      <c r="I330" s="35"/>
      <c r="J330" s="12"/>
      <c r="O330" s="12"/>
      <c r="P330" s="18"/>
      <c r="Q330" s="12"/>
      <c r="R330" s="12"/>
      <c r="S330" s="12"/>
      <c r="T330" s="36"/>
      <c r="U330" s="36"/>
      <c r="V330" s="12"/>
      <c r="W330" s="12"/>
      <c r="X330" s="12"/>
      <c r="Y330" s="12"/>
    </row>
    <row r="331" customFormat="false" ht="15.75" hidden="false" customHeight="false" outlineLevel="0" collapsed="false">
      <c r="A331" s="12"/>
      <c r="B331" s="34"/>
      <c r="C331" s="12"/>
      <c r="D331" s="12"/>
      <c r="E331" s="12"/>
      <c r="F331" s="12"/>
      <c r="G331" s="18"/>
      <c r="H331" s="35"/>
      <c r="I331" s="35"/>
      <c r="J331" s="12"/>
      <c r="O331" s="12"/>
      <c r="P331" s="18"/>
      <c r="Q331" s="12"/>
      <c r="R331" s="12"/>
      <c r="S331" s="12"/>
      <c r="T331" s="36"/>
      <c r="U331" s="36"/>
      <c r="V331" s="12"/>
      <c r="W331" s="12"/>
      <c r="X331" s="12"/>
      <c r="Y331" s="12"/>
    </row>
    <row r="332" customFormat="false" ht="15.75" hidden="false" customHeight="false" outlineLevel="0" collapsed="false">
      <c r="A332" s="12"/>
      <c r="B332" s="34"/>
      <c r="C332" s="12"/>
      <c r="D332" s="12"/>
      <c r="E332" s="12"/>
      <c r="F332" s="12"/>
      <c r="G332" s="18"/>
      <c r="H332" s="35"/>
      <c r="I332" s="35"/>
      <c r="J332" s="12"/>
      <c r="O332" s="12"/>
      <c r="P332" s="18"/>
      <c r="Q332" s="12"/>
      <c r="R332" s="12"/>
      <c r="S332" s="12"/>
      <c r="T332" s="36"/>
      <c r="U332" s="36"/>
      <c r="V332" s="12"/>
      <c r="W332" s="12"/>
      <c r="X332" s="12"/>
      <c r="Y332" s="12"/>
    </row>
    <row r="333" customFormat="false" ht="15.75" hidden="false" customHeight="false" outlineLevel="0" collapsed="false">
      <c r="A333" s="12"/>
      <c r="B333" s="34"/>
      <c r="C333" s="12"/>
      <c r="D333" s="12"/>
      <c r="E333" s="12"/>
      <c r="F333" s="12"/>
      <c r="G333" s="18"/>
      <c r="H333" s="35"/>
      <c r="I333" s="35"/>
      <c r="J333" s="12"/>
      <c r="O333" s="12"/>
      <c r="P333" s="18"/>
      <c r="Q333" s="12"/>
      <c r="R333" s="12"/>
      <c r="S333" s="12"/>
      <c r="T333" s="36"/>
      <c r="U333" s="36"/>
      <c r="V333" s="12"/>
      <c r="W333" s="12"/>
      <c r="X333" s="12"/>
      <c r="Y333" s="12"/>
    </row>
    <row r="334" customFormat="false" ht="15.75" hidden="false" customHeight="false" outlineLevel="0" collapsed="false">
      <c r="A334" s="12"/>
      <c r="B334" s="34"/>
      <c r="C334" s="12"/>
      <c r="D334" s="12"/>
      <c r="E334" s="12"/>
      <c r="F334" s="12"/>
      <c r="G334" s="18"/>
      <c r="H334" s="35"/>
      <c r="I334" s="35"/>
      <c r="J334" s="12"/>
      <c r="O334" s="12"/>
      <c r="P334" s="18"/>
      <c r="Q334" s="12"/>
      <c r="R334" s="12"/>
      <c r="S334" s="12"/>
      <c r="T334" s="36"/>
      <c r="U334" s="36"/>
      <c r="V334" s="12"/>
      <c r="W334" s="12"/>
      <c r="X334" s="12"/>
      <c r="Y334" s="12"/>
    </row>
    <row r="335" customFormat="false" ht="15.75" hidden="false" customHeight="false" outlineLevel="0" collapsed="false">
      <c r="A335" s="12"/>
      <c r="B335" s="34"/>
      <c r="C335" s="12"/>
      <c r="D335" s="12"/>
      <c r="E335" s="12"/>
      <c r="F335" s="12"/>
      <c r="G335" s="18"/>
      <c r="H335" s="35"/>
      <c r="I335" s="35"/>
      <c r="J335" s="12"/>
      <c r="O335" s="12"/>
      <c r="P335" s="18"/>
      <c r="Q335" s="12"/>
      <c r="R335" s="12"/>
      <c r="S335" s="12"/>
      <c r="T335" s="36"/>
      <c r="U335" s="36"/>
      <c r="V335" s="12"/>
      <c r="W335" s="12"/>
      <c r="X335" s="12"/>
      <c r="Y335" s="12"/>
    </row>
    <row r="336" customFormat="false" ht="15.75" hidden="false" customHeight="false" outlineLevel="0" collapsed="false">
      <c r="A336" s="12"/>
      <c r="B336" s="34"/>
      <c r="C336" s="12"/>
      <c r="D336" s="12"/>
      <c r="E336" s="12"/>
      <c r="F336" s="12"/>
      <c r="G336" s="18"/>
      <c r="H336" s="35"/>
      <c r="I336" s="35"/>
      <c r="J336" s="12"/>
      <c r="O336" s="12"/>
      <c r="P336" s="18"/>
      <c r="Q336" s="12"/>
      <c r="R336" s="12"/>
      <c r="S336" s="12"/>
      <c r="T336" s="36"/>
      <c r="U336" s="36"/>
      <c r="V336" s="12"/>
      <c r="W336" s="12"/>
      <c r="X336" s="12"/>
      <c r="Y336" s="12"/>
    </row>
    <row r="337" customFormat="false" ht="15.75" hidden="false" customHeight="false" outlineLevel="0" collapsed="false">
      <c r="A337" s="12"/>
      <c r="B337" s="34"/>
      <c r="C337" s="12"/>
      <c r="D337" s="12"/>
      <c r="E337" s="12"/>
      <c r="F337" s="12"/>
      <c r="G337" s="18"/>
      <c r="H337" s="35"/>
      <c r="I337" s="35"/>
      <c r="J337" s="12"/>
      <c r="O337" s="12"/>
      <c r="P337" s="18"/>
      <c r="Q337" s="12"/>
      <c r="R337" s="12"/>
      <c r="S337" s="12"/>
      <c r="T337" s="36"/>
      <c r="U337" s="36"/>
      <c r="V337" s="12"/>
      <c r="W337" s="12"/>
      <c r="X337" s="12"/>
      <c r="Y337" s="12"/>
    </row>
    <row r="338" customFormat="false" ht="15.75" hidden="false" customHeight="false" outlineLevel="0" collapsed="false">
      <c r="A338" s="12"/>
      <c r="B338" s="34"/>
      <c r="C338" s="12"/>
      <c r="D338" s="12"/>
      <c r="E338" s="12"/>
      <c r="F338" s="12"/>
      <c r="G338" s="18"/>
      <c r="H338" s="35"/>
      <c r="I338" s="35"/>
      <c r="J338" s="12"/>
      <c r="O338" s="12"/>
      <c r="P338" s="18"/>
      <c r="Q338" s="12"/>
      <c r="R338" s="12"/>
      <c r="S338" s="12"/>
      <c r="T338" s="36"/>
      <c r="U338" s="36"/>
      <c r="V338" s="12"/>
      <c r="W338" s="12"/>
      <c r="X338" s="12"/>
      <c r="Y338" s="12"/>
    </row>
    <row r="339" customFormat="false" ht="15.75" hidden="false" customHeight="false" outlineLevel="0" collapsed="false">
      <c r="A339" s="12"/>
      <c r="B339" s="34"/>
      <c r="C339" s="12"/>
      <c r="D339" s="12"/>
      <c r="E339" s="12"/>
      <c r="F339" s="12"/>
      <c r="G339" s="18"/>
      <c r="H339" s="35"/>
      <c r="I339" s="35"/>
      <c r="J339" s="12"/>
      <c r="O339" s="12"/>
      <c r="P339" s="18"/>
      <c r="Q339" s="12"/>
      <c r="R339" s="12"/>
      <c r="S339" s="12"/>
      <c r="T339" s="36"/>
      <c r="U339" s="36"/>
      <c r="V339" s="12"/>
      <c r="W339" s="12"/>
      <c r="X339" s="12"/>
      <c r="Y339" s="12"/>
    </row>
    <row r="340" customFormat="false" ht="15.75" hidden="false" customHeight="false" outlineLevel="0" collapsed="false">
      <c r="A340" s="12"/>
      <c r="B340" s="34"/>
      <c r="C340" s="12"/>
      <c r="D340" s="12"/>
      <c r="E340" s="12"/>
      <c r="F340" s="12"/>
      <c r="G340" s="18"/>
      <c r="H340" s="35"/>
      <c r="I340" s="35"/>
      <c r="J340" s="12"/>
      <c r="O340" s="12"/>
      <c r="P340" s="18"/>
      <c r="Q340" s="12"/>
      <c r="R340" s="12"/>
      <c r="S340" s="12"/>
      <c r="T340" s="36"/>
      <c r="U340" s="36"/>
      <c r="V340" s="12"/>
      <c r="W340" s="12"/>
      <c r="X340" s="12"/>
      <c r="Y340" s="12"/>
    </row>
    <row r="341" customFormat="false" ht="15.75" hidden="false" customHeight="false" outlineLevel="0" collapsed="false">
      <c r="A341" s="12"/>
      <c r="B341" s="34"/>
      <c r="C341" s="12"/>
      <c r="D341" s="12"/>
      <c r="E341" s="12"/>
      <c r="F341" s="12"/>
      <c r="G341" s="18"/>
      <c r="H341" s="35"/>
      <c r="I341" s="35"/>
      <c r="J341" s="12"/>
      <c r="O341" s="12"/>
      <c r="P341" s="18"/>
      <c r="Q341" s="12"/>
      <c r="R341" s="12"/>
      <c r="S341" s="12"/>
      <c r="T341" s="36"/>
      <c r="U341" s="36"/>
      <c r="V341" s="12"/>
      <c r="W341" s="12"/>
      <c r="X341" s="12"/>
      <c r="Y341" s="12"/>
    </row>
    <row r="342" customFormat="false" ht="15.75" hidden="false" customHeight="false" outlineLevel="0" collapsed="false">
      <c r="A342" s="12"/>
      <c r="B342" s="34"/>
      <c r="C342" s="12"/>
      <c r="D342" s="12"/>
      <c r="E342" s="12"/>
      <c r="F342" s="12"/>
      <c r="G342" s="18"/>
      <c r="H342" s="35"/>
      <c r="I342" s="35"/>
      <c r="J342" s="12"/>
      <c r="O342" s="12"/>
      <c r="P342" s="18"/>
      <c r="Q342" s="12"/>
      <c r="R342" s="12"/>
      <c r="S342" s="12"/>
      <c r="T342" s="36"/>
      <c r="U342" s="36"/>
      <c r="V342" s="12"/>
      <c r="W342" s="12"/>
      <c r="X342" s="12"/>
      <c r="Y342" s="12"/>
    </row>
    <row r="343" customFormat="false" ht="15.75" hidden="false" customHeight="false" outlineLevel="0" collapsed="false">
      <c r="A343" s="12"/>
      <c r="B343" s="34"/>
      <c r="C343" s="12"/>
      <c r="D343" s="12"/>
      <c r="E343" s="12"/>
      <c r="F343" s="12"/>
      <c r="G343" s="18"/>
      <c r="H343" s="35"/>
      <c r="I343" s="35"/>
      <c r="J343" s="12"/>
      <c r="O343" s="12"/>
      <c r="P343" s="18"/>
      <c r="Q343" s="12"/>
      <c r="R343" s="12"/>
      <c r="S343" s="12"/>
      <c r="T343" s="36"/>
      <c r="U343" s="36"/>
      <c r="V343" s="12"/>
      <c r="W343" s="12"/>
      <c r="X343" s="12"/>
      <c r="Y343" s="12"/>
    </row>
    <row r="344" customFormat="false" ht="15.75" hidden="false" customHeight="false" outlineLevel="0" collapsed="false">
      <c r="A344" s="12"/>
      <c r="B344" s="34"/>
      <c r="C344" s="12"/>
      <c r="D344" s="12"/>
      <c r="E344" s="12"/>
      <c r="F344" s="12"/>
      <c r="G344" s="18"/>
      <c r="H344" s="35"/>
      <c r="I344" s="35"/>
      <c r="J344" s="12"/>
      <c r="O344" s="12"/>
      <c r="P344" s="18"/>
      <c r="Q344" s="12"/>
      <c r="R344" s="12"/>
      <c r="S344" s="12"/>
      <c r="T344" s="36"/>
      <c r="U344" s="36"/>
      <c r="V344" s="12"/>
      <c r="W344" s="12"/>
      <c r="X344" s="12"/>
      <c r="Y344" s="12"/>
    </row>
    <row r="345" customFormat="false" ht="15.75" hidden="false" customHeight="false" outlineLevel="0" collapsed="false">
      <c r="A345" s="12"/>
      <c r="B345" s="34"/>
      <c r="C345" s="12"/>
      <c r="D345" s="12"/>
      <c r="E345" s="12"/>
      <c r="F345" s="12"/>
      <c r="G345" s="18"/>
      <c r="H345" s="35"/>
      <c r="I345" s="35"/>
      <c r="J345" s="12"/>
      <c r="O345" s="12"/>
      <c r="P345" s="18"/>
      <c r="Q345" s="12"/>
      <c r="R345" s="12"/>
      <c r="S345" s="12"/>
      <c r="T345" s="36"/>
      <c r="U345" s="36"/>
      <c r="V345" s="12"/>
      <c r="W345" s="12"/>
      <c r="X345" s="12"/>
      <c r="Y345" s="12"/>
    </row>
    <row r="346" customFormat="false" ht="15.75" hidden="false" customHeight="false" outlineLevel="0" collapsed="false">
      <c r="A346" s="12"/>
      <c r="B346" s="34"/>
      <c r="C346" s="12"/>
      <c r="D346" s="12"/>
      <c r="E346" s="12"/>
      <c r="F346" s="12"/>
      <c r="G346" s="18"/>
      <c r="H346" s="35"/>
      <c r="I346" s="35"/>
      <c r="J346" s="12"/>
      <c r="O346" s="12"/>
      <c r="P346" s="18"/>
      <c r="Q346" s="12"/>
      <c r="R346" s="12"/>
      <c r="S346" s="12"/>
      <c r="T346" s="36"/>
      <c r="U346" s="36"/>
      <c r="V346" s="12"/>
      <c r="W346" s="12"/>
      <c r="X346" s="12"/>
      <c r="Y346" s="12"/>
    </row>
    <row r="347" customFormat="false" ht="15.75" hidden="false" customHeight="false" outlineLevel="0" collapsed="false">
      <c r="A347" s="12"/>
      <c r="B347" s="34"/>
      <c r="C347" s="12"/>
      <c r="D347" s="12"/>
      <c r="E347" s="12"/>
      <c r="F347" s="12"/>
      <c r="G347" s="18"/>
      <c r="H347" s="35"/>
      <c r="I347" s="35"/>
      <c r="J347" s="12"/>
      <c r="O347" s="12"/>
      <c r="P347" s="18"/>
      <c r="Q347" s="12"/>
      <c r="R347" s="12"/>
      <c r="S347" s="12"/>
      <c r="T347" s="36"/>
      <c r="U347" s="36"/>
      <c r="V347" s="12"/>
      <c r="W347" s="12"/>
      <c r="X347" s="12"/>
      <c r="Y347" s="12"/>
    </row>
    <row r="348" customFormat="false" ht="15.75" hidden="false" customHeight="false" outlineLevel="0" collapsed="false">
      <c r="A348" s="12"/>
      <c r="B348" s="34"/>
      <c r="C348" s="12"/>
      <c r="D348" s="12"/>
      <c r="E348" s="12"/>
      <c r="F348" s="12"/>
      <c r="G348" s="18"/>
      <c r="H348" s="35"/>
      <c r="I348" s="35"/>
      <c r="J348" s="12"/>
      <c r="O348" s="12"/>
      <c r="P348" s="18"/>
      <c r="Q348" s="12"/>
      <c r="R348" s="12"/>
      <c r="S348" s="12"/>
      <c r="T348" s="36"/>
      <c r="U348" s="36"/>
      <c r="V348" s="12"/>
      <c r="W348" s="12"/>
      <c r="X348" s="12"/>
      <c r="Y348" s="12"/>
    </row>
    <row r="349" customFormat="false" ht="15.75" hidden="false" customHeight="false" outlineLevel="0" collapsed="false">
      <c r="A349" s="12"/>
      <c r="B349" s="34"/>
      <c r="C349" s="12"/>
      <c r="D349" s="12"/>
      <c r="E349" s="12"/>
      <c r="F349" s="12"/>
      <c r="G349" s="18"/>
      <c r="H349" s="35"/>
      <c r="I349" s="35"/>
      <c r="J349" s="12"/>
      <c r="O349" s="12"/>
      <c r="P349" s="18"/>
      <c r="Q349" s="12"/>
      <c r="R349" s="12"/>
      <c r="S349" s="12"/>
      <c r="T349" s="36"/>
      <c r="U349" s="36"/>
      <c r="V349" s="12"/>
      <c r="W349" s="12"/>
      <c r="X349" s="12"/>
      <c r="Y349" s="12"/>
    </row>
    <row r="350" customFormat="false" ht="15.75" hidden="false" customHeight="false" outlineLevel="0" collapsed="false">
      <c r="A350" s="12"/>
      <c r="B350" s="34"/>
      <c r="C350" s="12"/>
      <c r="D350" s="12"/>
      <c r="E350" s="12"/>
      <c r="F350" s="12"/>
      <c r="G350" s="18"/>
      <c r="H350" s="35"/>
      <c r="I350" s="35"/>
      <c r="J350" s="12"/>
      <c r="O350" s="12"/>
      <c r="P350" s="18"/>
      <c r="Q350" s="12"/>
      <c r="R350" s="12"/>
      <c r="S350" s="12"/>
      <c r="T350" s="36"/>
      <c r="U350" s="36"/>
      <c r="V350" s="12"/>
      <c r="W350" s="12"/>
      <c r="X350" s="12"/>
      <c r="Y350" s="12"/>
    </row>
    <row r="351" customFormat="false" ht="15.75" hidden="false" customHeight="false" outlineLevel="0" collapsed="false">
      <c r="A351" s="12"/>
      <c r="B351" s="34"/>
      <c r="C351" s="12"/>
      <c r="D351" s="12"/>
      <c r="E351" s="12"/>
      <c r="F351" s="12"/>
      <c r="G351" s="18"/>
      <c r="H351" s="35"/>
      <c r="I351" s="35"/>
      <c r="J351" s="12"/>
      <c r="O351" s="12"/>
      <c r="P351" s="18"/>
      <c r="Q351" s="12"/>
      <c r="R351" s="12"/>
      <c r="S351" s="12"/>
      <c r="T351" s="36"/>
      <c r="U351" s="36"/>
      <c r="V351" s="12"/>
      <c r="W351" s="12"/>
      <c r="X351" s="12"/>
      <c r="Y351" s="12"/>
    </row>
    <row r="352" customFormat="false" ht="15.75" hidden="false" customHeight="false" outlineLevel="0" collapsed="false">
      <c r="A352" s="12"/>
      <c r="B352" s="34"/>
      <c r="C352" s="12"/>
      <c r="D352" s="12"/>
      <c r="E352" s="12"/>
      <c r="F352" s="12"/>
      <c r="G352" s="18"/>
      <c r="H352" s="35"/>
      <c r="I352" s="35"/>
      <c r="J352" s="12"/>
      <c r="O352" s="12"/>
      <c r="P352" s="18"/>
      <c r="Q352" s="12"/>
      <c r="R352" s="12"/>
      <c r="S352" s="12"/>
      <c r="T352" s="36"/>
      <c r="U352" s="36"/>
      <c r="V352" s="12"/>
      <c r="W352" s="12"/>
      <c r="X352" s="12"/>
      <c r="Y352" s="12"/>
    </row>
    <row r="353" customFormat="false" ht="15.75" hidden="false" customHeight="false" outlineLevel="0" collapsed="false">
      <c r="A353" s="12"/>
      <c r="B353" s="34"/>
      <c r="C353" s="12"/>
      <c r="D353" s="12"/>
      <c r="E353" s="12"/>
      <c r="F353" s="12"/>
      <c r="G353" s="18"/>
      <c r="H353" s="35"/>
      <c r="I353" s="35"/>
      <c r="J353" s="12"/>
      <c r="O353" s="12"/>
      <c r="P353" s="18"/>
      <c r="Q353" s="12"/>
      <c r="R353" s="12"/>
      <c r="S353" s="12"/>
      <c r="T353" s="36"/>
      <c r="U353" s="36"/>
      <c r="V353" s="12"/>
      <c r="W353" s="12"/>
      <c r="X353" s="12"/>
      <c r="Y353" s="12"/>
    </row>
    <row r="354" customFormat="false" ht="15.75" hidden="false" customHeight="false" outlineLevel="0" collapsed="false">
      <c r="A354" s="12"/>
      <c r="B354" s="34"/>
      <c r="C354" s="12"/>
      <c r="D354" s="12"/>
      <c r="E354" s="12"/>
      <c r="F354" s="12"/>
      <c r="G354" s="18"/>
      <c r="H354" s="35"/>
      <c r="I354" s="35"/>
      <c r="J354" s="12"/>
      <c r="O354" s="12"/>
      <c r="P354" s="18"/>
      <c r="Q354" s="12"/>
      <c r="R354" s="12"/>
      <c r="S354" s="12"/>
      <c r="T354" s="36"/>
      <c r="U354" s="36"/>
      <c r="V354" s="12"/>
      <c r="W354" s="12"/>
      <c r="X354" s="12"/>
      <c r="Y354" s="12"/>
    </row>
    <row r="355" customFormat="false" ht="15.75" hidden="false" customHeight="false" outlineLevel="0" collapsed="false">
      <c r="A355" s="12"/>
      <c r="B355" s="34"/>
      <c r="C355" s="12"/>
      <c r="D355" s="12"/>
      <c r="E355" s="12"/>
      <c r="F355" s="12"/>
      <c r="G355" s="18"/>
      <c r="H355" s="35"/>
      <c r="I355" s="35"/>
      <c r="J355" s="12"/>
      <c r="O355" s="12"/>
      <c r="P355" s="18"/>
      <c r="Q355" s="12"/>
      <c r="R355" s="12"/>
      <c r="S355" s="12"/>
      <c r="T355" s="36"/>
      <c r="U355" s="36"/>
      <c r="V355" s="12"/>
      <c r="W355" s="12"/>
      <c r="X355" s="12"/>
      <c r="Y355" s="12"/>
    </row>
    <row r="356" customFormat="false" ht="15.75" hidden="false" customHeight="false" outlineLevel="0" collapsed="false">
      <c r="A356" s="12"/>
      <c r="B356" s="34"/>
      <c r="C356" s="12"/>
      <c r="D356" s="12"/>
      <c r="E356" s="12"/>
      <c r="F356" s="12"/>
      <c r="G356" s="18"/>
      <c r="H356" s="35"/>
      <c r="I356" s="35"/>
      <c r="J356" s="12"/>
      <c r="O356" s="12"/>
      <c r="P356" s="18"/>
      <c r="Q356" s="12"/>
      <c r="R356" s="12"/>
      <c r="S356" s="12"/>
      <c r="T356" s="36"/>
      <c r="U356" s="36"/>
      <c r="V356" s="12"/>
      <c r="W356" s="12"/>
      <c r="X356" s="12"/>
      <c r="Y356" s="12"/>
    </row>
    <row r="357" customFormat="false" ht="15.75" hidden="false" customHeight="false" outlineLevel="0" collapsed="false">
      <c r="A357" s="12"/>
      <c r="B357" s="34"/>
      <c r="C357" s="12"/>
      <c r="D357" s="12"/>
      <c r="E357" s="12"/>
      <c r="F357" s="12"/>
      <c r="G357" s="18"/>
      <c r="H357" s="35"/>
      <c r="I357" s="35"/>
      <c r="J357" s="12"/>
      <c r="O357" s="12"/>
      <c r="P357" s="18"/>
      <c r="Q357" s="12"/>
      <c r="R357" s="12"/>
      <c r="S357" s="12"/>
      <c r="T357" s="36"/>
      <c r="U357" s="36"/>
      <c r="V357" s="12"/>
      <c r="W357" s="12"/>
      <c r="X357" s="12"/>
      <c r="Y357" s="12"/>
    </row>
    <row r="358" customFormat="false" ht="15.75" hidden="false" customHeight="false" outlineLevel="0" collapsed="false">
      <c r="A358" s="12"/>
      <c r="B358" s="34"/>
      <c r="C358" s="12"/>
      <c r="D358" s="12"/>
      <c r="E358" s="12"/>
      <c r="F358" s="12"/>
      <c r="G358" s="18"/>
      <c r="H358" s="35"/>
      <c r="I358" s="35"/>
      <c r="J358" s="12"/>
      <c r="O358" s="12"/>
      <c r="P358" s="18"/>
      <c r="Q358" s="12"/>
      <c r="R358" s="12"/>
      <c r="S358" s="12"/>
      <c r="T358" s="36"/>
      <c r="U358" s="36"/>
      <c r="V358" s="12"/>
      <c r="W358" s="12"/>
      <c r="X358" s="12"/>
      <c r="Y358" s="12"/>
    </row>
    <row r="359" customFormat="false" ht="15.75" hidden="false" customHeight="false" outlineLevel="0" collapsed="false">
      <c r="A359" s="12"/>
      <c r="B359" s="34"/>
      <c r="C359" s="12"/>
      <c r="D359" s="12"/>
      <c r="E359" s="12"/>
      <c r="F359" s="12"/>
      <c r="G359" s="18"/>
      <c r="H359" s="35"/>
      <c r="I359" s="35"/>
      <c r="J359" s="12"/>
      <c r="O359" s="12"/>
      <c r="P359" s="18"/>
      <c r="Q359" s="12"/>
      <c r="R359" s="12"/>
      <c r="S359" s="12"/>
      <c r="T359" s="36"/>
      <c r="U359" s="36"/>
      <c r="V359" s="12"/>
      <c r="W359" s="12"/>
      <c r="X359" s="12"/>
      <c r="Y359" s="12"/>
    </row>
    <row r="360" customFormat="false" ht="15.75" hidden="false" customHeight="false" outlineLevel="0" collapsed="false">
      <c r="A360" s="12"/>
      <c r="B360" s="34"/>
      <c r="C360" s="12"/>
      <c r="D360" s="12"/>
      <c r="E360" s="12"/>
      <c r="F360" s="12"/>
      <c r="G360" s="18"/>
      <c r="H360" s="35"/>
      <c r="I360" s="35"/>
      <c r="J360" s="12"/>
      <c r="O360" s="12"/>
      <c r="P360" s="18"/>
      <c r="Q360" s="12"/>
      <c r="R360" s="12"/>
      <c r="S360" s="12"/>
      <c r="T360" s="36"/>
      <c r="U360" s="36"/>
      <c r="V360" s="12"/>
      <c r="W360" s="12"/>
      <c r="X360" s="12"/>
      <c r="Y360" s="12"/>
    </row>
    <row r="361" customFormat="false" ht="15.75" hidden="false" customHeight="false" outlineLevel="0" collapsed="false">
      <c r="A361" s="12"/>
      <c r="B361" s="34"/>
      <c r="C361" s="12"/>
      <c r="D361" s="12"/>
      <c r="E361" s="12"/>
      <c r="F361" s="12"/>
      <c r="G361" s="18"/>
      <c r="H361" s="35"/>
      <c r="I361" s="35"/>
      <c r="J361" s="12"/>
      <c r="O361" s="12"/>
      <c r="P361" s="18"/>
      <c r="Q361" s="12"/>
      <c r="R361" s="12"/>
      <c r="S361" s="12"/>
      <c r="T361" s="36"/>
      <c r="U361" s="36"/>
      <c r="V361" s="12"/>
      <c r="W361" s="12"/>
      <c r="X361" s="12"/>
      <c r="Y361" s="12"/>
    </row>
    <row r="362" customFormat="false" ht="15.75" hidden="false" customHeight="false" outlineLevel="0" collapsed="false">
      <c r="A362" s="12"/>
      <c r="B362" s="34"/>
      <c r="C362" s="12"/>
      <c r="D362" s="12"/>
      <c r="E362" s="12"/>
      <c r="F362" s="12"/>
      <c r="G362" s="18"/>
      <c r="H362" s="35"/>
      <c r="I362" s="35"/>
      <c r="J362" s="12"/>
      <c r="O362" s="12"/>
      <c r="P362" s="18"/>
      <c r="Q362" s="12"/>
      <c r="R362" s="12"/>
      <c r="S362" s="12"/>
      <c r="T362" s="36"/>
      <c r="U362" s="36"/>
      <c r="V362" s="12"/>
      <c r="W362" s="12"/>
      <c r="X362" s="12"/>
      <c r="Y362" s="12"/>
    </row>
    <row r="363" customFormat="false" ht="15.75" hidden="false" customHeight="false" outlineLevel="0" collapsed="false">
      <c r="A363" s="12"/>
      <c r="B363" s="34"/>
      <c r="C363" s="12"/>
      <c r="D363" s="12"/>
      <c r="E363" s="12"/>
      <c r="F363" s="12"/>
      <c r="G363" s="18"/>
      <c r="H363" s="35"/>
      <c r="I363" s="35"/>
      <c r="J363" s="12"/>
      <c r="O363" s="12"/>
      <c r="P363" s="18"/>
      <c r="Q363" s="12"/>
      <c r="R363" s="12"/>
      <c r="S363" s="12"/>
      <c r="T363" s="36"/>
      <c r="U363" s="36"/>
      <c r="V363" s="12"/>
      <c r="W363" s="12"/>
      <c r="X363" s="12"/>
      <c r="Y363" s="12"/>
    </row>
    <row r="364" customFormat="false" ht="15.75" hidden="false" customHeight="false" outlineLevel="0" collapsed="false">
      <c r="A364" s="12"/>
      <c r="B364" s="34"/>
      <c r="C364" s="12"/>
      <c r="D364" s="12"/>
      <c r="E364" s="12"/>
      <c r="F364" s="12"/>
      <c r="G364" s="18"/>
      <c r="H364" s="35"/>
      <c r="I364" s="35"/>
      <c r="J364" s="12"/>
      <c r="O364" s="12"/>
      <c r="P364" s="18"/>
      <c r="Q364" s="12"/>
      <c r="R364" s="12"/>
      <c r="S364" s="12"/>
      <c r="T364" s="36"/>
      <c r="U364" s="36"/>
      <c r="V364" s="12"/>
      <c r="W364" s="12"/>
      <c r="X364" s="12"/>
      <c r="Y364" s="12"/>
    </row>
    <row r="365" customFormat="false" ht="15.75" hidden="false" customHeight="false" outlineLevel="0" collapsed="false">
      <c r="A365" s="12"/>
      <c r="B365" s="34"/>
      <c r="C365" s="12"/>
      <c r="D365" s="12"/>
      <c r="E365" s="12"/>
      <c r="F365" s="12"/>
      <c r="G365" s="18"/>
      <c r="H365" s="35"/>
      <c r="I365" s="35"/>
      <c r="J365" s="12"/>
      <c r="O365" s="12"/>
      <c r="P365" s="18"/>
      <c r="Q365" s="12"/>
      <c r="R365" s="12"/>
      <c r="S365" s="12"/>
      <c r="T365" s="36"/>
      <c r="U365" s="36"/>
      <c r="V365" s="12"/>
      <c r="W365" s="12"/>
      <c r="X365" s="12"/>
      <c r="Y365" s="12"/>
    </row>
    <row r="366" customFormat="false" ht="15.75" hidden="false" customHeight="false" outlineLevel="0" collapsed="false">
      <c r="A366" s="12"/>
      <c r="B366" s="34"/>
      <c r="C366" s="12"/>
      <c r="D366" s="12"/>
      <c r="E366" s="12"/>
      <c r="F366" s="12"/>
      <c r="G366" s="18"/>
      <c r="H366" s="35"/>
      <c r="I366" s="35"/>
      <c r="J366" s="12"/>
      <c r="O366" s="12"/>
      <c r="P366" s="18"/>
      <c r="Q366" s="12"/>
      <c r="R366" s="12"/>
      <c r="S366" s="12"/>
      <c r="T366" s="36"/>
      <c r="U366" s="36"/>
      <c r="V366" s="12"/>
      <c r="W366" s="12"/>
      <c r="X366" s="12"/>
      <c r="Y366" s="12"/>
    </row>
    <row r="367" customFormat="false" ht="15.75" hidden="false" customHeight="false" outlineLevel="0" collapsed="false">
      <c r="A367" s="12"/>
      <c r="B367" s="34"/>
      <c r="C367" s="12"/>
      <c r="D367" s="12"/>
      <c r="E367" s="12"/>
      <c r="F367" s="12"/>
      <c r="G367" s="18"/>
      <c r="H367" s="35"/>
      <c r="I367" s="35"/>
      <c r="J367" s="12"/>
      <c r="O367" s="12"/>
      <c r="P367" s="18"/>
      <c r="Q367" s="12"/>
      <c r="R367" s="12"/>
      <c r="S367" s="12"/>
      <c r="T367" s="36"/>
      <c r="U367" s="36"/>
      <c r="V367" s="12"/>
      <c r="W367" s="12"/>
      <c r="X367" s="12"/>
      <c r="Y367" s="12"/>
    </row>
    <row r="368" customFormat="false" ht="15.75" hidden="false" customHeight="false" outlineLevel="0" collapsed="false">
      <c r="A368" s="12"/>
      <c r="B368" s="34"/>
      <c r="C368" s="12"/>
      <c r="D368" s="12"/>
      <c r="E368" s="12"/>
      <c r="F368" s="12"/>
      <c r="G368" s="18"/>
      <c r="H368" s="35"/>
      <c r="I368" s="35"/>
      <c r="J368" s="12"/>
      <c r="O368" s="12"/>
      <c r="P368" s="18"/>
      <c r="Q368" s="12"/>
      <c r="R368" s="12"/>
      <c r="S368" s="12"/>
      <c r="T368" s="36"/>
      <c r="U368" s="36"/>
      <c r="V368" s="12"/>
      <c r="W368" s="12"/>
      <c r="X368" s="12"/>
      <c r="Y368" s="12"/>
    </row>
    <row r="369" customFormat="false" ht="15.75" hidden="false" customHeight="false" outlineLevel="0" collapsed="false">
      <c r="A369" s="12"/>
      <c r="B369" s="34"/>
      <c r="C369" s="12"/>
      <c r="D369" s="12"/>
      <c r="E369" s="12"/>
      <c r="F369" s="12"/>
      <c r="G369" s="18"/>
      <c r="H369" s="35"/>
      <c r="I369" s="35"/>
      <c r="J369" s="12"/>
      <c r="O369" s="12"/>
      <c r="P369" s="18"/>
      <c r="Q369" s="12"/>
      <c r="R369" s="12"/>
      <c r="S369" s="12"/>
      <c r="T369" s="36"/>
      <c r="U369" s="36"/>
      <c r="V369" s="12"/>
      <c r="W369" s="12"/>
      <c r="X369" s="12"/>
      <c r="Y369" s="12"/>
    </row>
    <row r="370" customFormat="false" ht="15.75" hidden="false" customHeight="false" outlineLevel="0" collapsed="false">
      <c r="A370" s="12"/>
      <c r="B370" s="34"/>
      <c r="C370" s="12"/>
      <c r="D370" s="12"/>
      <c r="E370" s="12"/>
      <c r="F370" s="12"/>
      <c r="G370" s="18"/>
      <c r="H370" s="35"/>
      <c r="I370" s="35"/>
      <c r="J370" s="12"/>
      <c r="O370" s="12"/>
      <c r="P370" s="18"/>
      <c r="Q370" s="12"/>
      <c r="R370" s="12"/>
      <c r="S370" s="12"/>
      <c r="T370" s="36"/>
      <c r="U370" s="36"/>
      <c r="V370" s="12"/>
      <c r="W370" s="12"/>
      <c r="X370" s="12"/>
      <c r="Y370" s="12"/>
    </row>
    <row r="371" customFormat="false" ht="15.75" hidden="false" customHeight="false" outlineLevel="0" collapsed="false">
      <c r="A371" s="12"/>
      <c r="B371" s="34"/>
      <c r="C371" s="12"/>
      <c r="D371" s="12"/>
      <c r="E371" s="12"/>
      <c r="F371" s="12"/>
      <c r="G371" s="18"/>
      <c r="H371" s="35"/>
      <c r="I371" s="35"/>
      <c r="J371" s="12"/>
      <c r="O371" s="12"/>
      <c r="P371" s="18"/>
      <c r="Q371" s="12"/>
      <c r="R371" s="12"/>
      <c r="S371" s="12"/>
      <c r="T371" s="36"/>
      <c r="U371" s="36"/>
      <c r="V371" s="12"/>
      <c r="W371" s="12"/>
      <c r="X371" s="12"/>
      <c r="Y371" s="12"/>
    </row>
    <row r="372" customFormat="false" ht="15.75" hidden="false" customHeight="false" outlineLevel="0" collapsed="false">
      <c r="A372" s="12"/>
      <c r="B372" s="34"/>
      <c r="C372" s="12"/>
      <c r="D372" s="12"/>
      <c r="E372" s="12"/>
      <c r="F372" s="12"/>
      <c r="G372" s="18"/>
      <c r="H372" s="35"/>
      <c r="I372" s="35"/>
      <c r="J372" s="12"/>
      <c r="O372" s="12"/>
      <c r="P372" s="18"/>
      <c r="Q372" s="12"/>
      <c r="R372" s="12"/>
      <c r="S372" s="12"/>
      <c r="T372" s="36"/>
      <c r="U372" s="36"/>
      <c r="V372" s="12"/>
      <c r="W372" s="12"/>
      <c r="X372" s="12"/>
      <c r="Y372" s="12"/>
    </row>
    <row r="373" customFormat="false" ht="15.75" hidden="false" customHeight="false" outlineLevel="0" collapsed="false">
      <c r="A373" s="12"/>
      <c r="B373" s="34"/>
      <c r="C373" s="12"/>
      <c r="D373" s="12"/>
      <c r="E373" s="12"/>
      <c r="F373" s="12"/>
      <c r="G373" s="18"/>
      <c r="H373" s="35"/>
      <c r="I373" s="35"/>
      <c r="J373" s="12"/>
      <c r="O373" s="12"/>
      <c r="P373" s="18"/>
      <c r="Q373" s="12"/>
      <c r="R373" s="12"/>
      <c r="S373" s="12"/>
      <c r="T373" s="36"/>
      <c r="U373" s="36"/>
      <c r="V373" s="12"/>
      <c r="W373" s="12"/>
      <c r="X373" s="12"/>
      <c r="Y373" s="12"/>
    </row>
    <row r="374" customFormat="false" ht="15.75" hidden="false" customHeight="false" outlineLevel="0" collapsed="false">
      <c r="A374" s="12"/>
      <c r="B374" s="34"/>
      <c r="C374" s="12"/>
      <c r="D374" s="12"/>
      <c r="E374" s="12"/>
      <c r="F374" s="12"/>
      <c r="G374" s="18"/>
      <c r="H374" s="35"/>
      <c r="I374" s="35"/>
      <c r="J374" s="12"/>
      <c r="O374" s="12"/>
      <c r="P374" s="18"/>
      <c r="Q374" s="12"/>
      <c r="R374" s="12"/>
      <c r="S374" s="12"/>
      <c r="T374" s="36"/>
      <c r="U374" s="36"/>
      <c r="V374" s="12"/>
      <c r="W374" s="12"/>
      <c r="X374" s="12"/>
      <c r="Y374" s="12"/>
    </row>
    <row r="375" customFormat="false" ht="15.75" hidden="false" customHeight="false" outlineLevel="0" collapsed="false">
      <c r="A375" s="12"/>
      <c r="B375" s="34"/>
      <c r="C375" s="12"/>
      <c r="D375" s="12"/>
      <c r="E375" s="12"/>
      <c r="F375" s="12"/>
      <c r="G375" s="18"/>
      <c r="H375" s="35"/>
      <c r="I375" s="35"/>
      <c r="J375" s="12"/>
      <c r="O375" s="12"/>
      <c r="P375" s="18"/>
      <c r="Q375" s="12"/>
      <c r="R375" s="12"/>
      <c r="S375" s="12"/>
      <c r="T375" s="36"/>
      <c r="U375" s="36"/>
      <c r="V375" s="12"/>
      <c r="W375" s="12"/>
      <c r="X375" s="12"/>
      <c r="Y375" s="12"/>
    </row>
    <row r="376" customFormat="false" ht="15.75" hidden="false" customHeight="false" outlineLevel="0" collapsed="false">
      <c r="A376" s="12"/>
      <c r="B376" s="34"/>
      <c r="C376" s="12"/>
      <c r="D376" s="12"/>
      <c r="E376" s="12"/>
      <c r="F376" s="12"/>
      <c r="G376" s="18"/>
      <c r="H376" s="35"/>
      <c r="I376" s="35"/>
      <c r="J376" s="12"/>
      <c r="O376" s="12"/>
      <c r="P376" s="18"/>
      <c r="Q376" s="12"/>
      <c r="R376" s="12"/>
      <c r="S376" s="12"/>
      <c r="T376" s="36"/>
      <c r="U376" s="36"/>
      <c r="V376" s="12"/>
      <c r="W376" s="12"/>
      <c r="X376" s="12"/>
      <c r="Y376" s="12"/>
    </row>
    <row r="377" customFormat="false" ht="15.75" hidden="false" customHeight="false" outlineLevel="0" collapsed="false">
      <c r="A377" s="12"/>
      <c r="B377" s="34"/>
      <c r="C377" s="12"/>
      <c r="D377" s="12"/>
      <c r="E377" s="12"/>
      <c r="F377" s="12"/>
      <c r="G377" s="18"/>
      <c r="H377" s="35"/>
      <c r="I377" s="35"/>
      <c r="J377" s="12"/>
      <c r="O377" s="12"/>
      <c r="P377" s="18"/>
      <c r="Q377" s="12"/>
      <c r="R377" s="12"/>
      <c r="S377" s="12"/>
      <c r="T377" s="36"/>
      <c r="U377" s="36"/>
      <c r="V377" s="12"/>
      <c r="W377" s="12"/>
      <c r="X377" s="12"/>
      <c r="Y377" s="12"/>
    </row>
    <row r="378" customFormat="false" ht="15.75" hidden="false" customHeight="false" outlineLevel="0" collapsed="false">
      <c r="A378" s="12"/>
      <c r="B378" s="34"/>
      <c r="C378" s="12"/>
      <c r="D378" s="12"/>
      <c r="E378" s="12"/>
      <c r="F378" s="12"/>
      <c r="G378" s="18"/>
      <c r="H378" s="35"/>
      <c r="I378" s="35"/>
      <c r="J378" s="12"/>
      <c r="O378" s="12"/>
      <c r="P378" s="18"/>
      <c r="Q378" s="12"/>
      <c r="R378" s="12"/>
      <c r="S378" s="12"/>
      <c r="T378" s="36"/>
      <c r="U378" s="36"/>
      <c r="V378" s="12"/>
      <c r="W378" s="12"/>
      <c r="X378" s="12"/>
      <c r="Y378" s="12"/>
    </row>
    <row r="379" customFormat="false" ht="15.75" hidden="false" customHeight="false" outlineLevel="0" collapsed="false">
      <c r="A379" s="12"/>
      <c r="B379" s="34"/>
      <c r="C379" s="12"/>
      <c r="D379" s="12"/>
      <c r="E379" s="12"/>
      <c r="F379" s="12"/>
      <c r="G379" s="18"/>
      <c r="H379" s="35"/>
      <c r="I379" s="35"/>
      <c r="J379" s="12"/>
      <c r="O379" s="12"/>
      <c r="P379" s="18"/>
      <c r="Q379" s="12"/>
      <c r="R379" s="12"/>
      <c r="S379" s="12"/>
      <c r="T379" s="36"/>
      <c r="U379" s="36"/>
      <c r="V379" s="12"/>
      <c r="W379" s="12"/>
      <c r="X379" s="12"/>
      <c r="Y379" s="12"/>
    </row>
    <row r="380" customFormat="false" ht="15.75" hidden="false" customHeight="false" outlineLevel="0" collapsed="false">
      <c r="A380" s="12"/>
      <c r="B380" s="34"/>
      <c r="C380" s="12"/>
      <c r="D380" s="12"/>
      <c r="E380" s="12"/>
      <c r="F380" s="12"/>
      <c r="G380" s="18"/>
      <c r="H380" s="35"/>
      <c r="I380" s="35"/>
      <c r="J380" s="12"/>
      <c r="O380" s="12"/>
      <c r="P380" s="18"/>
      <c r="Q380" s="12"/>
      <c r="R380" s="12"/>
      <c r="S380" s="12"/>
      <c r="T380" s="36"/>
      <c r="U380" s="36"/>
      <c r="V380" s="12"/>
      <c r="W380" s="12"/>
      <c r="X380" s="12"/>
      <c r="Y380" s="12"/>
    </row>
    <row r="381" customFormat="false" ht="15.75" hidden="false" customHeight="false" outlineLevel="0" collapsed="false">
      <c r="A381" s="12"/>
      <c r="B381" s="34"/>
      <c r="C381" s="12"/>
      <c r="D381" s="12"/>
      <c r="E381" s="12"/>
      <c r="F381" s="12"/>
      <c r="G381" s="18"/>
      <c r="H381" s="35"/>
      <c r="I381" s="35"/>
      <c r="J381" s="12"/>
      <c r="O381" s="12"/>
      <c r="P381" s="18"/>
      <c r="Q381" s="12"/>
      <c r="R381" s="12"/>
      <c r="S381" s="12"/>
      <c r="T381" s="36"/>
      <c r="U381" s="36"/>
      <c r="V381" s="12"/>
      <c r="W381" s="12"/>
      <c r="X381" s="12"/>
      <c r="Y381" s="12"/>
    </row>
    <row r="382" customFormat="false" ht="15.75" hidden="false" customHeight="false" outlineLevel="0" collapsed="false">
      <c r="A382" s="12"/>
      <c r="B382" s="34"/>
      <c r="C382" s="12"/>
      <c r="D382" s="12"/>
      <c r="E382" s="12"/>
      <c r="F382" s="12"/>
      <c r="G382" s="18"/>
      <c r="H382" s="35"/>
      <c r="I382" s="35"/>
      <c r="J382" s="12"/>
      <c r="O382" s="12"/>
      <c r="P382" s="18"/>
      <c r="Q382" s="12"/>
      <c r="R382" s="12"/>
      <c r="S382" s="12"/>
      <c r="T382" s="36"/>
      <c r="U382" s="36"/>
      <c r="V382" s="12"/>
      <c r="W382" s="12"/>
      <c r="X382" s="12"/>
      <c r="Y382" s="12"/>
    </row>
    <row r="383" customFormat="false" ht="15.75" hidden="false" customHeight="false" outlineLevel="0" collapsed="false">
      <c r="A383" s="12"/>
      <c r="B383" s="34"/>
      <c r="C383" s="12"/>
      <c r="D383" s="12"/>
      <c r="E383" s="12"/>
      <c r="F383" s="12"/>
      <c r="G383" s="18"/>
      <c r="H383" s="35"/>
      <c r="I383" s="35"/>
      <c r="J383" s="12"/>
      <c r="O383" s="12"/>
      <c r="P383" s="18"/>
      <c r="Q383" s="12"/>
      <c r="R383" s="12"/>
      <c r="S383" s="12"/>
      <c r="T383" s="36"/>
      <c r="U383" s="36"/>
      <c r="V383" s="12"/>
      <c r="W383" s="12"/>
      <c r="X383" s="12"/>
      <c r="Y383" s="12"/>
    </row>
    <row r="384" customFormat="false" ht="15.75" hidden="false" customHeight="false" outlineLevel="0" collapsed="false">
      <c r="A384" s="12"/>
      <c r="B384" s="34"/>
      <c r="C384" s="12"/>
      <c r="D384" s="12"/>
      <c r="E384" s="12"/>
      <c r="F384" s="12"/>
      <c r="G384" s="18"/>
      <c r="H384" s="35"/>
      <c r="I384" s="35"/>
      <c r="J384" s="12"/>
      <c r="O384" s="12"/>
      <c r="P384" s="18"/>
      <c r="Q384" s="12"/>
      <c r="R384" s="12"/>
      <c r="S384" s="12"/>
      <c r="T384" s="36"/>
      <c r="U384" s="36"/>
      <c r="V384" s="12"/>
      <c r="W384" s="12"/>
      <c r="X384" s="12"/>
      <c r="Y384" s="12"/>
    </row>
    <row r="385" customFormat="false" ht="15.75" hidden="false" customHeight="false" outlineLevel="0" collapsed="false">
      <c r="A385" s="12"/>
      <c r="B385" s="34"/>
      <c r="C385" s="12"/>
      <c r="D385" s="12"/>
      <c r="E385" s="12"/>
      <c r="F385" s="12"/>
      <c r="G385" s="18"/>
      <c r="H385" s="35"/>
      <c r="I385" s="35"/>
      <c r="J385" s="12"/>
      <c r="O385" s="12"/>
      <c r="P385" s="18"/>
      <c r="Q385" s="12"/>
      <c r="R385" s="12"/>
      <c r="S385" s="12"/>
      <c r="T385" s="36"/>
      <c r="U385" s="36"/>
      <c r="V385" s="12"/>
      <c r="W385" s="12"/>
      <c r="X385" s="12"/>
      <c r="Y385" s="12"/>
    </row>
    <row r="386" customFormat="false" ht="15.75" hidden="false" customHeight="false" outlineLevel="0" collapsed="false">
      <c r="A386" s="12"/>
      <c r="B386" s="34"/>
      <c r="C386" s="12"/>
      <c r="D386" s="12"/>
      <c r="E386" s="12"/>
      <c r="F386" s="12"/>
      <c r="G386" s="18"/>
      <c r="H386" s="35"/>
      <c r="I386" s="35"/>
      <c r="J386" s="12"/>
      <c r="O386" s="12"/>
      <c r="P386" s="18"/>
      <c r="Q386" s="12"/>
      <c r="R386" s="12"/>
      <c r="S386" s="12"/>
      <c r="T386" s="36"/>
      <c r="U386" s="36"/>
      <c r="V386" s="12"/>
      <c r="W386" s="12"/>
      <c r="X386" s="12"/>
      <c r="Y386" s="12"/>
    </row>
    <row r="387" customFormat="false" ht="15.75" hidden="false" customHeight="false" outlineLevel="0" collapsed="false">
      <c r="A387" s="12"/>
      <c r="B387" s="34"/>
      <c r="C387" s="12"/>
      <c r="D387" s="12"/>
      <c r="E387" s="12"/>
      <c r="F387" s="12"/>
      <c r="G387" s="18"/>
      <c r="H387" s="35"/>
      <c r="I387" s="35"/>
      <c r="J387" s="12"/>
      <c r="O387" s="12"/>
      <c r="P387" s="18"/>
      <c r="Q387" s="12"/>
      <c r="R387" s="12"/>
      <c r="S387" s="12"/>
      <c r="T387" s="36"/>
      <c r="U387" s="36"/>
      <c r="V387" s="12"/>
      <c r="W387" s="12"/>
      <c r="X387" s="12"/>
      <c r="Y387" s="12"/>
    </row>
    <row r="388" customFormat="false" ht="15.75" hidden="false" customHeight="false" outlineLevel="0" collapsed="false">
      <c r="A388" s="12"/>
      <c r="B388" s="34"/>
      <c r="C388" s="12"/>
      <c r="D388" s="12"/>
      <c r="E388" s="12"/>
      <c r="F388" s="12"/>
      <c r="G388" s="18"/>
      <c r="H388" s="35"/>
      <c r="I388" s="35"/>
      <c r="J388" s="12"/>
      <c r="O388" s="12"/>
      <c r="P388" s="18"/>
      <c r="Q388" s="12"/>
      <c r="R388" s="12"/>
      <c r="S388" s="12"/>
      <c r="T388" s="36"/>
      <c r="U388" s="36"/>
      <c r="V388" s="12"/>
      <c r="W388" s="12"/>
      <c r="X388" s="12"/>
      <c r="Y388" s="12"/>
    </row>
    <row r="389" customFormat="false" ht="15.75" hidden="false" customHeight="false" outlineLevel="0" collapsed="false">
      <c r="A389" s="12"/>
      <c r="B389" s="34"/>
      <c r="C389" s="12"/>
      <c r="D389" s="12"/>
      <c r="E389" s="12"/>
      <c r="F389" s="12"/>
      <c r="G389" s="18"/>
      <c r="H389" s="35"/>
      <c r="I389" s="35"/>
      <c r="J389" s="12"/>
      <c r="O389" s="12"/>
      <c r="P389" s="18"/>
      <c r="Q389" s="12"/>
      <c r="R389" s="12"/>
      <c r="S389" s="12"/>
      <c r="T389" s="36"/>
      <c r="U389" s="36"/>
      <c r="V389" s="12"/>
      <c r="W389" s="12"/>
      <c r="X389" s="12"/>
      <c r="Y389" s="12"/>
    </row>
    <row r="390" customFormat="false" ht="15.75" hidden="false" customHeight="false" outlineLevel="0" collapsed="false">
      <c r="A390" s="12"/>
      <c r="B390" s="34"/>
      <c r="C390" s="12"/>
      <c r="D390" s="12"/>
      <c r="E390" s="12"/>
      <c r="F390" s="12"/>
      <c r="G390" s="18"/>
      <c r="H390" s="35"/>
      <c r="I390" s="35"/>
      <c r="J390" s="12"/>
      <c r="O390" s="12"/>
      <c r="P390" s="18"/>
      <c r="Q390" s="12"/>
      <c r="R390" s="12"/>
      <c r="S390" s="12"/>
      <c r="T390" s="36"/>
      <c r="U390" s="36"/>
      <c r="V390" s="12"/>
      <c r="W390" s="12"/>
      <c r="X390" s="12"/>
      <c r="Y390" s="12"/>
    </row>
    <row r="391" customFormat="false" ht="15.75" hidden="false" customHeight="false" outlineLevel="0" collapsed="false">
      <c r="A391" s="12"/>
      <c r="B391" s="34"/>
      <c r="C391" s="12"/>
      <c r="D391" s="12"/>
      <c r="E391" s="12"/>
      <c r="F391" s="12"/>
      <c r="G391" s="18"/>
      <c r="H391" s="35"/>
      <c r="I391" s="35"/>
      <c r="J391" s="12"/>
      <c r="O391" s="12"/>
      <c r="P391" s="18"/>
      <c r="Q391" s="12"/>
      <c r="R391" s="12"/>
      <c r="S391" s="12"/>
      <c r="T391" s="36"/>
      <c r="U391" s="36"/>
      <c r="V391" s="12"/>
      <c r="W391" s="12"/>
      <c r="X391" s="12"/>
      <c r="Y391" s="12"/>
    </row>
    <row r="392" customFormat="false" ht="15.75" hidden="false" customHeight="false" outlineLevel="0" collapsed="false">
      <c r="A392" s="12"/>
      <c r="B392" s="34"/>
      <c r="C392" s="12"/>
      <c r="D392" s="12"/>
      <c r="E392" s="12"/>
      <c r="F392" s="12"/>
      <c r="G392" s="18"/>
      <c r="H392" s="35"/>
      <c r="I392" s="35"/>
      <c r="J392" s="12"/>
      <c r="O392" s="12"/>
      <c r="P392" s="18"/>
      <c r="Q392" s="12"/>
      <c r="R392" s="12"/>
      <c r="S392" s="12"/>
      <c r="T392" s="36"/>
      <c r="U392" s="36"/>
      <c r="V392" s="12"/>
      <c r="W392" s="12"/>
      <c r="X392" s="12"/>
      <c r="Y392" s="12"/>
    </row>
    <row r="393" customFormat="false" ht="15.75" hidden="false" customHeight="false" outlineLevel="0" collapsed="false">
      <c r="A393" s="12"/>
      <c r="B393" s="34"/>
      <c r="C393" s="12"/>
      <c r="D393" s="12"/>
      <c r="E393" s="12"/>
      <c r="F393" s="12"/>
      <c r="G393" s="18"/>
      <c r="H393" s="35"/>
      <c r="I393" s="35"/>
      <c r="J393" s="12"/>
      <c r="O393" s="12"/>
      <c r="P393" s="18"/>
      <c r="Q393" s="12"/>
      <c r="R393" s="12"/>
      <c r="S393" s="12"/>
      <c r="T393" s="36"/>
      <c r="U393" s="36"/>
      <c r="V393" s="12"/>
      <c r="W393" s="12"/>
      <c r="X393" s="12"/>
      <c r="Y393" s="12"/>
    </row>
    <row r="394" customFormat="false" ht="15.75" hidden="false" customHeight="false" outlineLevel="0" collapsed="false">
      <c r="A394" s="12"/>
      <c r="B394" s="34"/>
      <c r="C394" s="12"/>
      <c r="D394" s="12"/>
      <c r="E394" s="12"/>
      <c r="F394" s="12"/>
      <c r="G394" s="18"/>
      <c r="H394" s="35"/>
      <c r="I394" s="35"/>
      <c r="J394" s="12"/>
      <c r="O394" s="12"/>
      <c r="P394" s="18"/>
      <c r="Q394" s="12"/>
      <c r="R394" s="12"/>
      <c r="S394" s="12"/>
      <c r="T394" s="36"/>
      <c r="U394" s="36"/>
      <c r="V394" s="12"/>
      <c r="W394" s="12"/>
      <c r="X394" s="12"/>
      <c r="Y394" s="12"/>
    </row>
    <row r="395" customFormat="false" ht="15.75" hidden="false" customHeight="false" outlineLevel="0" collapsed="false">
      <c r="A395" s="12"/>
      <c r="B395" s="34"/>
      <c r="C395" s="12"/>
      <c r="D395" s="12"/>
      <c r="E395" s="12"/>
      <c r="F395" s="12"/>
      <c r="G395" s="18"/>
      <c r="H395" s="35"/>
      <c r="I395" s="35"/>
      <c r="J395" s="12"/>
      <c r="O395" s="12"/>
      <c r="P395" s="18"/>
      <c r="Q395" s="12"/>
      <c r="R395" s="12"/>
      <c r="S395" s="12"/>
      <c r="T395" s="36"/>
      <c r="U395" s="36"/>
      <c r="V395" s="12"/>
      <c r="W395" s="12"/>
      <c r="X395" s="12"/>
      <c r="Y395" s="12"/>
    </row>
    <row r="396" customFormat="false" ht="15.75" hidden="false" customHeight="false" outlineLevel="0" collapsed="false">
      <c r="A396" s="12"/>
      <c r="B396" s="34"/>
      <c r="C396" s="12"/>
      <c r="D396" s="12"/>
      <c r="E396" s="12"/>
      <c r="F396" s="12"/>
      <c r="G396" s="18"/>
      <c r="H396" s="35"/>
      <c r="I396" s="35"/>
      <c r="J396" s="12"/>
      <c r="O396" s="12"/>
      <c r="P396" s="18"/>
      <c r="Q396" s="12"/>
      <c r="R396" s="12"/>
      <c r="S396" s="12"/>
      <c r="T396" s="36"/>
      <c r="U396" s="36"/>
      <c r="V396" s="12"/>
      <c r="W396" s="12"/>
      <c r="X396" s="12"/>
      <c r="Y396" s="12"/>
    </row>
    <row r="397" customFormat="false" ht="15.75" hidden="false" customHeight="false" outlineLevel="0" collapsed="false">
      <c r="A397" s="12"/>
      <c r="B397" s="34"/>
      <c r="C397" s="12"/>
      <c r="D397" s="12"/>
      <c r="E397" s="12"/>
      <c r="F397" s="12"/>
      <c r="G397" s="18"/>
      <c r="H397" s="35"/>
      <c r="I397" s="35"/>
      <c r="J397" s="12"/>
      <c r="O397" s="12"/>
      <c r="P397" s="18"/>
      <c r="Q397" s="12"/>
      <c r="R397" s="12"/>
      <c r="S397" s="12"/>
      <c r="T397" s="36"/>
      <c r="U397" s="36"/>
      <c r="V397" s="12"/>
      <c r="W397" s="12"/>
      <c r="X397" s="12"/>
      <c r="Y397" s="12"/>
    </row>
    <row r="398" customFormat="false" ht="15.75" hidden="false" customHeight="false" outlineLevel="0" collapsed="false">
      <c r="A398" s="12"/>
      <c r="B398" s="34"/>
      <c r="C398" s="12"/>
      <c r="D398" s="12"/>
      <c r="E398" s="12"/>
      <c r="F398" s="12"/>
      <c r="G398" s="18"/>
      <c r="H398" s="35"/>
      <c r="I398" s="35"/>
      <c r="J398" s="12"/>
      <c r="O398" s="12"/>
      <c r="P398" s="18"/>
      <c r="Q398" s="12"/>
      <c r="R398" s="12"/>
      <c r="S398" s="12"/>
      <c r="T398" s="36"/>
      <c r="U398" s="36"/>
      <c r="V398" s="12"/>
      <c r="W398" s="12"/>
      <c r="X398" s="12"/>
      <c r="Y398" s="12"/>
    </row>
    <row r="399" customFormat="false" ht="15.75" hidden="false" customHeight="false" outlineLevel="0" collapsed="false">
      <c r="A399" s="12"/>
      <c r="B399" s="34"/>
      <c r="C399" s="12"/>
      <c r="D399" s="12"/>
      <c r="E399" s="12"/>
      <c r="F399" s="12"/>
      <c r="G399" s="18"/>
      <c r="H399" s="35"/>
      <c r="I399" s="35"/>
      <c r="J399" s="12"/>
      <c r="O399" s="12"/>
      <c r="P399" s="18"/>
      <c r="Q399" s="12"/>
      <c r="R399" s="12"/>
      <c r="S399" s="12"/>
      <c r="T399" s="36"/>
      <c r="U399" s="36"/>
      <c r="V399" s="12"/>
      <c r="W399" s="12"/>
      <c r="X399" s="12"/>
      <c r="Y399" s="12"/>
    </row>
    <row r="400" customFormat="false" ht="15.75" hidden="false" customHeight="false" outlineLevel="0" collapsed="false">
      <c r="A400" s="12"/>
      <c r="B400" s="34"/>
      <c r="C400" s="12"/>
      <c r="D400" s="12"/>
      <c r="E400" s="12"/>
      <c r="F400" s="12"/>
      <c r="G400" s="18"/>
      <c r="H400" s="35"/>
      <c r="I400" s="35"/>
      <c r="J400" s="12"/>
      <c r="O400" s="12"/>
      <c r="P400" s="18"/>
      <c r="Q400" s="12"/>
      <c r="R400" s="12"/>
      <c r="S400" s="12"/>
      <c r="T400" s="36"/>
      <c r="U400" s="36"/>
      <c r="V400" s="12"/>
      <c r="W400" s="12"/>
      <c r="X400" s="12"/>
      <c r="Y400" s="12"/>
    </row>
    <row r="401" customFormat="false" ht="15.75" hidden="false" customHeight="false" outlineLevel="0" collapsed="false">
      <c r="A401" s="12"/>
      <c r="B401" s="34"/>
      <c r="C401" s="12"/>
      <c r="D401" s="12"/>
      <c r="E401" s="12"/>
      <c r="F401" s="12"/>
      <c r="G401" s="18"/>
      <c r="H401" s="35"/>
      <c r="I401" s="35"/>
      <c r="J401" s="12"/>
      <c r="O401" s="12"/>
      <c r="P401" s="18"/>
      <c r="Q401" s="12"/>
      <c r="R401" s="12"/>
      <c r="S401" s="12"/>
      <c r="T401" s="36"/>
      <c r="U401" s="36"/>
      <c r="V401" s="12"/>
      <c r="W401" s="12"/>
      <c r="X401" s="12"/>
      <c r="Y401" s="12"/>
    </row>
    <row r="402" customFormat="false" ht="15.75" hidden="false" customHeight="false" outlineLevel="0" collapsed="false">
      <c r="A402" s="12"/>
      <c r="B402" s="34"/>
      <c r="C402" s="12"/>
      <c r="D402" s="12"/>
      <c r="E402" s="12"/>
      <c r="F402" s="12"/>
      <c r="G402" s="18"/>
      <c r="H402" s="35"/>
      <c r="I402" s="35"/>
      <c r="J402" s="12"/>
      <c r="O402" s="12"/>
      <c r="P402" s="18"/>
      <c r="Q402" s="12"/>
      <c r="R402" s="12"/>
      <c r="S402" s="12"/>
      <c r="T402" s="36"/>
      <c r="U402" s="36"/>
      <c r="V402" s="12"/>
      <c r="W402" s="12"/>
      <c r="X402" s="12"/>
      <c r="Y402" s="12"/>
    </row>
    <row r="403" customFormat="false" ht="15.75" hidden="false" customHeight="false" outlineLevel="0" collapsed="false">
      <c r="A403" s="12"/>
      <c r="B403" s="34"/>
      <c r="C403" s="12"/>
      <c r="D403" s="12"/>
      <c r="E403" s="12"/>
      <c r="F403" s="12"/>
      <c r="G403" s="18"/>
      <c r="H403" s="35"/>
      <c r="I403" s="35"/>
      <c r="J403" s="12"/>
      <c r="O403" s="12"/>
      <c r="P403" s="18"/>
      <c r="Q403" s="12"/>
      <c r="R403" s="12"/>
      <c r="S403" s="12"/>
      <c r="T403" s="36"/>
      <c r="U403" s="36"/>
      <c r="V403" s="12"/>
      <c r="W403" s="12"/>
      <c r="X403" s="12"/>
      <c r="Y403" s="12"/>
    </row>
    <row r="404" customFormat="false" ht="15.75" hidden="false" customHeight="false" outlineLevel="0" collapsed="false">
      <c r="A404" s="12"/>
      <c r="B404" s="34"/>
      <c r="C404" s="12"/>
      <c r="D404" s="12"/>
      <c r="E404" s="12"/>
      <c r="F404" s="12"/>
      <c r="G404" s="18"/>
      <c r="H404" s="35"/>
      <c r="I404" s="35"/>
      <c r="J404" s="12"/>
      <c r="O404" s="12"/>
      <c r="P404" s="18"/>
      <c r="Q404" s="12"/>
      <c r="R404" s="12"/>
      <c r="S404" s="12"/>
      <c r="T404" s="36"/>
      <c r="U404" s="36"/>
      <c r="V404" s="12"/>
      <c r="W404" s="12"/>
      <c r="X404" s="12"/>
      <c r="Y404" s="12"/>
    </row>
    <row r="405" customFormat="false" ht="15.75" hidden="false" customHeight="false" outlineLevel="0" collapsed="false">
      <c r="A405" s="12"/>
      <c r="B405" s="34"/>
      <c r="C405" s="12"/>
      <c r="D405" s="12"/>
      <c r="E405" s="12"/>
      <c r="F405" s="12"/>
      <c r="G405" s="18"/>
      <c r="H405" s="35"/>
      <c r="I405" s="35"/>
      <c r="J405" s="12"/>
      <c r="O405" s="12"/>
      <c r="P405" s="18"/>
      <c r="Q405" s="12"/>
      <c r="R405" s="12"/>
      <c r="S405" s="12"/>
      <c r="T405" s="36"/>
      <c r="U405" s="36"/>
      <c r="V405" s="12"/>
      <c r="W405" s="12"/>
      <c r="X405" s="12"/>
      <c r="Y405" s="12"/>
    </row>
    <row r="406" customFormat="false" ht="15.75" hidden="false" customHeight="false" outlineLevel="0" collapsed="false">
      <c r="A406" s="12"/>
      <c r="B406" s="34"/>
      <c r="C406" s="12"/>
      <c r="D406" s="12"/>
      <c r="E406" s="12"/>
      <c r="F406" s="12"/>
      <c r="G406" s="18"/>
      <c r="H406" s="35"/>
      <c r="I406" s="35"/>
      <c r="J406" s="12"/>
      <c r="O406" s="12"/>
      <c r="P406" s="18"/>
      <c r="Q406" s="12"/>
      <c r="R406" s="12"/>
      <c r="S406" s="12"/>
      <c r="T406" s="36"/>
      <c r="U406" s="36"/>
      <c r="V406" s="12"/>
      <c r="W406" s="12"/>
      <c r="X406" s="12"/>
      <c r="Y406" s="12"/>
    </row>
    <row r="407" customFormat="false" ht="15.75" hidden="false" customHeight="false" outlineLevel="0" collapsed="false">
      <c r="A407" s="12"/>
      <c r="B407" s="34"/>
      <c r="C407" s="12"/>
      <c r="D407" s="12"/>
      <c r="E407" s="12"/>
      <c r="F407" s="12"/>
      <c r="G407" s="18"/>
      <c r="H407" s="35"/>
      <c r="I407" s="35"/>
      <c r="J407" s="12"/>
      <c r="O407" s="12"/>
      <c r="P407" s="18"/>
      <c r="Q407" s="12"/>
      <c r="R407" s="12"/>
      <c r="S407" s="12"/>
      <c r="T407" s="36"/>
      <c r="U407" s="36"/>
      <c r="V407" s="12"/>
      <c r="W407" s="12"/>
      <c r="X407" s="12"/>
      <c r="Y407" s="12"/>
    </row>
    <row r="408" customFormat="false" ht="15.75" hidden="false" customHeight="false" outlineLevel="0" collapsed="false">
      <c r="A408" s="12"/>
      <c r="B408" s="34"/>
      <c r="C408" s="12"/>
      <c r="D408" s="12"/>
      <c r="E408" s="12"/>
      <c r="F408" s="12"/>
      <c r="G408" s="18"/>
      <c r="H408" s="35"/>
      <c r="I408" s="35"/>
      <c r="J408" s="12"/>
      <c r="O408" s="12"/>
      <c r="P408" s="18"/>
      <c r="Q408" s="12"/>
      <c r="R408" s="12"/>
      <c r="S408" s="12"/>
      <c r="T408" s="36"/>
      <c r="U408" s="36"/>
      <c r="V408" s="12"/>
      <c r="W408" s="12"/>
      <c r="X408" s="12"/>
      <c r="Y408" s="12"/>
    </row>
    <row r="409" customFormat="false" ht="15.75" hidden="false" customHeight="false" outlineLevel="0" collapsed="false">
      <c r="A409" s="12"/>
      <c r="B409" s="34"/>
      <c r="C409" s="12"/>
      <c r="D409" s="12"/>
      <c r="E409" s="12"/>
      <c r="F409" s="12"/>
      <c r="G409" s="18"/>
      <c r="H409" s="35"/>
      <c r="I409" s="35"/>
      <c r="J409" s="12"/>
      <c r="O409" s="12"/>
      <c r="P409" s="18"/>
      <c r="Q409" s="12"/>
      <c r="R409" s="12"/>
      <c r="S409" s="12"/>
      <c r="T409" s="36"/>
      <c r="U409" s="36"/>
      <c r="V409" s="12"/>
      <c r="W409" s="12"/>
      <c r="X409" s="12"/>
      <c r="Y409" s="12"/>
    </row>
    <row r="410" customFormat="false" ht="15.75" hidden="false" customHeight="false" outlineLevel="0" collapsed="false">
      <c r="A410" s="12"/>
      <c r="B410" s="34"/>
      <c r="C410" s="12"/>
      <c r="D410" s="12"/>
      <c r="E410" s="12"/>
      <c r="F410" s="12"/>
      <c r="G410" s="18"/>
      <c r="H410" s="35"/>
      <c r="I410" s="35"/>
      <c r="J410" s="12"/>
      <c r="O410" s="12"/>
      <c r="P410" s="18"/>
      <c r="Q410" s="12"/>
      <c r="R410" s="12"/>
      <c r="S410" s="12"/>
      <c r="T410" s="36"/>
      <c r="U410" s="36"/>
      <c r="V410" s="12"/>
      <c r="W410" s="12"/>
      <c r="X410" s="12"/>
      <c r="Y410" s="12"/>
    </row>
    <row r="411" customFormat="false" ht="15.75" hidden="false" customHeight="false" outlineLevel="0" collapsed="false">
      <c r="A411" s="12"/>
      <c r="B411" s="34"/>
      <c r="C411" s="12"/>
      <c r="D411" s="12"/>
      <c r="E411" s="12"/>
      <c r="F411" s="12"/>
      <c r="G411" s="18"/>
      <c r="H411" s="35"/>
      <c r="I411" s="35"/>
      <c r="J411" s="12"/>
      <c r="O411" s="12"/>
      <c r="P411" s="18"/>
      <c r="Q411" s="12"/>
      <c r="R411" s="12"/>
      <c r="S411" s="12"/>
      <c r="T411" s="36"/>
      <c r="U411" s="36"/>
      <c r="V411" s="12"/>
      <c r="W411" s="12"/>
      <c r="X411" s="12"/>
      <c r="Y411" s="12"/>
    </row>
    <row r="412" customFormat="false" ht="15.75" hidden="false" customHeight="false" outlineLevel="0" collapsed="false">
      <c r="A412" s="12"/>
      <c r="B412" s="34"/>
      <c r="C412" s="12"/>
      <c r="D412" s="12"/>
      <c r="E412" s="12"/>
      <c r="F412" s="12"/>
      <c r="G412" s="18"/>
      <c r="H412" s="35"/>
      <c r="I412" s="35"/>
      <c r="J412" s="12"/>
      <c r="O412" s="12"/>
      <c r="P412" s="18"/>
      <c r="Q412" s="12"/>
      <c r="R412" s="12"/>
      <c r="S412" s="12"/>
      <c r="T412" s="36"/>
      <c r="U412" s="36"/>
      <c r="V412" s="12"/>
      <c r="W412" s="12"/>
      <c r="X412" s="12"/>
      <c r="Y412" s="12"/>
    </row>
    <row r="413" customFormat="false" ht="15.75" hidden="false" customHeight="false" outlineLevel="0" collapsed="false">
      <c r="A413" s="12"/>
      <c r="B413" s="34"/>
      <c r="C413" s="12"/>
      <c r="D413" s="12"/>
      <c r="E413" s="12"/>
      <c r="F413" s="12"/>
      <c r="G413" s="18"/>
      <c r="H413" s="35"/>
      <c r="I413" s="35"/>
      <c r="J413" s="12"/>
      <c r="O413" s="12"/>
      <c r="P413" s="18"/>
      <c r="Q413" s="12"/>
      <c r="R413" s="12"/>
      <c r="S413" s="12"/>
      <c r="T413" s="36"/>
      <c r="U413" s="36"/>
      <c r="V413" s="12"/>
      <c r="W413" s="12"/>
      <c r="X413" s="12"/>
      <c r="Y413" s="12"/>
    </row>
    <row r="414" customFormat="false" ht="15.75" hidden="false" customHeight="false" outlineLevel="0" collapsed="false">
      <c r="A414" s="12"/>
      <c r="B414" s="34"/>
      <c r="C414" s="12"/>
      <c r="D414" s="12"/>
      <c r="E414" s="12"/>
      <c r="F414" s="12"/>
      <c r="G414" s="18"/>
      <c r="H414" s="35"/>
      <c r="I414" s="35"/>
      <c r="J414" s="12"/>
      <c r="O414" s="12"/>
      <c r="P414" s="18"/>
      <c r="Q414" s="12"/>
      <c r="R414" s="12"/>
      <c r="S414" s="12"/>
      <c r="T414" s="36"/>
      <c r="U414" s="36"/>
      <c r="V414" s="12"/>
      <c r="W414" s="12"/>
      <c r="X414" s="12"/>
      <c r="Y414" s="12"/>
    </row>
    <row r="415" customFormat="false" ht="15.75" hidden="false" customHeight="false" outlineLevel="0" collapsed="false">
      <c r="A415" s="12"/>
      <c r="B415" s="34"/>
      <c r="C415" s="12"/>
      <c r="D415" s="12"/>
      <c r="E415" s="12"/>
      <c r="F415" s="12"/>
      <c r="G415" s="18"/>
      <c r="H415" s="35"/>
      <c r="I415" s="35"/>
      <c r="J415" s="12"/>
      <c r="O415" s="12"/>
      <c r="P415" s="18"/>
      <c r="Q415" s="12"/>
      <c r="R415" s="12"/>
      <c r="S415" s="12"/>
      <c r="T415" s="36"/>
      <c r="U415" s="36"/>
      <c r="V415" s="12"/>
      <c r="W415" s="12"/>
      <c r="X415" s="12"/>
      <c r="Y415" s="12"/>
    </row>
    <row r="416" customFormat="false" ht="15.75" hidden="false" customHeight="false" outlineLevel="0" collapsed="false">
      <c r="A416" s="12"/>
      <c r="B416" s="34"/>
      <c r="C416" s="12"/>
      <c r="D416" s="12"/>
      <c r="E416" s="12"/>
      <c r="F416" s="12"/>
      <c r="G416" s="18"/>
      <c r="H416" s="35"/>
      <c r="I416" s="35"/>
      <c r="J416" s="12"/>
      <c r="O416" s="12"/>
      <c r="P416" s="18"/>
      <c r="Q416" s="12"/>
      <c r="R416" s="12"/>
      <c r="S416" s="12"/>
      <c r="T416" s="36"/>
      <c r="U416" s="36"/>
      <c r="V416" s="12"/>
      <c r="W416" s="12"/>
      <c r="X416" s="12"/>
      <c r="Y416" s="12"/>
    </row>
    <row r="417" customFormat="false" ht="15.75" hidden="false" customHeight="false" outlineLevel="0" collapsed="false">
      <c r="A417" s="12"/>
      <c r="B417" s="34"/>
      <c r="C417" s="12"/>
      <c r="D417" s="12"/>
      <c r="E417" s="12"/>
      <c r="F417" s="12"/>
      <c r="G417" s="18"/>
      <c r="H417" s="35"/>
      <c r="I417" s="35"/>
      <c r="J417" s="12"/>
      <c r="O417" s="12"/>
      <c r="P417" s="18"/>
      <c r="Q417" s="12"/>
      <c r="R417" s="12"/>
      <c r="S417" s="12"/>
      <c r="T417" s="36"/>
      <c r="U417" s="36"/>
      <c r="V417" s="12"/>
      <c r="W417" s="12"/>
      <c r="X417" s="12"/>
      <c r="Y417" s="12"/>
    </row>
    <row r="418" customFormat="false" ht="15.75" hidden="false" customHeight="false" outlineLevel="0" collapsed="false">
      <c r="A418" s="12"/>
      <c r="B418" s="34"/>
      <c r="C418" s="12"/>
      <c r="D418" s="12"/>
      <c r="E418" s="12"/>
      <c r="F418" s="12"/>
      <c r="G418" s="18"/>
      <c r="H418" s="35"/>
      <c r="I418" s="35"/>
      <c r="J418" s="12"/>
      <c r="O418" s="12"/>
      <c r="P418" s="18"/>
      <c r="Q418" s="12"/>
      <c r="R418" s="12"/>
      <c r="S418" s="12"/>
      <c r="T418" s="36"/>
      <c r="U418" s="36"/>
      <c r="V418" s="12"/>
      <c r="W418" s="12"/>
      <c r="X418" s="12"/>
      <c r="Y418" s="12"/>
    </row>
    <row r="419" customFormat="false" ht="15.75" hidden="false" customHeight="false" outlineLevel="0" collapsed="false">
      <c r="A419" s="12"/>
      <c r="B419" s="34"/>
      <c r="C419" s="12"/>
      <c r="D419" s="12"/>
      <c r="E419" s="12"/>
      <c r="F419" s="12"/>
      <c r="G419" s="18"/>
      <c r="H419" s="35"/>
      <c r="I419" s="35"/>
      <c r="J419" s="12"/>
      <c r="O419" s="12"/>
      <c r="P419" s="18"/>
      <c r="Q419" s="12"/>
      <c r="R419" s="12"/>
      <c r="S419" s="12"/>
      <c r="T419" s="36"/>
      <c r="U419" s="36"/>
      <c r="V419" s="12"/>
      <c r="W419" s="12"/>
      <c r="X419" s="12"/>
      <c r="Y419" s="12"/>
    </row>
    <row r="420" customFormat="false" ht="15.75" hidden="false" customHeight="false" outlineLevel="0" collapsed="false">
      <c r="A420" s="12"/>
      <c r="B420" s="34"/>
      <c r="C420" s="12"/>
      <c r="D420" s="12"/>
      <c r="E420" s="12"/>
      <c r="F420" s="12"/>
      <c r="G420" s="18"/>
      <c r="H420" s="35"/>
      <c r="I420" s="35"/>
      <c r="J420" s="12"/>
      <c r="O420" s="12"/>
      <c r="P420" s="18"/>
      <c r="Q420" s="12"/>
      <c r="R420" s="12"/>
      <c r="S420" s="12"/>
      <c r="T420" s="36"/>
      <c r="U420" s="36"/>
      <c r="V420" s="12"/>
      <c r="W420" s="12"/>
      <c r="X420" s="12"/>
      <c r="Y420" s="12"/>
    </row>
    <row r="421" customFormat="false" ht="15.75" hidden="false" customHeight="false" outlineLevel="0" collapsed="false">
      <c r="A421" s="12"/>
      <c r="B421" s="34"/>
      <c r="C421" s="12"/>
      <c r="D421" s="12"/>
      <c r="E421" s="12"/>
      <c r="F421" s="12"/>
      <c r="G421" s="18"/>
      <c r="H421" s="35"/>
      <c r="I421" s="35"/>
      <c r="J421" s="12"/>
      <c r="O421" s="12"/>
      <c r="P421" s="18"/>
      <c r="Q421" s="12"/>
      <c r="R421" s="12"/>
      <c r="S421" s="12"/>
      <c r="T421" s="36"/>
      <c r="U421" s="36"/>
      <c r="V421" s="12"/>
      <c r="W421" s="12"/>
      <c r="X421" s="12"/>
      <c r="Y421" s="12"/>
    </row>
    <row r="422" customFormat="false" ht="15.75" hidden="false" customHeight="false" outlineLevel="0" collapsed="false">
      <c r="A422" s="12"/>
      <c r="B422" s="34"/>
      <c r="C422" s="12"/>
      <c r="D422" s="12"/>
      <c r="E422" s="12"/>
      <c r="F422" s="12"/>
      <c r="G422" s="18"/>
      <c r="H422" s="35"/>
      <c r="I422" s="35"/>
      <c r="J422" s="12"/>
      <c r="O422" s="12"/>
      <c r="P422" s="18"/>
      <c r="Q422" s="12"/>
      <c r="R422" s="12"/>
      <c r="S422" s="12"/>
      <c r="T422" s="36"/>
      <c r="U422" s="36"/>
      <c r="V422" s="12"/>
      <c r="W422" s="12"/>
      <c r="X422" s="12"/>
      <c r="Y422" s="12"/>
    </row>
    <row r="423" customFormat="false" ht="15.75" hidden="false" customHeight="false" outlineLevel="0" collapsed="false">
      <c r="A423" s="12"/>
      <c r="B423" s="34"/>
      <c r="C423" s="12"/>
      <c r="D423" s="12"/>
      <c r="E423" s="12"/>
      <c r="F423" s="12"/>
      <c r="G423" s="18"/>
      <c r="H423" s="35"/>
      <c r="I423" s="35"/>
      <c r="J423" s="12"/>
      <c r="O423" s="12"/>
      <c r="P423" s="18"/>
      <c r="Q423" s="12"/>
      <c r="R423" s="12"/>
      <c r="S423" s="12"/>
      <c r="T423" s="36"/>
      <c r="U423" s="36"/>
      <c r="V423" s="12"/>
      <c r="W423" s="12"/>
      <c r="X423" s="12"/>
      <c r="Y423" s="12"/>
    </row>
    <row r="424" customFormat="false" ht="15.75" hidden="false" customHeight="false" outlineLevel="0" collapsed="false">
      <c r="A424" s="12"/>
      <c r="B424" s="34"/>
      <c r="C424" s="12"/>
      <c r="D424" s="12"/>
      <c r="E424" s="12"/>
      <c r="F424" s="12"/>
      <c r="G424" s="18"/>
      <c r="H424" s="35"/>
      <c r="I424" s="35"/>
      <c r="J424" s="12"/>
      <c r="O424" s="12"/>
      <c r="P424" s="18"/>
      <c r="Q424" s="12"/>
      <c r="R424" s="12"/>
      <c r="S424" s="12"/>
      <c r="T424" s="36"/>
      <c r="U424" s="36"/>
      <c r="V424" s="12"/>
      <c r="W424" s="12"/>
      <c r="X424" s="12"/>
      <c r="Y424" s="12"/>
    </row>
    <row r="425" customFormat="false" ht="15.75" hidden="false" customHeight="false" outlineLevel="0" collapsed="false">
      <c r="A425" s="12"/>
      <c r="B425" s="34"/>
      <c r="C425" s="12"/>
      <c r="D425" s="12"/>
      <c r="E425" s="12"/>
      <c r="F425" s="12"/>
      <c r="G425" s="18"/>
      <c r="H425" s="35"/>
      <c r="I425" s="35"/>
      <c r="J425" s="12"/>
      <c r="O425" s="12"/>
      <c r="P425" s="18"/>
      <c r="Q425" s="12"/>
      <c r="R425" s="12"/>
      <c r="S425" s="12"/>
      <c r="T425" s="36"/>
      <c r="U425" s="36"/>
      <c r="V425" s="12"/>
      <c r="W425" s="12"/>
      <c r="X425" s="12"/>
      <c r="Y425" s="12"/>
    </row>
    <row r="426" customFormat="false" ht="15.75" hidden="false" customHeight="false" outlineLevel="0" collapsed="false">
      <c r="A426" s="12"/>
      <c r="B426" s="34"/>
      <c r="C426" s="12"/>
      <c r="D426" s="12"/>
      <c r="E426" s="12"/>
      <c r="F426" s="12"/>
      <c r="G426" s="18"/>
      <c r="H426" s="35"/>
      <c r="I426" s="35"/>
      <c r="J426" s="12"/>
      <c r="O426" s="12"/>
      <c r="P426" s="18"/>
      <c r="Q426" s="12"/>
      <c r="R426" s="12"/>
      <c r="S426" s="12"/>
      <c r="T426" s="36"/>
      <c r="U426" s="36"/>
      <c r="V426" s="12"/>
      <c r="W426" s="12"/>
      <c r="X426" s="12"/>
      <c r="Y426" s="12"/>
    </row>
    <row r="427" customFormat="false" ht="15.75" hidden="false" customHeight="false" outlineLevel="0" collapsed="false">
      <c r="A427" s="12"/>
      <c r="B427" s="34"/>
      <c r="C427" s="12"/>
      <c r="D427" s="12"/>
      <c r="E427" s="12"/>
      <c r="F427" s="12"/>
      <c r="G427" s="18"/>
      <c r="H427" s="35"/>
      <c r="I427" s="35"/>
      <c r="J427" s="12"/>
      <c r="O427" s="12"/>
      <c r="P427" s="18"/>
      <c r="Q427" s="12"/>
      <c r="R427" s="12"/>
      <c r="S427" s="12"/>
      <c r="T427" s="36"/>
      <c r="U427" s="36"/>
      <c r="V427" s="12"/>
      <c r="W427" s="12"/>
      <c r="X427" s="12"/>
      <c r="Y427" s="12"/>
    </row>
    <row r="428" customFormat="false" ht="15.75" hidden="false" customHeight="false" outlineLevel="0" collapsed="false">
      <c r="A428" s="12"/>
      <c r="B428" s="34"/>
      <c r="C428" s="12"/>
      <c r="D428" s="12"/>
      <c r="E428" s="12"/>
      <c r="F428" s="12"/>
      <c r="G428" s="18"/>
      <c r="H428" s="35"/>
      <c r="I428" s="35"/>
      <c r="J428" s="12"/>
      <c r="O428" s="12"/>
      <c r="P428" s="18"/>
      <c r="Q428" s="12"/>
      <c r="R428" s="12"/>
      <c r="S428" s="12"/>
      <c r="T428" s="36"/>
      <c r="U428" s="36"/>
      <c r="V428" s="12"/>
      <c r="W428" s="12"/>
      <c r="X428" s="12"/>
      <c r="Y428" s="12"/>
    </row>
    <row r="429" customFormat="false" ht="15.75" hidden="false" customHeight="false" outlineLevel="0" collapsed="false">
      <c r="A429" s="12"/>
      <c r="B429" s="34"/>
      <c r="C429" s="12"/>
      <c r="D429" s="12"/>
      <c r="E429" s="12"/>
      <c r="F429" s="12"/>
      <c r="G429" s="18"/>
      <c r="H429" s="35"/>
      <c r="I429" s="35"/>
      <c r="J429" s="12"/>
      <c r="O429" s="12"/>
      <c r="P429" s="18"/>
      <c r="Q429" s="12"/>
      <c r="R429" s="12"/>
      <c r="S429" s="12"/>
      <c r="T429" s="36"/>
      <c r="U429" s="36"/>
      <c r="V429" s="12"/>
      <c r="W429" s="12"/>
      <c r="X429" s="12"/>
      <c r="Y429" s="12"/>
    </row>
    <row r="430" customFormat="false" ht="15.75" hidden="false" customHeight="false" outlineLevel="0" collapsed="false">
      <c r="A430" s="12"/>
      <c r="B430" s="34"/>
      <c r="C430" s="12"/>
      <c r="D430" s="12"/>
      <c r="E430" s="12"/>
      <c r="F430" s="12"/>
      <c r="G430" s="18"/>
      <c r="H430" s="35"/>
      <c r="I430" s="35"/>
      <c r="J430" s="12"/>
      <c r="O430" s="12"/>
      <c r="P430" s="18"/>
      <c r="Q430" s="12"/>
      <c r="R430" s="12"/>
      <c r="S430" s="12"/>
      <c r="T430" s="36"/>
      <c r="U430" s="36"/>
      <c r="V430" s="12"/>
      <c r="W430" s="12"/>
      <c r="X430" s="12"/>
      <c r="Y430" s="12"/>
    </row>
    <row r="431" customFormat="false" ht="15.75" hidden="false" customHeight="false" outlineLevel="0" collapsed="false">
      <c r="A431" s="12"/>
      <c r="B431" s="34"/>
      <c r="C431" s="12"/>
      <c r="D431" s="12"/>
      <c r="E431" s="12"/>
      <c r="F431" s="12"/>
      <c r="G431" s="18"/>
      <c r="H431" s="35"/>
      <c r="I431" s="35"/>
      <c r="J431" s="12"/>
      <c r="O431" s="12"/>
      <c r="P431" s="18"/>
      <c r="Q431" s="12"/>
      <c r="R431" s="12"/>
      <c r="S431" s="12"/>
      <c r="T431" s="36"/>
      <c r="U431" s="36"/>
      <c r="V431" s="12"/>
      <c r="W431" s="12"/>
      <c r="X431" s="12"/>
      <c r="Y431" s="12"/>
    </row>
    <row r="432" customFormat="false" ht="15.75" hidden="false" customHeight="false" outlineLevel="0" collapsed="false">
      <c r="A432" s="12"/>
      <c r="B432" s="34"/>
      <c r="C432" s="12"/>
      <c r="D432" s="12"/>
      <c r="E432" s="12"/>
      <c r="F432" s="12"/>
      <c r="G432" s="18"/>
      <c r="H432" s="35"/>
      <c r="I432" s="35"/>
      <c r="J432" s="12"/>
      <c r="O432" s="12"/>
      <c r="P432" s="18"/>
      <c r="Q432" s="12"/>
      <c r="R432" s="12"/>
      <c r="S432" s="12"/>
      <c r="T432" s="36"/>
      <c r="U432" s="36"/>
      <c r="V432" s="12"/>
      <c r="W432" s="12"/>
      <c r="X432" s="12"/>
      <c r="Y432" s="12"/>
    </row>
    <row r="433" customFormat="false" ht="15.75" hidden="false" customHeight="false" outlineLevel="0" collapsed="false">
      <c r="A433" s="12"/>
      <c r="B433" s="34"/>
      <c r="C433" s="12"/>
      <c r="D433" s="12"/>
      <c r="E433" s="12"/>
      <c r="F433" s="12"/>
      <c r="G433" s="18"/>
      <c r="H433" s="35"/>
      <c r="I433" s="35"/>
      <c r="J433" s="12"/>
      <c r="O433" s="12"/>
      <c r="P433" s="18"/>
      <c r="Q433" s="12"/>
      <c r="R433" s="12"/>
      <c r="S433" s="12"/>
      <c r="T433" s="36"/>
      <c r="U433" s="36"/>
      <c r="V433" s="12"/>
      <c r="W433" s="12"/>
      <c r="X433" s="12"/>
      <c r="Y433" s="12"/>
    </row>
    <row r="434" customFormat="false" ht="15.75" hidden="false" customHeight="false" outlineLevel="0" collapsed="false">
      <c r="A434" s="12"/>
      <c r="B434" s="34"/>
      <c r="C434" s="12"/>
      <c r="D434" s="12"/>
      <c r="E434" s="12"/>
      <c r="F434" s="12"/>
      <c r="G434" s="18"/>
      <c r="H434" s="35"/>
      <c r="I434" s="35"/>
      <c r="J434" s="12"/>
      <c r="O434" s="12"/>
      <c r="P434" s="18"/>
      <c r="Q434" s="12"/>
      <c r="R434" s="12"/>
      <c r="S434" s="12"/>
      <c r="T434" s="36"/>
      <c r="U434" s="36"/>
      <c r="V434" s="12"/>
      <c r="W434" s="12"/>
      <c r="X434" s="12"/>
      <c r="Y434" s="12"/>
    </row>
    <row r="435" customFormat="false" ht="15.75" hidden="false" customHeight="false" outlineLevel="0" collapsed="false">
      <c r="A435" s="12"/>
      <c r="B435" s="34"/>
      <c r="C435" s="12"/>
      <c r="D435" s="12"/>
      <c r="E435" s="12"/>
      <c r="F435" s="12"/>
      <c r="G435" s="18"/>
      <c r="H435" s="35"/>
      <c r="I435" s="35"/>
      <c r="J435" s="12"/>
      <c r="O435" s="12"/>
      <c r="P435" s="18"/>
      <c r="Q435" s="12"/>
      <c r="R435" s="12"/>
      <c r="S435" s="12"/>
      <c r="T435" s="36"/>
      <c r="U435" s="36"/>
      <c r="V435" s="12"/>
      <c r="W435" s="12"/>
      <c r="X435" s="12"/>
      <c r="Y435" s="12"/>
    </row>
    <row r="436" customFormat="false" ht="15.75" hidden="false" customHeight="false" outlineLevel="0" collapsed="false">
      <c r="A436" s="12"/>
      <c r="B436" s="34"/>
      <c r="C436" s="12"/>
      <c r="D436" s="12"/>
      <c r="E436" s="12"/>
      <c r="F436" s="12"/>
      <c r="G436" s="18"/>
      <c r="H436" s="35"/>
      <c r="I436" s="35"/>
      <c r="J436" s="12"/>
      <c r="O436" s="12"/>
      <c r="P436" s="18"/>
      <c r="Q436" s="12"/>
      <c r="R436" s="12"/>
      <c r="S436" s="12"/>
      <c r="T436" s="36"/>
      <c r="U436" s="36"/>
      <c r="V436" s="12"/>
      <c r="W436" s="12"/>
      <c r="X436" s="12"/>
      <c r="Y436" s="12"/>
    </row>
    <row r="437" customFormat="false" ht="15.75" hidden="false" customHeight="false" outlineLevel="0" collapsed="false">
      <c r="A437" s="12"/>
      <c r="B437" s="34"/>
      <c r="C437" s="12"/>
      <c r="D437" s="12"/>
      <c r="E437" s="12"/>
      <c r="F437" s="12"/>
      <c r="G437" s="18"/>
      <c r="H437" s="35"/>
      <c r="I437" s="35"/>
      <c r="J437" s="12"/>
      <c r="O437" s="12"/>
      <c r="P437" s="18"/>
      <c r="Q437" s="12"/>
      <c r="R437" s="12"/>
      <c r="S437" s="12"/>
      <c r="T437" s="36"/>
      <c r="U437" s="36"/>
      <c r="V437" s="12"/>
      <c r="W437" s="12"/>
      <c r="X437" s="12"/>
      <c r="Y437" s="12"/>
    </row>
    <row r="438" customFormat="false" ht="15.75" hidden="false" customHeight="false" outlineLevel="0" collapsed="false">
      <c r="A438" s="12"/>
      <c r="B438" s="34"/>
      <c r="C438" s="12"/>
      <c r="D438" s="12"/>
      <c r="E438" s="12"/>
      <c r="F438" s="12"/>
      <c r="G438" s="18"/>
      <c r="H438" s="35"/>
      <c r="I438" s="35"/>
      <c r="J438" s="12"/>
      <c r="O438" s="12"/>
      <c r="P438" s="18"/>
      <c r="Q438" s="12"/>
      <c r="R438" s="12"/>
      <c r="S438" s="12"/>
      <c r="T438" s="36"/>
      <c r="U438" s="36"/>
      <c r="V438" s="12"/>
      <c r="W438" s="12"/>
      <c r="X438" s="12"/>
      <c r="Y438" s="12"/>
    </row>
    <row r="439" customFormat="false" ht="15.75" hidden="false" customHeight="false" outlineLevel="0" collapsed="false">
      <c r="A439" s="12"/>
      <c r="B439" s="34"/>
      <c r="C439" s="12"/>
      <c r="D439" s="12"/>
      <c r="E439" s="12"/>
      <c r="F439" s="12"/>
      <c r="G439" s="18"/>
      <c r="H439" s="35"/>
      <c r="I439" s="35"/>
      <c r="J439" s="12"/>
      <c r="O439" s="12"/>
      <c r="P439" s="18"/>
      <c r="Q439" s="12"/>
      <c r="R439" s="12"/>
      <c r="S439" s="12"/>
      <c r="T439" s="36"/>
      <c r="U439" s="36"/>
      <c r="V439" s="12"/>
      <c r="W439" s="12"/>
      <c r="X439" s="12"/>
      <c r="Y439" s="12"/>
    </row>
    <row r="440" customFormat="false" ht="15.75" hidden="false" customHeight="false" outlineLevel="0" collapsed="false">
      <c r="A440" s="12"/>
      <c r="B440" s="34"/>
      <c r="C440" s="12"/>
      <c r="D440" s="12"/>
      <c r="E440" s="12"/>
      <c r="F440" s="12"/>
      <c r="G440" s="18"/>
      <c r="H440" s="35"/>
      <c r="I440" s="35"/>
      <c r="J440" s="12"/>
      <c r="O440" s="12"/>
      <c r="P440" s="18"/>
      <c r="Q440" s="12"/>
      <c r="R440" s="12"/>
      <c r="S440" s="12"/>
      <c r="T440" s="36"/>
      <c r="U440" s="36"/>
      <c r="V440" s="12"/>
      <c r="W440" s="12"/>
      <c r="X440" s="12"/>
      <c r="Y440" s="12"/>
    </row>
    <row r="441" customFormat="false" ht="15.75" hidden="false" customHeight="false" outlineLevel="0" collapsed="false">
      <c r="A441" s="12"/>
      <c r="B441" s="34"/>
      <c r="C441" s="12"/>
      <c r="D441" s="12"/>
      <c r="E441" s="12"/>
      <c r="F441" s="12"/>
      <c r="G441" s="18"/>
      <c r="H441" s="35"/>
      <c r="I441" s="35"/>
      <c r="J441" s="12"/>
      <c r="O441" s="12"/>
      <c r="P441" s="18"/>
      <c r="Q441" s="12"/>
      <c r="R441" s="12"/>
      <c r="S441" s="12"/>
      <c r="T441" s="36"/>
      <c r="U441" s="36"/>
      <c r="V441" s="12"/>
      <c r="W441" s="12"/>
      <c r="X441" s="12"/>
      <c r="Y441" s="12"/>
    </row>
    <row r="442" customFormat="false" ht="15.75" hidden="false" customHeight="false" outlineLevel="0" collapsed="false">
      <c r="A442" s="12"/>
      <c r="B442" s="34"/>
      <c r="C442" s="12"/>
      <c r="D442" s="12"/>
      <c r="E442" s="12"/>
      <c r="F442" s="12"/>
      <c r="G442" s="18"/>
      <c r="H442" s="35"/>
      <c r="I442" s="35"/>
      <c r="J442" s="12"/>
      <c r="O442" s="12"/>
      <c r="P442" s="18"/>
      <c r="Q442" s="12"/>
      <c r="R442" s="12"/>
      <c r="S442" s="12"/>
      <c r="T442" s="36"/>
      <c r="U442" s="36"/>
      <c r="V442" s="12"/>
      <c r="W442" s="12"/>
      <c r="X442" s="12"/>
      <c r="Y442" s="12"/>
    </row>
    <row r="443" customFormat="false" ht="15.75" hidden="false" customHeight="false" outlineLevel="0" collapsed="false">
      <c r="A443" s="12"/>
      <c r="B443" s="34"/>
      <c r="C443" s="12"/>
      <c r="D443" s="12"/>
      <c r="E443" s="12"/>
      <c r="F443" s="12"/>
      <c r="G443" s="18"/>
      <c r="H443" s="35"/>
      <c r="I443" s="35"/>
      <c r="J443" s="12"/>
      <c r="O443" s="12"/>
      <c r="P443" s="18"/>
      <c r="Q443" s="12"/>
      <c r="R443" s="12"/>
      <c r="S443" s="12"/>
      <c r="T443" s="36"/>
      <c r="U443" s="36"/>
      <c r="V443" s="12"/>
      <c r="W443" s="12"/>
      <c r="X443" s="12"/>
      <c r="Y443" s="12"/>
    </row>
    <row r="444" customFormat="false" ht="15.75" hidden="false" customHeight="false" outlineLevel="0" collapsed="false">
      <c r="A444" s="12"/>
      <c r="B444" s="34"/>
      <c r="C444" s="12"/>
      <c r="D444" s="12"/>
      <c r="E444" s="12"/>
      <c r="F444" s="12"/>
      <c r="G444" s="18"/>
      <c r="H444" s="35"/>
      <c r="I444" s="35"/>
      <c r="J444" s="12"/>
      <c r="O444" s="12"/>
      <c r="P444" s="18"/>
      <c r="Q444" s="12"/>
      <c r="R444" s="12"/>
      <c r="S444" s="12"/>
      <c r="T444" s="36"/>
      <c r="U444" s="36"/>
      <c r="V444" s="12"/>
      <c r="W444" s="12"/>
      <c r="X444" s="12"/>
      <c r="Y444" s="12"/>
    </row>
    <row r="445" customFormat="false" ht="15.75" hidden="false" customHeight="false" outlineLevel="0" collapsed="false">
      <c r="A445" s="12"/>
      <c r="B445" s="34"/>
      <c r="C445" s="12"/>
      <c r="D445" s="12"/>
      <c r="E445" s="12"/>
      <c r="F445" s="12"/>
      <c r="G445" s="18"/>
      <c r="H445" s="35"/>
      <c r="I445" s="35"/>
      <c r="J445" s="12"/>
      <c r="O445" s="12"/>
      <c r="P445" s="18"/>
      <c r="Q445" s="12"/>
      <c r="R445" s="12"/>
      <c r="S445" s="12"/>
      <c r="T445" s="36"/>
      <c r="U445" s="36"/>
      <c r="V445" s="12"/>
      <c r="W445" s="12"/>
      <c r="X445" s="12"/>
      <c r="Y445" s="12"/>
    </row>
    <row r="446" customFormat="false" ht="15.75" hidden="false" customHeight="false" outlineLevel="0" collapsed="false">
      <c r="A446" s="12"/>
      <c r="B446" s="34"/>
      <c r="C446" s="12"/>
      <c r="D446" s="12"/>
      <c r="E446" s="12"/>
      <c r="F446" s="12"/>
      <c r="G446" s="18"/>
      <c r="H446" s="35"/>
      <c r="I446" s="35"/>
      <c r="J446" s="12"/>
      <c r="O446" s="12"/>
      <c r="P446" s="18"/>
      <c r="Q446" s="12"/>
      <c r="R446" s="12"/>
      <c r="S446" s="12"/>
      <c r="T446" s="36"/>
      <c r="U446" s="36"/>
      <c r="V446" s="12"/>
      <c r="W446" s="12"/>
      <c r="X446" s="12"/>
      <c r="Y446" s="12"/>
    </row>
    <row r="447" customFormat="false" ht="15.75" hidden="false" customHeight="false" outlineLevel="0" collapsed="false">
      <c r="A447" s="12"/>
      <c r="B447" s="34"/>
      <c r="C447" s="12"/>
      <c r="D447" s="12"/>
      <c r="E447" s="12"/>
      <c r="F447" s="12"/>
      <c r="G447" s="18"/>
      <c r="H447" s="35"/>
      <c r="I447" s="35"/>
      <c r="J447" s="12"/>
      <c r="O447" s="12"/>
      <c r="P447" s="18"/>
      <c r="Q447" s="12"/>
      <c r="R447" s="12"/>
      <c r="S447" s="12"/>
      <c r="T447" s="36"/>
      <c r="U447" s="36"/>
      <c r="V447" s="12"/>
      <c r="W447" s="12"/>
      <c r="X447" s="12"/>
      <c r="Y447" s="12"/>
    </row>
    <row r="448" customFormat="false" ht="15.75" hidden="false" customHeight="false" outlineLevel="0" collapsed="false">
      <c r="A448" s="12"/>
      <c r="B448" s="34"/>
      <c r="C448" s="12"/>
      <c r="D448" s="12"/>
      <c r="E448" s="12"/>
      <c r="F448" s="12"/>
      <c r="G448" s="18"/>
      <c r="H448" s="35"/>
      <c r="I448" s="35"/>
      <c r="J448" s="12"/>
      <c r="O448" s="12"/>
      <c r="P448" s="18"/>
      <c r="Q448" s="12"/>
      <c r="R448" s="12"/>
      <c r="S448" s="12"/>
      <c r="T448" s="36"/>
      <c r="U448" s="36"/>
      <c r="V448" s="12"/>
      <c r="W448" s="12"/>
      <c r="X448" s="12"/>
      <c r="Y448" s="12"/>
    </row>
    <row r="449" customFormat="false" ht="15.75" hidden="false" customHeight="false" outlineLevel="0" collapsed="false">
      <c r="A449" s="12"/>
      <c r="B449" s="34"/>
      <c r="C449" s="12"/>
      <c r="D449" s="12"/>
      <c r="E449" s="12"/>
      <c r="F449" s="12"/>
      <c r="G449" s="18"/>
      <c r="H449" s="35"/>
      <c r="I449" s="35"/>
      <c r="J449" s="12"/>
      <c r="O449" s="12"/>
      <c r="P449" s="18"/>
      <c r="Q449" s="12"/>
      <c r="R449" s="12"/>
      <c r="S449" s="12"/>
      <c r="T449" s="36"/>
      <c r="U449" s="36"/>
      <c r="V449" s="12"/>
      <c r="W449" s="12"/>
      <c r="X449" s="12"/>
      <c r="Y449" s="12"/>
    </row>
    <row r="450" customFormat="false" ht="15.75" hidden="false" customHeight="false" outlineLevel="0" collapsed="false">
      <c r="A450" s="12"/>
      <c r="B450" s="34"/>
      <c r="C450" s="12"/>
      <c r="D450" s="12"/>
      <c r="E450" s="12"/>
      <c r="F450" s="12"/>
      <c r="G450" s="18"/>
      <c r="H450" s="35"/>
      <c r="I450" s="35"/>
      <c r="J450" s="12"/>
      <c r="O450" s="12"/>
      <c r="P450" s="18"/>
      <c r="Q450" s="12"/>
      <c r="R450" s="12"/>
      <c r="S450" s="12"/>
      <c r="T450" s="36"/>
      <c r="U450" s="36"/>
      <c r="V450" s="12"/>
      <c r="W450" s="12"/>
      <c r="X450" s="12"/>
      <c r="Y450" s="12"/>
    </row>
    <row r="451" customFormat="false" ht="15.75" hidden="false" customHeight="false" outlineLevel="0" collapsed="false">
      <c r="A451" s="12"/>
      <c r="B451" s="34"/>
      <c r="C451" s="12"/>
      <c r="D451" s="12"/>
      <c r="E451" s="12"/>
      <c r="F451" s="12"/>
      <c r="G451" s="18"/>
      <c r="H451" s="35"/>
      <c r="I451" s="35"/>
      <c r="J451" s="12"/>
      <c r="O451" s="12"/>
      <c r="P451" s="18"/>
      <c r="Q451" s="12"/>
      <c r="R451" s="12"/>
      <c r="S451" s="12"/>
      <c r="T451" s="36"/>
      <c r="U451" s="36"/>
      <c r="V451" s="12"/>
      <c r="W451" s="12"/>
      <c r="X451" s="12"/>
      <c r="Y451" s="12"/>
    </row>
    <row r="452" customFormat="false" ht="15.75" hidden="false" customHeight="false" outlineLevel="0" collapsed="false">
      <c r="A452" s="12"/>
      <c r="B452" s="34"/>
      <c r="C452" s="12"/>
      <c r="D452" s="12"/>
      <c r="E452" s="12"/>
      <c r="F452" s="12"/>
      <c r="G452" s="18"/>
      <c r="H452" s="35"/>
      <c r="I452" s="35"/>
      <c r="J452" s="12"/>
      <c r="O452" s="12"/>
      <c r="P452" s="18"/>
      <c r="Q452" s="12"/>
      <c r="R452" s="12"/>
      <c r="S452" s="12"/>
      <c r="T452" s="36"/>
      <c r="U452" s="36"/>
      <c r="V452" s="12"/>
      <c r="W452" s="12"/>
      <c r="X452" s="12"/>
      <c r="Y452" s="12"/>
    </row>
    <row r="453" customFormat="false" ht="15.75" hidden="false" customHeight="false" outlineLevel="0" collapsed="false">
      <c r="A453" s="12"/>
      <c r="B453" s="34"/>
      <c r="C453" s="12"/>
      <c r="D453" s="12"/>
      <c r="E453" s="12"/>
      <c r="F453" s="12"/>
      <c r="G453" s="18"/>
      <c r="H453" s="35"/>
      <c r="I453" s="35"/>
      <c r="J453" s="12"/>
      <c r="O453" s="12"/>
      <c r="P453" s="18"/>
      <c r="Q453" s="12"/>
      <c r="R453" s="12"/>
      <c r="S453" s="12"/>
      <c r="T453" s="36"/>
      <c r="U453" s="36"/>
      <c r="V453" s="12"/>
      <c r="W453" s="12"/>
      <c r="X453" s="12"/>
      <c r="Y453" s="12"/>
    </row>
    <row r="454" customFormat="false" ht="15.75" hidden="false" customHeight="false" outlineLevel="0" collapsed="false">
      <c r="A454" s="12"/>
      <c r="B454" s="34"/>
      <c r="C454" s="12"/>
      <c r="D454" s="12"/>
      <c r="E454" s="12"/>
      <c r="F454" s="12"/>
      <c r="G454" s="18"/>
      <c r="H454" s="35"/>
      <c r="I454" s="35"/>
      <c r="J454" s="12"/>
      <c r="O454" s="12"/>
      <c r="P454" s="18"/>
      <c r="Q454" s="12"/>
      <c r="R454" s="12"/>
      <c r="S454" s="12"/>
      <c r="T454" s="36"/>
      <c r="U454" s="36"/>
      <c r="V454" s="12"/>
      <c r="W454" s="12"/>
      <c r="X454" s="12"/>
      <c r="Y454" s="12"/>
    </row>
    <row r="455" customFormat="false" ht="15.75" hidden="false" customHeight="false" outlineLevel="0" collapsed="false">
      <c r="A455" s="12"/>
      <c r="B455" s="34"/>
      <c r="C455" s="12"/>
      <c r="D455" s="12"/>
      <c r="E455" s="12"/>
      <c r="F455" s="12"/>
      <c r="G455" s="18"/>
      <c r="H455" s="35"/>
      <c r="I455" s="35"/>
      <c r="J455" s="12"/>
      <c r="O455" s="12"/>
      <c r="P455" s="18"/>
      <c r="Q455" s="12"/>
      <c r="R455" s="12"/>
      <c r="S455" s="12"/>
      <c r="T455" s="36"/>
      <c r="U455" s="36"/>
      <c r="V455" s="12"/>
      <c r="W455" s="12"/>
      <c r="X455" s="12"/>
      <c r="Y455" s="12"/>
    </row>
    <row r="456" customFormat="false" ht="15.75" hidden="false" customHeight="false" outlineLevel="0" collapsed="false">
      <c r="A456" s="12"/>
      <c r="B456" s="34"/>
      <c r="C456" s="12"/>
      <c r="D456" s="12"/>
      <c r="E456" s="12"/>
      <c r="F456" s="12"/>
      <c r="G456" s="18"/>
      <c r="H456" s="35"/>
      <c r="I456" s="35"/>
      <c r="J456" s="12"/>
      <c r="O456" s="12"/>
      <c r="P456" s="18"/>
      <c r="Q456" s="12"/>
      <c r="R456" s="12"/>
      <c r="S456" s="12"/>
      <c r="T456" s="36"/>
      <c r="U456" s="36"/>
      <c r="V456" s="12"/>
      <c r="W456" s="12"/>
      <c r="X456" s="12"/>
      <c r="Y456" s="12"/>
    </row>
    <row r="457" customFormat="false" ht="15.75" hidden="false" customHeight="false" outlineLevel="0" collapsed="false">
      <c r="A457" s="12"/>
      <c r="B457" s="34"/>
      <c r="C457" s="12"/>
      <c r="D457" s="12"/>
      <c r="E457" s="12"/>
      <c r="F457" s="12"/>
      <c r="G457" s="18"/>
      <c r="H457" s="35"/>
      <c r="I457" s="35"/>
      <c r="J457" s="12"/>
      <c r="O457" s="12"/>
      <c r="P457" s="18"/>
      <c r="Q457" s="12"/>
      <c r="R457" s="12"/>
      <c r="S457" s="12"/>
      <c r="T457" s="36"/>
      <c r="U457" s="36"/>
      <c r="V457" s="12"/>
      <c r="W457" s="12"/>
      <c r="X457" s="12"/>
      <c r="Y457" s="12"/>
    </row>
    <row r="458" customFormat="false" ht="15.75" hidden="false" customHeight="false" outlineLevel="0" collapsed="false">
      <c r="A458" s="12"/>
      <c r="B458" s="34"/>
      <c r="C458" s="12"/>
      <c r="D458" s="12"/>
      <c r="E458" s="12"/>
      <c r="F458" s="12"/>
      <c r="G458" s="18"/>
      <c r="H458" s="35"/>
      <c r="I458" s="35"/>
      <c r="J458" s="12"/>
      <c r="O458" s="12"/>
      <c r="P458" s="18"/>
      <c r="Q458" s="12"/>
      <c r="R458" s="12"/>
      <c r="S458" s="12"/>
      <c r="T458" s="36"/>
      <c r="U458" s="36"/>
      <c r="V458" s="12"/>
      <c r="W458" s="12"/>
      <c r="X458" s="12"/>
      <c r="Y458" s="12"/>
    </row>
    <row r="459" customFormat="false" ht="15.75" hidden="false" customHeight="false" outlineLevel="0" collapsed="false">
      <c r="A459" s="12"/>
      <c r="B459" s="34"/>
      <c r="C459" s="12"/>
      <c r="D459" s="12"/>
      <c r="E459" s="12"/>
      <c r="F459" s="12"/>
      <c r="G459" s="18"/>
      <c r="H459" s="35"/>
      <c r="I459" s="35"/>
      <c r="J459" s="12"/>
      <c r="O459" s="12"/>
      <c r="P459" s="18"/>
      <c r="Q459" s="12"/>
      <c r="R459" s="12"/>
      <c r="S459" s="12"/>
      <c r="T459" s="36"/>
      <c r="U459" s="36"/>
      <c r="V459" s="12"/>
      <c r="W459" s="12"/>
      <c r="X459" s="12"/>
      <c r="Y459" s="12"/>
    </row>
    <row r="460" customFormat="false" ht="15.75" hidden="false" customHeight="false" outlineLevel="0" collapsed="false">
      <c r="A460" s="12"/>
      <c r="B460" s="34"/>
      <c r="C460" s="12"/>
      <c r="D460" s="12"/>
      <c r="E460" s="12"/>
      <c r="F460" s="12"/>
      <c r="G460" s="18"/>
      <c r="H460" s="35"/>
      <c r="I460" s="35"/>
      <c r="J460" s="12"/>
      <c r="O460" s="12"/>
      <c r="P460" s="18"/>
      <c r="Q460" s="12"/>
      <c r="R460" s="12"/>
      <c r="S460" s="12"/>
      <c r="T460" s="36"/>
      <c r="U460" s="36"/>
      <c r="V460" s="12"/>
      <c r="W460" s="12"/>
      <c r="X460" s="12"/>
      <c r="Y460" s="12"/>
    </row>
    <row r="461" customFormat="false" ht="15.75" hidden="false" customHeight="false" outlineLevel="0" collapsed="false">
      <c r="A461" s="12"/>
      <c r="B461" s="34"/>
      <c r="C461" s="12"/>
      <c r="D461" s="12"/>
      <c r="E461" s="12"/>
      <c r="F461" s="12"/>
      <c r="G461" s="18"/>
      <c r="H461" s="35"/>
      <c r="I461" s="35"/>
      <c r="J461" s="12"/>
      <c r="O461" s="12"/>
      <c r="P461" s="18"/>
      <c r="Q461" s="12"/>
      <c r="R461" s="12"/>
      <c r="S461" s="12"/>
      <c r="T461" s="36"/>
      <c r="U461" s="36"/>
      <c r="V461" s="12"/>
      <c r="W461" s="12"/>
      <c r="X461" s="12"/>
      <c r="Y461" s="12"/>
    </row>
    <row r="462" customFormat="false" ht="15.75" hidden="false" customHeight="false" outlineLevel="0" collapsed="false">
      <c r="A462" s="12"/>
      <c r="B462" s="34"/>
      <c r="C462" s="12"/>
      <c r="D462" s="12"/>
      <c r="E462" s="12"/>
      <c r="F462" s="12"/>
      <c r="G462" s="18"/>
      <c r="H462" s="35"/>
      <c r="I462" s="35"/>
      <c r="J462" s="12"/>
      <c r="O462" s="12"/>
      <c r="P462" s="18"/>
      <c r="Q462" s="12"/>
      <c r="R462" s="12"/>
      <c r="S462" s="12"/>
      <c r="T462" s="36"/>
      <c r="U462" s="36"/>
      <c r="V462" s="12"/>
      <c r="W462" s="12"/>
      <c r="X462" s="12"/>
      <c r="Y462" s="12"/>
    </row>
    <row r="463" customFormat="false" ht="15.75" hidden="false" customHeight="false" outlineLevel="0" collapsed="false">
      <c r="A463" s="12"/>
      <c r="B463" s="34"/>
      <c r="C463" s="12"/>
      <c r="D463" s="12"/>
      <c r="E463" s="12"/>
      <c r="F463" s="12"/>
      <c r="G463" s="18"/>
      <c r="H463" s="35"/>
      <c r="I463" s="35"/>
      <c r="J463" s="12"/>
      <c r="O463" s="12"/>
      <c r="P463" s="18"/>
      <c r="Q463" s="12"/>
      <c r="R463" s="12"/>
      <c r="S463" s="12"/>
      <c r="T463" s="36"/>
      <c r="U463" s="36"/>
      <c r="V463" s="12"/>
      <c r="W463" s="12"/>
      <c r="X463" s="12"/>
      <c r="Y463" s="12"/>
    </row>
    <row r="464" customFormat="false" ht="15.75" hidden="false" customHeight="false" outlineLevel="0" collapsed="false">
      <c r="A464" s="12"/>
      <c r="B464" s="34"/>
      <c r="C464" s="12"/>
      <c r="D464" s="12"/>
      <c r="E464" s="12"/>
      <c r="F464" s="12"/>
      <c r="G464" s="18"/>
      <c r="H464" s="35"/>
      <c r="I464" s="35"/>
      <c r="J464" s="12"/>
      <c r="O464" s="12"/>
      <c r="P464" s="18"/>
      <c r="Q464" s="12"/>
      <c r="R464" s="12"/>
      <c r="S464" s="12"/>
      <c r="T464" s="36"/>
      <c r="U464" s="36"/>
      <c r="V464" s="12"/>
      <c r="W464" s="12"/>
      <c r="X464" s="12"/>
      <c r="Y464" s="12"/>
    </row>
    <row r="465" customFormat="false" ht="15.75" hidden="false" customHeight="false" outlineLevel="0" collapsed="false">
      <c r="A465" s="12"/>
      <c r="B465" s="34"/>
      <c r="C465" s="12"/>
      <c r="D465" s="12"/>
      <c r="E465" s="12"/>
      <c r="F465" s="12"/>
      <c r="G465" s="18"/>
      <c r="H465" s="35"/>
      <c r="I465" s="35"/>
      <c r="J465" s="12"/>
      <c r="O465" s="12"/>
      <c r="P465" s="18"/>
      <c r="Q465" s="12"/>
      <c r="R465" s="12"/>
      <c r="S465" s="12"/>
      <c r="T465" s="36"/>
      <c r="U465" s="36"/>
      <c r="V465" s="12"/>
      <c r="W465" s="12"/>
      <c r="X465" s="12"/>
      <c r="Y465" s="12"/>
    </row>
    <row r="466" customFormat="false" ht="15.75" hidden="false" customHeight="false" outlineLevel="0" collapsed="false">
      <c r="A466" s="12"/>
      <c r="B466" s="34"/>
      <c r="C466" s="12"/>
      <c r="D466" s="12"/>
      <c r="E466" s="12"/>
      <c r="F466" s="12"/>
      <c r="G466" s="18"/>
      <c r="H466" s="35"/>
      <c r="I466" s="35"/>
      <c r="J466" s="12"/>
      <c r="O466" s="12"/>
      <c r="P466" s="18"/>
      <c r="Q466" s="12"/>
      <c r="R466" s="12"/>
      <c r="S466" s="12"/>
      <c r="T466" s="36"/>
      <c r="U466" s="36"/>
      <c r="V466" s="12"/>
      <c r="W466" s="12"/>
      <c r="X466" s="12"/>
      <c r="Y466" s="12"/>
    </row>
    <row r="467" customFormat="false" ht="15.75" hidden="false" customHeight="false" outlineLevel="0" collapsed="false">
      <c r="A467" s="12"/>
      <c r="B467" s="34"/>
      <c r="C467" s="12"/>
      <c r="D467" s="12"/>
      <c r="E467" s="12"/>
      <c r="F467" s="12"/>
      <c r="G467" s="18"/>
      <c r="H467" s="35"/>
      <c r="I467" s="35"/>
      <c r="J467" s="12"/>
      <c r="O467" s="12"/>
      <c r="P467" s="18"/>
      <c r="Q467" s="12"/>
      <c r="R467" s="12"/>
      <c r="S467" s="12"/>
      <c r="T467" s="36"/>
      <c r="U467" s="36"/>
      <c r="V467" s="12"/>
      <c r="W467" s="12"/>
      <c r="X467" s="12"/>
      <c r="Y467" s="12"/>
    </row>
    <row r="468" customFormat="false" ht="15.75" hidden="false" customHeight="false" outlineLevel="0" collapsed="false">
      <c r="A468" s="12"/>
      <c r="B468" s="34"/>
      <c r="C468" s="12"/>
      <c r="D468" s="12"/>
      <c r="E468" s="12"/>
      <c r="F468" s="12"/>
      <c r="G468" s="18"/>
      <c r="H468" s="35"/>
      <c r="I468" s="35"/>
      <c r="J468" s="12"/>
      <c r="O468" s="12"/>
      <c r="P468" s="18"/>
      <c r="Q468" s="12"/>
      <c r="R468" s="12"/>
      <c r="S468" s="12"/>
      <c r="T468" s="36"/>
      <c r="U468" s="36"/>
      <c r="V468" s="12"/>
      <c r="W468" s="12"/>
      <c r="X468" s="12"/>
      <c r="Y468" s="12"/>
    </row>
    <row r="469" customFormat="false" ht="15.75" hidden="false" customHeight="false" outlineLevel="0" collapsed="false">
      <c r="A469" s="12"/>
      <c r="B469" s="34"/>
      <c r="C469" s="12"/>
      <c r="D469" s="12"/>
      <c r="E469" s="12"/>
      <c r="F469" s="12"/>
      <c r="G469" s="18"/>
      <c r="H469" s="35"/>
      <c r="I469" s="35"/>
      <c r="J469" s="12"/>
      <c r="O469" s="12"/>
      <c r="P469" s="18"/>
      <c r="Q469" s="12"/>
      <c r="R469" s="12"/>
      <c r="S469" s="12"/>
      <c r="T469" s="36"/>
      <c r="U469" s="36"/>
      <c r="V469" s="12"/>
      <c r="W469" s="12"/>
      <c r="X469" s="12"/>
      <c r="Y469" s="12"/>
    </row>
    <row r="470" customFormat="false" ht="15.75" hidden="false" customHeight="false" outlineLevel="0" collapsed="false">
      <c r="A470" s="12"/>
      <c r="B470" s="34"/>
      <c r="C470" s="12"/>
      <c r="D470" s="12"/>
      <c r="E470" s="12"/>
      <c r="F470" s="12"/>
      <c r="G470" s="18"/>
      <c r="H470" s="35"/>
      <c r="I470" s="35"/>
      <c r="J470" s="12"/>
      <c r="O470" s="12"/>
      <c r="P470" s="18"/>
      <c r="Q470" s="12"/>
      <c r="R470" s="12"/>
      <c r="S470" s="12"/>
      <c r="T470" s="36"/>
      <c r="U470" s="36"/>
      <c r="V470" s="12"/>
      <c r="W470" s="12"/>
      <c r="X470" s="12"/>
      <c r="Y470" s="12"/>
    </row>
    <row r="471" customFormat="false" ht="15.75" hidden="false" customHeight="false" outlineLevel="0" collapsed="false">
      <c r="A471" s="12"/>
      <c r="B471" s="34"/>
      <c r="C471" s="12"/>
      <c r="D471" s="12"/>
      <c r="E471" s="12"/>
      <c r="F471" s="12"/>
      <c r="G471" s="18"/>
      <c r="H471" s="35"/>
      <c r="I471" s="35"/>
      <c r="J471" s="12"/>
      <c r="O471" s="12"/>
      <c r="P471" s="18"/>
      <c r="Q471" s="12"/>
      <c r="R471" s="12"/>
      <c r="S471" s="12"/>
      <c r="T471" s="36"/>
      <c r="U471" s="36"/>
      <c r="V471" s="12"/>
      <c r="W471" s="12"/>
      <c r="X471" s="12"/>
      <c r="Y471" s="12"/>
    </row>
    <row r="472" customFormat="false" ht="15.75" hidden="false" customHeight="false" outlineLevel="0" collapsed="false">
      <c r="A472" s="12"/>
      <c r="B472" s="34"/>
      <c r="C472" s="12"/>
      <c r="D472" s="12"/>
      <c r="E472" s="12"/>
      <c r="F472" s="12"/>
      <c r="G472" s="18"/>
      <c r="H472" s="35"/>
      <c r="I472" s="35"/>
      <c r="J472" s="12"/>
      <c r="O472" s="12"/>
      <c r="P472" s="18"/>
      <c r="Q472" s="12"/>
      <c r="R472" s="12"/>
      <c r="S472" s="12"/>
      <c r="T472" s="36"/>
      <c r="U472" s="36"/>
      <c r="V472" s="12"/>
      <c r="W472" s="12"/>
      <c r="X472" s="12"/>
      <c r="Y472" s="12"/>
    </row>
    <row r="473" customFormat="false" ht="15.75" hidden="false" customHeight="false" outlineLevel="0" collapsed="false">
      <c r="A473" s="12"/>
      <c r="B473" s="34"/>
      <c r="C473" s="12"/>
      <c r="D473" s="12"/>
      <c r="E473" s="12"/>
      <c r="F473" s="12"/>
      <c r="G473" s="18"/>
      <c r="H473" s="35"/>
      <c r="I473" s="35"/>
      <c r="J473" s="12"/>
      <c r="O473" s="12"/>
      <c r="P473" s="18"/>
      <c r="Q473" s="12"/>
      <c r="R473" s="12"/>
      <c r="S473" s="12"/>
      <c r="T473" s="36"/>
      <c r="U473" s="36"/>
      <c r="V473" s="12"/>
      <c r="W473" s="12"/>
      <c r="X473" s="12"/>
      <c r="Y473" s="12"/>
    </row>
    <row r="474" customFormat="false" ht="15.75" hidden="false" customHeight="false" outlineLevel="0" collapsed="false">
      <c r="A474" s="12"/>
      <c r="B474" s="34"/>
      <c r="C474" s="12"/>
      <c r="D474" s="12"/>
      <c r="E474" s="12"/>
      <c r="F474" s="12"/>
      <c r="G474" s="18"/>
      <c r="H474" s="35"/>
      <c r="I474" s="35"/>
      <c r="J474" s="12"/>
      <c r="O474" s="12"/>
      <c r="P474" s="18"/>
      <c r="Q474" s="12"/>
      <c r="R474" s="12"/>
      <c r="S474" s="12"/>
      <c r="T474" s="36"/>
      <c r="U474" s="36"/>
      <c r="V474" s="12"/>
      <c r="W474" s="12"/>
      <c r="X474" s="12"/>
      <c r="Y474" s="12"/>
    </row>
    <row r="475" customFormat="false" ht="15.75" hidden="false" customHeight="false" outlineLevel="0" collapsed="false">
      <c r="A475" s="12"/>
      <c r="B475" s="34"/>
      <c r="C475" s="12"/>
      <c r="D475" s="12"/>
      <c r="E475" s="12"/>
      <c r="F475" s="12"/>
      <c r="G475" s="18"/>
      <c r="H475" s="35"/>
      <c r="I475" s="35"/>
      <c r="J475" s="12"/>
      <c r="O475" s="12"/>
      <c r="P475" s="18"/>
      <c r="Q475" s="12"/>
      <c r="R475" s="12"/>
      <c r="S475" s="12"/>
      <c r="T475" s="36"/>
      <c r="U475" s="36"/>
      <c r="V475" s="12"/>
      <c r="W475" s="12"/>
      <c r="X475" s="12"/>
      <c r="Y475" s="12"/>
    </row>
    <row r="476" customFormat="false" ht="15.75" hidden="false" customHeight="false" outlineLevel="0" collapsed="false">
      <c r="A476" s="12"/>
      <c r="B476" s="34"/>
      <c r="C476" s="12"/>
      <c r="D476" s="12"/>
      <c r="E476" s="12"/>
      <c r="F476" s="12"/>
      <c r="G476" s="18"/>
      <c r="H476" s="35"/>
      <c r="I476" s="35"/>
      <c r="J476" s="12"/>
      <c r="O476" s="12"/>
      <c r="P476" s="18"/>
      <c r="Q476" s="12"/>
      <c r="R476" s="12"/>
      <c r="S476" s="12"/>
      <c r="T476" s="36"/>
      <c r="U476" s="36"/>
      <c r="V476" s="12"/>
      <c r="W476" s="12"/>
      <c r="X476" s="12"/>
      <c r="Y476" s="12"/>
    </row>
    <row r="477" customFormat="false" ht="15.75" hidden="false" customHeight="false" outlineLevel="0" collapsed="false">
      <c r="A477" s="12"/>
      <c r="B477" s="34"/>
      <c r="C477" s="12"/>
      <c r="D477" s="12"/>
      <c r="E477" s="12"/>
      <c r="F477" s="12"/>
      <c r="G477" s="18"/>
      <c r="H477" s="35"/>
      <c r="I477" s="35"/>
      <c r="J477" s="12"/>
      <c r="O477" s="12"/>
      <c r="P477" s="18"/>
      <c r="Q477" s="12"/>
      <c r="R477" s="12"/>
      <c r="S477" s="12"/>
      <c r="T477" s="36"/>
      <c r="U477" s="36"/>
      <c r="V477" s="12"/>
      <c r="W477" s="12"/>
      <c r="X477" s="12"/>
      <c r="Y477" s="12"/>
    </row>
    <row r="478" customFormat="false" ht="15.75" hidden="false" customHeight="false" outlineLevel="0" collapsed="false">
      <c r="A478" s="12"/>
      <c r="B478" s="34"/>
      <c r="C478" s="12"/>
      <c r="D478" s="12"/>
      <c r="E478" s="12"/>
      <c r="F478" s="12"/>
      <c r="G478" s="18"/>
      <c r="H478" s="35"/>
      <c r="I478" s="35"/>
      <c r="J478" s="12"/>
      <c r="O478" s="12"/>
      <c r="P478" s="18"/>
      <c r="Q478" s="12"/>
      <c r="R478" s="12"/>
      <c r="S478" s="12"/>
      <c r="T478" s="36"/>
      <c r="U478" s="36"/>
      <c r="V478" s="12"/>
      <c r="W478" s="12"/>
      <c r="X478" s="12"/>
      <c r="Y478" s="12"/>
    </row>
    <row r="479" customFormat="false" ht="15.75" hidden="false" customHeight="false" outlineLevel="0" collapsed="false">
      <c r="A479" s="12"/>
      <c r="B479" s="34"/>
      <c r="C479" s="12"/>
      <c r="D479" s="12"/>
      <c r="E479" s="12"/>
      <c r="F479" s="12"/>
      <c r="G479" s="18"/>
      <c r="H479" s="35"/>
      <c r="I479" s="35"/>
      <c r="J479" s="12"/>
      <c r="O479" s="12"/>
      <c r="P479" s="18"/>
      <c r="Q479" s="12"/>
      <c r="R479" s="12"/>
      <c r="S479" s="12"/>
      <c r="T479" s="36"/>
      <c r="U479" s="36"/>
      <c r="V479" s="12"/>
      <c r="W479" s="12"/>
      <c r="X479" s="12"/>
      <c r="Y479" s="12"/>
    </row>
    <row r="480" customFormat="false" ht="15.75" hidden="false" customHeight="false" outlineLevel="0" collapsed="false">
      <c r="A480" s="12"/>
      <c r="B480" s="34"/>
      <c r="C480" s="12"/>
      <c r="D480" s="12"/>
      <c r="E480" s="12"/>
      <c r="F480" s="12"/>
      <c r="G480" s="18"/>
      <c r="H480" s="35"/>
      <c r="I480" s="35"/>
      <c r="J480" s="12"/>
      <c r="O480" s="12"/>
      <c r="P480" s="18"/>
      <c r="Q480" s="12"/>
      <c r="R480" s="12"/>
      <c r="S480" s="12"/>
      <c r="T480" s="36"/>
      <c r="U480" s="36"/>
      <c r="V480" s="12"/>
      <c r="W480" s="12"/>
      <c r="X480" s="12"/>
      <c r="Y480" s="12"/>
    </row>
    <row r="481" customFormat="false" ht="15.75" hidden="false" customHeight="false" outlineLevel="0" collapsed="false">
      <c r="A481" s="12"/>
      <c r="B481" s="34"/>
      <c r="C481" s="12"/>
      <c r="D481" s="12"/>
      <c r="E481" s="12"/>
      <c r="F481" s="12"/>
      <c r="G481" s="18"/>
      <c r="H481" s="35"/>
      <c r="I481" s="35"/>
      <c r="J481" s="12"/>
      <c r="O481" s="12"/>
      <c r="P481" s="18"/>
      <c r="Q481" s="12"/>
      <c r="R481" s="12"/>
      <c r="S481" s="12"/>
      <c r="T481" s="36"/>
      <c r="U481" s="36"/>
      <c r="V481" s="12"/>
      <c r="W481" s="12"/>
      <c r="X481" s="12"/>
      <c r="Y481" s="12"/>
    </row>
    <row r="482" customFormat="false" ht="15.75" hidden="false" customHeight="false" outlineLevel="0" collapsed="false">
      <c r="A482" s="12"/>
      <c r="B482" s="34"/>
      <c r="C482" s="12"/>
      <c r="D482" s="12"/>
      <c r="E482" s="12"/>
      <c r="F482" s="12"/>
      <c r="G482" s="18"/>
      <c r="H482" s="35"/>
      <c r="I482" s="35"/>
      <c r="J482" s="12"/>
      <c r="O482" s="12"/>
      <c r="P482" s="18"/>
      <c r="Q482" s="12"/>
      <c r="R482" s="12"/>
      <c r="S482" s="12"/>
      <c r="T482" s="36"/>
      <c r="U482" s="36"/>
      <c r="V482" s="12"/>
      <c r="W482" s="12"/>
      <c r="X482" s="12"/>
      <c r="Y482" s="12"/>
    </row>
    <row r="483" customFormat="false" ht="15.75" hidden="false" customHeight="false" outlineLevel="0" collapsed="false">
      <c r="A483" s="12"/>
      <c r="B483" s="34"/>
      <c r="C483" s="12"/>
      <c r="D483" s="12"/>
      <c r="E483" s="12"/>
      <c r="F483" s="12"/>
      <c r="G483" s="18"/>
      <c r="H483" s="35"/>
      <c r="I483" s="35"/>
      <c r="J483" s="12"/>
      <c r="O483" s="12"/>
      <c r="P483" s="18"/>
      <c r="Q483" s="12"/>
      <c r="R483" s="12"/>
      <c r="S483" s="12"/>
      <c r="T483" s="36"/>
      <c r="U483" s="36"/>
      <c r="V483" s="12"/>
      <c r="W483" s="12"/>
      <c r="X483" s="12"/>
      <c r="Y483" s="12"/>
    </row>
    <row r="484" customFormat="false" ht="15.75" hidden="false" customHeight="false" outlineLevel="0" collapsed="false">
      <c r="A484" s="12"/>
      <c r="B484" s="34"/>
      <c r="C484" s="12"/>
      <c r="D484" s="12"/>
      <c r="E484" s="12"/>
      <c r="F484" s="12"/>
      <c r="G484" s="18"/>
      <c r="H484" s="35"/>
      <c r="I484" s="35"/>
      <c r="J484" s="12"/>
      <c r="O484" s="12"/>
      <c r="P484" s="18"/>
      <c r="Q484" s="12"/>
      <c r="R484" s="12"/>
      <c r="S484" s="12"/>
      <c r="T484" s="36"/>
      <c r="U484" s="36"/>
      <c r="V484" s="12"/>
      <c r="W484" s="12"/>
      <c r="X484" s="12"/>
      <c r="Y484" s="12"/>
    </row>
    <row r="485" customFormat="false" ht="15.75" hidden="false" customHeight="false" outlineLevel="0" collapsed="false">
      <c r="A485" s="12"/>
      <c r="B485" s="34"/>
      <c r="C485" s="12"/>
      <c r="D485" s="12"/>
      <c r="E485" s="12"/>
      <c r="F485" s="12"/>
      <c r="G485" s="18"/>
      <c r="H485" s="35"/>
      <c r="I485" s="35"/>
      <c r="J485" s="12"/>
      <c r="O485" s="12"/>
      <c r="P485" s="18"/>
      <c r="Q485" s="12"/>
      <c r="R485" s="12"/>
      <c r="S485" s="12"/>
      <c r="T485" s="36"/>
      <c r="U485" s="36"/>
      <c r="V485" s="12"/>
      <c r="W485" s="12"/>
      <c r="X485" s="12"/>
      <c r="Y485" s="12"/>
    </row>
    <row r="486" customFormat="false" ht="15.75" hidden="false" customHeight="false" outlineLevel="0" collapsed="false">
      <c r="A486" s="12"/>
      <c r="B486" s="34"/>
      <c r="C486" s="12"/>
      <c r="D486" s="12"/>
      <c r="E486" s="12"/>
      <c r="F486" s="12"/>
      <c r="G486" s="18"/>
      <c r="H486" s="35"/>
      <c r="I486" s="35"/>
      <c r="J486" s="12"/>
      <c r="O486" s="12"/>
      <c r="P486" s="18"/>
      <c r="Q486" s="12"/>
      <c r="R486" s="12"/>
      <c r="S486" s="12"/>
      <c r="T486" s="36"/>
      <c r="U486" s="36"/>
      <c r="V486" s="12"/>
      <c r="W486" s="12"/>
      <c r="X486" s="12"/>
      <c r="Y486" s="12"/>
    </row>
    <row r="487" customFormat="false" ht="15.75" hidden="false" customHeight="false" outlineLevel="0" collapsed="false">
      <c r="A487" s="12"/>
      <c r="B487" s="34"/>
      <c r="C487" s="12"/>
      <c r="D487" s="12"/>
      <c r="E487" s="12"/>
      <c r="F487" s="12"/>
      <c r="G487" s="18"/>
      <c r="H487" s="35"/>
      <c r="I487" s="35"/>
      <c r="J487" s="12"/>
      <c r="O487" s="12"/>
      <c r="P487" s="18"/>
      <c r="Q487" s="12"/>
      <c r="R487" s="12"/>
      <c r="S487" s="12"/>
      <c r="T487" s="36"/>
      <c r="U487" s="36"/>
      <c r="V487" s="12"/>
      <c r="W487" s="12"/>
      <c r="X487" s="12"/>
      <c r="Y487" s="12"/>
    </row>
    <row r="488" customFormat="false" ht="15.75" hidden="false" customHeight="false" outlineLevel="0" collapsed="false">
      <c r="A488" s="12"/>
      <c r="B488" s="34"/>
      <c r="C488" s="12"/>
      <c r="D488" s="12"/>
      <c r="E488" s="12"/>
      <c r="F488" s="12"/>
      <c r="G488" s="18"/>
      <c r="H488" s="35"/>
      <c r="I488" s="35"/>
      <c r="J488" s="12"/>
      <c r="O488" s="12"/>
      <c r="P488" s="18"/>
      <c r="Q488" s="12"/>
      <c r="R488" s="12"/>
      <c r="S488" s="12"/>
      <c r="T488" s="36"/>
      <c r="U488" s="36"/>
      <c r="V488" s="12"/>
      <c r="W488" s="12"/>
      <c r="X488" s="12"/>
      <c r="Y488" s="12"/>
    </row>
    <row r="489" customFormat="false" ht="15.75" hidden="false" customHeight="false" outlineLevel="0" collapsed="false">
      <c r="A489" s="12"/>
      <c r="B489" s="34"/>
      <c r="C489" s="12"/>
      <c r="D489" s="12"/>
      <c r="E489" s="12"/>
      <c r="F489" s="12"/>
      <c r="G489" s="18"/>
      <c r="H489" s="35"/>
      <c r="I489" s="35"/>
      <c r="J489" s="12"/>
      <c r="O489" s="12"/>
      <c r="P489" s="18"/>
      <c r="Q489" s="12"/>
      <c r="R489" s="12"/>
      <c r="S489" s="12"/>
      <c r="T489" s="36"/>
      <c r="U489" s="36"/>
      <c r="V489" s="12"/>
      <c r="W489" s="12"/>
      <c r="X489" s="12"/>
      <c r="Y489" s="12"/>
    </row>
    <row r="490" customFormat="false" ht="15.75" hidden="false" customHeight="false" outlineLevel="0" collapsed="false">
      <c r="A490" s="12"/>
      <c r="B490" s="34"/>
      <c r="C490" s="12"/>
      <c r="D490" s="12"/>
      <c r="E490" s="12"/>
      <c r="F490" s="12"/>
      <c r="G490" s="18"/>
      <c r="H490" s="35"/>
      <c r="I490" s="35"/>
      <c r="J490" s="12"/>
      <c r="O490" s="12"/>
      <c r="P490" s="18"/>
      <c r="Q490" s="12"/>
      <c r="R490" s="12"/>
      <c r="S490" s="12"/>
      <c r="T490" s="36"/>
      <c r="U490" s="36"/>
      <c r="V490" s="12"/>
      <c r="W490" s="12"/>
      <c r="X490" s="12"/>
      <c r="Y490" s="12"/>
    </row>
    <row r="491" customFormat="false" ht="15.75" hidden="false" customHeight="false" outlineLevel="0" collapsed="false">
      <c r="A491" s="12"/>
      <c r="B491" s="34"/>
      <c r="C491" s="12"/>
      <c r="D491" s="12"/>
      <c r="E491" s="12"/>
      <c r="F491" s="12"/>
      <c r="G491" s="18"/>
      <c r="H491" s="35"/>
      <c r="I491" s="35"/>
      <c r="J491" s="12"/>
      <c r="O491" s="12"/>
      <c r="P491" s="18"/>
      <c r="Q491" s="12"/>
      <c r="R491" s="12"/>
      <c r="S491" s="12"/>
      <c r="T491" s="36"/>
      <c r="U491" s="36"/>
      <c r="V491" s="12"/>
      <c r="W491" s="12"/>
      <c r="X491" s="12"/>
      <c r="Y491" s="12"/>
    </row>
    <row r="492" customFormat="false" ht="15.75" hidden="false" customHeight="false" outlineLevel="0" collapsed="false">
      <c r="A492" s="12"/>
      <c r="B492" s="34"/>
      <c r="C492" s="12"/>
      <c r="D492" s="12"/>
      <c r="E492" s="12"/>
      <c r="F492" s="12"/>
      <c r="G492" s="18"/>
      <c r="H492" s="35"/>
      <c r="I492" s="35"/>
      <c r="J492" s="12"/>
      <c r="O492" s="12"/>
      <c r="P492" s="18"/>
      <c r="Q492" s="12"/>
      <c r="R492" s="12"/>
      <c r="S492" s="12"/>
      <c r="T492" s="36"/>
      <c r="U492" s="36"/>
      <c r="V492" s="12"/>
      <c r="W492" s="12"/>
      <c r="X492" s="12"/>
      <c r="Y492" s="12"/>
    </row>
    <row r="493" customFormat="false" ht="15.75" hidden="false" customHeight="false" outlineLevel="0" collapsed="false">
      <c r="A493" s="12"/>
      <c r="B493" s="34"/>
      <c r="C493" s="12"/>
      <c r="D493" s="12"/>
      <c r="E493" s="12"/>
      <c r="F493" s="12"/>
      <c r="G493" s="18"/>
      <c r="H493" s="35"/>
      <c r="I493" s="35"/>
      <c r="J493" s="12"/>
      <c r="O493" s="12"/>
      <c r="P493" s="18"/>
      <c r="Q493" s="12"/>
      <c r="R493" s="12"/>
      <c r="S493" s="12"/>
      <c r="T493" s="36"/>
      <c r="U493" s="36"/>
      <c r="V493" s="12"/>
      <c r="W493" s="12"/>
      <c r="X493" s="12"/>
      <c r="Y493" s="12"/>
    </row>
    <row r="494" customFormat="false" ht="15.75" hidden="false" customHeight="false" outlineLevel="0" collapsed="false">
      <c r="A494" s="12"/>
      <c r="B494" s="34"/>
      <c r="C494" s="12"/>
      <c r="D494" s="12"/>
      <c r="E494" s="12"/>
      <c r="F494" s="12"/>
      <c r="G494" s="18"/>
      <c r="H494" s="35"/>
      <c r="I494" s="35"/>
      <c r="J494" s="12"/>
      <c r="O494" s="12"/>
      <c r="P494" s="18"/>
      <c r="Q494" s="12"/>
      <c r="R494" s="12"/>
      <c r="S494" s="12"/>
      <c r="T494" s="36"/>
      <c r="U494" s="36"/>
      <c r="V494" s="12"/>
      <c r="W494" s="12"/>
      <c r="X494" s="12"/>
      <c r="Y494" s="12"/>
    </row>
    <row r="495" customFormat="false" ht="15.75" hidden="false" customHeight="false" outlineLevel="0" collapsed="false">
      <c r="A495" s="12"/>
      <c r="B495" s="34"/>
      <c r="C495" s="12"/>
      <c r="D495" s="12"/>
      <c r="E495" s="12"/>
      <c r="F495" s="12"/>
      <c r="G495" s="18"/>
      <c r="H495" s="35"/>
      <c r="I495" s="35"/>
      <c r="J495" s="12"/>
      <c r="O495" s="12"/>
      <c r="P495" s="18"/>
      <c r="Q495" s="12"/>
      <c r="R495" s="12"/>
      <c r="S495" s="12"/>
      <c r="T495" s="36"/>
      <c r="U495" s="36"/>
      <c r="V495" s="12"/>
      <c r="W495" s="12"/>
      <c r="X495" s="12"/>
      <c r="Y495" s="12"/>
    </row>
    <row r="496" customFormat="false" ht="15.75" hidden="false" customHeight="false" outlineLevel="0" collapsed="false">
      <c r="A496" s="12"/>
      <c r="B496" s="34"/>
      <c r="C496" s="12"/>
      <c r="D496" s="12"/>
      <c r="E496" s="12"/>
      <c r="F496" s="12"/>
      <c r="G496" s="18"/>
      <c r="H496" s="35"/>
      <c r="I496" s="35"/>
      <c r="J496" s="12"/>
      <c r="O496" s="12"/>
      <c r="P496" s="18"/>
      <c r="Q496" s="12"/>
      <c r="R496" s="12"/>
      <c r="S496" s="12"/>
      <c r="T496" s="36"/>
      <c r="U496" s="36"/>
      <c r="V496" s="12"/>
      <c r="W496" s="12"/>
      <c r="X496" s="12"/>
      <c r="Y496" s="12"/>
    </row>
    <row r="497" customFormat="false" ht="15.75" hidden="false" customHeight="false" outlineLevel="0" collapsed="false">
      <c r="A497" s="12"/>
      <c r="B497" s="34"/>
      <c r="C497" s="12"/>
      <c r="D497" s="12"/>
      <c r="E497" s="12"/>
      <c r="F497" s="12"/>
      <c r="G497" s="18"/>
      <c r="H497" s="35"/>
      <c r="I497" s="35"/>
      <c r="J497" s="12"/>
      <c r="O497" s="12"/>
      <c r="P497" s="18"/>
      <c r="Q497" s="12"/>
      <c r="R497" s="12"/>
      <c r="S497" s="12"/>
      <c r="T497" s="36"/>
      <c r="U497" s="36"/>
      <c r="V497" s="12"/>
      <c r="W497" s="12"/>
      <c r="X497" s="12"/>
      <c r="Y497" s="12"/>
    </row>
    <row r="498" customFormat="false" ht="15.75" hidden="false" customHeight="false" outlineLevel="0" collapsed="false">
      <c r="A498" s="12"/>
      <c r="B498" s="34"/>
      <c r="C498" s="12"/>
      <c r="D498" s="12"/>
      <c r="E498" s="12"/>
      <c r="F498" s="12"/>
      <c r="G498" s="18"/>
      <c r="H498" s="35"/>
      <c r="I498" s="35"/>
      <c r="J498" s="12"/>
      <c r="O498" s="12"/>
      <c r="P498" s="18"/>
      <c r="Q498" s="12"/>
      <c r="R498" s="12"/>
      <c r="S498" s="12"/>
      <c r="T498" s="36"/>
      <c r="U498" s="36"/>
      <c r="V498" s="12"/>
      <c r="W498" s="12"/>
      <c r="X498" s="12"/>
      <c r="Y498" s="12"/>
    </row>
    <row r="499" customFormat="false" ht="15.75" hidden="false" customHeight="false" outlineLevel="0" collapsed="false">
      <c r="A499" s="12"/>
      <c r="B499" s="34"/>
      <c r="C499" s="12"/>
      <c r="D499" s="12"/>
      <c r="E499" s="12"/>
      <c r="F499" s="12"/>
      <c r="G499" s="18"/>
      <c r="H499" s="35"/>
      <c r="I499" s="35"/>
      <c r="J499" s="12"/>
      <c r="O499" s="12"/>
      <c r="P499" s="18"/>
      <c r="Q499" s="12"/>
      <c r="R499" s="12"/>
      <c r="S499" s="12"/>
      <c r="T499" s="36"/>
      <c r="U499" s="36"/>
      <c r="V499" s="12"/>
      <c r="W499" s="12"/>
      <c r="X499" s="12"/>
      <c r="Y499" s="12"/>
    </row>
    <row r="500" customFormat="false" ht="15.75" hidden="false" customHeight="false" outlineLevel="0" collapsed="false">
      <c r="A500" s="12"/>
      <c r="B500" s="34"/>
      <c r="C500" s="12"/>
      <c r="D500" s="12"/>
      <c r="E500" s="12"/>
      <c r="F500" s="12"/>
      <c r="G500" s="18"/>
      <c r="H500" s="35"/>
      <c r="I500" s="35"/>
      <c r="J500" s="12"/>
      <c r="O500" s="12"/>
      <c r="P500" s="18"/>
      <c r="Q500" s="12"/>
      <c r="R500" s="12"/>
      <c r="S500" s="12"/>
      <c r="T500" s="36"/>
      <c r="U500" s="36"/>
      <c r="V500" s="12"/>
      <c r="W500" s="12"/>
      <c r="X500" s="12"/>
      <c r="Y500" s="12"/>
    </row>
    <row r="501" customFormat="false" ht="15.75" hidden="false" customHeight="false" outlineLevel="0" collapsed="false">
      <c r="A501" s="12"/>
      <c r="B501" s="34"/>
      <c r="C501" s="12"/>
      <c r="D501" s="12"/>
      <c r="E501" s="12"/>
      <c r="F501" s="12"/>
      <c r="G501" s="18"/>
      <c r="H501" s="35"/>
      <c r="I501" s="35"/>
      <c r="J501" s="12"/>
      <c r="O501" s="12"/>
      <c r="P501" s="18"/>
      <c r="Q501" s="12"/>
      <c r="R501" s="12"/>
      <c r="S501" s="12"/>
      <c r="T501" s="36"/>
      <c r="U501" s="36"/>
      <c r="V501" s="12"/>
      <c r="W501" s="12"/>
      <c r="X501" s="12"/>
      <c r="Y501" s="12"/>
    </row>
    <row r="502" customFormat="false" ht="15.75" hidden="false" customHeight="false" outlineLevel="0" collapsed="false">
      <c r="A502" s="12"/>
      <c r="B502" s="34"/>
      <c r="C502" s="12"/>
      <c r="D502" s="12"/>
      <c r="E502" s="12"/>
      <c r="F502" s="12"/>
      <c r="G502" s="18"/>
      <c r="H502" s="35"/>
      <c r="I502" s="35"/>
      <c r="J502" s="12"/>
      <c r="O502" s="12"/>
      <c r="P502" s="18"/>
      <c r="Q502" s="12"/>
      <c r="R502" s="12"/>
      <c r="S502" s="12"/>
      <c r="T502" s="36"/>
      <c r="U502" s="36"/>
      <c r="V502" s="12"/>
      <c r="W502" s="12"/>
      <c r="X502" s="12"/>
      <c r="Y502" s="12"/>
    </row>
    <row r="503" customFormat="false" ht="15.75" hidden="false" customHeight="false" outlineLevel="0" collapsed="false">
      <c r="A503" s="12"/>
      <c r="B503" s="34"/>
      <c r="C503" s="12"/>
      <c r="D503" s="12"/>
      <c r="E503" s="12"/>
      <c r="F503" s="12"/>
      <c r="G503" s="18"/>
      <c r="H503" s="35"/>
      <c r="I503" s="35"/>
      <c r="J503" s="12"/>
      <c r="O503" s="12"/>
      <c r="P503" s="18"/>
      <c r="Q503" s="12"/>
      <c r="R503" s="12"/>
      <c r="S503" s="12"/>
      <c r="T503" s="36"/>
      <c r="U503" s="36"/>
      <c r="V503" s="12"/>
      <c r="W503" s="12"/>
      <c r="X503" s="12"/>
      <c r="Y503" s="12"/>
    </row>
    <row r="504" customFormat="false" ht="15.75" hidden="false" customHeight="false" outlineLevel="0" collapsed="false">
      <c r="A504" s="12"/>
      <c r="B504" s="34"/>
      <c r="C504" s="12"/>
      <c r="D504" s="12"/>
      <c r="E504" s="12"/>
      <c r="F504" s="12"/>
      <c r="G504" s="18"/>
      <c r="H504" s="35"/>
      <c r="I504" s="35"/>
      <c r="J504" s="12"/>
      <c r="O504" s="12"/>
      <c r="P504" s="18"/>
      <c r="Q504" s="12"/>
      <c r="R504" s="12"/>
      <c r="S504" s="12"/>
      <c r="T504" s="36"/>
      <c r="U504" s="36"/>
      <c r="V504" s="12"/>
      <c r="W504" s="12"/>
      <c r="X504" s="12"/>
      <c r="Y504" s="12"/>
    </row>
    <row r="505" customFormat="false" ht="15.75" hidden="false" customHeight="false" outlineLevel="0" collapsed="false">
      <c r="A505" s="12"/>
      <c r="B505" s="34"/>
      <c r="C505" s="12"/>
      <c r="D505" s="12"/>
      <c r="E505" s="12"/>
      <c r="F505" s="12"/>
      <c r="G505" s="18"/>
      <c r="H505" s="35"/>
      <c r="I505" s="35"/>
      <c r="J505" s="12"/>
      <c r="O505" s="12"/>
      <c r="P505" s="18"/>
      <c r="Q505" s="12"/>
      <c r="R505" s="12"/>
      <c r="S505" s="12"/>
      <c r="T505" s="36"/>
      <c r="U505" s="36"/>
      <c r="V505" s="12"/>
      <c r="W505" s="12"/>
      <c r="X505" s="12"/>
      <c r="Y505" s="12"/>
    </row>
    <row r="506" customFormat="false" ht="15.75" hidden="false" customHeight="false" outlineLevel="0" collapsed="false">
      <c r="A506" s="12"/>
      <c r="B506" s="34"/>
      <c r="C506" s="12"/>
      <c r="D506" s="12"/>
      <c r="E506" s="12"/>
      <c r="F506" s="12"/>
      <c r="G506" s="18"/>
      <c r="H506" s="35"/>
      <c r="I506" s="35"/>
      <c r="J506" s="12"/>
      <c r="O506" s="12"/>
      <c r="P506" s="18"/>
      <c r="Q506" s="12"/>
      <c r="R506" s="12"/>
      <c r="S506" s="12"/>
      <c r="T506" s="36"/>
      <c r="U506" s="36"/>
      <c r="V506" s="12"/>
      <c r="W506" s="12"/>
      <c r="X506" s="12"/>
      <c r="Y506" s="12"/>
    </row>
    <row r="507" customFormat="false" ht="15.75" hidden="false" customHeight="false" outlineLevel="0" collapsed="false">
      <c r="A507" s="12"/>
      <c r="B507" s="34"/>
      <c r="C507" s="12"/>
      <c r="D507" s="12"/>
      <c r="E507" s="12"/>
      <c r="F507" s="12"/>
      <c r="G507" s="18"/>
      <c r="H507" s="35"/>
      <c r="I507" s="35"/>
      <c r="J507" s="12"/>
      <c r="O507" s="12"/>
      <c r="P507" s="18"/>
      <c r="Q507" s="12"/>
      <c r="R507" s="12"/>
      <c r="S507" s="12"/>
      <c r="T507" s="36"/>
      <c r="U507" s="36"/>
      <c r="V507" s="12"/>
      <c r="W507" s="12"/>
      <c r="X507" s="12"/>
      <c r="Y507" s="12"/>
    </row>
    <row r="508" customFormat="false" ht="15.75" hidden="false" customHeight="false" outlineLevel="0" collapsed="false">
      <c r="A508" s="12"/>
      <c r="B508" s="34"/>
      <c r="C508" s="12"/>
      <c r="D508" s="12"/>
      <c r="E508" s="12"/>
      <c r="F508" s="12"/>
      <c r="G508" s="18"/>
      <c r="H508" s="35"/>
      <c r="I508" s="35"/>
      <c r="J508" s="12"/>
      <c r="O508" s="12"/>
      <c r="P508" s="18"/>
      <c r="Q508" s="12"/>
      <c r="R508" s="12"/>
      <c r="S508" s="12"/>
      <c r="T508" s="36"/>
      <c r="U508" s="36"/>
      <c r="V508" s="12"/>
      <c r="W508" s="12"/>
      <c r="X508" s="12"/>
      <c r="Y508" s="12"/>
    </row>
    <row r="509" customFormat="false" ht="15.75" hidden="false" customHeight="false" outlineLevel="0" collapsed="false">
      <c r="A509" s="12"/>
      <c r="B509" s="34"/>
      <c r="C509" s="12"/>
      <c r="D509" s="12"/>
      <c r="E509" s="12"/>
      <c r="F509" s="12"/>
      <c r="G509" s="18"/>
      <c r="H509" s="35"/>
      <c r="I509" s="35"/>
      <c r="J509" s="12"/>
      <c r="O509" s="12"/>
      <c r="P509" s="18"/>
      <c r="Q509" s="12"/>
      <c r="R509" s="12"/>
      <c r="S509" s="12"/>
      <c r="T509" s="36"/>
      <c r="U509" s="36"/>
      <c r="V509" s="12"/>
      <c r="W509" s="12"/>
      <c r="X509" s="12"/>
      <c r="Y509" s="12"/>
    </row>
    <row r="510" customFormat="false" ht="15.75" hidden="false" customHeight="false" outlineLevel="0" collapsed="false">
      <c r="A510" s="12"/>
      <c r="B510" s="34"/>
      <c r="C510" s="12"/>
      <c r="D510" s="12"/>
      <c r="E510" s="12"/>
      <c r="F510" s="12"/>
      <c r="G510" s="18"/>
      <c r="H510" s="35"/>
      <c r="I510" s="35"/>
      <c r="J510" s="12"/>
      <c r="O510" s="12"/>
      <c r="P510" s="18"/>
      <c r="Q510" s="12"/>
      <c r="R510" s="12"/>
      <c r="S510" s="12"/>
      <c r="T510" s="36"/>
      <c r="U510" s="36"/>
      <c r="V510" s="12"/>
      <c r="W510" s="12"/>
      <c r="X510" s="12"/>
      <c r="Y510" s="12"/>
    </row>
    <row r="511" customFormat="false" ht="15.75" hidden="false" customHeight="false" outlineLevel="0" collapsed="false">
      <c r="A511" s="12"/>
      <c r="B511" s="34"/>
      <c r="C511" s="12"/>
      <c r="D511" s="12"/>
      <c r="E511" s="12"/>
      <c r="F511" s="12"/>
      <c r="G511" s="18"/>
      <c r="H511" s="35"/>
      <c r="I511" s="35"/>
      <c r="J511" s="12"/>
      <c r="O511" s="12"/>
      <c r="P511" s="18"/>
      <c r="Q511" s="12"/>
      <c r="R511" s="12"/>
      <c r="S511" s="12"/>
      <c r="T511" s="36"/>
      <c r="U511" s="36"/>
      <c r="V511" s="12"/>
      <c r="W511" s="12"/>
      <c r="X511" s="12"/>
      <c r="Y511" s="12"/>
    </row>
    <row r="512" customFormat="false" ht="15.75" hidden="false" customHeight="false" outlineLevel="0" collapsed="false">
      <c r="A512" s="12"/>
      <c r="B512" s="34"/>
      <c r="C512" s="12"/>
      <c r="D512" s="12"/>
      <c r="E512" s="12"/>
      <c r="F512" s="12"/>
      <c r="G512" s="18"/>
      <c r="H512" s="35"/>
      <c r="I512" s="35"/>
      <c r="J512" s="12"/>
      <c r="O512" s="12"/>
      <c r="P512" s="18"/>
      <c r="Q512" s="12"/>
      <c r="R512" s="12"/>
      <c r="S512" s="12"/>
      <c r="T512" s="36"/>
      <c r="U512" s="36"/>
      <c r="V512" s="12"/>
      <c r="W512" s="12"/>
      <c r="X512" s="12"/>
      <c r="Y512" s="12"/>
    </row>
    <row r="513" customFormat="false" ht="15.75" hidden="false" customHeight="false" outlineLevel="0" collapsed="false">
      <c r="A513" s="12"/>
      <c r="B513" s="34"/>
      <c r="C513" s="12"/>
      <c r="D513" s="12"/>
      <c r="E513" s="12"/>
      <c r="F513" s="12"/>
      <c r="G513" s="18"/>
      <c r="H513" s="35"/>
      <c r="I513" s="35"/>
      <c r="J513" s="12"/>
      <c r="O513" s="12"/>
      <c r="P513" s="18"/>
      <c r="Q513" s="12"/>
      <c r="R513" s="12"/>
      <c r="S513" s="12"/>
      <c r="T513" s="36"/>
      <c r="U513" s="36"/>
      <c r="V513" s="12"/>
      <c r="W513" s="12"/>
      <c r="X513" s="12"/>
      <c r="Y513" s="12"/>
    </row>
    <row r="514" customFormat="false" ht="15.75" hidden="false" customHeight="false" outlineLevel="0" collapsed="false">
      <c r="A514" s="12"/>
      <c r="B514" s="34"/>
      <c r="C514" s="12"/>
      <c r="D514" s="12"/>
      <c r="E514" s="12"/>
      <c r="F514" s="12"/>
      <c r="G514" s="18"/>
      <c r="H514" s="35"/>
      <c r="I514" s="35"/>
      <c r="J514" s="12"/>
      <c r="O514" s="12"/>
      <c r="P514" s="18"/>
      <c r="Q514" s="12"/>
      <c r="R514" s="12"/>
      <c r="S514" s="12"/>
      <c r="T514" s="36"/>
      <c r="U514" s="36"/>
      <c r="V514" s="12"/>
      <c r="W514" s="12"/>
      <c r="X514" s="12"/>
      <c r="Y514" s="12"/>
    </row>
    <row r="515" customFormat="false" ht="15.75" hidden="false" customHeight="false" outlineLevel="0" collapsed="false">
      <c r="A515" s="12"/>
      <c r="B515" s="34"/>
      <c r="C515" s="12"/>
      <c r="D515" s="12"/>
      <c r="E515" s="12"/>
      <c r="F515" s="12"/>
      <c r="G515" s="18"/>
      <c r="H515" s="35"/>
      <c r="I515" s="35"/>
      <c r="J515" s="12"/>
      <c r="O515" s="12"/>
      <c r="P515" s="18"/>
      <c r="Q515" s="12"/>
      <c r="R515" s="12"/>
      <c r="S515" s="12"/>
      <c r="T515" s="36"/>
      <c r="U515" s="36"/>
      <c r="V515" s="12"/>
      <c r="W515" s="12"/>
      <c r="X515" s="12"/>
      <c r="Y515" s="12"/>
    </row>
    <row r="516" customFormat="false" ht="15.75" hidden="false" customHeight="false" outlineLevel="0" collapsed="false">
      <c r="A516" s="12"/>
      <c r="B516" s="34"/>
      <c r="C516" s="12"/>
      <c r="D516" s="12"/>
      <c r="E516" s="12"/>
      <c r="F516" s="12"/>
      <c r="G516" s="18"/>
      <c r="H516" s="35"/>
      <c r="I516" s="35"/>
      <c r="J516" s="12"/>
      <c r="O516" s="12"/>
      <c r="P516" s="18"/>
      <c r="Q516" s="12"/>
      <c r="R516" s="12"/>
      <c r="S516" s="12"/>
      <c r="T516" s="36"/>
      <c r="U516" s="36"/>
      <c r="V516" s="12"/>
      <c r="W516" s="12"/>
      <c r="X516" s="12"/>
      <c r="Y516" s="12"/>
    </row>
    <row r="517" customFormat="false" ht="15.75" hidden="false" customHeight="false" outlineLevel="0" collapsed="false">
      <c r="A517" s="12"/>
      <c r="B517" s="34"/>
      <c r="C517" s="12"/>
      <c r="D517" s="12"/>
      <c r="E517" s="12"/>
      <c r="F517" s="12"/>
      <c r="G517" s="18"/>
      <c r="H517" s="35"/>
      <c r="I517" s="35"/>
      <c r="J517" s="12"/>
      <c r="O517" s="12"/>
      <c r="P517" s="18"/>
      <c r="Q517" s="12"/>
      <c r="R517" s="12"/>
      <c r="S517" s="12"/>
      <c r="T517" s="36"/>
      <c r="U517" s="36"/>
      <c r="V517" s="12"/>
      <c r="W517" s="12"/>
      <c r="X517" s="12"/>
      <c r="Y517" s="12"/>
    </row>
    <row r="518" customFormat="false" ht="15.75" hidden="false" customHeight="false" outlineLevel="0" collapsed="false">
      <c r="A518" s="12"/>
      <c r="B518" s="34"/>
      <c r="C518" s="12"/>
      <c r="D518" s="12"/>
      <c r="E518" s="12"/>
      <c r="F518" s="12"/>
      <c r="G518" s="18"/>
      <c r="H518" s="35"/>
      <c r="I518" s="35"/>
      <c r="J518" s="12"/>
      <c r="O518" s="12"/>
      <c r="P518" s="18"/>
      <c r="Q518" s="12"/>
      <c r="R518" s="12"/>
      <c r="S518" s="12"/>
      <c r="T518" s="36"/>
      <c r="U518" s="36"/>
      <c r="V518" s="12"/>
      <c r="W518" s="12"/>
      <c r="X518" s="12"/>
      <c r="Y518" s="12"/>
    </row>
    <row r="519" customFormat="false" ht="15.75" hidden="false" customHeight="false" outlineLevel="0" collapsed="false">
      <c r="A519" s="12"/>
      <c r="B519" s="34"/>
      <c r="C519" s="12"/>
      <c r="D519" s="12"/>
      <c r="E519" s="12"/>
      <c r="F519" s="12"/>
      <c r="G519" s="18"/>
      <c r="H519" s="35"/>
      <c r="I519" s="35"/>
      <c r="J519" s="12"/>
      <c r="O519" s="12"/>
      <c r="P519" s="18"/>
      <c r="Q519" s="12"/>
      <c r="R519" s="12"/>
      <c r="S519" s="12"/>
      <c r="T519" s="36"/>
      <c r="U519" s="36"/>
      <c r="V519" s="12"/>
      <c r="W519" s="12"/>
      <c r="X519" s="12"/>
      <c r="Y519" s="12"/>
    </row>
    <row r="520" customFormat="false" ht="15.75" hidden="false" customHeight="false" outlineLevel="0" collapsed="false">
      <c r="A520" s="12"/>
      <c r="B520" s="34"/>
      <c r="C520" s="12"/>
      <c r="D520" s="12"/>
      <c r="E520" s="12"/>
      <c r="F520" s="12"/>
      <c r="G520" s="18"/>
      <c r="H520" s="35"/>
      <c r="I520" s="35"/>
      <c r="J520" s="12"/>
      <c r="O520" s="12"/>
      <c r="P520" s="18"/>
      <c r="Q520" s="12"/>
      <c r="R520" s="12"/>
      <c r="S520" s="12"/>
      <c r="T520" s="36"/>
      <c r="U520" s="36"/>
      <c r="V520" s="12"/>
      <c r="W520" s="12"/>
      <c r="X520" s="12"/>
      <c r="Y520" s="12"/>
    </row>
    <row r="521" customFormat="false" ht="15.75" hidden="false" customHeight="false" outlineLevel="0" collapsed="false">
      <c r="A521" s="12"/>
      <c r="B521" s="34"/>
      <c r="C521" s="12"/>
      <c r="D521" s="12"/>
      <c r="E521" s="12"/>
      <c r="F521" s="12"/>
      <c r="G521" s="18"/>
      <c r="H521" s="35"/>
      <c r="I521" s="35"/>
      <c r="J521" s="12"/>
      <c r="O521" s="12"/>
      <c r="P521" s="18"/>
      <c r="Q521" s="12"/>
      <c r="R521" s="12"/>
      <c r="S521" s="12"/>
      <c r="T521" s="36"/>
      <c r="U521" s="36"/>
      <c r="V521" s="12"/>
      <c r="W521" s="12"/>
      <c r="X521" s="12"/>
      <c r="Y521" s="12"/>
    </row>
    <row r="522" customFormat="false" ht="15.75" hidden="false" customHeight="false" outlineLevel="0" collapsed="false">
      <c r="A522" s="12"/>
      <c r="B522" s="34"/>
      <c r="C522" s="12"/>
      <c r="D522" s="12"/>
      <c r="E522" s="12"/>
      <c r="F522" s="12"/>
      <c r="G522" s="18"/>
      <c r="H522" s="35"/>
      <c r="I522" s="35"/>
      <c r="J522" s="12"/>
      <c r="O522" s="12"/>
      <c r="P522" s="18"/>
      <c r="Q522" s="12"/>
      <c r="R522" s="12"/>
      <c r="S522" s="12"/>
      <c r="T522" s="36"/>
      <c r="U522" s="36"/>
      <c r="V522" s="12"/>
      <c r="W522" s="12"/>
      <c r="X522" s="12"/>
      <c r="Y522" s="12"/>
    </row>
    <row r="523" customFormat="false" ht="15.75" hidden="false" customHeight="false" outlineLevel="0" collapsed="false">
      <c r="A523" s="12"/>
      <c r="B523" s="34"/>
      <c r="C523" s="12"/>
      <c r="D523" s="12"/>
      <c r="E523" s="12"/>
      <c r="F523" s="12"/>
      <c r="G523" s="18"/>
      <c r="H523" s="35"/>
      <c r="I523" s="35"/>
      <c r="J523" s="12"/>
      <c r="O523" s="12"/>
      <c r="P523" s="18"/>
      <c r="Q523" s="12"/>
      <c r="R523" s="12"/>
      <c r="S523" s="12"/>
      <c r="T523" s="36"/>
      <c r="U523" s="36"/>
      <c r="V523" s="12"/>
      <c r="W523" s="12"/>
      <c r="X523" s="12"/>
      <c r="Y523" s="12"/>
    </row>
    <row r="524" customFormat="false" ht="15.75" hidden="false" customHeight="false" outlineLevel="0" collapsed="false">
      <c r="A524" s="12"/>
      <c r="B524" s="34"/>
      <c r="C524" s="12"/>
      <c r="D524" s="12"/>
      <c r="E524" s="12"/>
      <c r="F524" s="12"/>
      <c r="G524" s="18"/>
      <c r="H524" s="35"/>
      <c r="I524" s="35"/>
      <c r="J524" s="12"/>
      <c r="O524" s="12"/>
      <c r="P524" s="18"/>
      <c r="Q524" s="12"/>
      <c r="R524" s="12"/>
      <c r="S524" s="12"/>
      <c r="T524" s="36"/>
      <c r="U524" s="36"/>
      <c r="V524" s="12"/>
      <c r="W524" s="12"/>
      <c r="X524" s="12"/>
      <c r="Y524" s="12"/>
    </row>
    <row r="525" customFormat="false" ht="15.75" hidden="false" customHeight="false" outlineLevel="0" collapsed="false">
      <c r="A525" s="12"/>
      <c r="B525" s="34"/>
      <c r="C525" s="12"/>
      <c r="D525" s="12"/>
      <c r="E525" s="12"/>
      <c r="F525" s="12"/>
      <c r="G525" s="18"/>
      <c r="H525" s="35"/>
      <c r="I525" s="35"/>
      <c r="J525" s="12"/>
      <c r="O525" s="12"/>
      <c r="P525" s="18"/>
      <c r="Q525" s="12"/>
      <c r="R525" s="12"/>
      <c r="S525" s="12"/>
      <c r="T525" s="36"/>
      <c r="U525" s="36"/>
      <c r="V525" s="12"/>
      <c r="W525" s="12"/>
      <c r="X525" s="12"/>
      <c r="Y525" s="12"/>
    </row>
    <row r="526" customFormat="false" ht="15.75" hidden="false" customHeight="false" outlineLevel="0" collapsed="false">
      <c r="A526" s="12"/>
      <c r="B526" s="34"/>
      <c r="C526" s="12"/>
      <c r="D526" s="12"/>
      <c r="E526" s="12"/>
      <c r="F526" s="12"/>
      <c r="G526" s="18"/>
      <c r="H526" s="35"/>
      <c r="I526" s="35"/>
      <c r="J526" s="12"/>
      <c r="O526" s="12"/>
      <c r="P526" s="18"/>
      <c r="Q526" s="12"/>
      <c r="R526" s="12"/>
      <c r="S526" s="12"/>
      <c r="T526" s="36"/>
      <c r="U526" s="36"/>
      <c r="V526" s="12"/>
      <c r="W526" s="12"/>
      <c r="X526" s="12"/>
      <c r="Y526" s="12"/>
    </row>
    <row r="527" customFormat="false" ht="15.75" hidden="false" customHeight="false" outlineLevel="0" collapsed="false">
      <c r="A527" s="12"/>
      <c r="B527" s="34"/>
      <c r="C527" s="12"/>
      <c r="D527" s="12"/>
      <c r="E527" s="12"/>
      <c r="F527" s="12"/>
      <c r="G527" s="18"/>
      <c r="H527" s="35"/>
      <c r="I527" s="35"/>
      <c r="J527" s="12"/>
      <c r="O527" s="12"/>
      <c r="P527" s="18"/>
      <c r="Q527" s="12"/>
      <c r="R527" s="12"/>
      <c r="S527" s="12"/>
      <c r="T527" s="36"/>
      <c r="U527" s="36"/>
      <c r="V527" s="12"/>
      <c r="W527" s="12"/>
      <c r="X527" s="12"/>
      <c r="Y527" s="12"/>
    </row>
    <row r="528" customFormat="false" ht="15.75" hidden="false" customHeight="false" outlineLevel="0" collapsed="false">
      <c r="A528" s="12"/>
      <c r="B528" s="34"/>
      <c r="C528" s="12"/>
      <c r="D528" s="12"/>
      <c r="E528" s="12"/>
      <c r="F528" s="12"/>
      <c r="G528" s="18"/>
      <c r="H528" s="35"/>
      <c r="I528" s="35"/>
      <c r="J528" s="12"/>
      <c r="O528" s="12"/>
      <c r="P528" s="18"/>
      <c r="Q528" s="12"/>
      <c r="R528" s="12"/>
      <c r="S528" s="12"/>
      <c r="T528" s="36"/>
      <c r="U528" s="36"/>
      <c r="V528" s="12"/>
      <c r="W528" s="12"/>
      <c r="X528" s="12"/>
      <c r="Y528" s="12"/>
    </row>
    <row r="529" customFormat="false" ht="15.75" hidden="false" customHeight="false" outlineLevel="0" collapsed="false">
      <c r="A529" s="12"/>
      <c r="B529" s="34"/>
      <c r="C529" s="12"/>
      <c r="D529" s="12"/>
      <c r="E529" s="12"/>
      <c r="F529" s="12"/>
      <c r="G529" s="18"/>
      <c r="H529" s="35"/>
      <c r="I529" s="35"/>
      <c r="J529" s="12"/>
      <c r="O529" s="12"/>
      <c r="P529" s="18"/>
      <c r="Q529" s="12"/>
      <c r="R529" s="12"/>
      <c r="S529" s="12"/>
      <c r="T529" s="36"/>
      <c r="U529" s="36"/>
      <c r="V529" s="12"/>
      <c r="W529" s="12"/>
      <c r="X529" s="12"/>
      <c r="Y529" s="12"/>
    </row>
    <row r="530" customFormat="false" ht="15.75" hidden="false" customHeight="false" outlineLevel="0" collapsed="false">
      <c r="A530" s="12"/>
      <c r="B530" s="34"/>
      <c r="C530" s="12"/>
      <c r="D530" s="12"/>
      <c r="E530" s="12"/>
      <c r="F530" s="12"/>
      <c r="G530" s="18"/>
      <c r="H530" s="35"/>
      <c r="I530" s="35"/>
      <c r="J530" s="12"/>
      <c r="O530" s="12"/>
      <c r="P530" s="18"/>
      <c r="Q530" s="12"/>
      <c r="R530" s="12"/>
      <c r="S530" s="12"/>
      <c r="T530" s="36"/>
      <c r="U530" s="36"/>
      <c r="V530" s="12"/>
      <c r="W530" s="12"/>
      <c r="X530" s="12"/>
      <c r="Y530" s="12"/>
    </row>
    <row r="531" customFormat="false" ht="15.75" hidden="false" customHeight="false" outlineLevel="0" collapsed="false">
      <c r="A531" s="12"/>
      <c r="B531" s="34"/>
      <c r="C531" s="12"/>
      <c r="D531" s="12"/>
      <c r="E531" s="12"/>
      <c r="F531" s="12"/>
      <c r="G531" s="18"/>
      <c r="H531" s="35"/>
      <c r="I531" s="35"/>
      <c r="J531" s="12"/>
      <c r="O531" s="12"/>
      <c r="P531" s="18"/>
      <c r="Q531" s="12"/>
      <c r="R531" s="12"/>
      <c r="S531" s="12"/>
      <c r="T531" s="36"/>
      <c r="U531" s="36"/>
      <c r="V531" s="12"/>
      <c r="W531" s="12"/>
      <c r="X531" s="12"/>
      <c r="Y531" s="12"/>
    </row>
    <row r="532" customFormat="false" ht="15.75" hidden="false" customHeight="false" outlineLevel="0" collapsed="false">
      <c r="A532" s="12"/>
      <c r="B532" s="34"/>
      <c r="C532" s="12"/>
      <c r="D532" s="12"/>
      <c r="E532" s="12"/>
      <c r="F532" s="12"/>
      <c r="G532" s="18"/>
      <c r="H532" s="35"/>
      <c r="I532" s="35"/>
      <c r="J532" s="12"/>
      <c r="O532" s="12"/>
      <c r="P532" s="18"/>
      <c r="Q532" s="12"/>
      <c r="R532" s="12"/>
      <c r="S532" s="12"/>
      <c r="T532" s="36"/>
      <c r="U532" s="36"/>
      <c r="V532" s="12"/>
      <c r="W532" s="12"/>
      <c r="X532" s="12"/>
      <c r="Y532" s="12"/>
    </row>
    <row r="533" customFormat="false" ht="15.75" hidden="false" customHeight="false" outlineLevel="0" collapsed="false">
      <c r="A533" s="12"/>
      <c r="B533" s="34"/>
      <c r="C533" s="12"/>
      <c r="D533" s="12"/>
      <c r="E533" s="12"/>
      <c r="F533" s="12"/>
      <c r="G533" s="18"/>
      <c r="H533" s="35"/>
      <c r="I533" s="35"/>
      <c r="J533" s="12"/>
      <c r="O533" s="12"/>
      <c r="P533" s="18"/>
      <c r="Q533" s="12"/>
      <c r="R533" s="12"/>
      <c r="S533" s="12"/>
      <c r="T533" s="36"/>
      <c r="U533" s="36"/>
      <c r="V533" s="12"/>
      <c r="W533" s="12"/>
      <c r="X533" s="12"/>
      <c r="Y533" s="12"/>
    </row>
    <row r="534" customFormat="false" ht="15.75" hidden="false" customHeight="false" outlineLevel="0" collapsed="false">
      <c r="A534" s="12"/>
      <c r="B534" s="34"/>
      <c r="C534" s="12"/>
      <c r="D534" s="12"/>
      <c r="E534" s="12"/>
      <c r="F534" s="12"/>
      <c r="G534" s="18"/>
      <c r="H534" s="35"/>
      <c r="I534" s="35"/>
      <c r="J534" s="12"/>
      <c r="O534" s="12"/>
      <c r="P534" s="18"/>
      <c r="Q534" s="12"/>
      <c r="R534" s="12"/>
      <c r="S534" s="12"/>
      <c r="T534" s="36"/>
      <c r="U534" s="36"/>
      <c r="V534" s="12"/>
      <c r="W534" s="12"/>
      <c r="X534" s="12"/>
      <c r="Y534" s="12"/>
    </row>
    <row r="535" customFormat="false" ht="15.75" hidden="false" customHeight="false" outlineLevel="0" collapsed="false">
      <c r="A535" s="12"/>
      <c r="B535" s="34"/>
      <c r="C535" s="12"/>
      <c r="D535" s="12"/>
      <c r="E535" s="12"/>
      <c r="F535" s="12"/>
      <c r="G535" s="18"/>
      <c r="H535" s="35"/>
      <c r="I535" s="35"/>
      <c r="J535" s="12"/>
      <c r="O535" s="12"/>
      <c r="P535" s="18"/>
      <c r="Q535" s="12"/>
      <c r="R535" s="12"/>
      <c r="S535" s="12"/>
      <c r="T535" s="36"/>
      <c r="U535" s="36"/>
      <c r="V535" s="12"/>
      <c r="W535" s="12"/>
      <c r="X535" s="12"/>
      <c r="Y535" s="12"/>
    </row>
    <row r="536" customFormat="false" ht="15.75" hidden="false" customHeight="false" outlineLevel="0" collapsed="false">
      <c r="A536" s="12"/>
      <c r="B536" s="34"/>
      <c r="C536" s="12"/>
      <c r="D536" s="12"/>
      <c r="E536" s="12"/>
      <c r="F536" s="12"/>
      <c r="G536" s="18"/>
      <c r="H536" s="35"/>
      <c r="I536" s="35"/>
      <c r="J536" s="12"/>
      <c r="O536" s="12"/>
      <c r="P536" s="18"/>
      <c r="Q536" s="12"/>
      <c r="R536" s="12"/>
      <c r="S536" s="12"/>
      <c r="T536" s="36"/>
      <c r="U536" s="36"/>
      <c r="V536" s="12"/>
      <c r="W536" s="12"/>
      <c r="X536" s="12"/>
      <c r="Y536" s="12"/>
    </row>
    <row r="537" customFormat="false" ht="15.75" hidden="false" customHeight="false" outlineLevel="0" collapsed="false">
      <c r="A537" s="12"/>
      <c r="B537" s="34"/>
      <c r="C537" s="12"/>
      <c r="D537" s="12"/>
      <c r="E537" s="12"/>
      <c r="F537" s="12"/>
      <c r="G537" s="18"/>
      <c r="H537" s="35"/>
      <c r="I537" s="35"/>
      <c r="J537" s="12"/>
      <c r="O537" s="12"/>
      <c r="P537" s="18"/>
      <c r="Q537" s="12"/>
      <c r="R537" s="12"/>
      <c r="S537" s="12"/>
      <c r="T537" s="36"/>
      <c r="U537" s="36"/>
      <c r="V537" s="12"/>
      <c r="W537" s="12"/>
      <c r="X537" s="12"/>
      <c r="Y537" s="12"/>
    </row>
    <row r="538" customFormat="false" ht="15.75" hidden="false" customHeight="false" outlineLevel="0" collapsed="false">
      <c r="A538" s="12"/>
      <c r="B538" s="34"/>
      <c r="C538" s="12"/>
      <c r="D538" s="12"/>
      <c r="E538" s="12"/>
      <c r="F538" s="12"/>
      <c r="G538" s="18"/>
      <c r="H538" s="35"/>
      <c r="I538" s="35"/>
      <c r="J538" s="12"/>
      <c r="O538" s="12"/>
      <c r="P538" s="18"/>
      <c r="Q538" s="12"/>
      <c r="R538" s="12"/>
      <c r="S538" s="12"/>
      <c r="T538" s="36"/>
      <c r="U538" s="36"/>
      <c r="V538" s="12"/>
      <c r="W538" s="12"/>
      <c r="X538" s="12"/>
      <c r="Y538" s="12"/>
    </row>
    <row r="539" customFormat="false" ht="15.75" hidden="false" customHeight="false" outlineLevel="0" collapsed="false">
      <c r="A539" s="12"/>
      <c r="B539" s="34"/>
      <c r="C539" s="12"/>
      <c r="D539" s="12"/>
      <c r="E539" s="12"/>
      <c r="F539" s="12"/>
      <c r="G539" s="18"/>
      <c r="H539" s="35"/>
      <c r="I539" s="35"/>
      <c r="J539" s="12"/>
      <c r="O539" s="12"/>
      <c r="P539" s="18"/>
      <c r="Q539" s="12"/>
      <c r="R539" s="12"/>
      <c r="S539" s="12"/>
      <c r="T539" s="36"/>
      <c r="U539" s="36"/>
      <c r="V539" s="12"/>
      <c r="W539" s="12"/>
      <c r="X539" s="12"/>
      <c r="Y539" s="12"/>
    </row>
    <row r="540" customFormat="false" ht="15.75" hidden="false" customHeight="false" outlineLevel="0" collapsed="false">
      <c r="A540" s="12"/>
      <c r="B540" s="34"/>
      <c r="C540" s="12"/>
      <c r="D540" s="12"/>
      <c r="E540" s="12"/>
      <c r="F540" s="12"/>
      <c r="G540" s="18"/>
      <c r="H540" s="35"/>
      <c r="I540" s="35"/>
      <c r="J540" s="12"/>
      <c r="O540" s="12"/>
      <c r="P540" s="18"/>
      <c r="Q540" s="12"/>
      <c r="R540" s="12"/>
      <c r="S540" s="12"/>
      <c r="T540" s="36"/>
      <c r="U540" s="36"/>
      <c r="V540" s="12"/>
      <c r="W540" s="12"/>
      <c r="X540" s="12"/>
      <c r="Y540" s="12"/>
    </row>
    <row r="541" customFormat="false" ht="15.75" hidden="false" customHeight="false" outlineLevel="0" collapsed="false">
      <c r="A541" s="12"/>
      <c r="B541" s="34"/>
      <c r="C541" s="12"/>
      <c r="D541" s="12"/>
      <c r="E541" s="12"/>
      <c r="F541" s="12"/>
      <c r="G541" s="18"/>
      <c r="H541" s="35"/>
      <c r="I541" s="35"/>
      <c r="J541" s="12"/>
      <c r="O541" s="12"/>
      <c r="P541" s="18"/>
      <c r="Q541" s="12"/>
      <c r="R541" s="12"/>
      <c r="S541" s="12"/>
      <c r="T541" s="36"/>
      <c r="U541" s="36"/>
      <c r="V541" s="12"/>
      <c r="W541" s="12"/>
      <c r="X541" s="12"/>
      <c r="Y541" s="12"/>
    </row>
    <row r="542" customFormat="false" ht="15.75" hidden="false" customHeight="false" outlineLevel="0" collapsed="false">
      <c r="A542" s="12"/>
      <c r="B542" s="34"/>
      <c r="C542" s="12"/>
      <c r="D542" s="12"/>
      <c r="E542" s="12"/>
      <c r="F542" s="12"/>
      <c r="G542" s="18"/>
      <c r="H542" s="35"/>
      <c r="I542" s="35"/>
      <c r="J542" s="12"/>
      <c r="O542" s="12"/>
      <c r="P542" s="18"/>
      <c r="Q542" s="12"/>
      <c r="R542" s="12"/>
      <c r="S542" s="12"/>
      <c r="T542" s="36"/>
      <c r="U542" s="36"/>
      <c r="V542" s="12"/>
      <c r="W542" s="12"/>
      <c r="X542" s="12"/>
      <c r="Y542" s="12"/>
    </row>
    <row r="543" customFormat="false" ht="15.75" hidden="false" customHeight="false" outlineLevel="0" collapsed="false">
      <c r="A543" s="12"/>
      <c r="B543" s="34"/>
      <c r="C543" s="12"/>
      <c r="D543" s="12"/>
      <c r="E543" s="12"/>
      <c r="F543" s="12"/>
      <c r="G543" s="18"/>
      <c r="H543" s="35"/>
      <c r="I543" s="35"/>
      <c r="J543" s="12"/>
      <c r="O543" s="12"/>
      <c r="P543" s="18"/>
      <c r="Q543" s="12"/>
      <c r="R543" s="12"/>
      <c r="S543" s="12"/>
      <c r="T543" s="36"/>
      <c r="U543" s="36"/>
      <c r="V543" s="12"/>
      <c r="W543" s="12"/>
      <c r="X543" s="12"/>
      <c r="Y543" s="12"/>
    </row>
    <row r="544" customFormat="false" ht="15.75" hidden="false" customHeight="false" outlineLevel="0" collapsed="false">
      <c r="A544" s="12"/>
      <c r="B544" s="34"/>
      <c r="C544" s="12"/>
      <c r="D544" s="12"/>
      <c r="E544" s="12"/>
      <c r="F544" s="12"/>
      <c r="G544" s="18"/>
      <c r="H544" s="35"/>
      <c r="I544" s="35"/>
      <c r="J544" s="12"/>
      <c r="O544" s="12"/>
      <c r="P544" s="18"/>
      <c r="Q544" s="12"/>
      <c r="R544" s="12"/>
      <c r="S544" s="12"/>
      <c r="T544" s="36"/>
      <c r="U544" s="36"/>
      <c r="V544" s="12"/>
      <c r="W544" s="12"/>
      <c r="X544" s="12"/>
      <c r="Y544" s="12"/>
    </row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AG67"/>
  <conditionalFormatting sqref="G2:G4 P2:P4">
    <cfRule type="containsText" priority="2" operator="containsText" aboveAverage="0" equalAverage="0" bottom="0" percent="0" rank="0" text="x" dxfId="0">
      <formula>NOT(ISERROR(SEARCH("x",G2)))</formula>
    </cfRule>
  </conditionalFormatting>
  <conditionalFormatting sqref="G2:J4 Q2:R4 W2:Y4">
    <cfRule type="cellIs" priority="3" operator="equal" aboveAverage="0" equalAverage="0" bottom="0" percent="0" rank="0" text="" dxfId="0">
      <formula>"Completo"</formula>
    </cfRule>
    <cfRule type="cellIs" priority="4" operator="equal" aboveAverage="0" equalAverage="0" bottom="0" percent="0" rank="0" text="" dxfId="1">
      <formula>"No Aplica"</formula>
    </cfRule>
  </conditionalFormatting>
  <conditionalFormatting sqref="T2:U4">
    <cfRule type="expression" priority="5" aboveAverage="0" equalAverage="0" bottom="0" percent="0" rank="0" text="" dxfId="0">
      <formula>LEN(TRIM(T2))&gt;0</formula>
    </cfRule>
  </conditionalFormatting>
  <conditionalFormatting sqref="S2:S4">
    <cfRule type="expression" priority="6" aboveAverage="0" equalAverage="0" bottom="0" percent="0" rank="0" text="" dxfId="0">
      <formula>LEN(TRIM(S2))&gt;0</formula>
    </cfRule>
  </conditionalFormatting>
  <conditionalFormatting sqref="V2:V4">
    <cfRule type="expression" priority="7" aboveAverage="0" equalAverage="0" bottom="0" percent="0" rank="0" text="" dxfId="0">
      <formula>LEN(TRIM(V2))&gt;0</formula>
    </cfRule>
  </conditionalFormatting>
  <conditionalFormatting sqref="Y2:Y4">
    <cfRule type="cellIs" priority="8" operator="equal" aboveAverage="0" equalAverage="0" bottom="0" percent="0" rank="0" text="" dxfId="0">
      <formula>"Completo"</formula>
    </cfRule>
    <cfRule type="cellIs" priority="9" operator="equal" aboveAverage="0" equalAverage="0" bottom="0" percent="0" rank="0" text="" dxfId="1">
      <formula>"No aplica"</formula>
    </cfRule>
  </conditionalFormatting>
  <conditionalFormatting sqref="T5:U544">
    <cfRule type="expression" priority="10" aboveAverage="0" equalAverage="0" bottom="0" percent="0" rank="0" text="" dxfId="0">
      <formula>LEN(TRIM(T5))&gt;0</formula>
    </cfRule>
  </conditionalFormatting>
  <conditionalFormatting sqref="S5:S544">
    <cfRule type="expression" priority="11" aboveAverage="0" equalAverage="0" bottom="0" percent="0" rank="0" text="" dxfId="0">
      <formula>LEN(TRIM(S5))&gt;0</formula>
    </cfRule>
  </conditionalFormatting>
  <conditionalFormatting sqref="G5:G544 P5:P544">
    <cfRule type="containsText" priority="12" operator="containsText" aboveAverage="0" equalAverage="0" bottom="0" percent="0" rank="0" text="x" dxfId="0">
      <formula>NOT(ISERROR(SEARCH("x",G5)))</formula>
    </cfRule>
  </conditionalFormatting>
  <conditionalFormatting sqref="V5:V23 V25:V544">
    <cfRule type="expression" priority="13" aboveAverage="0" equalAverage="0" bottom="0" percent="0" rank="0" text="" dxfId="0">
      <formula>LEN(TRIM(V5))&gt;0</formula>
    </cfRule>
  </conditionalFormatting>
  <conditionalFormatting sqref="Y5:Y544">
    <cfRule type="cellIs" priority="14" operator="equal" aboveAverage="0" equalAverage="0" bottom="0" percent="0" rank="0" text="" dxfId="0">
      <formula>"Completo"</formula>
    </cfRule>
    <cfRule type="cellIs" priority="15" operator="equal" aboveAverage="0" equalAverage="0" bottom="0" percent="0" rank="0" text="" dxfId="1">
      <formula>"No aplica"</formula>
    </cfRule>
  </conditionalFormatting>
  <conditionalFormatting sqref="G5:J544 Q5:R544 W5:Y544">
    <cfRule type="cellIs" priority="16" operator="equal" aboveAverage="0" equalAverage="0" bottom="0" percent="0" rank="0" text="" dxfId="0">
      <formula>"Completo"</formula>
    </cfRule>
    <cfRule type="cellIs" priority="17" operator="equal" aboveAverage="0" equalAverage="0" bottom="0" percent="0" rank="0" text="" dxfId="1">
      <formula>"No Aplica"</formula>
    </cfRule>
  </conditionalFormatting>
  <dataValidations count="6">
    <dataValidation allowBlank="true" errorStyle="stop" operator="between" showDropDown="false" showErrorMessage="true" showInputMessage="false" sqref="D2:D544" type="list">
      <formula1>LEYENDA!$B$2:$D$2</formula1>
      <formula2>0</formula2>
    </dataValidation>
    <dataValidation allowBlank="true" errorStyle="stop" operator="between" showDropDown="false" showErrorMessage="true" showInputMessage="false" sqref="H2:J544 Q2:R544 W2:Y544" type="list">
      <formula1>LEYENDA!$B$1:$C$1</formula1>
      <formula2>0</formula2>
    </dataValidation>
    <dataValidation allowBlank="true" errorStyle="stop" operator="between" showDropDown="false" showErrorMessage="false" showInputMessage="false" sqref="E2:E544" type="list">
      <formula1>LEYENDA!$A$8:$A$12</formula1>
      <formula2>0</formula2>
    </dataValidation>
    <dataValidation allowBlank="true" errorStyle="stop" operator="between" showDropDown="false" showErrorMessage="true" showInputMessage="false" sqref="Z2:Z25 V24 Z26:Z67" type="list">
      <formula1>"Aceptada,En espera,Rechazada,No aplica"</formula1>
      <formula2>0</formula2>
    </dataValidation>
    <dataValidation allowBlank="true" errorStyle="stop" operator="between" showDropDown="false" showErrorMessage="false" showInputMessage="false" sqref="V2:V23 V25:V544" type="list">
      <formula1>LEYENDA!$A$23:$A$24</formula1>
      <formula2>0</formula2>
    </dataValidation>
    <dataValidation allowBlank="true" errorStyle="stop" operator="between" showDropDown="false" showErrorMessage="false" showInputMessage="false" sqref="T2:T544" type="list">
      <formula1>LEYENDA!$A$15:$A$21</formula1>
      <formula2>0</formula2>
    </dataValidation>
  </dataValidations>
  <hyperlinks>
    <hyperlink ref="H2" r:id="rId1" display="Completo"/>
    <hyperlink ref="W2" r:id="rId2" display="Completo"/>
    <hyperlink ref="X2" r:id="rId3" display="Completo"/>
    <hyperlink ref="H3" r:id="rId4" display="Completo"/>
    <hyperlink ref="R3" r:id="rId5" display="Completo"/>
    <hyperlink ref="W3" r:id="rId6" display="Completo"/>
    <hyperlink ref="X3" r:id="rId7" display="Completo"/>
    <hyperlink ref="H4" r:id="rId8" display="Completo"/>
    <hyperlink ref="R4" r:id="rId9" display="Completo"/>
    <hyperlink ref="W4" r:id="rId10" display="Completo"/>
    <hyperlink ref="X4" r:id="rId11" display="Completo"/>
    <hyperlink ref="H5" r:id="rId12" display="Completo"/>
    <hyperlink ref="R5" r:id="rId13" display="Completo"/>
    <hyperlink ref="W5" r:id="rId14" display="Completo"/>
    <hyperlink ref="X5" r:id="rId15" display="Completo"/>
    <hyperlink ref="H7" r:id="rId16" display="Completo"/>
    <hyperlink ref="R7" r:id="rId17" display="Completo"/>
    <hyperlink ref="H8" r:id="rId18" display="Completo"/>
    <hyperlink ref="H10" r:id="rId19" display="Completo"/>
    <hyperlink ref="W10" r:id="rId20" display="Completo"/>
    <hyperlink ref="X10" r:id="rId21" display="Completo"/>
    <hyperlink ref="H11" r:id="rId22" display="Completo"/>
    <hyperlink ref="R11" r:id="rId23" display="Completo"/>
    <hyperlink ref="H14" r:id="rId24" display="Completo"/>
    <hyperlink ref="H15" r:id="rId25" display="Completo"/>
    <hyperlink ref="H16" r:id="rId26" display="Completo"/>
    <hyperlink ref="H17" r:id="rId27" display="Completo"/>
    <hyperlink ref="R17" r:id="rId28" display="Completo"/>
    <hyperlink ref="W17" r:id="rId29" display="Completo"/>
    <hyperlink ref="X17" r:id="rId30" display="Completo"/>
    <hyperlink ref="H18" r:id="rId31" display="Completo"/>
    <hyperlink ref="R18" r:id="rId32" display="Completo"/>
    <hyperlink ref="W18" r:id="rId33" display="Completo"/>
    <hyperlink ref="X18" r:id="rId34" display="Completo"/>
    <hyperlink ref="H20" r:id="rId35" display="Completo"/>
    <hyperlink ref="H22" r:id="rId36" display="Completo"/>
    <hyperlink ref="R22" r:id="rId37" display="Completo"/>
    <hyperlink ref="H25" r:id="rId38" display="Completo"/>
    <hyperlink ref="R25" r:id="rId39" display="Completo"/>
    <hyperlink ref="W25" r:id="rId40" display="Completo"/>
    <hyperlink ref="X25" r:id="rId41" display="Completo"/>
    <hyperlink ref="H33" r:id="rId42" display="Completo"/>
    <hyperlink ref="R33" r:id="rId43" display="Completo"/>
    <hyperlink ref="W33" r:id="rId44" display="Completo"/>
    <hyperlink ref="X33" r:id="rId45" display="Completo"/>
    <hyperlink ref="H34" r:id="rId46" display="Completo"/>
    <hyperlink ref="W34" r:id="rId47" display="Completo"/>
    <hyperlink ref="X34" r:id="rId48" display="Completo"/>
    <hyperlink ref="H35" r:id="rId49" display="Completo"/>
    <hyperlink ref="W35" r:id="rId50" display="Completo"/>
    <hyperlink ref="X35" r:id="rId51" display="Completo"/>
    <hyperlink ref="H36" r:id="rId52" display="Completo"/>
    <hyperlink ref="W36" r:id="rId53" display="Completo"/>
    <hyperlink ref="X36" r:id="rId54" display="Completo"/>
    <hyperlink ref="H37" r:id="rId55" display="Completo"/>
    <hyperlink ref="W37" r:id="rId56" display="Completo"/>
    <hyperlink ref="X37" r:id="rId57" display="Completo"/>
    <hyperlink ref="H38" r:id="rId58" display="Completo"/>
    <hyperlink ref="W38" r:id="rId59" display="Completo"/>
    <hyperlink ref="X38" r:id="rId60" display="Completo"/>
    <hyperlink ref="H39" r:id="rId61" display="Completo"/>
    <hyperlink ref="W39" r:id="rId62" display="Completo"/>
    <hyperlink ref="X39" r:id="rId63" display="Completo"/>
    <hyperlink ref="H41" r:id="rId64" display="Completo"/>
    <hyperlink ref="H42" r:id="rId65" display="Completo"/>
    <hyperlink ref="H43" r:id="rId66" display="Completo"/>
    <hyperlink ref="H44" r:id="rId67" display="Completo"/>
    <hyperlink ref="H45" r:id="rId68" display="Completo"/>
  </hyperlinks>
  <printOptions headings="false" gridLines="true" gridLinesSet="true" horizontalCentered="true" verticalCentered="false"/>
  <pageMargins left="0.7" right="0.7" top="0.75" bottom="0.75" header="0.511811023622047" footer="0.511811023622047"/>
  <pageSetup paperSize="9" scale="100" fitToWidth="1" fitToHeight="0" pageOrder="overThenDown" orientation="landscape" blackAndWhite="false" draft="false" cellComments="none" horizontalDpi="300" verticalDpi="300" copies="1"/>
  <headerFooter differentFirst="false" differentOddEven="false">
    <oddHeader/>
    <oddFooter/>
  </headerFooter>
  <drawing r:id="rId69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XFD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7" ySplit="3" topLeftCell="H4" activePane="bottomRight" state="frozen"/>
      <selection pane="topLeft" activeCell="A1" activeCellId="0" sqref="A1"/>
      <selection pane="topRight" activeCell="H1" activeCellId="0" sqref="H1"/>
      <selection pane="bottomLeft" activeCell="A4" activeCellId="0" sqref="A4"/>
      <selection pane="bottomRight" activeCell="D9" activeCellId="0" sqref="D9"/>
    </sheetView>
  </sheetViews>
  <sheetFormatPr defaultColWidth="12.6328125" defaultRowHeight="15.75" zeroHeight="false" outlineLevelRow="0" outlineLevelCol="0"/>
  <cols>
    <col collapsed="false" customWidth="true" hidden="false" outlineLevel="0" max="1" min="1" style="1" width="10.25"/>
    <col collapsed="false" customWidth="true" hidden="false" outlineLevel="0" max="2" min="2" style="1" width="10.38"/>
    <col collapsed="false" customWidth="true" hidden="false" outlineLevel="0" max="4" min="3" style="1" width="16.38"/>
    <col collapsed="false" customWidth="true" hidden="false" outlineLevel="0" max="5" min="5" style="1" width="18.25"/>
    <col collapsed="false" customWidth="true" hidden="false" outlineLevel="0" max="6" min="6" style="1" width="29.38"/>
    <col collapsed="false" customWidth="true" hidden="false" outlineLevel="0" max="7" min="7" style="1" width="14.13"/>
    <col collapsed="false" customWidth="true" hidden="false" outlineLevel="0" max="8" min="8" style="1" width="10.13"/>
    <col collapsed="false" customWidth="true" hidden="true" outlineLevel="0" max="9" min="9" style="1" width="10.13"/>
    <col collapsed="false" customWidth="true" hidden="false" outlineLevel="0" max="10" min="10" style="1" width="12.88"/>
    <col collapsed="false" customWidth="true" hidden="false" outlineLevel="0" max="12" min="11" style="1" width="12"/>
    <col collapsed="false" customWidth="true" hidden="false" outlineLevel="0" max="13" min="13" style="1" width="10"/>
    <col collapsed="false" customWidth="true" hidden="false" outlineLevel="0" max="14" min="14" style="1" width="12.25"/>
    <col collapsed="false" customWidth="true" hidden="false" outlineLevel="0" max="15" min="15" style="1" width="26.12"/>
    <col collapsed="false" customWidth="true" hidden="true" outlineLevel="0" max="16" min="16" style="1" width="18"/>
    <col collapsed="false" customWidth="true" hidden="false" outlineLevel="0" max="18" min="17" style="1" width="10.63"/>
    <col collapsed="false" customWidth="true" hidden="false" outlineLevel="0" max="19" min="19" style="1" width="8.5"/>
    <col collapsed="false" customWidth="true" hidden="false" outlineLevel="0" max="21" min="21" style="1" width="25.38"/>
    <col collapsed="false" customWidth="true" hidden="false" outlineLevel="0" max="22" min="22" style="1" width="18.13"/>
    <col collapsed="false" customWidth="true" hidden="false" outlineLevel="0" max="23" min="23" style="1" width="10.13"/>
    <col collapsed="false" customWidth="true" hidden="false" outlineLevel="0" max="24" min="24" style="1" width="11.38"/>
    <col collapsed="false" customWidth="true" hidden="false" outlineLevel="0" max="26" min="26" style="1" width="13.5"/>
    <col collapsed="false" customWidth="true" hidden="false" outlineLevel="0" max="16384" min="16384" style="1" width="11.53"/>
  </cols>
  <sheetData>
    <row r="1" customFormat="false" ht="42.5" hidden="false" customHeight="false" outlineLevel="0" collapsed="false">
      <c r="A1" s="2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/>
      <c r="J1" s="4" t="s">
        <v>8</v>
      </c>
      <c r="K1" s="2"/>
      <c r="L1" s="2" t="s">
        <v>9</v>
      </c>
      <c r="M1" s="2" t="s">
        <v>10</v>
      </c>
      <c r="N1" s="4" t="s">
        <v>11</v>
      </c>
      <c r="O1" s="3" t="s">
        <v>12</v>
      </c>
      <c r="P1" s="7" t="s">
        <v>13</v>
      </c>
      <c r="Q1" s="7" t="s">
        <v>14</v>
      </c>
      <c r="R1" s="7" t="s">
        <v>15</v>
      </c>
      <c r="S1" s="7" t="s">
        <v>16</v>
      </c>
      <c r="T1" s="7" t="s">
        <v>17</v>
      </c>
      <c r="U1" s="8" t="s">
        <v>18</v>
      </c>
      <c r="V1" s="9" t="s">
        <v>19</v>
      </c>
      <c r="W1" s="9" t="s">
        <v>20</v>
      </c>
      <c r="X1" s="10" t="s">
        <v>15</v>
      </c>
      <c r="Y1" s="11" t="s">
        <v>21</v>
      </c>
      <c r="Z1" s="11" t="s">
        <v>22</v>
      </c>
      <c r="AA1" s="12"/>
      <c r="AB1" s="12"/>
      <c r="AC1" s="12"/>
      <c r="AD1" s="12"/>
      <c r="AE1" s="12"/>
      <c r="AF1" s="12"/>
      <c r="XFD1" s="0"/>
    </row>
    <row r="2" customFormat="false" ht="15.75" hidden="false" customHeight="false" outlineLevel="0" collapsed="false">
      <c r="A2" s="13" t="n">
        <v>8147</v>
      </c>
      <c r="B2" s="14" t="n">
        <v>45568</v>
      </c>
      <c r="C2" s="15" t="s">
        <v>265</v>
      </c>
      <c r="D2" s="16" t="s">
        <v>24</v>
      </c>
      <c r="E2" s="16" t="s">
        <v>30</v>
      </c>
      <c r="F2" s="16" t="s">
        <v>266</v>
      </c>
      <c r="G2" s="16" t="s">
        <v>267</v>
      </c>
      <c r="H2" s="17" t="s">
        <v>28</v>
      </c>
      <c r="I2" s="16"/>
      <c r="J2" s="16" t="s">
        <v>28</v>
      </c>
      <c r="K2" s="16"/>
      <c r="L2" s="16"/>
      <c r="M2" s="16"/>
      <c r="N2" s="16" t="n">
        <v>322287</v>
      </c>
      <c r="O2" s="16"/>
      <c r="P2" s="16"/>
      <c r="Q2" s="16"/>
      <c r="R2" s="16"/>
      <c r="S2" s="16"/>
      <c r="T2" s="16"/>
      <c r="U2" s="16"/>
      <c r="V2" s="16" t="s">
        <v>58</v>
      </c>
      <c r="W2" s="17" t="s">
        <v>28</v>
      </c>
      <c r="X2" s="17" t="s">
        <v>28</v>
      </c>
      <c r="Y2" s="16" t="s">
        <v>37</v>
      </c>
      <c r="Z2" s="12" t="s">
        <v>40</v>
      </c>
    </row>
    <row r="3" customFormat="false" ht="15.75" hidden="false" customHeight="false" outlineLevel="0" collapsed="false">
      <c r="A3" s="13" t="n">
        <v>8148</v>
      </c>
      <c r="B3" s="14" t="n">
        <v>45569</v>
      </c>
      <c r="C3" s="15" t="s">
        <v>41</v>
      </c>
      <c r="D3" s="16" t="s">
        <v>24</v>
      </c>
      <c r="E3" s="16" t="s">
        <v>25</v>
      </c>
      <c r="F3" s="16" t="s">
        <v>268</v>
      </c>
      <c r="G3" s="16"/>
      <c r="H3" s="17" t="s">
        <v>28</v>
      </c>
      <c r="I3" s="16"/>
      <c r="J3" s="16" t="s">
        <v>28</v>
      </c>
      <c r="K3" s="16" t="s">
        <v>29</v>
      </c>
      <c r="L3" s="16" t="s">
        <v>29</v>
      </c>
      <c r="M3" s="16" t="s">
        <v>29</v>
      </c>
      <c r="N3" s="16" t="s">
        <v>269</v>
      </c>
      <c r="O3" s="16"/>
      <c r="P3" s="16"/>
      <c r="Q3" s="16"/>
      <c r="R3" s="16"/>
      <c r="S3" s="16"/>
      <c r="T3" s="16"/>
      <c r="U3" s="16"/>
      <c r="V3" s="16"/>
      <c r="W3" s="16" t="s">
        <v>37</v>
      </c>
      <c r="X3" s="16" t="s">
        <v>37</v>
      </c>
      <c r="Y3" s="16" t="s">
        <v>28</v>
      </c>
      <c r="Z3" s="12" t="s">
        <v>32</v>
      </c>
    </row>
    <row r="4" customFormat="false" ht="15.75" hidden="false" customHeight="false" outlineLevel="0" collapsed="false">
      <c r="A4" s="13" t="n">
        <v>8149</v>
      </c>
      <c r="B4" s="14" t="n">
        <v>45569</v>
      </c>
      <c r="C4" s="15" t="s">
        <v>41</v>
      </c>
      <c r="D4" s="16" t="s">
        <v>24</v>
      </c>
      <c r="E4" s="16" t="s">
        <v>25</v>
      </c>
      <c r="F4" s="16" t="s">
        <v>270</v>
      </c>
      <c r="G4" s="16"/>
      <c r="H4" s="17" t="s">
        <v>28</v>
      </c>
      <c r="I4" s="16"/>
      <c r="J4" s="16" t="s">
        <v>28</v>
      </c>
      <c r="K4" s="16" t="s">
        <v>29</v>
      </c>
      <c r="L4" s="16" t="s">
        <v>29</v>
      </c>
      <c r="M4" s="16" t="s">
        <v>29</v>
      </c>
      <c r="N4" s="16" t="s">
        <v>269</v>
      </c>
      <c r="O4" s="16"/>
      <c r="P4" s="18"/>
      <c r="Q4" s="16" t="s">
        <v>37</v>
      </c>
      <c r="R4" s="16" t="s">
        <v>37</v>
      </c>
      <c r="S4" s="16"/>
      <c r="T4" s="16"/>
      <c r="U4" s="16"/>
      <c r="V4" s="16"/>
      <c r="W4" s="16" t="s">
        <v>37</v>
      </c>
      <c r="X4" s="16" t="s">
        <v>37</v>
      </c>
      <c r="Y4" s="16" t="s">
        <v>28</v>
      </c>
      <c r="Z4" s="12" t="s">
        <v>32</v>
      </c>
    </row>
    <row r="5" customFormat="false" ht="15.75" hidden="false" customHeight="false" outlineLevel="0" collapsed="false">
      <c r="A5" s="19" t="n">
        <v>8150</v>
      </c>
      <c r="B5" s="14" t="n">
        <v>45572</v>
      </c>
      <c r="C5" s="16" t="s">
        <v>271</v>
      </c>
      <c r="D5" s="16" t="s">
        <v>24</v>
      </c>
      <c r="E5" s="16" t="s">
        <v>272</v>
      </c>
      <c r="F5" s="16" t="s">
        <v>273</v>
      </c>
      <c r="G5" s="16"/>
      <c r="H5" s="16" t="s">
        <v>37</v>
      </c>
      <c r="I5" s="16"/>
      <c r="J5" s="16" t="s">
        <v>37</v>
      </c>
      <c r="K5" s="16"/>
      <c r="L5" s="16"/>
      <c r="M5" s="16"/>
      <c r="N5" s="16"/>
      <c r="O5" s="16"/>
      <c r="P5" s="16"/>
      <c r="Q5" s="16" t="s">
        <v>37</v>
      </c>
      <c r="R5" s="16" t="s">
        <v>37</v>
      </c>
      <c r="S5" s="16"/>
      <c r="T5" s="16"/>
      <c r="U5" s="16"/>
      <c r="V5" s="16"/>
      <c r="W5" s="16" t="s">
        <v>37</v>
      </c>
      <c r="X5" s="16" t="s">
        <v>37</v>
      </c>
      <c r="Y5" s="16" t="s">
        <v>28</v>
      </c>
      <c r="Z5" s="12" t="s">
        <v>32</v>
      </c>
    </row>
    <row r="6" customFormat="false" ht="15.75" hidden="false" customHeight="false" outlineLevel="0" collapsed="false">
      <c r="A6" s="19" t="n">
        <v>8151</v>
      </c>
      <c r="B6" s="14" t="n">
        <v>45572</v>
      </c>
      <c r="C6" s="21" t="s">
        <v>274</v>
      </c>
      <c r="D6" s="16" t="s">
        <v>24</v>
      </c>
      <c r="E6" s="21" t="s">
        <v>34</v>
      </c>
      <c r="F6" s="16" t="s">
        <v>275</v>
      </c>
      <c r="G6" s="16"/>
      <c r="H6" s="16"/>
      <c r="I6" s="16"/>
      <c r="J6" s="16"/>
      <c r="K6" s="16"/>
      <c r="L6" s="16"/>
      <c r="M6" s="16"/>
      <c r="N6" s="16"/>
      <c r="O6" s="16"/>
      <c r="P6" s="16"/>
      <c r="Q6" s="16" t="s">
        <v>37</v>
      </c>
      <c r="R6" s="16" t="s">
        <v>37</v>
      </c>
      <c r="S6" s="16"/>
      <c r="T6" s="16"/>
      <c r="U6" s="16"/>
      <c r="V6" s="16"/>
      <c r="W6" s="16" t="s">
        <v>37</v>
      </c>
      <c r="X6" s="16" t="s">
        <v>37</v>
      </c>
      <c r="Y6" s="16" t="s">
        <v>28</v>
      </c>
      <c r="Z6" s="12" t="s">
        <v>32</v>
      </c>
    </row>
    <row r="7" customFormat="false" ht="15.75" hidden="false" customHeight="false" outlineLevel="0" collapsed="false">
      <c r="A7" s="19" t="n">
        <v>8152</v>
      </c>
      <c r="B7" s="14" t="n">
        <v>45572</v>
      </c>
      <c r="C7" s="16" t="s">
        <v>41</v>
      </c>
      <c r="D7" s="21" t="s">
        <v>24</v>
      </c>
      <c r="E7" s="21" t="s">
        <v>34</v>
      </c>
      <c r="F7" s="16" t="s">
        <v>276</v>
      </c>
      <c r="G7" s="16"/>
      <c r="H7" s="16"/>
      <c r="I7" s="16"/>
      <c r="J7" s="16"/>
      <c r="K7" s="16"/>
      <c r="L7" s="16"/>
      <c r="M7" s="16"/>
      <c r="N7" s="16"/>
      <c r="O7" s="16"/>
      <c r="P7" s="16"/>
      <c r="Q7" s="16" t="s">
        <v>37</v>
      </c>
      <c r="R7" s="16" t="s">
        <v>37</v>
      </c>
      <c r="S7" s="16"/>
      <c r="T7" s="16"/>
      <c r="U7" s="16"/>
      <c r="V7" s="16"/>
      <c r="W7" s="16" t="s">
        <v>37</v>
      </c>
      <c r="X7" s="16" t="s">
        <v>37</v>
      </c>
      <c r="Y7" s="16" t="s">
        <v>28</v>
      </c>
      <c r="Z7" s="12" t="s">
        <v>32</v>
      </c>
    </row>
    <row r="8" customFormat="false" ht="15.75" hidden="false" customHeight="false" outlineLevel="0" collapsed="false">
      <c r="A8" s="19" t="n">
        <v>8153</v>
      </c>
      <c r="B8" s="14" t="n">
        <v>45573</v>
      </c>
      <c r="C8" s="16" t="s">
        <v>23</v>
      </c>
      <c r="D8" s="21" t="s">
        <v>24</v>
      </c>
      <c r="E8" s="16" t="s">
        <v>272</v>
      </c>
      <c r="F8" s="16" t="s">
        <v>277</v>
      </c>
      <c r="G8" s="16"/>
      <c r="H8" s="16" t="s">
        <v>37</v>
      </c>
      <c r="I8" s="16"/>
      <c r="J8" s="16" t="s">
        <v>37</v>
      </c>
      <c r="K8" s="16"/>
      <c r="L8" s="16"/>
      <c r="M8" s="16"/>
      <c r="N8" s="16"/>
      <c r="O8" s="16"/>
      <c r="P8" s="16"/>
      <c r="Q8" s="16" t="s">
        <v>37</v>
      </c>
      <c r="R8" s="16" t="s">
        <v>37</v>
      </c>
      <c r="S8" s="16"/>
      <c r="T8" s="16"/>
      <c r="U8" s="16"/>
      <c r="V8" s="16"/>
      <c r="W8" s="16" t="s">
        <v>37</v>
      </c>
      <c r="X8" s="16" t="s">
        <v>37</v>
      </c>
      <c r="Y8" s="16" t="s">
        <v>28</v>
      </c>
      <c r="Z8" s="12" t="s">
        <v>32</v>
      </c>
    </row>
    <row r="9" customFormat="false" ht="15.75" hidden="false" customHeight="false" outlineLevel="0" collapsed="false">
      <c r="A9" s="42" t="n">
        <v>2101243</v>
      </c>
      <c r="B9" s="14" t="n">
        <v>45573</v>
      </c>
      <c r="C9" s="16" t="s">
        <v>176</v>
      </c>
      <c r="D9" s="21" t="s">
        <v>24</v>
      </c>
      <c r="E9" s="21" t="s">
        <v>30</v>
      </c>
      <c r="F9" s="16" t="s">
        <v>127</v>
      </c>
      <c r="G9" s="16" t="s">
        <v>278</v>
      </c>
      <c r="H9" s="17" t="s">
        <v>28</v>
      </c>
      <c r="I9" s="16"/>
      <c r="J9" s="16" t="s">
        <v>28</v>
      </c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 t="s">
        <v>74</v>
      </c>
      <c r="W9" s="17" t="s">
        <v>28</v>
      </c>
      <c r="X9" s="17" t="s">
        <v>28</v>
      </c>
      <c r="Y9" s="16" t="s">
        <v>28</v>
      </c>
      <c r="Z9" s="12" t="s">
        <v>48</v>
      </c>
    </row>
    <row r="10" customFormat="false" ht="15.75" hidden="false" customHeight="false" outlineLevel="0" collapsed="false">
      <c r="A10" s="19" t="n">
        <v>8154</v>
      </c>
      <c r="B10" s="14" t="n">
        <v>45574</v>
      </c>
      <c r="C10" s="16" t="s">
        <v>23</v>
      </c>
      <c r="D10" s="16" t="s">
        <v>24</v>
      </c>
      <c r="E10" s="16" t="s">
        <v>34</v>
      </c>
      <c r="F10" s="16" t="s">
        <v>279</v>
      </c>
      <c r="G10" s="16"/>
      <c r="H10" s="16" t="s">
        <v>28</v>
      </c>
      <c r="I10" s="16"/>
      <c r="J10" s="16"/>
      <c r="K10" s="16"/>
      <c r="L10" s="16"/>
      <c r="M10" s="16"/>
      <c r="N10" s="16"/>
      <c r="O10" s="16"/>
      <c r="P10" s="16"/>
      <c r="Q10" s="16" t="s">
        <v>37</v>
      </c>
      <c r="R10" s="16" t="s">
        <v>37</v>
      </c>
      <c r="S10" s="16"/>
      <c r="T10" s="16"/>
      <c r="U10" s="16"/>
      <c r="V10" s="16"/>
      <c r="W10" s="16" t="s">
        <v>37</v>
      </c>
      <c r="X10" s="16" t="s">
        <v>37</v>
      </c>
      <c r="Y10" s="16" t="s">
        <v>28</v>
      </c>
      <c r="Z10" s="12" t="s">
        <v>32</v>
      </c>
    </row>
    <row r="11" customFormat="false" ht="15.75" hidden="false" customHeight="false" outlineLevel="0" collapsed="false">
      <c r="A11" s="19" t="n">
        <v>8155</v>
      </c>
      <c r="B11" s="14" t="n">
        <v>45574</v>
      </c>
      <c r="C11" s="16" t="s">
        <v>280</v>
      </c>
      <c r="D11" s="16" t="s">
        <v>24</v>
      </c>
      <c r="E11" s="16" t="s">
        <v>222</v>
      </c>
      <c r="F11" s="16" t="s">
        <v>281</v>
      </c>
      <c r="G11" s="16" t="s">
        <v>282</v>
      </c>
      <c r="H11" s="17" t="s">
        <v>28</v>
      </c>
      <c r="I11" s="16"/>
      <c r="J11" s="16" t="s">
        <v>28</v>
      </c>
      <c r="K11" s="16"/>
      <c r="L11" s="16"/>
      <c r="M11" s="16"/>
      <c r="N11" s="16" t="n">
        <v>68004</v>
      </c>
      <c r="O11" s="16"/>
      <c r="P11" s="16"/>
      <c r="Q11" s="16" t="s">
        <v>37</v>
      </c>
      <c r="R11" s="16" t="s">
        <v>37</v>
      </c>
      <c r="S11" s="16"/>
      <c r="T11" s="16"/>
      <c r="U11" s="16"/>
      <c r="V11" s="16" t="s">
        <v>58</v>
      </c>
      <c r="W11" s="17" t="s">
        <v>28</v>
      </c>
      <c r="X11" s="17" t="s">
        <v>28</v>
      </c>
      <c r="Y11" s="16" t="s">
        <v>28</v>
      </c>
      <c r="Z11" s="12" t="s">
        <v>32</v>
      </c>
    </row>
    <row r="12" customFormat="false" ht="15.75" hidden="false" customHeight="false" outlineLevel="0" collapsed="false">
      <c r="A12" s="19" t="n">
        <v>8156</v>
      </c>
      <c r="B12" s="22" t="n">
        <v>45574</v>
      </c>
      <c r="C12" s="16" t="s">
        <v>280</v>
      </c>
      <c r="D12" s="16" t="s">
        <v>24</v>
      </c>
      <c r="E12" s="16" t="s">
        <v>222</v>
      </c>
      <c r="F12" s="16" t="s">
        <v>281</v>
      </c>
      <c r="G12" s="16" t="s">
        <v>283</v>
      </c>
      <c r="H12" s="17" t="s">
        <v>28</v>
      </c>
      <c r="I12" s="16"/>
      <c r="J12" s="16" t="s">
        <v>28</v>
      </c>
      <c r="K12" s="16"/>
      <c r="L12" s="16"/>
      <c r="M12" s="16"/>
      <c r="N12" s="16" t="n">
        <v>68004</v>
      </c>
      <c r="O12" s="16"/>
      <c r="P12" s="16"/>
      <c r="Q12" s="16" t="s">
        <v>37</v>
      </c>
      <c r="R12" s="16" t="s">
        <v>37</v>
      </c>
      <c r="S12" s="16"/>
      <c r="T12" s="16"/>
      <c r="U12" s="16"/>
      <c r="V12" s="16" t="s">
        <v>74</v>
      </c>
      <c r="W12" s="17" t="s">
        <v>28</v>
      </c>
      <c r="X12" s="17" t="s">
        <v>28</v>
      </c>
      <c r="Y12" s="16" t="s">
        <v>28</v>
      </c>
      <c r="Z12" s="12" t="s">
        <v>32</v>
      </c>
    </row>
    <row r="13" customFormat="false" ht="15.75" hidden="false" customHeight="false" outlineLevel="0" collapsed="false">
      <c r="A13" s="19" t="n">
        <v>8157</v>
      </c>
      <c r="B13" s="14" t="n">
        <v>45574</v>
      </c>
      <c r="C13" s="16" t="s">
        <v>280</v>
      </c>
      <c r="D13" s="16" t="s">
        <v>24</v>
      </c>
      <c r="E13" s="16" t="s">
        <v>222</v>
      </c>
      <c r="F13" s="16" t="s">
        <v>281</v>
      </c>
      <c r="G13" s="16" t="s">
        <v>283</v>
      </c>
      <c r="H13" s="17" t="s">
        <v>28</v>
      </c>
      <c r="I13" s="16"/>
      <c r="J13" s="16" t="s">
        <v>28</v>
      </c>
      <c r="K13" s="16"/>
      <c r="L13" s="16"/>
      <c r="M13" s="16"/>
      <c r="N13" s="16" t="n">
        <v>68004</v>
      </c>
      <c r="O13" s="16"/>
      <c r="P13" s="16"/>
      <c r="Q13" s="16" t="s">
        <v>37</v>
      </c>
      <c r="R13" s="16" t="s">
        <v>37</v>
      </c>
      <c r="S13" s="16"/>
      <c r="T13" s="16"/>
      <c r="U13" s="16"/>
      <c r="V13" s="16" t="s">
        <v>74</v>
      </c>
      <c r="W13" s="17" t="s">
        <v>28</v>
      </c>
      <c r="X13" s="17" t="s">
        <v>28</v>
      </c>
      <c r="Y13" s="16" t="s">
        <v>28</v>
      </c>
      <c r="Z13" s="12" t="s">
        <v>32</v>
      </c>
    </row>
    <row r="14" customFormat="false" ht="15.75" hidden="false" customHeight="false" outlineLevel="0" collapsed="false">
      <c r="A14" s="19" t="n">
        <v>8158</v>
      </c>
      <c r="B14" s="14" t="n">
        <v>45574</v>
      </c>
      <c r="C14" s="16" t="s">
        <v>280</v>
      </c>
      <c r="D14" s="16" t="s">
        <v>24</v>
      </c>
      <c r="E14" s="21" t="s">
        <v>222</v>
      </c>
      <c r="F14" s="16" t="s">
        <v>281</v>
      </c>
      <c r="G14" s="16" t="s">
        <v>283</v>
      </c>
      <c r="H14" s="17" t="s">
        <v>28</v>
      </c>
      <c r="I14" s="16"/>
      <c r="J14" s="16" t="s">
        <v>28</v>
      </c>
      <c r="K14" s="16"/>
      <c r="L14" s="16"/>
      <c r="M14" s="16"/>
      <c r="N14" s="16" t="n">
        <v>68004</v>
      </c>
      <c r="O14" s="16"/>
      <c r="P14" s="16"/>
      <c r="Q14" s="16" t="s">
        <v>37</v>
      </c>
      <c r="R14" s="16" t="s">
        <v>37</v>
      </c>
      <c r="S14" s="16"/>
      <c r="T14" s="16"/>
      <c r="U14" s="16"/>
      <c r="V14" s="16" t="s">
        <v>58</v>
      </c>
      <c r="W14" s="17" t="s">
        <v>28</v>
      </c>
      <c r="X14" s="17" t="s">
        <v>28</v>
      </c>
      <c r="Y14" s="16" t="s">
        <v>28</v>
      </c>
      <c r="Z14" s="12" t="s">
        <v>32</v>
      </c>
    </row>
    <row r="15" customFormat="false" ht="15.75" hidden="false" customHeight="false" outlineLevel="0" collapsed="false">
      <c r="A15" s="19" t="n">
        <v>8159</v>
      </c>
      <c r="B15" s="14" t="n">
        <v>45574</v>
      </c>
      <c r="C15" s="16" t="s">
        <v>280</v>
      </c>
      <c r="D15" s="16" t="s">
        <v>24</v>
      </c>
      <c r="E15" s="16" t="s">
        <v>222</v>
      </c>
      <c r="F15" s="16" t="s">
        <v>281</v>
      </c>
      <c r="G15" s="16" t="s">
        <v>283</v>
      </c>
      <c r="H15" s="17" t="s">
        <v>28</v>
      </c>
      <c r="I15" s="16"/>
      <c r="J15" s="16" t="s">
        <v>28</v>
      </c>
      <c r="K15" s="16"/>
      <c r="L15" s="16"/>
      <c r="M15" s="16"/>
      <c r="N15" s="16" t="n">
        <v>68004</v>
      </c>
      <c r="O15" s="16"/>
      <c r="P15" s="16"/>
      <c r="Q15" s="16" t="s">
        <v>37</v>
      </c>
      <c r="R15" s="16" t="s">
        <v>37</v>
      </c>
      <c r="S15" s="16"/>
      <c r="T15" s="16"/>
      <c r="U15" s="16"/>
      <c r="V15" s="16" t="s">
        <v>74</v>
      </c>
      <c r="W15" s="17" t="s">
        <v>28</v>
      </c>
      <c r="X15" s="17" t="s">
        <v>28</v>
      </c>
      <c r="Y15" s="16" t="s">
        <v>28</v>
      </c>
      <c r="Z15" s="12" t="s">
        <v>32</v>
      </c>
    </row>
    <row r="16" customFormat="false" ht="15.75" hidden="false" customHeight="false" outlineLevel="0" collapsed="false">
      <c r="A16" s="19" t="n">
        <v>8160</v>
      </c>
      <c r="B16" s="14" t="n">
        <v>45574</v>
      </c>
      <c r="C16" s="16" t="s">
        <v>280</v>
      </c>
      <c r="D16" s="16" t="s">
        <v>24</v>
      </c>
      <c r="E16" s="16" t="s">
        <v>222</v>
      </c>
      <c r="F16" s="16" t="s">
        <v>281</v>
      </c>
      <c r="G16" s="16" t="s">
        <v>283</v>
      </c>
      <c r="H16" s="17" t="s">
        <v>28</v>
      </c>
      <c r="I16" s="16"/>
      <c r="J16" s="16" t="s">
        <v>28</v>
      </c>
      <c r="K16" s="16"/>
      <c r="L16" s="16"/>
      <c r="M16" s="16"/>
      <c r="N16" s="16" t="n">
        <v>68004</v>
      </c>
      <c r="O16" s="16"/>
      <c r="P16" s="16"/>
      <c r="Q16" s="16" t="s">
        <v>37</v>
      </c>
      <c r="R16" s="16" t="s">
        <v>37</v>
      </c>
      <c r="S16" s="16"/>
      <c r="T16" s="16"/>
      <c r="U16" s="16"/>
      <c r="V16" s="16" t="s">
        <v>58</v>
      </c>
      <c r="W16" s="17" t="s">
        <v>28</v>
      </c>
      <c r="X16" s="17" t="s">
        <v>28</v>
      </c>
      <c r="Y16" s="16" t="s">
        <v>28</v>
      </c>
      <c r="Z16" s="12" t="s">
        <v>32</v>
      </c>
    </row>
    <row r="17" customFormat="false" ht="15.75" hidden="false" customHeight="false" outlineLevel="0" collapsed="false">
      <c r="A17" s="19" t="n">
        <v>8161</v>
      </c>
      <c r="B17" s="14" t="n">
        <v>45574</v>
      </c>
      <c r="C17" s="16" t="s">
        <v>280</v>
      </c>
      <c r="D17" s="16" t="s">
        <v>24</v>
      </c>
      <c r="E17" s="16" t="s">
        <v>222</v>
      </c>
      <c r="F17" s="16" t="s">
        <v>281</v>
      </c>
      <c r="G17" s="16" t="s">
        <v>283</v>
      </c>
      <c r="H17" s="17" t="s">
        <v>28</v>
      </c>
      <c r="I17" s="16"/>
      <c r="J17" s="16" t="s">
        <v>28</v>
      </c>
      <c r="K17" s="16"/>
      <c r="L17" s="16"/>
      <c r="M17" s="16"/>
      <c r="N17" s="16" t="n">
        <v>68004</v>
      </c>
      <c r="O17" s="16"/>
      <c r="P17" s="16"/>
      <c r="Q17" s="16" t="s">
        <v>37</v>
      </c>
      <c r="R17" s="16" t="s">
        <v>37</v>
      </c>
      <c r="S17" s="16"/>
      <c r="T17" s="16"/>
      <c r="U17" s="16"/>
      <c r="V17" s="16" t="s">
        <v>74</v>
      </c>
      <c r="W17" s="17" t="s">
        <v>28</v>
      </c>
      <c r="X17" s="17" t="s">
        <v>28</v>
      </c>
      <c r="Y17" s="16" t="s">
        <v>28</v>
      </c>
      <c r="Z17" s="12" t="s">
        <v>32</v>
      </c>
    </row>
    <row r="18" customFormat="false" ht="15.75" hidden="false" customHeight="false" outlineLevel="0" collapsed="false">
      <c r="A18" s="19" t="n">
        <v>8162</v>
      </c>
      <c r="B18" s="14" t="n">
        <v>45574</v>
      </c>
      <c r="C18" s="16" t="s">
        <v>280</v>
      </c>
      <c r="D18" s="16" t="s">
        <v>24</v>
      </c>
      <c r="E18" s="16" t="s">
        <v>222</v>
      </c>
      <c r="F18" s="16" t="s">
        <v>281</v>
      </c>
      <c r="G18" s="16" t="s">
        <v>283</v>
      </c>
      <c r="H18" s="17" t="s">
        <v>28</v>
      </c>
      <c r="I18" s="16"/>
      <c r="J18" s="16" t="s">
        <v>28</v>
      </c>
      <c r="K18" s="16"/>
      <c r="L18" s="16"/>
      <c r="M18" s="16"/>
      <c r="N18" s="16" t="n">
        <v>68004</v>
      </c>
      <c r="O18" s="16"/>
      <c r="P18" s="16"/>
      <c r="Q18" s="16" t="s">
        <v>37</v>
      </c>
      <c r="R18" s="16" t="s">
        <v>37</v>
      </c>
      <c r="S18" s="16"/>
      <c r="T18" s="16"/>
      <c r="U18" s="16"/>
      <c r="V18" s="16" t="s">
        <v>74</v>
      </c>
      <c r="W18" s="17" t="s">
        <v>28</v>
      </c>
      <c r="X18" s="17" t="s">
        <v>28</v>
      </c>
      <c r="Y18" s="16" t="s">
        <v>28</v>
      </c>
      <c r="Z18" s="12" t="s">
        <v>32</v>
      </c>
    </row>
    <row r="19" customFormat="false" ht="15.75" hidden="false" customHeight="false" outlineLevel="0" collapsed="false">
      <c r="A19" s="43" t="n">
        <v>8163</v>
      </c>
      <c r="B19" s="14" t="n">
        <v>45575</v>
      </c>
      <c r="C19" s="15" t="s">
        <v>284</v>
      </c>
      <c r="D19" s="16" t="s">
        <v>24</v>
      </c>
      <c r="E19" s="16" t="s">
        <v>272</v>
      </c>
      <c r="F19" s="16" t="s">
        <v>285</v>
      </c>
      <c r="G19" s="16"/>
      <c r="H19" s="16" t="s">
        <v>37</v>
      </c>
      <c r="I19" s="16"/>
      <c r="J19" s="16" t="s">
        <v>37</v>
      </c>
      <c r="K19" s="16"/>
      <c r="L19" s="16"/>
      <c r="M19" s="16"/>
      <c r="N19" s="16"/>
      <c r="O19" s="16"/>
      <c r="P19" s="16"/>
      <c r="Q19" s="16" t="s">
        <v>37</v>
      </c>
      <c r="R19" s="16" t="s">
        <v>37</v>
      </c>
      <c r="S19" s="16"/>
      <c r="T19" s="16"/>
      <c r="U19" s="16"/>
      <c r="V19" s="16"/>
      <c r="W19" s="16" t="s">
        <v>37</v>
      </c>
      <c r="X19" s="16" t="s">
        <v>37</v>
      </c>
      <c r="Y19" s="16" t="s">
        <v>28</v>
      </c>
      <c r="Z19" s="12" t="s">
        <v>32</v>
      </c>
    </row>
    <row r="20" customFormat="false" ht="15.75" hidden="false" customHeight="false" outlineLevel="0" collapsed="false">
      <c r="A20" s="24" t="n">
        <v>8164</v>
      </c>
      <c r="B20" s="14" t="n">
        <v>45579</v>
      </c>
      <c r="C20" s="25" t="s">
        <v>23</v>
      </c>
      <c r="D20" s="25" t="s">
        <v>24</v>
      </c>
      <c r="E20" s="25" t="s">
        <v>25</v>
      </c>
      <c r="F20" s="25" t="s">
        <v>286</v>
      </c>
      <c r="G20" s="25" t="s">
        <v>287</v>
      </c>
      <c r="H20" s="26" t="s">
        <v>28</v>
      </c>
      <c r="I20" s="25"/>
      <c r="J20" s="25" t="s">
        <v>28</v>
      </c>
      <c r="K20" s="25" t="s">
        <v>29</v>
      </c>
      <c r="L20" s="25" t="s">
        <v>29</v>
      </c>
      <c r="M20" s="25" t="s">
        <v>29</v>
      </c>
      <c r="N20" s="25" t="s">
        <v>29</v>
      </c>
      <c r="O20" s="25"/>
      <c r="P20" s="25"/>
      <c r="Q20" s="25"/>
      <c r="R20" s="25"/>
      <c r="S20" s="16"/>
      <c r="T20" s="25"/>
      <c r="U20" s="25"/>
      <c r="V20" s="25"/>
      <c r="W20" s="25"/>
      <c r="X20" s="25"/>
      <c r="Y20" s="25" t="s">
        <v>28</v>
      </c>
      <c r="Z20" s="12" t="s">
        <v>156</v>
      </c>
    </row>
    <row r="21" customFormat="false" ht="15.75" hidden="false" customHeight="false" outlineLevel="0" collapsed="false">
      <c r="A21" s="19" t="n">
        <v>8165</v>
      </c>
      <c r="B21" s="14" t="n">
        <v>45579</v>
      </c>
      <c r="C21" s="16" t="s">
        <v>23</v>
      </c>
      <c r="D21" s="16" t="s">
        <v>24</v>
      </c>
      <c r="E21" s="16" t="s">
        <v>25</v>
      </c>
      <c r="F21" s="16" t="s">
        <v>288</v>
      </c>
      <c r="G21" s="25" t="s">
        <v>289</v>
      </c>
      <c r="H21" s="17" t="s">
        <v>28</v>
      </c>
      <c r="I21" s="16"/>
      <c r="J21" s="16" t="s">
        <v>28</v>
      </c>
      <c r="K21" s="16" t="s">
        <v>29</v>
      </c>
      <c r="L21" s="16" t="s">
        <v>29</v>
      </c>
      <c r="M21" s="16" t="s">
        <v>29</v>
      </c>
      <c r="N21" s="16" t="s">
        <v>29</v>
      </c>
      <c r="O21" s="16"/>
      <c r="P21" s="16"/>
      <c r="Q21" s="16"/>
      <c r="R21" s="16"/>
      <c r="S21" s="16"/>
      <c r="T21" s="16"/>
      <c r="U21" s="25"/>
      <c r="V21" s="16"/>
      <c r="W21" s="16"/>
      <c r="X21" s="16"/>
      <c r="Y21" s="16" t="s">
        <v>28</v>
      </c>
      <c r="Z21" s="12" t="s">
        <v>156</v>
      </c>
    </row>
    <row r="22" customFormat="false" ht="15.75" hidden="false" customHeight="false" outlineLevel="0" collapsed="false">
      <c r="A22" s="42" t="n">
        <v>1756087</v>
      </c>
      <c r="B22" s="14" t="n">
        <v>45579</v>
      </c>
      <c r="C22" s="16" t="s">
        <v>23</v>
      </c>
      <c r="D22" s="16" t="s">
        <v>290</v>
      </c>
      <c r="E22" s="16" t="s">
        <v>25</v>
      </c>
      <c r="F22" s="16" t="s">
        <v>291</v>
      </c>
      <c r="G22" s="25" t="s">
        <v>292</v>
      </c>
      <c r="H22" s="17" t="s">
        <v>28</v>
      </c>
      <c r="I22" s="16"/>
      <c r="J22" s="16" t="s">
        <v>28</v>
      </c>
      <c r="K22" s="16" t="s">
        <v>29</v>
      </c>
      <c r="L22" s="16" t="s">
        <v>29</v>
      </c>
      <c r="M22" s="16" t="s">
        <v>29</v>
      </c>
      <c r="N22" s="16" t="s">
        <v>29</v>
      </c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 t="s">
        <v>28</v>
      </c>
      <c r="Z22" s="12" t="s">
        <v>156</v>
      </c>
    </row>
    <row r="23" customFormat="false" ht="15.75" hidden="false" customHeight="false" outlineLevel="0" collapsed="false">
      <c r="A23" s="42" t="n">
        <v>2183787</v>
      </c>
      <c r="B23" s="14" t="n">
        <v>45579</v>
      </c>
      <c r="C23" s="16" t="s">
        <v>23</v>
      </c>
      <c r="D23" s="16" t="s">
        <v>290</v>
      </c>
      <c r="E23" s="16" t="s">
        <v>25</v>
      </c>
      <c r="F23" s="16" t="s">
        <v>293</v>
      </c>
      <c r="G23" s="16" t="s">
        <v>294</v>
      </c>
      <c r="H23" s="17" t="s">
        <v>28</v>
      </c>
      <c r="I23" s="16"/>
      <c r="J23" s="16" t="s">
        <v>28</v>
      </c>
      <c r="K23" s="16" t="s">
        <v>29</v>
      </c>
      <c r="L23" s="16" t="s">
        <v>29</v>
      </c>
      <c r="M23" s="16" t="s">
        <v>29</v>
      </c>
      <c r="N23" s="16" t="s">
        <v>29</v>
      </c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 t="s">
        <v>28</v>
      </c>
      <c r="Z23" s="12" t="s">
        <v>156</v>
      </c>
    </row>
    <row r="24" customFormat="false" ht="15.75" hidden="false" customHeight="false" outlineLevel="0" collapsed="false">
      <c r="A24" s="13" t="n">
        <v>8166</v>
      </c>
      <c r="B24" s="14" t="n">
        <v>45579</v>
      </c>
      <c r="C24" s="16" t="s">
        <v>23</v>
      </c>
      <c r="D24" s="16" t="s">
        <v>24</v>
      </c>
      <c r="E24" s="16" t="s">
        <v>25</v>
      </c>
      <c r="F24" s="16" t="s">
        <v>295</v>
      </c>
      <c r="G24" s="16"/>
      <c r="H24" s="17" t="s">
        <v>28</v>
      </c>
      <c r="I24" s="16"/>
      <c r="J24" s="16" t="s">
        <v>28</v>
      </c>
      <c r="K24" s="16" t="s">
        <v>29</v>
      </c>
      <c r="L24" s="16" t="s">
        <v>29</v>
      </c>
      <c r="M24" s="16" t="s">
        <v>29</v>
      </c>
      <c r="N24" s="16" t="s">
        <v>29</v>
      </c>
      <c r="O24" s="16"/>
      <c r="P24" s="16"/>
      <c r="Q24" s="16" t="s">
        <v>37</v>
      </c>
      <c r="R24" s="16" t="s">
        <v>37</v>
      </c>
      <c r="S24" s="16"/>
      <c r="T24" s="16"/>
      <c r="U24" s="16"/>
      <c r="V24" s="16"/>
      <c r="W24" s="16" t="s">
        <v>37</v>
      </c>
      <c r="X24" s="16" t="s">
        <v>37</v>
      </c>
      <c r="Y24" s="16" t="s">
        <v>28</v>
      </c>
      <c r="Z24" s="12" t="s">
        <v>156</v>
      </c>
    </row>
    <row r="25" customFormat="false" ht="15.75" hidden="false" customHeight="false" outlineLevel="0" collapsed="false">
      <c r="A25" s="13" t="n">
        <v>8167</v>
      </c>
      <c r="B25" s="22" t="n">
        <v>45579</v>
      </c>
      <c r="C25" s="16" t="s">
        <v>23</v>
      </c>
      <c r="D25" s="16" t="s">
        <v>24</v>
      </c>
      <c r="E25" s="16" t="s">
        <v>25</v>
      </c>
      <c r="F25" s="16" t="s">
        <v>295</v>
      </c>
      <c r="G25" s="16"/>
      <c r="H25" s="17" t="s">
        <v>28</v>
      </c>
      <c r="I25" s="16"/>
      <c r="J25" s="16" t="s">
        <v>28</v>
      </c>
      <c r="K25" s="16" t="s">
        <v>29</v>
      </c>
      <c r="L25" s="16" t="s">
        <v>29</v>
      </c>
      <c r="M25" s="16" t="s">
        <v>29</v>
      </c>
      <c r="N25" s="16" t="s">
        <v>29</v>
      </c>
      <c r="O25" s="16"/>
      <c r="P25" s="16"/>
      <c r="Q25" s="16" t="s">
        <v>37</v>
      </c>
      <c r="R25" s="16" t="s">
        <v>37</v>
      </c>
      <c r="S25" s="16"/>
      <c r="T25" s="16"/>
      <c r="U25" s="16"/>
      <c r="V25" s="16"/>
      <c r="W25" s="16" t="s">
        <v>37</v>
      </c>
      <c r="X25" s="16" t="s">
        <v>37</v>
      </c>
      <c r="Y25" s="16" t="s">
        <v>28</v>
      </c>
      <c r="Z25" s="12" t="s">
        <v>156</v>
      </c>
    </row>
    <row r="26" customFormat="false" ht="15.75" hidden="false" customHeight="false" outlineLevel="0" collapsed="false">
      <c r="A26" s="24" t="n">
        <v>8168</v>
      </c>
      <c r="B26" s="14" t="n">
        <v>45579</v>
      </c>
      <c r="C26" s="25" t="s">
        <v>296</v>
      </c>
      <c r="D26" s="16" t="s">
        <v>24</v>
      </c>
      <c r="E26" s="16" t="s">
        <v>25</v>
      </c>
      <c r="F26" s="25" t="s">
        <v>127</v>
      </c>
      <c r="G26" s="16" t="s">
        <v>297</v>
      </c>
      <c r="H26" s="17" t="s">
        <v>28</v>
      </c>
      <c r="I26" s="16"/>
      <c r="J26" s="16" t="s">
        <v>28</v>
      </c>
      <c r="K26" s="16" t="s">
        <v>29</v>
      </c>
      <c r="L26" s="16" t="s">
        <v>29</v>
      </c>
      <c r="M26" s="16" t="s">
        <v>29</v>
      </c>
      <c r="N26" s="16" t="s">
        <v>29</v>
      </c>
      <c r="O26" s="16"/>
      <c r="P26" s="16"/>
      <c r="Q26" s="16" t="s">
        <v>28</v>
      </c>
      <c r="R26" s="17" t="s">
        <v>28</v>
      </c>
      <c r="S26" s="16" t="s">
        <v>298</v>
      </c>
      <c r="T26" s="16" t="s">
        <v>30</v>
      </c>
      <c r="U26" s="16"/>
      <c r="V26" s="16" t="s">
        <v>74</v>
      </c>
      <c r="W26" s="17" t="s">
        <v>28</v>
      </c>
      <c r="X26" s="17" t="s">
        <v>28</v>
      </c>
      <c r="Y26" s="16" t="s">
        <v>28</v>
      </c>
      <c r="Z26" s="12" t="s">
        <v>32</v>
      </c>
    </row>
    <row r="27" customFormat="false" ht="15.75" hidden="false" customHeight="false" outlineLevel="0" collapsed="false">
      <c r="A27" s="44" t="n">
        <v>2289981</v>
      </c>
      <c r="B27" s="14" t="n">
        <v>45579</v>
      </c>
      <c r="C27" s="25" t="s">
        <v>299</v>
      </c>
      <c r="D27" s="16" t="s">
        <v>24</v>
      </c>
      <c r="E27" s="25" t="s">
        <v>34</v>
      </c>
      <c r="F27" s="16" t="s">
        <v>300</v>
      </c>
      <c r="G27" s="16" t="s">
        <v>301</v>
      </c>
      <c r="H27" s="17" t="s">
        <v>28</v>
      </c>
      <c r="I27" s="16"/>
      <c r="J27" s="16" t="s">
        <v>28</v>
      </c>
      <c r="K27" s="16" t="s">
        <v>29</v>
      </c>
      <c r="L27" s="16" t="s">
        <v>29</v>
      </c>
      <c r="M27" s="16" t="s">
        <v>29</v>
      </c>
      <c r="N27" s="16" t="s">
        <v>29</v>
      </c>
      <c r="O27" s="16"/>
      <c r="P27" s="16"/>
      <c r="Q27" s="16" t="s">
        <v>37</v>
      </c>
      <c r="R27" s="16" t="s">
        <v>37</v>
      </c>
      <c r="S27" s="16"/>
      <c r="T27" s="16"/>
      <c r="U27" s="16"/>
      <c r="V27" s="16"/>
      <c r="W27" s="16" t="s">
        <v>37</v>
      </c>
      <c r="X27" s="16" t="s">
        <v>37</v>
      </c>
      <c r="Y27" s="16" t="s">
        <v>28</v>
      </c>
      <c r="Z27" s="12" t="s">
        <v>156</v>
      </c>
    </row>
    <row r="28" customFormat="false" ht="15.75" hidden="false" customHeight="false" outlineLevel="0" collapsed="false">
      <c r="A28" s="13" t="s">
        <v>302</v>
      </c>
      <c r="B28" s="14" t="n">
        <v>45579</v>
      </c>
      <c r="C28" s="25" t="s">
        <v>299</v>
      </c>
      <c r="D28" s="16" t="s">
        <v>24</v>
      </c>
      <c r="E28" s="25" t="s">
        <v>34</v>
      </c>
      <c r="F28" s="16" t="s">
        <v>303</v>
      </c>
      <c r="G28" s="16"/>
      <c r="H28" s="16"/>
      <c r="I28" s="16"/>
      <c r="J28" s="16" t="s">
        <v>28</v>
      </c>
      <c r="K28" s="16" t="s">
        <v>29</v>
      </c>
      <c r="L28" s="16" t="s">
        <v>29</v>
      </c>
      <c r="M28" s="16" t="s">
        <v>29</v>
      </c>
      <c r="N28" s="16" t="s">
        <v>29</v>
      </c>
      <c r="O28" s="16"/>
      <c r="P28" s="16"/>
      <c r="Q28" s="16" t="s">
        <v>37</v>
      </c>
      <c r="R28" s="16" t="s">
        <v>37</v>
      </c>
      <c r="S28" s="16"/>
      <c r="T28" s="16"/>
      <c r="U28" s="16"/>
      <c r="V28" s="16"/>
      <c r="W28" s="16" t="s">
        <v>37</v>
      </c>
      <c r="X28" s="16" t="s">
        <v>37</v>
      </c>
      <c r="Y28" s="16" t="s">
        <v>28</v>
      </c>
      <c r="Z28" s="12" t="s">
        <v>156</v>
      </c>
    </row>
    <row r="29" customFormat="false" ht="15.75" hidden="false" customHeight="false" outlineLevel="0" collapsed="false">
      <c r="A29" s="13" t="s">
        <v>304</v>
      </c>
      <c r="B29" s="14" t="n">
        <v>45579</v>
      </c>
      <c r="C29" s="25" t="s">
        <v>299</v>
      </c>
      <c r="D29" s="16" t="s">
        <v>24</v>
      </c>
      <c r="E29" s="25" t="s">
        <v>34</v>
      </c>
      <c r="F29" s="16" t="s">
        <v>305</v>
      </c>
      <c r="G29" s="16"/>
      <c r="H29" s="16"/>
      <c r="I29" s="16"/>
      <c r="J29" s="16" t="s">
        <v>28</v>
      </c>
      <c r="K29" s="16" t="s">
        <v>29</v>
      </c>
      <c r="L29" s="16" t="s">
        <v>29</v>
      </c>
      <c r="M29" s="16" t="s">
        <v>29</v>
      </c>
      <c r="N29" s="16" t="s">
        <v>29</v>
      </c>
      <c r="O29" s="16"/>
      <c r="P29" s="16"/>
      <c r="Q29" s="16" t="s">
        <v>37</v>
      </c>
      <c r="R29" s="16" t="s">
        <v>37</v>
      </c>
      <c r="S29" s="16"/>
      <c r="T29" s="16"/>
      <c r="U29" s="16"/>
      <c r="V29" s="16"/>
      <c r="W29" s="16" t="s">
        <v>37</v>
      </c>
      <c r="X29" s="16" t="s">
        <v>37</v>
      </c>
      <c r="Y29" s="16" t="s">
        <v>28</v>
      </c>
      <c r="Z29" s="12" t="s">
        <v>156</v>
      </c>
    </row>
    <row r="30" customFormat="false" ht="15.75" hidden="false" customHeight="false" outlineLevel="0" collapsed="false">
      <c r="A30" s="13" t="s">
        <v>306</v>
      </c>
      <c r="B30" s="14" t="n">
        <v>45579</v>
      </c>
      <c r="C30" s="25" t="s">
        <v>299</v>
      </c>
      <c r="D30" s="16" t="s">
        <v>24</v>
      </c>
      <c r="E30" s="25" t="s">
        <v>34</v>
      </c>
      <c r="F30" s="16" t="s">
        <v>307</v>
      </c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 t="s">
        <v>37</v>
      </c>
      <c r="R30" s="16" t="s">
        <v>37</v>
      </c>
      <c r="S30" s="16"/>
      <c r="T30" s="16"/>
      <c r="U30" s="16"/>
      <c r="V30" s="16"/>
      <c r="W30" s="16" t="s">
        <v>37</v>
      </c>
      <c r="X30" s="16" t="s">
        <v>37</v>
      </c>
      <c r="Y30" s="16" t="s">
        <v>28</v>
      </c>
      <c r="Z30" s="12" t="s">
        <v>32</v>
      </c>
    </row>
    <row r="31" customFormat="false" ht="15.75" hidden="false" customHeight="false" outlineLevel="0" collapsed="false">
      <c r="A31" s="44" t="n">
        <v>2290346</v>
      </c>
      <c r="B31" s="14" t="n">
        <v>45579</v>
      </c>
      <c r="C31" s="16" t="s">
        <v>299</v>
      </c>
      <c r="D31" s="16" t="s">
        <v>24</v>
      </c>
      <c r="E31" s="25" t="s">
        <v>34</v>
      </c>
      <c r="F31" s="16" t="s">
        <v>308</v>
      </c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 t="s">
        <v>37</v>
      </c>
      <c r="R31" s="16" t="s">
        <v>37</v>
      </c>
      <c r="S31" s="16"/>
      <c r="T31" s="16"/>
      <c r="U31" s="16"/>
      <c r="V31" s="16"/>
      <c r="W31" s="16" t="s">
        <v>37</v>
      </c>
      <c r="X31" s="16" t="s">
        <v>37</v>
      </c>
      <c r="Y31" s="16" t="s">
        <v>28</v>
      </c>
      <c r="Z31" s="12" t="s">
        <v>156</v>
      </c>
    </row>
    <row r="32" customFormat="false" ht="15.75" hidden="false" customHeight="false" outlineLevel="0" collapsed="false">
      <c r="A32" s="13" t="s">
        <v>309</v>
      </c>
      <c r="B32" s="14" t="n">
        <v>45579</v>
      </c>
      <c r="C32" s="16" t="s">
        <v>299</v>
      </c>
      <c r="D32" s="16" t="s">
        <v>24</v>
      </c>
      <c r="E32" s="25" t="s">
        <v>34</v>
      </c>
      <c r="F32" s="16" t="s">
        <v>310</v>
      </c>
      <c r="G32" s="16"/>
      <c r="H32" s="37"/>
      <c r="I32" s="16"/>
      <c r="J32" s="16"/>
      <c r="K32" s="16"/>
      <c r="L32" s="16"/>
      <c r="M32" s="16"/>
      <c r="N32" s="16"/>
      <c r="O32" s="16"/>
      <c r="P32" s="16"/>
      <c r="Q32" s="16" t="s">
        <v>37</v>
      </c>
      <c r="R32" s="16" t="s">
        <v>37</v>
      </c>
      <c r="S32" s="16"/>
      <c r="T32" s="16"/>
      <c r="U32" s="16"/>
      <c r="V32" s="16"/>
      <c r="W32" s="16" t="s">
        <v>37</v>
      </c>
      <c r="X32" s="16" t="s">
        <v>37</v>
      </c>
      <c r="Y32" s="16" t="s">
        <v>28</v>
      </c>
      <c r="Z32" s="12" t="s">
        <v>156</v>
      </c>
    </row>
    <row r="33" customFormat="false" ht="15.75" hidden="false" customHeight="false" outlineLevel="0" collapsed="false">
      <c r="A33" s="44" t="n">
        <v>2290711</v>
      </c>
      <c r="B33" s="14" t="n">
        <v>45579</v>
      </c>
      <c r="C33" s="16" t="s">
        <v>311</v>
      </c>
      <c r="D33" s="16" t="s">
        <v>24</v>
      </c>
      <c r="E33" s="25" t="s">
        <v>34</v>
      </c>
      <c r="F33" s="16" t="s">
        <v>312</v>
      </c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 t="s">
        <v>37</v>
      </c>
      <c r="R33" s="16" t="s">
        <v>37</v>
      </c>
      <c r="S33" s="16"/>
      <c r="T33" s="16"/>
      <c r="U33" s="16"/>
      <c r="V33" s="16"/>
      <c r="W33" s="16" t="s">
        <v>37</v>
      </c>
      <c r="X33" s="16" t="s">
        <v>37</v>
      </c>
      <c r="Y33" s="16" t="s">
        <v>28</v>
      </c>
      <c r="Z33" s="12" t="s">
        <v>156</v>
      </c>
    </row>
    <row r="34" customFormat="false" ht="15.75" hidden="false" customHeight="false" outlineLevel="0" collapsed="false">
      <c r="A34" s="13" t="s">
        <v>313</v>
      </c>
      <c r="B34" s="14" t="n">
        <v>45579</v>
      </c>
      <c r="C34" s="16" t="s">
        <v>311</v>
      </c>
      <c r="D34" s="16" t="s">
        <v>24</v>
      </c>
      <c r="E34" s="25" t="s">
        <v>34</v>
      </c>
      <c r="F34" s="16" t="s">
        <v>314</v>
      </c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 t="s">
        <v>37</v>
      </c>
      <c r="R34" s="16" t="s">
        <v>37</v>
      </c>
      <c r="S34" s="16"/>
      <c r="T34" s="16"/>
      <c r="U34" s="16"/>
      <c r="V34" s="16"/>
      <c r="W34" s="16" t="s">
        <v>37</v>
      </c>
      <c r="X34" s="16" t="s">
        <v>37</v>
      </c>
      <c r="Y34" s="16" t="s">
        <v>28</v>
      </c>
      <c r="Z34" s="12" t="s">
        <v>156</v>
      </c>
    </row>
    <row r="35" customFormat="false" ht="15.75" hidden="false" customHeight="false" outlineLevel="0" collapsed="false">
      <c r="A35" s="13" t="s">
        <v>315</v>
      </c>
      <c r="B35" s="14" t="n">
        <v>45579</v>
      </c>
      <c r="C35" s="16" t="s">
        <v>311</v>
      </c>
      <c r="D35" s="16" t="s">
        <v>24</v>
      </c>
      <c r="E35" s="25" t="s">
        <v>34</v>
      </c>
      <c r="F35" s="16" t="s">
        <v>316</v>
      </c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 t="s">
        <v>37</v>
      </c>
      <c r="R35" s="16" t="s">
        <v>37</v>
      </c>
      <c r="S35" s="16"/>
      <c r="T35" s="16"/>
      <c r="U35" s="16"/>
      <c r="V35" s="16"/>
      <c r="W35" s="16" t="s">
        <v>37</v>
      </c>
      <c r="X35" s="16" t="s">
        <v>37</v>
      </c>
      <c r="Y35" s="16" t="s">
        <v>28</v>
      </c>
      <c r="Z35" s="12" t="s">
        <v>156</v>
      </c>
    </row>
    <row r="36" customFormat="false" ht="15.75" hidden="false" customHeight="false" outlineLevel="0" collapsed="false">
      <c r="A36" s="13" t="s">
        <v>317</v>
      </c>
      <c r="B36" s="14" t="n">
        <v>45579</v>
      </c>
      <c r="C36" s="16" t="s">
        <v>311</v>
      </c>
      <c r="D36" s="16" t="s">
        <v>24</v>
      </c>
      <c r="E36" s="25" t="s">
        <v>34</v>
      </c>
      <c r="F36" s="16" t="s">
        <v>318</v>
      </c>
      <c r="G36" s="16"/>
      <c r="H36" s="16"/>
      <c r="I36" s="16"/>
      <c r="J36" s="16"/>
      <c r="K36" s="16"/>
      <c r="L36" s="16"/>
      <c r="M36" s="16"/>
      <c r="N36" s="16"/>
      <c r="O36" s="16"/>
      <c r="P36" s="18"/>
      <c r="Q36" s="16" t="s">
        <v>37</v>
      </c>
      <c r="R36" s="16" t="s">
        <v>37</v>
      </c>
      <c r="S36" s="16"/>
      <c r="T36" s="16"/>
      <c r="U36" s="16"/>
      <c r="V36" s="16"/>
      <c r="W36" s="16" t="s">
        <v>37</v>
      </c>
      <c r="X36" s="16" t="s">
        <v>37</v>
      </c>
      <c r="Y36" s="16" t="s">
        <v>28</v>
      </c>
      <c r="Z36" s="12" t="s">
        <v>156</v>
      </c>
    </row>
    <row r="37" customFormat="false" ht="15.75" hidden="false" customHeight="false" outlineLevel="0" collapsed="false">
      <c r="A37" s="13" t="s">
        <v>319</v>
      </c>
      <c r="B37" s="14" t="n">
        <v>45579</v>
      </c>
      <c r="C37" s="16" t="s">
        <v>311</v>
      </c>
      <c r="D37" s="16" t="s">
        <v>24</v>
      </c>
      <c r="E37" s="25" t="s">
        <v>34</v>
      </c>
      <c r="F37" s="16" t="s">
        <v>320</v>
      </c>
      <c r="G37" s="16"/>
      <c r="H37" s="16"/>
      <c r="I37" s="16"/>
      <c r="J37" s="16"/>
      <c r="K37" s="16"/>
      <c r="L37" s="16"/>
      <c r="M37" s="16"/>
      <c r="N37" s="16"/>
      <c r="O37" s="16"/>
      <c r="P37" s="18"/>
      <c r="Q37" s="16" t="s">
        <v>37</v>
      </c>
      <c r="R37" s="16" t="s">
        <v>37</v>
      </c>
      <c r="S37" s="16"/>
      <c r="T37" s="16"/>
      <c r="U37" s="16"/>
      <c r="V37" s="16"/>
      <c r="W37" s="16" t="s">
        <v>37</v>
      </c>
      <c r="X37" s="16" t="s">
        <v>37</v>
      </c>
      <c r="Y37" s="16" t="s">
        <v>28</v>
      </c>
      <c r="Z37" s="12" t="s">
        <v>156</v>
      </c>
    </row>
    <row r="38" customFormat="false" ht="15.75" hidden="false" customHeight="false" outlineLevel="0" collapsed="false">
      <c r="A38" s="13" t="n">
        <v>8172</v>
      </c>
      <c r="B38" s="14" t="n">
        <v>45582</v>
      </c>
      <c r="C38" s="16" t="s">
        <v>321</v>
      </c>
      <c r="D38" s="16" t="s">
        <v>24</v>
      </c>
      <c r="E38" s="25" t="s">
        <v>25</v>
      </c>
      <c r="F38" s="16" t="s">
        <v>322</v>
      </c>
      <c r="G38" s="16"/>
      <c r="H38" s="17" t="s">
        <v>28</v>
      </c>
      <c r="I38" s="16"/>
      <c r="J38" s="16" t="s">
        <v>28</v>
      </c>
      <c r="K38" s="16" t="s">
        <v>29</v>
      </c>
      <c r="L38" s="16" t="s">
        <v>29</v>
      </c>
      <c r="M38" s="16" t="s">
        <v>29</v>
      </c>
      <c r="N38" s="16" t="s">
        <v>29</v>
      </c>
      <c r="O38" s="16"/>
      <c r="P38" s="18"/>
      <c r="Q38" s="16" t="s">
        <v>37</v>
      </c>
      <c r="R38" s="16" t="s">
        <v>37</v>
      </c>
      <c r="S38" s="16"/>
      <c r="T38" s="16"/>
      <c r="U38" s="16"/>
      <c r="V38" s="16"/>
      <c r="W38" s="16" t="s">
        <v>37</v>
      </c>
      <c r="X38" s="16" t="s">
        <v>37</v>
      </c>
      <c r="Y38" s="16" t="s">
        <v>37</v>
      </c>
      <c r="Z38" s="12" t="s">
        <v>40</v>
      </c>
    </row>
    <row r="39" customFormat="false" ht="15.75" hidden="false" customHeight="false" outlineLevel="0" collapsed="false">
      <c r="A39" s="13" t="n">
        <v>8173</v>
      </c>
      <c r="B39" s="14" t="n">
        <v>45583</v>
      </c>
      <c r="C39" s="16" t="s">
        <v>323</v>
      </c>
      <c r="D39" s="16" t="s">
        <v>24</v>
      </c>
      <c r="E39" s="16" t="s">
        <v>25</v>
      </c>
      <c r="F39" s="16" t="s">
        <v>324</v>
      </c>
      <c r="G39" s="16"/>
      <c r="H39" s="17" t="s">
        <v>28</v>
      </c>
      <c r="I39" s="16"/>
      <c r="J39" s="16" t="s">
        <v>28</v>
      </c>
      <c r="K39" s="16" t="s">
        <v>29</v>
      </c>
      <c r="L39" s="16" t="s">
        <v>29</v>
      </c>
      <c r="M39" s="16" t="s">
        <v>29</v>
      </c>
      <c r="N39" s="16" t="s">
        <v>29</v>
      </c>
      <c r="O39" s="16"/>
      <c r="P39" s="16"/>
      <c r="Q39" s="16" t="s">
        <v>37</v>
      </c>
      <c r="R39" s="16" t="s">
        <v>37</v>
      </c>
      <c r="S39" s="16"/>
      <c r="T39" s="16"/>
      <c r="U39" s="16"/>
      <c r="V39" s="16"/>
      <c r="W39" s="16" t="s">
        <v>37</v>
      </c>
      <c r="X39" s="16" t="s">
        <v>37</v>
      </c>
      <c r="Y39" s="16" t="s">
        <v>28</v>
      </c>
      <c r="Z39" s="12" t="s">
        <v>32</v>
      </c>
    </row>
    <row r="40" customFormat="false" ht="15.75" hidden="false" customHeight="false" outlineLevel="0" collapsed="false">
      <c r="A40" s="28" t="n">
        <v>8174</v>
      </c>
      <c r="B40" s="14" t="n">
        <v>45587</v>
      </c>
      <c r="C40" s="21" t="s">
        <v>325</v>
      </c>
      <c r="D40" s="16" t="s">
        <v>24</v>
      </c>
      <c r="E40" s="16" t="s">
        <v>25</v>
      </c>
      <c r="F40" s="16" t="s">
        <v>326</v>
      </c>
      <c r="G40" s="16" t="s">
        <v>327</v>
      </c>
      <c r="H40" s="17" t="s">
        <v>28</v>
      </c>
      <c r="I40" s="16"/>
      <c r="J40" s="16" t="s">
        <v>28</v>
      </c>
      <c r="K40" s="16" t="s">
        <v>29</v>
      </c>
      <c r="L40" s="16" t="s">
        <v>29</v>
      </c>
      <c r="M40" s="16" t="s">
        <v>29</v>
      </c>
      <c r="N40" s="23" t="s">
        <v>328</v>
      </c>
      <c r="O40" s="16"/>
      <c r="P40" s="16"/>
      <c r="Q40" s="16"/>
      <c r="R40" s="17" t="s">
        <v>28</v>
      </c>
      <c r="S40" s="16" t="s">
        <v>29</v>
      </c>
      <c r="T40" s="16" t="s">
        <v>58</v>
      </c>
      <c r="U40" s="16"/>
      <c r="V40" s="16" t="s">
        <v>58</v>
      </c>
      <c r="W40" s="17" t="s">
        <v>28</v>
      </c>
      <c r="X40" s="17" t="s">
        <v>28</v>
      </c>
      <c r="Y40" s="16" t="s">
        <v>28</v>
      </c>
      <c r="Z40" s="12" t="s">
        <v>32</v>
      </c>
    </row>
    <row r="41" customFormat="false" ht="15.75" hidden="false" customHeight="false" outlineLevel="0" collapsed="false">
      <c r="A41" s="13" t="n">
        <v>8175</v>
      </c>
      <c r="B41" s="14" t="n">
        <v>45587</v>
      </c>
      <c r="C41" s="21" t="s">
        <v>50</v>
      </c>
      <c r="D41" s="16" t="s">
        <v>24</v>
      </c>
      <c r="E41" s="16" t="s">
        <v>25</v>
      </c>
      <c r="F41" s="16" t="s">
        <v>329</v>
      </c>
      <c r="G41" s="16"/>
      <c r="H41" s="17" t="s">
        <v>28</v>
      </c>
      <c r="I41" s="16"/>
      <c r="J41" s="16" t="s">
        <v>28</v>
      </c>
      <c r="K41" s="16" t="s">
        <v>29</v>
      </c>
      <c r="L41" s="16" t="s">
        <v>29</v>
      </c>
      <c r="M41" s="16" t="s">
        <v>29</v>
      </c>
      <c r="N41" s="16" t="s">
        <v>29</v>
      </c>
      <c r="O41" s="16"/>
      <c r="P41" s="16"/>
      <c r="Q41" s="16" t="s">
        <v>37</v>
      </c>
      <c r="R41" s="16" t="s">
        <v>37</v>
      </c>
      <c r="S41" s="16"/>
      <c r="T41" s="16"/>
      <c r="U41" s="16"/>
      <c r="V41" s="16"/>
      <c r="W41" s="16" t="s">
        <v>37</v>
      </c>
      <c r="X41" s="16" t="s">
        <v>37</v>
      </c>
      <c r="Y41" s="16" t="s">
        <v>28</v>
      </c>
      <c r="Z41" s="12" t="s">
        <v>32</v>
      </c>
    </row>
    <row r="42" customFormat="false" ht="15.75" hidden="false" customHeight="false" outlineLevel="0" collapsed="false">
      <c r="A42" s="13" t="n">
        <v>8176</v>
      </c>
      <c r="B42" s="22" t="n">
        <v>45587</v>
      </c>
      <c r="C42" s="16" t="s">
        <v>67</v>
      </c>
      <c r="D42" s="16" t="s">
        <v>24</v>
      </c>
      <c r="E42" s="16" t="s">
        <v>222</v>
      </c>
      <c r="F42" s="16" t="s">
        <v>330</v>
      </c>
      <c r="G42" s="16" t="s">
        <v>331</v>
      </c>
      <c r="H42" s="17" t="s">
        <v>28</v>
      </c>
      <c r="I42" s="16"/>
      <c r="J42" s="16" t="s">
        <v>28</v>
      </c>
      <c r="K42" s="16"/>
      <c r="L42" s="16"/>
      <c r="M42" s="16"/>
      <c r="N42" s="16"/>
      <c r="O42" s="16"/>
      <c r="P42" s="16"/>
      <c r="Q42" s="16" t="s">
        <v>28</v>
      </c>
      <c r="R42" s="17" t="s">
        <v>28</v>
      </c>
      <c r="S42" s="16" t="s">
        <v>29</v>
      </c>
      <c r="T42" s="16" t="s">
        <v>30</v>
      </c>
      <c r="U42" s="16"/>
      <c r="V42" s="16" t="s">
        <v>74</v>
      </c>
      <c r="W42" s="17" t="s">
        <v>28</v>
      </c>
      <c r="X42" s="17" t="s">
        <v>28</v>
      </c>
      <c r="Y42" s="16" t="s">
        <v>28</v>
      </c>
      <c r="Z42" s="12" t="s">
        <v>32</v>
      </c>
    </row>
    <row r="43" customFormat="false" ht="15.75" hidden="false" customHeight="false" outlineLevel="0" collapsed="false">
      <c r="A43" s="13" t="n">
        <v>8177</v>
      </c>
      <c r="B43" s="14" t="n">
        <v>45588</v>
      </c>
      <c r="C43" s="16" t="s">
        <v>332</v>
      </c>
      <c r="D43" s="16" t="s">
        <v>24</v>
      </c>
      <c r="E43" s="16" t="s">
        <v>25</v>
      </c>
      <c r="F43" s="16" t="s">
        <v>333</v>
      </c>
      <c r="G43" s="16" t="s">
        <v>334</v>
      </c>
      <c r="H43" s="17" t="s">
        <v>28</v>
      </c>
      <c r="I43" s="16"/>
      <c r="J43" s="16" t="s">
        <v>28</v>
      </c>
      <c r="K43" s="16" t="s">
        <v>29</v>
      </c>
      <c r="L43" s="16" t="s">
        <v>29</v>
      </c>
      <c r="M43" s="16" t="s">
        <v>29</v>
      </c>
      <c r="N43" s="16" t="s">
        <v>335</v>
      </c>
      <c r="O43" s="16"/>
      <c r="P43" s="18"/>
      <c r="Q43" s="16" t="s">
        <v>37</v>
      </c>
      <c r="R43" s="16" t="s">
        <v>37</v>
      </c>
      <c r="S43" s="16"/>
      <c r="T43" s="16"/>
      <c r="U43" s="16"/>
      <c r="V43" s="16"/>
      <c r="W43" s="16" t="s">
        <v>37</v>
      </c>
      <c r="X43" s="16" t="s">
        <v>37</v>
      </c>
      <c r="Y43" s="16" t="s">
        <v>28</v>
      </c>
      <c r="Z43" s="12" t="s">
        <v>156</v>
      </c>
    </row>
    <row r="44" customFormat="false" ht="15.75" hidden="false" customHeight="false" outlineLevel="0" collapsed="false">
      <c r="A44" s="13" t="n">
        <v>8178</v>
      </c>
      <c r="B44" s="14" t="n">
        <v>45589</v>
      </c>
      <c r="C44" s="15" t="s">
        <v>336</v>
      </c>
      <c r="D44" s="16" t="s">
        <v>24</v>
      </c>
      <c r="E44" s="16" t="s">
        <v>74</v>
      </c>
      <c r="F44" s="16" t="s">
        <v>337</v>
      </c>
      <c r="G44" s="16" t="s">
        <v>338</v>
      </c>
      <c r="H44" s="17" t="s">
        <v>28</v>
      </c>
      <c r="I44" s="16"/>
      <c r="J44" s="16" t="s">
        <v>28</v>
      </c>
      <c r="K44" s="16" t="s">
        <v>29</v>
      </c>
      <c r="L44" s="16" t="s">
        <v>29</v>
      </c>
      <c r="M44" s="16" t="s">
        <v>29</v>
      </c>
      <c r="N44" s="16" t="s">
        <v>339</v>
      </c>
      <c r="O44" s="16"/>
      <c r="P44" s="18"/>
      <c r="Q44" s="16" t="s">
        <v>28</v>
      </c>
      <c r="R44" s="17" t="s">
        <v>28</v>
      </c>
      <c r="S44" s="16" t="s">
        <v>73</v>
      </c>
      <c r="T44" s="16" t="s">
        <v>74</v>
      </c>
      <c r="U44" s="16" t="s">
        <v>36</v>
      </c>
      <c r="V44" s="16" t="s">
        <v>74</v>
      </c>
      <c r="W44" s="17" t="s">
        <v>28</v>
      </c>
      <c r="X44" s="17" t="s">
        <v>28</v>
      </c>
      <c r="Y44" s="16" t="s">
        <v>28</v>
      </c>
      <c r="Z44" s="12" t="s">
        <v>32</v>
      </c>
    </row>
    <row r="45" customFormat="false" ht="15.75" hidden="false" customHeight="false" outlineLevel="0" collapsed="false">
      <c r="A45" s="13" t="n">
        <v>8179</v>
      </c>
      <c r="B45" s="14" t="n">
        <v>45589</v>
      </c>
      <c r="C45" s="15" t="s">
        <v>142</v>
      </c>
      <c r="D45" s="16" t="s">
        <v>24</v>
      </c>
      <c r="E45" s="16" t="s">
        <v>25</v>
      </c>
      <c r="F45" s="16" t="s">
        <v>127</v>
      </c>
      <c r="G45" s="16" t="s">
        <v>340</v>
      </c>
      <c r="H45" s="17" t="s">
        <v>28</v>
      </c>
      <c r="I45" s="16"/>
      <c r="J45" s="16" t="s">
        <v>28</v>
      </c>
      <c r="K45" s="16" t="s">
        <v>29</v>
      </c>
      <c r="L45" s="16" t="s">
        <v>29</v>
      </c>
      <c r="M45" s="16" t="s">
        <v>29</v>
      </c>
      <c r="N45" s="16" t="s">
        <v>339</v>
      </c>
      <c r="O45" s="16"/>
      <c r="P45" s="18"/>
      <c r="Q45" s="16" t="s">
        <v>28</v>
      </c>
      <c r="R45" s="17" t="s">
        <v>28</v>
      </c>
      <c r="S45" s="16" t="s">
        <v>73</v>
      </c>
      <c r="T45" s="16" t="s">
        <v>74</v>
      </c>
      <c r="U45" s="16"/>
      <c r="V45" s="16" t="s">
        <v>74</v>
      </c>
      <c r="W45" s="17" t="s">
        <v>28</v>
      </c>
      <c r="X45" s="17" t="s">
        <v>28</v>
      </c>
      <c r="Y45" s="16" t="s">
        <v>28</v>
      </c>
      <c r="Z45" s="12" t="s">
        <v>32</v>
      </c>
    </row>
    <row r="46" customFormat="false" ht="15.75" hidden="false" customHeight="false" outlineLevel="0" collapsed="false">
      <c r="A46" s="13" t="n">
        <v>8180</v>
      </c>
      <c r="B46" s="14" t="n">
        <v>45589</v>
      </c>
      <c r="C46" s="15" t="s">
        <v>142</v>
      </c>
      <c r="D46" s="16" t="s">
        <v>24</v>
      </c>
      <c r="E46" s="16" t="s">
        <v>25</v>
      </c>
      <c r="F46" s="16" t="s">
        <v>127</v>
      </c>
      <c r="G46" s="16" t="s">
        <v>340</v>
      </c>
      <c r="H46" s="17" t="s">
        <v>28</v>
      </c>
      <c r="I46" s="16"/>
      <c r="J46" s="16" t="s">
        <v>28</v>
      </c>
      <c r="K46" s="16" t="s">
        <v>29</v>
      </c>
      <c r="L46" s="16" t="s">
        <v>29</v>
      </c>
      <c r="M46" s="16" t="s">
        <v>29</v>
      </c>
      <c r="N46" s="16" t="s">
        <v>339</v>
      </c>
      <c r="O46" s="16"/>
      <c r="P46" s="16"/>
      <c r="Q46" s="16" t="s">
        <v>28</v>
      </c>
      <c r="R46" s="17" t="s">
        <v>28</v>
      </c>
      <c r="S46" s="16" t="s">
        <v>29</v>
      </c>
      <c r="T46" s="16" t="s">
        <v>30</v>
      </c>
      <c r="U46" s="16" t="s">
        <v>341</v>
      </c>
      <c r="V46" s="16"/>
      <c r="W46" s="16" t="s">
        <v>37</v>
      </c>
      <c r="X46" s="16" t="s">
        <v>37</v>
      </c>
      <c r="Y46" s="16" t="s">
        <v>28</v>
      </c>
      <c r="Z46" s="12" t="s">
        <v>32</v>
      </c>
    </row>
    <row r="47" customFormat="false" ht="15.75" hidden="false" customHeight="false" outlineLevel="0" collapsed="false">
      <c r="A47" s="13" t="n">
        <v>8181</v>
      </c>
      <c r="B47" s="14" t="n">
        <v>45589</v>
      </c>
      <c r="C47" s="15" t="s">
        <v>142</v>
      </c>
      <c r="D47" s="16" t="s">
        <v>24</v>
      </c>
      <c r="E47" s="16" t="s">
        <v>25</v>
      </c>
      <c r="F47" s="16" t="s">
        <v>127</v>
      </c>
      <c r="G47" s="16" t="s">
        <v>340</v>
      </c>
      <c r="H47" s="17" t="s">
        <v>28</v>
      </c>
      <c r="I47" s="16"/>
      <c r="J47" s="16" t="s">
        <v>28</v>
      </c>
      <c r="K47" s="16" t="s">
        <v>29</v>
      </c>
      <c r="L47" s="16" t="s">
        <v>342</v>
      </c>
      <c r="M47" s="16" t="s">
        <v>29</v>
      </c>
      <c r="N47" s="16" t="s">
        <v>339</v>
      </c>
      <c r="O47" s="16"/>
      <c r="P47" s="16"/>
      <c r="Q47" s="16" t="s">
        <v>28</v>
      </c>
      <c r="R47" s="17" t="s">
        <v>28</v>
      </c>
      <c r="S47" s="16" t="s">
        <v>29</v>
      </c>
      <c r="T47" s="16" t="s">
        <v>30</v>
      </c>
      <c r="U47" s="16"/>
      <c r="V47" s="16" t="s">
        <v>74</v>
      </c>
      <c r="W47" s="17" t="s">
        <v>28</v>
      </c>
      <c r="X47" s="17" t="s">
        <v>28</v>
      </c>
      <c r="Y47" s="16" t="s">
        <v>28</v>
      </c>
      <c r="Z47" s="12" t="s">
        <v>32</v>
      </c>
    </row>
    <row r="48" customFormat="false" ht="15.75" hidden="false" customHeight="false" outlineLevel="0" collapsed="false">
      <c r="A48" s="13" t="n">
        <v>8182</v>
      </c>
      <c r="B48" s="14" t="n">
        <v>45589</v>
      </c>
      <c r="C48" s="15" t="s">
        <v>142</v>
      </c>
      <c r="D48" s="16" t="s">
        <v>24</v>
      </c>
      <c r="E48" s="16" t="s">
        <v>25</v>
      </c>
      <c r="F48" s="16" t="s">
        <v>127</v>
      </c>
      <c r="G48" s="16" t="s">
        <v>343</v>
      </c>
      <c r="H48" s="17" t="s">
        <v>28</v>
      </c>
      <c r="I48" s="16"/>
      <c r="J48" s="16" t="s">
        <v>28</v>
      </c>
      <c r="K48" s="16" t="s">
        <v>29</v>
      </c>
      <c r="L48" s="16" t="s">
        <v>29</v>
      </c>
      <c r="M48" s="16" t="s">
        <v>29</v>
      </c>
      <c r="N48" s="16" t="s">
        <v>339</v>
      </c>
      <c r="O48" s="16"/>
      <c r="P48" s="16"/>
      <c r="Q48" s="16" t="s">
        <v>28</v>
      </c>
      <c r="R48" s="17" t="s">
        <v>28</v>
      </c>
      <c r="S48" s="16" t="s">
        <v>29</v>
      </c>
      <c r="T48" s="16" t="s">
        <v>30</v>
      </c>
      <c r="U48" s="16"/>
      <c r="V48" s="16" t="s">
        <v>74</v>
      </c>
      <c r="W48" s="17" t="s">
        <v>28</v>
      </c>
      <c r="X48" s="17" t="s">
        <v>28</v>
      </c>
      <c r="Y48" s="16" t="s">
        <v>28</v>
      </c>
      <c r="Z48" s="12" t="s">
        <v>32</v>
      </c>
    </row>
    <row r="49" customFormat="false" ht="15.75" hidden="false" customHeight="false" outlineLevel="0" collapsed="false">
      <c r="A49" s="13" t="n">
        <v>8183</v>
      </c>
      <c r="B49" s="14" t="n">
        <v>45589</v>
      </c>
      <c r="C49" s="15" t="s">
        <v>142</v>
      </c>
      <c r="D49" s="16" t="s">
        <v>24</v>
      </c>
      <c r="E49" s="16" t="s">
        <v>25</v>
      </c>
      <c r="F49" s="16" t="s">
        <v>127</v>
      </c>
      <c r="G49" s="16" t="s">
        <v>343</v>
      </c>
      <c r="H49" s="17" t="s">
        <v>28</v>
      </c>
      <c r="I49" s="16"/>
      <c r="J49" s="16" t="s">
        <v>28</v>
      </c>
      <c r="K49" s="16" t="s">
        <v>29</v>
      </c>
      <c r="L49" s="16" t="s">
        <v>29</v>
      </c>
      <c r="M49" s="16" t="s">
        <v>29</v>
      </c>
      <c r="N49" s="16" t="s">
        <v>339</v>
      </c>
      <c r="O49" s="16"/>
      <c r="P49" s="16"/>
      <c r="Q49" s="16" t="s">
        <v>28</v>
      </c>
      <c r="R49" s="17" t="s">
        <v>28</v>
      </c>
      <c r="S49" s="16" t="s">
        <v>29</v>
      </c>
      <c r="T49" s="16" t="s">
        <v>30</v>
      </c>
      <c r="U49" s="16"/>
      <c r="V49" s="16" t="s">
        <v>74</v>
      </c>
      <c r="W49" s="17" t="s">
        <v>28</v>
      </c>
      <c r="X49" s="17" t="s">
        <v>28</v>
      </c>
      <c r="Y49" s="16" t="s">
        <v>28</v>
      </c>
      <c r="Z49" s="12" t="s">
        <v>32</v>
      </c>
    </row>
    <row r="50" customFormat="false" ht="15.75" hidden="false" customHeight="false" outlineLevel="0" collapsed="false">
      <c r="A50" s="13" t="n">
        <v>8184</v>
      </c>
      <c r="B50" s="14" t="n">
        <v>45589</v>
      </c>
      <c r="C50" s="15" t="s">
        <v>142</v>
      </c>
      <c r="D50" s="16" t="s">
        <v>24</v>
      </c>
      <c r="E50" s="16" t="s">
        <v>25</v>
      </c>
      <c r="F50" s="16" t="s">
        <v>127</v>
      </c>
      <c r="G50" s="16" t="s">
        <v>344</v>
      </c>
      <c r="H50" s="17" t="s">
        <v>28</v>
      </c>
      <c r="I50" s="16"/>
      <c r="J50" s="16" t="s">
        <v>28</v>
      </c>
      <c r="K50" s="16" t="s">
        <v>29</v>
      </c>
      <c r="L50" s="16" t="s">
        <v>29</v>
      </c>
      <c r="M50" s="16" t="s">
        <v>29</v>
      </c>
      <c r="N50" s="16" t="s">
        <v>339</v>
      </c>
      <c r="O50" s="16"/>
      <c r="P50" s="18"/>
      <c r="Q50" s="16" t="s">
        <v>28</v>
      </c>
      <c r="R50" s="17" t="s">
        <v>28</v>
      </c>
      <c r="S50" s="16" t="s">
        <v>29</v>
      </c>
      <c r="T50" s="16" t="s">
        <v>30</v>
      </c>
      <c r="U50" s="16"/>
      <c r="V50" s="16" t="s">
        <v>74</v>
      </c>
      <c r="W50" s="17" t="s">
        <v>28</v>
      </c>
      <c r="X50" s="17" t="s">
        <v>28</v>
      </c>
      <c r="Y50" s="16" t="s">
        <v>28</v>
      </c>
      <c r="Z50" s="12" t="s">
        <v>32</v>
      </c>
    </row>
    <row r="51" customFormat="false" ht="15.75" hidden="false" customHeight="false" outlineLevel="0" collapsed="false">
      <c r="A51" s="13" t="n">
        <v>8185</v>
      </c>
      <c r="B51" s="14" t="n">
        <v>45589</v>
      </c>
      <c r="C51" s="15" t="s">
        <v>142</v>
      </c>
      <c r="D51" s="16" t="s">
        <v>24</v>
      </c>
      <c r="E51" s="16" t="s">
        <v>25</v>
      </c>
      <c r="F51" s="16" t="s">
        <v>127</v>
      </c>
      <c r="G51" s="16" t="s">
        <v>340</v>
      </c>
      <c r="H51" s="17" t="s">
        <v>28</v>
      </c>
      <c r="I51" s="16"/>
      <c r="J51" s="16" t="s">
        <v>28</v>
      </c>
      <c r="K51" s="16" t="s">
        <v>29</v>
      </c>
      <c r="L51" s="16" t="s">
        <v>29</v>
      </c>
      <c r="M51" s="16" t="s">
        <v>29</v>
      </c>
      <c r="N51" s="16" t="s">
        <v>339</v>
      </c>
      <c r="O51" s="16"/>
      <c r="P51" s="18"/>
      <c r="Q51" s="16" t="s">
        <v>28</v>
      </c>
      <c r="R51" s="17" t="s">
        <v>28</v>
      </c>
      <c r="S51" s="16" t="s">
        <v>29</v>
      </c>
      <c r="T51" s="16" t="s">
        <v>30</v>
      </c>
      <c r="U51" s="16" t="s">
        <v>341</v>
      </c>
      <c r="V51" s="16"/>
      <c r="W51" s="16" t="s">
        <v>37</v>
      </c>
      <c r="X51" s="16" t="s">
        <v>37</v>
      </c>
      <c r="Y51" s="16" t="s">
        <v>28</v>
      </c>
      <c r="Z51" s="12" t="s">
        <v>32</v>
      </c>
    </row>
    <row r="52" customFormat="false" ht="15.75" hidden="false" customHeight="false" outlineLevel="0" collapsed="false">
      <c r="A52" s="13" t="n">
        <v>8186</v>
      </c>
      <c r="B52" s="14" t="n">
        <v>45589</v>
      </c>
      <c r="C52" s="15" t="s">
        <v>345</v>
      </c>
      <c r="D52" s="16" t="s">
        <v>24</v>
      </c>
      <c r="E52" s="16" t="s">
        <v>25</v>
      </c>
      <c r="F52" s="16" t="s">
        <v>127</v>
      </c>
      <c r="G52" s="16" t="s">
        <v>346</v>
      </c>
      <c r="H52" s="17" t="s">
        <v>28</v>
      </c>
      <c r="I52" s="16"/>
      <c r="J52" s="16" t="s">
        <v>28</v>
      </c>
      <c r="K52" s="16" t="s">
        <v>29</v>
      </c>
      <c r="L52" s="16" t="s">
        <v>29</v>
      </c>
      <c r="M52" s="16" t="s">
        <v>29</v>
      </c>
      <c r="N52" s="16" t="s">
        <v>29</v>
      </c>
      <c r="O52" s="16"/>
      <c r="P52" s="18"/>
      <c r="Q52" s="16" t="s">
        <v>37</v>
      </c>
      <c r="R52" s="16" t="s">
        <v>37</v>
      </c>
      <c r="S52" s="16"/>
      <c r="T52" s="16"/>
      <c r="U52" s="16"/>
      <c r="V52" s="16"/>
      <c r="W52" s="16" t="s">
        <v>37</v>
      </c>
      <c r="X52" s="16" t="s">
        <v>37</v>
      </c>
      <c r="Y52" s="16" t="s">
        <v>28</v>
      </c>
      <c r="Z52" s="12" t="s">
        <v>156</v>
      </c>
    </row>
    <row r="53" customFormat="false" ht="15.75" hidden="false" customHeight="false" outlineLevel="0" collapsed="false">
      <c r="A53" s="13" t="n">
        <v>8187</v>
      </c>
      <c r="B53" s="14" t="n">
        <v>45590</v>
      </c>
      <c r="C53" s="16" t="s">
        <v>347</v>
      </c>
      <c r="D53" s="16" t="s">
        <v>24</v>
      </c>
      <c r="E53" s="16" t="s">
        <v>25</v>
      </c>
      <c r="F53" s="16" t="s">
        <v>348</v>
      </c>
      <c r="G53" s="16" t="s">
        <v>349</v>
      </c>
      <c r="H53" s="17" t="s">
        <v>28</v>
      </c>
      <c r="I53" s="16"/>
      <c r="J53" s="16" t="s">
        <v>28</v>
      </c>
      <c r="K53" s="16" t="s">
        <v>29</v>
      </c>
      <c r="L53" s="16" t="s">
        <v>29</v>
      </c>
      <c r="M53" s="16" t="s">
        <v>29</v>
      </c>
      <c r="N53" s="16" t="n">
        <v>56957</v>
      </c>
      <c r="O53" s="16"/>
      <c r="P53" s="16"/>
      <c r="Q53" s="16" t="s">
        <v>28</v>
      </c>
      <c r="R53" s="17" t="s">
        <v>28</v>
      </c>
      <c r="S53" s="16" t="s">
        <v>73</v>
      </c>
      <c r="T53" s="16" t="s">
        <v>186</v>
      </c>
      <c r="U53" s="16"/>
      <c r="V53" s="16"/>
      <c r="W53" s="16" t="s">
        <v>37</v>
      </c>
      <c r="X53" s="16" t="s">
        <v>37</v>
      </c>
      <c r="Y53" s="16" t="s">
        <v>28</v>
      </c>
      <c r="Z53" s="12" t="s">
        <v>32</v>
      </c>
    </row>
    <row r="54" customFormat="false" ht="15.75" hidden="false" customHeight="false" outlineLevel="0" collapsed="false">
      <c r="A54" s="13" t="n">
        <v>8188</v>
      </c>
      <c r="B54" s="14" t="n">
        <v>45590</v>
      </c>
      <c r="C54" s="21" t="s">
        <v>350</v>
      </c>
      <c r="D54" s="16" t="s">
        <v>24</v>
      </c>
      <c r="E54" s="16" t="s">
        <v>34</v>
      </c>
      <c r="F54" s="16" t="s">
        <v>351</v>
      </c>
      <c r="G54" s="16"/>
      <c r="H54" s="16"/>
      <c r="I54" s="16"/>
      <c r="J54" s="16"/>
      <c r="K54" s="16" t="s">
        <v>36</v>
      </c>
      <c r="L54" s="16" t="s">
        <v>36</v>
      </c>
      <c r="M54" s="16" t="s">
        <v>36</v>
      </c>
      <c r="N54" s="16" t="s">
        <v>36</v>
      </c>
      <c r="O54" s="16" t="s">
        <v>36</v>
      </c>
      <c r="P54" s="16"/>
      <c r="Q54" s="16" t="s">
        <v>37</v>
      </c>
      <c r="R54" s="16" t="s">
        <v>37</v>
      </c>
      <c r="S54" s="16" t="s">
        <v>36</v>
      </c>
      <c r="T54" s="16" t="s">
        <v>36</v>
      </c>
      <c r="U54" s="16" t="s">
        <v>36</v>
      </c>
      <c r="V54" s="16" t="s">
        <v>36</v>
      </c>
      <c r="W54" s="16" t="s">
        <v>37</v>
      </c>
      <c r="X54" s="16" t="s">
        <v>37</v>
      </c>
      <c r="Y54" s="16" t="s">
        <v>37</v>
      </c>
      <c r="Z54" s="12" t="s">
        <v>40</v>
      </c>
    </row>
    <row r="55" customFormat="false" ht="15.75" hidden="false" customHeight="false" outlineLevel="0" collapsed="false">
      <c r="A55" s="13" t="n">
        <v>8189</v>
      </c>
      <c r="B55" s="14" t="n">
        <v>45590</v>
      </c>
      <c r="C55" s="15" t="s">
        <v>352</v>
      </c>
      <c r="D55" s="16" t="s">
        <v>24</v>
      </c>
      <c r="E55" s="16" t="s">
        <v>30</v>
      </c>
      <c r="F55" s="16" t="s">
        <v>353</v>
      </c>
      <c r="G55" s="16"/>
      <c r="H55" s="17" t="s">
        <v>28</v>
      </c>
      <c r="I55" s="16"/>
      <c r="J55" s="16" t="s">
        <v>28</v>
      </c>
      <c r="K55" s="16"/>
      <c r="L55" s="16"/>
      <c r="M55" s="16"/>
      <c r="N55" s="16"/>
      <c r="O55" s="16" t="s">
        <v>354</v>
      </c>
      <c r="P55" s="16"/>
      <c r="Q55" s="16" t="s">
        <v>37</v>
      </c>
      <c r="R55" s="16" t="s">
        <v>37</v>
      </c>
      <c r="S55" s="16"/>
      <c r="T55" s="16"/>
      <c r="U55" s="16"/>
      <c r="V55" s="16"/>
      <c r="W55" s="16" t="s">
        <v>37</v>
      </c>
      <c r="X55" s="16" t="s">
        <v>37</v>
      </c>
      <c r="Y55" s="16"/>
      <c r="Z55" s="12" t="s">
        <v>156</v>
      </c>
    </row>
    <row r="56" customFormat="false" ht="15.75" hidden="false" customHeight="false" outlineLevel="0" collapsed="false">
      <c r="A56" s="13" t="n">
        <v>8190</v>
      </c>
      <c r="B56" s="14" t="n">
        <v>45590</v>
      </c>
      <c r="C56" s="15" t="s">
        <v>41</v>
      </c>
      <c r="D56" s="16" t="s">
        <v>24</v>
      </c>
      <c r="E56" s="16" t="s">
        <v>30</v>
      </c>
      <c r="F56" s="16" t="s">
        <v>355</v>
      </c>
      <c r="G56" s="16" t="s">
        <v>356</v>
      </c>
      <c r="H56" s="17" t="s">
        <v>28</v>
      </c>
      <c r="I56" s="16"/>
      <c r="J56" s="16" t="s">
        <v>28</v>
      </c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 t="s">
        <v>58</v>
      </c>
      <c r="W56" s="17" t="s">
        <v>28</v>
      </c>
      <c r="X56" s="17" t="s">
        <v>28</v>
      </c>
      <c r="Y56" s="16" t="s">
        <v>28</v>
      </c>
      <c r="Z56" s="12" t="s">
        <v>48</v>
      </c>
    </row>
    <row r="57" customFormat="false" ht="15.75" hidden="false" customHeight="false" outlineLevel="0" collapsed="false">
      <c r="A57" s="13" t="n">
        <v>8191</v>
      </c>
      <c r="B57" s="14" t="n">
        <v>45590</v>
      </c>
      <c r="C57" s="15" t="s">
        <v>357</v>
      </c>
      <c r="D57" s="16" t="s">
        <v>24</v>
      </c>
      <c r="E57" s="16" t="s">
        <v>30</v>
      </c>
      <c r="F57" s="16" t="s">
        <v>358</v>
      </c>
      <c r="G57" s="16" t="s">
        <v>356</v>
      </c>
      <c r="H57" s="17" t="s">
        <v>28</v>
      </c>
      <c r="I57" s="16"/>
      <c r="J57" s="16" t="s">
        <v>28</v>
      </c>
      <c r="K57" s="16"/>
      <c r="L57" s="16"/>
      <c r="M57" s="16"/>
      <c r="N57" s="16"/>
      <c r="O57" s="16"/>
      <c r="P57" s="18"/>
      <c r="Q57" s="16"/>
      <c r="R57" s="16"/>
      <c r="S57" s="16"/>
      <c r="T57" s="16"/>
      <c r="U57" s="16"/>
      <c r="V57" s="16"/>
      <c r="W57" s="16"/>
      <c r="X57" s="16"/>
      <c r="Y57" s="16" t="s">
        <v>28</v>
      </c>
      <c r="Z57" s="12" t="s">
        <v>48</v>
      </c>
    </row>
    <row r="58" customFormat="false" ht="15.75" hidden="false" customHeight="false" outlineLevel="0" collapsed="false">
      <c r="A58" s="13" t="n">
        <v>8192</v>
      </c>
      <c r="B58" s="14" t="n">
        <v>45594</v>
      </c>
      <c r="C58" s="16" t="s">
        <v>188</v>
      </c>
      <c r="D58" s="16" t="s">
        <v>24</v>
      </c>
      <c r="E58" s="16" t="s">
        <v>34</v>
      </c>
      <c r="F58" s="16" t="s">
        <v>359</v>
      </c>
      <c r="G58" s="16"/>
      <c r="H58" s="16" t="s">
        <v>37</v>
      </c>
      <c r="I58" s="16"/>
      <c r="J58" s="16" t="s">
        <v>37</v>
      </c>
      <c r="K58" s="16"/>
      <c r="L58" s="16"/>
      <c r="M58" s="16"/>
      <c r="N58" s="16"/>
      <c r="O58" s="16"/>
      <c r="P58" s="18"/>
      <c r="Q58" s="16" t="s">
        <v>37</v>
      </c>
      <c r="R58" s="16" t="s">
        <v>37</v>
      </c>
      <c r="S58" s="16"/>
      <c r="T58" s="16"/>
      <c r="U58" s="16"/>
      <c r="V58" s="16"/>
      <c r="W58" s="16" t="s">
        <v>37</v>
      </c>
      <c r="X58" s="16" t="s">
        <v>37</v>
      </c>
      <c r="Y58" s="16" t="s">
        <v>28</v>
      </c>
      <c r="Z58" s="12" t="s">
        <v>32</v>
      </c>
    </row>
    <row r="59" customFormat="false" ht="15.75" hidden="false" customHeight="false" outlineLevel="0" collapsed="false">
      <c r="A59" s="13" t="n">
        <v>8193</v>
      </c>
      <c r="B59" s="14" t="n">
        <v>45594</v>
      </c>
      <c r="C59" s="16" t="s">
        <v>188</v>
      </c>
      <c r="D59" s="16" t="s">
        <v>24</v>
      </c>
      <c r="E59" s="16" t="s">
        <v>34</v>
      </c>
      <c r="F59" s="16" t="s">
        <v>360</v>
      </c>
      <c r="G59" s="16"/>
      <c r="H59" s="16" t="s">
        <v>37</v>
      </c>
      <c r="I59" s="16"/>
      <c r="J59" s="16" t="s">
        <v>37</v>
      </c>
      <c r="K59" s="16"/>
      <c r="L59" s="16"/>
      <c r="M59" s="16"/>
      <c r="N59" s="16"/>
      <c r="O59" s="16"/>
      <c r="P59" s="18"/>
      <c r="Q59" s="16" t="s">
        <v>37</v>
      </c>
      <c r="R59" s="16" t="s">
        <v>37</v>
      </c>
      <c r="S59" s="16"/>
      <c r="T59" s="16"/>
      <c r="U59" s="16"/>
      <c r="V59" s="16"/>
      <c r="W59" s="16" t="s">
        <v>37</v>
      </c>
      <c r="X59" s="16" t="s">
        <v>37</v>
      </c>
      <c r="Y59" s="16" t="s">
        <v>28</v>
      </c>
      <c r="Z59" s="12" t="s">
        <v>32</v>
      </c>
    </row>
    <row r="60" customFormat="false" ht="15.75" hidden="false" customHeight="false" outlineLevel="0" collapsed="false">
      <c r="A60" s="21" t="n">
        <v>8194</v>
      </c>
      <c r="B60" s="29" t="n">
        <v>45594</v>
      </c>
      <c r="C60" s="21" t="s">
        <v>41</v>
      </c>
      <c r="D60" s="21" t="s">
        <v>24</v>
      </c>
      <c r="E60" s="21" t="s">
        <v>25</v>
      </c>
      <c r="F60" s="21" t="s">
        <v>361</v>
      </c>
      <c r="G60" s="30"/>
      <c r="H60" s="45" t="s">
        <v>28</v>
      </c>
      <c r="I60" s="31"/>
      <c r="J60" s="21" t="s">
        <v>28</v>
      </c>
      <c r="K60" s="21" t="s">
        <v>29</v>
      </c>
      <c r="L60" s="21" t="s">
        <v>29</v>
      </c>
      <c r="M60" s="21" t="s">
        <v>29</v>
      </c>
      <c r="N60" s="21" t="s">
        <v>362</v>
      </c>
      <c r="O60" s="21"/>
      <c r="P60" s="30"/>
      <c r="Q60" s="21" t="s">
        <v>37</v>
      </c>
      <c r="R60" s="21" t="s">
        <v>37</v>
      </c>
      <c r="S60" s="21"/>
      <c r="T60" s="32"/>
      <c r="U60" s="32"/>
      <c r="V60" s="21"/>
      <c r="W60" s="21" t="s">
        <v>37</v>
      </c>
      <c r="X60" s="21" t="s">
        <v>37</v>
      </c>
      <c r="Y60" s="21" t="s">
        <v>28</v>
      </c>
      <c r="Z60" s="12" t="s">
        <v>32</v>
      </c>
    </row>
    <row r="61" customFormat="false" ht="15.75" hidden="false" customHeight="false" outlineLevel="0" collapsed="false">
      <c r="A61" s="21" t="n">
        <v>8195</v>
      </c>
      <c r="B61" s="29" t="n">
        <v>45595</v>
      </c>
      <c r="C61" s="21" t="s">
        <v>65</v>
      </c>
      <c r="D61" s="21" t="s">
        <v>24</v>
      </c>
      <c r="E61" s="21" t="s">
        <v>25</v>
      </c>
      <c r="F61" s="21" t="s">
        <v>363</v>
      </c>
      <c r="G61" s="30"/>
      <c r="H61" s="45" t="s">
        <v>28</v>
      </c>
      <c r="I61" s="31"/>
      <c r="J61" s="21" t="s">
        <v>28</v>
      </c>
      <c r="K61" s="21" t="s">
        <v>29</v>
      </c>
      <c r="L61" s="21" t="s">
        <v>29</v>
      </c>
      <c r="M61" s="21" t="s">
        <v>29</v>
      </c>
      <c r="N61" s="21" t="s">
        <v>29</v>
      </c>
      <c r="O61" s="21"/>
      <c r="P61" s="30"/>
      <c r="Q61" s="21"/>
      <c r="R61" s="21"/>
      <c r="S61" s="21"/>
      <c r="T61" s="32"/>
      <c r="U61" s="32"/>
      <c r="V61" s="21" t="s">
        <v>58</v>
      </c>
      <c r="W61" s="46" t="s">
        <v>28</v>
      </c>
      <c r="X61" s="46" t="s">
        <v>28</v>
      </c>
      <c r="Y61" s="21" t="s">
        <v>28</v>
      </c>
      <c r="Z61" s="12" t="s">
        <v>32</v>
      </c>
    </row>
    <row r="62" customFormat="false" ht="15.75" hidden="false" customHeight="false" outlineLevel="0" collapsed="false">
      <c r="A62" s="21" t="n">
        <v>8196</v>
      </c>
      <c r="B62" s="29" t="n">
        <v>45595</v>
      </c>
      <c r="C62" s="21" t="s">
        <v>142</v>
      </c>
      <c r="D62" s="21" t="s">
        <v>24</v>
      </c>
      <c r="E62" s="21" t="s">
        <v>25</v>
      </c>
      <c r="F62" s="21" t="s">
        <v>364</v>
      </c>
      <c r="G62" s="30" t="s">
        <v>365</v>
      </c>
      <c r="H62" s="45" t="s">
        <v>28</v>
      </c>
      <c r="I62" s="31"/>
      <c r="J62" s="21" t="s">
        <v>28</v>
      </c>
      <c r="K62" s="21" t="s">
        <v>29</v>
      </c>
      <c r="L62" s="21" t="s">
        <v>29</v>
      </c>
      <c r="M62" s="21" t="s">
        <v>29</v>
      </c>
      <c r="N62" s="21" t="s">
        <v>366</v>
      </c>
      <c r="O62" s="21"/>
      <c r="P62" s="30"/>
      <c r="Q62" s="21" t="s">
        <v>28</v>
      </c>
      <c r="R62" s="46" t="s">
        <v>28</v>
      </c>
      <c r="S62" s="21"/>
      <c r="T62" s="32" t="s">
        <v>74</v>
      </c>
      <c r="U62" s="32"/>
      <c r="V62" s="21" t="s">
        <v>74</v>
      </c>
      <c r="W62" s="46" t="s">
        <v>28</v>
      </c>
      <c r="X62" s="46" t="s">
        <v>28</v>
      </c>
      <c r="Y62" s="21" t="s">
        <v>28</v>
      </c>
      <c r="Z62" s="12" t="s">
        <v>32</v>
      </c>
    </row>
    <row r="63" customFormat="false" ht="15.75" hidden="false" customHeight="false" outlineLevel="0" collapsed="false">
      <c r="A63" s="21" t="n">
        <v>8197</v>
      </c>
      <c r="B63" s="29" t="n">
        <v>45595</v>
      </c>
      <c r="C63" s="21" t="s">
        <v>142</v>
      </c>
      <c r="D63" s="21" t="s">
        <v>24</v>
      </c>
      <c r="E63" s="21" t="s">
        <v>25</v>
      </c>
      <c r="F63" s="21" t="s">
        <v>367</v>
      </c>
      <c r="G63" s="30" t="s">
        <v>368</v>
      </c>
      <c r="H63" s="45" t="s">
        <v>28</v>
      </c>
      <c r="I63" s="31"/>
      <c r="J63" s="21" t="s">
        <v>28</v>
      </c>
      <c r="K63" s="21" t="s">
        <v>29</v>
      </c>
      <c r="L63" s="21" t="s">
        <v>29</v>
      </c>
      <c r="M63" s="21" t="s">
        <v>29</v>
      </c>
      <c r="N63" s="21" t="s">
        <v>366</v>
      </c>
      <c r="O63" s="21"/>
      <c r="P63" s="30"/>
      <c r="Q63" s="21" t="s">
        <v>28</v>
      </c>
      <c r="R63" s="46" t="s">
        <v>28</v>
      </c>
      <c r="S63" s="21"/>
      <c r="T63" s="32" t="s">
        <v>30</v>
      </c>
      <c r="U63" s="32"/>
      <c r="V63" s="21" t="s">
        <v>58</v>
      </c>
      <c r="W63" s="46" t="s">
        <v>28</v>
      </c>
      <c r="X63" s="46" t="s">
        <v>28</v>
      </c>
      <c r="Y63" s="21" t="s">
        <v>28</v>
      </c>
      <c r="Z63" s="12" t="s">
        <v>32</v>
      </c>
    </row>
    <row r="64" customFormat="false" ht="15.75" hidden="false" customHeight="false" outlineLevel="0" collapsed="false">
      <c r="A64" s="21" t="n">
        <v>8198</v>
      </c>
      <c r="B64" s="29" t="n">
        <v>45595</v>
      </c>
      <c r="C64" s="21" t="s">
        <v>188</v>
      </c>
      <c r="D64" s="21" t="s">
        <v>24</v>
      </c>
      <c r="E64" s="21" t="s">
        <v>34</v>
      </c>
      <c r="F64" s="21" t="s">
        <v>369</v>
      </c>
      <c r="G64" s="30" t="s">
        <v>36</v>
      </c>
      <c r="H64" s="31" t="s">
        <v>37</v>
      </c>
      <c r="I64" s="31"/>
      <c r="J64" s="21" t="s">
        <v>37</v>
      </c>
      <c r="K64" s="21" t="s">
        <v>36</v>
      </c>
      <c r="L64" s="21" t="s">
        <v>36</v>
      </c>
      <c r="M64" s="21" t="s">
        <v>36</v>
      </c>
      <c r="N64" s="21" t="s">
        <v>36</v>
      </c>
      <c r="O64" s="21" t="s">
        <v>36</v>
      </c>
      <c r="P64" s="30"/>
      <c r="Q64" s="21" t="s">
        <v>37</v>
      </c>
      <c r="R64" s="21" t="s">
        <v>37</v>
      </c>
      <c r="S64" s="21"/>
      <c r="T64" s="32"/>
      <c r="U64" s="32"/>
      <c r="V64" s="21"/>
      <c r="W64" s="21" t="s">
        <v>37</v>
      </c>
      <c r="X64" s="21" t="s">
        <v>37</v>
      </c>
      <c r="Y64" s="21" t="s">
        <v>37</v>
      </c>
      <c r="Z64" s="12" t="s">
        <v>40</v>
      </c>
    </row>
    <row r="65" customFormat="false" ht="27" hidden="false" customHeight="false" outlineLevel="0" collapsed="false">
      <c r="A65" s="21" t="n">
        <v>8199</v>
      </c>
      <c r="B65" s="33" t="n">
        <v>45595</v>
      </c>
      <c r="C65" s="21" t="s">
        <v>370</v>
      </c>
      <c r="D65" s="21" t="s">
        <v>24</v>
      </c>
      <c r="E65" s="21" t="s">
        <v>34</v>
      </c>
      <c r="F65" s="21" t="s">
        <v>371</v>
      </c>
      <c r="G65" s="30"/>
      <c r="H65" s="31" t="s">
        <v>37</v>
      </c>
      <c r="I65" s="31"/>
      <c r="J65" s="21" t="s">
        <v>37</v>
      </c>
      <c r="K65" s="21"/>
      <c r="L65" s="21"/>
      <c r="M65" s="21"/>
      <c r="N65" s="21"/>
      <c r="O65" s="21"/>
      <c r="P65" s="30"/>
      <c r="Q65" s="21" t="s">
        <v>37</v>
      </c>
      <c r="R65" s="21" t="s">
        <v>37</v>
      </c>
      <c r="S65" s="21"/>
      <c r="T65" s="32"/>
      <c r="U65" s="32"/>
      <c r="V65" s="21"/>
      <c r="W65" s="21" t="s">
        <v>37</v>
      </c>
      <c r="X65" s="21" t="s">
        <v>37</v>
      </c>
      <c r="Y65" s="21" t="s">
        <v>37</v>
      </c>
      <c r="Z65" s="12" t="s">
        <v>48</v>
      </c>
    </row>
    <row r="66" customFormat="false" ht="15.75" hidden="false" customHeight="false" outlineLevel="0" collapsed="false">
      <c r="A66" s="21" t="n">
        <v>8200</v>
      </c>
      <c r="B66" s="29" t="n">
        <v>45596</v>
      </c>
      <c r="C66" s="21" t="s">
        <v>372</v>
      </c>
      <c r="D66" s="21" t="s">
        <v>24</v>
      </c>
      <c r="E66" s="21" t="s">
        <v>272</v>
      </c>
      <c r="F66" s="21" t="s">
        <v>373</v>
      </c>
      <c r="G66" s="30"/>
      <c r="H66" s="31" t="s">
        <v>37</v>
      </c>
      <c r="I66" s="31"/>
      <c r="J66" s="21" t="s">
        <v>37</v>
      </c>
      <c r="K66" s="21"/>
      <c r="L66" s="21"/>
      <c r="M66" s="21"/>
      <c r="N66" s="21"/>
      <c r="O66" s="21"/>
      <c r="P66" s="30"/>
      <c r="Q66" s="21"/>
      <c r="R66" s="21"/>
      <c r="S66" s="21"/>
      <c r="T66" s="32"/>
      <c r="U66" s="32"/>
      <c r="V66" s="21"/>
      <c r="W66" s="21" t="s">
        <v>37</v>
      </c>
      <c r="X66" s="21" t="s">
        <v>37</v>
      </c>
      <c r="Y66" s="21" t="s">
        <v>28</v>
      </c>
      <c r="Z66" s="12" t="s">
        <v>32</v>
      </c>
    </row>
    <row r="67" customFormat="false" ht="15.75" hidden="false" customHeight="false" outlineLevel="0" collapsed="false">
      <c r="A67" s="21" t="n">
        <v>8201</v>
      </c>
      <c r="B67" s="29" t="n">
        <v>45596</v>
      </c>
      <c r="C67" s="21" t="s">
        <v>374</v>
      </c>
      <c r="D67" s="21" t="s">
        <v>24</v>
      </c>
      <c r="E67" s="21" t="s">
        <v>25</v>
      </c>
      <c r="F67" s="21" t="s">
        <v>375</v>
      </c>
      <c r="G67" s="30" t="s">
        <v>376</v>
      </c>
      <c r="H67" s="45" t="s">
        <v>28</v>
      </c>
      <c r="I67" s="31"/>
      <c r="J67" s="21" t="s">
        <v>28</v>
      </c>
      <c r="K67" s="21" t="s">
        <v>29</v>
      </c>
      <c r="L67" s="21" t="s">
        <v>29</v>
      </c>
      <c r="M67" s="21" t="s">
        <v>29</v>
      </c>
      <c r="N67" s="21" t="n">
        <v>2827</v>
      </c>
      <c r="O67" s="21"/>
      <c r="P67" s="30"/>
      <c r="Q67" s="21" t="s">
        <v>28</v>
      </c>
      <c r="R67" s="46" t="s">
        <v>28</v>
      </c>
      <c r="S67" s="21"/>
      <c r="T67" s="32" t="s">
        <v>25</v>
      </c>
      <c r="U67" s="32"/>
      <c r="V67" s="21" t="s">
        <v>74</v>
      </c>
      <c r="W67" s="46" t="s">
        <v>28</v>
      </c>
      <c r="X67" s="46" t="s">
        <v>28</v>
      </c>
      <c r="Y67" s="21" t="s">
        <v>28</v>
      </c>
      <c r="Z67" s="12" t="s">
        <v>32</v>
      </c>
    </row>
    <row r="68" customFormat="false" ht="15.75" hidden="false" customHeight="false" outlineLevel="0" collapsed="false">
      <c r="A68" s="21" t="n">
        <v>8202</v>
      </c>
      <c r="B68" s="29" t="n">
        <v>45596</v>
      </c>
      <c r="C68" s="21" t="s">
        <v>374</v>
      </c>
      <c r="D68" s="21" t="s">
        <v>24</v>
      </c>
      <c r="E68" s="21" t="s">
        <v>25</v>
      </c>
      <c r="F68" s="21" t="s">
        <v>377</v>
      </c>
      <c r="G68" s="30"/>
      <c r="H68" s="45" t="s">
        <v>28</v>
      </c>
      <c r="I68" s="31"/>
      <c r="J68" s="21" t="s">
        <v>28</v>
      </c>
      <c r="K68" s="21" t="s">
        <v>36</v>
      </c>
      <c r="L68" s="21" t="s">
        <v>36</v>
      </c>
      <c r="M68" s="21" t="s">
        <v>36</v>
      </c>
      <c r="N68" s="21" t="n">
        <v>2828</v>
      </c>
      <c r="O68" s="21"/>
      <c r="P68" s="30"/>
      <c r="Q68" s="21" t="s">
        <v>28</v>
      </c>
      <c r="R68" s="46" t="s">
        <v>28</v>
      </c>
      <c r="S68" s="21"/>
      <c r="T68" s="32" t="s">
        <v>30</v>
      </c>
      <c r="U68" s="32"/>
      <c r="V68" s="21" t="s">
        <v>58</v>
      </c>
      <c r="W68" s="46" t="s">
        <v>28</v>
      </c>
      <c r="X68" s="46" t="s">
        <v>28</v>
      </c>
      <c r="Y68" s="21" t="s">
        <v>28</v>
      </c>
      <c r="Z68" s="12" t="s">
        <v>32</v>
      </c>
    </row>
    <row r="69" customFormat="false" ht="15.75" hidden="false" customHeight="false" outlineLevel="0" collapsed="false">
      <c r="B69" s="34"/>
      <c r="D69" s="12"/>
      <c r="E69" s="12"/>
      <c r="G69" s="18"/>
      <c r="H69" s="35"/>
      <c r="I69" s="35"/>
      <c r="J69" s="12"/>
      <c r="P69" s="18"/>
      <c r="Q69" s="12"/>
      <c r="R69" s="12"/>
      <c r="T69" s="36"/>
      <c r="U69" s="36"/>
      <c r="V69" s="12"/>
      <c r="W69" s="12"/>
      <c r="X69" s="12"/>
      <c r="Y69" s="12"/>
    </row>
    <row r="70" customFormat="false" ht="15.75" hidden="false" customHeight="false" outlineLevel="0" collapsed="false">
      <c r="B70" s="34"/>
      <c r="D70" s="12"/>
      <c r="E70" s="12"/>
      <c r="G70" s="18"/>
      <c r="H70" s="35"/>
      <c r="I70" s="35"/>
      <c r="J70" s="12"/>
      <c r="P70" s="18"/>
      <c r="Q70" s="12"/>
      <c r="R70" s="12"/>
      <c r="T70" s="36"/>
      <c r="U70" s="36"/>
      <c r="V70" s="12"/>
      <c r="W70" s="12"/>
      <c r="X70" s="12"/>
      <c r="Y70" s="12"/>
    </row>
    <row r="71" customFormat="false" ht="15.75" hidden="false" customHeight="false" outlineLevel="0" collapsed="false">
      <c r="B71" s="34"/>
      <c r="D71" s="12"/>
      <c r="E71" s="12"/>
      <c r="G71" s="18"/>
      <c r="H71" s="35"/>
      <c r="I71" s="35"/>
      <c r="J71" s="12"/>
      <c r="P71" s="18"/>
      <c r="Q71" s="12"/>
      <c r="R71" s="12"/>
      <c r="T71" s="36"/>
      <c r="U71" s="36"/>
      <c r="V71" s="12"/>
      <c r="W71" s="12"/>
      <c r="X71" s="12"/>
      <c r="Y71" s="12"/>
    </row>
    <row r="72" customFormat="false" ht="15.75" hidden="false" customHeight="false" outlineLevel="0" collapsed="false">
      <c r="B72" s="34"/>
      <c r="D72" s="12"/>
      <c r="E72" s="12"/>
      <c r="G72" s="18"/>
      <c r="H72" s="35"/>
      <c r="I72" s="35"/>
      <c r="J72" s="12"/>
      <c r="P72" s="18"/>
      <c r="Q72" s="12"/>
      <c r="R72" s="12"/>
      <c r="T72" s="36"/>
      <c r="U72" s="36"/>
      <c r="V72" s="12"/>
      <c r="W72" s="12"/>
      <c r="X72" s="12"/>
      <c r="Y72" s="12"/>
    </row>
    <row r="73" customFormat="false" ht="15.75" hidden="false" customHeight="false" outlineLevel="0" collapsed="false">
      <c r="B73" s="34"/>
      <c r="D73" s="12"/>
      <c r="E73" s="12"/>
      <c r="G73" s="18"/>
      <c r="H73" s="35"/>
      <c r="I73" s="35"/>
      <c r="J73" s="12"/>
      <c r="P73" s="18"/>
      <c r="Q73" s="12"/>
      <c r="R73" s="12"/>
      <c r="T73" s="36"/>
      <c r="U73" s="36"/>
      <c r="V73" s="12"/>
      <c r="W73" s="12"/>
      <c r="X73" s="12"/>
      <c r="Y73" s="12"/>
    </row>
    <row r="74" customFormat="false" ht="15.75" hidden="false" customHeight="false" outlineLevel="0" collapsed="false">
      <c r="B74" s="34"/>
      <c r="D74" s="12"/>
      <c r="E74" s="12"/>
      <c r="G74" s="18"/>
      <c r="H74" s="35"/>
      <c r="I74" s="35"/>
      <c r="J74" s="12"/>
      <c r="P74" s="18"/>
      <c r="Q74" s="12"/>
      <c r="R74" s="12"/>
      <c r="T74" s="36"/>
      <c r="U74" s="36"/>
      <c r="V74" s="12"/>
      <c r="W74" s="12"/>
      <c r="X74" s="12"/>
      <c r="Y74" s="12"/>
    </row>
    <row r="75" customFormat="false" ht="15.75" hidden="false" customHeight="false" outlineLevel="0" collapsed="false">
      <c r="B75" s="34"/>
      <c r="D75" s="12"/>
      <c r="E75" s="12"/>
      <c r="G75" s="18"/>
      <c r="H75" s="35"/>
      <c r="I75" s="35"/>
      <c r="J75" s="12"/>
      <c r="P75" s="18"/>
      <c r="Q75" s="12"/>
      <c r="R75" s="12"/>
      <c r="T75" s="36"/>
      <c r="U75" s="36"/>
      <c r="V75" s="12"/>
      <c r="W75" s="12"/>
      <c r="X75" s="12"/>
      <c r="Y75" s="12"/>
    </row>
    <row r="76" customFormat="false" ht="15.75" hidden="false" customHeight="false" outlineLevel="0" collapsed="false">
      <c r="B76" s="34"/>
      <c r="D76" s="12"/>
      <c r="E76" s="12"/>
      <c r="G76" s="18"/>
      <c r="H76" s="35"/>
      <c r="I76" s="35"/>
      <c r="J76" s="12"/>
      <c r="P76" s="18"/>
      <c r="Q76" s="12"/>
      <c r="R76" s="12"/>
      <c r="T76" s="36"/>
      <c r="U76" s="36"/>
      <c r="V76" s="12"/>
      <c r="W76" s="12"/>
      <c r="X76" s="12"/>
      <c r="Y76" s="12"/>
    </row>
    <row r="77" customFormat="false" ht="15.75" hidden="false" customHeight="false" outlineLevel="0" collapsed="false">
      <c r="B77" s="34"/>
      <c r="D77" s="12"/>
      <c r="E77" s="12"/>
      <c r="G77" s="18"/>
      <c r="H77" s="35"/>
      <c r="I77" s="35"/>
      <c r="J77" s="12"/>
      <c r="P77" s="18"/>
      <c r="Q77" s="12"/>
      <c r="R77" s="12"/>
      <c r="T77" s="36"/>
      <c r="U77" s="36"/>
      <c r="V77" s="12"/>
      <c r="W77" s="12"/>
      <c r="X77" s="12"/>
      <c r="Y77" s="12"/>
    </row>
    <row r="78" customFormat="false" ht="15.75" hidden="false" customHeight="false" outlineLevel="0" collapsed="false">
      <c r="B78" s="34"/>
      <c r="D78" s="12"/>
      <c r="E78" s="12"/>
      <c r="G78" s="18"/>
      <c r="H78" s="35"/>
      <c r="I78" s="35"/>
      <c r="J78" s="12"/>
      <c r="P78" s="18"/>
      <c r="Q78" s="12"/>
      <c r="R78" s="12"/>
      <c r="T78" s="36"/>
      <c r="U78" s="36"/>
      <c r="V78" s="12"/>
      <c r="W78" s="12"/>
      <c r="X78" s="12"/>
      <c r="Y78" s="12"/>
    </row>
    <row r="79" customFormat="false" ht="15.75" hidden="false" customHeight="false" outlineLevel="0" collapsed="false">
      <c r="B79" s="34"/>
      <c r="D79" s="12"/>
      <c r="E79" s="12"/>
      <c r="G79" s="18"/>
      <c r="H79" s="35"/>
      <c r="I79" s="35"/>
      <c r="J79" s="12"/>
      <c r="P79" s="18"/>
      <c r="Q79" s="12"/>
      <c r="R79" s="12"/>
      <c r="T79" s="36"/>
      <c r="U79" s="36"/>
      <c r="V79" s="12"/>
      <c r="W79" s="12"/>
      <c r="X79" s="12"/>
      <c r="Y79" s="12"/>
    </row>
    <row r="80" customFormat="false" ht="15.75" hidden="false" customHeight="false" outlineLevel="0" collapsed="false">
      <c r="B80" s="34"/>
      <c r="D80" s="12"/>
      <c r="E80" s="12"/>
      <c r="G80" s="18"/>
      <c r="H80" s="35"/>
      <c r="I80" s="35"/>
      <c r="J80" s="12"/>
      <c r="P80" s="18"/>
      <c r="Q80" s="12"/>
      <c r="R80" s="12"/>
      <c r="T80" s="36"/>
      <c r="U80" s="36"/>
      <c r="V80" s="12"/>
      <c r="W80" s="12"/>
      <c r="X80" s="12"/>
      <c r="Y80" s="12"/>
    </row>
    <row r="81" customFormat="false" ht="15.75" hidden="false" customHeight="false" outlineLevel="0" collapsed="false">
      <c r="B81" s="34"/>
      <c r="D81" s="12"/>
      <c r="E81" s="12"/>
      <c r="G81" s="18"/>
      <c r="H81" s="35"/>
      <c r="I81" s="35"/>
      <c r="J81" s="12"/>
      <c r="P81" s="18"/>
      <c r="Q81" s="12"/>
      <c r="R81" s="12"/>
      <c r="T81" s="36"/>
      <c r="U81" s="36"/>
      <c r="V81" s="12"/>
      <c r="W81" s="12"/>
      <c r="X81" s="12"/>
      <c r="Y81" s="12"/>
    </row>
    <row r="82" customFormat="false" ht="15.75" hidden="false" customHeight="false" outlineLevel="0" collapsed="false">
      <c r="B82" s="34"/>
      <c r="D82" s="12"/>
      <c r="E82" s="12"/>
      <c r="G82" s="18"/>
      <c r="H82" s="35"/>
      <c r="I82" s="35"/>
      <c r="J82" s="12"/>
      <c r="P82" s="18"/>
      <c r="Q82" s="12"/>
      <c r="R82" s="12"/>
      <c r="T82" s="36"/>
      <c r="U82" s="36"/>
      <c r="V82" s="12"/>
      <c r="W82" s="12"/>
      <c r="X82" s="12"/>
      <c r="Y82" s="12"/>
    </row>
    <row r="83" customFormat="false" ht="15.75" hidden="false" customHeight="false" outlineLevel="0" collapsed="false">
      <c r="B83" s="34"/>
      <c r="D83" s="12"/>
      <c r="E83" s="12"/>
      <c r="G83" s="18"/>
      <c r="H83" s="35"/>
      <c r="I83" s="35"/>
      <c r="J83" s="12"/>
      <c r="P83" s="18"/>
      <c r="Q83" s="12"/>
      <c r="R83" s="12"/>
      <c r="T83" s="36"/>
      <c r="U83" s="36"/>
      <c r="V83" s="12"/>
      <c r="W83" s="12"/>
      <c r="X83" s="12"/>
      <c r="Y83" s="12"/>
    </row>
    <row r="84" customFormat="false" ht="15.75" hidden="false" customHeight="false" outlineLevel="0" collapsed="false">
      <c r="B84" s="34"/>
      <c r="D84" s="12"/>
      <c r="E84" s="12"/>
      <c r="G84" s="18"/>
      <c r="H84" s="35"/>
      <c r="I84" s="35"/>
      <c r="J84" s="12"/>
      <c r="P84" s="18"/>
      <c r="Q84" s="12"/>
      <c r="R84" s="12"/>
      <c r="T84" s="36"/>
      <c r="U84" s="36"/>
      <c r="V84" s="12"/>
      <c r="W84" s="12"/>
      <c r="X84" s="12"/>
      <c r="Y84" s="12"/>
    </row>
    <row r="85" customFormat="false" ht="15.75" hidden="false" customHeight="false" outlineLevel="0" collapsed="false">
      <c r="B85" s="34"/>
      <c r="D85" s="12"/>
      <c r="E85" s="12"/>
      <c r="G85" s="18"/>
      <c r="H85" s="35"/>
      <c r="I85" s="35"/>
      <c r="J85" s="12"/>
      <c r="P85" s="18"/>
      <c r="Q85" s="12"/>
      <c r="R85" s="12"/>
      <c r="T85" s="36"/>
      <c r="U85" s="36"/>
      <c r="V85" s="12"/>
      <c r="W85" s="12"/>
      <c r="X85" s="12"/>
      <c r="Y85" s="12"/>
    </row>
    <row r="86" customFormat="false" ht="15.75" hidden="false" customHeight="false" outlineLevel="0" collapsed="false">
      <c r="A86" s="12"/>
      <c r="B86" s="34"/>
      <c r="C86" s="12"/>
      <c r="D86" s="12"/>
      <c r="E86" s="12"/>
      <c r="F86" s="12"/>
      <c r="G86" s="18"/>
      <c r="H86" s="35"/>
      <c r="I86" s="35"/>
      <c r="J86" s="12"/>
      <c r="O86" s="12"/>
      <c r="P86" s="18"/>
      <c r="Q86" s="12"/>
      <c r="R86" s="12"/>
      <c r="S86" s="12"/>
      <c r="T86" s="36"/>
      <c r="U86" s="36"/>
      <c r="V86" s="12"/>
      <c r="W86" s="12"/>
      <c r="X86" s="12"/>
      <c r="Y86" s="12"/>
    </row>
    <row r="87" customFormat="false" ht="15.75" hidden="false" customHeight="false" outlineLevel="0" collapsed="false">
      <c r="A87" s="12"/>
      <c r="B87" s="34"/>
      <c r="C87" s="12"/>
      <c r="D87" s="12"/>
      <c r="E87" s="12"/>
      <c r="F87" s="12"/>
      <c r="G87" s="18"/>
      <c r="H87" s="35"/>
      <c r="I87" s="35"/>
      <c r="J87" s="12"/>
      <c r="O87" s="12"/>
      <c r="P87" s="18"/>
      <c r="Q87" s="12"/>
      <c r="R87" s="12"/>
      <c r="S87" s="12"/>
      <c r="T87" s="36"/>
      <c r="U87" s="36"/>
      <c r="V87" s="12"/>
      <c r="W87" s="12"/>
      <c r="X87" s="12"/>
      <c r="Y87" s="12"/>
    </row>
    <row r="88" customFormat="false" ht="15.75" hidden="false" customHeight="false" outlineLevel="0" collapsed="false">
      <c r="A88" s="12"/>
      <c r="B88" s="34"/>
      <c r="C88" s="12"/>
      <c r="D88" s="12"/>
      <c r="E88" s="12"/>
      <c r="F88" s="12"/>
      <c r="G88" s="18"/>
      <c r="H88" s="35"/>
      <c r="I88" s="35"/>
      <c r="J88" s="12"/>
      <c r="O88" s="12"/>
      <c r="P88" s="18"/>
      <c r="Q88" s="12"/>
      <c r="R88" s="12"/>
      <c r="S88" s="12"/>
      <c r="T88" s="36"/>
      <c r="U88" s="36"/>
      <c r="V88" s="12"/>
      <c r="W88" s="12"/>
      <c r="X88" s="12"/>
      <c r="Y88" s="12"/>
    </row>
    <row r="89" customFormat="false" ht="15.75" hidden="false" customHeight="false" outlineLevel="0" collapsed="false">
      <c r="A89" s="12"/>
      <c r="B89" s="34"/>
      <c r="C89" s="12"/>
      <c r="D89" s="12"/>
      <c r="E89" s="12"/>
      <c r="F89" s="12"/>
      <c r="G89" s="18"/>
      <c r="H89" s="35"/>
      <c r="I89" s="35"/>
      <c r="J89" s="12"/>
      <c r="O89" s="12"/>
      <c r="P89" s="18"/>
      <c r="Q89" s="12"/>
      <c r="R89" s="12"/>
      <c r="S89" s="12"/>
      <c r="T89" s="36"/>
      <c r="U89" s="36"/>
      <c r="V89" s="12"/>
      <c r="W89" s="12"/>
      <c r="X89" s="12"/>
      <c r="Y89" s="12"/>
    </row>
    <row r="90" customFormat="false" ht="15.75" hidden="false" customHeight="false" outlineLevel="0" collapsed="false">
      <c r="A90" s="12"/>
      <c r="B90" s="34"/>
      <c r="C90" s="12"/>
      <c r="D90" s="12"/>
      <c r="E90" s="12"/>
      <c r="F90" s="12"/>
      <c r="G90" s="18"/>
      <c r="H90" s="35"/>
      <c r="I90" s="35"/>
      <c r="J90" s="12"/>
      <c r="O90" s="12"/>
      <c r="P90" s="18"/>
      <c r="Q90" s="12"/>
      <c r="R90" s="12"/>
      <c r="S90" s="12"/>
      <c r="T90" s="36"/>
      <c r="U90" s="36"/>
      <c r="V90" s="12"/>
      <c r="W90" s="12"/>
      <c r="X90" s="12"/>
      <c r="Y90" s="12"/>
    </row>
    <row r="91" customFormat="false" ht="15.75" hidden="false" customHeight="false" outlineLevel="0" collapsed="false">
      <c r="A91" s="12"/>
      <c r="B91" s="34"/>
      <c r="C91" s="12"/>
      <c r="D91" s="12"/>
      <c r="E91" s="12"/>
      <c r="F91" s="12"/>
      <c r="G91" s="18"/>
      <c r="H91" s="35"/>
      <c r="I91" s="35"/>
      <c r="J91" s="12"/>
      <c r="O91" s="12"/>
      <c r="P91" s="18"/>
      <c r="Q91" s="12"/>
      <c r="R91" s="12"/>
      <c r="S91" s="12"/>
      <c r="T91" s="36"/>
      <c r="U91" s="36"/>
      <c r="V91" s="12"/>
      <c r="W91" s="12"/>
      <c r="X91" s="12"/>
      <c r="Y91" s="12"/>
    </row>
    <row r="92" customFormat="false" ht="15.75" hidden="false" customHeight="false" outlineLevel="0" collapsed="false">
      <c r="A92" s="12"/>
      <c r="B92" s="34"/>
      <c r="C92" s="12"/>
      <c r="D92" s="12"/>
      <c r="E92" s="12"/>
      <c r="F92" s="12"/>
      <c r="G92" s="18"/>
      <c r="H92" s="35"/>
      <c r="I92" s="35"/>
      <c r="J92" s="12"/>
      <c r="O92" s="12"/>
      <c r="P92" s="18"/>
      <c r="Q92" s="12"/>
      <c r="R92" s="12"/>
      <c r="S92" s="12"/>
      <c r="T92" s="36"/>
      <c r="U92" s="36"/>
      <c r="V92" s="12"/>
      <c r="W92" s="12"/>
      <c r="X92" s="12"/>
      <c r="Y92" s="12"/>
    </row>
    <row r="93" customFormat="false" ht="15.75" hidden="false" customHeight="false" outlineLevel="0" collapsed="false">
      <c r="A93" s="12"/>
      <c r="B93" s="34"/>
      <c r="C93" s="12"/>
      <c r="D93" s="12"/>
      <c r="E93" s="12"/>
      <c r="F93" s="12"/>
      <c r="G93" s="18"/>
      <c r="H93" s="35"/>
      <c r="I93" s="35"/>
      <c r="J93" s="12"/>
      <c r="O93" s="12"/>
      <c r="P93" s="18"/>
      <c r="Q93" s="12"/>
      <c r="R93" s="12"/>
      <c r="S93" s="12"/>
      <c r="T93" s="36"/>
      <c r="U93" s="36"/>
      <c r="V93" s="12"/>
      <c r="W93" s="12"/>
      <c r="X93" s="12"/>
      <c r="Y93" s="12"/>
    </row>
    <row r="94" customFormat="false" ht="15.75" hidden="false" customHeight="false" outlineLevel="0" collapsed="false">
      <c r="A94" s="12"/>
      <c r="B94" s="34"/>
      <c r="C94" s="12"/>
      <c r="D94" s="12"/>
      <c r="E94" s="12"/>
      <c r="F94" s="12"/>
      <c r="G94" s="18"/>
      <c r="H94" s="35"/>
      <c r="I94" s="35"/>
      <c r="J94" s="12"/>
      <c r="O94" s="12"/>
      <c r="P94" s="18"/>
      <c r="Q94" s="12"/>
      <c r="R94" s="12"/>
      <c r="S94" s="12"/>
      <c r="T94" s="36"/>
      <c r="U94" s="36"/>
      <c r="V94" s="12"/>
      <c r="W94" s="12"/>
      <c r="X94" s="12"/>
      <c r="Y94" s="12"/>
    </row>
    <row r="95" customFormat="false" ht="15.75" hidden="false" customHeight="false" outlineLevel="0" collapsed="false">
      <c r="A95" s="12"/>
      <c r="B95" s="34"/>
      <c r="C95" s="12"/>
      <c r="D95" s="12"/>
      <c r="E95" s="12"/>
      <c r="F95" s="12"/>
      <c r="G95" s="18"/>
      <c r="H95" s="35"/>
      <c r="I95" s="35"/>
      <c r="J95" s="12"/>
      <c r="O95" s="12"/>
      <c r="P95" s="18"/>
      <c r="Q95" s="12"/>
      <c r="R95" s="12"/>
      <c r="S95" s="12"/>
      <c r="T95" s="36"/>
      <c r="U95" s="36"/>
      <c r="V95" s="12"/>
      <c r="W95" s="12"/>
      <c r="X95" s="12"/>
      <c r="Y95" s="12"/>
    </row>
    <row r="96" customFormat="false" ht="15.75" hidden="false" customHeight="false" outlineLevel="0" collapsed="false">
      <c r="A96" s="12"/>
      <c r="B96" s="34"/>
      <c r="C96" s="12"/>
      <c r="D96" s="12"/>
      <c r="E96" s="12"/>
      <c r="F96" s="12"/>
      <c r="G96" s="18"/>
      <c r="H96" s="35"/>
      <c r="I96" s="35"/>
      <c r="J96" s="12"/>
      <c r="O96" s="12"/>
      <c r="P96" s="18"/>
      <c r="Q96" s="12"/>
      <c r="R96" s="12"/>
      <c r="S96" s="12"/>
      <c r="T96" s="36"/>
      <c r="U96" s="36"/>
      <c r="V96" s="12"/>
      <c r="W96" s="12"/>
      <c r="X96" s="12"/>
      <c r="Y96" s="12"/>
    </row>
    <row r="97" customFormat="false" ht="15.75" hidden="false" customHeight="false" outlineLevel="0" collapsed="false">
      <c r="A97" s="12"/>
      <c r="B97" s="34"/>
      <c r="C97" s="12"/>
      <c r="D97" s="12"/>
      <c r="E97" s="12"/>
      <c r="F97" s="12"/>
      <c r="G97" s="18"/>
      <c r="H97" s="35"/>
      <c r="I97" s="35"/>
      <c r="J97" s="12"/>
      <c r="O97" s="12"/>
      <c r="P97" s="18"/>
      <c r="Q97" s="12"/>
      <c r="R97" s="12"/>
      <c r="S97" s="12"/>
      <c r="T97" s="36"/>
      <c r="U97" s="36"/>
      <c r="V97" s="12"/>
      <c r="W97" s="12"/>
      <c r="X97" s="12"/>
      <c r="Y97" s="12"/>
    </row>
    <row r="98" customFormat="false" ht="15.75" hidden="false" customHeight="false" outlineLevel="0" collapsed="false">
      <c r="A98" s="12"/>
      <c r="B98" s="34"/>
      <c r="C98" s="12"/>
      <c r="D98" s="12"/>
      <c r="E98" s="12"/>
      <c r="F98" s="12"/>
      <c r="G98" s="18"/>
      <c r="H98" s="35"/>
      <c r="I98" s="35"/>
      <c r="J98" s="12"/>
      <c r="O98" s="12"/>
      <c r="P98" s="18"/>
      <c r="Q98" s="12"/>
      <c r="R98" s="12"/>
      <c r="S98" s="12"/>
      <c r="T98" s="36"/>
      <c r="U98" s="36"/>
      <c r="V98" s="12"/>
      <c r="W98" s="12"/>
      <c r="X98" s="12"/>
      <c r="Y98" s="12"/>
    </row>
    <row r="99" customFormat="false" ht="15.75" hidden="false" customHeight="false" outlineLevel="0" collapsed="false">
      <c r="A99" s="12"/>
      <c r="B99" s="34"/>
      <c r="C99" s="12"/>
      <c r="D99" s="12"/>
      <c r="E99" s="12"/>
      <c r="F99" s="12"/>
      <c r="G99" s="18"/>
      <c r="H99" s="35"/>
      <c r="I99" s="35"/>
      <c r="J99" s="12"/>
      <c r="O99" s="12"/>
      <c r="P99" s="18"/>
      <c r="Q99" s="12"/>
      <c r="R99" s="12"/>
      <c r="S99" s="12"/>
      <c r="T99" s="36"/>
      <c r="U99" s="36"/>
      <c r="V99" s="12"/>
      <c r="W99" s="12"/>
      <c r="X99" s="12"/>
      <c r="Y99" s="12"/>
    </row>
    <row r="100" customFormat="false" ht="15.75" hidden="false" customHeight="false" outlineLevel="0" collapsed="false">
      <c r="A100" s="12"/>
      <c r="B100" s="34"/>
      <c r="C100" s="12"/>
      <c r="D100" s="12"/>
      <c r="E100" s="12"/>
      <c r="F100" s="12"/>
      <c r="G100" s="18"/>
      <c r="H100" s="35"/>
      <c r="I100" s="35"/>
      <c r="J100" s="12"/>
      <c r="O100" s="12"/>
      <c r="P100" s="18"/>
      <c r="Q100" s="12"/>
      <c r="R100" s="12"/>
      <c r="S100" s="12"/>
      <c r="T100" s="36"/>
      <c r="U100" s="36"/>
      <c r="V100" s="12"/>
      <c r="W100" s="12"/>
      <c r="X100" s="12"/>
      <c r="Y100" s="12"/>
    </row>
    <row r="101" customFormat="false" ht="15.75" hidden="false" customHeight="false" outlineLevel="0" collapsed="false">
      <c r="A101" s="12"/>
      <c r="B101" s="34"/>
      <c r="C101" s="12"/>
      <c r="D101" s="12"/>
      <c r="E101" s="12"/>
      <c r="F101" s="12"/>
      <c r="G101" s="18"/>
      <c r="H101" s="35"/>
      <c r="I101" s="35"/>
      <c r="J101" s="12"/>
      <c r="O101" s="12"/>
      <c r="P101" s="18"/>
      <c r="Q101" s="12"/>
      <c r="R101" s="12"/>
      <c r="S101" s="12"/>
      <c r="T101" s="36"/>
      <c r="U101" s="36"/>
      <c r="V101" s="12"/>
      <c r="W101" s="12"/>
      <c r="X101" s="12"/>
      <c r="Y101" s="12"/>
    </row>
    <row r="102" customFormat="false" ht="15.75" hidden="false" customHeight="false" outlineLevel="0" collapsed="false">
      <c r="A102" s="12"/>
      <c r="B102" s="34"/>
      <c r="C102" s="12"/>
      <c r="D102" s="12"/>
      <c r="E102" s="12"/>
      <c r="F102" s="12"/>
      <c r="G102" s="18"/>
      <c r="H102" s="35"/>
      <c r="I102" s="35"/>
      <c r="J102" s="12"/>
      <c r="O102" s="12"/>
      <c r="P102" s="18"/>
      <c r="Q102" s="12"/>
      <c r="R102" s="12"/>
      <c r="S102" s="12"/>
      <c r="T102" s="36"/>
      <c r="U102" s="36"/>
      <c r="V102" s="12"/>
      <c r="W102" s="12"/>
      <c r="X102" s="12"/>
      <c r="Y102" s="12"/>
    </row>
    <row r="103" customFormat="false" ht="15.75" hidden="false" customHeight="false" outlineLevel="0" collapsed="false">
      <c r="A103" s="12"/>
      <c r="B103" s="34"/>
      <c r="C103" s="12"/>
      <c r="D103" s="12"/>
      <c r="E103" s="12"/>
      <c r="F103" s="12"/>
      <c r="G103" s="18"/>
      <c r="H103" s="35"/>
      <c r="I103" s="35"/>
      <c r="J103" s="12"/>
      <c r="O103" s="12"/>
      <c r="P103" s="18"/>
      <c r="Q103" s="12"/>
      <c r="R103" s="12"/>
      <c r="S103" s="12"/>
      <c r="T103" s="36"/>
      <c r="U103" s="36"/>
      <c r="V103" s="12"/>
      <c r="W103" s="12"/>
      <c r="X103" s="12"/>
      <c r="Y103" s="12"/>
    </row>
    <row r="104" customFormat="false" ht="15.75" hidden="false" customHeight="false" outlineLevel="0" collapsed="false">
      <c r="A104" s="12"/>
      <c r="B104" s="34"/>
      <c r="C104" s="12"/>
      <c r="D104" s="12"/>
      <c r="E104" s="12"/>
      <c r="F104" s="12"/>
      <c r="G104" s="18"/>
      <c r="H104" s="35"/>
      <c r="I104" s="35"/>
      <c r="J104" s="12"/>
      <c r="O104" s="12"/>
      <c r="P104" s="18"/>
      <c r="Q104" s="12"/>
      <c r="R104" s="12"/>
      <c r="S104" s="12"/>
      <c r="T104" s="36"/>
      <c r="U104" s="36"/>
      <c r="V104" s="12"/>
      <c r="W104" s="12"/>
      <c r="X104" s="12"/>
      <c r="Y104" s="12"/>
    </row>
    <row r="105" customFormat="false" ht="15.75" hidden="false" customHeight="false" outlineLevel="0" collapsed="false">
      <c r="A105" s="12"/>
      <c r="B105" s="34"/>
      <c r="C105" s="12"/>
      <c r="D105" s="12"/>
      <c r="E105" s="12"/>
      <c r="F105" s="12"/>
      <c r="G105" s="18"/>
      <c r="H105" s="35"/>
      <c r="I105" s="35"/>
      <c r="J105" s="12"/>
      <c r="O105" s="12"/>
      <c r="P105" s="18"/>
      <c r="Q105" s="12"/>
      <c r="R105" s="12"/>
      <c r="S105" s="12"/>
      <c r="T105" s="36"/>
      <c r="U105" s="36"/>
      <c r="V105" s="12"/>
      <c r="W105" s="12"/>
      <c r="X105" s="12"/>
      <c r="Y105" s="12"/>
    </row>
    <row r="106" customFormat="false" ht="15.75" hidden="false" customHeight="false" outlineLevel="0" collapsed="false">
      <c r="A106" s="12"/>
      <c r="B106" s="34"/>
      <c r="C106" s="12"/>
      <c r="D106" s="12"/>
      <c r="E106" s="12"/>
      <c r="F106" s="12"/>
      <c r="G106" s="18"/>
      <c r="H106" s="35"/>
      <c r="I106" s="35"/>
      <c r="J106" s="12"/>
      <c r="O106" s="12"/>
      <c r="P106" s="18"/>
      <c r="Q106" s="12"/>
      <c r="R106" s="12"/>
      <c r="S106" s="12"/>
      <c r="T106" s="36"/>
      <c r="U106" s="36"/>
      <c r="V106" s="12"/>
      <c r="W106" s="12"/>
      <c r="X106" s="12"/>
      <c r="Y106" s="12"/>
    </row>
    <row r="107" customFormat="false" ht="15.75" hidden="false" customHeight="false" outlineLevel="0" collapsed="false">
      <c r="A107" s="12"/>
      <c r="B107" s="34"/>
      <c r="C107" s="12"/>
      <c r="D107" s="12"/>
      <c r="E107" s="12"/>
      <c r="F107" s="12"/>
      <c r="G107" s="18"/>
      <c r="H107" s="35"/>
      <c r="I107" s="35"/>
      <c r="J107" s="12"/>
      <c r="O107" s="12"/>
      <c r="P107" s="18"/>
      <c r="Q107" s="12"/>
      <c r="R107" s="12"/>
      <c r="S107" s="12"/>
      <c r="T107" s="36"/>
      <c r="U107" s="36"/>
      <c r="V107" s="12"/>
      <c r="W107" s="12"/>
      <c r="X107" s="12"/>
      <c r="Y107" s="12"/>
    </row>
    <row r="108" customFormat="false" ht="15.75" hidden="false" customHeight="false" outlineLevel="0" collapsed="false">
      <c r="A108" s="12"/>
      <c r="B108" s="34"/>
      <c r="C108" s="12"/>
      <c r="D108" s="12"/>
      <c r="E108" s="12"/>
      <c r="F108" s="12"/>
      <c r="G108" s="18"/>
      <c r="H108" s="35"/>
      <c r="I108" s="35"/>
      <c r="J108" s="12"/>
      <c r="O108" s="12"/>
      <c r="P108" s="18"/>
      <c r="Q108" s="12"/>
      <c r="R108" s="12"/>
      <c r="S108" s="12"/>
      <c r="T108" s="36"/>
      <c r="U108" s="36"/>
      <c r="V108" s="12"/>
      <c r="W108" s="12"/>
      <c r="X108" s="12"/>
      <c r="Y108" s="12"/>
    </row>
    <row r="109" customFormat="false" ht="15.75" hidden="false" customHeight="false" outlineLevel="0" collapsed="false">
      <c r="A109" s="12"/>
      <c r="B109" s="34"/>
      <c r="C109" s="12"/>
      <c r="D109" s="12"/>
      <c r="E109" s="12"/>
      <c r="F109" s="12"/>
      <c r="G109" s="18"/>
      <c r="H109" s="35"/>
      <c r="I109" s="35"/>
      <c r="J109" s="12"/>
      <c r="O109" s="12"/>
      <c r="P109" s="18"/>
      <c r="Q109" s="12"/>
      <c r="R109" s="12"/>
      <c r="S109" s="12"/>
      <c r="T109" s="36"/>
      <c r="U109" s="36"/>
      <c r="V109" s="12"/>
      <c r="W109" s="12"/>
      <c r="X109" s="12"/>
      <c r="Y109" s="12"/>
    </row>
    <row r="110" customFormat="false" ht="15.75" hidden="false" customHeight="false" outlineLevel="0" collapsed="false">
      <c r="A110" s="12"/>
      <c r="B110" s="34"/>
      <c r="C110" s="12"/>
      <c r="D110" s="12"/>
      <c r="E110" s="12"/>
      <c r="F110" s="12"/>
      <c r="G110" s="18"/>
      <c r="H110" s="35"/>
      <c r="I110" s="35"/>
      <c r="J110" s="12"/>
      <c r="O110" s="12"/>
      <c r="P110" s="18"/>
      <c r="Q110" s="12"/>
      <c r="R110" s="12"/>
      <c r="S110" s="12"/>
      <c r="T110" s="36"/>
      <c r="U110" s="36"/>
      <c r="V110" s="12"/>
      <c r="W110" s="12"/>
      <c r="X110" s="12"/>
      <c r="Y110" s="12"/>
    </row>
    <row r="111" customFormat="false" ht="15.75" hidden="false" customHeight="false" outlineLevel="0" collapsed="false">
      <c r="A111" s="12"/>
      <c r="B111" s="34"/>
      <c r="C111" s="12"/>
      <c r="D111" s="12"/>
      <c r="E111" s="12"/>
      <c r="F111" s="12"/>
      <c r="G111" s="18"/>
      <c r="H111" s="35"/>
      <c r="I111" s="35"/>
      <c r="J111" s="12"/>
      <c r="O111" s="12"/>
      <c r="P111" s="18"/>
      <c r="Q111" s="12"/>
      <c r="R111" s="12"/>
      <c r="S111" s="12"/>
      <c r="T111" s="36"/>
      <c r="U111" s="36"/>
      <c r="V111" s="12"/>
      <c r="W111" s="12"/>
      <c r="X111" s="12"/>
      <c r="Y111" s="12"/>
    </row>
    <row r="112" customFormat="false" ht="15.75" hidden="false" customHeight="false" outlineLevel="0" collapsed="false">
      <c r="A112" s="12"/>
      <c r="B112" s="34"/>
      <c r="C112" s="12"/>
      <c r="D112" s="12"/>
      <c r="E112" s="12"/>
      <c r="F112" s="12"/>
      <c r="G112" s="18"/>
      <c r="H112" s="35"/>
      <c r="I112" s="35"/>
      <c r="J112" s="12"/>
      <c r="O112" s="12"/>
      <c r="P112" s="18"/>
      <c r="Q112" s="12"/>
      <c r="R112" s="12"/>
      <c r="S112" s="12"/>
      <c r="T112" s="36"/>
      <c r="U112" s="36"/>
      <c r="V112" s="12"/>
      <c r="W112" s="12"/>
      <c r="X112" s="12"/>
      <c r="Y112" s="12"/>
    </row>
    <row r="113" customFormat="false" ht="15.75" hidden="false" customHeight="false" outlineLevel="0" collapsed="false">
      <c r="A113" s="12"/>
      <c r="B113" s="34"/>
      <c r="C113" s="12"/>
      <c r="D113" s="12"/>
      <c r="E113" s="12"/>
      <c r="F113" s="12"/>
      <c r="G113" s="18"/>
      <c r="H113" s="35"/>
      <c r="I113" s="35"/>
      <c r="J113" s="12"/>
      <c r="O113" s="12"/>
      <c r="P113" s="18"/>
      <c r="Q113" s="12"/>
      <c r="R113" s="12"/>
      <c r="S113" s="12"/>
      <c r="T113" s="36"/>
      <c r="U113" s="36"/>
      <c r="V113" s="12"/>
      <c r="W113" s="12"/>
      <c r="X113" s="12"/>
      <c r="Y113" s="12"/>
    </row>
    <row r="114" customFormat="false" ht="15.75" hidden="false" customHeight="false" outlineLevel="0" collapsed="false">
      <c r="A114" s="12"/>
      <c r="B114" s="34"/>
      <c r="C114" s="12"/>
      <c r="D114" s="12"/>
      <c r="E114" s="12"/>
      <c r="F114" s="12"/>
      <c r="G114" s="18"/>
      <c r="H114" s="35"/>
      <c r="I114" s="35"/>
      <c r="J114" s="12"/>
      <c r="O114" s="12"/>
      <c r="P114" s="18"/>
      <c r="Q114" s="12"/>
      <c r="R114" s="12"/>
      <c r="S114" s="12"/>
      <c r="T114" s="36"/>
      <c r="U114" s="36"/>
      <c r="V114" s="12"/>
      <c r="W114" s="12"/>
      <c r="X114" s="12"/>
      <c r="Y114" s="12"/>
    </row>
    <row r="115" customFormat="false" ht="15.75" hidden="false" customHeight="false" outlineLevel="0" collapsed="false">
      <c r="A115" s="12"/>
      <c r="B115" s="34"/>
      <c r="C115" s="12"/>
      <c r="D115" s="12"/>
      <c r="E115" s="12"/>
      <c r="F115" s="12"/>
      <c r="G115" s="18"/>
      <c r="H115" s="35"/>
      <c r="I115" s="35"/>
      <c r="J115" s="12"/>
      <c r="O115" s="12"/>
      <c r="P115" s="18"/>
      <c r="Q115" s="12"/>
      <c r="R115" s="12"/>
      <c r="S115" s="12"/>
      <c r="T115" s="36"/>
      <c r="U115" s="36"/>
      <c r="V115" s="12"/>
      <c r="W115" s="12"/>
      <c r="X115" s="12"/>
      <c r="Y115" s="12"/>
    </row>
    <row r="116" customFormat="false" ht="15.75" hidden="false" customHeight="false" outlineLevel="0" collapsed="false">
      <c r="A116" s="12"/>
      <c r="B116" s="34"/>
      <c r="C116" s="12"/>
      <c r="D116" s="12"/>
      <c r="E116" s="12"/>
      <c r="F116" s="12"/>
      <c r="G116" s="18"/>
      <c r="H116" s="35"/>
      <c r="I116" s="35"/>
      <c r="J116" s="12"/>
      <c r="O116" s="12"/>
      <c r="P116" s="18"/>
      <c r="Q116" s="12"/>
      <c r="R116" s="12"/>
      <c r="S116" s="12"/>
      <c r="T116" s="36"/>
      <c r="U116" s="36"/>
      <c r="V116" s="12"/>
      <c r="W116" s="12"/>
      <c r="X116" s="12"/>
      <c r="Y116" s="12"/>
    </row>
    <row r="117" customFormat="false" ht="15.75" hidden="false" customHeight="false" outlineLevel="0" collapsed="false">
      <c r="A117" s="12"/>
      <c r="B117" s="34"/>
      <c r="C117" s="12"/>
      <c r="D117" s="12"/>
      <c r="E117" s="12"/>
      <c r="F117" s="12"/>
      <c r="G117" s="18"/>
      <c r="H117" s="35"/>
      <c r="I117" s="35"/>
      <c r="J117" s="12"/>
      <c r="O117" s="12"/>
      <c r="P117" s="18"/>
      <c r="Q117" s="12"/>
      <c r="R117" s="12"/>
      <c r="S117" s="12"/>
      <c r="T117" s="36"/>
      <c r="U117" s="36"/>
      <c r="V117" s="12"/>
      <c r="W117" s="12"/>
      <c r="X117" s="12"/>
      <c r="Y117" s="12"/>
    </row>
    <row r="118" customFormat="false" ht="15.75" hidden="false" customHeight="false" outlineLevel="0" collapsed="false">
      <c r="A118" s="12"/>
      <c r="B118" s="34"/>
      <c r="C118" s="12"/>
      <c r="D118" s="12"/>
      <c r="E118" s="12"/>
      <c r="F118" s="12"/>
      <c r="G118" s="18"/>
      <c r="H118" s="35"/>
      <c r="I118" s="35"/>
      <c r="J118" s="12"/>
      <c r="O118" s="12"/>
      <c r="P118" s="18"/>
      <c r="Q118" s="12"/>
      <c r="R118" s="12"/>
      <c r="S118" s="12"/>
      <c r="T118" s="36"/>
      <c r="U118" s="36"/>
      <c r="V118" s="12"/>
      <c r="W118" s="12"/>
      <c r="X118" s="12"/>
      <c r="Y118" s="12"/>
    </row>
    <row r="119" customFormat="false" ht="15.75" hidden="false" customHeight="false" outlineLevel="0" collapsed="false">
      <c r="A119" s="12"/>
      <c r="B119" s="34"/>
      <c r="C119" s="12"/>
      <c r="D119" s="12"/>
      <c r="E119" s="12"/>
      <c r="F119" s="12"/>
      <c r="G119" s="18"/>
      <c r="H119" s="35"/>
      <c r="I119" s="35"/>
      <c r="J119" s="12"/>
      <c r="O119" s="12"/>
      <c r="P119" s="18"/>
      <c r="Q119" s="12"/>
      <c r="R119" s="12"/>
      <c r="S119" s="12"/>
      <c r="T119" s="36"/>
      <c r="U119" s="36"/>
      <c r="V119" s="12"/>
      <c r="W119" s="12"/>
      <c r="X119" s="12"/>
      <c r="Y119" s="12"/>
    </row>
    <row r="120" customFormat="false" ht="15.75" hidden="false" customHeight="false" outlineLevel="0" collapsed="false">
      <c r="A120" s="12"/>
      <c r="B120" s="34"/>
      <c r="C120" s="12"/>
      <c r="D120" s="12"/>
      <c r="E120" s="12"/>
      <c r="F120" s="12"/>
      <c r="G120" s="18"/>
      <c r="H120" s="35"/>
      <c r="I120" s="35"/>
      <c r="J120" s="12"/>
      <c r="O120" s="12"/>
      <c r="P120" s="18"/>
      <c r="Q120" s="12"/>
      <c r="R120" s="12"/>
      <c r="S120" s="12"/>
      <c r="T120" s="36"/>
      <c r="U120" s="36"/>
      <c r="V120" s="12"/>
      <c r="W120" s="12"/>
      <c r="X120" s="12"/>
      <c r="Y120" s="12"/>
    </row>
    <row r="121" customFormat="false" ht="15.75" hidden="false" customHeight="false" outlineLevel="0" collapsed="false">
      <c r="A121" s="12"/>
      <c r="B121" s="34"/>
      <c r="C121" s="12"/>
      <c r="D121" s="12"/>
      <c r="E121" s="12"/>
      <c r="F121" s="12"/>
      <c r="G121" s="18"/>
      <c r="H121" s="35"/>
      <c r="I121" s="35"/>
      <c r="J121" s="12"/>
      <c r="O121" s="12"/>
      <c r="P121" s="18"/>
      <c r="Q121" s="12"/>
      <c r="R121" s="12"/>
      <c r="S121" s="12"/>
      <c r="T121" s="36"/>
      <c r="U121" s="36"/>
      <c r="V121" s="12"/>
      <c r="W121" s="12"/>
      <c r="X121" s="12"/>
      <c r="Y121" s="12"/>
    </row>
    <row r="122" customFormat="false" ht="15.75" hidden="false" customHeight="false" outlineLevel="0" collapsed="false">
      <c r="A122" s="12"/>
      <c r="B122" s="34"/>
      <c r="C122" s="12"/>
      <c r="D122" s="12"/>
      <c r="E122" s="12"/>
      <c r="F122" s="12"/>
      <c r="G122" s="18"/>
      <c r="H122" s="35"/>
      <c r="I122" s="35"/>
      <c r="J122" s="12"/>
      <c r="O122" s="12"/>
      <c r="P122" s="18"/>
      <c r="Q122" s="12"/>
      <c r="R122" s="12"/>
      <c r="S122" s="12"/>
      <c r="T122" s="36"/>
      <c r="U122" s="36"/>
      <c r="V122" s="12"/>
      <c r="W122" s="12"/>
      <c r="X122" s="12"/>
      <c r="Y122" s="12"/>
    </row>
    <row r="123" customFormat="false" ht="15.75" hidden="false" customHeight="false" outlineLevel="0" collapsed="false">
      <c r="A123" s="12"/>
      <c r="B123" s="34"/>
      <c r="C123" s="12"/>
      <c r="D123" s="12"/>
      <c r="E123" s="12"/>
      <c r="F123" s="12"/>
      <c r="G123" s="18"/>
      <c r="H123" s="35"/>
      <c r="I123" s="35"/>
      <c r="J123" s="12"/>
      <c r="O123" s="12"/>
      <c r="P123" s="18"/>
      <c r="Q123" s="12"/>
      <c r="R123" s="12"/>
      <c r="S123" s="12"/>
      <c r="T123" s="36"/>
      <c r="U123" s="36"/>
      <c r="V123" s="12"/>
      <c r="W123" s="12"/>
      <c r="X123" s="12"/>
      <c r="Y123" s="12"/>
    </row>
    <row r="124" customFormat="false" ht="15.75" hidden="false" customHeight="false" outlineLevel="0" collapsed="false">
      <c r="A124" s="12"/>
      <c r="B124" s="34"/>
      <c r="C124" s="12"/>
      <c r="D124" s="12"/>
      <c r="E124" s="12"/>
      <c r="F124" s="12"/>
      <c r="G124" s="18"/>
      <c r="H124" s="35"/>
      <c r="I124" s="35"/>
      <c r="J124" s="12"/>
      <c r="O124" s="12"/>
      <c r="P124" s="18"/>
      <c r="Q124" s="12"/>
      <c r="R124" s="12"/>
      <c r="S124" s="12"/>
      <c r="T124" s="36"/>
      <c r="U124" s="36"/>
      <c r="V124" s="12"/>
      <c r="W124" s="12"/>
      <c r="X124" s="12"/>
      <c r="Y124" s="12"/>
    </row>
    <row r="125" customFormat="false" ht="15.75" hidden="false" customHeight="false" outlineLevel="0" collapsed="false">
      <c r="A125" s="12"/>
      <c r="B125" s="34"/>
      <c r="C125" s="12"/>
      <c r="D125" s="12"/>
      <c r="E125" s="12"/>
      <c r="F125" s="12"/>
      <c r="G125" s="18"/>
      <c r="H125" s="35"/>
      <c r="I125" s="35"/>
      <c r="J125" s="12"/>
      <c r="O125" s="12"/>
      <c r="P125" s="18"/>
      <c r="Q125" s="12"/>
      <c r="R125" s="12"/>
      <c r="S125" s="12"/>
      <c r="T125" s="36"/>
      <c r="U125" s="36"/>
      <c r="V125" s="12"/>
      <c r="W125" s="12"/>
      <c r="X125" s="12"/>
      <c r="Y125" s="12"/>
    </row>
    <row r="126" customFormat="false" ht="15.75" hidden="false" customHeight="false" outlineLevel="0" collapsed="false">
      <c r="A126" s="12"/>
      <c r="B126" s="34"/>
      <c r="C126" s="12"/>
      <c r="D126" s="12"/>
      <c r="E126" s="12"/>
      <c r="F126" s="12"/>
      <c r="G126" s="18"/>
      <c r="H126" s="35"/>
      <c r="I126" s="35"/>
      <c r="J126" s="12"/>
      <c r="O126" s="12"/>
      <c r="P126" s="18"/>
      <c r="Q126" s="12"/>
      <c r="R126" s="12"/>
      <c r="S126" s="12"/>
      <c r="T126" s="36"/>
      <c r="U126" s="36"/>
      <c r="V126" s="12"/>
      <c r="W126" s="12"/>
      <c r="X126" s="12"/>
      <c r="Y126" s="12"/>
    </row>
    <row r="127" customFormat="false" ht="15.75" hidden="false" customHeight="false" outlineLevel="0" collapsed="false">
      <c r="A127" s="12"/>
      <c r="B127" s="34"/>
      <c r="C127" s="12"/>
      <c r="D127" s="12"/>
      <c r="E127" s="12"/>
      <c r="F127" s="12"/>
      <c r="G127" s="18"/>
      <c r="H127" s="35"/>
      <c r="I127" s="35"/>
      <c r="J127" s="12"/>
      <c r="O127" s="12"/>
      <c r="P127" s="18"/>
      <c r="Q127" s="12"/>
      <c r="R127" s="12"/>
      <c r="S127" s="12"/>
      <c r="T127" s="36"/>
      <c r="U127" s="36"/>
      <c r="V127" s="12"/>
      <c r="W127" s="12"/>
      <c r="X127" s="12"/>
      <c r="Y127" s="12"/>
    </row>
    <row r="128" customFormat="false" ht="15.75" hidden="false" customHeight="false" outlineLevel="0" collapsed="false">
      <c r="A128" s="12"/>
      <c r="B128" s="34"/>
      <c r="C128" s="12"/>
      <c r="D128" s="12"/>
      <c r="E128" s="12"/>
      <c r="F128" s="12"/>
      <c r="G128" s="18"/>
      <c r="H128" s="35"/>
      <c r="I128" s="35"/>
      <c r="J128" s="12"/>
      <c r="O128" s="12"/>
      <c r="P128" s="18"/>
      <c r="Q128" s="12"/>
      <c r="R128" s="12"/>
      <c r="S128" s="12"/>
      <c r="T128" s="36"/>
      <c r="U128" s="36"/>
      <c r="V128" s="12"/>
      <c r="W128" s="12"/>
      <c r="X128" s="12"/>
      <c r="Y128" s="12"/>
    </row>
    <row r="129" customFormat="false" ht="15.75" hidden="false" customHeight="false" outlineLevel="0" collapsed="false">
      <c r="A129" s="12"/>
      <c r="B129" s="34"/>
      <c r="C129" s="12"/>
      <c r="D129" s="12"/>
      <c r="E129" s="12"/>
      <c r="F129" s="12"/>
      <c r="G129" s="18"/>
      <c r="H129" s="35"/>
      <c r="I129" s="35"/>
      <c r="J129" s="12"/>
      <c r="O129" s="12"/>
      <c r="P129" s="18"/>
      <c r="Q129" s="12"/>
      <c r="R129" s="12"/>
      <c r="S129" s="12"/>
      <c r="T129" s="36"/>
      <c r="U129" s="36"/>
      <c r="V129" s="12"/>
      <c r="W129" s="12"/>
      <c r="X129" s="12"/>
      <c r="Y129" s="12"/>
    </row>
    <row r="130" customFormat="false" ht="15.75" hidden="false" customHeight="false" outlineLevel="0" collapsed="false">
      <c r="A130" s="12"/>
      <c r="B130" s="34"/>
      <c r="C130" s="12"/>
      <c r="D130" s="12"/>
      <c r="E130" s="12"/>
      <c r="F130" s="12"/>
      <c r="G130" s="18"/>
      <c r="H130" s="35"/>
      <c r="I130" s="35"/>
      <c r="J130" s="12"/>
      <c r="O130" s="12"/>
      <c r="P130" s="18"/>
      <c r="Q130" s="12"/>
      <c r="R130" s="12"/>
      <c r="S130" s="12"/>
      <c r="T130" s="36"/>
      <c r="U130" s="36"/>
      <c r="V130" s="12"/>
      <c r="W130" s="12"/>
      <c r="X130" s="12"/>
      <c r="Y130" s="12"/>
    </row>
    <row r="131" customFormat="false" ht="15.75" hidden="false" customHeight="false" outlineLevel="0" collapsed="false">
      <c r="A131" s="12"/>
      <c r="B131" s="34"/>
      <c r="C131" s="12"/>
      <c r="D131" s="12"/>
      <c r="E131" s="12"/>
      <c r="F131" s="12"/>
      <c r="G131" s="18"/>
      <c r="H131" s="35"/>
      <c r="I131" s="35"/>
      <c r="J131" s="12"/>
      <c r="O131" s="12"/>
      <c r="P131" s="18"/>
      <c r="Q131" s="12"/>
      <c r="R131" s="12"/>
      <c r="S131" s="12"/>
      <c r="T131" s="36"/>
      <c r="U131" s="36"/>
      <c r="V131" s="12"/>
      <c r="W131" s="12"/>
      <c r="X131" s="12"/>
      <c r="Y131" s="12"/>
    </row>
    <row r="132" customFormat="false" ht="15.75" hidden="false" customHeight="false" outlineLevel="0" collapsed="false">
      <c r="A132" s="12"/>
      <c r="B132" s="34"/>
      <c r="C132" s="12"/>
      <c r="D132" s="12"/>
      <c r="E132" s="12"/>
      <c r="F132" s="12"/>
      <c r="G132" s="18"/>
      <c r="H132" s="35"/>
      <c r="I132" s="35"/>
      <c r="J132" s="12"/>
      <c r="O132" s="12"/>
      <c r="P132" s="18"/>
      <c r="Q132" s="12"/>
      <c r="R132" s="12"/>
      <c r="S132" s="12"/>
      <c r="T132" s="36"/>
      <c r="U132" s="36"/>
      <c r="V132" s="12"/>
      <c r="W132" s="12"/>
      <c r="X132" s="12"/>
      <c r="Y132" s="12"/>
    </row>
    <row r="133" customFormat="false" ht="15.75" hidden="false" customHeight="false" outlineLevel="0" collapsed="false">
      <c r="A133" s="12"/>
      <c r="B133" s="34"/>
      <c r="C133" s="12"/>
      <c r="D133" s="12"/>
      <c r="E133" s="12"/>
      <c r="F133" s="12"/>
      <c r="G133" s="18"/>
      <c r="H133" s="35"/>
      <c r="I133" s="35"/>
      <c r="J133" s="12"/>
      <c r="O133" s="12"/>
      <c r="P133" s="18"/>
      <c r="Q133" s="12"/>
      <c r="R133" s="12"/>
      <c r="S133" s="12"/>
      <c r="T133" s="36"/>
      <c r="U133" s="36"/>
      <c r="V133" s="12"/>
      <c r="W133" s="12"/>
      <c r="X133" s="12"/>
      <c r="Y133" s="12"/>
    </row>
    <row r="134" customFormat="false" ht="15.75" hidden="false" customHeight="false" outlineLevel="0" collapsed="false">
      <c r="A134" s="12"/>
      <c r="B134" s="34"/>
      <c r="C134" s="12"/>
      <c r="D134" s="12"/>
      <c r="E134" s="12"/>
      <c r="F134" s="12"/>
      <c r="G134" s="18"/>
      <c r="H134" s="35"/>
      <c r="I134" s="35"/>
      <c r="J134" s="12"/>
      <c r="O134" s="12"/>
      <c r="P134" s="18"/>
      <c r="Q134" s="12"/>
      <c r="R134" s="12"/>
      <c r="S134" s="12"/>
      <c r="T134" s="36"/>
      <c r="U134" s="36"/>
      <c r="V134" s="12"/>
      <c r="W134" s="12"/>
      <c r="X134" s="12"/>
      <c r="Y134" s="12"/>
    </row>
    <row r="135" customFormat="false" ht="15.75" hidden="false" customHeight="false" outlineLevel="0" collapsed="false">
      <c r="A135" s="12"/>
      <c r="B135" s="34"/>
      <c r="C135" s="12"/>
      <c r="D135" s="12"/>
      <c r="E135" s="12"/>
      <c r="F135" s="12"/>
      <c r="G135" s="18"/>
      <c r="H135" s="35"/>
      <c r="I135" s="35"/>
      <c r="J135" s="12"/>
      <c r="O135" s="12"/>
      <c r="P135" s="18"/>
      <c r="Q135" s="12"/>
      <c r="R135" s="12"/>
      <c r="S135" s="12"/>
      <c r="T135" s="36"/>
      <c r="U135" s="36"/>
      <c r="V135" s="12"/>
      <c r="W135" s="12"/>
      <c r="X135" s="12"/>
      <c r="Y135" s="12"/>
    </row>
    <row r="136" customFormat="false" ht="15.75" hidden="false" customHeight="false" outlineLevel="0" collapsed="false">
      <c r="A136" s="12"/>
      <c r="B136" s="34"/>
      <c r="C136" s="12"/>
      <c r="D136" s="12"/>
      <c r="E136" s="12"/>
      <c r="F136" s="12"/>
      <c r="G136" s="18"/>
      <c r="H136" s="35"/>
      <c r="I136" s="35"/>
      <c r="J136" s="12"/>
      <c r="O136" s="12"/>
      <c r="P136" s="18"/>
      <c r="Q136" s="12"/>
      <c r="R136" s="12"/>
      <c r="S136" s="12"/>
      <c r="T136" s="36"/>
      <c r="U136" s="36"/>
      <c r="V136" s="12"/>
      <c r="W136" s="12"/>
      <c r="X136" s="12"/>
      <c r="Y136" s="12"/>
    </row>
    <row r="137" customFormat="false" ht="15.75" hidden="false" customHeight="false" outlineLevel="0" collapsed="false">
      <c r="A137" s="12"/>
      <c r="B137" s="34"/>
      <c r="C137" s="12"/>
      <c r="D137" s="12"/>
      <c r="E137" s="12"/>
      <c r="F137" s="12"/>
      <c r="G137" s="18"/>
      <c r="H137" s="35"/>
      <c r="I137" s="35"/>
      <c r="J137" s="12"/>
      <c r="O137" s="12"/>
      <c r="P137" s="18"/>
      <c r="Q137" s="12"/>
      <c r="R137" s="12"/>
      <c r="S137" s="12"/>
      <c r="T137" s="36"/>
      <c r="U137" s="36"/>
      <c r="V137" s="12"/>
      <c r="W137" s="12"/>
      <c r="X137" s="12"/>
      <c r="Y137" s="12"/>
    </row>
    <row r="138" customFormat="false" ht="15.75" hidden="false" customHeight="false" outlineLevel="0" collapsed="false">
      <c r="A138" s="12"/>
      <c r="B138" s="34"/>
      <c r="C138" s="12"/>
      <c r="D138" s="12"/>
      <c r="E138" s="12"/>
      <c r="F138" s="12"/>
      <c r="G138" s="18"/>
      <c r="H138" s="35"/>
      <c r="I138" s="35"/>
      <c r="J138" s="12"/>
      <c r="O138" s="12"/>
      <c r="P138" s="18"/>
      <c r="Q138" s="12"/>
      <c r="R138" s="12"/>
      <c r="S138" s="12"/>
      <c r="T138" s="36"/>
      <c r="U138" s="36"/>
      <c r="V138" s="12"/>
      <c r="W138" s="12"/>
      <c r="X138" s="12"/>
      <c r="Y138" s="12"/>
    </row>
    <row r="139" customFormat="false" ht="15.75" hidden="false" customHeight="false" outlineLevel="0" collapsed="false">
      <c r="A139" s="12"/>
      <c r="B139" s="34"/>
      <c r="C139" s="12"/>
      <c r="D139" s="12"/>
      <c r="E139" s="12"/>
      <c r="F139" s="12"/>
      <c r="G139" s="18"/>
      <c r="H139" s="35"/>
      <c r="I139" s="35"/>
      <c r="J139" s="12"/>
      <c r="O139" s="12"/>
      <c r="P139" s="18"/>
      <c r="Q139" s="12"/>
      <c r="R139" s="12"/>
      <c r="S139" s="12"/>
      <c r="T139" s="36"/>
      <c r="U139" s="36"/>
      <c r="V139" s="12"/>
      <c r="W139" s="12"/>
      <c r="X139" s="12"/>
      <c r="Y139" s="12"/>
    </row>
    <row r="140" customFormat="false" ht="15.75" hidden="false" customHeight="false" outlineLevel="0" collapsed="false">
      <c r="A140" s="12"/>
      <c r="B140" s="34"/>
      <c r="C140" s="12"/>
      <c r="D140" s="12"/>
      <c r="E140" s="12"/>
      <c r="F140" s="12"/>
      <c r="G140" s="18"/>
      <c r="H140" s="35"/>
      <c r="I140" s="35"/>
      <c r="J140" s="12"/>
      <c r="O140" s="12"/>
      <c r="P140" s="18"/>
      <c r="Q140" s="12"/>
      <c r="R140" s="12"/>
      <c r="S140" s="12"/>
      <c r="T140" s="36"/>
      <c r="U140" s="36"/>
      <c r="V140" s="12"/>
      <c r="W140" s="12"/>
      <c r="X140" s="12"/>
      <c r="Y140" s="12"/>
    </row>
    <row r="141" customFormat="false" ht="15.75" hidden="false" customHeight="false" outlineLevel="0" collapsed="false">
      <c r="A141" s="12"/>
      <c r="B141" s="34"/>
      <c r="C141" s="12"/>
      <c r="D141" s="12"/>
      <c r="E141" s="12"/>
      <c r="F141" s="12"/>
      <c r="G141" s="18"/>
      <c r="H141" s="35"/>
      <c r="I141" s="35"/>
      <c r="J141" s="12"/>
      <c r="O141" s="12"/>
      <c r="P141" s="18"/>
      <c r="Q141" s="12"/>
      <c r="R141" s="12"/>
      <c r="S141" s="12"/>
      <c r="T141" s="36"/>
      <c r="U141" s="36"/>
      <c r="V141" s="12"/>
      <c r="W141" s="12"/>
      <c r="X141" s="12"/>
      <c r="Y141" s="12"/>
    </row>
    <row r="142" customFormat="false" ht="15.75" hidden="false" customHeight="false" outlineLevel="0" collapsed="false">
      <c r="A142" s="12"/>
      <c r="B142" s="34"/>
      <c r="C142" s="12"/>
      <c r="D142" s="12"/>
      <c r="E142" s="12"/>
      <c r="F142" s="12"/>
      <c r="G142" s="18"/>
      <c r="H142" s="35"/>
      <c r="I142" s="35"/>
      <c r="J142" s="12"/>
      <c r="O142" s="12"/>
      <c r="P142" s="18"/>
      <c r="Q142" s="12"/>
      <c r="R142" s="12"/>
      <c r="S142" s="12"/>
      <c r="T142" s="36"/>
      <c r="U142" s="36"/>
      <c r="V142" s="12"/>
      <c r="W142" s="12"/>
      <c r="X142" s="12"/>
      <c r="Y142" s="12"/>
    </row>
    <row r="143" customFormat="false" ht="15.75" hidden="false" customHeight="false" outlineLevel="0" collapsed="false">
      <c r="A143" s="12"/>
      <c r="B143" s="34"/>
      <c r="C143" s="12"/>
      <c r="D143" s="12"/>
      <c r="E143" s="12"/>
      <c r="F143" s="12"/>
      <c r="G143" s="18"/>
      <c r="H143" s="35"/>
      <c r="I143" s="35"/>
      <c r="J143" s="12"/>
      <c r="O143" s="12"/>
      <c r="P143" s="18"/>
      <c r="Q143" s="12"/>
      <c r="R143" s="12"/>
      <c r="S143" s="12"/>
      <c r="T143" s="36"/>
      <c r="U143" s="36"/>
      <c r="V143" s="12"/>
      <c r="W143" s="12"/>
      <c r="X143" s="12"/>
      <c r="Y143" s="12"/>
    </row>
    <row r="144" customFormat="false" ht="15.75" hidden="false" customHeight="false" outlineLevel="0" collapsed="false">
      <c r="A144" s="12"/>
      <c r="B144" s="34"/>
      <c r="C144" s="12"/>
      <c r="D144" s="12"/>
      <c r="E144" s="12"/>
      <c r="F144" s="12"/>
      <c r="G144" s="18"/>
      <c r="H144" s="35"/>
      <c r="I144" s="35"/>
      <c r="J144" s="12"/>
      <c r="O144" s="12"/>
      <c r="P144" s="18"/>
      <c r="Q144" s="12"/>
      <c r="R144" s="12"/>
      <c r="S144" s="12"/>
      <c r="T144" s="36"/>
      <c r="U144" s="36"/>
      <c r="V144" s="12"/>
      <c r="W144" s="12"/>
      <c r="X144" s="12"/>
      <c r="Y144" s="12"/>
    </row>
    <row r="145" customFormat="false" ht="15.75" hidden="false" customHeight="false" outlineLevel="0" collapsed="false">
      <c r="A145" s="12"/>
      <c r="B145" s="34"/>
      <c r="C145" s="12"/>
      <c r="D145" s="12"/>
      <c r="E145" s="12"/>
      <c r="F145" s="12"/>
      <c r="G145" s="18"/>
      <c r="H145" s="35"/>
      <c r="I145" s="35"/>
      <c r="J145" s="12"/>
      <c r="O145" s="12"/>
      <c r="P145" s="18"/>
      <c r="Q145" s="12"/>
      <c r="R145" s="12"/>
      <c r="S145" s="12"/>
      <c r="T145" s="36"/>
      <c r="U145" s="36"/>
      <c r="V145" s="12"/>
      <c r="W145" s="12"/>
      <c r="X145" s="12"/>
      <c r="Y145" s="12"/>
    </row>
    <row r="146" customFormat="false" ht="15.75" hidden="false" customHeight="false" outlineLevel="0" collapsed="false">
      <c r="A146" s="12"/>
      <c r="B146" s="34"/>
      <c r="C146" s="12"/>
      <c r="D146" s="12"/>
      <c r="E146" s="12"/>
      <c r="F146" s="12"/>
      <c r="G146" s="18"/>
      <c r="H146" s="35"/>
      <c r="I146" s="35"/>
      <c r="J146" s="12"/>
      <c r="O146" s="12"/>
      <c r="P146" s="18"/>
      <c r="Q146" s="12"/>
      <c r="R146" s="12"/>
      <c r="S146" s="12"/>
      <c r="T146" s="36"/>
      <c r="U146" s="36"/>
      <c r="V146" s="12"/>
      <c r="W146" s="12"/>
      <c r="X146" s="12"/>
      <c r="Y146" s="12"/>
    </row>
    <row r="147" customFormat="false" ht="15.75" hidden="false" customHeight="false" outlineLevel="0" collapsed="false">
      <c r="A147" s="12"/>
      <c r="B147" s="34"/>
      <c r="C147" s="12"/>
      <c r="D147" s="12"/>
      <c r="E147" s="12"/>
      <c r="F147" s="12"/>
      <c r="G147" s="18"/>
      <c r="H147" s="35"/>
      <c r="I147" s="35"/>
      <c r="J147" s="12"/>
      <c r="O147" s="12"/>
      <c r="P147" s="18"/>
      <c r="Q147" s="12"/>
      <c r="R147" s="12"/>
      <c r="S147" s="12"/>
      <c r="T147" s="36"/>
      <c r="U147" s="36"/>
      <c r="V147" s="12"/>
      <c r="W147" s="12"/>
      <c r="X147" s="12"/>
      <c r="Y147" s="12"/>
    </row>
    <row r="148" customFormat="false" ht="15.75" hidden="false" customHeight="false" outlineLevel="0" collapsed="false">
      <c r="A148" s="12"/>
      <c r="B148" s="34"/>
      <c r="C148" s="12"/>
      <c r="D148" s="12"/>
      <c r="E148" s="12"/>
      <c r="F148" s="12"/>
      <c r="G148" s="18"/>
      <c r="H148" s="35"/>
      <c r="I148" s="35"/>
      <c r="J148" s="12"/>
      <c r="O148" s="12"/>
      <c r="P148" s="18"/>
      <c r="Q148" s="12"/>
      <c r="R148" s="12"/>
      <c r="S148" s="12"/>
      <c r="T148" s="36"/>
      <c r="U148" s="36"/>
      <c r="V148" s="12"/>
      <c r="W148" s="12"/>
      <c r="X148" s="12"/>
      <c r="Y148" s="12"/>
    </row>
    <row r="149" customFormat="false" ht="15.75" hidden="false" customHeight="false" outlineLevel="0" collapsed="false">
      <c r="A149" s="12"/>
      <c r="B149" s="34"/>
      <c r="C149" s="12"/>
      <c r="D149" s="12"/>
      <c r="E149" s="12"/>
      <c r="F149" s="12"/>
      <c r="G149" s="18"/>
      <c r="H149" s="35"/>
      <c r="I149" s="35"/>
      <c r="J149" s="12"/>
      <c r="O149" s="12"/>
      <c r="P149" s="18"/>
      <c r="Q149" s="12"/>
      <c r="R149" s="12"/>
      <c r="S149" s="12"/>
      <c r="T149" s="36"/>
      <c r="U149" s="36"/>
      <c r="V149" s="12"/>
      <c r="W149" s="12"/>
      <c r="X149" s="12"/>
      <c r="Y149" s="12"/>
    </row>
    <row r="150" customFormat="false" ht="15.75" hidden="false" customHeight="false" outlineLevel="0" collapsed="false">
      <c r="A150" s="12"/>
      <c r="B150" s="34"/>
      <c r="C150" s="12"/>
      <c r="D150" s="12"/>
      <c r="E150" s="12"/>
      <c r="F150" s="12"/>
      <c r="G150" s="18"/>
      <c r="H150" s="35"/>
      <c r="I150" s="35"/>
      <c r="J150" s="12"/>
      <c r="O150" s="12"/>
      <c r="P150" s="18"/>
      <c r="Q150" s="12"/>
      <c r="R150" s="12"/>
      <c r="S150" s="12"/>
      <c r="T150" s="36"/>
      <c r="U150" s="36"/>
      <c r="V150" s="12"/>
      <c r="W150" s="12"/>
      <c r="X150" s="12"/>
      <c r="Y150" s="12"/>
    </row>
    <row r="151" customFormat="false" ht="15.75" hidden="false" customHeight="false" outlineLevel="0" collapsed="false">
      <c r="A151" s="12"/>
      <c r="B151" s="34"/>
      <c r="C151" s="12"/>
      <c r="D151" s="12"/>
      <c r="E151" s="12"/>
      <c r="F151" s="12"/>
      <c r="G151" s="18"/>
      <c r="H151" s="35"/>
      <c r="I151" s="35"/>
      <c r="J151" s="12"/>
      <c r="O151" s="12"/>
      <c r="P151" s="18"/>
      <c r="Q151" s="12"/>
      <c r="R151" s="12"/>
      <c r="S151" s="12"/>
      <c r="T151" s="36"/>
      <c r="U151" s="36"/>
      <c r="V151" s="12"/>
      <c r="W151" s="12"/>
      <c r="X151" s="12"/>
      <c r="Y151" s="12"/>
    </row>
    <row r="152" customFormat="false" ht="15.75" hidden="false" customHeight="false" outlineLevel="0" collapsed="false">
      <c r="A152" s="12"/>
      <c r="B152" s="34"/>
      <c r="C152" s="12"/>
      <c r="D152" s="12"/>
      <c r="E152" s="12"/>
      <c r="F152" s="12"/>
      <c r="G152" s="18"/>
      <c r="H152" s="35"/>
      <c r="I152" s="35"/>
      <c r="J152" s="12"/>
      <c r="O152" s="12"/>
      <c r="P152" s="18"/>
      <c r="Q152" s="12"/>
      <c r="R152" s="12"/>
      <c r="S152" s="12"/>
      <c r="T152" s="36"/>
      <c r="U152" s="36"/>
      <c r="V152" s="12"/>
      <c r="W152" s="12"/>
      <c r="X152" s="12"/>
      <c r="Y152" s="12"/>
    </row>
    <row r="153" customFormat="false" ht="15.75" hidden="false" customHeight="false" outlineLevel="0" collapsed="false">
      <c r="A153" s="12"/>
      <c r="B153" s="34"/>
      <c r="C153" s="12"/>
      <c r="D153" s="12"/>
      <c r="E153" s="12"/>
      <c r="F153" s="12"/>
      <c r="G153" s="18"/>
      <c r="H153" s="35"/>
      <c r="I153" s="35"/>
      <c r="J153" s="12"/>
      <c r="O153" s="12"/>
      <c r="P153" s="18"/>
      <c r="Q153" s="12"/>
      <c r="R153" s="12"/>
      <c r="S153" s="12"/>
      <c r="T153" s="36"/>
      <c r="U153" s="36"/>
      <c r="V153" s="12"/>
      <c r="W153" s="12"/>
      <c r="X153" s="12"/>
      <c r="Y153" s="12"/>
    </row>
    <row r="154" customFormat="false" ht="15.75" hidden="false" customHeight="false" outlineLevel="0" collapsed="false">
      <c r="A154" s="12"/>
      <c r="B154" s="34"/>
      <c r="C154" s="12"/>
      <c r="D154" s="12"/>
      <c r="E154" s="12"/>
      <c r="F154" s="12"/>
      <c r="G154" s="18"/>
      <c r="H154" s="35"/>
      <c r="I154" s="35"/>
      <c r="J154" s="12"/>
      <c r="O154" s="12"/>
      <c r="P154" s="18"/>
      <c r="Q154" s="12"/>
      <c r="R154" s="12"/>
      <c r="S154" s="12"/>
      <c r="T154" s="36"/>
      <c r="U154" s="36"/>
      <c r="V154" s="12"/>
      <c r="W154" s="12"/>
      <c r="X154" s="12"/>
      <c r="Y154" s="12"/>
    </row>
    <row r="155" customFormat="false" ht="15.75" hidden="false" customHeight="false" outlineLevel="0" collapsed="false">
      <c r="A155" s="12"/>
      <c r="B155" s="34"/>
      <c r="C155" s="12"/>
      <c r="D155" s="12"/>
      <c r="E155" s="12"/>
      <c r="F155" s="12"/>
      <c r="G155" s="18"/>
      <c r="H155" s="35"/>
      <c r="I155" s="35"/>
      <c r="J155" s="12"/>
      <c r="O155" s="12"/>
      <c r="P155" s="18"/>
      <c r="Q155" s="12"/>
      <c r="R155" s="12"/>
      <c r="S155" s="12"/>
      <c r="T155" s="36"/>
      <c r="U155" s="36"/>
      <c r="V155" s="12"/>
      <c r="W155" s="12"/>
      <c r="X155" s="12"/>
      <c r="Y155" s="12"/>
    </row>
    <row r="156" customFormat="false" ht="15.75" hidden="false" customHeight="false" outlineLevel="0" collapsed="false">
      <c r="A156" s="12"/>
      <c r="B156" s="34"/>
      <c r="C156" s="12"/>
      <c r="D156" s="12"/>
      <c r="E156" s="12"/>
      <c r="F156" s="12"/>
      <c r="G156" s="18"/>
      <c r="H156" s="35"/>
      <c r="I156" s="35"/>
      <c r="J156" s="12"/>
      <c r="O156" s="12"/>
      <c r="P156" s="18"/>
      <c r="Q156" s="12"/>
      <c r="R156" s="12"/>
      <c r="S156" s="12"/>
      <c r="T156" s="36"/>
      <c r="U156" s="36"/>
      <c r="V156" s="12"/>
      <c r="W156" s="12"/>
      <c r="X156" s="12"/>
      <c r="Y156" s="12"/>
    </row>
    <row r="157" customFormat="false" ht="15.75" hidden="false" customHeight="false" outlineLevel="0" collapsed="false">
      <c r="A157" s="12"/>
      <c r="B157" s="34"/>
      <c r="C157" s="12"/>
      <c r="D157" s="12"/>
      <c r="E157" s="12"/>
      <c r="F157" s="12"/>
      <c r="G157" s="18"/>
      <c r="H157" s="35"/>
      <c r="I157" s="35"/>
      <c r="J157" s="12"/>
      <c r="O157" s="12"/>
      <c r="P157" s="18"/>
      <c r="Q157" s="12"/>
      <c r="R157" s="12"/>
      <c r="S157" s="12"/>
      <c r="T157" s="36"/>
      <c r="U157" s="36"/>
      <c r="V157" s="12"/>
      <c r="W157" s="12"/>
      <c r="X157" s="12"/>
      <c r="Y157" s="12"/>
    </row>
    <row r="158" customFormat="false" ht="15.75" hidden="false" customHeight="false" outlineLevel="0" collapsed="false">
      <c r="A158" s="12"/>
      <c r="B158" s="34"/>
      <c r="C158" s="12"/>
      <c r="D158" s="12"/>
      <c r="E158" s="12"/>
      <c r="F158" s="12"/>
      <c r="G158" s="18"/>
      <c r="H158" s="35"/>
      <c r="I158" s="35"/>
      <c r="J158" s="12"/>
      <c r="O158" s="12"/>
      <c r="P158" s="18"/>
      <c r="Q158" s="12"/>
      <c r="R158" s="12"/>
      <c r="S158" s="12"/>
      <c r="T158" s="36"/>
      <c r="U158" s="36"/>
      <c r="V158" s="12"/>
      <c r="W158" s="12"/>
      <c r="X158" s="12"/>
      <c r="Y158" s="12"/>
    </row>
    <row r="159" customFormat="false" ht="15.75" hidden="false" customHeight="false" outlineLevel="0" collapsed="false">
      <c r="A159" s="12"/>
      <c r="B159" s="34"/>
      <c r="C159" s="12"/>
      <c r="D159" s="12"/>
      <c r="E159" s="12"/>
      <c r="F159" s="12"/>
      <c r="G159" s="18"/>
      <c r="H159" s="35"/>
      <c r="I159" s="35"/>
      <c r="J159" s="12"/>
      <c r="O159" s="12"/>
      <c r="P159" s="18"/>
      <c r="Q159" s="12"/>
      <c r="R159" s="12"/>
      <c r="S159" s="12"/>
      <c r="T159" s="36"/>
      <c r="U159" s="36"/>
      <c r="V159" s="12"/>
      <c r="W159" s="12"/>
      <c r="X159" s="12"/>
      <c r="Y159" s="12"/>
    </row>
    <row r="160" customFormat="false" ht="15.75" hidden="false" customHeight="false" outlineLevel="0" collapsed="false">
      <c r="A160" s="12"/>
      <c r="B160" s="34"/>
      <c r="C160" s="12"/>
      <c r="D160" s="12"/>
      <c r="E160" s="12"/>
      <c r="F160" s="12"/>
      <c r="G160" s="18"/>
      <c r="H160" s="35"/>
      <c r="I160" s="35"/>
      <c r="J160" s="12"/>
      <c r="O160" s="12"/>
      <c r="P160" s="18"/>
      <c r="Q160" s="12"/>
      <c r="R160" s="12"/>
      <c r="S160" s="12"/>
      <c r="T160" s="36"/>
      <c r="U160" s="36"/>
      <c r="V160" s="12"/>
      <c r="W160" s="12"/>
      <c r="X160" s="12"/>
      <c r="Y160" s="12"/>
    </row>
    <row r="161" customFormat="false" ht="15.75" hidden="false" customHeight="false" outlineLevel="0" collapsed="false">
      <c r="A161" s="12"/>
      <c r="B161" s="34"/>
      <c r="C161" s="12"/>
      <c r="D161" s="12"/>
      <c r="E161" s="12"/>
      <c r="F161" s="12"/>
      <c r="G161" s="18"/>
      <c r="H161" s="35"/>
      <c r="I161" s="35"/>
      <c r="J161" s="12"/>
      <c r="O161" s="12"/>
      <c r="P161" s="18"/>
      <c r="Q161" s="12"/>
      <c r="R161" s="12"/>
      <c r="S161" s="12"/>
      <c r="T161" s="36"/>
      <c r="U161" s="36"/>
      <c r="V161" s="12"/>
      <c r="W161" s="12"/>
      <c r="X161" s="12"/>
      <c r="Y161" s="12"/>
    </row>
    <row r="162" customFormat="false" ht="15.75" hidden="false" customHeight="false" outlineLevel="0" collapsed="false">
      <c r="A162" s="12"/>
      <c r="B162" s="34"/>
      <c r="C162" s="12"/>
      <c r="D162" s="12"/>
      <c r="E162" s="12"/>
      <c r="F162" s="12"/>
      <c r="G162" s="18"/>
      <c r="H162" s="35"/>
      <c r="I162" s="35"/>
      <c r="J162" s="12"/>
      <c r="O162" s="12"/>
      <c r="P162" s="18"/>
      <c r="Q162" s="12"/>
      <c r="R162" s="12"/>
      <c r="S162" s="12"/>
      <c r="T162" s="36"/>
      <c r="U162" s="36"/>
      <c r="V162" s="12"/>
      <c r="W162" s="12"/>
      <c r="X162" s="12"/>
      <c r="Y162" s="12"/>
    </row>
    <row r="163" customFormat="false" ht="15.75" hidden="false" customHeight="false" outlineLevel="0" collapsed="false">
      <c r="A163" s="12"/>
      <c r="B163" s="34"/>
      <c r="C163" s="12"/>
      <c r="D163" s="12"/>
      <c r="E163" s="12"/>
      <c r="F163" s="12"/>
      <c r="G163" s="18"/>
      <c r="H163" s="35"/>
      <c r="I163" s="35"/>
      <c r="J163" s="12"/>
      <c r="O163" s="12"/>
      <c r="P163" s="18"/>
      <c r="Q163" s="12"/>
      <c r="R163" s="12"/>
      <c r="S163" s="12"/>
      <c r="T163" s="36"/>
      <c r="U163" s="36"/>
      <c r="V163" s="12"/>
      <c r="W163" s="12"/>
      <c r="X163" s="12"/>
      <c r="Y163" s="12"/>
    </row>
    <row r="164" customFormat="false" ht="15.75" hidden="false" customHeight="false" outlineLevel="0" collapsed="false">
      <c r="A164" s="12"/>
      <c r="B164" s="34"/>
      <c r="C164" s="12"/>
      <c r="D164" s="12"/>
      <c r="E164" s="12"/>
      <c r="F164" s="12"/>
      <c r="G164" s="18"/>
      <c r="H164" s="35"/>
      <c r="I164" s="35"/>
      <c r="J164" s="12"/>
      <c r="O164" s="12"/>
      <c r="P164" s="18"/>
      <c r="Q164" s="12"/>
      <c r="R164" s="12"/>
      <c r="S164" s="12"/>
      <c r="T164" s="36"/>
      <c r="U164" s="36"/>
      <c r="V164" s="12"/>
      <c r="W164" s="12"/>
      <c r="X164" s="12"/>
      <c r="Y164" s="12"/>
    </row>
    <row r="165" customFormat="false" ht="15.75" hidden="false" customHeight="false" outlineLevel="0" collapsed="false">
      <c r="A165" s="12"/>
      <c r="B165" s="34"/>
      <c r="C165" s="12"/>
      <c r="D165" s="12"/>
      <c r="E165" s="12"/>
      <c r="F165" s="12"/>
      <c r="G165" s="18"/>
      <c r="H165" s="35"/>
      <c r="I165" s="35"/>
      <c r="J165" s="12"/>
      <c r="O165" s="12"/>
      <c r="P165" s="18"/>
      <c r="Q165" s="12"/>
      <c r="R165" s="12"/>
      <c r="S165" s="12"/>
      <c r="T165" s="36"/>
      <c r="U165" s="36"/>
      <c r="V165" s="12"/>
      <c r="W165" s="12"/>
      <c r="X165" s="12"/>
      <c r="Y165" s="12"/>
    </row>
    <row r="166" customFormat="false" ht="15.75" hidden="false" customHeight="false" outlineLevel="0" collapsed="false">
      <c r="A166" s="12"/>
      <c r="B166" s="34"/>
      <c r="C166" s="12"/>
      <c r="D166" s="12"/>
      <c r="E166" s="12"/>
      <c r="F166" s="12"/>
      <c r="G166" s="18"/>
      <c r="H166" s="35"/>
      <c r="I166" s="35"/>
      <c r="J166" s="12"/>
      <c r="O166" s="12"/>
      <c r="P166" s="18"/>
      <c r="Q166" s="12"/>
      <c r="R166" s="12"/>
      <c r="S166" s="12"/>
      <c r="T166" s="36"/>
      <c r="U166" s="36"/>
      <c r="V166" s="12"/>
      <c r="W166" s="12"/>
      <c r="X166" s="12"/>
      <c r="Y166" s="12"/>
    </row>
    <row r="167" customFormat="false" ht="15.75" hidden="false" customHeight="false" outlineLevel="0" collapsed="false">
      <c r="A167" s="12"/>
      <c r="B167" s="34"/>
      <c r="C167" s="12"/>
      <c r="D167" s="12"/>
      <c r="E167" s="12"/>
      <c r="F167" s="12"/>
      <c r="G167" s="18"/>
      <c r="H167" s="35"/>
      <c r="I167" s="35"/>
      <c r="J167" s="12"/>
      <c r="O167" s="12"/>
      <c r="P167" s="18"/>
      <c r="Q167" s="12"/>
      <c r="R167" s="12"/>
      <c r="S167" s="12"/>
      <c r="T167" s="36"/>
      <c r="U167" s="36"/>
      <c r="V167" s="12"/>
      <c r="W167" s="12"/>
      <c r="X167" s="12"/>
      <c r="Y167" s="12"/>
    </row>
    <row r="168" customFormat="false" ht="15.75" hidden="false" customHeight="false" outlineLevel="0" collapsed="false">
      <c r="A168" s="12"/>
      <c r="B168" s="34"/>
      <c r="C168" s="12"/>
      <c r="D168" s="12"/>
      <c r="E168" s="12"/>
      <c r="F168" s="12"/>
      <c r="G168" s="18"/>
      <c r="H168" s="35"/>
      <c r="I168" s="35"/>
      <c r="J168" s="12"/>
      <c r="O168" s="12"/>
      <c r="P168" s="18"/>
      <c r="Q168" s="12"/>
      <c r="R168" s="12"/>
      <c r="S168" s="12"/>
      <c r="T168" s="36"/>
      <c r="U168" s="36"/>
      <c r="V168" s="12"/>
      <c r="W168" s="12"/>
      <c r="X168" s="12"/>
      <c r="Y168" s="12"/>
    </row>
    <row r="169" customFormat="false" ht="15.75" hidden="false" customHeight="false" outlineLevel="0" collapsed="false">
      <c r="A169" s="12"/>
      <c r="B169" s="34"/>
      <c r="C169" s="12"/>
      <c r="D169" s="12"/>
      <c r="E169" s="12"/>
      <c r="F169" s="12"/>
      <c r="G169" s="18"/>
      <c r="H169" s="35"/>
      <c r="I169" s="35"/>
      <c r="J169" s="12"/>
      <c r="O169" s="12"/>
      <c r="P169" s="18"/>
      <c r="Q169" s="12"/>
      <c r="R169" s="12"/>
      <c r="S169" s="12"/>
      <c r="T169" s="36"/>
      <c r="U169" s="36"/>
      <c r="V169" s="12"/>
      <c r="W169" s="12"/>
      <c r="X169" s="12"/>
      <c r="Y169" s="12"/>
    </row>
    <row r="170" customFormat="false" ht="15.75" hidden="false" customHeight="false" outlineLevel="0" collapsed="false">
      <c r="A170" s="12"/>
      <c r="B170" s="34"/>
      <c r="C170" s="12"/>
      <c r="D170" s="12"/>
      <c r="E170" s="12"/>
      <c r="F170" s="12"/>
      <c r="G170" s="18"/>
      <c r="H170" s="35"/>
      <c r="I170" s="35"/>
      <c r="J170" s="12"/>
      <c r="O170" s="12"/>
      <c r="P170" s="18"/>
      <c r="Q170" s="12"/>
      <c r="R170" s="12"/>
      <c r="S170" s="12"/>
      <c r="T170" s="36"/>
      <c r="U170" s="36"/>
      <c r="V170" s="12"/>
      <c r="W170" s="12"/>
      <c r="X170" s="12"/>
      <c r="Y170" s="12"/>
    </row>
    <row r="171" customFormat="false" ht="15.75" hidden="false" customHeight="false" outlineLevel="0" collapsed="false">
      <c r="A171" s="12"/>
      <c r="B171" s="34"/>
      <c r="C171" s="12"/>
      <c r="D171" s="12"/>
      <c r="E171" s="12"/>
      <c r="F171" s="12"/>
      <c r="G171" s="18"/>
      <c r="H171" s="35"/>
      <c r="I171" s="35"/>
      <c r="J171" s="12"/>
      <c r="O171" s="12"/>
      <c r="P171" s="18"/>
      <c r="Q171" s="12"/>
      <c r="R171" s="12"/>
      <c r="S171" s="12"/>
      <c r="T171" s="36"/>
      <c r="U171" s="36"/>
      <c r="V171" s="12"/>
      <c r="W171" s="12"/>
      <c r="X171" s="12"/>
      <c r="Y171" s="12"/>
    </row>
    <row r="172" customFormat="false" ht="15.75" hidden="false" customHeight="false" outlineLevel="0" collapsed="false">
      <c r="A172" s="12"/>
      <c r="B172" s="34"/>
      <c r="C172" s="12"/>
      <c r="D172" s="12"/>
      <c r="E172" s="12"/>
      <c r="F172" s="12"/>
      <c r="G172" s="18"/>
      <c r="H172" s="35"/>
      <c r="I172" s="35"/>
      <c r="J172" s="12"/>
      <c r="O172" s="12"/>
      <c r="P172" s="18"/>
      <c r="Q172" s="12"/>
      <c r="R172" s="12"/>
      <c r="S172" s="12"/>
      <c r="T172" s="36"/>
      <c r="U172" s="36"/>
      <c r="V172" s="12"/>
      <c r="W172" s="12"/>
      <c r="X172" s="12"/>
      <c r="Y172" s="12"/>
    </row>
    <row r="173" customFormat="false" ht="15.75" hidden="false" customHeight="false" outlineLevel="0" collapsed="false">
      <c r="A173" s="12"/>
      <c r="B173" s="34"/>
      <c r="C173" s="12"/>
      <c r="D173" s="12"/>
      <c r="E173" s="12"/>
      <c r="F173" s="12"/>
      <c r="G173" s="18"/>
      <c r="H173" s="35"/>
      <c r="I173" s="35"/>
      <c r="J173" s="12"/>
      <c r="O173" s="12"/>
      <c r="P173" s="18"/>
      <c r="Q173" s="12"/>
      <c r="R173" s="12"/>
      <c r="S173" s="12"/>
      <c r="T173" s="36"/>
      <c r="U173" s="36"/>
      <c r="V173" s="12"/>
      <c r="W173" s="12"/>
      <c r="X173" s="12"/>
      <c r="Y173" s="12"/>
    </row>
    <row r="174" customFormat="false" ht="15.75" hidden="false" customHeight="false" outlineLevel="0" collapsed="false">
      <c r="A174" s="12"/>
      <c r="B174" s="34"/>
      <c r="C174" s="12"/>
      <c r="D174" s="12"/>
      <c r="E174" s="12"/>
      <c r="F174" s="12"/>
      <c r="G174" s="18"/>
      <c r="H174" s="35"/>
      <c r="I174" s="35"/>
      <c r="J174" s="12"/>
      <c r="O174" s="12"/>
      <c r="P174" s="18"/>
      <c r="Q174" s="12"/>
      <c r="R174" s="12"/>
      <c r="S174" s="12"/>
      <c r="T174" s="36"/>
      <c r="U174" s="36"/>
      <c r="V174" s="12"/>
      <c r="W174" s="12"/>
      <c r="X174" s="12"/>
      <c r="Y174" s="12"/>
    </row>
    <row r="175" customFormat="false" ht="15.75" hidden="false" customHeight="false" outlineLevel="0" collapsed="false">
      <c r="A175" s="12"/>
      <c r="B175" s="34"/>
      <c r="C175" s="12"/>
      <c r="D175" s="12"/>
      <c r="E175" s="12"/>
      <c r="F175" s="12"/>
      <c r="G175" s="18"/>
      <c r="H175" s="35"/>
      <c r="I175" s="35"/>
      <c r="J175" s="12"/>
      <c r="O175" s="12"/>
      <c r="P175" s="18"/>
      <c r="Q175" s="12"/>
      <c r="R175" s="12"/>
      <c r="S175" s="12"/>
      <c r="T175" s="36"/>
      <c r="U175" s="36"/>
      <c r="V175" s="12"/>
      <c r="W175" s="12"/>
      <c r="X175" s="12"/>
      <c r="Y175" s="12"/>
    </row>
    <row r="176" customFormat="false" ht="15.75" hidden="false" customHeight="false" outlineLevel="0" collapsed="false">
      <c r="A176" s="12"/>
      <c r="B176" s="34"/>
      <c r="C176" s="12"/>
      <c r="D176" s="12"/>
      <c r="E176" s="12"/>
      <c r="F176" s="12"/>
      <c r="G176" s="18"/>
      <c r="H176" s="35"/>
      <c r="I176" s="35"/>
      <c r="J176" s="12"/>
      <c r="O176" s="12"/>
      <c r="P176" s="18"/>
      <c r="Q176" s="12"/>
      <c r="R176" s="12"/>
      <c r="S176" s="12"/>
      <c r="T176" s="36"/>
      <c r="U176" s="36"/>
      <c r="V176" s="12"/>
      <c r="W176" s="12"/>
      <c r="X176" s="12"/>
      <c r="Y176" s="12"/>
    </row>
    <row r="177" customFormat="false" ht="15.75" hidden="false" customHeight="false" outlineLevel="0" collapsed="false">
      <c r="A177" s="12"/>
      <c r="B177" s="34"/>
      <c r="C177" s="12"/>
      <c r="D177" s="12"/>
      <c r="E177" s="12"/>
      <c r="F177" s="12"/>
      <c r="G177" s="18"/>
      <c r="H177" s="35"/>
      <c r="I177" s="35"/>
      <c r="J177" s="12"/>
      <c r="O177" s="12"/>
      <c r="P177" s="18"/>
      <c r="Q177" s="12"/>
      <c r="R177" s="12"/>
      <c r="S177" s="12"/>
      <c r="T177" s="36"/>
      <c r="U177" s="36"/>
      <c r="V177" s="12"/>
      <c r="W177" s="12"/>
      <c r="X177" s="12"/>
      <c r="Y177" s="12"/>
    </row>
    <row r="178" customFormat="false" ht="15.75" hidden="false" customHeight="false" outlineLevel="0" collapsed="false">
      <c r="A178" s="12"/>
      <c r="B178" s="34"/>
      <c r="C178" s="12"/>
      <c r="D178" s="12"/>
      <c r="E178" s="12"/>
      <c r="F178" s="12"/>
      <c r="G178" s="18"/>
      <c r="H178" s="35"/>
      <c r="I178" s="35"/>
      <c r="J178" s="12"/>
      <c r="O178" s="12"/>
      <c r="P178" s="18"/>
      <c r="Q178" s="12"/>
      <c r="R178" s="12"/>
      <c r="S178" s="12"/>
      <c r="T178" s="36"/>
      <c r="U178" s="36"/>
      <c r="V178" s="12"/>
      <c r="W178" s="12"/>
      <c r="X178" s="12"/>
      <c r="Y178" s="12"/>
    </row>
    <row r="179" customFormat="false" ht="15.75" hidden="false" customHeight="false" outlineLevel="0" collapsed="false">
      <c r="A179" s="12"/>
      <c r="B179" s="34"/>
      <c r="C179" s="12"/>
      <c r="D179" s="12"/>
      <c r="E179" s="12"/>
      <c r="F179" s="12"/>
      <c r="G179" s="18"/>
      <c r="H179" s="35"/>
      <c r="I179" s="35"/>
      <c r="J179" s="12"/>
      <c r="O179" s="12"/>
      <c r="P179" s="18"/>
      <c r="Q179" s="12"/>
      <c r="R179" s="12"/>
      <c r="S179" s="12"/>
      <c r="T179" s="36"/>
      <c r="U179" s="36"/>
      <c r="V179" s="12"/>
      <c r="W179" s="12"/>
      <c r="X179" s="12"/>
      <c r="Y179" s="12"/>
    </row>
    <row r="180" customFormat="false" ht="15.75" hidden="false" customHeight="false" outlineLevel="0" collapsed="false">
      <c r="A180" s="12"/>
      <c r="B180" s="34"/>
      <c r="C180" s="12"/>
      <c r="D180" s="12"/>
      <c r="E180" s="12"/>
      <c r="F180" s="12"/>
      <c r="G180" s="18"/>
      <c r="H180" s="35"/>
      <c r="I180" s="35"/>
      <c r="J180" s="12"/>
      <c r="O180" s="12"/>
      <c r="P180" s="18"/>
      <c r="Q180" s="12"/>
      <c r="R180" s="12"/>
      <c r="S180" s="12"/>
      <c r="T180" s="36"/>
      <c r="U180" s="36"/>
      <c r="V180" s="12"/>
      <c r="W180" s="12"/>
      <c r="X180" s="12"/>
      <c r="Y180" s="12"/>
    </row>
    <row r="181" customFormat="false" ht="15.75" hidden="false" customHeight="false" outlineLevel="0" collapsed="false">
      <c r="A181" s="12"/>
      <c r="B181" s="34"/>
      <c r="C181" s="12"/>
      <c r="D181" s="12"/>
      <c r="E181" s="12"/>
      <c r="F181" s="12"/>
      <c r="G181" s="18"/>
      <c r="H181" s="35"/>
      <c r="I181" s="35"/>
      <c r="J181" s="12"/>
      <c r="O181" s="12"/>
      <c r="P181" s="18"/>
      <c r="Q181" s="12"/>
      <c r="R181" s="12"/>
      <c r="S181" s="12"/>
      <c r="T181" s="36"/>
      <c r="U181" s="36"/>
      <c r="V181" s="12"/>
      <c r="W181" s="12"/>
      <c r="X181" s="12"/>
      <c r="Y181" s="12"/>
    </row>
    <row r="182" customFormat="false" ht="15.75" hidden="false" customHeight="false" outlineLevel="0" collapsed="false">
      <c r="A182" s="12"/>
      <c r="B182" s="34"/>
      <c r="C182" s="12"/>
      <c r="D182" s="12"/>
      <c r="E182" s="12"/>
      <c r="F182" s="12"/>
      <c r="G182" s="18"/>
      <c r="H182" s="35"/>
      <c r="I182" s="35"/>
      <c r="J182" s="12"/>
      <c r="O182" s="12"/>
      <c r="P182" s="18"/>
      <c r="Q182" s="12"/>
      <c r="R182" s="12"/>
      <c r="S182" s="12"/>
      <c r="T182" s="36"/>
      <c r="U182" s="36"/>
      <c r="V182" s="12"/>
      <c r="W182" s="12"/>
      <c r="X182" s="12"/>
      <c r="Y182" s="12"/>
    </row>
    <row r="183" customFormat="false" ht="15.75" hidden="false" customHeight="false" outlineLevel="0" collapsed="false">
      <c r="A183" s="12"/>
      <c r="B183" s="34"/>
      <c r="C183" s="12"/>
      <c r="D183" s="12"/>
      <c r="E183" s="12"/>
      <c r="F183" s="12"/>
      <c r="G183" s="18"/>
      <c r="H183" s="35"/>
      <c r="I183" s="35"/>
      <c r="J183" s="12"/>
      <c r="O183" s="12"/>
      <c r="P183" s="18"/>
      <c r="Q183" s="12"/>
      <c r="R183" s="12"/>
      <c r="S183" s="12"/>
      <c r="T183" s="36"/>
      <c r="U183" s="36"/>
      <c r="V183" s="12"/>
      <c r="W183" s="12"/>
      <c r="X183" s="12"/>
      <c r="Y183" s="12"/>
    </row>
    <row r="184" customFormat="false" ht="15.75" hidden="false" customHeight="false" outlineLevel="0" collapsed="false">
      <c r="A184" s="12"/>
      <c r="B184" s="34"/>
      <c r="C184" s="12"/>
      <c r="D184" s="12"/>
      <c r="E184" s="12"/>
      <c r="F184" s="12"/>
      <c r="G184" s="18"/>
      <c r="H184" s="35"/>
      <c r="I184" s="35"/>
      <c r="J184" s="12"/>
      <c r="O184" s="12"/>
      <c r="P184" s="18"/>
      <c r="Q184" s="12"/>
      <c r="R184" s="12"/>
      <c r="S184" s="12"/>
      <c r="T184" s="36"/>
      <c r="U184" s="36"/>
      <c r="V184" s="12"/>
      <c r="W184" s="12"/>
      <c r="X184" s="12"/>
      <c r="Y184" s="12"/>
    </row>
    <row r="185" customFormat="false" ht="15.75" hidden="false" customHeight="false" outlineLevel="0" collapsed="false">
      <c r="A185" s="12"/>
      <c r="B185" s="34"/>
      <c r="C185" s="12"/>
      <c r="D185" s="12"/>
      <c r="E185" s="12"/>
      <c r="F185" s="12"/>
      <c r="G185" s="18"/>
      <c r="H185" s="35"/>
      <c r="I185" s="35"/>
      <c r="J185" s="12"/>
      <c r="O185" s="12"/>
      <c r="P185" s="18"/>
      <c r="Q185" s="12"/>
      <c r="R185" s="12"/>
      <c r="S185" s="12"/>
      <c r="T185" s="36"/>
      <c r="U185" s="36"/>
      <c r="V185" s="12"/>
      <c r="W185" s="12"/>
      <c r="X185" s="12"/>
      <c r="Y185" s="12"/>
    </row>
    <row r="186" customFormat="false" ht="15.75" hidden="false" customHeight="false" outlineLevel="0" collapsed="false">
      <c r="A186" s="12"/>
      <c r="B186" s="34"/>
      <c r="C186" s="12"/>
      <c r="D186" s="12"/>
      <c r="E186" s="12"/>
      <c r="F186" s="12"/>
      <c r="G186" s="18"/>
      <c r="H186" s="35"/>
      <c r="I186" s="35"/>
      <c r="J186" s="12"/>
      <c r="O186" s="12"/>
      <c r="P186" s="18"/>
      <c r="Q186" s="12"/>
      <c r="R186" s="12"/>
      <c r="S186" s="12"/>
      <c r="T186" s="36"/>
      <c r="U186" s="36"/>
      <c r="V186" s="12"/>
      <c r="W186" s="12"/>
      <c r="X186" s="12"/>
      <c r="Y186" s="12"/>
    </row>
    <row r="187" customFormat="false" ht="15.75" hidden="false" customHeight="false" outlineLevel="0" collapsed="false">
      <c r="A187" s="12"/>
      <c r="B187" s="34"/>
      <c r="C187" s="12"/>
      <c r="D187" s="12"/>
      <c r="E187" s="12"/>
      <c r="F187" s="12"/>
      <c r="G187" s="18"/>
      <c r="H187" s="35"/>
      <c r="I187" s="35"/>
      <c r="J187" s="12"/>
      <c r="O187" s="12"/>
      <c r="P187" s="18"/>
      <c r="Q187" s="12"/>
      <c r="R187" s="12"/>
      <c r="S187" s="12"/>
      <c r="T187" s="36"/>
      <c r="U187" s="36"/>
      <c r="V187" s="12"/>
      <c r="W187" s="12"/>
      <c r="X187" s="12"/>
      <c r="Y187" s="12"/>
    </row>
    <row r="188" customFormat="false" ht="15.75" hidden="false" customHeight="false" outlineLevel="0" collapsed="false">
      <c r="A188" s="12"/>
      <c r="B188" s="34"/>
      <c r="C188" s="12"/>
      <c r="D188" s="12"/>
      <c r="E188" s="12"/>
      <c r="F188" s="12"/>
      <c r="G188" s="18"/>
      <c r="H188" s="35"/>
      <c r="I188" s="35"/>
      <c r="J188" s="12"/>
      <c r="O188" s="12"/>
      <c r="P188" s="18"/>
      <c r="Q188" s="12"/>
      <c r="R188" s="12"/>
      <c r="S188" s="12"/>
      <c r="T188" s="36"/>
      <c r="U188" s="36"/>
      <c r="V188" s="12"/>
      <c r="W188" s="12"/>
      <c r="X188" s="12"/>
      <c r="Y188" s="12"/>
    </row>
    <row r="189" customFormat="false" ht="15.75" hidden="false" customHeight="false" outlineLevel="0" collapsed="false">
      <c r="A189" s="12"/>
      <c r="B189" s="34"/>
      <c r="C189" s="12"/>
      <c r="D189" s="12"/>
      <c r="E189" s="12"/>
      <c r="F189" s="12"/>
      <c r="G189" s="18"/>
      <c r="H189" s="35"/>
      <c r="I189" s="35"/>
      <c r="J189" s="12"/>
      <c r="O189" s="12"/>
      <c r="P189" s="18"/>
      <c r="Q189" s="12"/>
      <c r="R189" s="12"/>
      <c r="S189" s="12"/>
      <c r="T189" s="36"/>
      <c r="U189" s="36"/>
      <c r="V189" s="12"/>
      <c r="W189" s="12"/>
      <c r="X189" s="12"/>
      <c r="Y189" s="12"/>
    </row>
    <row r="190" customFormat="false" ht="15.75" hidden="false" customHeight="false" outlineLevel="0" collapsed="false">
      <c r="A190" s="12"/>
      <c r="B190" s="34"/>
      <c r="C190" s="12"/>
      <c r="D190" s="12"/>
      <c r="E190" s="12"/>
      <c r="F190" s="12"/>
      <c r="G190" s="18"/>
      <c r="H190" s="35"/>
      <c r="I190" s="35"/>
      <c r="J190" s="12"/>
      <c r="O190" s="12"/>
      <c r="P190" s="18"/>
      <c r="Q190" s="12"/>
      <c r="R190" s="12"/>
      <c r="S190" s="12"/>
      <c r="T190" s="36"/>
      <c r="U190" s="36"/>
      <c r="V190" s="12"/>
      <c r="W190" s="12"/>
      <c r="X190" s="12"/>
      <c r="Y190" s="12"/>
    </row>
    <row r="191" customFormat="false" ht="15.75" hidden="false" customHeight="false" outlineLevel="0" collapsed="false">
      <c r="A191" s="12"/>
      <c r="B191" s="34"/>
      <c r="C191" s="12"/>
      <c r="D191" s="12"/>
      <c r="E191" s="12"/>
      <c r="F191" s="12"/>
      <c r="G191" s="18"/>
      <c r="H191" s="35"/>
      <c r="I191" s="35"/>
      <c r="J191" s="12"/>
      <c r="O191" s="12"/>
      <c r="P191" s="18"/>
      <c r="Q191" s="12"/>
      <c r="R191" s="12"/>
      <c r="S191" s="12"/>
      <c r="T191" s="36"/>
      <c r="U191" s="36"/>
      <c r="V191" s="12"/>
      <c r="W191" s="12"/>
      <c r="X191" s="12"/>
      <c r="Y191" s="12"/>
    </row>
    <row r="192" customFormat="false" ht="15.75" hidden="false" customHeight="false" outlineLevel="0" collapsed="false">
      <c r="A192" s="12"/>
      <c r="B192" s="34"/>
      <c r="C192" s="12"/>
      <c r="D192" s="12"/>
      <c r="E192" s="12"/>
      <c r="F192" s="12"/>
      <c r="G192" s="18"/>
      <c r="H192" s="35"/>
      <c r="I192" s="35"/>
      <c r="J192" s="12"/>
      <c r="O192" s="12"/>
      <c r="P192" s="18"/>
      <c r="Q192" s="12"/>
      <c r="R192" s="12"/>
      <c r="S192" s="12"/>
      <c r="T192" s="36"/>
      <c r="U192" s="36"/>
      <c r="V192" s="12"/>
      <c r="W192" s="12"/>
      <c r="X192" s="12"/>
      <c r="Y192" s="12"/>
    </row>
    <row r="193" customFormat="false" ht="15.75" hidden="false" customHeight="false" outlineLevel="0" collapsed="false">
      <c r="A193" s="12"/>
      <c r="B193" s="34"/>
      <c r="C193" s="12"/>
      <c r="D193" s="12"/>
      <c r="E193" s="12"/>
      <c r="F193" s="12"/>
      <c r="G193" s="18"/>
      <c r="H193" s="35"/>
      <c r="I193" s="35"/>
      <c r="J193" s="12"/>
      <c r="O193" s="12"/>
      <c r="P193" s="18"/>
      <c r="Q193" s="12"/>
      <c r="R193" s="12"/>
      <c r="S193" s="12"/>
      <c r="T193" s="36"/>
      <c r="U193" s="36"/>
      <c r="V193" s="12"/>
      <c r="W193" s="12"/>
      <c r="X193" s="12"/>
      <c r="Y193" s="12"/>
    </row>
    <row r="194" customFormat="false" ht="15.75" hidden="false" customHeight="false" outlineLevel="0" collapsed="false">
      <c r="A194" s="12"/>
      <c r="B194" s="34"/>
      <c r="C194" s="12"/>
      <c r="D194" s="12"/>
      <c r="E194" s="12"/>
      <c r="F194" s="12"/>
      <c r="G194" s="18"/>
      <c r="H194" s="35"/>
      <c r="I194" s="35"/>
      <c r="J194" s="12"/>
      <c r="O194" s="12"/>
      <c r="P194" s="18"/>
      <c r="Q194" s="12"/>
      <c r="R194" s="12"/>
      <c r="S194" s="12"/>
      <c r="T194" s="36"/>
      <c r="U194" s="36"/>
      <c r="V194" s="12"/>
      <c r="W194" s="12"/>
      <c r="X194" s="12"/>
      <c r="Y194" s="12"/>
    </row>
    <row r="195" customFormat="false" ht="15.75" hidden="false" customHeight="false" outlineLevel="0" collapsed="false">
      <c r="A195" s="12"/>
      <c r="B195" s="34"/>
      <c r="C195" s="12"/>
      <c r="D195" s="12"/>
      <c r="E195" s="12"/>
      <c r="F195" s="12"/>
      <c r="G195" s="18"/>
      <c r="H195" s="35"/>
      <c r="I195" s="35"/>
      <c r="J195" s="12"/>
      <c r="O195" s="12"/>
      <c r="P195" s="18"/>
      <c r="Q195" s="12"/>
      <c r="R195" s="12"/>
      <c r="S195" s="12"/>
      <c r="T195" s="36"/>
      <c r="U195" s="36"/>
      <c r="V195" s="12"/>
      <c r="W195" s="12"/>
      <c r="X195" s="12"/>
      <c r="Y195" s="12"/>
    </row>
    <row r="196" customFormat="false" ht="15.75" hidden="false" customHeight="false" outlineLevel="0" collapsed="false">
      <c r="A196" s="12"/>
      <c r="B196" s="34"/>
      <c r="C196" s="12"/>
      <c r="D196" s="12"/>
      <c r="E196" s="12"/>
      <c r="F196" s="12"/>
      <c r="G196" s="18"/>
      <c r="H196" s="35"/>
      <c r="I196" s="35"/>
      <c r="J196" s="12"/>
      <c r="O196" s="12"/>
      <c r="P196" s="18"/>
      <c r="Q196" s="12"/>
      <c r="R196" s="12"/>
      <c r="S196" s="12"/>
      <c r="T196" s="36"/>
      <c r="U196" s="36"/>
      <c r="V196" s="12"/>
      <c r="W196" s="12"/>
      <c r="X196" s="12"/>
      <c r="Y196" s="12"/>
    </row>
    <row r="197" customFormat="false" ht="15.75" hidden="false" customHeight="false" outlineLevel="0" collapsed="false">
      <c r="A197" s="12"/>
      <c r="B197" s="34"/>
      <c r="C197" s="12"/>
      <c r="D197" s="12"/>
      <c r="E197" s="12"/>
      <c r="F197" s="12"/>
      <c r="G197" s="18"/>
      <c r="H197" s="35"/>
      <c r="I197" s="35"/>
      <c r="J197" s="12"/>
      <c r="O197" s="12"/>
      <c r="P197" s="18"/>
      <c r="Q197" s="12"/>
      <c r="R197" s="12"/>
      <c r="S197" s="12"/>
      <c r="T197" s="36"/>
      <c r="U197" s="36"/>
      <c r="V197" s="12"/>
      <c r="W197" s="12"/>
      <c r="X197" s="12"/>
      <c r="Y197" s="12"/>
    </row>
    <row r="198" customFormat="false" ht="15.75" hidden="false" customHeight="false" outlineLevel="0" collapsed="false">
      <c r="A198" s="12"/>
      <c r="B198" s="34"/>
      <c r="C198" s="12"/>
      <c r="D198" s="12"/>
      <c r="E198" s="12"/>
      <c r="F198" s="12"/>
      <c r="G198" s="18"/>
      <c r="H198" s="35"/>
      <c r="I198" s="35"/>
      <c r="J198" s="12"/>
      <c r="O198" s="12"/>
      <c r="P198" s="18"/>
      <c r="Q198" s="12"/>
      <c r="R198" s="12"/>
      <c r="S198" s="12"/>
      <c r="T198" s="36"/>
      <c r="U198" s="36"/>
      <c r="V198" s="12"/>
      <c r="W198" s="12"/>
      <c r="X198" s="12"/>
      <c r="Y198" s="12"/>
    </row>
    <row r="199" customFormat="false" ht="15.75" hidden="false" customHeight="false" outlineLevel="0" collapsed="false">
      <c r="A199" s="12"/>
      <c r="B199" s="34"/>
      <c r="C199" s="12"/>
      <c r="D199" s="12"/>
      <c r="E199" s="12"/>
      <c r="F199" s="12"/>
      <c r="G199" s="18"/>
      <c r="H199" s="35"/>
      <c r="I199" s="35"/>
      <c r="J199" s="12"/>
      <c r="O199" s="12"/>
      <c r="P199" s="18"/>
      <c r="Q199" s="12"/>
      <c r="R199" s="12"/>
      <c r="S199" s="12"/>
      <c r="T199" s="36"/>
      <c r="U199" s="36"/>
      <c r="V199" s="12"/>
      <c r="W199" s="12"/>
      <c r="X199" s="12"/>
      <c r="Y199" s="12"/>
    </row>
    <row r="200" customFormat="false" ht="15.75" hidden="false" customHeight="false" outlineLevel="0" collapsed="false">
      <c r="A200" s="12"/>
      <c r="B200" s="34"/>
      <c r="C200" s="12"/>
      <c r="D200" s="12"/>
      <c r="E200" s="12"/>
      <c r="F200" s="12"/>
      <c r="G200" s="18"/>
      <c r="H200" s="35"/>
      <c r="I200" s="35"/>
      <c r="J200" s="12"/>
      <c r="O200" s="12"/>
      <c r="P200" s="18"/>
      <c r="Q200" s="12"/>
      <c r="R200" s="12"/>
      <c r="S200" s="12"/>
      <c r="T200" s="36"/>
      <c r="U200" s="36"/>
      <c r="V200" s="12"/>
      <c r="W200" s="12"/>
      <c r="X200" s="12"/>
      <c r="Y200" s="12"/>
    </row>
    <row r="201" customFormat="false" ht="15.75" hidden="false" customHeight="false" outlineLevel="0" collapsed="false">
      <c r="A201" s="12"/>
      <c r="B201" s="34"/>
      <c r="C201" s="12"/>
      <c r="D201" s="12"/>
      <c r="E201" s="12"/>
      <c r="F201" s="12"/>
      <c r="G201" s="18"/>
      <c r="H201" s="35"/>
      <c r="I201" s="35"/>
      <c r="J201" s="12"/>
      <c r="O201" s="12"/>
      <c r="P201" s="18"/>
      <c r="Q201" s="12"/>
      <c r="R201" s="12"/>
      <c r="S201" s="12"/>
      <c r="T201" s="36"/>
      <c r="U201" s="36"/>
      <c r="V201" s="12"/>
      <c r="W201" s="12"/>
      <c r="X201" s="12"/>
      <c r="Y201" s="12"/>
    </row>
    <row r="202" customFormat="false" ht="15.75" hidden="false" customHeight="false" outlineLevel="0" collapsed="false">
      <c r="A202" s="12"/>
      <c r="B202" s="34"/>
      <c r="C202" s="12"/>
      <c r="D202" s="12"/>
      <c r="E202" s="12"/>
      <c r="F202" s="12"/>
      <c r="G202" s="18"/>
      <c r="H202" s="35"/>
      <c r="I202" s="35"/>
      <c r="J202" s="12"/>
      <c r="O202" s="12"/>
      <c r="P202" s="18"/>
      <c r="Q202" s="12"/>
      <c r="R202" s="12"/>
      <c r="S202" s="12"/>
      <c r="T202" s="36"/>
      <c r="U202" s="36"/>
      <c r="V202" s="12"/>
      <c r="W202" s="12"/>
      <c r="X202" s="12"/>
      <c r="Y202" s="12"/>
    </row>
    <row r="203" customFormat="false" ht="15.75" hidden="false" customHeight="false" outlineLevel="0" collapsed="false">
      <c r="A203" s="12"/>
      <c r="B203" s="34"/>
      <c r="C203" s="12"/>
      <c r="D203" s="12"/>
      <c r="E203" s="12"/>
      <c r="F203" s="12"/>
      <c r="G203" s="18"/>
      <c r="H203" s="35"/>
      <c r="I203" s="35"/>
      <c r="J203" s="12"/>
      <c r="O203" s="12"/>
      <c r="P203" s="18"/>
      <c r="Q203" s="12"/>
      <c r="R203" s="12"/>
      <c r="S203" s="12"/>
      <c r="T203" s="36"/>
      <c r="U203" s="36"/>
      <c r="V203" s="12"/>
      <c r="W203" s="12"/>
      <c r="X203" s="12"/>
      <c r="Y203" s="12"/>
    </row>
    <row r="204" customFormat="false" ht="15.75" hidden="false" customHeight="false" outlineLevel="0" collapsed="false">
      <c r="A204" s="12"/>
      <c r="B204" s="34"/>
      <c r="C204" s="12"/>
      <c r="D204" s="12"/>
      <c r="E204" s="12"/>
      <c r="F204" s="12"/>
      <c r="G204" s="18"/>
      <c r="H204" s="35"/>
      <c r="I204" s="35"/>
      <c r="J204" s="12"/>
      <c r="O204" s="12"/>
      <c r="P204" s="18"/>
      <c r="Q204" s="12"/>
      <c r="R204" s="12"/>
      <c r="S204" s="12"/>
      <c r="T204" s="36"/>
      <c r="U204" s="36"/>
      <c r="V204" s="12"/>
      <c r="W204" s="12"/>
      <c r="X204" s="12"/>
      <c r="Y204" s="12"/>
    </row>
    <row r="205" customFormat="false" ht="15.75" hidden="false" customHeight="false" outlineLevel="0" collapsed="false">
      <c r="A205" s="12"/>
      <c r="B205" s="34"/>
      <c r="C205" s="12"/>
      <c r="D205" s="12"/>
      <c r="E205" s="12"/>
      <c r="F205" s="12"/>
      <c r="G205" s="18"/>
      <c r="H205" s="35"/>
      <c r="I205" s="35"/>
      <c r="J205" s="12"/>
      <c r="O205" s="12"/>
      <c r="P205" s="18"/>
      <c r="Q205" s="12"/>
      <c r="R205" s="12"/>
      <c r="S205" s="12"/>
      <c r="T205" s="36"/>
      <c r="U205" s="36"/>
      <c r="V205" s="12"/>
      <c r="W205" s="12"/>
      <c r="X205" s="12"/>
      <c r="Y205" s="12"/>
    </row>
    <row r="206" customFormat="false" ht="15.75" hidden="false" customHeight="false" outlineLevel="0" collapsed="false">
      <c r="A206" s="12"/>
      <c r="B206" s="34"/>
      <c r="C206" s="12"/>
      <c r="D206" s="12"/>
      <c r="E206" s="12"/>
      <c r="F206" s="12"/>
      <c r="G206" s="18"/>
      <c r="H206" s="35"/>
      <c r="I206" s="35"/>
      <c r="J206" s="12"/>
      <c r="O206" s="12"/>
      <c r="P206" s="18"/>
      <c r="Q206" s="12"/>
      <c r="R206" s="12"/>
      <c r="S206" s="12"/>
      <c r="T206" s="36"/>
      <c r="U206" s="36"/>
      <c r="V206" s="12"/>
      <c r="W206" s="12"/>
      <c r="X206" s="12"/>
      <c r="Y206" s="12"/>
    </row>
    <row r="207" customFormat="false" ht="15.75" hidden="false" customHeight="false" outlineLevel="0" collapsed="false">
      <c r="A207" s="12"/>
      <c r="B207" s="34"/>
      <c r="C207" s="12"/>
      <c r="D207" s="12"/>
      <c r="E207" s="12"/>
      <c r="F207" s="12"/>
      <c r="G207" s="18"/>
      <c r="H207" s="35"/>
      <c r="I207" s="35"/>
      <c r="J207" s="12"/>
      <c r="O207" s="12"/>
      <c r="P207" s="18"/>
      <c r="Q207" s="12"/>
      <c r="R207" s="12"/>
      <c r="S207" s="12"/>
      <c r="T207" s="36"/>
      <c r="U207" s="36"/>
      <c r="V207" s="12"/>
      <c r="W207" s="12"/>
      <c r="X207" s="12"/>
      <c r="Y207" s="12"/>
    </row>
    <row r="208" customFormat="false" ht="15.75" hidden="false" customHeight="false" outlineLevel="0" collapsed="false">
      <c r="A208" s="12"/>
      <c r="B208" s="34"/>
      <c r="C208" s="12"/>
      <c r="D208" s="12"/>
      <c r="E208" s="12"/>
      <c r="F208" s="12"/>
      <c r="G208" s="18"/>
      <c r="H208" s="35"/>
      <c r="I208" s="35"/>
      <c r="J208" s="12"/>
      <c r="O208" s="12"/>
      <c r="P208" s="18"/>
      <c r="Q208" s="12"/>
      <c r="R208" s="12"/>
      <c r="S208" s="12"/>
      <c r="T208" s="36"/>
      <c r="U208" s="36"/>
      <c r="V208" s="12"/>
      <c r="W208" s="12"/>
      <c r="X208" s="12"/>
      <c r="Y208" s="12"/>
    </row>
    <row r="209" customFormat="false" ht="15.75" hidden="false" customHeight="false" outlineLevel="0" collapsed="false">
      <c r="A209" s="12"/>
      <c r="B209" s="34"/>
      <c r="C209" s="12"/>
      <c r="D209" s="12"/>
      <c r="E209" s="12"/>
      <c r="F209" s="12"/>
      <c r="G209" s="18"/>
      <c r="H209" s="35"/>
      <c r="I209" s="35"/>
      <c r="J209" s="12"/>
      <c r="O209" s="12"/>
      <c r="P209" s="18"/>
      <c r="Q209" s="12"/>
      <c r="R209" s="12"/>
      <c r="S209" s="12"/>
      <c r="T209" s="36"/>
      <c r="U209" s="36"/>
      <c r="V209" s="12"/>
      <c r="W209" s="12"/>
      <c r="X209" s="12"/>
      <c r="Y209" s="12"/>
    </row>
    <row r="210" customFormat="false" ht="15.75" hidden="false" customHeight="false" outlineLevel="0" collapsed="false">
      <c r="A210" s="12"/>
      <c r="B210" s="34"/>
      <c r="C210" s="12"/>
      <c r="D210" s="12"/>
      <c r="E210" s="12"/>
      <c r="F210" s="12"/>
      <c r="G210" s="18"/>
      <c r="H210" s="35"/>
      <c r="I210" s="35"/>
      <c r="J210" s="12"/>
      <c r="O210" s="12"/>
      <c r="P210" s="18"/>
      <c r="Q210" s="12"/>
      <c r="R210" s="12"/>
      <c r="S210" s="12"/>
      <c r="T210" s="36"/>
      <c r="U210" s="36"/>
      <c r="V210" s="12"/>
      <c r="W210" s="12"/>
      <c r="X210" s="12"/>
      <c r="Y210" s="12"/>
    </row>
    <row r="211" customFormat="false" ht="15.75" hidden="false" customHeight="false" outlineLevel="0" collapsed="false">
      <c r="A211" s="12"/>
      <c r="B211" s="34"/>
      <c r="C211" s="12"/>
      <c r="D211" s="12"/>
      <c r="E211" s="12"/>
      <c r="F211" s="12"/>
      <c r="G211" s="18"/>
      <c r="H211" s="35"/>
      <c r="I211" s="35"/>
      <c r="J211" s="12"/>
      <c r="O211" s="12"/>
      <c r="P211" s="18"/>
      <c r="Q211" s="12"/>
      <c r="R211" s="12"/>
      <c r="S211" s="12"/>
      <c r="T211" s="36"/>
      <c r="U211" s="36"/>
      <c r="V211" s="12"/>
      <c r="W211" s="12"/>
      <c r="X211" s="12"/>
      <c r="Y211" s="12"/>
    </row>
    <row r="212" customFormat="false" ht="15.75" hidden="false" customHeight="false" outlineLevel="0" collapsed="false">
      <c r="A212" s="12"/>
      <c r="B212" s="34"/>
      <c r="C212" s="12"/>
      <c r="D212" s="12"/>
      <c r="E212" s="12"/>
      <c r="F212" s="12"/>
      <c r="G212" s="18"/>
      <c r="H212" s="35"/>
      <c r="I212" s="35"/>
      <c r="J212" s="12"/>
      <c r="O212" s="12"/>
      <c r="P212" s="18"/>
      <c r="Q212" s="12"/>
      <c r="R212" s="12"/>
      <c r="S212" s="12"/>
      <c r="T212" s="36"/>
      <c r="U212" s="36"/>
      <c r="V212" s="12"/>
      <c r="W212" s="12"/>
      <c r="X212" s="12"/>
      <c r="Y212" s="12"/>
    </row>
    <row r="213" customFormat="false" ht="15.75" hidden="false" customHeight="false" outlineLevel="0" collapsed="false">
      <c r="A213" s="12"/>
      <c r="B213" s="34"/>
      <c r="C213" s="12"/>
      <c r="D213" s="12"/>
      <c r="E213" s="12"/>
      <c r="F213" s="12"/>
      <c r="G213" s="18"/>
      <c r="H213" s="35"/>
      <c r="I213" s="35"/>
      <c r="J213" s="12"/>
      <c r="O213" s="12"/>
      <c r="P213" s="18"/>
      <c r="Q213" s="12"/>
      <c r="R213" s="12"/>
      <c r="S213" s="12"/>
      <c r="T213" s="36"/>
      <c r="U213" s="36"/>
      <c r="V213" s="12"/>
      <c r="W213" s="12"/>
      <c r="X213" s="12"/>
      <c r="Y213" s="12"/>
    </row>
    <row r="214" customFormat="false" ht="15.75" hidden="false" customHeight="false" outlineLevel="0" collapsed="false">
      <c r="A214" s="12"/>
      <c r="B214" s="34"/>
      <c r="C214" s="12"/>
      <c r="D214" s="12"/>
      <c r="E214" s="12"/>
      <c r="F214" s="12"/>
      <c r="G214" s="18"/>
      <c r="H214" s="35"/>
      <c r="I214" s="35"/>
      <c r="J214" s="12"/>
      <c r="O214" s="12"/>
      <c r="P214" s="18"/>
      <c r="Q214" s="12"/>
      <c r="R214" s="12"/>
      <c r="S214" s="12"/>
      <c r="T214" s="36"/>
      <c r="U214" s="36"/>
      <c r="V214" s="12"/>
      <c r="W214" s="12"/>
      <c r="X214" s="12"/>
      <c r="Y214" s="12"/>
    </row>
    <row r="215" customFormat="false" ht="15.75" hidden="false" customHeight="false" outlineLevel="0" collapsed="false">
      <c r="A215" s="12"/>
      <c r="B215" s="34"/>
      <c r="C215" s="12"/>
      <c r="D215" s="12"/>
      <c r="E215" s="12"/>
      <c r="F215" s="12"/>
      <c r="G215" s="18"/>
      <c r="H215" s="35"/>
      <c r="I215" s="35"/>
      <c r="J215" s="12"/>
      <c r="O215" s="12"/>
      <c r="P215" s="18"/>
      <c r="Q215" s="12"/>
      <c r="R215" s="12"/>
      <c r="S215" s="12"/>
      <c r="T215" s="36"/>
      <c r="U215" s="36"/>
      <c r="V215" s="12"/>
      <c r="W215" s="12"/>
      <c r="X215" s="12"/>
      <c r="Y215" s="12"/>
    </row>
    <row r="216" customFormat="false" ht="15.75" hidden="false" customHeight="false" outlineLevel="0" collapsed="false">
      <c r="A216" s="12"/>
      <c r="B216" s="34"/>
      <c r="C216" s="12"/>
      <c r="D216" s="12"/>
      <c r="E216" s="12"/>
      <c r="F216" s="12"/>
      <c r="G216" s="18"/>
      <c r="H216" s="35"/>
      <c r="I216" s="35"/>
      <c r="J216" s="12"/>
      <c r="O216" s="12"/>
      <c r="P216" s="18"/>
      <c r="Q216" s="12"/>
      <c r="R216" s="12"/>
      <c r="S216" s="12"/>
      <c r="T216" s="36"/>
      <c r="U216" s="36"/>
      <c r="V216" s="12"/>
      <c r="W216" s="12"/>
      <c r="X216" s="12"/>
      <c r="Y216" s="12"/>
    </row>
    <row r="217" customFormat="false" ht="15.75" hidden="false" customHeight="false" outlineLevel="0" collapsed="false">
      <c r="A217" s="12"/>
      <c r="B217" s="34"/>
      <c r="C217" s="12"/>
      <c r="D217" s="12"/>
      <c r="E217" s="12"/>
      <c r="F217" s="12"/>
      <c r="G217" s="18"/>
      <c r="H217" s="35"/>
      <c r="I217" s="35"/>
      <c r="J217" s="12"/>
      <c r="O217" s="12"/>
      <c r="P217" s="18"/>
      <c r="Q217" s="12"/>
      <c r="R217" s="12"/>
      <c r="S217" s="12"/>
      <c r="T217" s="36"/>
      <c r="U217" s="36"/>
      <c r="V217" s="12"/>
      <c r="W217" s="12"/>
      <c r="X217" s="12"/>
      <c r="Y217" s="12"/>
    </row>
    <row r="218" customFormat="false" ht="15.75" hidden="false" customHeight="false" outlineLevel="0" collapsed="false">
      <c r="A218" s="12"/>
      <c r="B218" s="34"/>
      <c r="C218" s="12"/>
      <c r="D218" s="12"/>
      <c r="E218" s="12"/>
      <c r="F218" s="12"/>
      <c r="G218" s="18"/>
      <c r="H218" s="35"/>
      <c r="I218" s="35"/>
      <c r="J218" s="12"/>
      <c r="O218" s="12"/>
      <c r="P218" s="18"/>
      <c r="Q218" s="12"/>
      <c r="R218" s="12"/>
      <c r="S218" s="12"/>
      <c r="T218" s="36"/>
      <c r="U218" s="36"/>
      <c r="V218" s="12"/>
      <c r="W218" s="12"/>
      <c r="X218" s="12"/>
      <c r="Y218" s="12"/>
    </row>
    <row r="219" customFormat="false" ht="15.75" hidden="false" customHeight="false" outlineLevel="0" collapsed="false">
      <c r="A219" s="12"/>
      <c r="B219" s="34"/>
      <c r="C219" s="12"/>
      <c r="D219" s="12"/>
      <c r="E219" s="12"/>
      <c r="F219" s="12"/>
      <c r="G219" s="18"/>
      <c r="H219" s="35"/>
      <c r="I219" s="35"/>
      <c r="J219" s="12"/>
      <c r="O219" s="12"/>
      <c r="P219" s="18"/>
      <c r="Q219" s="12"/>
      <c r="R219" s="12"/>
      <c r="S219" s="12"/>
      <c r="T219" s="36"/>
      <c r="U219" s="36"/>
      <c r="V219" s="12"/>
      <c r="W219" s="12"/>
      <c r="X219" s="12"/>
      <c r="Y219" s="12"/>
    </row>
    <row r="220" customFormat="false" ht="15.75" hidden="false" customHeight="false" outlineLevel="0" collapsed="false">
      <c r="A220" s="12"/>
      <c r="B220" s="34"/>
      <c r="C220" s="12"/>
      <c r="D220" s="12"/>
      <c r="E220" s="12"/>
      <c r="F220" s="12"/>
      <c r="G220" s="18"/>
      <c r="H220" s="35"/>
      <c r="I220" s="35"/>
      <c r="J220" s="12"/>
      <c r="O220" s="12"/>
      <c r="P220" s="18"/>
      <c r="Q220" s="12"/>
      <c r="R220" s="12"/>
      <c r="S220" s="12"/>
      <c r="T220" s="36"/>
      <c r="U220" s="36"/>
      <c r="V220" s="12"/>
      <c r="W220" s="12"/>
      <c r="X220" s="12"/>
      <c r="Y220" s="12"/>
    </row>
    <row r="221" customFormat="false" ht="15.75" hidden="false" customHeight="false" outlineLevel="0" collapsed="false">
      <c r="A221" s="12"/>
      <c r="B221" s="34"/>
      <c r="C221" s="12"/>
      <c r="D221" s="12"/>
      <c r="E221" s="12"/>
      <c r="F221" s="12"/>
      <c r="G221" s="18"/>
      <c r="H221" s="35"/>
      <c r="I221" s="35"/>
      <c r="J221" s="12"/>
      <c r="O221" s="12"/>
      <c r="P221" s="18"/>
      <c r="Q221" s="12"/>
      <c r="R221" s="12"/>
      <c r="S221" s="12"/>
      <c r="T221" s="36"/>
      <c r="U221" s="36"/>
      <c r="V221" s="12"/>
      <c r="W221" s="12"/>
      <c r="X221" s="12"/>
      <c r="Y221" s="12"/>
    </row>
    <row r="222" customFormat="false" ht="15.75" hidden="false" customHeight="false" outlineLevel="0" collapsed="false">
      <c r="A222" s="12"/>
      <c r="B222" s="34"/>
      <c r="C222" s="12"/>
      <c r="D222" s="12"/>
      <c r="E222" s="12"/>
      <c r="F222" s="12"/>
      <c r="G222" s="18"/>
      <c r="H222" s="35"/>
      <c r="I222" s="35"/>
      <c r="J222" s="12"/>
      <c r="O222" s="12"/>
      <c r="P222" s="18"/>
      <c r="Q222" s="12"/>
      <c r="R222" s="12"/>
      <c r="S222" s="12"/>
      <c r="T222" s="36"/>
      <c r="U222" s="36"/>
      <c r="V222" s="12"/>
      <c r="W222" s="12"/>
      <c r="X222" s="12"/>
      <c r="Y222" s="12"/>
    </row>
    <row r="223" customFormat="false" ht="15.75" hidden="false" customHeight="false" outlineLevel="0" collapsed="false">
      <c r="A223" s="12"/>
      <c r="B223" s="34"/>
      <c r="C223" s="12"/>
      <c r="D223" s="12"/>
      <c r="E223" s="12"/>
      <c r="F223" s="12"/>
      <c r="G223" s="18"/>
      <c r="H223" s="35"/>
      <c r="I223" s="35"/>
      <c r="J223" s="12"/>
      <c r="O223" s="12"/>
      <c r="P223" s="18"/>
      <c r="Q223" s="12"/>
      <c r="R223" s="12"/>
      <c r="S223" s="12"/>
      <c r="T223" s="36"/>
      <c r="U223" s="36"/>
      <c r="V223" s="12"/>
      <c r="W223" s="12"/>
      <c r="X223" s="12"/>
      <c r="Y223" s="12"/>
    </row>
    <row r="224" customFormat="false" ht="15.75" hidden="false" customHeight="false" outlineLevel="0" collapsed="false">
      <c r="A224" s="12"/>
      <c r="B224" s="34"/>
      <c r="C224" s="12"/>
      <c r="D224" s="12"/>
      <c r="E224" s="12"/>
      <c r="F224" s="12"/>
      <c r="G224" s="18"/>
      <c r="H224" s="35"/>
      <c r="I224" s="35"/>
      <c r="J224" s="12"/>
      <c r="O224" s="12"/>
      <c r="P224" s="18"/>
      <c r="Q224" s="12"/>
      <c r="R224" s="12"/>
      <c r="S224" s="12"/>
      <c r="T224" s="36"/>
      <c r="U224" s="36"/>
      <c r="V224" s="12"/>
      <c r="W224" s="12"/>
      <c r="X224" s="12"/>
      <c r="Y224" s="12"/>
    </row>
    <row r="225" customFormat="false" ht="15.75" hidden="false" customHeight="false" outlineLevel="0" collapsed="false">
      <c r="A225" s="12"/>
      <c r="B225" s="34"/>
      <c r="C225" s="12"/>
      <c r="D225" s="12"/>
      <c r="E225" s="12"/>
      <c r="F225" s="12"/>
      <c r="G225" s="18"/>
      <c r="H225" s="35"/>
      <c r="I225" s="35"/>
      <c r="J225" s="12"/>
      <c r="O225" s="12"/>
      <c r="P225" s="18"/>
      <c r="Q225" s="12"/>
      <c r="R225" s="12"/>
      <c r="S225" s="12"/>
      <c r="T225" s="36"/>
      <c r="U225" s="36"/>
      <c r="V225" s="12"/>
      <c r="W225" s="12"/>
      <c r="X225" s="12"/>
      <c r="Y225" s="12"/>
    </row>
    <row r="226" customFormat="false" ht="15.75" hidden="false" customHeight="false" outlineLevel="0" collapsed="false">
      <c r="A226" s="12"/>
      <c r="B226" s="34"/>
      <c r="C226" s="12"/>
      <c r="D226" s="12"/>
      <c r="E226" s="12"/>
      <c r="F226" s="12"/>
      <c r="G226" s="18"/>
      <c r="H226" s="35"/>
      <c r="I226" s="35"/>
      <c r="J226" s="12"/>
      <c r="O226" s="12"/>
      <c r="P226" s="18"/>
      <c r="Q226" s="12"/>
      <c r="R226" s="12"/>
      <c r="S226" s="12"/>
      <c r="T226" s="36"/>
      <c r="U226" s="36"/>
      <c r="V226" s="12"/>
      <c r="W226" s="12"/>
      <c r="X226" s="12"/>
      <c r="Y226" s="12"/>
    </row>
    <row r="227" customFormat="false" ht="15.75" hidden="false" customHeight="false" outlineLevel="0" collapsed="false">
      <c r="A227" s="12"/>
      <c r="B227" s="34"/>
      <c r="C227" s="12"/>
      <c r="D227" s="12"/>
      <c r="E227" s="12"/>
      <c r="F227" s="12"/>
      <c r="G227" s="18"/>
      <c r="H227" s="35"/>
      <c r="I227" s="35"/>
      <c r="J227" s="12"/>
      <c r="O227" s="12"/>
      <c r="P227" s="18"/>
      <c r="Q227" s="12"/>
      <c r="R227" s="12"/>
      <c r="S227" s="12"/>
      <c r="T227" s="36"/>
      <c r="U227" s="36"/>
      <c r="V227" s="12"/>
      <c r="W227" s="12"/>
      <c r="X227" s="12"/>
      <c r="Y227" s="12"/>
    </row>
    <row r="228" customFormat="false" ht="15.75" hidden="false" customHeight="false" outlineLevel="0" collapsed="false">
      <c r="A228" s="12"/>
      <c r="B228" s="34"/>
      <c r="C228" s="12"/>
      <c r="D228" s="12"/>
      <c r="E228" s="12"/>
      <c r="F228" s="12"/>
      <c r="G228" s="18"/>
      <c r="H228" s="35"/>
      <c r="I228" s="35"/>
      <c r="J228" s="12"/>
      <c r="O228" s="12"/>
      <c r="P228" s="18"/>
      <c r="Q228" s="12"/>
      <c r="R228" s="12"/>
      <c r="S228" s="12"/>
      <c r="T228" s="36"/>
      <c r="U228" s="36"/>
      <c r="V228" s="12"/>
      <c r="W228" s="12"/>
      <c r="X228" s="12"/>
      <c r="Y228" s="12"/>
    </row>
    <row r="229" customFormat="false" ht="15.75" hidden="false" customHeight="false" outlineLevel="0" collapsed="false">
      <c r="A229" s="12"/>
      <c r="B229" s="34"/>
      <c r="C229" s="12"/>
      <c r="D229" s="12"/>
      <c r="E229" s="12"/>
      <c r="F229" s="12"/>
      <c r="G229" s="18"/>
      <c r="H229" s="35"/>
      <c r="I229" s="35"/>
      <c r="J229" s="12"/>
      <c r="O229" s="12"/>
      <c r="P229" s="18"/>
      <c r="Q229" s="12"/>
      <c r="R229" s="12"/>
      <c r="S229" s="12"/>
      <c r="T229" s="36"/>
      <c r="U229" s="36"/>
      <c r="V229" s="12"/>
      <c r="W229" s="12"/>
      <c r="X229" s="12"/>
      <c r="Y229" s="12"/>
    </row>
    <row r="230" customFormat="false" ht="15.75" hidden="false" customHeight="false" outlineLevel="0" collapsed="false">
      <c r="A230" s="12"/>
      <c r="B230" s="34"/>
      <c r="C230" s="12"/>
      <c r="D230" s="12"/>
      <c r="E230" s="12"/>
      <c r="F230" s="12"/>
      <c r="G230" s="18"/>
      <c r="H230" s="35"/>
      <c r="I230" s="35"/>
      <c r="J230" s="12"/>
      <c r="O230" s="12"/>
      <c r="P230" s="18"/>
      <c r="Q230" s="12"/>
      <c r="R230" s="12"/>
      <c r="S230" s="12"/>
      <c r="T230" s="36"/>
      <c r="U230" s="36"/>
      <c r="V230" s="12"/>
      <c r="W230" s="12"/>
      <c r="X230" s="12"/>
      <c r="Y230" s="12"/>
    </row>
    <row r="231" customFormat="false" ht="15.75" hidden="false" customHeight="false" outlineLevel="0" collapsed="false">
      <c r="A231" s="12"/>
      <c r="B231" s="34"/>
      <c r="C231" s="12"/>
      <c r="D231" s="12"/>
      <c r="E231" s="12"/>
      <c r="F231" s="12"/>
      <c r="G231" s="18"/>
      <c r="H231" s="35"/>
      <c r="I231" s="35"/>
      <c r="J231" s="12"/>
      <c r="O231" s="12"/>
      <c r="P231" s="18"/>
      <c r="Q231" s="12"/>
      <c r="R231" s="12"/>
      <c r="S231" s="12"/>
      <c r="T231" s="36"/>
      <c r="U231" s="36"/>
      <c r="V231" s="12"/>
      <c r="W231" s="12"/>
      <c r="X231" s="12"/>
      <c r="Y231" s="12"/>
    </row>
    <row r="232" customFormat="false" ht="15.75" hidden="false" customHeight="false" outlineLevel="0" collapsed="false">
      <c r="A232" s="12"/>
      <c r="B232" s="34"/>
      <c r="C232" s="12"/>
      <c r="D232" s="12"/>
      <c r="E232" s="12"/>
      <c r="F232" s="12"/>
      <c r="G232" s="18"/>
      <c r="H232" s="35"/>
      <c r="I232" s="35"/>
      <c r="J232" s="12"/>
      <c r="O232" s="12"/>
      <c r="P232" s="18"/>
      <c r="Q232" s="12"/>
      <c r="R232" s="12"/>
      <c r="S232" s="12"/>
      <c r="T232" s="36"/>
      <c r="U232" s="36"/>
      <c r="V232" s="12"/>
      <c r="W232" s="12"/>
      <c r="X232" s="12"/>
      <c r="Y232" s="12"/>
    </row>
    <row r="233" customFormat="false" ht="15.75" hidden="false" customHeight="false" outlineLevel="0" collapsed="false">
      <c r="A233" s="12"/>
      <c r="B233" s="34"/>
      <c r="C233" s="12"/>
      <c r="D233" s="12"/>
      <c r="E233" s="12"/>
      <c r="F233" s="12"/>
      <c r="G233" s="18"/>
      <c r="H233" s="35"/>
      <c r="I233" s="35"/>
      <c r="J233" s="12"/>
      <c r="O233" s="12"/>
      <c r="P233" s="18"/>
      <c r="Q233" s="12"/>
      <c r="R233" s="12"/>
      <c r="S233" s="12"/>
      <c r="T233" s="36"/>
      <c r="U233" s="36"/>
      <c r="V233" s="12"/>
      <c r="W233" s="12"/>
      <c r="X233" s="12"/>
      <c r="Y233" s="12"/>
    </row>
    <row r="234" customFormat="false" ht="15.75" hidden="false" customHeight="false" outlineLevel="0" collapsed="false">
      <c r="A234" s="12"/>
      <c r="B234" s="34"/>
      <c r="C234" s="12"/>
      <c r="D234" s="12"/>
      <c r="E234" s="12"/>
      <c r="F234" s="12"/>
      <c r="G234" s="18"/>
      <c r="H234" s="35"/>
      <c r="I234" s="35"/>
      <c r="J234" s="12"/>
      <c r="O234" s="12"/>
      <c r="P234" s="18"/>
      <c r="Q234" s="12"/>
      <c r="R234" s="12"/>
      <c r="S234" s="12"/>
      <c r="T234" s="36"/>
      <c r="U234" s="36"/>
      <c r="V234" s="12"/>
      <c r="W234" s="12"/>
      <c r="X234" s="12"/>
      <c r="Y234" s="12"/>
    </row>
    <row r="235" customFormat="false" ht="15.75" hidden="false" customHeight="false" outlineLevel="0" collapsed="false">
      <c r="A235" s="12"/>
      <c r="B235" s="34"/>
      <c r="C235" s="12"/>
      <c r="D235" s="12"/>
      <c r="E235" s="12"/>
      <c r="F235" s="12"/>
      <c r="G235" s="18"/>
      <c r="H235" s="35"/>
      <c r="I235" s="35"/>
      <c r="J235" s="12"/>
      <c r="O235" s="12"/>
      <c r="P235" s="18"/>
      <c r="Q235" s="12"/>
      <c r="R235" s="12"/>
      <c r="S235" s="12"/>
      <c r="T235" s="36"/>
      <c r="U235" s="36"/>
      <c r="V235" s="12"/>
      <c r="W235" s="12"/>
      <c r="X235" s="12"/>
      <c r="Y235" s="12"/>
    </row>
    <row r="236" customFormat="false" ht="15.75" hidden="false" customHeight="false" outlineLevel="0" collapsed="false">
      <c r="A236" s="12"/>
      <c r="B236" s="34"/>
      <c r="C236" s="12"/>
      <c r="D236" s="12"/>
      <c r="E236" s="12"/>
      <c r="F236" s="12"/>
      <c r="G236" s="18"/>
      <c r="H236" s="35"/>
      <c r="I236" s="35"/>
      <c r="J236" s="12"/>
      <c r="O236" s="12"/>
      <c r="P236" s="18"/>
      <c r="Q236" s="12"/>
      <c r="R236" s="12"/>
      <c r="S236" s="12"/>
      <c r="T236" s="36"/>
      <c r="U236" s="36"/>
      <c r="V236" s="12"/>
      <c r="W236" s="12"/>
      <c r="X236" s="12"/>
      <c r="Y236" s="12"/>
    </row>
    <row r="237" customFormat="false" ht="15.75" hidden="false" customHeight="false" outlineLevel="0" collapsed="false">
      <c r="A237" s="12"/>
      <c r="B237" s="34"/>
      <c r="C237" s="12"/>
      <c r="D237" s="12"/>
      <c r="E237" s="12"/>
      <c r="F237" s="12"/>
      <c r="G237" s="18"/>
      <c r="H237" s="35"/>
      <c r="I237" s="35"/>
      <c r="J237" s="12"/>
      <c r="O237" s="12"/>
      <c r="P237" s="18"/>
      <c r="Q237" s="12"/>
      <c r="R237" s="12"/>
      <c r="S237" s="12"/>
      <c r="T237" s="36"/>
      <c r="U237" s="36"/>
      <c r="V237" s="12"/>
      <c r="W237" s="12"/>
      <c r="X237" s="12"/>
      <c r="Y237" s="12"/>
    </row>
    <row r="238" customFormat="false" ht="15.75" hidden="false" customHeight="false" outlineLevel="0" collapsed="false">
      <c r="A238" s="12"/>
      <c r="B238" s="34"/>
      <c r="C238" s="12"/>
      <c r="D238" s="12"/>
      <c r="E238" s="12"/>
      <c r="F238" s="12"/>
      <c r="G238" s="18"/>
      <c r="H238" s="35"/>
      <c r="I238" s="35"/>
      <c r="J238" s="12"/>
      <c r="O238" s="12"/>
      <c r="P238" s="18"/>
      <c r="Q238" s="12"/>
      <c r="R238" s="12"/>
      <c r="S238" s="12"/>
      <c r="T238" s="36"/>
      <c r="U238" s="36"/>
      <c r="V238" s="12"/>
      <c r="W238" s="12"/>
      <c r="X238" s="12"/>
      <c r="Y238" s="12"/>
    </row>
    <row r="239" customFormat="false" ht="15.75" hidden="false" customHeight="false" outlineLevel="0" collapsed="false">
      <c r="A239" s="12"/>
      <c r="B239" s="34"/>
      <c r="C239" s="12"/>
      <c r="D239" s="12"/>
      <c r="E239" s="12"/>
      <c r="F239" s="12"/>
      <c r="G239" s="18"/>
      <c r="H239" s="35"/>
      <c r="I239" s="35"/>
      <c r="J239" s="12"/>
      <c r="O239" s="12"/>
      <c r="P239" s="18"/>
      <c r="Q239" s="12"/>
      <c r="R239" s="12"/>
      <c r="S239" s="12"/>
      <c r="T239" s="36"/>
      <c r="U239" s="36"/>
      <c r="V239" s="12"/>
      <c r="W239" s="12"/>
      <c r="X239" s="12"/>
      <c r="Y239" s="12"/>
    </row>
    <row r="240" customFormat="false" ht="15.75" hidden="false" customHeight="false" outlineLevel="0" collapsed="false">
      <c r="A240" s="12"/>
      <c r="B240" s="34"/>
      <c r="C240" s="12"/>
      <c r="D240" s="12"/>
      <c r="E240" s="12"/>
      <c r="F240" s="12"/>
      <c r="G240" s="18"/>
      <c r="H240" s="35"/>
      <c r="I240" s="35"/>
      <c r="J240" s="12"/>
      <c r="O240" s="12"/>
      <c r="P240" s="18"/>
      <c r="Q240" s="12"/>
      <c r="R240" s="12"/>
      <c r="S240" s="12"/>
      <c r="T240" s="36"/>
      <c r="U240" s="36"/>
      <c r="V240" s="12"/>
      <c r="W240" s="12"/>
      <c r="X240" s="12"/>
      <c r="Y240" s="12"/>
    </row>
    <row r="241" customFormat="false" ht="15.75" hidden="false" customHeight="false" outlineLevel="0" collapsed="false">
      <c r="A241" s="12"/>
      <c r="B241" s="34"/>
      <c r="C241" s="12"/>
      <c r="D241" s="12"/>
      <c r="E241" s="12"/>
      <c r="F241" s="12"/>
      <c r="G241" s="18"/>
      <c r="H241" s="35"/>
      <c r="I241" s="35"/>
      <c r="J241" s="12"/>
      <c r="O241" s="12"/>
      <c r="P241" s="18"/>
      <c r="Q241" s="12"/>
      <c r="R241" s="12"/>
      <c r="S241" s="12"/>
      <c r="T241" s="36"/>
      <c r="U241" s="36"/>
      <c r="V241" s="12"/>
      <c r="W241" s="12"/>
      <c r="X241" s="12"/>
      <c r="Y241" s="12"/>
    </row>
    <row r="242" customFormat="false" ht="15.75" hidden="false" customHeight="false" outlineLevel="0" collapsed="false">
      <c r="A242" s="12"/>
      <c r="B242" s="34"/>
      <c r="C242" s="12"/>
      <c r="D242" s="12"/>
      <c r="E242" s="12"/>
      <c r="F242" s="12"/>
      <c r="G242" s="18"/>
      <c r="H242" s="35"/>
      <c r="I242" s="35"/>
      <c r="J242" s="12"/>
      <c r="O242" s="12"/>
      <c r="P242" s="18"/>
      <c r="Q242" s="12"/>
      <c r="R242" s="12"/>
      <c r="S242" s="12"/>
      <c r="T242" s="36"/>
      <c r="U242" s="36"/>
      <c r="V242" s="12"/>
      <c r="W242" s="12"/>
      <c r="X242" s="12"/>
      <c r="Y242" s="12"/>
    </row>
    <row r="243" customFormat="false" ht="15.75" hidden="false" customHeight="false" outlineLevel="0" collapsed="false">
      <c r="A243" s="12"/>
      <c r="B243" s="34"/>
      <c r="C243" s="12"/>
      <c r="D243" s="12"/>
      <c r="E243" s="12"/>
      <c r="F243" s="12"/>
      <c r="G243" s="18"/>
      <c r="H243" s="35"/>
      <c r="I243" s="35"/>
      <c r="J243" s="12"/>
      <c r="O243" s="12"/>
      <c r="P243" s="18"/>
      <c r="Q243" s="12"/>
      <c r="R243" s="12"/>
      <c r="S243" s="12"/>
      <c r="T243" s="36"/>
      <c r="U243" s="36"/>
      <c r="V243" s="12"/>
      <c r="W243" s="12"/>
      <c r="X243" s="12"/>
      <c r="Y243" s="12"/>
    </row>
    <row r="244" customFormat="false" ht="15.75" hidden="false" customHeight="false" outlineLevel="0" collapsed="false">
      <c r="A244" s="12"/>
      <c r="B244" s="34"/>
      <c r="C244" s="12"/>
      <c r="D244" s="12"/>
      <c r="E244" s="12"/>
      <c r="F244" s="12"/>
      <c r="G244" s="18"/>
      <c r="H244" s="35"/>
      <c r="I244" s="35"/>
      <c r="J244" s="12"/>
      <c r="O244" s="12"/>
      <c r="P244" s="18"/>
      <c r="Q244" s="12"/>
      <c r="R244" s="12"/>
      <c r="S244" s="12"/>
      <c r="T244" s="36"/>
      <c r="U244" s="36"/>
      <c r="V244" s="12"/>
      <c r="W244" s="12"/>
      <c r="X244" s="12"/>
      <c r="Y244" s="12"/>
    </row>
    <row r="245" customFormat="false" ht="15.75" hidden="false" customHeight="false" outlineLevel="0" collapsed="false">
      <c r="A245" s="12"/>
      <c r="B245" s="34"/>
      <c r="C245" s="12"/>
      <c r="D245" s="12"/>
      <c r="E245" s="12"/>
      <c r="F245" s="12"/>
      <c r="G245" s="18"/>
      <c r="H245" s="35"/>
      <c r="I245" s="35"/>
      <c r="J245" s="12"/>
      <c r="O245" s="12"/>
      <c r="P245" s="18"/>
      <c r="Q245" s="12"/>
      <c r="R245" s="12"/>
      <c r="S245" s="12"/>
      <c r="T245" s="36"/>
      <c r="U245" s="36"/>
      <c r="V245" s="12"/>
      <c r="W245" s="12"/>
      <c r="X245" s="12"/>
      <c r="Y245" s="12"/>
    </row>
    <row r="246" customFormat="false" ht="15.75" hidden="false" customHeight="false" outlineLevel="0" collapsed="false">
      <c r="A246" s="12"/>
      <c r="B246" s="34"/>
      <c r="C246" s="12"/>
      <c r="D246" s="12"/>
      <c r="E246" s="12"/>
      <c r="F246" s="12"/>
      <c r="G246" s="18"/>
      <c r="H246" s="35"/>
      <c r="I246" s="35"/>
      <c r="J246" s="12"/>
      <c r="O246" s="12"/>
      <c r="P246" s="18"/>
      <c r="Q246" s="12"/>
      <c r="R246" s="12"/>
      <c r="S246" s="12"/>
      <c r="T246" s="36"/>
      <c r="U246" s="36"/>
      <c r="V246" s="12"/>
      <c r="W246" s="12"/>
      <c r="X246" s="12"/>
      <c r="Y246" s="12"/>
    </row>
    <row r="247" customFormat="false" ht="15.75" hidden="false" customHeight="false" outlineLevel="0" collapsed="false">
      <c r="A247" s="12"/>
      <c r="B247" s="34"/>
      <c r="C247" s="12"/>
      <c r="D247" s="12"/>
      <c r="E247" s="12"/>
      <c r="F247" s="12"/>
      <c r="G247" s="18"/>
      <c r="H247" s="35"/>
      <c r="I247" s="35"/>
      <c r="J247" s="12"/>
      <c r="O247" s="12"/>
      <c r="P247" s="18"/>
      <c r="Q247" s="12"/>
      <c r="R247" s="12"/>
      <c r="S247" s="12"/>
      <c r="T247" s="36"/>
      <c r="U247" s="36"/>
      <c r="V247" s="12"/>
      <c r="W247" s="12"/>
      <c r="X247" s="12"/>
      <c r="Y247" s="12"/>
    </row>
    <row r="248" customFormat="false" ht="15.75" hidden="false" customHeight="false" outlineLevel="0" collapsed="false">
      <c r="A248" s="12"/>
      <c r="B248" s="34"/>
      <c r="C248" s="12"/>
      <c r="D248" s="12"/>
      <c r="E248" s="12"/>
      <c r="F248" s="12"/>
      <c r="G248" s="18"/>
      <c r="H248" s="35"/>
      <c r="I248" s="35"/>
      <c r="J248" s="12"/>
      <c r="O248" s="12"/>
      <c r="P248" s="18"/>
      <c r="Q248" s="12"/>
      <c r="R248" s="12"/>
      <c r="S248" s="12"/>
      <c r="T248" s="36"/>
      <c r="U248" s="36"/>
      <c r="V248" s="12"/>
      <c r="W248" s="12"/>
      <c r="X248" s="12"/>
      <c r="Y248" s="12"/>
    </row>
    <row r="249" customFormat="false" ht="15.75" hidden="false" customHeight="false" outlineLevel="0" collapsed="false">
      <c r="A249" s="12"/>
      <c r="B249" s="34"/>
      <c r="C249" s="12"/>
      <c r="D249" s="12"/>
      <c r="E249" s="12"/>
      <c r="F249" s="12"/>
      <c r="G249" s="18"/>
      <c r="H249" s="35"/>
      <c r="I249" s="35"/>
      <c r="J249" s="12"/>
      <c r="O249" s="12"/>
      <c r="P249" s="18"/>
      <c r="Q249" s="12"/>
      <c r="R249" s="12"/>
      <c r="S249" s="12"/>
      <c r="T249" s="36"/>
      <c r="U249" s="36"/>
      <c r="V249" s="12"/>
      <c r="W249" s="12"/>
      <c r="X249" s="12"/>
      <c r="Y249" s="12"/>
    </row>
    <row r="250" customFormat="false" ht="15.75" hidden="false" customHeight="false" outlineLevel="0" collapsed="false">
      <c r="A250" s="12"/>
      <c r="B250" s="34"/>
      <c r="C250" s="12"/>
      <c r="D250" s="12"/>
      <c r="E250" s="12"/>
      <c r="F250" s="12"/>
      <c r="G250" s="18"/>
      <c r="H250" s="35"/>
      <c r="I250" s="35"/>
      <c r="J250" s="12"/>
      <c r="O250" s="12"/>
      <c r="P250" s="18"/>
      <c r="Q250" s="12"/>
      <c r="R250" s="12"/>
      <c r="S250" s="12"/>
      <c r="T250" s="36"/>
      <c r="U250" s="36"/>
      <c r="V250" s="12"/>
      <c r="W250" s="12"/>
      <c r="X250" s="12"/>
      <c r="Y250" s="12"/>
    </row>
    <row r="251" customFormat="false" ht="15.75" hidden="false" customHeight="false" outlineLevel="0" collapsed="false">
      <c r="A251" s="12"/>
      <c r="B251" s="34"/>
      <c r="C251" s="12"/>
      <c r="D251" s="12"/>
      <c r="E251" s="12"/>
      <c r="F251" s="12"/>
      <c r="G251" s="18"/>
      <c r="H251" s="35"/>
      <c r="I251" s="35"/>
      <c r="J251" s="12"/>
      <c r="O251" s="12"/>
      <c r="P251" s="18"/>
      <c r="Q251" s="12"/>
      <c r="R251" s="12"/>
      <c r="S251" s="12"/>
      <c r="T251" s="36"/>
      <c r="U251" s="36"/>
      <c r="V251" s="12"/>
      <c r="W251" s="12"/>
      <c r="X251" s="12"/>
      <c r="Y251" s="12"/>
    </row>
    <row r="252" customFormat="false" ht="15.75" hidden="false" customHeight="false" outlineLevel="0" collapsed="false">
      <c r="A252" s="12"/>
      <c r="B252" s="34"/>
      <c r="C252" s="12"/>
      <c r="D252" s="12"/>
      <c r="E252" s="12"/>
      <c r="F252" s="12"/>
      <c r="G252" s="18"/>
      <c r="H252" s="35"/>
      <c r="I252" s="35"/>
      <c r="J252" s="12"/>
      <c r="O252" s="12"/>
      <c r="P252" s="18"/>
      <c r="Q252" s="12"/>
      <c r="R252" s="12"/>
      <c r="S252" s="12"/>
      <c r="T252" s="36"/>
      <c r="U252" s="36"/>
      <c r="V252" s="12"/>
      <c r="W252" s="12"/>
      <c r="X252" s="12"/>
      <c r="Y252" s="12"/>
    </row>
    <row r="253" customFormat="false" ht="15.75" hidden="false" customHeight="false" outlineLevel="0" collapsed="false">
      <c r="A253" s="12"/>
      <c r="B253" s="34"/>
      <c r="C253" s="12"/>
      <c r="D253" s="12"/>
      <c r="E253" s="12"/>
      <c r="F253" s="12"/>
      <c r="G253" s="18"/>
      <c r="H253" s="35"/>
      <c r="I253" s="35"/>
      <c r="J253" s="12"/>
      <c r="O253" s="12"/>
      <c r="P253" s="18"/>
      <c r="Q253" s="12"/>
      <c r="R253" s="12"/>
      <c r="S253" s="12"/>
      <c r="T253" s="36"/>
      <c r="U253" s="36"/>
      <c r="V253" s="12"/>
      <c r="W253" s="12"/>
      <c r="X253" s="12"/>
      <c r="Y253" s="12"/>
    </row>
    <row r="254" customFormat="false" ht="15.75" hidden="false" customHeight="false" outlineLevel="0" collapsed="false">
      <c r="A254" s="12"/>
      <c r="B254" s="34"/>
      <c r="C254" s="12"/>
      <c r="D254" s="12"/>
      <c r="E254" s="12"/>
      <c r="F254" s="12"/>
      <c r="G254" s="18"/>
      <c r="H254" s="35"/>
      <c r="I254" s="35"/>
      <c r="J254" s="12"/>
      <c r="O254" s="12"/>
      <c r="P254" s="18"/>
      <c r="Q254" s="12"/>
      <c r="R254" s="12"/>
      <c r="S254" s="12"/>
      <c r="T254" s="36"/>
      <c r="U254" s="36"/>
      <c r="V254" s="12"/>
      <c r="W254" s="12"/>
      <c r="X254" s="12"/>
      <c r="Y254" s="12"/>
    </row>
    <row r="255" customFormat="false" ht="15.75" hidden="false" customHeight="false" outlineLevel="0" collapsed="false">
      <c r="A255" s="12"/>
      <c r="B255" s="34"/>
      <c r="C255" s="12"/>
      <c r="D255" s="12"/>
      <c r="E255" s="12"/>
      <c r="F255" s="12"/>
      <c r="G255" s="18"/>
      <c r="H255" s="35"/>
      <c r="I255" s="35"/>
      <c r="J255" s="12"/>
      <c r="O255" s="12"/>
      <c r="P255" s="18"/>
      <c r="Q255" s="12"/>
      <c r="R255" s="12"/>
      <c r="S255" s="12"/>
      <c r="T255" s="36"/>
      <c r="U255" s="36"/>
      <c r="V255" s="12"/>
      <c r="W255" s="12"/>
      <c r="X255" s="12"/>
      <c r="Y255" s="12"/>
    </row>
    <row r="256" customFormat="false" ht="15.75" hidden="false" customHeight="false" outlineLevel="0" collapsed="false">
      <c r="A256" s="12"/>
      <c r="B256" s="34"/>
      <c r="C256" s="12"/>
      <c r="D256" s="12"/>
      <c r="E256" s="12"/>
      <c r="F256" s="12"/>
      <c r="G256" s="18"/>
      <c r="H256" s="35"/>
      <c r="I256" s="35"/>
      <c r="J256" s="12"/>
      <c r="O256" s="12"/>
      <c r="P256" s="18"/>
      <c r="Q256" s="12"/>
      <c r="R256" s="12"/>
      <c r="S256" s="12"/>
      <c r="T256" s="36"/>
      <c r="U256" s="36"/>
      <c r="V256" s="12"/>
      <c r="W256" s="12"/>
      <c r="X256" s="12"/>
      <c r="Y256" s="12"/>
    </row>
    <row r="257" customFormat="false" ht="15.75" hidden="false" customHeight="false" outlineLevel="0" collapsed="false">
      <c r="A257" s="12"/>
      <c r="B257" s="34"/>
      <c r="C257" s="12"/>
      <c r="D257" s="12"/>
      <c r="E257" s="12"/>
      <c r="F257" s="12"/>
      <c r="G257" s="18"/>
      <c r="H257" s="35"/>
      <c r="I257" s="35"/>
      <c r="J257" s="12"/>
      <c r="O257" s="12"/>
      <c r="P257" s="18"/>
      <c r="Q257" s="12"/>
      <c r="R257" s="12"/>
      <c r="S257" s="12"/>
      <c r="T257" s="36"/>
      <c r="U257" s="36"/>
      <c r="V257" s="12"/>
      <c r="W257" s="12"/>
      <c r="X257" s="12"/>
      <c r="Y257" s="12"/>
    </row>
    <row r="258" customFormat="false" ht="15.75" hidden="false" customHeight="false" outlineLevel="0" collapsed="false">
      <c r="A258" s="12"/>
      <c r="B258" s="34"/>
      <c r="C258" s="12"/>
      <c r="D258" s="12"/>
      <c r="E258" s="12"/>
      <c r="F258" s="12"/>
      <c r="G258" s="18"/>
      <c r="H258" s="35"/>
      <c r="I258" s="35"/>
      <c r="J258" s="12"/>
      <c r="O258" s="12"/>
      <c r="P258" s="18"/>
      <c r="Q258" s="12"/>
      <c r="R258" s="12"/>
      <c r="S258" s="12"/>
      <c r="T258" s="36"/>
      <c r="U258" s="36"/>
      <c r="V258" s="12"/>
      <c r="W258" s="12"/>
      <c r="X258" s="12"/>
      <c r="Y258" s="12"/>
    </row>
    <row r="259" customFormat="false" ht="15.75" hidden="false" customHeight="false" outlineLevel="0" collapsed="false">
      <c r="A259" s="12"/>
      <c r="B259" s="34"/>
      <c r="C259" s="12"/>
      <c r="D259" s="12"/>
      <c r="E259" s="12"/>
      <c r="F259" s="12"/>
      <c r="G259" s="18"/>
      <c r="H259" s="35"/>
      <c r="I259" s="35"/>
      <c r="J259" s="12"/>
      <c r="O259" s="12"/>
      <c r="P259" s="18"/>
      <c r="Q259" s="12"/>
      <c r="R259" s="12"/>
      <c r="S259" s="12"/>
      <c r="T259" s="36"/>
      <c r="U259" s="36"/>
      <c r="V259" s="12"/>
      <c r="W259" s="12"/>
      <c r="X259" s="12"/>
      <c r="Y259" s="12"/>
    </row>
    <row r="260" customFormat="false" ht="15.75" hidden="false" customHeight="false" outlineLevel="0" collapsed="false">
      <c r="A260" s="12"/>
      <c r="B260" s="34"/>
      <c r="C260" s="12"/>
      <c r="D260" s="12"/>
      <c r="E260" s="12"/>
      <c r="F260" s="12"/>
      <c r="G260" s="18"/>
      <c r="H260" s="35"/>
      <c r="I260" s="35"/>
      <c r="J260" s="12"/>
      <c r="O260" s="12"/>
      <c r="P260" s="18"/>
      <c r="Q260" s="12"/>
      <c r="R260" s="12"/>
      <c r="S260" s="12"/>
      <c r="T260" s="36"/>
      <c r="U260" s="36"/>
      <c r="V260" s="12"/>
      <c r="W260" s="12"/>
      <c r="X260" s="12"/>
      <c r="Y260" s="12"/>
    </row>
    <row r="261" customFormat="false" ht="15.75" hidden="false" customHeight="false" outlineLevel="0" collapsed="false">
      <c r="A261" s="12"/>
      <c r="B261" s="34"/>
      <c r="C261" s="12"/>
      <c r="D261" s="12"/>
      <c r="E261" s="12"/>
      <c r="F261" s="12"/>
      <c r="G261" s="18"/>
      <c r="H261" s="35"/>
      <c r="I261" s="35"/>
      <c r="J261" s="12"/>
      <c r="O261" s="12"/>
      <c r="P261" s="18"/>
      <c r="Q261" s="12"/>
      <c r="R261" s="12"/>
      <c r="S261" s="12"/>
      <c r="T261" s="36"/>
      <c r="U261" s="36"/>
      <c r="V261" s="12"/>
      <c r="W261" s="12"/>
      <c r="X261" s="12"/>
      <c r="Y261" s="12"/>
    </row>
    <row r="262" customFormat="false" ht="15.75" hidden="false" customHeight="false" outlineLevel="0" collapsed="false">
      <c r="A262" s="12"/>
      <c r="B262" s="34"/>
      <c r="C262" s="12"/>
      <c r="D262" s="12"/>
      <c r="E262" s="12"/>
      <c r="F262" s="12"/>
      <c r="G262" s="18"/>
      <c r="H262" s="35"/>
      <c r="I262" s="35"/>
      <c r="J262" s="12"/>
      <c r="O262" s="12"/>
      <c r="P262" s="18"/>
      <c r="Q262" s="12"/>
      <c r="R262" s="12"/>
      <c r="S262" s="12"/>
      <c r="T262" s="36"/>
      <c r="U262" s="36"/>
      <c r="V262" s="12"/>
      <c r="W262" s="12"/>
      <c r="X262" s="12"/>
      <c r="Y262" s="12"/>
    </row>
    <row r="263" customFormat="false" ht="15.75" hidden="false" customHeight="false" outlineLevel="0" collapsed="false">
      <c r="A263" s="12"/>
      <c r="B263" s="34"/>
      <c r="C263" s="12"/>
      <c r="D263" s="12"/>
      <c r="E263" s="12"/>
      <c r="F263" s="12"/>
      <c r="G263" s="18"/>
      <c r="H263" s="35"/>
      <c r="I263" s="35"/>
      <c r="J263" s="12"/>
      <c r="O263" s="12"/>
      <c r="P263" s="18"/>
      <c r="Q263" s="12"/>
      <c r="R263" s="12"/>
      <c r="S263" s="12"/>
      <c r="T263" s="36"/>
      <c r="U263" s="36"/>
      <c r="V263" s="12"/>
      <c r="W263" s="12"/>
      <c r="X263" s="12"/>
      <c r="Y263" s="12"/>
    </row>
    <row r="264" customFormat="false" ht="15.75" hidden="false" customHeight="false" outlineLevel="0" collapsed="false">
      <c r="A264" s="12"/>
      <c r="B264" s="34"/>
      <c r="C264" s="12"/>
      <c r="D264" s="12"/>
      <c r="E264" s="12"/>
      <c r="F264" s="12"/>
      <c r="G264" s="18"/>
      <c r="H264" s="35"/>
      <c r="I264" s="35"/>
      <c r="J264" s="12"/>
      <c r="O264" s="12"/>
      <c r="P264" s="18"/>
      <c r="Q264" s="12"/>
      <c r="R264" s="12"/>
      <c r="S264" s="12"/>
      <c r="T264" s="36"/>
      <c r="U264" s="36"/>
      <c r="V264" s="12"/>
      <c r="W264" s="12"/>
      <c r="X264" s="12"/>
      <c r="Y264" s="12"/>
    </row>
    <row r="265" customFormat="false" ht="15.75" hidden="false" customHeight="false" outlineLevel="0" collapsed="false">
      <c r="A265" s="12"/>
      <c r="B265" s="34"/>
      <c r="C265" s="12"/>
      <c r="D265" s="12"/>
      <c r="E265" s="12"/>
      <c r="F265" s="12"/>
      <c r="G265" s="18"/>
      <c r="H265" s="35"/>
      <c r="I265" s="35"/>
      <c r="J265" s="12"/>
      <c r="O265" s="12"/>
      <c r="P265" s="18"/>
      <c r="Q265" s="12"/>
      <c r="R265" s="12"/>
      <c r="S265" s="12"/>
      <c r="T265" s="36"/>
      <c r="U265" s="36"/>
      <c r="V265" s="12"/>
      <c r="W265" s="12"/>
      <c r="X265" s="12"/>
      <c r="Y265" s="12"/>
    </row>
    <row r="266" customFormat="false" ht="15.75" hidden="false" customHeight="false" outlineLevel="0" collapsed="false">
      <c r="A266" s="12"/>
      <c r="B266" s="34"/>
      <c r="C266" s="12"/>
      <c r="D266" s="12"/>
      <c r="E266" s="12"/>
      <c r="F266" s="12"/>
      <c r="G266" s="18"/>
      <c r="H266" s="35"/>
      <c r="I266" s="35"/>
      <c r="J266" s="12"/>
      <c r="O266" s="12"/>
      <c r="P266" s="18"/>
      <c r="Q266" s="12"/>
      <c r="R266" s="12"/>
      <c r="S266" s="12"/>
      <c r="T266" s="36"/>
      <c r="U266" s="36"/>
      <c r="V266" s="12"/>
      <c r="W266" s="12"/>
      <c r="X266" s="12"/>
      <c r="Y266" s="12"/>
    </row>
    <row r="267" customFormat="false" ht="15.75" hidden="false" customHeight="false" outlineLevel="0" collapsed="false">
      <c r="A267" s="12"/>
      <c r="B267" s="34"/>
      <c r="C267" s="12"/>
      <c r="D267" s="12"/>
      <c r="E267" s="12"/>
      <c r="F267" s="12"/>
      <c r="G267" s="18"/>
      <c r="H267" s="35"/>
      <c r="I267" s="35"/>
      <c r="J267" s="12"/>
      <c r="O267" s="12"/>
      <c r="P267" s="18"/>
      <c r="Q267" s="12"/>
      <c r="R267" s="12"/>
      <c r="S267" s="12"/>
      <c r="T267" s="36"/>
      <c r="U267" s="36"/>
      <c r="V267" s="12"/>
      <c r="W267" s="12"/>
      <c r="X267" s="12"/>
      <c r="Y267" s="12"/>
    </row>
    <row r="268" customFormat="false" ht="15.75" hidden="false" customHeight="false" outlineLevel="0" collapsed="false">
      <c r="A268" s="12"/>
      <c r="B268" s="34"/>
      <c r="C268" s="12"/>
      <c r="D268" s="12"/>
      <c r="E268" s="12"/>
      <c r="F268" s="12"/>
      <c r="G268" s="18"/>
      <c r="H268" s="35"/>
      <c r="I268" s="35"/>
      <c r="J268" s="12"/>
      <c r="O268" s="12"/>
      <c r="P268" s="18"/>
      <c r="Q268" s="12"/>
      <c r="R268" s="12"/>
      <c r="S268" s="12"/>
      <c r="T268" s="36"/>
      <c r="U268" s="36"/>
      <c r="V268" s="12"/>
      <c r="W268" s="12"/>
      <c r="X268" s="12"/>
      <c r="Y268" s="12"/>
    </row>
    <row r="269" customFormat="false" ht="15.75" hidden="false" customHeight="false" outlineLevel="0" collapsed="false">
      <c r="A269" s="12"/>
      <c r="B269" s="34"/>
      <c r="C269" s="12"/>
      <c r="D269" s="12"/>
      <c r="E269" s="12"/>
      <c r="F269" s="12"/>
      <c r="G269" s="18"/>
      <c r="H269" s="35"/>
      <c r="I269" s="35"/>
      <c r="J269" s="12"/>
      <c r="O269" s="12"/>
      <c r="P269" s="18"/>
      <c r="Q269" s="12"/>
      <c r="R269" s="12"/>
      <c r="S269" s="12"/>
      <c r="T269" s="36"/>
      <c r="U269" s="36"/>
      <c r="V269" s="12"/>
      <c r="W269" s="12"/>
      <c r="X269" s="12"/>
      <c r="Y269" s="12"/>
    </row>
    <row r="270" customFormat="false" ht="15.75" hidden="false" customHeight="false" outlineLevel="0" collapsed="false">
      <c r="A270" s="12"/>
      <c r="B270" s="34"/>
      <c r="C270" s="12"/>
      <c r="D270" s="12"/>
      <c r="E270" s="12"/>
      <c r="F270" s="12"/>
      <c r="G270" s="18"/>
      <c r="H270" s="35"/>
      <c r="I270" s="35"/>
      <c r="J270" s="12"/>
      <c r="O270" s="12"/>
      <c r="P270" s="18"/>
      <c r="Q270" s="12"/>
      <c r="R270" s="12"/>
      <c r="S270" s="12"/>
      <c r="T270" s="36"/>
      <c r="U270" s="36"/>
      <c r="V270" s="12"/>
      <c r="W270" s="12"/>
      <c r="X270" s="12"/>
      <c r="Y270" s="12"/>
    </row>
    <row r="271" customFormat="false" ht="15.75" hidden="false" customHeight="false" outlineLevel="0" collapsed="false">
      <c r="A271" s="12"/>
      <c r="B271" s="34"/>
      <c r="C271" s="12"/>
      <c r="D271" s="12"/>
      <c r="E271" s="12"/>
      <c r="F271" s="12"/>
      <c r="G271" s="18"/>
      <c r="H271" s="35"/>
      <c r="I271" s="35"/>
      <c r="J271" s="12"/>
      <c r="O271" s="12"/>
      <c r="P271" s="18"/>
      <c r="Q271" s="12"/>
      <c r="R271" s="12"/>
      <c r="S271" s="12"/>
      <c r="T271" s="36"/>
      <c r="U271" s="36"/>
      <c r="V271" s="12"/>
      <c r="W271" s="12"/>
      <c r="X271" s="12"/>
      <c r="Y271" s="12"/>
    </row>
    <row r="272" customFormat="false" ht="15.75" hidden="false" customHeight="false" outlineLevel="0" collapsed="false">
      <c r="A272" s="12"/>
      <c r="B272" s="34"/>
      <c r="C272" s="12"/>
      <c r="D272" s="12"/>
      <c r="E272" s="12"/>
      <c r="F272" s="12"/>
      <c r="G272" s="18"/>
      <c r="H272" s="35"/>
      <c r="I272" s="35"/>
      <c r="J272" s="12"/>
      <c r="O272" s="12"/>
      <c r="P272" s="18"/>
      <c r="Q272" s="12"/>
      <c r="R272" s="12"/>
      <c r="S272" s="12"/>
      <c r="T272" s="36"/>
      <c r="U272" s="36"/>
      <c r="V272" s="12"/>
      <c r="W272" s="12"/>
      <c r="X272" s="12"/>
      <c r="Y272" s="12"/>
    </row>
    <row r="273" customFormat="false" ht="15.75" hidden="false" customHeight="false" outlineLevel="0" collapsed="false">
      <c r="A273" s="12"/>
      <c r="B273" s="34"/>
      <c r="C273" s="12"/>
      <c r="D273" s="12"/>
      <c r="E273" s="12"/>
      <c r="F273" s="12"/>
      <c r="G273" s="18"/>
      <c r="H273" s="35"/>
      <c r="I273" s="35"/>
      <c r="J273" s="12"/>
      <c r="O273" s="12"/>
      <c r="P273" s="18"/>
      <c r="Q273" s="12"/>
      <c r="R273" s="12"/>
      <c r="S273" s="12"/>
      <c r="T273" s="36"/>
      <c r="U273" s="36"/>
      <c r="V273" s="12"/>
      <c r="W273" s="12"/>
      <c r="X273" s="12"/>
      <c r="Y273" s="12"/>
    </row>
    <row r="274" customFormat="false" ht="15.75" hidden="false" customHeight="false" outlineLevel="0" collapsed="false">
      <c r="A274" s="12"/>
      <c r="B274" s="34"/>
      <c r="C274" s="12"/>
      <c r="D274" s="12"/>
      <c r="E274" s="12"/>
      <c r="F274" s="12"/>
      <c r="G274" s="18"/>
      <c r="H274" s="35"/>
      <c r="I274" s="35"/>
      <c r="J274" s="12"/>
      <c r="O274" s="12"/>
      <c r="P274" s="18"/>
      <c r="Q274" s="12"/>
      <c r="R274" s="12"/>
      <c r="S274" s="12"/>
      <c r="T274" s="36"/>
      <c r="U274" s="36"/>
      <c r="V274" s="12"/>
      <c r="W274" s="12"/>
      <c r="X274" s="12"/>
      <c r="Y274" s="12"/>
    </row>
    <row r="275" customFormat="false" ht="15.75" hidden="false" customHeight="false" outlineLevel="0" collapsed="false">
      <c r="A275" s="12"/>
      <c r="B275" s="34"/>
      <c r="C275" s="12"/>
      <c r="D275" s="12"/>
      <c r="E275" s="12"/>
      <c r="F275" s="12"/>
      <c r="G275" s="18"/>
      <c r="H275" s="35"/>
      <c r="I275" s="35"/>
      <c r="J275" s="12"/>
      <c r="O275" s="12"/>
      <c r="P275" s="18"/>
      <c r="Q275" s="12"/>
      <c r="R275" s="12"/>
      <c r="S275" s="12"/>
      <c r="T275" s="36"/>
      <c r="U275" s="36"/>
      <c r="V275" s="12"/>
      <c r="W275" s="12"/>
      <c r="X275" s="12"/>
      <c r="Y275" s="12"/>
    </row>
    <row r="276" customFormat="false" ht="15.75" hidden="false" customHeight="false" outlineLevel="0" collapsed="false">
      <c r="A276" s="12"/>
      <c r="B276" s="34"/>
      <c r="C276" s="12"/>
      <c r="D276" s="12"/>
      <c r="E276" s="12"/>
      <c r="F276" s="12"/>
      <c r="G276" s="18"/>
      <c r="H276" s="35"/>
      <c r="I276" s="35"/>
      <c r="J276" s="12"/>
      <c r="O276" s="12"/>
      <c r="P276" s="18"/>
      <c r="Q276" s="12"/>
      <c r="R276" s="12"/>
      <c r="S276" s="12"/>
      <c r="T276" s="36"/>
      <c r="U276" s="36"/>
      <c r="V276" s="12"/>
      <c r="W276" s="12"/>
      <c r="X276" s="12"/>
      <c r="Y276" s="12"/>
    </row>
    <row r="277" customFormat="false" ht="15.75" hidden="false" customHeight="false" outlineLevel="0" collapsed="false">
      <c r="A277" s="12"/>
      <c r="B277" s="34"/>
      <c r="C277" s="12"/>
      <c r="D277" s="12"/>
      <c r="E277" s="12"/>
      <c r="F277" s="12"/>
      <c r="G277" s="18"/>
      <c r="H277" s="35"/>
      <c r="I277" s="35"/>
      <c r="J277" s="12"/>
      <c r="O277" s="12"/>
      <c r="P277" s="18"/>
      <c r="Q277" s="12"/>
      <c r="R277" s="12"/>
      <c r="S277" s="12"/>
      <c r="T277" s="36"/>
      <c r="U277" s="36"/>
      <c r="V277" s="12"/>
      <c r="W277" s="12"/>
      <c r="X277" s="12"/>
      <c r="Y277" s="12"/>
    </row>
    <row r="278" customFormat="false" ht="15.75" hidden="false" customHeight="false" outlineLevel="0" collapsed="false">
      <c r="A278" s="12"/>
      <c r="B278" s="34"/>
      <c r="C278" s="12"/>
      <c r="D278" s="12"/>
      <c r="E278" s="12"/>
      <c r="F278" s="12"/>
      <c r="G278" s="18"/>
      <c r="H278" s="35"/>
      <c r="I278" s="35"/>
      <c r="J278" s="12"/>
      <c r="O278" s="12"/>
      <c r="P278" s="18"/>
      <c r="Q278" s="12"/>
      <c r="R278" s="12"/>
      <c r="S278" s="12"/>
      <c r="T278" s="36"/>
      <c r="U278" s="36"/>
      <c r="V278" s="12"/>
      <c r="W278" s="12"/>
      <c r="X278" s="12"/>
      <c r="Y278" s="12"/>
    </row>
    <row r="279" customFormat="false" ht="15.75" hidden="false" customHeight="false" outlineLevel="0" collapsed="false">
      <c r="A279" s="12"/>
      <c r="B279" s="34"/>
      <c r="C279" s="12"/>
      <c r="D279" s="12"/>
      <c r="E279" s="12"/>
      <c r="F279" s="12"/>
      <c r="G279" s="18"/>
      <c r="H279" s="35"/>
      <c r="I279" s="35"/>
      <c r="J279" s="12"/>
      <c r="O279" s="12"/>
      <c r="P279" s="18"/>
      <c r="Q279" s="12"/>
      <c r="R279" s="12"/>
      <c r="S279" s="12"/>
      <c r="T279" s="36"/>
      <c r="U279" s="36"/>
      <c r="V279" s="12"/>
      <c r="W279" s="12"/>
      <c r="X279" s="12"/>
      <c r="Y279" s="12"/>
    </row>
    <row r="280" customFormat="false" ht="15.75" hidden="false" customHeight="false" outlineLevel="0" collapsed="false">
      <c r="A280" s="12"/>
      <c r="B280" s="34"/>
      <c r="C280" s="12"/>
      <c r="D280" s="12"/>
      <c r="E280" s="12"/>
      <c r="F280" s="12"/>
      <c r="G280" s="18"/>
      <c r="H280" s="35"/>
      <c r="I280" s="35"/>
      <c r="J280" s="12"/>
      <c r="O280" s="12"/>
      <c r="P280" s="18"/>
      <c r="Q280" s="12"/>
      <c r="R280" s="12"/>
      <c r="S280" s="12"/>
      <c r="T280" s="36"/>
      <c r="U280" s="36"/>
      <c r="V280" s="12"/>
      <c r="W280" s="12"/>
      <c r="X280" s="12"/>
      <c r="Y280" s="12"/>
    </row>
    <row r="281" customFormat="false" ht="15.75" hidden="false" customHeight="false" outlineLevel="0" collapsed="false">
      <c r="A281" s="12"/>
      <c r="B281" s="34"/>
      <c r="C281" s="12"/>
      <c r="D281" s="12"/>
      <c r="E281" s="12"/>
      <c r="F281" s="12"/>
      <c r="G281" s="18"/>
      <c r="H281" s="35"/>
      <c r="I281" s="35"/>
      <c r="J281" s="12"/>
      <c r="O281" s="12"/>
      <c r="P281" s="18"/>
      <c r="Q281" s="12"/>
      <c r="R281" s="12"/>
      <c r="S281" s="12"/>
      <c r="T281" s="36"/>
      <c r="U281" s="36"/>
      <c r="V281" s="12"/>
      <c r="W281" s="12"/>
      <c r="X281" s="12"/>
      <c r="Y281" s="12"/>
    </row>
    <row r="282" customFormat="false" ht="15.75" hidden="false" customHeight="false" outlineLevel="0" collapsed="false">
      <c r="A282" s="12"/>
      <c r="B282" s="34"/>
      <c r="C282" s="12"/>
      <c r="D282" s="12"/>
      <c r="E282" s="12"/>
      <c r="F282" s="12"/>
      <c r="G282" s="18"/>
      <c r="H282" s="35"/>
      <c r="I282" s="35"/>
      <c r="J282" s="12"/>
      <c r="O282" s="12"/>
      <c r="P282" s="18"/>
      <c r="Q282" s="12"/>
      <c r="R282" s="12"/>
      <c r="S282" s="12"/>
      <c r="T282" s="36"/>
      <c r="U282" s="36"/>
      <c r="V282" s="12"/>
      <c r="W282" s="12"/>
      <c r="X282" s="12"/>
      <c r="Y282" s="12"/>
    </row>
    <row r="283" customFormat="false" ht="15.75" hidden="false" customHeight="false" outlineLevel="0" collapsed="false">
      <c r="A283" s="12"/>
      <c r="B283" s="34"/>
      <c r="C283" s="12"/>
      <c r="D283" s="12"/>
      <c r="E283" s="12"/>
      <c r="F283" s="12"/>
      <c r="G283" s="18"/>
      <c r="H283" s="35"/>
      <c r="I283" s="35"/>
      <c r="J283" s="12"/>
      <c r="O283" s="12"/>
      <c r="P283" s="18"/>
      <c r="Q283" s="12"/>
      <c r="R283" s="12"/>
      <c r="S283" s="12"/>
      <c r="T283" s="36"/>
      <c r="U283" s="36"/>
      <c r="V283" s="12"/>
      <c r="W283" s="12"/>
      <c r="X283" s="12"/>
      <c r="Y283" s="12"/>
    </row>
    <row r="284" customFormat="false" ht="15.75" hidden="false" customHeight="false" outlineLevel="0" collapsed="false">
      <c r="A284" s="12"/>
      <c r="B284" s="34"/>
      <c r="C284" s="12"/>
      <c r="D284" s="12"/>
      <c r="E284" s="12"/>
      <c r="F284" s="12"/>
      <c r="G284" s="18"/>
      <c r="H284" s="35"/>
      <c r="I284" s="35"/>
      <c r="J284" s="12"/>
      <c r="O284" s="12"/>
      <c r="P284" s="18"/>
      <c r="Q284" s="12"/>
      <c r="R284" s="12"/>
      <c r="S284" s="12"/>
      <c r="T284" s="36"/>
      <c r="U284" s="36"/>
      <c r="V284" s="12"/>
      <c r="W284" s="12"/>
      <c r="X284" s="12"/>
      <c r="Y284" s="12"/>
    </row>
    <row r="285" customFormat="false" ht="15.75" hidden="false" customHeight="false" outlineLevel="0" collapsed="false">
      <c r="A285" s="12"/>
      <c r="B285" s="34"/>
      <c r="C285" s="12"/>
      <c r="D285" s="12"/>
      <c r="E285" s="12"/>
      <c r="F285" s="12"/>
      <c r="G285" s="18"/>
      <c r="H285" s="35"/>
      <c r="I285" s="35"/>
      <c r="J285" s="12"/>
      <c r="O285" s="12"/>
      <c r="P285" s="18"/>
      <c r="Q285" s="12"/>
      <c r="R285" s="12"/>
      <c r="S285" s="12"/>
      <c r="T285" s="36"/>
      <c r="U285" s="36"/>
      <c r="V285" s="12"/>
      <c r="W285" s="12"/>
      <c r="X285" s="12"/>
      <c r="Y285" s="12"/>
    </row>
    <row r="286" customFormat="false" ht="15.75" hidden="false" customHeight="false" outlineLevel="0" collapsed="false">
      <c r="A286" s="12"/>
      <c r="B286" s="34"/>
      <c r="C286" s="12"/>
      <c r="D286" s="12"/>
      <c r="E286" s="12"/>
      <c r="F286" s="12"/>
      <c r="G286" s="18"/>
      <c r="H286" s="35"/>
      <c r="I286" s="35"/>
      <c r="J286" s="12"/>
      <c r="O286" s="12"/>
      <c r="P286" s="18"/>
      <c r="Q286" s="12"/>
      <c r="R286" s="12"/>
      <c r="S286" s="12"/>
      <c r="T286" s="36"/>
      <c r="U286" s="36"/>
      <c r="V286" s="12"/>
      <c r="W286" s="12"/>
      <c r="X286" s="12"/>
      <c r="Y286" s="12"/>
    </row>
    <row r="287" customFormat="false" ht="15.75" hidden="false" customHeight="false" outlineLevel="0" collapsed="false">
      <c r="A287" s="12"/>
      <c r="B287" s="34"/>
      <c r="C287" s="12"/>
      <c r="D287" s="12"/>
      <c r="E287" s="12"/>
      <c r="F287" s="12"/>
      <c r="G287" s="18"/>
      <c r="H287" s="35"/>
      <c r="I287" s="35"/>
      <c r="J287" s="12"/>
      <c r="O287" s="12"/>
      <c r="P287" s="18"/>
      <c r="Q287" s="12"/>
      <c r="R287" s="12"/>
      <c r="S287" s="12"/>
      <c r="T287" s="36"/>
      <c r="U287" s="36"/>
      <c r="V287" s="12"/>
      <c r="W287" s="12"/>
      <c r="X287" s="12"/>
      <c r="Y287" s="12"/>
    </row>
    <row r="288" customFormat="false" ht="15.75" hidden="false" customHeight="false" outlineLevel="0" collapsed="false">
      <c r="A288" s="12"/>
      <c r="B288" s="34"/>
      <c r="C288" s="12"/>
      <c r="D288" s="12"/>
      <c r="E288" s="12"/>
      <c r="F288" s="12"/>
      <c r="G288" s="18"/>
      <c r="H288" s="35"/>
      <c r="I288" s="35"/>
      <c r="J288" s="12"/>
      <c r="O288" s="12"/>
      <c r="P288" s="18"/>
      <c r="Q288" s="12"/>
      <c r="R288" s="12"/>
      <c r="S288" s="12"/>
      <c r="T288" s="36"/>
      <c r="U288" s="36"/>
      <c r="V288" s="12"/>
      <c r="W288" s="12"/>
      <c r="X288" s="12"/>
      <c r="Y288" s="12"/>
    </row>
    <row r="289" customFormat="false" ht="15.75" hidden="false" customHeight="false" outlineLevel="0" collapsed="false">
      <c r="A289" s="12"/>
      <c r="B289" s="34"/>
      <c r="C289" s="12"/>
      <c r="D289" s="12"/>
      <c r="E289" s="12"/>
      <c r="F289" s="12"/>
      <c r="G289" s="18"/>
      <c r="H289" s="35"/>
      <c r="I289" s="35"/>
      <c r="J289" s="12"/>
      <c r="O289" s="12"/>
      <c r="P289" s="18"/>
      <c r="Q289" s="12"/>
      <c r="R289" s="12"/>
      <c r="S289" s="12"/>
      <c r="T289" s="36"/>
      <c r="U289" s="36"/>
      <c r="V289" s="12"/>
      <c r="W289" s="12"/>
      <c r="X289" s="12"/>
      <c r="Y289" s="12"/>
    </row>
    <row r="290" customFormat="false" ht="15.75" hidden="false" customHeight="false" outlineLevel="0" collapsed="false">
      <c r="A290" s="12"/>
      <c r="B290" s="34"/>
      <c r="C290" s="12"/>
      <c r="D290" s="12"/>
      <c r="E290" s="12"/>
      <c r="F290" s="12"/>
      <c r="G290" s="18"/>
      <c r="H290" s="35"/>
      <c r="I290" s="35"/>
      <c r="J290" s="12"/>
      <c r="O290" s="12"/>
      <c r="P290" s="18"/>
      <c r="Q290" s="12"/>
      <c r="R290" s="12"/>
      <c r="S290" s="12"/>
      <c r="T290" s="36"/>
      <c r="U290" s="36"/>
      <c r="V290" s="12"/>
      <c r="W290" s="12"/>
      <c r="X290" s="12"/>
      <c r="Y290" s="12"/>
    </row>
    <row r="291" customFormat="false" ht="15.75" hidden="false" customHeight="false" outlineLevel="0" collapsed="false">
      <c r="A291" s="12"/>
      <c r="B291" s="34"/>
      <c r="C291" s="12"/>
      <c r="D291" s="12"/>
      <c r="E291" s="12"/>
      <c r="F291" s="12"/>
      <c r="G291" s="18"/>
      <c r="H291" s="35"/>
      <c r="I291" s="35"/>
      <c r="J291" s="12"/>
      <c r="O291" s="12"/>
      <c r="P291" s="18"/>
      <c r="Q291" s="12"/>
      <c r="R291" s="12"/>
      <c r="S291" s="12"/>
      <c r="T291" s="36"/>
      <c r="U291" s="36"/>
      <c r="V291" s="12"/>
      <c r="W291" s="12"/>
      <c r="X291" s="12"/>
      <c r="Y291" s="12"/>
    </row>
    <row r="292" customFormat="false" ht="15.75" hidden="false" customHeight="false" outlineLevel="0" collapsed="false">
      <c r="A292" s="12"/>
      <c r="B292" s="34"/>
      <c r="C292" s="12"/>
      <c r="D292" s="12"/>
      <c r="E292" s="12"/>
      <c r="F292" s="12"/>
      <c r="G292" s="18"/>
      <c r="H292" s="35"/>
      <c r="I292" s="35"/>
      <c r="J292" s="12"/>
      <c r="O292" s="12"/>
      <c r="P292" s="18"/>
      <c r="Q292" s="12"/>
      <c r="R292" s="12"/>
      <c r="S292" s="12"/>
      <c r="T292" s="36"/>
      <c r="U292" s="36"/>
      <c r="V292" s="12"/>
      <c r="W292" s="12"/>
      <c r="X292" s="12"/>
      <c r="Y292" s="12"/>
    </row>
    <row r="293" customFormat="false" ht="15.75" hidden="false" customHeight="false" outlineLevel="0" collapsed="false">
      <c r="A293" s="12"/>
      <c r="B293" s="34"/>
      <c r="C293" s="12"/>
      <c r="D293" s="12"/>
      <c r="E293" s="12"/>
      <c r="F293" s="12"/>
      <c r="G293" s="18"/>
      <c r="H293" s="35"/>
      <c r="I293" s="35"/>
      <c r="J293" s="12"/>
      <c r="O293" s="12"/>
      <c r="P293" s="18"/>
      <c r="Q293" s="12"/>
      <c r="R293" s="12"/>
      <c r="S293" s="12"/>
      <c r="T293" s="36"/>
      <c r="U293" s="36"/>
      <c r="V293" s="12"/>
      <c r="W293" s="12"/>
      <c r="X293" s="12"/>
      <c r="Y293" s="12"/>
    </row>
    <row r="294" customFormat="false" ht="15.75" hidden="false" customHeight="false" outlineLevel="0" collapsed="false">
      <c r="A294" s="12"/>
      <c r="B294" s="34"/>
      <c r="C294" s="12"/>
      <c r="D294" s="12"/>
      <c r="E294" s="12"/>
      <c r="F294" s="12"/>
      <c r="G294" s="18"/>
      <c r="H294" s="35"/>
      <c r="I294" s="35"/>
      <c r="J294" s="12"/>
      <c r="O294" s="12"/>
      <c r="P294" s="18"/>
      <c r="Q294" s="12"/>
      <c r="R294" s="12"/>
      <c r="S294" s="12"/>
      <c r="T294" s="36"/>
      <c r="U294" s="36"/>
      <c r="V294" s="12"/>
      <c r="W294" s="12"/>
      <c r="X294" s="12"/>
      <c r="Y294" s="12"/>
    </row>
    <row r="295" customFormat="false" ht="15.75" hidden="false" customHeight="false" outlineLevel="0" collapsed="false">
      <c r="A295" s="12"/>
      <c r="B295" s="34"/>
      <c r="C295" s="12"/>
      <c r="D295" s="12"/>
      <c r="E295" s="12"/>
      <c r="F295" s="12"/>
      <c r="G295" s="18"/>
      <c r="H295" s="35"/>
      <c r="I295" s="35"/>
      <c r="J295" s="12"/>
      <c r="O295" s="12"/>
      <c r="P295" s="18"/>
      <c r="Q295" s="12"/>
      <c r="R295" s="12"/>
      <c r="S295" s="12"/>
      <c r="T295" s="36"/>
      <c r="U295" s="36"/>
      <c r="V295" s="12"/>
      <c r="W295" s="12"/>
      <c r="X295" s="12"/>
      <c r="Y295" s="12"/>
    </row>
    <row r="296" customFormat="false" ht="15.75" hidden="false" customHeight="false" outlineLevel="0" collapsed="false">
      <c r="A296" s="12"/>
      <c r="B296" s="34"/>
      <c r="C296" s="12"/>
      <c r="D296" s="12"/>
      <c r="E296" s="12"/>
      <c r="F296" s="12"/>
      <c r="G296" s="18"/>
      <c r="H296" s="35"/>
      <c r="I296" s="35"/>
      <c r="J296" s="12"/>
      <c r="O296" s="12"/>
      <c r="P296" s="18"/>
      <c r="Q296" s="12"/>
      <c r="R296" s="12"/>
      <c r="S296" s="12"/>
      <c r="T296" s="36"/>
      <c r="U296" s="36"/>
      <c r="V296" s="12"/>
      <c r="W296" s="12"/>
      <c r="X296" s="12"/>
      <c r="Y296" s="12"/>
    </row>
    <row r="297" customFormat="false" ht="15.75" hidden="false" customHeight="false" outlineLevel="0" collapsed="false">
      <c r="A297" s="12"/>
      <c r="B297" s="34"/>
      <c r="C297" s="12"/>
      <c r="D297" s="12"/>
      <c r="E297" s="12"/>
      <c r="F297" s="12"/>
      <c r="G297" s="18"/>
      <c r="H297" s="35"/>
      <c r="I297" s="35"/>
      <c r="J297" s="12"/>
      <c r="O297" s="12"/>
      <c r="P297" s="18"/>
      <c r="Q297" s="12"/>
      <c r="R297" s="12"/>
      <c r="S297" s="12"/>
      <c r="T297" s="36"/>
      <c r="U297" s="36"/>
      <c r="V297" s="12"/>
      <c r="W297" s="12"/>
      <c r="X297" s="12"/>
      <c r="Y297" s="12"/>
    </row>
    <row r="298" customFormat="false" ht="15.75" hidden="false" customHeight="false" outlineLevel="0" collapsed="false">
      <c r="A298" s="12"/>
      <c r="B298" s="34"/>
      <c r="C298" s="12"/>
      <c r="D298" s="12"/>
      <c r="E298" s="12"/>
      <c r="F298" s="12"/>
      <c r="G298" s="18"/>
      <c r="H298" s="35"/>
      <c r="I298" s="35"/>
      <c r="J298" s="12"/>
      <c r="O298" s="12"/>
      <c r="P298" s="18"/>
      <c r="Q298" s="12"/>
      <c r="R298" s="12"/>
      <c r="S298" s="12"/>
      <c r="T298" s="36"/>
      <c r="U298" s="36"/>
      <c r="V298" s="12"/>
      <c r="W298" s="12"/>
      <c r="X298" s="12"/>
      <c r="Y298" s="12"/>
    </row>
    <row r="299" customFormat="false" ht="15.75" hidden="false" customHeight="false" outlineLevel="0" collapsed="false">
      <c r="A299" s="12"/>
      <c r="B299" s="34"/>
      <c r="C299" s="12"/>
      <c r="D299" s="12"/>
      <c r="E299" s="12"/>
      <c r="F299" s="12"/>
      <c r="G299" s="18"/>
      <c r="H299" s="35"/>
      <c r="I299" s="35"/>
      <c r="J299" s="12"/>
      <c r="O299" s="12"/>
      <c r="P299" s="18"/>
      <c r="Q299" s="12"/>
      <c r="R299" s="12"/>
      <c r="S299" s="12"/>
      <c r="T299" s="36"/>
      <c r="U299" s="36"/>
      <c r="V299" s="12"/>
      <c r="W299" s="12"/>
      <c r="X299" s="12"/>
      <c r="Y299" s="12"/>
    </row>
    <row r="300" customFormat="false" ht="15.75" hidden="false" customHeight="false" outlineLevel="0" collapsed="false">
      <c r="A300" s="12"/>
      <c r="B300" s="34"/>
      <c r="C300" s="12"/>
      <c r="D300" s="12"/>
      <c r="E300" s="12"/>
      <c r="F300" s="12"/>
      <c r="G300" s="18"/>
      <c r="H300" s="35"/>
      <c r="I300" s="35"/>
      <c r="J300" s="12"/>
      <c r="O300" s="12"/>
      <c r="P300" s="18"/>
      <c r="Q300" s="12"/>
      <c r="R300" s="12"/>
      <c r="S300" s="12"/>
      <c r="T300" s="36"/>
      <c r="U300" s="36"/>
      <c r="V300" s="12"/>
      <c r="W300" s="12"/>
      <c r="X300" s="12"/>
      <c r="Y300" s="12"/>
    </row>
    <row r="301" customFormat="false" ht="15.75" hidden="false" customHeight="false" outlineLevel="0" collapsed="false">
      <c r="A301" s="12"/>
      <c r="B301" s="34"/>
      <c r="C301" s="12"/>
      <c r="D301" s="12"/>
      <c r="E301" s="12"/>
      <c r="F301" s="12"/>
      <c r="G301" s="18"/>
      <c r="H301" s="35"/>
      <c r="I301" s="35"/>
      <c r="J301" s="12"/>
      <c r="O301" s="12"/>
      <c r="P301" s="18"/>
      <c r="Q301" s="12"/>
      <c r="R301" s="12"/>
      <c r="S301" s="12"/>
      <c r="T301" s="36"/>
      <c r="U301" s="36"/>
      <c r="V301" s="12"/>
      <c r="W301" s="12"/>
      <c r="X301" s="12"/>
      <c r="Y301" s="12"/>
    </row>
    <row r="302" customFormat="false" ht="15.75" hidden="false" customHeight="false" outlineLevel="0" collapsed="false">
      <c r="A302" s="12"/>
      <c r="B302" s="34"/>
      <c r="C302" s="12"/>
      <c r="D302" s="12"/>
      <c r="E302" s="12"/>
      <c r="F302" s="12"/>
      <c r="G302" s="18"/>
      <c r="H302" s="35"/>
      <c r="I302" s="35"/>
      <c r="J302" s="12"/>
      <c r="O302" s="12"/>
      <c r="P302" s="18"/>
      <c r="Q302" s="12"/>
      <c r="R302" s="12"/>
      <c r="S302" s="12"/>
      <c r="T302" s="36"/>
      <c r="U302" s="36"/>
      <c r="V302" s="12"/>
      <c r="W302" s="12"/>
      <c r="X302" s="12"/>
      <c r="Y302" s="12"/>
    </row>
    <row r="303" customFormat="false" ht="15.75" hidden="false" customHeight="false" outlineLevel="0" collapsed="false">
      <c r="A303" s="12"/>
      <c r="B303" s="34"/>
      <c r="C303" s="12"/>
      <c r="D303" s="12"/>
      <c r="E303" s="12"/>
      <c r="F303" s="12"/>
      <c r="G303" s="18"/>
      <c r="H303" s="35"/>
      <c r="I303" s="35"/>
      <c r="J303" s="12"/>
      <c r="O303" s="12"/>
      <c r="P303" s="18"/>
      <c r="Q303" s="12"/>
      <c r="R303" s="12"/>
      <c r="S303" s="12"/>
      <c r="T303" s="36"/>
      <c r="U303" s="36"/>
      <c r="V303" s="12"/>
      <c r="W303" s="12"/>
      <c r="X303" s="12"/>
      <c r="Y303" s="12"/>
    </row>
    <row r="304" customFormat="false" ht="15.75" hidden="false" customHeight="false" outlineLevel="0" collapsed="false">
      <c r="A304" s="12"/>
      <c r="B304" s="34"/>
      <c r="C304" s="12"/>
      <c r="D304" s="12"/>
      <c r="E304" s="12"/>
      <c r="F304" s="12"/>
      <c r="G304" s="18"/>
      <c r="H304" s="35"/>
      <c r="I304" s="35"/>
      <c r="J304" s="12"/>
      <c r="O304" s="12"/>
      <c r="P304" s="18"/>
      <c r="Q304" s="12"/>
      <c r="R304" s="12"/>
      <c r="S304" s="12"/>
      <c r="T304" s="36"/>
      <c r="U304" s="36"/>
      <c r="V304" s="12"/>
      <c r="W304" s="12"/>
      <c r="X304" s="12"/>
      <c r="Y304" s="12"/>
    </row>
    <row r="305" customFormat="false" ht="15.75" hidden="false" customHeight="false" outlineLevel="0" collapsed="false">
      <c r="A305" s="12"/>
      <c r="B305" s="34"/>
      <c r="C305" s="12"/>
      <c r="D305" s="12"/>
      <c r="E305" s="12"/>
      <c r="F305" s="12"/>
      <c r="G305" s="18"/>
      <c r="H305" s="35"/>
      <c r="I305" s="35"/>
      <c r="J305" s="12"/>
      <c r="O305" s="12"/>
      <c r="P305" s="18"/>
      <c r="Q305" s="12"/>
      <c r="R305" s="12"/>
      <c r="S305" s="12"/>
      <c r="T305" s="36"/>
      <c r="U305" s="36"/>
      <c r="V305" s="12"/>
      <c r="W305" s="12"/>
      <c r="X305" s="12"/>
      <c r="Y305" s="12"/>
    </row>
    <row r="306" customFormat="false" ht="15.75" hidden="false" customHeight="false" outlineLevel="0" collapsed="false">
      <c r="A306" s="12"/>
      <c r="B306" s="34"/>
      <c r="C306" s="12"/>
      <c r="D306" s="12"/>
      <c r="E306" s="12"/>
      <c r="F306" s="12"/>
      <c r="G306" s="18"/>
      <c r="H306" s="35"/>
      <c r="I306" s="35"/>
      <c r="J306" s="12"/>
      <c r="O306" s="12"/>
      <c r="P306" s="18"/>
      <c r="Q306" s="12"/>
      <c r="R306" s="12"/>
      <c r="S306" s="12"/>
      <c r="T306" s="36"/>
      <c r="U306" s="36"/>
      <c r="V306" s="12"/>
      <c r="W306" s="12"/>
      <c r="X306" s="12"/>
      <c r="Y306" s="12"/>
    </row>
    <row r="307" customFormat="false" ht="15.75" hidden="false" customHeight="false" outlineLevel="0" collapsed="false">
      <c r="A307" s="12"/>
      <c r="B307" s="34"/>
      <c r="C307" s="12"/>
      <c r="D307" s="12"/>
      <c r="E307" s="12"/>
      <c r="F307" s="12"/>
      <c r="G307" s="18"/>
      <c r="H307" s="35"/>
      <c r="I307" s="35"/>
      <c r="J307" s="12"/>
      <c r="O307" s="12"/>
      <c r="P307" s="18"/>
      <c r="Q307" s="12"/>
      <c r="R307" s="12"/>
      <c r="S307" s="12"/>
      <c r="T307" s="36"/>
      <c r="U307" s="36"/>
      <c r="V307" s="12"/>
      <c r="W307" s="12"/>
      <c r="X307" s="12"/>
      <c r="Y307" s="12"/>
    </row>
    <row r="308" customFormat="false" ht="15.75" hidden="false" customHeight="false" outlineLevel="0" collapsed="false">
      <c r="A308" s="12"/>
      <c r="B308" s="34"/>
      <c r="C308" s="12"/>
      <c r="D308" s="12"/>
      <c r="E308" s="12"/>
      <c r="F308" s="12"/>
      <c r="G308" s="18"/>
      <c r="H308" s="35"/>
      <c r="I308" s="35"/>
      <c r="J308" s="12"/>
      <c r="O308" s="12"/>
      <c r="P308" s="18"/>
      <c r="Q308" s="12"/>
      <c r="R308" s="12"/>
      <c r="S308" s="12"/>
      <c r="T308" s="36"/>
      <c r="U308" s="36"/>
      <c r="V308" s="12"/>
      <c r="W308" s="12"/>
      <c r="X308" s="12"/>
      <c r="Y308" s="12"/>
    </row>
    <row r="309" customFormat="false" ht="15.75" hidden="false" customHeight="false" outlineLevel="0" collapsed="false">
      <c r="A309" s="12"/>
      <c r="B309" s="34"/>
      <c r="C309" s="12"/>
      <c r="D309" s="12"/>
      <c r="E309" s="12"/>
      <c r="F309" s="12"/>
      <c r="G309" s="18"/>
      <c r="H309" s="35"/>
      <c r="I309" s="35"/>
      <c r="J309" s="12"/>
      <c r="O309" s="12"/>
      <c r="P309" s="18"/>
      <c r="Q309" s="12"/>
      <c r="R309" s="12"/>
      <c r="S309" s="12"/>
      <c r="T309" s="36"/>
      <c r="U309" s="36"/>
      <c r="V309" s="12"/>
      <c r="W309" s="12"/>
      <c r="X309" s="12"/>
      <c r="Y309" s="12"/>
    </row>
    <row r="310" customFormat="false" ht="15.75" hidden="false" customHeight="false" outlineLevel="0" collapsed="false">
      <c r="A310" s="12"/>
      <c r="B310" s="34"/>
      <c r="C310" s="12"/>
      <c r="D310" s="12"/>
      <c r="E310" s="12"/>
      <c r="F310" s="12"/>
      <c r="G310" s="18"/>
      <c r="H310" s="35"/>
      <c r="I310" s="35"/>
      <c r="J310" s="12"/>
      <c r="O310" s="12"/>
      <c r="P310" s="18"/>
      <c r="Q310" s="12"/>
      <c r="R310" s="12"/>
      <c r="S310" s="12"/>
      <c r="T310" s="36"/>
      <c r="U310" s="36"/>
      <c r="V310" s="12"/>
      <c r="W310" s="12"/>
      <c r="X310" s="12"/>
      <c r="Y310" s="12"/>
    </row>
    <row r="311" customFormat="false" ht="15.75" hidden="false" customHeight="false" outlineLevel="0" collapsed="false">
      <c r="A311" s="12"/>
      <c r="B311" s="34"/>
      <c r="C311" s="12"/>
      <c r="D311" s="12"/>
      <c r="E311" s="12"/>
      <c r="F311" s="12"/>
      <c r="G311" s="18"/>
      <c r="H311" s="35"/>
      <c r="I311" s="35"/>
      <c r="J311" s="12"/>
      <c r="O311" s="12"/>
      <c r="P311" s="18"/>
      <c r="Q311" s="12"/>
      <c r="R311" s="12"/>
      <c r="S311" s="12"/>
      <c r="T311" s="36"/>
      <c r="U311" s="36"/>
      <c r="V311" s="12"/>
      <c r="W311" s="12"/>
      <c r="X311" s="12"/>
      <c r="Y311" s="12"/>
    </row>
    <row r="312" customFormat="false" ht="15.75" hidden="false" customHeight="false" outlineLevel="0" collapsed="false">
      <c r="A312" s="12"/>
      <c r="B312" s="34"/>
      <c r="C312" s="12"/>
      <c r="D312" s="12"/>
      <c r="E312" s="12"/>
      <c r="F312" s="12"/>
      <c r="G312" s="18"/>
      <c r="H312" s="35"/>
      <c r="I312" s="35"/>
      <c r="J312" s="12"/>
      <c r="O312" s="12"/>
      <c r="P312" s="18"/>
      <c r="Q312" s="12"/>
      <c r="R312" s="12"/>
      <c r="S312" s="12"/>
      <c r="T312" s="36"/>
      <c r="U312" s="36"/>
      <c r="V312" s="12"/>
      <c r="W312" s="12"/>
      <c r="X312" s="12"/>
      <c r="Y312" s="12"/>
    </row>
    <row r="313" customFormat="false" ht="15.75" hidden="false" customHeight="false" outlineLevel="0" collapsed="false">
      <c r="A313" s="12"/>
      <c r="B313" s="34"/>
      <c r="C313" s="12"/>
      <c r="D313" s="12"/>
      <c r="E313" s="12"/>
      <c r="F313" s="12"/>
      <c r="G313" s="18"/>
      <c r="H313" s="35"/>
      <c r="I313" s="35"/>
      <c r="J313" s="12"/>
      <c r="O313" s="12"/>
      <c r="P313" s="18"/>
      <c r="Q313" s="12"/>
      <c r="R313" s="12"/>
      <c r="S313" s="12"/>
      <c r="T313" s="36"/>
      <c r="U313" s="36"/>
      <c r="V313" s="12"/>
      <c r="W313" s="12"/>
      <c r="X313" s="12"/>
      <c r="Y313" s="12"/>
    </row>
    <row r="314" customFormat="false" ht="15.75" hidden="false" customHeight="false" outlineLevel="0" collapsed="false">
      <c r="A314" s="12"/>
      <c r="B314" s="34"/>
      <c r="C314" s="12"/>
      <c r="D314" s="12"/>
      <c r="E314" s="12"/>
      <c r="F314" s="12"/>
      <c r="G314" s="18"/>
      <c r="H314" s="35"/>
      <c r="I314" s="35"/>
      <c r="J314" s="12"/>
      <c r="O314" s="12"/>
      <c r="P314" s="18"/>
      <c r="Q314" s="12"/>
      <c r="R314" s="12"/>
      <c r="S314" s="12"/>
      <c r="T314" s="36"/>
      <c r="U314" s="36"/>
      <c r="V314" s="12"/>
      <c r="W314" s="12"/>
      <c r="X314" s="12"/>
      <c r="Y314" s="12"/>
    </row>
    <row r="315" customFormat="false" ht="15.75" hidden="false" customHeight="false" outlineLevel="0" collapsed="false">
      <c r="A315" s="12"/>
      <c r="B315" s="34"/>
      <c r="C315" s="12"/>
      <c r="D315" s="12"/>
      <c r="E315" s="12"/>
      <c r="F315" s="12"/>
      <c r="G315" s="18"/>
      <c r="H315" s="35"/>
      <c r="I315" s="35"/>
      <c r="J315" s="12"/>
      <c r="O315" s="12"/>
      <c r="P315" s="18"/>
      <c r="Q315" s="12"/>
      <c r="R315" s="12"/>
      <c r="S315" s="12"/>
      <c r="T315" s="36"/>
      <c r="U315" s="36"/>
      <c r="V315" s="12"/>
      <c r="W315" s="12"/>
      <c r="X315" s="12"/>
      <c r="Y315" s="12"/>
    </row>
    <row r="316" customFormat="false" ht="15.75" hidden="false" customHeight="false" outlineLevel="0" collapsed="false">
      <c r="A316" s="12"/>
      <c r="B316" s="34"/>
      <c r="C316" s="12"/>
      <c r="D316" s="12"/>
      <c r="E316" s="12"/>
      <c r="F316" s="12"/>
      <c r="G316" s="18"/>
      <c r="H316" s="35"/>
      <c r="I316" s="35"/>
      <c r="J316" s="12"/>
      <c r="O316" s="12"/>
      <c r="P316" s="18"/>
      <c r="Q316" s="12"/>
      <c r="R316" s="12"/>
      <c r="S316" s="12"/>
      <c r="T316" s="36"/>
      <c r="U316" s="36"/>
      <c r="V316" s="12"/>
      <c r="W316" s="12"/>
      <c r="X316" s="12"/>
      <c r="Y316" s="12"/>
    </row>
    <row r="317" customFormat="false" ht="15.75" hidden="false" customHeight="false" outlineLevel="0" collapsed="false">
      <c r="A317" s="12"/>
      <c r="B317" s="34"/>
      <c r="C317" s="12"/>
      <c r="D317" s="12"/>
      <c r="E317" s="12"/>
      <c r="F317" s="12"/>
      <c r="G317" s="18"/>
      <c r="H317" s="35"/>
      <c r="I317" s="35"/>
      <c r="J317" s="12"/>
      <c r="O317" s="12"/>
      <c r="P317" s="18"/>
      <c r="Q317" s="12"/>
      <c r="R317" s="12"/>
      <c r="S317" s="12"/>
      <c r="T317" s="36"/>
      <c r="U317" s="36"/>
      <c r="V317" s="12"/>
      <c r="W317" s="12"/>
      <c r="X317" s="12"/>
      <c r="Y317" s="12"/>
    </row>
    <row r="318" customFormat="false" ht="15.75" hidden="false" customHeight="false" outlineLevel="0" collapsed="false">
      <c r="A318" s="12"/>
      <c r="B318" s="34"/>
      <c r="C318" s="12"/>
      <c r="D318" s="12"/>
      <c r="E318" s="12"/>
      <c r="F318" s="12"/>
      <c r="G318" s="18"/>
      <c r="H318" s="35"/>
      <c r="I318" s="35"/>
      <c r="J318" s="12"/>
      <c r="O318" s="12"/>
      <c r="P318" s="18"/>
      <c r="Q318" s="12"/>
      <c r="R318" s="12"/>
      <c r="S318" s="12"/>
      <c r="T318" s="36"/>
      <c r="U318" s="36"/>
      <c r="V318" s="12"/>
      <c r="W318" s="12"/>
      <c r="X318" s="12"/>
      <c r="Y318" s="12"/>
    </row>
    <row r="319" customFormat="false" ht="15.75" hidden="false" customHeight="false" outlineLevel="0" collapsed="false">
      <c r="A319" s="12"/>
      <c r="B319" s="34"/>
      <c r="C319" s="12"/>
      <c r="D319" s="12"/>
      <c r="E319" s="12"/>
      <c r="F319" s="12"/>
      <c r="G319" s="18"/>
      <c r="H319" s="35"/>
      <c r="I319" s="35"/>
      <c r="J319" s="12"/>
      <c r="O319" s="12"/>
      <c r="P319" s="18"/>
      <c r="Q319" s="12"/>
      <c r="R319" s="12"/>
      <c r="S319" s="12"/>
      <c r="T319" s="36"/>
      <c r="U319" s="36"/>
      <c r="V319" s="12"/>
      <c r="W319" s="12"/>
      <c r="X319" s="12"/>
      <c r="Y319" s="12"/>
    </row>
    <row r="320" customFormat="false" ht="15.75" hidden="false" customHeight="false" outlineLevel="0" collapsed="false">
      <c r="A320" s="12"/>
      <c r="B320" s="34"/>
      <c r="C320" s="12"/>
      <c r="D320" s="12"/>
      <c r="E320" s="12"/>
      <c r="F320" s="12"/>
      <c r="G320" s="18"/>
      <c r="H320" s="35"/>
      <c r="I320" s="35"/>
      <c r="J320" s="12"/>
      <c r="O320" s="12"/>
      <c r="P320" s="18"/>
      <c r="Q320" s="12"/>
      <c r="R320" s="12"/>
      <c r="S320" s="12"/>
      <c r="T320" s="36"/>
      <c r="U320" s="36"/>
      <c r="V320" s="12"/>
      <c r="W320" s="12"/>
      <c r="X320" s="12"/>
      <c r="Y320" s="12"/>
    </row>
    <row r="321" customFormat="false" ht="15.75" hidden="false" customHeight="false" outlineLevel="0" collapsed="false">
      <c r="A321" s="12"/>
      <c r="B321" s="34"/>
      <c r="C321" s="12"/>
      <c r="D321" s="12"/>
      <c r="E321" s="12"/>
      <c r="F321" s="12"/>
      <c r="G321" s="18"/>
      <c r="H321" s="35"/>
      <c r="I321" s="35"/>
      <c r="J321" s="12"/>
      <c r="O321" s="12"/>
      <c r="P321" s="18"/>
      <c r="Q321" s="12"/>
      <c r="R321" s="12"/>
      <c r="S321" s="12"/>
      <c r="T321" s="36"/>
      <c r="U321" s="36"/>
      <c r="V321" s="12"/>
      <c r="W321" s="12"/>
      <c r="X321" s="12"/>
      <c r="Y321" s="12"/>
    </row>
    <row r="322" customFormat="false" ht="15.75" hidden="false" customHeight="false" outlineLevel="0" collapsed="false">
      <c r="A322" s="12"/>
      <c r="B322" s="34"/>
      <c r="C322" s="12"/>
      <c r="D322" s="12"/>
      <c r="E322" s="12"/>
      <c r="F322" s="12"/>
      <c r="G322" s="18"/>
      <c r="H322" s="35"/>
      <c r="I322" s="35"/>
      <c r="J322" s="12"/>
      <c r="O322" s="12"/>
      <c r="P322" s="18"/>
      <c r="Q322" s="12"/>
      <c r="R322" s="12"/>
      <c r="S322" s="12"/>
      <c r="T322" s="36"/>
      <c r="U322" s="36"/>
      <c r="V322" s="12"/>
      <c r="W322" s="12"/>
      <c r="X322" s="12"/>
      <c r="Y322" s="12"/>
    </row>
    <row r="323" customFormat="false" ht="15.75" hidden="false" customHeight="false" outlineLevel="0" collapsed="false">
      <c r="A323" s="12"/>
      <c r="B323" s="34"/>
      <c r="C323" s="12"/>
      <c r="D323" s="12"/>
      <c r="E323" s="12"/>
      <c r="F323" s="12"/>
      <c r="G323" s="18"/>
      <c r="H323" s="35"/>
      <c r="I323" s="35"/>
      <c r="J323" s="12"/>
      <c r="O323" s="12"/>
      <c r="P323" s="18"/>
      <c r="Q323" s="12"/>
      <c r="R323" s="12"/>
      <c r="S323" s="12"/>
      <c r="T323" s="36"/>
      <c r="U323" s="36"/>
      <c r="V323" s="12"/>
      <c r="W323" s="12"/>
      <c r="X323" s="12"/>
      <c r="Y323" s="12"/>
    </row>
    <row r="324" customFormat="false" ht="15.75" hidden="false" customHeight="false" outlineLevel="0" collapsed="false">
      <c r="A324" s="12"/>
      <c r="B324" s="34"/>
      <c r="C324" s="12"/>
      <c r="D324" s="12"/>
      <c r="E324" s="12"/>
      <c r="F324" s="12"/>
      <c r="G324" s="18"/>
      <c r="H324" s="35"/>
      <c r="I324" s="35"/>
      <c r="J324" s="12"/>
      <c r="O324" s="12"/>
      <c r="P324" s="18"/>
      <c r="Q324" s="12"/>
      <c r="R324" s="12"/>
      <c r="S324" s="12"/>
      <c r="T324" s="36"/>
      <c r="U324" s="36"/>
      <c r="V324" s="12"/>
      <c r="W324" s="12"/>
      <c r="X324" s="12"/>
      <c r="Y324" s="12"/>
    </row>
    <row r="325" customFormat="false" ht="15.75" hidden="false" customHeight="false" outlineLevel="0" collapsed="false">
      <c r="A325" s="12"/>
      <c r="B325" s="34"/>
      <c r="C325" s="12"/>
      <c r="D325" s="12"/>
      <c r="E325" s="12"/>
      <c r="F325" s="12"/>
      <c r="G325" s="18"/>
      <c r="H325" s="35"/>
      <c r="I325" s="35"/>
      <c r="J325" s="12"/>
      <c r="O325" s="12"/>
      <c r="P325" s="18"/>
      <c r="Q325" s="12"/>
      <c r="R325" s="12"/>
      <c r="S325" s="12"/>
      <c r="T325" s="36"/>
      <c r="U325" s="36"/>
      <c r="V325" s="12"/>
      <c r="W325" s="12"/>
      <c r="X325" s="12"/>
      <c r="Y325" s="12"/>
    </row>
    <row r="326" customFormat="false" ht="15.75" hidden="false" customHeight="false" outlineLevel="0" collapsed="false">
      <c r="A326" s="12"/>
      <c r="B326" s="34"/>
      <c r="C326" s="12"/>
      <c r="D326" s="12"/>
      <c r="E326" s="12"/>
      <c r="F326" s="12"/>
      <c r="G326" s="18"/>
      <c r="H326" s="35"/>
      <c r="I326" s="35"/>
      <c r="J326" s="12"/>
      <c r="O326" s="12"/>
      <c r="P326" s="18"/>
      <c r="Q326" s="12"/>
      <c r="R326" s="12"/>
      <c r="S326" s="12"/>
      <c r="T326" s="36"/>
      <c r="U326" s="36"/>
      <c r="V326" s="12"/>
      <c r="W326" s="12"/>
      <c r="X326" s="12"/>
      <c r="Y326" s="12"/>
    </row>
    <row r="327" customFormat="false" ht="15.75" hidden="false" customHeight="false" outlineLevel="0" collapsed="false">
      <c r="A327" s="12"/>
      <c r="B327" s="34"/>
      <c r="C327" s="12"/>
      <c r="D327" s="12"/>
      <c r="E327" s="12"/>
      <c r="F327" s="12"/>
      <c r="G327" s="18"/>
      <c r="H327" s="35"/>
      <c r="I327" s="35"/>
      <c r="J327" s="12"/>
      <c r="O327" s="12"/>
      <c r="P327" s="18"/>
      <c r="Q327" s="12"/>
      <c r="R327" s="12"/>
      <c r="S327" s="12"/>
      <c r="T327" s="36"/>
      <c r="U327" s="36"/>
      <c r="V327" s="12"/>
      <c r="W327" s="12"/>
      <c r="X327" s="12"/>
      <c r="Y327" s="12"/>
    </row>
    <row r="328" customFormat="false" ht="15.75" hidden="false" customHeight="false" outlineLevel="0" collapsed="false">
      <c r="A328" s="12"/>
      <c r="B328" s="34"/>
      <c r="C328" s="12"/>
      <c r="D328" s="12"/>
      <c r="E328" s="12"/>
      <c r="F328" s="12"/>
      <c r="G328" s="18"/>
      <c r="H328" s="35"/>
      <c r="I328" s="35"/>
      <c r="J328" s="12"/>
      <c r="O328" s="12"/>
      <c r="P328" s="18"/>
      <c r="Q328" s="12"/>
      <c r="R328" s="12"/>
      <c r="S328" s="12"/>
      <c r="T328" s="36"/>
      <c r="U328" s="36"/>
      <c r="V328" s="12"/>
      <c r="W328" s="12"/>
      <c r="X328" s="12"/>
      <c r="Y328" s="12"/>
    </row>
    <row r="329" customFormat="false" ht="15.75" hidden="false" customHeight="false" outlineLevel="0" collapsed="false">
      <c r="A329" s="12"/>
      <c r="B329" s="34"/>
      <c r="C329" s="12"/>
      <c r="D329" s="12"/>
      <c r="E329" s="12"/>
      <c r="F329" s="12"/>
      <c r="G329" s="18"/>
      <c r="H329" s="35"/>
      <c r="I329" s="35"/>
      <c r="J329" s="12"/>
      <c r="O329" s="12"/>
      <c r="P329" s="18"/>
      <c r="Q329" s="12"/>
      <c r="R329" s="12"/>
      <c r="S329" s="12"/>
      <c r="T329" s="36"/>
      <c r="U329" s="36"/>
      <c r="V329" s="12"/>
      <c r="W329" s="12"/>
      <c r="X329" s="12"/>
      <c r="Y329" s="12"/>
    </row>
    <row r="330" customFormat="false" ht="15.75" hidden="false" customHeight="false" outlineLevel="0" collapsed="false">
      <c r="A330" s="12"/>
      <c r="B330" s="34"/>
      <c r="C330" s="12"/>
      <c r="D330" s="12"/>
      <c r="E330" s="12"/>
      <c r="F330" s="12"/>
      <c r="G330" s="18"/>
      <c r="H330" s="35"/>
      <c r="I330" s="35"/>
      <c r="J330" s="12"/>
      <c r="O330" s="12"/>
      <c r="P330" s="18"/>
      <c r="Q330" s="12"/>
      <c r="R330" s="12"/>
      <c r="S330" s="12"/>
      <c r="T330" s="36"/>
      <c r="U330" s="36"/>
      <c r="V330" s="12"/>
      <c r="W330" s="12"/>
      <c r="X330" s="12"/>
      <c r="Y330" s="12"/>
    </row>
    <row r="331" customFormat="false" ht="15.75" hidden="false" customHeight="false" outlineLevel="0" collapsed="false">
      <c r="A331" s="12"/>
      <c r="B331" s="34"/>
      <c r="C331" s="12"/>
      <c r="D331" s="12"/>
      <c r="E331" s="12"/>
      <c r="F331" s="12"/>
      <c r="G331" s="18"/>
      <c r="H331" s="35"/>
      <c r="I331" s="35"/>
      <c r="J331" s="12"/>
      <c r="O331" s="12"/>
      <c r="P331" s="18"/>
      <c r="Q331" s="12"/>
      <c r="R331" s="12"/>
      <c r="S331" s="12"/>
      <c r="T331" s="36"/>
      <c r="U331" s="36"/>
      <c r="V331" s="12"/>
      <c r="W331" s="12"/>
      <c r="X331" s="12"/>
      <c r="Y331" s="12"/>
    </row>
    <row r="332" customFormat="false" ht="15.75" hidden="false" customHeight="false" outlineLevel="0" collapsed="false">
      <c r="A332" s="12"/>
      <c r="B332" s="34"/>
      <c r="C332" s="12"/>
      <c r="D332" s="12"/>
      <c r="E332" s="12"/>
      <c r="F332" s="12"/>
      <c r="G332" s="18"/>
      <c r="H332" s="35"/>
      <c r="I332" s="35"/>
      <c r="J332" s="12"/>
      <c r="O332" s="12"/>
      <c r="P332" s="18"/>
      <c r="Q332" s="12"/>
      <c r="R332" s="12"/>
      <c r="S332" s="12"/>
      <c r="T332" s="36"/>
      <c r="U332" s="36"/>
      <c r="V332" s="12"/>
      <c r="W332" s="12"/>
      <c r="X332" s="12"/>
      <c r="Y332" s="12"/>
    </row>
    <row r="333" customFormat="false" ht="15.75" hidden="false" customHeight="false" outlineLevel="0" collapsed="false">
      <c r="A333" s="12"/>
      <c r="B333" s="34"/>
      <c r="C333" s="12"/>
      <c r="D333" s="12"/>
      <c r="E333" s="12"/>
      <c r="F333" s="12"/>
      <c r="G333" s="18"/>
      <c r="H333" s="35"/>
      <c r="I333" s="35"/>
      <c r="J333" s="12"/>
      <c r="O333" s="12"/>
      <c r="P333" s="18"/>
      <c r="Q333" s="12"/>
      <c r="R333" s="12"/>
      <c r="S333" s="12"/>
      <c r="T333" s="36"/>
      <c r="U333" s="36"/>
      <c r="V333" s="12"/>
      <c r="W333" s="12"/>
      <c r="X333" s="12"/>
      <c r="Y333" s="12"/>
    </row>
    <row r="334" customFormat="false" ht="15.75" hidden="false" customHeight="false" outlineLevel="0" collapsed="false">
      <c r="A334" s="12"/>
      <c r="B334" s="34"/>
      <c r="C334" s="12"/>
      <c r="D334" s="12"/>
      <c r="E334" s="12"/>
      <c r="F334" s="12"/>
      <c r="G334" s="18"/>
      <c r="H334" s="35"/>
      <c r="I334" s="35"/>
      <c r="J334" s="12"/>
      <c r="O334" s="12"/>
      <c r="P334" s="18"/>
      <c r="Q334" s="12"/>
      <c r="R334" s="12"/>
      <c r="S334" s="12"/>
      <c r="T334" s="36"/>
      <c r="U334" s="36"/>
      <c r="V334" s="12"/>
      <c r="W334" s="12"/>
      <c r="X334" s="12"/>
      <c r="Y334" s="12"/>
    </row>
    <row r="335" customFormat="false" ht="15.75" hidden="false" customHeight="false" outlineLevel="0" collapsed="false">
      <c r="A335" s="12"/>
      <c r="B335" s="34"/>
      <c r="C335" s="12"/>
      <c r="D335" s="12"/>
      <c r="E335" s="12"/>
      <c r="F335" s="12"/>
      <c r="G335" s="18"/>
      <c r="H335" s="35"/>
      <c r="I335" s="35"/>
      <c r="J335" s="12"/>
      <c r="O335" s="12"/>
      <c r="P335" s="18"/>
      <c r="Q335" s="12"/>
      <c r="R335" s="12"/>
      <c r="S335" s="12"/>
      <c r="T335" s="36"/>
      <c r="U335" s="36"/>
      <c r="V335" s="12"/>
      <c r="W335" s="12"/>
      <c r="X335" s="12"/>
      <c r="Y335" s="12"/>
    </row>
    <row r="336" customFormat="false" ht="15.75" hidden="false" customHeight="false" outlineLevel="0" collapsed="false">
      <c r="A336" s="12"/>
      <c r="B336" s="34"/>
      <c r="C336" s="12"/>
      <c r="D336" s="12"/>
      <c r="E336" s="12"/>
      <c r="F336" s="12"/>
      <c r="G336" s="18"/>
      <c r="H336" s="35"/>
      <c r="I336" s="35"/>
      <c r="J336" s="12"/>
      <c r="O336" s="12"/>
      <c r="P336" s="18"/>
      <c r="Q336" s="12"/>
      <c r="R336" s="12"/>
      <c r="S336" s="12"/>
      <c r="T336" s="36"/>
      <c r="U336" s="36"/>
      <c r="V336" s="12"/>
      <c r="W336" s="12"/>
      <c r="X336" s="12"/>
      <c r="Y336" s="12"/>
    </row>
    <row r="337" customFormat="false" ht="15.75" hidden="false" customHeight="false" outlineLevel="0" collapsed="false">
      <c r="A337" s="12"/>
      <c r="B337" s="34"/>
      <c r="C337" s="12"/>
      <c r="D337" s="12"/>
      <c r="E337" s="12"/>
      <c r="F337" s="12"/>
      <c r="G337" s="18"/>
      <c r="H337" s="35"/>
      <c r="I337" s="35"/>
      <c r="J337" s="12"/>
      <c r="O337" s="12"/>
      <c r="P337" s="18"/>
      <c r="Q337" s="12"/>
      <c r="R337" s="12"/>
      <c r="S337" s="12"/>
      <c r="T337" s="36"/>
      <c r="U337" s="36"/>
      <c r="V337" s="12"/>
      <c r="W337" s="12"/>
      <c r="X337" s="12"/>
      <c r="Y337" s="12"/>
    </row>
    <row r="338" customFormat="false" ht="15.75" hidden="false" customHeight="false" outlineLevel="0" collapsed="false">
      <c r="A338" s="12"/>
      <c r="B338" s="34"/>
      <c r="C338" s="12"/>
      <c r="D338" s="12"/>
      <c r="E338" s="12"/>
      <c r="F338" s="12"/>
      <c r="G338" s="18"/>
      <c r="H338" s="35"/>
      <c r="I338" s="35"/>
      <c r="J338" s="12"/>
      <c r="O338" s="12"/>
      <c r="P338" s="18"/>
      <c r="Q338" s="12"/>
      <c r="R338" s="12"/>
      <c r="S338" s="12"/>
      <c r="T338" s="36"/>
      <c r="U338" s="36"/>
      <c r="V338" s="12"/>
      <c r="W338" s="12"/>
      <c r="X338" s="12"/>
      <c r="Y338" s="12"/>
    </row>
    <row r="339" customFormat="false" ht="15.75" hidden="false" customHeight="false" outlineLevel="0" collapsed="false">
      <c r="A339" s="12"/>
      <c r="B339" s="34"/>
      <c r="C339" s="12"/>
      <c r="D339" s="12"/>
      <c r="E339" s="12"/>
      <c r="F339" s="12"/>
      <c r="G339" s="18"/>
      <c r="H339" s="35"/>
      <c r="I339" s="35"/>
      <c r="J339" s="12"/>
      <c r="O339" s="12"/>
      <c r="P339" s="18"/>
      <c r="Q339" s="12"/>
      <c r="R339" s="12"/>
      <c r="S339" s="12"/>
      <c r="T339" s="36"/>
      <c r="U339" s="36"/>
      <c r="V339" s="12"/>
      <c r="W339" s="12"/>
      <c r="X339" s="12"/>
      <c r="Y339" s="12"/>
    </row>
    <row r="340" customFormat="false" ht="15.75" hidden="false" customHeight="false" outlineLevel="0" collapsed="false">
      <c r="A340" s="12"/>
      <c r="B340" s="34"/>
      <c r="C340" s="12"/>
      <c r="D340" s="12"/>
      <c r="E340" s="12"/>
      <c r="F340" s="12"/>
      <c r="G340" s="18"/>
      <c r="H340" s="35"/>
      <c r="I340" s="35"/>
      <c r="J340" s="12"/>
      <c r="O340" s="12"/>
      <c r="P340" s="18"/>
      <c r="Q340" s="12"/>
      <c r="R340" s="12"/>
      <c r="S340" s="12"/>
      <c r="T340" s="36"/>
      <c r="U340" s="36"/>
      <c r="V340" s="12"/>
      <c r="W340" s="12"/>
      <c r="X340" s="12"/>
      <c r="Y340" s="12"/>
    </row>
    <row r="341" customFormat="false" ht="15.75" hidden="false" customHeight="false" outlineLevel="0" collapsed="false">
      <c r="A341" s="12"/>
      <c r="B341" s="34"/>
      <c r="C341" s="12"/>
      <c r="D341" s="12"/>
      <c r="E341" s="12"/>
      <c r="F341" s="12"/>
      <c r="G341" s="18"/>
      <c r="H341" s="35"/>
      <c r="I341" s="35"/>
      <c r="J341" s="12"/>
      <c r="O341" s="12"/>
      <c r="P341" s="18"/>
      <c r="Q341" s="12"/>
      <c r="R341" s="12"/>
      <c r="S341" s="12"/>
      <c r="T341" s="36"/>
      <c r="U341" s="36"/>
      <c r="V341" s="12"/>
      <c r="W341" s="12"/>
      <c r="X341" s="12"/>
      <c r="Y341" s="12"/>
    </row>
    <row r="342" customFormat="false" ht="15.75" hidden="false" customHeight="false" outlineLevel="0" collapsed="false">
      <c r="A342" s="12"/>
      <c r="B342" s="34"/>
      <c r="C342" s="12"/>
      <c r="D342" s="12"/>
      <c r="E342" s="12"/>
      <c r="F342" s="12"/>
      <c r="G342" s="18"/>
      <c r="H342" s="35"/>
      <c r="I342" s="35"/>
      <c r="J342" s="12"/>
      <c r="O342" s="12"/>
      <c r="P342" s="18"/>
      <c r="Q342" s="12"/>
      <c r="R342" s="12"/>
      <c r="S342" s="12"/>
      <c r="T342" s="36"/>
      <c r="U342" s="36"/>
      <c r="V342" s="12"/>
      <c r="W342" s="12"/>
      <c r="X342" s="12"/>
      <c r="Y342" s="12"/>
    </row>
    <row r="343" customFormat="false" ht="15.75" hidden="false" customHeight="false" outlineLevel="0" collapsed="false">
      <c r="A343" s="12"/>
      <c r="B343" s="34"/>
      <c r="C343" s="12"/>
      <c r="D343" s="12"/>
      <c r="E343" s="12"/>
      <c r="F343" s="12"/>
      <c r="G343" s="18"/>
      <c r="H343" s="35"/>
      <c r="I343" s="35"/>
      <c r="J343" s="12"/>
      <c r="O343" s="12"/>
      <c r="P343" s="18"/>
      <c r="Q343" s="12"/>
      <c r="R343" s="12"/>
      <c r="S343" s="12"/>
      <c r="T343" s="36"/>
      <c r="U343" s="36"/>
      <c r="V343" s="12"/>
      <c r="W343" s="12"/>
      <c r="X343" s="12"/>
      <c r="Y343" s="12"/>
    </row>
    <row r="344" customFormat="false" ht="15.75" hidden="false" customHeight="false" outlineLevel="0" collapsed="false">
      <c r="A344" s="12"/>
      <c r="B344" s="34"/>
      <c r="C344" s="12"/>
      <c r="D344" s="12"/>
      <c r="E344" s="12"/>
      <c r="F344" s="12"/>
      <c r="G344" s="18"/>
      <c r="H344" s="35"/>
      <c r="I344" s="35"/>
      <c r="J344" s="12"/>
      <c r="O344" s="12"/>
      <c r="P344" s="18"/>
      <c r="Q344" s="12"/>
      <c r="R344" s="12"/>
      <c r="S344" s="12"/>
      <c r="T344" s="36"/>
      <c r="U344" s="36"/>
      <c r="V344" s="12"/>
      <c r="W344" s="12"/>
      <c r="X344" s="12"/>
      <c r="Y344" s="12"/>
    </row>
    <row r="345" customFormat="false" ht="15.75" hidden="false" customHeight="false" outlineLevel="0" collapsed="false">
      <c r="A345" s="12"/>
      <c r="B345" s="34"/>
      <c r="C345" s="12"/>
      <c r="D345" s="12"/>
      <c r="E345" s="12"/>
      <c r="F345" s="12"/>
      <c r="G345" s="18"/>
      <c r="H345" s="35"/>
      <c r="I345" s="35"/>
      <c r="J345" s="12"/>
      <c r="O345" s="12"/>
      <c r="P345" s="18"/>
      <c r="Q345" s="12"/>
      <c r="R345" s="12"/>
      <c r="S345" s="12"/>
      <c r="T345" s="36"/>
      <c r="U345" s="36"/>
      <c r="V345" s="12"/>
      <c r="W345" s="12"/>
      <c r="X345" s="12"/>
      <c r="Y345" s="12"/>
    </row>
    <row r="346" customFormat="false" ht="15.75" hidden="false" customHeight="false" outlineLevel="0" collapsed="false">
      <c r="A346" s="12"/>
      <c r="B346" s="34"/>
      <c r="C346" s="12"/>
      <c r="D346" s="12"/>
      <c r="E346" s="12"/>
      <c r="F346" s="12"/>
      <c r="G346" s="18"/>
      <c r="H346" s="35"/>
      <c r="I346" s="35"/>
      <c r="J346" s="12"/>
      <c r="O346" s="12"/>
      <c r="P346" s="18"/>
      <c r="Q346" s="12"/>
      <c r="R346" s="12"/>
      <c r="S346" s="12"/>
      <c r="T346" s="36"/>
      <c r="U346" s="36"/>
      <c r="V346" s="12"/>
      <c r="W346" s="12"/>
      <c r="X346" s="12"/>
      <c r="Y346" s="12"/>
    </row>
    <row r="347" customFormat="false" ht="15.75" hidden="false" customHeight="false" outlineLevel="0" collapsed="false">
      <c r="A347" s="12"/>
      <c r="B347" s="34"/>
      <c r="C347" s="12"/>
      <c r="D347" s="12"/>
      <c r="E347" s="12"/>
      <c r="F347" s="12"/>
      <c r="G347" s="18"/>
      <c r="H347" s="35"/>
      <c r="I347" s="35"/>
      <c r="J347" s="12"/>
      <c r="O347" s="12"/>
      <c r="P347" s="18"/>
      <c r="Q347" s="12"/>
      <c r="R347" s="12"/>
      <c r="S347" s="12"/>
      <c r="T347" s="36"/>
      <c r="U347" s="36"/>
      <c r="V347" s="12"/>
      <c r="W347" s="12"/>
      <c r="X347" s="12"/>
      <c r="Y347" s="12"/>
    </row>
    <row r="348" customFormat="false" ht="15.75" hidden="false" customHeight="false" outlineLevel="0" collapsed="false">
      <c r="A348" s="12"/>
      <c r="B348" s="34"/>
      <c r="C348" s="12"/>
      <c r="D348" s="12"/>
      <c r="E348" s="12"/>
      <c r="F348" s="12"/>
      <c r="G348" s="18"/>
      <c r="H348" s="35"/>
      <c r="I348" s="35"/>
      <c r="J348" s="12"/>
      <c r="O348" s="12"/>
      <c r="P348" s="18"/>
      <c r="Q348" s="12"/>
      <c r="R348" s="12"/>
      <c r="S348" s="12"/>
      <c r="T348" s="36"/>
      <c r="U348" s="36"/>
      <c r="V348" s="12"/>
      <c r="W348" s="12"/>
      <c r="X348" s="12"/>
      <c r="Y348" s="12"/>
    </row>
    <row r="349" customFormat="false" ht="15.75" hidden="false" customHeight="false" outlineLevel="0" collapsed="false">
      <c r="A349" s="12"/>
      <c r="B349" s="34"/>
      <c r="C349" s="12"/>
      <c r="D349" s="12"/>
      <c r="E349" s="12"/>
      <c r="F349" s="12"/>
      <c r="G349" s="18"/>
      <c r="H349" s="35"/>
      <c r="I349" s="35"/>
      <c r="J349" s="12"/>
      <c r="O349" s="12"/>
      <c r="P349" s="18"/>
      <c r="Q349" s="12"/>
      <c r="R349" s="12"/>
      <c r="S349" s="12"/>
      <c r="T349" s="36"/>
      <c r="U349" s="36"/>
      <c r="V349" s="12"/>
      <c r="W349" s="12"/>
      <c r="X349" s="12"/>
      <c r="Y349" s="12"/>
    </row>
    <row r="350" customFormat="false" ht="15.75" hidden="false" customHeight="false" outlineLevel="0" collapsed="false">
      <c r="A350" s="12"/>
      <c r="B350" s="34"/>
      <c r="C350" s="12"/>
      <c r="D350" s="12"/>
      <c r="E350" s="12"/>
      <c r="F350" s="12"/>
      <c r="G350" s="18"/>
      <c r="H350" s="35"/>
      <c r="I350" s="35"/>
      <c r="J350" s="12"/>
      <c r="O350" s="12"/>
      <c r="P350" s="18"/>
      <c r="Q350" s="12"/>
      <c r="R350" s="12"/>
      <c r="S350" s="12"/>
      <c r="T350" s="36"/>
      <c r="U350" s="36"/>
      <c r="V350" s="12"/>
      <c r="W350" s="12"/>
      <c r="X350" s="12"/>
      <c r="Y350" s="12"/>
    </row>
    <row r="351" customFormat="false" ht="15.75" hidden="false" customHeight="false" outlineLevel="0" collapsed="false">
      <c r="A351" s="12"/>
      <c r="B351" s="34"/>
      <c r="C351" s="12"/>
      <c r="D351" s="12"/>
      <c r="E351" s="12"/>
      <c r="F351" s="12"/>
      <c r="G351" s="18"/>
      <c r="H351" s="35"/>
      <c r="I351" s="35"/>
      <c r="J351" s="12"/>
      <c r="O351" s="12"/>
      <c r="P351" s="18"/>
      <c r="Q351" s="12"/>
      <c r="R351" s="12"/>
      <c r="S351" s="12"/>
      <c r="T351" s="36"/>
      <c r="U351" s="36"/>
      <c r="V351" s="12"/>
      <c r="W351" s="12"/>
      <c r="X351" s="12"/>
      <c r="Y351" s="12"/>
    </row>
    <row r="352" customFormat="false" ht="15.75" hidden="false" customHeight="false" outlineLevel="0" collapsed="false">
      <c r="A352" s="12"/>
      <c r="B352" s="34"/>
      <c r="C352" s="12"/>
      <c r="D352" s="12"/>
      <c r="E352" s="12"/>
      <c r="F352" s="12"/>
      <c r="G352" s="18"/>
      <c r="H352" s="35"/>
      <c r="I352" s="35"/>
      <c r="J352" s="12"/>
      <c r="O352" s="12"/>
      <c r="P352" s="18"/>
      <c r="Q352" s="12"/>
      <c r="R352" s="12"/>
      <c r="S352" s="12"/>
      <c r="T352" s="36"/>
      <c r="U352" s="36"/>
      <c r="V352" s="12"/>
      <c r="W352" s="12"/>
      <c r="X352" s="12"/>
      <c r="Y352" s="12"/>
    </row>
    <row r="353" customFormat="false" ht="15.75" hidden="false" customHeight="false" outlineLevel="0" collapsed="false">
      <c r="A353" s="12"/>
      <c r="B353" s="34"/>
      <c r="C353" s="12"/>
      <c r="D353" s="12"/>
      <c r="E353" s="12"/>
      <c r="F353" s="12"/>
      <c r="G353" s="18"/>
      <c r="H353" s="35"/>
      <c r="I353" s="35"/>
      <c r="J353" s="12"/>
      <c r="O353" s="12"/>
      <c r="P353" s="18"/>
      <c r="Q353" s="12"/>
      <c r="R353" s="12"/>
      <c r="S353" s="12"/>
      <c r="T353" s="36"/>
      <c r="U353" s="36"/>
      <c r="V353" s="12"/>
      <c r="W353" s="12"/>
      <c r="X353" s="12"/>
      <c r="Y353" s="12"/>
    </row>
    <row r="354" customFormat="false" ht="15.75" hidden="false" customHeight="false" outlineLevel="0" collapsed="false">
      <c r="A354" s="12"/>
      <c r="B354" s="34"/>
      <c r="C354" s="12"/>
      <c r="D354" s="12"/>
      <c r="E354" s="12"/>
      <c r="F354" s="12"/>
      <c r="G354" s="18"/>
      <c r="H354" s="35"/>
      <c r="I354" s="35"/>
      <c r="J354" s="12"/>
      <c r="O354" s="12"/>
      <c r="P354" s="18"/>
      <c r="Q354" s="12"/>
      <c r="R354" s="12"/>
      <c r="S354" s="12"/>
      <c r="T354" s="36"/>
      <c r="U354" s="36"/>
      <c r="V354" s="12"/>
      <c r="W354" s="12"/>
      <c r="X354" s="12"/>
      <c r="Y354" s="12"/>
    </row>
    <row r="355" customFormat="false" ht="15.75" hidden="false" customHeight="false" outlineLevel="0" collapsed="false">
      <c r="A355" s="12"/>
      <c r="B355" s="34"/>
      <c r="C355" s="12"/>
      <c r="D355" s="12"/>
      <c r="E355" s="12"/>
      <c r="F355" s="12"/>
      <c r="G355" s="18"/>
      <c r="H355" s="35"/>
      <c r="I355" s="35"/>
      <c r="J355" s="12"/>
      <c r="O355" s="12"/>
      <c r="P355" s="18"/>
      <c r="Q355" s="12"/>
      <c r="R355" s="12"/>
      <c r="S355" s="12"/>
      <c r="T355" s="36"/>
      <c r="U355" s="36"/>
      <c r="V355" s="12"/>
      <c r="W355" s="12"/>
      <c r="X355" s="12"/>
      <c r="Y355" s="12"/>
    </row>
    <row r="356" customFormat="false" ht="15.75" hidden="false" customHeight="false" outlineLevel="0" collapsed="false">
      <c r="A356" s="12"/>
      <c r="B356" s="34"/>
      <c r="C356" s="12"/>
      <c r="D356" s="12"/>
      <c r="E356" s="12"/>
      <c r="F356" s="12"/>
      <c r="G356" s="18"/>
      <c r="H356" s="35"/>
      <c r="I356" s="35"/>
      <c r="J356" s="12"/>
      <c r="O356" s="12"/>
      <c r="P356" s="18"/>
      <c r="Q356" s="12"/>
      <c r="R356" s="12"/>
      <c r="S356" s="12"/>
      <c r="T356" s="36"/>
      <c r="U356" s="36"/>
      <c r="V356" s="12"/>
      <c r="W356" s="12"/>
      <c r="X356" s="12"/>
      <c r="Y356" s="12"/>
    </row>
    <row r="357" customFormat="false" ht="15.75" hidden="false" customHeight="false" outlineLevel="0" collapsed="false">
      <c r="A357" s="12"/>
      <c r="B357" s="34"/>
      <c r="C357" s="12"/>
      <c r="D357" s="12"/>
      <c r="E357" s="12"/>
      <c r="F357" s="12"/>
      <c r="G357" s="18"/>
      <c r="H357" s="35"/>
      <c r="I357" s="35"/>
      <c r="J357" s="12"/>
      <c r="O357" s="12"/>
      <c r="P357" s="18"/>
      <c r="Q357" s="12"/>
      <c r="R357" s="12"/>
      <c r="S357" s="12"/>
      <c r="T357" s="36"/>
      <c r="U357" s="36"/>
      <c r="V357" s="12"/>
      <c r="W357" s="12"/>
      <c r="X357" s="12"/>
      <c r="Y357" s="12"/>
    </row>
    <row r="358" customFormat="false" ht="15.75" hidden="false" customHeight="false" outlineLevel="0" collapsed="false">
      <c r="A358" s="12"/>
      <c r="B358" s="34"/>
      <c r="C358" s="12"/>
      <c r="D358" s="12"/>
      <c r="E358" s="12"/>
      <c r="F358" s="12"/>
      <c r="G358" s="18"/>
      <c r="H358" s="35"/>
      <c r="I358" s="35"/>
      <c r="J358" s="12"/>
      <c r="O358" s="12"/>
      <c r="P358" s="18"/>
      <c r="Q358" s="12"/>
      <c r="R358" s="12"/>
      <c r="S358" s="12"/>
      <c r="T358" s="36"/>
      <c r="U358" s="36"/>
      <c r="V358" s="12"/>
      <c r="W358" s="12"/>
      <c r="X358" s="12"/>
      <c r="Y358" s="12"/>
    </row>
    <row r="359" customFormat="false" ht="15.75" hidden="false" customHeight="false" outlineLevel="0" collapsed="false">
      <c r="A359" s="12"/>
      <c r="B359" s="34"/>
      <c r="C359" s="12"/>
      <c r="D359" s="12"/>
      <c r="E359" s="12"/>
      <c r="F359" s="12"/>
      <c r="G359" s="18"/>
      <c r="H359" s="35"/>
      <c r="I359" s="35"/>
      <c r="J359" s="12"/>
      <c r="O359" s="12"/>
      <c r="P359" s="18"/>
      <c r="Q359" s="12"/>
      <c r="R359" s="12"/>
      <c r="S359" s="12"/>
      <c r="T359" s="36"/>
      <c r="U359" s="36"/>
      <c r="V359" s="12"/>
      <c r="W359" s="12"/>
      <c r="X359" s="12"/>
      <c r="Y359" s="12"/>
    </row>
    <row r="360" customFormat="false" ht="15.75" hidden="false" customHeight="false" outlineLevel="0" collapsed="false">
      <c r="A360" s="12"/>
      <c r="B360" s="34"/>
      <c r="C360" s="12"/>
      <c r="D360" s="12"/>
      <c r="E360" s="12"/>
      <c r="F360" s="12"/>
      <c r="G360" s="18"/>
      <c r="H360" s="35"/>
      <c r="I360" s="35"/>
      <c r="J360" s="12"/>
      <c r="O360" s="12"/>
      <c r="P360" s="18"/>
      <c r="Q360" s="12"/>
      <c r="R360" s="12"/>
      <c r="S360" s="12"/>
      <c r="T360" s="36"/>
      <c r="U360" s="36"/>
      <c r="V360" s="12"/>
      <c r="W360" s="12"/>
      <c r="X360" s="12"/>
      <c r="Y360" s="12"/>
    </row>
    <row r="361" customFormat="false" ht="15.75" hidden="false" customHeight="false" outlineLevel="0" collapsed="false">
      <c r="A361" s="12"/>
      <c r="B361" s="34"/>
      <c r="C361" s="12"/>
      <c r="D361" s="12"/>
      <c r="E361" s="12"/>
      <c r="F361" s="12"/>
      <c r="G361" s="18"/>
      <c r="H361" s="35"/>
      <c r="I361" s="35"/>
      <c r="J361" s="12"/>
      <c r="O361" s="12"/>
      <c r="P361" s="18"/>
      <c r="Q361" s="12"/>
      <c r="R361" s="12"/>
      <c r="S361" s="12"/>
      <c r="T361" s="36"/>
      <c r="U361" s="36"/>
      <c r="V361" s="12"/>
      <c r="W361" s="12"/>
      <c r="X361" s="12"/>
      <c r="Y361" s="12"/>
    </row>
    <row r="362" customFormat="false" ht="15.75" hidden="false" customHeight="false" outlineLevel="0" collapsed="false">
      <c r="A362" s="12"/>
      <c r="B362" s="34"/>
      <c r="C362" s="12"/>
      <c r="D362" s="12"/>
      <c r="E362" s="12"/>
      <c r="F362" s="12"/>
      <c r="G362" s="18"/>
      <c r="H362" s="35"/>
      <c r="I362" s="35"/>
      <c r="J362" s="12"/>
      <c r="O362" s="12"/>
      <c r="P362" s="18"/>
      <c r="Q362" s="12"/>
      <c r="R362" s="12"/>
      <c r="S362" s="12"/>
      <c r="T362" s="36"/>
      <c r="U362" s="36"/>
      <c r="V362" s="12"/>
      <c r="W362" s="12"/>
      <c r="X362" s="12"/>
      <c r="Y362" s="12"/>
    </row>
    <row r="363" customFormat="false" ht="15.75" hidden="false" customHeight="false" outlineLevel="0" collapsed="false">
      <c r="A363" s="12"/>
      <c r="B363" s="34"/>
      <c r="C363" s="12"/>
      <c r="D363" s="12"/>
      <c r="E363" s="12"/>
      <c r="F363" s="12"/>
      <c r="G363" s="18"/>
      <c r="H363" s="35"/>
      <c r="I363" s="35"/>
      <c r="J363" s="12"/>
      <c r="O363" s="12"/>
      <c r="P363" s="18"/>
      <c r="Q363" s="12"/>
      <c r="R363" s="12"/>
      <c r="S363" s="12"/>
      <c r="T363" s="36"/>
      <c r="U363" s="36"/>
      <c r="V363" s="12"/>
      <c r="W363" s="12"/>
      <c r="X363" s="12"/>
      <c r="Y363" s="12"/>
    </row>
    <row r="364" customFormat="false" ht="15.75" hidden="false" customHeight="false" outlineLevel="0" collapsed="false">
      <c r="A364" s="12"/>
      <c r="B364" s="34"/>
      <c r="C364" s="12"/>
      <c r="D364" s="12"/>
      <c r="E364" s="12"/>
      <c r="F364" s="12"/>
      <c r="G364" s="18"/>
      <c r="H364" s="35"/>
      <c r="I364" s="35"/>
      <c r="J364" s="12"/>
      <c r="O364" s="12"/>
      <c r="P364" s="18"/>
      <c r="Q364" s="12"/>
      <c r="R364" s="12"/>
      <c r="S364" s="12"/>
      <c r="T364" s="36"/>
      <c r="U364" s="36"/>
      <c r="V364" s="12"/>
      <c r="W364" s="12"/>
      <c r="X364" s="12"/>
      <c r="Y364" s="12"/>
    </row>
    <row r="365" customFormat="false" ht="15.75" hidden="false" customHeight="false" outlineLevel="0" collapsed="false">
      <c r="A365" s="12"/>
      <c r="B365" s="34"/>
      <c r="C365" s="12"/>
      <c r="D365" s="12"/>
      <c r="E365" s="12"/>
      <c r="F365" s="12"/>
      <c r="G365" s="18"/>
      <c r="H365" s="35"/>
      <c r="I365" s="35"/>
      <c r="J365" s="12"/>
      <c r="O365" s="12"/>
      <c r="P365" s="18"/>
      <c r="Q365" s="12"/>
      <c r="R365" s="12"/>
      <c r="S365" s="12"/>
      <c r="T365" s="36"/>
      <c r="U365" s="36"/>
      <c r="V365" s="12"/>
      <c r="W365" s="12"/>
      <c r="X365" s="12"/>
      <c r="Y365" s="12"/>
    </row>
    <row r="366" customFormat="false" ht="15.75" hidden="false" customHeight="false" outlineLevel="0" collapsed="false">
      <c r="A366" s="12"/>
      <c r="B366" s="34"/>
      <c r="C366" s="12"/>
      <c r="D366" s="12"/>
      <c r="E366" s="12"/>
      <c r="F366" s="12"/>
      <c r="G366" s="18"/>
      <c r="H366" s="35"/>
      <c r="I366" s="35"/>
      <c r="J366" s="12"/>
      <c r="O366" s="12"/>
      <c r="P366" s="18"/>
      <c r="Q366" s="12"/>
      <c r="R366" s="12"/>
      <c r="S366" s="12"/>
      <c r="T366" s="36"/>
      <c r="U366" s="36"/>
      <c r="V366" s="12"/>
      <c r="W366" s="12"/>
      <c r="X366" s="12"/>
      <c r="Y366" s="12"/>
    </row>
    <row r="367" customFormat="false" ht="15.75" hidden="false" customHeight="false" outlineLevel="0" collapsed="false">
      <c r="A367" s="12"/>
      <c r="B367" s="34"/>
      <c r="C367" s="12"/>
      <c r="D367" s="12"/>
      <c r="E367" s="12"/>
      <c r="F367" s="12"/>
      <c r="G367" s="18"/>
      <c r="H367" s="35"/>
      <c r="I367" s="35"/>
      <c r="J367" s="12"/>
      <c r="O367" s="12"/>
      <c r="P367" s="18"/>
      <c r="Q367" s="12"/>
      <c r="R367" s="12"/>
      <c r="S367" s="12"/>
      <c r="T367" s="36"/>
      <c r="U367" s="36"/>
      <c r="V367" s="12"/>
      <c r="W367" s="12"/>
      <c r="X367" s="12"/>
      <c r="Y367" s="12"/>
    </row>
    <row r="368" customFormat="false" ht="15.75" hidden="false" customHeight="false" outlineLevel="0" collapsed="false">
      <c r="A368" s="12"/>
      <c r="B368" s="34"/>
      <c r="C368" s="12"/>
      <c r="D368" s="12"/>
      <c r="E368" s="12"/>
      <c r="F368" s="12"/>
      <c r="G368" s="18"/>
      <c r="H368" s="35"/>
      <c r="I368" s="35"/>
      <c r="J368" s="12"/>
      <c r="O368" s="12"/>
      <c r="P368" s="18"/>
      <c r="Q368" s="12"/>
      <c r="R368" s="12"/>
      <c r="S368" s="12"/>
      <c r="T368" s="36"/>
      <c r="U368" s="36"/>
      <c r="V368" s="12"/>
      <c r="W368" s="12"/>
      <c r="X368" s="12"/>
      <c r="Y368" s="12"/>
    </row>
    <row r="369" customFormat="false" ht="15.75" hidden="false" customHeight="false" outlineLevel="0" collapsed="false">
      <c r="A369" s="12"/>
      <c r="B369" s="34"/>
      <c r="C369" s="12"/>
      <c r="D369" s="12"/>
      <c r="E369" s="12"/>
      <c r="F369" s="12"/>
      <c r="G369" s="18"/>
      <c r="H369" s="35"/>
      <c r="I369" s="35"/>
      <c r="J369" s="12"/>
      <c r="O369" s="12"/>
      <c r="P369" s="18"/>
      <c r="Q369" s="12"/>
      <c r="R369" s="12"/>
      <c r="S369" s="12"/>
      <c r="T369" s="36"/>
      <c r="U369" s="36"/>
      <c r="V369" s="12"/>
      <c r="W369" s="12"/>
      <c r="X369" s="12"/>
      <c r="Y369" s="12"/>
    </row>
    <row r="370" customFormat="false" ht="15.75" hidden="false" customHeight="false" outlineLevel="0" collapsed="false">
      <c r="A370" s="12"/>
      <c r="B370" s="34"/>
      <c r="C370" s="12"/>
      <c r="D370" s="12"/>
      <c r="E370" s="12"/>
      <c r="F370" s="12"/>
      <c r="G370" s="18"/>
      <c r="H370" s="35"/>
      <c r="I370" s="35"/>
      <c r="J370" s="12"/>
      <c r="O370" s="12"/>
      <c r="P370" s="18"/>
      <c r="Q370" s="12"/>
      <c r="R370" s="12"/>
      <c r="S370" s="12"/>
      <c r="T370" s="36"/>
      <c r="U370" s="36"/>
      <c r="V370" s="12"/>
      <c r="W370" s="12"/>
      <c r="X370" s="12"/>
      <c r="Y370" s="12"/>
    </row>
    <row r="371" customFormat="false" ht="15.75" hidden="false" customHeight="false" outlineLevel="0" collapsed="false">
      <c r="A371" s="12"/>
      <c r="B371" s="34"/>
      <c r="C371" s="12"/>
      <c r="D371" s="12"/>
      <c r="E371" s="12"/>
      <c r="F371" s="12"/>
      <c r="G371" s="18"/>
      <c r="H371" s="35"/>
      <c r="I371" s="35"/>
      <c r="J371" s="12"/>
      <c r="O371" s="12"/>
      <c r="P371" s="18"/>
      <c r="Q371" s="12"/>
      <c r="R371" s="12"/>
      <c r="S371" s="12"/>
      <c r="T371" s="36"/>
      <c r="U371" s="36"/>
      <c r="V371" s="12"/>
      <c r="W371" s="12"/>
      <c r="X371" s="12"/>
      <c r="Y371" s="12"/>
    </row>
    <row r="372" customFormat="false" ht="15.75" hidden="false" customHeight="false" outlineLevel="0" collapsed="false">
      <c r="A372" s="12"/>
      <c r="B372" s="34"/>
      <c r="C372" s="12"/>
      <c r="D372" s="12"/>
      <c r="E372" s="12"/>
      <c r="F372" s="12"/>
      <c r="G372" s="18"/>
      <c r="H372" s="35"/>
      <c r="I372" s="35"/>
      <c r="J372" s="12"/>
      <c r="O372" s="12"/>
      <c r="P372" s="18"/>
      <c r="Q372" s="12"/>
      <c r="R372" s="12"/>
      <c r="S372" s="12"/>
      <c r="T372" s="36"/>
      <c r="U372" s="36"/>
      <c r="V372" s="12"/>
      <c r="W372" s="12"/>
      <c r="X372" s="12"/>
      <c r="Y372" s="12"/>
    </row>
    <row r="373" customFormat="false" ht="15.75" hidden="false" customHeight="false" outlineLevel="0" collapsed="false">
      <c r="A373" s="12"/>
      <c r="B373" s="34"/>
      <c r="C373" s="12"/>
      <c r="D373" s="12"/>
      <c r="E373" s="12"/>
      <c r="F373" s="12"/>
      <c r="G373" s="18"/>
      <c r="H373" s="35"/>
      <c r="I373" s="35"/>
      <c r="J373" s="12"/>
      <c r="O373" s="12"/>
      <c r="P373" s="18"/>
      <c r="Q373" s="12"/>
      <c r="R373" s="12"/>
      <c r="S373" s="12"/>
      <c r="T373" s="36"/>
      <c r="U373" s="36"/>
      <c r="V373" s="12"/>
      <c r="W373" s="12"/>
      <c r="X373" s="12"/>
      <c r="Y373" s="12"/>
    </row>
    <row r="374" customFormat="false" ht="15.75" hidden="false" customHeight="false" outlineLevel="0" collapsed="false">
      <c r="A374" s="12"/>
      <c r="B374" s="34"/>
      <c r="C374" s="12"/>
      <c r="D374" s="12"/>
      <c r="E374" s="12"/>
      <c r="F374" s="12"/>
      <c r="G374" s="18"/>
      <c r="H374" s="35"/>
      <c r="I374" s="35"/>
      <c r="J374" s="12"/>
      <c r="O374" s="12"/>
      <c r="P374" s="18"/>
      <c r="Q374" s="12"/>
      <c r="R374" s="12"/>
      <c r="S374" s="12"/>
      <c r="T374" s="36"/>
      <c r="U374" s="36"/>
      <c r="V374" s="12"/>
      <c r="W374" s="12"/>
      <c r="X374" s="12"/>
      <c r="Y374" s="12"/>
    </row>
    <row r="375" customFormat="false" ht="15.75" hidden="false" customHeight="false" outlineLevel="0" collapsed="false">
      <c r="A375" s="12"/>
      <c r="B375" s="34"/>
      <c r="C375" s="12"/>
      <c r="D375" s="12"/>
      <c r="E375" s="12"/>
      <c r="F375" s="12"/>
      <c r="G375" s="18"/>
      <c r="H375" s="35"/>
      <c r="I375" s="35"/>
      <c r="J375" s="12"/>
      <c r="O375" s="12"/>
      <c r="P375" s="18"/>
      <c r="Q375" s="12"/>
      <c r="R375" s="12"/>
      <c r="S375" s="12"/>
      <c r="T375" s="36"/>
      <c r="U375" s="36"/>
      <c r="V375" s="12"/>
      <c r="W375" s="12"/>
      <c r="X375" s="12"/>
      <c r="Y375" s="12"/>
    </row>
    <row r="376" customFormat="false" ht="15.75" hidden="false" customHeight="false" outlineLevel="0" collapsed="false">
      <c r="A376" s="12"/>
      <c r="B376" s="34"/>
      <c r="C376" s="12"/>
      <c r="D376" s="12"/>
      <c r="E376" s="12"/>
      <c r="F376" s="12"/>
      <c r="G376" s="18"/>
      <c r="H376" s="35"/>
      <c r="I376" s="35"/>
      <c r="J376" s="12"/>
      <c r="O376" s="12"/>
      <c r="P376" s="18"/>
      <c r="Q376" s="12"/>
      <c r="R376" s="12"/>
      <c r="S376" s="12"/>
      <c r="T376" s="36"/>
      <c r="U376" s="36"/>
      <c r="V376" s="12"/>
      <c r="W376" s="12"/>
      <c r="X376" s="12"/>
      <c r="Y376" s="12"/>
    </row>
    <row r="377" customFormat="false" ht="15.75" hidden="false" customHeight="false" outlineLevel="0" collapsed="false">
      <c r="A377" s="12"/>
      <c r="B377" s="34"/>
      <c r="C377" s="12"/>
      <c r="D377" s="12"/>
      <c r="E377" s="12"/>
      <c r="F377" s="12"/>
      <c r="G377" s="18"/>
      <c r="H377" s="35"/>
      <c r="I377" s="35"/>
      <c r="J377" s="12"/>
      <c r="O377" s="12"/>
      <c r="P377" s="18"/>
      <c r="Q377" s="12"/>
      <c r="R377" s="12"/>
      <c r="S377" s="12"/>
      <c r="T377" s="36"/>
      <c r="U377" s="36"/>
      <c r="V377" s="12"/>
      <c r="W377" s="12"/>
      <c r="X377" s="12"/>
      <c r="Y377" s="12"/>
    </row>
    <row r="378" customFormat="false" ht="15.75" hidden="false" customHeight="false" outlineLevel="0" collapsed="false">
      <c r="A378" s="12"/>
      <c r="B378" s="34"/>
      <c r="C378" s="12"/>
      <c r="D378" s="12"/>
      <c r="E378" s="12"/>
      <c r="F378" s="12"/>
      <c r="G378" s="18"/>
      <c r="H378" s="35"/>
      <c r="I378" s="35"/>
      <c r="J378" s="12"/>
      <c r="O378" s="12"/>
      <c r="P378" s="18"/>
      <c r="Q378" s="12"/>
      <c r="R378" s="12"/>
      <c r="S378" s="12"/>
      <c r="T378" s="36"/>
      <c r="U378" s="36"/>
      <c r="V378" s="12"/>
      <c r="W378" s="12"/>
      <c r="X378" s="12"/>
      <c r="Y378" s="12"/>
    </row>
    <row r="379" customFormat="false" ht="15.75" hidden="false" customHeight="false" outlineLevel="0" collapsed="false">
      <c r="A379" s="12"/>
      <c r="B379" s="34"/>
      <c r="C379" s="12"/>
      <c r="D379" s="12"/>
      <c r="E379" s="12"/>
      <c r="F379" s="12"/>
      <c r="G379" s="18"/>
      <c r="H379" s="35"/>
      <c r="I379" s="35"/>
      <c r="J379" s="12"/>
      <c r="O379" s="12"/>
      <c r="P379" s="18"/>
      <c r="Q379" s="12"/>
      <c r="R379" s="12"/>
      <c r="S379" s="12"/>
      <c r="T379" s="36"/>
      <c r="U379" s="36"/>
      <c r="V379" s="12"/>
      <c r="W379" s="12"/>
      <c r="X379" s="12"/>
      <c r="Y379" s="12"/>
    </row>
    <row r="380" customFormat="false" ht="15.75" hidden="false" customHeight="false" outlineLevel="0" collapsed="false">
      <c r="A380" s="12"/>
      <c r="B380" s="34"/>
      <c r="C380" s="12"/>
      <c r="D380" s="12"/>
      <c r="E380" s="12"/>
      <c r="F380" s="12"/>
      <c r="G380" s="18"/>
      <c r="H380" s="35"/>
      <c r="I380" s="35"/>
      <c r="J380" s="12"/>
      <c r="O380" s="12"/>
      <c r="P380" s="18"/>
      <c r="Q380" s="12"/>
      <c r="R380" s="12"/>
      <c r="S380" s="12"/>
      <c r="T380" s="36"/>
      <c r="U380" s="36"/>
      <c r="V380" s="12"/>
      <c r="W380" s="12"/>
      <c r="X380" s="12"/>
      <c r="Y380" s="12"/>
    </row>
    <row r="381" customFormat="false" ht="15.75" hidden="false" customHeight="false" outlineLevel="0" collapsed="false">
      <c r="A381" s="12"/>
      <c r="B381" s="34"/>
      <c r="C381" s="12"/>
      <c r="D381" s="12"/>
      <c r="E381" s="12"/>
      <c r="F381" s="12"/>
      <c r="G381" s="18"/>
      <c r="H381" s="35"/>
      <c r="I381" s="35"/>
      <c r="J381" s="12"/>
      <c r="O381" s="12"/>
      <c r="P381" s="18"/>
      <c r="Q381" s="12"/>
      <c r="R381" s="12"/>
      <c r="S381" s="12"/>
      <c r="T381" s="36"/>
      <c r="U381" s="36"/>
      <c r="V381" s="12"/>
      <c r="W381" s="12"/>
      <c r="X381" s="12"/>
      <c r="Y381" s="12"/>
    </row>
    <row r="382" customFormat="false" ht="15.75" hidden="false" customHeight="false" outlineLevel="0" collapsed="false">
      <c r="A382" s="12"/>
      <c r="B382" s="34"/>
      <c r="C382" s="12"/>
      <c r="D382" s="12"/>
      <c r="E382" s="12"/>
      <c r="F382" s="12"/>
      <c r="G382" s="18"/>
      <c r="H382" s="35"/>
      <c r="I382" s="35"/>
      <c r="J382" s="12"/>
      <c r="O382" s="12"/>
      <c r="P382" s="18"/>
      <c r="Q382" s="12"/>
      <c r="R382" s="12"/>
      <c r="S382" s="12"/>
      <c r="T382" s="36"/>
      <c r="U382" s="36"/>
      <c r="V382" s="12"/>
      <c r="W382" s="12"/>
      <c r="X382" s="12"/>
      <c r="Y382" s="12"/>
    </row>
    <row r="383" customFormat="false" ht="15.75" hidden="false" customHeight="false" outlineLevel="0" collapsed="false">
      <c r="A383" s="12"/>
      <c r="B383" s="34"/>
      <c r="C383" s="12"/>
      <c r="D383" s="12"/>
      <c r="E383" s="12"/>
      <c r="F383" s="12"/>
      <c r="G383" s="18"/>
      <c r="H383" s="35"/>
      <c r="I383" s="35"/>
      <c r="J383" s="12"/>
      <c r="O383" s="12"/>
      <c r="P383" s="18"/>
      <c r="Q383" s="12"/>
      <c r="R383" s="12"/>
      <c r="S383" s="12"/>
      <c r="T383" s="36"/>
      <c r="U383" s="36"/>
      <c r="V383" s="12"/>
      <c r="W383" s="12"/>
      <c r="X383" s="12"/>
      <c r="Y383" s="12"/>
    </row>
    <row r="384" customFormat="false" ht="15.75" hidden="false" customHeight="false" outlineLevel="0" collapsed="false">
      <c r="A384" s="12"/>
      <c r="B384" s="34"/>
      <c r="C384" s="12"/>
      <c r="D384" s="12"/>
      <c r="E384" s="12"/>
      <c r="F384" s="12"/>
      <c r="G384" s="18"/>
      <c r="H384" s="35"/>
      <c r="I384" s="35"/>
      <c r="J384" s="12"/>
      <c r="O384" s="12"/>
      <c r="P384" s="18"/>
      <c r="Q384" s="12"/>
      <c r="R384" s="12"/>
      <c r="S384" s="12"/>
      <c r="T384" s="36"/>
      <c r="U384" s="36"/>
      <c r="V384" s="12"/>
      <c r="W384" s="12"/>
      <c r="X384" s="12"/>
      <c r="Y384" s="12"/>
    </row>
    <row r="385" customFormat="false" ht="15.75" hidden="false" customHeight="false" outlineLevel="0" collapsed="false">
      <c r="A385" s="12"/>
      <c r="B385" s="34"/>
      <c r="C385" s="12"/>
      <c r="D385" s="12"/>
      <c r="E385" s="12"/>
      <c r="F385" s="12"/>
      <c r="G385" s="18"/>
      <c r="H385" s="35"/>
      <c r="I385" s="35"/>
      <c r="J385" s="12"/>
      <c r="O385" s="12"/>
      <c r="P385" s="18"/>
      <c r="Q385" s="12"/>
      <c r="R385" s="12"/>
      <c r="S385" s="12"/>
      <c r="T385" s="36"/>
      <c r="U385" s="36"/>
      <c r="V385" s="12"/>
      <c r="W385" s="12"/>
      <c r="X385" s="12"/>
      <c r="Y385" s="12"/>
    </row>
    <row r="386" customFormat="false" ht="15.75" hidden="false" customHeight="false" outlineLevel="0" collapsed="false">
      <c r="A386" s="12"/>
      <c r="B386" s="34"/>
      <c r="C386" s="12"/>
      <c r="D386" s="12"/>
      <c r="E386" s="12"/>
      <c r="F386" s="12"/>
      <c r="G386" s="18"/>
      <c r="H386" s="35"/>
      <c r="I386" s="35"/>
      <c r="J386" s="12"/>
      <c r="O386" s="12"/>
      <c r="P386" s="18"/>
      <c r="Q386" s="12"/>
      <c r="R386" s="12"/>
      <c r="S386" s="12"/>
      <c r="T386" s="36"/>
      <c r="U386" s="36"/>
      <c r="V386" s="12"/>
      <c r="W386" s="12"/>
      <c r="X386" s="12"/>
      <c r="Y386" s="12"/>
    </row>
    <row r="387" customFormat="false" ht="15.75" hidden="false" customHeight="false" outlineLevel="0" collapsed="false">
      <c r="A387" s="12"/>
      <c r="B387" s="34"/>
      <c r="C387" s="12"/>
      <c r="D387" s="12"/>
      <c r="E387" s="12"/>
      <c r="F387" s="12"/>
      <c r="G387" s="18"/>
      <c r="H387" s="35"/>
      <c r="I387" s="35"/>
      <c r="J387" s="12"/>
      <c r="O387" s="12"/>
      <c r="P387" s="18"/>
      <c r="Q387" s="12"/>
      <c r="R387" s="12"/>
      <c r="S387" s="12"/>
      <c r="T387" s="36"/>
      <c r="U387" s="36"/>
      <c r="V387" s="12"/>
      <c r="W387" s="12"/>
      <c r="X387" s="12"/>
      <c r="Y387" s="12"/>
    </row>
    <row r="388" customFormat="false" ht="15.75" hidden="false" customHeight="false" outlineLevel="0" collapsed="false">
      <c r="A388" s="12"/>
      <c r="B388" s="34"/>
      <c r="C388" s="12"/>
      <c r="D388" s="12"/>
      <c r="E388" s="12"/>
      <c r="F388" s="12"/>
      <c r="G388" s="18"/>
      <c r="H388" s="35"/>
      <c r="I388" s="35"/>
      <c r="J388" s="12"/>
      <c r="O388" s="12"/>
      <c r="P388" s="18"/>
      <c r="Q388" s="12"/>
      <c r="R388" s="12"/>
      <c r="S388" s="12"/>
      <c r="T388" s="36"/>
      <c r="U388" s="36"/>
      <c r="V388" s="12"/>
      <c r="W388" s="12"/>
      <c r="X388" s="12"/>
      <c r="Y388" s="12"/>
    </row>
    <row r="389" customFormat="false" ht="15.75" hidden="false" customHeight="false" outlineLevel="0" collapsed="false">
      <c r="A389" s="12"/>
      <c r="B389" s="34"/>
      <c r="C389" s="12"/>
      <c r="D389" s="12"/>
      <c r="E389" s="12"/>
      <c r="F389" s="12"/>
      <c r="G389" s="18"/>
      <c r="H389" s="35"/>
      <c r="I389" s="35"/>
      <c r="J389" s="12"/>
      <c r="O389" s="12"/>
      <c r="P389" s="18"/>
      <c r="Q389" s="12"/>
      <c r="R389" s="12"/>
      <c r="S389" s="12"/>
      <c r="T389" s="36"/>
      <c r="U389" s="36"/>
      <c r="V389" s="12"/>
      <c r="W389" s="12"/>
      <c r="X389" s="12"/>
      <c r="Y389" s="12"/>
    </row>
    <row r="390" customFormat="false" ht="15.75" hidden="false" customHeight="false" outlineLevel="0" collapsed="false">
      <c r="A390" s="12"/>
      <c r="B390" s="34"/>
      <c r="C390" s="12"/>
      <c r="D390" s="12"/>
      <c r="E390" s="12"/>
      <c r="F390" s="12"/>
      <c r="G390" s="18"/>
      <c r="H390" s="35"/>
      <c r="I390" s="35"/>
      <c r="J390" s="12"/>
      <c r="O390" s="12"/>
      <c r="P390" s="18"/>
      <c r="Q390" s="12"/>
      <c r="R390" s="12"/>
      <c r="S390" s="12"/>
      <c r="T390" s="36"/>
      <c r="U390" s="36"/>
      <c r="V390" s="12"/>
      <c r="W390" s="12"/>
      <c r="X390" s="12"/>
      <c r="Y390" s="12"/>
    </row>
    <row r="391" customFormat="false" ht="15.75" hidden="false" customHeight="false" outlineLevel="0" collapsed="false">
      <c r="A391" s="12"/>
      <c r="B391" s="34"/>
      <c r="C391" s="12"/>
      <c r="D391" s="12"/>
      <c r="E391" s="12"/>
      <c r="F391" s="12"/>
      <c r="G391" s="18"/>
      <c r="H391" s="35"/>
      <c r="I391" s="35"/>
      <c r="J391" s="12"/>
      <c r="O391" s="12"/>
      <c r="P391" s="18"/>
      <c r="Q391" s="12"/>
      <c r="R391" s="12"/>
      <c r="S391" s="12"/>
      <c r="T391" s="36"/>
      <c r="U391" s="36"/>
      <c r="V391" s="12"/>
      <c r="W391" s="12"/>
      <c r="X391" s="12"/>
      <c r="Y391" s="12"/>
    </row>
    <row r="392" customFormat="false" ht="15.75" hidden="false" customHeight="false" outlineLevel="0" collapsed="false">
      <c r="A392" s="12"/>
      <c r="B392" s="34"/>
      <c r="C392" s="12"/>
      <c r="D392" s="12"/>
      <c r="E392" s="12"/>
      <c r="F392" s="12"/>
      <c r="G392" s="18"/>
      <c r="H392" s="35"/>
      <c r="I392" s="35"/>
      <c r="J392" s="12"/>
      <c r="O392" s="12"/>
      <c r="P392" s="18"/>
      <c r="Q392" s="12"/>
      <c r="R392" s="12"/>
      <c r="S392" s="12"/>
      <c r="T392" s="36"/>
      <c r="U392" s="36"/>
      <c r="V392" s="12"/>
      <c r="W392" s="12"/>
      <c r="X392" s="12"/>
      <c r="Y392" s="12"/>
    </row>
    <row r="393" customFormat="false" ht="15.75" hidden="false" customHeight="false" outlineLevel="0" collapsed="false">
      <c r="A393" s="12"/>
      <c r="B393" s="34"/>
      <c r="C393" s="12"/>
      <c r="D393" s="12"/>
      <c r="E393" s="12"/>
      <c r="F393" s="12"/>
      <c r="G393" s="18"/>
      <c r="H393" s="35"/>
      <c r="I393" s="35"/>
      <c r="J393" s="12"/>
      <c r="O393" s="12"/>
      <c r="P393" s="18"/>
      <c r="Q393" s="12"/>
      <c r="R393" s="12"/>
      <c r="S393" s="12"/>
      <c r="T393" s="36"/>
      <c r="U393" s="36"/>
      <c r="V393" s="12"/>
      <c r="W393" s="12"/>
      <c r="X393" s="12"/>
      <c r="Y393" s="12"/>
    </row>
    <row r="394" customFormat="false" ht="15.75" hidden="false" customHeight="false" outlineLevel="0" collapsed="false">
      <c r="A394" s="12"/>
      <c r="B394" s="34"/>
      <c r="C394" s="12"/>
      <c r="D394" s="12"/>
      <c r="E394" s="12"/>
      <c r="F394" s="12"/>
      <c r="G394" s="18"/>
      <c r="H394" s="35"/>
      <c r="I394" s="35"/>
      <c r="J394" s="12"/>
      <c r="O394" s="12"/>
      <c r="P394" s="18"/>
      <c r="Q394" s="12"/>
      <c r="R394" s="12"/>
      <c r="S394" s="12"/>
      <c r="T394" s="36"/>
      <c r="U394" s="36"/>
      <c r="V394" s="12"/>
      <c r="W394" s="12"/>
      <c r="X394" s="12"/>
      <c r="Y394" s="12"/>
    </row>
    <row r="395" customFormat="false" ht="15.75" hidden="false" customHeight="false" outlineLevel="0" collapsed="false">
      <c r="A395" s="12"/>
      <c r="B395" s="34"/>
      <c r="C395" s="12"/>
      <c r="D395" s="12"/>
      <c r="E395" s="12"/>
      <c r="F395" s="12"/>
      <c r="G395" s="18"/>
      <c r="H395" s="35"/>
      <c r="I395" s="35"/>
      <c r="J395" s="12"/>
      <c r="O395" s="12"/>
      <c r="P395" s="18"/>
      <c r="Q395" s="12"/>
      <c r="R395" s="12"/>
      <c r="S395" s="12"/>
      <c r="T395" s="36"/>
      <c r="U395" s="36"/>
      <c r="V395" s="12"/>
      <c r="W395" s="12"/>
      <c r="X395" s="12"/>
      <c r="Y395" s="12"/>
    </row>
    <row r="396" customFormat="false" ht="15.75" hidden="false" customHeight="false" outlineLevel="0" collapsed="false">
      <c r="A396" s="12"/>
      <c r="B396" s="34"/>
      <c r="C396" s="12"/>
      <c r="D396" s="12"/>
      <c r="E396" s="12"/>
      <c r="F396" s="12"/>
      <c r="G396" s="18"/>
      <c r="H396" s="35"/>
      <c r="I396" s="35"/>
      <c r="J396" s="12"/>
      <c r="O396" s="12"/>
      <c r="P396" s="18"/>
      <c r="Q396" s="12"/>
      <c r="R396" s="12"/>
      <c r="S396" s="12"/>
      <c r="T396" s="36"/>
      <c r="U396" s="36"/>
      <c r="V396" s="12"/>
      <c r="W396" s="12"/>
      <c r="X396" s="12"/>
      <c r="Y396" s="12"/>
    </row>
    <row r="397" customFormat="false" ht="15.75" hidden="false" customHeight="false" outlineLevel="0" collapsed="false">
      <c r="A397" s="12"/>
      <c r="B397" s="34"/>
      <c r="C397" s="12"/>
      <c r="D397" s="12"/>
      <c r="E397" s="12"/>
      <c r="F397" s="12"/>
      <c r="G397" s="18"/>
      <c r="H397" s="35"/>
      <c r="I397" s="35"/>
      <c r="J397" s="12"/>
      <c r="O397" s="12"/>
      <c r="P397" s="18"/>
      <c r="Q397" s="12"/>
      <c r="R397" s="12"/>
      <c r="S397" s="12"/>
      <c r="T397" s="36"/>
      <c r="U397" s="36"/>
      <c r="V397" s="12"/>
      <c r="W397" s="12"/>
      <c r="X397" s="12"/>
      <c r="Y397" s="12"/>
    </row>
    <row r="398" customFormat="false" ht="15.75" hidden="false" customHeight="false" outlineLevel="0" collapsed="false">
      <c r="A398" s="12"/>
      <c r="B398" s="34"/>
      <c r="C398" s="12"/>
      <c r="D398" s="12"/>
      <c r="E398" s="12"/>
      <c r="F398" s="12"/>
      <c r="G398" s="18"/>
      <c r="H398" s="35"/>
      <c r="I398" s="35"/>
      <c r="J398" s="12"/>
      <c r="O398" s="12"/>
      <c r="P398" s="18"/>
      <c r="Q398" s="12"/>
      <c r="R398" s="12"/>
      <c r="S398" s="12"/>
      <c r="T398" s="36"/>
      <c r="U398" s="36"/>
      <c r="V398" s="12"/>
      <c r="W398" s="12"/>
      <c r="X398" s="12"/>
      <c r="Y398" s="12"/>
    </row>
    <row r="399" customFormat="false" ht="15.75" hidden="false" customHeight="false" outlineLevel="0" collapsed="false">
      <c r="A399" s="12"/>
      <c r="B399" s="34"/>
      <c r="C399" s="12"/>
      <c r="D399" s="12"/>
      <c r="E399" s="12"/>
      <c r="F399" s="12"/>
      <c r="G399" s="18"/>
      <c r="H399" s="35"/>
      <c r="I399" s="35"/>
      <c r="J399" s="12"/>
      <c r="O399" s="12"/>
      <c r="P399" s="18"/>
      <c r="Q399" s="12"/>
      <c r="R399" s="12"/>
      <c r="S399" s="12"/>
      <c r="T399" s="36"/>
      <c r="U399" s="36"/>
      <c r="V399" s="12"/>
      <c r="W399" s="12"/>
      <c r="X399" s="12"/>
      <c r="Y399" s="12"/>
    </row>
    <row r="400" customFormat="false" ht="15.75" hidden="false" customHeight="false" outlineLevel="0" collapsed="false">
      <c r="A400" s="12"/>
      <c r="B400" s="34"/>
      <c r="C400" s="12"/>
      <c r="D400" s="12"/>
      <c r="E400" s="12"/>
      <c r="F400" s="12"/>
      <c r="G400" s="18"/>
      <c r="H400" s="35"/>
      <c r="I400" s="35"/>
      <c r="J400" s="12"/>
      <c r="O400" s="12"/>
      <c r="P400" s="18"/>
      <c r="Q400" s="12"/>
      <c r="R400" s="12"/>
      <c r="S400" s="12"/>
      <c r="T400" s="36"/>
      <c r="U400" s="36"/>
      <c r="V400" s="12"/>
      <c r="W400" s="12"/>
      <c r="X400" s="12"/>
      <c r="Y400" s="12"/>
    </row>
    <row r="401" customFormat="false" ht="15.75" hidden="false" customHeight="false" outlineLevel="0" collapsed="false">
      <c r="A401" s="12"/>
      <c r="B401" s="34"/>
      <c r="C401" s="12"/>
      <c r="D401" s="12"/>
      <c r="E401" s="12"/>
      <c r="F401" s="12"/>
      <c r="G401" s="18"/>
      <c r="H401" s="35"/>
      <c r="I401" s="35"/>
      <c r="J401" s="12"/>
      <c r="O401" s="12"/>
      <c r="P401" s="18"/>
      <c r="Q401" s="12"/>
      <c r="R401" s="12"/>
      <c r="S401" s="12"/>
      <c r="T401" s="36"/>
      <c r="U401" s="36"/>
      <c r="V401" s="12"/>
      <c r="W401" s="12"/>
      <c r="X401" s="12"/>
      <c r="Y401" s="12"/>
    </row>
    <row r="402" customFormat="false" ht="15.75" hidden="false" customHeight="false" outlineLevel="0" collapsed="false">
      <c r="A402" s="12"/>
      <c r="B402" s="34"/>
      <c r="C402" s="12"/>
      <c r="D402" s="12"/>
      <c r="E402" s="12"/>
      <c r="F402" s="12"/>
      <c r="G402" s="18"/>
      <c r="H402" s="35"/>
      <c r="I402" s="35"/>
      <c r="J402" s="12"/>
      <c r="O402" s="12"/>
      <c r="P402" s="18"/>
      <c r="Q402" s="12"/>
      <c r="R402" s="12"/>
      <c r="S402" s="12"/>
      <c r="T402" s="36"/>
      <c r="U402" s="36"/>
      <c r="V402" s="12"/>
      <c r="W402" s="12"/>
      <c r="X402" s="12"/>
      <c r="Y402" s="12"/>
    </row>
    <row r="403" customFormat="false" ht="15.75" hidden="false" customHeight="false" outlineLevel="0" collapsed="false">
      <c r="A403" s="12"/>
      <c r="B403" s="34"/>
      <c r="C403" s="12"/>
      <c r="D403" s="12"/>
      <c r="E403" s="12"/>
      <c r="F403" s="12"/>
      <c r="G403" s="18"/>
      <c r="H403" s="35"/>
      <c r="I403" s="35"/>
      <c r="J403" s="12"/>
      <c r="O403" s="12"/>
      <c r="P403" s="18"/>
      <c r="Q403" s="12"/>
      <c r="R403" s="12"/>
      <c r="S403" s="12"/>
      <c r="T403" s="36"/>
      <c r="U403" s="36"/>
      <c r="V403" s="12"/>
      <c r="W403" s="12"/>
      <c r="X403" s="12"/>
      <c r="Y403" s="12"/>
    </row>
    <row r="404" customFormat="false" ht="15.75" hidden="false" customHeight="false" outlineLevel="0" collapsed="false">
      <c r="A404" s="12"/>
      <c r="B404" s="34"/>
      <c r="C404" s="12"/>
      <c r="D404" s="12"/>
      <c r="E404" s="12"/>
      <c r="F404" s="12"/>
      <c r="G404" s="18"/>
      <c r="H404" s="35"/>
      <c r="I404" s="35"/>
      <c r="J404" s="12"/>
      <c r="O404" s="12"/>
      <c r="P404" s="18"/>
      <c r="Q404" s="12"/>
      <c r="R404" s="12"/>
      <c r="S404" s="12"/>
      <c r="T404" s="36"/>
      <c r="U404" s="36"/>
      <c r="V404" s="12"/>
      <c r="W404" s="12"/>
      <c r="X404" s="12"/>
      <c r="Y404" s="12"/>
    </row>
    <row r="405" customFormat="false" ht="15.75" hidden="false" customHeight="false" outlineLevel="0" collapsed="false">
      <c r="A405" s="12"/>
      <c r="B405" s="34"/>
      <c r="C405" s="12"/>
      <c r="D405" s="12"/>
      <c r="E405" s="12"/>
      <c r="F405" s="12"/>
      <c r="G405" s="18"/>
      <c r="H405" s="35"/>
      <c r="I405" s="35"/>
      <c r="J405" s="12"/>
      <c r="O405" s="12"/>
      <c r="P405" s="18"/>
      <c r="Q405" s="12"/>
      <c r="R405" s="12"/>
      <c r="S405" s="12"/>
      <c r="T405" s="36"/>
      <c r="U405" s="36"/>
      <c r="V405" s="12"/>
      <c r="W405" s="12"/>
      <c r="X405" s="12"/>
      <c r="Y405" s="12"/>
    </row>
    <row r="406" customFormat="false" ht="15.75" hidden="false" customHeight="false" outlineLevel="0" collapsed="false">
      <c r="A406" s="12"/>
      <c r="B406" s="34"/>
      <c r="C406" s="12"/>
      <c r="D406" s="12"/>
      <c r="E406" s="12"/>
      <c r="F406" s="12"/>
      <c r="G406" s="18"/>
      <c r="H406" s="35"/>
      <c r="I406" s="35"/>
      <c r="J406" s="12"/>
      <c r="O406" s="12"/>
      <c r="P406" s="18"/>
      <c r="Q406" s="12"/>
      <c r="R406" s="12"/>
      <c r="S406" s="12"/>
      <c r="T406" s="36"/>
      <c r="U406" s="36"/>
      <c r="V406" s="12"/>
      <c r="W406" s="12"/>
      <c r="X406" s="12"/>
      <c r="Y406" s="12"/>
    </row>
    <row r="407" customFormat="false" ht="15.75" hidden="false" customHeight="false" outlineLevel="0" collapsed="false">
      <c r="A407" s="12"/>
      <c r="B407" s="34"/>
      <c r="C407" s="12"/>
      <c r="D407" s="12"/>
      <c r="E407" s="12"/>
      <c r="F407" s="12"/>
      <c r="G407" s="18"/>
      <c r="H407" s="35"/>
      <c r="I407" s="35"/>
      <c r="J407" s="12"/>
      <c r="O407" s="12"/>
      <c r="P407" s="18"/>
      <c r="Q407" s="12"/>
      <c r="R407" s="12"/>
      <c r="S407" s="12"/>
      <c r="T407" s="36"/>
      <c r="U407" s="36"/>
      <c r="V407" s="12"/>
      <c r="W407" s="12"/>
      <c r="X407" s="12"/>
      <c r="Y407" s="12"/>
    </row>
    <row r="408" customFormat="false" ht="15.75" hidden="false" customHeight="false" outlineLevel="0" collapsed="false">
      <c r="A408" s="12"/>
      <c r="B408" s="34"/>
      <c r="C408" s="12"/>
      <c r="D408" s="12"/>
      <c r="E408" s="12"/>
      <c r="F408" s="12"/>
      <c r="G408" s="18"/>
      <c r="H408" s="35"/>
      <c r="I408" s="35"/>
      <c r="J408" s="12"/>
      <c r="O408" s="12"/>
      <c r="P408" s="18"/>
      <c r="Q408" s="12"/>
      <c r="R408" s="12"/>
      <c r="S408" s="12"/>
      <c r="T408" s="36"/>
      <c r="U408" s="36"/>
      <c r="V408" s="12"/>
      <c r="W408" s="12"/>
      <c r="X408" s="12"/>
      <c r="Y408" s="12"/>
    </row>
    <row r="409" customFormat="false" ht="15.75" hidden="false" customHeight="false" outlineLevel="0" collapsed="false">
      <c r="A409" s="12"/>
      <c r="B409" s="34"/>
      <c r="C409" s="12"/>
      <c r="D409" s="12"/>
      <c r="E409" s="12"/>
      <c r="F409" s="12"/>
      <c r="G409" s="18"/>
      <c r="H409" s="35"/>
      <c r="I409" s="35"/>
      <c r="J409" s="12"/>
      <c r="O409" s="12"/>
      <c r="P409" s="18"/>
      <c r="Q409" s="12"/>
      <c r="R409" s="12"/>
      <c r="S409" s="12"/>
      <c r="T409" s="36"/>
      <c r="U409" s="36"/>
      <c r="V409" s="12"/>
      <c r="W409" s="12"/>
      <c r="X409" s="12"/>
      <c r="Y409" s="12"/>
    </row>
    <row r="410" customFormat="false" ht="15.75" hidden="false" customHeight="false" outlineLevel="0" collapsed="false">
      <c r="A410" s="12"/>
      <c r="B410" s="34"/>
      <c r="C410" s="12"/>
      <c r="D410" s="12"/>
      <c r="E410" s="12"/>
      <c r="F410" s="12"/>
      <c r="G410" s="18"/>
      <c r="H410" s="35"/>
      <c r="I410" s="35"/>
      <c r="J410" s="12"/>
      <c r="O410" s="12"/>
      <c r="P410" s="18"/>
      <c r="Q410" s="12"/>
      <c r="R410" s="12"/>
      <c r="S410" s="12"/>
      <c r="T410" s="36"/>
      <c r="U410" s="36"/>
      <c r="V410" s="12"/>
      <c r="W410" s="12"/>
      <c r="X410" s="12"/>
      <c r="Y410" s="12"/>
    </row>
    <row r="411" customFormat="false" ht="15.75" hidden="false" customHeight="false" outlineLevel="0" collapsed="false">
      <c r="A411" s="12"/>
      <c r="B411" s="34"/>
      <c r="C411" s="12"/>
      <c r="D411" s="12"/>
      <c r="E411" s="12"/>
      <c r="F411" s="12"/>
      <c r="G411" s="18"/>
      <c r="H411" s="35"/>
      <c r="I411" s="35"/>
      <c r="J411" s="12"/>
      <c r="O411" s="12"/>
      <c r="P411" s="18"/>
      <c r="Q411" s="12"/>
      <c r="R411" s="12"/>
      <c r="S411" s="12"/>
      <c r="T411" s="36"/>
      <c r="U411" s="36"/>
      <c r="V411" s="12"/>
      <c r="W411" s="12"/>
      <c r="X411" s="12"/>
      <c r="Y411" s="12"/>
    </row>
    <row r="412" customFormat="false" ht="15.75" hidden="false" customHeight="false" outlineLevel="0" collapsed="false">
      <c r="A412" s="12"/>
      <c r="B412" s="34"/>
      <c r="C412" s="12"/>
      <c r="D412" s="12"/>
      <c r="E412" s="12"/>
      <c r="F412" s="12"/>
      <c r="G412" s="18"/>
      <c r="H412" s="35"/>
      <c r="I412" s="35"/>
      <c r="J412" s="12"/>
      <c r="O412" s="12"/>
      <c r="P412" s="18"/>
      <c r="Q412" s="12"/>
      <c r="R412" s="12"/>
      <c r="S412" s="12"/>
      <c r="T412" s="36"/>
      <c r="U412" s="36"/>
      <c r="V412" s="12"/>
      <c r="W412" s="12"/>
      <c r="X412" s="12"/>
      <c r="Y412" s="12"/>
    </row>
    <row r="413" customFormat="false" ht="15.75" hidden="false" customHeight="false" outlineLevel="0" collapsed="false">
      <c r="A413" s="12"/>
      <c r="B413" s="34"/>
      <c r="C413" s="12"/>
      <c r="D413" s="12"/>
      <c r="E413" s="12"/>
      <c r="F413" s="12"/>
      <c r="G413" s="18"/>
      <c r="H413" s="35"/>
      <c r="I413" s="35"/>
      <c r="J413" s="12"/>
      <c r="O413" s="12"/>
      <c r="P413" s="18"/>
      <c r="Q413" s="12"/>
      <c r="R413" s="12"/>
      <c r="S413" s="12"/>
      <c r="T413" s="36"/>
      <c r="U413" s="36"/>
      <c r="V413" s="12"/>
      <c r="W413" s="12"/>
      <c r="X413" s="12"/>
      <c r="Y413" s="12"/>
    </row>
    <row r="414" customFormat="false" ht="15.75" hidden="false" customHeight="false" outlineLevel="0" collapsed="false">
      <c r="A414" s="12"/>
      <c r="B414" s="34"/>
      <c r="C414" s="12"/>
      <c r="D414" s="12"/>
      <c r="E414" s="12"/>
      <c r="F414" s="12"/>
      <c r="G414" s="18"/>
      <c r="H414" s="35"/>
      <c r="I414" s="35"/>
      <c r="J414" s="12"/>
      <c r="O414" s="12"/>
      <c r="P414" s="18"/>
      <c r="Q414" s="12"/>
      <c r="R414" s="12"/>
      <c r="S414" s="12"/>
      <c r="T414" s="36"/>
      <c r="U414" s="36"/>
      <c r="V414" s="12"/>
      <c r="W414" s="12"/>
      <c r="X414" s="12"/>
      <c r="Y414" s="12"/>
    </row>
    <row r="415" customFormat="false" ht="15.75" hidden="false" customHeight="false" outlineLevel="0" collapsed="false">
      <c r="A415" s="12"/>
      <c r="B415" s="34"/>
      <c r="C415" s="12"/>
      <c r="D415" s="12"/>
      <c r="E415" s="12"/>
      <c r="F415" s="12"/>
      <c r="G415" s="18"/>
      <c r="H415" s="35"/>
      <c r="I415" s="35"/>
      <c r="J415" s="12"/>
      <c r="O415" s="12"/>
      <c r="P415" s="18"/>
      <c r="Q415" s="12"/>
      <c r="R415" s="12"/>
      <c r="S415" s="12"/>
      <c r="T415" s="36"/>
      <c r="U415" s="36"/>
      <c r="V415" s="12"/>
      <c r="W415" s="12"/>
      <c r="X415" s="12"/>
      <c r="Y415" s="12"/>
    </row>
    <row r="416" customFormat="false" ht="15.75" hidden="false" customHeight="false" outlineLevel="0" collapsed="false">
      <c r="A416" s="12"/>
      <c r="B416" s="34"/>
      <c r="C416" s="12"/>
      <c r="D416" s="12"/>
      <c r="E416" s="12"/>
      <c r="F416" s="12"/>
      <c r="G416" s="18"/>
      <c r="H416" s="35"/>
      <c r="I416" s="35"/>
      <c r="J416" s="12"/>
      <c r="O416" s="12"/>
      <c r="P416" s="18"/>
      <c r="Q416" s="12"/>
      <c r="R416" s="12"/>
      <c r="S416" s="12"/>
      <c r="T416" s="36"/>
      <c r="U416" s="36"/>
      <c r="V416" s="12"/>
      <c r="W416" s="12"/>
      <c r="X416" s="12"/>
      <c r="Y416" s="12"/>
    </row>
    <row r="417" customFormat="false" ht="15.75" hidden="false" customHeight="false" outlineLevel="0" collapsed="false">
      <c r="A417" s="12"/>
      <c r="B417" s="34"/>
      <c r="C417" s="12"/>
      <c r="D417" s="12"/>
      <c r="E417" s="12"/>
      <c r="F417" s="12"/>
      <c r="G417" s="18"/>
      <c r="H417" s="35"/>
      <c r="I417" s="35"/>
      <c r="J417" s="12"/>
      <c r="O417" s="12"/>
      <c r="P417" s="18"/>
      <c r="Q417" s="12"/>
      <c r="R417" s="12"/>
      <c r="S417" s="12"/>
      <c r="T417" s="36"/>
      <c r="U417" s="36"/>
      <c r="V417" s="12"/>
      <c r="W417" s="12"/>
      <c r="X417" s="12"/>
      <c r="Y417" s="12"/>
    </row>
    <row r="418" customFormat="false" ht="15.75" hidden="false" customHeight="false" outlineLevel="0" collapsed="false">
      <c r="A418" s="12"/>
      <c r="B418" s="34"/>
      <c r="C418" s="12"/>
      <c r="D418" s="12"/>
      <c r="E418" s="12"/>
      <c r="F418" s="12"/>
      <c r="G418" s="18"/>
      <c r="H418" s="35"/>
      <c r="I418" s="35"/>
      <c r="J418" s="12"/>
      <c r="O418" s="12"/>
      <c r="P418" s="18"/>
      <c r="Q418" s="12"/>
      <c r="R418" s="12"/>
      <c r="S418" s="12"/>
      <c r="T418" s="36"/>
      <c r="U418" s="36"/>
      <c r="V418" s="12"/>
      <c r="W418" s="12"/>
      <c r="X418" s="12"/>
      <c r="Y418" s="12"/>
    </row>
    <row r="419" customFormat="false" ht="15.75" hidden="false" customHeight="false" outlineLevel="0" collapsed="false">
      <c r="A419" s="12"/>
      <c r="B419" s="34"/>
      <c r="C419" s="12"/>
      <c r="D419" s="12"/>
      <c r="E419" s="12"/>
      <c r="F419" s="12"/>
      <c r="G419" s="18"/>
      <c r="H419" s="35"/>
      <c r="I419" s="35"/>
      <c r="J419" s="12"/>
      <c r="O419" s="12"/>
      <c r="P419" s="18"/>
      <c r="Q419" s="12"/>
      <c r="R419" s="12"/>
      <c r="S419" s="12"/>
      <c r="T419" s="36"/>
      <c r="U419" s="36"/>
      <c r="V419" s="12"/>
      <c r="W419" s="12"/>
      <c r="X419" s="12"/>
      <c r="Y419" s="12"/>
    </row>
    <row r="420" customFormat="false" ht="15.75" hidden="false" customHeight="false" outlineLevel="0" collapsed="false">
      <c r="A420" s="12"/>
      <c r="B420" s="34"/>
      <c r="C420" s="12"/>
      <c r="D420" s="12"/>
      <c r="E420" s="12"/>
      <c r="F420" s="12"/>
      <c r="G420" s="18"/>
      <c r="H420" s="35"/>
      <c r="I420" s="35"/>
      <c r="J420" s="12"/>
      <c r="O420" s="12"/>
      <c r="P420" s="18"/>
      <c r="Q420" s="12"/>
      <c r="R420" s="12"/>
      <c r="S420" s="12"/>
      <c r="T420" s="36"/>
      <c r="U420" s="36"/>
      <c r="V420" s="12"/>
      <c r="W420" s="12"/>
      <c r="X420" s="12"/>
      <c r="Y420" s="12"/>
    </row>
    <row r="421" customFormat="false" ht="15.75" hidden="false" customHeight="false" outlineLevel="0" collapsed="false">
      <c r="A421" s="12"/>
      <c r="B421" s="34"/>
      <c r="C421" s="12"/>
      <c r="D421" s="12"/>
      <c r="E421" s="12"/>
      <c r="F421" s="12"/>
      <c r="G421" s="18"/>
      <c r="H421" s="35"/>
      <c r="I421" s="35"/>
      <c r="J421" s="12"/>
      <c r="O421" s="12"/>
      <c r="P421" s="18"/>
      <c r="Q421" s="12"/>
      <c r="R421" s="12"/>
      <c r="S421" s="12"/>
      <c r="T421" s="36"/>
      <c r="U421" s="36"/>
      <c r="V421" s="12"/>
      <c r="W421" s="12"/>
      <c r="X421" s="12"/>
      <c r="Y421" s="12"/>
    </row>
    <row r="422" customFormat="false" ht="15.75" hidden="false" customHeight="false" outlineLevel="0" collapsed="false">
      <c r="A422" s="12"/>
      <c r="B422" s="34"/>
      <c r="C422" s="12"/>
      <c r="D422" s="12"/>
      <c r="E422" s="12"/>
      <c r="F422" s="12"/>
      <c r="G422" s="18"/>
      <c r="H422" s="35"/>
      <c r="I422" s="35"/>
      <c r="J422" s="12"/>
      <c r="O422" s="12"/>
      <c r="P422" s="18"/>
      <c r="Q422" s="12"/>
      <c r="R422" s="12"/>
      <c r="S422" s="12"/>
      <c r="T422" s="36"/>
      <c r="U422" s="36"/>
      <c r="V422" s="12"/>
      <c r="W422" s="12"/>
      <c r="X422" s="12"/>
      <c r="Y422" s="12"/>
    </row>
    <row r="423" customFormat="false" ht="15.75" hidden="false" customHeight="false" outlineLevel="0" collapsed="false">
      <c r="A423" s="12"/>
      <c r="B423" s="34"/>
      <c r="C423" s="12"/>
      <c r="D423" s="12"/>
      <c r="E423" s="12"/>
      <c r="F423" s="12"/>
      <c r="G423" s="18"/>
      <c r="H423" s="35"/>
      <c r="I423" s="35"/>
      <c r="J423" s="12"/>
      <c r="O423" s="12"/>
      <c r="P423" s="18"/>
      <c r="Q423" s="12"/>
      <c r="R423" s="12"/>
      <c r="S423" s="12"/>
      <c r="T423" s="36"/>
      <c r="U423" s="36"/>
      <c r="V423" s="12"/>
      <c r="W423" s="12"/>
      <c r="X423" s="12"/>
      <c r="Y423" s="12"/>
    </row>
    <row r="424" customFormat="false" ht="15.75" hidden="false" customHeight="false" outlineLevel="0" collapsed="false">
      <c r="A424" s="12"/>
      <c r="B424" s="34"/>
      <c r="C424" s="12"/>
      <c r="D424" s="12"/>
      <c r="E424" s="12"/>
      <c r="F424" s="12"/>
      <c r="G424" s="18"/>
      <c r="H424" s="35"/>
      <c r="I424" s="35"/>
      <c r="J424" s="12"/>
      <c r="O424" s="12"/>
      <c r="P424" s="18"/>
      <c r="Q424" s="12"/>
      <c r="R424" s="12"/>
      <c r="S424" s="12"/>
      <c r="T424" s="36"/>
      <c r="U424" s="36"/>
      <c r="V424" s="12"/>
      <c r="W424" s="12"/>
      <c r="X424" s="12"/>
      <c r="Y424" s="12"/>
    </row>
    <row r="425" customFormat="false" ht="15.75" hidden="false" customHeight="false" outlineLevel="0" collapsed="false">
      <c r="A425" s="12"/>
      <c r="B425" s="34"/>
      <c r="C425" s="12"/>
      <c r="D425" s="12"/>
      <c r="E425" s="12"/>
      <c r="F425" s="12"/>
      <c r="G425" s="18"/>
      <c r="H425" s="35"/>
      <c r="I425" s="35"/>
      <c r="J425" s="12"/>
      <c r="O425" s="12"/>
      <c r="P425" s="18"/>
      <c r="Q425" s="12"/>
      <c r="R425" s="12"/>
      <c r="S425" s="12"/>
      <c r="T425" s="36"/>
      <c r="U425" s="36"/>
      <c r="V425" s="12"/>
      <c r="W425" s="12"/>
      <c r="X425" s="12"/>
      <c r="Y425" s="12"/>
    </row>
    <row r="426" customFormat="false" ht="15.75" hidden="false" customHeight="false" outlineLevel="0" collapsed="false">
      <c r="A426" s="12"/>
      <c r="B426" s="34"/>
      <c r="C426" s="12"/>
      <c r="D426" s="12"/>
      <c r="E426" s="12"/>
      <c r="F426" s="12"/>
      <c r="G426" s="18"/>
      <c r="H426" s="35"/>
      <c r="I426" s="35"/>
      <c r="J426" s="12"/>
      <c r="O426" s="12"/>
      <c r="P426" s="18"/>
      <c r="Q426" s="12"/>
      <c r="R426" s="12"/>
      <c r="S426" s="12"/>
      <c r="T426" s="36"/>
      <c r="U426" s="36"/>
      <c r="V426" s="12"/>
      <c r="W426" s="12"/>
      <c r="X426" s="12"/>
      <c r="Y426" s="12"/>
    </row>
    <row r="427" customFormat="false" ht="15.75" hidden="false" customHeight="false" outlineLevel="0" collapsed="false">
      <c r="A427" s="12"/>
      <c r="B427" s="34"/>
      <c r="C427" s="12"/>
      <c r="D427" s="12"/>
      <c r="E427" s="12"/>
      <c r="F427" s="12"/>
      <c r="G427" s="18"/>
      <c r="H427" s="35"/>
      <c r="I427" s="35"/>
      <c r="J427" s="12"/>
      <c r="O427" s="12"/>
      <c r="P427" s="18"/>
      <c r="Q427" s="12"/>
      <c r="R427" s="12"/>
      <c r="S427" s="12"/>
      <c r="T427" s="36"/>
      <c r="U427" s="36"/>
      <c r="V427" s="12"/>
      <c r="W427" s="12"/>
      <c r="X427" s="12"/>
      <c r="Y427" s="12"/>
    </row>
    <row r="428" customFormat="false" ht="15.75" hidden="false" customHeight="false" outlineLevel="0" collapsed="false">
      <c r="A428" s="12"/>
      <c r="B428" s="34"/>
      <c r="C428" s="12"/>
      <c r="D428" s="12"/>
      <c r="E428" s="12"/>
      <c r="F428" s="12"/>
      <c r="G428" s="18"/>
      <c r="H428" s="35"/>
      <c r="I428" s="35"/>
      <c r="J428" s="12"/>
      <c r="O428" s="12"/>
      <c r="P428" s="18"/>
      <c r="Q428" s="12"/>
      <c r="R428" s="12"/>
      <c r="S428" s="12"/>
      <c r="T428" s="36"/>
      <c r="U428" s="36"/>
      <c r="V428" s="12"/>
      <c r="W428" s="12"/>
      <c r="X428" s="12"/>
      <c r="Y428" s="12"/>
    </row>
    <row r="429" customFormat="false" ht="15.75" hidden="false" customHeight="false" outlineLevel="0" collapsed="false">
      <c r="A429" s="12"/>
      <c r="B429" s="34"/>
      <c r="C429" s="12"/>
      <c r="D429" s="12"/>
      <c r="E429" s="12"/>
      <c r="F429" s="12"/>
      <c r="G429" s="18"/>
      <c r="H429" s="35"/>
      <c r="I429" s="35"/>
      <c r="J429" s="12"/>
      <c r="O429" s="12"/>
      <c r="P429" s="18"/>
      <c r="Q429" s="12"/>
      <c r="R429" s="12"/>
      <c r="S429" s="12"/>
      <c r="T429" s="36"/>
      <c r="U429" s="36"/>
      <c r="V429" s="12"/>
      <c r="W429" s="12"/>
      <c r="X429" s="12"/>
      <c r="Y429" s="12"/>
    </row>
    <row r="430" customFormat="false" ht="15.75" hidden="false" customHeight="false" outlineLevel="0" collapsed="false">
      <c r="A430" s="12"/>
      <c r="B430" s="34"/>
      <c r="C430" s="12"/>
      <c r="D430" s="12"/>
      <c r="E430" s="12"/>
      <c r="F430" s="12"/>
      <c r="G430" s="18"/>
      <c r="H430" s="35"/>
      <c r="I430" s="35"/>
      <c r="J430" s="12"/>
      <c r="O430" s="12"/>
      <c r="P430" s="18"/>
      <c r="Q430" s="12"/>
      <c r="R430" s="12"/>
      <c r="S430" s="12"/>
      <c r="T430" s="36"/>
      <c r="U430" s="36"/>
      <c r="V430" s="12"/>
      <c r="W430" s="12"/>
      <c r="X430" s="12"/>
      <c r="Y430" s="12"/>
    </row>
    <row r="431" customFormat="false" ht="15.75" hidden="false" customHeight="false" outlineLevel="0" collapsed="false">
      <c r="A431" s="12"/>
      <c r="B431" s="34"/>
      <c r="C431" s="12"/>
      <c r="D431" s="12"/>
      <c r="E431" s="12"/>
      <c r="F431" s="12"/>
      <c r="G431" s="18"/>
      <c r="H431" s="35"/>
      <c r="I431" s="35"/>
      <c r="J431" s="12"/>
      <c r="O431" s="12"/>
      <c r="P431" s="18"/>
      <c r="Q431" s="12"/>
      <c r="R431" s="12"/>
      <c r="S431" s="12"/>
      <c r="T431" s="36"/>
      <c r="U431" s="36"/>
      <c r="V431" s="12"/>
      <c r="W431" s="12"/>
      <c r="X431" s="12"/>
      <c r="Y431" s="12"/>
    </row>
    <row r="432" customFormat="false" ht="15.75" hidden="false" customHeight="false" outlineLevel="0" collapsed="false">
      <c r="A432" s="12"/>
      <c r="B432" s="34"/>
      <c r="C432" s="12"/>
      <c r="D432" s="12"/>
      <c r="E432" s="12"/>
      <c r="F432" s="12"/>
      <c r="G432" s="18"/>
      <c r="H432" s="35"/>
      <c r="I432" s="35"/>
      <c r="J432" s="12"/>
      <c r="O432" s="12"/>
      <c r="P432" s="18"/>
      <c r="Q432" s="12"/>
      <c r="R432" s="12"/>
      <c r="S432" s="12"/>
      <c r="T432" s="36"/>
      <c r="U432" s="36"/>
      <c r="V432" s="12"/>
      <c r="W432" s="12"/>
      <c r="X432" s="12"/>
      <c r="Y432" s="12"/>
    </row>
    <row r="433" customFormat="false" ht="15.75" hidden="false" customHeight="false" outlineLevel="0" collapsed="false">
      <c r="A433" s="12"/>
      <c r="B433" s="34"/>
      <c r="C433" s="12"/>
      <c r="D433" s="12"/>
      <c r="E433" s="12"/>
      <c r="F433" s="12"/>
      <c r="G433" s="18"/>
      <c r="H433" s="35"/>
      <c r="I433" s="35"/>
      <c r="J433" s="12"/>
      <c r="O433" s="12"/>
      <c r="P433" s="18"/>
      <c r="Q433" s="12"/>
      <c r="R433" s="12"/>
      <c r="S433" s="12"/>
      <c r="T433" s="36"/>
      <c r="U433" s="36"/>
      <c r="V433" s="12"/>
      <c r="W433" s="12"/>
      <c r="X433" s="12"/>
      <c r="Y433" s="12"/>
    </row>
    <row r="434" customFormat="false" ht="15.75" hidden="false" customHeight="false" outlineLevel="0" collapsed="false">
      <c r="A434" s="12"/>
      <c r="B434" s="34"/>
      <c r="C434" s="12"/>
      <c r="D434" s="12"/>
      <c r="E434" s="12"/>
      <c r="F434" s="12"/>
      <c r="G434" s="18"/>
      <c r="H434" s="35"/>
      <c r="I434" s="35"/>
      <c r="J434" s="12"/>
      <c r="O434" s="12"/>
      <c r="P434" s="18"/>
      <c r="Q434" s="12"/>
      <c r="R434" s="12"/>
      <c r="S434" s="12"/>
      <c r="T434" s="36"/>
      <c r="U434" s="36"/>
      <c r="V434" s="12"/>
      <c r="W434" s="12"/>
      <c r="X434" s="12"/>
      <c r="Y434" s="12"/>
    </row>
    <row r="435" customFormat="false" ht="15.75" hidden="false" customHeight="false" outlineLevel="0" collapsed="false">
      <c r="A435" s="12"/>
      <c r="B435" s="34"/>
      <c r="C435" s="12"/>
      <c r="D435" s="12"/>
      <c r="E435" s="12"/>
      <c r="F435" s="12"/>
      <c r="G435" s="18"/>
      <c r="H435" s="35"/>
      <c r="I435" s="35"/>
      <c r="J435" s="12"/>
      <c r="O435" s="12"/>
      <c r="P435" s="18"/>
      <c r="Q435" s="12"/>
      <c r="R435" s="12"/>
      <c r="S435" s="12"/>
      <c r="T435" s="36"/>
      <c r="U435" s="36"/>
      <c r="V435" s="12"/>
      <c r="W435" s="12"/>
      <c r="X435" s="12"/>
      <c r="Y435" s="12"/>
    </row>
    <row r="436" customFormat="false" ht="15.75" hidden="false" customHeight="false" outlineLevel="0" collapsed="false">
      <c r="A436" s="12"/>
      <c r="B436" s="34"/>
      <c r="C436" s="12"/>
      <c r="D436" s="12"/>
      <c r="E436" s="12"/>
      <c r="F436" s="12"/>
      <c r="G436" s="18"/>
      <c r="H436" s="35"/>
      <c r="I436" s="35"/>
      <c r="J436" s="12"/>
      <c r="O436" s="12"/>
      <c r="P436" s="18"/>
      <c r="Q436" s="12"/>
      <c r="R436" s="12"/>
      <c r="S436" s="12"/>
      <c r="T436" s="36"/>
      <c r="U436" s="36"/>
      <c r="V436" s="12"/>
      <c r="W436" s="12"/>
      <c r="X436" s="12"/>
      <c r="Y436" s="12"/>
    </row>
    <row r="437" customFormat="false" ht="15.75" hidden="false" customHeight="false" outlineLevel="0" collapsed="false">
      <c r="A437" s="12"/>
      <c r="B437" s="34"/>
      <c r="C437" s="12"/>
      <c r="D437" s="12"/>
      <c r="E437" s="12"/>
      <c r="F437" s="12"/>
      <c r="G437" s="18"/>
      <c r="H437" s="35"/>
      <c r="I437" s="35"/>
      <c r="J437" s="12"/>
      <c r="O437" s="12"/>
      <c r="P437" s="18"/>
      <c r="Q437" s="12"/>
      <c r="R437" s="12"/>
      <c r="S437" s="12"/>
      <c r="T437" s="36"/>
      <c r="U437" s="36"/>
      <c r="V437" s="12"/>
      <c r="W437" s="12"/>
      <c r="X437" s="12"/>
      <c r="Y437" s="12"/>
    </row>
    <row r="438" customFormat="false" ht="15.75" hidden="false" customHeight="false" outlineLevel="0" collapsed="false">
      <c r="A438" s="12"/>
      <c r="B438" s="34"/>
      <c r="C438" s="12"/>
      <c r="D438" s="12"/>
      <c r="E438" s="12"/>
      <c r="F438" s="12"/>
      <c r="G438" s="18"/>
      <c r="H438" s="35"/>
      <c r="I438" s="35"/>
      <c r="J438" s="12"/>
      <c r="O438" s="12"/>
      <c r="P438" s="18"/>
      <c r="Q438" s="12"/>
      <c r="R438" s="12"/>
      <c r="S438" s="12"/>
      <c r="T438" s="36"/>
      <c r="U438" s="36"/>
      <c r="V438" s="12"/>
      <c r="W438" s="12"/>
      <c r="X438" s="12"/>
      <c r="Y438" s="12"/>
    </row>
    <row r="439" customFormat="false" ht="15.75" hidden="false" customHeight="false" outlineLevel="0" collapsed="false">
      <c r="A439" s="12"/>
      <c r="B439" s="34"/>
      <c r="C439" s="12"/>
      <c r="D439" s="12"/>
      <c r="E439" s="12"/>
      <c r="F439" s="12"/>
      <c r="G439" s="18"/>
      <c r="H439" s="35"/>
      <c r="I439" s="35"/>
      <c r="J439" s="12"/>
      <c r="O439" s="12"/>
      <c r="P439" s="18"/>
      <c r="Q439" s="12"/>
      <c r="R439" s="12"/>
      <c r="S439" s="12"/>
      <c r="T439" s="36"/>
      <c r="U439" s="36"/>
      <c r="V439" s="12"/>
      <c r="W439" s="12"/>
      <c r="X439" s="12"/>
      <c r="Y439" s="12"/>
    </row>
    <row r="440" customFormat="false" ht="15.75" hidden="false" customHeight="false" outlineLevel="0" collapsed="false">
      <c r="A440" s="12"/>
      <c r="B440" s="34"/>
      <c r="C440" s="12"/>
      <c r="D440" s="12"/>
      <c r="E440" s="12"/>
      <c r="F440" s="12"/>
      <c r="G440" s="18"/>
      <c r="H440" s="35"/>
      <c r="I440" s="35"/>
      <c r="J440" s="12"/>
      <c r="O440" s="12"/>
      <c r="P440" s="18"/>
      <c r="Q440" s="12"/>
      <c r="R440" s="12"/>
      <c r="S440" s="12"/>
      <c r="T440" s="36"/>
      <c r="U440" s="36"/>
      <c r="V440" s="12"/>
      <c r="W440" s="12"/>
      <c r="X440" s="12"/>
      <c r="Y440" s="12"/>
    </row>
    <row r="441" customFormat="false" ht="15.75" hidden="false" customHeight="false" outlineLevel="0" collapsed="false">
      <c r="A441" s="12"/>
      <c r="B441" s="34"/>
      <c r="C441" s="12"/>
      <c r="D441" s="12"/>
      <c r="E441" s="12"/>
      <c r="F441" s="12"/>
      <c r="G441" s="18"/>
      <c r="H441" s="35"/>
      <c r="I441" s="35"/>
      <c r="J441" s="12"/>
      <c r="O441" s="12"/>
      <c r="P441" s="18"/>
      <c r="Q441" s="12"/>
      <c r="R441" s="12"/>
      <c r="S441" s="12"/>
      <c r="T441" s="36"/>
      <c r="U441" s="36"/>
      <c r="V441" s="12"/>
      <c r="W441" s="12"/>
      <c r="X441" s="12"/>
      <c r="Y441" s="12"/>
    </row>
    <row r="442" customFormat="false" ht="15.75" hidden="false" customHeight="false" outlineLevel="0" collapsed="false">
      <c r="A442" s="12"/>
      <c r="B442" s="34"/>
      <c r="C442" s="12"/>
      <c r="D442" s="12"/>
      <c r="E442" s="12"/>
      <c r="F442" s="12"/>
      <c r="G442" s="18"/>
      <c r="H442" s="35"/>
      <c r="I442" s="35"/>
      <c r="J442" s="12"/>
      <c r="O442" s="12"/>
      <c r="P442" s="18"/>
      <c r="Q442" s="12"/>
      <c r="R442" s="12"/>
      <c r="S442" s="12"/>
      <c r="T442" s="36"/>
      <c r="U442" s="36"/>
      <c r="V442" s="12"/>
      <c r="W442" s="12"/>
      <c r="X442" s="12"/>
      <c r="Y442" s="12"/>
    </row>
    <row r="443" customFormat="false" ht="15.75" hidden="false" customHeight="false" outlineLevel="0" collapsed="false">
      <c r="A443" s="12"/>
      <c r="B443" s="34"/>
      <c r="C443" s="12"/>
      <c r="D443" s="12"/>
      <c r="E443" s="12"/>
      <c r="F443" s="12"/>
      <c r="G443" s="18"/>
      <c r="H443" s="35"/>
      <c r="I443" s="35"/>
      <c r="J443" s="12"/>
      <c r="O443" s="12"/>
      <c r="P443" s="18"/>
      <c r="Q443" s="12"/>
      <c r="R443" s="12"/>
      <c r="S443" s="12"/>
      <c r="T443" s="36"/>
      <c r="U443" s="36"/>
      <c r="V443" s="12"/>
      <c r="W443" s="12"/>
      <c r="X443" s="12"/>
      <c r="Y443" s="12"/>
    </row>
    <row r="444" customFormat="false" ht="15.75" hidden="false" customHeight="false" outlineLevel="0" collapsed="false">
      <c r="A444" s="12"/>
      <c r="B444" s="34"/>
      <c r="C444" s="12"/>
      <c r="D444" s="12"/>
      <c r="E444" s="12"/>
      <c r="F444" s="12"/>
      <c r="G444" s="18"/>
      <c r="H444" s="35"/>
      <c r="I444" s="35"/>
      <c r="J444" s="12"/>
      <c r="O444" s="12"/>
      <c r="P444" s="18"/>
      <c r="Q444" s="12"/>
      <c r="R444" s="12"/>
      <c r="S444" s="12"/>
      <c r="T444" s="36"/>
      <c r="U444" s="36"/>
      <c r="V444" s="12"/>
      <c r="W444" s="12"/>
      <c r="X444" s="12"/>
      <c r="Y444" s="12"/>
    </row>
    <row r="445" customFormat="false" ht="15.75" hidden="false" customHeight="false" outlineLevel="0" collapsed="false">
      <c r="A445" s="12"/>
      <c r="B445" s="34"/>
      <c r="C445" s="12"/>
      <c r="D445" s="12"/>
      <c r="E445" s="12"/>
      <c r="F445" s="12"/>
      <c r="G445" s="18"/>
      <c r="H445" s="35"/>
      <c r="I445" s="35"/>
      <c r="J445" s="12"/>
      <c r="O445" s="12"/>
      <c r="P445" s="18"/>
      <c r="Q445" s="12"/>
      <c r="R445" s="12"/>
      <c r="S445" s="12"/>
      <c r="T445" s="36"/>
      <c r="U445" s="36"/>
      <c r="V445" s="12"/>
      <c r="W445" s="12"/>
      <c r="X445" s="12"/>
      <c r="Y445" s="12"/>
    </row>
    <row r="446" customFormat="false" ht="15.75" hidden="false" customHeight="false" outlineLevel="0" collapsed="false">
      <c r="A446" s="12"/>
      <c r="B446" s="34"/>
      <c r="C446" s="12"/>
      <c r="D446" s="12"/>
      <c r="E446" s="12"/>
      <c r="F446" s="12"/>
      <c r="G446" s="18"/>
      <c r="H446" s="35"/>
      <c r="I446" s="35"/>
      <c r="J446" s="12"/>
      <c r="O446" s="12"/>
      <c r="P446" s="18"/>
      <c r="Q446" s="12"/>
      <c r="R446" s="12"/>
      <c r="S446" s="12"/>
      <c r="T446" s="36"/>
      <c r="U446" s="36"/>
      <c r="V446" s="12"/>
      <c r="W446" s="12"/>
      <c r="X446" s="12"/>
      <c r="Y446" s="12"/>
    </row>
    <row r="447" customFormat="false" ht="15.75" hidden="false" customHeight="false" outlineLevel="0" collapsed="false">
      <c r="A447" s="12"/>
      <c r="B447" s="34"/>
      <c r="C447" s="12"/>
      <c r="D447" s="12"/>
      <c r="E447" s="12"/>
      <c r="F447" s="12"/>
      <c r="G447" s="18"/>
      <c r="H447" s="35"/>
      <c r="I447" s="35"/>
      <c r="J447" s="12"/>
      <c r="O447" s="12"/>
      <c r="P447" s="18"/>
      <c r="Q447" s="12"/>
      <c r="R447" s="12"/>
      <c r="S447" s="12"/>
      <c r="T447" s="36"/>
      <c r="U447" s="36"/>
      <c r="V447" s="12"/>
      <c r="W447" s="12"/>
      <c r="X447" s="12"/>
      <c r="Y447" s="12"/>
    </row>
    <row r="448" customFormat="false" ht="15.75" hidden="false" customHeight="false" outlineLevel="0" collapsed="false">
      <c r="A448" s="12"/>
      <c r="B448" s="34"/>
      <c r="C448" s="12"/>
      <c r="D448" s="12"/>
      <c r="E448" s="12"/>
      <c r="F448" s="12"/>
      <c r="G448" s="18"/>
      <c r="H448" s="35"/>
      <c r="I448" s="35"/>
      <c r="J448" s="12"/>
      <c r="O448" s="12"/>
      <c r="P448" s="18"/>
      <c r="Q448" s="12"/>
      <c r="R448" s="12"/>
      <c r="S448" s="12"/>
      <c r="T448" s="36"/>
      <c r="U448" s="36"/>
      <c r="V448" s="12"/>
      <c r="W448" s="12"/>
      <c r="X448" s="12"/>
      <c r="Y448" s="12"/>
    </row>
    <row r="449" customFormat="false" ht="15.75" hidden="false" customHeight="false" outlineLevel="0" collapsed="false">
      <c r="A449" s="12"/>
      <c r="B449" s="34"/>
      <c r="C449" s="12"/>
      <c r="D449" s="12"/>
      <c r="E449" s="12"/>
      <c r="F449" s="12"/>
      <c r="G449" s="18"/>
      <c r="H449" s="35"/>
      <c r="I449" s="35"/>
      <c r="J449" s="12"/>
      <c r="O449" s="12"/>
      <c r="P449" s="18"/>
      <c r="Q449" s="12"/>
      <c r="R449" s="12"/>
      <c r="S449" s="12"/>
      <c r="T449" s="36"/>
      <c r="U449" s="36"/>
      <c r="V449" s="12"/>
      <c r="W449" s="12"/>
      <c r="X449" s="12"/>
      <c r="Y449" s="12"/>
    </row>
    <row r="450" customFormat="false" ht="15.75" hidden="false" customHeight="false" outlineLevel="0" collapsed="false">
      <c r="A450" s="12"/>
      <c r="B450" s="34"/>
      <c r="C450" s="12"/>
      <c r="D450" s="12"/>
      <c r="E450" s="12"/>
      <c r="F450" s="12"/>
      <c r="G450" s="18"/>
      <c r="H450" s="35"/>
      <c r="I450" s="35"/>
      <c r="J450" s="12"/>
      <c r="O450" s="12"/>
      <c r="P450" s="18"/>
      <c r="Q450" s="12"/>
      <c r="R450" s="12"/>
      <c r="S450" s="12"/>
      <c r="T450" s="36"/>
      <c r="U450" s="36"/>
      <c r="V450" s="12"/>
      <c r="W450" s="12"/>
      <c r="X450" s="12"/>
      <c r="Y450" s="12"/>
    </row>
    <row r="451" customFormat="false" ht="15.75" hidden="false" customHeight="false" outlineLevel="0" collapsed="false">
      <c r="A451" s="12"/>
      <c r="B451" s="34"/>
      <c r="C451" s="12"/>
      <c r="D451" s="12"/>
      <c r="E451" s="12"/>
      <c r="F451" s="12"/>
      <c r="G451" s="18"/>
      <c r="H451" s="35"/>
      <c r="I451" s="35"/>
      <c r="J451" s="12"/>
      <c r="O451" s="12"/>
      <c r="P451" s="18"/>
      <c r="Q451" s="12"/>
      <c r="R451" s="12"/>
      <c r="S451" s="12"/>
      <c r="T451" s="36"/>
      <c r="U451" s="36"/>
      <c r="V451" s="12"/>
      <c r="W451" s="12"/>
      <c r="X451" s="12"/>
      <c r="Y451" s="12"/>
    </row>
    <row r="452" customFormat="false" ht="15.75" hidden="false" customHeight="false" outlineLevel="0" collapsed="false">
      <c r="A452" s="12"/>
      <c r="B452" s="34"/>
      <c r="C452" s="12"/>
      <c r="D452" s="12"/>
      <c r="E452" s="12"/>
      <c r="F452" s="12"/>
      <c r="G452" s="18"/>
      <c r="H452" s="35"/>
      <c r="I452" s="35"/>
      <c r="J452" s="12"/>
      <c r="O452" s="12"/>
      <c r="P452" s="18"/>
      <c r="Q452" s="12"/>
      <c r="R452" s="12"/>
      <c r="S452" s="12"/>
      <c r="T452" s="36"/>
      <c r="U452" s="36"/>
      <c r="V452" s="12"/>
      <c r="W452" s="12"/>
      <c r="X452" s="12"/>
      <c r="Y452" s="12"/>
    </row>
    <row r="453" customFormat="false" ht="15.75" hidden="false" customHeight="false" outlineLevel="0" collapsed="false">
      <c r="A453" s="12"/>
      <c r="B453" s="34"/>
      <c r="C453" s="12"/>
      <c r="D453" s="12"/>
      <c r="E453" s="12"/>
      <c r="F453" s="12"/>
      <c r="G453" s="18"/>
      <c r="H453" s="35"/>
      <c r="I453" s="35"/>
      <c r="J453" s="12"/>
      <c r="O453" s="12"/>
      <c r="P453" s="18"/>
      <c r="Q453" s="12"/>
      <c r="R453" s="12"/>
      <c r="S453" s="12"/>
      <c r="T453" s="36"/>
      <c r="U453" s="36"/>
      <c r="V453" s="12"/>
      <c r="W453" s="12"/>
      <c r="X453" s="12"/>
      <c r="Y453" s="12"/>
    </row>
    <row r="454" customFormat="false" ht="15.75" hidden="false" customHeight="false" outlineLevel="0" collapsed="false">
      <c r="A454" s="12"/>
      <c r="B454" s="34"/>
      <c r="C454" s="12"/>
      <c r="D454" s="12"/>
      <c r="E454" s="12"/>
      <c r="F454" s="12"/>
      <c r="G454" s="18"/>
      <c r="H454" s="35"/>
      <c r="I454" s="35"/>
      <c r="J454" s="12"/>
      <c r="O454" s="12"/>
      <c r="P454" s="18"/>
      <c r="Q454" s="12"/>
      <c r="R454" s="12"/>
      <c r="S454" s="12"/>
      <c r="T454" s="36"/>
      <c r="U454" s="36"/>
      <c r="V454" s="12"/>
      <c r="W454" s="12"/>
      <c r="X454" s="12"/>
      <c r="Y454" s="12"/>
    </row>
    <row r="455" customFormat="false" ht="15.75" hidden="false" customHeight="false" outlineLevel="0" collapsed="false">
      <c r="A455" s="12"/>
      <c r="B455" s="34"/>
      <c r="C455" s="12"/>
      <c r="D455" s="12"/>
      <c r="E455" s="12"/>
      <c r="F455" s="12"/>
      <c r="G455" s="18"/>
      <c r="H455" s="35"/>
      <c r="I455" s="35"/>
      <c r="J455" s="12"/>
      <c r="O455" s="12"/>
      <c r="P455" s="18"/>
      <c r="Q455" s="12"/>
      <c r="R455" s="12"/>
      <c r="S455" s="12"/>
      <c r="T455" s="36"/>
      <c r="U455" s="36"/>
      <c r="V455" s="12"/>
      <c r="W455" s="12"/>
      <c r="X455" s="12"/>
      <c r="Y455" s="12"/>
    </row>
    <row r="456" customFormat="false" ht="15.75" hidden="false" customHeight="false" outlineLevel="0" collapsed="false">
      <c r="A456" s="12"/>
      <c r="B456" s="34"/>
      <c r="C456" s="12"/>
      <c r="D456" s="12"/>
      <c r="E456" s="12"/>
      <c r="F456" s="12"/>
      <c r="G456" s="18"/>
      <c r="H456" s="35"/>
      <c r="I456" s="35"/>
      <c r="J456" s="12"/>
      <c r="O456" s="12"/>
      <c r="P456" s="18"/>
      <c r="Q456" s="12"/>
      <c r="R456" s="12"/>
      <c r="S456" s="12"/>
      <c r="T456" s="36"/>
      <c r="U456" s="36"/>
      <c r="V456" s="12"/>
      <c r="W456" s="12"/>
      <c r="X456" s="12"/>
      <c r="Y456" s="12"/>
    </row>
    <row r="457" customFormat="false" ht="15.75" hidden="false" customHeight="false" outlineLevel="0" collapsed="false">
      <c r="A457" s="12"/>
      <c r="B457" s="34"/>
      <c r="C457" s="12"/>
      <c r="D457" s="12"/>
      <c r="E457" s="12"/>
      <c r="F457" s="12"/>
      <c r="G457" s="18"/>
      <c r="H457" s="35"/>
      <c r="I457" s="35"/>
      <c r="J457" s="12"/>
      <c r="O457" s="12"/>
      <c r="P457" s="18"/>
      <c r="Q457" s="12"/>
      <c r="R457" s="12"/>
      <c r="S457" s="12"/>
      <c r="T457" s="36"/>
      <c r="U457" s="36"/>
      <c r="V457" s="12"/>
      <c r="W457" s="12"/>
      <c r="X457" s="12"/>
      <c r="Y457" s="12"/>
    </row>
    <row r="458" customFormat="false" ht="15.75" hidden="false" customHeight="false" outlineLevel="0" collapsed="false">
      <c r="A458" s="12"/>
      <c r="B458" s="34"/>
      <c r="C458" s="12"/>
      <c r="D458" s="12"/>
      <c r="E458" s="12"/>
      <c r="F458" s="12"/>
      <c r="G458" s="18"/>
      <c r="H458" s="35"/>
      <c r="I458" s="35"/>
      <c r="J458" s="12"/>
      <c r="O458" s="12"/>
      <c r="P458" s="18"/>
      <c r="Q458" s="12"/>
      <c r="R458" s="12"/>
      <c r="S458" s="12"/>
      <c r="T458" s="36"/>
      <c r="U458" s="36"/>
      <c r="V458" s="12"/>
      <c r="W458" s="12"/>
      <c r="X458" s="12"/>
      <c r="Y458" s="12"/>
    </row>
    <row r="459" customFormat="false" ht="15.75" hidden="false" customHeight="false" outlineLevel="0" collapsed="false">
      <c r="A459" s="12"/>
      <c r="B459" s="34"/>
      <c r="C459" s="12"/>
      <c r="D459" s="12"/>
      <c r="E459" s="12"/>
      <c r="F459" s="12"/>
      <c r="G459" s="18"/>
      <c r="H459" s="35"/>
      <c r="I459" s="35"/>
      <c r="J459" s="12"/>
      <c r="O459" s="12"/>
      <c r="P459" s="18"/>
      <c r="Q459" s="12"/>
      <c r="R459" s="12"/>
      <c r="S459" s="12"/>
      <c r="T459" s="36"/>
      <c r="U459" s="36"/>
      <c r="V459" s="12"/>
      <c r="W459" s="12"/>
      <c r="X459" s="12"/>
      <c r="Y459" s="12"/>
    </row>
    <row r="460" customFormat="false" ht="15.75" hidden="false" customHeight="false" outlineLevel="0" collapsed="false">
      <c r="A460" s="12"/>
      <c r="B460" s="34"/>
      <c r="C460" s="12"/>
      <c r="D460" s="12"/>
      <c r="E460" s="12"/>
      <c r="F460" s="12"/>
      <c r="G460" s="18"/>
      <c r="H460" s="35"/>
      <c r="I460" s="35"/>
      <c r="J460" s="12"/>
      <c r="O460" s="12"/>
      <c r="P460" s="18"/>
      <c r="Q460" s="12"/>
      <c r="R460" s="12"/>
      <c r="S460" s="12"/>
      <c r="T460" s="36"/>
      <c r="U460" s="36"/>
      <c r="V460" s="12"/>
      <c r="W460" s="12"/>
      <c r="X460" s="12"/>
      <c r="Y460" s="12"/>
    </row>
    <row r="461" customFormat="false" ht="15.75" hidden="false" customHeight="false" outlineLevel="0" collapsed="false">
      <c r="A461" s="12"/>
      <c r="B461" s="34"/>
      <c r="C461" s="12"/>
      <c r="D461" s="12"/>
      <c r="E461" s="12"/>
      <c r="F461" s="12"/>
      <c r="G461" s="18"/>
      <c r="H461" s="35"/>
      <c r="I461" s="35"/>
      <c r="J461" s="12"/>
      <c r="O461" s="12"/>
      <c r="P461" s="18"/>
      <c r="Q461" s="12"/>
      <c r="R461" s="12"/>
      <c r="S461" s="12"/>
      <c r="T461" s="36"/>
      <c r="U461" s="36"/>
      <c r="V461" s="12"/>
      <c r="W461" s="12"/>
      <c r="X461" s="12"/>
      <c r="Y461" s="12"/>
    </row>
    <row r="462" customFormat="false" ht="15.75" hidden="false" customHeight="false" outlineLevel="0" collapsed="false">
      <c r="A462" s="12"/>
      <c r="B462" s="34"/>
      <c r="C462" s="12"/>
      <c r="D462" s="12"/>
      <c r="E462" s="12"/>
      <c r="F462" s="12"/>
      <c r="G462" s="18"/>
      <c r="H462" s="35"/>
      <c r="I462" s="35"/>
      <c r="J462" s="12"/>
      <c r="O462" s="12"/>
      <c r="P462" s="18"/>
      <c r="Q462" s="12"/>
      <c r="R462" s="12"/>
      <c r="S462" s="12"/>
      <c r="T462" s="36"/>
      <c r="U462" s="36"/>
      <c r="V462" s="12"/>
      <c r="W462" s="12"/>
      <c r="X462" s="12"/>
      <c r="Y462" s="12"/>
    </row>
    <row r="463" customFormat="false" ht="15.75" hidden="false" customHeight="false" outlineLevel="0" collapsed="false">
      <c r="A463" s="12"/>
      <c r="B463" s="34"/>
      <c r="C463" s="12"/>
      <c r="D463" s="12"/>
      <c r="E463" s="12"/>
      <c r="F463" s="12"/>
      <c r="G463" s="18"/>
      <c r="H463" s="35"/>
      <c r="I463" s="35"/>
      <c r="J463" s="12"/>
      <c r="O463" s="12"/>
      <c r="P463" s="18"/>
      <c r="Q463" s="12"/>
      <c r="R463" s="12"/>
      <c r="S463" s="12"/>
      <c r="T463" s="36"/>
      <c r="U463" s="36"/>
      <c r="V463" s="12"/>
      <c r="W463" s="12"/>
      <c r="X463" s="12"/>
      <c r="Y463" s="12"/>
    </row>
    <row r="464" customFormat="false" ht="15.75" hidden="false" customHeight="false" outlineLevel="0" collapsed="false">
      <c r="A464" s="12"/>
      <c r="B464" s="34"/>
      <c r="C464" s="12"/>
      <c r="D464" s="12"/>
      <c r="E464" s="12"/>
      <c r="F464" s="12"/>
      <c r="G464" s="18"/>
      <c r="H464" s="35"/>
      <c r="I464" s="35"/>
      <c r="J464" s="12"/>
      <c r="O464" s="12"/>
      <c r="P464" s="18"/>
      <c r="Q464" s="12"/>
      <c r="R464" s="12"/>
      <c r="S464" s="12"/>
      <c r="T464" s="36"/>
      <c r="U464" s="36"/>
      <c r="V464" s="12"/>
      <c r="W464" s="12"/>
      <c r="X464" s="12"/>
      <c r="Y464" s="12"/>
    </row>
    <row r="465" customFormat="false" ht="15.75" hidden="false" customHeight="false" outlineLevel="0" collapsed="false">
      <c r="A465" s="12"/>
      <c r="B465" s="34"/>
      <c r="C465" s="12"/>
      <c r="D465" s="12"/>
      <c r="E465" s="12"/>
      <c r="F465" s="12"/>
      <c r="G465" s="18"/>
      <c r="H465" s="35"/>
      <c r="I465" s="35"/>
      <c r="J465" s="12"/>
      <c r="O465" s="12"/>
      <c r="P465" s="18"/>
      <c r="Q465" s="12"/>
      <c r="R465" s="12"/>
      <c r="S465" s="12"/>
      <c r="T465" s="36"/>
      <c r="U465" s="36"/>
      <c r="V465" s="12"/>
      <c r="W465" s="12"/>
      <c r="X465" s="12"/>
      <c r="Y465" s="12"/>
    </row>
    <row r="466" customFormat="false" ht="15.75" hidden="false" customHeight="false" outlineLevel="0" collapsed="false">
      <c r="A466" s="12"/>
      <c r="B466" s="34"/>
      <c r="C466" s="12"/>
      <c r="D466" s="12"/>
      <c r="E466" s="12"/>
      <c r="F466" s="12"/>
      <c r="G466" s="18"/>
      <c r="H466" s="35"/>
      <c r="I466" s="35"/>
      <c r="J466" s="12"/>
      <c r="O466" s="12"/>
      <c r="P466" s="18"/>
      <c r="Q466" s="12"/>
      <c r="R466" s="12"/>
      <c r="S466" s="12"/>
      <c r="T466" s="36"/>
      <c r="U466" s="36"/>
      <c r="V466" s="12"/>
      <c r="W466" s="12"/>
      <c r="X466" s="12"/>
      <c r="Y466" s="12"/>
    </row>
    <row r="467" customFormat="false" ht="15.75" hidden="false" customHeight="false" outlineLevel="0" collapsed="false">
      <c r="A467" s="12"/>
      <c r="B467" s="34"/>
      <c r="C467" s="12"/>
      <c r="D467" s="12"/>
      <c r="E467" s="12"/>
      <c r="F467" s="12"/>
      <c r="G467" s="18"/>
      <c r="H467" s="35"/>
      <c r="I467" s="35"/>
      <c r="J467" s="12"/>
      <c r="O467" s="12"/>
      <c r="P467" s="18"/>
      <c r="Q467" s="12"/>
      <c r="R467" s="12"/>
      <c r="S467" s="12"/>
      <c r="T467" s="36"/>
      <c r="U467" s="36"/>
      <c r="V467" s="12"/>
      <c r="W467" s="12"/>
      <c r="X467" s="12"/>
      <c r="Y467" s="12"/>
    </row>
    <row r="468" customFormat="false" ht="15.75" hidden="false" customHeight="false" outlineLevel="0" collapsed="false">
      <c r="A468" s="12"/>
      <c r="B468" s="34"/>
      <c r="C468" s="12"/>
      <c r="D468" s="12"/>
      <c r="E468" s="12"/>
      <c r="F468" s="12"/>
      <c r="G468" s="18"/>
      <c r="H468" s="35"/>
      <c r="I468" s="35"/>
      <c r="J468" s="12"/>
      <c r="O468" s="12"/>
      <c r="P468" s="18"/>
      <c r="Q468" s="12"/>
      <c r="R468" s="12"/>
      <c r="S468" s="12"/>
      <c r="T468" s="36"/>
      <c r="U468" s="36"/>
      <c r="V468" s="12"/>
      <c r="W468" s="12"/>
      <c r="X468" s="12"/>
      <c r="Y468" s="12"/>
    </row>
    <row r="469" customFormat="false" ht="15.75" hidden="false" customHeight="false" outlineLevel="0" collapsed="false">
      <c r="A469" s="12"/>
      <c r="B469" s="34"/>
      <c r="C469" s="12"/>
      <c r="D469" s="12"/>
      <c r="E469" s="12"/>
      <c r="F469" s="12"/>
      <c r="G469" s="18"/>
      <c r="H469" s="35"/>
      <c r="I469" s="35"/>
      <c r="J469" s="12"/>
      <c r="O469" s="12"/>
      <c r="P469" s="18"/>
      <c r="Q469" s="12"/>
      <c r="R469" s="12"/>
      <c r="S469" s="12"/>
      <c r="T469" s="36"/>
      <c r="U469" s="36"/>
      <c r="V469" s="12"/>
      <c r="W469" s="12"/>
      <c r="X469" s="12"/>
      <c r="Y469" s="12"/>
    </row>
    <row r="470" customFormat="false" ht="15.75" hidden="false" customHeight="false" outlineLevel="0" collapsed="false">
      <c r="A470" s="12"/>
      <c r="B470" s="34"/>
      <c r="C470" s="12"/>
      <c r="D470" s="12"/>
      <c r="E470" s="12"/>
      <c r="F470" s="12"/>
      <c r="G470" s="18"/>
      <c r="H470" s="35"/>
      <c r="I470" s="35"/>
      <c r="J470" s="12"/>
      <c r="O470" s="12"/>
      <c r="P470" s="18"/>
      <c r="Q470" s="12"/>
      <c r="R470" s="12"/>
      <c r="S470" s="12"/>
      <c r="T470" s="36"/>
      <c r="U470" s="36"/>
      <c r="V470" s="12"/>
      <c r="W470" s="12"/>
      <c r="X470" s="12"/>
      <c r="Y470" s="12"/>
    </row>
    <row r="471" customFormat="false" ht="15.75" hidden="false" customHeight="false" outlineLevel="0" collapsed="false">
      <c r="A471" s="12"/>
      <c r="B471" s="34"/>
      <c r="C471" s="12"/>
      <c r="D471" s="12"/>
      <c r="E471" s="12"/>
      <c r="F471" s="12"/>
      <c r="G471" s="18"/>
      <c r="H471" s="35"/>
      <c r="I471" s="35"/>
      <c r="J471" s="12"/>
      <c r="O471" s="12"/>
      <c r="P471" s="18"/>
      <c r="Q471" s="12"/>
      <c r="R471" s="12"/>
      <c r="S471" s="12"/>
      <c r="T471" s="36"/>
      <c r="U471" s="36"/>
      <c r="V471" s="12"/>
      <c r="W471" s="12"/>
      <c r="X471" s="12"/>
      <c r="Y471" s="12"/>
    </row>
    <row r="472" customFormat="false" ht="15.75" hidden="false" customHeight="false" outlineLevel="0" collapsed="false">
      <c r="A472" s="12"/>
      <c r="B472" s="34"/>
      <c r="C472" s="12"/>
      <c r="D472" s="12"/>
      <c r="E472" s="12"/>
      <c r="F472" s="12"/>
      <c r="G472" s="18"/>
      <c r="H472" s="35"/>
      <c r="I472" s="35"/>
      <c r="J472" s="12"/>
      <c r="O472" s="12"/>
      <c r="P472" s="18"/>
      <c r="Q472" s="12"/>
      <c r="R472" s="12"/>
      <c r="S472" s="12"/>
      <c r="T472" s="36"/>
      <c r="U472" s="36"/>
      <c r="V472" s="12"/>
      <c r="W472" s="12"/>
      <c r="X472" s="12"/>
      <c r="Y472" s="12"/>
    </row>
    <row r="473" customFormat="false" ht="15.75" hidden="false" customHeight="false" outlineLevel="0" collapsed="false">
      <c r="A473" s="12"/>
      <c r="B473" s="34"/>
      <c r="C473" s="12"/>
      <c r="D473" s="12"/>
      <c r="E473" s="12"/>
      <c r="F473" s="12"/>
      <c r="G473" s="18"/>
      <c r="H473" s="35"/>
      <c r="I473" s="35"/>
      <c r="J473" s="12"/>
      <c r="O473" s="12"/>
      <c r="P473" s="18"/>
      <c r="Q473" s="12"/>
      <c r="R473" s="12"/>
      <c r="S473" s="12"/>
      <c r="T473" s="36"/>
      <c r="U473" s="36"/>
      <c r="V473" s="12"/>
      <c r="W473" s="12"/>
      <c r="X473" s="12"/>
      <c r="Y473" s="12"/>
    </row>
    <row r="474" customFormat="false" ht="15.75" hidden="false" customHeight="false" outlineLevel="0" collapsed="false">
      <c r="A474" s="12"/>
      <c r="B474" s="34"/>
      <c r="C474" s="12"/>
      <c r="D474" s="12"/>
      <c r="E474" s="12"/>
      <c r="F474" s="12"/>
      <c r="G474" s="18"/>
      <c r="H474" s="35"/>
      <c r="I474" s="35"/>
      <c r="J474" s="12"/>
      <c r="O474" s="12"/>
      <c r="P474" s="18"/>
      <c r="Q474" s="12"/>
      <c r="R474" s="12"/>
      <c r="S474" s="12"/>
      <c r="T474" s="36"/>
      <c r="U474" s="36"/>
      <c r="V474" s="12"/>
      <c r="W474" s="12"/>
      <c r="X474" s="12"/>
      <c r="Y474" s="12"/>
    </row>
    <row r="475" customFormat="false" ht="15.75" hidden="false" customHeight="false" outlineLevel="0" collapsed="false">
      <c r="A475" s="12"/>
      <c r="B475" s="34"/>
      <c r="C475" s="12"/>
      <c r="D475" s="12"/>
      <c r="E475" s="12"/>
      <c r="F475" s="12"/>
      <c r="G475" s="18"/>
      <c r="H475" s="35"/>
      <c r="I475" s="35"/>
      <c r="J475" s="12"/>
      <c r="O475" s="12"/>
      <c r="P475" s="18"/>
      <c r="Q475" s="12"/>
      <c r="R475" s="12"/>
      <c r="S475" s="12"/>
      <c r="T475" s="36"/>
      <c r="U475" s="36"/>
      <c r="V475" s="12"/>
      <c r="W475" s="12"/>
      <c r="X475" s="12"/>
      <c r="Y475" s="12"/>
    </row>
    <row r="476" customFormat="false" ht="15.75" hidden="false" customHeight="false" outlineLevel="0" collapsed="false">
      <c r="A476" s="12"/>
      <c r="B476" s="34"/>
      <c r="C476" s="12"/>
      <c r="D476" s="12"/>
      <c r="E476" s="12"/>
      <c r="F476" s="12"/>
      <c r="G476" s="18"/>
      <c r="H476" s="35"/>
      <c r="I476" s="35"/>
      <c r="J476" s="12"/>
      <c r="O476" s="12"/>
      <c r="P476" s="18"/>
      <c r="Q476" s="12"/>
      <c r="R476" s="12"/>
      <c r="S476" s="12"/>
      <c r="T476" s="36"/>
      <c r="U476" s="36"/>
      <c r="V476" s="12"/>
      <c r="W476" s="12"/>
      <c r="X476" s="12"/>
      <c r="Y476" s="12"/>
    </row>
    <row r="477" customFormat="false" ht="15.75" hidden="false" customHeight="false" outlineLevel="0" collapsed="false">
      <c r="A477" s="12"/>
      <c r="B477" s="34"/>
      <c r="C477" s="12"/>
      <c r="D477" s="12"/>
      <c r="E477" s="12"/>
      <c r="F477" s="12"/>
      <c r="G477" s="18"/>
      <c r="H477" s="35"/>
      <c r="I477" s="35"/>
      <c r="J477" s="12"/>
      <c r="O477" s="12"/>
      <c r="P477" s="18"/>
      <c r="Q477" s="12"/>
      <c r="R477" s="12"/>
      <c r="S477" s="12"/>
      <c r="T477" s="36"/>
      <c r="U477" s="36"/>
      <c r="V477" s="12"/>
      <c r="W477" s="12"/>
      <c r="X477" s="12"/>
      <c r="Y477" s="12"/>
    </row>
    <row r="478" customFormat="false" ht="15.75" hidden="false" customHeight="false" outlineLevel="0" collapsed="false">
      <c r="A478" s="12"/>
      <c r="B478" s="34"/>
      <c r="C478" s="12"/>
      <c r="D478" s="12"/>
      <c r="E478" s="12"/>
      <c r="F478" s="12"/>
      <c r="G478" s="18"/>
      <c r="H478" s="35"/>
      <c r="I478" s="35"/>
      <c r="J478" s="12"/>
      <c r="O478" s="12"/>
      <c r="P478" s="18"/>
      <c r="Q478" s="12"/>
      <c r="R478" s="12"/>
      <c r="S478" s="12"/>
      <c r="T478" s="36"/>
      <c r="U478" s="36"/>
      <c r="V478" s="12"/>
      <c r="W478" s="12"/>
      <c r="X478" s="12"/>
      <c r="Y478" s="12"/>
    </row>
    <row r="479" customFormat="false" ht="15.75" hidden="false" customHeight="false" outlineLevel="0" collapsed="false">
      <c r="A479" s="12"/>
      <c r="B479" s="34"/>
      <c r="C479" s="12"/>
      <c r="D479" s="12"/>
      <c r="E479" s="12"/>
      <c r="F479" s="12"/>
      <c r="G479" s="18"/>
      <c r="H479" s="35"/>
      <c r="I479" s="35"/>
      <c r="J479" s="12"/>
      <c r="O479" s="12"/>
      <c r="P479" s="18"/>
      <c r="Q479" s="12"/>
      <c r="R479" s="12"/>
      <c r="S479" s="12"/>
      <c r="T479" s="36"/>
      <c r="U479" s="36"/>
      <c r="V479" s="12"/>
      <c r="W479" s="12"/>
      <c r="X479" s="12"/>
      <c r="Y479" s="12"/>
    </row>
    <row r="480" customFormat="false" ht="15.75" hidden="false" customHeight="false" outlineLevel="0" collapsed="false">
      <c r="A480" s="12"/>
      <c r="B480" s="34"/>
      <c r="C480" s="12"/>
      <c r="D480" s="12"/>
      <c r="E480" s="12"/>
      <c r="F480" s="12"/>
      <c r="G480" s="18"/>
      <c r="H480" s="35"/>
      <c r="I480" s="35"/>
      <c r="J480" s="12"/>
      <c r="O480" s="12"/>
      <c r="P480" s="18"/>
      <c r="Q480" s="12"/>
      <c r="R480" s="12"/>
      <c r="S480" s="12"/>
      <c r="T480" s="36"/>
      <c r="U480" s="36"/>
      <c r="V480" s="12"/>
      <c r="W480" s="12"/>
      <c r="X480" s="12"/>
      <c r="Y480" s="12"/>
    </row>
    <row r="481" customFormat="false" ht="15.75" hidden="false" customHeight="false" outlineLevel="0" collapsed="false">
      <c r="A481" s="12"/>
      <c r="B481" s="34"/>
      <c r="C481" s="12"/>
      <c r="D481" s="12"/>
      <c r="E481" s="12"/>
      <c r="F481" s="12"/>
      <c r="G481" s="18"/>
      <c r="H481" s="35"/>
      <c r="I481" s="35"/>
      <c r="J481" s="12"/>
      <c r="O481" s="12"/>
      <c r="P481" s="18"/>
      <c r="Q481" s="12"/>
      <c r="R481" s="12"/>
      <c r="S481" s="12"/>
      <c r="T481" s="36"/>
      <c r="U481" s="36"/>
      <c r="V481" s="12"/>
      <c r="W481" s="12"/>
      <c r="X481" s="12"/>
      <c r="Y481" s="12"/>
    </row>
    <row r="482" customFormat="false" ht="15.75" hidden="false" customHeight="false" outlineLevel="0" collapsed="false">
      <c r="A482" s="12"/>
      <c r="B482" s="34"/>
      <c r="C482" s="12"/>
      <c r="D482" s="12"/>
      <c r="E482" s="12"/>
      <c r="F482" s="12"/>
      <c r="G482" s="18"/>
      <c r="H482" s="35"/>
      <c r="I482" s="35"/>
      <c r="J482" s="12"/>
      <c r="O482" s="12"/>
      <c r="P482" s="18"/>
      <c r="Q482" s="12"/>
      <c r="R482" s="12"/>
      <c r="S482" s="12"/>
      <c r="T482" s="36"/>
      <c r="U482" s="36"/>
      <c r="V482" s="12"/>
      <c r="W482" s="12"/>
      <c r="X482" s="12"/>
      <c r="Y482" s="12"/>
    </row>
    <row r="483" customFormat="false" ht="15.75" hidden="false" customHeight="false" outlineLevel="0" collapsed="false">
      <c r="A483" s="12"/>
      <c r="B483" s="34"/>
      <c r="C483" s="12"/>
      <c r="D483" s="12"/>
      <c r="E483" s="12"/>
      <c r="F483" s="12"/>
      <c r="G483" s="18"/>
      <c r="H483" s="35"/>
      <c r="I483" s="35"/>
      <c r="J483" s="12"/>
      <c r="O483" s="12"/>
      <c r="P483" s="18"/>
      <c r="Q483" s="12"/>
      <c r="R483" s="12"/>
      <c r="S483" s="12"/>
      <c r="T483" s="36"/>
      <c r="U483" s="36"/>
      <c r="V483" s="12"/>
      <c r="W483" s="12"/>
      <c r="X483" s="12"/>
      <c r="Y483" s="12"/>
    </row>
    <row r="484" customFormat="false" ht="15.75" hidden="false" customHeight="false" outlineLevel="0" collapsed="false">
      <c r="A484" s="12"/>
      <c r="B484" s="34"/>
      <c r="C484" s="12"/>
      <c r="D484" s="12"/>
      <c r="E484" s="12"/>
      <c r="F484" s="12"/>
      <c r="G484" s="18"/>
      <c r="H484" s="35"/>
      <c r="I484" s="35"/>
      <c r="J484" s="12"/>
      <c r="O484" s="12"/>
      <c r="P484" s="18"/>
      <c r="Q484" s="12"/>
      <c r="R484" s="12"/>
      <c r="S484" s="12"/>
      <c r="T484" s="36"/>
      <c r="U484" s="36"/>
      <c r="V484" s="12"/>
      <c r="W484" s="12"/>
      <c r="X484" s="12"/>
      <c r="Y484" s="12"/>
    </row>
    <row r="485" customFormat="false" ht="15.75" hidden="false" customHeight="false" outlineLevel="0" collapsed="false">
      <c r="A485" s="12"/>
      <c r="B485" s="34"/>
      <c r="C485" s="12"/>
      <c r="D485" s="12"/>
      <c r="E485" s="12"/>
      <c r="F485" s="12"/>
      <c r="G485" s="18"/>
      <c r="H485" s="35"/>
      <c r="I485" s="35"/>
      <c r="J485" s="12"/>
      <c r="O485" s="12"/>
      <c r="P485" s="18"/>
      <c r="Q485" s="12"/>
      <c r="R485" s="12"/>
      <c r="S485" s="12"/>
      <c r="T485" s="36"/>
      <c r="U485" s="36"/>
      <c r="V485" s="12"/>
      <c r="W485" s="12"/>
      <c r="X485" s="12"/>
      <c r="Y485" s="12"/>
    </row>
    <row r="486" customFormat="false" ht="15.75" hidden="false" customHeight="false" outlineLevel="0" collapsed="false">
      <c r="A486" s="12"/>
      <c r="B486" s="34"/>
      <c r="C486" s="12"/>
      <c r="D486" s="12"/>
      <c r="E486" s="12"/>
      <c r="F486" s="12"/>
      <c r="G486" s="18"/>
      <c r="H486" s="35"/>
      <c r="I486" s="35"/>
      <c r="J486" s="12"/>
      <c r="O486" s="12"/>
      <c r="P486" s="18"/>
      <c r="Q486" s="12"/>
      <c r="R486" s="12"/>
      <c r="S486" s="12"/>
      <c r="T486" s="36"/>
      <c r="U486" s="36"/>
      <c r="V486" s="12"/>
      <c r="W486" s="12"/>
      <c r="X486" s="12"/>
      <c r="Y486" s="12"/>
    </row>
    <row r="487" customFormat="false" ht="15.75" hidden="false" customHeight="false" outlineLevel="0" collapsed="false">
      <c r="A487" s="12"/>
      <c r="B487" s="34"/>
      <c r="C487" s="12"/>
      <c r="D487" s="12"/>
      <c r="E487" s="12"/>
      <c r="F487" s="12"/>
      <c r="G487" s="18"/>
      <c r="H487" s="35"/>
      <c r="I487" s="35"/>
      <c r="J487" s="12"/>
      <c r="O487" s="12"/>
      <c r="P487" s="18"/>
      <c r="Q487" s="12"/>
      <c r="R487" s="12"/>
      <c r="S487" s="12"/>
      <c r="T487" s="36"/>
      <c r="U487" s="36"/>
      <c r="V487" s="12"/>
      <c r="W487" s="12"/>
      <c r="X487" s="12"/>
      <c r="Y487" s="12"/>
    </row>
    <row r="488" customFormat="false" ht="15.75" hidden="false" customHeight="false" outlineLevel="0" collapsed="false">
      <c r="A488" s="12"/>
      <c r="B488" s="34"/>
      <c r="C488" s="12"/>
      <c r="D488" s="12"/>
      <c r="E488" s="12"/>
      <c r="F488" s="12"/>
      <c r="G488" s="18"/>
      <c r="H488" s="35"/>
      <c r="I488" s="35"/>
      <c r="J488" s="12"/>
      <c r="O488" s="12"/>
      <c r="P488" s="18"/>
      <c r="Q488" s="12"/>
      <c r="R488" s="12"/>
      <c r="S488" s="12"/>
      <c r="T488" s="36"/>
      <c r="U488" s="36"/>
      <c r="V488" s="12"/>
      <c r="W488" s="12"/>
      <c r="X488" s="12"/>
      <c r="Y488" s="12"/>
    </row>
    <row r="489" customFormat="false" ht="15.75" hidden="false" customHeight="false" outlineLevel="0" collapsed="false">
      <c r="A489" s="12"/>
      <c r="B489" s="34"/>
      <c r="C489" s="12"/>
      <c r="D489" s="12"/>
      <c r="E489" s="12"/>
      <c r="F489" s="12"/>
      <c r="G489" s="18"/>
      <c r="H489" s="35"/>
      <c r="I489" s="35"/>
      <c r="J489" s="12"/>
      <c r="O489" s="12"/>
      <c r="P489" s="18"/>
      <c r="Q489" s="12"/>
      <c r="R489" s="12"/>
      <c r="S489" s="12"/>
      <c r="T489" s="36"/>
      <c r="U489" s="36"/>
      <c r="V489" s="12"/>
      <c r="W489" s="12"/>
      <c r="X489" s="12"/>
      <c r="Y489" s="12"/>
    </row>
    <row r="490" customFormat="false" ht="15.75" hidden="false" customHeight="false" outlineLevel="0" collapsed="false">
      <c r="A490" s="12"/>
      <c r="B490" s="34"/>
      <c r="C490" s="12"/>
      <c r="D490" s="12"/>
      <c r="E490" s="12"/>
      <c r="F490" s="12"/>
      <c r="G490" s="18"/>
      <c r="H490" s="35"/>
      <c r="I490" s="35"/>
      <c r="J490" s="12"/>
      <c r="O490" s="12"/>
      <c r="P490" s="18"/>
      <c r="Q490" s="12"/>
      <c r="R490" s="12"/>
      <c r="S490" s="12"/>
      <c r="T490" s="36"/>
      <c r="U490" s="36"/>
      <c r="V490" s="12"/>
      <c r="W490" s="12"/>
      <c r="X490" s="12"/>
      <c r="Y490" s="12"/>
    </row>
    <row r="491" customFormat="false" ht="15.75" hidden="false" customHeight="false" outlineLevel="0" collapsed="false">
      <c r="A491" s="12"/>
      <c r="B491" s="34"/>
      <c r="C491" s="12"/>
      <c r="D491" s="12"/>
      <c r="E491" s="12"/>
      <c r="F491" s="12"/>
      <c r="G491" s="18"/>
      <c r="H491" s="35"/>
      <c r="I491" s="35"/>
      <c r="J491" s="12"/>
      <c r="O491" s="12"/>
      <c r="P491" s="18"/>
      <c r="Q491" s="12"/>
      <c r="R491" s="12"/>
      <c r="S491" s="12"/>
      <c r="T491" s="36"/>
      <c r="U491" s="36"/>
      <c r="V491" s="12"/>
      <c r="W491" s="12"/>
      <c r="X491" s="12"/>
      <c r="Y491" s="12"/>
    </row>
    <row r="492" customFormat="false" ht="15.75" hidden="false" customHeight="false" outlineLevel="0" collapsed="false">
      <c r="A492" s="12"/>
      <c r="B492" s="34"/>
      <c r="C492" s="12"/>
      <c r="D492" s="12"/>
      <c r="E492" s="12"/>
      <c r="F492" s="12"/>
      <c r="G492" s="18"/>
      <c r="H492" s="35"/>
      <c r="I492" s="35"/>
      <c r="J492" s="12"/>
      <c r="O492" s="12"/>
      <c r="P492" s="18"/>
      <c r="Q492" s="12"/>
      <c r="R492" s="12"/>
      <c r="S492" s="12"/>
      <c r="T492" s="36"/>
      <c r="U492" s="36"/>
      <c r="V492" s="12"/>
      <c r="W492" s="12"/>
      <c r="X492" s="12"/>
      <c r="Y492" s="12"/>
    </row>
    <row r="493" customFormat="false" ht="15.75" hidden="false" customHeight="false" outlineLevel="0" collapsed="false">
      <c r="A493" s="12"/>
      <c r="B493" s="34"/>
      <c r="C493" s="12"/>
      <c r="D493" s="12"/>
      <c r="E493" s="12"/>
      <c r="F493" s="12"/>
      <c r="G493" s="18"/>
      <c r="H493" s="35"/>
      <c r="I493" s="35"/>
      <c r="J493" s="12"/>
      <c r="O493" s="12"/>
      <c r="P493" s="18"/>
      <c r="Q493" s="12"/>
      <c r="R493" s="12"/>
      <c r="S493" s="12"/>
      <c r="T493" s="36"/>
      <c r="U493" s="36"/>
      <c r="V493" s="12"/>
      <c r="W493" s="12"/>
      <c r="X493" s="12"/>
      <c r="Y493" s="12"/>
    </row>
    <row r="494" customFormat="false" ht="15.75" hidden="false" customHeight="false" outlineLevel="0" collapsed="false">
      <c r="A494" s="12"/>
      <c r="B494" s="34"/>
      <c r="C494" s="12"/>
      <c r="D494" s="12"/>
      <c r="E494" s="12"/>
      <c r="F494" s="12"/>
      <c r="G494" s="18"/>
      <c r="H494" s="35"/>
      <c r="I494" s="35"/>
      <c r="J494" s="12"/>
      <c r="O494" s="12"/>
      <c r="P494" s="18"/>
      <c r="Q494" s="12"/>
      <c r="R494" s="12"/>
      <c r="S494" s="12"/>
      <c r="T494" s="36"/>
      <c r="U494" s="36"/>
      <c r="V494" s="12"/>
      <c r="W494" s="12"/>
      <c r="X494" s="12"/>
      <c r="Y494" s="12"/>
    </row>
    <row r="495" customFormat="false" ht="15.75" hidden="false" customHeight="false" outlineLevel="0" collapsed="false">
      <c r="A495" s="12"/>
      <c r="B495" s="34"/>
      <c r="C495" s="12"/>
      <c r="D495" s="12"/>
      <c r="E495" s="12"/>
      <c r="F495" s="12"/>
      <c r="G495" s="18"/>
      <c r="H495" s="35"/>
      <c r="I495" s="35"/>
      <c r="J495" s="12"/>
      <c r="O495" s="12"/>
      <c r="P495" s="18"/>
      <c r="Q495" s="12"/>
      <c r="R495" s="12"/>
      <c r="S495" s="12"/>
      <c r="T495" s="36"/>
      <c r="U495" s="36"/>
      <c r="V495" s="12"/>
      <c r="W495" s="12"/>
      <c r="X495" s="12"/>
      <c r="Y495" s="12"/>
    </row>
    <row r="496" customFormat="false" ht="15.75" hidden="false" customHeight="false" outlineLevel="0" collapsed="false">
      <c r="A496" s="12"/>
      <c r="B496" s="34"/>
      <c r="C496" s="12"/>
      <c r="D496" s="12"/>
      <c r="E496" s="12"/>
      <c r="F496" s="12"/>
      <c r="G496" s="18"/>
      <c r="H496" s="35"/>
      <c r="I496" s="35"/>
      <c r="J496" s="12"/>
      <c r="O496" s="12"/>
      <c r="P496" s="18"/>
      <c r="Q496" s="12"/>
      <c r="R496" s="12"/>
      <c r="S496" s="12"/>
      <c r="T496" s="36"/>
      <c r="U496" s="36"/>
      <c r="V496" s="12"/>
      <c r="W496" s="12"/>
      <c r="X496" s="12"/>
      <c r="Y496" s="12"/>
    </row>
    <row r="497" customFormat="false" ht="15.75" hidden="false" customHeight="false" outlineLevel="0" collapsed="false">
      <c r="A497" s="12"/>
      <c r="B497" s="34"/>
      <c r="C497" s="12"/>
      <c r="D497" s="12"/>
      <c r="E497" s="12"/>
      <c r="F497" s="12"/>
      <c r="G497" s="18"/>
      <c r="H497" s="35"/>
      <c r="I497" s="35"/>
      <c r="J497" s="12"/>
      <c r="O497" s="12"/>
      <c r="P497" s="18"/>
      <c r="Q497" s="12"/>
      <c r="R497" s="12"/>
      <c r="S497" s="12"/>
      <c r="T497" s="36"/>
      <c r="U497" s="36"/>
      <c r="V497" s="12"/>
      <c r="W497" s="12"/>
      <c r="X497" s="12"/>
      <c r="Y497" s="12"/>
    </row>
    <row r="498" customFormat="false" ht="15.75" hidden="false" customHeight="false" outlineLevel="0" collapsed="false">
      <c r="A498" s="12"/>
      <c r="B498" s="34"/>
      <c r="C498" s="12"/>
      <c r="D498" s="12"/>
      <c r="E498" s="12"/>
      <c r="F498" s="12"/>
      <c r="G498" s="18"/>
      <c r="H498" s="35"/>
      <c r="I498" s="35"/>
      <c r="J498" s="12"/>
      <c r="O498" s="12"/>
      <c r="P498" s="18"/>
      <c r="Q498" s="12"/>
      <c r="R498" s="12"/>
      <c r="S498" s="12"/>
      <c r="T498" s="36"/>
      <c r="U498" s="36"/>
      <c r="V498" s="12"/>
      <c r="W498" s="12"/>
      <c r="X498" s="12"/>
      <c r="Y498" s="12"/>
    </row>
    <row r="499" customFormat="false" ht="15.75" hidden="false" customHeight="false" outlineLevel="0" collapsed="false">
      <c r="A499" s="12"/>
      <c r="B499" s="34"/>
      <c r="C499" s="12"/>
      <c r="D499" s="12"/>
      <c r="E499" s="12"/>
      <c r="F499" s="12"/>
      <c r="G499" s="18"/>
      <c r="H499" s="35"/>
      <c r="I499" s="35"/>
      <c r="J499" s="12"/>
      <c r="O499" s="12"/>
      <c r="P499" s="18"/>
      <c r="Q499" s="12"/>
      <c r="R499" s="12"/>
      <c r="S499" s="12"/>
      <c r="T499" s="36"/>
      <c r="U499" s="36"/>
      <c r="V499" s="12"/>
      <c r="W499" s="12"/>
      <c r="X499" s="12"/>
      <c r="Y499" s="12"/>
    </row>
    <row r="500" customFormat="false" ht="15.75" hidden="false" customHeight="false" outlineLevel="0" collapsed="false">
      <c r="A500" s="12"/>
      <c r="B500" s="34"/>
      <c r="C500" s="12"/>
      <c r="D500" s="12"/>
      <c r="E500" s="12"/>
      <c r="F500" s="12"/>
      <c r="G500" s="18"/>
      <c r="H500" s="35"/>
      <c r="I500" s="35"/>
      <c r="J500" s="12"/>
      <c r="O500" s="12"/>
      <c r="P500" s="18"/>
      <c r="Q500" s="12"/>
      <c r="R500" s="12"/>
      <c r="S500" s="12"/>
      <c r="T500" s="36"/>
      <c r="U500" s="36"/>
      <c r="V500" s="12"/>
      <c r="W500" s="12"/>
      <c r="X500" s="12"/>
      <c r="Y500" s="12"/>
    </row>
    <row r="501" customFormat="false" ht="15.75" hidden="false" customHeight="false" outlineLevel="0" collapsed="false">
      <c r="A501" s="12"/>
      <c r="B501" s="34"/>
      <c r="C501" s="12"/>
      <c r="D501" s="12"/>
      <c r="E501" s="12"/>
      <c r="F501" s="12"/>
      <c r="G501" s="18"/>
      <c r="H501" s="35"/>
      <c r="I501" s="35"/>
      <c r="J501" s="12"/>
      <c r="O501" s="12"/>
      <c r="P501" s="18"/>
      <c r="Q501" s="12"/>
      <c r="R501" s="12"/>
      <c r="S501" s="12"/>
      <c r="T501" s="36"/>
      <c r="U501" s="36"/>
      <c r="V501" s="12"/>
      <c r="W501" s="12"/>
      <c r="X501" s="12"/>
      <c r="Y501" s="12"/>
    </row>
    <row r="502" customFormat="false" ht="15.75" hidden="false" customHeight="false" outlineLevel="0" collapsed="false">
      <c r="A502" s="12"/>
      <c r="B502" s="34"/>
      <c r="C502" s="12"/>
      <c r="D502" s="12"/>
      <c r="E502" s="12"/>
      <c r="F502" s="12"/>
      <c r="G502" s="18"/>
      <c r="H502" s="35"/>
      <c r="I502" s="35"/>
      <c r="J502" s="12"/>
      <c r="O502" s="12"/>
      <c r="P502" s="18"/>
      <c r="Q502" s="12"/>
      <c r="R502" s="12"/>
      <c r="S502" s="12"/>
      <c r="T502" s="36"/>
      <c r="U502" s="36"/>
      <c r="V502" s="12"/>
      <c r="W502" s="12"/>
      <c r="X502" s="12"/>
      <c r="Y502" s="12"/>
    </row>
    <row r="503" customFormat="false" ht="15.75" hidden="false" customHeight="false" outlineLevel="0" collapsed="false">
      <c r="A503" s="12"/>
      <c r="B503" s="34"/>
      <c r="C503" s="12"/>
      <c r="D503" s="12"/>
      <c r="E503" s="12"/>
      <c r="F503" s="12"/>
      <c r="G503" s="18"/>
      <c r="H503" s="35"/>
      <c r="I503" s="35"/>
      <c r="J503" s="12"/>
      <c r="O503" s="12"/>
      <c r="P503" s="18"/>
      <c r="Q503" s="12"/>
      <c r="R503" s="12"/>
      <c r="S503" s="12"/>
      <c r="T503" s="36"/>
      <c r="U503" s="36"/>
      <c r="V503" s="12"/>
      <c r="W503" s="12"/>
      <c r="X503" s="12"/>
      <c r="Y503" s="12"/>
    </row>
    <row r="504" customFormat="false" ht="15.75" hidden="false" customHeight="false" outlineLevel="0" collapsed="false">
      <c r="A504" s="12"/>
      <c r="B504" s="34"/>
      <c r="C504" s="12"/>
      <c r="D504" s="12"/>
      <c r="E504" s="12"/>
      <c r="F504" s="12"/>
      <c r="G504" s="18"/>
      <c r="H504" s="35"/>
      <c r="I504" s="35"/>
      <c r="J504" s="12"/>
      <c r="O504" s="12"/>
      <c r="P504" s="18"/>
      <c r="Q504" s="12"/>
      <c r="R504" s="12"/>
      <c r="S504" s="12"/>
      <c r="T504" s="36"/>
      <c r="U504" s="36"/>
      <c r="V504" s="12"/>
      <c r="W504" s="12"/>
      <c r="X504" s="12"/>
      <c r="Y504" s="12"/>
    </row>
    <row r="505" customFormat="false" ht="15.75" hidden="false" customHeight="false" outlineLevel="0" collapsed="false">
      <c r="A505" s="12"/>
      <c r="B505" s="34"/>
      <c r="C505" s="12"/>
      <c r="D505" s="12"/>
      <c r="E505" s="12"/>
      <c r="F505" s="12"/>
      <c r="G505" s="18"/>
      <c r="H505" s="35"/>
      <c r="I505" s="35"/>
      <c r="J505" s="12"/>
      <c r="O505" s="12"/>
      <c r="P505" s="18"/>
      <c r="Q505" s="12"/>
      <c r="R505" s="12"/>
      <c r="S505" s="12"/>
      <c r="T505" s="36"/>
      <c r="U505" s="36"/>
      <c r="V505" s="12"/>
      <c r="W505" s="12"/>
      <c r="X505" s="12"/>
      <c r="Y505" s="12"/>
    </row>
    <row r="506" customFormat="false" ht="15.75" hidden="false" customHeight="false" outlineLevel="0" collapsed="false">
      <c r="A506" s="12"/>
      <c r="B506" s="34"/>
      <c r="C506" s="12"/>
      <c r="D506" s="12"/>
      <c r="E506" s="12"/>
      <c r="F506" s="12"/>
      <c r="G506" s="18"/>
      <c r="H506" s="35"/>
      <c r="I506" s="35"/>
      <c r="J506" s="12"/>
      <c r="O506" s="12"/>
      <c r="P506" s="18"/>
      <c r="Q506" s="12"/>
      <c r="R506" s="12"/>
      <c r="S506" s="12"/>
      <c r="T506" s="36"/>
      <c r="U506" s="36"/>
      <c r="V506" s="12"/>
      <c r="W506" s="12"/>
      <c r="X506" s="12"/>
      <c r="Y506" s="12"/>
    </row>
    <row r="507" customFormat="false" ht="15.75" hidden="false" customHeight="false" outlineLevel="0" collapsed="false">
      <c r="A507" s="12"/>
      <c r="B507" s="34"/>
      <c r="C507" s="12"/>
      <c r="D507" s="12"/>
      <c r="E507" s="12"/>
      <c r="F507" s="12"/>
      <c r="G507" s="18"/>
      <c r="H507" s="35"/>
      <c r="I507" s="35"/>
      <c r="J507" s="12"/>
      <c r="O507" s="12"/>
      <c r="P507" s="18"/>
      <c r="Q507" s="12"/>
      <c r="R507" s="12"/>
      <c r="S507" s="12"/>
      <c r="T507" s="36"/>
      <c r="U507" s="36"/>
      <c r="V507" s="12"/>
      <c r="W507" s="12"/>
      <c r="X507" s="12"/>
      <c r="Y507" s="12"/>
    </row>
    <row r="508" customFormat="false" ht="15.75" hidden="false" customHeight="false" outlineLevel="0" collapsed="false">
      <c r="A508" s="12"/>
      <c r="B508" s="34"/>
      <c r="C508" s="12"/>
      <c r="D508" s="12"/>
      <c r="E508" s="12"/>
      <c r="F508" s="12"/>
      <c r="G508" s="18"/>
      <c r="H508" s="35"/>
      <c r="I508" s="35"/>
      <c r="J508" s="12"/>
      <c r="O508" s="12"/>
      <c r="P508" s="18"/>
      <c r="Q508" s="12"/>
      <c r="R508" s="12"/>
      <c r="S508" s="12"/>
      <c r="T508" s="36"/>
      <c r="U508" s="36"/>
      <c r="V508" s="12"/>
      <c r="W508" s="12"/>
      <c r="X508" s="12"/>
      <c r="Y508" s="12"/>
    </row>
    <row r="509" customFormat="false" ht="15.75" hidden="false" customHeight="false" outlineLevel="0" collapsed="false">
      <c r="A509" s="12"/>
      <c r="B509" s="34"/>
      <c r="C509" s="12"/>
      <c r="D509" s="12"/>
      <c r="E509" s="12"/>
      <c r="F509" s="12"/>
      <c r="G509" s="18"/>
      <c r="H509" s="35"/>
      <c r="I509" s="35"/>
      <c r="J509" s="12"/>
      <c r="O509" s="12"/>
      <c r="P509" s="18"/>
      <c r="Q509" s="12"/>
      <c r="R509" s="12"/>
      <c r="S509" s="12"/>
      <c r="T509" s="36"/>
      <c r="U509" s="36"/>
      <c r="V509" s="12"/>
      <c r="W509" s="12"/>
      <c r="X509" s="12"/>
      <c r="Y509" s="12"/>
    </row>
    <row r="510" customFormat="false" ht="15.75" hidden="false" customHeight="false" outlineLevel="0" collapsed="false">
      <c r="A510" s="12"/>
      <c r="B510" s="34"/>
      <c r="C510" s="12"/>
      <c r="D510" s="12"/>
      <c r="E510" s="12"/>
      <c r="F510" s="12"/>
      <c r="G510" s="18"/>
      <c r="H510" s="35"/>
      <c r="I510" s="35"/>
      <c r="J510" s="12"/>
      <c r="O510" s="12"/>
      <c r="P510" s="18"/>
      <c r="Q510" s="12"/>
      <c r="R510" s="12"/>
      <c r="S510" s="12"/>
      <c r="T510" s="36"/>
      <c r="U510" s="36"/>
      <c r="V510" s="12"/>
      <c r="W510" s="12"/>
      <c r="X510" s="12"/>
      <c r="Y510" s="12"/>
    </row>
    <row r="511" customFormat="false" ht="15.75" hidden="false" customHeight="false" outlineLevel="0" collapsed="false">
      <c r="A511" s="12"/>
      <c r="B511" s="34"/>
      <c r="C511" s="12"/>
      <c r="D511" s="12"/>
      <c r="E511" s="12"/>
      <c r="F511" s="12"/>
      <c r="G511" s="18"/>
      <c r="H511" s="35"/>
      <c r="I511" s="35"/>
      <c r="J511" s="12"/>
      <c r="O511" s="12"/>
      <c r="P511" s="18"/>
      <c r="Q511" s="12"/>
      <c r="R511" s="12"/>
      <c r="S511" s="12"/>
      <c r="T511" s="36"/>
      <c r="U511" s="36"/>
      <c r="V511" s="12"/>
      <c r="W511" s="12"/>
      <c r="X511" s="12"/>
      <c r="Y511" s="12"/>
    </row>
    <row r="512" customFormat="false" ht="15.75" hidden="false" customHeight="false" outlineLevel="0" collapsed="false">
      <c r="A512" s="12"/>
      <c r="B512" s="34"/>
      <c r="C512" s="12"/>
      <c r="D512" s="12"/>
      <c r="E512" s="12"/>
      <c r="F512" s="12"/>
      <c r="G512" s="18"/>
      <c r="H512" s="35"/>
      <c r="I512" s="35"/>
      <c r="J512" s="12"/>
      <c r="O512" s="12"/>
      <c r="P512" s="18"/>
      <c r="Q512" s="12"/>
      <c r="R512" s="12"/>
      <c r="S512" s="12"/>
      <c r="T512" s="36"/>
      <c r="U512" s="36"/>
      <c r="V512" s="12"/>
      <c r="W512" s="12"/>
      <c r="X512" s="12"/>
      <c r="Y512" s="12"/>
    </row>
    <row r="513" customFormat="false" ht="15.75" hidden="false" customHeight="false" outlineLevel="0" collapsed="false">
      <c r="A513" s="12"/>
      <c r="B513" s="34"/>
      <c r="C513" s="12"/>
      <c r="D513" s="12"/>
      <c r="E513" s="12"/>
      <c r="F513" s="12"/>
      <c r="G513" s="18"/>
      <c r="H513" s="35"/>
      <c r="I513" s="35"/>
      <c r="J513" s="12"/>
      <c r="O513" s="12"/>
      <c r="P513" s="18"/>
      <c r="Q513" s="12"/>
      <c r="R513" s="12"/>
      <c r="S513" s="12"/>
      <c r="T513" s="36"/>
      <c r="U513" s="36"/>
      <c r="V513" s="12"/>
      <c r="W513" s="12"/>
      <c r="X513" s="12"/>
      <c r="Y513" s="12"/>
    </row>
    <row r="514" customFormat="false" ht="15.75" hidden="false" customHeight="false" outlineLevel="0" collapsed="false">
      <c r="A514" s="12"/>
      <c r="B514" s="34"/>
      <c r="C514" s="12"/>
      <c r="D514" s="12"/>
      <c r="E514" s="12"/>
      <c r="F514" s="12"/>
      <c r="G514" s="18"/>
      <c r="H514" s="35"/>
      <c r="I514" s="35"/>
      <c r="J514" s="12"/>
      <c r="O514" s="12"/>
      <c r="P514" s="18"/>
      <c r="Q514" s="12"/>
      <c r="R514" s="12"/>
      <c r="S514" s="12"/>
      <c r="T514" s="36"/>
      <c r="U514" s="36"/>
      <c r="V514" s="12"/>
      <c r="W514" s="12"/>
      <c r="X514" s="12"/>
      <c r="Y514" s="12"/>
    </row>
    <row r="515" customFormat="false" ht="15.75" hidden="false" customHeight="false" outlineLevel="0" collapsed="false">
      <c r="A515" s="12"/>
      <c r="B515" s="34"/>
      <c r="C515" s="12"/>
      <c r="D515" s="12"/>
      <c r="E515" s="12"/>
      <c r="F515" s="12"/>
      <c r="G515" s="18"/>
      <c r="H515" s="35"/>
      <c r="I515" s="35"/>
      <c r="J515" s="12"/>
      <c r="O515" s="12"/>
      <c r="P515" s="18"/>
      <c r="Q515" s="12"/>
      <c r="R515" s="12"/>
      <c r="S515" s="12"/>
      <c r="T515" s="36"/>
      <c r="U515" s="36"/>
      <c r="V515" s="12"/>
      <c r="W515" s="12"/>
      <c r="X515" s="12"/>
      <c r="Y515" s="12"/>
    </row>
    <row r="516" customFormat="false" ht="15.75" hidden="false" customHeight="false" outlineLevel="0" collapsed="false">
      <c r="A516" s="12"/>
      <c r="B516" s="34"/>
      <c r="C516" s="12"/>
      <c r="D516" s="12"/>
      <c r="E516" s="12"/>
      <c r="F516" s="12"/>
      <c r="G516" s="18"/>
      <c r="H516" s="35"/>
      <c r="I516" s="35"/>
      <c r="J516" s="12"/>
      <c r="O516" s="12"/>
      <c r="P516" s="18"/>
      <c r="Q516" s="12"/>
      <c r="R516" s="12"/>
      <c r="S516" s="12"/>
      <c r="T516" s="36"/>
      <c r="U516" s="36"/>
      <c r="V516" s="12"/>
      <c r="W516" s="12"/>
      <c r="X516" s="12"/>
      <c r="Y516" s="12"/>
    </row>
    <row r="517" customFormat="false" ht="15.75" hidden="false" customHeight="false" outlineLevel="0" collapsed="false">
      <c r="A517" s="12"/>
      <c r="B517" s="34"/>
      <c r="C517" s="12"/>
      <c r="D517" s="12"/>
      <c r="E517" s="12"/>
      <c r="F517" s="12"/>
      <c r="G517" s="18"/>
      <c r="H517" s="35"/>
      <c r="I517" s="35"/>
      <c r="J517" s="12"/>
      <c r="O517" s="12"/>
      <c r="P517" s="18"/>
      <c r="Q517" s="12"/>
      <c r="R517" s="12"/>
      <c r="S517" s="12"/>
      <c r="T517" s="36"/>
      <c r="U517" s="36"/>
      <c r="V517" s="12"/>
      <c r="W517" s="12"/>
      <c r="X517" s="12"/>
      <c r="Y517" s="12"/>
    </row>
    <row r="518" customFormat="false" ht="15.75" hidden="false" customHeight="false" outlineLevel="0" collapsed="false">
      <c r="A518" s="12"/>
      <c r="B518" s="34"/>
      <c r="C518" s="12"/>
      <c r="D518" s="12"/>
      <c r="E518" s="12"/>
      <c r="F518" s="12"/>
      <c r="G518" s="18"/>
      <c r="H518" s="35"/>
      <c r="I518" s="35"/>
      <c r="J518" s="12"/>
      <c r="O518" s="12"/>
      <c r="P518" s="18"/>
      <c r="Q518" s="12"/>
      <c r="R518" s="12"/>
      <c r="S518" s="12"/>
      <c r="T518" s="36"/>
      <c r="U518" s="36"/>
      <c r="V518" s="12"/>
      <c r="W518" s="12"/>
      <c r="X518" s="12"/>
      <c r="Y518" s="12"/>
    </row>
    <row r="519" customFormat="false" ht="15.75" hidden="false" customHeight="false" outlineLevel="0" collapsed="false">
      <c r="A519" s="12"/>
      <c r="B519" s="34"/>
      <c r="C519" s="12"/>
      <c r="D519" s="12"/>
      <c r="E519" s="12"/>
      <c r="F519" s="12"/>
      <c r="G519" s="18"/>
      <c r="H519" s="35"/>
      <c r="I519" s="35"/>
      <c r="J519" s="12"/>
      <c r="O519" s="12"/>
      <c r="P519" s="18"/>
      <c r="Q519" s="12"/>
      <c r="R519" s="12"/>
      <c r="S519" s="12"/>
      <c r="T519" s="36"/>
      <c r="U519" s="36"/>
      <c r="V519" s="12"/>
      <c r="W519" s="12"/>
      <c r="X519" s="12"/>
      <c r="Y519" s="12"/>
    </row>
    <row r="520" customFormat="false" ht="15.75" hidden="false" customHeight="false" outlineLevel="0" collapsed="false">
      <c r="A520" s="12"/>
      <c r="B520" s="34"/>
      <c r="C520" s="12"/>
      <c r="D520" s="12"/>
      <c r="E520" s="12"/>
      <c r="F520" s="12"/>
      <c r="G520" s="18"/>
      <c r="H520" s="35"/>
      <c r="I520" s="35"/>
      <c r="J520" s="12"/>
      <c r="O520" s="12"/>
      <c r="P520" s="18"/>
      <c r="Q520" s="12"/>
      <c r="R520" s="12"/>
      <c r="S520" s="12"/>
      <c r="T520" s="36"/>
      <c r="U520" s="36"/>
      <c r="V520" s="12"/>
      <c r="W520" s="12"/>
      <c r="X520" s="12"/>
      <c r="Y520" s="12"/>
    </row>
    <row r="521" customFormat="false" ht="15.75" hidden="false" customHeight="false" outlineLevel="0" collapsed="false">
      <c r="A521" s="12"/>
      <c r="B521" s="34"/>
      <c r="C521" s="12"/>
      <c r="D521" s="12"/>
      <c r="E521" s="12"/>
      <c r="F521" s="12"/>
      <c r="G521" s="18"/>
      <c r="H521" s="35"/>
      <c r="I521" s="35"/>
      <c r="J521" s="12"/>
      <c r="O521" s="12"/>
      <c r="P521" s="18"/>
      <c r="Q521" s="12"/>
      <c r="R521" s="12"/>
      <c r="S521" s="12"/>
      <c r="T521" s="36"/>
      <c r="U521" s="36"/>
      <c r="V521" s="12"/>
      <c r="W521" s="12"/>
      <c r="X521" s="12"/>
      <c r="Y521" s="12"/>
    </row>
    <row r="522" customFormat="false" ht="15.75" hidden="false" customHeight="false" outlineLevel="0" collapsed="false">
      <c r="A522" s="12"/>
      <c r="B522" s="34"/>
      <c r="C522" s="12"/>
      <c r="D522" s="12"/>
      <c r="E522" s="12"/>
      <c r="F522" s="12"/>
      <c r="G522" s="18"/>
      <c r="H522" s="35"/>
      <c r="I522" s="35"/>
      <c r="J522" s="12"/>
      <c r="O522" s="12"/>
      <c r="P522" s="18"/>
      <c r="Q522" s="12"/>
      <c r="R522" s="12"/>
      <c r="S522" s="12"/>
      <c r="T522" s="36"/>
      <c r="U522" s="36"/>
      <c r="V522" s="12"/>
      <c r="W522" s="12"/>
      <c r="X522" s="12"/>
      <c r="Y522" s="12"/>
    </row>
    <row r="523" customFormat="false" ht="15.75" hidden="false" customHeight="false" outlineLevel="0" collapsed="false">
      <c r="A523" s="12"/>
      <c r="B523" s="34"/>
      <c r="C523" s="12"/>
      <c r="D523" s="12"/>
      <c r="E523" s="12"/>
      <c r="F523" s="12"/>
      <c r="G523" s="18"/>
      <c r="H523" s="35"/>
      <c r="I523" s="35"/>
      <c r="J523" s="12"/>
      <c r="O523" s="12"/>
      <c r="P523" s="18"/>
      <c r="Q523" s="12"/>
      <c r="R523" s="12"/>
      <c r="S523" s="12"/>
      <c r="T523" s="36"/>
      <c r="U523" s="36"/>
      <c r="V523" s="12"/>
      <c r="W523" s="12"/>
      <c r="X523" s="12"/>
      <c r="Y523" s="12"/>
    </row>
    <row r="524" customFormat="false" ht="15.75" hidden="false" customHeight="false" outlineLevel="0" collapsed="false">
      <c r="A524" s="12"/>
      <c r="B524" s="34"/>
      <c r="C524" s="12"/>
      <c r="D524" s="12"/>
      <c r="E524" s="12"/>
      <c r="F524" s="12"/>
      <c r="G524" s="18"/>
      <c r="H524" s="35"/>
      <c r="I524" s="35"/>
      <c r="J524" s="12"/>
      <c r="O524" s="12"/>
      <c r="P524" s="18"/>
      <c r="Q524" s="12"/>
      <c r="R524" s="12"/>
      <c r="S524" s="12"/>
      <c r="T524" s="36"/>
      <c r="U524" s="36"/>
      <c r="V524" s="12"/>
      <c r="W524" s="12"/>
      <c r="X524" s="12"/>
      <c r="Y524" s="12"/>
    </row>
    <row r="525" customFormat="false" ht="15.75" hidden="false" customHeight="false" outlineLevel="0" collapsed="false">
      <c r="A525" s="12"/>
      <c r="B525" s="34"/>
      <c r="C525" s="12"/>
      <c r="D525" s="12"/>
      <c r="E525" s="12"/>
      <c r="F525" s="12"/>
      <c r="G525" s="18"/>
      <c r="H525" s="35"/>
      <c r="I525" s="35"/>
      <c r="J525" s="12"/>
      <c r="O525" s="12"/>
      <c r="P525" s="18"/>
      <c r="Q525" s="12"/>
      <c r="R525" s="12"/>
      <c r="S525" s="12"/>
      <c r="T525" s="36"/>
      <c r="U525" s="36"/>
      <c r="V525" s="12"/>
      <c r="W525" s="12"/>
      <c r="X525" s="12"/>
      <c r="Y525" s="12"/>
    </row>
    <row r="526" customFormat="false" ht="15.75" hidden="false" customHeight="false" outlineLevel="0" collapsed="false">
      <c r="A526" s="12"/>
      <c r="B526" s="34"/>
      <c r="C526" s="12"/>
      <c r="D526" s="12"/>
      <c r="E526" s="12"/>
      <c r="F526" s="12"/>
      <c r="G526" s="18"/>
      <c r="H526" s="35"/>
      <c r="I526" s="35"/>
      <c r="J526" s="12"/>
      <c r="O526" s="12"/>
      <c r="P526" s="18"/>
      <c r="Q526" s="12"/>
      <c r="R526" s="12"/>
      <c r="S526" s="12"/>
      <c r="T526" s="36"/>
      <c r="U526" s="36"/>
      <c r="V526" s="12"/>
      <c r="W526" s="12"/>
      <c r="X526" s="12"/>
      <c r="Y526" s="12"/>
    </row>
    <row r="527" customFormat="false" ht="15.75" hidden="false" customHeight="false" outlineLevel="0" collapsed="false">
      <c r="A527" s="12"/>
      <c r="B527" s="34"/>
      <c r="C527" s="12"/>
      <c r="D527" s="12"/>
      <c r="E527" s="12"/>
      <c r="F527" s="12"/>
      <c r="G527" s="18"/>
      <c r="H527" s="35"/>
      <c r="I527" s="35"/>
      <c r="J527" s="12"/>
      <c r="O527" s="12"/>
      <c r="P527" s="18"/>
      <c r="Q527" s="12"/>
      <c r="R527" s="12"/>
      <c r="S527" s="12"/>
      <c r="T527" s="36"/>
      <c r="U527" s="36"/>
      <c r="V527" s="12"/>
      <c r="W527" s="12"/>
      <c r="X527" s="12"/>
      <c r="Y527" s="12"/>
    </row>
    <row r="528" customFormat="false" ht="15.75" hidden="false" customHeight="false" outlineLevel="0" collapsed="false">
      <c r="A528" s="12"/>
      <c r="B528" s="34"/>
      <c r="C528" s="12"/>
      <c r="D528" s="12"/>
      <c r="E528" s="12"/>
      <c r="F528" s="12"/>
      <c r="G528" s="18"/>
      <c r="H528" s="35"/>
      <c r="I528" s="35"/>
      <c r="J528" s="12"/>
      <c r="O528" s="12"/>
      <c r="P528" s="18"/>
      <c r="Q528" s="12"/>
      <c r="R528" s="12"/>
      <c r="S528" s="12"/>
      <c r="T528" s="36"/>
      <c r="U528" s="36"/>
      <c r="V528" s="12"/>
      <c r="W528" s="12"/>
      <c r="X528" s="12"/>
      <c r="Y528" s="12"/>
    </row>
    <row r="529" customFormat="false" ht="15.75" hidden="false" customHeight="false" outlineLevel="0" collapsed="false">
      <c r="A529" s="12"/>
      <c r="B529" s="34"/>
      <c r="C529" s="12"/>
      <c r="D529" s="12"/>
      <c r="E529" s="12"/>
      <c r="F529" s="12"/>
      <c r="G529" s="18"/>
      <c r="H529" s="35"/>
      <c r="I529" s="35"/>
      <c r="J529" s="12"/>
      <c r="O529" s="12"/>
      <c r="P529" s="18"/>
      <c r="Q529" s="12"/>
      <c r="R529" s="12"/>
      <c r="S529" s="12"/>
      <c r="T529" s="36"/>
      <c r="U529" s="36"/>
      <c r="V529" s="12"/>
      <c r="W529" s="12"/>
      <c r="X529" s="12"/>
      <c r="Y529" s="12"/>
    </row>
    <row r="530" customFormat="false" ht="15.75" hidden="false" customHeight="false" outlineLevel="0" collapsed="false">
      <c r="A530" s="12"/>
      <c r="B530" s="34"/>
      <c r="C530" s="12"/>
      <c r="D530" s="12"/>
      <c r="E530" s="12"/>
      <c r="F530" s="12"/>
      <c r="G530" s="18"/>
      <c r="H530" s="35"/>
      <c r="I530" s="35"/>
      <c r="J530" s="12"/>
      <c r="O530" s="12"/>
      <c r="P530" s="18"/>
      <c r="Q530" s="12"/>
      <c r="R530" s="12"/>
      <c r="S530" s="12"/>
      <c r="T530" s="36"/>
      <c r="U530" s="36"/>
      <c r="V530" s="12"/>
      <c r="W530" s="12"/>
      <c r="X530" s="12"/>
      <c r="Y530" s="12"/>
    </row>
    <row r="531" customFormat="false" ht="15.75" hidden="false" customHeight="false" outlineLevel="0" collapsed="false">
      <c r="A531" s="12"/>
      <c r="B531" s="34"/>
      <c r="C531" s="12"/>
      <c r="D531" s="12"/>
      <c r="E531" s="12"/>
      <c r="F531" s="12"/>
      <c r="G531" s="18"/>
      <c r="H531" s="35"/>
      <c r="I531" s="35"/>
      <c r="J531" s="12"/>
      <c r="O531" s="12"/>
      <c r="P531" s="18"/>
      <c r="Q531" s="12"/>
      <c r="R531" s="12"/>
      <c r="S531" s="12"/>
      <c r="T531" s="36"/>
      <c r="U531" s="36"/>
      <c r="V531" s="12"/>
      <c r="W531" s="12"/>
      <c r="X531" s="12"/>
      <c r="Y531" s="12"/>
    </row>
    <row r="532" customFormat="false" ht="15.75" hidden="false" customHeight="false" outlineLevel="0" collapsed="false">
      <c r="A532" s="12"/>
      <c r="B532" s="34"/>
      <c r="C532" s="12"/>
      <c r="D532" s="12"/>
      <c r="E532" s="12"/>
      <c r="F532" s="12"/>
      <c r="G532" s="18"/>
      <c r="H532" s="35"/>
      <c r="I532" s="35"/>
      <c r="J532" s="12"/>
      <c r="O532" s="12"/>
      <c r="P532" s="18"/>
      <c r="Q532" s="12"/>
      <c r="R532" s="12"/>
      <c r="S532" s="12"/>
      <c r="T532" s="36"/>
      <c r="U532" s="36"/>
      <c r="V532" s="12"/>
      <c r="W532" s="12"/>
      <c r="X532" s="12"/>
      <c r="Y532" s="12"/>
    </row>
    <row r="533" customFormat="false" ht="15.75" hidden="false" customHeight="false" outlineLevel="0" collapsed="false">
      <c r="A533" s="12"/>
      <c r="B533" s="34"/>
      <c r="C533" s="12"/>
      <c r="D533" s="12"/>
      <c r="E533" s="12"/>
      <c r="F533" s="12"/>
      <c r="G533" s="18"/>
      <c r="H533" s="35"/>
      <c r="I533" s="35"/>
      <c r="J533" s="12"/>
      <c r="O533" s="12"/>
      <c r="P533" s="18"/>
      <c r="Q533" s="12"/>
      <c r="R533" s="12"/>
      <c r="S533" s="12"/>
      <c r="T533" s="36"/>
      <c r="U533" s="36"/>
      <c r="V533" s="12"/>
      <c r="W533" s="12"/>
      <c r="X533" s="12"/>
      <c r="Y533" s="12"/>
    </row>
    <row r="534" customFormat="false" ht="15.75" hidden="false" customHeight="false" outlineLevel="0" collapsed="false">
      <c r="A534" s="12"/>
      <c r="B534" s="34"/>
      <c r="C534" s="12"/>
      <c r="D534" s="12"/>
      <c r="E534" s="12"/>
      <c r="F534" s="12"/>
      <c r="G534" s="18"/>
      <c r="H534" s="35"/>
      <c r="I534" s="35"/>
      <c r="J534" s="12"/>
      <c r="O534" s="12"/>
      <c r="P534" s="18"/>
      <c r="Q534" s="12"/>
      <c r="R534" s="12"/>
      <c r="S534" s="12"/>
      <c r="T534" s="36"/>
      <c r="U534" s="36"/>
      <c r="V534" s="12"/>
      <c r="W534" s="12"/>
      <c r="X534" s="12"/>
      <c r="Y534" s="12"/>
    </row>
    <row r="535" customFormat="false" ht="15.75" hidden="false" customHeight="false" outlineLevel="0" collapsed="false">
      <c r="A535" s="12"/>
      <c r="B535" s="34"/>
      <c r="C535" s="12"/>
      <c r="D535" s="12"/>
      <c r="E535" s="12"/>
      <c r="F535" s="12"/>
      <c r="G535" s="18"/>
      <c r="H535" s="35"/>
      <c r="I535" s="35"/>
      <c r="J535" s="12"/>
      <c r="O535" s="12"/>
      <c r="P535" s="18"/>
      <c r="Q535" s="12"/>
      <c r="R535" s="12"/>
      <c r="S535" s="12"/>
      <c r="T535" s="36"/>
      <c r="U535" s="36"/>
      <c r="V535" s="12"/>
      <c r="W535" s="12"/>
      <c r="X535" s="12"/>
      <c r="Y535" s="12"/>
    </row>
    <row r="536" customFormat="false" ht="15.75" hidden="false" customHeight="false" outlineLevel="0" collapsed="false">
      <c r="A536" s="12"/>
      <c r="B536" s="34"/>
      <c r="C536" s="12"/>
      <c r="D536" s="12"/>
      <c r="E536" s="12"/>
      <c r="F536" s="12"/>
      <c r="G536" s="18"/>
      <c r="H536" s="35"/>
      <c r="I536" s="35"/>
      <c r="J536" s="12"/>
      <c r="O536" s="12"/>
      <c r="P536" s="18"/>
      <c r="Q536" s="12"/>
      <c r="R536" s="12"/>
      <c r="S536" s="12"/>
      <c r="T536" s="36"/>
      <c r="U536" s="36"/>
      <c r="V536" s="12"/>
      <c r="W536" s="12"/>
      <c r="X536" s="12"/>
      <c r="Y536" s="12"/>
    </row>
    <row r="537" customFormat="false" ht="15.75" hidden="false" customHeight="false" outlineLevel="0" collapsed="false">
      <c r="A537" s="12"/>
      <c r="B537" s="34"/>
      <c r="C537" s="12"/>
      <c r="D537" s="12"/>
      <c r="E537" s="12"/>
      <c r="F537" s="12"/>
      <c r="G537" s="18"/>
      <c r="H537" s="35"/>
      <c r="I537" s="35"/>
      <c r="J537" s="12"/>
      <c r="O537" s="12"/>
      <c r="P537" s="18"/>
      <c r="Q537" s="12"/>
      <c r="R537" s="12"/>
      <c r="S537" s="12"/>
      <c r="T537" s="36"/>
      <c r="U537" s="36"/>
      <c r="V537" s="12"/>
      <c r="W537" s="12"/>
      <c r="X537" s="12"/>
      <c r="Y537" s="12"/>
    </row>
    <row r="538" customFormat="false" ht="15.75" hidden="false" customHeight="false" outlineLevel="0" collapsed="false">
      <c r="A538" s="12"/>
      <c r="B538" s="34"/>
      <c r="C538" s="12"/>
      <c r="D538" s="12"/>
      <c r="E538" s="12"/>
      <c r="F538" s="12"/>
      <c r="G538" s="18"/>
      <c r="H538" s="35"/>
      <c r="I538" s="35"/>
      <c r="J538" s="12"/>
      <c r="O538" s="12"/>
      <c r="P538" s="18"/>
      <c r="Q538" s="12"/>
      <c r="R538" s="12"/>
      <c r="S538" s="12"/>
      <c r="T538" s="36"/>
      <c r="U538" s="36"/>
      <c r="V538" s="12"/>
      <c r="W538" s="12"/>
      <c r="X538" s="12"/>
      <c r="Y538" s="12"/>
    </row>
    <row r="539" customFormat="false" ht="15.75" hidden="false" customHeight="false" outlineLevel="0" collapsed="false">
      <c r="A539" s="12"/>
      <c r="B539" s="34"/>
      <c r="C539" s="12"/>
      <c r="D539" s="12"/>
      <c r="E539" s="12"/>
      <c r="F539" s="12"/>
      <c r="G539" s="18"/>
      <c r="H539" s="35"/>
      <c r="I539" s="35"/>
      <c r="J539" s="12"/>
      <c r="O539" s="12"/>
      <c r="P539" s="18"/>
      <c r="Q539" s="12"/>
      <c r="R539" s="12"/>
      <c r="S539" s="12"/>
      <c r="T539" s="36"/>
      <c r="U539" s="36"/>
      <c r="V539" s="12"/>
      <c r="W539" s="12"/>
      <c r="X539" s="12"/>
      <c r="Y539" s="12"/>
    </row>
    <row r="540" customFormat="false" ht="15.75" hidden="false" customHeight="false" outlineLevel="0" collapsed="false">
      <c r="A540" s="12"/>
      <c r="B540" s="34"/>
      <c r="C540" s="12"/>
      <c r="D540" s="12"/>
      <c r="E540" s="12"/>
      <c r="F540" s="12"/>
      <c r="G540" s="18"/>
      <c r="H540" s="35"/>
      <c r="I540" s="35"/>
      <c r="J540" s="12"/>
      <c r="O540" s="12"/>
      <c r="P540" s="18"/>
      <c r="Q540" s="12"/>
      <c r="R540" s="12"/>
      <c r="S540" s="12"/>
      <c r="T540" s="36"/>
      <c r="U540" s="36"/>
      <c r="V540" s="12"/>
      <c r="W540" s="12"/>
      <c r="X540" s="12"/>
      <c r="Y540" s="12"/>
    </row>
    <row r="541" customFormat="false" ht="15.75" hidden="false" customHeight="false" outlineLevel="0" collapsed="false">
      <c r="A541" s="12"/>
      <c r="B541" s="34"/>
      <c r="C541" s="12"/>
      <c r="D541" s="12"/>
      <c r="E541" s="12"/>
      <c r="F541" s="12"/>
      <c r="G541" s="18"/>
      <c r="H541" s="35"/>
      <c r="I541" s="35"/>
      <c r="J541" s="12"/>
      <c r="O541" s="12"/>
      <c r="P541" s="18"/>
      <c r="Q541" s="12"/>
      <c r="R541" s="12"/>
      <c r="S541" s="12"/>
      <c r="T541" s="36"/>
      <c r="U541" s="36"/>
      <c r="V541" s="12"/>
      <c r="W541" s="12"/>
      <c r="X541" s="12"/>
      <c r="Y541" s="12"/>
    </row>
    <row r="542" customFormat="false" ht="15.75" hidden="false" customHeight="false" outlineLevel="0" collapsed="false">
      <c r="A542" s="12"/>
      <c r="B542" s="34"/>
      <c r="C542" s="12"/>
      <c r="D542" s="12"/>
      <c r="E542" s="12"/>
      <c r="F542" s="12"/>
      <c r="G542" s="18"/>
      <c r="H542" s="35"/>
      <c r="I542" s="35"/>
      <c r="J542" s="12"/>
      <c r="O542" s="12"/>
      <c r="P542" s="18"/>
      <c r="Q542" s="12"/>
      <c r="R542" s="12"/>
      <c r="S542" s="12"/>
      <c r="T542" s="36"/>
      <c r="U542" s="36"/>
      <c r="V542" s="12"/>
      <c r="W542" s="12"/>
      <c r="X542" s="12"/>
      <c r="Y542" s="12"/>
    </row>
    <row r="543" customFormat="false" ht="15.75" hidden="false" customHeight="false" outlineLevel="0" collapsed="false">
      <c r="A543" s="12"/>
      <c r="B543" s="34"/>
      <c r="C543" s="12"/>
      <c r="D543" s="12"/>
      <c r="E543" s="12"/>
      <c r="F543" s="12"/>
      <c r="G543" s="18"/>
      <c r="H543" s="35"/>
      <c r="I543" s="35"/>
      <c r="J543" s="12"/>
      <c r="O543" s="12"/>
      <c r="P543" s="18"/>
      <c r="Q543" s="12"/>
      <c r="R543" s="12"/>
      <c r="S543" s="12"/>
      <c r="T543" s="36"/>
      <c r="U543" s="36"/>
      <c r="V543" s="12"/>
      <c r="W543" s="12"/>
      <c r="X543" s="12"/>
      <c r="Y543" s="12"/>
    </row>
    <row r="544" customFormat="false" ht="15.75" hidden="false" customHeight="false" outlineLevel="0" collapsed="false">
      <c r="A544" s="12"/>
      <c r="B544" s="34"/>
      <c r="C544" s="12"/>
      <c r="D544" s="12"/>
      <c r="E544" s="12"/>
      <c r="F544" s="12"/>
      <c r="G544" s="18"/>
      <c r="H544" s="35"/>
      <c r="I544" s="35"/>
      <c r="J544" s="12"/>
      <c r="O544" s="12"/>
      <c r="P544" s="18"/>
      <c r="Q544" s="12"/>
      <c r="R544" s="12"/>
      <c r="S544" s="12"/>
      <c r="T544" s="36"/>
      <c r="U544" s="36"/>
      <c r="V544" s="12"/>
      <c r="W544" s="12"/>
      <c r="X544" s="12"/>
      <c r="Y544" s="12"/>
    </row>
    <row r="545" customFormat="false" ht="15.75" hidden="false" customHeight="false" outlineLevel="0" collapsed="false">
      <c r="A545" s="12"/>
      <c r="B545" s="34"/>
      <c r="C545" s="12"/>
      <c r="D545" s="12"/>
      <c r="E545" s="12"/>
      <c r="F545" s="12"/>
      <c r="G545" s="18"/>
      <c r="H545" s="35"/>
      <c r="I545" s="35"/>
      <c r="J545" s="12"/>
      <c r="O545" s="12"/>
      <c r="P545" s="18"/>
      <c r="Q545" s="12"/>
      <c r="R545" s="12"/>
      <c r="S545" s="12"/>
      <c r="T545" s="36"/>
      <c r="U545" s="36"/>
      <c r="V545" s="12"/>
      <c r="W545" s="12"/>
      <c r="X545" s="12"/>
      <c r="Y545" s="12"/>
    </row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AG68"/>
  <conditionalFormatting sqref="G2:G4 P2:P4">
    <cfRule type="containsText" priority="2" operator="containsText" aboveAverage="0" equalAverage="0" bottom="0" percent="0" rank="0" text="x" dxfId="0">
      <formula>NOT(ISERROR(SEARCH("x",G2)))</formula>
    </cfRule>
  </conditionalFormatting>
  <conditionalFormatting sqref="G2:J4 Q2:R4 W2:Y4">
    <cfRule type="cellIs" priority="3" operator="equal" aboveAverage="0" equalAverage="0" bottom="0" percent="0" rank="0" text="" dxfId="0">
      <formula>"Completo"</formula>
    </cfRule>
    <cfRule type="cellIs" priority="4" operator="equal" aboveAverage="0" equalAverage="0" bottom="0" percent="0" rank="0" text="" dxfId="1">
      <formula>"No Aplica"</formula>
    </cfRule>
  </conditionalFormatting>
  <conditionalFormatting sqref="T2:U4">
    <cfRule type="expression" priority="5" aboveAverage="0" equalAverage="0" bottom="0" percent="0" rank="0" text="" dxfId="0">
      <formula>LEN(TRIM(T2))&gt;0</formula>
    </cfRule>
  </conditionalFormatting>
  <conditionalFormatting sqref="S2:S4">
    <cfRule type="expression" priority="6" aboveAverage="0" equalAverage="0" bottom="0" percent="0" rank="0" text="" dxfId="0">
      <formula>LEN(TRIM(S2))&gt;0</formula>
    </cfRule>
  </conditionalFormatting>
  <conditionalFormatting sqref="V2:V4">
    <cfRule type="expression" priority="7" aboveAverage="0" equalAverage="0" bottom="0" percent="0" rank="0" text="" dxfId="0">
      <formula>LEN(TRIM(V2))&gt;0</formula>
    </cfRule>
  </conditionalFormatting>
  <conditionalFormatting sqref="Y2:Y4">
    <cfRule type="cellIs" priority="8" operator="equal" aboveAverage="0" equalAverage="0" bottom="0" percent="0" rank="0" text="" dxfId="0">
      <formula>"Completo"</formula>
    </cfRule>
    <cfRule type="cellIs" priority="9" operator="equal" aboveAverage="0" equalAverage="0" bottom="0" percent="0" rank="0" text="" dxfId="1">
      <formula>"No aplica"</formula>
    </cfRule>
  </conditionalFormatting>
  <conditionalFormatting sqref="T5:U545">
    <cfRule type="expression" priority="10" aboveAverage="0" equalAverage="0" bottom="0" percent="0" rank="0" text="" dxfId="0">
      <formula>LEN(TRIM(T5))&gt;0</formula>
    </cfRule>
  </conditionalFormatting>
  <conditionalFormatting sqref="S5:S545">
    <cfRule type="expression" priority="11" aboveAverage="0" equalAverage="0" bottom="0" percent="0" rank="0" text="" dxfId="0">
      <formula>LEN(TRIM(S5))&gt;0</formula>
    </cfRule>
  </conditionalFormatting>
  <conditionalFormatting sqref="G5:G545 P5:P545">
    <cfRule type="containsText" priority="12" operator="containsText" aboveAverage="0" equalAverage="0" bottom="0" percent="0" rank="0" text="x" dxfId="0">
      <formula>NOT(ISERROR(SEARCH("x",G5)))</formula>
    </cfRule>
  </conditionalFormatting>
  <conditionalFormatting sqref="V5:V545">
    <cfRule type="expression" priority="13" aboveAverage="0" equalAverage="0" bottom="0" percent="0" rank="0" text="" dxfId="0">
      <formula>LEN(TRIM(V5))&gt;0</formula>
    </cfRule>
  </conditionalFormatting>
  <conditionalFormatting sqref="Y5:Y545">
    <cfRule type="cellIs" priority="14" operator="equal" aboveAverage="0" equalAverage="0" bottom="0" percent="0" rank="0" text="" dxfId="0">
      <formula>"Completo"</formula>
    </cfRule>
    <cfRule type="cellIs" priority="15" operator="equal" aboveAverage="0" equalAverage="0" bottom="0" percent="0" rank="0" text="" dxfId="1">
      <formula>"No aplica"</formula>
    </cfRule>
  </conditionalFormatting>
  <conditionalFormatting sqref="G5:J545 Q5:R545 W5:Y545">
    <cfRule type="cellIs" priority="16" operator="equal" aboveAverage="0" equalAverage="0" bottom="0" percent="0" rank="0" text="" dxfId="0">
      <formula>"Completo"</formula>
    </cfRule>
    <cfRule type="cellIs" priority="17" operator="equal" aboveAverage="0" equalAverage="0" bottom="0" percent="0" rank="0" text="" dxfId="1">
      <formula>"No Aplica"</formula>
    </cfRule>
  </conditionalFormatting>
  <dataValidations count="6">
    <dataValidation allowBlank="true" errorStyle="stop" operator="between" showDropDown="false" showErrorMessage="false" showInputMessage="false" sqref="V2:V545" type="list">
      <formula1>LEYENDA!$A$23:$A$24</formula1>
      <formula2>0</formula2>
    </dataValidation>
    <dataValidation allowBlank="true" errorStyle="stop" operator="between" showDropDown="false" showErrorMessage="false" showInputMessage="false" sqref="T2:T545" type="list">
      <formula1>LEYENDA!$A$15:$A$21</formula1>
      <formula2>0</formula2>
    </dataValidation>
    <dataValidation allowBlank="true" errorStyle="stop" operator="between" showDropDown="false" showErrorMessage="true" showInputMessage="false" sqref="D2:D545" type="list">
      <formula1>LEYENDA!$B$2:$D$2</formula1>
      <formula2>0</formula2>
    </dataValidation>
    <dataValidation allowBlank="true" errorStyle="stop" operator="between" showDropDown="false" showErrorMessage="true" showInputMessage="false" sqref="H2:J545 Q2:R545 W2:Y545" type="list">
      <formula1>LEYENDA!$B$1:$C$1</formula1>
      <formula2>0</formula2>
    </dataValidation>
    <dataValidation allowBlank="true" errorStyle="stop" operator="between" showDropDown="false" showErrorMessage="false" showInputMessage="false" sqref="E2:E545" type="list">
      <formula1>LEYENDA!$A$8:$A$12</formula1>
      <formula2>0</formula2>
    </dataValidation>
    <dataValidation allowBlank="true" errorStyle="stop" operator="between" showDropDown="false" showErrorMessage="true" showInputMessage="false" sqref="Z2:Z68" type="list">
      <formula1>"Aceptada,En espera,Rechazada,No aplica"</formula1>
      <formula2>0</formula2>
    </dataValidation>
  </dataValidations>
  <hyperlinks>
    <hyperlink ref="H2" r:id="rId2" display="Completo"/>
    <hyperlink ref="W2" r:id="rId3" display="Completo"/>
    <hyperlink ref="X2" r:id="rId4" display="Completo"/>
    <hyperlink ref="H3" r:id="rId5" display="Completo"/>
    <hyperlink ref="H4" r:id="rId6" display="Completo"/>
    <hyperlink ref="H9" r:id="rId7" display="Completo"/>
    <hyperlink ref="W9" r:id="rId8" display="Completo"/>
    <hyperlink ref="X9" r:id="rId9" display="Completo"/>
    <hyperlink ref="H11" r:id="rId10" display="Completo"/>
    <hyperlink ref="W11" r:id="rId11" display="Completo"/>
    <hyperlink ref="X11" r:id="rId12" display="Completo"/>
    <hyperlink ref="H12" r:id="rId13" display="Completo"/>
    <hyperlink ref="W12" r:id="rId14" display="Completo"/>
    <hyperlink ref="X12" r:id="rId15" display="Completo"/>
    <hyperlink ref="H13" r:id="rId16" display="Completo"/>
    <hyperlink ref="W13" r:id="rId17" display="Completo"/>
    <hyperlink ref="X13" r:id="rId18" display="Completo"/>
    <hyperlink ref="H14" r:id="rId19" display="Completo"/>
    <hyperlink ref="W14" r:id="rId20" display="Completo"/>
    <hyperlink ref="X14" r:id="rId21" display="Completo"/>
    <hyperlink ref="H15" r:id="rId22" display="Completo"/>
    <hyperlink ref="W15" r:id="rId23" display="Completo"/>
    <hyperlink ref="X15" r:id="rId24" display="Completo"/>
    <hyperlink ref="H16" r:id="rId25" display="Completo"/>
    <hyperlink ref="W16" r:id="rId26" display="Completo"/>
    <hyperlink ref="X16" r:id="rId27" display="Completo"/>
    <hyperlink ref="H17" r:id="rId28" display="Completo"/>
    <hyperlink ref="W17" r:id="rId29" display="Completo"/>
    <hyperlink ref="X17" r:id="rId30" display="Completo"/>
    <hyperlink ref="H18" r:id="rId31" display="Completo"/>
    <hyperlink ref="W18" r:id="rId32" display="Completo"/>
    <hyperlink ref="X18" r:id="rId33" display="Completo"/>
    <hyperlink ref="H20" r:id="rId34" display="Completo"/>
    <hyperlink ref="H21" r:id="rId35" display="Completo"/>
    <hyperlink ref="H22" r:id="rId36" display="Completo"/>
    <hyperlink ref="H23" r:id="rId37" display="Completo"/>
    <hyperlink ref="H24" r:id="rId38" display="Completo"/>
    <hyperlink ref="H25" r:id="rId39" display="Completo"/>
    <hyperlink ref="H26" r:id="rId40" display="Completo"/>
    <hyperlink ref="R26" r:id="rId41" display="Completo"/>
    <hyperlink ref="W26" r:id="rId42" display="Completo"/>
    <hyperlink ref="X26" r:id="rId43" display="Completo"/>
    <hyperlink ref="H27" r:id="rId44" display="Completo"/>
    <hyperlink ref="H38" r:id="rId45" display="Completo"/>
    <hyperlink ref="H39" r:id="rId46" display="Completo"/>
    <hyperlink ref="H40" r:id="rId47" display="Completo"/>
    <hyperlink ref="R40" r:id="rId48" display="Completo"/>
    <hyperlink ref="W40" r:id="rId49" display="Completo"/>
    <hyperlink ref="X40" r:id="rId50" display="Completo"/>
    <hyperlink ref="H41" r:id="rId51" display="Completo"/>
    <hyperlink ref="H42" r:id="rId52" display="Completo"/>
    <hyperlink ref="R42" r:id="rId53" display="Completo"/>
    <hyperlink ref="W42" r:id="rId54" display="Completo"/>
    <hyperlink ref="X42" r:id="rId55" display="Completo"/>
    <hyperlink ref="H43" r:id="rId56" display="Completo"/>
    <hyperlink ref="H44" r:id="rId57" display="Completo"/>
    <hyperlink ref="R44" r:id="rId58" display="Completo"/>
    <hyperlink ref="W44" r:id="rId59" display="Completo"/>
    <hyperlink ref="X44" r:id="rId60" display="Completo"/>
    <hyperlink ref="H45" r:id="rId61" display="Completo"/>
    <hyperlink ref="R45" r:id="rId62" display="Completo"/>
    <hyperlink ref="W45" r:id="rId63" display="Completo"/>
    <hyperlink ref="X45" r:id="rId64" display="Completo"/>
    <hyperlink ref="H46" r:id="rId65" display="Completo"/>
    <hyperlink ref="R46" r:id="rId66" display="Completo"/>
    <hyperlink ref="H47" r:id="rId67" display="Completo"/>
    <hyperlink ref="R47" r:id="rId68" display="Completo"/>
    <hyperlink ref="W47" r:id="rId69" display="Completo"/>
    <hyperlink ref="X47" r:id="rId70" display="Completo"/>
    <hyperlink ref="H48" r:id="rId71" display="Completo"/>
    <hyperlink ref="R48" r:id="rId72" display="Completo"/>
    <hyperlink ref="W48" r:id="rId73" display="Completo"/>
    <hyperlink ref="X48" r:id="rId74" display="Completo"/>
    <hyperlink ref="H49" r:id="rId75" display="Completo"/>
    <hyperlink ref="R49" r:id="rId76" display="Completo"/>
    <hyperlink ref="W49" r:id="rId77" display="Completo"/>
    <hyperlink ref="X49" r:id="rId78" display="Completo"/>
    <hyperlink ref="H50" r:id="rId79" display="Completo"/>
    <hyperlink ref="R50" r:id="rId80" display="Completo"/>
    <hyperlink ref="W50" r:id="rId81" display="Completo"/>
    <hyperlink ref="X50" r:id="rId82" display="Completo"/>
    <hyperlink ref="H51" r:id="rId83" display="Completo"/>
    <hyperlink ref="R51" r:id="rId84" display="Completo"/>
    <hyperlink ref="H52" r:id="rId85" display="Completo"/>
    <hyperlink ref="H53" r:id="rId86" display="Completo"/>
    <hyperlink ref="R53" r:id="rId87" display="Completo"/>
    <hyperlink ref="H55" r:id="rId88" display="Completo"/>
    <hyperlink ref="H56" r:id="rId89" display="Completo"/>
    <hyperlink ref="W56" r:id="rId90" display="Completo"/>
    <hyperlink ref="X56" r:id="rId91" display="Completo"/>
    <hyperlink ref="H57" r:id="rId92" display="Completo"/>
    <hyperlink ref="H60" r:id="rId93" display="Completo"/>
    <hyperlink ref="H61" r:id="rId94" display="Completo"/>
    <hyperlink ref="W61" r:id="rId95" display="Completo"/>
    <hyperlink ref="X61" r:id="rId96" display="Completo"/>
    <hyperlink ref="H62" r:id="rId97" display="Completo"/>
    <hyperlink ref="R62" r:id="rId98" display="Completo"/>
    <hyperlink ref="W62" r:id="rId99" display="Completo"/>
    <hyperlink ref="X62" r:id="rId100" display="Completo"/>
    <hyperlink ref="H63" r:id="rId101" display="Completo"/>
    <hyperlink ref="R63" r:id="rId102" display="Completo"/>
    <hyperlink ref="W63" r:id="rId103" display="Completo"/>
    <hyperlink ref="X63" r:id="rId104" display="Completo"/>
    <hyperlink ref="H67" r:id="rId105" display="Completo"/>
    <hyperlink ref="R67" r:id="rId106" display="Completo"/>
    <hyperlink ref="W67" r:id="rId107" display="Completo"/>
    <hyperlink ref="X67" r:id="rId108" display="Completo"/>
    <hyperlink ref="H68" r:id="rId109" display="Completo"/>
    <hyperlink ref="R68" r:id="rId110" display="Completo"/>
    <hyperlink ref="W68" r:id="rId111" display="Completo"/>
    <hyperlink ref="X68" r:id="rId112" display="Completo"/>
  </hyperlinks>
  <printOptions headings="false" gridLines="true" gridLinesSet="true" horizontalCentered="true" verticalCentered="false"/>
  <pageMargins left="0.7" right="0.7" top="0.75" bottom="0.75" header="0.511811023622047" footer="0.511811023622047"/>
  <pageSetup paperSize="9" scale="100" fitToWidth="1" fitToHeight="0" pageOrder="overThenDown" orientation="landscape" blackAndWhite="false" draft="false" cellComments="none" horizontalDpi="300" verticalDpi="300" copies="1"/>
  <headerFooter differentFirst="false" differentOddEven="false">
    <oddHeader/>
    <oddFooter/>
  </headerFooter>
  <drawing r:id="rId113"/>
  <legacyDrawing r:id="rId114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XFD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7" ySplit="3" topLeftCell="H4" activePane="bottomRight" state="frozen"/>
      <selection pane="topLeft" activeCell="A1" activeCellId="0" sqref="A1"/>
      <selection pane="topRight" activeCell="H1" activeCellId="0" sqref="H1"/>
      <selection pane="bottomLeft" activeCell="A4" activeCellId="0" sqref="A4"/>
      <selection pane="bottomRight" activeCell="H1" activeCellId="0" sqref="H1"/>
    </sheetView>
  </sheetViews>
  <sheetFormatPr defaultColWidth="12.6328125" defaultRowHeight="15.75" zeroHeight="false" outlineLevelRow="0" outlineLevelCol="0"/>
  <cols>
    <col collapsed="false" customWidth="true" hidden="false" outlineLevel="0" max="1" min="1" style="1" width="10.25"/>
    <col collapsed="false" customWidth="true" hidden="false" outlineLevel="0" max="2" min="2" style="1" width="10.38"/>
    <col collapsed="false" customWidth="true" hidden="false" outlineLevel="0" max="4" min="3" style="1" width="16.38"/>
    <col collapsed="false" customWidth="true" hidden="false" outlineLevel="0" max="5" min="5" style="1" width="18.25"/>
    <col collapsed="false" customWidth="true" hidden="false" outlineLevel="0" max="6" min="6" style="1" width="29.38"/>
    <col collapsed="false" customWidth="true" hidden="false" outlineLevel="0" max="7" min="7" style="1" width="14.13"/>
    <col collapsed="false" customWidth="true" hidden="false" outlineLevel="0" max="8" min="8" style="1" width="10.13"/>
    <col collapsed="false" customWidth="true" hidden="true" outlineLevel="0" max="9" min="9" style="1" width="10.13"/>
    <col collapsed="false" customWidth="true" hidden="false" outlineLevel="0" max="10" min="10" style="1" width="12.88"/>
    <col collapsed="false" customWidth="true" hidden="false" outlineLevel="0" max="12" min="11" style="1" width="12"/>
    <col collapsed="false" customWidth="true" hidden="false" outlineLevel="0" max="13" min="13" style="1" width="10"/>
    <col collapsed="false" customWidth="true" hidden="false" outlineLevel="0" max="14" min="14" style="1" width="12.25"/>
    <col collapsed="false" customWidth="true" hidden="false" outlineLevel="0" max="15" min="15" style="1" width="26.12"/>
    <col collapsed="false" customWidth="true" hidden="true" outlineLevel="0" max="16" min="16" style="1" width="18"/>
    <col collapsed="false" customWidth="true" hidden="false" outlineLevel="0" max="18" min="17" style="1" width="10.63"/>
    <col collapsed="false" customWidth="true" hidden="false" outlineLevel="0" max="19" min="19" style="1" width="8.5"/>
    <col collapsed="false" customWidth="true" hidden="false" outlineLevel="0" max="21" min="21" style="1" width="25.38"/>
    <col collapsed="false" customWidth="true" hidden="false" outlineLevel="0" max="22" min="22" style="1" width="18.13"/>
    <col collapsed="false" customWidth="true" hidden="false" outlineLevel="0" max="23" min="23" style="1" width="10.13"/>
    <col collapsed="false" customWidth="true" hidden="false" outlineLevel="0" max="24" min="24" style="1" width="11.38"/>
    <col collapsed="false" customWidth="true" hidden="false" outlineLevel="0" max="26" min="26" style="1" width="13.5"/>
    <col collapsed="false" customWidth="true" hidden="false" outlineLevel="0" max="16384" min="16384" style="1" width="11.53"/>
  </cols>
  <sheetData>
    <row r="1" customFormat="false" ht="42.5" hidden="false" customHeight="false" outlineLevel="0" collapsed="false">
      <c r="A1" s="2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/>
      <c r="J1" s="4" t="s">
        <v>8</v>
      </c>
      <c r="K1" s="2"/>
      <c r="L1" s="2" t="s">
        <v>9</v>
      </c>
      <c r="M1" s="2" t="s">
        <v>10</v>
      </c>
      <c r="N1" s="4" t="s">
        <v>11</v>
      </c>
      <c r="O1" s="3" t="s">
        <v>12</v>
      </c>
      <c r="P1" s="7" t="s">
        <v>13</v>
      </c>
      <c r="Q1" s="7" t="s">
        <v>14</v>
      </c>
      <c r="R1" s="7" t="s">
        <v>15</v>
      </c>
      <c r="S1" s="7" t="s">
        <v>16</v>
      </c>
      <c r="T1" s="7" t="s">
        <v>17</v>
      </c>
      <c r="U1" s="8" t="s">
        <v>18</v>
      </c>
      <c r="V1" s="9" t="s">
        <v>19</v>
      </c>
      <c r="W1" s="9" t="s">
        <v>20</v>
      </c>
      <c r="X1" s="10" t="s">
        <v>15</v>
      </c>
      <c r="Y1" s="11" t="s">
        <v>21</v>
      </c>
      <c r="Z1" s="11" t="s">
        <v>22</v>
      </c>
      <c r="AA1" s="12"/>
      <c r="AB1" s="12"/>
      <c r="AC1" s="12"/>
      <c r="AD1" s="12"/>
      <c r="AE1" s="12"/>
      <c r="AF1" s="12"/>
      <c r="XFD1" s="0"/>
    </row>
    <row r="2" customFormat="false" ht="15.75" hidden="false" customHeight="false" outlineLevel="0" collapsed="false">
      <c r="A2" s="13" t="n">
        <v>9010</v>
      </c>
      <c r="B2" s="14" t="n">
        <v>45537</v>
      </c>
      <c r="C2" s="15" t="s">
        <v>378</v>
      </c>
      <c r="D2" s="16" t="s">
        <v>24</v>
      </c>
      <c r="E2" s="16" t="s">
        <v>25</v>
      </c>
      <c r="F2" s="16" t="s">
        <v>379</v>
      </c>
      <c r="G2" s="16" t="s">
        <v>380</v>
      </c>
      <c r="H2" s="17" t="s">
        <v>28</v>
      </c>
      <c r="I2" s="16"/>
      <c r="J2" s="16" t="s">
        <v>28</v>
      </c>
      <c r="K2" s="16" t="s">
        <v>29</v>
      </c>
      <c r="L2" s="16" t="s">
        <v>29</v>
      </c>
      <c r="M2" s="16" t="s">
        <v>29</v>
      </c>
      <c r="N2" s="16" t="s">
        <v>381</v>
      </c>
      <c r="O2" s="16"/>
      <c r="P2" s="16"/>
      <c r="Q2" s="16" t="s">
        <v>28</v>
      </c>
      <c r="R2" s="17" t="s">
        <v>28</v>
      </c>
      <c r="S2" s="16" t="s">
        <v>382</v>
      </c>
      <c r="T2" s="16" t="s">
        <v>30</v>
      </c>
      <c r="U2" s="16"/>
      <c r="V2" s="16" t="s">
        <v>58</v>
      </c>
      <c r="W2" s="17" t="s">
        <v>28</v>
      </c>
      <c r="X2" s="17" t="s">
        <v>28</v>
      </c>
      <c r="Y2" s="16" t="s">
        <v>28</v>
      </c>
      <c r="Z2" s="12" t="s">
        <v>32</v>
      </c>
    </row>
    <row r="3" customFormat="false" ht="15.75" hidden="false" customHeight="false" outlineLevel="0" collapsed="false">
      <c r="A3" s="13" t="n">
        <v>9011</v>
      </c>
      <c r="B3" s="14" t="n">
        <v>45537</v>
      </c>
      <c r="C3" s="15" t="s">
        <v>120</v>
      </c>
      <c r="D3" s="16" t="s">
        <v>290</v>
      </c>
      <c r="E3" s="16" t="s">
        <v>25</v>
      </c>
      <c r="F3" s="16" t="s">
        <v>383</v>
      </c>
      <c r="G3" s="16" t="s">
        <v>384</v>
      </c>
      <c r="H3" s="17" t="s">
        <v>28</v>
      </c>
      <c r="I3" s="16"/>
      <c r="J3" s="16" t="s">
        <v>28</v>
      </c>
      <c r="K3" s="16" t="s">
        <v>29</v>
      </c>
      <c r="L3" s="16" t="s">
        <v>29</v>
      </c>
      <c r="M3" s="16" t="s">
        <v>29</v>
      </c>
      <c r="N3" s="16" t="s">
        <v>385</v>
      </c>
      <c r="O3" s="16"/>
      <c r="P3" s="16"/>
      <c r="Q3" s="16" t="s">
        <v>28</v>
      </c>
      <c r="R3" s="17" t="s">
        <v>28</v>
      </c>
      <c r="S3" s="16" t="s">
        <v>386</v>
      </c>
      <c r="T3" s="16" t="s">
        <v>186</v>
      </c>
      <c r="U3" s="16"/>
      <c r="V3" s="16" t="s">
        <v>74</v>
      </c>
      <c r="W3" s="17" t="s">
        <v>28</v>
      </c>
      <c r="X3" s="17" t="s">
        <v>28</v>
      </c>
      <c r="Y3" s="16" t="s">
        <v>28</v>
      </c>
      <c r="Z3" s="12" t="s">
        <v>32</v>
      </c>
    </row>
    <row r="4" customFormat="false" ht="15.75" hidden="false" customHeight="false" outlineLevel="0" collapsed="false">
      <c r="A4" s="13" t="n">
        <v>9012</v>
      </c>
      <c r="B4" s="14" t="n">
        <v>45537</v>
      </c>
      <c r="C4" s="15" t="s">
        <v>23</v>
      </c>
      <c r="D4" s="16" t="s">
        <v>24</v>
      </c>
      <c r="E4" s="16" t="s">
        <v>34</v>
      </c>
      <c r="F4" s="16" t="s">
        <v>387</v>
      </c>
      <c r="G4" s="16"/>
      <c r="H4" s="16"/>
      <c r="I4" s="16"/>
      <c r="J4" s="16"/>
      <c r="K4" s="16"/>
      <c r="L4" s="16"/>
      <c r="M4" s="16"/>
      <c r="N4" s="16"/>
      <c r="O4" s="16"/>
      <c r="P4" s="18"/>
      <c r="Q4" s="16" t="s">
        <v>37</v>
      </c>
      <c r="R4" s="16" t="s">
        <v>37</v>
      </c>
      <c r="S4" s="16"/>
      <c r="T4" s="16"/>
      <c r="U4" s="16"/>
      <c r="V4" s="16"/>
      <c r="W4" s="16" t="s">
        <v>37</v>
      </c>
      <c r="X4" s="16" t="s">
        <v>37</v>
      </c>
      <c r="Y4" s="16" t="s">
        <v>28</v>
      </c>
      <c r="Z4" s="12" t="s">
        <v>32</v>
      </c>
    </row>
    <row r="5" customFormat="false" ht="15.75" hidden="false" customHeight="false" outlineLevel="0" collapsed="false">
      <c r="A5" s="19" t="n">
        <v>9013</v>
      </c>
      <c r="B5" s="14" t="n">
        <v>45539</v>
      </c>
      <c r="C5" s="16" t="s">
        <v>91</v>
      </c>
      <c r="D5" s="16" t="s">
        <v>24</v>
      </c>
      <c r="E5" s="16" t="s">
        <v>34</v>
      </c>
      <c r="F5" s="16" t="s">
        <v>388</v>
      </c>
      <c r="G5" s="16"/>
      <c r="H5" s="16"/>
      <c r="I5" s="16"/>
      <c r="J5" s="16"/>
      <c r="K5" s="16"/>
      <c r="L5" s="16"/>
      <c r="M5" s="16"/>
      <c r="N5" s="16"/>
      <c r="O5" s="16"/>
      <c r="P5" s="16"/>
      <c r="Q5" s="16" t="s">
        <v>37</v>
      </c>
      <c r="R5" s="16" t="s">
        <v>37</v>
      </c>
      <c r="S5" s="16"/>
      <c r="T5" s="16"/>
      <c r="U5" s="16"/>
      <c r="V5" s="16"/>
      <c r="W5" s="16" t="s">
        <v>37</v>
      </c>
      <c r="X5" s="16" t="s">
        <v>37</v>
      </c>
      <c r="Y5" s="16" t="s">
        <v>28</v>
      </c>
      <c r="Z5" s="12" t="s">
        <v>32</v>
      </c>
    </row>
    <row r="6" customFormat="false" ht="15.75" hidden="false" customHeight="false" outlineLevel="0" collapsed="false">
      <c r="A6" s="19" t="n">
        <v>9014</v>
      </c>
      <c r="B6" s="14" t="n">
        <v>45539</v>
      </c>
      <c r="C6" s="21" t="s">
        <v>389</v>
      </c>
      <c r="D6" s="16" t="s">
        <v>24</v>
      </c>
      <c r="E6" s="21" t="s">
        <v>34</v>
      </c>
      <c r="F6" s="16" t="s">
        <v>390</v>
      </c>
      <c r="G6" s="16"/>
      <c r="H6" s="16"/>
      <c r="I6" s="16"/>
      <c r="J6" s="16"/>
      <c r="K6" s="16"/>
      <c r="L6" s="16"/>
      <c r="M6" s="16"/>
      <c r="N6" s="16"/>
      <c r="O6" s="16"/>
      <c r="P6" s="16"/>
      <c r="Q6" s="16" t="s">
        <v>37</v>
      </c>
      <c r="R6" s="16" t="s">
        <v>37</v>
      </c>
      <c r="S6" s="16"/>
      <c r="T6" s="16"/>
      <c r="U6" s="16"/>
      <c r="V6" s="16"/>
      <c r="W6" s="16" t="s">
        <v>37</v>
      </c>
      <c r="X6" s="16" t="s">
        <v>37</v>
      </c>
      <c r="Y6" s="16" t="s">
        <v>28</v>
      </c>
      <c r="Z6" s="12" t="s">
        <v>32</v>
      </c>
    </row>
    <row r="7" customFormat="false" ht="15.75" hidden="false" customHeight="false" outlineLevel="0" collapsed="false">
      <c r="A7" s="19" t="n">
        <v>8100</v>
      </c>
      <c r="B7" s="14" t="n">
        <v>45540</v>
      </c>
      <c r="C7" s="16" t="s">
        <v>391</v>
      </c>
      <c r="D7" s="21" t="s">
        <v>24</v>
      </c>
      <c r="E7" s="21" t="s">
        <v>25</v>
      </c>
      <c r="F7" s="16" t="s">
        <v>392</v>
      </c>
      <c r="G7" s="16"/>
      <c r="H7" s="17" t="s">
        <v>28</v>
      </c>
      <c r="I7" s="16"/>
      <c r="J7" s="16" t="s">
        <v>28</v>
      </c>
      <c r="K7" s="16" t="s">
        <v>29</v>
      </c>
      <c r="L7" s="16" t="s">
        <v>29</v>
      </c>
      <c r="M7" s="16" t="s">
        <v>29</v>
      </c>
      <c r="N7" s="16" t="n">
        <v>25240</v>
      </c>
      <c r="O7" s="16"/>
      <c r="P7" s="16"/>
      <c r="Q7" s="16" t="s">
        <v>37</v>
      </c>
      <c r="R7" s="16" t="s">
        <v>37</v>
      </c>
      <c r="S7" s="16"/>
      <c r="T7" s="16"/>
      <c r="U7" s="16"/>
      <c r="V7" s="16"/>
      <c r="W7" s="16" t="s">
        <v>37</v>
      </c>
      <c r="X7" s="16" t="s">
        <v>37</v>
      </c>
      <c r="Y7" s="16" t="s">
        <v>28</v>
      </c>
      <c r="Z7" s="12" t="s">
        <v>32</v>
      </c>
    </row>
    <row r="8" customFormat="false" ht="15.75" hidden="false" customHeight="false" outlineLevel="0" collapsed="false">
      <c r="A8" s="19" t="n">
        <v>8101</v>
      </c>
      <c r="B8" s="14" t="n">
        <v>45540</v>
      </c>
      <c r="C8" s="16" t="s">
        <v>391</v>
      </c>
      <c r="D8" s="21" t="s">
        <v>24</v>
      </c>
      <c r="E8" s="21" t="s">
        <v>25</v>
      </c>
      <c r="F8" s="16" t="s">
        <v>393</v>
      </c>
      <c r="G8" s="16"/>
      <c r="H8" s="17" t="s">
        <v>28</v>
      </c>
      <c r="I8" s="16"/>
      <c r="J8" s="16" t="s">
        <v>28</v>
      </c>
      <c r="K8" s="16" t="s">
        <v>29</v>
      </c>
      <c r="L8" s="16" t="s">
        <v>29</v>
      </c>
      <c r="M8" s="16" t="s">
        <v>29</v>
      </c>
      <c r="N8" s="16" t="n">
        <v>25240</v>
      </c>
      <c r="O8" s="16"/>
      <c r="P8" s="16"/>
      <c r="Q8" s="16" t="s">
        <v>37</v>
      </c>
      <c r="R8" s="16" t="s">
        <v>37</v>
      </c>
      <c r="S8" s="16"/>
      <c r="T8" s="16"/>
      <c r="U8" s="16"/>
      <c r="V8" s="16"/>
      <c r="W8" s="16" t="s">
        <v>37</v>
      </c>
      <c r="X8" s="16" t="s">
        <v>37</v>
      </c>
      <c r="Y8" s="16" t="s">
        <v>37</v>
      </c>
      <c r="Z8" s="12" t="s">
        <v>40</v>
      </c>
    </row>
    <row r="9" customFormat="false" ht="15.75" hidden="false" customHeight="false" outlineLevel="0" collapsed="false">
      <c r="A9" s="19" t="n">
        <v>8102</v>
      </c>
      <c r="B9" s="14" t="n">
        <v>45540</v>
      </c>
      <c r="C9" s="16" t="s">
        <v>394</v>
      </c>
      <c r="D9" s="21" t="s">
        <v>24</v>
      </c>
      <c r="E9" s="21" t="s">
        <v>25</v>
      </c>
      <c r="F9" s="16" t="s">
        <v>127</v>
      </c>
      <c r="G9" s="16"/>
      <c r="H9" s="17" t="s">
        <v>28</v>
      </c>
      <c r="I9" s="16"/>
      <c r="J9" s="16" t="s">
        <v>28</v>
      </c>
      <c r="K9" s="16" t="s">
        <v>29</v>
      </c>
      <c r="L9" s="16" t="s">
        <v>29</v>
      </c>
      <c r="M9" s="16" t="s">
        <v>29</v>
      </c>
      <c r="N9" s="16" t="s">
        <v>29</v>
      </c>
      <c r="O9" s="16"/>
      <c r="P9" s="16"/>
      <c r="Q9" s="16"/>
      <c r="R9" s="16"/>
      <c r="S9" s="16"/>
      <c r="T9" s="16"/>
      <c r="U9" s="16"/>
      <c r="V9" s="16"/>
      <c r="W9" s="16" t="s">
        <v>37</v>
      </c>
      <c r="X9" s="16" t="s">
        <v>37</v>
      </c>
      <c r="Y9" s="16" t="s">
        <v>37</v>
      </c>
      <c r="Z9" s="12" t="s">
        <v>40</v>
      </c>
    </row>
    <row r="10" customFormat="false" ht="15.75" hidden="false" customHeight="false" outlineLevel="0" collapsed="false">
      <c r="A10" s="19" t="n">
        <v>8103</v>
      </c>
      <c r="B10" s="14" t="n">
        <v>45540</v>
      </c>
      <c r="C10" s="16" t="s">
        <v>91</v>
      </c>
      <c r="D10" s="16" t="s">
        <v>24</v>
      </c>
      <c r="E10" s="16" t="s">
        <v>25</v>
      </c>
      <c r="F10" s="16" t="s">
        <v>395</v>
      </c>
      <c r="G10" s="16"/>
      <c r="H10" s="16" t="s">
        <v>28</v>
      </c>
      <c r="I10" s="16"/>
      <c r="J10" s="16" t="s">
        <v>28</v>
      </c>
      <c r="K10" s="16"/>
      <c r="L10" s="16"/>
      <c r="M10" s="16"/>
      <c r="N10" s="16"/>
      <c r="O10" s="16"/>
      <c r="P10" s="16"/>
      <c r="Q10" s="16" t="s">
        <v>37</v>
      </c>
      <c r="R10" s="16" t="s">
        <v>37</v>
      </c>
      <c r="S10" s="16"/>
      <c r="T10" s="16"/>
      <c r="U10" s="16"/>
      <c r="V10" s="16"/>
      <c r="W10" s="16" t="s">
        <v>37</v>
      </c>
      <c r="X10" s="16" t="s">
        <v>37</v>
      </c>
      <c r="Y10" s="16" t="s">
        <v>37</v>
      </c>
      <c r="Z10" s="12" t="s">
        <v>32</v>
      </c>
    </row>
    <row r="11" customFormat="false" ht="15.75" hidden="false" customHeight="false" outlineLevel="0" collapsed="false">
      <c r="A11" s="42" t="n">
        <v>504403</v>
      </c>
      <c r="B11" s="14" t="n">
        <v>45544</v>
      </c>
      <c r="C11" s="16" t="s">
        <v>396</v>
      </c>
      <c r="D11" s="16" t="s">
        <v>24</v>
      </c>
      <c r="E11" s="16" t="s">
        <v>25</v>
      </c>
      <c r="F11" s="16" t="s">
        <v>397</v>
      </c>
      <c r="G11" s="16" t="s">
        <v>398</v>
      </c>
      <c r="H11" s="17" t="s">
        <v>28</v>
      </c>
      <c r="I11" s="16"/>
      <c r="J11" s="16" t="s">
        <v>28</v>
      </c>
      <c r="K11" s="16" t="s">
        <v>29</v>
      </c>
      <c r="L11" s="16" t="s">
        <v>29</v>
      </c>
      <c r="M11" s="16" t="s">
        <v>29</v>
      </c>
      <c r="N11" s="16" t="s">
        <v>29</v>
      </c>
      <c r="O11" s="16"/>
      <c r="P11" s="16"/>
      <c r="Q11" s="16" t="s">
        <v>28</v>
      </c>
      <c r="R11" s="17" t="s">
        <v>28</v>
      </c>
      <c r="S11" s="16" t="s">
        <v>399</v>
      </c>
      <c r="T11" s="16" t="s">
        <v>25</v>
      </c>
      <c r="U11" s="16"/>
      <c r="V11" s="16" t="s">
        <v>74</v>
      </c>
      <c r="W11" s="17" t="s">
        <v>28</v>
      </c>
      <c r="X11" s="17" t="s">
        <v>28</v>
      </c>
      <c r="Y11" s="16" t="s">
        <v>28</v>
      </c>
      <c r="Z11" s="12" t="s">
        <v>32</v>
      </c>
    </row>
    <row r="12" customFormat="false" ht="15.75" hidden="false" customHeight="false" outlineLevel="0" collapsed="false">
      <c r="A12" s="19" t="n">
        <v>8104</v>
      </c>
      <c r="B12" s="22" t="n">
        <v>45545</v>
      </c>
      <c r="C12" s="16" t="s">
        <v>391</v>
      </c>
      <c r="D12" s="16" t="s">
        <v>24</v>
      </c>
      <c r="E12" s="16" t="s">
        <v>25</v>
      </c>
      <c r="F12" s="16" t="s">
        <v>400</v>
      </c>
      <c r="G12" s="16" t="s">
        <v>29</v>
      </c>
      <c r="H12" s="17" t="s">
        <v>28</v>
      </c>
      <c r="I12" s="16"/>
      <c r="J12" s="16" t="s">
        <v>28</v>
      </c>
      <c r="K12" s="16" t="s">
        <v>29</v>
      </c>
      <c r="L12" s="16" t="s">
        <v>29</v>
      </c>
      <c r="M12" s="16" t="s">
        <v>29</v>
      </c>
      <c r="N12" s="16" t="n">
        <v>25241</v>
      </c>
      <c r="O12" s="16"/>
      <c r="P12" s="16"/>
      <c r="Q12" s="16" t="s">
        <v>37</v>
      </c>
      <c r="R12" s="16" t="s">
        <v>37</v>
      </c>
      <c r="S12" s="16"/>
      <c r="T12" s="16"/>
      <c r="U12" s="16"/>
      <c r="V12" s="16"/>
      <c r="W12" s="16" t="s">
        <v>37</v>
      </c>
      <c r="X12" s="16" t="s">
        <v>37</v>
      </c>
      <c r="Y12" s="16" t="s">
        <v>28</v>
      </c>
      <c r="Z12" s="12" t="s">
        <v>32</v>
      </c>
    </row>
    <row r="13" customFormat="false" ht="15.75" hidden="false" customHeight="false" outlineLevel="0" collapsed="false">
      <c r="A13" s="19" t="n">
        <v>8105</v>
      </c>
      <c r="B13" s="14" t="n">
        <v>45545</v>
      </c>
      <c r="C13" s="16" t="s">
        <v>391</v>
      </c>
      <c r="D13" s="16" t="s">
        <v>24</v>
      </c>
      <c r="E13" s="16" t="s">
        <v>25</v>
      </c>
      <c r="F13" s="16" t="s">
        <v>401</v>
      </c>
      <c r="G13" s="16" t="s">
        <v>29</v>
      </c>
      <c r="H13" s="17" t="s">
        <v>28</v>
      </c>
      <c r="I13" s="16"/>
      <c r="J13" s="16" t="s">
        <v>28</v>
      </c>
      <c r="K13" s="16" t="s">
        <v>29</v>
      </c>
      <c r="L13" s="16" t="s">
        <v>29</v>
      </c>
      <c r="M13" s="16" t="s">
        <v>29</v>
      </c>
      <c r="N13" s="16" t="s">
        <v>29</v>
      </c>
      <c r="O13" s="16"/>
      <c r="P13" s="16"/>
      <c r="Q13" s="16" t="s">
        <v>37</v>
      </c>
      <c r="R13" s="16" t="s">
        <v>37</v>
      </c>
      <c r="S13" s="16"/>
      <c r="T13" s="16"/>
      <c r="U13" s="16"/>
      <c r="V13" s="16"/>
      <c r="W13" s="16" t="s">
        <v>37</v>
      </c>
      <c r="X13" s="16" t="s">
        <v>37</v>
      </c>
      <c r="Y13" s="16" t="s">
        <v>37</v>
      </c>
      <c r="Z13" s="12" t="s">
        <v>40</v>
      </c>
    </row>
    <row r="14" customFormat="false" ht="15.75" hidden="false" customHeight="false" outlineLevel="0" collapsed="false">
      <c r="A14" s="19" t="n">
        <v>8106</v>
      </c>
      <c r="B14" s="14" t="n">
        <v>45545</v>
      </c>
      <c r="C14" s="16" t="s">
        <v>402</v>
      </c>
      <c r="D14" s="16" t="s">
        <v>24</v>
      </c>
      <c r="E14" s="21" t="s">
        <v>25</v>
      </c>
      <c r="F14" s="37" t="s">
        <v>403</v>
      </c>
      <c r="G14" s="16"/>
      <c r="H14" s="17" t="s">
        <v>28</v>
      </c>
      <c r="I14" s="16"/>
      <c r="J14" s="16" t="s">
        <v>28</v>
      </c>
      <c r="K14" s="16" t="s">
        <v>29</v>
      </c>
      <c r="L14" s="16" t="s">
        <v>29</v>
      </c>
      <c r="M14" s="16" t="s">
        <v>29</v>
      </c>
      <c r="N14" s="16" t="s">
        <v>404</v>
      </c>
      <c r="O14" s="16"/>
      <c r="P14" s="16"/>
      <c r="Q14" s="16" t="s">
        <v>28</v>
      </c>
      <c r="R14" s="17" t="s">
        <v>28</v>
      </c>
      <c r="S14" s="16" t="s">
        <v>405</v>
      </c>
      <c r="T14" s="16" t="s">
        <v>25</v>
      </c>
      <c r="U14" s="16"/>
      <c r="V14" s="16" t="s">
        <v>58</v>
      </c>
      <c r="W14" s="17" t="s">
        <v>28</v>
      </c>
      <c r="X14" s="17" t="s">
        <v>28</v>
      </c>
      <c r="Y14" s="16" t="s">
        <v>28</v>
      </c>
      <c r="Z14" s="12" t="s">
        <v>48</v>
      </c>
    </row>
    <row r="15" customFormat="false" ht="15.75" hidden="false" customHeight="false" outlineLevel="0" collapsed="false">
      <c r="A15" s="19" t="n">
        <v>8107</v>
      </c>
      <c r="B15" s="14" t="n">
        <v>45545</v>
      </c>
      <c r="C15" s="16" t="s">
        <v>402</v>
      </c>
      <c r="D15" s="16" t="s">
        <v>24</v>
      </c>
      <c r="E15" s="16" t="s">
        <v>25</v>
      </c>
      <c r="F15" s="24" t="s">
        <v>406</v>
      </c>
      <c r="G15" s="16" t="s">
        <v>407</v>
      </c>
      <c r="H15" s="17" t="s">
        <v>28</v>
      </c>
      <c r="I15" s="16"/>
      <c r="J15" s="16" t="s">
        <v>28</v>
      </c>
      <c r="K15" s="16" t="s">
        <v>29</v>
      </c>
      <c r="L15" s="16" t="s">
        <v>29</v>
      </c>
      <c r="M15" s="16" t="s">
        <v>29</v>
      </c>
      <c r="N15" s="16" t="s">
        <v>404</v>
      </c>
      <c r="O15" s="16"/>
      <c r="P15" s="16"/>
      <c r="Q15" s="16" t="s">
        <v>28</v>
      </c>
      <c r="R15" s="17" t="s">
        <v>28</v>
      </c>
      <c r="S15" s="16" t="s">
        <v>29</v>
      </c>
      <c r="T15" s="16" t="s">
        <v>25</v>
      </c>
      <c r="U15" s="16"/>
      <c r="V15" s="16" t="s">
        <v>74</v>
      </c>
      <c r="W15" s="17" t="s">
        <v>28</v>
      </c>
      <c r="X15" s="17" t="s">
        <v>28</v>
      </c>
      <c r="Y15" s="16" t="s">
        <v>28</v>
      </c>
      <c r="Z15" s="12" t="s">
        <v>48</v>
      </c>
    </row>
    <row r="16" customFormat="false" ht="15.75" hidden="false" customHeight="false" outlineLevel="0" collapsed="false">
      <c r="A16" s="19" t="n">
        <v>8108</v>
      </c>
      <c r="B16" s="14" t="n">
        <v>45545</v>
      </c>
      <c r="C16" s="16" t="s">
        <v>402</v>
      </c>
      <c r="D16" s="16" t="s">
        <v>24</v>
      </c>
      <c r="E16" s="16" t="s">
        <v>25</v>
      </c>
      <c r="F16" s="19" t="s">
        <v>408</v>
      </c>
      <c r="G16" s="16" t="s">
        <v>407</v>
      </c>
      <c r="H16" s="17" t="s">
        <v>28</v>
      </c>
      <c r="I16" s="16"/>
      <c r="J16" s="16" t="s">
        <v>28</v>
      </c>
      <c r="K16" s="16" t="s">
        <v>29</v>
      </c>
      <c r="L16" s="16" t="s">
        <v>29</v>
      </c>
      <c r="M16" s="16" t="s">
        <v>29</v>
      </c>
      <c r="N16" s="16" t="s">
        <v>409</v>
      </c>
      <c r="O16" s="16"/>
      <c r="P16" s="16"/>
      <c r="Q16" s="16" t="s">
        <v>28</v>
      </c>
      <c r="R16" s="17" t="s">
        <v>28</v>
      </c>
      <c r="S16" s="16" t="s">
        <v>410</v>
      </c>
      <c r="T16" s="16" t="s">
        <v>222</v>
      </c>
      <c r="U16" s="16"/>
      <c r="V16" s="16" t="s">
        <v>58</v>
      </c>
      <c r="W16" s="17" t="s">
        <v>28</v>
      </c>
      <c r="X16" s="17" t="s">
        <v>28</v>
      </c>
      <c r="Y16" s="16" t="s">
        <v>28</v>
      </c>
      <c r="Z16" s="12" t="s">
        <v>48</v>
      </c>
    </row>
    <row r="17" customFormat="false" ht="15.75" hidden="false" customHeight="false" outlineLevel="0" collapsed="false">
      <c r="A17" s="19" t="n">
        <v>8109</v>
      </c>
      <c r="B17" s="14" t="n">
        <v>45545</v>
      </c>
      <c r="C17" s="16" t="s">
        <v>402</v>
      </c>
      <c r="D17" s="16" t="s">
        <v>24</v>
      </c>
      <c r="E17" s="16" t="s">
        <v>25</v>
      </c>
      <c r="F17" s="16" t="s">
        <v>411</v>
      </c>
      <c r="G17" s="16" t="s">
        <v>407</v>
      </c>
      <c r="H17" s="17" t="s">
        <v>28</v>
      </c>
      <c r="I17" s="16"/>
      <c r="J17" s="16" t="s">
        <v>28</v>
      </c>
      <c r="K17" s="16" t="s">
        <v>29</v>
      </c>
      <c r="L17" s="16" t="s">
        <v>29</v>
      </c>
      <c r="M17" s="16" t="s">
        <v>29</v>
      </c>
      <c r="N17" s="16" t="s">
        <v>409</v>
      </c>
      <c r="O17" s="16"/>
      <c r="P17" s="16"/>
      <c r="Q17" s="16" t="s">
        <v>28</v>
      </c>
      <c r="R17" s="17" t="s">
        <v>28</v>
      </c>
      <c r="S17" s="16" t="s">
        <v>29</v>
      </c>
      <c r="T17" s="16" t="s">
        <v>30</v>
      </c>
      <c r="U17" s="16"/>
      <c r="V17" s="16" t="s">
        <v>58</v>
      </c>
      <c r="W17" s="17" t="s">
        <v>28</v>
      </c>
      <c r="X17" s="17" t="s">
        <v>28</v>
      </c>
      <c r="Y17" s="16" t="s">
        <v>28</v>
      </c>
      <c r="Z17" s="12" t="s">
        <v>48</v>
      </c>
    </row>
    <row r="18" customFormat="false" ht="15.75" hidden="false" customHeight="false" outlineLevel="0" collapsed="false">
      <c r="A18" s="19" t="n">
        <v>8110</v>
      </c>
      <c r="B18" s="14" t="n">
        <v>45545</v>
      </c>
      <c r="C18" s="16" t="s">
        <v>412</v>
      </c>
      <c r="D18" s="16" t="s">
        <v>24</v>
      </c>
      <c r="E18" s="16" t="s">
        <v>25</v>
      </c>
      <c r="F18" s="16" t="s">
        <v>413</v>
      </c>
      <c r="G18" s="16" t="s">
        <v>414</v>
      </c>
      <c r="H18" s="17" t="s">
        <v>28</v>
      </c>
      <c r="I18" s="16"/>
      <c r="J18" s="16" t="s">
        <v>28</v>
      </c>
      <c r="K18" s="16" t="s">
        <v>29</v>
      </c>
      <c r="L18" s="16" t="s">
        <v>29</v>
      </c>
      <c r="M18" s="16" t="s">
        <v>29</v>
      </c>
      <c r="N18" s="16" t="n">
        <v>19574</v>
      </c>
      <c r="O18" s="16"/>
      <c r="P18" s="16"/>
      <c r="Q18" s="16" t="s">
        <v>28</v>
      </c>
      <c r="R18" s="17" t="s">
        <v>28</v>
      </c>
      <c r="S18" s="16" t="n">
        <v>18</v>
      </c>
      <c r="T18" s="16" t="s">
        <v>30</v>
      </c>
      <c r="U18" s="16"/>
      <c r="V18" s="16"/>
      <c r="W18" s="16" t="s">
        <v>37</v>
      </c>
      <c r="X18" s="16" t="s">
        <v>37</v>
      </c>
      <c r="Y18" s="16" t="s">
        <v>28</v>
      </c>
      <c r="Z18" s="12" t="s">
        <v>32</v>
      </c>
    </row>
    <row r="19" customFormat="false" ht="15.75" hidden="false" customHeight="false" outlineLevel="0" collapsed="false">
      <c r="A19" s="13" t="n">
        <v>8111</v>
      </c>
      <c r="B19" s="14" t="n">
        <v>45545</v>
      </c>
      <c r="C19" s="15" t="s">
        <v>41</v>
      </c>
      <c r="D19" s="16" t="s">
        <v>24</v>
      </c>
      <c r="E19" s="16" t="s">
        <v>25</v>
      </c>
      <c r="F19" s="16" t="s">
        <v>415</v>
      </c>
      <c r="G19" s="16" t="s">
        <v>416</v>
      </c>
      <c r="H19" s="17" t="s">
        <v>28</v>
      </c>
      <c r="I19" s="16"/>
      <c r="J19" s="16" t="s">
        <v>28</v>
      </c>
      <c r="K19" s="16" t="s">
        <v>29</v>
      </c>
      <c r="L19" s="16" t="s">
        <v>29</v>
      </c>
      <c r="M19" s="16" t="s">
        <v>29</v>
      </c>
      <c r="N19" s="16" t="s">
        <v>417</v>
      </c>
      <c r="O19" s="16"/>
      <c r="P19" s="16"/>
      <c r="Q19" s="16" t="s">
        <v>28</v>
      </c>
      <c r="R19" s="17" t="s">
        <v>28</v>
      </c>
      <c r="S19" s="16" t="s">
        <v>29</v>
      </c>
      <c r="T19" s="16" t="s">
        <v>30</v>
      </c>
      <c r="U19" s="16"/>
      <c r="V19" s="16" t="s">
        <v>58</v>
      </c>
      <c r="W19" s="17" t="s">
        <v>28</v>
      </c>
      <c r="X19" s="17" t="s">
        <v>28</v>
      </c>
      <c r="Y19" s="16" t="s">
        <v>28</v>
      </c>
      <c r="Z19" s="12" t="s">
        <v>32</v>
      </c>
    </row>
    <row r="20" customFormat="false" ht="15.75" hidden="false" customHeight="false" outlineLevel="0" collapsed="false">
      <c r="A20" s="24" t="n">
        <v>8112</v>
      </c>
      <c r="B20" s="14" t="n">
        <v>45545</v>
      </c>
      <c r="C20" s="25" t="s">
        <v>296</v>
      </c>
      <c r="D20" s="25" t="s">
        <v>24</v>
      </c>
      <c r="E20" s="25" t="s">
        <v>25</v>
      </c>
      <c r="F20" s="25" t="s">
        <v>418</v>
      </c>
      <c r="G20" s="25" t="s">
        <v>419</v>
      </c>
      <c r="H20" s="26" t="s">
        <v>28</v>
      </c>
      <c r="I20" s="25"/>
      <c r="J20" s="25" t="s">
        <v>28</v>
      </c>
      <c r="K20" s="25" t="s">
        <v>29</v>
      </c>
      <c r="L20" s="25" t="s">
        <v>29</v>
      </c>
      <c r="M20" s="25" t="s">
        <v>29</v>
      </c>
      <c r="N20" s="25" t="s">
        <v>29</v>
      </c>
      <c r="O20" s="25"/>
      <c r="P20" s="25"/>
      <c r="Q20" s="25" t="s">
        <v>28</v>
      </c>
      <c r="R20" s="26" t="s">
        <v>28</v>
      </c>
      <c r="S20" s="16" t="s">
        <v>420</v>
      </c>
      <c r="T20" s="25" t="s">
        <v>30</v>
      </c>
      <c r="U20" s="25"/>
      <c r="V20" s="25" t="s">
        <v>74</v>
      </c>
      <c r="W20" s="26" t="s">
        <v>28</v>
      </c>
      <c r="X20" s="26" t="s">
        <v>28</v>
      </c>
      <c r="Y20" s="25" t="s">
        <v>28</v>
      </c>
      <c r="Z20" s="12" t="s">
        <v>32</v>
      </c>
    </row>
    <row r="21" customFormat="false" ht="15.75" hidden="false" customHeight="false" outlineLevel="0" collapsed="false">
      <c r="A21" s="19" t="n">
        <v>8113</v>
      </c>
      <c r="B21" s="14" t="n">
        <v>45545</v>
      </c>
      <c r="C21" s="16" t="s">
        <v>296</v>
      </c>
      <c r="D21" s="16" t="s">
        <v>24</v>
      </c>
      <c r="E21" s="16" t="s">
        <v>25</v>
      </c>
      <c r="F21" s="16" t="s">
        <v>418</v>
      </c>
      <c r="G21" s="25" t="s">
        <v>419</v>
      </c>
      <c r="H21" s="17" t="s">
        <v>28</v>
      </c>
      <c r="I21" s="16"/>
      <c r="J21" s="16" t="s">
        <v>28</v>
      </c>
      <c r="K21" s="16" t="s">
        <v>29</v>
      </c>
      <c r="L21" s="16" t="s">
        <v>29</v>
      </c>
      <c r="M21" s="16" t="s">
        <v>29</v>
      </c>
      <c r="N21" s="16" t="s">
        <v>29</v>
      </c>
      <c r="O21" s="16"/>
      <c r="P21" s="16"/>
      <c r="Q21" s="16" t="s">
        <v>28</v>
      </c>
      <c r="R21" s="17" t="s">
        <v>28</v>
      </c>
      <c r="S21" s="16" t="s">
        <v>420</v>
      </c>
      <c r="T21" s="16" t="s">
        <v>30</v>
      </c>
      <c r="U21" s="25"/>
      <c r="V21" s="16" t="s">
        <v>74</v>
      </c>
      <c r="W21" s="17" t="s">
        <v>28</v>
      </c>
      <c r="X21" s="17" t="s">
        <v>28</v>
      </c>
      <c r="Y21" s="16" t="s">
        <v>28</v>
      </c>
      <c r="Z21" s="12" t="s">
        <v>32</v>
      </c>
    </row>
    <row r="22" customFormat="false" ht="15.75" hidden="false" customHeight="false" outlineLevel="0" collapsed="false">
      <c r="A22" s="19" t="n">
        <v>8114</v>
      </c>
      <c r="B22" s="14" t="n">
        <v>45545</v>
      </c>
      <c r="C22" s="16" t="s">
        <v>296</v>
      </c>
      <c r="D22" s="16" t="s">
        <v>24</v>
      </c>
      <c r="E22" s="16" t="s">
        <v>25</v>
      </c>
      <c r="F22" s="16" t="s">
        <v>418</v>
      </c>
      <c r="G22" s="25" t="s">
        <v>419</v>
      </c>
      <c r="H22" s="17" t="s">
        <v>28</v>
      </c>
      <c r="I22" s="16"/>
      <c r="J22" s="16" t="s">
        <v>28</v>
      </c>
      <c r="K22" s="16" t="s">
        <v>29</v>
      </c>
      <c r="L22" s="16" t="s">
        <v>29</v>
      </c>
      <c r="M22" s="16" t="s">
        <v>29</v>
      </c>
      <c r="N22" s="16" t="s">
        <v>29</v>
      </c>
      <c r="O22" s="16"/>
      <c r="P22" s="16"/>
      <c r="Q22" s="16" t="s">
        <v>28</v>
      </c>
      <c r="R22" s="17" t="s">
        <v>28</v>
      </c>
      <c r="S22" s="16" t="s">
        <v>420</v>
      </c>
      <c r="T22" s="16" t="s">
        <v>25</v>
      </c>
      <c r="U22" s="16"/>
      <c r="V22" s="16" t="s">
        <v>74</v>
      </c>
      <c r="W22" s="17" t="s">
        <v>28</v>
      </c>
      <c r="X22" s="17" t="s">
        <v>28</v>
      </c>
      <c r="Y22" s="16" t="s">
        <v>28</v>
      </c>
      <c r="Z22" s="12" t="s">
        <v>32</v>
      </c>
    </row>
    <row r="23" customFormat="false" ht="15.75" hidden="false" customHeight="false" outlineLevel="0" collapsed="false">
      <c r="A23" s="19" t="n">
        <v>8115</v>
      </c>
      <c r="B23" s="14" t="n">
        <v>45545</v>
      </c>
      <c r="C23" s="16" t="s">
        <v>391</v>
      </c>
      <c r="D23" s="16" t="s">
        <v>24</v>
      </c>
      <c r="E23" s="16" t="s">
        <v>25</v>
      </c>
      <c r="F23" s="16" t="s">
        <v>421</v>
      </c>
      <c r="G23" s="16" t="s">
        <v>29</v>
      </c>
      <c r="H23" s="17" t="s">
        <v>28</v>
      </c>
      <c r="I23" s="16"/>
      <c r="J23" s="16" t="s">
        <v>28</v>
      </c>
      <c r="K23" s="16" t="s">
        <v>29</v>
      </c>
      <c r="L23" s="16" t="s">
        <v>29</v>
      </c>
      <c r="M23" s="16" t="s">
        <v>29</v>
      </c>
      <c r="N23" s="16" t="s">
        <v>29</v>
      </c>
      <c r="O23" s="16"/>
      <c r="P23" s="16"/>
      <c r="Q23" s="16" t="s">
        <v>37</v>
      </c>
      <c r="R23" s="16" t="s">
        <v>37</v>
      </c>
      <c r="S23" s="16"/>
      <c r="T23" s="16"/>
      <c r="U23" s="16"/>
      <c r="V23" s="16"/>
      <c r="W23" s="16" t="s">
        <v>37</v>
      </c>
      <c r="X23" s="16" t="s">
        <v>37</v>
      </c>
      <c r="Y23" s="16" t="s">
        <v>28</v>
      </c>
      <c r="Z23" s="12" t="s">
        <v>32</v>
      </c>
    </row>
    <row r="24" customFormat="false" ht="15.75" hidden="false" customHeight="false" outlineLevel="0" collapsed="false">
      <c r="A24" s="28" t="s">
        <v>422</v>
      </c>
      <c r="B24" s="14" t="n">
        <v>45545</v>
      </c>
      <c r="C24" s="16" t="s">
        <v>23</v>
      </c>
      <c r="D24" s="16" t="s">
        <v>24</v>
      </c>
      <c r="E24" s="16" t="s">
        <v>34</v>
      </c>
      <c r="F24" s="16" t="s">
        <v>423</v>
      </c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 t="s">
        <v>37</v>
      </c>
      <c r="R24" s="16" t="s">
        <v>37</v>
      </c>
      <c r="S24" s="16"/>
      <c r="T24" s="16"/>
      <c r="U24" s="16"/>
      <c r="V24" s="16"/>
      <c r="W24" s="16" t="s">
        <v>37</v>
      </c>
      <c r="X24" s="16" t="s">
        <v>37</v>
      </c>
      <c r="Y24" s="16" t="s">
        <v>37</v>
      </c>
      <c r="Z24" s="12" t="s">
        <v>40</v>
      </c>
    </row>
    <row r="25" customFormat="false" ht="15.75" hidden="false" customHeight="false" outlineLevel="0" collapsed="false">
      <c r="A25" s="13" t="n">
        <v>8116</v>
      </c>
      <c r="B25" s="14" t="n">
        <v>45548</v>
      </c>
      <c r="C25" s="16" t="s">
        <v>424</v>
      </c>
      <c r="D25" s="16" t="s">
        <v>24</v>
      </c>
      <c r="E25" s="16" t="s">
        <v>160</v>
      </c>
      <c r="F25" s="16" t="s">
        <v>425</v>
      </c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 t="s">
        <v>37</v>
      </c>
      <c r="R25" s="16" t="s">
        <v>37</v>
      </c>
      <c r="S25" s="16"/>
      <c r="T25" s="16"/>
      <c r="U25" s="16"/>
      <c r="V25" s="16"/>
      <c r="W25" s="16" t="s">
        <v>37</v>
      </c>
      <c r="X25" s="16" t="s">
        <v>37</v>
      </c>
      <c r="Y25" s="16" t="s">
        <v>28</v>
      </c>
      <c r="Z25" s="12" t="s">
        <v>32</v>
      </c>
    </row>
    <row r="26" customFormat="false" ht="15.75" hidden="false" customHeight="false" outlineLevel="0" collapsed="false">
      <c r="A26" s="24" t="n">
        <v>8117</v>
      </c>
      <c r="B26" s="14" t="n">
        <v>45548</v>
      </c>
      <c r="C26" s="25" t="s">
        <v>426</v>
      </c>
      <c r="D26" s="16" t="s">
        <v>24</v>
      </c>
      <c r="E26" s="16" t="s">
        <v>25</v>
      </c>
      <c r="F26" s="25" t="s">
        <v>427</v>
      </c>
      <c r="G26" s="16" t="s">
        <v>428</v>
      </c>
      <c r="H26" s="17" t="s">
        <v>28</v>
      </c>
      <c r="I26" s="16"/>
      <c r="J26" s="16" t="s">
        <v>28</v>
      </c>
      <c r="K26" s="16" t="s">
        <v>29</v>
      </c>
      <c r="L26" s="16" t="s">
        <v>29</v>
      </c>
      <c r="M26" s="16" t="s">
        <v>29</v>
      </c>
      <c r="N26" s="16" t="s">
        <v>29</v>
      </c>
      <c r="O26" s="16" t="s">
        <v>429</v>
      </c>
      <c r="P26" s="16"/>
      <c r="Q26" s="16" t="s">
        <v>37</v>
      </c>
      <c r="R26" s="16" t="s">
        <v>37</v>
      </c>
      <c r="S26" s="16"/>
      <c r="T26" s="16"/>
      <c r="U26" s="16"/>
      <c r="V26" s="16"/>
      <c r="W26" s="16" t="s">
        <v>37</v>
      </c>
      <c r="X26" s="16" t="s">
        <v>37</v>
      </c>
      <c r="Y26" s="16" t="s">
        <v>28</v>
      </c>
      <c r="Z26" s="12" t="s">
        <v>48</v>
      </c>
    </row>
    <row r="27" customFormat="false" ht="15.75" hidden="false" customHeight="false" outlineLevel="0" collapsed="false">
      <c r="A27" s="13" t="n">
        <v>8118</v>
      </c>
      <c r="B27" s="14" t="n">
        <v>45551</v>
      </c>
      <c r="C27" s="25" t="s">
        <v>430</v>
      </c>
      <c r="D27" s="16" t="s">
        <v>24</v>
      </c>
      <c r="E27" s="25" t="s">
        <v>34</v>
      </c>
      <c r="F27" s="16" t="s">
        <v>431</v>
      </c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 t="s">
        <v>37</v>
      </c>
      <c r="R27" s="16" t="s">
        <v>37</v>
      </c>
      <c r="S27" s="16"/>
      <c r="T27" s="16"/>
      <c r="U27" s="16"/>
      <c r="V27" s="16"/>
      <c r="W27" s="16" t="s">
        <v>37</v>
      </c>
      <c r="X27" s="16" t="s">
        <v>37</v>
      </c>
      <c r="Y27" s="16" t="s">
        <v>28</v>
      </c>
      <c r="Z27" s="12" t="s">
        <v>32</v>
      </c>
    </row>
    <row r="28" customFormat="false" ht="15.75" hidden="false" customHeight="false" outlineLevel="0" collapsed="false">
      <c r="A28" s="13" t="n">
        <v>8119</v>
      </c>
      <c r="B28" s="14" t="n">
        <v>45551</v>
      </c>
      <c r="C28" s="16" t="s">
        <v>430</v>
      </c>
      <c r="D28" s="16" t="s">
        <v>24</v>
      </c>
      <c r="E28" s="25" t="s">
        <v>34</v>
      </c>
      <c r="F28" s="16" t="s">
        <v>431</v>
      </c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 t="s">
        <v>37</v>
      </c>
      <c r="R28" s="16" t="s">
        <v>37</v>
      </c>
      <c r="S28" s="16"/>
      <c r="T28" s="16"/>
      <c r="U28" s="16"/>
      <c r="V28" s="16"/>
      <c r="W28" s="16" t="s">
        <v>37</v>
      </c>
      <c r="X28" s="16" t="s">
        <v>37</v>
      </c>
      <c r="Y28" s="16" t="s">
        <v>28</v>
      </c>
      <c r="Z28" s="12" t="s">
        <v>32</v>
      </c>
    </row>
    <row r="29" customFormat="false" ht="15.75" hidden="false" customHeight="false" outlineLevel="0" collapsed="false">
      <c r="A29" s="13" t="n">
        <v>8120</v>
      </c>
      <c r="B29" s="14" t="n">
        <v>45551</v>
      </c>
      <c r="C29" s="16" t="s">
        <v>432</v>
      </c>
      <c r="D29" s="16" t="s">
        <v>24</v>
      </c>
      <c r="E29" s="25" t="s">
        <v>25</v>
      </c>
      <c r="F29" s="16" t="s">
        <v>433</v>
      </c>
      <c r="G29" s="16"/>
      <c r="H29" s="17" t="s">
        <v>28</v>
      </c>
      <c r="I29" s="16"/>
      <c r="J29" s="16" t="s">
        <v>28</v>
      </c>
      <c r="K29" s="16" t="s">
        <v>29</v>
      </c>
      <c r="L29" s="16" t="s">
        <v>29</v>
      </c>
      <c r="M29" s="16" t="s">
        <v>29</v>
      </c>
      <c r="N29" s="16" t="s">
        <v>434</v>
      </c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 t="s">
        <v>28</v>
      </c>
      <c r="Z29" s="12" t="s">
        <v>32</v>
      </c>
    </row>
    <row r="30" customFormat="false" ht="15.75" hidden="false" customHeight="false" outlineLevel="0" collapsed="false">
      <c r="A30" s="13" t="n">
        <v>8121</v>
      </c>
      <c r="B30" s="14" t="n">
        <v>45551</v>
      </c>
      <c r="C30" s="16" t="s">
        <v>435</v>
      </c>
      <c r="D30" s="16" t="s">
        <v>24</v>
      </c>
      <c r="E30" s="16" t="s">
        <v>436</v>
      </c>
      <c r="F30" s="16" t="s">
        <v>437</v>
      </c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 t="s">
        <v>37</v>
      </c>
      <c r="R30" s="16" t="s">
        <v>37</v>
      </c>
      <c r="S30" s="16"/>
      <c r="T30" s="16"/>
      <c r="U30" s="16"/>
      <c r="V30" s="16"/>
      <c r="W30" s="16" t="s">
        <v>37</v>
      </c>
      <c r="X30" s="16" t="s">
        <v>37</v>
      </c>
      <c r="Y30" s="16" t="s">
        <v>28</v>
      </c>
      <c r="Z30" s="12" t="s">
        <v>40</v>
      </c>
    </row>
    <row r="31" customFormat="false" ht="15.75" hidden="false" customHeight="false" outlineLevel="0" collapsed="false">
      <c r="A31" s="13" t="n">
        <v>8122</v>
      </c>
      <c r="B31" s="14" t="n">
        <v>45551</v>
      </c>
      <c r="C31" s="16" t="s">
        <v>41</v>
      </c>
      <c r="D31" s="16" t="s">
        <v>24</v>
      </c>
      <c r="E31" s="16" t="s">
        <v>25</v>
      </c>
      <c r="F31" s="16" t="s">
        <v>438</v>
      </c>
      <c r="G31" s="16"/>
      <c r="H31" s="17" t="s">
        <v>28</v>
      </c>
      <c r="I31" s="16"/>
      <c r="J31" s="16" t="s">
        <v>28</v>
      </c>
      <c r="K31" s="16" t="s">
        <v>29</v>
      </c>
      <c r="L31" s="16" t="s">
        <v>29</v>
      </c>
      <c r="M31" s="16" t="s">
        <v>29</v>
      </c>
      <c r="N31" s="16" t="s">
        <v>439</v>
      </c>
      <c r="O31" s="16"/>
      <c r="P31" s="16"/>
      <c r="Q31" s="16" t="s">
        <v>37</v>
      </c>
      <c r="R31" s="16" t="s">
        <v>37</v>
      </c>
      <c r="S31" s="16"/>
      <c r="T31" s="16"/>
      <c r="U31" s="16"/>
      <c r="V31" s="16"/>
      <c r="W31" s="16" t="s">
        <v>37</v>
      </c>
      <c r="X31" s="16" t="s">
        <v>37</v>
      </c>
      <c r="Y31" s="16" t="s">
        <v>28</v>
      </c>
      <c r="Z31" s="12" t="s">
        <v>32</v>
      </c>
    </row>
    <row r="32" customFormat="false" ht="15.75" hidden="false" customHeight="false" outlineLevel="0" collapsed="false">
      <c r="A32" s="13" t="n">
        <v>8123</v>
      </c>
      <c r="B32" s="14" t="n">
        <v>45552</v>
      </c>
      <c r="C32" s="16" t="s">
        <v>176</v>
      </c>
      <c r="D32" s="16" t="s">
        <v>24</v>
      </c>
      <c r="E32" s="16" t="s">
        <v>25</v>
      </c>
      <c r="F32" s="16" t="s">
        <v>440</v>
      </c>
      <c r="G32" s="16"/>
      <c r="H32" s="27" t="s">
        <v>28</v>
      </c>
      <c r="I32" s="16"/>
      <c r="J32" s="16" t="s">
        <v>28</v>
      </c>
      <c r="K32" s="16" t="s">
        <v>29</v>
      </c>
      <c r="L32" s="16" t="s">
        <v>29</v>
      </c>
      <c r="M32" s="16" t="s">
        <v>29</v>
      </c>
      <c r="N32" s="16" t="n">
        <v>8936</v>
      </c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 t="s">
        <v>28</v>
      </c>
      <c r="Z32" s="12" t="s">
        <v>32</v>
      </c>
    </row>
    <row r="33" customFormat="false" ht="15.75" hidden="false" customHeight="false" outlineLevel="0" collapsed="false">
      <c r="A33" s="13" t="n">
        <v>8124</v>
      </c>
      <c r="B33" s="14" t="n">
        <v>45552</v>
      </c>
      <c r="C33" s="16" t="s">
        <v>176</v>
      </c>
      <c r="D33" s="16" t="s">
        <v>24</v>
      </c>
      <c r="E33" s="16" t="s">
        <v>25</v>
      </c>
      <c r="F33" s="16" t="s">
        <v>440</v>
      </c>
      <c r="G33" s="16"/>
      <c r="H33" s="17" t="s">
        <v>28</v>
      </c>
      <c r="I33" s="16"/>
      <c r="J33" s="16" t="s">
        <v>28</v>
      </c>
      <c r="K33" s="16" t="s">
        <v>29</v>
      </c>
      <c r="L33" s="16" t="s">
        <v>29</v>
      </c>
      <c r="M33" s="16" t="s">
        <v>29</v>
      </c>
      <c r="N33" s="16" t="n">
        <v>8938</v>
      </c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 t="s">
        <v>28</v>
      </c>
      <c r="Z33" s="12" t="s">
        <v>32</v>
      </c>
    </row>
    <row r="34" customFormat="false" ht="15.75" hidden="false" customHeight="false" outlineLevel="0" collapsed="false">
      <c r="A34" s="13" t="n">
        <v>8125</v>
      </c>
      <c r="B34" s="14" t="n">
        <v>45552</v>
      </c>
      <c r="C34" s="16" t="s">
        <v>176</v>
      </c>
      <c r="D34" s="16" t="s">
        <v>24</v>
      </c>
      <c r="E34" s="16" t="s">
        <v>34</v>
      </c>
      <c r="F34" s="16" t="s">
        <v>441</v>
      </c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 t="s">
        <v>37</v>
      </c>
      <c r="R34" s="16" t="s">
        <v>37</v>
      </c>
      <c r="S34" s="16"/>
      <c r="T34" s="16"/>
      <c r="U34" s="16"/>
      <c r="V34" s="16"/>
      <c r="W34" s="16" t="s">
        <v>37</v>
      </c>
      <c r="X34" s="16" t="s">
        <v>37</v>
      </c>
      <c r="Y34" s="16" t="s">
        <v>28</v>
      </c>
      <c r="Z34" s="12" t="s">
        <v>32</v>
      </c>
    </row>
    <row r="35" customFormat="false" ht="15.75" hidden="false" customHeight="false" outlineLevel="0" collapsed="false">
      <c r="A35" s="13" t="n">
        <v>8126</v>
      </c>
      <c r="B35" s="22" t="n">
        <v>45553</v>
      </c>
      <c r="C35" s="15" t="s">
        <v>357</v>
      </c>
      <c r="D35" s="16" t="s">
        <v>24</v>
      </c>
      <c r="E35" s="16" t="s">
        <v>34</v>
      </c>
      <c r="F35" s="16" t="s">
        <v>438</v>
      </c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 t="s">
        <v>37</v>
      </c>
      <c r="R35" s="16" t="s">
        <v>37</v>
      </c>
      <c r="S35" s="16"/>
      <c r="T35" s="16"/>
      <c r="U35" s="16"/>
      <c r="V35" s="16"/>
      <c r="W35" s="16" t="s">
        <v>37</v>
      </c>
      <c r="X35" s="16" t="s">
        <v>37</v>
      </c>
      <c r="Y35" s="16" t="s">
        <v>28</v>
      </c>
      <c r="Z35" s="12" t="s">
        <v>32</v>
      </c>
    </row>
    <row r="36" customFormat="false" ht="15.75" hidden="false" customHeight="false" outlineLevel="0" collapsed="false">
      <c r="A36" s="13" t="n">
        <v>8127</v>
      </c>
      <c r="B36" s="14" t="n">
        <v>45554</v>
      </c>
      <c r="C36" s="15" t="s">
        <v>91</v>
      </c>
      <c r="D36" s="16" t="s">
        <v>24</v>
      </c>
      <c r="E36" s="16" t="s">
        <v>25</v>
      </c>
      <c r="F36" s="16" t="s">
        <v>442</v>
      </c>
      <c r="G36" s="16"/>
      <c r="H36" s="17" t="s">
        <v>28</v>
      </c>
      <c r="I36" s="16"/>
      <c r="J36" s="16" t="s">
        <v>28</v>
      </c>
      <c r="K36" s="16" t="s">
        <v>29</v>
      </c>
      <c r="L36" s="16" t="s">
        <v>29</v>
      </c>
      <c r="M36" s="16" t="s">
        <v>29</v>
      </c>
      <c r="N36" s="16" t="s">
        <v>29</v>
      </c>
      <c r="O36" s="16"/>
      <c r="P36" s="18"/>
      <c r="Q36" s="16" t="s">
        <v>37</v>
      </c>
      <c r="R36" s="16" t="s">
        <v>37</v>
      </c>
      <c r="S36" s="16"/>
      <c r="T36" s="16"/>
      <c r="U36" s="16"/>
      <c r="V36" s="16"/>
      <c r="W36" s="16" t="s">
        <v>37</v>
      </c>
      <c r="X36" s="16" t="s">
        <v>37</v>
      </c>
      <c r="Y36" s="16" t="s">
        <v>28</v>
      </c>
      <c r="Z36" s="12" t="s">
        <v>32</v>
      </c>
    </row>
    <row r="37" customFormat="false" ht="15.75" hidden="false" customHeight="false" outlineLevel="0" collapsed="false">
      <c r="A37" s="13" t="n">
        <v>8128</v>
      </c>
      <c r="B37" s="14" t="n">
        <v>45555</v>
      </c>
      <c r="C37" s="21" t="s">
        <v>357</v>
      </c>
      <c r="D37" s="16" t="s">
        <v>24</v>
      </c>
      <c r="E37" s="16" t="s">
        <v>34</v>
      </c>
      <c r="F37" s="16" t="s">
        <v>443</v>
      </c>
      <c r="G37" s="16"/>
      <c r="H37" s="16"/>
      <c r="I37" s="16"/>
      <c r="J37" s="16"/>
      <c r="K37" s="16"/>
      <c r="L37" s="16"/>
      <c r="M37" s="16"/>
      <c r="N37" s="16"/>
      <c r="O37" s="16"/>
      <c r="P37" s="18"/>
      <c r="Q37" s="16" t="s">
        <v>37</v>
      </c>
      <c r="R37" s="16" t="s">
        <v>37</v>
      </c>
      <c r="S37" s="16"/>
      <c r="T37" s="16"/>
      <c r="U37" s="16"/>
      <c r="V37" s="16"/>
      <c r="W37" s="16" t="s">
        <v>37</v>
      </c>
      <c r="X37" s="16" t="s">
        <v>37</v>
      </c>
      <c r="Y37" s="16" t="s">
        <v>28</v>
      </c>
      <c r="Z37" s="12" t="s">
        <v>48</v>
      </c>
    </row>
    <row r="38" customFormat="false" ht="15.75" hidden="false" customHeight="false" outlineLevel="0" collapsed="false">
      <c r="A38" s="13" t="n">
        <v>8129</v>
      </c>
      <c r="B38" s="22" t="n">
        <v>45558</v>
      </c>
      <c r="C38" s="16" t="s">
        <v>274</v>
      </c>
      <c r="D38" s="16" t="s">
        <v>24</v>
      </c>
      <c r="E38" s="16" t="s">
        <v>34</v>
      </c>
      <c r="F38" s="16" t="s">
        <v>444</v>
      </c>
      <c r="G38" s="16"/>
      <c r="H38" s="16"/>
      <c r="I38" s="16"/>
      <c r="J38" s="16"/>
      <c r="K38" s="16"/>
      <c r="L38" s="16"/>
      <c r="M38" s="16"/>
      <c r="N38" s="16"/>
      <c r="O38" s="16"/>
      <c r="P38" s="18"/>
      <c r="Q38" s="16" t="s">
        <v>37</v>
      </c>
      <c r="R38" s="16" t="s">
        <v>37</v>
      </c>
      <c r="S38" s="16"/>
      <c r="T38" s="16"/>
      <c r="U38" s="16"/>
      <c r="V38" s="16"/>
      <c r="W38" s="16" t="s">
        <v>37</v>
      </c>
      <c r="X38" s="16" t="s">
        <v>37</v>
      </c>
      <c r="Y38" s="16" t="s">
        <v>28</v>
      </c>
      <c r="Z38" s="12" t="s">
        <v>32</v>
      </c>
    </row>
    <row r="39" customFormat="false" ht="15.75" hidden="false" customHeight="false" outlineLevel="0" collapsed="false">
      <c r="A39" s="13" t="n">
        <v>8130</v>
      </c>
      <c r="B39" s="14" t="n">
        <v>45558</v>
      </c>
      <c r="C39" s="16" t="s">
        <v>274</v>
      </c>
      <c r="D39" s="16" t="s">
        <v>24</v>
      </c>
      <c r="E39" s="16" t="s">
        <v>34</v>
      </c>
      <c r="F39" s="16" t="s">
        <v>444</v>
      </c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 t="s">
        <v>37</v>
      </c>
      <c r="R39" s="16" t="s">
        <v>37</v>
      </c>
      <c r="S39" s="16"/>
      <c r="T39" s="16"/>
      <c r="U39" s="16"/>
      <c r="V39" s="16"/>
      <c r="W39" s="16" t="s">
        <v>37</v>
      </c>
      <c r="X39" s="16" t="s">
        <v>37</v>
      </c>
      <c r="Y39" s="16" t="s">
        <v>28</v>
      </c>
      <c r="Z39" s="12" t="s">
        <v>32</v>
      </c>
    </row>
    <row r="40" customFormat="false" ht="15.75" hidden="false" customHeight="false" outlineLevel="0" collapsed="false">
      <c r="A40" s="28" t="n">
        <v>8131</v>
      </c>
      <c r="B40" s="14" t="n">
        <v>45559</v>
      </c>
      <c r="C40" s="21" t="s">
        <v>445</v>
      </c>
      <c r="D40" s="16" t="s">
        <v>24</v>
      </c>
      <c r="E40" s="16" t="s">
        <v>25</v>
      </c>
      <c r="F40" s="16" t="s">
        <v>446</v>
      </c>
      <c r="G40" s="16"/>
      <c r="H40" s="17" t="s">
        <v>28</v>
      </c>
      <c r="I40" s="16"/>
      <c r="J40" s="16" t="s">
        <v>28</v>
      </c>
      <c r="K40" s="16" t="s">
        <v>29</v>
      </c>
      <c r="L40" s="16" t="s">
        <v>29</v>
      </c>
      <c r="M40" s="16" t="s">
        <v>29</v>
      </c>
      <c r="N40" s="16" t="s">
        <v>29</v>
      </c>
      <c r="O40" s="16"/>
      <c r="P40" s="16"/>
      <c r="Q40" s="16" t="s">
        <v>37</v>
      </c>
      <c r="R40" s="16" t="s">
        <v>37</v>
      </c>
      <c r="S40" s="16"/>
      <c r="T40" s="16"/>
      <c r="U40" s="16"/>
      <c r="V40" s="16"/>
      <c r="W40" s="16" t="s">
        <v>37</v>
      </c>
      <c r="X40" s="16" t="s">
        <v>37</v>
      </c>
      <c r="Y40" s="16" t="s">
        <v>28</v>
      </c>
      <c r="Z40" s="12" t="s">
        <v>32</v>
      </c>
    </row>
    <row r="41" customFormat="false" ht="15.75" hidden="false" customHeight="false" outlineLevel="0" collapsed="false">
      <c r="A41" s="13" t="n">
        <v>8132</v>
      </c>
      <c r="B41" s="14" t="n">
        <v>45559</v>
      </c>
      <c r="C41" s="21" t="s">
        <v>445</v>
      </c>
      <c r="D41" s="16" t="s">
        <v>24</v>
      </c>
      <c r="E41" s="16" t="s">
        <v>34</v>
      </c>
      <c r="F41" s="16" t="s">
        <v>447</v>
      </c>
      <c r="G41" s="16" t="s">
        <v>36</v>
      </c>
      <c r="H41" s="16"/>
      <c r="I41" s="16"/>
      <c r="J41" s="16"/>
      <c r="K41" s="16" t="s">
        <v>448</v>
      </c>
      <c r="L41" s="16" t="n">
        <v>3513859382</v>
      </c>
      <c r="M41" s="16"/>
      <c r="N41" s="16"/>
      <c r="O41" s="16" t="s">
        <v>449</v>
      </c>
      <c r="P41" s="16"/>
      <c r="Q41" s="16" t="s">
        <v>37</v>
      </c>
      <c r="R41" s="16" t="s">
        <v>37</v>
      </c>
      <c r="S41" s="16"/>
      <c r="T41" s="16"/>
      <c r="U41" s="16"/>
      <c r="V41" s="16"/>
      <c r="W41" s="16" t="s">
        <v>37</v>
      </c>
      <c r="X41" s="16" t="s">
        <v>37</v>
      </c>
      <c r="Y41" s="16" t="s">
        <v>28</v>
      </c>
      <c r="Z41" s="12" t="s">
        <v>32</v>
      </c>
    </row>
    <row r="42" customFormat="false" ht="15.75" hidden="false" customHeight="false" outlineLevel="0" collapsed="false">
      <c r="A42" s="13" t="n">
        <v>8133</v>
      </c>
      <c r="B42" s="22" t="n">
        <v>45558</v>
      </c>
      <c r="C42" s="16" t="s">
        <v>274</v>
      </c>
      <c r="D42" s="16" t="s">
        <v>24</v>
      </c>
      <c r="E42" s="16" t="s">
        <v>34</v>
      </c>
      <c r="F42" s="16" t="s">
        <v>444</v>
      </c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 t="s">
        <v>37</v>
      </c>
      <c r="R42" s="16" t="s">
        <v>37</v>
      </c>
      <c r="S42" s="16"/>
      <c r="T42" s="16"/>
      <c r="U42" s="16"/>
      <c r="V42" s="16"/>
      <c r="W42" s="16" t="s">
        <v>37</v>
      </c>
      <c r="X42" s="16" t="s">
        <v>37</v>
      </c>
      <c r="Y42" s="16" t="s">
        <v>28</v>
      </c>
      <c r="Z42" s="12" t="s">
        <v>32</v>
      </c>
    </row>
    <row r="43" customFormat="false" ht="15.75" hidden="false" customHeight="false" outlineLevel="0" collapsed="false">
      <c r="A43" s="13" t="n">
        <v>8134</v>
      </c>
      <c r="B43" s="14" t="n">
        <v>45558</v>
      </c>
      <c r="C43" s="16" t="s">
        <v>274</v>
      </c>
      <c r="D43" s="16" t="s">
        <v>24</v>
      </c>
      <c r="E43" s="16" t="s">
        <v>34</v>
      </c>
      <c r="F43" s="16" t="s">
        <v>444</v>
      </c>
      <c r="G43" s="16"/>
      <c r="H43" s="16"/>
      <c r="I43" s="16"/>
      <c r="J43" s="16"/>
      <c r="K43" s="16"/>
      <c r="L43" s="16"/>
      <c r="M43" s="16"/>
      <c r="N43" s="16"/>
      <c r="O43" s="16"/>
      <c r="P43" s="18"/>
      <c r="Q43" s="16" t="s">
        <v>37</v>
      </c>
      <c r="R43" s="16" t="s">
        <v>37</v>
      </c>
      <c r="S43" s="16"/>
      <c r="T43" s="16"/>
      <c r="U43" s="16"/>
      <c r="V43" s="16"/>
      <c r="W43" s="16" t="s">
        <v>37</v>
      </c>
      <c r="X43" s="16" t="s">
        <v>37</v>
      </c>
      <c r="Y43" s="16" t="s">
        <v>28</v>
      </c>
      <c r="Z43" s="12" t="s">
        <v>32</v>
      </c>
    </row>
    <row r="44" customFormat="false" ht="15.75" hidden="false" customHeight="false" outlineLevel="0" collapsed="false">
      <c r="A44" s="13" t="n">
        <v>8135</v>
      </c>
      <c r="B44" s="14" t="n">
        <v>45560</v>
      </c>
      <c r="C44" s="15" t="s">
        <v>50</v>
      </c>
      <c r="D44" s="16" t="s">
        <v>24</v>
      </c>
      <c r="E44" s="16" t="s">
        <v>25</v>
      </c>
      <c r="F44" s="16" t="s">
        <v>450</v>
      </c>
      <c r="G44" s="16" t="s">
        <v>451</v>
      </c>
      <c r="H44" s="17" t="s">
        <v>28</v>
      </c>
      <c r="I44" s="16"/>
      <c r="J44" s="16" t="s">
        <v>28</v>
      </c>
      <c r="K44" s="16" t="s">
        <v>29</v>
      </c>
      <c r="L44" s="16" t="s">
        <v>29</v>
      </c>
      <c r="M44" s="16" t="s">
        <v>29</v>
      </c>
      <c r="N44" s="16" t="s">
        <v>29</v>
      </c>
      <c r="O44" s="16"/>
      <c r="P44" s="18"/>
      <c r="Q44" s="16" t="s">
        <v>37</v>
      </c>
      <c r="R44" s="16" t="s">
        <v>37</v>
      </c>
      <c r="S44" s="16"/>
      <c r="T44" s="16"/>
      <c r="U44" s="16"/>
      <c r="V44" s="16"/>
      <c r="W44" s="16" t="s">
        <v>37</v>
      </c>
      <c r="X44" s="16" t="s">
        <v>37</v>
      </c>
      <c r="Y44" s="16" t="s">
        <v>28</v>
      </c>
      <c r="Z44" s="12" t="s">
        <v>32</v>
      </c>
    </row>
    <row r="45" customFormat="false" ht="15.75" hidden="false" customHeight="false" outlineLevel="0" collapsed="false">
      <c r="A45" s="13" t="n">
        <v>8136</v>
      </c>
      <c r="B45" s="14" t="n">
        <v>45560</v>
      </c>
      <c r="C45" s="15" t="s">
        <v>50</v>
      </c>
      <c r="D45" s="16" t="s">
        <v>24</v>
      </c>
      <c r="E45" s="16" t="s">
        <v>25</v>
      </c>
      <c r="F45" s="16" t="s">
        <v>452</v>
      </c>
      <c r="G45" s="16" t="s">
        <v>453</v>
      </c>
      <c r="H45" s="17" t="s">
        <v>28</v>
      </c>
      <c r="I45" s="16"/>
      <c r="J45" s="16" t="s">
        <v>28</v>
      </c>
      <c r="K45" s="16" t="s">
        <v>29</v>
      </c>
      <c r="L45" s="16" t="s">
        <v>29</v>
      </c>
      <c r="M45" s="16" t="s">
        <v>29</v>
      </c>
      <c r="N45" s="16" t="s">
        <v>29</v>
      </c>
      <c r="O45" s="16"/>
      <c r="P45" s="18"/>
      <c r="Q45" s="16" t="s">
        <v>37</v>
      </c>
      <c r="R45" s="16" t="s">
        <v>37</v>
      </c>
      <c r="S45" s="16"/>
      <c r="T45" s="16"/>
      <c r="U45" s="16"/>
      <c r="V45" s="16"/>
      <c r="W45" s="16" t="s">
        <v>37</v>
      </c>
      <c r="X45" s="16" t="s">
        <v>37</v>
      </c>
      <c r="Y45" s="16" t="s">
        <v>28</v>
      </c>
      <c r="Z45" s="12" t="s">
        <v>32</v>
      </c>
    </row>
    <row r="46" customFormat="false" ht="15.75" hidden="false" customHeight="false" outlineLevel="0" collapsed="false">
      <c r="A46" s="13" t="n">
        <v>8137</v>
      </c>
      <c r="B46" s="14" t="n">
        <v>45560</v>
      </c>
      <c r="C46" s="15" t="s">
        <v>78</v>
      </c>
      <c r="D46" s="16" t="s">
        <v>24</v>
      </c>
      <c r="E46" s="16" t="s">
        <v>25</v>
      </c>
      <c r="F46" s="16" t="s">
        <v>454</v>
      </c>
      <c r="G46" s="16" t="s">
        <v>455</v>
      </c>
      <c r="H46" s="17" t="s">
        <v>28</v>
      </c>
      <c r="I46" s="16"/>
      <c r="J46" s="16" t="s">
        <v>28</v>
      </c>
      <c r="K46" s="16" t="s">
        <v>29</v>
      </c>
      <c r="L46" s="16" t="s">
        <v>29</v>
      </c>
      <c r="M46" s="16" t="s">
        <v>29</v>
      </c>
      <c r="N46" s="16" t="s">
        <v>456</v>
      </c>
      <c r="O46" s="16"/>
      <c r="P46" s="16"/>
      <c r="Q46" s="16"/>
      <c r="R46" s="16"/>
      <c r="S46" s="16"/>
      <c r="T46" s="16"/>
      <c r="U46" s="16"/>
      <c r="V46" s="16" t="s">
        <v>58</v>
      </c>
      <c r="W46" s="17" t="s">
        <v>28</v>
      </c>
      <c r="X46" s="17" t="s">
        <v>28</v>
      </c>
      <c r="Y46" s="16" t="s">
        <v>28</v>
      </c>
      <c r="Z46" s="12" t="s">
        <v>32</v>
      </c>
    </row>
    <row r="47" customFormat="false" ht="15.75" hidden="false" customHeight="false" outlineLevel="0" collapsed="false">
      <c r="A47" s="13" t="n">
        <v>8138</v>
      </c>
      <c r="B47" s="14" t="n">
        <v>45560</v>
      </c>
      <c r="C47" s="15" t="s">
        <v>78</v>
      </c>
      <c r="D47" s="16" t="s">
        <v>24</v>
      </c>
      <c r="E47" s="16" t="s">
        <v>25</v>
      </c>
      <c r="F47" s="16" t="s">
        <v>457</v>
      </c>
      <c r="G47" s="16" t="s">
        <v>455</v>
      </c>
      <c r="H47" s="17" t="s">
        <v>28</v>
      </c>
      <c r="I47" s="16"/>
      <c r="J47" s="16" t="s">
        <v>28</v>
      </c>
      <c r="K47" s="16" t="s">
        <v>29</v>
      </c>
      <c r="L47" s="16" t="s">
        <v>29</v>
      </c>
      <c r="M47" s="16" t="s">
        <v>29</v>
      </c>
      <c r="N47" s="16" t="s">
        <v>456</v>
      </c>
      <c r="O47" s="16"/>
      <c r="P47" s="16"/>
      <c r="Q47" s="16" t="s">
        <v>28</v>
      </c>
      <c r="R47" s="17" t="s">
        <v>28</v>
      </c>
      <c r="S47" s="16" t="s">
        <v>458</v>
      </c>
      <c r="T47" s="16" t="s">
        <v>30</v>
      </c>
      <c r="U47" s="16"/>
      <c r="V47" s="16" t="s">
        <v>58</v>
      </c>
      <c r="W47" s="17" t="s">
        <v>28</v>
      </c>
      <c r="X47" s="17" t="s">
        <v>28</v>
      </c>
      <c r="Y47" s="16" t="s">
        <v>28</v>
      </c>
      <c r="Z47" s="12" t="s">
        <v>32</v>
      </c>
    </row>
    <row r="48" customFormat="false" ht="15.75" hidden="false" customHeight="false" outlineLevel="0" collapsed="false">
      <c r="A48" s="13" t="n">
        <v>8139</v>
      </c>
      <c r="B48" s="14" t="n">
        <v>45561</v>
      </c>
      <c r="C48" s="15" t="s">
        <v>357</v>
      </c>
      <c r="D48" s="16" t="s">
        <v>24</v>
      </c>
      <c r="E48" s="16" t="s">
        <v>34</v>
      </c>
      <c r="F48" s="16" t="s">
        <v>459</v>
      </c>
      <c r="G48" s="16"/>
      <c r="H48" s="17" t="s">
        <v>28</v>
      </c>
      <c r="I48" s="16"/>
      <c r="J48" s="16"/>
      <c r="K48" s="16" t="s">
        <v>29</v>
      </c>
      <c r="L48" s="16" t="s">
        <v>29</v>
      </c>
      <c r="M48" s="16" t="s">
        <v>29</v>
      </c>
      <c r="N48" s="16" t="s">
        <v>29</v>
      </c>
      <c r="O48" s="16"/>
      <c r="P48" s="16"/>
      <c r="Q48" s="16" t="s">
        <v>37</v>
      </c>
      <c r="R48" s="16" t="s">
        <v>37</v>
      </c>
      <c r="S48" s="16"/>
      <c r="T48" s="16"/>
      <c r="U48" s="16"/>
      <c r="V48" s="16"/>
      <c r="W48" s="16" t="s">
        <v>37</v>
      </c>
      <c r="X48" s="16" t="s">
        <v>37</v>
      </c>
      <c r="Y48" s="16" t="s">
        <v>28</v>
      </c>
      <c r="Z48" s="12" t="s">
        <v>32</v>
      </c>
    </row>
    <row r="49" customFormat="false" ht="15.75" hidden="false" customHeight="false" outlineLevel="0" collapsed="false">
      <c r="A49" s="13" t="n">
        <v>8140</v>
      </c>
      <c r="B49" s="14" t="n">
        <v>45565</v>
      </c>
      <c r="C49" s="15" t="s">
        <v>23</v>
      </c>
      <c r="D49" s="16" t="s">
        <v>24</v>
      </c>
      <c r="E49" s="16" t="s">
        <v>34</v>
      </c>
      <c r="F49" s="16" t="s">
        <v>460</v>
      </c>
      <c r="G49" s="16"/>
      <c r="H49" s="16"/>
      <c r="I49" s="16"/>
      <c r="J49" s="16"/>
      <c r="K49" s="16"/>
      <c r="L49" s="16" t="s">
        <v>29</v>
      </c>
      <c r="M49" s="16"/>
      <c r="N49" s="16"/>
      <c r="O49" s="16"/>
      <c r="P49" s="16"/>
      <c r="Q49" s="16" t="s">
        <v>37</v>
      </c>
      <c r="R49" s="16" t="s">
        <v>37</v>
      </c>
      <c r="S49" s="16"/>
      <c r="T49" s="16"/>
      <c r="U49" s="16"/>
      <c r="V49" s="16"/>
      <c r="W49" s="16" t="s">
        <v>37</v>
      </c>
      <c r="X49" s="16" t="s">
        <v>37</v>
      </c>
      <c r="Y49" s="16" t="s">
        <v>28</v>
      </c>
      <c r="Z49" s="12" t="s">
        <v>32</v>
      </c>
    </row>
    <row r="50" customFormat="false" ht="15.75" hidden="false" customHeight="false" outlineLevel="0" collapsed="false">
      <c r="A50" s="13" t="n">
        <v>8141</v>
      </c>
      <c r="B50" s="14" t="n">
        <v>45565</v>
      </c>
      <c r="C50" s="15" t="s">
        <v>41</v>
      </c>
      <c r="D50" s="16" t="s">
        <v>24</v>
      </c>
      <c r="E50" s="16" t="s">
        <v>25</v>
      </c>
      <c r="F50" s="16" t="s">
        <v>461</v>
      </c>
      <c r="G50" s="16"/>
      <c r="H50" s="17" t="s">
        <v>28</v>
      </c>
      <c r="I50" s="16"/>
      <c r="J50" s="16" t="s">
        <v>28</v>
      </c>
      <c r="K50" s="16" t="s">
        <v>29</v>
      </c>
      <c r="L50" s="16" t="s">
        <v>29</v>
      </c>
      <c r="M50" s="16" t="s">
        <v>29</v>
      </c>
      <c r="N50" s="16" t="n">
        <v>69503</v>
      </c>
      <c r="O50" s="16"/>
      <c r="P50" s="18"/>
      <c r="Q50" s="16"/>
      <c r="R50" s="16"/>
      <c r="S50" s="16"/>
      <c r="T50" s="16"/>
      <c r="U50" s="16"/>
      <c r="V50" s="16" t="s">
        <v>74</v>
      </c>
      <c r="W50" s="17" t="s">
        <v>28</v>
      </c>
      <c r="X50" s="17" t="s">
        <v>28</v>
      </c>
      <c r="Y50" s="16" t="s">
        <v>28</v>
      </c>
      <c r="Z50" s="12" t="s">
        <v>32</v>
      </c>
    </row>
    <row r="51" customFormat="false" ht="15.75" hidden="false" customHeight="false" outlineLevel="0" collapsed="false">
      <c r="A51" s="13" t="n">
        <v>8142</v>
      </c>
      <c r="B51" s="14" t="n">
        <v>45565</v>
      </c>
      <c r="C51" s="15" t="s">
        <v>41</v>
      </c>
      <c r="D51" s="16" t="s">
        <v>24</v>
      </c>
      <c r="E51" s="16" t="s">
        <v>25</v>
      </c>
      <c r="F51" s="16" t="s">
        <v>462</v>
      </c>
      <c r="G51" s="16"/>
      <c r="H51" s="17" t="s">
        <v>28</v>
      </c>
      <c r="I51" s="16"/>
      <c r="J51" s="16" t="s">
        <v>28</v>
      </c>
      <c r="K51" s="16" t="s">
        <v>29</v>
      </c>
      <c r="L51" s="16" t="s">
        <v>29</v>
      </c>
      <c r="M51" s="16" t="s">
        <v>29</v>
      </c>
      <c r="N51" s="16" t="n">
        <v>69503</v>
      </c>
      <c r="O51" s="16"/>
      <c r="P51" s="18"/>
      <c r="Q51" s="16" t="s">
        <v>28</v>
      </c>
      <c r="R51" s="17" t="s">
        <v>28</v>
      </c>
      <c r="S51" s="16" t="s">
        <v>59</v>
      </c>
      <c r="T51" s="16" t="s">
        <v>25</v>
      </c>
      <c r="U51" s="16"/>
      <c r="V51" s="16" t="s">
        <v>58</v>
      </c>
      <c r="W51" s="17" t="s">
        <v>28</v>
      </c>
      <c r="X51" s="17" t="s">
        <v>28</v>
      </c>
      <c r="Y51" s="16" t="s">
        <v>28</v>
      </c>
      <c r="Z51" s="12" t="s">
        <v>32</v>
      </c>
    </row>
    <row r="52" customFormat="false" ht="15.75" hidden="false" customHeight="false" outlineLevel="0" collapsed="false">
      <c r="A52" s="13" t="n">
        <v>8143</v>
      </c>
      <c r="B52" s="14" t="n">
        <v>45565</v>
      </c>
      <c r="C52" s="15" t="s">
        <v>41</v>
      </c>
      <c r="D52" s="16" t="s">
        <v>24</v>
      </c>
      <c r="E52" s="16" t="s">
        <v>25</v>
      </c>
      <c r="F52" s="16" t="s">
        <v>462</v>
      </c>
      <c r="G52" s="16"/>
      <c r="H52" s="17" t="s">
        <v>28</v>
      </c>
      <c r="I52" s="16"/>
      <c r="J52" s="16" t="s">
        <v>28</v>
      </c>
      <c r="K52" s="16" t="s">
        <v>29</v>
      </c>
      <c r="L52" s="16" t="s">
        <v>29</v>
      </c>
      <c r="M52" s="16" t="s">
        <v>29</v>
      </c>
      <c r="N52" s="16" t="n">
        <v>69503</v>
      </c>
      <c r="O52" s="16"/>
      <c r="P52" s="18"/>
      <c r="Q52" s="16" t="s">
        <v>28</v>
      </c>
      <c r="R52" s="17" t="s">
        <v>28</v>
      </c>
      <c r="S52" s="16" t="s">
        <v>59</v>
      </c>
      <c r="T52" s="16" t="s">
        <v>25</v>
      </c>
      <c r="U52" s="16"/>
      <c r="V52" s="16" t="s">
        <v>58</v>
      </c>
      <c r="W52" s="17" t="s">
        <v>28</v>
      </c>
      <c r="X52" s="17" t="s">
        <v>28</v>
      </c>
      <c r="Y52" s="16" t="s">
        <v>28</v>
      </c>
      <c r="Z52" s="12" t="s">
        <v>32</v>
      </c>
    </row>
    <row r="53" customFormat="false" ht="15.75" hidden="false" customHeight="false" outlineLevel="0" collapsed="false">
      <c r="A53" s="13" t="n">
        <v>8144</v>
      </c>
      <c r="B53" s="14" t="n">
        <v>45565</v>
      </c>
      <c r="C53" s="16" t="s">
        <v>41</v>
      </c>
      <c r="D53" s="16" t="s">
        <v>24</v>
      </c>
      <c r="E53" s="16" t="s">
        <v>25</v>
      </c>
      <c r="F53" s="16" t="s">
        <v>462</v>
      </c>
      <c r="G53" s="16"/>
      <c r="H53" s="17" t="s">
        <v>28</v>
      </c>
      <c r="I53" s="16"/>
      <c r="J53" s="16" t="s">
        <v>28</v>
      </c>
      <c r="K53" s="16" t="s">
        <v>29</v>
      </c>
      <c r="L53" s="16" t="s">
        <v>29</v>
      </c>
      <c r="M53" s="16" t="s">
        <v>29</v>
      </c>
      <c r="N53" s="16" t="n">
        <v>69503</v>
      </c>
      <c r="O53" s="16"/>
      <c r="P53" s="16"/>
      <c r="Q53" s="16" t="s">
        <v>28</v>
      </c>
      <c r="R53" s="17" t="s">
        <v>28</v>
      </c>
      <c r="S53" s="16" t="s">
        <v>59</v>
      </c>
      <c r="T53" s="16" t="s">
        <v>25</v>
      </c>
      <c r="U53" s="16"/>
      <c r="V53" s="16" t="s">
        <v>58</v>
      </c>
      <c r="W53" s="17" t="s">
        <v>28</v>
      </c>
      <c r="X53" s="17" t="s">
        <v>28</v>
      </c>
      <c r="Y53" s="16" t="s">
        <v>28</v>
      </c>
      <c r="Z53" s="12" t="s">
        <v>32</v>
      </c>
    </row>
    <row r="54" customFormat="false" ht="15.75" hidden="false" customHeight="false" outlineLevel="0" collapsed="false">
      <c r="A54" s="13" t="n">
        <v>8145</v>
      </c>
      <c r="B54" s="14" t="n">
        <v>45565</v>
      </c>
      <c r="C54" s="21" t="s">
        <v>41</v>
      </c>
      <c r="D54" s="16" t="s">
        <v>24</v>
      </c>
      <c r="E54" s="16" t="s">
        <v>25</v>
      </c>
      <c r="F54" s="16" t="s">
        <v>462</v>
      </c>
      <c r="G54" s="16"/>
      <c r="H54" s="17" t="s">
        <v>28</v>
      </c>
      <c r="I54" s="16"/>
      <c r="J54" s="16" t="s">
        <v>28</v>
      </c>
      <c r="K54" s="16" t="s">
        <v>29</v>
      </c>
      <c r="L54" s="16" t="s">
        <v>29</v>
      </c>
      <c r="M54" s="16" t="s">
        <v>29</v>
      </c>
      <c r="N54" s="16" t="n">
        <v>69503</v>
      </c>
      <c r="O54" s="16"/>
      <c r="P54" s="16"/>
      <c r="Q54" s="16" t="s">
        <v>37</v>
      </c>
      <c r="R54" s="16" t="s">
        <v>37</v>
      </c>
      <c r="S54" s="16"/>
      <c r="T54" s="16"/>
      <c r="U54" s="16"/>
      <c r="V54" s="16" t="s">
        <v>58</v>
      </c>
      <c r="W54" s="17" t="s">
        <v>28</v>
      </c>
      <c r="X54" s="17" t="s">
        <v>28</v>
      </c>
      <c r="Y54" s="16" t="s">
        <v>28</v>
      </c>
      <c r="Z54" s="12" t="s">
        <v>32</v>
      </c>
    </row>
    <row r="55" customFormat="false" ht="15.75" hidden="false" customHeight="false" outlineLevel="0" collapsed="false">
      <c r="A55" s="13" t="n">
        <v>8146</v>
      </c>
      <c r="B55" s="14" t="n">
        <v>45565</v>
      </c>
      <c r="C55" s="15" t="s">
        <v>463</v>
      </c>
      <c r="D55" s="16" t="s">
        <v>24</v>
      </c>
      <c r="E55" s="16" t="s">
        <v>34</v>
      </c>
      <c r="F55" s="16" t="s">
        <v>464</v>
      </c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 t="s">
        <v>37</v>
      </c>
      <c r="R55" s="16" t="s">
        <v>37</v>
      </c>
      <c r="S55" s="16"/>
      <c r="T55" s="16"/>
      <c r="U55" s="16"/>
      <c r="V55" s="16"/>
      <c r="W55" s="16" t="s">
        <v>37</v>
      </c>
      <c r="X55" s="16" t="s">
        <v>37</v>
      </c>
      <c r="Y55" s="16" t="s">
        <v>37</v>
      </c>
      <c r="Z55" s="12" t="s">
        <v>40</v>
      </c>
    </row>
    <row r="56" customFormat="false" ht="15.75" hidden="false" customHeight="false" outlineLevel="0" collapsed="false">
      <c r="A56" s="13"/>
      <c r="B56" s="14"/>
      <c r="C56" s="15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</row>
    <row r="57" customFormat="false" ht="15.75" hidden="false" customHeight="false" outlineLevel="0" collapsed="false">
      <c r="A57" s="44"/>
      <c r="B57" s="14"/>
      <c r="C57" s="15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8"/>
      <c r="Q57" s="16"/>
      <c r="R57" s="16"/>
      <c r="S57" s="16"/>
      <c r="T57" s="16"/>
      <c r="U57" s="16"/>
      <c r="V57" s="16"/>
      <c r="W57" s="16"/>
      <c r="X57" s="16"/>
      <c r="Y57" s="16"/>
    </row>
    <row r="58" customFormat="false" ht="15.75" hidden="false" customHeight="false" outlineLevel="0" collapsed="false">
      <c r="A58" s="13"/>
      <c r="B58" s="14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8"/>
      <c r="Q58" s="16"/>
      <c r="R58" s="16"/>
      <c r="S58" s="16"/>
      <c r="T58" s="16"/>
      <c r="U58" s="16"/>
      <c r="V58" s="16"/>
      <c r="W58" s="16"/>
      <c r="X58" s="16"/>
      <c r="Y58" s="16"/>
    </row>
    <row r="59" customFormat="false" ht="15.75" hidden="false" customHeight="false" outlineLevel="0" collapsed="false">
      <c r="A59" s="13"/>
      <c r="B59" s="14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8"/>
      <c r="Q59" s="16"/>
      <c r="R59" s="16"/>
      <c r="S59" s="16"/>
      <c r="T59" s="16"/>
      <c r="U59" s="16"/>
      <c r="V59" s="16"/>
      <c r="W59" s="16"/>
      <c r="X59" s="16"/>
      <c r="Y59" s="16"/>
    </row>
    <row r="60" customFormat="false" ht="15.75" hidden="false" customHeight="false" outlineLevel="0" collapsed="false">
      <c r="A60" s="21"/>
      <c r="B60" s="29"/>
      <c r="C60" s="21"/>
      <c r="D60" s="21"/>
      <c r="E60" s="21"/>
      <c r="F60" s="21"/>
      <c r="G60" s="30"/>
      <c r="H60" s="31"/>
      <c r="I60" s="31"/>
      <c r="J60" s="21"/>
      <c r="K60" s="21"/>
      <c r="L60" s="21"/>
      <c r="M60" s="21"/>
      <c r="N60" s="21"/>
      <c r="O60" s="21"/>
      <c r="P60" s="30"/>
      <c r="Q60" s="21"/>
      <c r="R60" s="21"/>
      <c r="S60" s="21"/>
      <c r="T60" s="32"/>
      <c r="U60" s="32"/>
      <c r="V60" s="21"/>
      <c r="W60" s="21"/>
      <c r="X60" s="21"/>
      <c r="Y60" s="21"/>
    </row>
    <row r="61" customFormat="false" ht="15.75" hidden="false" customHeight="false" outlineLevel="0" collapsed="false">
      <c r="A61" s="47"/>
      <c r="B61" s="29"/>
      <c r="C61" s="21"/>
      <c r="D61" s="21"/>
      <c r="E61" s="21"/>
      <c r="F61" s="21"/>
      <c r="G61" s="30"/>
      <c r="H61" s="31"/>
      <c r="I61" s="31"/>
      <c r="J61" s="21"/>
      <c r="K61" s="21"/>
      <c r="L61" s="21"/>
      <c r="M61" s="21"/>
      <c r="N61" s="21"/>
      <c r="O61" s="21"/>
      <c r="P61" s="30"/>
      <c r="Q61" s="21"/>
      <c r="R61" s="21"/>
      <c r="S61" s="21"/>
      <c r="T61" s="32"/>
      <c r="U61" s="32"/>
      <c r="V61" s="21"/>
      <c r="W61" s="21"/>
      <c r="X61" s="21"/>
      <c r="Y61" s="21"/>
    </row>
    <row r="62" customFormat="false" ht="15.75" hidden="false" customHeight="false" outlineLevel="0" collapsed="false">
      <c r="A62" s="21"/>
      <c r="B62" s="29"/>
      <c r="C62" s="21"/>
      <c r="D62" s="21"/>
      <c r="E62" s="21"/>
      <c r="F62" s="21"/>
      <c r="G62" s="30"/>
      <c r="H62" s="31"/>
      <c r="I62" s="31"/>
      <c r="J62" s="21"/>
      <c r="K62" s="21"/>
      <c r="L62" s="21"/>
      <c r="M62" s="21"/>
      <c r="N62" s="21"/>
      <c r="O62" s="21"/>
      <c r="P62" s="30"/>
      <c r="Q62" s="21"/>
      <c r="R62" s="21"/>
      <c r="S62" s="21"/>
      <c r="T62" s="32"/>
      <c r="U62" s="32"/>
      <c r="V62" s="21"/>
      <c r="W62" s="21"/>
      <c r="X62" s="21"/>
      <c r="Y62" s="21"/>
    </row>
    <row r="63" customFormat="false" ht="15.75" hidden="false" customHeight="false" outlineLevel="0" collapsed="false">
      <c r="A63" s="47"/>
      <c r="B63" s="29"/>
      <c r="C63" s="21"/>
      <c r="D63" s="21"/>
      <c r="E63" s="21"/>
      <c r="F63" s="21"/>
      <c r="G63" s="30"/>
      <c r="H63" s="31"/>
      <c r="I63" s="31"/>
      <c r="J63" s="21"/>
      <c r="K63" s="21"/>
      <c r="L63" s="21"/>
      <c r="M63" s="21"/>
      <c r="N63" s="21"/>
      <c r="O63" s="21"/>
      <c r="P63" s="30"/>
      <c r="Q63" s="21"/>
      <c r="R63" s="21"/>
      <c r="S63" s="21"/>
      <c r="T63" s="32"/>
      <c r="U63" s="32"/>
      <c r="V63" s="21"/>
      <c r="W63" s="21"/>
      <c r="X63" s="21"/>
      <c r="Y63" s="21"/>
    </row>
    <row r="64" customFormat="false" ht="15.75" hidden="false" customHeight="false" outlineLevel="0" collapsed="false">
      <c r="A64" s="47"/>
      <c r="B64" s="29"/>
      <c r="C64" s="21"/>
      <c r="D64" s="21"/>
      <c r="E64" s="21"/>
      <c r="F64" s="21"/>
      <c r="G64" s="30"/>
      <c r="H64" s="31"/>
      <c r="I64" s="31"/>
      <c r="J64" s="21"/>
      <c r="K64" s="21"/>
      <c r="L64" s="21"/>
      <c r="M64" s="21"/>
      <c r="N64" s="21"/>
      <c r="O64" s="21"/>
      <c r="P64" s="30"/>
      <c r="Q64" s="21"/>
      <c r="R64" s="21"/>
      <c r="S64" s="21"/>
      <c r="T64" s="32"/>
      <c r="U64" s="32"/>
      <c r="V64" s="21"/>
      <c r="W64" s="21"/>
      <c r="X64" s="21"/>
      <c r="Y64" s="21"/>
    </row>
    <row r="65" customFormat="false" ht="15.75" hidden="false" customHeight="false" outlineLevel="0" collapsed="false">
      <c r="A65" s="21"/>
      <c r="B65" s="33"/>
      <c r="C65" s="21"/>
      <c r="D65" s="21"/>
      <c r="E65" s="21"/>
      <c r="F65" s="21"/>
      <c r="G65" s="30"/>
      <c r="H65" s="31"/>
      <c r="I65" s="31"/>
      <c r="J65" s="21"/>
      <c r="K65" s="21"/>
      <c r="L65" s="21"/>
      <c r="M65" s="21"/>
      <c r="N65" s="21"/>
      <c r="O65" s="21"/>
      <c r="P65" s="30"/>
      <c r="Q65" s="21"/>
      <c r="R65" s="21"/>
      <c r="S65" s="21"/>
      <c r="T65" s="32"/>
      <c r="U65" s="32"/>
      <c r="V65" s="21"/>
      <c r="W65" s="21"/>
      <c r="X65" s="21"/>
      <c r="Y65" s="21"/>
    </row>
    <row r="66" customFormat="false" ht="15.75" hidden="false" customHeight="false" outlineLevel="0" collapsed="false">
      <c r="A66" s="21"/>
      <c r="B66" s="29"/>
      <c r="C66" s="21"/>
      <c r="D66" s="21"/>
      <c r="E66" s="21"/>
      <c r="F66" s="21"/>
      <c r="G66" s="30"/>
      <c r="H66" s="31"/>
      <c r="I66" s="31"/>
      <c r="J66" s="21"/>
      <c r="K66" s="21"/>
      <c r="L66" s="21"/>
      <c r="M66" s="21"/>
      <c r="N66" s="21"/>
      <c r="O66" s="21"/>
      <c r="P66" s="30"/>
      <c r="Q66" s="21"/>
      <c r="R66" s="21"/>
      <c r="S66" s="21"/>
      <c r="T66" s="32"/>
      <c r="U66" s="32"/>
      <c r="V66" s="21"/>
      <c r="W66" s="21"/>
      <c r="X66" s="21"/>
      <c r="Y66" s="21"/>
    </row>
    <row r="67" customFormat="false" ht="15.75" hidden="false" customHeight="false" outlineLevel="0" collapsed="false">
      <c r="A67" s="21"/>
      <c r="B67" s="29"/>
      <c r="C67" s="21"/>
      <c r="D67" s="21"/>
      <c r="E67" s="21"/>
      <c r="F67" s="21"/>
      <c r="G67" s="30"/>
      <c r="H67" s="31"/>
      <c r="I67" s="31"/>
      <c r="J67" s="21"/>
      <c r="K67" s="21"/>
      <c r="L67" s="21"/>
      <c r="M67" s="21"/>
      <c r="N67" s="21"/>
      <c r="O67" s="21"/>
      <c r="P67" s="30"/>
      <c r="Q67" s="21"/>
      <c r="R67" s="21"/>
      <c r="S67" s="21"/>
      <c r="T67" s="32"/>
      <c r="U67" s="32"/>
      <c r="V67" s="21"/>
      <c r="W67" s="21"/>
      <c r="X67" s="21"/>
      <c r="Y67" s="21"/>
    </row>
    <row r="68" customFormat="false" ht="15.75" hidden="false" customHeight="false" outlineLevel="0" collapsed="false">
      <c r="A68" s="21"/>
      <c r="B68" s="29"/>
      <c r="C68" s="21"/>
      <c r="D68" s="21"/>
      <c r="E68" s="21"/>
      <c r="F68" s="21"/>
      <c r="G68" s="30"/>
      <c r="H68" s="31"/>
      <c r="I68" s="31"/>
      <c r="J68" s="21"/>
      <c r="K68" s="21"/>
      <c r="L68" s="21"/>
      <c r="M68" s="21"/>
      <c r="N68" s="21"/>
      <c r="O68" s="21"/>
      <c r="P68" s="30"/>
      <c r="Q68" s="21"/>
      <c r="R68" s="21"/>
      <c r="S68" s="21"/>
      <c r="T68" s="32"/>
      <c r="U68" s="32"/>
      <c r="V68" s="21"/>
      <c r="W68" s="21"/>
      <c r="X68" s="21"/>
      <c r="Y68" s="21"/>
    </row>
    <row r="69" customFormat="false" ht="15.75" hidden="false" customHeight="false" outlineLevel="0" collapsed="false">
      <c r="B69" s="34"/>
      <c r="D69" s="12"/>
      <c r="E69" s="12"/>
      <c r="G69" s="18"/>
      <c r="H69" s="35"/>
      <c r="I69" s="35"/>
      <c r="J69" s="12"/>
      <c r="P69" s="18"/>
      <c r="Q69" s="12"/>
      <c r="R69" s="12"/>
      <c r="T69" s="36"/>
      <c r="U69" s="36"/>
      <c r="V69" s="12"/>
      <c r="W69" s="12"/>
      <c r="X69" s="12"/>
      <c r="Y69" s="12"/>
    </row>
    <row r="70" customFormat="false" ht="15.75" hidden="false" customHeight="false" outlineLevel="0" collapsed="false">
      <c r="B70" s="34"/>
      <c r="D70" s="12"/>
      <c r="E70" s="12"/>
      <c r="G70" s="18"/>
      <c r="H70" s="35"/>
      <c r="I70" s="35"/>
      <c r="J70" s="12"/>
      <c r="P70" s="18"/>
      <c r="Q70" s="12"/>
      <c r="R70" s="12"/>
      <c r="T70" s="36"/>
      <c r="U70" s="36"/>
      <c r="V70" s="12"/>
      <c r="W70" s="12"/>
      <c r="X70" s="12"/>
      <c r="Y70" s="12"/>
    </row>
    <row r="71" customFormat="false" ht="15.75" hidden="false" customHeight="false" outlineLevel="0" collapsed="false">
      <c r="B71" s="34"/>
      <c r="D71" s="12"/>
      <c r="E71" s="12"/>
      <c r="G71" s="18"/>
      <c r="H71" s="35"/>
      <c r="I71" s="35"/>
      <c r="J71" s="12"/>
      <c r="P71" s="18"/>
      <c r="Q71" s="12"/>
      <c r="R71" s="12"/>
      <c r="T71" s="36"/>
      <c r="U71" s="36"/>
      <c r="V71" s="12"/>
      <c r="W71" s="12"/>
      <c r="X71" s="12"/>
      <c r="Y71" s="12"/>
    </row>
    <row r="72" customFormat="false" ht="15.75" hidden="false" customHeight="false" outlineLevel="0" collapsed="false">
      <c r="B72" s="34"/>
      <c r="D72" s="12"/>
      <c r="E72" s="12"/>
      <c r="G72" s="18"/>
      <c r="H72" s="35"/>
      <c r="I72" s="35"/>
      <c r="J72" s="12"/>
      <c r="P72" s="18"/>
      <c r="Q72" s="12"/>
      <c r="R72" s="12"/>
      <c r="T72" s="36"/>
      <c r="U72" s="36"/>
      <c r="V72" s="12"/>
      <c r="W72" s="12"/>
      <c r="X72" s="12"/>
      <c r="Y72" s="12"/>
    </row>
    <row r="73" customFormat="false" ht="15.75" hidden="false" customHeight="false" outlineLevel="0" collapsed="false">
      <c r="B73" s="34"/>
      <c r="D73" s="12"/>
      <c r="E73" s="12"/>
      <c r="G73" s="18"/>
      <c r="H73" s="35"/>
      <c r="I73" s="35"/>
      <c r="J73" s="12"/>
      <c r="P73" s="18"/>
      <c r="Q73" s="12"/>
      <c r="R73" s="12"/>
      <c r="T73" s="36"/>
      <c r="U73" s="36"/>
      <c r="V73" s="12"/>
      <c r="W73" s="12"/>
      <c r="X73" s="12"/>
      <c r="Y73" s="12"/>
    </row>
    <row r="74" customFormat="false" ht="15.75" hidden="false" customHeight="false" outlineLevel="0" collapsed="false">
      <c r="B74" s="34"/>
      <c r="D74" s="12"/>
      <c r="E74" s="12"/>
      <c r="G74" s="18"/>
      <c r="H74" s="35"/>
      <c r="I74" s="35"/>
      <c r="J74" s="12"/>
      <c r="P74" s="18"/>
      <c r="Q74" s="12"/>
      <c r="R74" s="12"/>
      <c r="T74" s="36"/>
      <c r="U74" s="36"/>
      <c r="V74" s="12"/>
      <c r="W74" s="12"/>
      <c r="X74" s="12"/>
      <c r="Y74" s="12"/>
    </row>
    <row r="75" customFormat="false" ht="15.75" hidden="false" customHeight="false" outlineLevel="0" collapsed="false">
      <c r="B75" s="34"/>
      <c r="D75" s="12"/>
      <c r="E75" s="12"/>
      <c r="G75" s="18"/>
      <c r="H75" s="35"/>
      <c r="I75" s="35"/>
      <c r="J75" s="12"/>
      <c r="P75" s="18"/>
      <c r="Q75" s="12"/>
      <c r="R75" s="12"/>
      <c r="T75" s="36"/>
      <c r="U75" s="36"/>
      <c r="V75" s="12"/>
      <c r="W75" s="12"/>
      <c r="X75" s="12"/>
      <c r="Y75" s="12"/>
    </row>
    <row r="76" customFormat="false" ht="15.75" hidden="false" customHeight="false" outlineLevel="0" collapsed="false">
      <c r="B76" s="34"/>
      <c r="D76" s="12"/>
      <c r="E76" s="12"/>
      <c r="G76" s="18"/>
      <c r="H76" s="35"/>
      <c r="I76" s="35"/>
      <c r="J76" s="12"/>
      <c r="P76" s="18"/>
      <c r="Q76" s="12"/>
      <c r="R76" s="12"/>
      <c r="T76" s="36"/>
      <c r="U76" s="36"/>
      <c r="V76" s="12"/>
      <c r="W76" s="12"/>
      <c r="X76" s="12"/>
      <c r="Y76" s="12"/>
    </row>
    <row r="77" customFormat="false" ht="15.75" hidden="false" customHeight="false" outlineLevel="0" collapsed="false">
      <c r="B77" s="34"/>
      <c r="D77" s="12"/>
      <c r="E77" s="12"/>
      <c r="G77" s="18"/>
      <c r="H77" s="35"/>
      <c r="I77" s="35"/>
      <c r="J77" s="12"/>
      <c r="P77" s="18"/>
      <c r="Q77" s="12"/>
      <c r="R77" s="12"/>
      <c r="T77" s="36"/>
      <c r="U77" s="36"/>
      <c r="V77" s="12"/>
      <c r="W77" s="12"/>
      <c r="X77" s="12"/>
      <c r="Y77" s="12"/>
    </row>
    <row r="78" customFormat="false" ht="15.75" hidden="false" customHeight="false" outlineLevel="0" collapsed="false">
      <c r="B78" s="34"/>
      <c r="D78" s="12"/>
      <c r="E78" s="12"/>
      <c r="G78" s="18"/>
      <c r="H78" s="35"/>
      <c r="I78" s="35"/>
      <c r="J78" s="12"/>
      <c r="P78" s="18"/>
      <c r="Q78" s="12"/>
      <c r="R78" s="12"/>
      <c r="T78" s="36"/>
      <c r="U78" s="36"/>
      <c r="V78" s="12"/>
      <c r="W78" s="12"/>
      <c r="X78" s="12"/>
      <c r="Y78" s="12"/>
    </row>
    <row r="79" customFormat="false" ht="15.75" hidden="false" customHeight="false" outlineLevel="0" collapsed="false">
      <c r="B79" s="34"/>
      <c r="D79" s="12"/>
      <c r="E79" s="12"/>
      <c r="G79" s="18"/>
      <c r="H79" s="35"/>
      <c r="I79" s="35"/>
      <c r="J79" s="12"/>
      <c r="P79" s="18"/>
      <c r="Q79" s="12"/>
      <c r="R79" s="12"/>
      <c r="T79" s="36"/>
      <c r="U79" s="36"/>
      <c r="V79" s="12"/>
      <c r="W79" s="12"/>
      <c r="X79" s="12"/>
      <c r="Y79" s="12"/>
    </row>
    <row r="80" customFormat="false" ht="15.75" hidden="false" customHeight="false" outlineLevel="0" collapsed="false">
      <c r="B80" s="34"/>
      <c r="D80" s="12"/>
      <c r="E80" s="12"/>
      <c r="G80" s="18"/>
      <c r="H80" s="35"/>
      <c r="I80" s="35"/>
      <c r="J80" s="12"/>
      <c r="P80" s="18"/>
      <c r="Q80" s="12"/>
      <c r="R80" s="12"/>
      <c r="T80" s="36"/>
      <c r="U80" s="36"/>
      <c r="V80" s="12"/>
      <c r="W80" s="12"/>
      <c r="X80" s="12"/>
      <c r="Y80" s="12"/>
    </row>
    <row r="81" customFormat="false" ht="15.75" hidden="false" customHeight="false" outlineLevel="0" collapsed="false">
      <c r="B81" s="34"/>
      <c r="D81" s="12"/>
      <c r="E81" s="12"/>
      <c r="G81" s="18"/>
      <c r="H81" s="35"/>
      <c r="I81" s="35"/>
      <c r="J81" s="12"/>
      <c r="P81" s="18"/>
      <c r="Q81" s="12"/>
      <c r="R81" s="12"/>
      <c r="T81" s="36"/>
      <c r="U81" s="36"/>
      <c r="V81" s="12"/>
      <c r="W81" s="12"/>
      <c r="X81" s="12"/>
      <c r="Y81" s="12"/>
    </row>
    <row r="82" customFormat="false" ht="15.75" hidden="false" customHeight="false" outlineLevel="0" collapsed="false">
      <c r="B82" s="34"/>
      <c r="D82" s="12"/>
      <c r="E82" s="12"/>
      <c r="G82" s="18"/>
      <c r="H82" s="35"/>
      <c r="I82" s="35"/>
      <c r="J82" s="12"/>
      <c r="P82" s="18"/>
      <c r="Q82" s="12"/>
      <c r="R82" s="12"/>
      <c r="T82" s="36"/>
      <c r="U82" s="36"/>
      <c r="V82" s="12"/>
      <c r="W82" s="12"/>
      <c r="X82" s="12"/>
      <c r="Y82" s="12"/>
    </row>
    <row r="83" customFormat="false" ht="15.75" hidden="false" customHeight="false" outlineLevel="0" collapsed="false">
      <c r="B83" s="34"/>
      <c r="D83" s="12"/>
      <c r="E83" s="12"/>
      <c r="G83" s="18"/>
      <c r="H83" s="35"/>
      <c r="I83" s="35"/>
      <c r="J83" s="12"/>
      <c r="P83" s="18"/>
      <c r="Q83" s="12"/>
      <c r="R83" s="12"/>
      <c r="T83" s="36"/>
      <c r="U83" s="36"/>
      <c r="V83" s="12"/>
      <c r="W83" s="12"/>
      <c r="X83" s="12"/>
      <c r="Y83" s="12"/>
    </row>
    <row r="84" customFormat="false" ht="15.75" hidden="false" customHeight="false" outlineLevel="0" collapsed="false">
      <c r="B84" s="34"/>
      <c r="D84" s="12"/>
      <c r="E84" s="12"/>
      <c r="G84" s="18"/>
      <c r="H84" s="35"/>
      <c r="I84" s="35"/>
      <c r="J84" s="12"/>
      <c r="P84" s="18"/>
      <c r="Q84" s="12"/>
      <c r="R84" s="12"/>
      <c r="T84" s="36"/>
      <c r="U84" s="36"/>
      <c r="V84" s="12"/>
      <c r="W84" s="12"/>
      <c r="X84" s="12"/>
      <c r="Y84" s="12"/>
    </row>
    <row r="85" customFormat="false" ht="15.75" hidden="false" customHeight="false" outlineLevel="0" collapsed="false">
      <c r="B85" s="34"/>
      <c r="D85" s="12"/>
      <c r="E85" s="12"/>
      <c r="G85" s="18"/>
      <c r="H85" s="35"/>
      <c r="I85" s="35"/>
      <c r="J85" s="12"/>
      <c r="P85" s="18"/>
      <c r="Q85" s="12"/>
      <c r="R85" s="12"/>
      <c r="T85" s="36"/>
      <c r="U85" s="36"/>
      <c r="V85" s="12"/>
      <c r="W85" s="12"/>
      <c r="X85" s="12"/>
      <c r="Y85" s="12"/>
    </row>
    <row r="86" customFormat="false" ht="15.75" hidden="false" customHeight="false" outlineLevel="0" collapsed="false">
      <c r="A86" s="12"/>
      <c r="B86" s="34"/>
      <c r="C86" s="12"/>
      <c r="D86" s="12"/>
      <c r="E86" s="12"/>
      <c r="F86" s="12"/>
      <c r="G86" s="18"/>
      <c r="H86" s="35"/>
      <c r="I86" s="35"/>
      <c r="J86" s="12"/>
      <c r="O86" s="12"/>
      <c r="P86" s="18"/>
      <c r="Q86" s="12"/>
      <c r="R86" s="12"/>
      <c r="S86" s="12"/>
      <c r="T86" s="36"/>
      <c r="U86" s="36"/>
      <c r="V86" s="12"/>
      <c r="W86" s="12"/>
      <c r="X86" s="12"/>
      <c r="Y86" s="12"/>
    </row>
    <row r="87" customFormat="false" ht="15.75" hidden="false" customHeight="false" outlineLevel="0" collapsed="false">
      <c r="A87" s="12"/>
      <c r="B87" s="34"/>
      <c r="C87" s="12"/>
      <c r="D87" s="12"/>
      <c r="E87" s="12"/>
      <c r="F87" s="12"/>
      <c r="G87" s="18"/>
      <c r="H87" s="35"/>
      <c r="I87" s="35"/>
      <c r="J87" s="12"/>
      <c r="O87" s="12"/>
      <c r="P87" s="18"/>
      <c r="Q87" s="12"/>
      <c r="R87" s="12"/>
      <c r="S87" s="12"/>
      <c r="T87" s="36"/>
      <c r="U87" s="36"/>
      <c r="V87" s="12"/>
      <c r="W87" s="12"/>
      <c r="X87" s="12"/>
      <c r="Y87" s="12"/>
    </row>
    <row r="88" customFormat="false" ht="15.75" hidden="false" customHeight="false" outlineLevel="0" collapsed="false">
      <c r="A88" s="12"/>
      <c r="B88" s="34"/>
      <c r="C88" s="12"/>
      <c r="D88" s="12"/>
      <c r="E88" s="12"/>
      <c r="F88" s="12"/>
      <c r="G88" s="18"/>
      <c r="H88" s="35"/>
      <c r="I88" s="35"/>
      <c r="J88" s="12"/>
      <c r="O88" s="12"/>
      <c r="P88" s="18"/>
      <c r="Q88" s="12"/>
      <c r="R88" s="12"/>
      <c r="S88" s="12"/>
      <c r="T88" s="36"/>
      <c r="U88" s="36"/>
      <c r="V88" s="12"/>
      <c r="W88" s="12"/>
      <c r="X88" s="12"/>
      <c r="Y88" s="12"/>
    </row>
    <row r="89" customFormat="false" ht="15.75" hidden="false" customHeight="false" outlineLevel="0" collapsed="false">
      <c r="A89" s="12"/>
      <c r="B89" s="34"/>
      <c r="C89" s="12"/>
      <c r="D89" s="12"/>
      <c r="E89" s="12"/>
      <c r="F89" s="12"/>
      <c r="G89" s="18"/>
      <c r="H89" s="35"/>
      <c r="I89" s="35"/>
      <c r="J89" s="12"/>
      <c r="O89" s="12"/>
      <c r="P89" s="18"/>
      <c r="Q89" s="12"/>
      <c r="R89" s="12"/>
      <c r="S89" s="12"/>
      <c r="T89" s="36"/>
      <c r="U89" s="36"/>
      <c r="V89" s="12"/>
      <c r="W89" s="12"/>
      <c r="X89" s="12"/>
      <c r="Y89" s="12"/>
    </row>
    <row r="90" customFormat="false" ht="15.75" hidden="false" customHeight="false" outlineLevel="0" collapsed="false">
      <c r="A90" s="12"/>
      <c r="B90" s="34"/>
      <c r="C90" s="12"/>
      <c r="D90" s="12"/>
      <c r="E90" s="12"/>
      <c r="F90" s="12"/>
      <c r="G90" s="18"/>
      <c r="H90" s="35"/>
      <c r="I90" s="35"/>
      <c r="J90" s="12"/>
      <c r="O90" s="12"/>
      <c r="P90" s="18"/>
      <c r="Q90" s="12"/>
      <c r="R90" s="12"/>
      <c r="S90" s="12"/>
      <c r="T90" s="36"/>
      <c r="U90" s="36"/>
      <c r="V90" s="12"/>
      <c r="W90" s="12"/>
      <c r="X90" s="12"/>
      <c r="Y90" s="12"/>
    </row>
    <row r="91" customFormat="false" ht="15.75" hidden="false" customHeight="false" outlineLevel="0" collapsed="false">
      <c r="A91" s="12"/>
      <c r="B91" s="34"/>
      <c r="C91" s="12"/>
      <c r="D91" s="12"/>
      <c r="E91" s="12"/>
      <c r="F91" s="12"/>
      <c r="G91" s="18"/>
      <c r="H91" s="35"/>
      <c r="I91" s="35"/>
      <c r="J91" s="12"/>
      <c r="O91" s="12"/>
      <c r="P91" s="18"/>
      <c r="Q91" s="12"/>
      <c r="R91" s="12"/>
      <c r="S91" s="12"/>
      <c r="T91" s="36"/>
      <c r="U91" s="36"/>
      <c r="V91" s="12"/>
      <c r="W91" s="12"/>
      <c r="X91" s="12"/>
      <c r="Y91" s="12"/>
    </row>
    <row r="92" customFormat="false" ht="15.75" hidden="false" customHeight="false" outlineLevel="0" collapsed="false">
      <c r="A92" s="12"/>
      <c r="B92" s="34"/>
      <c r="C92" s="12"/>
      <c r="D92" s="12"/>
      <c r="E92" s="12"/>
      <c r="F92" s="12"/>
      <c r="G92" s="18"/>
      <c r="H92" s="35"/>
      <c r="I92" s="35"/>
      <c r="J92" s="12"/>
      <c r="O92" s="12"/>
      <c r="P92" s="18"/>
      <c r="Q92" s="12"/>
      <c r="R92" s="12"/>
      <c r="S92" s="12"/>
      <c r="T92" s="36"/>
      <c r="U92" s="36"/>
      <c r="V92" s="12"/>
      <c r="W92" s="12"/>
      <c r="X92" s="12"/>
      <c r="Y92" s="12"/>
    </row>
    <row r="93" customFormat="false" ht="15.75" hidden="false" customHeight="false" outlineLevel="0" collapsed="false">
      <c r="A93" s="12"/>
      <c r="B93" s="34"/>
      <c r="C93" s="12"/>
      <c r="D93" s="12"/>
      <c r="E93" s="12"/>
      <c r="F93" s="12"/>
      <c r="G93" s="18"/>
      <c r="H93" s="35"/>
      <c r="I93" s="35"/>
      <c r="J93" s="12"/>
      <c r="O93" s="12"/>
      <c r="P93" s="18"/>
      <c r="Q93" s="12"/>
      <c r="R93" s="12"/>
      <c r="S93" s="12"/>
      <c r="T93" s="36"/>
      <c r="U93" s="36"/>
      <c r="V93" s="12"/>
      <c r="W93" s="12"/>
      <c r="X93" s="12"/>
      <c r="Y93" s="12"/>
    </row>
    <row r="94" customFormat="false" ht="15.75" hidden="false" customHeight="false" outlineLevel="0" collapsed="false">
      <c r="A94" s="12"/>
      <c r="B94" s="34"/>
      <c r="C94" s="12"/>
      <c r="D94" s="12"/>
      <c r="E94" s="12"/>
      <c r="F94" s="12"/>
      <c r="G94" s="18"/>
      <c r="H94" s="35"/>
      <c r="I94" s="35"/>
      <c r="J94" s="12"/>
      <c r="O94" s="12"/>
      <c r="P94" s="18"/>
      <c r="Q94" s="12"/>
      <c r="R94" s="12"/>
      <c r="S94" s="12"/>
      <c r="T94" s="36"/>
      <c r="U94" s="36"/>
      <c r="V94" s="12"/>
      <c r="W94" s="12"/>
      <c r="X94" s="12"/>
      <c r="Y94" s="12"/>
    </row>
    <row r="95" customFormat="false" ht="15.75" hidden="false" customHeight="false" outlineLevel="0" collapsed="false">
      <c r="A95" s="12"/>
      <c r="B95" s="34"/>
      <c r="C95" s="12"/>
      <c r="D95" s="12"/>
      <c r="E95" s="12"/>
      <c r="F95" s="12"/>
      <c r="G95" s="18"/>
      <c r="H95" s="35"/>
      <c r="I95" s="35"/>
      <c r="J95" s="12"/>
      <c r="O95" s="12"/>
      <c r="P95" s="18"/>
      <c r="Q95" s="12"/>
      <c r="R95" s="12"/>
      <c r="S95" s="12"/>
      <c r="T95" s="36"/>
      <c r="U95" s="36"/>
      <c r="V95" s="12"/>
      <c r="W95" s="12"/>
      <c r="X95" s="12"/>
      <c r="Y95" s="12"/>
    </row>
    <row r="96" customFormat="false" ht="15.75" hidden="false" customHeight="false" outlineLevel="0" collapsed="false">
      <c r="A96" s="12"/>
      <c r="B96" s="34"/>
      <c r="C96" s="12"/>
      <c r="D96" s="12"/>
      <c r="E96" s="12"/>
      <c r="F96" s="12"/>
      <c r="G96" s="18"/>
      <c r="H96" s="35"/>
      <c r="I96" s="35"/>
      <c r="J96" s="12"/>
      <c r="O96" s="12"/>
      <c r="P96" s="18"/>
      <c r="Q96" s="12"/>
      <c r="R96" s="12"/>
      <c r="S96" s="12"/>
      <c r="T96" s="36"/>
      <c r="U96" s="36"/>
      <c r="V96" s="12"/>
      <c r="W96" s="12"/>
      <c r="X96" s="12"/>
      <c r="Y96" s="12"/>
    </row>
    <row r="97" customFormat="false" ht="15.75" hidden="false" customHeight="false" outlineLevel="0" collapsed="false">
      <c r="A97" s="12"/>
      <c r="B97" s="34"/>
      <c r="C97" s="12"/>
      <c r="D97" s="12"/>
      <c r="E97" s="12"/>
      <c r="F97" s="12"/>
      <c r="G97" s="18"/>
      <c r="H97" s="35"/>
      <c r="I97" s="35"/>
      <c r="J97" s="12"/>
      <c r="O97" s="12"/>
      <c r="P97" s="18"/>
      <c r="Q97" s="12"/>
      <c r="R97" s="12"/>
      <c r="S97" s="12"/>
      <c r="T97" s="36"/>
      <c r="U97" s="36"/>
      <c r="V97" s="12"/>
      <c r="W97" s="12"/>
      <c r="X97" s="12"/>
      <c r="Y97" s="12"/>
    </row>
    <row r="98" customFormat="false" ht="15.75" hidden="false" customHeight="false" outlineLevel="0" collapsed="false">
      <c r="A98" s="12"/>
      <c r="B98" s="34"/>
      <c r="C98" s="12"/>
      <c r="D98" s="12"/>
      <c r="E98" s="12"/>
      <c r="F98" s="12"/>
      <c r="G98" s="18"/>
      <c r="H98" s="35"/>
      <c r="I98" s="35"/>
      <c r="J98" s="12"/>
      <c r="O98" s="12"/>
      <c r="P98" s="18"/>
      <c r="Q98" s="12"/>
      <c r="R98" s="12"/>
      <c r="S98" s="12"/>
      <c r="T98" s="36"/>
      <c r="U98" s="36"/>
      <c r="V98" s="12"/>
      <c r="W98" s="12"/>
      <c r="X98" s="12"/>
      <c r="Y98" s="12"/>
    </row>
    <row r="99" customFormat="false" ht="15.75" hidden="false" customHeight="false" outlineLevel="0" collapsed="false">
      <c r="A99" s="12"/>
      <c r="B99" s="34"/>
      <c r="C99" s="12"/>
      <c r="D99" s="12"/>
      <c r="E99" s="12"/>
      <c r="F99" s="12"/>
      <c r="G99" s="18"/>
      <c r="H99" s="35"/>
      <c r="I99" s="35"/>
      <c r="J99" s="12"/>
      <c r="O99" s="12"/>
      <c r="P99" s="18"/>
      <c r="Q99" s="12"/>
      <c r="R99" s="12"/>
      <c r="S99" s="12"/>
      <c r="T99" s="36"/>
      <c r="U99" s="36"/>
      <c r="V99" s="12"/>
      <c r="W99" s="12"/>
      <c r="X99" s="12"/>
      <c r="Y99" s="12"/>
    </row>
    <row r="100" customFormat="false" ht="15.75" hidden="false" customHeight="false" outlineLevel="0" collapsed="false">
      <c r="A100" s="12"/>
      <c r="B100" s="34"/>
      <c r="C100" s="12"/>
      <c r="D100" s="12"/>
      <c r="E100" s="12"/>
      <c r="F100" s="12"/>
      <c r="G100" s="18"/>
      <c r="H100" s="35"/>
      <c r="I100" s="35"/>
      <c r="J100" s="12"/>
      <c r="O100" s="12"/>
      <c r="P100" s="18"/>
      <c r="Q100" s="12"/>
      <c r="R100" s="12"/>
      <c r="S100" s="12"/>
      <c r="T100" s="36"/>
      <c r="U100" s="36"/>
      <c r="V100" s="12"/>
      <c r="W100" s="12"/>
      <c r="X100" s="12"/>
      <c r="Y100" s="12"/>
    </row>
    <row r="101" customFormat="false" ht="15.75" hidden="false" customHeight="false" outlineLevel="0" collapsed="false">
      <c r="A101" s="12"/>
      <c r="B101" s="34"/>
      <c r="C101" s="12"/>
      <c r="D101" s="12"/>
      <c r="E101" s="12"/>
      <c r="F101" s="12"/>
      <c r="G101" s="18"/>
      <c r="H101" s="35"/>
      <c r="I101" s="35"/>
      <c r="J101" s="12"/>
      <c r="O101" s="12"/>
      <c r="P101" s="18"/>
      <c r="Q101" s="12"/>
      <c r="R101" s="12"/>
      <c r="S101" s="12"/>
      <c r="T101" s="36"/>
      <c r="U101" s="36"/>
      <c r="V101" s="12"/>
      <c r="W101" s="12"/>
      <c r="X101" s="12"/>
      <c r="Y101" s="12"/>
    </row>
    <row r="102" customFormat="false" ht="15.75" hidden="false" customHeight="false" outlineLevel="0" collapsed="false">
      <c r="A102" s="12"/>
      <c r="B102" s="34"/>
      <c r="C102" s="12"/>
      <c r="D102" s="12"/>
      <c r="E102" s="12"/>
      <c r="F102" s="12"/>
      <c r="G102" s="18"/>
      <c r="H102" s="35"/>
      <c r="I102" s="35"/>
      <c r="J102" s="12"/>
      <c r="O102" s="12"/>
      <c r="P102" s="18"/>
      <c r="Q102" s="12"/>
      <c r="R102" s="12"/>
      <c r="S102" s="12"/>
      <c r="T102" s="36"/>
      <c r="U102" s="36"/>
      <c r="V102" s="12"/>
      <c r="W102" s="12"/>
      <c r="X102" s="12"/>
      <c r="Y102" s="12"/>
    </row>
    <row r="103" customFormat="false" ht="15.75" hidden="false" customHeight="false" outlineLevel="0" collapsed="false">
      <c r="A103" s="12"/>
      <c r="B103" s="34"/>
      <c r="C103" s="12"/>
      <c r="D103" s="12"/>
      <c r="E103" s="12"/>
      <c r="F103" s="12"/>
      <c r="G103" s="18"/>
      <c r="H103" s="35"/>
      <c r="I103" s="35"/>
      <c r="J103" s="12"/>
      <c r="O103" s="12"/>
      <c r="P103" s="18"/>
      <c r="Q103" s="12"/>
      <c r="R103" s="12"/>
      <c r="S103" s="12"/>
      <c r="T103" s="36"/>
      <c r="U103" s="36"/>
      <c r="V103" s="12"/>
      <c r="W103" s="12"/>
      <c r="X103" s="12"/>
      <c r="Y103" s="12"/>
    </row>
    <row r="104" customFormat="false" ht="15.75" hidden="false" customHeight="false" outlineLevel="0" collapsed="false">
      <c r="A104" s="12"/>
      <c r="B104" s="34"/>
      <c r="C104" s="12"/>
      <c r="D104" s="12"/>
      <c r="E104" s="12"/>
      <c r="F104" s="12"/>
      <c r="G104" s="18"/>
      <c r="H104" s="35"/>
      <c r="I104" s="35"/>
      <c r="J104" s="12"/>
      <c r="O104" s="12"/>
      <c r="P104" s="18"/>
      <c r="Q104" s="12"/>
      <c r="R104" s="12"/>
      <c r="S104" s="12"/>
      <c r="T104" s="36"/>
      <c r="U104" s="36"/>
      <c r="V104" s="12"/>
      <c r="W104" s="12"/>
      <c r="X104" s="12"/>
      <c r="Y104" s="12"/>
    </row>
    <row r="105" customFormat="false" ht="15.75" hidden="false" customHeight="false" outlineLevel="0" collapsed="false">
      <c r="A105" s="12"/>
      <c r="B105" s="34"/>
      <c r="C105" s="12"/>
      <c r="D105" s="12"/>
      <c r="E105" s="12"/>
      <c r="F105" s="12"/>
      <c r="G105" s="18"/>
      <c r="H105" s="35"/>
      <c r="I105" s="35"/>
      <c r="J105" s="12"/>
      <c r="O105" s="12"/>
      <c r="P105" s="18"/>
      <c r="Q105" s="12"/>
      <c r="R105" s="12"/>
      <c r="S105" s="12"/>
      <c r="T105" s="36"/>
      <c r="U105" s="36"/>
      <c r="V105" s="12"/>
      <c r="W105" s="12"/>
      <c r="X105" s="12"/>
      <c r="Y105" s="12"/>
    </row>
    <row r="106" customFormat="false" ht="15.75" hidden="false" customHeight="false" outlineLevel="0" collapsed="false">
      <c r="A106" s="12"/>
      <c r="B106" s="34"/>
      <c r="C106" s="12"/>
      <c r="D106" s="12"/>
      <c r="E106" s="12"/>
      <c r="F106" s="12"/>
      <c r="G106" s="18"/>
      <c r="H106" s="35"/>
      <c r="I106" s="35"/>
      <c r="J106" s="12"/>
      <c r="O106" s="12"/>
      <c r="P106" s="18"/>
      <c r="Q106" s="12"/>
      <c r="R106" s="12"/>
      <c r="S106" s="12"/>
      <c r="T106" s="36"/>
      <c r="U106" s="36"/>
      <c r="V106" s="12"/>
      <c r="W106" s="12"/>
      <c r="X106" s="12"/>
      <c r="Y106" s="12"/>
    </row>
    <row r="107" customFormat="false" ht="15.75" hidden="false" customHeight="false" outlineLevel="0" collapsed="false">
      <c r="A107" s="12"/>
      <c r="B107" s="34"/>
      <c r="C107" s="12"/>
      <c r="D107" s="12"/>
      <c r="E107" s="12"/>
      <c r="F107" s="12"/>
      <c r="G107" s="18"/>
      <c r="H107" s="35"/>
      <c r="I107" s="35"/>
      <c r="J107" s="12"/>
      <c r="O107" s="12"/>
      <c r="P107" s="18"/>
      <c r="Q107" s="12"/>
      <c r="R107" s="12"/>
      <c r="S107" s="12"/>
      <c r="T107" s="36"/>
      <c r="U107" s="36"/>
      <c r="V107" s="12"/>
      <c r="W107" s="12"/>
      <c r="X107" s="12"/>
      <c r="Y107" s="12"/>
    </row>
    <row r="108" customFormat="false" ht="15.75" hidden="false" customHeight="false" outlineLevel="0" collapsed="false">
      <c r="A108" s="12"/>
      <c r="B108" s="34"/>
      <c r="C108" s="12"/>
      <c r="D108" s="12"/>
      <c r="E108" s="12"/>
      <c r="F108" s="12"/>
      <c r="G108" s="18"/>
      <c r="H108" s="35"/>
      <c r="I108" s="35"/>
      <c r="J108" s="12"/>
      <c r="O108" s="12"/>
      <c r="P108" s="18"/>
      <c r="Q108" s="12"/>
      <c r="R108" s="12"/>
      <c r="S108" s="12"/>
      <c r="T108" s="36"/>
      <c r="U108" s="36"/>
      <c r="V108" s="12"/>
      <c r="W108" s="12"/>
      <c r="X108" s="12"/>
      <c r="Y108" s="12"/>
    </row>
    <row r="109" customFormat="false" ht="15.75" hidden="false" customHeight="false" outlineLevel="0" collapsed="false">
      <c r="A109" s="12"/>
      <c r="B109" s="34"/>
      <c r="C109" s="12"/>
      <c r="D109" s="12"/>
      <c r="E109" s="12"/>
      <c r="F109" s="12"/>
      <c r="G109" s="18"/>
      <c r="H109" s="35"/>
      <c r="I109" s="35"/>
      <c r="J109" s="12"/>
      <c r="O109" s="12"/>
      <c r="P109" s="18"/>
      <c r="Q109" s="12"/>
      <c r="R109" s="12"/>
      <c r="S109" s="12"/>
      <c r="T109" s="36"/>
      <c r="U109" s="36"/>
      <c r="V109" s="12"/>
      <c r="W109" s="12"/>
      <c r="X109" s="12"/>
      <c r="Y109" s="12"/>
    </row>
    <row r="110" customFormat="false" ht="15.75" hidden="false" customHeight="false" outlineLevel="0" collapsed="false">
      <c r="A110" s="12"/>
      <c r="B110" s="34"/>
      <c r="C110" s="12"/>
      <c r="D110" s="12"/>
      <c r="E110" s="12"/>
      <c r="F110" s="12"/>
      <c r="G110" s="18"/>
      <c r="H110" s="35"/>
      <c r="I110" s="35"/>
      <c r="J110" s="12"/>
      <c r="O110" s="12"/>
      <c r="P110" s="18"/>
      <c r="Q110" s="12"/>
      <c r="R110" s="12"/>
      <c r="S110" s="12"/>
      <c r="T110" s="36"/>
      <c r="U110" s="36"/>
      <c r="V110" s="12"/>
      <c r="W110" s="12"/>
      <c r="X110" s="12"/>
      <c r="Y110" s="12"/>
    </row>
    <row r="111" customFormat="false" ht="15.75" hidden="false" customHeight="false" outlineLevel="0" collapsed="false">
      <c r="A111" s="12"/>
      <c r="B111" s="34"/>
      <c r="C111" s="12"/>
      <c r="D111" s="12"/>
      <c r="E111" s="12"/>
      <c r="F111" s="12"/>
      <c r="G111" s="18"/>
      <c r="H111" s="35"/>
      <c r="I111" s="35"/>
      <c r="J111" s="12"/>
      <c r="O111" s="12"/>
      <c r="P111" s="18"/>
      <c r="Q111" s="12"/>
      <c r="R111" s="12"/>
      <c r="S111" s="12"/>
      <c r="T111" s="36"/>
      <c r="U111" s="36"/>
      <c r="V111" s="12"/>
      <c r="W111" s="12"/>
      <c r="X111" s="12"/>
      <c r="Y111" s="12"/>
    </row>
    <row r="112" customFormat="false" ht="15.75" hidden="false" customHeight="false" outlineLevel="0" collapsed="false">
      <c r="A112" s="12"/>
      <c r="B112" s="34"/>
      <c r="C112" s="12"/>
      <c r="D112" s="12"/>
      <c r="E112" s="12"/>
      <c r="F112" s="12"/>
      <c r="G112" s="18"/>
      <c r="H112" s="35"/>
      <c r="I112" s="35"/>
      <c r="J112" s="12"/>
      <c r="O112" s="12"/>
      <c r="P112" s="18"/>
      <c r="Q112" s="12"/>
      <c r="R112" s="12"/>
      <c r="S112" s="12"/>
      <c r="T112" s="36"/>
      <c r="U112" s="36"/>
      <c r="V112" s="12"/>
      <c r="W112" s="12"/>
      <c r="X112" s="12"/>
      <c r="Y112" s="12"/>
    </row>
    <row r="113" customFormat="false" ht="15.75" hidden="false" customHeight="false" outlineLevel="0" collapsed="false">
      <c r="A113" s="12"/>
      <c r="B113" s="34"/>
      <c r="C113" s="12"/>
      <c r="D113" s="12"/>
      <c r="E113" s="12"/>
      <c r="F113" s="12"/>
      <c r="G113" s="18"/>
      <c r="H113" s="35"/>
      <c r="I113" s="35"/>
      <c r="J113" s="12"/>
      <c r="O113" s="12"/>
      <c r="P113" s="18"/>
      <c r="Q113" s="12"/>
      <c r="R113" s="12"/>
      <c r="S113" s="12"/>
      <c r="T113" s="36"/>
      <c r="U113" s="36"/>
      <c r="V113" s="12"/>
      <c r="W113" s="12"/>
      <c r="X113" s="12"/>
      <c r="Y113" s="12"/>
    </row>
    <row r="114" customFormat="false" ht="15.75" hidden="false" customHeight="false" outlineLevel="0" collapsed="false">
      <c r="A114" s="12"/>
      <c r="B114" s="34"/>
      <c r="C114" s="12"/>
      <c r="D114" s="12"/>
      <c r="E114" s="12"/>
      <c r="F114" s="12"/>
      <c r="G114" s="18"/>
      <c r="H114" s="35"/>
      <c r="I114" s="35"/>
      <c r="J114" s="12"/>
      <c r="O114" s="12"/>
      <c r="P114" s="18"/>
      <c r="Q114" s="12"/>
      <c r="R114" s="12"/>
      <c r="S114" s="12"/>
      <c r="T114" s="36"/>
      <c r="U114" s="36"/>
      <c r="V114" s="12"/>
      <c r="W114" s="12"/>
      <c r="X114" s="12"/>
      <c r="Y114" s="12"/>
    </row>
    <row r="115" customFormat="false" ht="15.75" hidden="false" customHeight="false" outlineLevel="0" collapsed="false">
      <c r="A115" s="12"/>
      <c r="B115" s="34"/>
      <c r="C115" s="12"/>
      <c r="D115" s="12"/>
      <c r="E115" s="12"/>
      <c r="F115" s="12"/>
      <c r="G115" s="18"/>
      <c r="H115" s="35"/>
      <c r="I115" s="35"/>
      <c r="J115" s="12"/>
      <c r="O115" s="12"/>
      <c r="P115" s="18"/>
      <c r="Q115" s="12"/>
      <c r="R115" s="12"/>
      <c r="S115" s="12"/>
      <c r="T115" s="36"/>
      <c r="U115" s="36"/>
      <c r="V115" s="12"/>
      <c r="W115" s="12"/>
      <c r="X115" s="12"/>
      <c r="Y115" s="12"/>
    </row>
    <row r="116" customFormat="false" ht="15.75" hidden="false" customHeight="false" outlineLevel="0" collapsed="false">
      <c r="A116" s="12"/>
      <c r="B116" s="34"/>
      <c r="C116" s="12"/>
      <c r="D116" s="12"/>
      <c r="E116" s="12"/>
      <c r="F116" s="12"/>
      <c r="G116" s="18"/>
      <c r="H116" s="35"/>
      <c r="I116" s="35"/>
      <c r="J116" s="12"/>
      <c r="O116" s="12"/>
      <c r="P116" s="18"/>
      <c r="Q116" s="12"/>
      <c r="R116" s="12"/>
      <c r="S116" s="12"/>
      <c r="T116" s="36"/>
      <c r="U116" s="36"/>
      <c r="V116" s="12"/>
      <c r="W116" s="12"/>
      <c r="X116" s="12"/>
      <c r="Y116" s="12"/>
    </row>
    <row r="117" customFormat="false" ht="15.75" hidden="false" customHeight="false" outlineLevel="0" collapsed="false">
      <c r="A117" s="12"/>
      <c r="B117" s="34"/>
      <c r="C117" s="12"/>
      <c r="D117" s="12"/>
      <c r="E117" s="12"/>
      <c r="F117" s="12"/>
      <c r="G117" s="18"/>
      <c r="H117" s="35"/>
      <c r="I117" s="35"/>
      <c r="J117" s="12"/>
      <c r="O117" s="12"/>
      <c r="P117" s="18"/>
      <c r="Q117" s="12"/>
      <c r="R117" s="12"/>
      <c r="S117" s="12"/>
      <c r="T117" s="36"/>
      <c r="U117" s="36"/>
      <c r="V117" s="12"/>
      <c r="W117" s="12"/>
      <c r="X117" s="12"/>
      <c r="Y117" s="12"/>
    </row>
    <row r="118" customFormat="false" ht="15.75" hidden="false" customHeight="false" outlineLevel="0" collapsed="false">
      <c r="A118" s="12"/>
      <c r="B118" s="34"/>
      <c r="C118" s="12"/>
      <c r="D118" s="12"/>
      <c r="E118" s="12"/>
      <c r="F118" s="12"/>
      <c r="G118" s="18"/>
      <c r="H118" s="35"/>
      <c r="I118" s="35"/>
      <c r="J118" s="12"/>
      <c r="O118" s="12"/>
      <c r="P118" s="18"/>
      <c r="Q118" s="12"/>
      <c r="R118" s="12"/>
      <c r="S118" s="12"/>
      <c r="T118" s="36"/>
      <c r="U118" s="36"/>
      <c r="V118" s="12"/>
      <c r="W118" s="12"/>
      <c r="X118" s="12"/>
      <c r="Y118" s="12"/>
    </row>
    <row r="119" customFormat="false" ht="15.75" hidden="false" customHeight="false" outlineLevel="0" collapsed="false">
      <c r="A119" s="12"/>
      <c r="B119" s="34"/>
      <c r="C119" s="12"/>
      <c r="D119" s="12"/>
      <c r="E119" s="12"/>
      <c r="F119" s="12"/>
      <c r="G119" s="18"/>
      <c r="H119" s="35"/>
      <c r="I119" s="35"/>
      <c r="J119" s="12"/>
      <c r="O119" s="12"/>
      <c r="P119" s="18"/>
      <c r="Q119" s="12"/>
      <c r="R119" s="12"/>
      <c r="S119" s="12"/>
      <c r="T119" s="36"/>
      <c r="U119" s="36"/>
      <c r="V119" s="12"/>
      <c r="W119" s="12"/>
      <c r="X119" s="12"/>
      <c r="Y119" s="12"/>
    </row>
    <row r="120" customFormat="false" ht="15.75" hidden="false" customHeight="false" outlineLevel="0" collapsed="false">
      <c r="A120" s="12"/>
      <c r="B120" s="34"/>
      <c r="C120" s="12"/>
      <c r="D120" s="12"/>
      <c r="E120" s="12"/>
      <c r="F120" s="12"/>
      <c r="G120" s="18"/>
      <c r="H120" s="35"/>
      <c r="I120" s="35"/>
      <c r="J120" s="12"/>
      <c r="O120" s="12"/>
      <c r="P120" s="18"/>
      <c r="Q120" s="12"/>
      <c r="R120" s="12"/>
      <c r="S120" s="12"/>
      <c r="T120" s="36"/>
      <c r="U120" s="36"/>
      <c r="V120" s="12"/>
      <c r="W120" s="12"/>
      <c r="X120" s="12"/>
      <c r="Y120" s="12"/>
    </row>
    <row r="121" customFormat="false" ht="15.75" hidden="false" customHeight="false" outlineLevel="0" collapsed="false">
      <c r="A121" s="12"/>
      <c r="B121" s="34"/>
      <c r="C121" s="12"/>
      <c r="D121" s="12"/>
      <c r="E121" s="12"/>
      <c r="F121" s="12"/>
      <c r="G121" s="18"/>
      <c r="H121" s="35"/>
      <c r="I121" s="35"/>
      <c r="J121" s="12"/>
      <c r="O121" s="12"/>
      <c r="P121" s="18"/>
      <c r="Q121" s="12"/>
      <c r="R121" s="12"/>
      <c r="S121" s="12"/>
      <c r="T121" s="36"/>
      <c r="U121" s="36"/>
      <c r="V121" s="12"/>
      <c r="W121" s="12"/>
      <c r="X121" s="12"/>
      <c r="Y121" s="12"/>
    </row>
    <row r="122" customFormat="false" ht="15.75" hidden="false" customHeight="false" outlineLevel="0" collapsed="false">
      <c r="A122" s="12"/>
      <c r="B122" s="34"/>
      <c r="C122" s="12"/>
      <c r="D122" s="12"/>
      <c r="E122" s="12"/>
      <c r="F122" s="12"/>
      <c r="G122" s="18"/>
      <c r="H122" s="35"/>
      <c r="I122" s="35"/>
      <c r="J122" s="12"/>
      <c r="O122" s="12"/>
      <c r="P122" s="18"/>
      <c r="Q122" s="12"/>
      <c r="R122" s="12"/>
      <c r="S122" s="12"/>
      <c r="T122" s="36"/>
      <c r="U122" s="36"/>
      <c r="V122" s="12"/>
      <c r="W122" s="12"/>
      <c r="X122" s="12"/>
      <c r="Y122" s="12"/>
    </row>
    <row r="123" customFormat="false" ht="15.75" hidden="false" customHeight="false" outlineLevel="0" collapsed="false">
      <c r="A123" s="12"/>
      <c r="B123" s="34"/>
      <c r="C123" s="12"/>
      <c r="D123" s="12"/>
      <c r="E123" s="12"/>
      <c r="F123" s="12"/>
      <c r="G123" s="18"/>
      <c r="H123" s="35"/>
      <c r="I123" s="35"/>
      <c r="J123" s="12"/>
      <c r="O123" s="12"/>
      <c r="P123" s="18"/>
      <c r="Q123" s="12"/>
      <c r="R123" s="12"/>
      <c r="S123" s="12"/>
      <c r="T123" s="36"/>
      <c r="U123" s="36"/>
      <c r="V123" s="12"/>
      <c r="W123" s="12"/>
      <c r="X123" s="12"/>
      <c r="Y123" s="12"/>
    </row>
    <row r="124" customFormat="false" ht="15.75" hidden="false" customHeight="false" outlineLevel="0" collapsed="false">
      <c r="A124" s="12"/>
      <c r="B124" s="34"/>
      <c r="C124" s="12"/>
      <c r="D124" s="12"/>
      <c r="E124" s="12"/>
      <c r="F124" s="12"/>
      <c r="G124" s="18"/>
      <c r="H124" s="35"/>
      <c r="I124" s="35"/>
      <c r="J124" s="12"/>
      <c r="O124" s="12"/>
      <c r="P124" s="18"/>
      <c r="Q124" s="12"/>
      <c r="R124" s="12"/>
      <c r="S124" s="12"/>
      <c r="T124" s="36"/>
      <c r="U124" s="36"/>
      <c r="V124" s="12"/>
      <c r="W124" s="12"/>
      <c r="X124" s="12"/>
      <c r="Y124" s="12"/>
    </row>
    <row r="125" customFormat="false" ht="15.75" hidden="false" customHeight="false" outlineLevel="0" collapsed="false">
      <c r="A125" s="12"/>
      <c r="B125" s="34"/>
      <c r="C125" s="12"/>
      <c r="D125" s="12"/>
      <c r="E125" s="12"/>
      <c r="F125" s="12"/>
      <c r="G125" s="18"/>
      <c r="H125" s="35"/>
      <c r="I125" s="35"/>
      <c r="J125" s="12"/>
      <c r="O125" s="12"/>
      <c r="P125" s="18"/>
      <c r="Q125" s="12"/>
      <c r="R125" s="12"/>
      <c r="S125" s="12"/>
      <c r="T125" s="36"/>
      <c r="U125" s="36"/>
      <c r="V125" s="12"/>
      <c r="W125" s="12"/>
      <c r="X125" s="12"/>
      <c r="Y125" s="12"/>
    </row>
    <row r="126" customFormat="false" ht="15.75" hidden="false" customHeight="false" outlineLevel="0" collapsed="false">
      <c r="A126" s="12"/>
      <c r="B126" s="34"/>
      <c r="C126" s="12"/>
      <c r="D126" s="12"/>
      <c r="E126" s="12"/>
      <c r="F126" s="12"/>
      <c r="G126" s="18"/>
      <c r="H126" s="35"/>
      <c r="I126" s="35"/>
      <c r="J126" s="12"/>
      <c r="O126" s="12"/>
      <c r="P126" s="18"/>
      <c r="Q126" s="12"/>
      <c r="R126" s="12"/>
      <c r="S126" s="12"/>
      <c r="T126" s="36"/>
      <c r="U126" s="36"/>
      <c r="V126" s="12"/>
      <c r="W126" s="12"/>
      <c r="X126" s="12"/>
      <c r="Y126" s="12"/>
    </row>
    <row r="127" customFormat="false" ht="15.75" hidden="false" customHeight="false" outlineLevel="0" collapsed="false">
      <c r="A127" s="12"/>
      <c r="B127" s="34"/>
      <c r="C127" s="12"/>
      <c r="D127" s="12"/>
      <c r="E127" s="12"/>
      <c r="F127" s="12"/>
      <c r="G127" s="18"/>
      <c r="H127" s="35"/>
      <c r="I127" s="35"/>
      <c r="J127" s="12"/>
      <c r="O127" s="12"/>
      <c r="P127" s="18"/>
      <c r="Q127" s="12"/>
      <c r="R127" s="12"/>
      <c r="S127" s="12"/>
      <c r="T127" s="36"/>
      <c r="U127" s="36"/>
      <c r="V127" s="12"/>
      <c r="W127" s="12"/>
      <c r="X127" s="12"/>
      <c r="Y127" s="12"/>
    </row>
    <row r="128" customFormat="false" ht="15.75" hidden="false" customHeight="false" outlineLevel="0" collapsed="false">
      <c r="A128" s="12"/>
      <c r="B128" s="34"/>
      <c r="C128" s="12"/>
      <c r="D128" s="12"/>
      <c r="E128" s="12"/>
      <c r="F128" s="12"/>
      <c r="G128" s="18"/>
      <c r="H128" s="35"/>
      <c r="I128" s="35"/>
      <c r="J128" s="12"/>
      <c r="O128" s="12"/>
      <c r="P128" s="18"/>
      <c r="Q128" s="12"/>
      <c r="R128" s="12"/>
      <c r="S128" s="12"/>
      <c r="T128" s="36"/>
      <c r="U128" s="36"/>
      <c r="V128" s="12"/>
      <c r="W128" s="12"/>
      <c r="X128" s="12"/>
      <c r="Y128" s="12"/>
    </row>
    <row r="129" customFormat="false" ht="15.75" hidden="false" customHeight="false" outlineLevel="0" collapsed="false">
      <c r="A129" s="12"/>
      <c r="B129" s="34"/>
      <c r="C129" s="12"/>
      <c r="D129" s="12"/>
      <c r="E129" s="12"/>
      <c r="F129" s="12"/>
      <c r="G129" s="18"/>
      <c r="H129" s="35"/>
      <c r="I129" s="35"/>
      <c r="J129" s="12"/>
      <c r="O129" s="12"/>
      <c r="P129" s="18"/>
      <c r="Q129" s="12"/>
      <c r="R129" s="12"/>
      <c r="S129" s="12"/>
      <c r="T129" s="36"/>
      <c r="U129" s="36"/>
      <c r="V129" s="12"/>
      <c r="W129" s="12"/>
      <c r="X129" s="12"/>
      <c r="Y129" s="12"/>
    </row>
    <row r="130" customFormat="false" ht="15.75" hidden="false" customHeight="false" outlineLevel="0" collapsed="false">
      <c r="A130" s="12"/>
      <c r="B130" s="34"/>
      <c r="C130" s="12"/>
      <c r="D130" s="12"/>
      <c r="E130" s="12"/>
      <c r="F130" s="12"/>
      <c r="G130" s="18"/>
      <c r="H130" s="35"/>
      <c r="I130" s="35"/>
      <c r="J130" s="12"/>
      <c r="O130" s="12"/>
      <c r="P130" s="18"/>
      <c r="Q130" s="12"/>
      <c r="R130" s="12"/>
      <c r="S130" s="12"/>
      <c r="T130" s="36"/>
      <c r="U130" s="36"/>
      <c r="V130" s="12"/>
      <c r="W130" s="12"/>
      <c r="X130" s="12"/>
      <c r="Y130" s="12"/>
    </row>
    <row r="131" customFormat="false" ht="15.75" hidden="false" customHeight="false" outlineLevel="0" collapsed="false">
      <c r="A131" s="12"/>
      <c r="B131" s="34"/>
      <c r="C131" s="12"/>
      <c r="D131" s="12"/>
      <c r="E131" s="12"/>
      <c r="F131" s="12"/>
      <c r="G131" s="18"/>
      <c r="H131" s="35"/>
      <c r="I131" s="35"/>
      <c r="J131" s="12"/>
      <c r="O131" s="12"/>
      <c r="P131" s="18"/>
      <c r="Q131" s="12"/>
      <c r="R131" s="12"/>
      <c r="S131" s="12"/>
      <c r="T131" s="36"/>
      <c r="U131" s="36"/>
      <c r="V131" s="12"/>
      <c r="W131" s="12"/>
      <c r="X131" s="12"/>
      <c r="Y131" s="12"/>
    </row>
    <row r="132" customFormat="false" ht="15.75" hidden="false" customHeight="false" outlineLevel="0" collapsed="false">
      <c r="A132" s="12"/>
      <c r="B132" s="34"/>
      <c r="C132" s="12"/>
      <c r="D132" s="12"/>
      <c r="E132" s="12"/>
      <c r="F132" s="12"/>
      <c r="G132" s="18"/>
      <c r="H132" s="35"/>
      <c r="I132" s="35"/>
      <c r="J132" s="12"/>
      <c r="O132" s="12"/>
      <c r="P132" s="18"/>
      <c r="Q132" s="12"/>
      <c r="R132" s="12"/>
      <c r="S132" s="12"/>
      <c r="T132" s="36"/>
      <c r="U132" s="36"/>
      <c r="V132" s="12"/>
      <c r="W132" s="12"/>
      <c r="X132" s="12"/>
      <c r="Y132" s="12"/>
    </row>
    <row r="133" customFormat="false" ht="15.75" hidden="false" customHeight="false" outlineLevel="0" collapsed="false">
      <c r="A133" s="12"/>
      <c r="B133" s="34"/>
      <c r="C133" s="12"/>
      <c r="D133" s="12"/>
      <c r="E133" s="12"/>
      <c r="F133" s="12"/>
      <c r="G133" s="18"/>
      <c r="H133" s="35"/>
      <c r="I133" s="35"/>
      <c r="J133" s="12"/>
      <c r="O133" s="12"/>
      <c r="P133" s="18"/>
      <c r="Q133" s="12"/>
      <c r="R133" s="12"/>
      <c r="S133" s="12"/>
      <c r="T133" s="36"/>
      <c r="U133" s="36"/>
      <c r="V133" s="12"/>
      <c r="W133" s="12"/>
      <c r="X133" s="12"/>
      <c r="Y133" s="12"/>
    </row>
    <row r="134" customFormat="false" ht="15.75" hidden="false" customHeight="false" outlineLevel="0" collapsed="false">
      <c r="A134" s="12"/>
      <c r="B134" s="34"/>
      <c r="C134" s="12"/>
      <c r="D134" s="12"/>
      <c r="E134" s="12"/>
      <c r="F134" s="12"/>
      <c r="G134" s="18"/>
      <c r="H134" s="35"/>
      <c r="I134" s="35"/>
      <c r="J134" s="12"/>
      <c r="O134" s="12"/>
      <c r="P134" s="18"/>
      <c r="Q134" s="12"/>
      <c r="R134" s="12"/>
      <c r="S134" s="12"/>
      <c r="T134" s="36"/>
      <c r="U134" s="36"/>
      <c r="V134" s="12"/>
      <c r="W134" s="12"/>
      <c r="X134" s="12"/>
      <c r="Y134" s="12"/>
    </row>
    <row r="135" customFormat="false" ht="15.75" hidden="false" customHeight="false" outlineLevel="0" collapsed="false">
      <c r="A135" s="12"/>
      <c r="B135" s="34"/>
      <c r="C135" s="12"/>
      <c r="D135" s="12"/>
      <c r="E135" s="12"/>
      <c r="F135" s="12"/>
      <c r="G135" s="18"/>
      <c r="H135" s="35"/>
      <c r="I135" s="35"/>
      <c r="J135" s="12"/>
      <c r="O135" s="12"/>
      <c r="P135" s="18"/>
      <c r="Q135" s="12"/>
      <c r="R135" s="12"/>
      <c r="S135" s="12"/>
      <c r="T135" s="36"/>
      <c r="U135" s="36"/>
      <c r="V135" s="12"/>
      <c r="W135" s="12"/>
      <c r="X135" s="12"/>
      <c r="Y135" s="12"/>
    </row>
    <row r="136" customFormat="false" ht="15.75" hidden="false" customHeight="false" outlineLevel="0" collapsed="false">
      <c r="A136" s="12"/>
      <c r="B136" s="34"/>
      <c r="C136" s="12"/>
      <c r="D136" s="12"/>
      <c r="E136" s="12"/>
      <c r="F136" s="12"/>
      <c r="G136" s="18"/>
      <c r="H136" s="35"/>
      <c r="I136" s="35"/>
      <c r="J136" s="12"/>
      <c r="O136" s="12"/>
      <c r="P136" s="18"/>
      <c r="Q136" s="12"/>
      <c r="R136" s="12"/>
      <c r="S136" s="12"/>
      <c r="T136" s="36"/>
      <c r="U136" s="36"/>
      <c r="V136" s="12"/>
      <c r="W136" s="12"/>
      <c r="X136" s="12"/>
      <c r="Y136" s="12"/>
    </row>
    <row r="137" customFormat="false" ht="15.75" hidden="false" customHeight="false" outlineLevel="0" collapsed="false">
      <c r="A137" s="12"/>
      <c r="B137" s="34"/>
      <c r="C137" s="12"/>
      <c r="D137" s="12"/>
      <c r="E137" s="12"/>
      <c r="F137" s="12"/>
      <c r="G137" s="18"/>
      <c r="H137" s="35"/>
      <c r="I137" s="35"/>
      <c r="J137" s="12"/>
      <c r="O137" s="12"/>
      <c r="P137" s="18"/>
      <c r="Q137" s="12"/>
      <c r="R137" s="12"/>
      <c r="S137" s="12"/>
      <c r="T137" s="36"/>
      <c r="U137" s="36"/>
      <c r="V137" s="12"/>
      <c r="W137" s="12"/>
      <c r="X137" s="12"/>
      <c r="Y137" s="12"/>
    </row>
    <row r="138" customFormat="false" ht="15.75" hidden="false" customHeight="false" outlineLevel="0" collapsed="false">
      <c r="A138" s="12"/>
      <c r="B138" s="34"/>
      <c r="C138" s="12"/>
      <c r="D138" s="12"/>
      <c r="E138" s="12"/>
      <c r="F138" s="12"/>
      <c r="G138" s="18"/>
      <c r="H138" s="35"/>
      <c r="I138" s="35"/>
      <c r="J138" s="12"/>
      <c r="O138" s="12"/>
      <c r="P138" s="18"/>
      <c r="Q138" s="12"/>
      <c r="R138" s="12"/>
      <c r="S138" s="12"/>
      <c r="T138" s="36"/>
      <c r="U138" s="36"/>
      <c r="V138" s="12"/>
      <c r="W138" s="12"/>
      <c r="X138" s="12"/>
      <c r="Y138" s="12"/>
    </row>
    <row r="139" customFormat="false" ht="15.75" hidden="false" customHeight="false" outlineLevel="0" collapsed="false">
      <c r="A139" s="12"/>
      <c r="B139" s="34"/>
      <c r="C139" s="12"/>
      <c r="D139" s="12"/>
      <c r="E139" s="12"/>
      <c r="F139" s="12"/>
      <c r="G139" s="18"/>
      <c r="H139" s="35"/>
      <c r="I139" s="35"/>
      <c r="J139" s="12"/>
      <c r="O139" s="12"/>
      <c r="P139" s="18"/>
      <c r="Q139" s="12"/>
      <c r="R139" s="12"/>
      <c r="S139" s="12"/>
      <c r="T139" s="36"/>
      <c r="U139" s="36"/>
      <c r="V139" s="12"/>
      <c r="W139" s="12"/>
      <c r="X139" s="12"/>
      <c r="Y139" s="12"/>
    </row>
    <row r="140" customFormat="false" ht="15.75" hidden="false" customHeight="false" outlineLevel="0" collapsed="false">
      <c r="A140" s="12"/>
      <c r="B140" s="34"/>
      <c r="C140" s="12"/>
      <c r="D140" s="12"/>
      <c r="E140" s="12"/>
      <c r="F140" s="12"/>
      <c r="G140" s="18"/>
      <c r="H140" s="35"/>
      <c r="I140" s="35"/>
      <c r="J140" s="12"/>
      <c r="O140" s="12"/>
      <c r="P140" s="18"/>
      <c r="Q140" s="12"/>
      <c r="R140" s="12"/>
      <c r="S140" s="12"/>
      <c r="T140" s="36"/>
      <c r="U140" s="36"/>
      <c r="V140" s="12"/>
      <c r="W140" s="12"/>
      <c r="X140" s="12"/>
      <c r="Y140" s="12"/>
    </row>
    <row r="141" customFormat="false" ht="15.75" hidden="false" customHeight="false" outlineLevel="0" collapsed="false">
      <c r="A141" s="12"/>
      <c r="B141" s="34"/>
      <c r="C141" s="12"/>
      <c r="D141" s="12"/>
      <c r="E141" s="12"/>
      <c r="F141" s="12"/>
      <c r="G141" s="18"/>
      <c r="H141" s="35"/>
      <c r="I141" s="35"/>
      <c r="J141" s="12"/>
      <c r="O141" s="12"/>
      <c r="P141" s="18"/>
      <c r="Q141" s="12"/>
      <c r="R141" s="12"/>
      <c r="S141" s="12"/>
      <c r="T141" s="36"/>
      <c r="U141" s="36"/>
      <c r="V141" s="12"/>
      <c r="W141" s="12"/>
      <c r="X141" s="12"/>
      <c r="Y141" s="12"/>
    </row>
    <row r="142" customFormat="false" ht="15.75" hidden="false" customHeight="false" outlineLevel="0" collapsed="false">
      <c r="A142" s="12"/>
      <c r="B142" s="34"/>
      <c r="C142" s="12"/>
      <c r="D142" s="12"/>
      <c r="E142" s="12"/>
      <c r="F142" s="12"/>
      <c r="G142" s="18"/>
      <c r="H142" s="35"/>
      <c r="I142" s="35"/>
      <c r="J142" s="12"/>
      <c r="O142" s="12"/>
      <c r="P142" s="18"/>
      <c r="Q142" s="12"/>
      <c r="R142" s="12"/>
      <c r="S142" s="12"/>
      <c r="T142" s="36"/>
      <c r="U142" s="36"/>
      <c r="V142" s="12"/>
      <c r="W142" s="12"/>
      <c r="X142" s="12"/>
      <c r="Y142" s="12"/>
    </row>
    <row r="143" customFormat="false" ht="15.75" hidden="false" customHeight="false" outlineLevel="0" collapsed="false">
      <c r="A143" s="12"/>
      <c r="B143" s="34"/>
      <c r="C143" s="12"/>
      <c r="D143" s="12"/>
      <c r="E143" s="12"/>
      <c r="F143" s="12"/>
      <c r="G143" s="18"/>
      <c r="H143" s="35"/>
      <c r="I143" s="35"/>
      <c r="J143" s="12"/>
      <c r="O143" s="12"/>
      <c r="P143" s="18"/>
      <c r="Q143" s="12"/>
      <c r="R143" s="12"/>
      <c r="S143" s="12"/>
      <c r="T143" s="36"/>
      <c r="U143" s="36"/>
      <c r="V143" s="12"/>
      <c r="W143" s="12"/>
      <c r="X143" s="12"/>
      <c r="Y143" s="12"/>
    </row>
    <row r="144" customFormat="false" ht="15.75" hidden="false" customHeight="false" outlineLevel="0" collapsed="false">
      <c r="A144" s="12"/>
      <c r="B144" s="34"/>
      <c r="C144" s="12"/>
      <c r="D144" s="12"/>
      <c r="E144" s="12"/>
      <c r="F144" s="12"/>
      <c r="G144" s="18"/>
      <c r="H144" s="35"/>
      <c r="I144" s="35"/>
      <c r="J144" s="12"/>
      <c r="O144" s="12"/>
      <c r="P144" s="18"/>
      <c r="Q144" s="12"/>
      <c r="R144" s="12"/>
      <c r="S144" s="12"/>
      <c r="T144" s="36"/>
      <c r="U144" s="36"/>
      <c r="V144" s="12"/>
      <c r="W144" s="12"/>
      <c r="X144" s="12"/>
      <c r="Y144" s="12"/>
    </row>
    <row r="145" customFormat="false" ht="15.75" hidden="false" customHeight="false" outlineLevel="0" collapsed="false">
      <c r="A145" s="12"/>
      <c r="B145" s="34"/>
      <c r="C145" s="12"/>
      <c r="D145" s="12"/>
      <c r="E145" s="12"/>
      <c r="F145" s="12"/>
      <c r="G145" s="18"/>
      <c r="H145" s="35"/>
      <c r="I145" s="35"/>
      <c r="J145" s="12"/>
      <c r="O145" s="12"/>
      <c r="P145" s="18"/>
      <c r="Q145" s="12"/>
      <c r="R145" s="12"/>
      <c r="S145" s="12"/>
      <c r="T145" s="36"/>
      <c r="U145" s="36"/>
      <c r="V145" s="12"/>
      <c r="W145" s="12"/>
      <c r="X145" s="12"/>
      <c r="Y145" s="12"/>
    </row>
    <row r="146" customFormat="false" ht="15.75" hidden="false" customHeight="false" outlineLevel="0" collapsed="false">
      <c r="A146" s="12"/>
      <c r="B146" s="34"/>
      <c r="C146" s="12"/>
      <c r="D146" s="12"/>
      <c r="E146" s="12"/>
      <c r="F146" s="12"/>
      <c r="G146" s="18"/>
      <c r="H146" s="35"/>
      <c r="I146" s="35"/>
      <c r="J146" s="12"/>
      <c r="O146" s="12"/>
      <c r="P146" s="18"/>
      <c r="Q146" s="12"/>
      <c r="R146" s="12"/>
      <c r="S146" s="12"/>
      <c r="T146" s="36"/>
      <c r="U146" s="36"/>
      <c r="V146" s="12"/>
      <c r="W146" s="12"/>
      <c r="X146" s="12"/>
      <c r="Y146" s="12"/>
    </row>
    <row r="147" customFormat="false" ht="15.75" hidden="false" customHeight="false" outlineLevel="0" collapsed="false">
      <c r="A147" s="12"/>
      <c r="B147" s="34"/>
      <c r="C147" s="12"/>
      <c r="D147" s="12"/>
      <c r="E147" s="12"/>
      <c r="F147" s="12"/>
      <c r="G147" s="18"/>
      <c r="H147" s="35"/>
      <c r="I147" s="35"/>
      <c r="J147" s="12"/>
      <c r="O147" s="12"/>
      <c r="P147" s="18"/>
      <c r="Q147" s="12"/>
      <c r="R147" s="12"/>
      <c r="S147" s="12"/>
      <c r="T147" s="36"/>
      <c r="U147" s="36"/>
      <c r="V147" s="12"/>
      <c r="W147" s="12"/>
      <c r="X147" s="12"/>
      <c r="Y147" s="12"/>
    </row>
    <row r="148" customFormat="false" ht="15.75" hidden="false" customHeight="false" outlineLevel="0" collapsed="false">
      <c r="A148" s="12"/>
      <c r="B148" s="34"/>
      <c r="C148" s="12"/>
      <c r="D148" s="12"/>
      <c r="E148" s="12"/>
      <c r="F148" s="12"/>
      <c r="G148" s="18"/>
      <c r="H148" s="35"/>
      <c r="I148" s="35"/>
      <c r="J148" s="12"/>
      <c r="O148" s="12"/>
      <c r="P148" s="18"/>
      <c r="Q148" s="12"/>
      <c r="R148" s="12"/>
      <c r="S148" s="12"/>
      <c r="T148" s="36"/>
      <c r="U148" s="36"/>
      <c r="V148" s="12"/>
      <c r="W148" s="12"/>
      <c r="X148" s="12"/>
      <c r="Y148" s="12"/>
    </row>
    <row r="149" customFormat="false" ht="15.75" hidden="false" customHeight="false" outlineLevel="0" collapsed="false">
      <c r="A149" s="12"/>
      <c r="B149" s="34"/>
      <c r="C149" s="12"/>
      <c r="D149" s="12"/>
      <c r="E149" s="12"/>
      <c r="F149" s="12"/>
      <c r="G149" s="18"/>
      <c r="H149" s="35"/>
      <c r="I149" s="35"/>
      <c r="J149" s="12"/>
      <c r="O149" s="12"/>
      <c r="P149" s="18"/>
      <c r="Q149" s="12"/>
      <c r="R149" s="12"/>
      <c r="S149" s="12"/>
      <c r="T149" s="36"/>
      <c r="U149" s="36"/>
      <c r="V149" s="12"/>
      <c r="W149" s="12"/>
      <c r="X149" s="12"/>
      <c r="Y149" s="12"/>
    </row>
    <row r="150" customFormat="false" ht="15.75" hidden="false" customHeight="false" outlineLevel="0" collapsed="false">
      <c r="A150" s="12"/>
      <c r="B150" s="34"/>
      <c r="C150" s="12"/>
      <c r="D150" s="12"/>
      <c r="E150" s="12"/>
      <c r="F150" s="12"/>
      <c r="G150" s="18"/>
      <c r="H150" s="35"/>
      <c r="I150" s="35"/>
      <c r="J150" s="12"/>
      <c r="O150" s="12"/>
      <c r="P150" s="18"/>
      <c r="Q150" s="12"/>
      <c r="R150" s="12"/>
      <c r="S150" s="12"/>
      <c r="T150" s="36"/>
      <c r="U150" s="36"/>
      <c r="V150" s="12"/>
      <c r="W150" s="12"/>
      <c r="X150" s="12"/>
      <c r="Y150" s="12"/>
    </row>
    <row r="151" customFormat="false" ht="15.75" hidden="false" customHeight="false" outlineLevel="0" collapsed="false">
      <c r="A151" s="12"/>
      <c r="B151" s="34"/>
      <c r="C151" s="12"/>
      <c r="D151" s="12"/>
      <c r="E151" s="12"/>
      <c r="F151" s="12"/>
      <c r="G151" s="18"/>
      <c r="H151" s="35"/>
      <c r="I151" s="35"/>
      <c r="J151" s="12"/>
      <c r="O151" s="12"/>
      <c r="P151" s="18"/>
      <c r="Q151" s="12"/>
      <c r="R151" s="12"/>
      <c r="S151" s="12"/>
      <c r="T151" s="36"/>
      <c r="U151" s="36"/>
      <c r="V151" s="12"/>
      <c r="W151" s="12"/>
      <c r="X151" s="12"/>
      <c r="Y151" s="12"/>
    </row>
    <row r="152" customFormat="false" ht="15.75" hidden="false" customHeight="false" outlineLevel="0" collapsed="false">
      <c r="A152" s="12"/>
      <c r="B152" s="34"/>
      <c r="C152" s="12"/>
      <c r="D152" s="12"/>
      <c r="E152" s="12"/>
      <c r="F152" s="12"/>
      <c r="G152" s="18"/>
      <c r="H152" s="35"/>
      <c r="I152" s="35"/>
      <c r="J152" s="12"/>
      <c r="O152" s="12"/>
      <c r="P152" s="18"/>
      <c r="Q152" s="12"/>
      <c r="R152" s="12"/>
      <c r="S152" s="12"/>
      <c r="T152" s="36"/>
      <c r="U152" s="36"/>
      <c r="V152" s="12"/>
      <c r="W152" s="12"/>
      <c r="X152" s="12"/>
      <c r="Y152" s="12"/>
    </row>
    <row r="153" customFormat="false" ht="15.75" hidden="false" customHeight="false" outlineLevel="0" collapsed="false">
      <c r="A153" s="12"/>
      <c r="B153" s="34"/>
      <c r="C153" s="12"/>
      <c r="D153" s="12"/>
      <c r="E153" s="12"/>
      <c r="F153" s="12"/>
      <c r="G153" s="18"/>
      <c r="H153" s="35"/>
      <c r="I153" s="35"/>
      <c r="J153" s="12"/>
      <c r="O153" s="12"/>
      <c r="P153" s="18"/>
      <c r="Q153" s="12"/>
      <c r="R153" s="12"/>
      <c r="S153" s="12"/>
      <c r="T153" s="36"/>
      <c r="U153" s="36"/>
      <c r="V153" s="12"/>
      <c r="W153" s="12"/>
      <c r="X153" s="12"/>
      <c r="Y153" s="12"/>
    </row>
    <row r="154" customFormat="false" ht="15.75" hidden="false" customHeight="false" outlineLevel="0" collapsed="false">
      <c r="A154" s="12"/>
      <c r="B154" s="34"/>
      <c r="C154" s="12"/>
      <c r="D154" s="12"/>
      <c r="E154" s="12"/>
      <c r="F154" s="12"/>
      <c r="G154" s="18"/>
      <c r="H154" s="35"/>
      <c r="I154" s="35"/>
      <c r="J154" s="12"/>
      <c r="O154" s="12"/>
      <c r="P154" s="18"/>
      <c r="Q154" s="12"/>
      <c r="R154" s="12"/>
      <c r="S154" s="12"/>
      <c r="T154" s="36"/>
      <c r="U154" s="36"/>
      <c r="V154" s="12"/>
      <c r="W154" s="12"/>
      <c r="X154" s="12"/>
      <c r="Y154" s="12"/>
    </row>
    <row r="155" customFormat="false" ht="15.75" hidden="false" customHeight="false" outlineLevel="0" collapsed="false">
      <c r="A155" s="12"/>
      <c r="B155" s="34"/>
      <c r="C155" s="12"/>
      <c r="D155" s="12"/>
      <c r="E155" s="12"/>
      <c r="F155" s="12"/>
      <c r="G155" s="18"/>
      <c r="H155" s="35"/>
      <c r="I155" s="35"/>
      <c r="J155" s="12"/>
      <c r="O155" s="12"/>
      <c r="P155" s="18"/>
      <c r="Q155" s="12"/>
      <c r="R155" s="12"/>
      <c r="S155" s="12"/>
      <c r="T155" s="36"/>
      <c r="U155" s="36"/>
      <c r="V155" s="12"/>
      <c r="W155" s="12"/>
      <c r="X155" s="12"/>
      <c r="Y155" s="12"/>
    </row>
    <row r="156" customFormat="false" ht="15.75" hidden="false" customHeight="false" outlineLevel="0" collapsed="false">
      <c r="A156" s="12"/>
      <c r="B156" s="34"/>
      <c r="C156" s="12"/>
      <c r="D156" s="12"/>
      <c r="E156" s="12"/>
      <c r="F156" s="12"/>
      <c r="G156" s="18"/>
      <c r="H156" s="35"/>
      <c r="I156" s="35"/>
      <c r="J156" s="12"/>
      <c r="O156" s="12"/>
      <c r="P156" s="18"/>
      <c r="Q156" s="12"/>
      <c r="R156" s="12"/>
      <c r="S156" s="12"/>
      <c r="T156" s="36"/>
      <c r="U156" s="36"/>
      <c r="V156" s="12"/>
      <c r="W156" s="12"/>
      <c r="X156" s="12"/>
      <c r="Y156" s="12"/>
    </row>
    <row r="157" customFormat="false" ht="15.75" hidden="false" customHeight="false" outlineLevel="0" collapsed="false">
      <c r="A157" s="12"/>
      <c r="B157" s="34"/>
      <c r="C157" s="12"/>
      <c r="D157" s="12"/>
      <c r="E157" s="12"/>
      <c r="F157" s="12"/>
      <c r="G157" s="18"/>
      <c r="H157" s="35"/>
      <c r="I157" s="35"/>
      <c r="J157" s="12"/>
      <c r="O157" s="12"/>
      <c r="P157" s="18"/>
      <c r="Q157" s="12"/>
      <c r="R157" s="12"/>
      <c r="S157" s="12"/>
      <c r="T157" s="36"/>
      <c r="U157" s="36"/>
      <c r="V157" s="12"/>
      <c r="W157" s="12"/>
      <c r="X157" s="12"/>
      <c r="Y157" s="12"/>
    </row>
    <row r="158" customFormat="false" ht="15.75" hidden="false" customHeight="false" outlineLevel="0" collapsed="false">
      <c r="A158" s="12"/>
      <c r="B158" s="34"/>
      <c r="C158" s="12"/>
      <c r="D158" s="12"/>
      <c r="E158" s="12"/>
      <c r="F158" s="12"/>
      <c r="G158" s="18"/>
      <c r="H158" s="35"/>
      <c r="I158" s="35"/>
      <c r="J158" s="12"/>
      <c r="O158" s="12"/>
      <c r="P158" s="18"/>
      <c r="Q158" s="12"/>
      <c r="R158" s="12"/>
      <c r="S158" s="12"/>
      <c r="T158" s="36"/>
      <c r="U158" s="36"/>
      <c r="V158" s="12"/>
      <c r="W158" s="12"/>
      <c r="X158" s="12"/>
      <c r="Y158" s="12"/>
    </row>
    <row r="159" customFormat="false" ht="15.75" hidden="false" customHeight="false" outlineLevel="0" collapsed="false">
      <c r="A159" s="12"/>
      <c r="B159" s="34"/>
      <c r="C159" s="12"/>
      <c r="D159" s="12"/>
      <c r="E159" s="12"/>
      <c r="F159" s="12"/>
      <c r="G159" s="18"/>
      <c r="H159" s="35"/>
      <c r="I159" s="35"/>
      <c r="J159" s="12"/>
      <c r="O159" s="12"/>
      <c r="P159" s="18"/>
      <c r="Q159" s="12"/>
      <c r="R159" s="12"/>
      <c r="S159" s="12"/>
      <c r="T159" s="36"/>
      <c r="U159" s="36"/>
      <c r="V159" s="12"/>
      <c r="W159" s="12"/>
      <c r="X159" s="12"/>
      <c r="Y159" s="12"/>
    </row>
    <row r="160" customFormat="false" ht="15.75" hidden="false" customHeight="false" outlineLevel="0" collapsed="false">
      <c r="A160" s="12"/>
      <c r="B160" s="34"/>
      <c r="C160" s="12"/>
      <c r="D160" s="12"/>
      <c r="E160" s="12"/>
      <c r="F160" s="12"/>
      <c r="G160" s="18"/>
      <c r="H160" s="35"/>
      <c r="I160" s="35"/>
      <c r="J160" s="12"/>
      <c r="O160" s="12"/>
      <c r="P160" s="18"/>
      <c r="Q160" s="12"/>
      <c r="R160" s="12"/>
      <c r="S160" s="12"/>
      <c r="T160" s="36"/>
      <c r="U160" s="36"/>
      <c r="V160" s="12"/>
      <c r="W160" s="12"/>
      <c r="X160" s="12"/>
      <c r="Y160" s="12"/>
    </row>
    <row r="161" customFormat="false" ht="15.75" hidden="false" customHeight="false" outlineLevel="0" collapsed="false">
      <c r="A161" s="12"/>
      <c r="B161" s="34"/>
      <c r="C161" s="12"/>
      <c r="D161" s="12"/>
      <c r="E161" s="12"/>
      <c r="F161" s="12"/>
      <c r="G161" s="18"/>
      <c r="H161" s="35"/>
      <c r="I161" s="35"/>
      <c r="J161" s="12"/>
      <c r="O161" s="12"/>
      <c r="P161" s="18"/>
      <c r="Q161" s="12"/>
      <c r="R161" s="12"/>
      <c r="S161" s="12"/>
      <c r="T161" s="36"/>
      <c r="U161" s="36"/>
      <c r="V161" s="12"/>
      <c r="W161" s="12"/>
      <c r="X161" s="12"/>
      <c r="Y161" s="12"/>
    </row>
    <row r="162" customFormat="false" ht="15.75" hidden="false" customHeight="false" outlineLevel="0" collapsed="false">
      <c r="A162" s="12"/>
      <c r="B162" s="34"/>
      <c r="C162" s="12"/>
      <c r="D162" s="12"/>
      <c r="E162" s="12"/>
      <c r="F162" s="12"/>
      <c r="G162" s="18"/>
      <c r="H162" s="35"/>
      <c r="I162" s="35"/>
      <c r="J162" s="12"/>
      <c r="O162" s="12"/>
      <c r="P162" s="18"/>
      <c r="Q162" s="12"/>
      <c r="R162" s="12"/>
      <c r="S162" s="12"/>
      <c r="T162" s="36"/>
      <c r="U162" s="36"/>
      <c r="V162" s="12"/>
      <c r="W162" s="12"/>
      <c r="X162" s="12"/>
      <c r="Y162" s="12"/>
    </row>
    <row r="163" customFormat="false" ht="15.75" hidden="false" customHeight="false" outlineLevel="0" collapsed="false">
      <c r="A163" s="12"/>
      <c r="B163" s="34"/>
      <c r="C163" s="12"/>
      <c r="D163" s="12"/>
      <c r="E163" s="12"/>
      <c r="F163" s="12"/>
      <c r="G163" s="18"/>
      <c r="H163" s="35"/>
      <c r="I163" s="35"/>
      <c r="J163" s="12"/>
      <c r="O163" s="12"/>
      <c r="P163" s="18"/>
      <c r="Q163" s="12"/>
      <c r="R163" s="12"/>
      <c r="S163" s="12"/>
      <c r="T163" s="36"/>
      <c r="U163" s="36"/>
      <c r="V163" s="12"/>
      <c r="W163" s="12"/>
      <c r="X163" s="12"/>
      <c r="Y163" s="12"/>
    </row>
    <row r="164" customFormat="false" ht="15.75" hidden="false" customHeight="false" outlineLevel="0" collapsed="false">
      <c r="A164" s="12"/>
      <c r="B164" s="34"/>
      <c r="C164" s="12"/>
      <c r="D164" s="12"/>
      <c r="E164" s="12"/>
      <c r="F164" s="12"/>
      <c r="G164" s="18"/>
      <c r="H164" s="35"/>
      <c r="I164" s="35"/>
      <c r="J164" s="12"/>
      <c r="O164" s="12"/>
      <c r="P164" s="18"/>
      <c r="Q164" s="12"/>
      <c r="R164" s="12"/>
      <c r="S164" s="12"/>
      <c r="T164" s="36"/>
      <c r="U164" s="36"/>
      <c r="V164" s="12"/>
      <c r="W164" s="12"/>
      <c r="X164" s="12"/>
      <c r="Y164" s="12"/>
    </row>
    <row r="165" customFormat="false" ht="15.75" hidden="false" customHeight="false" outlineLevel="0" collapsed="false">
      <c r="A165" s="12"/>
      <c r="B165" s="34"/>
      <c r="C165" s="12"/>
      <c r="D165" s="12"/>
      <c r="E165" s="12"/>
      <c r="F165" s="12"/>
      <c r="G165" s="18"/>
      <c r="H165" s="35"/>
      <c r="I165" s="35"/>
      <c r="J165" s="12"/>
      <c r="O165" s="12"/>
      <c r="P165" s="18"/>
      <c r="Q165" s="12"/>
      <c r="R165" s="12"/>
      <c r="S165" s="12"/>
      <c r="T165" s="36"/>
      <c r="U165" s="36"/>
      <c r="V165" s="12"/>
      <c r="W165" s="12"/>
      <c r="X165" s="12"/>
      <c r="Y165" s="12"/>
    </row>
    <row r="166" customFormat="false" ht="15.75" hidden="false" customHeight="false" outlineLevel="0" collapsed="false">
      <c r="A166" s="12"/>
      <c r="B166" s="34"/>
      <c r="C166" s="12"/>
      <c r="D166" s="12"/>
      <c r="E166" s="12"/>
      <c r="F166" s="12"/>
      <c r="G166" s="18"/>
      <c r="H166" s="35"/>
      <c r="I166" s="35"/>
      <c r="J166" s="12"/>
      <c r="O166" s="12"/>
      <c r="P166" s="18"/>
      <c r="Q166" s="12"/>
      <c r="R166" s="12"/>
      <c r="S166" s="12"/>
      <c r="T166" s="36"/>
      <c r="U166" s="36"/>
      <c r="V166" s="12"/>
      <c r="W166" s="12"/>
      <c r="X166" s="12"/>
      <c r="Y166" s="12"/>
    </row>
    <row r="167" customFormat="false" ht="15.75" hidden="false" customHeight="false" outlineLevel="0" collapsed="false">
      <c r="A167" s="12"/>
      <c r="B167" s="34"/>
      <c r="C167" s="12"/>
      <c r="D167" s="12"/>
      <c r="E167" s="12"/>
      <c r="F167" s="12"/>
      <c r="G167" s="18"/>
      <c r="H167" s="35"/>
      <c r="I167" s="35"/>
      <c r="J167" s="12"/>
      <c r="O167" s="12"/>
      <c r="P167" s="18"/>
      <c r="Q167" s="12"/>
      <c r="R167" s="12"/>
      <c r="S167" s="12"/>
      <c r="T167" s="36"/>
      <c r="U167" s="36"/>
      <c r="V167" s="12"/>
      <c r="W167" s="12"/>
      <c r="X167" s="12"/>
      <c r="Y167" s="12"/>
    </row>
    <row r="168" customFormat="false" ht="15.75" hidden="false" customHeight="false" outlineLevel="0" collapsed="false">
      <c r="A168" s="12"/>
      <c r="B168" s="34"/>
      <c r="C168" s="12"/>
      <c r="D168" s="12"/>
      <c r="E168" s="12"/>
      <c r="F168" s="12"/>
      <c r="G168" s="18"/>
      <c r="H168" s="35"/>
      <c r="I168" s="35"/>
      <c r="J168" s="12"/>
      <c r="O168" s="12"/>
      <c r="P168" s="18"/>
      <c r="Q168" s="12"/>
      <c r="R168" s="12"/>
      <c r="S168" s="12"/>
      <c r="T168" s="36"/>
      <c r="U168" s="36"/>
      <c r="V168" s="12"/>
      <c r="W168" s="12"/>
      <c r="X168" s="12"/>
      <c r="Y168" s="12"/>
    </row>
    <row r="169" customFormat="false" ht="15.75" hidden="false" customHeight="false" outlineLevel="0" collapsed="false">
      <c r="A169" s="12"/>
      <c r="B169" s="34"/>
      <c r="C169" s="12"/>
      <c r="D169" s="12"/>
      <c r="E169" s="12"/>
      <c r="F169" s="12"/>
      <c r="G169" s="18"/>
      <c r="H169" s="35"/>
      <c r="I169" s="35"/>
      <c r="J169" s="12"/>
      <c r="O169" s="12"/>
      <c r="P169" s="18"/>
      <c r="Q169" s="12"/>
      <c r="R169" s="12"/>
      <c r="S169" s="12"/>
      <c r="T169" s="36"/>
      <c r="U169" s="36"/>
      <c r="V169" s="12"/>
      <c r="W169" s="12"/>
      <c r="X169" s="12"/>
      <c r="Y169" s="12"/>
    </row>
    <row r="170" customFormat="false" ht="15.75" hidden="false" customHeight="false" outlineLevel="0" collapsed="false">
      <c r="A170" s="12"/>
      <c r="B170" s="34"/>
      <c r="C170" s="12"/>
      <c r="D170" s="12"/>
      <c r="E170" s="12"/>
      <c r="F170" s="12"/>
      <c r="G170" s="18"/>
      <c r="H170" s="35"/>
      <c r="I170" s="35"/>
      <c r="J170" s="12"/>
      <c r="O170" s="12"/>
      <c r="P170" s="18"/>
      <c r="Q170" s="12"/>
      <c r="R170" s="12"/>
      <c r="S170" s="12"/>
      <c r="T170" s="36"/>
      <c r="U170" s="36"/>
      <c r="V170" s="12"/>
      <c r="W170" s="12"/>
      <c r="X170" s="12"/>
      <c r="Y170" s="12"/>
    </row>
    <row r="171" customFormat="false" ht="15.75" hidden="false" customHeight="false" outlineLevel="0" collapsed="false">
      <c r="A171" s="12"/>
      <c r="B171" s="34"/>
      <c r="C171" s="12"/>
      <c r="D171" s="12"/>
      <c r="E171" s="12"/>
      <c r="F171" s="12"/>
      <c r="G171" s="18"/>
      <c r="H171" s="35"/>
      <c r="I171" s="35"/>
      <c r="J171" s="12"/>
      <c r="O171" s="12"/>
      <c r="P171" s="18"/>
      <c r="Q171" s="12"/>
      <c r="R171" s="12"/>
      <c r="S171" s="12"/>
      <c r="T171" s="36"/>
      <c r="U171" s="36"/>
      <c r="V171" s="12"/>
      <c r="W171" s="12"/>
      <c r="X171" s="12"/>
      <c r="Y171" s="12"/>
    </row>
    <row r="172" customFormat="false" ht="15.75" hidden="false" customHeight="false" outlineLevel="0" collapsed="false">
      <c r="A172" s="12"/>
      <c r="B172" s="34"/>
      <c r="C172" s="12"/>
      <c r="D172" s="12"/>
      <c r="E172" s="12"/>
      <c r="F172" s="12"/>
      <c r="G172" s="18"/>
      <c r="H172" s="35"/>
      <c r="I172" s="35"/>
      <c r="J172" s="12"/>
      <c r="O172" s="12"/>
      <c r="P172" s="18"/>
      <c r="Q172" s="12"/>
      <c r="R172" s="12"/>
      <c r="S172" s="12"/>
      <c r="T172" s="36"/>
      <c r="U172" s="36"/>
      <c r="V172" s="12"/>
      <c r="W172" s="12"/>
      <c r="X172" s="12"/>
      <c r="Y172" s="12"/>
    </row>
    <row r="173" customFormat="false" ht="15.75" hidden="false" customHeight="false" outlineLevel="0" collapsed="false">
      <c r="A173" s="12"/>
      <c r="B173" s="34"/>
      <c r="C173" s="12"/>
      <c r="D173" s="12"/>
      <c r="E173" s="12"/>
      <c r="F173" s="12"/>
      <c r="G173" s="18"/>
      <c r="H173" s="35"/>
      <c r="I173" s="35"/>
      <c r="J173" s="12"/>
      <c r="O173" s="12"/>
      <c r="P173" s="18"/>
      <c r="Q173" s="12"/>
      <c r="R173" s="12"/>
      <c r="S173" s="12"/>
      <c r="T173" s="36"/>
      <c r="U173" s="36"/>
      <c r="V173" s="12"/>
      <c r="W173" s="12"/>
      <c r="X173" s="12"/>
      <c r="Y173" s="12"/>
    </row>
    <row r="174" customFormat="false" ht="15.75" hidden="false" customHeight="false" outlineLevel="0" collapsed="false">
      <c r="A174" s="12"/>
      <c r="B174" s="34"/>
      <c r="C174" s="12"/>
      <c r="D174" s="12"/>
      <c r="E174" s="12"/>
      <c r="F174" s="12"/>
      <c r="G174" s="18"/>
      <c r="H174" s="35"/>
      <c r="I174" s="35"/>
      <c r="J174" s="12"/>
      <c r="O174" s="12"/>
      <c r="P174" s="18"/>
      <c r="Q174" s="12"/>
      <c r="R174" s="12"/>
      <c r="S174" s="12"/>
      <c r="T174" s="36"/>
      <c r="U174" s="36"/>
      <c r="V174" s="12"/>
      <c r="W174" s="12"/>
      <c r="X174" s="12"/>
      <c r="Y174" s="12"/>
    </row>
    <row r="175" customFormat="false" ht="15.75" hidden="false" customHeight="false" outlineLevel="0" collapsed="false">
      <c r="A175" s="12"/>
      <c r="B175" s="34"/>
      <c r="C175" s="12"/>
      <c r="D175" s="12"/>
      <c r="E175" s="12"/>
      <c r="F175" s="12"/>
      <c r="G175" s="18"/>
      <c r="H175" s="35"/>
      <c r="I175" s="35"/>
      <c r="J175" s="12"/>
      <c r="O175" s="12"/>
      <c r="P175" s="18"/>
      <c r="Q175" s="12"/>
      <c r="R175" s="12"/>
      <c r="S175" s="12"/>
      <c r="T175" s="36"/>
      <c r="U175" s="36"/>
      <c r="V175" s="12"/>
      <c r="W175" s="12"/>
      <c r="X175" s="12"/>
      <c r="Y175" s="12"/>
    </row>
    <row r="176" customFormat="false" ht="15.75" hidden="false" customHeight="false" outlineLevel="0" collapsed="false">
      <c r="A176" s="12"/>
      <c r="B176" s="34"/>
      <c r="C176" s="12"/>
      <c r="D176" s="12"/>
      <c r="E176" s="12"/>
      <c r="F176" s="12"/>
      <c r="G176" s="18"/>
      <c r="H176" s="35"/>
      <c r="I176" s="35"/>
      <c r="J176" s="12"/>
      <c r="O176" s="12"/>
      <c r="P176" s="18"/>
      <c r="Q176" s="12"/>
      <c r="R176" s="12"/>
      <c r="S176" s="12"/>
      <c r="T176" s="36"/>
      <c r="U176" s="36"/>
      <c r="V176" s="12"/>
      <c r="W176" s="12"/>
      <c r="X176" s="12"/>
      <c r="Y176" s="12"/>
    </row>
    <row r="177" customFormat="false" ht="15.75" hidden="false" customHeight="false" outlineLevel="0" collapsed="false">
      <c r="A177" s="12"/>
      <c r="B177" s="34"/>
      <c r="C177" s="12"/>
      <c r="D177" s="12"/>
      <c r="E177" s="12"/>
      <c r="F177" s="12"/>
      <c r="G177" s="18"/>
      <c r="H177" s="35"/>
      <c r="I177" s="35"/>
      <c r="J177" s="12"/>
      <c r="O177" s="12"/>
      <c r="P177" s="18"/>
      <c r="Q177" s="12"/>
      <c r="R177" s="12"/>
      <c r="S177" s="12"/>
      <c r="T177" s="36"/>
      <c r="U177" s="36"/>
      <c r="V177" s="12"/>
      <c r="W177" s="12"/>
      <c r="X177" s="12"/>
      <c r="Y177" s="12"/>
    </row>
    <row r="178" customFormat="false" ht="15.75" hidden="false" customHeight="false" outlineLevel="0" collapsed="false">
      <c r="A178" s="12"/>
      <c r="B178" s="34"/>
      <c r="C178" s="12"/>
      <c r="D178" s="12"/>
      <c r="E178" s="12"/>
      <c r="F178" s="12"/>
      <c r="G178" s="18"/>
      <c r="H178" s="35"/>
      <c r="I178" s="35"/>
      <c r="J178" s="12"/>
      <c r="O178" s="12"/>
      <c r="P178" s="18"/>
      <c r="Q178" s="12"/>
      <c r="R178" s="12"/>
      <c r="S178" s="12"/>
      <c r="T178" s="36"/>
      <c r="U178" s="36"/>
      <c r="V178" s="12"/>
      <c r="W178" s="12"/>
      <c r="X178" s="12"/>
      <c r="Y178" s="12"/>
    </row>
    <row r="179" customFormat="false" ht="15.75" hidden="false" customHeight="false" outlineLevel="0" collapsed="false">
      <c r="A179" s="12"/>
      <c r="B179" s="34"/>
      <c r="C179" s="12"/>
      <c r="D179" s="12"/>
      <c r="E179" s="12"/>
      <c r="F179" s="12"/>
      <c r="G179" s="18"/>
      <c r="H179" s="35"/>
      <c r="I179" s="35"/>
      <c r="J179" s="12"/>
      <c r="O179" s="12"/>
      <c r="P179" s="18"/>
      <c r="Q179" s="12"/>
      <c r="R179" s="12"/>
      <c r="S179" s="12"/>
      <c r="T179" s="36"/>
      <c r="U179" s="36"/>
      <c r="V179" s="12"/>
      <c r="W179" s="12"/>
      <c r="X179" s="12"/>
      <c r="Y179" s="12"/>
    </row>
    <row r="180" customFormat="false" ht="15.75" hidden="false" customHeight="false" outlineLevel="0" collapsed="false">
      <c r="A180" s="12"/>
      <c r="B180" s="34"/>
      <c r="C180" s="12"/>
      <c r="D180" s="12"/>
      <c r="E180" s="12"/>
      <c r="F180" s="12"/>
      <c r="G180" s="18"/>
      <c r="H180" s="35"/>
      <c r="I180" s="35"/>
      <c r="J180" s="12"/>
      <c r="O180" s="12"/>
      <c r="P180" s="18"/>
      <c r="Q180" s="12"/>
      <c r="R180" s="12"/>
      <c r="S180" s="12"/>
      <c r="T180" s="36"/>
      <c r="U180" s="36"/>
      <c r="V180" s="12"/>
      <c r="W180" s="12"/>
      <c r="X180" s="12"/>
      <c r="Y180" s="12"/>
    </row>
    <row r="181" customFormat="false" ht="15.75" hidden="false" customHeight="false" outlineLevel="0" collapsed="false">
      <c r="A181" s="12"/>
      <c r="B181" s="34"/>
      <c r="C181" s="12"/>
      <c r="D181" s="12"/>
      <c r="E181" s="12"/>
      <c r="F181" s="12"/>
      <c r="G181" s="18"/>
      <c r="H181" s="35"/>
      <c r="I181" s="35"/>
      <c r="J181" s="12"/>
      <c r="O181" s="12"/>
      <c r="P181" s="18"/>
      <c r="Q181" s="12"/>
      <c r="R181" s="12"/>
      <c r="S181" s="12"/>
      <c r="T181" s="36"/>
      <c r="U181" s="36"/>
      <c r="V181" s="12"/>
      <c r="W181" s="12"/>
      <c r="X181" s="12"/>
      <c r="Y181" s="12"/>
    </row>
    <row r="182" customFormat="false" ht="15.75" hidden="false" customHeight="false" outlineLevel="0" collapsed="false">
      <c r="A182" s="12"/>
      <c r="B182" s="34"/>
      <c r="C182" s="12"/>
      <c r="D182" s="12"/>
      <c r="E182" s="12"/>
      <c r="F182" s="12"/>
      <c r="G182" s="18"/>
      <c r="H182" s="35"/>
      <c r="I182" s="35"/>
      <c r="J182" s="12"/>
      <c r="O182" s="12"/>
      <c r="P182" s="18"/>
      <c r="Q182" s="12"/>
      <c r="R182" s="12"/>
      <c r="S182" s="12"/>
      <c r="T182" s="36"/>
      <c r="U182" s="36"/>
      <c r="V182" s="12"/>
      <c r="W182" s="12"/>
      <c r="X182" s="12"/>
      <c r="Y182" s="12"/>
    </row>
    <row r="183" customFormat="false" ht="15.75" hidden="false" customHeight="false" outlineLevel="0" collapsed="false">
      <c r="A183" s="12"/>
      <c r="B183" s="34"/>
      <c r="C183" s="12"/>
      <c r="D183" s="12"/>
      <c r="E183" s="12"/>
      <c r="F183" s="12"/>
      <c r="G183" s="18"/>
      <c r="H183" s="35"/>
      <c r="I183" s="35"/>
      <c r="J183" s="12"/>
      <c r="O183" s="12"/>
      <c r="P183" s="18"/>
      <c r="Q183" s="12"/>
      <c r="R183" s="12"/>
      <c r="S183" s="12"/>
      <c r="T183" s="36"/>
      <c r="U183" s="36"/>
      <c r="V183" s="12"/>
      <c r="W183" s="12"/>
      <c r="X183" s="12"/>
      <c r="Y183" s="12"/>
    </row>
    <row r="184" customFormat="false" ht="15.75" hidden="false" customHeight="false" outlineLevel="0" collapsed="false">
      <c r="A184" s="12"/>
      <c r="B184" s="34"/>
      <c r="C184" s="12"/>
      <c r="D184" s="12"/>
      <c r="E184" s="12"/>
      <c r="F184" s="12"/>
      <c r="G184" s="18"/>
      <c r="H184" s="35"/>
      <c r="I184" s="35"/>
      <c r="J184" s="12"/>
      <c r="O184" s="12"/>
      <c r="P184" s="18"/>
      <c r="Q184" s="12"/>
      <c r="R184" s="12"/>
      <c r="S184" s="12"/>
      <c r="T184" s="36"/>
      <c r="U184" s="36"/>
      <c r="V184" s="12"/>
      <c r="W184" s="12"/>
      <c r="X184" s="12"/>
      <c r="Y184" s="12"/>
    </row>
    <row r="185" customFormat="false" ht="15.75" hidden="false" customHeight="false" outlineLevel="0" collapsed="false">
      <c r="A185" s="12"/>
      <c r="B185" s="34"/>
      <c r="C185" s="12"/>
      <c r="D185" s="12"/>
      <c r="E185" s="12"/>
      <c r="F185" s="12"/>
      <c r="G185" s="18"/>
      <c r="H185" s="35"/>
      <c r="I185" s="35"/>
      <c r="J185" s="12"/>
      <c r="O185" s="12"/>
      <c r="P185" s="18"/>
      <c r="Q185" s="12"/>
      <c r="R185" s="12"/>
      <c r="S185" s="12"/>
      <c r="T185" s="36"/>
      <c r="U185" s="36"/>
      <c r="V185" s="12"/>
      <c r="W185" s="12"/>
      <c r="X185" s="12"/>
      <c r="Y185" s="12"/>
    </row>
    <row r="186" customFormat="false" ht="15.75" hidden="false" customHeight="false" outlineLevel="0" collapsed="false">
      <c r="A186" s="12"/>
      <c r="B186" s="34"/>
      <c r="C186" s="12"/>
      <c r="D186" s="12"/>
      <c r="E186" s="12"/>
      <c r="F186" s="12"/>
      <c r="G186" s="18"/>
      <c r="H186" s="35"/>
      <c r="I186" s="35"/>
      <c r="J186" s="12"/>
      <c r="O186" s="12"/>
      <c r="P186" s="18"/>
      <c r="Q186" s="12"/>
      <c r="R186" s="12"/>
      <c r="S186" s="12"/>
      <c r="T186" s="36"/>
      <c r="U186" s="36"/>
      <c r="V186" s="12"/>
      <c r="W186" s="12"/>
      <c r="X186" s="12"/>
      <c r="Y186" s="12"/>
    </row>
    <row r="187" customFormat="false" ht="15.75" hidden="false" customHeight="false" outlineLevel="0" collapsed="false">
      <c r="A187" s="12"/>
      <c r="B187" s="34"/>
      <c r="C187" s="12"/>
      <c r="D187" s="12"/>
      <c r="E187" s="12"/>
      <c r="F187" s="12"/>
      <c r="G187" s="18"/>
      <c r="H187" s="35"/>
      <c r="I187" s="35"/>
      <c r="J187" s="12"/>
      <c r="O187" s="12"/>
      <c r="P187" s="18"/>
      <c r="Q187" s="12"/>
      <c r="R187" s="12"/>
      <c r="S187" s="12"/>
      <c r="T187" s="36"/>
      <c r="U187" s="36"/>
      <c r="V187" s="12"/>
      <c r="W187" s="12"/>
      <c r="X187" s="12"/>
      <c r="Y187" s="12"/>
    </row>
    <row r="188" customFormat="false" ht="15.75" hidden="false" customHeight="false" outlineLevel="0" collapsed="false">
      <c r="A188" s="12"/>
      <c r="B188" s="34"/>
      <c r="C188" s="12"/>
      <c r="D188" s="12"/>
      <c r="E188" s="12"/>
      <c r="F188" s="12"/>
      <c r="G188" s="18"/>
      <c r="H188" s="35"/>
      <c r="I188" s="35"/>
      <c r="J188" s="12"/>
      <c r="O188" s="12"/>
      <c r="P188" s="18"/>
      <c r="Q188" s="12"/>
      <c r="R188" s="12"/>
      <c r="S188" s="12"/>
      <c r="T188" s="36"/>
      <c r="U188" s="36"/>
      <c r="V188" s="12"/>
      <c r="W188" s="12"/>
      <c r="X188" s="12"/>
      <c r="Y188" s="12"/>
    </row>
    <row r="189" customFormat="false" ht="15.75" hidden="false" customHeight="false" outlineLevel="0" collapsed="false">
      <c r="A189" s="12"/>
      <c r="B189" s="34"/>
      <c r="C189" s="12"/>
      <c r="D189" s="12"/>
      <c r="E189" s="12"/>
      <c r="F189" s="12"/>
      <c r="G189" s="18"/>
      <c r="H189" s="35"/>
      <c r="I189" s="35"/>
      <c r="J189" s="12"/>
      <c r="O189" s="12"/>
      <c r="P189" s="18"/>
      <c r="Q189" s="12"/>
      <c r="R189" s="12"/>
      <c r="S189" s="12"/>
      <c r="T189" s="36"/>
      <c r="U189" s="36"/>
      <c r="V189" s="12"/>
      <c r="W189" s="12"/>
      <c r="X189" s="12"/>
      <c r="Y189" s="12"/>
    </row>
    <row r="190" customFormat="false" ht="15.75" hidden="false" customHeight="false" outlineLevel="0" collapsed="false">
      <c r="A190" s="12"/>
      <c r="B190" s="34"/>
      <c r="C190" s="12"/>
      <c r="D190" s="12"/>
      <c r="E190" s="12"/>
      <c r="F190" s="12"/>
      <c r="G190" s="18"/>
      <c r="H190" s="35"/>
      <c r="I190" s="35"/>
      <c r="J190" s="12"/>
      <c r="O190" s="12"/>
      <c r="P190" s="18"/>
      <c r="Q190" s="12"/>
      <c r="R190" s="12"/>
      <c r="S190" s="12"/>
      <c r="T190" s="36"/>
      <c r="U190" s="36"/>
      <c r="V190" s="12"/>
      <c r="W190" s="12"/>
      <c r="X190" s="12"/>
      <c r="Y190" s="12"/>
    </row>
    <row r="191" customFormat="false" ht="15.75" hidden="false" customHeight="false" outlineLevel="0" collapsed="false">
      <c r="A191" s="12"/>
      <c r="B191" s="34"/>
      <c r="C191" s="12"/>
      <c r="D191" s="12"/>
      <c r="E191" s="12"/>
      <c r="F191" s="12"/>
      <c r="G191" s="18"/>
      <c r="H191" s="35"/>
      <c r="I191" s="35"/>
      <c r="J191" s="12"/>
      <c r="O191" s="12"/>
      <c r="P191" s="18"/>
      <c r="Q191" s="12"/>
      <c r="R191" s="12"/>
      <c r="S191" s="12"/>
      <c r="T191" s="36"/>
      <c r="U191" s="36"/>
      <c r="V191" s="12"/>
      <c r="W191" s="12"/>
      <c r="X191" s="12"/>
      <c r="Y191" s="12"/>
    </row>
    <row r="192" customFormat="false" ht="15.75" hidden="false" customHeight="false" outlineLevel="0" collapsed="false">
      <c r="A192" s="12"/>
      <c r="B192" s="34"/>
      <c r="C192" s="12"/>
      <c r="D192" s="12"/>
      <c r="E192" s="12"/>
      <c r="F192" s="12"/>
      <c r="G192" s="18"/>
      <c r="H192" s="35"/>
      <c r="I192" s="35"/>
      <c r="J192" s="12"/>
      <c r="O192" s="12"/>
      <c r="P192" s="18"/>
      <c r="Q192" s="12"/>
      <c r="R192" s="12"/>
      <c r="S192" s="12"/>
      <c r="T192" s="36"/>
      <c r="U192" s="36"/>
      <c r="V192" s="12"/>
      <c r="W192" s="12"/>
      <c r="X192" s="12"/>
      <c r="Y192" s="12"/>
    </row>
    <row r="193" customFormat="false" ht="15.75" hidden="false" customHeight="false" outlineLevel="0" collapsed="false">
      <c r="A193" s="12"/>
      <c r="B193" s="34"/>
      <c r="C193" s="12"/>
      <c r="D193" s="12"/>
      <c r="E193" s="12"/>
      <c r="F193" s="12"/>
      <c r="G193" s="18"/>
      <c r="H193" s="35"/>
      <c r="I193" s="35"/>
      <c r="J193" s="12"/>
      <c r="O193" s="12"/>
      <c r="P193" s="18"/>
      <c r="Q193" s="12"/>
      <c r="R193" s="12"/>
      <c r="S193" s="12"/>
      <c r="T193" s="36"/>
      <c r="U193" s="36"/>
      <c r="V193" s="12"/>
      <c r="W193" s="12"/>
      <c r="X193" s="12"/>
      <c r="Y193" s="12"/>
    </row>
    <row r="194" customFormat="false" ht="15.75" hidden="false" customHeight="false" outlineLevel="0" collapsed="false">
      <c r="A194" s="12"/>
      <c r="B194" s="34"/>
      <c r="C194" s="12"/>
      <c r="D194" s="12"/>
      <c r="E194" s="12"/>
      <c r="F194" s="12"/>
      <c r="G194" s="18"/>
      <c r="H194" s="35"/>
      <c r="I194" s="35"/>
      <c r="J194" s="12"/>
      <c r="O194" s="12"/>
      <c r="P194" s="18"/>
      <c r="Q194" s="12"/>
      <c r="R194" s="12"/>
      <c r="S194" s="12"/>
      <c r="T194" s="36"/>
      <c r="U194" s="36"/>
      <c r="V194" s="12"/>
      <c r="W194" s="12"/>
      <c r="X194" s="12"/>
      <c r="Y194" s="12"/>
    </row>
    <row r="195" customFormat="false" ht="15.75" hidden="false" customHeight="false" outlineLevel="0" collapsed="false">
      <c r="A195" s="12"/>
      <c r="B195" s="34"/>
      <c r="C195" s="12"/>
      <c r="D195" s="12"/>
      <c r="E195" s="12"/>
      <c r="F195" s="12"/>
      <c r="G195" s="18"/>
      <c r="H195" s="35"/>
      <c r="I195" s="35"/>
      <c r="J195" s="12"/>
      <c r="O195" s="12"/>
      <c r="P195" s="18"/>
      <c r="Q195" s="12"/>
      <c r="R195" s="12"/>
      <c r="S195" s="12"/>
      <c r="T195" s="36"/>
      <c r="U195" s="36"/>
      <c r="V195" s="12"/>
      <c r="W195" s="12"/>
      <c r="X195" s="12"/>
      <c r="Y195" s="12"/>
    </row>
    <row r="196" customFormat="false" ht="15.75" hidden="false" customHeight="false" outlineLevel="0" collapsed="false">
      <c r="A196" s="12"/>
      <c r="B196" s="34"/>
      <c r="C196" s="12"/>
      <c r="D196" s="12"/>
      <c r="E196" s="12"/>
      <c r="F196" s="12"/>
      <c r="G196" s="18"/>
      <c r="H196" s="35"/>
      <c r="I196" s="35"/>
      <c r="J196" s="12"/>
      <c r="O196" s="12"/>
      <c r="P196" s="18"/>
      <c r="Q196" s="12"/>
      <c r="R196" s="12"/>
      <c r="S196" s="12"/>
      <c r="T196" s="36"/>
      <c r="U196" s="36"/>
      <c r="V196" s="12"/>
      <c r="W196" s="12"/>
      <c r="X196" s="12"/>
      <c r="Y196" s="12"/>
    </row>
    <row r="197" customFormat="false" ht="15.75" hidden="false" customHeight="false" outlineLevel="0" collapsed="false">
      <c r="A197" s="12"/>
      <c r="B197" s="34"/>
      <c r="C197" s="12"/>
      <c r="D197" s="12"/>
      <c r="E197" s="12"/>
      <c r="F197" s="12"/>
      <c r="G197" s="18"/>
      <c r="H197" s="35"/>
      <c r="I197" s="35"/>
      <c r="J197" s="12"/>
      <c r="O197" s="12"/>
      <c r="P197" s="18"/>
      <c r="Q197" s="12"/>
      <c r="R197" s="12"/>
      <c r="S197" s="12"/>
      <c r="T197" s="36"/>
      <c r="U197" s="36"/>
      <c r="V197" s="12"/>
      <c r="W197" s="12"/>
      <c r="X197" s="12"/>
      <c r="Y197" s="12"/>
    </row>
    <row r="198" customFormat="false" ht="15.75" hidden="false" customHeight="false" outlineLevel="0" collapsed="false">
      <c r="A198" s="12"/>
      <c r="B198" s="34"/>
      <c r="C198" s="12"/>
      <c r="D198" s="12"/>
      <c r="E198" s="12"/>
      <c r="F198" s="12"/>
      <c r="G198" s="18"/>
      <c r="H198" s="35"/>
      <c r="I198" s="35"/>
      <c r="J198" s="12"/>
      <c r="O198" s="12"/>
      <c r="P198" s="18"/>
      <c r="Q198" s="12"/>
      <c r="R198" s="12"/>
      <c r="S198" s="12"/>
      <c r="T198" s="36"/>
      <c r="U198" s="36"/>
      <c r="V198" s="12"/>
      <c r="W198" s="12"/>
      <c r="X198" s="12"/>
      <c r="Y198" s="12"/>
    </row>
    <row r="199" customFormat="false" ht="15.75" hidden="false" customHeight="false" outlineLevel="0" collapsed="false">
      <c r="A199" s="12"/>
      <c r="B199" s="34"/>
      <c r="C199" s="12"/>
      <c r="D199" s="12"/>
      <c r="E199" s="12"/>
      <c r="F199" s="12"/>
      <c r="G199" s="18"/>
      <c r="H199" s="35"/>
      <c r="I199" s="35"/>
      <c r="J199" s="12"/>
      <c r="O199" s="12"/>
      <c r="P199" s="18"/>
      <c r="Q199" s="12"/>
      <c r="R199" s="12"/>
      <c r="S199" s="12"/>
      <c r="T199" s="36"/>
      <c r="U199" s="36"/>
      <c r="V199" s="12"/>
      <c r="W199" s="12"/>
      <c r="X199" s="12"/>
      <c r="Y199" s="12"/>
    </row>
    <row r="200" customFormat="false" ht="15.75" hidden="false" customHeight="false" outlineLevel="0" collapsed="false">
      <c r="A200" s="12"/>
      <c r="B200" s="34"/>
      <c r="C200" s="12"/>
      <c r="D200" s="12"/>
      <c r="E200" s="12"/>
      <c r="F200" s="12"/>
      <c r="G200" s="18"/>
      <c r="H200" s="35"/>
      <c r="I200" s="35"/>
      <c r="J200" s="12"/>
      <c r="O200" s="12"/>
      <c r="P200" s="18"/>
      <c r="Q200" s="12"/>
      <c r="R200" s="12"/>
      <c r="S200" s="12"/>
      <c r="T200" s="36"/>
      <c r="U200" s="36"/>
      <c r="V200" s="12"/>
      <c r="W200" s="12"/>
      <c r="X200" s="12"/>
      <c r="Y200" s="12"/>
    </row>
    <row r="201" customFormat="false" ht="15.75" hidden="false" customHeight="false" outlineLevel="0" collapsed="false">
      <c r="A201" s="12"/>
      <c r="B201" s="34"/>
      <c r="C201" s="12"/>
      <c r="D201" s="12"/>
      <c r="E201" s="12"/>
      <c r="F201" s="12"/>
      <c r="G201" s="18"/>
      <c r="H201" s="35"/>
      <c r="I201" s="35"/>
      <c r="J201" s="12"/>
      <c r="O201" s="12"/>
      <c r="P201" s="18"/>
      <c r="Q201" s="12"/>
      <c r="R201" s="12"/>
      <c r="S201" s="12"/>
      <c r="T201" s="36"/>
      <c r="U201" s="36"/>
      <c r="V201" s="12"/>
      <c r="W201" s="12"/>
      <c r="X201" s="12"/>
      <c r="Y201" s="12"/>
    </row>
    <row r="202" customFormat="false" ht="15.75" hidden="false" customHeight="false" outlineLevel="0" collapsed="false">
      <c r="A202" s="12"/>
      <c r="B202" s="34"/>
      <c r="C202" s="12"/>
      <c r="D202" s="12"/>
      <c r="E202" s="12"/>
      <c r="F202" s="12"/>
      <c r="G202" s="18"/>
      <c r="H202" s="35"/>
      <c r="I202" s="35"/>
      <c r="J202" s="12"/>
      <c r="O202" s="12"/>
      <c r="P202" s="18"/>
      <c r="Q202" s="12"/>
      <c r="R202" s="12"/>
      <c r="S202" s="12"/>
      <c r="T202" s="36"/>
      <c r="U202" s="36"/>
      <c r="V202" s="12"/>
      <c r="W202" s="12"/>
      <c r="X202" s="12"/>
      <c r="Y202" s="12"/>
    </row>
    <row r="203" customFormat="false" ht="15.75" hidden="false" customHeight="false" outlineLevel="0" collapsed="false">
      <c r="A203" s="12"/>
      <c r="B203" s="34"/>
      <c r="C203" s="12"/>
      <c r="D203" s="12"/>
      <c r="E203" s="12"/>
      <c r="F203" s="12"/>
      <c r="G203" s="18"/>
      <c r="H203" s="35"/>
      <c r="I203" s="35"/>
      <c r="J203" s="12"/>
      <c r="O203" s="12"/>
      <c r="P203" s="18"/>
      <c r="Q203" s="12"/>
      <c r="R203" s="12"/>
      <c r="S203" s="12"/>
      <c r="T203" s="36"/>
      <c r="U203" s="36"/>
      <c r="V203" s="12"/>
      <c r="W203" s="12"/>
      <c r="X203" s="12"/>
      <c r="Y203" s="12"/>
    </row>
    <row r="204" customFormat="false" ht="15.75" hidden="false" customHeight="false" outlineLevel="0" collapsed="false">
      <c r="A204" s="12"/>
      <c r="B204" s="34"/>
      <c r="C204" s="12"/>
      <c r="D204" s="12"/>
      <c r="E204" s="12"/>
      <c r="F204" s="12"/>
      <c r="G204" s="18"/>
      <c r="H204" s="35"/>
      <c r="I204" s="35"/>
      <c r="J204" s="12"/>
      <c r="O204" s="12"/>
      <c r="P204" s="18"/>
      <c r="Q204" s="12"/>
      <c r="R204" s="12"/>
      <c r="S204" s="12"/>
      <c r="T204" s="36"/>
      <c r="U204" s="36"/>
      <c r="V204" s="12"/>
      <c r="W204" s="12"/>
      <c r="X204" s="12"/>
      <c r="Y204" s="12"/>
    </row>
    <row r="205" customFormat="false" ht="15.75" hidden="false" customHeight="false" outlineLevel="0" collapsed="false">
      <c r="A205" s="12"/>
      <c r="B205" s="34"/>
      <c r="C205" s="12"/>
      <c r="D205" s="12"/>
      <c r="E205" s="12"/>
      <c r="F205" s="12"/>
      <c r="G205" s="18"/>
      <c r="H205" s="35"/>
      <c r="I205" s="35"/>
      <c r="J205" s="12"/>
      <c r="O205" s="12"/>
      <c r="P205" s="18"/>
      <c r="Q205" s="12"/>
      <c r="R205" s="12"/>
      <c r="S205" s="12"/>
      <c r="T205" s="36"/>
      <c r="U205" s="36"/>
      <c r="V205" s="12"/>
      <c r="W205" s="12"/>
      <c r="X205" s="12"/>
      <c r="Y205" s="12"/>
    </row>
    <row r="206" customFormat="false" ht="15.75" hidden="false" customHeight="false" outlineLevel="0" collapsed="false">
      <c r="A206" s="12"/>
      <c r="B206" s="34"/>
      <c r="C206" s="12"/>
      <c r="D206" s="12"/>
      <c r="E206" s="12"/>
      <c r="F206" s="12"/>
      <c r="G206" s="18"/>
      <c r="H206" s="35"/>
      <c r="I206" s="35"/>
      <c r="J206" s="12"/>
      <c r="O206" s="12"/>
      <c r="P206" s="18"/>
      <c r="Q206" s="12"/>
      <c r="R206" s="12"/>
      <c r="S206" s="12"/>
      <c r="T206" s="36"/>
      <c r="U206" s="36"/>
      <c r="V206" s="12"/>
      <c r="W206" s="12"/>
      <c r="X206" s="12"/>
      <c r="Y206" s="12"/>
    </row>
    <row r="207" customFormat="false" ht="15.75" hidden="false" customHeight="false" outlineLevel="0" collapsed="false">
      <c r="A207" s="12"/>
      <c r="B207" s="34"/>
      <c r="C207" s="12"/>
      <c r="D207" s="12"/>
      <c r="E207" s="12"/>
      <c r="F207" s="12"/>
      <c r="G207" s="18"/>
      <c r="H207" s="35"/>
      <c r="I207" s="35"/>
      <c r="J207" s="12"/>
      <c r="O207" s="12"/>
      <c r="P207" s="18"/>
      <c r="Q207" s="12"/>
      <c r="R207" s="12"/>
      <c r="S207" s="12"/>
      <c r="T207" s="36"/>
      <c r="U207" s="36"/>
      <c r="V207" s="12"/>
      <c r="W207" s="12"/>
      <c r="X207" s="12"/>
      <c r="Y207" s="12"/>
    </row>
    <row r="208" customFormat="false" ht="15.75" hidden="false" customHeight="false" outlineLevel="0" collapsed="false">
      <c r="A208" s="12"/>
      <c r="B208" s="34"/>
      <c r="C208" s="12"/>
      <c r="D208" s="12"/>
      <c r="E208" s="12"/>
      <c r="F208" s="12"/>
      <c r="G208" s="18"/>
      <c r="H208" s="35"/>
      <c r="I208" s="35"/>
      <c r="J208" s="12"/>
      <c r="O208" s="12"/>
      <c r="P208" s="18"/>
      <c r="Q208" s="12"/>
      <c r="R208" s="12"/>
      <c r="S208" s="12"/>
      <c r="T208" s="36"/>
      <c r="U208" s="36"/>
      <c r="V208" s="12"/>
      <c r="W208" s="12"/>
      <c r="X208" s="12"/>
      <c r="Y208" s="12"/>
    </row>
    <row r="209" customFormat="false" ht="15.75" hidden="false" customHeight="false" outlineLevel="0" collapsed="false">
      <c r="A209" s="12"/>
      <c r="B209" s="34"/>
      <c r="C209" s="12"/>
      <c r="D209" s="12"/>
      <c r="E209" s="12"/>
      <c r="F209" s="12"/>
      <c r="G209" s="18"/>
      <c r="H209" s="35"/>
      <c r="I209" s="35"/>
      <c r="J209" s="12"/>
      <c r="O209" s="12"/>
      <c r="P209" s="18"/>
      <c r="Q209" s="12"/>
      <c r="R209" s="12"/>
      <c r="S209" s="12"/>
      <c r="T209" s="36"/>
      <c r="U209" s="36"/>
      <c r="V209" s="12"/>
      <c r="W209" s="12"/>
      <c r="X209" s="12"/>
      <c r="Y209" s="12"/>
    </row>
    <row r="210" customFormat="false" ht="15.75" hidden="false" customHeight="false" outlineLevel="0" collapsed="false">
      <c r="A210" s="12"/>
      <c r="B210" s="34"/>
      <c r="C210" s="12"/>
      <c r="D210" s="12"/>
      <c r="E210" s="12"/>
      <c r="F210" s="12"/>
      <c r="G210" s="18"/>
      <c r="H210" s="35"/>
      <c r="I210" s="35"/>
      <c r="J210" s="12"/>
      <c r="O210" s="12"/>
      <c r="P210" s="18"/>
      <c r="Q210" s="12"/>
      <c r="R210" s="12"/>
      <c r="S210" s="12"/>
      <c r="T210" s="36"/>
      <c r="U210" s="36"/>
      <c r="V210" s="12"/>
      <c r="W210" s="12"/>
      <c r="X210" s="12"/>
      <c r="Y210" s="12"/>
    </row>
    <row r="211" customFormat="false" ht="15.75" hidden="false" customHeight="false" outlineLevel="0" collapsed="false">
      <c r="A211" s="12"/>
      <c r="B211" s="34"/>
      <c r="C211" s="12"/>
      <c r="D211" s="12"/>
      <c r="E211" s="12"/>
      <c r="F211" s="12"/>
      <c r="G211" s="18"/>
      <c r="H211" s="35"/>
      <c r="I211" s="35"/>
      <c r="J211" s="12"/>
      <c r="O211" s="12"/>
      <c r="P211" s="18"/>
      <c r="Q211" s="12"/>
      <c r="R211" s="12"/>
      <c r="S211" s="12"/>
      <c r="T211" s="36"/>
      <c r="U211" s="36"/>
      <c r="V211" s="12"/>
      <c r="W211" s="12"/>
      <c r="X211" s="12"/>
      <c r="Y211" s="12"/>
    </row>
    <row r="212" customFormat="false" ht="15.75" hidden="false" customHeight="false" outlineLevel="0" collapsed="false">
      <c r="A212" s="12"/>
      <c r="B212" s="34"/>
      <c r="C212" s="12"/>
      <c r="D212" s="12"/>
      <c r="E212" s="12"/>
      <c r="F212" s="12"/>
      <c r="G212" s="18"/>
      <c r="H212" s="35"/>
      <c r="I212" s="35"/>
      <c r="J212" s="12"/>
      <c r="O212" s="12"/>
      <c r="P212" s="18"/>
      <c r="Q212" s="12"/>
      <c r="R212" s="12"/>
      <c r="S212" s="12"/>
      <c r="T212" s="36"/>
      <c r="U212" s="36"/>
      <c r="V212" s="12"/>
      <c r="W212" s="12"/>
      <c r="X212" s="12"/>
      <c r="Y212" s="12"/>
    </row>
    <row r="213" customFormat="false" ht="15.75" hidden="false" customHeight="false" outlineLevel="0" collapsed="false">
      <c r="A213" s="12"/>
      <c r="B213" s="34"/>
      <c r="C213" s="12"/>
      <c r="D213" s="12"/>
      <c r="E213" s="12"/>
      <c r="F213" s="12"/>
      <c r="G213" s="18"/>
      <c r="H213" s="35"/>
      <c r="I213" s="35"/>
      <c r="J213" s="12"/>
      <c r="O213" s="12"/>
      <c r="P213" s="18"/>
      <c r="Q213" s="12"/>
      <c r="R213" s="12"/>
      <c r="S213" s="12"/>
      <c r="T213" s="36"/>
      <c r="U213" s="36"/>
      <c r="V213" s="12"/>
      <c r="W213" s="12"/>
      <c r="X213" s="12"/>
      <c r="Y213" s="12"/>
    </row>
    <row r="214" customFormat="false" ht="15.75" hidden="false" customHeight="false" outlineLevel="0" collapsed="false">
      <c r="A214" s="12"/>
      <c r="B214" s="34"/>
      <c r="C214" s="12"/>
      <c r="D214" s="12"/>
      <c r="E214" s="12"/>
      <c r="F214" s="12"/>
      <c r="G214" s="18"/>
      <c r="H214" s="35"/>
      <c r="I214" s="35"/>
      <c r="J214" s="12"/>
      <c r="O214" s="12"/>
      <c r="P214" s="18"/>
      <c r="Q214" s="12"/>
      <c r="R214" s="12"/>
      <c r="S214" s="12"/>
      <c r="T214" s="36"/>
      <c r="U214" s="36"/>
      <c r="V214" s="12"/>
      <c r="W214" s="12"/>
      <c r="X214" s="12"/>
      <c r="Y214" s="12"/>
    </row>
    <row r="215" customFormat="false" ht="15.75" hidden="false" customHeight="false" outlineLevel="0" collapsed="false">
      <c r="A215" s="12"/>
      <c r="B215" s="34"/>
      <c r="C215" s="12"/>
      <c r="D215" s="12"/>
      <c r="E215" s="12"/>
      <c r="F215" s="12"/>
      <c r="G215" s="18"/>
      <c r="H215" s="35"/>
      <c r="I215" s="35"/>
      <c r="J215" s="12"/>
      <c r="O215" s="12"/>
      <c r="P215" s="18"/>
      <c r="Q215" s="12"/>
      <c r="R215" s="12"/>
      <c r="S215" s="12"/>
      <c r="T215" s="36"/>
      <c r="U215" s="36"/>
      <c r="V215" s="12"/>
      <c r="W215" s="12"/>
      <c r="X215" s="12"/>
      <c r="Y215" s="12"/>
    </row>
    <row r="216" customFormat="false" ht="15.75" hidden="false" customHeight="false" outlineLevel="0" collapsed="false">
      <c r="A216" s="12"/>
      <c r="B216" s="34"/>
      <c r="C216" s="12"/>
      <c r="D216" s="12"/>
      <c r="E216" s="12"/>
      <c r="F216" s="12"/>
      <c r="G216" s="18"/>
      <c r="H216" s="35"/>
      <c r="I216" s="35"/>
      <c r="J216" s="12"/>
      <c r="O216" s="12"/>
      <c r="P216" s="18"/>
      <c r="Q216" s="12"/>
      <c r="R216" s="12"/>
      <c r="S216" s="12"/>
      <c r="T216" s="36"/>
      <c r="U216" s="36"/>
      <c r="V216" s="12"/>
      <c r="W216" s="12"/>
      <c r="X216" s="12"/>
      <c r="Y216" s="12"/>
    </row>
    <row r="217" customFormat="false" ht="15.75" hidden="false" customHeight="false" outlineLevel="0" collapsed="false">
      <c r="A217" s="12"/>
      <c r="B217" s="34"/>
      <c r="C217" s="12"/>
      <c r="D217" s="12"/>
      <c r="E217" s="12"/>
      <c r="F217" s="12"/>
      <c r="G217" s="18"/>
      <c r="H217" s="35"/>
      <c r="I217" s="35"/>
      <c r="J217" s="12"/>
      <c r="O217" s="12"/>
      <c r="P217" s="18"/>
      <c r="Q217" s="12"/>
      <c r="R217" s="12"/>
      <c r="S217" s="12"/>
      <c r="T217" s="36"/>
      <c r="U217" s="36"/>
      <c r="V217" s="12"/>
      <c r="W217" s="12"/>
      <c r="X217" s="12"/>
      <c r="Y217" s="12"/>
    </row>
    <row r="218" customFormat="false" ht="15.75" hidden="false" customHeight="false" outlineLevel="0" collapsed="false">
      <c r="A218" s="12"/>
      <c r="B218" s="34"/>
      <c r="C218" s="12"/>
      <c r="D218" s="12"/>
      <c r="E218" s="12"/>
      <c r="F218" s="12"/>
      <c r="G218" s="18"/>
      <c r="H218" s="35"/>
      <c r="I218" s="35"/>
      <c r="J218" s="12"/>
      <c r="O218" s="12"/>
      <c r="P218" s="18"/>
      <c r="Q218" s="12"/>
      <c r="R218" s="12"/>
      <c r="S218" s="12"/>
      <c r="T218" s="36"/>
      <c r="U218" s="36"/>
      <c r="V218" s="12"/>
      <c r="W218" s="12"/>
      <c r="X218" s="12"/>
      <c r="Y218" s="12"/>
    </row>
    <row r="219" customFormat="false" ht="15.75" hidden="false" customHeight="false" outlineLevel="0" collapsed="false">
      <c r="A219" s="12"/>
      <c r="B219" s="34"/>
      <c r="C219" s="12"/>
      <c r="D219" s="12"/>
      <c r="E219" s="12"/>
      <c r="F219" s="12"/>
      <c r="G219" s="18"/>
      <c r="H219" s="35"/>
      <c r="I219" s="35"/>
      <c r="J219" s="12"/>
      <c r="O219" s="12"/>
      <c r="P219" s="18"/>
      <c r="Q219" s="12"/>
      <c r="R219" s="12"/>
      <c r="S219" s="12"/>
      <c r="T219" s="36"/>
      <c r="U219" s="36"/>
      <c r="V219" s="12"/>
      <c r="W219" s="12"/>
      <c r="X219" s="12"/>
      <c r="Y219" s="12"/>
    </row>
    <row r="220" customFormat="false" ht="15.75" hidden="false" customHeight="false" outlineLevel="0" collapsed="false">
      <c r="A220" s="12"/>
      <c r="B220" s="34"/>
      <c r="C220" s="12"/>
      <c r="D220" s="12"/>
      <c r="E220" s="12"/>
      <c r="F220" s="12"/>
      <c r="G220" s="18"/>
      <c r="H220" s="35"/>
      <c r="I220" s="35"/>
      <c r="J220" s="12"/>
      <c r="O220" s="12"/>
      <c r="P220" s="18"/>
      <c r="Q220" s="12"/>
      <c r="R220" s="12"/>
      <c r="S220" s="12"/>
      <c r="T220" s="36"/>
      <c r="U220" s="36"/>
      <c r="V220" s="12"/>
      <c r="W220" s="12"/>
      <c r="X220" s="12"/>
      <c r="Y220" s="12"/>
    </row>
    <row r="221" customFormat="false" ht="15.75" hidden="false" customHeight="false" outlineLevel="0" collapsed="false">
      <c r="A221" s="12"/>
      <c r="B221" s="34"/>
      <c r="C221" s="12"/>
      <c r="D221" s="12"/>
      <c r="E221" s="12"/>
      <c r="F221" s="12"/>
      <c r="G221" s="18"/>
      <c r="H221" s="35"/>
      <c r="I221" s="35"/>
      <c r="J221" s="12"/>
      <c r="O221" s="12"/>
      <c r="P221" s="18"/>
      <c r="Q221" s="12"/>
      <c r="R221" s="12"/>
      <c r="S221" s="12"/>
      <c r="T221" s="36"/>
      <c r="U221" s="36"/>
      <c r="V221" s="12"/>
      <c r="W221" s="12"/>
      <c r="X221" s="12"/>
      <c r="Y221" s="12"/>
    </row>
    <row r="222" customFormat="false" ht="15.75" hidden="false" customHeight="false" outlineLevel="0" collapsed="false">
      <c r="A222" s="12"/>
      <c r="B222" s="34"/>
      <c r="C222" s="12"/>
      <c r="D222" s="12"/>
      <c r="E222" s="12"/>
      <c r="F222" s="12"/>
      <c r="G222" s="18"/>
      <c r="H222" s="35"/>
      <c r="I222" s="35"/>
      <c r="J222" s="12"/>
      <c r="O222" s="12"/>
      <c r="P222" s="18"/>
      <c r="Q222" s="12"/>
      <c r="R222" s="12"/>
      <c r="S222" s="12"/>
      <c r="T222" s="36"/>
      <c r="U222" s="36"/>
      <c r="V222" s="12"/>
      <c r="W222" s="12"/>
      <c r="X222" s="12"/>
      <c r="Y222" s="12"/>
    </row>
    <row r="223" customFormat="false" ht="15.75" hidden="false" customHeight="false" outlineLevel="0" collapsed="false">
      <c r="A223" s="12"/>
      <c r="B223" s="34"/>
      <c r="C223" s="12"/>
      <c r="D223" s="12"/>
      <c r="E223" s="12"/>
      <c r="F223" s="12"/>
      <c r="G223" s="18"/>
      <c r="H223" s="35"/>
      <c r="I223" s="35"/>
      <c r="J223" s="12"/>
      <c r="O223" s="12"/>
      <c r="P223" s="18"/>
      <c r="Q223" s="12"/>
      <c r="R223" s="12"/>
      <c r="S223" s="12"/>
      <c r="T223" s="36"/>
      <c r="U223" s="36"/>
      <c r="V223" s="12"/>
      <c r="W223" s="12"/>
      <c r="X223" s="12"/>
      <c r="Y223" s="12"/>
    </row>
    <row r="224" customFormat="false" ht="15.75" hidden="false" customHeight="false" outlineLevel="0" collapsed="false">
      <c r="A224" s="12"/>
      <c r="B224" s="34"/>
      <c r="C224" s="12"/>
      <c r="D224" s="12"/>
      <c r="E224" s="12"/>
      <c r="F224" s="12"/>
      <c r="G224" s="18"/>
      <c r="H224" s="35"/>
      <c r="I224" s="35"/>
      <c r="J224" s="12"/>
      <c r="O224" s="12"/>
      <c r="P224" s="18"/>
      <c r="Q224" s="12"/>
      <c r="R224" s="12"/>
      <c r="S224" s="12"/>
      <c r="T224" s="36"/>
      <c r="U224" s="36"/>
      <c r="V224" s="12"/>
      <c r="W224" s="12"/>
      <c r="X224" s="12"/>
      <c r="Y224" s="12"/>
    </row>
    <row r="225" customFormat="false" ht="15.75" hidden="false" customHeight="false" outlineLevel="0" collapsed="false">
      <c r="A225" s="12"/>
      <c r="B225" s="34"/>
      <c r="C225" s="12"/>
      <c r="D225" s="12"/>
      <c r="E225" s="12"/>
      <c r="F225" s="12"/>
      <c r="G225" s="18"/>
      <c r="H225" s="35"/>
      <c r="I225" s="35"/>
      <c r="J225" s="12"/>
      <c r="O225" s="12"/>
      <c r="P225" s="18"/>
      <c r="Q225" s="12"/>
      <c r="R225" s="12"/>
      <c r="S225" s="12"/>
      <c r="T225" s="36"/>
      <c r="U225" s="36"/>
      <c r="V225" s="12"/>
      <c r="W225" s="12"/>
      <c r="X225" s="12"/>
      <c r="Y225" s="12"/>
    </row>
    <row r="226" customFormat="false" ht="15.75" hidden="false" customHeight="false" outlineLevel="0" collapsed="false">
      <c r="A226" s="12"/>
      <c r="B226" s="34"/>
      <c r="C226" s="12"/>
      <c r="D226" s="12"/>
      <c r="E226" s="12"/>
      <c r="F226" s="12"/>
      <c r="G226" s="18"/>
      <c r="H226" s="35"/>
      <c r="I226" s="35"/>
      <c r="J226" s="12"/>
      <c r="O226" s="12"/>
      <c r="P226" s="18"/>
      <c r="Q226" s="12"/>
      <c r="R226" s="12"/>
      <c r="S226" s="12"/>
      <c r="T226" s="36"/>
      <c r="U226" s="36"/>
      <c r="V226" s="12"/>
      <c r="W226" s="12"/>
      <c r="X226" s="12"/>
      <c r="Y226" s="12"/>
    </row>
    <row r="227" customFormat="false" ht="15.75" hidden="false" customHeight="false" outlineLevel="0" collapsed="false">
      <c r="A227" s="12"/>
      <c r="B227" s="34"/>
      <c r="C227" s="12"/>
      <c r="D227" s="12"/>
      <c r="E227" s="12"/>
      <c r="F227" s="12"/>
      <c r="G227" s="18"/>
      <c r="H227" s="35"/>
      <c r="I227" s="35"/>
      <c r="J227" s="12"/>
      <c r="O227" s="12"/>
      <c r="P227" s="18"/>
      <c r="Q227" s="12"/>
      <c r="R227" s="12"/>
      <c r="S227" s="12"/>
      <c r="T227" s="36"/>
      <c r="U227" s="36"/>
      <c r="V227" s="12"/>
      <c r="W227" s="12"/>
      <c r="X227" s="12"/>
      <c r="Y227" s="12"/>
    </row>
    <row r="228" customFormat="false" ht="15.75" hidden="false" customHeight="false" outlineLevel="0" collapsed="false">
      <c r="A228" s="12"/>
      <c r="B228" s="34"/>
      <c r="C228" s="12"/>
      <c r="D228" s="12"/>
      <c r="E228" s="12"/>
      <c r="F228" s="12"/>
      <c r="G228" s="18"/>
      <c r="H228" s="35"/>
      <c r="I228" s="35"/>
      <c r="J228" s="12"/>
      <c r="O228" s="12"/>
      <c r="P228" s="18"/>
      <c r="Q228" s="12"/>
      <c r="R228" s="12"/>
      <c r="S228" s="12"/>
      <c r="T228" s="36"/>
      <c r="U228" s="36"/>
      <c r="V228" s="12"/>
      <c r="W228" s="12"/>
      <c r="X228" s="12"/>
      <c r="Y228" s="12"/>
    </row>
    <row r="229" customFormat="false" ht="15.75" hidden="false" customHeight="false" outlineLevel="0" collapsed="false">
      <c r="A229" s="12"/>
      <c r="B229" s="34"/>
      <c r="C229" s="12"/>
      <c r="D229" s="12"/>
      <c r="E229" s="12"/>
      <c r="F229" s="12"/>
      <c r="G229" s="18"/>
      <c r="H229" s="35"/>
      <c r="I229" s="35"/>
      <c r="J229" s="12"/>
      <c r="O229" s="12"/>
      <c r="P229" s="18"/>
      <c r="Q229" s="12"/>
      <c r="R229" s="12"/>
      <c r="S229" s="12"/>
      <c r="T229" s="36"/>
      <c r="U229" s="36"/>
      <c r="V229" s="12"/>
      <c r="W229" s="12"/>
      <c r="X229" s="12"/>
      <c r="Y229" s="12"/>
    </row>
    <row r="230" customFormat="false" ht="15.75" hidden="false" customHeight="false" outlineLevel="0" collapsed="false">
      <c r="A230" s="12"/>
      <c r="B230" s="34"/>
      <c r="C230" s="12"/>
      <c r="D230" s="12"/>
      <c r="E230" s="12"/>
      <c r="F230" s="12"/>
      <c r="G230" s="18"/>
      <c r="H230" s="35"/>
      <c r="I230" s="35"/>
      <c r="J230" s="12"/>
      <c r="O230" s="12"/>
      <c r="P230" s="18"/>
      <c r="Q230" s="12"/>
      <c r="R230" s="12"/>
      <c r="S230" s="12"/>
      <c r="T230" s="36"/>
      <c r="U230" s="36"/>
      <c r="V230" s="12"/>
      <c r="W230" s="12"/>
      <c r="X230" s="12"/>
      <c r="Y230" s="12"/>
    </row>
    <row r="231" customFormat="false" ht="15.75" hidden="false" customHeight="false" outlineLevel="0" collapsed="false">
      <c r="A231" s="12"/>
      <c r="B231" s="34"/>
      <c r="C231" s="12"/>
      <c r="D231" s="12"/>
      <c r="E231" s="12"/>
      <c r="F231" s="12"/>
      <c r="G231" s="18"/>
      <c r="H231" s="35"/>
      <c r="I231" s="35"/>
      <c r="J231" s="12"/>
      <c r="O231" s="12"/>
      <c r="P231" s="18"/>
      <c r="Q231" s="12"/>
      <c r="R231" s="12"/>
      <c r="S231" s="12"/>
      <c r="T231" s="36"/>
      <c r="U231" s="36"/>
      <c r="V231" s="12"/>
      <c r="W231" s="12"/>
      <c r="X231" s="12"/>
      <c r="Y231" s="12"/>
    </row>
    <row r="232" customFormat="false" ht="15.75" hidden="false" customHeight="false" outlineLevel="0" collapsed="false">
      <c r="A232" s="12"/>
      <c r="B232" s="34"/>
      <c r="C232" s="12"/>
      <c r="D232" s="12"/>
      <c r="E232" s="12"/>
      <c r="F232" s="12"/>
      <c r="G232" s="18"/>
      <c r="H232" s="35"/>
      <c r="I232" s="35"/>
      <c r="J232" s="12"/>
      <c r="O232" s="12"/>
      <c r="P232" s="18"/>
      <c r="Q232" s="12"/>
      <c r="R232" s="12"/>
      <c r="S232" s="12"/>
      <c r="T232" s="36"/>
      <c r="U232" s="36"/>
      <c r="V232" s="12"/>
      <c r="W232" s="12"/>
      <c r="X232" s="12"/>
      <c r="Y232" s="12"/>
    </row>
    <row r="233" customFormat="false" ht="15.75" hidden="false" customHeight="false" outlineLevel="0" collapsed="false">
      <c r="A233" s="12"/>
      <c r="B233" s="34"/>
      <c r="C233" s="12"/>
      <c r="D233" s="12"/>
      <c r="E233" s="12"/>
      <c r="F233" s="12"/>
      <c r="G233" s="18"/>
      <c r="H233" s="35"/>
      <c r="I233" s="35"/>
      <c r="J233" s="12"/>
      <c r="O233" s="12"/>
      <c r="P233" s="18"/>
      <c r="Q233" s="12"/>
      <c r="R233" s="12"/>
      <c r="S233" s="12"/>
      <c r="T233" s="36"/>
      <c r="U233" s="36"/>
      <c r="V233" s="12"/>
      <c r="W233" s="12"/>
      <c r="X233" s="12"/>
      <c r="Y233" s="12"/>
    </row>
    <row r="234" customFormat="false" ht="15.75" hidden="false" customHeight="false" outlineLevel="0" collapsed="false">
      <c r="A234" s="12"/>
      <c r="B234" s="34"/>
      <c r="C234" s="12"/>
      <c r="D234" s="12"/>
      <c r="E234" s="12"/>
      <c r="F234" s="12"/>
      <c r="G234" s="18"/>
      <c r="H234" s="35"/>
      <c r="I234" s="35"/>
      <c r="J234" s="12"/>
      <c r="O234" s="12"/>
      <c r="P234" s="18"/>
      <c r="Q234" s="12"/>
      <c r="R234" s="12"/>
      <c r="S234" s="12"/>
      <c r="T234" s="36"/>
      <c r="U234" s="36"/>
      <c r="V234" s="12"/>
      <c r="W234" s="12"/>
      <c r="X234" s="12"/>
      <c r="Y234" s="12"/>
    </row>
    <row r="235" customFormat="false" ht="15.75" hidden="false" customHeight="false" outlineLevel="0" collapsed="false">
      <c r="A235" s="12"/>
      <c r="B235" s="34"/>
      <c r="C235" s="12"/>
      <c r="D235" s="12"/>
      <c r="E235" s="12"/>
      <c r="F235" s="12"/>
      <c r="G235" s="18"/>
      <c r="H235" s="35"/>
      <c r="I235" s="35"/>
      <c r="J235" s="12"/>
      <c r="O235" s="12"/>
      <c r="P235" s="18"/>
      <c r="Q235" s="12"/>
      <c r="R235" s="12"/>
      <c r="S235" s="12"/>
      <c r="T235" s="36"/>
      <c r="U235" s="36"/>
      <c r="V235" s="12"/>
      <c r="W235" s="12"/>
      <c r="X235" s="12"/>
      <c r="Y235" s="12"/>
    </row>
    <row r="236" customFormat="false" ht="15.75" hidden="false" customHeight="false" outlineLevel="0" collapsed="false">
      <c r="A236" s="12"/>
      <c r="B236" s="34"/>
      <c r="C236" s="12"/>
      <c r="D236" s="12"/>
      <c r="E236" s="12"/>
      <c r="F236" s="12"/>
      <c r="G236" s="18"/>
      <c r="H236" s="35"/>
      <c r="I236" s="35"/>
      <c r="J236" s="12"/>
      <c r="O236" s="12"/>
      <c r="P236" s="18"/>
      <c r="Q236" s="12"/>
      <c r="R236" s="12"/>
      <c r="S236" s="12"/>
      <c r="T236" s="36"/>
      <c r="U236" s="36"/>
      <c r="V236" s="12"/>
      <c r="W236" s="12"/>
      <c r="X236" s="12"/>
      <c r="Y236" s="12"/>
    </row>
    <row r="237" customFormat="false" ht="15.75" hidden="false" customHeight="false" outlineLevel="0" collapsed="false">
      <c r="A237" s="12"/>
      <c r="B237" s="34"/>
      <c r="C237" s="12"/>
      <c r="D237" s="12"/>
      <c r="E237" s="12"/>
      <c r="F237" s="12"/>
      <c r="G237" s="18"/>
      <c r="H237" s="35"/>
      <c r="I237" s="35"/>
      <c r="J237" s="12"/>
      <c r="O237" s="12"/>
      <c r="P237" s="18"/>
      <c r="Q237" s="12"/>
      <c r="R237" s="12"/>
      <c r="S237" s="12"/>
      <c r="T237" s="36"/>
      <c r="U237" s="36"/>
      <c r="V237" s="12"/>
      <c r="W237" s="12"/>
      <c r="X237" s="12"/>
      <c r="Y237" s="12"/>
    </row>
    <row r="238" customFormat="false" ht="15.75" hidden="false" customHeight="false" outlineLevel="0" collapsed="false">
      <c r="A238" s="12"/>
      <c r="B238" s="34"/>
      <c r="C238" s="12"/>
      <c r="D238" s="12"/>
      <c r="E238" s="12"/>
      <c r="F238" s="12"/>
      <c r="G238" s="18"/>
      <c r="H238" s="35"/>
      <c r="I238" s="35"/>
      <c r="J238" s="12"/>
      <c r="O238" s="12"/>
      <c r="P238" s="18"/>
      <c r="Q238" s="12"/>
      <c r="R238" s="12"/>
      <c r="S238" s="12"/>
      <c r="T238" s="36"/>
      <c r="U238" s="36"/>
      <c r="V238" s="12"/>
      <c r="W238" s="12"/>
      <c r="X238" s="12"/>
      <c r="Y238" s="12"/>
    </row>
    <row r="239" customFormat="false" ht="15.75" hidden="false" customHeight="false" outlineLevel="0" collapsed="false">
      <c r="A239" s="12"/>
      <c r="B239" s="34"/>
      <c r="C239" s="12"/>
      <c r="D239" s="12"/>
      <c r="E239" s="12"/>
      <c r="F239" s="12"/>
      <c r="G239" s="18"/>
      <c r="H239" s="35"/>
      <c r="I239" s="35"/>
      <c r="J239" s="12"/>
      <c r="O239" s="12"/>
      <c r="P239" s="18"/>
      <c r="Q239" s="12"/>
      <c r="R239" s="12"/>
      <c r="S239" s="12"/>
      <c r="T239" s="36"/>
      <c r="U239" s="36"/>
      <c r="V239" s="12"/>
      <c r="W239" s="12"/>
      <c r="X239" s="12"/>
      <c r="Y239" s="12"/>
    </row>
    <row r="240" customFormat="false" ht="15.75" hidden="false" customHeight="false" outlineLevel="0" collapsed="false">
      <c r="A240" s="12"/>
      <c r="B240" s="34"/>
      <c r="C240" s="12"/>
      <c r="D240" s="12"/>
      <c r="E240" s="12"/>
      <c r="F240" s="12"/>
      <c r="G240" s="18"/>
      <c r="H240" s="35"/>
      <c r="I240" s="35"/>
      <c r="J240" s="12"/>
      <c r="O240" s="12"/>
      <c r="P240" s="18"/>
      <c r="Q240" s="12"/>
      <c r="R240" s="12"/>
      <c r="S240" s="12"/>
      <c r="T240" s="36"/>
      <c r="U240" s="36"/>
      <c r="V240" s="12"/>
      <c r="W240" s="12"/>
      <c r="X240" s="12"/>
      <c r="Y240" s="12"/>
    </row>
    <row r="241" customFormat="false" ht="15.75" hidden="false" customHeight="false" outlineLevel="0" collapsed="false">
      <c r="A241" s="12"/>
      <c r="B241" s="34"/>
      <c r="C241" s="12"/>
      <c r="D241" s="12"/>
      <c r="E241" s="12"/>
      <c r="F241" s="12"/>
      <c r="G241" s="18"/>
      <c r="H241" s="35"/>
      <c r="I241" s="35"/>
      <c r="J241" s="12"/>
      <c r="O241" s="12"/>
      <c r="P241" s="18"/>
      <c r="Q241" s="12"/>
      <c r="R241" s="12"/>
      <c r="S241" s="12"/>
      <c r="T241" s="36"/>
      <c r="U241" s="36"/>
      <c r="V241" s="12"/>
      <c r="W241" s="12"/>
      <c r="X241" s="12"/>
      <c r="Y241" s="12"/>
    </row>
    <row r="242" customFormat="false" ht="15.75" hidden="false" customHeight="false" outlineLevel="0" collapsed="false">
      <c r="A242" s="12"/>
      <c r="B242" s="34"/>
      <c r="C242" s="12"/>
      <c r="D242" s="12"/>
      <c r="E242" s="12"/>
      <c r="F242" s="12"/>
      <c r="G242" s="18"/>
      <c r="H242" s="35"/>
      <c r="I242" s="35"/>
      <c r="J242" s="12"/>
      <c r="O242" s="12"/>
      <c r="P242" s="18"/>
      <c r="Q242" s="12"/>
      <c r="R242" s="12"/>
      <c r="S242" s="12"/>
      <c r="T242" s="36"/>
      <c r="U242" s="36"/>
      <c r="V242" s="12"/>
      <c r="W242" s="12"/>
      <c r="X242" s="12"/>
      <c r="Y242" s="12"/>
    </row>
    <row r="243" customFormat="false" ht="15.75" hidden="false" customHeight="false" outlineLevel="0" collapsed="false">
      <c r="A243" s="12"/>
      <c r="B243" s="34"/>
      <c r="C243" s="12"/>
      <c r="D243" s="12"/>
      <c r="E243" s="12"/>
      <c r="F243" s="12"/>
      <c r="G243" s="18"/>
      <c r="H243" s="35"/>
      <c r="I243" s="35"/>
      <c r="J243" s="12"/>
      <c r="O243" s="12"/>
      <c r="P243" s="18"/>
      <c r="Q243" s="12"/>
      <c r="R243" s="12"/>
      <c r="S243" s="12"/>
      <c r="T243" s="36"/>
      <c r="U243" s="36"/>
      <c r="V243" s="12"/>
      <c r="W243" s="12"/>
      <c r="X243" s="12"/>
      <c r="Y243" s="12"/>
    </row>
    <row r="244" customFormat="false" ht="15.75" hidden="false" customHeight="false" outlineLevel="0" collapsed="false">
      <c r="A244" s="12"/>
      <c r="B244" s="34"/>
      <c r="C244" s="12"/>
      <c r="D244" s="12"/>
      <c r="E244" s="12"/>
      <c r="F244" s="12"/>
      <c r="G244" s="18"/>
      <c r="H244" s="35"/>
      <c r="I244" s="35"/>
      <c r="J244" s="12"/>
      <c r="O244" s="12"/>
      <c r="P244" s="18"/>
      <c r="Q244" s="12"/>
      <c r="R244" s="12"/>
      <c r="S244" s="12"/>
      <c r="T244" s="36"/>
      <c r="U244" s="36"/>
      <c r="V244" s="12"/>
      <c r="W244" s="12"/>
      <c r="X244" s="12"/>
      <c r="Y244" s="12"/>
    </row>
    <row r="245" customFormat="false" ht="15.75" hidden="false" customHeight="false" outlineLevel="0" collapsed="false">
      <c r="A245" s="12"/>
      <c r="B245" s="34"/>
      <c r="C245" s="12"/>
      <c r="D245" s="12"/>
      <c r="E245" s="12"/>
      <c r="F245" s="12"/>
      <c r="G245" s="18"/>
      <c r="H245" s="35"/>
      <c r="I245" s="35"/>
      <c r="J245" s="12"/>
      <c r="O245" s="12"/>
      <c r="P245" s="18"/>
      <c r="Q245" s="12"/>
      <c r="R245" s="12"/>
      <c r="S245" s="12"/>
      <c r="T245" s="36"/>
      <c r="U245" s="36"/>
      <c r="V245" s="12"/>
      <c r="W245" s="12"/>
      <c r="X245" s="12"/>
      <c r="Y245" s="12"/>
    </row>
    <row r="246" customFormat="false" ht="15.75" hidden="false" customHeight="false" outlineLevel="0" collapsed="false">
      <c r="A246" s="12"/>
      <c r="B246" s="34"/>
      <c r="C246" s="12"/>
      <c r="D246" s="12"/>
      <c r="E246" s="12"/>
      <c r="F246" s="12"/>
      <c r="G246" s="18"/>
      <c r="H246" s="35"/>
      <c r="I246" s="35"/>
      <c r="J246" s="12"/>
      <c r="O246" s="12"/>
      <c r="P246" s="18"/>
      <c r="Q246" s="12"/>
      <c r="R246" s="12"/>
      <c r="S246" s="12"/>
      <c r="T246" s="36"/>
      <c r="U246" s="36"/>
      <c r="V246" s="12"/>
      <c r="W246" s="12"/>
      <c r="X246" s="12"/>
      <c r="Y246" s="12"/>
    </row>
    <row r="247" customFormat="false" ht="15.75" hidden="false" customHeight="false" outlineLevel="0" collapsed="false">
      <c r="A247" s="12"/>
      <c r="B247" s="34"/>
      <c r="C247" s="12"/>
      <c r="D247" s="12"/>
      <c r="E247" s="12"/>
      <c r="F247" s="12"/>
      <c r="G247" s="18"/>
      <c r="H247" s="35"/>
      <c r="I247" s="35"/>
      <c r="J247" s="12"/>
      <c r="O247" s="12"/>
      <c r="P247" s="18"/>
      <c r="Q247" s="12"/>
      <c r="R247" s="12"/>
      <c r="S247" s="12"/>
      <c r="T247" s="36"/>
      <c r="U247" s="36"/>
      <c r="V247" s="12"/>
      <c r="W247" s="12"/>
      <c r="X247" s="12"/>
      <c r="Y247" s="12"/>
    </row>
    <row r="248" customFormat="false" ht="15.75" hidden="false" customHeight="false" outlineLevel="0" collapsed="false">
      <c r="A248" s="12"/>
      <c r="B248" s="34"/>
      <c r="C248" s="12"/>
      <c r="D248" s="12"/>
      <c r="E248" s="12"/>
      <c r="F248" s="12"/>
      <c r="G248" s="18"/>
      <c r="H248" s="35"/>
      <c r="I248" s="35"/>
      <c r="J248" s="12"/>
      <c r="O248" s="12"/>
      <c r="P248" s="18"/>
      <c r="Q248" s="12"/>
      <c r="R248" s="12"/>
      <c r="S248" s="12"/>
      <c r="T248" s="36"/>
      <c r="U248" s="36"/>
      <c r="V248" s="12"/>
      <c r="W248" s="12"/>
      <c r="X248" s="12"/>
      <c r="Y248" s="12"/>
    </row>
    <row r="249" customFormat="false" ht="15.75" hidden="false" customHeight="false" outlineLevel="0" collapsed="false">
      <c r="A249" s="12"/>
      <c r="B249" s="34"/>
      <c r="C249" s="12"/>
      <c r="D249" s="12"/>
      <c r="E249" s="12"/>
      <c r="F249" s="12"/>
      <c r="G249" s="18"/>
      <c r="H249" s="35"/>
      <c r="I249" s="35"/>
      <c r="J249" s="12"/>
      <c r="O249" s="12"/>
      <c r="P249" s="18"/>
      <c r="Q249" s="12"/>
      <c r="R249" s="12"/>
      <c r="S249" s="12"/>
      <c r="T249" s="36"/>
      <c r="U249" s="36"/>
      <c r="V249" s="12"/>
      <c r="W249" s="12"/>
      <c r="X249" s="12"/>
      <c r="Y249" s="12"/>
    </row>
    <row r="250" customFormat="false" ht="15.75" hidden="false" customHeight="false" outlineLevel="0" collapsed="false">
      <c r="A250" s="12"/>
      <c r="B250" s="34"/>
      <c r="C250" s="12"/>
      <c r="D250" s="12"/>
      <c r="E250" s="12"/>
      <c r="F250" s="12"/>
      <c r="G250" s="18"/>
      <c r="H250" s="35"/>
      <c r="I250" s="35"/>
      <c r="J250" s="12"/>
      <c r="O250" s="12"/>
      <c r="P250" s="18"/>
      <c r="Q250" s="12"/>
      <c r="R250" s="12"/>
      <c r="S250" s="12"/>
      <c r="T250" s="36"/>
      <c r="U250" s="36"/>
      <c r="V250" s="12"/>
      <c r="W250" s="12"/>
      <c r="X250" s="12"/>
      <c r="Y250" s="12"/>
    </row>
    <row r="251" customFormat="false" ht="15.75" hidden="false" customHeight="false" outlineLevel="0" collapsed="false">
      <c r="A251" s="12"/>
      <c r="B251" s="34"/>
      <c r="C251" s="12"/>
      <c r="D251" s="12"/>
      <c r="E251" s="12"/>
      <c r="F251" s="12"/>
      <c r="G251" s="18"/>
      <c r="H251" s="35"/>
      <c r="I251" s="35"/>
      <c r="J251" s="12"/>
      <c r="O251" s="12"/>
      <c r="P251" s="18"/>
      <c r="Q251" s="12"/>
      <c r="R251" s="12"/>
      <c r="S251" s="12"/>
      <c r="T251" s="36"/>
      <c r="U251" s="36"/>
      <c r="V251" s="12"/>
      <c r="W251" s="12"/>
      <c r="X251" s="12"/>
      <c r="Y251" s="12"/>
    </row>
    <row r="252" customFormat="false" ht="15.75" hidden="false" customHeight="false" outlineLevel="0" collapsed="false">
      <c r="A252" s="12"/>
      <c r="B252" s="34"/>
      <c r="C252" s="12"/>
      <c r="D252" s="12"/>
      <c r="E252" s="12"/>
      <c r="F252" s="12"/>
      <c r="G252" s="18"/>
      <c r="H252" s="35"/>
      <c r="I252" s="35"/>
      <c r="J252" s="12"/>
      <c r="O252" s="12"/>
      <c r="P252" s="18"/>
      <c r="Q252" s="12"/>
      <c r="R252" s="12"/>
      <c r="S252" s="12"/>
      <c r="T252" s="36"/>
      <c r="U252" s="36"/>
      <c r="V252" s="12"/>
      <c r="W252" s="12"/>
      <c r="X252" s="12"/>
      <c r="Y252" s="12"/>
    </row>
    <row r="253" customFormat="false" ht="15.75" hidden="false" customHeight="false" outlineLevel="0" collapsed="false">
      <c r="A253" s="12"/>
      <c r="B253" s="34"/>
      <c r="C253" s="12"/>
      <c r="D253" s="12"/>
      <c r="E253" s="12"/>
      <c r="F253" s="12"/>
      <c r="G253" s="18"/>
      <c r="H253" s="35"/>
      <c r="I253" s="35"/>
      <c r="J253" s="12"/>
      <c r="O253" s="12"/>
      <c r="P253" s="18"/>
      <c r="Q253" s="12"/>
      <c r="R253" s="12"/>
      <c r="S253" s="12"/>
      <c r="T253" s="36"/>
      <c r="U253" s="36"/>
      <c r="V253" s="12"/>
      <c r="W253" s="12"/>
      <c r="X253" s="12"/>
      <c r="Y253" s="12"/>
    </row>
    <row r="254" customFormat="false" ht="15.75" hidden="false" customHeight="false" outlineLevel="0" collapsed="false">
      <c r="A254" s="12"/>
      <c r="B254" s="34"/>
      <c r="C254" s="12"/>
      <c r="D254" s="12"/>
      <c r="E254" s="12"/>
      <c r="F254" s="12"/>
      <c r="G254" s="18"/>
      <c r="H254" s="35"/>
      <c r="I254" s="35"/>
      <c r="J254" s="12"/>
      <c r="O254" s="12"/>
      <c r="P254" s="18"/>
      <c r="Q254" s="12"/>
      <c r="R254" s="12"/>
      <c r="S254" s="12"/>
      <c r="T254" s="36"/>
      <c r="U254" s="36"/>
      <c r="V254" s="12"/>
      <c r="W254" s="12"/>
      <c r="X254" s="12"/>
      <c r="Y254" s="12"/>
    </row>
    <row r="255" customFormat="false" ht="15.75" hidden="false" customHeight="false" outlineLevel="0" collapsed="false">
      <c r="A255" s="12"/>
      <c r="B255" s="34"/>
      <c r="C255" s="12"/>
      <c r="D255" s="12"/>
      <c r="E255" s="12"/>
      <c r="F255" s="12"/>
      <c r="G255" s="18"/>
      <c r="H255" s="35"/>
      <c r="I255" s="35"/>
      <c r="J255" s="12"/>
      <c r="O255" s="12"/>
      <c r="P255" s="18"/>
      <c r="Q255" s="12"/>
      <c r="R255" s="12"/>
      <c r="S255" s="12"/>
      <c r="T255" s="36"/>
      <c r="U255" s="36"/>
      <c r="V255" s="12"/>
      <c r="W255" s="12"/>
      <c r="X255" s="12"/>
      <c r="Y255" s="12"/>
    </row>
    <row r="256" customFormat="false" ht="15.75" hidden="false" customHeight="false" outlineLevel="0" collapsed="false">
      <c r="A256" s="12"/>
      <c r="B256" s="34"/>
      <c r="C256" s="12"/>
      <c r="D256" s="12"/>
      <c r="E256" s="12"/>
      <c r="F256" s="12"/>
      <c r="G256" s="18"/>
      <c r="H256" s="35"/>
      <c r="I256" s="35"/>
      <c r="J256" s="12"/>
      <c r="O256" s="12"/>
      <c r="P256" s="18"/>
      <c r="Q256" s="12"/>
      <c r="R256" s="12"/>
      <c r="S256" s="12"/>
      <c r="T256" s="36"/>
      <c r="U256" s="36"/>
      <c r="V256" s="12"/>
      <c r="W256" s="12"/>
      <c r="X256" s="12"/>
      <c r="Y256" s="12"/>
    </row>
    <row r="257" customFormat="false" ht="15.75" hidden="false" customHeight="false" outlineLevel="0" collapsed="false">
      <c r="A257" s="12"/>
      <c r="B257" s="34"/>
      <c r="C257" s="12"/>
      <c r="D257" s="12"/>
      <c r="E257" s="12"/>
      <c r="F257" s="12"/>
      <c r="G257" s="18"/>
      <c r="H257" s="35"/>
      <c r="I257" s="35"/>
      <c r="J257" s="12"/>
      <c r="O257" s="12"/>
      <c r="P257" s="18"/>
      <c r="Q257" s="12"/>
      <c r="R257" s="12"/>
      <c r="S257" s="12"/>
      <c r="T257" s="36"/>
      <c r="U257" s="36"/>
      <c r="V257" s="12"/>
      <c r="W257" s="12"/>
      <c r="X257" s="12"/>
      <c r="Y257" s="12"/>
    </row>
    <row r="258" customFormat="false" ht="15.75" hidden="false" customHeight="false" outlineLevel="0" collapsed="false">
      <c r="A258" s="12"/>
      <c r="B258" s="34"/>
      <c r="C258" s="12"/>
      <c r="D258" s="12"/>
      <c r="E258" s="12"/>
      <c r="F258" s="12"/>
      <c r="G258" s="18"/>
      <c r="H258" s="35"/>
      <c r="I258" s="35"/>
      <c r="J258" s="12"/>
      <c r="O258" s="12"/>
      <c r="P258" s="18"/>
      <c r="Q258" s="12"/>
      <c r="R258" s="12"/>
      <c r="S258" s="12"/>
      <c r="T258" s="36"/>
      <c r="U258" s="36"/>
      <c r="V258" s="12"/>
      <c r="W258" s="12"/>
      <c r="X258" s="12"/>
      <c r="Y258" s="12"/>
    </row>
    <row r="259" customFormat="false" ht="15.75" hidden="false" customHeight="false" outlineLevel="0" collapsed="false">
      <c r="A259" s="12"/>
      <c r="B259" s="34"/>
      <c r="C259" s="12"/>
      <c r="D259" s="12"/>
      <c r="E259" s="12"/>
      <c r="F259" s="12"/>
      <c r="G259" s="18"/>
      <c r="H259" s="35"/>
      <c r="I259" s="35"/>
      <c r="J259" s="12"/>
      <c r="O259" s="12"/>
      <c r="P259" s="18"/>
      <c r="Q259" s="12"/>
      <c r="R259" s="12"/>
      <c r="S259" s="12"/>
      <c r="T259" s="36"/>
      <c r="U259" s="36"/>
      <c r="V259" s="12"/>
      <c r="W259" s="12"/>
      <c r="X259" s="12"/>
      <c r="Y259" s="12"/>
    </row>
    <row r="260" customFormat="false" ht="15.75" hidden="false" customHeight="false" outlineLevel="0" collapsed="false">
      <c r="A260" s="12"/>
      <c r="B260" s="34"/>
      <c r="C260" s="12"/>
      <c r="D260" s="12"/>
      <c r="E260" s="12"/>
      <c r="F260" s="12"/>
      <c r="G260" s="18"/>
      <c r="H260" s="35"/>
      <c r="I260" s="35"/>
      <c r="J260" s="12"/>
      <c r="O260" s="12"/>
      <c r="P260" s="18"/>
      <c r="Q260" s="12"/>
      <c r="R260" s="12"/>
      <c r="S260" s="12"/>
      <c r="T260" s="36"/>
      <c r="U260" s="36"/>
      <c r="V260" s="12"/>
      <c r="W260" s="12"/>
      <c r="X260" s="12"/>
      <c r="Y260" s="12"/>
    </row>
    <row r="261" customFormat="false" ht="15.75" hidden="false" customHeight="false" outlineLevel="0" collapsed="false">
      <c r="A261" s="12"/>
      <c r="B261" s="34"/>
      <c r="C261" s="12"/>
      <c r="D261" s="12"/>
      <c r="E261" s="12"/>
      <c r="F261" s="12"/>
      <c r="G261" s="18"/>
      <c r="H261" s="35"/>
      <c r="I261" s="35"/>
      <c r="J261" s="12"/>
      <c r="O261" s="12"/>
      <c r="P261" s="18"/>
      <c r="Q261" s="12"/>
      <c r="R261" s="12"/>
      <c r="S261" s="12"/>
      <c r="T261" s="36"/>
      <c r="U261" s="36"/>
      <c r="V261" s="12"/>
      <c r="W261" s="12"/>
      <c r="X261" s="12"/>
      <c r="Y261" s="12"/>
    </row>
    <row r="262" customFormat="false" ht="15.75" hidden="false" customHeight="false" outlineLevel="0" collapsed="false">
      <c r="A262" s="12"/>
      <c r="B262" s="34"/>
      <c r="C262" s="12"/>
      <c r="D262" s="12"/>
      <c r="E262" s="12"/>
      <c r="F262" s="12"/>
      <c r="G262" s="18"/>
      <c r="H262" s="35"/>
      <c r="I262" s="35"/>
      <c r="J262" s="12"/>
      <c r="O262" s="12"/>
      <c r="P262" s="18"/>
      <c r="Q262" s="12"/>
      <c r="R262" s="12"/>
      <c r="S262" s="12"/>
      <c r="T262" s="36"/>
      <c r="U262" s="36"/>
      <c r="V262" s="12"/>
      <c r="W262" s="12"/>
      <c r="X262" s="12"/>
      <c r="Y262" s="12"/>
    </row>
    <row r="263" customFormat="false" ht="15.75" hidden="false" customHeight="false" outlineLevel="0" collapsed="false">
      <c r="A263" s="12"/>
      <c r="B263" s="34"/>
      <c r="C263" s="12"/>
      <c r="D263" s="12"/>
      <c r="E263" s="12"/>
      <c r="F263" s="12"/>
      <c r="G263" s="18"/>
      <c r="H263" s="35"/>
      <c r="I263" s="35"/>
      <c r="J263" s="12"/>
      <c r="O263" s="12"/>
      <c r="P263" s="18"/>
      <c r="Q263" s="12"/>
      <c r="R263" s="12"/>
      <c r="S263" s="12"/>
      <c r="T263" s="36"/>
      <c r="U263" s="36"/>
      <c r="V263" s="12"/>
      <c r="W263" s="12"/>
      <c r="X263" s="12"/>
      <c r="Y263" s="12"/>
    </row>
    <row r="264" customFormat="false" ht="15.75" hidden="false" customHeight="false" outlineLevel="0" collapsed="false">
      <c r="A264" s="12"/>
      <c r="B264" s="34"/>
      <c r="C264" s="12"/>
      <c r="D264" s="12"/>
      <c r="E264" s="12"/>
      <c r="F264" s="12"/>
      <c r="G264" s="18"/>
      <c r="H264" s="35"/>
      <c r="I264" s="35"/>
      <c r="J264" s="12"/>
      <c r="O264" s="12"/>
      <c r="P264" s="18"/>
      <c r="Q264" s="12"/>
      <c r="R264" s="12"/>
      <c r="S264" s="12"/>
      <c r="T264" s="36"/>
      <c r="U264" s="36"/>
      <c r="V264" s="12"/>
      <c r="W264" s="12"/>
      <c r="X264" s="12"/>
      <c r="Y264" s="12"/>
    </row>
    <row r="265" customFormat="false" ht="15.75" hidden="false" customHeight="false" outlineLevel="0" collapsed="false">
      <c r="A265" s="12"/>
      <c r="B265" s="34"/>
      <c r="C265" s="12"/>
      <c r="D265" s="12"/>
      <c r="E265" s="12"/>
      <c r="F265" s="12"/>
      <c r="G265" s="18"/>
      <c r="H265" s="35"/>
      <c r="I265" s="35"/>
      <c r="J265" s="12"/>
      <c r="O265" s="12"/>
      <c r="P265" s="18"/>
      <c r="Q265" s="12"/>
      <c r="R265" s="12"/>
      <c r="S265" s="12"/>
      <c r="T265" s="36"/>
      <c r="U265" s="36"/>
      <c r="V265" s="12"/>
      <c r="W265" s="12"/>
      <c r="X265" s="12"/>
      <c r="Y265" s="12"/>
    </row>
    <row r="266" customFormat="false" ht="15.75" hidden="false" customHeight="false" outlineLevel="0" collapsed="false">
      <c r="A266" s="12"/>
      <c r="B266" s="34"/>
      <c r="C266" s="12"/>
      <c r="D266" s="12"/>
      <c r="E266" s="12"/>
      <c r="F266" s="12"/>
      <c r="G266" s="18"/>
      <c r="H266" s="35"/>
      <c r="I266" s="35"/>
      <c r="J266" s="12"/>
      <c r="O266" s="12"/>
      <c r="P266" s="18"/>
      <c r="Q266" s="12"/>
      <c r="R266" s="12"/>
      <c r="S266" s="12"/>
      <c r="T266" s="36"/>
      <c r="U266" s="36"/>
      <c r="V266" s="12"/>
      <c r="W266" s="12"/>
      <c r="X266" s="12"/>
      <c r="Y266" s="12"/>
    </row>
    <row r="267" customFormat="false" ht="15.75" hidden="false" customHeight="false" outlineLevel="0" collapsed="false">
      <c r="A267" s="12"/>
      <c r="B267" s="34"/>
      <c r="C267" s="12"/>
      <c r="D267" s="12"/>
      <c r="E267" s="12"/>
      <c r="F267" s="12"/>
      <c r="G267" s="18"/>
      <c r="H267" s="35"/>
      <c r="I267" s="35"/>
      <c r="J267" s="12"/>
      <c r="O267" s="12"/>
      <c r="P267" s="18"/>
      <c r="Q267" s="12"/>
      <c r="R267" s="12"/>
      <c r="S267" s="12"/>
      <c r="T267" s="36"/>
      <c r="U267" s="36"/>
      <c r="V267" s="12"/>
      <c r="W267" s="12"/>
      <c r="X267" s="12"/>
      <c r="Y267" s="12"/>
    </row>
    <row r="268" customFormat="false" ht="15.75" hidden="false" customHeight="false" outlineLevel="0" collapsed="false">
      <c r="A268" s="12"/>
      <c r="B268" s="34"/>
      <c r="C268" s="12"/>
      <c r="D268" s="12"/>
      <c r="E268" s="12"/>
      <c r="F268" s="12"/>
      <c r="G268" s="18"/>
      <c r="H268" s="35"/>
      <c r="I268" s="35"/>
      <c r="J268" s="12"/>
      <c r="O268" s="12"/>
      <c r="P268" s="18"/>
      <c r="Q268" s="12"/>
      <c r="R268" s="12"/>
      <c r="S268" s="12"/>
      <c r="T268" s="36"/>
      <c r="U268" s="36"/>
      <c r="V268" s="12"/>
      <c r="W268" s="12"/>
      <c r="X268" s="12"/>
      <c r="Y268" s="12"/>
    </row>
    <row r="269" customFormat="false" ht="15.75" hidden="false" customHeight="false" outlineLevel="0" collapsed="false">
      <c r="A269" s="12"/>
      <c r="B269" s="34"/>
      <c r="C269" s="12"/>
      <c r="D269" s="12"/>
      <c r="E269" s="12"/>
      <c r="F269" s="12"/>
      <c r="G269" s="18"/>
      <c r="H269" s="35"/>
      <c r="I269" s="35"/>
      <c r="J269" s="12"/>
      <c r="O269" s="12"/>
      <c r="P269" s="18"/>
      <c r="Q269" s="12"/>
      <c r="R269" s="12"/>
      <c r="S269" s="12"/>
      <c r="T269" s="36"/>
      <c r="U269" s="36"/>
      <c r="V269" s="12"/>
      <c r="W269" s="12"/>
      <c r="X269" s="12"/>
      <c r="Y269" s="12"/>
    </row>
    <row r="270" customFormat="false" ht="15.75" hidden="false" customHeight="false" outlineLevel="0" collapsed="false">
      <c r="A270" s="12"/>
      <c r="B270" s="34"/>
      <c r="C270" s="12"/>
      <c r="D270" s="12"/>
      <c r="E270" s="12"/>
      <c r="F270" s="12"/>
      <c r="G270" s="18"/>
      <c r="H270" s="35"/>
      <c r="I270" s="35"/>
      <c r="J270" s="12"/>
      <c r="O270" s="12"/>
      <c r="P270" s="18"/>
      <c r="Q270" s="12"/>
      <c r="R270" s="12"/>
      <c r="S270" s="12"/>
      <c r="T270" s="36"/>
      <c r="U270" s="36"/>
      <c r="V270" s="12"/>
      <c r="W270" s="12"/>
      <c r="X270" s="12"/>
      <c r="Y270" s="12"/>
    </row>
    <row r="271" customFormat="false" ht="15.75" hidden="false" customHeight="false" outlineLevel="0" collapsed="false">
      <c r="A271" s="12"/>
      <c r="B271" s="34"/>
      <c r="C271" s="12"/>
      <c r="D271" s="12"/>
      <c r="E271" s="12"/>
      <c r="F271" s="12"/>
      <c r="G271" s="18"/>
      <c r="H271" s="35"/>
      <c r="I271" s="35"/>
      <c r="J271" s="12"/>
      <c r="O271" s="12"/>
      <c r="P271" s="18"/>
      <c r="Q271" s="12"/>
      <c r="R271" s="12"/>
      <c r="S271" s="12"/>
      <c r="T271" s="36"/>
      <c r="U271" s="36"/>
      <c r="V271" s="12"/>
      <c r="W271" s="12"/>
      <c r="X271" s="12"/>
      <c r="Y271" s="12"/>
    </row>
    <row r="272" customFormat="false" ht="15.75" hidden="false" customHeight="false" outlineLevel="0" collapsed="false">
      <c r="A272" s="12"/>
      <c r="B272" s="34"/>
      <c r="C272" s="12"/>
      <c r="D272" s="12"/>
      <c r="E272" s="12"/>
      <c r="F272" s="12"/>
      <c r="G272" s="18"/>
      <c r="H272" s="35"/>
      <c r="I272" s="35"/>
      <c r="J272" s="12"/>
      <c r="O272" s="12"/>
      <c r="P272" s="18"/>
      <c r="Q272" s="12"/>
      <c r="R272" s="12"/>
      <c r="S272" s="12"/>
      <c r="T272" s="36"/>
      <c r="U272" s="36"/>
      <c r="V272" s="12"/>
      <c r="W272" s="12"/>
      <c r="X272" s="12"/>
      <c r="Y272" s="12"/>
    </row>
    <row r="273" customFormat="false" ht="15.75" hidden="false" customHeight="false" outlineLevel="0" collapsed="false">
      <c r="A273" s="12"/>
      <c r="B273" s="34"/>
      <c r="C273" s="12"/>
      <c r="D273" s="12"/>
      <c r="E273" s="12"/>
      <c r="F273" s="12"/>
      <c r="G273" s="18"/>
      <c r="H273" s="35"/>
      <c r="I273" s="35"/>
      <c r="J273" s="12"/>
      <c r="O273" s="12"/>
      <c r="P273" s="18"/>
      <c r="Q273" s="12"/>
      <c r="R273" s="12"/>
      <c r="S273" s="12"/>
      <c r="T273" s="36"/>
      <c r="U273" s="36"/>
      <c r="V273" s="12"/>
      <c r="W273" s="12"/>
      <c r="X273" s="12"/>
      <c r="Y273" s="12"/>
    </row>
    <row r="274" customFormat="false" ht="15.75" hidden="false" customHeight="false" outlineLevel="0" collapsed="false">
      <c r="A274" s="12"/>
      <c r="B274" s="34"/>
      <c r="C274" s="12"/>
      <c r="D274" s="12"/>
      <c r="E274" s="12"/>
      <c r="F274" s="12"/>
      <c r="G274" s="18"/>
      <c r="H274" s="35"/>
      <c r="I274" s="35"/>
      <c r="J274" s="12"/>
      <c r="O274" s="12"/>
      <c r="P274" s="18"/>
      <c r="Q274" s="12"/>
      <c r="R274" s="12"/>
      <c r="S274" s="12"/>
      <c r="T274" s="36"/>
      <c r="U274" s="36"/>
      <c r="V274" s="12"/>
      <c r="W274" s="12"/>
      <c r="X274" s="12"/>
      <c r="Y274" s="12"/>
    </row>
    <row r="275" customFormat="false" ht="15.75" hidden="false" customHeight="false" outlineLevel="0" collapsed="false">
      <c r="A275" s="12"/>
      <c r="B275" s="34"/>
      <c r="C275" s="12"/>
      <c r="D275" s="12"/>
      <c r="E275" s="12"/>
      <c r="F275" s="12"/>
      <c r="G275" s="18"/>
      <c r="H275" s="35"/>
      <c r="I275" s="35"/>
      <c r="J275" s="12"/>
      <c r="O275" s="12"/>
      <c r="P275" s="18"/>
      <c r="Q275" s="12"/>
      <c r="R275" s="12"/>
      <c r="S275" s="12"/>
      <c r="T275" s="36"/>
      <c r="U275" s="36"/>
      <c r="V275" s="12"/>
      <c r="W275" s="12"/>
      <c r="X275" s="12"/>
      <c r="Y275" s="12"/>
    </row>
    <row r="276" customFormat="false" ht="15.75" hidden="false" customHeight="false" outlineLevel="0" collapsed="false">
      <c r="A276" s="12"/>
      <c r="B276" s="34"/>
      <c r="C276" s="12"/>
      <c r="D276" s="12"/>
      <c r="E276" s="12"/>
      <c r="F276" s="12"/>
      <c r="G276" s="18"/>
      <c r="H276" s="35"/>
      <c r="I276" s="35"/>
      <c r="J276" s="12"/>
      <c r="O276" s="12"/>
      <c r="P276" s="18"/>
      <c r="Q276" s="12"/>
      <c r="R276" s="12"/>
      <c r="S276" s="12"/>
      <c r="T276" s="36"/>
      <c r="U276" s="36"/>
      <c r="V276" s="12"/>
      <c r="W276" s="12"/>
      <c r="X276" s="12"/>
      <c r="Y276" s="12"/>
    </row>
    <row r="277" customFormat="false" ht="15.75" hidden="false" customHeight="false" outlineLevel="0" collapsed="false">
      <c r="A277" s="12"/>
      <c r="B277" s="34"/>
      <c r="C277" s="12"/>
      <c r="D277" s="12"/>
      <c r="E277" s="12"/>
      <c r="F277" s="12"/>
      <c r="G277" s="18"/>
      <c r="H277" s="35"/>
      <c r="I277" s="35"/>
      <c r="J277" s="12"/>
      <c r="O277" s="12"/>
      <c r="P277" s="18"/>
      <c r="Q277" s="12"/>
      <c r="R277" s="12"/>
      <c r="S277" s="12"/>
      <c r="T277" s="36"/>
      <c r="U277" s="36"/>
      <c r="V277" s="12"/>
      <c r="W277" s="12"/>
      <c r="X277" s="12"/>
      <c r="Y277" s="12"/>
    </row>
    <row r="278" customFormat="false" ht="15.75" hidden="false" customHeight="false" outlineLevel="0" collapsed="false">
      <c r="A278" s="12"/>
      <c r="B278" s="34"/>
      <c r="C278" s="12"/>
      <c r="D278" s="12"/>
      <c r="E278" s="12"/>
      <c r="F278" s="12"/>
      <c r="G278" s="18"/>
      <c r="H278" s="35"/>
      <c r="I278" s="35"/>
      <c r="J278" s="12"/>
      <c r="O278" s="12"/>
      <c r="P278" s="18"/>
      <c r="Q278" s="12"/>
      <c r="R278" s="12"/>
      <c r="S278" s="12"/>
      <c r="T278" s="36"/>
      <c r="U278" s="36"/>
      <c r="V278" s="12"/>
      <c r="W278" s="12"/>
      <c r="X278" s="12"/>
      <c r="Y278" s="12"/>
    </row>
    <row r="279" customFormat="false" ht="15.75" hidden="false" customHeight="false" outlineLevel="0" collapsed="false">
      <c r="A279" s="12"/>
      <c r="B279" s="34"/>
      <c r="C279" s="12"/>
      <c r="D279" s="12"/>
      <c r="E279" s="12"/>
      <c r="F279" s="12"/>
      <c r="G279" s="18"/>
      <c r="H279" s="35"/>
      <c r="I279" s="35"/>
      <c r="J279" s="12"/>
      <c r="O279" s="12"/>
      <c r="P279" s="18"/>
      <c r="Q279" s="12"/>
      <c r="R279" s="12"/>
      <c r="S279" s="12"/>
      <c r="T279" s="36"/>
      <c r="U279" s="36"/>
      <c r="V279" s="12"/>
      <c r="W279" s="12"/>
      <c r="X279" s="12"/>
      <c r="Y279" s="12"/>
    </row>
    <row r="280" customFormat="false" ht="15.75" hidden="false" customHeight="false" outlineLevel="0" collapsed="false">
      <c r="A280" s="12"/>
      <c r="B280" s="34"/>
      <c r="C280" s="12"/>
      <c r="D280" s="12"/>
      <c r="E280" s="12"/>
      <c r="F280" s="12"/>
      <c r="G280" s="18"/>
      <c r="H280" s="35"/>
      <c r="I280" s="35"/>
      <c r="J280" s="12"/>
      <c r="O280" s="12"/>
      <c r="P280" s="18"/>
      <c r="Q280" s="12"/>
      <c r="R280" s="12"/>
      <c r="S280" s="12"/>
      <c r="T280" s="36"/>
      <c r="U280" s="36"/>
      <c r="V280" s="12"/>
      <c r="W280" s="12"/>
      <c r="X280" s="12"/>
      <c r="Y280" s="12"/>
    </row>
    <row r="281" customFormat="false" ht="15.75" hidden="false" customHeight="false" outlineLevel="0" collapsed="false">
      <c r="A281" s="12"/>
      <c r="B281" s="34"/>
      <c r="C281" s="12"/>
      <c r="D281" s="12"/>
      <c r="E281" s="12"/>
      <c r="F281" s="12"/>
      <c r="G281" s="18"/>
      <c r="H281" s="35"/>
      <c r="I281" s="35"/>
      <c r="J281" s="12"/>
      <c r="O281" s="12"/>
      <c r="P281" s="18"/>
      <c r="Q281" s="12"/>
      <c r="R281" s="12"/>
      <c r="S281" s="12"/>
      <c r="T281" s="36"/>
      <c r="U281" s="36"/>
      <c r="V281" s="12"/>
      <c r="W281" s="12"/>
      <c r="X281" s="12"/>
      <c r="Y281" s="12"/>
    </row>
    <row r="282" customFormat="false" ht="15.75" hidden="false" customHeight="false" outlineLevel="0" collapsed="false">
      <c r="A282" s="12"/>
      <c r="B282" s="34"/>
      <c r="C282" s="12"/>
      <c r="D282" s="12"/>
      <c r="E282" s="12"/>
      <c r="F282" s="12"/>
      <c r="G282" s="18"/>
      <c r="H282" s="35"/>
      <c r="I282" s="35"/>
      <c r="J282" s="12"/>
      <c r="O282" s="12"/>
      <c r="P282" s="18"/>
      <c r="Q282" s="12"/>
      <c r="R282" s="12"/>
      <c r="S282" s="12"/>
      <c r="T282" s="36"/>
      <c r="U282" s="36"/>
      <c r="V282" s="12"/>
      <c r="W282" s="12"/>
      <c r="X282" s="12"/>
      <c r="Y282" s="12"/>
    </row>
    <row r="283" customFormat="false" ht="15.75" hidden="false" customHeight="false" outlineLevel="0" collapsed="false">
      <c r="A283" s="12"/>
      <c r="B283" s="34"/>
      <c r="C283" s="12"/>
      <c r="D283" s="12"/>
      <c r="E283" s="12"/>
      <c r="F283" s="12"/>
      <c r="G283" s="18"/>
      <c r="H283" s="35"/>
      <c r="I283" s="35"/>
      <c r="J283" s="12"/>
      <c r="O283" s="12"/>
      <c r="P283" s="18"/>
      <c r="Q283" s="12"/>
      <c r="R283" s="12"/>
      <c r="S283" s="12"/>
      <c r="T283" s="36"/>
      <c r="U283" s="36"/>
      <c r="V283" s="12"/>
      <c r="W283" s="12"/>
      <c r="X283" s="12"/>
      <c r="Y283" s="12"/>
    </row>
    <row r="284" customFormat="false" ht="15.75" hidden="false" customHeight="false" outlineLevel="0" collapsed="false">
      <c r="A284" s="12"/>
      <c r="B284" s="34"/>
      <c r="C284" s="12"/>
      <c r="D284" s="12"/>
      <c r="E284" s="12"/>
      <c r="F284" s="12"/>
      <c r="G284" s="18"/>
      <c r="H284" s="35"/>
      <c r="I284" s="35"/>
      <c r="J284" s="12"/>
      <c r="O284" s="12"/>
      <c r="P284" s="18"/>
      <c r="Q284" s="12"/>
      <c r="R284" s="12"/>
      <c r="S284" s="12"/>
      <c r="T284" s="36"/>
      <c r="U284" s="36"/>
      <c r="V284" s="12"/>
      <c r="W284" s="12"/>
      <c r="X284" s="12"/>
      <c r="Y284" s="12"/>
    </row>
    <row r="285" customFormat="false" ht="15.75" hidden="false" customHeight="false" outlineLevel="0" collapsed="false">
      <c r="A285" s="12"/>
      <c r="B285" s="34"/>
      <c r="C285" s="12"/>
      <c r="D285" s="12"/>
      <c r="E285" s="12"/>
      <c r="F285" s="12"/>
      <c r="G285" s="18"/>
      <c r="H285" s="35"/>
      <c r="I285" s="35"/>
      <c r="J285" s="12"/>
      <c r="O285" s="12"/>
      <c r="P285" s="18"/>
      <c r="Q285" s="12"/>
      <c r="R285" s="12"/>
      <c r="S285" s="12"/>
      <c r="T285" s="36"/>
      <c r="U285" s="36"/>
      <c r="V285" s="12"/>
      <c r="W285" s="12"/>
      <c r="X285" s="12"/>
      <c r="Y285" s="12"/>
    </row>
    <row r="286" customFormat="false" ht="15.75" hidden="false" customHeight="false" outlineLevel="0" collapsed="false">
      <c r="A286" s="12"/>
      <c r="B286" s="34"/>
      <c r="C286" s="12"/>
      <c r="D286" s="12"/>
      <c r="E286" s="12"/>
      <c r="F286" s="12"/>
      <c r="G286" s="18"/>
      <c r="H286" s="35"/>
      <c r="I286" s="35"/>
      <c r="J286" s="12"/>
      <c r="O286" s="12"/>
      <c r="P286" s="18"/>
      <c r="Q286" s="12"/>
      <c r="R286" s="12"/>
      <c r="S286" s="12"/>
      <c r="T286" s="36"/>
      <c r="U286" s="36"/>
      <c r="V286" s="12"/>
      <c r="W286" s="12"/>
      <c r="X286" s="12"/>
      <c r="Y286" s="12"/>
    </row>
    <row r="287" customFormat="false" ht="15.75" hidden="false" customHeight="false" outlineLevel="0" collapsed="false">
      <c r="A287" s="12"/>
      <c r="B287" s="34"/>
      <c r="C287" s="12"/>
      <c r="D287" s="12"/>
      <c r="E287" s="12"/>
      <c r="F287" s="12"/>
      <c r="G287" s="18"/>
      <c r="H287" s="35"/>
      <c r="I287" s="35"/>
      <c r="J287" s="12"/>
      <c r="O287" s="12"/>
      <c r="P287" s="18"/>
      <c r="Q287" s="12"/>
      <c r="R287" s="12"/>
      <c r="S287" s="12"/>
      <c r="T287" s="36"/>
      <c r="U287" s="36"/>
      <c r="V287" s="12"/>
      <c r="W287" s="12"/>
      <c r="X287" s="12"/>
      <c r="Y287" s="12"/>
    </row>
    <row r="288" customFormat="false" ht="15.75" hidden="false" customHeight="false" outlineLevel="0" collapsed="false">
      <c r="A288" s="12"/>
      <c r="B288" s="34"/>
      <c r="C288" s="12"/>
      <c r="D288" s="12"/>
      <c r="E288" s="12"/>
      <c r="F288" s="12"/>
      <c r="G288" s="18"/>
      <c r="H288" s="35"/>
      <c r="I288" s="35"/>
      <c r="J288" s="12"/>
      <c r="O288" s="12"/>
      <c r="P288" s="18"/>
      <c r="Q288" s="12"/>
      <c r="R288" s="12"/>
      <c r="S288" s="12"/>
      <c r="T288" s="36"/>
      <c r="U288" s="36"/>
      <c r="V288" s="12"/>
      <c r="W288" s="12"/>
      <c r="X288" s="12"/>
      <c r="Y288" s="12"/>
    </row>
    <row r="289" customFormat="false" ht="15.75" hidden="false" customHeight="false" outlineLevel="0" collapsed="false">
      <c r="A289" s="12"/>
      <c r="B289" s="34"/>
      <c r="C289" s="12"/>
      <c r="D289" s="12"/>
      <c r="E289" s="12"/>
      <c r="F289" s="12"/>
      <c r="G289" s="18"/>
      <c r="H289" s="35"/>
      <c r="I289" s="35"/>
      <c r="J289" s="12"/>
      <c r="O289" s="12"/>
      <c r="P289" s="18"/>
      <c r="Q289" s="12"/>
      <c r="R289" s="12"/>
      <c r="S289" s="12"/>
      <c r="T289" s="36"/>
      <c r="U289" s="36"/>
      <c r="V289" s="12"/>
      <c r="W289" s="12"/>
      <c r="X289" s="12"/>
      <c r="Y289" s="12"/>
    </row>
    <row r="290" customFormat="false" ht="15.75" hidden="false" customHeight="false" outlineLevel="0" collapsed="false">
      <c r="A290" s="12"/>
      <c r="B290" s="34"/>
      <c r="C290" s="12"/>
      <c r="D290" s="12"/>
      <c r="E290" s="12"/>
      <c r="F290" s="12"/>
      <c r="G290" s="18"/>
      <c r="H290" s="35"/>
      <c r="I290" s="35"/>
      <c r="J290" s="12"/>
      <c r="O290" s="12"/>
      <c r="P290" s="18"/>
      <c r="Q290" s="12"/>
      <c r="R290" s="12"/>
      <c r="S290" s="12"/>
      <c r="T290" s="36"/>
      <c r="U290" s="36"/>
      <c r="V290" s="12"/>
      <c r="W290" s="12"/>
      <c r="X290" s="12"/>
      <c r="Y290" s="12"/>
    </row>
    <row r="291" customFormat="false" ht="15.75" hidden="false" customHeight="false" outlineLevel="0" collapsed="false">
      <c r="A291" s="12"/>
      <c r="B291" s="34"/>
      <c r="C291" s="12"/>
      <c r="D291" s="12"/>
      <c r="E291" s="12"/>
      <c r="F291" s="12"/>
      <c r="G291" s="18"/>
      <c r="H291" s="35"/>
      <c r="I291" s="35"/>
      <c r="J291" s="12"/>
      <c r="O291" s="12"/>
      <c r="P291" s="18"/>
      <c r="Q291" s="12"/>
      <c r="R291" s="12"/>
      <c r="S291" s="12"/>
      <c r="T291" s="36"/>
      <c r="U291" s="36"/>
      <c r="V291" s="12"/>
      <c r="W291" s="12"/>
      <c r="X291" s="12"/>
      <c r="Y291" s="12"/>
    </row>
    <row r="292" customFormat="false" ht="15.75" hidden="false" customHeight="false" outlineLevel="0" collapsed="false">
      <c r="A292" s="12"/>
      <c r="B292" s="34"/>
      <c r="C292" s="12"/>
      <c r="D292" s="12"/>
      <c r="E292" s="12"/>
      <c r="F292" s="12"/>
      <c r="G292" s="18"/>
      <c r="H292" s="35"/>
      <c r="I292" s="35"/>
      <c r="J292" s="12"/>
      <c r="O292" s="12"/>
      <c r="P292" s="18"/>
      <c r="Q292" s="12"/>
      <c r="R292" s="12"/>
      <c r="S292" s="12"/>
      <c r="T292" s="36"/>
      <c r="U292" s="36"/>
      <c r="V292" s="12"/>
      <c r="W292" s="12"/>
      <c r="X292" s="12"/>
      <c r="Y292" s="12"/>
    </row>
    <row r="293" customFormat="false" ht="15.75" hidden="false" customHeight="false" outlineLevel="0" collapsed="false">
      <c r="A293" s="12"/>
      <c r="B293" s="34"/>
      <c r="C293" s="12"/>
      <c r="D293" s="12"/>
      <c r="E293" s="12"/>
      <c r="F293" s="12"/>
      <c r="G293" s="18"/>
      <c r="H293" s="35"/>
      <c r="I293" s="35"/>
      <c r="J293" s="12"/>
      <c r="O293" s="12"/>
      <c r="P293" s="18"/>
      <c r="Q293" s="12"/>
      <c r="R293" s="12"/>
      <c r="S293" s="12"/>
      <c r="T293" s="36"/>
      <c r="U293" s="36"/>
      <c r="V293" s="12"/>
      <c r="W293" s="12"/>
      <c r="X293" s="12"/>
      <c r="Y293" s="12"/>
    </row>
    <row r="294" customFormat="false" ht="15.75" hidden="false" customHeight="false" outlineLevel="0" collapsed="false">
      <c r="A294" s="12"/>
      <c r="B294" s="34"/>
      <c r="C294" s="12"/>
      <c r="D294" s="12"/>
      <c r="E294" s="12"/>
      <c r="F294" s="12"/>
      <c r="G294" s="18"/>
      <c r="H294" s="35"/>
      <c r="I294" s="35"/>
      <c r="J294" s="12"/>
      <c r="O294" s="12"/>
      <c r="P294" s="18"/>
      <c r="Q294" s="12"/>
      <c r="R294" s="12"/>
      <c r="S294" s="12"/>
      <c r="T294" s="36"/>
      <c r="U294" s="36"/>
      <c r="V294" s="12"/>
      <c r="W294" s="12"/>
      <c r="X294" s="12"/>
      <c r="Y294" s="12"/>
    </row>
    <row r="295" customFormat="false" ht="15.75" hidden="false" customHeight="false" outlineLevel="0" collapsed="false">
      <c r="A295" s="12"/>
      <c r="B295" s="34"/>
      <c r="C295" s="12"/>
      <c r="D295" s="12"/>
      <c r="E295" s="12"/>
      <c r="F295" s="12"/>
      <c r="G295" s="18"/>
      <c r="H295" s="35"/>
      <c r="I295" s="35"/>
      <c r="J295" s="12"/>
      <c r="O295" s="12"/>
      <c r="P295" s="18"/>
      <c r="Q295" s="12"/>
      <c r="R295" s="12"/>
      <c r="S295" s="12"/>
      <c r="T295" s="36"/>
      <c r="U295" s="36"/>
      <c r="V295" s="12"/>
      <c r="W295" s="12"/>
      <c r="X295" s="12"/>
      <c r="Y295" s="12"/>
    </row>
    <row r="296" customFormat="false" ht="15.75" hidden="false" customHeight="false" outlineLevel="0" collapsed="false">
      <c r="A296" s="12"/>
      <c r="B296" s="34"/>
      <c r="C296" s="12"/>
      <c r="D296" s="12"/>
      <c r="E296" s="12"/>
      <c r="F296" s="12"/>
      <c r="G296" s="18"/>
      <c r="H296" s="35"/>
      <c r="I296" s="35"/>
      <c r="J296" s="12"/>
      <c r="O296" s="12"/>
      <c r="P296" s="18"/>
      <c r="Q296" s="12"/>
      <c r="R296" s="12"/>
      <c r="S296" s="12"/>
      <c r="T296" s="36"/>
      <c r="U296" s="36"/>
      <c r="V296" s="12"/>
      <c r="W296" s="12"/>
      <c r="X296" s="12"/>
      <c r="Y296" s="12"/>
    </row>
    <row r="297" customFormat="false" ht="15.75" hidden="false" customHeight="false" outlineLevel="0" collapsed="false">
      <c r="A297" s="12"/>
      <c r="B297" s="34"/>
      <c r="C297" s="12"/>
      <c r="D297" s="12"/>
      <c r="E297" s="12"/>
      <c r="F297" s="12"/>
      <c r="G297" s="18"/>
      <c r="H297" s="35"/>
      <c r="I297" s="35"/>
      <c r="J297" s="12"/>
      <c r="O297" s="12"/>
      <c r="P297" s="18"/>
      <c r="Q297" s="12"/>
      <c r="R297" s="12"/>
      <c r="S297" s="12"/>
      <c r="T297" s="36"/>
      <c r="U297" s="36"/>
      <c r="V297" s="12"/>
      <c r="W297" s="12"/>
      <c r="X297" s="12"/>
      <c r="Y297" s="12"/>
    </row>
    <row r="298" customFormat="false" ht="15.75" hidden="false" customHeight="false" outlineLevel="0" collapsed="false">
      <c r="A298" s="12"/>
      <c r="B298" s="34"/>
      <c r="C298" s="12"/>
      <c r="D298" s="12"/>
      <c r="E298" s="12"/>
      <c r="F298" s="12"/>
      <c r="G298" s="18"/>
      <c r="H298" s="35"/>
      <c r="I298" s="35"/>
      <c r="J298" s="12"/>
      <c r="O298" s="12"/>
      <c r="P298" s="18"/>
      <c r="Q298" s="12"/>
      <c r="R298" s="12"/>
      <c r="S298" s="12"/>
      <c r="T298" s="36"/>
      <c r="U298" s="36"/>
      <c r="V298" s="12"/>
      <c r="W298" s="12"/>
      <c r="X298" s="12"/>
      <c r="Y298" s="12"/>
    </row>
    <row r="299" customFormat="false" ht="15.75" hidden="false" customHeight="false" outlineLevel="0" collapsed="false">
      <c r="A299" s="12"/>
      <c r="B299" s="34"/>
      <c r="C299" s="12"/>
      <c r="D299" s="12"/>
      <c r="E299" s="12"/>
      <c r="F299" s="12"/>
      <c r="G299" s="18"/>
      <c r="H299" s="35"/>
      <c r="I299" s="35"/>
      <c r="J299" s="12"/>
      <c r="O299" s="12"/>
      <c r="P299" s="18"/>
      <c r="Q299" s="12"/>
      <c r="R299" s="12"/>
      <c r="S299" s="12"/>
      <c r="T299" s="36"/>
      <c r="U299" s="36"/>
      <c r="V299" s="12"/>
      <c r="W299" s="12"/>
      <c r="X299" s="12"/>
      <c r="Y299" s="12"/>
    </row>
    <row r="300" customFormat="false" ht="15.75" hidden="false" customHeight="false" outlineLevel="0" collapsed="false">
      <c r="A300" s="12"/>
      <c r="B300" s="34"/>
      <c r="C300" s="12"/>
      <c r="D300" s="12"/>
      <c r="E300" s="12"/>
      <c r="F300" s="12"/>
      <c r="G300" s="18"/>
      <c r="H300" s="35"/>
      <c r="I300" s="35"/>
      <c r="J300" s="12"/>
      <c r="O300" s="12"/>
      <c r="P300" s="18"/>
      <c r="Q300" s="12"/>
      <c r="R300" s="12"/>
      <c r="S300" s="12"/>
      <c r="T300" s="36"/>
      <c r="U300" s="36"/>
      <c r="V300" s="12"/>
      <c r="W300" s="12"/>
      <c r="X300" s="12"/>
      <c r="Y300" s="12"/>
    </row>
    <row r="301" customFormat="false" ht="15.75" hidden="false" customHeight="false" outlineLevel="0" collapsed="false">
      <c r="A301" s="12"/>
      <c r="B301" s="34"/>
      <c r="C301" s="12"/>
      <c r="D301" s="12"/>
      <c r="E301" s="12"/>
      <c r="F301" s="12"/>
      <c r="G301" s="18"/>
      <c r="H301" s="35"/>
      <c r="I301" s="35"/>
      <c r="J301" s="12"/>
      <c r="O301" s="12"/>
      <c r="P301" s="18"/>
      <c r="Q301" s="12"/>
      <c r="R301" s="12"/>
      <c r="S301" s="12"/>
      <c r="T301" s="36"/>
      <c r="U301" s="36"/>
      <c r="V301" s="12"/>
      <c r="W301" s="12"/>
      <c r="X301" s="12"/>
      <c r="Y301" s="12"/>
    </row>
    <row r="302" customFormat="false" ht="15.75" hidden="false" customHeight="false" outlineLevel="0" collapsed="false">
      <c r="A302" s="12"/>
      <c r="B302" s="34"/>
      <c r="C302" s="12"/>
      <c r="D302" s="12"/>
      <c r="E302" s="12"/>
      <c r="F302" s="12"/>
      <c r="G302" s="18"/>
      <c r="H302" s="35"/>
      <c r="I302" s="35"/>
      <c r="J302" s="12"/>
      <c r="O302" s="12"/>
      <c r="P302" s="18"/>
      <c r="Q302" s="12"/>
      <c r="R302" s="12"/>
      <c r="S302" s="12"/>
      <c r="T302" s="36"/>
      <c r="U302" s="36"/>
      <c r="V302" s="12"/>
      <c r="W302" s="12"/>
      <c r="X302" s="12"/>
      <c r="Y302" s="12"/>
    </row>
    <row r="303" customFormat="false" ht="15.75" hidden="false" customHeight="false" outlineLevel="0" collapsed="false">
      <c r="A303" s="12"/>
      <c r="B303" s="34"/>
      <c r="C303" s="12"/>
      <c r="D303" s="12"/>
      <c r="E303" s="12"/>
      <c r="F303" s="12"/>
      <c r="G303" s="18"/>
      <c r="H303" s="35"/>
      <c r="I303" s="35"/>
      <c r="J303" s="12"/>
      <c r="O303" s="12"/>
      <c r="P303" s="18"/>
      <c r="Q303" s="12"/>
      <c r="R303" s="12"/>
      <c r="S303" s="12"/>
      <c r="T303" s="36"/>
      <c r="U303" s="36"/>
      <c r="V303" s="12"/>
      <c r="W303" s="12"/>
      <c r="X303" s="12"/>
      <c r="Y303" s="12"/>
    </row>
    <row r="304" customFormat="false" ht="15.75" hidden="false" customHeight="false" outlineLevel="0" collapsed="false">
      <c r="A304" s="12"/>
      <c r="B304" s="34"/>
      <c r="C304" s="12"/>
      <c r="D304" s="12"/>
      <c r="E304" s="12"/>
      <c r="F304" s="12"/>
      <c r="G304" s="18"/>
      <c r="H304" s="35"/>
      <c r="I304" s="35"/>
      <c r="J304" s="12"/>
      <c r="O304" s="12"/>
      <c r="P304" s="18"/>
      <c r="Q304" s="12"/>
      <c r="R304" s="12"/>
      <c r="S304" s="12"/>
      <c r="T304" s="36"/>
      <c r="U304" s="36"/>
      <c r="V304" s="12"/>
      <c r="W304" s="12"/>
      <c r="X304" s="12"/>
      <c r="Y304" s="12"/>
    </row>
    <row r="305" customFormat="false" ht="15.75" hidden="false" customHeight="false" outlineLevel="0" collapsed="false">
      <c r="A305" s="12"/>
      <c r="B305" s="34"/>
      <c r="C305" s="12"/>
      <c r="D305" s="12"/>
      <c r="E305" s="12"/>
      <c r="F305" s="12"/>
      <c r="G305" s="18"/>
      <c r="H305" s="35"/>
      <c r="I305" s="35"/>
      <c r="J305" s="12"/>
      <c r="O305" s="12"/>
      <c r="P305" s="18"/>
      <c r="Q305" s="12"/>
      <c r="R305" s="12"/>
      <c r="S305" s="12"/>
      <c r="T305" s="36"/>
      <c r="U305" s="36"/>
      <c r="V305" s="12"/>
      <c r="W305" s="12"/>
      <c r="X305" s="12"/>
      <c r="Y305" s="12"/>
    </row>
    <row r="306" customFormat="false" ht="15.75" hidden="false" customHeight="false" outlineLevel="0" collapsed="false">
      <c r="A306" s="12"/>
      <c r="B306" s="34"/>
      <c r="C306" s="12"/>
      <c r="D306" s="12"/>
      <c r="E306" s="12"/>
      <c r="F306" s="12"/>
      <c r="G306" s="18"/>
      <c r="H306" s="35"/>
      <c r="I306" s="35"/>
      <c r="J306" s="12"/>
      <c r="O306" s="12"/>
      <c r="P306" s="18"/>
      <c r="Q306" s="12"/>
      <c r="R306" s="12"/>
      <c r="S306" s="12"/>
      <c r="T306" s="36"/>
      <c r="U306" s="36"/>
      <c r="V306" s="12"/>
      <c r="W306" s="12"/>
      <c r="X306" s="12"/>
      <c r="Y306" s="12"/>
    </row>
    <row r="307" customFormat="false" ht="15.75" hidden="false" customHeight="false" outlineLevel="0" collapsed="false">
      <c r="A307" s="12"/>
      <c r="B307" s="34"/>
      <c r="C307" s="12"/>
      <c r="D307" s="12"/>
      <c r="E307" s="12"/>
      <c r="F307" s="12"/>
      <c r="G307" s="18"/>
      <c r="H307" s="35"/>
      <c r="I307" s="35"/>
      <c r="J307" s="12"/>
      <c r="O307" s="12"/>
      <c r="P307" s="18"/>
      <c r="Q307" s="12"/>
      <c r="R307" s="12"/>
      <c r="S307" s="12"/>
      <c r="T307" s="36"/>
      <c r="U307" s="36"/>
      <c r="V307" s="12"/>
      <c r="W307" s="12"/>
      <c r="X307" s="12"/>
      <c r="Y307" s="12"/>
    </row>
    <row r="308" customFormat="false" ht="15.75" hidden="false" customHeight="false" outlineLevel="0" collapsed="false">
      <c r="A308" s="12"/>
      <c r="B308" s="34"/>
      <c r="C308" s="12"/>
      <c r="D308" s="12"/>
      <c r="E308" s="12"/>
      <c r="F308" s="12"/>
      <c r="G308" s="18"/>
      <c r="H308" s="35"/>
      <c r="I308" s="35"/>
      <c r="J308" s="12"/>
      <c r="O308" s="12"/>
      <c r="P308" s="18"/>
      <c r="Q308" s="12"/>
      <c r="R308" s="12"/>
      <c r="S308" s="12"/>
      <c r="T308" s="36"/>
      <c r="U308" s="36"/>
      <c r="V308" s="12"/>
      <c r="W308" s="12"/>
      <c r="X308" s="12"/>
      <c r="Y308" s="12"/>
    </row>
    <row r="309" customFormat="false" ht="15.75" hidden="false" customHeight="false" outlineLevel="0" collapsed="false">
      <c r="A309" s="12"/>
      <c r="B309" s="34"/>
      <c r="C309" s="12"/>
      <c r="D309" s="12"/>
      <c r="E309" s="12"/>
      <c r="F309" s="12"/>
      <c r="G309" s="18"/>
      <c r="H309" s="35"/>
      <c r="I309" s="35"/>
      <c r="J309" s="12"/>
      <c r="O309" s="12"/>
      <c r="P309" s="18"/>
      <c r="Q309" s="12"/>
      <c r="R309" s="12"/>
      <c r="S309" s="12"/>
      <c r="T309" s="36"/>
      <c r="U309" s="36"/>
      <c r="V309" s="12"/>
      <c r="W309" s="12"/>
      <c r="X309" s="12"/>
      <c r="Y309" s="12"/>
    </row>
    <row r="310" customFormat="false" ht="15.75" hidden="false" customHeight="false" outlineLevel="0" collapsed="false">
      <c r="A310" s="12"/>
      <c r="B310" s="34"/>
      <c r="C310" s="12"/>
      <c r="D310" s="12"/>
      <c r="E310" s="12"/>
      <c r="F310" s="12"/>
      <c r="G310" s="18"/>
      <c r="H310" s="35"/>
      <c r="I310" s="35"/>
      <c r="J310" s="12"/>
      <c r="O310" s="12"/>
      <c r="P310" s="18"/>
      <c r="Q310" s="12"/>
      <c r="R310" s="12"/>
      <c r="S310" s="12"/>
      <c r="T310" s="36"/>
      <c r="U310" s="36"/>
      <c r="V310" s="12"/>
      <c r="W310" s="12"/>
      <c r="X310" s="12"/>
      <c r="Y310" s="12"/>
    </row>
    <row r="311" customFormat="false" ht="15.75" hidden="false" customHeight="false" outlineLevel="0" collapsed="false">
      <c r="A311" s="12"/>
      <c r="B311" s="34"/>
      <c r="C311" s="12"/>
      <c r="D311" s="12"/>
      <c r="E311" s="12"/>
      <c r="F311" s="12"/>
      <c r="G311" s="18"/>
      <c r="H311" s="35"/>
      <c r="I311" s="35"/>
      <c r="J311" s="12"/>
      <c r="O311" s="12"/>
      <c r="P311" s="18"/>
      <c r="Q311" s="12"/>
      <c r="R311" s="12"/>
      <c r="S311" s="12"/>
      <c r="T311" s="36"/>
      <c r="U311" s="36"/>
      <c r="V311" s="12"/>
      <c r="W311" s="12"/>
      <c r="X311" s="12"/>
      <c r="Y311" s="12"/>
    </row>
    <row r="312" customFormat="false" ht="15.75" hidden="false" customHeight="false" outlineLevel="0" collapsed="false">
      <c r="A312" s="12"/>
      <c r="B312" s="34"/>
      <c r="C312" s="12"/>
      <c r="D312" s="12"/>
      <c r="E312" s="12"/>
      <c r="F312" s="12"/>
      <c r="G312" s="18"/>
      <c r="H312" s="35"/>
      <c r="I312" s="35"/>
      <c r="J312" s="12"/>
      <c r="O312" s="12"/>
      <c r="P312" s="18"/>
      <c r="Q312" s="12"/>
      <c r="R312" s="12"/>
      <c r="S312" s="12"/>
      <c r="T312" s="36"/>
      <c r="U312" s="36"/>
      <c r="V312" s="12"/>
      <c r="W312" s="12"/>
      <c r="X312" s="12"/>
      <c r="Y312" s="12"/>
    </row>
    <row r="313" customFormat="false" ht="15.75" hidden="false" customHeight="false" outlineLevel="0" collapsed="false">
      <c r="A313" s="12"/>
      <c r="B313" s="34"/>
      <c r="C313" s="12"/>
      <c r="D313" s="12"/>
      <c r="E313" s="12"/>
      <c r="F313" s="12"/>
      <c r="G313" s="18"/>
      <c r="H313" s="35"/>
      <c r="I313" s="35"/>
      <c r="J313" s="12"/>
      <c r="O313" s="12"/>
      <c r="P313" s="18"/>
      <c r="Q313" s="12"/>
      <c r="R313" s="12"/>
      <c r="S313" s="12"/>
      <c r="T313" s="36"/>
      <c r="U313" s="36"/>
      <c r="V313" s="12"/>
      <c r="W313" s="12"/>
      <c r="X313" s="12"/>
      <c r="Y313" s="12"/>
    </row>
    <row r="314" customFormat="false" ht="15.75" hidden="false" customHeight="false" outlineLevel="0" collapsed="false">
      <c r="A314" s="12"/>
      <c r="B314" s="34"/>
      <c r="C314" s="12"/>
      <c r="D314" s="12"/>
      <c r="E314" s="12"/>
      <c r="F314" s="12"/>
      <c r="G314" s="18"/>
      <c r="H314" s="35"/>
      <c r="I314" s="35"/>
      <c r="J314" s="12"/>
      <c r="O314" s="12"/>
      <c r="P314" s="18"/>
      <c r="Q314" s="12"/>
      <c r="R314" s="12"/>
      <c r="S314" s="12"/>
      <c r="T314" s="36"/>
      <c r="U314" s="36"/>
      <c r="V314" s="12"/>
      <c r="W314" s="12"/>
      <c r="X314" s="12"/>
      <c r="Y314" s="12"/>
    </row>
    <row r="315" customFormat="false" ht="15.75" hidden="false" customHeight="false" outlineLevel="0" collapsed="false">
      <c r="A315" s="12"/>
      <c r="B315" s="34"/>
      <c r="C315" s="12"/>
      <c r="D315" s="12"/>
      <c r="E315" s="12"/>
      <c r="F315" s="12"/>
      <c r="G315" s="18"/>
      <c r="H315" s="35"/>
      <c r="I315" s="35"/>
      <c r="J315" s="12"/>
      <c r="O315" s="12"/>
      <c r="P315" s="18"/>
      <c r="Q315" s="12"/>
      <c r="R315" s="12"/>
      <c r="S315" s="12"/>
      <c r="T315" s="36"/>
      <c r="U315" s="36"/>
      <c r="V315" s="12"/>
      <c r="W315" s="12"/>
      <c r="X315" s="12"/>
      <c r="Y315" s="12"/>
    </row>
    <row r="316" customFormat="false" ht="15.75" hidden="false" customHeight="false" outlineLevel="0" collapsed="false">
      <c r="A316" s="12"/>
      <c r="B316" s="34"/>
      <c r="C316" s="12"/>
      <c r="D316" s="12"/>
      <c r="E316" s="12"/>
      <c r="F316" s="12"/>
      <c r="G316" s="18"/>
      <c r="H316" s="35"/>
      <c r="I316" s="35"/>
      <c r="J316" s="12"/>
      <c r="O316" s="12"/>
      <c r="P316" s="18"/>
      <c r="Q316" s="12"/>
      <c r="R316" s="12"/>
      <c r="S316" s="12"/>
      <c r="T316" s="36"/>
      <c r="U316" s="36"/>
      <c r="V316" s="12"/>
      <c r="W316" s="12"/>
      <c r="X316" s="12"/>
      <c r="Y316" s="12"/>
    </row>
    <row r="317" customFormat="false" ht="15.75" hidden="false" customHeight="false" outlineLevel="0" collapsed="false">
      <c r="A317" s="12"/>
      <c r="B317" s="34"/>
      <c r="C317" s="12"/>
      <c r="D317" s="12"/>
      <c r="E317" s="12"/>
      <c r="F317" s="12"/>
      <c r="G317" s="18"/>
      <c r="H317" s="35"/>
      <c r="I317" s="35"/>
      <c r="J317" s="12"/>
      <c r="O317" s="12"/>
      <c r="P317" s="18"/>
      <c r="Q317" s="12"/>
      <c r="R317" s="12"/>
      <c r="S317" s="12"/>
      <c r="T317" s="36"/>
      <c r="U317" s="36"/>
      <c r="V317" s="12"/>
      <c r="W317" s="12"/>
      <c r="X317" s="12"/>
      <c r="Y317" s="12"/>
    </row>
    <row r="318" customFormat="false" ht="15.75" hidden="false" customHeight="false" outlineLevel="0" collapsed="false">
      <c r="A318" s="12"/>
      <c r="B318" s="34"/>
      <c r="C318" s="12"/>
      <c r="D318" s="12"/>
      <c r="E318" s="12"/>
      <c r="F318" s="12"/>
      <c r="G318" s="18"/>
      <c r="H318" s="35"/>
      <c r="I318" s="35"/>
      <c r="J318" s="12"/>
      <c r="O318" s="12"/>
      <c r="P318" s="18"/>
      <c r="Q318" s="12"/>
      <c r="R318" s="12"/>
      <c r="S318" s="12"/>
      <c r="T318" s="36"/>
      <c r="U318" s="36"/>
      <c r="V318" s="12"/>
      <c r="W318" s="12"/>
      <c r="X318" s="12"/>
      <c r="Y318" s="12"/>
    </row>
    <row r="319" customFormat="false" ht="15.75" hidden="false" customHeight="false" outlineLevel="0" collapsed="false">
      <c r="A319" s="12"/>
      <c r="B319" s="34"/>
      <c r="C319" s="12"/>
      <c r="D319" s="12"/>
      <c r="E319" s="12"/>
      <c r="F319" s="12"/>
      <c r="G319" s="18"/>
      <c r="H319" s="35"/>
      <c r="I319" s="35"/>
      <c r="J319" s="12"/>
      <c r="O319" s="12"/>
      <c r="P319" s="18"/>
      <c r="Q319" s="12"/>
      <c r="R319" s="12"/>
      <c r="S319" s="12"/>
      <c r="T319" s="36"/>
      <c r="U319" s="36"/>
      <c r="V319" s="12"/>
      <c r="W319" s="12"/>
      <c r="X319" s="12"/>
      <c r="Y319" s="12"/>
    </row>
    <row r="320" customFormat="false" ht="15.75" hidden="false" customHeight="false" outlineLevel="0" collapsed="false">
      <c r="A320" s="12"/>
      <c r="B320" s="34"/>
      <c r="C320" s="12"/>
      <c r="D320" s="12"/>
      <c r="E320" s="12"/>
      <c r="F320" s="12"/>
      <c r="G320" s="18"/>
      <c r="H320" s="35"/>
      <c r="I320" s="35"/>
      <c r="J320" s="12"/>
      <c r="O320" s="12"/>
      <c r="P320" s="18"/>
      <c r="Q320" s="12"/>
      <c r="R320" s="12"/>
      <c r="S320" s="12"/>
      <c r="T320" s="36"/>
      <c r="U320" s="36"/>
      <c r="V320" s="12"/>
      <c r="W320" s="12"/>
      <c r="X320" s="12"/>
      <c r="Y320" s="12"/>
    </row>
    <row r="321" customFormat="false" ht="15.75" hidden="false" customHeight="false" outlineLevel="0" collapsed="false">
      <c r="A321" s="12"/>
      <c r="B321" s="34"/>
      <c r="C321" s="12"/>
      <c r="D321" s="12"/>
      <c r="E321" s="12"/>
      <c r="F321" s="12"/>
      <c r="G321" s="18"/>
      <c r="H321" s="35"/>
      <c r="I321" s="35"/>
      <c r="J321" s="12"/>
      <c r="O321" s="12"/>
      <c r="P321" s="18"/>
      <c r="Q321" s="12"/>
      <c r="R321" s="12"/>
      <c r="S321" s="12"/>
      <c r="T321" s="36"/>
      <c r="U321" s="36"/>
      <c r="V321" s="12"/>
      <c r="W321" s="12"/>
      <c r="X321" s="12"/>
      <c r="Y321" s="12"/>
    </row>
    <row r="322" customFormat="false" ht="15.75" hidden="false" customHeight="false" outlineLevel="0" collapsed="false">
      <c r="A322" s="12"/>
      <c r="B322" s="34"/>
      <c r="C322" s="12"/>
      <c r="D322" s="12"/>
      <c r="E322" s="12"/>
      <c r="F322" s="12"/>
      <c r="G322" s="18"/>
      <c r="H322" s="35"/>
      <c r="I322" s="35"/>
      <c r="J322" s="12"/>
      <c r="O322" s="12"/>
      <c r="P322" s="18"/>
      <c r="Q322" s="12"/>
      <c r="R322" s="12"/>
      <c r="S322" s="12"/>
      <c r="T322" s="36"/>
      <c r="U322" s="36"/>
      <c r="V322" s="12"/>
      <c r="W322" s="12"/>
      <c r="X322" s="12"/>
      <c r="Y322" s="12"/>
    </row>
    <row r="323" customFormat="false" ht="15.75" hidden="false" customHeight="false" outlineLevel="0" collapsed="false">
      <c r="A323" s="12"/>
      <c r="B323" s="34"/>
      <c r="C323" s="12"/>
      <c r="D323" s="12"/>
      <c r="E323" s="12"/>
      <c r="F323" s="12"/>
      <c r="G323" s="18"/>
      <c r="H323" s="35"/>
      <c r="I323" s="35"/>
      <c r="J323" s="12"/>
      <c r="O323" s="12"/>
      <c r="P323" s="18"/>
      <c r="Q323" s="12"/>
      <c r="R323" s="12"/>
      <c r="S323" s="12"/>
      <c r="T323" s="36"/>
      <c r="U323" s="36"/>
      <c r="V323" s="12"/>
      <c r="W323" s="12"/>
      <c r="X323" s="12"/>
      <c r="Y323" s="12"/>
    </row>
    <row r="324" customFormat="false" ht="15.75" hidden="false" customHeight="false" outlineLevel="0" collapsed="false">
      <c r="A324" s="12"/>
      <c r="B324" s="34"/>
      <c r="C324" s="12"/>
      <c r="D324" s="12"/>
      <c r="E324" s="12"/>
      <c r="F324" s="12"/>
      <c r="G324" s="18"/>
      <c r="H324" s="35"/>
      <c r="I324" s="35"/>
      <c r="J324" s="12"/>
      <c r="O324" s="12"/>
      <c r="P324" s="18"/>
      <c r="Q324" s="12"/>
      <c r="R324" s="12"/>
      <c r="S324" s="12"/>
      <c r="T324" s="36"/>
      <c r="U324" s="36"/>
      <c r="V324" s="12"/>
      <c r="W324" s="12"/>
      <c r="X324" s="12"/>
      <c r="Y324" s="12"/>
    </row>
    <row r="325" customFormat="false" ht="15.75" hidden="false" customHeight="false" outlineLevel="0" collapsed="false">
      <c r="A325" s="12"/>
      <c r="B325" s="34"/>
      <c r="C325" s="12"/>
      <c r="D325" s="12"/>
      <c r="E325" s="12"/>
      <c r="F325" s="12"/>
      <c r="G325" s="18"/>
      <c r="H325" s="35"/>
      <c r="I325" s="35"/>
      <c r="J325" s="12"/>
      <c r="O325" s="12"/>
      <c r="P325" s="18"/>
      <c r="Q325" s="12"/>
      <c r="R325" s="12"/>
      <c r="S325" s="12"/>
      <c r="T325" s="36"/>
      <c r="U325" s="36"/>
      <c r="V325" s="12"/>
      <c r="W325" s="12"/>
      <c r="X325" s="12"/>
      <c r="Y325" s="12"/>
    </row>
    <row r="326" customFormat="false" ht="15.75" hidden="false" customHeight="false" outlineLevel="0" collapsed="false">
      <c r="A326" s="12"/>
      <c r="B326" s="34"/>
      <c r="C326" s="12"/>
      <c r="D326" s="12"/>
      <c r="E326" s="12"/>
      <c r="F326" s="12"/>
      <c r="G326" s="18"/>
      <c r="H326" s="35"/>
      <c r="I326" s="35"/>
      <c r="J326" s="12"/>
      <c r="O326" s="12"/>
      <c r="P326" s="18"/>
      <c r="Q326" s="12"/>
      <c r="R326" s="12"/>
      <c r="S326" s="12"/>
      <c r="T326" s="36"/>
      <c r="U326" s="36"/>
      <c r="V326" s="12"/>
      <c r="W326" s="12"/>
      <c r="X326" s="12"/>
      <c r="Y326" s="12"/>
    </row>
    <row r="327" customFormat="false" ht="15.75" hidden="false" customHeight="false" outlineLevel="0" collapsed="false">
      <c r="A327" s="12"/>
      <c r="B327" s="34"/>
      <c r="C327" s="12"/>
      <c r="D327" s="12"/>
      <c r="E327" s="12"/>
      <c r="F327" s="12"/>
      <c r="G327" s="18"/>
      <c r="H327" s="35"/>
      <c r="I327" s="35"/>
      <c r="J327" s="12"/>
      <c r="O327" s="12"/>
      <c r="P327" s="18"/>
      <c r="Q327" s="12"/>
      <c r="R327" s="12"/>
      <c r="S327" s="12"/>
      <c r="T327" s="36"/>
      <c r="U327" s="36"/>
      <c r="V327" s="12"/>
      <c r="W327" s="12"/>
      <c r="X327" s="12"/>
      <c r="Y327" s="12"/>
    </row>
    <row r="328" customFormat="false" ht="15.75" hidden="false" customHeight="false" outlineLevel="0" collapsed="false">
      <c r="A328" s="12"/>
      <c r="B328" s="34"/>
      <c r="C328" s="12"/>
      <c r="D328" s="12"/>
      <c r="E328" s="12"/>
      <c r="F328" s="12"/>
      <c r="G328" s="18"/>
      <c r="H328" s="35"/>
      <c r="I328" s="35"/>
      <c r="J328" s="12"/>
      <c r="O328" s="12"/>
      <c r="P328" s="18"/>
      <c r="Q328" s="12"/>
      <c r="R328" s="12"/>
      <c r="S328" s="12"/>
      <c r="T328" s="36"/>
      <c r="U328" s="36"/>
      <c r="V328" s="12"/>
      <c r="W328" s="12"/>
      <c r="X328" s="12"/>
      <c r="Y328" s="12"/>
    </row>
    <row r="329" customFormat="false" ht="15.75" hidden="false" customHeight="false" outlineLevel="0" collapsed="false">
      <c r="A329" s="12"/>
      <c r="B329" s="34"/>
      <c r="C329" s="12"/>
      <c r="D329" s="12"/>
      <c r="E329" s="12"/>
      <c r="F329" s="12"/>
      <c r="G329" s="18"/>
      <c r="H329" s="35"/>
      <c r="I329" s="35"/>
      <c r="J329" s="12"/>
      <c r="O329" s="12"/>
      <c r="P329" s="18"/>
      <c r="Q329" s="12"/>
      <c r="R329" s="12"/>
      <c r="S329" s="12"/>
      <c r="T329" s="36"/>
      <c r="U329" s="36"/>
      <c r="V329" s="12"/>
      <c r="W329" s="12"/>
      <c r="X329" s="12"/>
      <c r="Y329" s="12"/>
    </row>
    <row r="330" customFormat="false" ht="15.75" hidden="false" customHeight="false" outlineLevel="0" collapsed="false">
      <c r="A330" s="12"/>
      <c r="B330" s="34"/>
      <c r="C330" s="12"/>
      <c r="D330" s="12"/>
      <c r="E330" s="12"/>
      <c r="F330" s="12"/>
      <c r="G330" s="18"/>
      <c r="H330" s="35"/>
      <c r="I330" s="35"/>
      <c r="J330" s="12"/>
      <c r="O330" s="12"/>
      <c r="P330" s="18"/>
      <c r="Q330" s="12"/>
      <c r="R330" s="12"/>
      <c r="S330" s="12"/>
      <c r="T330" s="36"/>
      <c r="U330" s="36"/>
      <c r="V330" s="12"/>
      <c r="W330" s="12"/>
      <c r="X330" s="12"/>
      <c r="Y330" s="12"/>
    </row>
    <row r="331" customFormat="false" ht="15.75" hidden="false" customHeight="false" outlineLevel="0" collapsed="false">
      <c r="A331" s="12"/>
      <c r="B331" s="34"/>
      <c r="C331" s="12"/>
      <c r="D331" s="12"/>
      <c r="E331" s="12"/>
      <c r="F331" s="12"/>
      <c r="G331" s="18"/>
      <c r="H331" s="35"/>
      <c r="I331" s="35"/>
      <c r="J331" s="12"/>
      <c r="O331" s="12"/>
      <c r="P331" s="18"/>
      <c r="Q331" s="12"/>
      <c r="R331" s="12"/>
      <c r="S331" s="12"/>
      <c r="T331" s="36"/>
      <c r="U331" s="36"/>
      <c r="V331" s="12"/>
      <c r="W331" s="12"/>
      <c r="X331" s="12"/>
      <c r="Y331" s="12"/>
    </row>
    <row r="332" customFormat="false" ht="15.75" hidden="false" customHeight="false" outlineLevel="0" collapsed="false">
      <c r="A332" s="12"/>
      <c r="B332" s="34"/>
      <c r="C332" s="12"/>
      <c r="D332" s="12"/>
      <c r="E332" s="12"/>
      <c r="F332" s="12"/>
      <c r="G332" s="18"/>
      <c r="H332" s="35"/>
      <c r="I332" s="35"/>
      <c r="J332" s="12"/>
      <c r="O332" s="12"/>
      <c r="P332" s="18"/>
      <c r="Q332" s="12"/>
      <c r="R332" s="12"/>
      <c r="S332" s="12"/>
      <c r="T332" s="36"/>
      <c r="U332" s="36"/>
      <c r="V332" s="12"/>
      <c r="W332" s="12"/>
      <c r="X332" s="12"/>
      <c r="Y332" s="12"/>
    </row>
    <row r="333" customFormat="false" ht="15.75" hidden="false" customHeight="false" outlineLevel="0" collapsed="false">
      <c r="A333" s="12"/>
      <c r="B333" s="34"/>
      <c r="C333" s="12"/>
      <c r="D333" s="12"/>
      <c r="E333" s="12"/>
      <c r="F333" s="12"/>
      <c r="G333" s="18"/>
      <c r="H333" s="35"/>
      <c r="I333" s="35"/>
      <c r="J333" s="12"/>
      <c r="O333" s="12"/>
      <c r="P333" s="18"/>
      <c r="Q333" s="12"/>
      <c r="R333" s="12"/>
      <c r="S333" s="12"/>
      <c r="T333" s="36"/>
      <c r="U333" s="36"/>
      <c r="V333" s="12"/>
      <c r="W333" s="12"/>
      <c r="X333" s="12"/>
      <c r="Y333" s="12"/>
    </row>
    <row r="334" customFormat="false" ht="15.75" hidden="false" customHeight="false" outlineLevel="0" collapsed="false">
      <c r="A334" s="12"/>
      <c r="B334" s="34"/>
      <c r="C334" s="12"/>
      <c r="D334" s="12"/>
      <c r="E334" s="12"/>
      <c r="F334" s="12"/>
      <c r="G334" s="18"/>
      <c r="H334" s="35"/>
      <c r="I334" s="35"/>
      <c r="J334" s="12"/>
      <c r="O334" s="12"/>
      <c r="P334" s="18"/>
      <c r="Q334" s="12"/>
      <c r="R334" s="12"/>
      <c r="S334" s="12"/>
      <c r="T334" s="36"/>
      <c r="U334" s="36"/>
      <c r="V334" s="12"/>
      <c r="W334" s="12"/>
      <c r="X334" s="12"/>
      <c r="Y334" s="12"/>
    </row>
    <row r="335" customFormat="false" ht="15.75" hidden="false" customHeight="false" outlineLevel="0" collapsed="false">
      <c r="A335" s="12"/>
      <c r="B335" s="34"/>
      <c r="C335" s="12"/>
      <c r="D335" s="12"/>
      <c r="E335" s="12"/>
      <c r="F335" s="12"/>
      <c r="G335" s="18"/>
      <c r="H335" s="35"/>
      <c r="I335" s="35"/>
      <c r="J335" s="12"/>
      <c r="O335" s="12"/>
      <c r="P335" s="18"/>
      <c r="Q335" s="12"/>
      <c r="R335" s="12"/>
      <c r="S335" s="12"/>
      <c r="T335" s="36"/>
      <c r="U335" s="36"/>
      <c r="V335" s="12"/>
      <c r="W335" s="12"/>
      <c r="X335" s="12"/>
      <c r="Y335" s="12"/>
    </row>
    <row r="336" customFormat="false" ht="15.75" hidden="false" customHeight="false" outlineLevel="0" collapsed="false">
      <c r="A336" s="12"/>
      <c r="B336" s="34"/>
      <c r="C336" s="12"/>
      <c r="D336" s="12"/>
      <c r="E336" s="12"/>
      <c r="F336" s="12"/>
      <c r="G336" s="18"/>
      <c r="H336" s="35"/>
      <c r="I336" s="35"/>
      <c r="J336" s="12"/>
      <c r="O336" s="12"/>
      <c r="P336" s="18"/>
      <c r="Q336" s="12"/>
      <c r="R336" s="12"/>
      <c r="S336" s="12"/>
      <c r="T336" s="36"/>
      <c r="U336" s="36"/>
      <c r="V336" s="12"/>
      <c r="W336" s="12"/>
      <c r="X336" s="12"/>
      <c r="Y336" s="12"/>
    </row>
    <row r="337" customFormat="false" ht="15.75" hidden="false" customHeight="false" outlineLevel="0" collapsed="false">
      <c r="A337" s="12"/>
      <c r="B337" s="34"/>
      <c r="C337" s="12"/>
      <c r="D337" s="12"/>
      <c r="E337" s="12"/>
      <c r="F337" s="12"/>
      <c r="G337" s="18"/>
      <c r="H337" s="35"/>
      <c r="I337" s="35"/>
      <c r="J337" s="12"/>
      <c r="O337" s="12"/>
      <c r="P337" s="18"/>
      <c r="Q337" s="12"/>
      <c r="R337" s="12"/>
      <c r="S337" s="12"/>
      <c r="T337" s="36"/>
      <c r="U337" s="36"/>
      <c r="V337" s="12"/>
      <c r="W337" s="12"/>
      <c r="X337" s="12"/>
      <c r="Y337" s="12"/>
    </row>
    <row r="338" customFormat="false" ht="15.75" hidden="false" customHeight="false" outlineLevel="0" collapsed="false">
      <c r="A338" s="12"/>
      <c r="B338" s="34"/>
      <c r="C338" s="12"/>
      <c r="D338" s="12"/>
      <c r="E338" s="12"/>
      <c r="F338" s="12"/>
      <c r="G338" s="18"/>
      <c r="H338" s="35"/>
      <c r="I338" s="35"/>
      <c r="J338" s="12"/>
      <c r="O338" s="12"/>
      <c r="P338" s="18"/>
      <c r="Q338" s="12"/>
      <c r="R338" s="12"/>
      <c r="S338" s="12"/>
      <c r="T338" s="36"/>
      <c r="U338" s="36"/>
      <c r="V338" s="12"/>
      <c r="W338" s="12"/>
      <c r="X338" s="12"/>
      <c r="Y338" s="12"/>
    </row>
    <row r="339" customFormat="false" ht="15.75" hidden="false" customHeight="false" outlineLevel="0" collapsed="false">
      <c r="A339" s="12"/>
      <c r="B339" s="34"/>
      <c r="C339" s="12"/>
      <c r="D339" s="12"/>
      <c r="E339" s="12"/>
      <c r="F339" s="12"/>
      <c r="G339" s="18"/>
      <c r="H339" s="35"/>
      <c r="I339" s="35"/>
      <c r="J339" s="12"/>
      <c r="O339" s="12"/>
      <c r="P339" s="18"/>
      <c r="Q339" s="12"/>
      <c r="R339" s="12"/>
      <c r="S339" s="12"/>
      <c r="T339" s="36"/>
      <c r="U339" s="36"/>
      <c r="V339" s="12"/>
      <c r="W339" s="12"/>
      <c r="X339" s="12"/>
      <c r="Y339" s="12"/>
    </row>
    <row r="340" customFormat="false" ht="15.75" hidden="false" customHeight="false" outlineLevel="0" collapsed="false">
      <c r="A340" s="12"/>
      <c r="B340" s="34"/>
      <c r="C340" s="12"/>
      <c r="D340" s="12"/>
      <c r="E340" s="12"/>
      <c r="F340" s="12"/>
      <c r="G340" s="18"/>
      <c r="H340" s="35"/>
      <c r="I340" s="35"/>
      <c r="J340" s="12"/>
      <c r="O340" s="12"/>
      <c r="P340" s="18"/>
      <c r="Q340" s="12"/>
      <c r="R340" s="12"/>
      <c r="S340" s="12"/>
      <c r="T340" s="36"/>
      <c r="U340" s="36"/>
      <c r="V340" s="12"/>
      <c r="W340" s="12"/>
      <c r="X340" s="12"/>
      <c r="Y340" s="12"/>
    </row>
    <row r="341" customFormat="false" ht="15.75" hidden="false" customHeight="false" outlineLevel="0" collapsed="false">
      <c r="A341" s="12"/>
      <c r="B341" s="34"/>
      <c r="C341" s="12"/>
      <c r="D341" s="12"/>
      <c r="E341" s="12"/>
      <c r="F341" s="12"/>
      <c r="G341" s="18"/>
      <c r="H341" s="35"/>
      <c r="I341" s="35"/>
      <c r="J341" s="12"/>
      <c r="O341" s="12"/>
      <c r="P341" s="18"/>
      <c r="Q341" s="12"/>
      <c r="R341" s="12"/>
      <c r="S341" s="12"/>
      <c r="T341" s="36"/>
      <c r="U341" s="36"/>
      <c r="V341" s="12"/>
      <c r="W341" s="12"/>
      <c r="X341" s="12"/>
      <c r="Y341" s="12"/>
    </row>
    <row r="342" customFormat="false" ht="15.75" hidden="false" customHeight="false" outlineLevel="0" collapsed="false">
      <c r="A342" s="12"/>
      <c r="B342" s="34"/>
      <c r="C342" s="12"/>
      <c r="D342" s="12"/>
      <c r="E342" s="12"/>
      <c r="F342" s="12"/>
      <c r="G342" s="18"/>
      <c r="H342" s="35"/>
      <c r="I342" s="35"/>
      <c r="J342" s="12"/>
      <c r="O342" s="12"/>
      <c r="P342" s="18"/>
      <c r="Q342" s="12"/>
      <c r="R342" s="12"/>
      <c r="S342" s="12"/>
      <c r="T342" s="36"/>
      <c r="U342" s="36"/>
      <c r="V342" s="12"/>
      <c r="W342" s="12"/>
      <c r="X342" s="12"/>
      <c r="Y342" s="12"/>
    </row>
    <row r="343" customFormat="false" ht="15.75" hidden="false" customHeight="false" outlineLevel="0" collapsed="false">
      <c r="A343" s="12"/>
      <c r="B343" s="34"/>
      <c r="C343" s="12"/>
      <c r="D343" s="12"/>
      <c r="E343" s="12"/>
      <c r="F343" s="12"/>
      <c r="G343" s="18"/>
      <c r="H343" s="35"/>
      <c r="I343" s="35"/>
      <c r="J343" s="12"/>
      <c r="O343" s="12"/>
      <c r="P343" s="18"/>
      <c r="Q343" s="12"/>
      <c r="R343" s="12"/>
      <c r="S343" s="12"/>
      <c r="T343" s="36"/>
      <c r="U343" s="36"/>
      <c r="V343" s="12"/>
      <c r="W343" s="12"/>
      <c r="X343" s="12"/>
      <c r="Y343" s="12"/>
    </row>
    <row r="344" customFormat="false" ht="15.75" hidden="false" customHeight="false" outlineLevel="0" collapsed="false">
      <c r="A344" s="12"/>
      <c r="B344" s="34"/>
      <c r="C344" s="12"/>
      <c r="D344" s="12"/>
      <c r="E344" s="12"/>
      <c r="F344" s="12"/>
      <c r="G344" s="18"/>
      <c r="H344" s="35"/>
      <c r="I344" s="35"/>
      <c r="J344" s="12"/>
      <c r="O344" s="12"/>
      <c r="P344" s="18"/>
      <c r="Q344" s="12"/>
      <c r="R344" s="12"/>
      <c r="S344" s="12"/>
      <c r="T344" s="36"/>
      <c r="U344" s="36"/>
      <c r="V344" s="12"/>
      <c r="W344" s="12"/>
      <c r="X344" s="12"/>
      <c r="Y344" s="12"/>
    </row>
    <row r="345" customFormat="false" ht="15.75" hidden="false" customHeight="false" outlineLevel="0" collapsed="false">
      <c r="A345" s="12"/>
      <c r="B345" s="34"/>
      <c r="C345" s="12"/>
      <c r="D345" s="12"/>
      <c r="E345" s="12"/>
      <c r="F345" s="12"/>
      <c r="G345" s="18"/>
      <c r="H345" s="35"/>
      <c r="I345" s="35"/>
      <c r="J345" s="12"/>
      <c r="O345" s="12"/>
      <c r="P345" s="18"/>
      <c r="Q345" s="12"/>
      <c r="R345" s="12"/>
      <c r="S345" s="12"/>
      <c r="T345" s="36"/>
      <c r="U345" s="36"/>
      <c r="V345" s="12"/>
      <c r="W345" s="12"/>
      <c r="X345" s="12"/>
      <c r="Y345" s="12"/>
    </row>
    <row r="346" customFormat="false" ht="15.75" hidden="false" customHeight="false" outlineLevel="0" collapsed="false">
      <c r="A346" s="12"/>
      <c r="B346" s="34"/>
      <c r="C346" s="12"/>
      <c r="D346" s="12"/>
      <c r="E346" s="12"/>
      <c r="F346" s="12"/>
      <c r="G346" s="18"/>
      <c r="H346" s="35"/>
      <c r="I346" s="35"/>
      <c r="J346" s="12"/>
      <c r="O346" s="12"/>
      <c r="P346" s="18"/>
      <c r="Q346" s="12"/>
      <c r="R346" s="12"/>
      <c r="S346" s="12"/>
      <c r="T346" s="36"/>
      <c r="U346" s="36"/>
      <c r="V346" s="12"/>
      <c r="W346" s="12"/>
      <c r="X346" s="12"/>
      <c r="Y346" s="12"/>
    </row>
    <row r="347" customFormat="false" ht="15.75" hidden="false" customHeight="false" outlineLevel="0" collapsed="false">
      <c r="A347" s="12"/>
      <c r="B347" s="34"/>
      <c r="C347" s="12"/>
      <c r="D347" s="12"/>
      <c r="E347" s="12"/>
      <c r="F347" s="12"/>
      <c r="G347" s="18"/>
      <c r="H347" s="35"/>
      <c r="I347" s="35"/>
      <c r="J347" s="12"/>
      <c r="O347" s="12"/>
      <c r="P347" s="18"/>
      <c r="Q347" s="12"/>
      <c r="R347" s="12"/>
      <c r="S347" s="12"/>
      <c r="T347" s="36"/>
      <c r="U347" s="36"/>
      <c r="V347" s="12"/>
      <c r="W347" s="12"/>
      <c r="X347" s="12"/>
      <c r="Y347" s="12"/>
    </row>
    <row r="348" customFormat="false" ht="15.75" hidden="false" customHeight="false" outlineLevel="0" collapsed="false">
      <c r="A348" s="12"/>
      <c r="B348" s="34"/>
      <c r="C348" s="12"/>
      <c r="D348" s="12"/>
      <c r="E348" s="12"/>
      <c r="F348" s="12"/>
      <c r="G348" s="18"/>
      <c r="H348" s="35"/>
      <c r="I348" s="35"/>
      <c r="J348" s="12"/>
      <c r="O348" s="12"/>
      <c r="P348" s="18"/>
      <c r="Q348" s="12"/>
      <c r="R348" s="12"/>
      <c r="S348" s="12"/>
      <c r="T348" s="36"/>
      <c r="U348" s="36"/>
      <c r="V348" s="12"/>
      <c r="W348" s="12"/>
      <c r="X348" s="12"/>
      <c r="Y348" s="12"/>
    </row>
    <row r="349" customFormat="false" ht="15.75" hidden="false" customHeight="false" outlineLevel="0" collapsed="false">
      <c r="A349" s="12"/>
      <c r="B349" s="34"/>
      <c r="C349" s="12"/>
      <c r="D349" s="12"/>
      <c r="E349" s="12"/>
      <c r="F349" s="12"/>
      <c r="G349" s="18"/>
      <c r="H349" s="35"/>
      <c r="I349" s="35"/>
      <c r="J349" s="12"/>
      <c r="O349" s="12"/>
      <c r="P349" s="18"/>
      <c r="Q349" s="12"/>
      <c r="R349" s="12"/>
      <c r="S349" s="12"/>
      <c r="T349" s="36"/>
      <c r="U349" s="36"/>
      <c r="V349" s="12"/>
      <c r="W349" s="12"/>
      <c r="X349" s="12"/>
      <c r="Y349" s="12"/>
    </row>
    <row r="350" customFormat="false" ht="15.75" hidden="false" customHeight="false" outlineLevel="0" collapsed="false">
      <c r="A350" s="12"/>
      <c r="B350" s="34"/>
      <c r="C350" s="12"/>
      <c r="D350" s="12"/>
      <c r="E350" s="12"/>
      <c r="F350" s="12"/>
      <c r="G350" s="18"/>
      <c r="H350" s="35"/>
      <c r="I350" s="35"/>
      <c r="J350" s="12"/>
      <c r="O350" s="12"/>
      <c r="P350" s="18"/>
      <c r="Q350" s="12"/>
      <c r="R350" s="12"/>
      <c r="S350" s="12"/>
      <c r="T350" s="36"/>
      <c r="U350" s="36"/>
      <c r="V350" s="12"/>
      <c r="W350" s="12"/>
      <c r="X350" s="12"/>
      <c r="Y350" s="12"/>
    </row>
    <row r="351" customFormat="false" ht="15.75" hidden="false" customHeight="false" outlineLevel="0" collapsed="false">
      <c r="A351" s="12"/>
      <c r="B351" s="34"/>
      <c r="C351" s="12"/>
      <c r="D351" s="12"/>
      <c r="E351" s="12"/>
      <c r="F351" s="12"/>
      <c r="G351" s="18"/>
      <c r="H351" s="35"/>
      <c r="I351" s="35"/>
      <c r="J351" s="12"/>
      <c r="O351" s="12"/>
      <c r="P351" s="18"/>
      <c r="Q351" s="12"/>
      <c r="R351" s="12"/>
      <c r="S351" s="12"/>
      <c r="T351" s="36"/>
      <c r="U351" s="36"/>
      <c r="V351" s="12"/>
      <c r="W351" s="12"/>
      <c r="X351" s="12"/>
      <c r="Y351" s="12"/>
    </row>
    <row r="352" customFormat="false" ht="15.75" hidden="false" customHeight="false" outlineLevel="0" collapsed="false">
      <c r="A352" s="12"/>
      <c r="B352" s="34"/>
      <c r="C352" s="12"/>
      <c r="D352" s="12"/>
      <c r="E352" s="12"/>
      <c r="F352" s="12"/>
      <c r="G352" s="18"/>
      <c r="H352" s="35"/>
      <c r="I352" s="35"/>
      <c r="J352" s="12"/>
      <c r="O352" s="12"/>
      <c r="P352" s="18"/>
      <c r="Q352" s="12"/>
      <c r="R352" s="12"/>
      <c r="S352" s="12"/>
      <c r="T352" s="36"/>
      <c r="U352" s="36"/>
      <c r="V352" s="12"/>
      <c r="W352" s="12"/>
      <c r="X352" s="12"/>
      <c r="Y352" s="12"/>
    </row>
    <row r="353" customFormat="false" ht="15.75" hidden="false" customHeight="false" outlineLevel="0" collapsed="false">
      <c r="A353" s="12"/>
      <c r="B353" s="34"/>
      <c r="C353" s="12"/>
      <c r="D353" s="12"/>
      <c r="E353" s="12"/>
      <c r="F353" s="12"/>
      <c r="G353" s="18"/>
      <c r="H353" s="35"/>
      <c r="I353" s="35"/>
      <c r="J353" s="12"/>
      <c r="O353" s="12"/>
      <c r="P353" s="18"/>
      <c r="Q353" s="12"/>
      <c r="R353" s="12"/>
      <c r="S353" s="12"/>
      <c r="T353" s="36"/>
      <c r="U353" s="36"/>
      <c r="V353" s="12"/>
      <c r="W353" s="12"/>
      <c r="X353" s="12"/>
      <c r="Y353" s="12"/>
    </row>
    <row r="354" customFormat="false" ht="15.75" hidden="false" customHeight="false" outlineLevel="0" collapsed="false">
      <c r="A354" s="12"/>
      <c r="B354" s="34"/>
      <c r="C354" s="12"/>
      <c r="D354" s="12"/>
      <c r="E354" s="12"/>
      <c r="F354" s="12"/>
      <c r="G354" s="18"/>
      <c r="H354" s="35"/>
      <c r="I354" s="35"/>
      <c r="J354" s="12"/>
      <c r="O354" s="12"/>
      <c r="P354" s="18"/>
      <c r="Q354" s="12"/>
      <c r="R354" s="12"/>
      <c r="S354" s="12"/>
      <c r="T354" s="36"/>
      <c r="U354" s="36"/>
      <c r="V354" s="12"/>
      <c r="W354" s="12"/>
      <c r="X354" s="12"/>
      <c r="Y354" s="12"/>
    </row>
    <row r="355" customFormat="false" ht="15.75" hidden="false" customHeight="false" outlineLevel="0" collapsed="false">
      <c r="A355" s="12"/>
      <c r="B355" s="34"/>
      <c r="C355" s="12"/>
      <c r="D355" s="12"/>
      <c r="E355" s="12"/>
      <c r="F355" s="12"/>
      <c r="G355" s="18"/>
      <c r="H355" s="35"/>
      <c r="I355" s="35"/>
      <c r="J355" s="12"/>
      <c r="O355" s="12"/>
      <c r="P355" s="18"/>
      <c r="Q355" s="12"/>
      <c r="R355" s="12"/>
      <c r="S355" s="12"/>
      <c r="T355" s="36"/>
      <c r="U355" s="36"/>
      <c r="V355" s="12"/>
      <c r="W355" s="12"/>
      <c r="X355" s="12"/>
      <c r="Y355" s="12"/>
    </row>
    <row r="356" customFormat="false" ht="15.75" hidden="false" customHeight="false" outlineLevel="0" collapsed="false">
      <c r="A356" s="12"/>
      <c r="B356" s="34"/>
      <c r="C356" s="12"/>
      <c r="D356" s="12"/>
      <c r="E356" s="12"/>
      <c r="F356" s="12"/>
      <c r="G356" s="18"/>
      <c r="H356" s="35"/>
      <c r="I356" s="35"/>
      <c r="J356" s="12"/>
      <c r="O356" s="12"/>
      <c r="P356" s="18"/>
      <c r="Q356" s="12"/>
      <c r="R356" s="12"/>
      <c r="S356" s="12"/>
      <c r="T356" s="36"/>
      <c r="U356" s="36"/>
      <c r="V356" s="12"/>
      <c r="W356" s="12"/>
      <c r="X356" s="12"/>
      <c r="Y356" s="12"/>
    </row>
    <row r="357" customFormat="false" ht="15.75" hidden="false" customHeight="false" outlineLevel="0" collapsed="false">
      <c r="A357" s="12"/>
      <c r="B357" s="34"/>
      <c r="C357" s="12"/>
      <c r="D357" s="12"/>
      <c r="E357" s="12"/>
      <c r="F357" s="12"/>
      <c r="G357" s="18"/>
      <c r="H357" s="35"/>
      <c r="I357" s="35"/>
      <c r="J357" s="12"/>
      <c r="O357" s="12"/>
      <c r="P357" s="18"/>
      <c r="Q357" s="12"/>
      <c r="R357" s="12"/>
      <c r="S357" s="12"/>
      <c r="T357" s="36"/>
      <c r="U357" s="36"/>
      <c r="V357" s="12"/>
      <c r="W357" s="12"/>
      <c r="X357" s="12"/>
      <c r="Y357" s="12"/>
    </row>
    <row r="358" customFormat="false" ht="15.75" hidden="false" customHeight="false" outlineLevel="0" collapsed="false">
      <c r="A358" s="12"/>
      <c r="B358" s="34"/>
      <c r="C358" s="12"/>
      <c r="D358" s="12"/>
      <c r="E358" s="12"/>
      <c r="F358" s="12"/>
      <c r="G358" s="18"/>
      <c r="H358" s="35"/>
      <c r="I358" s="35"/>
      <c r="J358" s="12"/>
      <c r="O358" s="12"/>
      <c r="P358" s="18"/>
      <c r="Q358" s="12"/>
      <c r="R358" s="12"/>
      <c r="S358" s="12"/>
      <c r="T358" s="36"/>
      <c r="U358" s="36"/>
      <c r="V358" s="12"/>
      <c r="W358" s="12"/>
      <c r="X358" s="12"/>
      <c r="Y358" s="12"/>
    </row>
    <row r="359" customFormat="false" ht="15.75" hidden="false" customHeight="false" outlineLevel="0" collapsed="false">
      <c r="A359" s="12"/>
      <c r="B359" s="34"/>
      <c r="C359" s="12"/>
      <c r="D359" s="12"/>
      <c r="E359" s="12"/>
      <c r="F359" s="12"/>
      <c r="G359" s="18"/>
      <c r="H359" s="35"/>
      <c r="I359" s="35"/>
      <c r="J359" s="12"/>
      <c r="O359" s="12"/>
      <c r="P359" s="18"/>
      <c r="Q359" s="12"/>
      <c r="R359" s="12"/>
      <c r="S359" s="12"/>
      <c r="T359" s="36"/>
      <c r="U359" s="36"/>
      <c r="V359" s="12"/>
      <c r="W359" s="12"/>
      <c r="X359" s="12"/>
      <c r="Y359" s="12"/>
    </row>
    <row r="360" customFormat="false" ht="15.75" hidden="false" customHeight="false" outlineLevel="0" collapsed="false">
      <c r="A360" s="12"/>
      <c r="B360" s="34"/>
      <c r="C360" s="12"/>
      <c r="D360" s="12"/>
      <c r="E360" s="12"/>
      <c r="F360" s="12"/>
      <c r="G360" s="18"/>
      <c r="H360" s="35"/>
      <c r="I360" s="35"/>
      <c r="J360" s="12"/>
      <c r="O360" s="12"/>
      <c r="P360" s="18"/>
      <c r="Q360" s="12"/>
      <c r="R360" s="12"/>
      <c r="S360" s="12"/>
      <c r="T360" s="36"/>
      <c r="U360" s="36"/>
      <c r="V360" s="12"/>
      <c r="W360" s="12"/>
      <c r="X360" s="12"/>
      <c r="Y360" s="12"/>
    </row>
    <row r="361" customFormat="false" ht="15.75" hidden="false" customHeight="false" outlineLevel="0" collapsed="false">
      <c r="A361" s="12"/>
      <c r="B361" s="34"/>
      <c r="C361" s="12"/>
      <c r="D361" s="12"/>
      <c r="E361" s="12"/>
      <c r="F361" s="12"/>
      <c r="G361" s="18"/>
      <c r="H361" s="35"/>
      <c r="I361" s="35"/>
      <c r="J361" s="12"/>
      <c r="O361" s="12"/>
      <c r="P361" s="18"/>
      <c r="Q361" s="12"/>
      <c r="R361" s="12"/>
      <c r="S361" s="12"/>
      <c r="T361" s="36"/>
      <c r="U361" s="36"/>
      <c r="V361" s="12"/>
      <c r="W361" s="12"/>
      <c r="X361" s="12"/>
      <c r="Y361" s="12"/>
    </row>
    <row r="362" customFormat="false" ht="15.75" hidden="false" customHeight="false" outlineLevel="0" collapsed="false">
      <c r="A362" s="12"/>
      <c r="B362" s="34"/>
      <c r="C362" s="12"/>
      <c r="D362" s="12"/>
      <c r="E362" s="12"/>
      <c r="F362" s="12"/>
      <c r="G362" s="18"/>
      <c r="H362" s="35"/>
      <c r="I362" s="35"/>
      <c r="J362" s="12"/>
      <c r="O362" s="12"/>
      <c r="P362" s="18"/>
      <c r="Q362" s="12"/>
      <c r="R362" s="12"/>
      <c r="S362" s="12"/>
      <c r="T362" s="36"/>
      <c r="U362" s="36"/>
      <c r="V362" s="12"/>
      <c r="W362" s="12"/>
      <c r="X362" s="12"/>
      <c r="Y362" s="12"/>
    </row>
    <row r="363" customFormat="false" ht="15.75" hidden="false" customHeight="false" outlineLevel="0" collapsed="false">
      <c r="A363" s="12"/>
      <c r="B363" s="34"/>
      <c r="C363" s="12"/>
      <c r="D363" s="12"/>
      <c r="E363" s="12"/>
      <c r="F363" s="12"/>
      <c r="G363" s="18"/>
      <c r="H363" s="35"/>
      <c r="I363" s="35"/>
      <c r="J363" s="12"/>
      <c r="O363" s="12"/>
      <c r="P363" s="18"/>
      <c r="Q363" s="12"/>
      <c r="R363" s="12"/>
      <c r="S363" s="12"/>
      <c r="T363" s="36"/>
      <c r="U363" s="36"/>
      <c r="V363" s="12"/>
      <c r="W363" s="12"/>
      <c r="X363" s="12"/>
      <c r="Y363" s="12"/>
    </row>
    <row r="364" customFormat="false" ht="15.75" hidden="false" customHeight="false" outlineLevel="0" collapsed="false">
      <c r="A364" s="12"/>
      <c r="B364" s="34"/>
      <c r="C364" s="12"/>
      <c r="D364" s="12"/>
      <c r="E364" s="12"/>
      <c r="F364" s="12"/>
      <c r="G364" s="18"/>
      <c r="H364" s="35"/>
      <c r="I364" s="35"/>
      <c r="J364" s="12"/>
      <c r="O364" s="12"/>
      <c r="P364" s="18"/>
      <c r="Q364" s="12"/>
      <c r="R364" s="12"/>
      <c r="S364" s="12"/>
      <c r="T364" s="36"/>
      <c r="U364" s="36"/>
      <c r="V364" s="12"/>
      <c r="W364" s="12"/>
      <c r="X364" s="12"/>
      <c r="Y364" s="12"/>
    </row>
    <row r="365" customFormat="false" ht="15.75" hidden="false" customHeight="false" outlineLevel="0" collapsed="false">
      <c r="A365" s="12"/>
      <c r="B365" s="34"/>
      <c r="C365" s="12"/>
      <c r="D365" s="12"/>
      <c r="E365" s="12"/>
      <c r="F365" s="12"/>
      <c r="G365" s="18"/>
      <c r="H365" s="35"/>
      <c r="I365" s="35"/>
      <c r="J365" s="12"/>
      <c r="O365" s="12"/>
      <c r="P365" s="18"/>
      <c r="Q365" s="12"/>
      <c r="R365" s="12"/>
      <c r="S365" s="12"/>
      <c r="T365" s="36"/>
      <c r="U365" s="36"/>
      <c r="V365" s="12"/>
      <c r="W365" s="12"/>
      <c r="X365" s="12"/>
      <c r="Y365" s="12"/>
    </row>
    <row r="366" customFormat="false" ht="15.75" hidden="false" customHeight="false" outlineLevel="0" collapsed="false">
      <c r="A366" s="12"/>
      <c r="B366" s="34"/>
      <c r="C366" s="12"/>
      <c r="D366" s="12"/>
      <c r="E366" s="12"/>
      <c r="F366" s="12"/>
      <c r="G366" s="18"/>
      <c r="H366" s="35"/>
      <c r="I366" s="35"/>
      <c r="J366" s="12"/>
      <c r="O366" s="12"/>
      <c r="P366" s="18"/>
      <c r="Q366" s="12"/>
      <c r="R366" s="12"/>
      <c r="S366" s="12"/>
      <c r="T366" s="36"/>
      <c r="U366" s="36"/>
      <c r="V366" s="12"/>
      <c r="W366" s="12"/>
      <c r="X366" s="12"/>
      <c r="Y366" s="12"/>
    </row>
    <row r="367" customFormat="false" ht="15.75" hidden="false" customHeight="false" outlineLevel="0" collapsed="false">
      <c r="A367" s="12"/>
      <c r="B367" s="34"/>
      <c r="C367" s="12"/>
      <c r="D367" s="12"/>
      <c r="E367" s="12"/>
      <c r="F367" s="12"/>
      <c r="G367" s="18"/>
      <c r="H367" s="35"/>
      <c r="I367" s="35"/>
      <c r="J367" s="12"/>
      <c r="O367" s="12"/>
      <c r="P367" s="18"/>
      <c r="Q367" s="12"/>
      <c r="R367" s="12"/>
      <c r="S367" s="12"/>
      <c r="T367" s="36"/>
      <c r="U367" s="36"/>
      <c r="V367" s="12"/>
      <c r="W367" s="12"/>
      <c r="X367" s="12"/>
      <c r="Y367" s="12"/>
    </row>
    <row r="368" customFormat="false" ht="15.75" hidden="false" customHeight="false" outlineLevel="0" collapsed="false">
      <c r="A368" s="12"/>
      <c r="B368" s="34"/>
      <c r="C368" s="12"/>
      <c r="D368" s="12"/>
      <c r="E368" s="12"/>
      <c r="F368" s="12"/>
      <c r="G368" s="18"/>
      <c r="H368" s="35"/>
      <c r="I368" s="35"/>
      <c r="J368" s="12"/>
      <c r="O368" s="12"/>
      <c r="P368" s="18"/>
      <c r="Q368" s="12"/>
      <c r="R368" s="12"/>
      <c r="S368" s="12"/>
      <c r="T368" s="36"/>
      <c r="U368" s="36"/>
      <c r="V368" s="12"/>
      <c r="W368" s="12"/>
      <c r="X368" s="12"/>
      <c r="Y368" s="12"/>
    </row>
    <row r="369" customFormat="false" ht="15.75" hidden="false" customHeight="false" outlineLevel="0" collapsed="false">
      <c r="A369" s="12"/>
      <c r="B369" s="34"/>
      <c r="C369" s="12"/>
      <c r="D369" s="12"/>
      <c r="E369" s="12"/>
      <c r="F369" s="12"/>
      <c r="G369" s="18"/>
      <c r="H369" s="35"/>
      <c r="I369" s="35"/>
      <c r="J369" s="12"/>
      <c r="O369" s="12"/>
      <c r="P369" s="18"/>
      <c r="Q369" s="12"/>
      <c r="R369" s="12"/>
      <c r="S369" s="12"/>
      <c r="T369" s="36"/>
      <c r="U369" s="36"/>
      <c r="V369" s="12"/>
      <c r="W369" s="12"/>
      <c r="X369" s="12"/>
      <c r="Y369" s="12"/>
    </row>
    <row r="370" customFormat="false" ht="15.75" hidden="false" customHeight="false" outlineLevel="0" collapsed="false">
      <c r="A370" s="12"/>
      <c r="B370" s="34"/>
      <c r="C370" s="12"/>
      <c r="D370" s="12"/>
      <c r="E370" s="12"/>
      <c r="F370" s="12"/>
      <c r="G370" s="18"/>
      <c r="H370" s="35"/>
      <c r="I370" s="35"/>
      <c r="J370" s="12"/>
      <c r="O370" s="12"/>
      <c r="P370" s="18"/>
      <c r="Q370" s="12"/>
      <c r="R370" s="12"/>
      <c r="S370" s="12"/>
      <c r="T370" s="36"/>
      <c r="U370" s="36"/>
      <c r="V370" s="12"/>
      <c r="W370" s="12"/>
      <c r="X370" s="12"/>
      <c r="Y370" s="12"/>
    </row>
    <row r="371" customFormat="false" ht="15.75" hidden="false" customHeight="false" outlineLevel="0" collapsed="false">
      <c r="A371" s="12"/>
      <c r="B371" s="34"/>
      <c r="C371" s="12"/>
      <c r="D371" s="12"/>
      <c r="E371" s="12"/>
      <c r="F371" s="12"/>
      <c r="G371" s="18"/>
      <c r="H371" s="35"/>
      <c r="I371" s="35"/>
      <c r="J371" s="12"/>
      <c r="O371" s="12"/>
      <c r="P371" s="18"/>
      <c r="Q371" s="12"/>
      <c r="R371" s="12"/>
      <c r="S371" s="12"/>
      <c r="T371" s="36"/>
      <c r="U371" s="36"/>
      <c r="V371" s="12"/>
      <c r="W371" s="12"/>
      <c r="X371" s="12"/>
      <c r="Y371" s="12"/>
    </row>
    <row r="372" customFormat="false" ht="15.75" hidden="false" customHeight="false" outlineLevel="0" collapsed="false">
      <c r="A372" s="12"/>
      <c r="B372" s="34"/>
      <c r="C372" s="12"/>
      <c r="D372" s="12"/>
      <c r="E372" s="12"/>
      <c r="F372" s="12"/>
      <c r="G372" s="18"/>
      <c r="H372" s="35"/>
      <c r="I372" s="35"/>
      <c r="J372" s="12"/>
      <c r="O372" s="12"/>
      <c r="P372" s="18"/>
      <c r="Q372" s="12"/>
      <c r="R372" s="12"/>
      <c r="S372" s="12"/>
      <c r="T372" s="36"/>
      <c r="U372" s="36"/>
      <c r="V372" s="12"/>
      <c r="W372" s="12"/>
      <c r="X372" s="12"/>
      <c r="Y372" s="12"/>
    </row>
    <row r="373" customFormat="false" ht="15.75" hidden="false" customHeight="false" outlineLevel="0" collapsed="false">
      <c r="A373" s="12"/>
      <c r="B373" s="34"/>
      <c r="C373" s="12"/>
      <c r="D373" s="12"/>
      <c r="E373" s="12"/>
      <c r="F373" s="12"/>
      <c r="G373" s="18"/>
      <c r="H373" s="35"/>
      <c r="I373" s="35"/>
      <c r="J373" s="12"/>
      <c r="O373" s="12"/>
      <c r="P373" s="18"/>
      <c r="Q373" s="12"/>
      <c r="R373" s="12"/>
      <c r="S373" s="12"/>
      <c r="T373" s="36"/>
      <c r="U373" s="36"/>
      <c r="V373" s="12"/>
      <c r="W373" s="12"/>
      <c r="X373" s="12"/>
      <c r="Y373" s="12"/>
    </row>
    <row r="374" customFormat="false" ht="15.75" hidden="false" customHeight="false" outlineLevel="0" collapsed="false">
      <c r="A374" s="12"/>
      <c r="B374" s="34"/>
      <c r="C374" s="12"/>
      <c r="D374" s="12"/>
      <c r="E374" s="12"/>
      <c r="F374" s="12"/>
      <c r="G374" s="18"/>
      <c r="H374" s="35"/>
      <c r="I374" s="35"/>
      <c r="J374" s="12"/>
      <c r="O374" s="12"/>
      <c r="P374" s="18"/>
      <c r="Q374" s="12"/>
      <c r="R374" s="12"/>
      <c r="S374" s="12"/>
      <c r="T374" s="36"/>
      <c r="U374" s="36"/>
      <c r="V374" s="12"/>
      <c r="W374" s="12"/>
      <c r="X374" s="12"/>
      <c r="Y374" s="12"/>
    </row>
    <row r="375" customFormat="false" ht="15.75" hidden="false" customHeight="false" outlineLevel="0" collapsed="false">
      <c r="A375" s="12"/>
      <c r="B375" s="34"/>
      <c r="C375" s="12"/>
      <c r="D375" s="12"/>
      <c r="E375" s="12"/>
      <c r="F375" s="12"/>
      <c r="G375" s="18"/>
      <c r="H375" s="35"/>
      <c r="I375" s="35"/>
      <c r="J375" s="12"/>
      <c r="O375" s="12"/>
      <c r="P375" s="18"/>
      <c r="Q375" s="12"/>
      <c r="R375" s="12"/>
      <c r="S375" s="12"/>
      <c r="T375" s="36"/>
      <c r="U375" s="36"/>
      <c r="V375" s="12"/>
      <c r="W375" s="12"/>
      <c r="X375" s="12"/>
      <c r="Y375" s="12"/>
    </row>
    <row r="376" customFormat="false" ht="15.75" hidden="false" customHeight="false" outlineLevel="0" collapsed="false">
      <c r="A376" s="12"/>
      <c r="B376" s="34"/>
      <c r="C376" s="12"/>
      <c r="D376" s="12"/>
      <c r="E376" s="12"/>
      <c r="F376" s="12"/>
      <c r="G376" s="18"/>
      <c r="H376" s="35"/>
      <c r="I376" s="35"/>
      <c r="J376" s="12"/>
      <c r="O376" s="12"/>
      <c r="P376" s="18"/>
      <c r="Q376" s="12"/>
      <c r="R376" s="12"/>
      <c r="S376" s="12"/>
      <c r="T376" s="36"/>
      <c r="U376" s="36"/>
      <c r="V376" s="12"/>
      <c r="W376" s="12"/>
      <c r="X376" s="12"/>
      <c r="Y376" s="12"/>
    </row>
    <row r="377" customFormat="false" ht="15.75" hidden="false" customHeight="false" outlineLevel="0" collapsed="false">
      <c r="A377" s="12"/>
      <c r="B377" s="34"/>
      <c r="C377" s="12"/>
      <c r="D377" s="12"/>
      <c r="E377" s="12"/>
      <c r="F377" s="12"/>
      <c r="G377" s="18"/>
      <c r="H377" s="35"/>
      <c r="I377" s="35"/>
      <c r="J377" s="12"/>
      <c r="O377" s="12"/>
      <c r="P377" s="18"/>
      <c r="Q377" s="12"/>
      <c r="R377" s="12"/>
      <c r="S377" s="12"/>
      <c r="T377" s="36"/>
      <c r="U377" s="36"/>
      <c r="V377" s="12"/>
      <c r="W377" s="12"/>
      <c r="X377" s="12"/>
      <c r="Y377" s="12"/>
    </row>
    <row r="378" customFormat="false" ht="15.75" hidden="false" customHeight="false" outlineLevel="0" collapsed="false">
      <c r="A378" s="12"/>
      <c r="B378" s="34"/>
      <c r="C378" s="12"/>
      <c r="D378" s="12"/>
      <c r="E378" s="12"/>
      <c r="F378" s="12"/>
      <c r="G378" s="18"/>
      <c r="H378" s="35"/>
      <c r="I378" s="35"/>
      <c r="J378" s="12"/>
      <c r="O378" s="12"/>
      <c r="P378" s="18"/>
      <c r="Q378" s="12"/>
      <c r="R378" s="12"/>
      <c r="S378" s="12"/>
      <c r="T378" s="36"/>
      <c r="U378" s="36"/>
      <c r="V378" s="12"/>
      <c r="W378" s="12"/>
      <c r="X378" s="12"/>
      <c r="Y378" s="12"/>
    </row>
    <row r="379" customFormat="false" ht="15.75" hidden="false" customHeight="false" outlineLevel="0" collapsed="false">
      <c r="A379" s="12"/>
      <c r="B379" s="34"/>
      <c r="C379" s="12"/>
      <c r="D379" s="12"/>
      <c r="E379" s="12"/>
      <c r="F379" s="12"/>
      <c r="G379" s="18"/>
      <c r="H379" s="35"/>
      <c r="I379" s="35"/>
      <c r="J379" s="12"/>
      <c r="O379" s="12"/>
      <c r="P379" s="18"/>
      <c r="Q379" s="12"/>
      <c r="R379" s="12"/>
      <c r="S379" s="12"/>
      <c r="T379" s="36"/>
      <c r="U379" s="36"/>
      <c r="V379" s="12"/>
      <c r="W379" s="12"/>
      <c r="X379" s="12"/>
      <c r="Y379" s="12"/>
    </row>
    <row r="380" customFormat="false" ht="15.75" hidden="false" customHeight="false" outlineLevel="0" collapsed="false">
      <c r="A380" s="12"/>
      <c r="B380" s="34"/>
      <c r="C380" s="12"/>
      <c r="D380" s="12"/>
      <c r="E380" s="12"/>
      <c r="F380" s="12"/>
      <c r="G380" s="18"/>
      <c r="H380" s="35"/>
      <c r="I380" s="35"/>
      <c r="J380" s="12"/>
      <c r="O380" s="12"/>
      <c r="P380" s="18"/>
      <c r="Q380" s="12"/>
      <c r="R380" s="12"/>
      <c r="S380" s="12"/>
      <c r="T380" s="36"/>
      <c r="U380" s="36"/>
      <c r="V380" s="12"/>
      <c r="W380" s="12"/>
      <c r="X380" s="12"/>
      <c r="Y380" s="12"/>
    </row>
    <row r="381" customFormat="false" ht="15.75" hidden="false" customHeight="false" outlineLevel="0" collapsed="false">
      <c r="A381" s="12"/>
      <c r="B381" s="34"/>
      <c r="C381" s="12"/>
      <c r="D381" s="12"/>
      <c r="E381" s="12"/>
      <c r="F381" s="12"/>
      <c r="G381" s="18"/>
      <c r="H381" s="35"/>
      <c r="I381" s="35"/>
      <c r="J381" s="12"/>
      <c r="O381" s="12"/>
      <c r="P381" s="18"/>
      <c r="Q381" s="12"/>
      <c r="R381" s="12"/>
      <c r="S381" s="12"/>
      <c r="T381" s="36"/>
      <c r="U381" s="36"/>
      <c r="V381" s="12"/>
      <c r="W381" s="12"/>
      <c r="X381" s="12"/>
      <c r="Y381" s="12"/>
    </row>
    <row r="382" customFormat="false" ht="15.75" hidden="false" customHeight="false" outlineLevel="0" collapsed="false">
      <c r="A382" s="12"/>
      <c r="B382" s="34"/>
      <c r="C382" s="12"/>
      <c r="D382" s="12"/>
      <c r="E382" s="12"/>
      <c r="F382" s="12"/>
      <c r="G382" s="18"/>
      <c r="H382" s="35"/>
      <c r="I382" s="35"/>
      <c r="J382" s="12"/>
      <c r="O382" s="12"/>
      <c r="P382" s="18"/>
      <c r="Q382" s="12"/>
      <c r="R382" s="12"/>
      <c r="S382" s="12"/>
      <c r="T382" s="36"/>
      <c r="U382" s="36"/>
      <c r="V382" s="12"/>
      <c r="W382" s="12"/>
      <c r="X382" s="12"/>
      <c r="Y382" s="12"/>
    </row>
    <row r="383" customFormat="false" ht="15.75" hidden="false" customHeight="false" outlineLevel="0" collapsed="false">
      <c r="A383" s="12"/>
      <c r="B383" s="34"/>
      <c r="C383" s="12"/>
      <c r="D383" s="12"/>
      <c r="E383" s="12"/>
      <c r="F383" s="12"/>
      <c r="G383" s="18"/>
      <c r="H383" s="35"/>
      <c r="I383" s="35"/>
      <c r="J383" s="12"/>
      <c r="O383" s="12"/>
      <c r="P383" s="18"/>
      <c r="Q383" s="12"/>
      <c r="R383" s="12"/>
      <c r="S383" s="12"/>
      <c r="T383" s="36"/>
      <c r="U383" s="36"/>
      <c r="V383" s="12"/>
      <c r="W383" s="12"/>
      <c r="X383" s="12"/>
      <c r="Y383" s="12"/>
    </row>
    <row r="384" customFormat="false" ht="15.75" hidden="false" customHeight="false" outlineLevel="0" collapsed="false">
      <c r="A384" s="12"/>
      <c r="B384" s="34"/>
      <c r="C384" s="12"/>
      <c r="D384" s="12"/>
      <c r="E384" s="12"/>
      <c r="F384" s="12"/>
      <c r="G384" s="18"/>
      <c r="H384" s="35"/>
      <c r="I384" s="35"/>
      <c r="J384" s="12"/>
      <c r="O384" s="12"/>
      <c r="P384" s="18"/>
      <c r="Q384" s="12"/>
      <c r="R384" s="12"/>
      <c r="S384" s="12"/>
      <c r="T384" s="36"/>
      <c r="U384" s="36"/>
      <c r="V384" s="12"/>
      <c r="W384" s="12"/>
      <c r="X384" s="12"/>
      <c r="Y384" s="12"/>
    </row>
    <row r="385" customFormat="false" ht="15.75" hidden="false" customHeight="false" outlineLevel="0" collapsed="false">
      <c r="A385" s="12"/>
      <c r="B385" s="34"/>
      <c r="C385" s="12"/>
      <c r="D385" s="12"/>
      <c r="E385" s="12"/>
      <c r="F385" s="12"/>
      <c r="G385" s="18"/>
      <c r="H385" s="35"/>
      <c r="I385" s="35"/>
      <c r="J385" s="12"/>
      <c r="O385" s="12"/>
      <c r="P385" s="18"/>
      <c r="Q385" s="12"/>
      <c r="R385" s="12"/>
      <c r="S385" s="12"/>
      <c r="T385" s="36"/>
      <c r="U385" s="36"/>
      <c r="V385" s="12"/>
      <c r="W385" s="12"/>
      <c r="X385" s="12"/>
      <c r="Y385" s="12"/>
    </row>
    <row r="386" customFormat="false" ht="15.75" hidden="false" customHeight="false" outlineLevel="0" collapsed="false">
      <c r="A386" s="12"/>
      <c r="B386" s="34"/>
      <c r="C386" s="12"/>
      <c r="D386" s="12"/>
      <c r="E386" s="12"/>
      <c r="F386" s="12"/>
      <c r="G386" s="18"/>
      <c r="H386" s="35"/>
      <c r="I386" s="35"/>
      <c r="J386" s="12"/>
      <c r="O386" s="12"/>
      <c r="P386" s="18"/>
      <c r="Q386" s="12"/>
      <c r="R386" s="12"/>
      <c r="S386" s="12"/>
      <c r="T386" s="36"/>
      <c r="U386" s="36"/>
      <c r="V386" s="12"/>
      <c r="W386" s="12"/>
      <c r="X386" s="12"/>
      <c r="Y386" s="12"/>
    </row>
    <row r="387" customFormat="false" ht="15.75" hidden="false" customHeight="false" outlineLevel="0" collapsed="false">
      <c r="A387" s="12"/>
      <c r="B387" s="34"/>
      <c r="C387" s="12"/>
      <c r="D387" s="12"/>
      <c r="E387" s="12"/>
      <c r="F387" s="12"/>
      <c r="G387" s="18"/>
      <c r="H387" s="35"/>
      <c r="I387" s="35"/>
      <c r="J387" s="12"/>
      <c r="O387" s="12"/>
      <c r="P387" s="18"/>
      <c r="Q387" s="12"/>
      <c r="R387" s="12"/>
      <c r="S387" s="12"/>
      <c r="T387" s="36"/>
      <c r="U387" s="36"/>
      <c r="V387" s="12"/>
      <c r="W387" s="12"/>
      <c r="X387" s="12"/>
      <c r="Y387" s="12"/>
    </row>
    <row r="388" customFormat="false" ht="15.75" hidden="false" customHeight="false" outlineLevel="0" collapsed="false">
      <c r="A388" s="12"/>
      <c r="B388" s="34"/>
      <c r="C388" s="12"/>
      <c r="D388" s="12"/>
      <c r="E388" s="12"/>
      <c r="F388" s="12"/>
      <c r="G388" s="18"/>
      <c r="H388" s="35"/>
      <c r="I388" s="35"/>
      <c r="J388" s="12"/>
      <c r="O388" s="12"/>
      <c r="P388" s="18"/>
      <c r="Q388" s="12"/>
      <c r="R388" s="12"/>
      <c r="S388" s="12"/>
      <c r="T388" s="36"/>
      <c r="U388" s="36"/>
      <c r="V388" s="12"/>
      <c r="W388" s="12"/>
      <c r="X388" s="12"/>
      <c r="Y388" s="12"/>
    </row>
    <row r="389" customFormat="false" ht="15.75" hidden="false" customHeight="false" outlineLevel="0" collapsed="false">
      <c r="A389" s="12"/>
      <c r="B389" s="34"/>
      <c r="C389" s="12"/>
      <c r="D389" s="12"/>
      <c r="E389" s="12"/>
      <c r="F389" s="12"/>
      <c r="G389" s="18"/>
      <c r="H389" s="35"/>
      <c r="I389" s="35"/>
      <c r="J389" s="12"/>
      <c r="O389" s="12"/>
      <c r="P389" s="18"/>
      <c r="Q389" s="12"/>
      <c r="R389" s="12"/>
      <c r="S389" s="12"/>
      <c r="T389" s="36"/>
      <c r="U389" s="36"/>
      <c r="V389" s="12"/>
      <c r="W389" s="12"/>
      <c r="X389" s="12"/>
      <c r="Y389" s="12"/>
    </row>
    <row r="390" customFormat="false" ht="15.75" hidden="false" customHeight="false" outlineLevel="0" collapsed="false">
      <c r="A390" s="12"/>
      <c r="B390" s="34"/>
      <c r="C390" s="12"/>
      <c r="D390" s="12"/>
      <c r="E390" s="12"/>
      <c r="F390" s="12"/>
      <c r="G390" s="18"/>
      <c r="H390" s="35"/>
      <c r="I390" s="35"/>
      <c r="J390" s="12"/>
      <c r="O390" s="12"/>
      <c r="P390" s="18"/>
      <c r="Q390" s="12"/>
      <c r="R390" s="12"/>
      <c r="S390" s="12"/>
      <c r="T390" s="36"/>
      <c r="U390" s="36"/>
      <c r="V390" s="12"/>
      <c r="W390" s="12"/>
      <c r="X390" s="12"/>
      <c r="Y390" s="12"/>
    </row>
    <row r="391" customFormat="false" ht="15.75" hidden="false" customHeight="false" outlineLevel="0" collapsed="false">
      <c r="A391" s="12"/>
      <c r="B391" s="34"/>
      <c r="C391" s="12"/>
      <c r="D391" s="12"/>
      <c r="E391" s="12"/>
      <c r="F391" s="12"/>
      <c r="G391" s="18"/>
      <c r="H391" s="35"/>
      <c r="I391" s="35"/>
      <c r="J391" s="12"/>
      <c r="O391" s="12"/>
      <c r="P391" s="18"/>
      <c r="Q391" s="12"/>
      <c r="R391" s="12"/>
      <c r="S391" s="12"/>
      <c r="T391" s="36"/>
      <c r="U391" s="36"/>
      <c r="V391" s="12"/>
      <c r="W391" s="12"/>
      <c r="X391" s="12"/>
      <c r="Y391" s="12"/>
    </row>
    <row r="392" customFormat="false" ht="15.75" hidden="false" customHeight="false" outlineLevel="0" collapsed="false">
      <c r="A392" s="12"/>
      <c r="B392" s="34"/>
      <c r="C392" s="12"/>
      <c r="D392" s="12"/>
      <c r="E392" s="12"/>
      <c r="F392" s="12"/>
      <c r="G392" s="18"/>
      <c r="H392" s="35"/>
      <c r="I392" s="35"/>
      <c r="J392" s="12"/>
      <c r="O392" s="12"/>
      <c r="P392" s="18"/>
      <c r="Q392" s="12"/>
      <c r="R392" s="12"/>
      <c r="S392" s="12"/>
      <c r="T392" s="36"/>
      <c r="U392" s="36"/>
      <c r="V392" s="12"/>
      <c r="W392" s="12"/>
      <c r="X392" s="12"/>
      <c r="Y392" s="12"/>
    </row>
    <row r="393" customFormat="false" ht="15.75" hidden="false" customHeight="false" outlineLevel="0" collapsed="false">
      <c r="A393" s="12"/>
      <c r="B393" s="34"/>
      <c r="C393" s="12"/>
      <c r="D393" s="12"/>
      <c r="E393" s="12"/>
      <c r="F393" s="12"/>
      <c r="G393" s="18"/>
      <c r="H393" s="35"/>
      <c r="I393" s="35"/>
      <c r="J393" s="12"/>
      <c r="O393" s="12"/>
      <c r="P393" s="18"/>
      <c r="Q393" s="12"/>
      <c r="R393" s="12"/>
      <c r="S393" s="12"/>
      <c r="T393" s="36"/>
      <c r="U393" s="36"/>
      <c r="V393" s="12"/>
      <c r="W393" s="12"/>
      <c r="X393" s="12"/>
      <c r="Y393" s="12"/>
    </row>
    <row r="394" customFormat="false" ht="15.75" hidden="false" customHeight="false" outlineLevel="0" collapsed="false">
      <c r="A394" s="12"/>
      <c r="B394" s="34"/>
      <c r="C394" s="12"/>
      <c r="D394" s="12"/>
      <c r="E394" s="12"/>
      <c r="F394" s="12"/>
      <c r="G394" s="18"/>
      <c r="H394" s="35"/>
      <c r="I394" s="35"/>
      <c r="J394" s="12"/>
      <c r="O394" s="12"/>
      <c r="P394" s="18"/>
      <c r="Q394" s="12"/>
      <c r="R394" s="12"/>
      <c r="S394" s="12"/>
      <c r="T394" s="36"/>
      <c r="U394" s="36"/>
      <c r="V394" s="12"/>
      <c r="W394" s="12"/>
      <c r="X394" s="12"/>
      <c r="Y394" s="12"/>
    </row>
    <row r="395" customFormat="false" ht="15.75" hidden="false" customHeight="false" outlineLevel="0" collapsed="false">
      <c r="A395" s="12"/>
      <c r="B395" s="34"/>
      <c r="C395" s="12"/>
      <c r="D395" s="12"/>
      <c r="E395" s="12"/>
      <c r="F395" s="12"/>
      <c r="G395" s="18"/>
      <c r="H395" s="35"/>
      <c r="I395" s="35"/>
      <c r="J395" s="12"/>
      <c r="O395" s="12"/>
      <c r="P395" s="18"/>
      <c r="Q395" s="12"/>
      <c r="R395" s="12"/>
      <c r="S395" s="12"/>
      <c r="T395" s="36"/>
      <c r="U395" s="36"/>
      <c r="V395" s="12"/>
      <c r="W395" s="12"/>
      <c r="X395" s="12"/>
      <c r="Y395" s="12"/>
    </row>
    <row r="396" customFormat="false" ht="15.75" hidden="false" customHeight="false" outlineLevel="0" collapsed="false">
      <c r="A396" s="12"/>
      <c r="B396" s="34"/>
      <c r="C396" s="12"/>
      <c r="D396" s="12"/>
      <c r="E396" s="12"/>
      <c r="F396" s="12"/>
      <c r="G396" s="18"/>
      <c r="H396" s="35"/>
      <c r="I396" s="35"/>
      <c r="J396" s="12"/>
      <c r="O396" s="12"/>
      <c r="P396" s="18"/>
      <c r="Q396" s="12"/>
      <c r="R396" s="12"/>
      <c r="S396" s="12"/>
      <c r="T396" s="36"/>
      <c r="U396" s="36"/>
      <c r="V396" s="12"/>
      <c r="W396" s="12"/>
      <c r="X396" s="12"/>
      <c r="Y396" s="12"/>
    </row>
    <row r="397" customFormat="false" ht="15.75" hidden="false" customHeight="false" outlineLevel="0" collapsed="false">
      <c r="A397" s="12"/>
      <c r="B397" s="34"/>
      <c r="C397" s="12"/>
      <c r="D397" s="12"/>
      <c r="E397" s="12"/>
      <c r="F397" s="12"/>
      <c r="G397" s="18"/>
      <c r="H397" s="35"/>
      <c r="I397" s="35"/>
      <c r="J397" s="12"/>
      <c r="O397" s="12"/>
      <c r="P397" s="18"/>
      <c r="Q397" s="12"/>
      <c r="R397" s="12"/>
      <c r="S397" s="12"/>
      <c r="T397" s="36"/>
      <c r="U397" s="36"/>
      <c r="V397" s="12"/>
      <c r="W397" s="12"/>
      <c r="X397" s="12"/>
      <c r="Y397" s="12"/>
    </row>
    <row r="398" customFormat="false" ht="15.75" hidden="false" customHeight="false" outlineLevel="0" collapsed="false">
      <c r="A398" s="12"/>
      <c r="B398" s="34"/>
      <c r="C398" s="12"/>
      <c r="D398" s="12"/>
      <c r="E398" s="12"/>
      <c r="F398" s="12"/>
      <c r="G398" s="18"/>
      <c r="H398" s="35"/>
      <c r="I398" s="35"/>
      <c r="J398" s="12"/>
      <c r="O398" s="12"/>
      <c r="P398" s="18"/>
      <c r="Q398" s="12"/>
      <c r="R398" s="12"/>
      <c r="S398" s="12"/>
      <c r="T398" s="36"/>
      <c r="U398" s="36"/>
      <c r="V398" s="12"/>
      <c r="W398" s="12"/>
      <c r="X398" s="12"/>
      <c r="Y398" s="12"/>
    </row>
    <row r="399" customFormat="false" ht="15.75" hidden="false" customHeight="false" outlineLevel="0" collapsed="false">
      <c r="A399" s="12"/>
      <c r="B399" s="34"/>
      <c r="C399" s="12"/>
      <c r="D399" s="12"/>
      <c r="E399" s="12"/>
      <c r="F399" s="12"/>
      <c r="G399" s="18"/>
      <c r="H399" s="35"/>
      <c r="I399" s="35"/>
      <c r="J399" s="12"/>
      <c r="O399" s="12"/>
      <c r="P399" s="18"/>
      <c r="Q399" s="12"/>
      <c r="R399" s="12"/>
      <c r="S399" s="12"/>
      <c r="T399" s="36"/>
      <c r="U399" s="36"/>
      <c r="V399" s="12"/>
      <c r="W399" s="12"/>
      <c r="X399" s="12"/>
      <c r="Y399" s="12"/>
    </row>
    <row r="400" customFormat="false" ht="15.75" hidden="false" customHeight="false" outlineLevel="0" collapsed="false">
      <c r="A400" s="12"/>
      <c r="B400" s="34"/>
      <c r="C400" s="12"/>
      <c r="D400" s="12"/>
      <c r="E400" s="12"/>
      <c r="F400" s="12"/>
      <c r="G400" s="18"/>
      <c r="H400" s="35"/>
      <c r="I400" s="35"/>
      <c r="J400" s="12"/>
      <c r="O400" s="12"/>
      <c r="P400" s="18"/>
      <c r="Q400" s="12"/>
      <c r="R400" s="12"/>
      <c r="S400" s="12"/>
      <c r="T400" s="36"/>
      <c r="U400" s="36"/>
      <c r="V400" s="12"/>
      <c r="W400" s="12"/>
      <c r="X400" s="12"/>
      <c r="Y400" s="12"/>
    </row>
    <row r="401" customFormat="false" ht="15.75" hidden="false" customHeight="false" outlineLevel="0" collapsed="false">
      <c r="A401" s="12"/>
      <c r="B401" s="34"/>
      <c r="C401" s="12"/>
      <c r="D401" s="12"/>
      <c r="E401" s="12"/>
      <c r="F401" s="12"/>
      <c r="G401" s="18"/>
      <c r="H401" s="35"/>
      <c r="I401" s="35"/>
      <c r="J401" s="12"/>
      <c r="O401" s="12"/>
      <c r="P401" s="18"/>
      <c r="Q401" s="12"/>
      <c r="R401" s="12"/>
      <c r="S401" s="12"/>
      <c r="T401" s="36"/>
      <c r="U401" s="36"/>
      <c r="V401" s="12"/>
      <c r="W401" s="12"/>
      <c r="X401" s="12"/>
      <c r="Y401" s="12"/>
    </row>
    <row r="402" customFormat="false" ht="15.75" hidden="false" customHeight="false" outlineLevel="0" collapsed="false">
      <c r="A402" s="12"/>
      <c r="B402" s="34"/>
      <c r="C402" s="12"/>
      <c r="D402" s="12"/>
      <c r="E402" s="12"/>
      <c r="F402" s="12"/>
      <c r="G402" s="18"/>
      <c r="H402" s="35"/>
      <c r="I402" s="35"/>
      <c r="J402" s="12"/>
      <c r="O402" s="12"/>
      <c r="P402" s="18"/>
      <c r="Q402" s="12"/>
      <c r="R402" s="12"/>
      <c r="S402" s="12"/>
      <c r="T402" s="36"/>
      <c r="U402" s="36"/>
      <c r="V402" s="12"/>
      <c r="W402" s="12"/>
      <c r="X402" s="12"/>
      <c r="Y402" s="12"/>
    </row>
    <row r="403" customFormat="false" ht="15.75" hidden="false" customHeight="false" outlineLevel="0" collapsed="false">
      <c r="A403" s="12"/>
      <c r="B403" s="34"/>
      <c r="C403" s="12"/>
      <c r="D403" s="12"/>
      <c r="E403" s="12"/>
      <c r="F403" s="12"/>
      <c r="G403" s="18"/>
      <c r="H403" s="35"/>
      <c r="I403" s="35"/>
      <c r="J403" s="12"/>
      <c r="O403" s="12"/>
      <c r="P403" s="18"/>
      <c r="Q403" s="12"/>
      <c r="R403" s="12"/>
      <c r="S403" s="12"/>
      <c r="T403" s="36"/>
      <c r="U403" s="36"/>
      <c r="V403" s="12"/>
      <c r="W403" s="12"/>
      <c r="X403" s="12"/>
      <c r="Y403" s="12"/>
    </row>
    <row r="404" customFormat="false" ht="15.75" hidden="false" customHeight="false" outlineLevel="0" collapsed="false">
      <c r="A404" s="12"/>
      <c r="B404" s="34"/>
      <c r="C404" s="12"/>
      <c r="D404" s="12"/>
      <c r="E404" s="12"/>
      <c r="F404" s="12"/>
      <c r="G404" s="18"/>
      <c r="H404" s="35"/>
      <c r="I404" s="35"/>
      <c r="J404" s="12"/>
      <c r="O404" s="12"/>
      <c r="P404" s="18"/>
      <c r="Q404" s="12"/>
      <c r="R404" s="12"/>
      <c r="S404" s="12"/>
      <c r="T404" s="36"/>
      <c r="U404" s="36"/>
      <c r="V404" s="12"/>
      <c r="W404" s="12"/>
      <c r="X404" s="12"/>
      <c r="Y404" s="12"/>
    </row>
    <row r="405" customFormat="false" ht="15.75" hidden="false" customHeight="false" outlineLevel="0" collapsed="false">
      <c r="A405" s="12"/>
      <c r="B405" s="34"/>
      <c r="C405" s="12"/>
      <c r="D405" s="12"/>
      <c r="E405" s="12"/>
      <c r="F405" s="12"/>
      <c r="G405" s="18"/>
      <c r="H405" s="35"/>
      <c r="I405" s="35"/>
      <c r="J405" s="12"/>
      <c r="O405" s="12"/>
      <c r="P405" s="18"/>
      <c r="Q405" s="12"/>
      <c r="R405" s="12"/>
      <c r="S405" s="12"/>
      <c r="T405" s="36"/>
      <c r="U405" s="36"/>
      <c r="V405" s="12"/>
      <c r="W405" s="12"/>
      <c r="X405" s="12"/>
      <c r="Y405" s="12"/>
    </row>
    <row r="406" customFormat="false" ht="15.75" hidden="false" customHeight="false" outlineLevel="0" collapsed="false">
      <c r="A406" s="12"/>
      <c r="B406" s="34"/>
      <c r="C406" s="12"/>
      <c r="D406" s="12"/>
      <c r="E406" s="12"/>
      <c r="F406" s="12"/>
      <c r="G406" s="18"/>
      <c r="H406" s="35"/>
      <c r="I406" s="35"/>
      <c r="J406" s="12"/>
      <c r="O406" s="12"/>
      <c r="P406" s="18"/>
      <c r="Q406" s="12"/>
      <c r="R406" s="12"/>
      <c r="S406" s="12"/>
      <c r="T406" s="36"/>
      <c r="U406" s="36"/>
      <c r="V406" s="12"/>
      <c r="W406" s="12"/>
      <c r="X406" s="12"/>
      <c r="Y406" s="12"/>
    </row>
    <row r="407" customFormat="false" ht="15.75" hidden="false" customHeight="false" outlineLevel="0" collapsed="false">
      <c r="A407" s="12"/>
      <c r="B407" s="34"/>
      <c r="C407" s="12"/>
      <c r="D407" s="12"/>
      <c r="E407" s="12"/>
      <c r="F407" s="12"/>
      <c r="G407" s="18"/>
      <c r="H407" s="35"/>
      <c r="I407" s="35"/>
      <c r="J407" s="12"/>
      <c r="O407" s="12"/>
      <c r="P407" s="18"/>
      <c r="Q407" s="12"/>
      <c r="R407" s="12"/>
      <c r="S407" s="12"/>
      <c r="T407" s="36"/>
      <c r="U407" s="36"/>
      <c r="V407" s="12"/>
      <c r="W407" s="12"/>
      <c r="X407" s="12"/>
      <c r="Y407" s="12"/>
    </row>
    <row r="408" customFormat="false" ht="15.75" hidden="false" customHeight="false" outlineLevel="0" collapsed="false">
      <c r="A408" s="12"/>
      <c r="B408" s="34"/>
      <c r="C408" s="12"/>
      <c r="D408" s="12"/>
      <c r="E408" s="12"/>
      <c r="F408" s="12"/>
      <c r="G408" s="18"/>
      <c r="H408" s="35"/>
      <c r="I408" s="35"/>
      <c r="J408" s="12"/>
      <c r="O408" s="12"/>
      <c r="P408" s="18"/>
      <c r="Q408" s="12"/>
      <c r="R408" s="12"/>
      <c r="S408" s="12"/>
      <c r="T408" s="36"/>
      <c r="U408" s="36"/>
      <c r="V408" s="12"/>
      <c r="W408" s="12"/>
      <c r="X408" s="12"/>
      <c r="Y408" s="12"/>
    </row>
    <row r="409" customFormat="false" ht="15.75" hidden="false" customHeight="false" outlineLevel="0" collapsed="false">
      <c r="A409" s="12"/>
      <c r="B409" s="34"/>
      <c r="C409" s="12"/>
      <c r="D409" s="12"/>
      <c r="E409" s="12"/>
      <c r="F409" s="12"/>
      <c r="G409" s="18"/>
      <c r="H409" s="35"/>
      <c r="I409" s="35"/>
      <c r="J409" s="12"/>
      <c r="O409" s="12"/>
      <c r="P409" s="18"/>
      <c r="Q409" s="12"/>
      <c r="R409" s="12"/>
      <c r="S409" s="12"/>
      <c r="T409" s="36"/>
      <c r="U409" s="36"/>
      <c r="V409" s="12"/>
      <c r="W409" s="12"/>
      <c r="X409" s="12"/>
      <c r="Y409" s="12"/>
    </row>
    <row r="410" customFormat="false" ht="15.75" hidden="false" customHeight="false" outlineLevel="0" collapsed="false">
      <c r="A410" s="12"/>
      <c r="B410" s="34"/>
      <c r="C410" s="12"/>
      <c r="D410" s="12"/>
      <c r="E410" s="12"/>
      <c r="F410" s="12"/>
      <c r="G410" s="18"/>
      <c r="H410" s="35"/>
      <c r="I410" s="35"/>
      <c r="J410" s="12"/>
      <c r="O410" s="12"/>
      <c r="P410" s="18"/>
      <c r="Q410" s="12"/>
      <c r="R410" s="12"/>
      <c r="S410" s="12"/>
      <c r="T410" s="36"/>
      <c r="U410" s="36"/>
      <c r="V410" s="12"/>
      <c r="W410" s="12"/>
      <c r="X410" s="12"/>
      <c r="Y410" s="12"/>
    </row>
    <row r="411" customFormat="false" ht="15.75" hidden="false" customHeight="false" outlineLevel="0" collapsed="false">
      <c r="A411" s="12"/>
      <c r="B411" s="34"/>
      <c r="C411" s="12"/>
      <c r="D411" s="12"/>
      <c r="E411" s="12"/>
      <c r="F411" s="12"/>
      <c r="G411" s="18"/>
      <c r="H411" s="35"/>
      <c r="I411" s="35"/>
      <c r="J411" s="12"/>
      <c r="O411" s="12"/>
      <c r="P411" s="18"/>
      <c r="Q411" s="12"/>
      <c r="R411" s="12"/>
      <c r="S411" s="12"/>
      <c r="T411" s="36"/>
      <c r="U411" s="36"/>
      <c r="V411" s="12"/>
      <c r="W411" s="12"/>
      <c r="X411" s="12"/>
      <c r="Y411" s="12"/>
    </row>
    <row r="412" customFormat="false" ht="15.75" hidden="false" customHeight="false" outlineLevel="0" collapsed="false">
      <c r="A412" s="12"/>
      <c r="B412" s="34"/>
      <c r="C412" s="12"/>
      <c r="D412" s="12"/>
      <c r="E412" s="12"/>
      <c r="F412" s="12"/>
      <c r="G412" s="18"/>
      <c r="H412" s="35"/>
      <c r="I412" s="35"/>
      <c r="J412" s="12"/>
      <c r="O412" s="12"/>
      <c r="P412" s="18"/>
      <c r="Q412" s="12"/>
      <c r="R412" s="12"/>
      <c r="S412" s="12"/>
      <c r="T412" s="36"/>
      <c r="U412" s="36"/>
      <c r="V412" s="12"/>
      <c r="W412" s="12"/>
      <c r="X412" s="12"/>
      <c r="Y412" s="12"/>
    </row>
    <row r="413" customFormat="false" ht="15.75" hidden="false" customHeight="false" outlineLevel="0" collapsed="false">
      <c r="A413" s="12"/>
      <c r="B413" s="34"/>
      <c r="C413" s="12"/>
      <c r="D413" s="12"/>
      <c r="E413" s="12"/>
      <c r="F413" s="12"/>
      <c r="G413" s="18"/>
      <c r="H413" s="35"/>
      <c r="I413" s="35"/>
      <c r="J413" s="12"/>
      <c r="O413" s="12"/>
      <c r="P413" s="18"/>
      <c r="Q413" s="12"/>
      <c r="R413" s="12"/>
      <c r="S413" s="12"/>
      <c r="T413" s="36"/>
      <c r="U413" s="36"/>
      <c r="V413" s="12"/>
      <c r="W413" s="12"/>
      <c r="X413" s="12"/>
      <c r="Y413" s="12"/>
    </row>
    <row r="414" customFormat="false" ht="15.75" hidden="false" customHeight="false" outlineLevel="0" collapsed="false">
      <c r="A414" s="12"/>
      <c r="B414" s="34"/>
      <c r="C414" s="12"/>
      <c r="D414" s="12"/>
      <c r="E414" s="12"/>
      <c r="F414" s="12"/>
      <c r="G414" s="18"/>
      <c r="H414" s="35"/>
      <c r="I414" s="35"/>
      <c r="J414" s="12"/>
      <c r="O414" s="12"/>
      <c r="P414" s="18"/>
      <c r="Q414" s="12"/>
      <c r="R414" s="12"/>
      <c r="S414" s="12"/>
      <c r="T414" s="36"/>
      <c r="U414" s="36"/>
      <c r="V414" s="12"/>
      <c r="W414" s="12"/>
      <c r="X414" s="12"/>
      <c r="Y414" s="12"/>
    </row>
    <row r="415" customFormat="false" ht="15.75" hidden="false" customHeight="false" outlineLevel="0" collapsed="false">
      <c r="A415" s="12"/>
      <c r="B415" s="34"/>
      <c r="C415" s="12"/>
      <c r="D415" s="12"/>
      <c r="E415" s="12"/>
      <c r="F415" s="12"/>
      <c r="G415" s="18"/>
      <c r="H415" s="35"/>
      <c r="I415" s="35"/>
      <c r="J415" s="12"/>
      <c r="O415" s="12"/>
      <c r="P415" s="18"/>
      <c r="Q415" s="12"/>
      <c r="R415" s="12"/>
      <c r="S415" s="12"/>
      <c r="T415" s="36"/>
      <c r="U415" s="36"/>
      <c r="V415" s="12"/>
      <c r="W415" s="12"/>
      <c r="X415" s="12"/>
      <c r="Y415" s="12"/>
    </row>
    <row r="416" customFormat="false" ht="15.75" hidden="false" customHeight="false" outlineLevel="0" collapsed="false">
      <c r="A416" s="12"/>
      <c r="B416" s="34"/>
      <c r="C416" s="12"/>
      <c r="D416" s="12"/>
      <c r="E416" s="12"/>
      <c r="F416" s="12"/>
      <c r="G416" s="18"/>
      <c r="H416" s="35"/>
      <c r="I416" s="35"/>
      <c r="J416" s="12"/>
      <c r="O416" s="12"/>
      <c r="P416" s="18"/>
      <c r="Q416" s="12"/>
      <c r="R416" s="12"/>
      <c r="S416" s="12"/>
      <c r="T416" s="36"/>
      <c r="U416" s="36"/>
      <c r="V416" s="12"/>
      <c r="W416" s="12"/>
      <c r="X416" s="12"/>
      <c r="Y416" s="12"/>
    </row>
    <row r="417" customFormat="false" ht="15.75" hidden="false" customHeight="false" outlineLevel="0" collapsed="false">
      <c r="A417" s="12"/>
      <c r="B417" s="34"/>
      <c r="C417" s="12"/>
      <c r="D417" s="12"/>
      <c r="E417" s="12"/>
      <c r="F417" s="12"/>
      <c r="G417" s="18"/>
      <c r="H417" s="35"/>
      <c r="I417" s="35"/>
      <c r="J417" s="12"/>
      <c r="O417" s="12"/>
      <c r="P417" s="18"/>
      <c r="Q417" s="12"/>
      <c r="R417" s="12"/>
      <c r="S417" s="12"/>
      <c r="T417" s="36"/>
      <c r="U417" s="36"/>
      <c r="V417" s="12"/>
      <c r="W417" s="12"/>
      <c r="X417" s="12"/>
      <c r="Y417" s="12"/>
    </row>
    <row r="418" customFormat="false" ht="15.75" hidden="false" customHeight="false" outlineLevel="0" collapsed="false">
      <c r="A418" s="12"/>
      <c r="B418" s="34"/>
      <c r="C418" s="12"/>
      <c r="D418" s="12"/>
      <c r="E418" s="12"/>
      <c r="F418" s="12"/>
      <c r="G418" s="18"/>
      <c r="H418" s="35"/>
      <c r="I418" s="35"/>
      <c r="J418" s="12"/>
      <c r="O418" s="12"/>
      <c r="P418" s="18"/>
      <c r="Q418" s="12"/>
      <c r="R418" s="12"/>
      <c r="S418" s="12"/>
      <c r="T418" s="36"/>
      <c r="U418" s="36"/>
      <c r="V418" s="12"/>
      <c r="W418" s="12"/>
      <c r="X418" s="12"/>
      <c r="Y418" s="12"/>
    </row>
    <row r="419" customFormat="false" ht="15.75" hidden="false" customHeight="false" outlineLevel="0" collapsed="false">
      <c r="A419" s="12"/>
      <c r="B419" s="34"/>
      <c r="C419" s="12"/>
      <c r="D419" s="12"/>
      <c r="E419" s="12"/>
      <c r="F419" s="12"/>
      <c r="G419" s="18"/>
      <c r="H419" s="35"/>
      <c r="I419" s="35"/>
      <c r="J419" s="12"/>
      <c r="O419" s="12"/>
      <c r="P419" s="18"/>
      <c r="Q419" s="12"/>
      <c r="R419" s="12"/>
      <c r="S419" s="12"/>
      <c r="T419" s="36"/>
      <c r="U419" s="36"/>
      <c r="V419" s="12"/>
      <c r="W419" s="12"/>
      <c r="X419" s="12"/>
      <c r="Y419" s="12"/>
    </row>
    <row r="420" customFormat="false" ht="15.75" hidden="false" customHeight="false" outlineLevel="0" collapsed="false">
      <c r="A420" s="12"/>
      <c r="B420" s="34"/>
      <c r="C420" s="12"/>
      <c r="D420" s="12"/>
      <c r="E420" s="12"/>
      <c r="F420" s="12"/>
      <c r="G420" s="18"/>
      <c r="H420" s="35"/>
      <c r="I420" s="35"/>
      <c r="J420" s="12"/>
      <c r="O420" s="12"/>
      <c r="P420" s="18"/>
      <c r="Q420" s="12"/>
      <c r="R420" s="12"/>
      <c r="S420" s="12"/>
      <c r="T420" s="36"/>
      <c r="U420" s="36"/>
      <c r="V420" s="12"/>
      <c r="W420" s="12"/>
      <c r="X420" s="12"/>
      <c r="Y420" s="12"/>
    </row>
    <row r="421" customFormat="false" ht="15.75" hidden="false" customHeight="false" outlineLevel="0" collapsed="false">
      <c r="A421" s="12"/>
      <c r="B421" s="34"/>
      <c r="C421" s="12"/>
      <c r="D421" s="12"/>
      <c r="E421" s="12"/>
      <c r="F421" s="12"/>
      <c r="G421" s="18"/>
      <c r="H421" s="35"/>
      <c r="I421" s="35"/>
      <c r="J421" s="12"/>
      <c r="O421" s="12"/>
      <c r="P421" s="18"/>
      <c r="Q421" s="12"/>
      <c r="R421" s="12"/>
      <c r="S421" s="12"/>
      <c r="T421" s="36"/>
      <c r="U421" s="36"/>
      <c r="V421" s="12"/>
      <c r="W421" s="12"/>
      <c r="X421" s="12"/>
      <c r="Y421" s="12"/>
    </row>
    <row r="422" customFormat="false" ht="15.75" hidden="false" customHeight="false" outlineLevel="0" collapsed="false">
      <c r="A422" s="12"/>
      <c r="B422" s="34"/>
      <c r="C422" s="12"/>
      <c r="D422" s="12"/>
      <c r="E422" s="12"/>
      <c r="F422" s="12"/>
      <c r="G422" s="18"/>
      <c r="H422" s="35"/>
      <c r="I422" s="35"/>
      <c r="J422" s="12"/>
      <c r="O422" s="12"/>
      <c r="P422" s="18"/>
      <c r="Q422" s="12"/>
      <c r="R422" s="12"/>
      <c r="S422" s="12"/>
      <c r="T422" s="36"/>
      <c r="U422" s="36"/>
      <c r="V422" s="12"/>
      <c r="W422" s="12"/>
      <c r="X422" s="12"/>
      <c r="Y422" s="12"/>
    </row>
    <row r="423" customFormat="false" ht="15.75" hidden="false" customHeight="false" outlineLevel="0" collapsed="false">
      <c r="A423" s="12"/>
      <c r="B423" s="34"/>
      <c r="C423" s="12"/>
      <c r="D423" s="12"/>
      <c r="E423" s="12"/>
      <c r="F423" s="12"/>
      <c r="G423" s="18"/>
      <c r="H423" s="35"/>
      <c r="I423" s="35"/>
      <c r="J423" s="12"/>
      <c r="O423" s="12"/>
      <c r="P423" s="18"/>
      <c r="Q423" s="12"/>
      <c r="R423" s="12"/>
      <c r="S423" s="12"/>
      <c r="T423" s="36"/>
      <c r="U423" s="36"/>
      <c r="V423" s="12"/>
      <c r="W423" s="12"/>
      <c r="X423" s="12"/>
      <c r="Y423" s="12"/>
    </row>
    <row r="424" customFormat="false" ht="15.75" hidden="false" customHeight="false" outlineLevel="0" collapsed="false">
      <c r="A424" s="12"/>
      <c r="B424" s="34"/>
      <c r="C424" s="12"/>
      <c r="D424" s="12"/>
      <c r="E424" s="12"/>
      <c r="F424" s="12"/>
      <c r="G424" s="18"/>
      <c r="H424" s="35"/>
      <c r="I424" s="35"/>
      <c r="J424" s="12"/>
      <c r="O424" s="12"/>
      <c r="P424" s="18"/>
      <c r="Q424" s="12"/>
      <c r="R424" s="12"/>
      <c r="S424" s="12"/>
      <c r="T424" s="36"/>
      <c r="U424" s="36"/>
      <c r="V424" s="12"/>
      <c r="W424" s="12"/>
      <c r="X424" s="12"/>
      <c r="Y424" s="12"/>
    </row>
    <row r="425" customFormat="false" ht="15.75" hidden="false" customHeight="false" outlineLevel="0" collapsed="false">
      <c r="A425" s="12"/>
      <c r="B425" s="34"/>
      <c r="C425" s="12"/>
      <c r="D425" s="12"/>
      <c r="E425" s="12"/>
      <c r="F425" s="12"/>
      <c r="G425" s="18"/>
      <c r="H425" s="35"/>
      <c r="I425" s="35"/>
      <c r="J425" s="12"/>
      <c r="O425" s="12"/>
      <c r="P425" s="18"/>
      <c r="Q425" s="12"/>
      <c r="R425" s="12"/>
      <c r="S425" s="12"/>
      <c r="T425" s="36"/>
      <c r="U425" s="36"/>
      <c r="V425" s="12"/>
      <c r="W425" s="12"/>
      <c r="X425" s="12"/>
      <c r="Y425" s="12"/>
    </row>
    <row r="426" customFormat="false" ht="15.75" hidden="false" customHeight="false" outlineLevel="0" collapsed="false">
      <c r="A426" s="12"/>
      <c r="B426" s="34"/>
      <c r="C426" s="12"/>
      <c r="D426" s="12"/>
      <c r="E426" s="12"/>
      <c r="F426" s="12"/>
      <c r="G426" s="18"/>
      <c r="H426" s="35"/>
      <c r="I426" s="35"/>
      <c r="J426" s="12"/>
      <c r="O426" s="12"/>
      <c r="P426" s="18"/>
      <c r="Q426" s="12"/>
      <c r="R426" s="12"/>
      <c r="S426" s="12"/>
      <c r="T426" s="36"/>
      <c r="U426" s="36"/>
      <c r="V426" s="12"/>
      <c r="W426" s="12"/>
      <c r="X426" s="12"/>
      <c r="Y426" s="12"/>
    </row>
    <row r="427" customFormat="false" ht="15.75" hidden="false" customHeight="false" outlineLevel="0" collapsed="false">
      <c r="A427" s="12"/>
      <c r="B427" s="34"/>
      <c r="C427" s="12"/>
      <c r="D427" s="12"/>
      <c r="E427" s="12"/>
      <c r="F427" s="12"/>
      <c r="G427" s="18"/>
      <c r="H427" s="35"/>
      <c r="I427" s="35"/>
      <c r="J427" s="12"/>
      <c r="O427" s="12"/>
      <c r="P427" s="18"/>
      <c r="Q427" s="12"/>
      <c r="R427" s="12"/>
      <c r="S427" s="12"/>
      <c r="T427" s="36"/>
      <c r="U427" s="36"/>
      <c r="V427" s="12"/>
      <c r="W427" s="12"/>
      <c r="X427" s="12"/>
      <c r="Y427" s="12"/>
    </row>
    <row r="428" customFormat="false" ht="15.75" hidden="false" customHeight="false" outlineLevel="0" collapsed="false">
      <c r="A428" s="12"/>
      <c r="B428" s="34"/>
      <c r="C428" s="12"/>
      <c r="D428" s="12"/>
      <c r="E428" s="12"/>
      <c r="F428" s="12"/>
      <c r="G428" s="18"/>
      <c r="H428" s="35"/>
      <c r="I428" s="35"/>
      <c r="J428" s="12"/>
      <c r="O428" s="12"/>
      <c r="P428" s="18"/>
      <c r="Q428" s="12"/>
      <c r="R428" s="12"/>
      <c r="S428" s="12"/>
      <c r="T428" s="36"/>
      <c r="U428" s="36"/>
      <c r="V428" s="12"/>
      <c r="W428" s="12"/>
      <c r="X428" s="12"/>
      <c r="Y428" s="12"/>
    </row>
    <row r="429" customFormat="false" ht="15.75" hidden="false" customHeight="false" outlineLevel="0" collapsed="false">
      <c r="A429" s="12"/>
      <c r="B429" s="34"/>
      <c r="C429" s="12"/>
      <c r="D429" s="12"/>
      <c r="E429" s="12"/>
      <c r="F429" s="12"/>
      <c r="G429" s="18"/>
      <c r="H429" s="35"/>
      <c r="I429" s="35"/>
      <c r="J429" s="12"/>
      <c r="O429" s="12"/>
      <c r="P429" s="18"/>
      <c r="Q429" s="12"/>
      <c r="R429" s="12"/>
      <c r="S429" s="12"/>
      <c r="T429" s="36"/>
      <c r="U429" s="36"/>
      <c r="V429" s="12"/>
      <c r="W429" s="12"/>
      <c r="X429" s="12"/>
      <c r="Y429" s="12"/>
    </row>
    <row r="430" customFormat="false" ht="15.75" hidden="false" customHeight="false" outlineLevel="0" collapsed="false">
      <c r="A430" s="12"/>
      <c r="B430" s="34"/>
      <c r="C430" s="12"/>
      <c r="D430" s="12"/>
      <c r="E430" s="12"/>
      <c r="F430" s="12"/>
      <c r="G430" s="18"/>
      <c r="H430" s="35"/>
      <c r="I430" s="35"/>
      <c r="J430" s="12"/>
      <c r="O430" s="12"/>
      <c r="P430" s="18"/>
      <c r="Q430" s="12"/>
      <c r="R430" s="12"/>
      <c r="S430" s="12"/>
      <c r="T430" s="36"/>
      <c r="U430" s="36"/>
      <c r="V430" s="12"/>
      <c r="W430" s="12"/>
      <c r="X430" s="12"/>
      <c r="Y430" s="12"/>
    </row>
    <row r="431" customFormat="false" ht="15.75" hidden="false" customHeight="false" outlineLevel="0" collapsed="false">
      <c r="A431" s="12"/>
      <c r="B431" s="34"/>
      <c r="C431" s="12"/>
      <c r="D431" s="12"/>
      <c r="E431" s="12"/>
      <c r="F431" s="12"/>
      <c r="G431" s="18"/>
      <c r="H431" s="35"/>
      <c r="I431" s="35"/>
      <c r="J431" s="12"/>
      <c r="O431" s="12"/>
      <c r="P431" s="18"/>
      <c r="Q431" s="12"/>
      <c r="R431" s="12"/>
      <c r="S431" s="12"/>
      <c r="T431" s="36"/>
      <c r="U431" s="36"/>
      <c r="V431" s="12"/>
      <c r="W431" s="12"/>
      <c r="X431" s="12"/>
      <c r="Y431" s="12"/>
    </row>
    <row r="432" customFormat="false" ht="15.75" hidden="false" customHeight="false" outlineLevel="0" collapsed="false">
      <c r="A432" s="12"/>
      <c r="B432" s="34"/>
      <c r="C432" s="12"/>
      <c r="D432" s="12"/>
      <c r="E432" s="12"/>
      <c r="F432" s="12"/>
      <c r="G432" s="18"/>
      <c r="H432" s="35"/>
      <c r="I432" s="35"/>
      <c r="J432" s="12"/>
      <c r="O432" s="12"/>
      <c r="P432" s="18"/>
      <c r="Q432" s="12"/>
      <c r="R432" s="12"/>
      <c r="S432" s="12"/>
      <c r="T432" s="36"/>
      <c r="U432" s="36"/>
      <c r="V432" s="12"/>
      <c r="W432" s="12"/>
      <c r="X432" s="12"/>
      <c r="Y432" s="12"/>
    </row>
    <row r="433" customFormat="false" ht="15.75" hidden="false" customHeight="false" outlineLevel="0" collapsed="false">
      <c r="A433" s="12"/>
      <c r="B433" s="34"/>
      <c r="C433" s="12"/>
      <c r="D433" s="12"/>
      <c r="E433" s="12"/>
      <c r="F433" s="12"/>
      <c r="G433" s="18"/>
      <c r="H433" s="35"/>
      <c r="I433" s="35"/>
      <c r="J433" s="12"/>
      <c r="O433" s="12"/>
      <c r="P433" s="18"/>
      <c r="Q433" s="12"/>
      <c r="R433" s="12"/>
      <c r="S433" s="12"/>
      <c r="T433" s="36"/>
      <c r="U433" s="36"/>
      <c r="V433" s="12"/>
      <c r="W433" s="12"/>
      <c r="X433" s="12"/>
      <c r="Y433" s="12"/>
    </row>
    <row r="434" customFormat="false" ht="15.75" hidden="false" customHeight="false" outlineLevel="0" collapsed="false">
      <c r="A434" s="12"/>
      <c r="B434" s="34"/>
      <c r="C434" s="12"/>
      <c r="D434" s="12"/>
      <c r="E434" s="12"/>
      <c r="F434" s="12"/>
      <c r="G434" s="18"/>
      <c r="H434" s="35"/>
      <c r="I434" s="35"/>
      <c r="J434" s="12"/>
      <c r="O434" s="12"/>
      <c r="P434" s="18"/>
      <c r="Q434" s="12"/>
      <c r="R434" s="12"/>
      <c r="S434" s="12"/>
      <c r="T434" s="36"/>
      <c r="U434" s="36"/>
      <c r="V434" s="12"/>
      <c r="W434" s="12"/>
      <c r="X434" s="12"/>
      <c r="Y434" s="12"/>
    </row>
    <row r="435" customFormat="false" ht="15.75" hidden="false" customHeight="false" outlineLevel="0" collapsed="false">
      <c r="A435" s="12"/>
      <c r="B435" s="34"/>
      <c r="C435" s="12"/>
      <c r="D435" s="12"/>
      <c r="E435" s="12"/>
      <c r="F435" s="12"/>
      <c r="G435" s="18"/>
      <c r="H435" s="35"/>
      <c r="I435" s="35"/>
      <c r="J435" s="12"/>
      <c r="O435" s="12"/>
      <c r="P435" s="18"/>
      <c r="Q435" s="12"/>
      <c r="R435" s="12"/>
      <c r="S435" s="12"/>
      <c r="T435" s="36"/>
      <c r="U435" s="36"/>
      <c r="V435" s="12"/>
      <c r="W435" s="12"/>
      <c r="X435" s="12"/>
      <c r="Y435" s="12"/>
    </row>
    <row r="436" customFormat="false" ht="15.75" hidden="false" customHeight="false" outlineLevel="0" collapsed="false">
      <c r="A436" s="12"/>
      <c r="B436" s="34"/>
      <c r="C436" s="12"/>
      <c r="D436" s="12"/>
      <c r="E436" s="12"/>
      <c r="F436" s="12"/>
      <c r="G436" s="18"/>
      <c r="H436" s="35"/>
      <c r="I436" s="35"/>
      <c r="J436" s="12"/>
      <c r="O436" s="12"/>
      <c r="P436" s="18"/>
      <c r="Q436" s="12"/>
      <c r="R436" s="12"/>
      <c r="S436" s="12"/>
      <c r="T436" s="36"/>
      <c r="U436" s="36"/>
      <c r="V436" s="12"/>
      <c r="W436" s="12"/>
      <c r="X436" s="12"/>
      <c r="Y436" s="12"/>
    </row>
    <row r="437" customFormat="false" ht="15.75" hidden="false" customHeight="false" outlineLevel="0" collapsed="false">
      <c r="A437" s="12"/>
      <c r="B437" s="34"/>
      <c r="C437" s="12"/>
      <c r="D437" s="12"/>
      <c r="E437" s="12"/>
      <c r="F437" s="12"/>
      <c r="G437" s="18"/>
      <c r="H437" s="35"/>
      <c r="I437" s="35"/>
      <c r="J437" s="12"/>
      <c r="O437" s="12"/>
      <c r="P437" s="18"/>
      <c r="Q437" s="12"/>
      <c r="R437" s="12"/>
      <c r="S437" s="12"/>
      <c r="T437" s="36"/>
      <c r="U437" s="36"/>
      <c r="V437" s="12"/>
      <c r="W437" s="12"/>
      <c r="X437" s="12"/>
      <c r="Y437" s="12"/>
    </row>
    <row r="438" customFormat="false" ht="15.75" hidden="false" customHeight="false" outlineLevel="0" collapsed="false">
      <c r="A438" s="12"/>
      <c r="B438" s="34"/>
      <c r="C438" s="12"/>
      <c r="D438" s="12"/>
      <c r="E438" s="12"/>
      <c r="F438" s="12"/>
      <c r="G438" s="18"/>
      <c r="H438" s="35"/>
      <c r="I438" s="35"/>
      <c r="J438" s="12"/>
      <c r="O438" s="12"/>
      <c r="P438" s="18"/>
      <c r="Q438" s="12"/>
      <c r="R438" s="12"/>
      <c r="S438" s="12"/>
      <c r="T438" s="36"/>
      <c r="U438" s="36"/>
      <c r="V438" s="12"/>
      <c r="W438" s="12"/>
      <c r="X438" s="12"/>
      <c r="Y438" s="12"/>
    </row>
    <row r="439" customFormat="false" ht="15.75" hidden="false" customHeight="false" outlineLevel="0" collapsed="false">
      <c r="A439" s="12"/>
      <c r="B439" s="34"/>
      <c r="C439" s="12"/>
      <c r="D439" s="12"/>
      <c r="E439" s="12"/>
      <c r="F439" s="12"/>
      <c r="G439" s="18"/>
      <c r="H439" s="35"/>
      <c r="I439" s="35"/>
      <c r="J439" s="12"/>
      <c r="O439" s="12"/>
      <c r="P439" s="18"/>
      <c r="Q439" s="12"/>
      <c r="R439" s="12"/>
      <c r="S439" s="12"/>
      <c r="T439" s="36"/>
      <c r="U439" s="36"/>
      <c r="V439" s="12"/>
      <c r="W439" s="12"/>
      <c r="X439" s="12"/>
      <c r="Y439" s="12"/>
    </row>
    <row r="440" customFormat="false" ht="15.75" hidden="false" customHeight="false" outlineLevel="0" collapsed="false">
      <c r="A440" s="12"/>
      <c r="B440" s="34"/>
      <c r="C440" s="12"/>
      <c r="D440" s="12"/>
      <c r="E440" s="12"/>
      <c r="F440" s="12"/>
      <c r="G440" s="18"/>
      <c r="H440" s="35"/>
      <c r="I440" s="35"/>
      <c r="J440" s="12"/>
      <c r="O440" s="12"/>
      <c r="P440" s="18"/>
      <c r="Q440" s="12"/>
      <c r="R440" s="12"/>
      <c r="S440" s="12"/>
      <c r="T440" s="36"/>
      <c r="U440" s="36"/>
      <c r="V440" s="12"/>
      <c r="W440" s="12"/>
      <c r="X440" s="12"/>
      <c r="Y440" s="12"/>
    </row>
    <row r="441" customFormat="false" ht="15.75" hidden="false" customHeight="false" outlineLevel="0" collapsed="false">
      <c r="A441" s="12"/>
      <c r="B441" s="34"/>
      <c r="C441" s="12"/>
      <c r="D441" s="12"/>
      <c r="E441" s="12"/>
      <c r="F441" s="12"/>
      <c r="G441" s="18"/>
      <c r="H441" s="35"/>
      <c r="I441" s="35"/>
      <c r="J441" s="12"/>
      <c r="O441" s="12"/>
      <c r="P441" s="18"/>
      <c r="Q441" s="12"/>
      <c r="R441" s="12"/>
      <c r="S441" s="12"/>
      <c r="T441" s="36"/>
      <c r="U441" s="36"/>
      <c r="V441" s="12"/>
      <c r="W441" s="12"/>
      <c r="X441" s="12"/>
      <c r="Y441" s="12"/>
    </row>
    <row r="442" customFormat="false" ht="15.75" hidden="false" customHeight="false" outlineLevel="0" collapsed="false">
      <c r="A442" s="12"/>
      <c r="B442" s="34"/>
      <c r="C442" s="12"/>
      <c r="D442" s="12"/>
      <c r="E442" s="12"/>
      <c r="F442" s="12"/>
      <c r="G442" s="18"/>
      <c r="H442" s="35"/>
      <c r="I442" s="35"/>
      <c r="J442" s="12"/>
      <c r="O442" s="12"/>
      <c r="P442" s="18"/>
      <c r="Q442" s="12"/>
      <c r="R442" s="12"/>
      <c r="S442" s="12"/>
      <c r="T442" s="36"/>
      <c r="U442" s="36"/>
      <c r="V442" s="12"/>
      <c r="W442" s="12"/>
      <c r="X442" s="12"/>
      <c r="Y442" s="12"/>
    </row>
    <row r="443" customFormat="false" ht="15.75" hidden="false" customHeight="false" outlineLevel="0" collapsed="false">
      <c r="A443" s="12"/>
      <c r="B443" s="34"/>
      <c r="C443" s="12"/>
      <c r="D443" s="12"/>
      <c r="E443" s="12"/>
      <c r="F443" s="12"/>
      <c r="G443" s="18"/>
      <c r="H443" s="35"/>
      <c r="I443" s="35"/>
      <c r="J443" s="12"/>
      <c r="O443" s="12"/>
      <c r="P443" s="18"/>
      <c r="Q443" s="12"/>
      <c r="R443" s="12"/>
      <c r="S443" s="12"/>
      <c r="T443" s="36"/>
      <c r="U443" s="36"/>
      <c r="V443" s="12"/>
      <c r="W443" s="12"/>
      <c r="X443" s="12"/>
      <c r="Y443" s="12"/>
    </row>
    <row r="444" customFormat="false" ht="15.75" hidden="false" customHeight="false" outlineLevel="0" collapsed="false">
      <c r="A444" s="12"/>
      <c r="B444" s="34"/>
      <c r="C444" s="12"/>
      <c r="D444" s="12"/>
      <c r="E444" s="12"/>
      <c r="F444" s="12"/>
      <c r="G444" s="18"/>
      <c r="H444" s="35"/>
      <c r="I444" s="35"/>
      <c r="J444" s="12"/>
      <c r="O444" s="12"/>
      <c r="P444" s="18"/>
      <c r="Q444" s="12"/>
      <c r="R444" s="12"/>
      <c r="S444" s="12"/>
      <c r="T444" s="36"/>
      <c r="U444" s="36"/>
      <c r="V444" s="12"/>
      <c r="W444" s="12"/>
      <c r="X444" s="12"/>
      <c r="Y444" s="12"/>
    </row>
    <row r="445" customFormat="false" ht="15.75" hidden="false" customHeight="false" outlineLevel="0" collapsed="false">
      <c r="A445" s="12"/>
      <c r="B445" s="34"/>
      <c r="C445" s="12"/>
      <c r="D445" s="12"/>
      <c r="E445" s="12"/>
      <c r="F445" s="12"/>
      <c r="G445" s="18"/>
      <c r="H445" s="35"/>
      <c r="I445" s="35"/>
      <c r="J445" s="12"/>
      <c r="O445" s="12"/>
      <c r="P445" s="18"/>
      <c r="Q445" s="12"/>
      <c r="R445" s="12"/>
      <c r="S445" s="12"/>
      <c r="T445" s="36"/>
      <c r="U445" s="36"/>
      <c r="V445" s="12"/>
      <c r="W445" s="12"/>
      <c r="X445" s="12"/>
      <c r="Y445" s="12"/>
    </row>
    <row r="446" customFormat="false" ht="15.75" hidden="false" customHeight="false" outlineLevel="0" collapsed="false">
      <c r="A446" s="12"/>
      <c r="B446" s="34"/>
      <c r="C446" s="12"/>
      <c r="D446" s="12"/>
      <c r="E446" s="12"/>
      <c r="F446" s="12"/>
      <c r="G446" s="18"/>
      <c r="H446" s="35"/>
      <c r="I446" s="35"/>
      <c r="J446" s="12"/>
      <c r="O446" s="12"/>
      <c r="P446" s="18"/>
      <c r="Q446" s="12"/>
      <c r="R446" s="12"/>
      <c r="S446" s="12"/>
      <c r="T446" s="36"/>
      <c r="U446" s="36"/>
      <c r="V446" s="12"/>
      <c r="W446" s="12"/>
      <c r="X446" s="12"/>
      <c r="Y446" s="12"/>
    </row>
    <row r="447" customFormat="false" ht="15.75" hidden="false" customHeight="false" outlineLevel="0" collapsed="false">
      <c r="A447" s="12"/>
      <c r="B447" s="34"/>
      <c r="C447" s="12"/>
      <c r="D447" s="12"/>
      <c r="E447" s="12"/>
      <c r="F447" s="12"/>
      <c r="G447" s="18"/>
      <c r="H447" s="35"/>
      <c r="I447" s="35"/>
      <c r="J447" s="12"/>
      <c r="O447" s="12"/>
      <c r="P447" s="18"/>
      <c r="Q447" s="12"/>
      <c r="R447" s="12"/>
      <c r="S447" s="12"/>
      <c r="T447" s="36"/>
      <c r="U447" s="36"/>
      <c r="V447" s="12"/>
      <c r="W447" s="12"/>
      <c r="X447" s="12"/>
      <c r="Y447" s="12"/>
    </row>
    <row r="448" customFormat="false" ht="15.75" hidden="false" customHeight="false" outlineLevel="0" collapsed="false">
      <c r="A448" s="12"/>
      <c r="B448" s="34"/>
      <c r="C448" s="12"/>
      <c r="D448" s="12"/>
      <c r="E448" s="12"/>
      <c r="F448" s="12"/>
      <c r="G448" s="18"/>
      <c r="H448" s="35"/>
      <c r="I448" s="35"/>
      <c r="J448" s="12"/>
      <c r="O448" s="12"/>
      <c r="P448" s="18"/>
      <c r="Q448" s="12"/>
      <c r="R448" s="12"/>
      <c r="S448" s="12"/>
      <c r="T448" s="36"/>
      <c r="U448" s="36"/>
      <c r="V448" s="12"/>
      <c r="W448" s="12"/>
      <c r="X448" s="12"/>
      <c r="Y448" s="12"/>
    </row>
    <row r="449" customFormat="false" ht="15.75" hidden="false" customHeight="false" outlineLevel="0" collapsed="false">
      <c r="A449" s="12"/>
      <c r="B449" s="34"/>
      <c r="C449" s="12"/>
      <c r="D449" s="12"/>
      <c r="E449" s="12"/>
      <c r="F449" s="12"/>
      <c r="G449" s="18"/>
      <c r="H449" s="35"/>
      <c r="I449" s="35"/>
      <c r="J449" s="12"/>
      <c r="O449" s="12"/>
      <c r="P449" s="18"/>
      <c r="Q449" s="12"/>
      <c r="R449" s="12"/>
      <c r="S449" s="12"/>
      <c r="T449" s="36"/>
      <c r="U449" s="36"/>
      <c r="V449" s="12"/>
      <c r="W449" s="12"/>
      <c r="X449" s="12"/>
      <c r="Y449" s="12"/>
    </row>
    <row r="450" customFormat="false" ht="15.75" hidden="false" customHeight="false" outlineLevel="0" collapsed="false">
      <c r="A450" s="12"/>
      <c r="B450" s="34"/>
      <c r="C450" s="12"/>
      <c r="D450" s="12"/>
      <c r="E450" s="12"/>
      <c r="F450" s="12"/>
      <c r="G450" s="18"/>
      <c r="H450" s="35"/>
      <c r="I450" s="35"/>
      <c r="J450" s="12"/>
      <c r="O450" s="12"/>
      <c r="P450" s="18"/>
      <c r="Q450" s="12"/>
      <c r="R450" s="12"/>
      <c r="S450" s="12"/>
      <c r="T450" s="36"/>
      <c r="U450" s="36"/>
      <c r="V450" s="12"/>
      <c r="W450" s="12"/>
      <c r="X450" s="12"/>
      <c r="Y450" s="12"/>
    </row>
    <row r="451" customFormat="false" ht="15.75" hidden="false" customHeight="false" outlineLevel="0" collapsed="false">
      <c r="A451" s="12"/>
      <c r="B451" s="34"/>
      <c r="C451" s="12"/>
      <c r="D451" s="12"/>
      <c r="E451" s="12"/>
      <c r="F451" s="12"/>
      <c r="G451" s="18"/>
      <c r="H451" s="35"/>
      <c r="I451" s="35"/>
      <c r="J451" s="12"/>
      <c r="O451" s="12"/>
      <c r="P451" s="18"/>
      <c r="Q451" s="12"/>
      <c r="R451" s="12"/>
      <c r="S451" s="12"/>
      <c r="T451" s="36"/>
      <c r="U451" s="36"/>
      <c r="V451" s="12"/>
      <c r="W451" s="12"/>
      <c r="X451" s="12"/>
      <c r="Y451" s="12"/>
    </row>
    <row r="452" customFormat="false" ht="15.75" hidden="false" customHeight="false" outlineLevel="0" collapsed="false">
      <c r="A452" s="12"/>
      <c r="B452" s="34"/>
      <c r="C452" s="12"/>
      <c r="D452" s="12"/>
      <c r="E452" s="12"/>
      <c r="F452" s="12"/>
      <c r="G452" s="18"/>
      <c r="H452" s="35"/>
      <c r="I452" s="35"/>
      <c r="J452" s="12"/>
      <c r="O452" s="12"/>
      <c r="P452" s="18"/>
      <c r="Q452" s="12"/>
      <c r="R452" s="12"/>
      <c r="S452" s="12"/>
      <c r="T452" s="36"/>
      <c r="U452" s="36"/>
      <c r="V452" s="12"/>
      <c r="W452" s="12"/>
      <c r="X452" s="12"/>
      <c r="Y452" s="12"/>
    </row>
    <row r="453" customFormat="false" ht="15.75" hidden="false" customHeight="false" outlineLevel="0" collapsed="false">
      <c r="A453" s="12"/>
      <c r="B453" s="34"/>
      <c r="C453" s="12"/>
      <c r="D453" s="12"/>
      <c r="E453" s="12"/>
      <c r="F453" s="12"/>
      <c r="G453" s="18"/>
      <c r="H453" s="35"/>
      <c r="I453" s="35"/>
      <c r="J453" s="12"/>
      <c r="O453" s="12"/>
      <c r="P453" s="18"/>
      <c r="Q453" s="12"/>
      <c r="R453" s="12"/>
      <c r="S453" s="12"/>
      <c r="T453" s="36"/>
      <c r="U453" s="36"/>
      <c r="V453" s="12"/>
      <c r="W453" s="12"/>
      <c r="X453" s="12"/>
      <c r="Y453" s="12"/>
    </row>
    <row r="454" customFormat="false" ht="15.75" hidden="false" customHeight="false" outlineLevel="0" collapsed="false">
      <c r="A454" s="12"/>
      <c r="B454" s="34"/>
      <c r="C454" s="12"/>
      <c r="D454" s="12"/>
      <c r="E454" s="12"/>
      <c r="F454" s="12"/>
      <c r="G454" s="18"/>
      <c r="H454" s="35"/>
      <c r="I454" s="35"/>
      <c r="J454" s="12"/>
      <c r="O454" s="12"/>
      <c r="P454" s="18"/>
      <c r="Q454" s="12"/>
      <c r="R454" s="12"/>
      <c r="S454" s="12"/>
      <c r="T454" s="36"/>
      <c r="U454" s="36"/>
      <c r="V454" s="12"/>
      <c r="W454" s="12"/>
      <c r="X454" s="12"/>
      <c r="Y454" s="12"/>
    </row>
    <row r="455" customFormat="false" ht="15.75" hidden="false" customHeight="false" outlineLevel="0" collapsed="false">
      <c r="A455" s="12"/>
      <c r="B455" s="34"/>
      <c r="C455" s="12"/>
      <c r="D455" s="12"/>
      <c r="E455" s="12"/>
      <c r="F455" s="12"/>
      <c r="G455" s="18"/>
      <c r="H455" s="35"/>
      <c r="I455" s="35"/>
      <c r="J455" s="12"/>
      <c r="O455" s="12"/>
      <c r="P455" s="18"/>
      <c r="Q455" s="12"/>
      <c r="R455" s="12"/>
      <c r="S455" s="12"/>
      <c r="T455" s="36"/>
      <c r="U455" s="36"/>
      <c r="V455" s="12"/>
      <c r="W455" s="12"/>
      <c r="X455" s="12"/>
      <c r="Y455" s="12"/>
    </row>
    <row r="456" customFormat="false" ht="15.75" hidden="false" customHeight="false" outlineLevel="0" collapsed="false">
      <c r="A456" s="12"/>
      <c r="B456" s="34"/>
      <c r="C456" s="12"/>
      <c r="D456" s="12"/>
      <c r="E456" s="12"/>
      <c r="F456" s="12"/>
      <c r="G456" s="18"/>
      <c r="H456" s="35"/>
      <c r="I456" s="35"/>
      <c r="J456" s="12"/>
      <c r="O456" s="12"/>
      <c r="P456" s="18"/>
      <c r="Q456" s="12"/>
      <c r="R456" s="12"/>
      <c r="S456" s="12"/>
      <c r="T456" s="36"/>
      <c r="U456" s="36"/>
      <c r="V456" s="12"/>
      <c r="W456" s="12"/>
      <c r="X456" s="12"/>
      <c r="Y456" s="12"/>
    </row>
    <row r="457" customFormat="false" ht="15.75" hidden="false" customHeight="false" outlineLevel="0" collapsed="false">
      <c r="A457" s="12"/>
      <c r="B457" s="34"/>
      <c r="C457" s="12"/>
      <c r="D457" s="12"/>
      <c r="E457" s="12"/>
      <c r="F457" s="12"/>
      <c r="G457" s="18"/>
      <c r="H457" s="35"/>
      <c r="I457" s="35"/>
      <c r="J457" s="12"/>
      <c r="O457" s="12"/>
      <c r="P457" s="18"/>
      <c r="Q457" s="12"/>
      <c r="R457" s="12"/>
      <c r="S457" s="12"/>
      <c r="T457" s="36"/>
      <c r="U457" s="36"/>
      <c r="V457" s="12"/>
      <c r="W457" s="12"/>
      <c r="X457" s="12"/>
      <c r="Y457" s="12"/>
    </row>
    <row r="458" customFormat="false" ht="15.75" hidden="false" customHeight="false" outlineLevel="0" collapsed="false">
      <c r="A458" s="12"/>
      <c r="B458" s="34"/>
      <c r="C458" s="12"/>
      <c r="D458" s="12"/>
      <c r="E458" s="12"/>
      <c r="F458" s="12"/>
      <c r="G458" s="18"/>
      <c r="H458" s="35"/>
      <c r="I458" s="35"/>
      <c r="J458" s="12"/>
      <c r="O458" s="12"/>
      <c r="P458" s="18"/>
      <c r="Q458" s="12"/>
      <c r="R458" s="12"/>
      <c r="S458" s="12"/>
      <c r="T458" s="36"/>
      <c r="U458" s="36"/>
      <c r="V458" s="12"/>
      <c r="W458" s="12"/>
      <c r="X458" s="12"/>
      <c r="Y458" s="12"/>
    </row>
    <row r="459" customFormat="false" ht="15.75" hidden="false" customHeight="false" outlineLevel="0" collapsed="false">
      <c r="A459" s="12"/>
      <c r="B459" s="34"/>
      <c r="C459" s="12"/>
      <c r="D459" s="12"/>
      <c r="E459" s="12"/>
      <c r="F459" s="12"/>
      <c r="G459" s="18"/>
      <c r="H459" s="35"/>
      <c r="I459" s="35"/>
      <c r="J459" s="12"/>
      <c r="O459" s="12"/>
      <c r="P459" s="18"/>
      <c r="Q459" s="12"/>
      <c r="R459" s="12"/>
      <c r="S459" s="12"/>
      <c r="T459" s="36"/>
      <c r="U459" s="36"/>
      <c r="V459" s="12"/>
      <c r="W459" s="12"/>
      <c r="X459" s="12"/>
      <c r="Y459" s="12"/>
    </row>
    <row r="460" customFormat="false" ht="15.75" hidden="false" customHeight="false" outlineLevel="0" collapsed="false">
      <c r="A460" s="12"/>
      <c r="B460" s="34"/>
      <c r="C460" s="12"/>
      <c r="D460" s="12"/>
      <c r="E460" s="12"/>
      <c r="F460" s="12"/>
      <c r="G460" s="18"/>
      <c r="H460" s="35"/>
      <c r="I460" s="35"/>
      <c r="J460" s="12"/>
      <c r="O460" s="12"/>
      <c r="P460" s="18"/>
      <c r="Q460" s="12"/>
      <c r="R460" s="12"/>
      <c r="S460" s="12"/>
      <c r="T460" s="36"/>
      <c r="U460" s="36"/>
      <c r="V460" s="12"/>
      <c r="W460" s="12"/>
      <c r="X460" s="12"/>
      <c r="Y460" s="12"/>
    </row>
    <row r="461" customFormat="false" ht="15.75" hidden="false" customHeight="false" outlineLevel="0" collapsed="false">
      <c r="A461" s="12"/>
      <c r="B461" s="34"/>
      <c r="C461" s="12"/>
      <c r="D461" s="12"/>
      <c r="E461" s="12"/>
      <c r="F461" s="12"/>
      <c r="G461" s="18"/>
      <c r="H461" s="35"/>
      <c r="I461" s="35"/>
      <c r="J461" s="12"/>
      <c r="O461" s="12"/>
      <c r="P461" s="18"/>
      <c r="Q461" s="12"/>
      <c r="R461" s="12"/>
      <c r="S461" s="12"/>
      <c r="T461" s="36"/>
      <c r="U461" s="36"/>
      <c r="V461" s="12"/>
      <c r="W461" s="12"/>
      <c r="X461" s="12"/>
      <c r="Y461" s="12"/>
    </row>
    <row r="462" customFormat="false" ht="15.75" hidden="false" customHeight="false" outlineLevel="0" collapsed="false">
      <c r="A462" s="12"/>
      <c r="B462" s="34"/>
      <c r="C462" s="12"/>
      <c r="D462" s="12"/>
      <c r="E462" s="12"/>
      <c r="F462" s="12"/>
      <c r="G462" s="18"/>
      <c r="H462" s="35"/>
      <c r="I462" s="35"/>
      <c r="J462" s="12"/>
      <c r="O462" s="12"/>
      <c r="P462" s="18"/>
      <c r="Q462" s="12"/>
      <c r="R462" s="12"/>
      <c r="S462" s="12"/>
      <c r="T462" s="36"/>
      <c r="U462" s="36"/>
      <c r="V462" s="12"/>
      <c r="W462" s="12"/>
      <c r="X462" s="12"/>
      <c r="Y462" s="12"/>
    </row>
    <row r="463" customFormat="false" ht="15.75" hidden="false" customHeight="false" outlineLevel="0" collapsed="false">
      <c r="A463" s="12"/>
      <c r="B463" s="34"/>
      <c r="C463" s="12"/>
      <c r="D463" s="12"/>
      <c r="E463" s="12"/>
      <c r="F463" s="12"/>
      <c r="G463" s="18"/>
      <c r="H463" s="35"/>
      <c r="I463" s="35"/>
      <c r="J463" s="12"/>
      <c r="O463" s="12"/>
      <c r="P463" s="18"/>
      <c r="Q463" s="12"/>
      <c r="R463" s="12"/>
      <c r="S463" s="12"/>
      <c r="T463" s="36"/>
      <c r="U463" s="36"/>
      <c r="V463" s="12"/>
      <c r="W463" s="12"/>
      <c r="X463" s="12"/>
      <c r="Y463" s="12"/>
    </row>
    <row r="464" customFormat="false" ht="15.75" hidden="false" customHeight="false" outlineLevel="0" collapsed="false">
      <c r="A464" s="12"/>
      <c r="B464" s="34"/>
      <c r="C464" s="12"/>
      <c r="D464" s="12"/>
      <c r="E464" s="12"/>
      <c r="F464" s="12"/>
      <c r="G464" s="18"/>
      <c r="H464" s="35"/>
      <c r="I464" s="35"/>
      <c r="J464" s="12"/>
      <c r="O464" s="12"/>
      <c r="P464" s="18"/>
      <c r="Q464" s="12"/>
      <c r="R464" s="12"/>
      <c r="S464" s="12"/>
      <c r="T464" s="36"/>
      <c r="U464" s="36"/>
      <c r="V464" s="12"/>
      <c r="W464" s="12"/>
      <c r="X464" s="12"/>
      <c r="Y464" s="12"/>
    </row>
    <row r="465" customFormat="false" ht="15.75" hidden="false" customHeight="false" outlineLevel="0" collapsed="false">
      <c r="A465" s="12"/>
      <c r="B465" s="34"/>
      <c r="C465" s="12"/>
      <c r="D465" s="12"/>
      <c r="E465" s="12"/>
      <c r="F465" s="12"/>
      <c r="G465" s="18"/>
      <c r="H465" s="35"/>
      <c r="I465" s="35"/>
      <c r="J465" s="12"/>
      <c r="O465" s="12"/>
      <c r="P465" s="18"/>
      <c r="Q465" s="12"/>
      <c r="R465" s="12"/>
      <c r="S465" s="12"/>
      <c r="T465" s="36"/>
      <c r="U465" s="36"/>
      <c r="V465" s="12"/>
      <c r="W465" s="12"/>
      <c r="X465" s="12"/>
      <c r="Y465" s="12"/>
    </row>
    <row r="466" customFormat="false" ht="15.75" hidden="false" customHeight="false" outlineLevel="0" collapsed="false">
      <c r="A466" s="12"/>
      <c r="B466" s="34"/>
      <c r="C466" s="12"/>
      <c r="D466" s="12"/>
      <c r="E466" s="12"/>
      <c r="F466" s="12"/>
      <c r="G466" s="18"/>
      <c r="H466" s="35"/>
      <c r="I466" s="35"/>
      <c r="J466" s="12"/>
      <c r="O466" s="12"/>
      <c r="P466" s="18"/>
      <c r="Q466" s="12"/>
      <c r="R466" s="12"/>
      <c r="S466" s="12"/>
      <c r="T466" s="36"/>
      <c r="U466" s="36"/>
      <c r="V466" s="12"/>
      <c r="W466" s="12"/>
      <c r="X466" s="12"/>
      <c r="Y466" s="12"/>
    </row>
    <row r="467" customFormat="false" ht="15.75" hidden="false" customHeight="false" outlineLevel="0" collapsed="false">
      <c r="A467" s="12"/>
      <c r="B467" s="34"/>
      <c r="C467" s="12"/>
      <c r="D467" s="12"/>
      <c r="E467" s="12"/>
      <c r="F467" s="12"/>
      <c r="G467" s="18"/>
      <c r="H467" s="35"/>
      <c r="I467" s="35"/>
      <c r="J467" s="12"/>
      <c r="O467" s="12"/>
      <c r="P467" s="18"/>
      <c r="Q467" s="12"/>
      <c r="R467" s="12"/>
      <c r="S467" s="12"/>
      <c r="T467" s="36"/>
      <c r="U467" s="36"/>
      <c r="V467" s="12"/>
      <c r="W467" s="12"/>
      <c r="X467" s="12"/>
      <c r="Y467" s="12"/>
    </row>
    <row r="468" customFormat="false" ht="15.75" hidden="false" customHeight="false" outlineLevel="0" collapsed="false">
      <c r="A468" s="12"/>
      <c r="B468" s="34"/>
      <c r="C468" s="12"/>
      <c r="D468" s="12"/>
      <c r="E468" s="12"/>
      <c r="F468" s="12"/>
      <c r="G468" s="18"/>
      <c r="H468" s="35"/>
      <c r="I468" s="35"/>
      <c r="J468" s="12"/>
      <c r="O468" s="12"/>
      <c r="P468" s="18"/>
      <c r="Q468" s="12"/>
      <c r="R468" s="12"/>
      <c r="S468" s="12"/>
      <c r="T468" s="36"/>
      <c r="U468" s="36"/>
      <c r="V468" s="12"/>
      <c r="W468" s="12"/>
      <c r="X468" s="12"/>
      <c r="Y468" s="12"/>
    </row>
    <row r="469" customFormat="false" ht="15.75" hidden="false" customHeight="false" outlineLevel="0" collapsed="false">
      <c r="A469" s="12"/>
      <c r="B469" s="34"/>
      <c r="C469" s="12"/>
      <c r="D469" s="12"/>
      <c r="E469" s="12"/>
      <c r="F469" s="12"/>
      <c r="G469" s="18"/>
      <c r="H469" s="35"/>
      <c r="I469" s="35"/>
      <c r="J469" s="12"/>
      <c r="O469" s="12"/>
      <c r="P469" s="18"/>
      <c r="Q469" s="12"/>
      <c r="R469" s="12"/>
      <c r="S469" s="12"/>
      <c r="T469" s="36"/>
      <c r="U469" s="36"/>
      <c r="V469" s="12"/>
      <c r="W469" s="12"/>
      <c r="X469" s="12"/>
      <c r="Y469" s="12"/>
    </row>
    <row r="470" customFormat="false" ht="15.75" hidden="false" customHeight="false" outlineLevel="0" collapsed="false">
      <c r="A470" s="12"/>
      <c r="B470" s="34"/>
      <c r="C470" s="12"/>
      <c r="D470" s="12"/>
      <c r="E470" s="12"/>
      <c r="F470" s="12"/>
      <c r="G470" s="18"/>
      <c r="H470" s="35"/>
      <c r="I470" s="35"/>
      <c r="J470" s="12"/>
      <c r="O470" s="12"/>
      <c r="P470" s="18"/>
      <c r="Q470" s="12"/>
      <c r="R470" s="12"/>
      <c r="S470" s="12"/>
      <c r="T470" s="36"/>
      <c r="U470" s="36"/>
      <c r="V470" s="12"/>
      <c r="W470" s="12"/>
      <c r="X470" s="12"/>
      <c r="Y470" s="12"/>
    </row>
    <row r="471" customFormat="false" ht="15.75" hidden="false" customHeight="false" outlineLevel="0" collapsed="false">
      <c r="A471" s="12"/>
      <c r="B471" s="34"/>
      <c r="C471" s="12"/>
      <c r="D471" s="12"/>
      <c r="E471" s="12"/>
      <c r="F471" s="12"/>
      <c r="G471" s="18"/>
      <c r="H471" s="35"/>
      <c r="I471" s="35"/>
      <c r="J471" s="12"/>
      <c r="O471" s="12"/>
      <c r="P471" s="18"/>
      <c r="Q471" s="12"/>
      <c r="R471" s="12"/>
      <c r="S471" s="12"/>
      <c r="T471" s="36"/>
      <c r="U471" s="36"/>
      <c r="V471" s="12"/>
      <c r="W471" s="12"/>
      <c r="X471" s="12"/>
      <c r="Y471" s="12"/>
    </row>
    <row r="472" customFormat="false" ht="15.75" hidden="false" customHeight="false" outlineLevel="0" collapsed="false">
      <c r="A472" s="12"/>
      <c r="B472" s="34"/>
      <c r="C472" s="12"/>
      <c r="D472" s="12"/>
      <c r="E472" s="12"/>
      <c r="F472" s="12"/>
      <c r="G472" s="18"/>
      <c r="H472" s="35"/>
      <c r="I472" s="35"/>
      <c r="J472" s="12"/>
      <c r="O472" s="12"/>
      <c r="P472" s="18"/>
      <c r="Q472" s="12"/>
      <c r="R472" s="12"/>
      <c r="S472" s="12"/>
      <c r="T472" s="36"/>
      <c r="U472" s="36"/>
      <c r="V472" s="12"/>
      <c r="W472" s="12"/>
      <c r="X472" s="12"/>
      <c r="Y472" s="12"/>
    </row>
    <row r="473" customFormat="false" ht="15.75" hidden="false" customHeight="false" outlineLevel="0" collapsed="false">
      <c r="A473" s="12"/>
      <c r="B473" s="34"/>
      <c r="C473" s="12"/>
      <c r="D473" s="12"/>
      <c r="E473" s="12"/>
      <c r="F473" s="12"/>
      <c r="G473" s="18"/>
      <c r="H473" s="35"/>
      <c r="I473" s="35"/>
      <c r="J473" s="12"/>
      <c r="O473" s="12"/>
      <c r="P473" s="18"/>
      <c r="Q473" s="12"/>
      <c r="R473" s="12"/>
      <c r="S473" s="12"/>
      <c r="T473" s="36"/>
      <c r="U473" s="36"/>
      <c r="V473" s="12"/>
      <c r="W473" s="12"/>
      <c r="X473" s="12"/>
      <c r="Y473" s="12"/>
    </row>
    <row r="474" customFormat="false" ht="15.75" hidden="false" customHeight="false" outlineLevel="0" collapsed="false">
      <c r="A474" s="12"/>
      <c r="B474" s="34"/>
      <c r="C474" s="12"/>
      <c r="D474" s="12"/>
      <c r="E474" s="12"/>
      <c r="F474" s="12"/>
      <c r="G474" s="18"/>
      <c r="H474" s="35"/>
      <c r="I474" s="35"/>
      <c r="J474" s="12"/>
      <c r="O474" s="12"/>
      <c r="P474" s="18"/>
      <c r="Q474" s="12"/>
      <c r="R474" s="12"/>
      <c r="S474" s="12"/>
      <c r="T474" s="36"/>
      <c r="U474" s="36"/>
      <c r="V474" s="12"/>
      <c r="W474" s="12"/>
      <c r="X474" s="12"/>
      <c r="Y474" s="12"/>
    </row>
    <row r="475" customFormat="false" ht="15.75" hidden="false" customHeight="false" outlineLevel="0" collapsed="false">
      <c r="A475" s="12"/>
      <c r="B475" s="34"/>
      <c r="C475" s="12"/>
      <c r="D475" s="12"/>
      <c r="E475" s="12"/>
      <c r="F475" s="12"/>
      <c r="G475" s="18"/>
      <c r="H475" s="35"/>
      <c r="I475" s="35"/>
      <c r="J475" s="12"/>
      <c r="O475" s="12"/>
      <c r="P475" s="18"/>
      <c r="Q475" s="12"/>
      <c r="R475" s="12"/>
      <c r="S475" s="12"/>
      <c r="T475" s="36"/>
      <c r="U475" s="36"/>
      <c r="V475" s="12"/>
      <c r="W475" s="12"/>
      <c r="X475" s="12"/>
      <c r="Y475" s="12"/>
    </row>
    <row r="476" customFormat="false" ht="15.75" hidden="false" customHeight="false" outlineLevel="0" collapsed="false">
      <c r="A476" s="12"/>
      <c r="B476" s="34"/>
      <c r="C476" s="12"/>
      <c r="D476" s="12"/>
      <c r="E476" s="12"/>
      <c r="F476" s="12"/>
      <c r="G476" s="18"/>
      <c r="H476" s="35"/>
      <c r="I476" s="35"/>
      <c r="J476" s="12"/>
      <c r="O476" s="12"/>
      <c r="P476" s="18"/>
      <c r="Q476" s="12"/>
      <c r="R476" s="12"/>
      <c r="S476" s="12"/>
      <c r="T476" s="36"/>
      <c r="U476" s="36"/>
      <c r="V476" s="12"/>
      <c r="W476" s="12"/>
      <c r="X476" s="12"/>
      <c r="Y476" s="12"/>
    </row>
    <row r="477" customFormat="false" ht="15.75" hidden="false" customHeight="false" outlineLevel="0" collapsed="false">
      <c r="A477" s="12"/>
      <c r="B477" s="34"/>
      <c r="C477" s="12"/>
      <c r="D477" s="12"/>
      <c r="E477" s="12"/>
      <c r="F477" s="12"/>
      <c r="G477" s="18"/>
      <c r="H477" s="35"/>
      <c r="I477" s="35"/>
      <c r="J477" s="12"/>
      <c r="O477" s="12"/>
      <c r="P477" s="18"/>
      <c r="Q477" s="12"/>
      <c r="R477" s="12"/>
      <c r="S477" s="12"/>
      <c r="T477" s="36"/>
      <c r="U477" s="36"/>
      <c r="V477" s="12"/>
      <c r="W477" s="12"/>
      <c r="X477" s="12"/>
      <c r="Y477" s="12"/>
    </row>
    <row r="478" customFormat="false" ht="15.75" hidden="false" customHeight="false" outlineLevel="0" collapsed="false">
      <c r="A478" s="12"/>
      <c r="B478" s="34"/>
      <c r="C478" s="12"/>
      <c r="D478" s="12"/>
      <c r="E478" s="12"/>
      <c r="F478" s="12"/>
      <c r="G478" s="18"/>
      <c r="H478" s="35"/>
      <c r="I478" s="35"/>
      <c r="J478" s="12"/>
      <c r="O478" s="12"/>
      <c r="P478" s="18"/>
      <c r="Q478" s="12"/>
      <c r="R478" s="12"/>
      <c r="S478" s="12"/>
      <c r="T478" s="36"/>
      <c r="U478" s="36"/>
      <c r="V478" s="12"/>
      <c r="W478" s="12"/>
      <c r="X478" s="12"/>
      <c r="Y478" s="12"/>
    </row>
    <row r="479" customFormat="false" ht="15.75" hidden="false" customHeight="false" outlineLevel="0" collapsed="false">
      <c r="A479" s="12"/>
      <c r="B479" s="34"/>
      <c r="C479" s="12"/>
      <c r="D479" s="12"/>
      <c r="E479" s="12"/>
      <c r="F479" s="12"/>
      <c r="G479" s="18"/>
      <c r="H479" s="35"/>
      <c r="I479" s="35"/>
      <c r="J479" s="12"/>
      <c r="O479" s="12"/>
      <c r="P479" s="18"/>
      <c r="Q479" s="12"/>
      <c r="R479" s="12"/>
      <c r="S479" s="12"/>
      <c r="T479" s="36"/>
      <c r="U479" s="36"/>
      <c r="V479" s="12"/>
      <c r="W479" s="12"/>
      <c r="X479" s="12"/>
      <c r="Y479" s="12"/>
    </row>
    <row r="480" customFormat="false" ht="15.75" hidden="false" customHeight="false" outlineLevel="0" collapsed="false">
      <c r="A480" s="12"/>
      <c r="B480" s="34"/>
      <c r="C480" s="12"/>
      <c r="D480" s="12"/>
      <c r="E480" s="12"/>
      <c r="F480" s="12"/>
      <c r="G480" s="18"/>
      <c r="H480" s="35"/>
      <c r="I480" s="35"/>
      <c r="J480" s="12"/>
      <c r="O480" s="12"/>
      <c r="P480" s="18"/>
      <c r="Q480" s="12"/>
      <c r="R480" s="12"/>
      <c r="S480" s="12"/>
      <c r="T480" s="36"/>
      <c r="U480" s="36"/>
      <c r="V480" s="12"/>
      <c r="W480" s="12"/>
      <c r="X480" s="12"/>
      <c r="Y480" s="12"/>
    </row>
    <row r="481" customFormat="false" ht="15.75" hidden="false" customHeight="false" outlineLevel="0" collapsed="false">
      <c r="A481" s="12"/>
      <c r="B481" s="34"/>
      <c r="C481" s="12"/>
      <c r="D481" s="12"/>
      <c r="E481" s="12"/>
      <c r="F481" s="12"/>
      <c r="G481" s="18"/>
      <c r="H481" s="35"/>
      <c r="I481" s="35"/>
      <c r="J481" s="12"/>
      <c r="O481" s="12"/>
      <c r="P481" s="18"/>
      <c r="Q481" s="12"/>
      <c r="R481" s="12"/>
      <c r="S481" s="12"/>
      <c r="T481" s="36"/>
      <c r="U481" s="36"/>
      <c r="V481" s="12"/>
      <c r="W481" s="12"/>
      <c r="X481" s="12"/>
      <c r="Y481" s="12"/>
    </row>
    <row r="482" customFormat="false" ht="15.75" hidden="false" customHeight="false" outlineLevel="0" collapsed="false">
      <c r="A482" s="12"/>
      <c r="B482" s="34"/>
      <c r="C482" s="12"/>
      <c r="D482" s="12"/>
      <c r="E482" s="12"/>
      <c r="F482" s="12"/>
      <c r="G482" s="18"/>
      <c r="H482" s="35"/>
      <c r="I482" s="35"/>
      <c r="J482" s="12"/>
      <c r="O482" s="12"/>
      <c r="P482" s="18"/>
      <c r="Q482" s="12"/>
      <c r="R482" s="12"/>
      <c r="S482" s="12"/>
      <c r="T482" s="36"/>
      <c r="U482" s="36"/>
      <c r="V482" s="12"/>
      <c r="W482" s="12"/>
      <c r="X482" s="12"/>
      <c r="Y482" s="12"/>
    </row>
    <row r="483" customFormat="false" ht="15.75" hidden="false" customHeight="false" outlineLevel="0" collapsed="false">
      <c r="A483" s="12"/>
      <c r="B483" s="34"/>
      <c r="C483" s="12"/>
      <c r="D483" s="12"/>
      <c r="E483" s="12"/>
      <c r="F483" s="12"/>
      <c r="G483" s="18"/>
      <c r="H483" s="35"/>
      <c r="I483" s="35"/>
      <c r="J483" s="12"/>
      <c r="O483" s="12"/>
      <c r="P483" s="18"/>
      <c r="Q483" s="12"/>
      <c r="R483" s="12"/>
      <c r="S483" s="12"/>
      <c r="T483" s="36"/>
      <c r="U483" s="36"/>
      <c r="V483" s="12"/>
      <c r="W483" s="12"/>
      <c r="X483" s="12"/>
      <c r="Y483" s="12"/>
    </row>
    <row r="484" customFormat="false" ht="15.75" hidden="false" customHeight="false" outlineLevel="0" collapsed="false">
      <c r="A484" s="12"/>
      <c r="B484" s="34"/>
      <c r="C484" s="12"/>
      <c r="D484" s="12"/>
      <c r="E484" s="12"/>
      <c r="F484" s="12"/>
      <c r="G484" s="18"/>
      <c r="H484" s="35"/>
      <c r="I484" s="35"/>
      <c r="J484" s="12"/>
      <c r="O484" s="12"/>
      <c r="P484" s="18"/>
      <c r="Q484" s="12"/>
      <c r="R484" s="12"/>
      <c r="S484" s="12"/>
      <c r="T484" s="36"/>
      <c r="U484" s="36"/>
      <c r="V484" s="12"/>
      <c r="W484" s="12"/>
      <c r="X484" s="12"/>
      <c r="Y484" s="12"/>
    </row>
    <row r="485" customFormat="false" ht="15.75" hidden="false" customHeight="false" outlineLevel="0" collapsed="false">
      <c r="A485" s="12"/>
      <c r="B485" s="34"/>
      <c r="C485" s="12"/>
      <c r="D485" s="12"/>
      <c r="E485" s="12"/>
      <c r="F485" s="12"/>
      <c r="G485" s="18"/>
      <c r="H485" s="35"/>
      <c r="I485" s="35"/>
      <c r="J485" s="12"/>
      <c r="O485" s="12"/>
      <c r="P485" s="18"/>
      <c r="Q485" s="12"/>
      <c r="R485" s="12"/>
      <c r="S485" s="12"/>
      <c r="T485" s="36"/>
      <c r="U485" s="36"/>
      <c r="V485" s="12"/>
      <c r="W485" s="12"/>
      <c r="X485" s="12"/>
      <c r="Y485" s="12"/>
    </row>
    <row r="486" customFormat="false" ht="15.75" hidden="false" customHeight="false" outlineLevel="0" collapsed="false">
      <c r="A486" s="12"/>
      <c r="B486" s="34"/>
      <c r="C486" s="12"/>
      <c r="D486" s="12"/>
      <c r="E486" s="12"/>
      <c r="F486" s="12"/>
      <c r="G486" s="18"/>
      <c r="H486" s="35"/>
      <c r="I486" s="35"/>
      <c r="J486" s="12"/>
      <c r="O486" s="12"/>
      <c r="P486" s="18"/>
      <c r="Q486" s="12"/>
      <c r="R486" s="12"/>
      <c r="S486" s="12"/>
      <c r="T486" s="36"/>
      <c r="U486" s="36"/>
      <c r="V486" s="12"/>
      <c r="W486" s="12"/>
      <c r="X486" s="12"/>
      <c r="Y486" s="12"/>
    </row>
    <row r="487" customFormat="false" ht="15.75" hidden="false" customHeight="false" outlineLevel="0" collapsed="false">
      <c r="A487" s="12"/>
      <c r="B487" s="34"/>
      <c r="C487" s="12"/>
      <c r="D487" s="12"/>
      <c r="E487" s="12"/>
      <c r="F487" s="12"/>
      <c r="G487" s="18"/>
      <c r="H487" s="35"/>
      <c r="I487" s="35"/>
      <c r="J487" s="12"/>
      <c r="O487" s="12"/>
      <c r="P487" s="18"/>
      <c r="Q487" s="12"/>
      <c r="R487" s="12"/>
      <c r="S487" s="12"/>
      <c r="T487" s="36"/>
      <c r="U487" s="36"/>
      <c r="V487" s="12"/>
      <c r="W487" s="12"/>
      <c r="X487" s="12"/>
      <c r="Y487" s="12"/>
    </row>
    <row r="488" customFormat="false" ht="15.75" hidden="false" customHeight="false" outlineLevel="0" collapsed="false">
      <c r="A488" s="12"/>
      <c r="B488" s="34"/>
      <c r="C488" s="12"/>
      <c r="D488" s="12"/>
      <c r="E488" s="12"/>
      <c r="F488" s="12"/>
      <c r="G488" s="18"/>
      <c r="H488" s="35"/>
      <c r="I488" s="35"/>
      <c r="J488" s="12"/>
      <c r="O488" s="12"/>
      <c r="P488" s="18"/>
      <c r="Q488" s="12"/>
      <c r="R488" s="12"/>
      <c r="S488" s="12"/>
      <c r="T488" s="36"/>
      <c r="U488" s="36"/>
      <c r="V488" s="12"/>
      <c r="W488" s="12"/>
      <c r="X488" s="12"/>
      <c r="Y488" s="12"/>
    </row>
    <row r="489" customFormat="false" ht="15.75" hidden="false" customHeight="false" outlineLevel="0" collapsed="false">
      <c r="A489" s="12"/>
      <c r="B489" s="34"/>
      <c r="C489" s="12"/>
      <c r="D489" s="12"/>
      <c r="E489" s="12"/>
      <c r="F489" s="12"/>
      <c r="G489" s="18"/>
      <c r="H489" s="35"/>
      <c r="I489" s="35"/>
      <c r="J489" s="12"/>
      <c r="O489" s="12"/>
      <c r="P489" s="18"/>
      <c r="Q489" s="12"/>
      <c r="R489" s="12"/>
      <c r="S489" s="12"/>
      <c r="T489" s="36"/>
      <c r="U489" s="36"/>
      <c r="V489" s="12"/>
      <c r="W489" s="12"/>
      <c r="X489" s="12"/>
      <c r="Y489" s="12"/>
    </row>
    <row r="490" customFormat="false" ht="15.75" hidden="false" customHeight="false" outlineLevel="0" collapsed="false">
      <c r="A490" s="12"/>
      <c r="B490" s="34"/>
      <c r="C490" s="12"/>
      <c r="D490" s="12"/>
      <c r="E490" s="12"/>
      <c r="F490" s="12"/>
      <c r="G490" s="18"/>
      <c r="H490" s="35"/>
      <c r="I490" s="35"/>
      <c r="J490" s="12"/>
      <c r="O490" s="12"/>
      <c r="P490" s="18"/>
      <c r="Q490" s="12"/>
      <c r="R490" s="12"/>
      <c r="S490" s="12"/>
      <c r="T490" s="36"/>
      <c r="U490" s="36"/>
      <c r="V490" s="12"/>
      <c r="W490" s="12"/>
      <c r="X490" s="12"/>
      <c r="Y490" s="12"/>
    </row>
    <row r="491" customFormat="false" ht="15.75" hidden="false" customHeight="false" outlineLevel="0" collapsed="false">
      <c r="A491" s="12"/>
      <c r="B491" s="34"/>
      <c r="C491" s="12"/>
      <c r="D491" s="12"/>
      <c r="E491" s="12"/>
      <c r="F491" s="12"/>
      <c r="G491" s="18"/>
      <c r="H491" s="35"/>
      <c r="I491" s="35"/>
      <c r="J491" s="12"/>
      <c r="O491" s="12"/>
      <c r="P491" s="18"/>
      <c r="Q491" s="12"/>
      <c r="R491" s="12"/>
      <c r="S491" s="12"/>
      <c r="T491" s="36"/>
      <c r="U491" s="36"/>
      <c r="V491" s="12"/>
      <c r="W491" s="12"/>
      <c r="X491" s="12"/>
      <c r="Y491" s="12"/>
    </row>
    <row r="492" customFormat="false" ht="15.75" hidden="false" customHeight="false" outlineLevel="0" collapsed="false">
      <c r="A492" s="12"/>
      <c r="B492" s="34"/>
      <c r="C492" s="12"/>
      <c r="D492" s="12"/>
      <c r="E492" s="12"/>
      <c r="F492" s="12"/>
      <c r="G492" s="18"/>
      <c r="H492" s="35"/>
      <c r="I492" s="35"/>
      <c r="J492" s="12"/>
      <c r="O492" s="12"/>
      <c r="P492" s="18"/>
      <c r="Q492" s="12"/>
      <c r="R492" s="12"/>
      <c r="S492" s="12"/>
      <c r="T492" s="36"/>
      <c r="U492" s="36"/>
      <c r="V492" s="12"/>
      <c r="W492" s="12"/>
      <c r="X492" s="12"/>
      <c r="Y492" s="12"/>
    </row>
    <row r="493" customFormat="false" ht="15.75" hidden="false" customHeight="false" outlineLevel="0" collapsed="false">
      <c r="A493" s="12"/>
      <c r="B493" s="34"/>
      <c r="C493" s="12"/>
      <c r="D493" s="12"/>
      <c r="E493" s="12"/>
      <c r="F493" s="12"/>
      <c r="G493" s="18"/>
      <c r="H493" s="35"/>
      <c r="I493" s="35"/>
      <c r="J493" s="12"/>
      <c r="O493" s="12"/>
      <c r="P493" s="18"/>
      <c r="Q493" s="12"/>
      <c r="R493" s="12"/>
      <c r="S493" s="12"/>
      <c r="T493" s="36"/>
      <c r="U493" s="36"/>
      <c r="V493" s="12"/>
      <c r="W493" s="12"/>
      <c r="X493" s="12"/>
      <c r="Y493" s="12"/>
    </row>
    <row r="494" customFormat="false" ht="15.75" hidden="false" customHeight="false" outlineLevel="0" collapsed="false">
      <c r="A494" s="12"/>
      <c r="B494" s="34"/>
      <c r="C494" s="12"/>
      <c r="D494" s="12"/>
      <c r="E494" s="12"/>
      <c r="F494" s="12"/>
      <c r="G494" s="18"/>
      <c r="H494" s="35"/>
      <c r="I494" s="35"/>
      <c r="J494" s="12"/>
      <c r="O494" s="12"/>
      <c r="P494" s="18"/>
      <c r="Q494" s="12"/>
      <c r="R494" s="12"/>
      <c r="S494" s="12"/>
      <c r="T494" s="36"/>
      <c r="U494" s="36"/>
      <c r="V494" s="12"/>
      <c r="W494" s="12"/>
      <c r="X494" s="12"/>
      <c r="Y494" s="12"/>
    </row>
    <row r="495" customFormat="false" ht="15.75" hidden="false" customHeight="false" outlineLevel="0" collapsed="false">
      <c r="A495" s="12"/>
      <c r="B495" s="34"/>
      <c r="C495" s="12"/>
      <c r="D495" s="12"/>
      <c r="E495" s="12"/>
      <c r="F495" s="12"/>
      <c r="G495" s="18"/>
      <c r="H495" s="35"/>
      <c r="I495" s="35"/>
      <c r="J495" s="12"/>
      <c r="O495" s="12"/>
      <c r="P495" s="18"/>
      <c r="Q495" s="12"/>
      <c r="R495" s="12"/>
      <c r="S495" s="12"/>
      <c r="T495" s="36"/>
      <c r="U495" s="36"/>
      <c r="V495" s="12"/>
      <c r="W495" s="12"/>
      <c r="X495" s="12"/>
      <c r="Y495" s="12"/>
    </row>
    <row r="496" customFormat="false" ht="15.75" hidden="false" customHeight="false" outlineLevel="0" collapsed="false">
      <c r="A496" s="12"/>
      <c r="B496" s="34"/>
      <c r="C496" s="12"/>
      <c r="D496" s="12"/>
      <c r="E496" s="12"/>
      <c r="F496" s="12"/>
      <c r="G496" s="18"/>
      <c r="H496" s="35"/>
      <c r="I496" s="35"/>
      <c r="J496" s="12"/>
      <c r="O496" s="12"/>
      <c r="P496" s="18"/>
      <c r="Q496" s="12"/>
      <c r="R496" s="12"/>
      <c r="S496" s="12"/>
      <c r="T496" s="36"/>
      <c r="U496" s="36"/>
      <c r="V496" s="12"/>
      <c r="W496" s="12"/>
      <c r="X496" s="12"/>
      <c r="Y496" s="12"/>
    </row>
    <row r="497" customFormat="false" ht="15.75" hidden="false" customHeight="false" outlineLevel="0" collapsed="false">
      <c r="A497" s="12"/>
      <c r="B497" s="34"/>
      <c r="C497" s="12"/>
      <c r="D497" s="12"/>
      <c r="E497" s="12"/>
      <c r="F497" s="12"/>
      <c r="G497" s="18"/>
      <c r="H497" s="35"/>
      <c r="I497" s="35"/>
      <c r="J497" s="12"/>
      <c r="O497" s="12"/>
      <c r="P497" s="18"/>
      <c r="Q497" s="12"/>
      <c r="R497" s="12"/>
      <c r="S497" s="12"/>
      <c r="T497" s="36"/>
      <c r="U497" s="36"/>
      <c r="V497" s="12"/>
      <c r="W497" s="12"/>
      <c r="X497" s="12"/>
      <c r="Y497" s="12"/>
    </row>
    <row r="498" customFormat="false" ht="15.75" hidden="false" customHeight="false" outlineLevel="0" collapsed="false">
      <c r="A498" s="12"/>
      <c r="B498" s="34"/>
      <c r="C498" s="12"/>
      <c r="D498" s="12"/>
      <c r="E498" s="12"/>
      <c r="F498" s="12"/>
      <c r="G498" s="18"/>
      <c r="H498" s="35"/>
      <c r="I498" s="35"/>
      <c r="J498" s="12"/>
      <c r="O498" s="12"/>
      <c r="P498" s="18"/>
      <c r="Q498" s="12"/>
      <c r="R498" s="12"/>
      <c r="S498" s="12"/>
      <c r="T498" s="36"/>
      <c r="U498" s="36"/>
      <c r="V498" s="12"/>
      <c r="W498" s="12"/>
      <c r="X498" s="12"/>
      <c r="Y498" s="12"/>
    </row>
    <row r="499" customFormat="false" ht="15.75" hidden="false" customHeight="false" outlineLevel="0" collapsed="false">
      <c r="A499" s="12"/>
      <c r="B499" s="34"/>
      <c r="C499" s="12"/>
      <c r="D499" s="12"/>
      <c r="E499" s="12"/>
      <c r="F499" s="12"/>
      <c r="G499" s="18"/>
      <c r="H499" s="35"/>
      <c r="I499" s="35"/>
      <c r="J499" s="12"/>
      <c r="O499" s="12"/>
      <c r="P499" s="18"/>
      <c r="Q499" s="12"/>
      <c r="R499" s="12"/>
      <c r="S499" s="12"/>
      <c r="T499" s="36"/>
      <c r="U499" s="36"/>
      <c r="V499" s="12"/>
      <c r="W499" s="12"/>
      <c r="X499" s="12"/>
      <c r="Y499" s="12"/>
    </row>
    <row r="500" customFormat="false" ht="15.75" hidden="false" customHeight="false" outlineLevel="0" collapsed="false">
      <c r="A500" s="12"/>
      <c r="B500" s="34"/>
      <c r="C500" s="12"/>
      <c r="D500" s="12"/>
      <c r="E500" s="12"/>
      <c r="F500" s="12"/>
      <c r="G500" s="18"/>
      <c r="H500" s="35"/>
      <c r="I500" s="35"/>
      <c r="J500" s="12"/>
      <c r="O500" s="12"/>
      <c r="P500" s="18"/>
      <c r="Q500" s="12"/>
      <c r="R500" s="12"/>
      <c r="S500" s="12"/>
      <c r="T500" s="36"/>
      <c r="U500" s="36"/>
      <c r="V500" s="12"/>
      <c r="W500" s="12"/>
      <c r="X500" s="12"/>
      <c r="Y500" s="12"/>
    </row>
    <row r="501" customFormat="false" ht="15.75" hidden="false" customHeight="false" outlineLevel="0" collapsed="false">
      <c r="A501" s="12"/>
      <c r="B501" s="34"/>
      <c r="C501" s="12"/>
      <c r="D501" s="12"/>
      <c r="E501" s="12"/>
      <c r="F501" s="12"/>
      <c r="G501" s="18"/>
      <c r="H501" s="35"/>
      <c r="I501" s="35"/>
      <c r="J501" s="12"/>
      <c r="O501" s="12"/>
      <c r="P501" s="18"/>
      <c r="Q501" s="12"/>
      <c r="R501" s="12"/>
      <c r="S501" s="12"/>
      <c r="T501" s="36"/>
      <c r="U501" s="36"/>
      <c r="V501" s="12"/>
      <c r="W501" s="12"/>
      <c r="X501" s="12"/>
      <c r="Y501" s="12"/>
    </row>
    <row r="502" customFormat="false" ht="15.75" hidden="false" customHeight="false" outlineLevel="0" collapsed="false">
      <c r="A502" s="12"/>
      <c r="B502" s="34"/>
      <c r="C502" s="12"/>
      <c r="D502" s="12"/>
      <c r="E502" s="12"/>
      <c r="F502" s="12"/>
      <c r="G502" s="18"/>
      <c r="H502" s="35"/>
      <c r="I502" s="35"/>
      <c r="J502" s="12"/>
      <c r="O502" s="12"/>
      <c r="P502" s="18"/>
      <c r="Q502" s="12"/>
      <c r="R502" s="12"/>
      <c r="S502" s="12"/>
      <c r="T502" s="36"/>
      <c r="U502" s="36"/>
      <c r="V502" s="12"/>
      <c r="W502" s="12"/>
      <c r="X502" s="12"/>
      <c r="Y502" s="12"/>
    </row>
    <row r="503" customFormat="false" ht="15.75" hidden="false" customHeight="false" outlineLevel="0" collapsed="false">
      <c r="A503" s="12"/>
      <c r="B503" s="34"/>
      <c r="C503" s="12"/>
      <c r="D503" s="12"/>
      <c r="E503" s="12"/>
      <c r="F503" s="12"/>
      <c r="G503" s="18"/>
      <c r="H503" s="35"/>
      <c r="I503" s="35"/>
      <c r="J503" s="12"/>
      <c r="O503" s="12"/>
      <c r="P503" s="18"/>
      <c r="Q503" s="12"/>
      <c r="R503" s="12"/>
      <c r="S503" s="12"/>
      <c r="T503" s="36"/>
      <c r="U503" s="36"/>
      <c r="V503" s="12"/>
      <c r="W503" s="12"/>
      <c r="X503" s="12"/>
      <c r="Y503" s="12"/>
    </row>
    <row r="504" customFormat="false" ht="15.75" hidden="false" customHeight="false" outlineLevel="0" collapsed="false">
      <c r="A504" s="12"/>
      <c r="B504" s="34"/>
      <c r="C504" s="12"/>
      <c r="D504" s="12"/>
      <c r="E504" s="12"/>
      <c r="F504" s="12"/>
      <c r="G504" s="18"/>
      <c r="H504" s="35"/>
      <c r="I504" s="35"/>
      <c r="J504" s="12"/>
      <c r="O504" s="12"/>
      <c r="P504" s="18"/>
      <c r="Q504" s="12"/>
      <c r="R504" s="12"/>
      <c r="S504" s="12"/>
      <c r="T504" s="36"/>
      <c r="U504" s="36"/>
      <c r="V504" s="12"/>
      <c r="W504" s="12"/>
      <c r="X504" s="12"/>
      <c r="Y504" s="12"/>
    </row>
    <row r="505" customFormat="false" ht="15.75" hidden="false" customHeight="false" outlineLevel="0" collapsed="false">
      <c r="A505" s="12"/>
      <c r="B505" s="34"/>
      <c r="C505" s="12"/>
      <c r="D505" s="12"/>
      <c r="E505" s="12"/>
      <c r="F505" s="12"/>
      <c r="G505" s="18"/>
      <c r="H505" s="35"/>
      <c r="I505" s="35"/>
      <c r="J505" s="12"/>
      <c r="O505" s="12"/>
      <c r="P505" s="18"/>
      <c r="Q505" s="12"/>
      <c r="R505" s="12"/>
      <c r="S505" s="12"/>
      <c r="T505" s="36"/>
      <c r="U505" s="36"/>
      <c r="V505" s="12"/>
      <c r="W505" s="12"/>
      <c r="X505" s="12"/>
      <c r="Y505" s="12"/>
    </row>
    <row r="506" customFormat="false" ht="15.75" hidden="false" customHeight="false" outlineLevel="0" collapsed="false">
      <c r="A506" s="12"/>
      <c r="B506" s="34"/>
      <c r="C506" s="12"/>
      <c r="D506" s="12"/>
      <c r="E506" s="12"/>
      <c r="F506" s="12"/>
      <c r="G506" s="18"/>
      <c r="H506" s="35"/>
      <c r="I506" s="35"/>
      <c r="J506" s="12"/>
      <c r="O506" s="12"/>
      <c r="P506" s="18"/>
      <c r="Q506" s="12"/>
      <c r="R506" s="12"/>
      <c r="S506" s="12"/>
      <c r="T506" s="36"/>
      <c r="U506" s="36"/>
      <c r="V506" s="12"/>
      <c r="W506" s="12"/>
      <c r="X506" s="12"/>
      <c r="Y506" s="12"/>
    </row>
    <row r="507" customFormat="false" ht="15.75" hidden="false" customHeight="false" outlineLevel="0" collapsed="false">
      <c r="A507" s="12"/>
      <c r="B507" s="34"/>
      <c r="C507" s="12"/>
      <c r="D507" s="12"/>
      <c r="E507" s="12"/>
      <c r="F507" s="12"/>
      <c r="G507" s="18"/>
      <c r="H507" s="35"/>
      <c r="I507" s="35"/>
      <c r="J507" s="12"/>
      <c r="O507" s="12"/>
      <c r="P507" s="18"/>
      <c r="Q507" s="12"/>
      <c r="R507" s="12"/>
      <c r="S507" s="12"/>
      <c r="T507" s="36"/>
      <c r="U507" s="36"/>
      <c r="V507" s="12"/>
      <c r="W507" s="12"/>
      <c r="X507" s="12"/>
      <c r="Y507" s="12"/>
    </row>
    <row r="508" customFormat="false" ht="15.75" hidden="false" customHeight="false" outlineLevel="0" collapsed="false">
      <c r="A508" s="12"/>
      <c r="B508" s="34"/>
      <c r="C508" s="12"/>
      <c r="D508" s="12"/>
      <c r="E508" s="12"/>
      <c r="F508" s="12"/>
      <c r="G508" s="18"/>
      <c r="H508" s="35"/>
      <c r="I508" s="35"/>
      <c r="J508" s="12"/>
      <c r="O508" s="12"/>
      <c r="P508" s="18"/>
      <c r="Q508" s="12"/>
      <c r="R508" s="12"/>
      <c r="S508" s="12"/>
      <c r="T508" s="36"/>
      <c r="U508" s="36"/>
      <c r="V508" s="12"/>
      <c r="W508" s="12"/>
      <c r="X508" s="12"/>
      <c r="Y508" s="12"/>
    </row>
    <row r="509" customFormat="false" ht="15.75" hidden="false" customHeight="false" outlineLevel="0" collapsed="false">
      <c r="A509" s="12"/>
      <c r="B509" s="34"/>
      <c r="C509" s="12"/>
      <c r="D509" s="12"/>
      <c r="E509" s="12"/>
      <c r="F509" s="12"/>
      <c r="G509" s="18"/>
      <c r="H509" s="35"/>
      <c r="I509" s="35"/>
      <c r="J509" s="12"/>
      <c r="O509" s="12"/>
      <c r="P509" s="18"/>
      <c r="Q509" s="12"/>
      <c r="R509" s="12"/>
      <c r="S509" s="12"/>
      <c r="T509" s="36"/>
      <c r="U509" s="36"/>
      <c r="V509" s="12"/>
      <c r="W509" s="12"/>
      <c r="X509" s="12"/>
      <c r="Y509" s="12"/>
    </row>
    <row r="510" customFormat="false" ht="15.75" hidden="false" customHeight="false" outlineLevel="0" collapsed="false">
      <c r="A510" s="12"/>
      <c r="B510" s="34"/>
      <c r="C510" s="12"/>
      <c r="D510" s="12"/>
      <c r="E510" s="12"/>
      <c r="F510" s="12"/>
      <c r="G510" s="18"/>
      <c r="H510" s="35"/>
      <c r="I510" s="35"/>
      <c r="J510" s="12"/>
      <c r="O510" s="12"/>
      <c r="P510" s="18"/>
      <c r="Q510" s="12"/>
      <c r="R510" s="12"/>
      <c r="S510" s="12"/>
      <c r="T510" s="36"/>
      <c r="U510" s="36"/>
      <c r="V510" s="12"/>
      <c r="W510" s="12"/>
      <c r="X510" s="12"/>
      <c r="Y510" s="12"/>
    </row>
    <row r="511" customFormat="false" ht="15.75" hidden="false" customHeight="false" outlineLevel="0" collapsed="false">
      <c r="A511" s="12"/>
      <c r="B511" s="34"/>
      <c r="C511" s="12"/>
      <c r="D511" s="12"/>
      <c r="E511" s="12"/>
      <c r="F511" s="12"/>
      <c r="G511" s="18"/>
      <c r="H511" s="35"/>
      <c r="I511" s="35"/>
      <c r="J511" s="12"/>
      <c r="O511" s="12"/>
      <c r="P511" s="18"/>
      <c r="Q511" s="12"/>
      <c r="R511" s="12"/>
      <c r="S511" s="12"/>
      <c r="T511" s="36"/>
      <c r="U511" s="36"/>
      <c r="V511" s="12"/>
      <c r="W511" s="12"/>
      <c r="X511" s="12"/>
      <c r="Y511" s="12"/>
    </row>
    <row r="512" customFormat="false" ht="15.75" hidden="false" customHeight="false" outlineLevel="0" collapsed="false">
      <c r="A512" s="12"/>
      <c r="B512" s="34"/>
      <c r="C512" s="12"/>
      <c r="D512" s="12"/>
      <c r="E512" s="12"/>
      <c r="F512" s="12"/>
      <c r="G512" s="18"/>
      <c r="H512" s="35"/>
      <c r="I512" s="35"/>
      <c r="J512" s="12"/>
      <c r="O512" s="12"/>
      <c r="P512" s="18"/>
      <c r="Q512" s="12"/>
      <c r="R512" s="12"/>
      <c r="S512" s="12"/>
      <c r="T512" s="36"/>
      <c r="U512" s="36"/>
      <c r="V512" s="12"/>
      <c r="W512" s="12"/>
      <c r="X512" s="12"/>
      <c r="Y512" s="12"/>
    </row>
    <row r="513" customFormat="false" ht="15.75" hidden="false" customHeight="false" outlineLevel="0" collapsed="false">
      <c r="A513" s="12"/>
      <c r="B513" s="34"/>
      <c r="C513" s="12"/>
      <c r="D513" s="12"/>
      <c r="E513" s="12"/>
      <c r="F513" s="12"/>
      <c r="G513" s="18"/>
      <c r="H513" s="35"/>
      <c r="I513" s="35"/>
      <c r="J513" s="12"/>
      <c r="O513" s="12"/>
      <c r="P513" s="18"/>
      <c r="Q513" s="12"/>
      <c r="R513" s="12"/>
      <c r="S513" s="12"/>
      <c r="T513" s="36"/>
      <c r="U513" s="36"/>
      <c r="V513" s="12"/>
      <c r="W513" s="12"/>
      <c r="X513" s="12"/>
      <c r="Y513" s="12"/>
    </row>
    <row r="514" customFormat="false" ht="15.75" hidden="false" customHeight="false" outlineLevel="0" collapsed="false">
      <c r="A514" s="12"/>
      <c r="B514" s="34"/>
      <c r="C514" s="12"/>
      <c r="D514" s="12"/>
      <c r="E514" s="12"/>
      <c r="F514" s="12"/>
      <c r="G514" s="18"/>
      <c r="H514" s="35"/>
      <c r="I514" s="35"/>
      <c r="J514" s="12"/>
      <c r="O514" s="12"/>
      <c r="P514" s="18"/>
      <c r="Q514" s="12"/>
      <c r="R514" s="12"/>
      <c r="S514" s="12"/>
      <c r="T514" s="36"/>
      <c r="U514" s="36"/>
      <c r="V514" s="12"/>
      <c r="W514" s="12"/>
      <c r="X514" s="12"/>
      <c r="Y514" s="12"/>
    </row>
    <row r="515" customFormat="false" ht="15.75" hidden="false" customHeight="false" outlineLevel="0" collapsed="false">
      <c r="A515" s="12"/>
      <c r="B515" s="34"/>
      <c r="C515" s="12"/>
      <c r="D515" s="12"/>
      <c r="E515" s="12"/>
      <c r="F515" s="12"/>
      <c r="G515" s="18"/>
      <c r="H515" s="35"/>
      <c r="I515" s="35"/>
      <c r="J515" s="12"/>
      <c r="O515" s="12"/>
      <c r="P515" s="18"/>
      <c r="Q515" s="12"/>
      <c r="R515" s="12"/>
      <c r="S515" s="12"/>
      <c r="T515" s="36"/>
      <c r="U515" s="36"/>
      <c r="V515" s="12"/>
      <c r="W515" s="12"/>
      <c r="X515" s="12"/>
      <c r="Y515" s="12"/>
    </row>
    <row r="516" customFormat="false" ht="15.75" hidden="false" customHeight="false" outlineLevel="0" collapsed="false">
      <c r="A516" s="12"/>
      <c r="B516" s="34"/>
      <c r="C516" s="12"/>
      <c r="D516" s="12"/>
      <c r="E516" s="12"/>
      <c r="F516" s="12"/>
      <c r="G516" s="18"/>
      <c r="H516" s="35"/>
      <c r="I516" s="35"/>
      <c r="J516" s="12"/>
      <c r="O516" s="12"/>
      <c r="P516" s="18"/>
      <c r="Q516" s="12"/>
      <c r="R516" s="12"/>
      <c r="S516" s="12"/>
      <c r="T516" s="36"/>
      <c r="U516" s="36"/>
      <c r="V516" s="12"/>
      <c r="W516" s="12"/>
      <c r="X516" s="12"/>
      <c r="Y516" s="12"/>
    </row>
    <row r="517" customFormat="false" ht="15.75" hidden="false" customHeight="false" outlineLevel="0" collapsed="false">
      <c r="A517" s="12"/>
      <c r="B517" s="34"/>
      <c r="C517" s="12"/>
      <c r="D517" s="12"/>
      <c r="E517" s="12"/>
      <c r="F517" s="12"/>
      <c r="G517" s="18"/>
      <c r="H517" s="35"/>
      <c r="I517" s="35"/>
      <c r="J517" s="12"/>
      <c r="O517" s="12"/>
      <c r="P517" s="18"/>
      <c r="Q517" s="12"/>
      <c r="R517" s="12"/>
      <c r="S517" s="12"/>
      <c r="T517" s="36"/>
      <c r="U517" s="36"/>
      <c r="V517" s="12"/>
      <c r="W517" s="12"/>
      <c r="X517" s="12"/>
      <c r="Y517" s="12"/>
    </row>
    <row r="518" customFormat="false" ht="15.75" hidden="false" customHeight="false" outlineLevel="0" collapsed="false">
      <c r="A518" s="12"/>
      <c r="B518" s="34"/>
      <c r="C518" s="12"/>
      <c r="D518" s="12"/>
      <c r="E518" s="12"/>
      <c r="F518" s="12"/>
      <c r="G518" s="18"/>
      <c r="H518" s="35"/>
      <c r="I518" s="35"/>
      <c r="J518" s="12"/>
      <c r="O518" s="12"/>
      <c r="P518" s="18"/>
      <c r="Q518" s="12"/>
      <c r="R518" s="12"/>
      <c r="S518" s="12"/>
      <c r="T518" s="36"/>
      <c r="U518" s="36"/>
      <c r="V518" s="12"/>
      <c r="W518" s="12"/>
      <c r="X518" s="12"/>
      <c r="Y518" s="12"/>
    </row>
    <row r="519" customFormat="false" ht="15.75" hidden="false" customHeight="false" outlineLevel="0" collapsed="false">
      <c r="A519" s="12"/>
      <c r="B519" s="34"/>
      <c r="C519" s="12"/>
      <c r="D519" s="12"/>
      <c r="E519" s="12"/>
      <c r="F519" s="12"/>
      <c r="G519" s="18"/>
      <c r="H519" s="35"/>
      <c r="I519" s="35"/>
      <c r="J519" s="12"/>
      <c r="O519" s="12"/>
      <c r="P519" s="18"/>
      <c r="Q519" s="12"/>
      <c r="R519" s="12"/>
      <c r="S519" s="12"/>
      <c r="T519" s="36"/>
      <c r="U519" s="36"/>
      <c r="V519" s="12"/>
      <c r="W519" s="12"/>
      <c r="X519" s="12"/>
      <c r="Y519" s="12"/>
    </row>
    <row r="520" customFormat="false" ht="15.75" hidden="false" customHeight="false" outlineLevel="0" collapsed="false">
      <c r="A520" s="12"/>
      <c r="B520" s="34"/>
      <c r="C520" s="12"/>
      <c r="D520" s="12"/>
      <c r="E520" s="12"/>
      <c r="F520" s="12"/>
      <c r="G520" s="18"/>
      <c r="H520" s="35"/>
      <c r="I520" s="35"/>
      <c r="J520" s="12"/>
      <c r="O520" s="12"/>
      <c r="P520" s="18"/>
      <c r="Q520" s="12"/>
      <c r="R520" s="12"/>
      <c r="S520" s="12"/>
      <c r="T520" s="36"/>
      <c r="U520" s="36"/>
      <c r="V520" s="12"/>
      <c r="W520" s="12"/>
      <c r="X520" s="12"/>
      <c r="Y520" s="12"/>
    </row>
    <row r="521" customFormat="false" ht="15.75" hidden="false" customHeight="false" outlineLevel="0" collapsed="false">
      <c r="A521" s="12"/>
      <c r="B521" s="34"/>
      <c r="C521" s="12"/>
      <c r="D521" s="12"/>
      <c r="E521" s="12"/>
      <c r="F521" s="12"/>
      <c r="G521" s="18"/>
      <c r="H521" s="35"/>
      <c r="I521" s="35"/>
      <c r="J521" s="12"/>
      <c r="O521" s="12"/>
      <c r="P521" s="18"/>
      <c r="Q521" s="12"/>
      <c r="R521" s="12"/>
      <c r="S521" s="12"/>
      <c r="T521" s="36"/>
      <c r="U521" s="36"/>
      <c r="V521" s="12"/>
      <c r="W521" s="12"/>
      <c r="X521" s="12"/>
      <c r="Y521" s="12"/>
    </row>
    <row r="522" customFormat="false" ht="15.75" hidden="false" customHeight="false" outlineLevel="0" collapsed="false">
      <c r="A522" s="12"/>
      <c r="B522" s="34"/>
      <c r="C522" s="12"/>
      <c r="D522" s="12"/>
      <c r="E522" s="12"/>
      <c r="F522" s="12"/>
      <c r="G522" s="18"/>
      <c r="H522" s="35"/>
      <c r="I522" s="35"/>
      <c r="J522" s="12"/>
      <c r="O522" s="12"/>
      <c r="P522" s="18"/>
      <c r="Q522" s="12"/>
      <c r="R522" s="12"/>
      <c r="S522" s="12"/>
      <c r="T522" s="36"/>
      <c r="U522" s="36"/>
      <c r="V522" s="12"/>
      <c r="W522" s="12"/>
      <c r="X522" s="12"/>
      <c r="Y522" s="12"/>
    </row>
    <row r="523" customFormat="false" ht="15.75" hidden="false" customHeight="false" outlineLevel="0" collapsed="false">
      <c r="A523" s="12"/>
      <c r="B523" s="34"/>
      <c r="C523" s="12"/>
      <c r="D523" s="12"/>
      <c r="E523" s="12"/>
      <c r="F523" s="12"/>
      <c r="G523" s="18"/>
      <c r="H523" s="35"/>
      <c r="I523" s="35"/>
      <c r="J523" s="12"/>
      <c r="O523" s="12"/>
      <c r="P523" s="18"/>
      <c r="Q523" s="12"/>
      <c r="R523" s="12"/>
      <c r="S523" s="12"/>
      <c r="T523" s="36"/>
      <c r="U523" s="36"/>
      <c r="V523" s="12"/>
      <c r="W523" s="12"/>
      <c r="X523" s="12"/>
      <c r="Y523" s="12"/>
    </row>
    <row r="524" customFormat="false" ht="15.75" hidden="false" customHeight="false" outlineLevel="0" collapsed="false">
      <c r="A524" s="12"/>
      <c r="B524" s="34"/>
      <c r="C524" s="12"/>
      <c r="D524" s="12"/>
      <c r="E524" s="12"/>
      <c r="F524" s="12"/>
      <c r="G524" s="18"/>
      <c r="H524" s="35"/>
      <c r="I524" s="35"/>
      <c r="J524" s="12"/>
      <c r="O524" s="12"/>
      <c r="P524" s="18"/>
      <c r="Q524" s="12"/>
      <c r="R524" s="12"/>
      <c r="S524" s="12"/>
      <c r="T524" s="36"/>
      <c r="U524" s="36"/>
      <c r="V524" s="12"/>
      <c r="W524" s="12"/>
      <c r="X524" s="12"/>
      <c r="Y524" s="12"/>
    </row>
    <row r="525" customFormat="false" ht="15.75" hidden="false" customHeight="false" outlineLevel="0" collapsed="false">
      <c r="A525" s="12"/>
      <c r="B525" s="34"/>
      <c r="C525" s="12"/>
      <c r="D525" s="12"/>
      <c r="E525" s="12"/>
      <c r="F525" s="12"/>
      <c r="G525" s="18"/>
      <c r="H525" s="35"/>
      <c r="I525" s="35"/>
      <c r="J525" s="12"/>
      <c r="O525" s="12"/>
      <c r="P525" s="18"/>
      <c r="Q525" s="12"/>
      <c r="R525" s="12"/>
      <c r="S525" s="12"/>
      <c r="T525" s="36"/>
      <c r="U525" s="36"/>
      <c r="V525" s="12"/>
      <c r="W525" s="12"/>
      <c r="X525" s="12"/>
      <c r="Y525" s="12"/>
    </row>
    <row r="526" customFormat="false" ht="15.75" hidden="false" customHeight="false" outlineLevel="0" collapsed="false">
      <c r="A526" s="12"/>
      <c r="B526" s="34"/>
      <c r="C526" s="12"/>
      <c r="D526" s="12"/>
      <c r="E526" s="12"/>
      <c r="F526" s="12"/>
      <c r="G526" s="18"/>
      <c r="H526" s="35"/>
      <c r="I526" s="35"/>
      <c r="J526" s="12"/>
      <c r="O526" s="12"/>
      <c r="P526" s="18"/>
      <c r="Q526" s="12"/>
      <c r="R526" s="12"/>
      <c r="S526" s="12"/>
      <c r="T526" s="36"/>
      <c r="U526" s="36"/>
      <c r="V526" s="12"/>
      <c r="W526" s="12"/>
      <c r="X526" s="12"/>
      <c r="Y526" s="12"/>
    </row>
    <row r="527" customFormat="false" ht="15.75" hidden="false" customHeight="false" outlineLevel="0" collapsed="false">
      <c r="A527" s="12"/>
      <c r="B527" s="34"/>
      <c r="C527" s="12"/>
      <c r="D527" s="12"/>
      <c r="E527" s="12"/>
      <c r="F527" s="12"/>
      <c r="G527" s="18"/>
      <c r="H527" s="35"/>
      <c r="I527" s="35"/>
      <c r="J527" s="12"/>
      <c r="O527" s="12"/>
      <c r="P527" s="18"/>
      <c r="Q527" s="12"/>
      <c r="R527" s="12"/>
      <c r="S527" s="12"/>
      <c r="T527" s="36"/>
      <c r="U527" s="36"/>
      <c r="V527" s="12"/>
      <c r="W527" s="12"/>
      <c r="X527" s="12"/>
      <c r="Y527" s="12"/>
    </row>
    <row r="528" customFormat="false" ht="15.75" hidden="false" customHeight="false" outlineLevel="0" collapsed="false">
      <c r="A528" s="12"/>
      <c r="B528" s="34"/>
      <c r="C528" s="12"/>
      <c r="D528" s="12"/>
      <c r="E528" s="12"/>
      <c r="F528" s="12"/>
      <c r="G528" s="18"/>
      <c r="H528" s="35"/>
      <c r="I528" s="35"/>
      <c r="J528" s="12"/>
      <c r="O528" s="12"/>
      <c r="P528" s="18"/>
      <c r="Q528" s="12"/>
      <c r="R528" s="12"/>
      <c r="S528" s="12"/>
      <c r="T528" s="36"/>
      <c r="U528" s="36"/>
      <c r="V528" s="12"/>
      <c r="W528" s="12"/>
      <c r="X528" s="12"/>
      <c r="Y528" s="12"/>
    </row>
    <row r="529" customFormat="false" ht="15.75" hidden="false" customHeight="false" outlineLevel="0" collapsed="false">
      <c r="A529" s="12"/>
      <c r="B529" s="34"/>
      <c r="C529" s="12"/>
      <c r="D529" s="12"/>
      <c r="E529" s="12"/>
      <c r="F529" s="12"/>
      <c r="G529" s="18"/>
      <c r="H529" s="35"/>
      <c r="I529" s="35"/>
      <c r="J529" s="12"/>
      <c r="O529" s="12"/>
      <c r="P529" s="18"/>
      <c r="Q529" s="12"/>
      <c r="R529" s="12"/>
      <c r="S529" s="12"/>
      <c r="T529" s="36"/>
      <c r="U529" s="36"/>
      <c r="V529" s="12"/>
      <c r="W529" s="12"/>
      <c r="X529" s="12"/>
      <c r="Y529" s="12"/>
    </row>
    <row r="530" customFormat="false" ht="15.75" hidden="false" customHeight="false" outlineLevel="0" collapsed="false">
      <c r="A530" s="12"/>
      <c r="B530" s="34"/>
      <c r="C530" s="12"/>
      <c r="D530" s="12"/>
      <c r="E530" s="12"/>
      <c r="F530" s="12"/>
      <c r="G530" s="18"/>
      <c r="H530" s="35"/>
      <c r="I530" s="35"/>
      <c r="J530" s="12"/>
      <c r="O530" s="12"/>
      <c r="P530" s="18"/>
      <c r="Q530" s="12"/>
      <c r="R530" s="12"/>
      <c r="S530" s="12"/>
      <c r="T530" s="36"/>
      <c r="U530" s="36"/>
      <c r="V530" s="12"/>
      <c r="W530" s="12"/>
      <c r="X530" s="12"/>
      <c r="Y530" s="12"/>
    </row>
    <row r="531" customFormat="false" ht="15.75" hidden="false" customHeight="false" outlineLevel="0" collapsed="false">
      <c r="A531" s="12"/>
      <c r="B531" s="34"/>
      <c r="C531" s="12"/>
      <c r="D531" s="12"/>
      <c r="E531" s="12"/>
      <c r="F531" s="12"/>
      <c r="G531" s="18"/>
      <c r="H531" s="35"/>
      <c r="I531" s="35"/>
      <c r="J531" s="12"/>
      <c r="O531" s="12"/>
      <c r="P531" s="18"/>
      <c r="Q531" s="12"/>
      <c r="R531" s="12"/>
      <c r="S531" s="12"/>
      <c r="T531" s="36"/>
      <c r="U531" s="36"/>
      <c r="V531" s="12"/>
      <c r="W531" s="12"/>
      <c r="X531" s="12"/>
      <c r="Y531" s="12"/>
    </row>
    <row r="532" customFormat="false" ht="15.75" hidden="false" customHeight="false" outlineLevel="0" collapsed="false">
      <c r="A532" s="12"/>
      <c r="B532" s="34"/>
      <c r="C532" s="12"/>
      <c r="D532" s="12"/>
      <c r="E532" s="12"/>
      <c r="F532" s="12"/>
      <c r="G532" s="18"/>
      <c r="H532" s="35"/>
      <c r="I532" s="35"/>
      <c r="J532" s="12"/>
      <c r="O532" s="12"/>
      <c r="P532" s="18"/>
      <c r="Q532" s="12"/>
      <c r="R532" s="12"/>
      <c r="S532" s="12"/>
      <c r="T532" s="36"/>
      <c r="U532" s="36"/>
      <c r="V532" s="12"/>
      <c r="W532" s="12"/>
      <c r="X532" s="12"/>
      <c r="Y532" s="12"/>
    </row>
    <row r="533" customFormat="false" ht="15.75" hidden="false" customHeight="false" outlineLevel="0" collapsed="false">
      <c r="A533" s="12"/>
      <c r="B533" s="34"/>
      <c r="C533" s="12"/>
      <c r="D533" s="12"/>
      <c r="E533" s="12"/>
      <c r="F533" s="12"/>
      <c r="G533" s="18"/>
      <c r="H533" s="35"/>
      <c r="I533" s="35"/>
      <c r="J533" s="12"/>
      <c r="O533" s="12"/>
      <c r="P533" s="18"/>
      <c r="Q533" s="12"/>
      <c r="R533" s="12"/>
      <c r="S533" s="12"/>
      <c r="T533" s="36"/>
      <c r="U533" s="36"/>
      <c r="V533" s="12"/>
      <c r="W533" s="12"/>
      <c r="X533" s="12"/>
      <c r="Y533" s="12"/>
    </row>
    <row r="534" customFormat="false" ht="15.75" hidden="false" customHeight="false" outlineLevel="0" collapsed="false">
      <c r="A534" s="12"/>
      <c r="B534" s="34"/>
      <c r="C534" s="12"/>
      <c r="D534" s="12"/>
      <c r="E534" s="12"/>
      <c r="F534" s="12"/>
      <c r="G534" s="18"/>
      <c r="H534" s="35"/>
      <c r="I534" s="35"/>
      <c r="J534" s="12"/>
      <c r="O534" s="12"/>
      <c r="P534" s="18"/>
      <c r="Q534" s="12"/>
      <c r="R534" s="12"/>
      <c r="S534" s="12"/>
      <c r="T534" s="36"/>
      <c r="U534" s="36"/>
      <c r="V534" s="12"/>
      <c r="W534" s="12"/>
      <c r="X534" s="12"/>
      <c r="Y534" s="12"/>
    </row>
    <row r="535" customFormat="false" ht="15.75" hidden="false" customHeight="false" outlineLevel="0" collapsed="false">
      <c r="A535" s="12"/>
      <c r="B535" s="34"/>
      <c r="C535" s="12"/>
      <c r="D535" s="12"/>
      <c r="E535" s="12"/>
      <c r="F535" s="12"/>
      <c r="G535" s="18"/>
      <c r="H535" s="35"/>
      <c r="I535" s="35"/>
      <c r="J535" s="12"/>
      <c r="O535" s="12"/>
      <c r="P535" s="18"/>
      <c r="Q535" s="12"/>
      <c r="R535" s="12"/>
      <c r="S535" s="12"/>
      <c r="T535" s="36"/>
      <c r="U535" s="36"/>
      <c r="V535" s="12"/>
      <c r="W535" s="12"/>
      <c r="X535" s="12"/>
      <c r="Y535" s="12"/>
    </row>
    <row r="536" customFormat="false" ht="15.75" hidden="false" customHeight="false" outlineLevel="0" collapsed="false">
      <c r="A536" s="12"/>
      <c r="B536" s="34"/>
      <c r="C536" s="12"/>
      <c r="D536" s="12"/>
      <c r="E536" s="12"/>
      <c r="F536" s="12"/>
      <c r="G536" s="18"/>
      <c r="H536" s="35"/>
      <c r="I536" s="35"/>
      <c r="J536" s="12"/>
      <c r="O536" s="12"/>
      <c r="P536" s="18"/>
      <c r="Q536" s="12"/>
      <c r="R536" s="12"/>
      <c r="S536" s="12"/>
      <c r="T536" s="36"/>
      <c r="U536" s="36"/>
      <c r="V536" s="12"/>
      <c r="W536" s="12"/>
      <c r="X536" s="12"/>
      <c r="Y536" s="12"/>
    </row>
    <row r="537" customFormat="false" ht="15.75" hidden="false" customHeight="false" outlineLevel="0" collapsed="false">
      <c r="A537" s="12"/>
      <c r="B537" s="34"/>
      <c r="C537" s="12"/>
      <c r="D537" s="12"/>
      <c r="E537" s="12"/>
      <c r="F537" s="12"/>
      <c r="G537" s="18"/>
      <c r="H537" s="35"/>
      <c r="I537" s="35"/>
      <c r="J537" s="12"/>
      <c r="O537" s="12"/>
      <c r="P537" s="18"/>
      <c r="Q537" s="12"/>
      <c r="R537" s="12"/>
      <c r="S537" s="12"/>
      <c r="T537" s="36"/>
      <c r="U537" s="36"/>
      <c r="V537" s="12"/>
      <c r="W537" s="12"/>
      <c r="X537" s="12"/>
      <c r="Y537" s="12"/>
    </row>
    <row r="538" customFormat="false" ht="15.75" hidden="false" customHeight="false" outlineLevel="0" collapsed="false">
      <c r="A538" s="12"/>
      <c r="B538" s="34"/>
      <c r="C538" s="12"/>
      <c r="D538" s="12"/>
      <c r="E538" s="12"/>
      <c r="F538" s="12"/>
      <c r="G538" s="18"/>
      <c r="H538" s="35"/>
      <c r="I538" s="35"/>
      <c r="J538" s="12"/>
      <c r="O538" s="12"/>
      <c r="P538" s="18"/>
      <c r="Q538" s="12"/>
      <c r="R538" s="12"/>
      <c r="S538" s="12"/>
      <c r="T538" s="36"/>
      <c r="U538" s="36"/>
      <c r="V538" s="12"/>
      <c r="W538" s="12"/>
      <c r="X538" s="12"/>
      <c r="Y538" s="12"/>
    </row>
    <row r="539" customFormat="false" ht="15.75" hidden="false" customHeight="false" outlineLevel="0" collapsed="false">
      <c r="A539" s="12"/>
      <c r="B539" s="34"/>
      <c r="C539" s="12"/>
      <c r="D539" s="12"/>
      <c r="E539" s="12"/>
      <c r="F539" s="12"/>
      <c r="G539" s="18"/>
      <c r="H539" s="35"/>
      <c r="I539" s="35"/>
      <c r="J539" s="12"/>
      <c r="O539" s="12"/>
      <c r="P539" s="18"/>
      <c r="Q539" s="12"/>
      <c r="R539" s="12"/>
      <c r="S539" s="12"/>
      <c r="T539" s="36"/>
      <c r="U539" s="36"/>
      <c r="V539" s="12"/>
      <c r="W539" s="12"/>
      <c r="X539" s="12"/>
      <c r="Y539" s="12"/>
    </row>
    <row r="540" customFormat="false" ht="15.75" hidden="false" customHeight="false" outlineLevel="0" collapsed="false">
      <c r="A540" s="12"/>
      <c r="B540" s="34"/>
      <c r="C540" s="12"/>
      <c r="D540" s="12"/>
      <c r="E540" s="12"/>
      <c r="F540" s="12"/>
      <c r="G540" s="18"/>
      <c r="H540" s="35"/>
      <c r="I540" s="35"/>
      <c r="J540" s="12"/>
      <c r="O540" s="12"/>
      <c r="P540" s="18"/>
      <c r="Q540" s="12"/>
      <c r="R540" s="12"/>
      <c r="S540" s="12"/>
      <c r="T540" s="36"/>
      <c r="U540" s="36"/>
      <c r="V540" s="12"/>
      <c r="W540" s="12"/>
      <c r="X540" s="12"/>
      <c r="Y540" s="12"/>
    </row>
    <row r="541" customFormat="false" ht="15.75" hidden="false" customHeight="false" outlineLevel="0" collapsed="false">
      <c r="A541" s="12"/>
      <c r="B541" s="34"/>
      <c r="C541" s="12"/>
      <c r="D541" s="12"/>
      <c r="E541" s="12"/>
      <c r="F541" s="12"/>
      <c r="G541" s="18"/>
      <c r="H541" s="35"/>
      <c r="I541" s="35"/>
      <c r="J541" s="12"/>
      <c r="O541" s="12"/>
      <c r="P541" s="18"/>
      <c r="Q541" s="12"/>
      <c r="R541" s="12"/>
      <c r="S541" s="12"/>
      <c r="T541" s="36"/>
      <c r="U541" s="36"/>
      <c r="V541" s="12"/>
      <c r="W541" s="12"/>
      <c r="X541" s="12"/>
      <c r="Y541" s="12"/>
    </row>
    <row r="542" customFormat="false" ht="15.75" hidden="false" customHeight="false" outlineLevel="0" collapsed="false">
      <c r="A542" s="12"/>
      <c r="B542" s="34"/>
      <c r="C542" s="12"/>
      <c r="D542" s="12"/>
      <c r="E542" s="12"/>
      <c r="F542" s="12"/>
      <c r="G542" s="18"/>
      <c r="H542" s="35"/>
      <c r="I542" s="35"/>
      <c r="J542" s="12"/>
      <c r="O542" s="12"/>
      <c r="P542" s="18"/>
      <c r="Q542" s="12"/>
      <c r="R542" s="12"/>
      <c r="S542" s="12"/>
      <c r="T542" s="36"/>
      <c r="U542" s="36"/>
      <c r="V542" s="12"/>
      <c r="W542" s="12"/>
      <c r="X542" s="12"/>
      <c r="Y542" s="12"/>
    </row>
    <row r="543" customFormat="false" ht="15.75" hidden="false" customHeight="false" outlineLevel="0" collapsed="false">
      <c r="A543" s="12"/>
      <c r="B543" s="34"/>
      <c r="C543" s="12"/>
      <c r="D543" s="12"/>
      <c r="E543" s="12"/>
      <c r="F543" s="12"/>
      <c r="G543" s="18"/>
      <c r="H543" s="35"/>
      <c r="I543" s="35"/>
      <c r="J543" s="12"/>
      <c r="O543" s="12"/>
      <c r="P543" s="18"/>
      <c r="Q543" s="12"/>
      <c r="R543" s="12"/>
      <c r="S543" s="12"/>
      <c r="T543" s="36"/>
      <c r="U543" s="36"/>
      <c r="V543" s="12"/>
      <c r="W543" s="12"/>
      <c r="X543" s="12"/>
      <c r="Y543" s="12"/>
    </row>
    <row r="544" customFormat="false" ht="15.75" hidden="false" customHeight="false" outlineLevel="0" collapsed="false">
      <c r="A544" s="12"/>
      <c r="B544" s="34"/>
      <c r="C544" s="12"/>
      <c r="D544" s="12"/>
      <c r="E544" s="12"/>
      <c r="F544" s="12"/>
      <c r="G544" s="18"/>
      <c r="H544" s="35"/>
      <c r="I544" s="35"/>
      <c r="J544" s="12"/>
      <c r="O544" s="12"/>
      <c r="P544" s="18"/>
      <c r="Q544" s="12"/>
      <c r="R544" s="12"/>
      <c r="S544" s="12"/>
      <c r="T544" s="36"/>
      <c r="U544" s="36"/>
      <c r="V544" s="12"/>
      <c r="W544" s="12"/>
      <c r="X544" s="12"/>
      <c r="Y544" s="12"/>
    </row>
    <row r="545" customFormat="false" ht="15.75" hidden="false" customHeight="false" outlineLevel="0" collapsed="false">
      <c r="A545" s="12"/>
      <c r="B545" s="34"/>
      <c r="C545" s="12"/>
      <c r="D545" s="12"/>
      <c r="E545" s="12"/>
      <c r="F545" s="12"/>
      <c r="G545" s="18"/>
      <c r="H545" s="35"/>
      <c r="I545" s="35"/>
      <c r="J545" s="12"/>
      <c r="O545" s="12"/>
      <c r="P545" s="18"/>
      <c r="Q545" s="12"/>
      <c r="R545" s="12"/>
      <c r="S545" s="12"/>
      <c r="T545" s="36"/>
      <c r="U545" s="36"/>
      <c r="V545" s="12"/>
      <c r="W545" s="12"/>
      <c r="X545" s="12"/>
      <c r="Y545" s="12"/>
    </row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AF68"/>
  <conditionalFormatting sqref="G2:G4 P2:P4">
    <cfRule type="containsText" priority="2" operator="containsText" aboveAverage="0" equalAverage="0" bottom="0" percent="0" rank="0" text="x" dxfId="0">
      <formula>NOT(ISERROR(SEARCH("x",G2)))</formula>
    </cfRule>
  </conditionalFormatting>
  <conditionalFormatting sqref="G2:J4 Q2:R4 W2:Y4">
    <cfRule type="cellIs" priority="3" operator="equal" aboveAverage="0" equalAverage="0" bottom="0" percent="0" rank="0" text="" dxfId="0">
      <formula>"Completo"</formula>
    </cfRule>
    <cfRule type="cellIs" priority="4" operator="equal" aboveAverage="0" equalAverage="0" bottom="0" percent="0" rank="0" text="" dxfId="1">
      <formula>"No Aplica"</formula>
    </cfRule>
  </conditionalFormatting>
  <conditionalFormatting sqref="T2:U4">
    <cfRule type="expression" priority="5" aboveAverage="0" equalAverage="0" bottom="0" percent="0" rank="0" text="" dxfId="0">
      <formula>LEN(TRIM(T2))&gt;0</formula>
    </cfRule>
  </conditionalFormatting>
  <conditionalFormatting sqref="S2:S4">
    <cfRule type="expression" priority="6" aboveAverage="0" equalAverage="0" bottom="0" percent="0" rank="0" text="" dxfId="0">
      <formula>LEN(TRIM(S2))&gt;0</formula>
    </cfRule>
  </conditionalFormatting>
  <conditionalFormatting sqref="V2:V4">
    <cfRule type="expression" priority="7" aboveAverage="0" equalAverage="0" bottom="0" percent="0" rank="0" text="" dxfId="0">
      <formula>LEN(TRIM(V2))&gt;0</formula>
    </cfRule>
  </conditionalFormatting>
  <conditionalFormatting sqref="Y2:Y4">
    <cfRule type="cellIs" priority="8" operator="equal" aboveAverage="0" equalAverage="0" bottom="0" percent="0" rank="0" text="" dxfId="0">
      <formula>"Completo"</formula>
    </cfRule>
    <cfRule type="cellIs" priority="9" operator="equal" aboveAverage="0" equalAverage="0" bottom="0" percent="0" rank="0" text="" dxfId="1">
      <formula>"No aplica"</formula>
    </cfRule>
  </conditionalFormatting>
  <conditionalFormatting sqref="T5:U545">
    <cfRule type="expression" priority="10" aboveAverage="0" equalAverage="0" bottom="0" percent="0" rank="0" text="" dxfId="0">
      <formula>LEN(TRIM(T5))&gt;0</formula>
    </cfRule>
  </conditionalFormatting>
  <conditionalFormatting sqref="S5:S545">
    <cfRule type="expression" priority="11" aboveAverage="0" equalAverage="0" bottom="0" percent="0" rank="0" text="" dxfId="0">
      <formula>LEN(TRIM(S5))&gt;0</formula>
    </cfRule>
  </conditionalFormatting>
  <conditionalFormatting sqref="G5:G545 P5:P545">
    <cfRule type="containsText" priority="12" operator="containsText" aboveAverage="0" equalAverage="0" bottom="0" percent="0" rank="0" text="x" dxfId="0">
      <formula>NOT(ISERROR(SEARCH("x",G5)))</formula>
    </cfRule>
  </conditionalFormatting>
  <conditionalFormatting sqref="V5:V545">
    <cfRule type="expression" priority="13" aboveAverage="0" equalAverage="0" bottom="0" percent="0" rank="0" text="" dxfId="0">
      <formula>LEN(TRIM(V5))&gt;0</formula>
    </cfRule>
  </conditionalFormatting>
  <conditionalFormatting sqref="Y5:Y545 W51:X52">
    <cfRule type="cellIs" priority="14" operator="equal" aboveAverage="0" equalAverage="0" bottom="0" percent="0" rank="0" text="" dxfId="0">
      <formula>"Completo"</formula>
    </cfRule>
  </conditionalFormatting>
  <conditionalFormatting sqref="Y5:Y545">
    <cfRule type="cellIs" priority="15" operator="equal" aboveAverage="0" equalAverage="0" bottom="0" percent="0" rank="0" text="" dxfId="1">
      <formula>"No aplica"</formula>
    </cfRule>
  </conditionalFormatting>
  <conditionalFormatting sqref="G5:J545 Q5:R545 W5:Y545">
    <cfRule type="cellIs" priority="16" operator="equal" aboveAverage="0" equalAverage="0" bottom="0" percent="0" rank="0" text="" dxfId="0">
      <formula>"Completo"</formula>
    </cfRule>
    <cfRule type="cellIs" priority="17" operator="equal" aboveAverage="0" equalAverage="0" bottom="0" percent="0" rank="0" text="" dxfId="1">
      <formula>"No Aplica"</formula>
    </cfRule>
  </conditionalFormatting>
  <dataValidations count="6">
    <dataValidation allowBlank="true" errorStyle="stop" operator="between" showDropDown="false" showErrorMessage="true" showInputMessage="false" sqref="Z2:Z55" type="list">
      <formula1>"Aceptada,En espera,Rechazada,No aplica"</formula1>
      <formula2>0</formula2>
    </dataValidation>
    <dataValidation allowBlank="true" errorStyle="stop" operator="between" showDropDown="false" showErrorMessage="false" showInputMessage="false" sqref="V2:V545" type="list">
      <formula1>LEYENDA!$A$23:$A$24</formula1>
      <formula2>0</formula2>
    </dataValidation>
    <dataValidation allowBlank="true" errorStyle="stop" operator="between" showDropDown="false" showErrorMessage="false" showInputMessage="false" sqref="T2:T545" type="list">
      <formula1>LEYENDA!$A$15:$A$21</formula1>
      <formula2>0</formula2>
    </dataValidation>
    <dataValidation allowBlank="true" errorStyle="stop" operator="between" showDropDown="false" showErrorMessage="true" showInputMessage="false" sqref="D2:D545" type="list">
      <formula1>LEYENDA!$B$2:$D$2</formula1>
      <formula2>0</formula2>
    </dataValidation>
    <dataValidation allowBlank="true" errorStyle="stop" operator="between" showDropDown="false" showErrorMessage="true" showInputMessage="false" sqref="H2:J545 Q2:R545 W2:Y545" type="list">
      <formula1>LEYENDA!$B$1:$C$1</formula1>
      <formula2>0</formula2>
    </dataValidation>
    <dataValidation allowBlank="true" errorStyle="stop" operator="between" showDropDown="false" showErrorMessage="false" showInputMessage="false" sqref="E2:E545" type="list">
      <formula1>LEYENDA!$A$8:$A$12</formula1>
      <formula2>0</formula2>
    </dataValidation>
  </dataValidations>
  <hyperlinks>
    <hyperlink ref="H2" r:id="rId1" display="Completo"/>
    <hyperlink ref="R2" r:id="rId2" display="Completo"/>
    <hyperlink ref="W2" r:id="rId3" display="Completo"/>
    <hyperlink ref="X2" r:id="rId4" display="Completo"/>
    <hyperlink ref="H3" r:id="rId5" display="Completo"/>
    <hyperlink ref="R3" r:id="rId6" display="Completo"/>
    <hyperlink ref="W3" r:id="rId7" display="Completo"/>
    <hyperlink ref="X3" r:id="rId8" display="Completo"/>
    <hyperlink ref="H7" r:id="rId9" display="Completo"/>
    <hyperlink ref="H8" r:id="rId10" display="Completo"/>
    <hyperlink ref="H9" r:id="rId11" display="Completo"/>
    <hyperlink ref="H11" r:id="rId12" display="Completo"/>
    <hyperlink ref="R11" r:id="rId13" display="Completo"/>
    <hyperlink ref="W11" r:id="rId14" display="Completo"/>
    <hyperlink ref="X11" r:id="rId15" display="Completo"/>
    <hyperlink ref="H12" r:id="rId16" display="Completo"/>
    <hyperlink ref="H13" r:id="rId17" display="Completo"/>
    <hyperlink ref="H14" r:id="rId18" display="Completo"/>
    <hyperlink ref="R14" r:id="rId19" display="Completo"/>
    <hyperlink ref="W14" r:id="rId20" display="Completo"/>
    <hyperlink ref="X14" r:id="rId21" display="Completo"/>
    <hyperlink ref="H15" r:id="rId22" display="Completo"/>
    <hyperlink ref="R15" r:id="rId23" display="Completo"/>
    <hyperlink ref="W15" r:id="rId24" display="Completo"/>
    <hyperlink ref="X15" r:id="rId25" display="Completo"/>
    <hyperlink ref="H16" r:id="rId26" display="Completo"/>
    <hyperlink ref="R16" r:id="rId27" display="Completo"/>
    <hyperlink ref="W16" r:id="rId28" display="Completo"/>
    <hyperlink ref="X16" r:id="rId29" display="Completo"/>
    <hyperlink ref="H17" r:id="rId30" display="Completo"/>
    <hyperlink ref="R17" r:id="rId31" display="Completo"/>
    <hyperlink ref="W17" r:id="rId32" display="Completo"/>
    <hyperlink ref="X17" r:id="rId33" display="Completo"/>
    <hyperlink ref="H18" r:id="rId34" display="Completo"/>
    <hyperlink ref="R18" r:id="rId35" display="Completo"/>
    <hyperlink ref="H19" r:id="rId36" display="Completo"/>
    <hyperlink ref="R19" r:id="rId37" display="Completo"/>
    <hyperlink ref="W19" r:id="rId38" display="Completo"/>
    <hyperlink ref="X19" r:id="rId39" display="Completo"/>
    <hyperlink ref="H20" r:id="rId40" display="Completo"/>
    <hyperlink ref="R20" r:id="rId41" display="Completo"/>
    <hyperlink ref="W20" r:id="rId42" display="Completo"/>
    <hyperlink ref="X20" r:id="rId43" display="Completo"/>
    <hyperlink ref="H21" r:id="rId44" display="Completo"/>
    <hyperlink ref="R21" r:id="rId45" display="Completo"/>
    <hyperlink ref="W21" r:id="rId46" display="Completo"/>
    <hyperlink ref="X21" r:id="rId47" display="Completo"/>
    <hyperlink ref="H22" r:id="rId48" display="Completo"/>
    <hyperlink ref="R22" r:id="rId49" display="Completo"/>
    <hyperlink ref="W22" r:id="rId50" display="Completo"/>
    <hyperlink ref="X22" r:id="rId51" display="Completo"/>
    <hyperlink ref="H23" r:id="rId52" display="Completo"/>
    <hyperlink ref="H26" r:id="rId53" display="Completo"/>
    <hyperlink ref="H29" r:id="rId54" display="Completo"/>
    <hyperlink ref="H31" r:id="rId55" display="Completo"/>
    <hyperlink ref="H32" r:id="rId56" display="Completo"/>
    <hyperlink ref="H33" r:id="rId57" display="Completo"/>
    <hyperlink ref="H36" r:id="rId58" display="Completo"/>
    <hyperlink ref="H40" r:id="rId59" display="Completo"/>
    <hyperlink ref="H44" r:id="rId60" display="Completo"/>
    <hyperlink ref="H45" r:id="rId61" display="Completo"/>
    <hyperlink ref="H46" r:id="rId62" display="Completo"/>
    <hyperlink ref="W46" r:id="rId63" display="Completo"/>
    <hyperlink ref="X46" r:id="rId64" display="Completo"/>
    <hyperlink ref="H47" r:id="rId65" display="Completo"/>
    <hyperlink ref="R47" r:id="rId66" display="Completo"/>
    <hyperlink ref="W47" r:id="rId67" display="Completo"/>
    <hyperlink ref="X47" r:id="rId68" display="Completo"/>
    <hyperlink ref="H48" r:id="rId69" display="Completo"/>
    <hyperlink ref="H50" r:id="rId70" display="Completo"/>
    <hyperlink ref="W50" r:id="rId71" display="Completo"/>
    <hyperlink ref="X50" r:id="rId72" display="Completo"/>
    <hyperlink ref="H51" r:id="rId73" display="Completo"/>
    <hyperlink ref="R51" r:id="rId74" display="Completo"/>
    <hyperlink ref="W51" r:id="rId75" display="Completo"/>
    <hyperlink ref="X51" r:id="rId76" display="Completo"/>
    <hyperlink ref="H52" r:id="rId77" display="Completo"/>
    <hyperlink ref="R52" r:id="rId78" display="Completo"/>
    <hyperlink ref="W52" r:id="rId79" display="Completo"/>
    <hyperlink ref="X52" r:id="rId80" display="Completo"/>
    <hyperlink ref="H53" r:id="rId81" display="Completo"/>
    <hyperlink ref="R53" r:id="rId82" display="Completo"/>
    <hyperlink ref="W53" r:id="rId83" display="Completo"/>
    <hyperlink ref="X53" r:id="rId84" display="Completo"/>
    <hyperlink ref="H54" r:id="rId85" display="Completo"/>
    <hyperlink ref="W54" r:id="rId86" display="Completo"/>
    <hyperlink ref="X54" r:id="rId87" display="Completo"/>
  </hyperlinks>
  <printOptions headings="false" gridLines="true" gridLinesSet="true" horizontalCentered="true" verticalCentered="false"/>
  <pageMargins left="0.7" right="0.7" top="0.75" bottom="0.75" header="0.511811023622047" footer="0.511811023622047"/>
  <pageSetup paperSize="9" scale="100" fitToWidth="1" fitToHeight="0" pageOrder="overThenDown" orientation="landscape" blackAndWhite="false" draft="false" cellComments="none" horizontalDpi="300" verticalDpi="300" copies="1"/>
  <headerFooter differentFirst="false" differentOddEven="false">
    <oddHeader/>
    <oddFooter/>
  </headerFooter>
  <drawing r:id="rId88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XFD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7" ySplit="3" topLeftCell="H4" activePane="bottomRight" state="frozen"/>
      <selection pane="topLeft" activeCell="A1" activeCellId="0" sqref="A1"/>
      <selection pane="topRight" activeCell="H1" activeCellId="0" sqref="H1"/>
      <selection pane="bottomLeft" activeCell="A4" activeCellId="0" sqref="A4"/>
      <selection pane="bottomRight" activeCell="E8" activeCellId="0" sqref="E8"/>
    </sheetView>
  </sheetViews>
  <sheetFormatPr defaultColWidth="12.6328125" defaultRowHeight="15.75" zeroHeight="false" outlineLevelRow="0" outlineLevelCol="0"/>
  <cols>
    <col collapsed="false" customWidth="true" hidden="false" outlineLevel="0" max="1" min="1" style="1" width="10.25"/>
    <col collapsed="false" customWidth="true" hidden="false" outlineLevel="0" max="2" min="2" style="1" width="10.38"/>
    <col collapsed="false" customWidth="true" hidden="false" outlineLevel="0" max="4" min="3" style="1" width="16.38"/>
    <col collapsed="false" customWidth="true" hidden="false" outlineLevel="0" max="5" min="5" style="1" width="18.25"/>
    <col collapsed="false" customWidth="true" hidden="false" outlineLevel="0" max="6" min="6" style="1" width="29.38"/>
    <col collapsed="false" customWidth="true" hidden="false" outlineLevel="0" max="7" min="7" style="1" width="14.13"/>
    <col collapsed="false" customWidth="true" hidden="false" outlineLevel="0" max="8" min="8" style="1" width="10.13"/>
    <col collapsed="false" customWidth="true" hidden="true" outlineLevel="0" max="9" min="9" style="1" width="10.13"/>
    <col collapsed="false" customWidth="true" hidden="false" outlineLevel="0" max="10" min="10" style="1" width="12.88"/>
    <col collapsed="false" customWidth="true" hidden="false" outlineLevel="0" max="12" min="11" style="1" width="12"/>
    <col collapsed="false" customWidth="true" hidden="false" outlineLevel="0" max="13" min="13" style="1" width="10"/>
    <col collapsed="false" customWidth="true" hidden="false" outlineLevel="0" max="14" min="14" style="1" width="12.25"/>
    <col collapsed="false" customWidth="true" hidden="false" outlineLevel="0" max="15" min="15" style="1" width="26.12"/>
    <col collapsed="false" customWidth="true" hidden="true" outlineLevel="0" max="16" min="16" style="1" width="18"/>
    <col collapsed="false" customWidth="true" hidden="false" outlineLevel="0" max="18" min="17" style="1" width="10.63"/>
    <col collapsed="false" customWidth="true" hidden="false" outlineLevel="0" max="19" min="19" style="1" width="8.5"/>
    <col collapsed="false" customWidth="true" hidden="false" outlineLevel="0" max="21" min="21" style="1" width="25.38"/>
    <col collapsed="false" customWidth="true" hidden="false" outlineLevel="0" max="22" min="22" style="1" width="18.13"/>
    <col collapsed="false" customWidth="true" hidden="false" outlineLevel="0" max="23" min="23" style="1" width="10.13"/>
    <col collapsed="false" customWidth="true" hidden="false" outlineLevel="0" max="24" min="24" style="1" width="11.38"/>
    <col collapsed="false" customWidth="true" hidden="false" outlineLevel="0" max="25" min="25" style="1" width="24.38"/>
    <col collapsed="false" customWidth="true" hidden="false" outlineLevel="0" max="27" min="27" style="1" width="13.5"/>
    <col collapsed="false" customWidth="true" hidden="false" outlineLevel="0" max="16384" min="16384" style="1" width="11.53"/>
  </cols>
  <sheetData>
    <row r="1" customFormat="false" ht="42.5" hidden="false" customHeight="false" outlineLevel="0" collapsed="false">
      <c r="A1" s="2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/>
      <c r="J1" s="4" t="s">
        <v>8</v>
      </c>
      <c r="K1" s="2"/>
      <c r="L1" s="2" t="s">
        <v>9</v>
      </c>
      <c r="M1" s="2" t="s">
        <v>10</v>
      </c>
      <c r="N1" s="4" t="s">
        <v>11</v>
      </c>
      <c r="O1" s="3" t="s">
        <v>12</v>
      </c>
      <c r="P1" s="7" t="s">
        <v>13</v>
      </c>
      <c r="Q1" s="7" t="s">
        <v>14</v>
      </c>
      <c r="R1" s="7" t="s">
        <v>15</v>
      </c>
      <c r="S1" s="7" t="s">
        <v>16</v>
      </c>
      <c r="T1" s="7" t="s">
        <v>17</v>
      </c>
      <c r="U1" s="8" t="s">
        <v>18</v>
      </c>
      <c r="V1" s="9" t="s">
        <v>19</v>
      </c>
      <c r="W1" s="9" t="s">
        <v>20</v>
      </c>
      <c r="X1" s="10" t="s">
        <v>15</v>
      </c>
      <c r="Y1" s="11" t="s">
        <v>21</v>
      </c>
      <c r="Z1" s="11" t="s">
        <v>22</v>
      </c>
      <c r="AA1" s="12"/>
      <c r="AB1" s="12"/>
      <c r="AC1" s="12"/>
      <c r="AD1" s="12"/>
      <c r="AE1" s="12"/>
      <c r="AF1" s="12"/>
      <c r="XFD1" s="0"/>
    </row>
    <row r="2" customFormat="false" ht="15.75" hidden="false" customHeight="false" outlineLevel="0" collapsed="false">
      <c r="A2" s="13" t="n">
        <v>8077</v>
      </c>
      <c r="B2" s="14" t="n">
        <v>45506</v>
      </c>
      <c r="C2" s="15" t="s">
        <v>465</v>
      </c>
      <c r="D2" s="16" t="s">
        <v>24</v>
      </c>
      <c r="E2" s="16" t="s">
        <v>25</v>
      </c>
      <c r="F2" s="16" t="s">
        <v>466</v>
      </c>
      <c r="G2" s="16"/>
      <c r="H2" s="17" t="s">
        <v>28</v>
      </c>
      <c r="I2" s="16"/>
      <c r="J2" s="16" t="s">
        <v>28</v>
      </c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 t="s">
        <v>37</v>
      </c>
      <c r="X2" s="16" t="s">
        <v>37</v>
      </c>
      <c r="Y2" s="16"/>
      <c r="Z2" s="16" t="s">
        <v>28</v>
      </c>
      <c r="AA2" s="12" t="s">
        <v>32</v>
      </c>
    </row>
    <row r="3" customFormat="false" ht="15.75" hidden="false" customHeight="false" outlineLevel="0" collapsed="false">
      <c r="A3" s="13" t="n">
        <v>8078</v>
      </c>
      <c r="B3" s="14" t="n">
        <v>45509</v>
      </c>
      <c r="C3" s="15" t="s">
        <v>467</v>
      </c>
      <c r="D3" s="16" t="s">
        <v>24</v>
      </c>
      <c r="E3" s="16" t="s">
        <v>25</v>
      </c>
      <c r="F3" s="16" t="s">
        <v>468</v>
      </c>
      <c r="G3" s="16"/>
      <c r="H3" s="17" t="s">
        <v>28</v>
      </c>
      <c r="I3" s="16"/>
      <c r="J3" s="16" t="s">
        <v>28</v>
      </c>
      <c r="K3" s="16" t="s">
        <v>29</v>
      </c>
      <c r="L3" s="16" t="s">
        <v>29</v>
      </c>
      <c r="M3" s="16" t="s">
        <v>469</v>
      </c>
      <c r="N3" s="16"/>
      <c r="O3" s="16"/>
      <c r="P3" s="16"/>
      <c r="Q3" s="16" t="s">
        <v>28</v>
      </c>
      <c r="R3" s="17" t="s">
        <v>28</v>
      </c>
      <c r="S3" s="16" t="s">
        <v>386</v>
      </c>
      <c r="T3" s="16" t="s">
        <v>186</v>
      </c>
      <c r="U3" s="16"/>
      <c r="V3" s="16"/>
      <c r="W3" s="16" t="s">
        <v>37</v>
      </c>
      <c r="X3" s="16" t="s">
        <v>37</v>
      </c>
      <c r="Y3" s="16"/>
      <c r="Z3" s="16" t="s">
        <v>28</v>
      </c>
      <c r="AA3" s="12" t="s">
        <v>156</v>
      </c>
    </row>
    <row r="4" customFormat="false" ht="15.75" hidden="false" customHeight="false" outlineLevel="0" collapsed="false">
      <c r="A4" s="13" t="n">
        <v>8079</v>
      </c>
      <c r="B4" s="14" t="n">
        <v>45509</v>
      </c>
      <c r="C4" s="15" t="s">
        <v>470</v>
      </c>
      <c r="D4" s="16" t="s">
        <v>24</v>
      </c>
      <c r="E4" s="16" t="s">
        <v>25</v>
      </c>
      <c r="F4" s="16" t="s">
        <v>127</v>
      </c>
      <c r="G4" s="16"/>
      <c r="H4" s="17" t="s">
        <v>28</v>
      </c>
      <c r="I4" s="16"/>
      <c r="J4" s="16" t="s">
        <v>28</v>
      </c>
      <c r="K4" s="16" t="s">
        <v>29</v>
      </c>
      <c r="L4" s="16" t="s">
        <v>29</v>
      </c>
      <c r="M4" s="16" t="s">
        <v>29</v>
      </c>
      <c r="N4" s="16" t="s">
        <v>29</v>
      </c>
      <c r="O4" s="16"/>
      <c r="P4" s="18"/>
      <c r="Q4" s="16" t="s">
        <v>28</v>
      </c>
      <c r="R4" s="17" t="s">
        <v>28</v>
      </c>
      <c r="S4" s="16" t="s">
        <v>386</v>
      </c>
      <c r="T4" s="16" t="s">
        <v>186</v>
      </c>
      <c r="U4" s="16"/>
      <c r="V4" s="16"/>
      <c r="W4" s="16" t="s">
        <v>37</v>
      </c>
      <c r="X4" s="16" t="s">
        <v>37</v>
      </c>
      <c r="Y4" s="16"/>
      <c r="Z4" s="16" t="s">
        <v>28</v>
      </c>
      <c r="AA4" s="12" t="s">
        <v>32</v>
      </c>
    </row>
    <row r="5" customFormat="false" ht="15.75" hidden="false" customHeight="false" outlineLevel="0" collapsed="false">
      <c r="A5" s="19" t="n">
        <v>8080</v>
      </c>
      <c r="B5" s="14" t="n">
        <v>45509</v>
      </c>
      <c r="C5" s="16" t="s">
        <v>188</v>
      </c>
      <c r="D5" s="16" t="s">
        <v>24</v>
      </c>
      <c r="E5" s="16" t="s">
        <v>34</v>
      </c>
      <c r="F5" s="16" t="s">
        <v>471</v>
      </c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 t="s">
        <v>37</v>
      </c>
      <c r="X5" s="16" t="s">
        <v>37</v>
      </c>
      <c r="Y5" s="16"/>
      <c r="Z5" s="16" t="s">
        <v>28</v>
      </c>
      <c r="AA5" s="12" t="s">
        <v>32</v>
      </c>
    </row>
    <row r="6" customFormat="false" ht="15.75" hidden="false" customHeight="false" outlineLevel="0" collapsed="false">
      <c r="A6" s="19" t="n">
        <v>8081</v>
      </c>
      <c r="B6" s="14" t="n">
        <v>45510</v>
      </c>
      <c r="C6" s="21" t="s">
        <v>41</v>
      </c>
      <c r="D6" s="16" t="s">
        <v>24</v>
      </c>
      <c r="E6" s="21" t="s">
        <v>25</v>
      </c>
      <c r="F6" s="16" t="s">
        <v>472</v>
      </c>
      <c r="G6" s="16"/>
      <c r="H6" s="17" t="s">
        <v>28</v>
      </c>
      <c r="I6" s="16"/>
      <c r="J6" s="16" t="s">
        <v>28</v>
      </c>
      <c r="K6" s="16" t="s">
        <v>29</v>
      </c>
      <c r="L6" s="16" t="s">
        <v>29</v>
      </c>
      <c r="M6" s="16" t="s">
        <v>473</v>
      </c>
      <c r="N6" s="16" t="s">
        <v>474</v>
      </c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 t="s">
        <v>28</v>
      </c>
      <c r="AA6" s="12" t="s">
        <v>156</v>
      </c>
    </row>
    <row r="7" customFormat="false" ht="15.75" hidden="false" customHeight="false" outlineLevel="0" collapsed="false">
      <c r="A7" s="19" t="n">
        <v>8082</v>
      </c>
      <c r="B7" s="14" t="n">
        <v>45511</v>
      </c>
      <c r="C7" s="16" t="s">
        <v>475</v>
      </c>
      <c r="D7" s="21" t="s">
        <v>24</v>
      </c>
      <c r="E7" s="21" t="s">
        <v>25</v>
      </c>
      <c r="F7" s="16" t="s">
        <v>476</v>
      </c>
      <c r="G7" s="16"/>
      <c r="H7" s="17" t="s">
        <v>28</v>
      </c>
      <c r="I7" s="16"/>
      <c r="J7" s="16" t="s">
        <v>28</v>
      </c>
      <c r="K7" s="16" t="s">
        <v>29</v>
      </c>
      <c r="L7" s="16" t="n">
        <v>3518152615</v>
      </c>
      <c r="M7" s="16" t="s">
        <v>477</v>
      </c>
      <c r="N7" s="16"/>
      <c r="O7" s="16"/>
      <c r="P7" s="16"/>
      <c r="Q7" s="16"/>
      <c r="R7" s="16"/>
      <c r="S7" s="16"/>
      <c r="T7" s="16"/>
      <c r="U7" s="16"/>
      <c r="V7" s="16"/>
      <c r="W7" s="16" t="s">
        <v>37</v>
      </c>
      <c r="X7" s="16" t="s">
        <v>37</v>
      </c>
      <c r="Y7" s="16"/>
      <c r="Z7" s="16" t="s">
        <v>28</v>
      </c>
      <c r="AA7" s="12" t="s">
        <v>32</v>
      </c>
    </row>
    <row r="8" customFormat="false" ht="15.75" hidden="false" customHeight="false" outlineLevel="0" collapsed="false">
      <c r="A8" s="19" t="n">
        <v>8083</v>
      </c>
      <c r="B8" s="14" t="n">
        <v>45511</v>
      </c>
      <c r="C8" s="16" t="s">
        <v>475</v>
      </c>
      <c r="D8" s="21" t="s">
        <v>24</v>
      </c>
      <c r="E8" s="21" t="s">
        <v>25</v>
      </c>
      <c r="F8" s="16" t="s">
        <v>476</v>
      </c>
      <c r="G8" s="16"/>
      <c r="H8" s="17" t="s">
        <v>28</v>
      </c>
      <c r="I8" s="16"/>
      <c r="J8" s="16" t="s">
        <v>28</v>
      </c>
      <c r="K8" s="16" t="s">
        <v>29</v>
      </c>
      <c r="L8" s="16" t="n">
        <v>3518152615</v>
      </c>
      <c r="M8" s="16" t="s">
        <v>477</v>
      </c>
      <c r="N8" s="16"/>
      <c r="O8" s="16"/>
      <c r="P8" s="16"/>
      <c r="Q8" s="16"/>
      <c r="R8" s="16"/>
      <c r="S8" s="16"/>
      <c r="T8" s="16"/>
      <c r="U8" s="16"/>
      <c r="V8" s="16"/>
      <c r="W8" s="16" t="s">
        <v>37</v>
      </c>
      <c r="X8" s="16" t="s">
        <v>37</v>
      </c>
      <c r="Y8" s="16"/>
      <c r="Z8" s="16" t="s">
        <v>28</v>
      </c>
      <c r="AA8" s="12" t="s">
        <v>32</v>
      </c>
    </row>
    <row r="9" customFormat="false" ht="15.75" hidden="false" customHeight="false" outlineLevel="0" collapsed="false">
      <c r="A9" s="19" t="n">
        <v>8084</v>
      </c>
      <c r="B9" s="14" t="n">
        <v>45513</v>
      </c>
      <c r="C9" s="16" t="s">
        <v>41</v>
      </c>
      <c r="D9" s="21" t="s">
        <v>24</v>
      </c>
      <c r="E9" s="21" t="s">
        <v>25</v>
      </c>
      <c r="F9" s="16" t="s">
        <v>478</v>
      </c>
      <c r="G9" s="16"/>
      <c r="H9" s="17" t="s">
        <v>28</v>
      </c>
      <c r="I9" s="16"/>
      <c r="J9" s="16" t="s">
        <v>28</v>
      </c>
      <c r="K9" s="16" t="s">
        <v>29</v>
      </c>
      <c r="L9" s="16" t="s">
        <v>29</v>
      </c>
      <c r="M9" s="16" t="s">
        <v>29</v>
      </c>
      <c r="N9" s="16" t="s">
        <v>29</v>
      </c>
      <c r="O9" s="16"/>
      <c r="P9" s="16"/>
      <c r="Q9" s="16"/>
      <c r="R9" s="16"/>
      <c r="S9" s="16"/>
      <c r="T9" s="16"/>
      <c r="U9" s="16"/>
      <c r="V9" s="16" t="s">
        <v>74</v>
      </c>
      <c r="W9" s="17" t="s">
        <v>28</v>
      </c>
      <c r="X9" s="17" t="s">
        <v>28</v>
      </c>
      <c r="Y9" s="16" t="s">
        <v>36</v>
      </c>
      <c r="Z9" s="16" t="s">
        <v>28</v>
      </c>
      <c r="AA9" s="12" t="s">
        <v>32</v>
      </c>
    </row>
    <row r="10" customFormat="false" ht="15.75" hidden="false" customHeight="false" outlineLevel="0" collapsed="false">
      <c r="A10" s="19" t="n">
        <v>8085</v>
      </c>
      <c r="B10" s="14" t="n">
        <v>45513</v>
      </c>
      <c r="C10" s="16" t="s">
        <v>465</v>
      </c>
      <c r="D10" s="16" t="s">
        <v>24</v>
      </c>
      <c r="E10" s="16" t="s">
        <v>25</v>
      </c>
      <c r="F10" s="16" t="s">
        <v>479</v>
      </c>
      <c r="G10" s="16"/>
      <c r="H10" s="17" t="s">
        <v>28</v>
      </c>
      <c r="I10" s="16"/>
      <c r="J10" s="16" t="s">
        <v>28</v>
      </c>
      <c r="K10" s="16" t="s">
        <v>29</v>
      </c>
      <c r="L10" s="16" t="s">
        <v>29</v>
      </c>
      <c r="M10" s="16" t="s">
        <v>29</v>
      </c>
      <c r="N10" s="16" t="s">
        <v>29</v>
      </c>
      <c r="O10" s="16"/>
      <c r="P10" s="16"/>
      <c r="Q10" s="16"/>
      <c r="R10" s="16"/>
      <c r="S10" s="16"/>
      <c r="T10" s="16"/>
      <c r="U10" s="16"/>
      <c r="V10" s="16"/>
      <c r="W10" s="16" t="s">
        <v>37</v>
      </c>
      <c r="X10" s="16" t="s">
        <v>37</v>
      </c>
      <c r="Y10" s="16"/>
      <c r="Z10" s="16" t="s">
        <v>37</v>
      </c>
      <c r="AA10" s="12" t="s">
        <v>40</v>
      </c>
    </row>
    <row r="11" customFormat="false" ht="15.75" hidden="false" customHeight="false" outlineLevel="0" collapsed="false">
      <c r="A11" s="19" t="n">
        <v>8086</v>
      </c>
      <c r="B11" s="14" t="n">
        <v>45513</v>
      </c>
      <c r="C11" s="16" t="s">
        <v>465</v>
      </c>
      <c r="D11" s="16" t="s">
        <v>24</v>
      </c>
      <c r="E11" s="16" t="s">
        <v>34</v>
      </c>
      <c r="F11" s="16" t="s">
        <v>480</v>
      </c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 t="s">
        <v>37</v>
      </c>
      <c r="X11" s="16" t="s">
        <v>37</v>
      </c>
      <c r="Y11" s="16"/>
      <c r="Z11" s="16" t="s">
        <v>28</v>
      </c>
      <c r="AA11" s="12" t="s">
        <v>32</v>
      </c>
    </row>
    <row r="12" customFormat="false" ht="15.75" hidden="false" customHeight="false" outlineLevel="0" collapsed="false">
      <c r="A12" s="19" t="n">
        <v>8087</v>
      </c>
      <c r="B12" s="22" t="n">
        <v>45516</v>
      </c>
      <c r="C12" s="16" t="s">
        <v>142</v>
      </c>
      <c r="D12" s="16" t="s">
        <v>24</v>
      </c>
      <c r="E12" s="16" t="s">
        <v>34</v>
      </c>
      <c r="F12" s="16" t="s">
        <v>481</v>
      </c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 t="s">
        <v>37</v>
      </c>
      <c r="X12" s="16" t="s">
        <v>37</v>
      </c>
      <c r="Y12" s="16"/>
      <c r="Z12" s="16" t="s">
        <v>28</v>
      </c>
      <c r="AA12" s="12" t="s">
        <v>32</v>
      </c>
    </row>
    <row r="13" customFormat="false" ht="15.75" hidden="false" customHeight="false" outlineLevel="0" collapsed="false">
      <c r="A13" s="19" t="n">
        <v>8088</v>
      </c>
      <c r="B13" s="14" t="n">
        <v>45517</v>
      </c>
      <c r="C13" s="16" t="s">
        <v>482</v>
      </c>
      <c r="D13" s="16" t="s">
        <v>24</v>
      </c>
      <c r="E13" s="16" t="s">
        <v>34</v>
      </c>
      <c r="F13" s="16" t="s">
        <v>483</v>
      </c>
      <c r="G13" s="16"/>
      <c r="H13" s="16" t="s">
        <v>37</v>
      </c>
      <c r="I13" s="16"/>
      <c r="J13" s="16" t="s">
        <v>37</v>
      </c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 t="s">
        <v>37</v>
      </c>
      <c r="X13" s="16" t="s">
        <v>37</v>
      </c>
      <c r="Y13" s="16"/>
      <c r="Z13" s="16" t="s">
        <v>28</v>
      </c>
      <c r="AA13" s="12" t="s">
        <v>32</v>
      </c>
    </row>
    <row r="14" customFormat="false" ht="15.75" hidden="false" customHeight="false" outlineLevel="0" collapsed="false">
      <c r="A14" s="19" t="n">
        <v>8089</v>
      </c>
      <c r="B14" s="14" t="n">
        <v>45519</v>
      </c>
      <c r="C14" s="16" t="s">
        <v>84</v>
      </c>
      <c r="D14" s="16" t="s">
        <v>24</v>
      </c>
      <c r="E14" s="21" t="s">
        <v>34</v>
      </c>
      <c r="F14" s="16" t="s">
        <v>484</v>
      </c>
      <c r="G14" s="16"/>
      <c r="H14" s="16" t="s">
        <v>37</v>
      </c>
      <c r="I14" s="16"/>
      <c r="J14" s="16" t="s">
        <v>37</v>
      </c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 t="s">
        <v>485</v>
      </c>
      <c r="V14" s="16"/>
      <c r="W14" s="16" t="s">
        <v>37</v>
      </c>
      <c r="X14" s="16" t="s">
        <v>37</v>
      </c>
      <c r="Y14" s="16"/>
      <c r="Z14" s="16" t="s">
        <v>28</v>
      </c>
      <c r="AA14" s="12" t="s">
        <v>32</v>
      </c>
    </row>
    <row r="15" customFormat="false" ht="15.75" hidden="false" customHeight="false" outlineLevel="0" collapsed="false">
      <c r="A15" s="19" t="n">
        <v>8090</v>
      </c>
      <c r="B15" s="14" t="n">
        <v>45519</v>
      </c>
      <c r="C15" s="16" t="s">
        <v>486</v>
      </c>
      <c r="D15" s="16" t="s">
        <v>24</v>
      </c>
      <c r="E15" s="16" t="s">
        <v>34</v>
      </c>
      <c r="F15" s="24" t="s">
        <v>487</v>
      </c>
      <c r="G15" s="16"/>
      <c r="H15" s="16" t="s">
        <v>37</v>
      </c>
      <c r="I15" s="16"/>
      <c r="J15" s="16" t="s">
        <v>37</v>
      </c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 t="s">
        <v>488</v>
      </c>
      <c r="V15" s="16"/>
      <c r="W15" s="16" t="s">
        <v>37</v>
      </c>
      <c r="X15" s="16" t="s">
        <v>37</v>
      </c>
      <c r="Y15" s="16"/>
      <c r="Z15" s="16" t="s">
        <v>28</v>
      </c>
      <c r="AA15" s="12" t="s">
        <v>32</v>
      </c>
    </row>
    <row r="16" customFormat="false" ht="15.75" hidden="false" customHeight="false" outlineLevel="0" collapsed="false">
      <c r="A16" s="19" t="n">
        <v>8091</v>
      </c>
      <c r="B16" s="14" t="n">
        <v>45519</v>
      </c>
      <c r="C16" s="16" t="s">
        <v>489</v>
      </c>
      <c r="D16" s="16" t="s">
        <v>24</v>
      </c>
      <c r="E16" s="16" t="s">
        <v>34</v>
      </c>
      <c r="F16" s="19" t="s">
        <v>490</v>
      </c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 t="s">
        <v>37</v>
      </c>
      <c r="X16" s="16" t="s">
        <v>37</v>
      </c>
      <c r="Y16" s="16"/>
      <c r="Z16" s="16" t="s">
        <v>28</v>
      </c>
      <c r="AA16" s="12" t="s">
        <v>32</v>
      </c>
    </row>
    <row r="17" customFormat="false" ht="15.75" hidden="false" customHeight="false" outlineLevel="0" collapsed="false">
      <c r="A17" s="19" t="n">
        <v>8092</v>
      </c>
      <c r="B17" s="14" t="n">
        <v>45524</v>
      </c>
      <c r="C17" s="16" t="s">
        <v>323</v>
      </c>
      <c r="D17" s="16" t="s">
        <v>24</v>
      </c>
      <c r="E17" s="16" t="s">
        <v>25</v>
      </c>
      <c r="F17" s="16" t="s">
        <v>491</v>
      </c>
      <c r="G17" s="16"/>
      <c r="H17" s="17" t="s">
        <v>28</v>
      </c>
      <c r="I17" s="16"/>
      <c r="J17" s="16" t="s">
        <v>28</v>
      </c>
      <c r="K17" s="16" t="s">
        <v>29</v>
      </c>
      <c r="L17" s="16" t="s">
        <v>29</v>
      </c>
      <c r="M17" s="16" t="s">
        <v>29</v>
      </c>
      <c r="N17" s="16" t="s">
        <v>29</v>
      </c>
      <c r="O17" s="16"/>
      <c r="P17" s="16"/>
      <c r="Q17" s="16"/>
      <c r="R17" s="16"/>
      <c r="S17" s="16"/>
      <c r="T17" s="16"/>
      <c r="U17" s="16"/>
      <c r="V17" s="16"/>
      <c r="W17" s="16" t="s">
        <v>37</v>
      </c>
      <c r="X17" s="16" t="s">
        <v>37</v>
      </c>
      <c r="Y17" s="16"/>
      <c r="Z17" s="16" t="s">
        <v>28</v>
      </c>
      <c r="AA17" s="12" t="s">
        <v>32</v>
      </c>
    </row>
    <row r="18" customFormat="false" ht="15.75" hidden="false" customHeight="false" outlineLevel="0" collapsed="false">
      <c r="A18" s="19" t="n">
        <v>8093</v>
      </c>
      <c r="B18" s="14" t="n">
        <v>45524</v>
      </c>
      <c r="C18" s="16" t="s">
        <v>274</v>
      </c>
      <c r="D18" s="16" t="s">
        <v>24</v>
      </c>
      <c r="E18" s="16" t="s">
        <v>34</v>
      </c>
      <c r="F18" s="16" t="s">
        <v>492</v>
      </c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 t="s">
        <v>37</v>
      </c>
      <c r="X18" s="16" t="s">
        <v>37</v>
      </c>
      <c r="Y18" s="16"/>
      <c r="Z18" s="16" t="s">
        <v>28</v>
      </c>
      <c r="AA18" s="12" t="s">
        <v>48</v>
      </c>
    </row>
    <row r="19" customFormat="false" ht="15.75" hidden="false" customHeight="false" outlineLevel="0" collapsed="false">
      <c r="A19" s="13" t="n">
        <v>8094</v>
      </c>
      <c r="B19" s="14" t="n">
        <v>45524</v>
      </c>
      <c r="C19" s="15" t="s">
        <v>78</v>
      </c>
      <c r="D19" s="16" t="s">
        <v>24</v>
      </c>
      <c r="E19" s="16" t="s">
        <v>25</v>
      </c>
      <c r="F19" s="16" t="s">
        <v>493</v>
      </c>
      <c r="G19" s="16"/>
      <c r="H19" s="17" t="s">
        <v>28</v>
      </c>
      <c r="I19" s="16"/>
      <c r="J19" s="16" t="s">
        <v>28</v>
      </c>
      <c r="K19" s="16" t="s">
        <v>29</v>
      </c>
      <c r="L19" s="16" t="s">
        <v>29</v>
      </c>
      <c r="M19" s="16" t="s">
        <v>29</v>
      </c>
      <c r="N19" s="16" t="s">
        <v>494</v>
      </c>
      <c r="O19" s="16"/>
      <c r="P19" s="16"/>
      <c r="Q19" s="16"/>
      <c r="R19" s="16"/>
      <c r="S19" s="16"/>
      <c r="T19" s="16"/>
      <c r="U19" s="16"/>
      <c r="V19" s="16"/>
      <c r="W19" s="16" t="s">
        <v>37</v>
      </c>
      <c r="X19" s="16" t="s">
        <v>37</v>
      </c>
      <c r="Y19" s="16"/>
      <c r="Z19" s="16" t="s">
        <v>37</v>
      </c>
      <c r="AA19" s="12" t="s">
        <v>40</v>
      </c>
    </row>
    <row r="20" customFormat="false" ht="15.75" hidden="false" customHeight="false" outlineLevel="0" collapsed="false">
      <c r="A20" s="24" t="n">
        <v>8095</v>
      </c>
      <c r="B20" s="14" t="n">
        <v>45524</v>
      </c>
      <c r="C20" s="25" t="s">
        <v>176</v>
      </c>
      <c r="D20" s="25" t="s">
        <v>24</v>
      </c>
      <c r="E20" s="25" t="s">
        <v>25</v>
      </c>
      <c r="F20" s="25" t="s">
        <v>495</v>
      </c>
      <c r="G20" s="25"/>
      <c r="H20" s="26" t="s">
        <v>28</v>
      </c>
      <c r="I20" s="25"/>
      <c r="J20" s="25" t="s">
        <v>28</v>
      </c>
      <c r="K20" s="25" t="s">
        <v>29</v>
      </c>
      <c r="L20" s="25" t="s">
        <v>29</v>
      </c>
      <c r="M20" s="25" t="s">
        <v>29</v>
      </c>
      <c r="N20" s="25" t="n">
        <v>8930</v>
      </c>
      <c r="O20" s="25"/>
      <c r="P20" s="25"/>
      <c r="Q20" s="25"/>
      <c r="R20" s="25"/>
      <c r="S20" s="25"/>
      <c r="T20" s="25"/>
      <c r="U20" s="25"/>
      <c r="V20" s="25"/>
      <c r="W20" s="25" t="s">
        <v>37</v>
      </c>
      <c r="X20" s="25" t="s">
        <v>37</v>
      </c>
      <c r="Y20" s="25"/>
      <c r="Z20" s="25" t="s">
        <v>28</v>
      </c>
      <c r="AA20" s="12" t="s">
        <v>32</v>
      </c>
    </row>
    <row r="21" customFormat="false" ht="15.75" hidden="false" customHeight="false" outlineLevel="0" collapsed="false">
      <c r="A21" s="19" t="n">
        <v>8096</v>
      </c>
      <c r="B21" s="14" t="n">
        <v>45527</v>
      </c>
      <c r="C21" s="16" t="s">
        <v>120</v>
      </c>
      <c r="D21" s="16" t="s">
        <v>24</v>
      </c>
      <c r="E21" s="16" t="s">
        <v>25</v>
      </c>
      <c r="F21" s="16" t="s">
        <v>496</v>
      </c>
      <c r="G21" s="16" t="s">
        <v>497</v>
      </c>
      <c r="H21" s="17" t="s">
        <v>28</v>
      </c>
      <c r="I21" s="16"/>
      <c r="J21" s="16" t="s">
        <v>28</v>
      </c>
      <c r="K21" s="16" t="s">
        <v>29</v>
      </c>
      <c r="L21" s="16" t="s">
        <v>29</v>
      </c>
      <c r="M21" s="16" t="s">
        <v>29</v>
      </c>
      <c r="N21" s="16" t="n">
        <v>5215</v>
      </c>
      <c r="O21" s="16"/>
      <c r="P21" s="16"/>
      <c r="Q21" s="16"/>
      <c r="R21" s="16"/>
      <c r="S21" s="16"/>
      <c r="T21" s="16"/>
      <c r="U21" s="25"/>
      <c r="V21" s="16"/>
      <c r="W21" s="16"/>
      <c r="X21" s="16"/>
      <c r="Y21" s="16"/>
      <c r="Z21" s="16" t="s">
        <v>28</v>
      </c>
      <c r="AA21" s="12" t="s">
        <v>32</v>
      </c>
    </row>
    <row r="22" customFormat="false" ht="15.75" hidden="false" customHeight="false" outlineLevel="0" collapsed="false">
      <c r="A22" s="19" t="n">
        <v>8097</v>
      </c>
      <c r="B22" s="14" t="n">
        <v>45527</v>
      </c>
      <c r="C22" s="16" t="s">
        <v>188</v>
      </c>
      <c r="D22" s="16" t="s">
        <v>24</v>
      </c>
      <c r="E22" s="16" t="s">
        <v>34</v>
      </c>
      <c r="F22" s="16" t="s">
        <v>498</v>
      </c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 t="s">
        <v>37</v>
      </c>
      <c r="X22" s="16" t="s">
        <v>37</v>
      </c>
      <c r="Y22" s="16"/>
      <c r="Z22" s="16" t="s">
        <v>28</v>
      </c>
      <c r="AA22" s="12" t="s">
        <v>32</v>
      </c>
    </row>
    <row r="23" customFormat="false" ht="15.75" hidden="false" customHeight="false" outlineLevel="0" collapsed="false">
      <c r="A23" s="19" t="n">
        <v>8098</v>
      </c>
      <c r="B23" s="14" t="n">
        <v>45527</v>
      </c>
      <c r="C23" s="16" t="s">
        <v>499</v>
      </c>
      <c r="D23" s="16" t="s">
        <v>24</v>
      </c>
      <c r="E23" s="16" t="s">
        <v>34</v>
      </c>
      <c r="F23" s="16" t="s">
        <v>500</v>
      </c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 t="s">
        <v>28</v>
      </c>
      <c r="AA23" s="12" t="s">
        <v>48</v>
      </c>
    </row>
    <row r="24" customFormat="false" ht="15.75" hidden="false" customHeight="false" outlineLevel="0" collapsed="false">
      <c r="A24" s="13" t="n">
        <v>8099</v>
      </c>
      <c r="B24" s="14" t="n">
        <v>45530</v>
      </c>
      <c r="C24" s="16" t="s">
        <v>41</v>
      </c>
      <c r="D24" s="16" t="s">
        <v>24</v>
      </c>
      <c r="E24" s="16" t="s">
        <v>30</v>
      </c>
      <c r="F24" s="16" t="s">
        <v>501</v>
      </c>
      <c r="G24" s="16" t="s">
        <v>502</v>
      </c>
      <c r="H24" s="17" t="s">
        <v>28</v>
      </c>
      <c r="I24" s="16"/>
      <c r="J24" s="16" t="s">
        <v>28</v>
      </c>
      <c r="K24" s="16" t="s">
        <v>29</v>
      </c>
      <c r="L24" s="16" t="s">
        <v>503</v>
      </c>
      <c r="M24" s="16"/>
      <c r="N24" s="16" t="n">
        <v>84</v>
      </c>
      <c r="O24" s="16"/>
      <c r="P24" s="16"/>
      <c r="Q24" s="16" t="s">
        <v>28</v>
      </c>
      <c r="R24" s="17" t="s">
        <v>28</v>
      </c>
      <c r="S24" s="16"/>
      <c r="T24" s="16" t="s">
        <v>30</v>
      </c>
      <c r="U24" s="16"/>
      <c r="V24" s="16" t="s">
        <v>74</v>
      </c>
      <c r="W24" s="17" t="s">
        <v>28</v>
      </c>
      <c r="X24" s="17" t="s">
        <v>28</v>
      </c>
      <c r="Y24" s="16" t="s">
        <v>36</v>
      </c>
      <c r="Z24" s="16" t="s">
        <v>28</v>
      </c>
      <c r="AA24" s="12" t="s">
        <v>32</v>
      </c>
    </row>
    <row r="25" customFormat="false" ht="15.75" hidden="false" customHeight="false" outlineLevel="0" collapsed="false">
      <c r="A25" s="13" t="n">
        <v>9000</v>
      </c>
      <c r="B25" s="14" t="n">
        <v>45530</v>
      </c>
      <c r="C25" s="16" t="s">
        <v>41</v>
      </c>
      <c r="D25" s="16" t="s">
        <v>24</v>
      </c>
      <c r="E25" s="16" t="s">
        <v>30</v>
      </c>
      <c r="F25" s="16" t="s">
        <v>504</v>
      </c>
      <c r="G25" s="16" t="s">
        <v>505</v>
      </c>
      <c r="H25" s="17" t="s">
        <v>28</v>
      </c>
      <c r="I25" s="16"/>
      <c r="J25" s="16" t="s">
        <v>28</v>
      </c>
      <c r="K25" s="16"/>
      <c r="L25" s="16" t="s">
        <v>503</v>
      </c>
      <c r="M25" s="16"/>
      <c r="N25" s="16" t="n">
        <v>84</v>
      </c>
      <c r="O25" s="16"/>
      <c r="P25" s="16"/>
      <c r="Q25" s="16" t="s">
        <v>28</v>
      </c>
      <c r="R25" s="17" t="s">
        <v>28</v>
      </c>
      <c r="S25" s="16" t="s">
        <v>506</v>
      </c>
      <c r="T25" s="16" t="s">
        <v>186</v>
      </c>
      <c r="U25" s="16"/>
      <c r="V25" s="16" t="s">
        <v>74</v>
      </c>
      <c r="W25" s="17" t="s">
        <v>28</v>
      </c>
      <c r="X25" s="17" t="s">
        <v>28</v>
      </c>
      <c r="Y25" s="16" t="s">
        <v>36</v>
      </c>
      <c r="Z25" s="16" t="s">
        <v>28</v>
      </c>
      <c r="AA25" s="12" t="s">
        <v>32</v>
      </c>
    </row>
    <row r="26" customFormat="false" ht="15.75" hidden="false" customHeight="false" outlineLevel="0" collapsed="false">
      <c r="A26" s="24" t="n">
        <v>9001</v>
      </c>
      <c r="B26" s="14" t="n">
        <v>45530</v>
      </c>
      <c r="C26" s="25" t="s">
        <v>41</v>
      </c>
      <c r="D26" s="16" t="s">
        <v>24</v>
      </c>
      <c r="E26" s="16" t="s">
        <v>30</v>
      </c>
      <c r="F26" s="25" t="s">
        <v>507</v>
      </c>
      <c r="G26" s="16" t="s">
        <v>508</v>
      </c>
      <c r="H26" s="17" t="s">
        <v>28</v>
      </c>
      <c r="I26" s="16"/>
      <c r="J26" s="16" t="s">
        <v>28</v>
      </c>
      <c r="K26" s="16"/>
      <c r="L26" s="16" t="s">
        <v>503</v>
      </c>
      <c r="M26" s="16"/>
      <c r="N26" s="16" t="n">
        <v>84</v>
      </c>
      <c r="O26" s="16"/>
      <c r="P26" s="16"/>
      <c r="Q26" s="16"/>
      <c r="R26" s="16"/>
      <c r="S26" s="16"/>
      <c r="T26" s="16"/>
      <c r="U26" s="16"/>
      <c r="V26" s="16" t="s">
        <v>58</v>
      </c>
      <c r="W26" s="17" t="s">
        <v>28</v>
      </c>
      <c r="X26" s="17" t="s">
        <v>28</v>
      </c>
      <c r="Y26" s="16" t="s">
        <v>36</v>
      </c>
      <c r="Z26" s="16" t="s">
        <v>28</v>
      </c>
      <c r="AA26" s="12" t="s">
        <v>32</v>
      </c>
    </row>
    <row r="27" customFormat="false" ht="15.75" hidden="false" customHeight="false" outlineLevel="0" collapsed="false">
      <c r="A27" s="13" t="n">
        <v>9002</v>
      </c>
      <c r="B27" s="14" t="n">
        <v>45530</v>
      </c>
      <c r="C27" s="25" t="s">
        <v>41</v>
      </c>
      <c r="D27" s="16" t="s">
        <v>24</v>
      </c>
      <c r="E27" s="25" t="s">
        <v>30</v>
      </c>
      <c r="F27" s="16" t="s">
        <v>509</v>
      </c>
      <c r="G27" s="16" t="s">
        <v>510</v>
      </c>
      <c r="H27" s="17" t="s">
        <v>28</v>
      </c>
      <c r="I27" s="16"/>
      <c r="J27" s="16" t="s">
        <v>28</v>
      </c>
      <c r="K27" s="16"/>
      <c r="L27" s="16" t="s">
        <v>503</v>
      </c>
      <c r="M27" s="16"/>
      <c r="N27" s="16" t="n">
        <v>84</v>
      </c>
      <c r="O27" s="16"/>
      <c r="P27" s="16"/>
      <c r="Q27" s="16" t="s">
        <v>28</v>
      </c>
      <c r="R27" s="17" t="s">
        <v>28</v>
      </c>
      <c r="S27" s="16" t="s">
        <v>506</v>
      </c>
      <c r="T27" s="16" t="s">
        <v>186</v>
      </c>
      <c r="U27" s="16"/>
      <c r="V27" s="16" t="s">
        <v>74</v>
      </c>
      <c r="W27" s="17" t="s">
        <v>28</v>
      </c>
      <c r="X27" s="17" t="s">
        <v>28</v>
      </c>
      <c r="Y27" s="16" t="s">
        <v>36</v>
      </c>
      <c r="Z27" s="16" t="s">
        <v>28</v>
      </c>
      <c r="AA27" s="12" t="s">
        <v>32</v>
      </c>
    </row>
    <row r="28" customFormat="false" ht="15.75" hidden="false" customHeight="false" outlineLevel="0" collapsed="false">
      <c r="A28" s="13" t="n">
        <v>9003</v>
      </c>
      <c r="B28" s="14" t="n">
        <v>45531</v>
      </c>
      <c r="C28" s="16" t="s">
        <v>465</v>
      </c>
      <c r="D28" s="16" t="s">
        <v>24</v>
      </c>
      <c r="E28" s="25" t="s">
        <v>25</v>
      </c>
      <c r="F28" s="16" t="s">
        <v>511</v>
      </c>
      <c r="G28" s="16"/>
      <c r="H28" s="17" t="s">
        <v>28</v>
      </c>
      <c r="I28" s="16"/>
      <c r="J28" s="16" t="s">
        <v>28</v>
      </c>
      <c r="K28" s="16" t="s">
        <v>29</v>
      </c>
      <c r="L28" s="16" t="s">
        <v>29</v>
      </c>
      <c r="M28" s="16" t="s">
        <v>29</v>
      </c>
      <c r="N28" s="16" t="s">
        <v>29</v>
      </c>
      <c r="O28" s="16"/>
      <c r="P28" s="16"/>
      <c r="Q28" s="16" t="s">
        <v>37</v>
      </c>
      <c r="R28" s="16" t="s">
        <v>37</v>
      </c>
      <c r="S28" s="16"/>
      <c r="T28" s="16"/>
      <c r="U28" s="16"/>
      <c r="V28" s="16"/>
      <c r="W28" s="16" t="s">
        <v>37</v>
      </c>
      <c r="X28" s="16" t="s">
        <v>37</v>
      </c>
      <c r="Y28" s="16"/>
      <c r="Z28" s="16" t="s">
        <v>28</v>
      </c>
      <c r="AA28" s="12" t="s">
        <v>32</v>
      </c>
    </row>
    <row r="29" customFormat="false" ht="15.75" hidden="false" customHeight="false" outlineLevel="0" collapsed="false">
      <c r="A29" s="13" t="n">
        <v>9004</v>
      </c>
      <c r="B29" s="14" t="n">
        <v>45532</v>
      </c>
      <c r="C29" s="16" t="s">
        <v>465</v>
      </c>
      <c r="D29" s="16" t="s">
        <v>24</v>
      </c>
      <c r="E29" s="25" t="s">
        <v>25</v>
      </c>
      <c r="F29" s="16" t="s">
        <v>512</v>
      </c>
      <c r="G29" s="16"/>
      <c r="H29" s="17" t="s">
        <v>28</v>
      </c>
      <c r="I29" s="16"/>
      <c r="J29" s="16" t="s">
        <v>28</v>
      </c>
      <c r="K29" s="16" t="s">
        <v>29</v>
      </c>
      <c r="L29" s="16" t="s">
        <v>29</v>
      </c>
      <c r="M29" s="16" t="s">
        <v>29</v>
      </c>
      <c r="N29" s="16" t="s">
        <v>29</v>
      </c>
      <c r="O29" s="16"/>
      <c r="P29" s="16"/>
      <c r="Q29" s="16"/>
      <c r="R29" s="16"/>
      <c r="S29" s="16"/>
      <c r="T29" s="16"/>
      <c r="U29" s="16"/>
      <c r="V29" s="16"/>
      <c r="W29" s="16" t="s">
        <v>37</v>
      </c>
      <c r="X29" s="16" t="s">
        <v>37</v>
      </c>
      <c r="Y29" s="16"/>
      <c r="Z29" s="16" t="s">
        <v>28</v>
      </c>
      <c r="AA29" s="12" t="s">
        <v>32</v>
      </c>
    </row>
    <row r="30" customFormat="false" ht="15.75" hidden="false" customHeight="false" outlineLevel="0" collapsed="false">
      <c r="A30" s="13" t="n">
        <v>9005</v>
      </c>
      <c r="B30" s="14" t="n">
        <v>45532</v>
      </c>
      <c r="C30" s="16" t="s">
        <v>120</v>
      </c>
      <c r="D30" s="16" t="s">
        <v>24</v>
      </c>
      <c r="E30" s="16" t="s">
        <v>25</v>
      </c>
      <c r="F30" s="16" t="s">
        <v>513</v>
      </c>
      <c r="G30" s="16" t="s">
        <v>514</v>
      </c>
      <c r="H30" s="17" t="s">
        <v>28</v>
      </c>
      <c r="I30" s="16"/>
      <c r="J30" s="16" t="s">
        <v>28</v>
      </c>
      <c r="K30" s="16" t="s">
        <v>29</v>
      </c>
      <c r="L30" s="16" t="s">
        <v>29</v>
      </c>
      <c r="M30" s="16" t="s">
        <v>29</v>
      </c>
      <c r="N30" s="16" t="n">
        <v>5373</v>
      </c>
      <c r="O30" s="16"/>
      <c r="P30" s="16"/>
      <c r="Q30" s="16" t="s">
        <v>28</v>
      </c>
      <c r="R30" s="17" t="s">
        <v>28</v>
      </c>
      <c r="S30" s="16" t="s">
        <v>515</v>
      </c>
      <c r="T30" s="16" t="s">
        <v>186</v>
      </c>
      <c r="U30" s="16" t="s">
        <v>516</v>
      </c>
      <c r="V30" s="16"/>
      <c r="W30" s="16"/>
      <c r="X30" s="16"/>
      <c r="Y30" s="16"/>
      <c r="Z30" s="16" t="s">
        <v>28</v>
      </c>
      <c r="AA30" s="12" t="s">
        <v>32</v>
      </c>
    </row>
    <row r="31" customFormat="false" ht="15.75" hidden="false" customHeight="false" outlineLevel="0" collapsed="false">
      <c r="A31" s="13" t="n">
        <v>9006</v>
      </c>
      <c r="B31" s="14" t="n">
        <v>45167</v>
      </c>
      <c r="C31" s="16" t="s">
        <v>517</v>
      </c>
      <c r="D31" s="16" t="s">
        <v>24</v>
      </c>
      <c r="E31" s="16" t="s">
        <v>160</v>
      </c>
      <c r="F31" s="16" t="s">
        <v>518</v>
      </c>
      <c r="G31" s="16"/>
      <c r="H31" s="16" t="s">
        <v>37</v>
      </c>
      <c r="I31" s="16"/>
      <c r="J31" s="16" t="s">
        <v>37</v>
      </c>
      <c r="K31" s="16"/>
      <c r="L31" s="16"/>
      <c r="M31" s="16"/>
      <c r="N31" s="16"/>
      <c r="O31" s="16"/>
      <c r="P31" s="16"/>
      <c r="Q31" s="16" t="s">
        <v>37</v>
      </c>
      <c r="R31" s="16" t="s">
        <v>37</v>
      </c>
      <c r="S31" s="16"/>
      <c r="T31" s="16"/>
      <c r="U31" s="16"/>
      <c r="V31" s="16"/>
      <c r="W31" s="16" t="s">
        <v>37</v>
      </c>
      <c r="X31" s="16" t="s">
        <v>37</v>
      </c>
      <c r="Y31" s="16"/>
      <c r="Z31" s="16" t="s">
        <v>28</v>
      </c>
      <c r="AA31" s="12" t="s">
        <v>32</v>
      </c>
    </row>
    <row r="32" customFormat="false" ht="15.75" hidden="false" customHeight="false" outlineLevel="0" collapsed="false">
      <c r="A32" s="13" t="n">
        <v>9007</v>
      </c>
      <c r="B32" s="14" t="n">
        <v>45533</v>
      </c>
      <c r="C32" s="16" t="s">
        <v>296</v>
      </c>
      <c r="D32" s="16" t="s">
        <v>24</v>
      </c>
      <c r="E32" s="16" t="s">
        <v>25</v>
      </c>
      <c r="F32" s="16" t="s">
        <v>127</v>
      </c>
      <c r="G32" s="16" t="s">
        <v>519</v>
      </c>
      <c r="H32" s="27" t="s">
        <v>28</v>
      </c>
      <c r="I32" s="16"/>
      <c r="J32" s="16" t="s">
        <v>28</v>
      </c>
      <c r="K32" s="16" t="s">
        <v>29</v>
      </c>
      <c r="L32" s="16" t="s">
        <v>29</v>
      </c>
      <c r="M32" s="16" t="s">
        <v>29</v>
      </c>
      <c r="N32" s="16" t="s">
        <v>29</v>
      </c>
      <c r="O32" s="16"/>
      <c r="P32" s="16"/>
      <c r="Q32" s="16" t="s">
        <v>28</v>
      </c>
      <c r="R32" s="17" t="s">
        <v>28</v>
      </c>
      <c r="S32" s="16" t="s">
        <v>515</v>
      </c>
      <c r="T32" s="16" t="s">
        <v>186</v>
      </c>
      <c r="U32" s="16" t="s">
        <v>520</v>
      </c>
      <c r="V32" s="16" t="s">
        <v>74</v>
      </c>
      <c r="W32" s="17" t="s">
        <v>28</v>
      </c>
      <c r="X32" s="17" t="s">
        <v>28</v>
      </c>
      <c r="Y32" s="16" t="s">
        <v>36</v>
      </c>
      <c r="Z32" s="16" t="s">
        <v>28</v>
      </c>
      <c r="AA32" s="12" t="s">
        <v>32</v>
      </c>
    </row>
    <row r="33" customFormat="false" ht="15.75" hidden="false" customHeight="false" outlineLevel="0" collapsed="false">
      <c r="A33" s="13" t="n">
        <v>9008</v>
      </c>
      <c r="B33" s="14" t="n">
        <v>45534</v>
      </c>
      <c r="C33" s="16" t="s">
        <v>465</v>
      </c>
      <c r="D33" s="16" t="s">
        <v>24</v>
      </c>
      <c r="E33" s="16" t="s">
        <v>25</v>
      </c>
      <c r="F33" s="16" t="s">
        <v>521</v>
      </c>
      <c r="G33" s="16"/>
      <c r="H33" s="17" t="s">
        <v>28</v>
      </c>
      <c r="I33" s="16"/>
      <c r="J33" s="16" t="s">
        <v>28</v>
      </c>
      <c r="K33" s="16" t="s">
        <v>29</v>
      </c>
      <c r="L33" s="16" t="s">
        <v>29</v>
      </c>
      <c r="M33" s="16" t="s">
        <v>29</v>
      </c>
      <c r="N33" s="16" t="s">
        <v>29</v>
      </c>
      <c r="O33" s="16"/>
      <c r="P33" s="16"/>
      <c r="Q33" s="16" t="s">
        <v>37</v>
      </c>
      <c r="R33" s="16" t="s">
        <v>37</v>
      </c>
      <c r="S33" s="16"/>
      <c r="T33" s="16"/>
      <c r="U33" s="16"/>
      <c r="V33" s="16"/>
      <c r="W33" s="16" t="s">
        <v>37</v>
      </c>
      <c r="X33" s="16" t="s">
        <v>37</v>
      </c>
      <c r="Y33" s="16"/>
      <c r="Z33" s="16" t="s">
        <v>37</v>
      </c>
      <c r="AA33" s="12" t="s">
        <v>40</v>
      </c>
    </row>
    <row r="34" customFormat="false" ht="15.75" hidden="false" customHeight="false" outlineLevel="0" collapsed="false">
      <c r="A34" s="13" t="n">
        <v>9009</v>
      </c>
      <c r="B34" s="14" t="n">
        <v>45534</v>
      </c>
      <c r="C34" s="20" t="s">
        <v>274</v>
      </c>
      <c r="D34" s="16" t="s">
        <v>24</v>
      </c>
      <c r="E34" s="16" t="s">
        <v>25</v>
      </c>
      <c r="F34" s="16" t="s">
        <v>522</v>
      </c>
      <c r="G34" s="16"/>
      <c r="H34" s="17" t="s">
        <v>28</v>
      </c>
      <c r="I34" s="16"/>
      <c r="J34" s="16" t="s">
        <v>28</v>
      </c>
      <c r="K34" s="16" t="s">
        <v>29</v>
      </c>
      <c r="L34" s="16" t="s">
        <v>29</v>
      </c>
      <c r="M34" s="16" t="s">
        <v>29</v>
      </c>
      <c r="N34" s="16" t="s">
        <v>29</v>
      </c>
      <c r="O34" s="16"/>
      <c r="P34" s="16"/>
      <c r="Q34" s="16" t="s">
        <v>37</v>
      </c>
      <c r="R34" s="16" t="s">
        <v>37</v>
      </c>
      <c r="S34" s="16"/>
      <c r="T34" s="16"/>
      <c r="U34" s="16"/>
      <c r="V34" s="16"/>
      <c r="W34" s="16" t="s">
        <v>37</v>
      </c>
      <c r="X34" s="16" t="s">
        <v>37</v>
      </c>
      <c r="Y34" s="16"/>
      <c r="Z34" s="16" t="s">
        <v>28</v>
      </c>
      <c r="AA34" s="12" t="s">
        <v>32</v>
      </c>
    </row>
    <row r="35" customFormat="false" ht="15.75" hidden="false" customHeight="false" outlineLevel="0" collapsed="false">
      <c r="A35" s="13"/>
      <c r="B35" s="22"/>
      <c r="C35" s="15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2"/>
    </row>
    <row r="36" customFormat="false" ht="15.75" hidden="false" customHeight="false" outlineLevel="0" collapsed="false">
      <c r="A36" s="13"/>
      <c r="B36" s="14"/>
      <c r="C36" s="15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8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2"/>
    </row>
    <row r="37" customFormat="false" ht="15.75" hidden="false" customHeight="false" outlineLevel="0" collapsed="false">
      <c r="A37" s="13"/>
      <c r="B37" s="14"/>
      <c r="C37" s="21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8"/>
      <c r="Q37" s="16"/>
      <c r="R37" s="16"/>
      <c r="S37" s="16"/>
      <c r="T37" s="16"/>
      <c r="U37" s="16"/>
      <c r="V37" s="16"/>
      <c r="W37" s="16"/>
      <c r="X37" s="16"/>
      <c r="Y37" s="16"/>
      <c r="Z37" s="16"/>
    </row>
    <row r="38" customFormat="false" ht="15.75" hidden="false" customHeight="false" outlineLevel="0" collapsed="false">
      <c r="A38" s="13"/>
      <c r="B38" s="22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8"/>
      <c r="Q38" s="16"/>
      <c r="R38" s="16"/>
      <c r="S38" s="16"/>
      <c r="T38" s="16"/>
      <c r="U38" s="16"/>
      <c r="V38" s="16"/>
      <c r="W38" s="16"/>
      <c r="X38" s="16"/>
      <c r="Y38" s="16"/>
      <c r="Z38" s="16"/>
    </row>
    <row r="39" customFormat="false" ht="15.75" hidden="false" customHeight="false" outlineLevel="0" collapsed="false">
      <c r="A39" s="13"/>
      <c r="B39" s="14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</row>
    <row r="40" customFormat="false" ht="15.75" hidden="false" customHeight="false" outlineLevel="0" collapsed="false">
      <c r="A40" s="28"/>
      <c r="B40" s="14"/>
      <c r="C40" s="21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</row>
    <row r="41" customFormat="false" ht="15.75" hidden="false" customHeight="false" outlineLevel="0" collapsed="false">
      <c r="A41" s="13"/>
      <c r="B41" s="14"/>
      <c r="C41" s="15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</row>
    <row r="42" customFormat="false" ht="15.75" hidden="false" customHeight="false" outlineLevel="0" collapsed="false">
      <c r="A42" s="13"/>
      <c r="B42" s="14"/>
      <c r="C42" s="15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</row>
    <row r="43" customFormat="false" ht="15.75" hidden="false" customHeight="false" outlineLevel="0" collapsed="false">
      <c r="A43" s="13"/>
      <c r="B43" s="14"/>
      <c r="C43" s="15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8"/>
      <c r="Q43" s="16"/>
      <c r="R43" s="16"/>
      <c r="S43" s="16"/>
      <c r="T43" s="16"/>
      <c r="U43" s="16"/>
      <c r="V43" s="16"/>
      <c r="W43" s="16"/>
      <c r="X43" s="16"/>
      <c r="Y43" s="16"/>
      <c r="Z43" s="16"/>
    </row>
    <row r="44" customFormat="false" ht="15.75" hidden="false" customHeight="false" outlineLevel="0" collapsed="false">
      <c r="A44" s="13"/>
      <c r="B44" s="14"/>
      <c r="C44" s="15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8"/>
      <c r="Q44" s="16"/>
      <c r="R44" s="16"/>
      <c r="S44" s="16"/>
      <c r="T44" s="16"/>
      <c r="U44" s="16"/>
      <c r="V44" s="16"/>
      <c r="W44" s="16"/>
      <c r="X44" s="16"/>
      <c r="Y44" s="16"/>
      <c r="Z44" s="16"/>
    </row>
    <row r="45" customFormat="false" ht="15.75" hidden="false" customHeight="false" outlineLevel="0" collapsed="false">
      <c r="A45" s="13"/>
      <c r="B45" s="14"/>
      <c r="C45" s="15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8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48"/>
      <c r="AB45" s="12"/>
    </row>
    <row r="46" customFormat="false" ht="15.75" hidden="false" customHeight="false" outlineLevel="0" collapsed="false">
      <c r="A46" s="13"/>
      <c r="B46" s="14"/>
      <c r="C46" s="15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48"/>
      <c r="AB46" s="12"/>
    </row>
    <row r="47" customFormat="false" ht="15.75" hidden="false" customHeight="false" outlineLevel="0" collapsed="false">
      <c r="A47" s="13"/>
      <c r="B47" s="14"/>
      <c r="C47" s="15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48"/>
      <c r="AB47" s="12"/>
    </row>
    <row r="48" customFormat="false" ht="15.75" hidden="false" customHeight="false" outlineLevel="0" collapsed="false">
      <c r="A48" s="13"/>
      <c r="B48" s="14"/>
      <c r="C48" s="15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48"/>
      <c r="AB48" s="12"/>
    </row>
    <row r="49" customFormat="false" ht="15.75" hidden="false" customHeight="false" outlineLevel="0" collapsed="false">
      <c r="A49" s="13"/>
      <c r="B49" s="14"/>
      <c r="C49" s="15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</row>
    <row r="50" customFormat="false" ht="15.75" hidden="false" customHeight="false" outlineLevel="0" collapsed="false">
      <c r="A50" s="13"/>
      <c r="B50" s="14"/>
      <c r="C50" s="15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8"/>
      <c r="Q50" s="16"/>
      <c r="R50" s="16"/>
      <c r="S50" s="16"/>
      <c r="T50" s="16"/>
      <c r="U50" s="16"/>
      <c r="V50" s="16"/>
      <c r="W50" s="16"/>
      <c r="X50" s="16"/>
      <c r="Y50" s="16"/>
      <c r="Z50" s="16"/>
    </row>
    <row r="51" customFormat="false" ht="15.75" hidden="false" customHeight="false" outlineLevel="0" collapsed="false">
      <c r="A51" s="13"/>
      <c r="B51" s="14"/>
      <c r="C51" s="15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8"/>
      <c r="Q51" s="16"/>
      <c r="R51" s="16"/>
      <c r="S51" s="16"/>
      <c r="T51" s="16"/>
      <c r="U51" s="16"/>
      <c r="V51" s="16"/>
      <c r="W51" s="16"/>
      <c r="X51" s="16"/>
      <c r="Y51" s="16"/>
      <c r="Z51" s="16"/>
    </row>
    <row r="52" customFormat="false" ht="15.75" hidden="false" customHeight="false" outlineLevel="0" collapsed="false">
      <c r="A52" s="13"/>
      <c r="B52" s="14"/>
      <c r="C52" s="15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8"/>
      <c r="Q52" s="16"/>
      <c r="R52" s="16"/>
      <c r="S52" s="16"/>
      <c r="T52" s="16"/>
      <c r="U52" s="16"/>
      <c r="V52" s="16"/>
      <c r="W52" s="16"/>
      <c r="X52" s="16"/>
      <c r="Y52" s="16"/>
      <c r="Z52" s="16"/>
    </row>
    <row r="53" customFormat="false" ht="15.75" hidden="false" customHeight="false" outlineLevel="0" collapsed="false">
      <c r="A53" s="13"/>
      <c r="B53" s="14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</row>
    <row r="54" customFormat="false" ht="15.75" hidden="false" customHeight="false" outlineLevel="0" collapsed="false">
      <c r="A54" s="13"/>
      <c r="B54" s="14"/>
      <c r="C54" s="21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</row>
    <row r="55" customFormat="false" ht="15.75" hidden="false" customHeight="false" outlineLevel="0" collapsed="false">
      <c r="A55" s="13"/>
      <c r="B55" s="14"/>
      <c r="C55" s="15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</row>
    <row r="56" customFormat="false" ht="15.75" hidden="false" customHeight="false" outlineLevel="0" collapsed="false">
      <c r="A56" s="13"/>
      <c r="B56" s="14"/>
      <c r="C56" s="15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</row>
    <row r="57" customFormat="false" ht="15.75" hidden="false" customHeight="false" outlineLevel="0" collapsed="false">
      <c r="A57" s="44"/>
      <c r="B57" s="14"/>
      <c r="C57" s="15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8"/>
      <c r="Q57" s="16"/>
      <c r="R57" s="16"/>
      <c r="S57" s="16"/>
      <c r="T57" s="16"/>
      <c r="U57" s="16"/>
      <c r="V57" s="16"/>
      <c r="W57" s="16"/>
      <c r="X57" s="16"/>
      <c r="Y57" s="16"/>
      <c r="Z57" s="16"/>
    </row>
    <row r="58" customFormat="false" ht="15.75" hidden="false" customHeight="false" outlineLevel="0" collapsed="false">
      <c r="A58" s="13"/>
      <c r="B58" s="14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8"/>
      <c r="Q58" s="16"/>
      <c r="R58" s="16"/>
      <c r="S58" s="16"/>
      <c r="T58" s="16"/>
      <c r="U58" s="16"/>
      <c r="V58" s="16"/>
      <c r="W58" s="16"/>
      <c r="X58" s="16"/>
      <c r="Y58" s="16"/>
      <c r="Z58" s="16"/>
    </row>
    <row r="59" customFormat="false" ht="15.75" hidden="false" customHeight="false" outlineLevel="0" collapsed="false">
      <c r="A59" s="13"/>
      <c r="B59" s="14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8"/>
      <c r="Q59" s="16"/>
      <c r="R59" s="16"/>
      <c r="S59" s="16"/>
      <c r="T59" s="16"/>
      <c r="U59" s="16"/>
      <c r="V59" s="16"/>
      <c r="W59" s="16"/>
      <c r="X59" s="16"/>
      <c r="Y59" s="16"/>
      <c r="Z59" s="16"/>
    </row>
    <row r="60" customFormat="false" ht="15.75" hidden="false" customHeight="false" outlineLevel="0" collapsed="false">
      <c r="A60" s="21"/>
      <c r="B60" s="29"/>
      <c r="C60" s="21"/>
      <c r="D60" s="21"/>
      <c r="E60" s="21"/>
      <c r="F60" s="21"/>
      <c r="G60" s="30"/>
      <c r="H60" s="31"/>
      <c r="I60" s="31"/>
      <c r="J60" s="21"/>
      <c r="K60" s="21"/>
      <c r="L60" s="21"/>
      <c r="M60" s="21"/>
      <c r="N60" s="21"/>
      <c r="O60" s="21"/>
      <c r="P60" s="30"/>
      <c r="Q60" s="21"/>
      <c r="R60" s="21"/>
      <c r="S60" s="21"/>
      <c r="T60" s="32"/>
      <c r="U60" s="32"/>
      <c r="V60" s="21"/>
      <c r="W60" s="21"/>
      <c r="X60" s="21"/>
      <c r="Y60" s="21"/>
      <c r="Z60" s="21"/>
    </row>
    <row r="61" customFormat="false" ht="15.75" hidden="false" customHeight="false" outlineLevel="0" collapsed="false">
      <c r="A61" s="47"/>
      <c r="B61" s="29"/>
      <c r="C61" s="21"/>
      <c r="D61" s="21"/>
      <c r="E61" s="21"/>
      <c r="F61" s="21"/>
      <c r="G61" s="30"/>
      <c r="H61" s="31"/>
      <c r="I61" s="31"/>
      <c r="J61" s="21"/>
      <c r="K61" s="21"/>
      <c r="L61" s="21"/>
      <c r="M61" s="21"/>
      <c r="N61" s="21"/>
      <c r="O61" s="21"/>
      <c r="P61" s="30"/>
      <c r="Q61" s="21"/>
      <c r="R61" s="21"/>
      <c r="S61" s="21"/>
      <c r="T61" s="32"/>
      <c r="U61" s="32"/>
      <c r="V61" s="21"/>
      <c r="W61" s="21"/>
      <c r="X61" s="21"/>
      <c r="Y61" s="21"/>
      <c r="Z61" s="21"/>
    </row>
    <row r="62" customFormat="false" ht="15.75" hidden="false" customHeight="false" outlineLevel="0" collapsed="false">
      <c r="A62" s="21"/>
      <c r="B62" s="29"/>
      <c r="C62" s="21"/>
      <c r="D62" s="21"/>
      <c r="E62" s="21"/>
      <c r="F62" s="21"/>
      <c r="G62" s="30"/>
      <c r="H62" s="31"/>
      <c r="I62" s="31"/>
      <c r="J62" s="21"/>
      <c r="K62" s="21"/>
      <c r="L62" s="21"/>
      <c r="M62" s="21"/>
      <c r="N62" s="21"/>
      <c r="O62" s="21"/>
      <c r="P62" s="30"/>
      <c r="Q62" s="21"/>
      <c r="R62" s="21"/>
      <c r="S62" s="21"/>
      <c r="T62" s="32"/>
      <c r="U62" s="32"/>
      <c r="V62" s="21"/>
      <c r="W62" s="21"/>
      <c r="X62" s="21"/>
      <c r="Y62" s="21"/>
      <c r="Z62" s="21"/>
    </row>
    <row r="63" customFormat="false" ht="15.75" hidden="false" customHeight="false" outlineLevel="0" collapsed="false">
      <c r="A63" s="47"/>
      <c r="B63" s="29"/>
      <c r="C63" s="21"/>
      <c r="D63" s="21"/>
      <c r="E63" s="21"/>
      <c r="F63" s="21"/>
      <c r="G63" s="30"/>
      <c r="H63" s="31"/>
      <c r="I63" s="31"/>
      <c r="J63" s="21"/>
      <c r="K63" s="21"/>
      <c r="L63" s="21"/>
      <c r="M63" s="21"/>
      <c r="N63" s="21"/>
      <c r="O63" s="21"/>
      <c r="P63" s="30"/>
      <c r="Q63" s="21"/>
      <c r="R63" s="21"/>
      <c r="S63" s="21"/>
      <c r="T63" s="32"/>
      <c r="U63" s="32"/>
      <c r="V63" s="21"/>
      <c r="W63" s="21"/>
      <c r="X63" s="21"/>
      <c r="Y63" s="21"/>
      <c r="Z63" s="21"/>
    </row>
    <row r="64" customFormat="false" ht="15.75" hidden="false" customHeight="false" outlineLevel="0" collapsed="false">
      <c r="A64" s="47"/>
      <c r="B64" s="29"/>
      <c r="C64" s="21"/>
      <c r="D64" s="21"/>
      <c r="E64" s="21"/>
      <c r="F64" s="21"/>
      <c r="G64" s="30"/>
      <c r="H64" s="31"/>
      <c r="I64" s="31"/>
      <c r="J64" s="21"/>
      <c r="K64" s="21"/>
      <c r="L64" s="21"/>
      <c r="M64" s="21"/>
      <c r="N64" s="21"/>
      <c r="O64" s="21"/>
      <c r="P64" s="30"/>
      <c r="Q64" s="21"/>
      <c r="R64" s="21"/>
      <c r="S64" s="21"/>
      <c r="T64" s="32"/>
      <c r="U64" s="32"/>
      <c r="V64" s="21"/>
      <c r="W64" s="21"/>
      <c r="X64" s="21"/>
      <c r="Y64" s="21"/>
      <c r="Z64" s="21"/>
    </row>
    <row r="65" customFormat="false" ht="15.75" hidden="false" customHeight="false" outlineLevel="0" collapsed="false">
      <c r="A65" s="21"/>
      <c r="B65" s="33"/>
      <c r="C65" s="21"/>
      <c r="D65" s="21"/>
      <c r="E65" s="21"/>
      <c r="F65" s="21"/>
      <c r="G65" s="30"/>
      <c r="H65" s="31"/>
      <c r="I65" s="31"/>
      <c r="J65" s="21"/>
      <c r="K65" s="21"/>
      <c r="L65" s="21"/>
      <c r="M65" s="21"/>
      <c r="N65" s="21"/>
      <c r="O65" s="21"/>
      <c r="P65" s="30"/>
      <c r="Q65" s="21"/>
      <c r="R65" s="21"/>
      <c r="S65" s="21"/>
      <c r="T65" s="32"/>
      <c r="U65" s="32"/>
      <c r="V65" s="21"/>
      <c r="W65" s="21"/>
      <c r="X65" s="21"/>
      <c r="Y65" s="21"/>
      <c r="Z65" s="21"/>
    </row>
    <row r="66" customFormat="false" ht="15.75" hidden="false" customHeight="false" outlineLevel="0" collapsed="false">
      <c r="A66" s="21"/>
      <c r="B66" s="29"/>
      <c r="C66" s="21"/>
      <c r="D66" s="21"/>
      <c r="E66" s="21"/>
      <c r="F66" s="21"/>
      <c r="G66" s="30"/>
      <c r="H66" s="31"/>
      <c r="I66" s="31"/>
      <c r="J66" s="21"/>
      <c r="K66" s="21"/>
      <c r="L66" s="21"/>
      <c r="M66" s="21"/>
      <c r="N66" s="21"/>
      <c r="O66" s="21"/>
      <c r="P66" s="30"/>
      <c r="Q66" s="21"/>
      <c r="R66" s="21"/>
      <c r="S66" s="21"/>
      <c r="T66" s="32"/>
      <c r="U66" s="32"/>
      <c r="V66" s="21"/>
      <c r="W66" s="21"/>
      <c r="X66" s="21"/>
      <c r="Y66" s="21"/>
      <c r="Z66" s="21"/>
    </row>
    <row r="67" customFormat="false" ht="15.75" hidden="false" customHeight="false" outlineLevel="0" collapsed="false">
      <c r="A67" s="21"/>
      <c r="B67" s="29"/>
      <c r="C67" s="21"/>
      <c r="D67" s="21"/>
      <c r="E67" s="21"/>
      <c r="F67" s="21"/>
      <c r="G67" s="30"/>
      <c r="H67" s="31"/>
      <c r="I67" s="31"/>
      <c r="J67" s="21"/>
      <c r="K67" s="21"/>
      <c r="L67" s="21"/>
      <c r="M67" s="21"/>
      <c r="N67" s="21"/>
      <c r="O67" s="21"/>
      <c r="P67" s="30"/>
      <c r="Q67" s="21"/>
      <c r="R67" s="21"/>
      <c r="S67" s="21"/>
      <c r="T67" s="32"/>
      <c r="U67" s="32"/>
      <c r="V67" s="21"/>
      <c r="W67" s="21"/>
      <c r="X67" s="21"/>
      <c r="Y67" s="21"/>
      <c r="Z67" s="21"/>
    </row>
    <row r="68" customFormat="false" ht="15.75" hidden="false" customHeight="false" outlineLevel="0" collapsed="false">
      <c r="A68" s="21"/>
      <c r="B68" s="29"/>
      <c r="C68" s="21"/>
      <c r="D68" s="21"/>
      <c r="E68" s="21"/>
      <c r="F68" s="21"/>
      <c r="G68" s="30"/>
      <c r="H68" s="31"/>
      <c r="I68" s="31"/>
      <c r="J68" s="21"/>
      <c r="K68" s="21"/>
      <c r="L68" s="21"/>
      <c r="M68" s="21"/>
      <c r="N68" s="21"/>
      <c r="O68" s="21"/>
      <c r="P68" s="30"/>
      <c r="Q68" s="21"/>
      <c r="R68" s="21"/>
      <c r="S68" s="21"/>
      <c r="T68" s="32"/>
      <c r="U68" s="32"/>
      <c r="V68" s="21"/>
      <c r="W68" s="21"/>
      <c r="X68" s="21"/>
      <c r="Y68" s="21"/>
      <c r="Z68" s="21"/>
    </row>
    <row r="69" customFormat="false" ht="15.75" hidden="false" customHeight="false" outlineLevel="0" collapsed="false">
      <c r="B69" s="34"/>
      <c r="D69" s="12"/>
      <c r="E69" s="12"/>
      <c r="G69" s="18"/>
      <c r="H69" s="35"/>
      <c r="I69" s="35"/>
      <c r="J69" s="12"/>
      <c r="P69" s="18"/>
      <c r="Q69" s="12"/>
      <c r="R69" s="12"/>
      <c r="T69" s="36"/>
      <c r="U69" s="36"/>
      <c r="V69" s="12"/>
      <c r="W69" s="12"/>
      <c r="X69" s="12"/>
      <c r="Z69" s="12"/>
    </row>
    <row r="70" customFormat="false" ht="15.75" hidden="false" customHeight="false" outlineLevel="0" collapsed="false">
      <c r="B70" s="34"/>
      <c r="D70" s="12"/>
      <c r="E70" s="12"/>
      <c r="G70" s="18"/>
      <c r="H70" s="35"/>
      <c r="I70" s="35"/>
      <c r="J70" s="12"/>
      <c r="P70" s="18"/>
      <c r="Q70" s="12"/>
      <c r="R70" s="12"/>
      <c r="T70" s="36"/>
      <c r="U70" s="36"/>
      <c r="V70" s="12"/>
      <c r="W70" s="12"/>
      <c r="X70" s="12"/>
      <c r="Z70" s="12"/>
    </row>
    <row r="71" customFormat="false" ht="15.75" hidden="false" customHeight="false" outlineLevel="0" collapsed="false">
      <c r="B71" s="34"/>
      <c r="D71" s="12"/>
      <c r="E71" s="12"/>
      <c r="G71" s="18"/>
      <c r="H71" s="35"/>
      <c r="I71" s="35"/>
      <c r="J71" s="12"/>
      <c r="P71" s="18"/>
      <c r="Q71" s="12"/>
      <c r="R71" s="12"/>
      <c r="T71" s="36"/>
      <c r="U71" s="36"/>
      <c r="V71" s="12"/>
      <c r="W71" s="12"/>
      <c r="X71" s="12"/>
      <c r="Z71" s="12"/>
    </row>
    <row r="72" customFormat="false" ht="15.75" hidden="false" customHeight="false" outlineLevel="0" collapsed="false">
      <c r="B72" s="34"/>
      <c r="D72" s="12"/>
      <c r="E72" s="12"/>
      <c r="G72" s="18"/>
      <c r="H72" s="35"/>
      <c r="I72" s="35"/>
      <c r="J72" s="12"/>
      <c r="P72" s="18"/>
      <c r="Q72" s="12"/>
      <c r="R72" s="12"/>
      <c r="T72" s="36"/>
      <c r="U72" s="36"/>
      <c r="V72" s="12"/>
      <c r="W72" s="12"/>
      <c r="X72" s="12"/>
      <c r="Z72" s="12"/>
    </row>
    <row r="73" customFormat="false" ht="15.75" hidden="false" customHeight="false" outlineLevel="0" collapsed="false">
      <c r="B73" s="34"/>
      <c r="D73" s="12"/>
      <c r="E73" s="12"/>
      <c r="G73" s="18"/>
      <c r="H73" s="35"/>
      <c r="I73" s="35"/>
      <c r="J73" s="12"/>
      <c r="P73" s="18"/>
      <c r="Q73" s="12"/>
      <c r="R73" s="12"/>
      <c r="T73" s="36"/>
      <c r="U73" s="36"/>
      <c r="V73" s="12"/>
      <c r="W73" s="12"/>
      <c r="X73" s="12"/>
      <c r="Z73" s="12"/>
    </row>
    <row r="74" customFormat="false" ht="15.75" hidden="false" customHeight="false" outlineLevel="0" collapsed="false">
      <c r="B74" s="34"/>
      <c r="D74" s="12"/>
      <c r="E74" s="12"/>
      <c r="G74" s="18"/>
      <c r="H74" s="35"/>
      <c r="I74" s="35"/>
      <c r="J74" s="12"/>
      <c r="P74" s="18"/>
      <c r="Q74" s="12"/>
      <c r="R74" s="12"/>
      <c r="T74" s="36"/>
      <c r="U74" s="36"/>
      <c r="V74" s="12"/>
      <c r="W74" s="12"/>
      <c r="X74" s="12"/>
      <c r="Z74" s="12"/>
    </row>
    <row r="75" customFormat="false" ht="15.75" hidden="false" customHeight="false" outlineLevel="0" collapsed="false">
      <c r="B75" s="34"/>
      <c r="D75" s="12"/>
      <c r="E75" s="12"/>
      <c r="G75" s="18"/>
      <c r="H75" s="35"/>
      <c r="I75" s="35"/>
      <c r="J75" s="12"/>
      <c r="P75" s="18"/>
      <c r="Q75" s="12"/>
      <c r="R75" s="12"/>
      <c r="T75" s="36"/>
      <c r="U75" s="36"/>
      <c r="V75" s="12"/>
      <c r="W75" s="12"/>
      <c r="X75" s="12"/>
      <c r="Z75" s="12"/>
    </row>
    <row r="76" customFormat="false" ht="15.75" hidden="false" customHeight="false" outlineLevel="0" collapsed="false">
      <c r="B76" s="34"/>
      <c r="D76" s="12"/>
      <c r="E76" s="12"/>
      <c r="G76" s="18"/>
      <c r="H76" s="35"/>
      <c r="I76" s="35"/>
      <c r="J76" s="12"/>
      <c r="P76" s="18"/>
      <c r="Q76" s="12"/>
      <c r="R76" s="12"/>
      <c r="T76" s="36"/>
      <c r="U76" s="36"/>
      <c r="V76" s="12"/>
      <c r="W76" s="12"/>
      <c r="X76" s="12"/>
      <c r="Z76" s="12"/>
    </row>
    <row r="77" customFormat="false" ht="15.75" hidden="false" customHeight="false" outlineLevel="0" collapsed="false">
      <c r="B77" s="34"/>
      <c r="D77" s="12"/>
      <c r="E77" s="12"/>
      <c r="G77" s="18"/>
      <c r="H77" s="35"/>
      <c r="I77" s="35"/>
      <c r="J77" s="12"/>
      <c r="P77" s="18"/>
      <c r="Q77" s="12"/>
      <c r="R77" s="12"/>
      <c r="T77" s="36"/>
      <c r="U77" s="36"/>
      <c r="V77" s="12"/>
      <c r="W77" s="12"/>
      <c r="X77" s="12"/>
      <c r="Z77" s="12"/>
    </row>
    <row r="78" customFormat="false" ht="15.75" hidden="false" customHeight="false" outlineLevel="0" collapsed="false">
      <c r="B78" s="34"/>
      <c r="D78" s="12"/>
      <c r="E78" s="12"/>
      <c r="G78" s="18"/>
      <c r="H78" s="35"/>
      <c r="I78" s="35"/>
      <c r="J78" s="12"/>
      <c r="P78" s="18"/>
      <c r="Q78" s="12"/>
      <c r="R78" s="12"/>
      <c r="T78" s="36"/>
      <c r="U78" s="36"/>
      <c r="V78" s="12"/>
      <c r="W78" s="12"/>
      <c r="X78" s="12"/>
      <c r="Z78" s="12"/>
    </row>
    <row r="79" customFormat="false" ht="15.75" hidden="false" customHeight="false" outlineLevel="0" collapsed="false">
      <c r="B79" s="34"/>
      <c r="D79" s="12"/>
      <c r="E79" s="12"/>
      <c r="G79" s="18"/>
      <c r="H79" s="35"/>
      <c r="I79" s="35"/>
      <c r="J79" s="12"/>
      <c r="P79" s="18"/>
      <c r="Q79" s="12"/>
      <c r="R79" s="12"/>
      <c r="T79" s="36"/>
      <c r="U79" s="36"/>
      <c r="V79" s="12"/>
      <c r="W79" s="12"/>
      <c r="X79" s="12"/>
      <c r="Z79" s="12"/>
    </row>
    <row r="80" customFormat="false" ht="15.75" hidden="false" customHeight="false" outlineLevel="0" collapsed="false">
      <c r="B80" s="34"/>
      <c r="D80" s="12"/>
      <c r="E80" s="12"/>
      <c r="G80" s="18"/>
      <c r="H80" s="35"/>
      <c r="I80" s="35"/>
      <c r="J80" s="12"/>
      <c r="P80" s="18"/>
      <c r="Q80" s="12"/>
      <c r="R80" s="12"/>
      <c r="T80" s="36"/>
      <c r="U80" s="36"/>
      <c r="V80" s="12"/>
      <c r="W80" s="12"/>
      <c r="X80" s="12"/>
      <c r="Z80" s="12"/>
    </row>
    <row r="81" customFormat="false" ht="15.75" hidden="false" customHeight="false" outlineLevel="0" collapsed="false">
      <c r="B81" s="34"/>
      <c r="D81" s="12"/>
      <c r="E81" s="12"/>
      <c r="G81" s="18"/>
      <c r="H81" s="35"/>
      <c r="I81" s="35"/>
      <c r="J81" s="12"/>
      <c r="P81" s="18"/>
      <c r="Q81" s="12"/>
      <c r="R81" s="12"/>
      <c r="T81" s="36"/>
      <c r="U81" s="36"/>
      <c r="V81" s="12"/>
      <c r="W81" s="12"/>
      <c r="X81" s="12"/>
      <c r="Z81" s="12"/>
    </row>
    <row r="82" customFormat="false" ht="15.75" hidden="false" customHeight="false" outlineLevel="0" collapsed="false">
      <c r="B82" s="34"/>
      <c r="D82" s="12"/>
      <c r="E82" s="12"/>
      <c r="G82" s="18"/>
      <c r="H82" s="35"/>
      <c r="I82" s="35"/>
      <c r="J82" s="12"/>
      <c r="P82" s="18"/>
      <c r="Q82" s="12"/>
      <c r="R82" s="12"/>
      <c r="T82" s="36"/>
      <c r="U82" s="36"/>
      <c r="V82" s="12"/>
      <c r="W82" s="12"/>
      <c r="X82" s="12"/>
      <c r="Z82" s="12"/>
    </row>
    <row r="83" customFormat="false" ht="15.75" hidden="false" customHeight="false" outlineLevel="0" collapsed="false">
      <c r="B83" s="34"/>
      <c r="D83" s="12"/>
      <c r="E83" s="12"/>
      <c r="G83" s="18"/>
      <c r="H83" s="35"/>
      <c r="I83" s="35"/>
      <c r="J83" s="12"/>
      <c r="P83" s="18"/>
      <c r="Q83" s="12"/>
      <c r="R83" s="12"/>
      <c r="T83" s="36"/>
      <c r="U83" s="36"/>
      <c r="V83" s="12"/>
      <c r="W83" s="12"/>
      <c r="X83" s="12"/>
      <c r="Z83" s="12"/>
    </row>
    <row r="84" customFormat="false" ht="15.75" hidden="false" customHeight="false" outlineLevel="0" collapsed="false">
      <c r="B84" s="34"/>
      <c r="D84" s="12"/>
      <c r="E84" s="12"/>
      <c r="G84" s="18"/>
      <c r="H84" s="35"/>
      <c r="I84" s="35"/>
      <c r="J84" s="12"/>
      <c r="P84" s="18"/>
      <c r="Q84" s="12"/>
      <c r="R84" s="12"/>
      <c r="T84" s="36"/>
      <c r="U84" s="36"/>
      <c r="V84" s="12"/>
      <c r="W84" s="12"/>
      <c r="X84" s="12"/>
      <c r="Z84" s="12"/>
    </row>
    <row r="85" customFormat="false" ht="15.75" hidden="false" customHeight="false" outlineLevel="0" collapsed="false">
      <c r="B85" s="34"/>
      <c r="D85" s="12"/>
      <c r="E85" s="12"/>
      <c r="G85" s="18"/>
      <c r="H85" s="35"/>
      <c r="I85" s="35"/>
      <c r="J85" s="12"/>
      <c r="P85" s="18"/>
      <c r="Q85" s="12"/>
      <c r="R85" s="12"/>
      <c r="T85" s="36"/>
      <c r="U85" s="36"/>
      <c r="V85" s="12"/>
      <c r="W85" s="12"/>
      <c r="X85" s="12"/>
      <c r="Z85" s="12"/>
    </row>
    <row r="86" customFormat="false" ht="15.75" hidden="false" customHeight="false" outlineLevel="0" collapsed="false">
      <c r="A86" s="12"/>
      <c r="B86" s="34"/>
      <c r="C86" s="12"/>
      <c r="D86" s="12"/>
      <c r="E86" s="12"/>
      <c r="F86" s="12"/>
      <c r="G86" s="18"/>
      <c r="H86" s="35"/>
      <c r="I86" s="35"/>
      <c r="J86" s="12"/>
      <c r="O86" s="12"/>
      <c r="P86" s="18"/>
      <c r="Q86" s="12"/>
      <c r="R86" s="12"/>
      <c r="S86" s="12"/>
      <c r="T86" s="36"/>
      <c r="U86" s="36"/>
      <c r="V86" s="12"/>
      <c r="W86" s="12"/>
      <c r="X86" s="12"/>
      <c r="Y86" s="12"/>
      <c r="Z86" s="12"/>
    </row>
    <row r="87" customFormat="false" ht="15.75" hidden="false" customHeight="false" outlineLevel="0" collapsed="false">
      <c r="A87" s="12"/>
      <c r="B87" s="34"/>
      <c r="C87" s="12"/>
      <c r="D87" s="12"/>
      <c r="E87" s="12"/>
      <c r="F87" s="12"/>
      <c r="G87" s="18"/>
      <c r="H87" s="35"/>
      <c r="I87" s="35"/>
      <c r="J87" s="12"/>
      <c r="O87" s="12"/>
      <c r="P87" s="18"/>
      <c r="Q87" s="12"/>
      <c r="R87" s="12"/>
      <c r="S87" s="12"/>
      <c r="T87" s="36"/>
      <c r="U87" s="36"/>
      <c r="V87" s="12"/>
      <c r="W87" s="12"/>
      <c r="X87" s="12"/>
      <c r="Y87" s="12"/>
      <c r="Z87" s="12"/>
    </row>
    <row r="88" customFormat="false" ht="15.75" hidden="false" customHeight="false" outlineLevel="0" collapsed="false">
      <c r="A88" s="12"/>
      <c r="B88" s="34"/>
      <c r="C88" s="12"/>
      <c r="D88" s="12"/>
      <c r="E88" s="12"/>
      <c r="F88" s="12"/>
      <c r="G88" s="18"/>
      <c r="H88" s="35"/>
      <c r="I88" s="35"/>
      <c r="J88" s="12"/>
      <c r="O88" s="12"/>
      <c r="P88" s="18"/>
      <c r="Q88" s="12"/>
      <c r="R88" s="12"/>
      <c r="S88" s="12"/>
      <c r="T88" s="36"/>
      <c r="U88" s="36"/>
      <c r="V88" s="12"/>
      <c r="W88" s="12"/>
      <c r="X88" s="12"/>
      <c r="Y88" s="12"/>
      <c r="Z88" s="12"/>
    </row>
    <row r="89" customFormat="false" ht="15.75" hidden="false" customHeight="false" outlineLevel="0" collapsed="false">
      <c r="A89" s="12"/>
      <c r="B89" s="34"/>
      <c r="C89" s="12"/>
      <c r="D89" s="12"/>
      <c r="E89" s="12"/>
      <c r="F89" s="12"/>
      <c r="G89" s="18"/>
      <c r="H89" s="35"/>
      <c r="I89" s="35"/>
      <c r="J89" s="12"/>
      <c r="O89" s="12"/>
      <c r="P89" s="18"/>
      <c r="Q89" s="12"/>
      <c r="R89" s="12"/>
      <c r="S89" s="12"/>
      <c r="T89" s="36"/>
      <c r="U89" s="36"/>
      <c r="V89" s="12"/>
      <c r="W89" s="12"/>
      <c r="X89" s="12"/>
      <c r="Y89" s="12"/>
      <c r="Z89" s="12"/>
    </row>
    <row r="90" customFormat="false" ht="15.75" hidden="false" customHeight="false" outlineLevel="0" collapsed="false">
      <c r="A90" s="12"/>
      <c r="B90" s="34"/>
      <c r="C90" s="12"/>
      <c r="D90" s="12"/>
      <c r="E90" s="12"/>
      <c r="F90" s="12"/>
      <c r="G90" s="18"/>
      <c r="H90" s="35"/>
      <c r="I90" s="35"/>
      <c r="J90" s="12"/>
      <c r="O90" s="12"/>
      <c r="P90" s="18"/>
      <c r="Q90" s="12"/>
      <c r="R90" s="12"/>
      <c r="S90" s="12"/>
      <c r="T90" s="36"/>
      <c r="U90" s="36"/>
      <c r="V90" s="12"/>
      <c r="W90" s="12"/>
      <c r="X90" s="12"/>
      <c r="Y90" s="12"/>
      <c r="Z90" s="12"/>
    </row>
    <row r="91" customFormat="false" ht="15.75" hidden="false" customHeight="false" outlineLevel="0" collapsed="false">
      <c r="A91" s="12"/>
      <c r="B91" s="34"/>
      <c r="C91" s="12"/>
      <c r="D91" s="12"/>
      <c r="E91" s="12"/>
      <c r="F91" s="12"/>
      <c r="G91" s="18"/>
      <c r="H91" s="35"/>
      <c r="I91" s="35"/>
      <c r="J91" s="12"/>
      <c r="O91" s="12"/>
      <c r="P91" s="18"/>
      <c r="Q91" s="12"/>
      <c r="R91" s="12"/>
      <c r="S91" s="12"/>
      <c r="T91" s="36"/>
      <c r="U91" s="36"/>
      <c r="V91" s="12"/>
      <c r="W91" s="12"/>
      <c r="X91" s="12"/>
      <c r="Y91" s="12"/>
      <c r="Z91" s="12"/>
    </row>
    <row r="92" customFormat="false" ht="15.75" hidden="false" customHeight="false" outlineLevel="0" collapsed="false">
      <c r="A92" s="12"/>
      <c r="B92" s="34"/>
      <c r="C92" s="12"/>
      <c r="D92" s="12"/>
      <c r="E92" s="12"/>
      <c r="F92" s="12"/>
      <c r="G92" s="18"/>
      <c r="H92" s="35"/>
      <c r="I92" s="35"/>
      <c r="J92" s="12"/>
      <c r="O92" s="12"/>
      <c r="P92" s="18"/>
      <c r="Q92" s="12"/>
      <c r="R92" s="12"/>
      <c r="S92" s="12"/>
      <c r="T92" s="36"/>
      <c r="U92" s="36"/>
      <c r="V92" s="12"/>
      <c r="W92" s="12"/>
      <c r="X92" s="12"/>
      <c r="Y92" s="12"/>
      <c r="Z92" s="12"/>
    </row>
    <row r="93" customFormat="false" ht="15.75" hidden="false" customHeight="false" outlineLevel="0" collapsed="false">
      <c r="A93" s="12"/>
      <c r="B93" s="34"/>
      <c r="C93" s="12"/>
      <c r="D93" s="12"/>
      <c r="E93" s="12"/>
      <c r="F93" s="12"/>
      <c r="G93" s="18"/>
      <c r="H93" s="35"/>
      <c r="I93" s="35"/>
      <c r="J93" s="12"/>
      <c r="O93" s="12"/>
      <c r="P93" s="18"/>
      <c r="Q93" s="12"/>
      <c r="R93" s="12"/>
      <c r="S93" s="12"/>
      <c r="T93" s="36"/>
      <c r="U93" s="36"/>
      <c r="V93" s="12"/>
      <c r="W93" s="12"/>
      <c r="X93" s="12"/>
      <c r="Y93" s="12"/>
      <c r="Z93" s="12"/>
    </row>
    <row r="94" customFormat="false" ht="15.75" hidden="false" customHeight="false" outlineLevel="0" collapsed="false">
      <c r="A94" s="12"/>
      <c r="B94" s="34"/>
      <c r="C94" s="12"/>
      <c r="D94" s="12"/>
      <c r="E94" s="12"/>
      <c r="F94" s="12"/>
      <c r="G94" s="18"/>
      <c r="H94" s="35"/>
      <c r="I94" s="35"/>
      <c r="J94" s="12"/>
      <c r="O94" s="12"/>
      <c r="P94" s="18"/>
      <c r="Q94" s="12"/>
      <c r="R94" s="12"/>
      <c r="S94" s="12"/>
      <c r="T94" s="36"/>
      <c r="U94" s="36"/>
      <c r="V94" s="12"/>
      <c r="W94" s="12"/>
      <c r="X94" s="12"/>
      <c r="Y94" s="12"/>
      <c r="Z94" s="12"/>
    </row>
    <row r="95" customFormat="false" ht="15.75" hidden="false" customHeight="false" outlineLevel="0" collapsed="false">
      <c r="A95" s="12"/>
      <c r="B95" s="34"/>
      <c r="C95" s="12"/>
      <c r="D95" s="12"/>
      <c r="E95" s="12"/>
      <c r="F95" s="12"/>
      <c r="G95" s="18"/>
      <c r="H95" s="35"/>
      <c r="I95" s="35"/>
      <c r="J95" s="12"/>
      <c r="O95" s="12"/>
      <c r="P95" s="18"/>
      <c r="Q95" s="12"/>
      <c r="R95" s="12"/>
      <c r="S95" s="12"/>
      <c r="T95" s="36"/>
      <c r="U95" s="36"/>
      <c r="V95" s="12"/>
      <c r="W95" s="12"/>
      <c r="X95" s="12"/>
      <c r="Y95" s="12"/>
      <c r="Z95" s="12"/>
    </row>
    <row r="96" customFormat="false" ht="15.75" hidden="false" customHeight="false" outlineLevel="0" collapsed="false">
      <c r="A96" s="12"/>
      <c r="B96" s="34"/>
      <c r="C96" s="12"/>
      <c r="D96" s="12"/>
      <c r="E96" s="12"/>
      <c r="F96" s="12"/>
      <c r="G96" s="18"/>
      <c r="H96" s="35"/>
      <c r="I96" s="35"/>
      <c r="J96" s="12"/>
      <c r="O96" s="12"/>
      <c r="P96" s="18"/>
      <c r="Q96" s="12"/>
      <c r="R96" s="12"/>
      <c r="S96" s="12"/>
      <c r="T96" s="36"/>
      <c r="U96" s="36"/>
      <c r="V96" s="12"/>
      <c r="W96" s="12"/>
      <c r="X96" s="12"/>
      <c r="Y96" s="12"/>
      <c r="Z96" s="12"/>
    </row>
    <row r="97" customFormat="false" ht="15.75" hidden="false" customHeight="false" outlineLevel="0" collapsed="false">
      <c r="A97" s="12"/>
      <c r="B97" s="34"/>
      <c r="C97" s="12"/>
      <c r="D97" s="12"/>
      <c r="E97" s="12"/>
      <c r="F97" s="12"/>
      <c r="G97" s="18"/>
      <c r="H97" s="35"/>
      <c r="I97" s="35"/>
      <c r="J97" s="12"/>
      <c r="O97" s="12"/>
      <c r="P97" s="18"/>
      <c r="Q97" s="12"/>
      <c r="R97" s="12"/>
      <c r="S97" s="12"/>
      <c r="T97" s="36"/>
      <c r="U97" s="36"/>
      <c r="V97" s="12"/>
      <c r="W97" s="12"/>
      <c r="X97" s="12"/>
      <c r="Y97" s="12"/>
      <c r="Z97" s="12"/>
    </row>
    <row r="98" customFormat="false" ht="15.75" hidden="false" customHeight="false" outlineLevel="0" collapsed="false">
      <c r="A98" s="12"/>
      <c r="B98" s="34"/>
      <c r="C98" s="12"/>
      <c r="D98" s="12"/>
      <c r="E98" s="12"/>
      <c r="F98" s="12"/>
      <c r="G98" s="18"/>
      <c r="H98" s="35"/>
      <c r="I98" s="35"/>
      <c r="J98" s="12"/>
      <c r="O98" s="12"/>
      <c r="P98" s="18"/>
      <c r="Q98" s="12"/>
      <c r="R98" s="12"/>
      <c r="S98" s="12"/>
      <c r="T98" s="36"/>
      <c r="U98" s="36"/>
      <c r="V98" s="12"/>
      <c r="W98" s="12"/>
      <c r="X98" s="12"/>
      <c r="Y98" s="12"/>
      <c r="Z98" s="12"/>
    </row>
    <row r="99" customFormat="false" ht="15.75" hidden="false" customHeight="false" outlineLevel="0" collapsed="false">
      <c r="A99" s="12"/>
      <c r="B99" s="34"/>
      <c r="C99" s="12"/>
      <c r="D99" s="12"/>
      <c r="E99" s="12"/>
      <c r="F99" s="12"/>
      <c r="G99" s="18"/>
      <c r="H99" s="35"/>
      <c r="I99" s="35"/>
      <c r="J99" s="12"/>
      <c r="O99" s="12"/>
      <c r="P99" s="18"/>
      <c r="Q99" s="12"/>
      <c r="R99" s="12"/>
      <c r="S99" s="12"/>
      <c r="T99" s="36"/>
      <c r="U99" s="36"/>
      <c r="V99" s="12"/>
      <c r="W99" s="12"/>
      <c r="X99" s="12"/>
      <c r="Y99" s="12"/>
      <c r="Z99" s="12"/>
    </row>
    <row r="100" customFormat="false" ht="15.75" hidden="false" customHeight="false" outlineLevel="0" collapsed="false">
      <c r="A100" s="12"/>
      <c r="B100" s="34"/>
      <c r="C100" s="12"/>
      <c r="D100" s="12"/>
      <c r="E100" s="12"/>
      <c r="F100" s="12"/>
      <c r="G100" s="18"/>
      <c r="H100" s="35"/>
      <c r="I100" s="35"/>
      <c r="J100" s="12"/>
      <c r="O100" s="12"/>
      <c r="P100" s="18"/>
      <c r="Q100" s="12"/>
      <c r="R100" s="12"/>
      <c r="S100" s="12"/>
      <c r="T100" s="36"/>
      <c r="U100" s="36"/>
      <c r="V100" s="12"/>
      <c r="W100" s="12"/>
      <c r="X100" s="12"/>
      <c r="Y100" s="12"/>
      <c r="Z100" s="12"/>
    </row>
    <row r="101" customFormat="false" ht="15.75" hidden="false" customHeight="false" outlineLevel="0" collapsed="false">
      <c r="A101" s="12"/>
      <c r="B101" s="34"/>
      <c r="C101" s="12"/>
      <c r="D101" s="12"/>
      <c r="E101" s="12"/>
      <c r="F101" s="12"/>
      <c r="G101" s="18"/>
      <c r="H101" s="35"/>
      <c r="I101" s="35"/>
      <c r="J101" s="12"/>
      <c r="O101" s="12"/>
      <c r="P101" s="18"/>
      <c r="Q101" s="12"/>
      <c r="R101" s="12"/>
      <c r="S101" s="12"/>
      <c r="T101" s="36"/>
      <c r="U101" s="36"/>
      <c r="V101" s="12"/>
      <c r="W101" s="12"/>
      <c r="X101" s="12"/>
      <c r="Y101" s="12"/>
      <c r="Z101" s="12"/>
    </row>
    <row r="102" customFormat="false" ht="15.75" hidden="false" customHeight="false" outlineLevel="0" collapsed="false">
      <c r="A102" s="12"/>
      <c r="B102" s="34"/>
      <c r="C102" s="12"/>
      <c r="D102" s="12"/>
      <c r="E102" s="12"/>
      <c r="F102" s="12"/>
      <c r="G102" s="18"/>
      <c r="H102" s="35"/>
      <c r="I102" s="35"/>
      <c r="J102" s="12"/>
      <c r="O102" s="12"/>
      <c r="P102" s="18"/>
      <c r="Q102" s="12"/>
      <c r="R102" s="12"/>
      <c r="S102" s="12"/>
      <c r="T102" s="36"/>
      <c r="U102" s="36"/>
      <c r="V102" s="12"/>
      <c r="W102" s="12"/>
      <c r="X102" s="12"/>
      <c r="Y102" s="12"/>
      <c r="Z102" s="12"/>
    </row>
    <row r="103" customFormat="false" ht="15.75" hidden="false" customHeight="false" outlineLevel="0" collapsed="false">
      <c r="A103" s="12"/>
      <c r="B103" s="34"/>
      <c r="C103" s="12"/>
      <c r="D103" s="12"/>
      <c r="E103" s="12"/>
      <c r="F103" s="12"/>
      <c r="G103" s="18"/>
      <c r="H103" s="35"/>
      <c r="I103" s="35"/>
      <c r="J103" s="12"/>
      <c r="O103" s="12"/>
      <c r="P103" s="18"/>
      <c r="Q103" s="12"/>
      <c r="R103" s="12"/>
      <c r="S103" s="12"/>
      <c r="T103" s="36"/>
      <c r="U103" s="36"/>
      <c r="V103" s="12"/>
      <c r="W103" s="12"/>
      <c r="X103" s="12"/>
      <c r="Y103" s="12"/>
      <c r="Z103" s="12"/>
    </row>
    <row r="104" customFormat="false" ht="15.75" hidden="false" customHeight="false" outlineLevel="0" collapsed="false">
      <c r="A104" s="12"/>
      <c r="B104" s="34"/>
      <c r="C104" s="12"/>
      <c r="D104" s="12"/>
      <c r="E104" s="12"/>
      <c r="F104" s="12"/>
      <c r="G104" s="18"/>
      <c r="H104" s="35"/>
      <c r="I104" s="35"/>
      <c r="J104" s="12"/>
      <c r="O104" s="12"/>
      <c r="P104" s="18"/>
      <c r="Q104" s="12"/>
      <c r="R104" s="12"/>
      <c r="S104" s="12"/>
      <c r="T104" s="36"/>
      <c r="U104" s="36"/>
      <c r="V104" s="12"/>
      <c r="W104" s="12"/>
      <c r="X104" s="12"/>
      <c r="Y104" s="12"/>
      <c r="Z104" s="12"/>
    </row>
    <row r="105" customFormat="false" ht="15.75" hidden="false" customHeight="false" outlineLevel="0" collapsed="false">
      <c r="A105" s="12"/>
      <c r="B105" s="34"/>
      <c r="C105" s="12"/>
      <c r="D105" s="12"/>
      <c r="E105" s="12"/>
      <c r="F105" s="12"/>
      <c r="G105" s="18"/>
      <c r="H105" s="35"/>
      <c r="I105" s="35"/>
      <c r="J105" s="12"/>
      <c r="O105" s="12"/>
      <c r="P105" s="18"/>
      <c r="Q105" s="12"/>
      <c r="R105" s="12"/>
      <c r="S105" s="12"/>
      <c r="T105" s="36"/>
      <c r="U105" s="36"/>
      <c r="V105" s="12"/>
      <c r="W105" s="12"/>
      <c r="X105" s="12"/>
      <c r="Y105" s="12"/>
      <c r="Z105" s="12"/>
    </row>
    <row r="106" customFormat="false" ht="15.75" hidden="false" customHeight="false" outlineLevel="0" collapsed="false">
      <c r="A106" s="12"/>
      <c r="B106" s="34"/>
      <c r="C106" s="12"/>
      <c r="D106" s="12"/>
      <c r="E106" s="12"/>
      <c r="F106" s="12"/>
      <c r="G106" s="18"/>
      <c r="H106" s="35"/>
      <c r="I106" s="35"/>
      <c r="J106" s="12"/>
      <c r="O106" s="12"/>
      <c r="P106" s="18"/>
      <c r="Q106" s="12"/>
      <c r="R106" s="12"/>
      <c r="S106" s="12"/>
      <c r="T106" s="36"/>
      <c r="U106" s="36"/>
      <c r="V106" s="12"/>
      <c r="W106" s="12"/>
      <c r="X106" s="12"/>
      <c r="Y106" s="12"/>
      <c r="Z106" s="12"/>
    </row>
    <row r="107" customFormat="false" ht="15.75" hidden="false" customHeight="false" outlineLevel="0" collapsed="false">
      <c r="A107" s="12"/>
      <c r="B107" s="34"/>
      <c r="C107" s="12"/>
      <c r="D107" s="12"/>
      <c r="E107" s="12"/>
      <c r="F107" s="12"/>
      <c r="G107" s="18"/>
      <c r="H107" s="35"/>
      <c r="I107" s="35"/>
      <c r="J107" s="12"/>
      <c r="O107" s="12"/>
      <c r="P107" s="18"/>
      <c r="Q107" s="12"/>
      <c r="R107" s="12"/>
      <c r="S107" s="12"/>
      <c r="T107" s="36"/>
      <c r="U107" s="36"/>
      <c r="V107" s="12"/>
      <c r="W107" s="12"/>
      <c r="X107" s="12"/>
      <c r="Y107" s="12"/>
      <c r="Z107" s="12"/>
    </row>
    <row r="108" customFormat="false" ht="15.75" hidden="false" customHeight="false" outlineLevel="0" collapsed="false">
      <c r="A108" s="12"/>
      <c r="B108" s="34"/>
      <c r="C108" s="12"/>
      <c r="D108" s="12"/>
      <c r="E108" s="12"/>
      <c r="F108" s="12"/>
      <c r="G108" s="18"/>
      <c r="H108" s="35"/>
      <c r="I108" s="35"/>
      <c r="J108" s="12"/>
      <c r="O108" s="12"/>
      <c r="P108" s="18"/>
      <c r="Q108" s="12"/>
      <c r="R108" s="12"/>
      <c r="S108" s="12"/>
      <c r="T108" s="36"/>
      <c r="U108" s="36"/>
      <c r="V108" s="12"/>
      <c r="W108" s="12"/>
      <c r="X108" s="12"/>
      <c r="Y108" s="12"/>
      <c r="Z108" s="12"/>
    </row>
    <row r="109" customFormat="false" ht="15.75" hidden="false" customHeight="false" outlineLevel="0" collapsed="false">
      <c r="A109" s="12"/>
      <c r="B109" s="34"/>
      <c r="C109" s="12"/>
      <c r="D109" s="12"/>
      <c r="E109" s="12"/>
      <c r="F109" s="12"/>
      <c r="G109" s="18"/>
      <c r="H109" s="35"/>
      <c r="I109" s="35"/>
      <c r="J109" s="12"/>
      <c r="O109" s="12"/>
      <c r="P109" s="18"/>
      <c r="Q109" s="12"/>
      <c r="R109" s="12"/>
      <c r="S109" s="12"/>
      <c r="T109" s="36"/>
      <c r="U109" s="36"/>
      <c r="V109" s="12"/>
      <c r="W109" s="12"/>
      <c r="X109" s="12"/>
      <c r="Y109" s="12"/>
      <c r="Z109" s="12"/>
    </row>
    <row r="110" customFormat="false" ht="15.75" hidden="false" customHeight="false" outlineLevel="0" collapsed="false">
      <c r="A110" s="12"/>
      <c r="B110" s="34"/>
      <c r="C110" s="12"/>
      <c r="D110" s="12"/>
      <c r="E110" s="12"/>
      <c r="F110" s="12"/>
      <c r="G110" s="18"/>
      <c r="H110" s="35"/>
      <c r="I110" s="35"/>
      <c r="J110" s="12"/>
      <c r="O110" s="12"/>
      <c r="P110" s="18"/>
      <c r="Q110" s="12"/>
      <c r="R110" s="12"/>
      <c r="S110" s="12"/>
      <c r="T110" s="36"/>
      <c r="U110" s="36"/>
      <c r="V110" s="12"/>
      <c r="W110" s="12"/>
      <c r="X110" s="12"/>
      <c r="Y110" s="12"/>
      <c r="Z110" s="12"/>
    </row>
    <row r="111" customFormat="false" ht="15.75" hidden="false" customHeight="false" outlineLevel="0" collapsed="false">
      <c r="A111" s="12"/>
      <c r="B111" s="34"/>
      <c r="C111" s="12"/>
      <c r="D111" s="12"/>
      <c r="E111" s="12"/>
      <c r="F111" s="12"/>
      <c r="G111" s="18"/>
      <c r="H111" s="35"/>
      <c r="I111" s="35"/>
      <c r="J111" s="12"/>
      <c r="O111" s="12"/>
      <c r="P111" s="18"/>
      <c r="Q111" s="12"/>
      <c r="R111" s="12"/>
      <c r="S111" s="12"/>
      <c r="T111" s="36"/>
      <c r="U111" s="36"/>
      <c r="V111" s="12"/>
      <c r="W111" s="12"/>
      <c r="X111" s="12"/>
      <c r="Y111" s="12"/>
      <c r="Z111" s="12"/>
    </row>
    <row r="112" customFormat="false" ht="15.75" hidden="false" customHeight="false" outlineLevel="0" collapsed="false">
      <c r="A112" s="12"/>
      <c r="B112" s="34"/>
      <c r="C112" s="12"/>
      <c r="D112" s="12"/>
      <c r="E112" s="12"/>
      <c r="F112" s="12"/>
      <c r="G112" s="18"/>
      <c r="H112" s="35"/>
      <c r="I112" s="35"/>
      <c r="J112" s="12"/>
      <c r="O112" s="12"/>
      <c r="P112" s="18"/>
      <c r="Q112" s="12"/>
      <c r="R112" s="12"/>
      <c r="S112" s="12"/>
      <c r="T112" s="36"/>
      <c r="U112" s="36"/>
      <c r="V112" s="12"/>
      <c r="W112" s="12"/>
      <c r="X112" s="12"/>
      <c r="Y112" s="12"/>
      <c r="Z112" s="12"/>
    </row>
    <row r="113" customFormat="false" ht="15.75" hidden="false" customHeight="false" outlineLevel="0" collapsed="false">
      <c r="A113" s="12"/>
      <c r="B113" s="34"/>
      <c r="C113" s="12"/>
      <c r="D113" s="12"/>
      <c r="E113" s="12"/>
      <c r="F113" s="12"/>
      <c r="G113" s="18"/>
      <c r="H113" s="35"/>
      <c r="I113" s="35"/>
      <c r="J113" s="12"/>
      <c r="O113" s="12"/>
      <c r="P113" s="18"/>
      <c r="Q113" s="12"/>
      <c r="R113" s="12"/>
      <c r="S113" s="12"/>
      <c r="T113" s="36"/>
      <c r="U113" s="36"/>
      <c r="V113" s="12"/>
      <c r="W113" s="12"/>
      <c r="X113" s="12"/>
      <c r="Y113" s="12"/>
      <c r="Z113" s="12"/>
    </row>
    <row r="114" customFormat="false" ht="15.75" hidden="false" customHeight="false" outlineLevel="0" collapsed="false">
      <c r="A114" s="12"/>
      <c r="B114" s="34"/>
      <c r="C114" s="12"/>
      <c r="D114" s="12"/>
      <c r="E114" s="12"/>
      <c r="F114" s="12"/>
      <c r="G114" s="18"/>
      <c r="H114" s="35"/>
      <c r="I114" s="35"/>
      <c r="J114" s="12"/>
      <c r="O114" s="12"/>
      <c r="P114" s="18"/>
      <c r="Q114" s="12"/>
      <c r="R114" s="12"/>
      <c r="S114" s="12"/>
      <c r="T114" s="36"/>
      <c r="U114" s="36"/>
      <c r="V114" s="12"/>
      <c r="W114" s="12"/>
      <c r="X114" s="12"/>
      <c r="Y114" s="12"/>
      <c r="Z114" s="12"/>
    </row>
    <row r="115" customFormat="false" ht="15.75" hidden="false" customHeight="false" outlineLevel="0" collapsed="false">
      <c r="A115" s="12"/>
      <c r="B115" s="34"/>
      <c r="C115" s="12"/>
      <c r="D115" s="12"/>
      <c r="E115" s="12"/>
      <c r="F115" s="12"/>
      <c r="G115" s="18"/>
      <c r="H115" s="35"/>
      <c r="I115" s="35"/>
      <c r="J115" s="12"/>
      <c r="O115" s="12"/>
      <c r="P115" s="18"/>
      <c r="Q115" s="12"/>
      <c r="R115" s="12"/>
      <c r="S115" s="12"/>
      <c r="T115" s="36"/>
      <c r="U115" s="36"/>
      <c r="V115" s="12"/>
      <c r="W115" s="12"/>
      <c r="X115" s="12"/>
      <c r="Y115" s="12"/>
      <c r="Z115" s="12"/>
    </row>
    <row r="116" customFormat="false" ht="15.75" hidden="false" customHeight="false" outlineLevel="0" collapsed="false">
      <c r="A116" s="12"/>
      <c r="B116" s="34"/>
      <c r="C116" s="12"/>
      <c r="D116" s="12"/>
      <c r="E116" s="12"/>
      <c r="F116" s="12"/>
      <c r="G116" s="18"/>
      <c r="H116" s="35"/>
      <c r="I116" s="35"/>
      <c r="J116" s="12"/>
      <c r="O116" s="12"/>
      <c r="P116" s="18"/>
      <c r="Q116" s="12"/>
      <c r="R116" s="12"/>
      <c r="S116" s="12"/>
      <c r="T116" s="36"/>
      <c r="U116" s="36"/>
      <c r="V116" s="12"/>
      <c r="W116" s="12"/>
      <c r="X116" s="12"/>
      <c r="Y116" s="12"/>
      <c r="Z116" s="12"/>
    </row>
    <row r="117" customFormat="false" ht="15.75" hidden="false" customHeight="false" outlineLevel="0" collapsed="false">
      <c r="A117" s="12"/>
      <c r="B117" s="34"/>
      <c r="C117" s="12"/>
      <c r="D117" s="12"/>
      <c r="E117" s="12"/>
      <c r="F117" s="12"/>
      <c r="G117" s="18"/>
      <c r="H117" s="35"/>
      <c r="I117" s="35"/>
      <c r="J117" s="12"/>
      <c r="O117" s="12"/>
      <c r="P117" s="18"/>
      <c r="Q117" s="12"/>
      <c r="R117" s="12"/>
      <c r="S117" s="12"/>
      <c r="T117" s="36"/>
      <c r="U117" s="36"/>
      <c r="V117" s="12"/>
      <c r="W117" s="12"/>
      <c r="X117" s="12"/>
      <c r="Y117" s="12"/>
      <c r="Z117" s="12"/>
    </row>
    <row r="118" customFormat="false" ht="15.75" hidden="false" customHeight="false" outlineLevel="0" collapsed="false">
      <c r="A118" s="12"/>
      <c r="B118" s="34"/>
      <c r="C118" s="12"/>
      <c r="D118" s="12"/>
      <c r="E118" s="12"/>
      <c r="F118" s="12"/>
      <c r="G118" s="18"/>
      <c r="H118" s="35"/>
      <c r="I118" s="35"/>
      <c r="J118" s="12"/>
      <c r="O118" s="12"/>
      <c r="P118" s="18"/>
      <c r="Q118" s="12"/>
      <c r="R118" s="12"/>
      <c r="S118" s="12"/>
      <c r="T118" s="36"/>
      <c r="U118" s="36"/>
      <c r="V118" s="12"/>
      <c r="W118" s="12"/>
      <c r="X118" s="12"/>
      <c r="Y118" s="12"/>
      <c r="Z118" s="12"/>
    </row>
    <row r="119" customFormat="false" ht="15.75" hidden="false" customHeight="false" outlineLevel="0" collapsed="false">
      <c r="A119" s="12"/>
      <c r="B119" s="34"/>
      <c r="C119" s="12"/>
      <c r="D119" s="12"/>
      <c r="E119" s="12"/>
      <c r="F119" s="12"/>
      <c r="G119" s="18"/>
      <c r="H119" s="35"/>
      <c r="I119" s="35"/>
      <c r="J119" s="12"/>
      <c r="O119" s="12"/>
      <c r="P119" s="18"/>
      <c r="Q119" s="12"/>
      <c r="R119" s="12"/>
      <c r="S119" s="12"/>
      <c r="T119" s="36"/>
      <c r="U119" s="36"/>
      <c r="V119" s="12"/>
      <c r="W119" s="12"/>
      <c r="X119" s="12"/>
      <c r="Y119" s="12"/>
      <c r="Z119" s="12"/>
    </row>
    <row r="120" customFormat="false" ht="15.75" hidden="false" customHeight="false" outlineLevel="0" collapsed="false">
      <c r="A120" s="12"/>
      <c r="B120" s="34"/>
      <c r="C120" s="12"/>
      <c r="D120" s="12"/>
      <c r="E120" s="12"/>
      <c r="F120" s="12"/>
      <c r="G120" s="18"/>
      <c r="H120" s="35"/>
      <c r="I120" s="35"/>
      <c r="J120" s="12"/>
      <c r="O120" s="12"/>
      <c r="P120" s="18"/>
      <c r="Q120" s="12"/>
      <c r="R120" s="12"/>
      <c r="S120" s="12"/>
      <c r="T120" s="36"/>
      <c r="U120" s="36"/>
      <c r="V120" s="12"/>
      <c r="W120" s="12"/>
      <c r="X120" s="12"/>
      <c r="Y120" s="12"/>
      <c r="Z120" s="12"/>
    </row>
    <row r="121" customFormat="false" ht="15.75" hidden="false" customHeight="false" outlineLevel="0" collapsed="false">
      <c r="A121" s="12"/>
      <c r="B121" s="34"/>
      <c r="C121" s="12"/>
      <c r="D121" s="12"/>
      <c r="E121" s="12"/>
      <c r="F121" s="12"/>
      <c r="G121" s="18"/>
      <c r="H121" s="35"/>
      <c r="I121" s="35"/>
      <c r="J121" s="12"/>
      <c r="O121" s="12"/>
      <c r="P121" s="18"/>
      <c r="Q121" s="12"/>
      <c r="R121" s="12"/>
      <c r="S121" s="12"/>
      <c r="T121" s="36"/>
      <c r="U121" s="36"/>
      <c r="V121" s="12"/>
      <c r="W121" s="12"/>
      <c r="X121" s="12"/>
      <c r="Y121" s="12"/>
      <c r="Z121" s="12"/>
    </row>
    <row r="122" customFormat="false" ht="15.75" hidden="false" customHeight="false" outlineLevel="0" collapsed="false">
      <c r="A122" s="12"/>
      <c r="B122" s="34"/>
      <c r="C122" s="12"/>
      <c r="D122" s="12"/>
      <c r="E122" s="12"/>
      <c r="F122" s="12"/>
      <c r="G122" s="18"/>
      <c r="H122" s="35"/>
      <c r="I122" s="35"/>
      <c r="J122" s="12"/>
      <c r="O122" s="12"/>
      <c r="P122" s="18"/>
      <c r="Q122" s="12"/>
      <c r="R122" s="12"/>
      <c r="S122" s="12"/>
      <c r="T122" s="36"/>
      <c r="U122" s="36"/>
      <c r="V122" s="12"/>
      <c r="W122" s="12"/>
      <c r="X122" s="12"/>
      <c r="Y122" s="12"/>
      <c r="Z122" s="12"/>
    </row>
    <row r="123" customFormat="false" ht="15.75" hidden="false" customHeight="false" outlineLevel="0" collapsed="false">
      <c r="A123" s="12"/>
      <c r="B123" s="34"/>
      <c r="C123" s="12"/>
      <c r="D123" s="12"/>
      <c r="E123" s="12"/>
      <c r="F123" s="12"/>
      <c r="G123" s="18"/>
      <c r="H123" s="35"/>
      <c r="I123" s="35"/>
      <c r="J123" s="12"/>
      <c r="O123" s="12"/>
      <c r="P123" s="18"/>
      <c r="Q123" s="12"/>
      <c r="R123" s="12"/>
      <c r="S123" s="12"/>
      <c r="T123" s="36"/>
      <c r="U123" s="36"/>
      <c r="V123" s="12"/>
      <c r="W123" s="12"/>
      <c r="X123" s="12"/>
      <c r="Y123" s="12"/>
      <c r="Z123" s="12"/>
    </row>
    <row r="124" customFormat="false" ht="15.75" hidden="false" customHeight="false" outlineLevel="0" collapsed="false">
      <c r="A124" s="12"/>
      <c r="B124" s="34"/>
      <c r="C124" s="12"/>
      <c r="D124" s="12"/>
      <c r="E124" s="12"/>
      <c r="F124" s="12"/>
      <c r="G124" s="18"/>
      <c r="H124" s="35"/>
      <c r="I124" s="35"/>
      <c r="J124" s="12"/>
      <c r="O124" s="12"/>
      <c r="P124" s="18"/>
      <c r="Q124" s="12"/>
      <c r="R124" s="12"/>
      <c r="S124" s="12"/>
      <c r="T124" s="36"/>
      <c r="U124" s="36"/>
      <c r="V124" s="12"/>
      <c r="W124" s="12"/>
      <c r="X124" s="12"/>
      <c r="Y124" s="12"/>
      <c r="Z124" s="12"/>
    </row>
    <row r="125" customFormat="false" ht="15.75" hidden="false" customHeight="false" outlineLevel="0" collapsed="false">
      <c r="A125" s="12"/>
      <c r="B125" s="34"/>
      <c r="C125" s="12"/>
      <c r="D125" s="12"/>
      <c r="E125" s="12"/>
      <c r="F125" s="12"/>
      <c r="G125" s="18"/>
      <c r="H125" s="35"/>
      <c r="I125" s="35"/>
      <c r="J125" s="12"/>
      <c r="O125" s="12"/>
      <c r="P125" s="18"/>
      <c r="Q125" s="12"/>
      <c r="R125" s="12"/>
      <c r="S125" s="12"/>
      <c r="T125" s="36"/>
      <c r="U125" s="36"/>
      <c r="V125" s="12"/>
      <c r="W125" s="12"/>
      <c r="X125" s="12"/>
      <c r="Y125" s="12"/>
      <c r="Z125" s="12"/>
    </row>
    <row r="126" customFormat="false" ht="15.75" hidden="false" customHeight="false" outlineLevel="0" collapsed="false">
      <c r="A126" s="12"/>
      <c r="B126" s="34"/>
      <c r="C126" s="12"/>
      <c r="D126" s="12"/>
      <c r="E126" s="12"/>
      <c r="F126" s="12"/>
      <c r="G126" s="18"/>
      <c r="H126" s="35"/>
      <c r="I126" s="35"/>
      <c r="J126" s="12"/>
      <c r="O126" s="12"/>
      <c r="P126" s="18"/>
      <c r="Q126" s="12"/>
      <c r="R126" s="12"/>
      <c r="S126" s="12"/>
      <c r="T126" s="36"/>
      <c r="U126" s="36"/>
      <c r="V126" s="12"/>
      <c r="W126" s="12"/>
      <c r="X126" s="12"/>
      <c r="Y126" s="12"/>
      <c r="Z126" s="12"/>
    </row>
    <row r="127" customFormat="false" ht="15.75" hidden="false" customHeight="false" outlineLevel="0" collapsed="false">
      <c r="A127" s="12"/>
      <c r="B127" s="34"/>
      <c r="C127" s="12"/>
      <c r="D127" s="12"/>
      <c r="E127" s="12"/>
      <c r="F127" s="12"/>
      <c r="G127" s="18"/>
      <c r="H127" s="35"/>
      <c r="I127" s="35"/>
      <c r="J127" s="12"/>
      <c r="O127" s="12"/>
      <c r="P127" s="18"/>
      <c r="Q127" s="12"/>
      <c r="R127" s="12"/>
      <c r="S127" s="12"/>
      <c r="T127" s="36"/>
      <c r="U127" s="36"/>
      <c r="V127" s="12"/>
      <c r="W127" s="12"/>
      <c r="X127" s="12"/>
      <c r="Y127" s="12"/>
      <c r="Z127" s="12"/>
    </row>
    <row r="128" customFormat="false" ht="15.75" hidden="false" customHeight="false" outlineLevel="0" collapsed="false">
      <c r="A128" s="12"/>
      <c r="B128" s="34"/>
      <c r="C128" s="12"/>
      <c r="D128" s="12"/>
      <c r="E128" s="12"/>
      <c r="F128" s="12"/>
      <c r="G128" s="18"/>
      <c r="H128" s="35"/>
      <c r="I128" s="35"/>
      <c r="J128" s="12"/>
      <c r="O128" s="12"/>
      <c r="P128" s="18"/>
      <c r="Q128" s="12"/>
      <c r="R128" s="12"/>
      <c r="S128" s="12"/>
      <c r="T128" s="36"/>
      <c r="U128" s="36"/>
      <c r="V128" s="12"/>
      <c r="W128" s="12"/>
      <c r="X128" s="12"/>
      <c r="Y128" s="12"/>
      <c r="Z128" s="12"/>
    </row>
    <row r="129" customFormat="false" ht="15.75" hidden="false" customHeight="false" outlineLevel="0" collapsed="false">
      <c r="A129" s="12"/>
      <c r="B129" s="34"/>
      <c r="C129" s="12"/>
      <c r="D129" s="12"/>
      <c r="E129" s="12"/>
      <c r="F129" s="12"/>
      <c r="G129" s="18"/>
      <c r="H129" s="35"/>
      <c r="I129" s="35"/>
      <c r="J129" s="12"/>
      <c r="O129" s="12"/>
      <c r="P129" s="18"/>
      <c r="Q129" s="12"/>
      <c r="R129" s="12"/>
      <c r="S129" s="12"/>
      <c r="T129" s="36"/>
      <c r="U129" s="36"/>
      <c r="V129" s="12"/>
      <c r="W129" s="12"/>
      <c r="X129" s="12"/>
      <c r="Y129" s="12"/>
      <c r="Z129" s="12"/>
    </row>
    <row r="130" customFormat="false" ht="15.75" hidden="false" customHeight="false" outlineLevel="0" collapsed="false">
      <c r="A130" s="12"/>
      <c r="B130" s="34"/>
      <c r="C130" s="12"/>
      <c r="D130" s="12"/>
      <c r="E130" s="12"/>
      <c r="F130" s="12"/>
      <c r="G130" s="18"/>
      <c r="H130" s="35"/>
      <c r="I130" s="35"/>
      <c r="J130" s="12"/>
      <c r="O130" s="12"/>
      <c r="P130" s="18"/>
      <c r="Q130" s="12"/>
      <c r="R130" s="12"/>
      <c r="S130" s="12"/>
      <c r="T130" s="36"/>
      <c r="U130" s="36"/>
      <c r="V130" s="12"/>
      <c r="W130" s="12"/>
      <c r="X130" s="12"/>
      <c r="Y130" s="12"/>
      <c r="Z130" s="12"/>
    </row>
    <row r="131" customFormat="false" ht="15.75" hidden="false" customHeight="false" outlineLevel="0" collapsed="false">
      <c r="A131" s="12"/>
      <c r="B131" s="34"/>
      <c r="C131" s="12"/>
      <c r="D131" s="12"/>
      <c r="E131" s="12"/>
      <c r="F131" s="12"/>
      <c r="G131" s="18"/>
      <c r="H131" s="35"/>
      <c r="I131" s="35"/>
      <c r="J131" s="12"/>
      <c r="O131" s="12"/>
      <c r="P131" s="18"/>
      <c r="Q131" s="12"/>
      <c r="R131" s="12"/>
      <c r="S131" s="12"/>
      <c r="T131" s="36"/>
      <c r="U131" s="36"/>
      <c r="V131" s="12"/>
      <c r="W131" s="12"/>
      <c r="X131" s="12"/>
      <c r="Y131" s="12"/>
      <c r="Z131" s="12"/>
    </row>
    <row r="132" customFormat="false" ht="15.75" hidden="false" customHeight="false" outlineLevel="0" collapsed="false">
      <c r="A132" s="12"/>
      <c r="B132" s="34"/>
      <c r="C132" s="12"/>
      <c r="D132" s="12"/>
      <c r="E132" s="12"/>
      <c r="F132" s="12"/>
      <c r="G132" s="18"/>
      <c r="H132" s="35"/>
      <c r="I132" s="35"/>
      <c r="J132" s="12"/>
      <c r="O132" s="12"/>
      <c r="P132" s="18"/>
      <c r="Q132" s="12"/>
      <c r="R132" s="12"/>
      <c r="S132" s="12"/>
      <c r="T132" s="36"/>
      <c r="U132" s="36"/>
      <c r="V132" s="12"/>
      <c r="W132" s="12"/>
      <c r="X132" s="12"/>
      <c r="Y132" s="12"/>
      <c r="Z132" s="12"/>
    </row>
    <row r="133" customFormat="false" ht="15.75" hidden="false" customHeight="false" outlineLevel="0" collapsed="false">
      <c r="A133" s="12"/>
      <c r="B133" s="34"/>
      <c r="C133" s="12"/>
      <c r="D133" s="12"/>
      <c r="E133" s="12"/>
      <c r="F133" s="12"/>
      <c r="G133" s="18"/>
      <c r="H133" s="35"/>
      <c r="I133" s="35"/>
      <c r="J133" s="12"/>
      <c r="O133" s="12"/>
      <c r="P133" s="18"/>
      <c r="Q133" s="12"/>
      <c r="R133" s="12"/>
      <c r="S133" s="12"/>
      <c r="T133" s="36"/>
      <c r="U133" s="36"/>
      <c r="V133" s="12"/>
      <c r="W133" s="12"/>
      <c r="X133" s="12"/>
      <c r="Y133" s="12"/>
      <c r="Z133" s="12"/>
    </row>
    <row r="134" customFormat="false" ht="15.75" hidden="false" customHeight="false" outlineLevel="0" collapsed="false">
      <c r="A134" s="12"/>
      <c r="B134" s="34"/>
      <c r="C134" s="12"/>
      <c r="D134" s="12"/>
      <c r="E134" s="12"/>
      <c r="F134" s="12"/>
      <c r="G134" s="18"/>
      <c r="H134" s="35"/>
      <c r="I134" s="35"/>
      <c r="J134" s="12"/>
      <c r="O134" s="12"/>
      <c r="P134" s="18"/>
      <c r="Q134" s="12"/>
      <c r="R134" s="12"/>
      <c r="S134" s="12"/>
      <c r="T134" s="36"/>
      <c r="U134" s="36"/>
      <c r="V134" s="12"/>
      <c r="W134" s="12"/>
      <c r="X134" s="12"/>
      <c r="Y134" s="12"/>
      <c r="Z134" s="12"/>
    </row>
    <row r="135" customFormat="false" ht="15.75" hidden="false" customHeight="false" outlineLevel="0" collapsed="false">
      <c r="A135" s="12"/>
      <c r="B135" s="34"/>
      <c r="C135" s="12"/>
      <c r="D135" s="12"/>
      <c r="E135" s="12"/>
      <c r="F135" s="12"/>
      <c r="G135" s="18"/>
      <c r="H135" s="35"/>
      <c r="I135" s="35"/>
      <c r="J135" s="12"/>
      <c r="O135" s="12"/>
      <c r="P135" s="18"/>
      <c r="Q135" s="12"/>
      <c r="R135" s="12"/>
      <c r="S135" s="12"/>
      <c r="T135" s="36"/>
      <c r="U135" s="36"/>
      <c r="V135" s="12"/>
      <c r="W135" s="12"/>
      <c r="X135" s="12"/>
      <c r="Y135" s="12"/>
      <c r="Z135" s="12"/>
    </row>
    <row r="136" customFormat="false" ht="15.75" hidden="false" customHeight="false" outlineLevel="0" collapsed="false">
      <c r="A136" s="12"/>
      <c r="B136" s="34"/>
      <c r="C136" s="12"/>
      <c r="D136" s="12"/>
      <c r="E136" s="12"/>
      <c r="F136" s="12"/>
      <c r="G136" s="18"/>
      <c r="H136" s="35"/>
      <c r="I136" s="35"/>
      <c r="J136" s="12"/>
      <c r="O136" s="12"/>
      <c r="P136" s="18"/>
      <c r="Q136" s="12"/>
      <c r="R136" s="12"/>
      <c r="S136" s="12"/>
      <c r="T136" s="36"/>
      <c r="U136" s="36"/>
      <c r="V136" s="12"/>
      <c r="W136" s="12"/>
      <c r="X136" s="12"/>
      <c r="Y136" s="12"/>
      <c r="Z136" s="12"/>
    </row>
    <row r="137" customFormat="false" ht="15.75" hidden="false" customHeight="false" outlineLevel="0" collapsed="false">
      <c r="A137" s="12"/>
      <c r="B137" s="34"/>
      <c r="C137" s="12"/>
      <c r="D137" s="12"/>
      <c r="E137" s="12"/>
      <c r="F137" s="12"/>
      <c r="G137" s="18"/>
      <c r="H137" s="35"/>
      <c r="I137" s="35"/>
      <c r="J137" s="12"/>
      <c r="O137" s="12"/>
      <c r="P137" s="18"/>
      <c r="Q137" s="12"/>
      <c r="R137" s="12"/>
      <c r="S137" s="12"/>
      <c r="T137" s="36"/>
      <c r="U137" s="36"/>
      <c r="V137" s="12"/>
      <c r="W137" s="12"/>
      <c r="X137" s="12"/>
      <c r="Y137" s="12"/>
      <c r="Z137" s="12"/>
    </row>
    <row r="138" customFormat="false" ht="15.75" hidden="false" customHeight="false" outlineLevel="0" collapsed="false">
      <c r="A138" s="12"/>
      <c r="B138" s="34"/>
      <c r="C138" s="12"/>
      <c r="D138" s="12"/>
      <c r="E138" s="12"/>
      <c r="F138" s="12"/>
      <c r="G138" s="18"/>
      <c r="H138" s="35"/>
      <c r="I138" s="35"/>
      <c r="J138" s="12"/>
      <c r="O138" s="12"/>
      <c r="P138" s="18"/>
      <c r="Q138" s="12"/>
      <c r="R138" s="12"/>
      <c r="S138" s="12"/>
      <c r="T138" s="36"/>
      <c r="U138" s="36"/>
      <c r="V138" s="12"/>
      <c r="W138" s="12"/>
      <c r="X138" s="12"/>
      <c r="Y138" s="12"/>
      <c r="Z138" s="12"/>
    </row>
    <row r="139" customFormat="false" ht="15.75" hidden="false" customHeight="false" outlineLevel="0" collapsed="false">
      <c r="A139" s="12"/>
      <c r="B139" s="34"/>
      <c r="C139" s="12"/>
      <c r="D139" s="12"/>
      <c r="E139" s="12"/>
      <c r="F139" s="12"/>
      <c r="G139" s="18"/>
      <c r="H139" s="35"/>
      <c r="I139" s="35"/>
      <c r="J139" s="12"/>
      <c r="O139" s="12"/>
      <c r="P139" s="18"/>
      <c r="Q139" s="12"/>
      <c r="R139" s="12"/>
      <c r="S139" s="12"/>
      <c r="T139" s="36"/>
      <c r="U139" s="36"/>
      <c r="V139" s="12"/>
      <c r="W139" s="12"/>
      <c r="X139" s="12"/>
      <c r="Y139" s="12"/>
      <c r="Z139" s="12"/>
    </row>
    <row r="140" customFormat="false" ht="15.75" hidden="false" customHeight="false" outlineLevel="0" collapsed="false">
      <c r="A140" s="12"/>
      <c r="B140" s="34"/>
      <c r="C140" s="12"/>
      <c r="D140" s="12"/>
      <c r="E140" s="12"/>
      <c r="F140" s="12"/>
      <c r="G140" s="18"/>
      <c r="H140" s="35"/>
      <c r="I140" s="35"/>
      <c r="J140" s="12"/>
      <c r="O140" s="12"/>
      <c r="P140" s="18"/>
      <c r="Q140" s="12"/>
      <c r="R140" s="12"/>
      <c r="S140" s="12"/>
      <c r="T140" s="36"/>
      <c r="U140" s="36"/>
      <c r="V140" s="12"/>
      <c r="W140" s="12"/>
      <c r="X140" s="12"/>
      <c r="Y140" s="12"/>
      <c r="Z140" s="12"/>
    </row>
    <row r="141" customFormat="false" ht="15.75" hidden="false" customHeight="false" outlineLevel="0" collapsed="false">
      <c r="A141" s="12"/>
      <c r="B141" s="34"/>
      <c r="C141" s="12"/>
      <c r="D141" s="12"/>
      <c r="E141" s="12"/>
      <c r="F141" s="12"/>
      <c r="G141" s="18"/>
      <c r="H141" s="35"/>
      <c r="I141" s="35"/>
      <c r="J141" s="12"/>
      <c r="O141" s="12"/>
      <c r="P141" s="18"/>
      <c r="Q141" s="12"/>
      <c r="R141" s="12"/>
      <c r="S141" s="12"/>
      <c r="T141" s="36"/>
      <c r="U141" s="36"/>
      <c r="V141" s="12"/>
      <c r="W141" s="12"/>
      <c r="X141" s="12"/>
      <c r="Y141" s="12"/>
      <c r="Z141" s="12"/>
    </row>
    <row r="142" customFormat="false" ht="15.75" hidden="false" customHeight="false" outlineLevel="0" collapsed="false">
      <c r="A142" s="12"/>
      <c r="B142" s="34"/>
      <c r="C142" s="12"/>
      <c r="D142" s="12"/>
      <c r="E142" s="12"/>
      <c r="F142" s="12"/>
      <c r="G142" s="18"/>
      <c r="H142" s="35"/>
      <c r="I142" s="35"/>
      <c r="J142" s="12"/>
      <c r="O142" s="12"/>
      <c r="P142" s="18"/>
      <c r="Q142" s="12"/>
      <c r="R142" s="12"/>
      <c r="S142" s="12"/>
      <c r="T142" s="36"/>
      <c r="U142" s="36"/>
      <c r="V142" s="12"/>
      <c r="W142" s="12"/>
      <c r="X142" s="12"/>
      <c r="Y142" s="12"/>
      <c r="Z142" s="12"/>
    </row>
    <row r="143" customFormat="false" ht="15.75" hidden="false" customHeight="false" outlineLevel="0" collapsed="false">
      <c r="A143" s="12"/>
      <c r="B143" s="34"/>
      <c r="C143" s="12"/>
      <c r="D143" s="12"/>
      <c r="E143" s="12"/>
      <c r="F143" s="12"/>
      <c r="G143" s="18"/>
      <c r="H143" s="35"/>
      <c r="I143" s="35"/>
      <c r="J143" s="12"/>
      <c r="O143" s="12"/>
      <c r="P143" s="18"/>
      <c r="Q143" s="12"/>
      <c r="R143" s="12"/>
      <c r="S143" s="12"/>
      <c r="T143" s="36"/>
      <c r="U143" s="36"/>
      <c r="V143" s="12"/>
      <c r="W143" s="12"/>
      <c r="X143" s="12"/>
      <c r="Y143" s="12"/>
      <c r="Z143" s="12"/>
    </row>
    <row r="144" customFormat="false" ht="15.75" hidden="false" customHeight="false" outlineLevel="0" collapsed="false">
      <c r="A144" s="12"/>
      <c r="B144" s="34"/>
      <c r="C144" s="12"/>
      <c r="D144" s="12"/>
      <c r="E144" s="12"/>
      <c r="F144" s="12"/>
      <c r="G144" s="18"/>
      <c r="H144" s="35"/>
      <c r="I144" s="35"/>
      <c r="J144" s="12"/>
      <c r="O144" s="12"/>
      <c r="P144" s="18"/>
      <c r="Q144" s="12"/>
      <c r="R144" s="12"/>
      <c r="S144" s="12"/>
      <c r="T144" s="36"/>
      <c r="U144" s="36"/>
      <c r="V144" s="12"/>
      <c r="W144" s="12"/>
      <c r="X144" s="12"/>
      <c r="Y144" s="12"/>
      <c r="Z144" s="12"/>
    </row>
    <row r="145" customFormat="false" ht="15.75" hidden="false" customHeight="false" outlineLevel="0" collapsed="false">
      <c r="A145" s="12"/>
      <c r="B145" s="34"/>
      <c r="C145" s="12"/>
      <c r="D145" s="12"/>
      <c r="E145" s="12"/>
      <c r="F145" s="12"/>
      <c r="G145" s="18"/>
      <c r="H145" s="35"/>
      <c r="I145" s="35"/>
      <c r="J145" s="12"/>
      <c r="O145" s="12"/>
      <c r="P145" s="18"/>
      <c r="Q145" s="12"/>
      <c r="R145" s="12"/>
      <c r="S145" s="12"/>
      <c r="T145" s="36"/>
      <c r="U145" s="36"/>
      <c r="V145" s="12"/>
      <c r="W145" s="12"/>
      <c r="X145" s="12"/>
      <c r="Y145" s="12"/>
      <c r="Z145" s="12"/>
    </row>
    <row r="146" customFormat="false" ht="15.75" hidden="false" customHeight="false" outlineLevel="0" collapsed="false">
      <c r="A146" s="12"/>
      <c r="B146" s="34"/>
      <c r="C146" s="12"/>
      <c r="D146" s="12"/>
      <c r="E146" s="12"/>
      <c r="F146" s="12"/>
      <c r="G146" s="18"/>
      <c r="H146" s="35"/>
      <c r="I146" s="35"/>
      <c r="J146" s="12"/>
      <c r="O146" s="12"/>
      <c r="P146" s="18"/>
      <c r="Q146" s="12"/>
      <c r="R146" s="12"/>
      <c r="S146" s="12"/>
      <c r="T146" s="36"/>
      <c r="U146" s="36"/>
      <c r="V146" s="12"/>
      <c r="W146" s="12"/>
      <c r="X146" s="12"/>
      <c r="Y146" s="12"/>
      <c r="Z146" s="12"/>
    </row>
    <row r="147" customFormat="false" ht="15.75" hidden="false" customHeight="false" outlineLevel="0" collapsed="false">
      <c r="A147" s="12"/>
      <c r="B147" s="34"/>
      <c r="C147" s="12"/>
      <c r="D147" s="12"/>
      <c r="E147" s="12"/>
      <c r="F147" s="12"/>
      <c r="G147" s="18"/>
      <c r="H147" s="35"/>
      <c r="I147" s="35"/>
      <c r="J147" s="12"/>
      <c r="O147" s="12"/>
      <c r="P147" s="18"/>
      <c r="Q147" s="12"/>
      <c r="R147" s="12"/>
      <c r="S147" s="12"/>
      <c r="T147" s="36"/>
      <c r="U147" s="36"/>
      <c r="V147" s="12"/>
      <c r="W147" s="12"/>
      <c r="X147" s="12"/>
      <c r="Y147" s="12"/>
      <c r="Z147" s="12"/>
    </row>
    <row r="148" customFormat="false" ht="15.75" hidden="false" customHeight="false" outlineLevel="0" collapsed="false">
      <c r="A148" s="12"/>
      <c r="B148" s="34"/>
      <c r="C148" s="12"/>
      <c r="D148" s="12"/>
      <c r="E148" s="12"/>
      <c r="F148" s="12"/>
      <c r="G148" s="18"/>
      <c r="H148" s="35"/>
      <c r="I148" s="35"/>
      <c r="J148" s="12"/>
      <c r="O148" s="12"/>
      <c r="P148" s="18"/>
      <c r="Q148" s="12"/>
      <c r="R148" s="12"/>
      <c r="S148" s="12"/>
      <c r="T148" s="36"/>
      <c r="U148" s="36"/>
      <c r="V148" s="12"/>
      <c r="W148" s="12"/>
      <c r="X148" s="12"/>
      <c r="Y148" s="12"/>
      <c r="Z148" s="12"/>
    </row>
    <row r="149" customFormat="false" ht="15.75" hidden="false" customHeight="false" outlineLevel="0" collapsed="false">
      <c r="A149" s="12"/>
      <c r="B149" s="34"/>
      <c r="C149" s="12"/>
      <c r="D149" s="12"/>
      <c r="E149" s="12"/>
      <c r="F149" s="12"/>
      <c r="G149" s="18"/>
      <c r="H149" s="35"/>
      <c r="I149" s="35"/>
      <c r="J149" s="12"/>
      <c r="O149" s="12"/>
      <c r="P149" s="18"/>
      <c r="Q149" s="12"/>
      <c r="R149" s="12"/>
      <c r="S149" s="12"/>
      <c r="T149" s="36"/>
      <c r="U149" s="36"/>
      <c r="V149" s="12"/>
      <c r="W149" s="12"/>
      <c r="X149" s="12"/>
      <c r="Y149" s="12"/>
      <c r="Z149" s="12"/>
    </row>
    <row r="150" customFormat="false" ht="15.75" hidden="false" customHeight="false" outlineLevel="0" collapsed="false">
      <c r="A150" s="12"/>
      <c r="B150" s="34"/>
      <c r="C150" s="12"/>
      <c r="D150" s="12"/>
      <c r="E150" s="12"/>
      <c r="F150" s="12"/>
      <c r="G150" s="18"/>
      <c r="H150" s="35"/>
      <c r="I150" s="35"/>
      <c r="J150" s="12"/>
      <c r="O150" s="12"/>
      <c r="P150" s="18"/>
      <c r="Q150" s="12"/>
      <c r="R150" s="12"/>
      <c r="S150" s="12"/>
      <c r="T150" s="36"/>
      <c r="U150" s="36"/>
      <c r="V150" s="12"/>
      <c r="W150" s="12"/>
      <c r="X150" s="12"/>
      <c r="Y150" s="12"/>
      <c r="Z150" s="12"/>
    </row>
    <row r="151" customFormat="false" ht="15.75" hidden="false" customHeight="false" outlineLevel="0" collapsed="false">
      <c r="A151" s="12"/>
      <c r="B151" s="34"/>
      <c r="C151" s="12"/>
      <c r="D151" s="12"/>
      <c r="E151" s="12"/>
      <c r="F151" s="12"/>
      <c r="G151" s="18"/>
      <c r="H151" s="35"/>
      <c r="I151" s="35"/>
      <c r="J151" s="12"/>
      <c r="O151" s="12"/>
      <c r="P151" s="18"/>
      <c r="Q151" s="12"/>
      <c r="R151" s="12"/>
      <c r="S151" s="12"/>
      <c r="T151" s="36"/>
      <c r="U151" s="36"/>
      <c r="V151" s="12"/>
      <c r="W151" s="12"/>
      <c r="X151" s="12"/>
      <c r="Y151" s="12"/>
      <c r="Z151" s="12"/>
    </row>
    <row r="152" customFormat="false" ht="15.75" hidden="false" customHeight="false" outlineLevel="0" collapsed="false">
      <c r="A152" s="12"/>
      <c r="B152" s="34"/>
      <c r="C152" s="12"/>
      <c r="D152" s="12"/>
      <c r="E152" s="12"/>
      <c r="F152" s="12"/>
      <c r="G152" s="18"/>
      <c r="H152" s="35"/>
      <c r="I152" s="35"/>
      <c r="J152" s="12"/>
      <c r="O152" s="12"/>
      <c r="P152" s="18"/>
      <c r="Q152" s="12"/>
      <c r="R152" s="12"/>
      <c r="S152" s="12"/>
      <c r="T152" s="36"/>
      <c r="U152" s="36"/>
      <c r="V152" s="12"/>
      <c r="W152" s="12"/>
      <c r="X152" s="12"/>
      <c r="Y152" s="12"/>
      <c r="Z152" s="12"/>
    </row>
    <row r="153" customFormat="false" ht="15.75" hidden="false" customHeight="false" outlineLevel="0" collapsed="false">
      <c r="A153" s="12"/>
      <c r="B153" s="34"/>
      <c r="C153" s="12"/>
      <c r="D153" s="12"/>
      <c r="E153" s="12"/>
      <c r="F153" s="12"/>
      <c r="G153" s="18"/>
      <c r="H153" s="35"/>
      <c r="I153" s="35"/>
      <c r="J153" s="12"/>
      <c r="O153" s="12"/>
      <c r="P153" s="18"/>
      <c r="Q153" s="12"/>
      <c r="R153" s="12"/>
      <c r="S153" s="12"/>
      <c r="T153" s="36"/>
      <c r="U153" s="36"/>
      <c r="V153" s="12"/>
      <c r="W153" s="12"/>
      <c r="X153" s="12"/>
      <c r="Y153" s="12"/>
      <c r="Z153" s="12"/>
    </row>
    <row r="154" customFormat="false" ht="15.75" hidden="false" customHeight="false" outlineLevel="0" collapsed="false">
      <c r="A154" s="12"/>
      <c r="B154" s="34"/>
      <c r="C154" s="12"/>
      <c r="D154" s="12"/>
      <c r="E154" s="12"/>
      <c r="F154" s="12"/>
      <c r="G154" s="18"/>
      <c r="H154" s="35"/>
      <c r="I154" s="35"/>
      <c r="J154" s="12"/>
      <c r="O154" s="12"/>
      <c r="P154" s="18"/>
      <c r="Q154" s="12"/>
      <c r="R154" s="12"/>
      <c r="S154" s="12"/>
      <c r="T154" s="36"/>
      <c r="U154" s="36"/>
      <c r="V154" s="12"/>
      <c r="W154" s="12"/>
      <c r="X154" s="12"/>
      <c r="Y154" s="12"/>
      <c r="Z154" s="12"/>
    </row>
    <row r="155" customFormat="false" ht="15.75" hidden="false" customHeight="false" outlineLevel="0" collapsed="false">
      <c r="A155" s="12"/>
      <c r="B155" s="34"/>
      <c r="C155" s="12"/>
      <c r="D155" s="12"/>
      <c r="E155" s="12"/>
      <c r="F155" s="12"/>
      <c r="G155" s="18"/>
      <c r="H155" s="35"/>
      <c r="I155" s="35"/>
      <c r="J155" s="12"/>
      <c r="O155" s="12"/>
      <c r="P155" s="18"/>
      <c r="Q155" s="12"/>
      <c r="R155" s="12"/>
      <c r="S155" s="12"/>
      <c r="T155" s="36"/>
      <c r="U155" s="36"/>
      <c r="V155" s="12"/>
      <c r="W155" s="12"/>
      <c r="X155" s="12"/>
      <c r="Y155" s="12"/>
      <c r="Z155" s="12"/>
    </row>
    <row r="156" customFormat="false" ht="15.75" hidden="false" customHeight="false" outlineLevel="0" collapsed="false">
      <c r="A156" s="12"/>
      <c r="B156" s="34"/>
      <c r="C156" s="12"/>
      <c r="D156" s="12"/>
      <c r="E156" s="12"/>
      <c r="F156" s="12"/>
      <c r="G156" s="18"/>
      <c r="H156" s="35"/>
      <c r="I156" s="35"/>
      <c r="J156" s="12"/>
      <c r="O156" s="12"/>
      <c r="P156" s="18"/>
      <c r="Q156" s="12"/>
      <c r="R156" s="12"/>
      <c r="S156" s="12"/>
      <c r="T156" s="36"/>
      <c r="U156" s="36"/>
      <c r="V156" s="12"/>
      <c r="W156" s="12"/>
      <c r="X156" s="12"/>
      <c r="Y156" s="12"/>
      <c r="Z156" s="12"/>
    </row>
    <row r="157" customFormat="false" ht="15.75" hidden="false" customHeight="false" outlineLevel="0" collapsed="false">
      <c r="A157" s="12"/>
      <c r="B157" s="34"/>
      <c r="C157" s="12"/>
      <c r="D157" s="12"/>
      <c r="E157" s="12"/>
      <c r="F157" s="12"/>
      <c r="G157" s="18"/>
      <c r="H157" s="35"/>
      <c r="I157" s="35"/>
      <c r="J157" s="12"/>
      <c r="O157" s="12"/>
      <c r="P157" s="18"/>
      <c r="Q157" s="12"/>
      <c r="R157" s="12"/>
      <c r="S157" s="12"/>
      <c r="T157" s="36"/>
      <c r="U157" s="36"/>
      <c r="V157" s="12"/>
      <c r="W157" s="12"/>
      <c r="X157" s="12"/>
      <c r="Y157" s="12"/>
      <c r="Z157" s="12"/>
    </row>
    <row r="158" customFormat="false" ht="15.75" hidden="false" customHeight="false" outlineLevel="0" collapsed="false">
      <c r="A158" s="12"/>
      <c r="B158" s="34"/>
      <c r="C158" s="12"/>
      <c r="D158" s="12"/>
      <c r="E158" s="12"/>
      <c r="F158" s="12"/>
      <c r="G158" s="18"/>
      <c r="H158" s="35"/>
      <c r="I158" s="35"/>
      <c r="J158" s="12"/>
      <c r="O158" s="12"/>
      <c r="P158" s="18"/>
      <c r="Q158" s="12"/>
      <c r="R158" s="12"/>
      <c r="S158" s="12"/>
      <c r="T158" s="36"/>
      <c r="U158" s="36"/>
      <c r="V158" s="12"/>
      <c r="W158" s="12"/>
      <c r="X158" s="12"/>
      <c r="Y158" s="12"/>
      <c r="Z158" s="12"/>
    </row>
    <row r="159" customFormat="false" ht="15.75" hidden="false" customHeight="false" outlineLevel="0" collapsed="false">
      <c r="A159" s="12"/>
      <c r="B159" s="34"/>
      <c r="C159" s="12"/>
      <c r="D159" s="12"/>
      <c r="E159" s="12"/>
      <c r="F159" s="12"/>
      <c r="G159" s="18"/>
      <c r="H159" s="35"/>
      <c r="I159" s="35"/>
      <c r="J159" s="12"/>
      <c r="O159" s="12"/>
      <c r="P159" s="18"/>
      <c r="Q159" s="12"/>
      <c r="R159" s="12"/>
      <c r="S159" s="12"/>
      <c r="T159" s="36"/>
      <c r="U159" s="36"/>
      <c r="V159" s="12"/>
      <c r="W159" s="12"/>
      <c r="X159" s="12"/>
      <c r="Y159" s="12"/>
      <c r="Z159" s="12"/>
    </row>
    <row r="160" customFormat="false" ht="15.75" hidden="false" customHeight="false" outlineLevel="0" collapsed="false">
      <c r="A160" s="12"/>
      <c r="B160" s="34"/>
      <c r="C160" s="12"/>
      <c r="D160" s="12"/>
      <c r="E160" s="12"/>
      <c r="F160" s="12"/>
      <c r="G160" s="18"/>
      <c r="H160" s="35"/>
      <c r="I160" s="35"/>
      <c r="J160" s="12"/>
      <c r="O160" s="12"/>
      <c r="P160" s="18"/>
      <c r="Q160" s="12"/>
      <c r="R160" s="12"/>
      <c r="S160" s="12"/>
      <c r="T160" s="36"/>
      <c r="U160" s="36"/>
      <c r="V160" s="12"/>
      <c r="W160" s="12"/>
      <c r="X160" s="12"/>
      <c r="Y160" s="12"/>
      <c r="Z160" s="12"/>
    </row>
    <row r="161" customFormat="false" ht="15.75" hidden="false" customHeight="false" outlineLevel="0" collapsed="false">
      <c r="A161" s="12"/>
      <c r="B161" s="34"/>
      <c r="C161" s="12"/>
      <c r="D161" s="12"/>
      <c r="E161" s="12"/>
      <c r="F161" s="12"/>
      <c r="G161" s="18"/>
      <c r="H161" s="35"/>
      <c r="I161" s="35"/>
      <c r="J161" s="12"/>
      <c r="O161" s="12"/>
      <c r="P161" s="18"/>
      <c r="Q161" s="12"/>
      <c r="R161" s="12"/>
      <c r="S161" s="12"/>
      <c r="T161" s="36"/>
      <c r="U161" s="36"/>
      <c r="V161" s="12"/>
      <c r="W161" s="12"/>
      <c r="X161" s="12"/>
      <c r="Y161" s="12"/>
      <c r="Z161" s="12"/>
    </row>
    <row r="162" customFormat="false" ht="15.75" hidden="false" customHeight="false" outlineLevel="0" collapsed="false">
      <c r="A162" s="12"/>
      <c r="B162" s="34"/>
      <c r="C162" s="12"/>
      <c r="D162" s="12"/>
      <c r="E162" s="12"/>
      <c r="F162" s="12"/>
      <c r="G162" s="18"/>
      <c r="H162" s="35"/>
      <c r="I162" s="35"/>
      <c r="J162" s="12"/>
      <c r="O162" s="12"/>
      <c r="P162" s="18"/>
      <c r="Q162" s="12"/>
      <c r="R162" s="12"/>
      <c r="S162" s="12"/>
      <c r="T162" s="36"/>
      <c r="U162" s="36"/>
      <c r="V162" s="12"/>
      <c r="W162" s="12"/>
      <c r="X162" s="12"/>
      <c r="Y162" s="12"/>
      <c r="Z162" s="12"/>
    </row>
    <row r="163" customFormat="false" ht="15.75" hidden="false" customHeight="false" outlineLevel="0" collapsed="false">
      <c r="A163" s="12"/>
      <c r="B163" s="34"/>
      <c r="C163" s="12"/>
      <c r="D163" s="12"/>
      <c r="E163" s="12"/>
      <c r="F163" s="12"/>
      <c r="G163" s="18"/>
      <c r="H163" s="35"/>
      <c r="I163" s="35"/>
      <c r="J163" s="12"/>
      <c r="O163" s="12"/>
      <c r="P163" s="18"/>
      <c r="Q163" s="12"/>
      <c r="R163" s="12"/>
      <c r="S163" s="12"/>
      <c r="T163" s="36"/>
      <c r="U163" s="36"/>
      <c r="V163" s="12"/>
      <c r="W163" s="12"/>
      <c r="X163" s="12"/>
      <c r="Y163" s="12"/>
      <c r="Z163" s="12"/>
    </row>
    <row r="164" customFormat="false" ht="15.75" hidden="false" customHeight="false" outlineLevel="0" collapsed="false">
      <c r="A164" s="12"/>
      <c r="B164" s="34"/>
      <c r="C164" s="12"/>
      <c r="D164" s="12"/>
      <c r="E164" s="12"/>
      <c r="F164" s="12"/>
      <c r="G164" s="18"/>
      <c r="H164" s="35"/>
      <c r="I164" s="35"/>
      <c r="J164" s="12"/>
      <c r="O164" s="12"/>
      <c r="P164" s="18"/>
      <c r="Q164" s="12"/>
      <c r="R164" s="12"/>
      <c r="S164" s="12"/>
      <c r="T164" s="36"/>
      <c r="U164" s="36"/>
      <c r="V164" s="12"/>
      <c r="W164" s="12"/>
      <c r="X164" s="12"/>
      <c r="Y164" s="12"/>
      <c r="Z164" s="12"/>
    </row>
    <row r="165" customFormat="false" ht="15.75" hidden="false" customHeight="false" outlineLevel="0" collapsed="false">
      <c r="A165" s="12"/>
      <c r="B165" s="34"/>
      <c r="C165" s="12"/>
      <c r="D165" s="12"/>
      <c r="E165" s="12"/>
      <c r="F165" s="12"/>
      <c r="G165" s="18"/>
      <c r="H165" s="35"/>
      <c r="I165" s="35"/>
      <c r="J165" s="12"/>
      <c r="O165" s="12"/>
      <c r="P165" s="18"/>
      <c r="Q165" s="12"/>
      <c r="R165" s="12"/>
      <c r="S165" s="12"/>
      <c r="T165" s="36"/>
      <c r="U165" s="36"/>
      <c r="V165" s="12"/>
      <c r="W165" s="12"/>
      <c r="X165" s="12"/>
      <c r="Y165" s="12"/>
      <c r="Z165" s="12"/>
    </row>
    <row r="166" customFormat="false" ht="15.75" hidden="false" customHeight="false" outlineLevel="0" collapsed="false">
      <c r="A166" s="12"/>
      <c r="B166" s="34"/>
      <c r="C166" s="12"/>
      <c r="D166" s="12"/>
      <c r="E166" s="12"/>
      <c r="F166" s="12"/>
      <c r="G166" s="18"/>
      <c r="H166" s="35"/>
      <c r="I166" s="35"/>
      <c r="J166" s="12"/>
      <c r="O166" s="12"/>
      <c r="P166" s="18"/>
      <c r="Q166" s="12"/>
      <c r="R166" s="12"/>
      <c r="S166" s="12"/>
      <c r="T166" s="36"/>
      <c r="U166" s="36"/>
      <c r="V166" s="12"/>
      <c r="W166" s="12"/>
      <c r="X166" s="12"/>
      <c r="Y166" s="12"/>
      <c r="Z166" s="12"/>
    </row>
    <row r="167" customFormat="false" ht="15.75" hidden="false" customHeight="false" outlineLevel="0" collapsed="false">
      <c r="A167" s="12"/>
      <c r="B167" s="34"/>
      <c r="C167" s="12"/>
      <c r="D167" s="12"/>
      <c r="E167" s="12"/>
      <c r="F167" s="12"/>
      <c r="G167" s="18"/>
      <c r="H167" s="35"/>
      <c r="I167" s="35"/>
      <c r="J167" s="12"/>
      <c r="O167" s="12"/>
      <c r="P167" s="18"/>
      <c r="Q167" s="12"/>
      <c r="R167" s="12"/>
      <c r="S167" s="12"/>
      <c r="T167" s="36"/>
      <c r="U167" s="36"/>
      <c r="V167" s="12"/>
      <c r="W167" s="12"/>
      <c r="X167" s="12"/>
      <c r="Y167" s="12"/>
      <c r="Z167" s="12"/>
    </row>
    <row r="168" customFormat="false" ht="15.75" hidden="false" customHeight="false" outlineLevel="0" collapsed="false">
      <c r="A168" s="12"/>
      <c r="B168" s="34"/>
      <c r="C168" s="12"/>
      <c r="D168" s="12"/>
      <c r="E168" s="12"/>
      <c r="F168" s="12"/>
      <c r="G168" s="18"/>
      <c r="H168" s="35"/>
      <c r="I168" s="35"/>
      <c r="J168" s="12"/>
      <c r="O168" s="12"/>
      <c r="P168" s="18"/>
      <c r="Q168" s="12"/>
      <c r="R168" s="12"/>
      <c r="S168" s="12"/>
      <c r="T168" s="36"/>
      <c r="U168" s="36"/>
      <c r="V168" s="12"/>
      <c r="W168" s="12"/>
      <c r="X168" s="12"/>
      <c r="Y168" s="12"/>
      <c r="Z168" s="12"/>
    </row>
    <row r="169" customFormat="false" ht="15.75" hidden="false" customHeight="false" outlineLevel="0" collapsed="false">
      <c r="A169" s="12"/>
      <c r="B169" s="34"/>
      <c r="C169" s="12"/>
      <c r="D169" s="12"/>
      <c r="E169" s="12"/>
      <c r="F169" s="12"/>
      <c r="G169" s="18"/>
      <c r="H169" s="35"/>
      <c r="I169" s="35"/>
      <c r="J169" s="12"/>
      <c r="O169" s="12"/>
      <c r="P169" s="18"/>
      <c r="Q169" s="12"/>
      <c r="R169" s="12"/>
      <c r="S169" s="12"/>
      <c r="T169" s="36"/>
      <c r="U169" s="36"/>
      <c r="V169" s="12"/>
      <c r="W169" s="12"/>
      <c r="X169" s="12"/>
      <c r="Y169" s="12"/>
      <c r="Z169" s="12"/>
    </row>
    <row r="170" customFormat="false" ht="15.75" hidden="false" customHeight="false" outlineLevel="0" collapsed="false">
      <c r="A170" s="12"/>
      <c r="B170" s="34"/>
      <c r="C170" s="12"/>
      <c r="D170" s="12"/>
      <c r="E170" s="12"/>
      <c r="F170" s="12"/>
      <c r="G170" s="18"/>
      <c r="H170" s="35"/>
      <c r="I170" s="35"/>
      <c r="J170" s="12"/>
      <c r="O170" s="12"/>
      <c r="P170" s="18"/>
      <c r="Q170" s="12"/>
      <c r="R170" s="12"/>
      <c r="S170" s="12"/>
      <c r="T170" s="36"/>
      <c r="U170" s="36"/>
      <c r="V170" s="12"/>
      <c r="W170" s="12"/>
      <c r="X170" s="12"/>
      <c r="Y170" s="12"/>
      <c r="Z170" s="12"/>
    </row>
    <row r="171" customFormat="false" ht="15.75" hidden="false" customHeight="false" outlineLevel="0" collapsed="false">
      <c r="A171" s="12"/>
      <c r="B171" s="34"/>
      <c r="C171" s="12"/>
      <c r="D171" s="12"/>
      <c r="E171" s="12"/>
      <c r="F171" s="12"/>
      <c r="G171" s="18"/>
      <c r="H171" s="35"/>
      <c r="I171" s="35"/>
      <c r="J171" s="12"/>
      <c r="O171" s="12"/>
      <c r="P171" s="18"/>
      <c r="Q171" s="12"/>
      <c r="R171" s="12"/>
      <c r="S171" s="12"/>
      <c r="T171" s="36"/>
      <c r="U171" s="36"/>
      <c r="V171" s="12"/>
      <c r="W171" s="12"/>
      <c r="X171" s="12"/>
      <c r="Y171" s="12"/>
      <c r="Z171" s="12"/>
    </row>
    <row r="172" customFormat="false" ht="15.75" hidden="false" customHeight="false" outlineLevel="0" collapsed="false">
      <c r="A172" s="12"/>
      <c r="B172" s="34"/>
      <c r="C172" s="12"/>
      <c r="D172" s="12"/>
      <c r="E172" s="12"/>
      <c r="F172" s="12"/>
      <c r="G172" s="18"/>
      <c r="H172" s="35"/>
      <c r="I172" s="35"/>
      <c r="J172" s="12"/>
      <c r="O172" s="12"/>
      <c r="P172" s="18"/>
      <c r="Q172" s="12"/>
      <c r="R172" s="12"/>
      <c r="S172" s="12"/>
      <c r="T172" s="36"/>
      <c r="U172" s="36"/>
      <c r="V172" s="12"/>
      <c r="W172" s="12"/>
      <c r="X172" s="12"/>
      <c r="Y172" s="12"/>
      <c r="Z172" s="12"/>
    </row>
    <row r="173" customFormat="false" ht="15.75" hidden="false" customHeight="false" outlineLevel="0" collapsed="false">
      <c r="A173" s="12"/>
      <c r="B173" s="34"/>
      <c r="C173" s="12"/>
      <c r="D173" s="12"/>
      <c r="E173" s="12"/>
      <c r="F173" s="12"/>
      <c r="G173" s="18"/>
      <c r="H173" s="35"/>
      <c r="I173" s="35"/>
      <c r="J173" s="12"/>
      <c r="O173" s="12"/>
      <c r="P173" s="18"/>
      <c r="Q173" s="12"/>
      <c r="R173" s="12"/>
      <c r="S173" s="12"/>
      <c r="T173" s="36"/>
      <c r="U173" s="36"/>
      <c r="V173" s="12"/>
      <c r="W173" s="12"/>
      <c r="X173" s="12"/>
      <c r="Y173" s="12"/>
      <c r="Z173" s="12"/>
    </row>
    <row r="174" customFormat="false" ht="15.75" hidden="false" customHeight="false" outlineLevel="0" collapsed="false">
      <c r="A174" s="12"/>
      <c r="B174" s="34"/>
      <c r="C174" s="12"/>
      <c r="D174" s="12"/>
      <c r="E174" s="12"/>
      <c r="F174" s="12"/>
      <c r="G174" s="18"/>
      <c r="H174" s="35"/>
      <c r="I174" s="35"/>
      <c r="J174" s="12"/>
      <c r="O174" s="12"/>
      <c r="P174" s="18"/>
      <c r="Q174" s="12"/>
      <c r="R174" s="12"/>
      <c r="S174" s="12"/>
      <c r="T174" s="36"/>
      <c r="U174" s="36"/>
      <c r="V174" s="12"/>
      <c r="W174" s="12"/>
      <c r="X174" s="12"/>
      <c r="Y174" s="12"/>
      <c r="Z174" s="12"/>
    </row>
    <row r="175" customFormat="false" ht="15.75" hidden="false" customHeight="false" outlineLevel="0" collapsed="false">
      <c r="A175" s="12"/>
      <c r="B175" s="34"/>
      <c r="C175" s="12"/>
      <c r="D175" s="12"/>
      <c r="E175" s="12"/>
      <c r="F175" s="12"/>
      <c r="G175" s="18"/>
      <c r="H175" s="35"/>
      <c r="I175" s="35"/>
      <c r="J175" s="12"/>
      <c r="O175" s="12"/>
      <c r="P175" s="18"/>
      <c r="Q175" s="12"/>
      <c r="R175" s="12"/>
      <c r="S175" s="12"/>
      <c r="T175" s="36"/>
      <c r="U175" s="36"/>
      <c r="V175" s="12"/>
      <c r="W175" s="12"/>
      <c r="X175" s="12"/>
      <c r="Y175" s="12"/>
      <c r="Z175" s="12"/>
    </row>
    <row r="176" customFormat="false" ht="15.75" hidden="false" customHeight="false" outlineLevel="0" collapsed="false">
      <c r="A176" s="12"/>
      <c r="B176" s="34"/>
      <c r="C176" s="12"/>
      <c r="D176" s="12"/>
      <c r="E176" s="12"/>
      <c r="F176" s="12"/>
      <c r="G176" s="18"/>
      <c r="H176" s="35"/>
      <c r="I176" s="35"/>
      <c r="J176" s="12"/>
      <c r="O176" s="12"/>
      <c r="P176" s="18"/>
      <c r="Q176" s="12"/>
      <c r="R176" s="12"/>
      <c r="S176" s="12"/>
      <c r="T176" s="36"/>
      <c r="U176" s="36"/>
      <c r="V176" s="12"/>
      <c r="W176" s="12"/>
      <c r="X176" s="12"/>
      <c r="Y176" s="12"/>
      <c r="Z176" s="12"/>
    </row>
    <row r="177" customFormat="false" ht="15.75" hidden="false" customHeight="false" outlineLevel="0" collapsed="false">
      <c r="A177" s="12"/>
      <c r="B177" s="34"/>
      <c r="C177" s="12"/>
      <c r="D177" s="12"/>
      <c r="E177" s="12"/>
      <c r="F177" s="12"/>
      <c r="G177" s="18"/>
      <c r="H177" s="35"/>
      <c r="I177" s="35"/>
      <c r="J177" s="12"/>
      <c r="O177" s="12"/>
      <c r="P177" s="18"/>
      <c r="Q177" s="12"/>
      <c r="R177" s="12"/>
      <c r="S177" s="12"/>
      <c r="T177" s="36"/>
      <c r="U177" s="36"/>
      <c r="V177" s="12"/>
      <c r="W177" s="12"/>
      <c r="X177" s="12"/>
      <c r="Y177" s="12"/>
      <c r="Z177" s="12"/>
    </row>
    <row r="178" customFormat="false" ht="15.75" hidden="false" customHeight="false" outlineLevel="0" collapsed="false">
      <c r="A178" s="12"/>
      <c r="B178" s="34"/>
      <c r="C178" s="12"/>
      <c r="D178" s="12"/>
      <c r="E178" s="12"/>
      <c r="F178" s="12"/>
      <c r="G178" s="18"/>
      <c r="H178" s="35"/>
      <c r="I178" s="35"/>
      <c r="J178" s="12"/>
      <c r="O178" s="12"/>
      <c r="P178" s="18"/>
      <c r="Q178" s="12"/>
      <c r="R178" s="12"/>
      <c r="S178" s="12"/>
      <c r="T178" s="36"/>
      <c r="U178" s="36"/>
      <c r="V178" s="12"/>
      <c r="W178" s="12"/>
      <c r="X178" s="12"/>
      <c r="Y178" s="12"/>
      <c r="Z178" s="12"/>
    </row>
    <row r="179" customFormat="false" ht="15.75" hidden="false" customHeight="false" outlineLevel="0" collapsed="false">
      <c r="A179" s="12"/>
      <c r="B179" s="34"/>
      <c r="C179" s="12"/>
      <c r="D179" s="12"/>
      <c r="E179" s="12"/>
      <c r="F179" s="12"/>
      <c r="G179" s="18"/>
      <c r="H179" s="35"/>
      <c r="I179" s="35"/>
      <c r="J179" s="12"/>
      <c r="O179" s="12"/>
      <c r="P179" s="18"/>
      <c r="Q179" s="12"/>
      <c r="R179" s="12"/>
      <c r="S179" s="12"/>
      <c r="T179" s="36"/>
      <c r="U179" s="36"/>
      <c r="V179" s="12"/>
      <c r="W179" s="12"/>
      <c r="X179" s="12"/>
      <c r="Y179" s="12"/>
      <c r="Z179" s="12"/>
    </row>
    <row r="180" customFormat="false" ht="15.75" hidden="false" customHeight="false" outlineLevel="0" collapsed="false">
      <c r="A180" s="12"/>
      <c r="B180" s="34"/>
      <c r="C180" s="12"/>
      <c r="D180" s="12"/>
      <c r="E180" s="12"/>
      <c r="F180" s="12"/>
      <c r="G180" s="18"/>
      <c r="H180" s="35"/>
      <c r="I180" s="35"/>
      <c r="J180" s="12"/>
      <c r="O180" s="12"/>
      <c r="P180" s="18"/>
      <c r="Q180" s="12"/>
      <c r="R180" s="12"/>
      <c r="S180" s="12"/>
      <c r="T180" s="36"/>
      <c r="U180" s="36"/>
      <c r="V180" s="12"/>
      <c r="W180" s="12"/>
      <c r="X180" s="12"/>
      <c r="Y180" s="12"/>
      <c r="Z180" s="12"/>
    </row>
    <row r="181" customFormat="false" ht="15.75" hidden="false" customHeight="false" outlineLevel="0" collapsed="false">
      <c r="A181" s="12"/>
      <c r="B181" s="34"/>
      <c r="C181" s="12"/>
      <c r="D181" s="12"/>
      <c r="E181" s="12"/>
      <c r="F181" s="12"/>
      <c r="G181" s="18"/>
      <c r="H181" s="35"/>
      <c r="I181" s="35"/>
      <c r="J181" s="12"/>
      <c r="O181" s="12"/>
      <c r="P181" s="18"/>
      <c r="Q181" s="12"/>
      <c r="R181" s="12"/>
      <c r="S181" s="12"/>
      <c r="T181" s="36"/>
      <c r="U181" s="36"/>
      <c r="V181" s="12"/>
      <c r="W181" s="12"/>
      <c r="X181" s="12"/>
      <c r="Y181" s="12"/>
      <c r="Z181" s="12"/>
    </row>
    <row r="182" customFormat="false" ht="15.75" hidden="false" customHeight="false" outlineLevel="0" collapsed="false">
      <c r="A182" s="12"/>
      <c r="B182" s="34"/>
      <c r="C182" s="12"/>
      <c r="D182" s="12"/>
      <c r="E182" s="12"/>
      <c r="F182" s="12"/>
      <c r="G182" s="18"/>
      <c r="H182" s="35"/>
      <c r="I182" s="35"/>
      <c r="J182" s="12"/>
      <c r="O182" s="12"/>
      <c r="P182" s="18"/>
      <c r="Q182" s="12"/>
      <c r="R182" s="12"/>
      <c r="S182" s="12"/>
      <c r="T182" s="36"/>
      <c r="U182" s="36"/>
      <c r="V182" s="12"/>
      <c r="W182" s="12"/>
      <c r="X182" s="12"/>
      <c r="Y182" s="12"/>
      <c r="Z182" s="12"/>
    </row>
    <row r="183" customFormat="false" ht="15.75" hidden="false" customHeight="false" outlineLevel="0" collapsed="false">
      <c r="A183" s="12"/>
      <c r="B183" s="34"/>
      <c r="C183" s="12"/>
      <c r="D183" s="12"/>
      <c r="E183" s="12"/>
      <c r="F183" s="12"/>
      <c r="G183" s="18"/>
      <c r="H183" s="35"/>
      <c r="I183" s="35"/>
      <c r="J183" s="12"/>
      <c r="O183" s="12"/>
      <c r="P183" s="18"/>
      <c r="Q183" s="12"/>
      <c r="R183" s="12"/>
      <c r="S183" s="12"/>
      <c r="T183" s="36"/>
      <c r="U183" s="36"/>
      <c r="V183" s="12"/>
      <c r="W183" s="12"/>
      <c r="X183" s="12"/>
      <c r="Y183" s="12"/>
      <c r="Z183" s="12"/>
    </row>
    <row r="184" customFormat="false" ht="15.75" hidden="false" customHeight="false" outlineLevel="0" collapsed="false">
      <c r="A184" s="12"/>
      <c r="B184" s="34"/>
      <c r="C184" s="12"/>
      <c r="D184" s="12"/>
      <c r="E184" s="12"/>
      <c r="F184" s="12"/>
      <c r="G184" s="18"/>
      <c r="H184" s="35"/>
      <c r="I184" s="35"/>
      <c r="J184" s="12"/>
      <c r="O184" s="12"/>
      <c r="P184" s="18"/>
      <c r="Q184" s="12"/>
      <c r="R184" s="12"/>
      <c r="S184" s="12"/>
      <c r="T184" s="36"/>
      <c r="U184" s="36"/>
      <c r="V184" s="12"/>
      <c r="W184" s="12"/>
      <c r="X184" s="12"/>
      <c r="Y184" s="12"/>
      <c r="Z184" s="12"/>
    </row>
    <row r="185" customFormat="false" ht="15.75" hidden="false" customHeight="false" outlineLevel="0" collapsed="false">
      <c r="A185" s="12"/>
      <c r="B185" s="34"/>
      <c r="C185" s="12"/>
      <c r="D185" s="12"/>
      <c r="E185" s="12"/>
      <c r="F185" s="12"/>
      <c r="G185" s="18"/>
      <c r="H185" s="35"/>
      <c r="I185" s="35"/>
      <c r="J185" s="12"/>
      <c r="O185" s="12"/>
      <c r="P185" s="18"/>
      <c r="Q185" s="12"/>
      <c r="R185" s="12"/>
      <c r="S185" s="12"/>
      <c r="T185" s="36"/>
      <c r="U185" s="36"/>
      <c r="V185" s="12"/>
      <c r="W185" s="12"/>
      <c r="X185" s="12"/>
      <c r="Y185" s="12"/>
      <c r="Z185" s="12"/>
    </row>
    <row r="186" customFormat="false" ht="15.75" hidden="false" customHeight="false" outlineLevel="0" collapsed="false">
      <c r="A186" s="12"/>
      <c r="B186" s="34"/>
      <c r="C186" s="12"/>
      <c r="D186" s="12"/>
      <c r="E186" s="12"/>
      <c r="F186" s="12"/>
      <c r="G186" s="18"/>
      <c r="H186" s="35"/>
      <c r="I186" s="35"/>
      <c r="J186" s="12"/>
      <c r="O186" s="12"/>
      <c r="P186" s="18"/>
      <c r="Q186" s="12"/>
      <c r="R186" s="12"/>
      <c r="S186" s="12"/>
      <c r="T186" s="36"/>
      <c r="U186" s="36"/>
      <c r="V186" s="12"/>
      <c r="W186" s="12"/>
      <c r="X186" s="12"/>
      <c r="Y186" s="12"/>
      <c r="Z186" s="12"/>
    </row>
    <row r="187" customFormat="false" ht="15.75" hidden="false" customHeight="false" outlineLevel="0" collapsed="false">
      <c r="A187" s="12"/>
      <c r="B187" s="34"/>
      <c r="C187" s="12"/>
      <c r="D187" s="12"/>
      <c r="E187" s="12"/>
      <c r="F187" s="12"/>
      <c r="G187" s="18"/>
      <c r="H187" s="35"/>
      <c r="I187" s="35"/>
      <c r="J187" s="12"/>
      <c r="O187" s="12"/>
      <c r="P187" s="18"/>
      <c r="Q187" s="12"/>
      <c r="R187" s="12"/>
      <c r="S187" s="12"/>
      <c r="T187" s="36"/>
      <c r="U187" s="36"/>
      <c r="V187" s="12"/>
      <c r="W187" s="12"/>
      <c r="X187" s="12"/>
      <c r="Y187" s="12"/>
      <c r="Z187" s="12"/>
    </row>
    <row r="188" customFormat="false" ht="15.75" hidden="false" customHeight="false" outlineLevel="0" collapsed="false">
      <c r="A188" s="12"/>
      <c r="B188" s="34"/>
      <c r="C188" s="12"/>
      <c r="D188" s="12"/>
      <c r="E188" s="12"/>
      <c r="F188" s="12"/>
      <c r="G188" s="18"/>
      <c r="H188" s="35"/>
      <c r="I188" s="35"/>
      <c r="J188" s="12"/>
      <c r="O188" s="12"/>
      <c r="P188" s="18"/>
      <c r="Q188" s="12"/>
      <c r="R188" s="12"/>
      <c r="S188" s="12"/>
      <c r="T188" s="36"/>
      <c r="U188" s="36"/>
      <c r="V188" s="12"/>
      <c r="W188" s="12"/>
      <c r="X188" s="12"/>
      <c r="Y188" s="12"/>
      <c r="Z188" s="12"/>
    </row>
    <row r="189" customFormat="false" ht="15.75" hidden="false" customHeight="false" outlineLevel="0" collapsed="false">
      <c r="A189" s="12"/>
      <c r="B189" s="34"/>
      <c r="C189" s="12"/>
      <c r="D189" s="12"/>
      <c r="E189" s="12"/>
      <c r="F189" s="12"/>
      <c r="G189" s="18"/>
      <c r="H189" s="35"/>
      <c r="I189" s="35"/>
      <c r="J189" s="12"/>
      <c r="O189" s="12"/>
      <c r="P189" s="18"/>
      <c r="Q189" s="12"/>
      <c r="R189" s="12"/>
      <c r="S189" s="12"/>
      <c r="T189" s="36"/>
      <c r="U189" s="36"/>
      <c r="V189" s="12"/>
      <c r="W189" s="12"/>
      <c r="X189" s="12"/>
      <c r="Y189" s="12"/>
      <c r="Z189" s="12"/>
    </row>
    <row r="190" customFormat="false" ht="15.75" hidden="false" customHeight="false" outlineLevel="0" collapsed="false">
      <c r="A190" s="12"/>
      <c r="B190" s="34"/>
      <c r="C190" s="12"/>
      <c r="D190" s="12"/>
      <c r="E190" s="12"/>
      <c r="F190" s="12"/>
      <c r="G190" s="18"/>
      <c r="H190" s="35"/>
      <c r="I190" s="35"/>
      <c r="J190" s="12"/>
      <c r="O190" s="12"/>
      <c r="P190" s="18"/>
      <c r="Q190" s="12"/>
      <c r="R190" s="12"/>
      <c r="S190" s="12"/>
      <c r="T190" s="36"/>
      <c r="U190" s="36"/>
      <c r="V190" s="12"/>
      <c r="W190" s="12"/>
      <c r="X190" s="12"/>
      <c r="Y190" s="12"/>
      <c r="Z190" s="12"/>
    </row>
    <row r="191" customFormat="false" ht="15.75" hidden="false" customHeight="false" outlineLevel="0" collapsed="false">
      <c r="A191" s="12"/>
      <c r="B191" s="34"/>
      <c r="C191" s="12"/>
      <c r="D191" s="12"/>
      <c r="E191" s="12"/>
      <c r="F191" s="12"/>
      <c r="G191" s="18"/>
      <c r="H191" s="35"/>
      <c r="I191" s="35"/>
      <c r="J191" s="12"/>
      <c r="O191" s="12"/>
      <c r="P191" s="18"/>
      <c r="Q191" s="12"/>
      <c r="R191" s="12"/>
      <c r="S191" s="12"/>
      <c r="T191" s="36"/>
      <c r="U191" s="36"/>
      <c r="V191" s="12"/>
      <c r="W191" s="12"/>
      <c r="X191" s="12"/>
      <c r="Y191" s="12"/>
      <c r="Z191" s="12"/>
    </row>
    <row r="192" customFormat="false" ht="15.75" hidden="false" customHeight="false" outlineLevel="0" collapsed="false">
      <c r="A192" s="12"/>
      <c r="B192" s="34"/>
      <c r="C192" s="12"/>
      <c r="D192" s="12"/>
      <c r="E192" s="12"/>
      <c r="F192" s="12"/>
      <c r="G192" s="18"/>
      <c r="H192" s="35"/>
      <c r="I192" s="35"/>
      <c r="J192" s="12"/>
      <c r="O192" s="12"/>
      <c r="P192" s="18"/>
      <c r="Q192" s="12"/>
      <c r="R192" s="12"/>
      <c r="S192" s="12"/>
      <c r="T192" s="36"/>
      <c r="U192" s="36"/>
      <c r="V192" s="12"/>
      <c r="W192" s="12"/>
      <c r="X192" s="12"/>
      <c r="Y192" s="12"/>
      <c r="Z192" s="12"/>
    </row>
    <row r="193" customFormat="false" ht="15.75" hidden="false" customHeight="false" outlineLevel="0" collapsed="false">
      <c r="A193" s="12"/>
      <c r="B193" s="34"/>
      <c r="C193" s="12"/>
      <c r="D193" s="12"/>
      <c r="E193" s="12"/>
      <c r="F193" s="12"/>
      <c r="G193" s="18"/>
      <c r="H193" s="35"/>
      <c r="I193" s="35"/>
      <c r="J193" s="12"/>
      <c r="O193" s="12"/>
      <c r="P193" s="18"/>
      <c r="Q193" s="12"/>
      <c r="R193" s="12"/>
      <c r="S193" s="12"/>
      <c r="T193" s="36"/>
      <c r="U193" s="36"/>
      <c r="V193" s="12"/>
      <c r="W193" s="12"/>
      <c r="X193" s="12"/>
      <c r="Y193" s="12"/>
      <c r="Z193" s="12"/>
    </row>
    <row r="194" customFormat="false" ht="15.75" hidden="false" customHeight="false" outlineLevel="0" collapsed="false">
      <c r="A194" s="12"/>
      <c r="B194" s="34"/>
      <c r="C194" s="12"/>
      <c r="D194" s="12"/>
      <c r="E194" s="12"/>
      <c r="F194" s="12"/>
      <c r="G194" s="18"/>
      <c r="H194" s="35"/>
      <c r="I194" s="35"/>
      <c r="J194" s="12"/>
      <c r="O194" s="12"/>
      <c r="P194" s="18"/>
      <c r="Q194" s="12"/>
      <c r="R194" s="12"/>
      <c r="S194" s="12"/>
      <c r="T194" s="36"/>
      <c r="U194" s="36"/>
      <c r="V194" s="12"/>
      <c r="W194" s="12"/>
      <c r="X194" s="12"/>
      <c r="Y194" s="12"/>
      <c r="Z194" s="12"/>
    </row>
    <row r="195" customFormat="false" ht="15.75" hidden="false" customHeight="false" outlineLevel="0" collapsed="false">
      <c r="A195" s="12"/>
      <c r="B195" s="34"/>
      <c r="C195" s="12"/>
      <c r="D195" s="12"/>
      <c r="E195" s="12"/>
      <c r="F195" s="12"/>
      <c r="G195" s="18"/>
      <c r="H195" s="35"/>
      <c r="I195" s="35"/>
      <c r="J195" s="12"/>
      <c r="O195" s="12"/>
      <c r="P195" s="18"/>
      <c r="Q195" s="12"/>
      <c r="R195" s="12"/>
      <c r="S195" s="12"/>
      <c r="T195" s="36"/>
      <c r="U195" s="36"/>
      <c r="V195" s="12"/>
      <c r="W195" s="12"/>
      <c r="X195" s="12"/>
      <c r="Y195" s="12"/>
      <c r="Z195" s="12"/>
    </row>
    <row r="196" customFormat="false" ht="15.75" hidden="false" customHeight="false" outlineLevel="0" collapsed="false">
      <c r="A196" s="12"/>
      <c r="B196" s="34"/>
      <c r="C196" s="12"/>
      <c r="D196" s="12"/>
      <c r="E196" s="12"/>
      <c r="F196" s="12"/>
      <c r="G196" s="18"/>
      <c r="H196" s="35"/>
      <c r="I196" s="35"/>
      <c r="J196" s="12"/>
      <c r="O196" s="12"/>
      <c r="P196" s="18"/>
      <c r="Q196" s="12"/>
      <c r="R196" s="12"/>
      <c r="S196" s="12"/>
      <c r="T196" s="36"/>
      <c r="U196" s="36"/>
      <c r="V196" s="12"/>
      <c r="W196" s="12"/>
      <c r="X196" s="12"/>
      <c r="Y196" s="12"/>
      <c r="Z196" s="12"/>
    </row>
    <row r="197" customFormat="false" ht="15.75" hidden="false" customHeight="false" outlineLevel="0" collapsed="false">
      <c r="A197" s="12"/>
      <c r="B197" s="34"/>
      <c r="C197" s="12"/>
      <c r="D197" s="12"/>
      <c r="E197" s="12"/>
      <c r="F197" s="12"/>
      <c r="G197" s="18"/>
      <c r="H197" s="35"/>
      <c r="I197" s="35"/>
      <c r="J197" s="12"/>
      <c r="O197" s="12"/>
      <c r="P197" s="18"/>
      <c r="Q197" s="12"/>
      <c r="R197" s="12"/>
      <c r="S197" s="12"/>
      <c r="T197" s="36"/>
      <c r="U197" s="36"/>
      <c r="V197" s="12"/>
      <c r="W197" s="12"/>
      <c r="X197" s="12"/>
      <c r="Y197" s="12"/>
      <c r="Z197" s="12"/>
    </row>
    <row r="198" customFormat="false" ht="15.75" hidden="false" customHeight="false" outlineLevel="0" collapsed="false">
      <c r="A198" s="12"/>
      <c r="B198" s="34"/>
      <c r="C198" s="12"/>
      <c r="D198" s="12"/>
      <c r="E198" s="12"/>
      <c r="F198" s="12"/>
      <c r="G198" s="18"/>
      <c r="H198" s="35"/>
      <c r="I198" s="35"/>
      <c r="J198" s="12"/>
      <c r="O198" s="12"/>
      <c r="P198" s="18"/>
      <c r="Q198" s="12"/>
      <c r="R198" s="12"/>
      <c r="S198" s="12"/>
      <c r="T198" s="36"/>
      <c r="U198" s="36"/>
      <c r="V198" s="12"/>
      <c r="W198" s="12"/>
      <c r="X198" s="12"/>
      <c r="Y198" s="12"/>
      <c r="Z198" s="12"/>
    </row>
    <row r="199" customFormat="false" ht="15.75" hidden="false" customHeight="false" outlineLevel="0" collapsed="false">
      <c r="A199" s="12"/>
      <c r="B199" s="34"/>
      <c r="C199" s="12"/>
      <c r="D199" s="12"/>
      <c r="E199" s="12"/>
      <c r="F199" s="12"/>
      <c r="G199" s="18"/>
      <c r="H199" s="35"/>
      <c r="I199" s="35"/>
      <c r="J199" s="12"/>
      <c r="O199" s="12"/>
      <c r="P199" s="18"/>
      <c r="Q199" s="12"/>
      <c r="R199" s="12"/>
      <c r="S199" s="12"/>
      <c r="T199" s="36"/>
      <c r="U199" s="36"/>
      <c r="V199" s="12"/>
      <c r="W199" s="12"/>
      <c r="X199" s="12"/>
      <c r="Y199" s="12"/>
      <c r="Z199" s="12"/>
    </row>
    <row r="200" customFormat="false" ht="15.75" hidden="false" customHeight="false" outlineLevel="0" collapsed="false">
      <c r="A200" s="12"/>
      <c r="B200" s="34"/>
      <c r="C200" s="12"/>
      <c r="D200" s="12"/>
      <c r="E200" s="12"/>
      <c r="F200" s="12"/>
      <c r="G200" s="18"/>
      <c r="H200" s="35"/>
      <c r="I200" s="35"/>
      <c r="J200" s="12"/>
      <c r="O200" s="12"/>
      <c r="P200" s="18"/>
      <c r="Q200" s="12"/>
      <c r="R200" s="12"/>
      <c r="S200" s="12"/>
      <c r="T200" s="36"/>
      <c r="U200" s="36"/>
      <c r="V200" s="12"/>
      <c r="W200" s="12"/>
      <c r="X200" s="12"/>
      <c r="Y200" s="12"/>
      <c r="Z200" s="12"/>
    </row>
    <row r="201" customFormat="false" ht="15.75" hidden="false" customHeight="false" outlineLevel="0" collapsed="false">
      <c r="A201" s="12"/>
      <c r="B201" s="34"/>
      <c r="C201" s="12"/>
      <c r="D201" s="12"/>
      <c r="E201" s="12"/>
      <c r="F201" s="12"/>
      <c r="G201" s="18"/>
      <c r="H201" s="35"/>
      <c r="I201" s="35"/>
      <c r="J201" s="12"/>
      <c r="O201" s="12"/>
      <c r="P201" s="18"/>
      <c r="Q201" s="12"/>
      <c r="R201" s="12"/>
      <c r="S201" s="12"/>
      <c r="T201" s="36"/>
      <c r="U201" s="36"/>
      <c r="V201" s="12"/>
      <c r="W201" s="12"/>
      <c r="X201" s="12"/>
      <c r="Y201" s="12"/>
      <c r="Z201" s="12"/>
    </row>
    <row r="202" customFormat="false" ht="15.75" hidden="false" customHeight="false" outlineLevel="0" collapsed="false">
      <c r="A202" s="12"/>
      <c r="B202" s="34"/>
      <c r="C202" s="12"/>
      <c r="D202" s="12"/>
      <c r="E202" s="12"/>
      <c r="F202" s="12"/>
      <c r="G202" s="18"/>
      <c r="H202" s="35"/>
      <c r="I202" s="35"/>
      <c r="J202" s="12"/>
      <c r="O202" s="12"/>
      <c r="P202" s="18"/>
      <c r="Q202" s="12"/>
      <c r="R202" s="12"/>
      <c r="S202" s="12"/>
      <c r="T202" s="36"/>
      <c r="U202" s="36"/>
      <c r="V202" s="12"/>
      <c r="W202" s="12"/>
      <c r="X202" s="12"/>
      <c r="Y202" s="12"/>
      <c r="Z202" s="12"/>
    </row>
    <row r="203" customFormat="false" ht="15.75" hidden="false" customHeight="false" outlineLevel="0" collapsed="false">
      <c r="A203" s="12"/>
      <c r="B203" s="34"/>
      <c r="C203" s="12"/>
      <c r="D203" s="12"/>
      <c r="E203" s="12"/>
      <c r="F203" s="12"/>
      <c r="G203" s="18"/>
      <c r="H203" s="35"/>
      <c r="I203" s="35"/>
      <c r="J203" s="12"/>
      <c r="O203" s="12"/>
      <c r="P203" s="18"/>
      <c r="Q203" s="12"/>
      <c r="R203" s="12"/>
      <c r="S203" s="12"/>
      <c r="T203" s="36"/>
      <c r="U203" s="36"/>
      <c r="V203" s="12"/>
      <c r="W203" s="12"/>
      <c r="X203" s="12"/>
      <c r="Y203" s="12"/>
      <c r="Z203" s="12"/>
    </row>
    <row r="204" customFormat="false" ht="15.75" hidden="false" customHeight="false" outlineLevel="0" collapsed="false">
      <c r="A204" s="12"/>
      <c r="B204" s="34"/>
      <c r="C204" s="12"/>
      <c r="D204" s="12"/>
      <c r="E204" s="12"/>
      <c r="F204" s="12"/>
      <c r="G204" s="18"/>
      <c r="H204" s="35"/>
      <c r="I204" s="35"/>
      <c r="J204" s="12"/>
      <c r="O204" s="12"/>
      <c r="P204" s="18"/>
      <c r="Q204" s="12"/>
      <c r="R204" s="12"/>
      <c r="S204" s="12"/>
      <c r="T204" s="36"/>
      <c r="U204" s="36"/>
      <c r="V204" s="12"/>
      <c r="W204" s="12"/>
      <c r="X204" s="12"/>
      <c r="Y204" s="12"/>
      <c r="Z204" s="12"/>
    </row>
    <row r="205" customFormat="false" ht="15.75" hidden="false" customHeight="false" outlineLevel="0" collapsed="false">
      <c r="A205" s="12"/>
      <c r="B205" s="34"/>
      <c r="C205" s="12"/>
      <c r="D205" s="12"/>
      <c r="E205" s="12"/>
      <c r="F205" s="12"/>
      <c r="G205" s="18"/>
      <c r="H205" s="35"/>
      <c r="I205" s="35"/>
      <c r="J205" s="12"/>
      <c r="O205" s="12"/>
      <c r="P205" s="18"/>
      <c r="Q205" s="12"/>
      <c r="R205" s="12"/>
      <c r="S205" s="12"/>
      <c r="T205" s="36"/>
      <c r="U205" s="36"/>
      <c r="V205" s="12"/>
      <c r="W205" s="12"/>
      <c r="X205" s="12"/>
      <c r="Y205" s="12"/>
      <c r="Z205" s="12"/>
    </row>
    <row r="206" customFormat="false" ht="15.75" hidden="false" customHeight="false" outlineLevel="0" collapsed="false">
      <c r="A206" s="12"/>
      <c r="B206" s="34"/>
      <c r="C206" s="12"/>
      <c r="D206" s="12"/>
      <c r="E206" s="12"/>
      <c r="F206" s="12"/>
      <c r="G206" s="18"/>
      <c r="H206" s="35"/>
      <c r="I206" s="35"/>
      <c r="J206" s="12"/>
      <c r="O206" s="12"/>
      <c r="P206" s="18"/>
      <c r="Q206" s="12"/>
      <c r="R206" s="12"/>
      <c r="S206" s="12"/>
      <c r="T206" s="36"/>
      <c r="U206" s="36"/>
      <c r="V206" s="12"/>
      <c r="W206" s="12"/>
      <c r="X206" s="12"/>
      <c r="Y206" s="12"/>
      <c r="Z206" s="12"/>
    </row>
    <row r="207" customFormat="false" ht="15.75" hidden="false" customHeight="false" outlineLevel="0" collapsed="false">
      <c r="A207" s="12"/>
      <c r="B207" s="34"/>
      <c r="C207" s="12"/>
      <c r="D207" s="12"/>
      <c r="E207" s="12"/>
      <c r="F207" s="12"/>
      <c r="G207" s="18"/>
      <c r="H207" s="35"/>
      <c r="I207" s="35"/>
      <c r="J207" s="12"/>
      <c r="O207" s="12"/>
      <c r="P207" s="18"/>
      <c r="Q207" s="12"/>
      <c r="R207" s="12"/>
      <c r="S207" s="12"/>
      <c r="T207" s="36"/>
      <c r="U207" s="36"/>
      <c r="V207" s="12"/>
      <c r="W207" s="12"/>
      <c r="X207" s="12"/>
      <c r="Y207" s="12"/>
      <c r="Z207" s="12"/>
    </row>
    <row r="208" customFormat="false" ht="15.75" hidden="false" customHeight="false" outlineLevel="0" collapsed="false">
      <c r="A208" s="12"/>
      <c r="B208" s="34"/>
      <c r="C208" s="12"/>
      <c r="D208" s="12"/>
      <c r="E208" s="12"/>
      <c r="F208" s="12"/>
      <c r="G208" s="18"/>
      <c r="H208" s="35"/>
      <c r="I208" s="35"/>
      <c r="J208" s="12"/>
      <c r="O208" s="12"/>
      <c r="P208" s="18"/>
      <c r="Q208" s="12"/>
      <c r="R208" s="12"/>
      <c r="S208" s="12"/>
      <c r="T208" s="36"/>
      <c r="U208" s="36"/>
      <c r="V208" s="12"/>
      <c r="W208" s="12"/>
      <c r="X208" s="12"/>
      <c r="Y208" s="12"/>
      <c r="Z208" s="12"/>
    </row>
    <row r="209" customFormat="false" ht="15.75" hidden="false" customHeight="false" outlineLevel="0" collapsed="false">
      <c r="A209" s="12"/>
      <c r="B209" s="34"/>
      <c r="C209" s="12"/>
      <c r="D209" s="12"/>
      <c r="E209" s="12"/>
      <c r="F209" s="12"/>
      <c r="G209" s="18"/>
      <c r="H209" s="35"/>
      <c r="I209" s="35"/>
      <c r="J209" s="12"/>
      <c r="O209" s="12"/>
      <c r="P209" s="18"/>
      <c r="Q209" s="12"/>
      <c r="R209" s="12"/>
      <c r="S209" s="12"/>
      <c r="T209" s="36"/>
      <c r="U209" s="36"/>
      <c r="V209" s="12"/>
      <c r="W209" s="12"/>
      <c r="X209" s="12"/>
      <c r="Y209" s="12"/>
      <c r="Z209" s="12"/>
    </row>
    <row r="210" customFormat="false" ht="15.75" hidden="false" customHeight="false" outlineLevel="0" collapsed="false">
      <c r="A210" s="12"/>
      <c r="B210" s="34"/>
      <c r="C210" s="12"/>
      <c r="D210" s="12"/>
      <c r="E210" s="12"/>
      <c r="F210" s="12"/>
      <c r="G210" s="18"/>
      <c r="H210" s="35"/>
      <c r="I210" s="35"/>
      <c r="J210" s="12"/>
      <c r="O210" s="12"/>
      <c r="P210" s="18"/>
      <c r="Q210" s="12"/>
      <c r="R210" s="12"/>
      <c r="S210" s="12"/>
      <c r="T210" s="36"/>
      <c r="U210" s="36"/>
      <c r="V210" s="12"/>
      <c r="W210" s="12"/>
      <c r="X210" s="12"/>
      <c r="Y210" s="12"/>
      <c r="Z210" s="12"/>
    </row>
    <row r="211" customFormat="false" ht="15.75" hidden="false" customHeight="false" outlineLevel="0" collapsed="false">
      <c r="A211" s="12"/>
      <c r="B211" s="34"/>
      <c r="C211" s="12"/>
      <c r="D211" s="12"/>
      <c r="E211" s="12"/>
      <c r="F211" s="12"/>
      <c r="G211" s="18"/>
      <c r="H211" s="35"/>
      <c r="I211" s="35"/>
      <c r="J211" s="12"/>
      <c r="O211" s="12"/>
      <c r="P211" s="18"/>
      <c r="Q211" s="12"/>
      <c r="R211" s="12"/>
      <c r="S211" s="12"/>
      <c r="T211" s="36"/>
      <c r="U211" s="36"/>
      <c r="V211" s="12"/>
      <c r="W211" s="12"/>
      <c r="X211" s="12"/>
      <c r="Y211" s="12"/>
      <c r="Z211" s="12"/>
    </row>
    <row r="212" customFormat="false" ht="15.75" hidden="false" customHeight="false" outlineLevel="0" collapsed="false">
      <c r="A212" s="12"/>
      <c r="B212" s="34"/>
      <c r="C212" s="12"/>
      <c r="D212" s="12"/>
      <c r="E212" s="12"/>
      <c r="F212" s="12"/>
      <c r="G212" s="18"/>
      <c r="H212" s="35"/>
      <c r="I212" s="35"/>
      <c r="J212" s="12"/>
      <c r="O212" s="12"/>
      <c r="P212" s="18"/>
      <c r="Q212" s="12"/>
      <c r="R212" s="12"/>
      <c r="S212" s="12"/>
      <c r="T212" s="36"/>
      <c r="U212" s="36"/>
      <c r="V212" s="12"/>
      <c r="W212" s="12"/>
      <c r="X212" s="12"/>
      <c r="Y212" s="12"/>
      <c r="Z212" s="12"/>
    </row>
    <row r="213" customFormat="false" ht="15.75" hidden="false" customHeight="false" outlineLevel="0" collapsed="false">
      <c r="A213" s="12"/>
      <c r="B213" s="34"/>
      <c r="C213" s="12"/>
      <c r="D213" s="12"/>
      <c r="E213" s="12"/>
      <c r="F213" s="12"/>
      <c r="G213" s="18"/>
      <c r="H213" s="35"/>
      <c r="I213" s="35"/>
      <c r="J213" s="12"/>
      <c r="O213" s="12"/>
      <c r="P213" s="18"/>
      <c r="Q213" s="12"/>
      <c r="R213" s="12"/>
      <c r="S213" s="12"/>
      <c r="T213" s="36"/>
      <c r="U213" s="36"/>
      <c r="V213" s="12"/>
      <c r="W213" s="12"/>
      <c r="X213" s="12"/>
      <c r="Y213" s="12"/>
      <c r="Z213" s="12"/>
    </row>
    <row r="214" customFormat="false" ht="15.75" hidden="false" customHeight="false" outlineLevel="0" collapsed="false">
      <c r="A214" s="12"/>
      <c r="B214" s="34"/>
      <c r="C214" s="12"/>
      <c r="D214" s="12"/>
      <c r="E214" s="12"/>
      <c r="F214" s="12"/>
      <c r="G214" s="18"/>
      <c r="H214" s="35"/>
      <c r="I214" s="35"/>
      <c r="J214" s="12"/>
      <c r="O214" s="12"/>
      <c r="P214" s="18"/>
      <c r="Q214" s="12"/>
      <c r="R214" s="12"/>
      <c r="S214" s="12"/>
      <c r="T214" s="36"/>
      <c r="U214" s="36"/>
      <c r="V214" s="12"/>
      <c r="W214" s="12"/>
      <c r="X214" s="12"/>
      <c r="Y214" s="12"/>
      <c r="Z214" s="12"/>
    </row>
    <row r="215" customFormat="false" ht="15.75" hidden="false" customHeight="false" outlineLevel="0" collapsed="false">
      <c r="A215" s="12"/>
      <c r="B215" s="34"/>
      <c r="C215" s="12"/>
      <c r="D215" s="12"/>
      <c r="E215" s="12"/>
      <c r="F215" s="12"/>
      <c r="G215" s="18"/>
      <c r="H215" s="35"/>
      <c r="I215" s="35"/>
      <c r="J215" s="12"/>
      <c r="O215" s="12"/>
      <c r="P215" s="18"/>
      <c r="Q215" s="12"/>
      <c r="R215" s="12"/>
      <c r="S215" s="12"/>
      <c r="T215" s="36"/>
      <c r="U215" s="36"/>
      <c r="V215" s="12"/>
      <c r="W215" s="12"/>
      <c r="X215" s="12"/>
      <c r="Y215" s="12"/>
      <c r="Z215" s="12"/>
    </row>
    <row r="216" customFormat="false" ht="15.75" hidden="false" customHeight="false" outlineLevel="0" collapsed="false">
      <c r="A216" s="12"/>
      <c r="B216" s="34"/>
      <c r="C216" s="12"/>
      <c r="D216" s="12"/>
      <c r="E216" s="12"/>
      <c r="F216" s="12"/>
      <c r="G216" s="18"/>
      <c r="H216" s="35"/>
      <c r="I216" s="35"/>
      <c r="J216" s="12"/>
      <c r="O216" s="12"/>
      <c r="P216" s="18"/>
      <c r="Q216" s="12"/>
      <c r="R216" s="12"/>
      <c r="S216" s="12"/>
      <c r="T216" s="36"/>
      <c r="U216" s="36"/>
      <c r="V216" s="12"/>
      <c r="W216" s="12"/>
      <c r="X216" s="12"/>
      <c r="Y216" s="12"/>
      <c r="Z216" s="12"/>
    </row>
    <row r="217" customFormat="false" ht="15.75" hidden="false" customHeight="false" outlineLevel="0" collapsed="false">
      <c r="A217" s="12"/>
      <c r="B217" s="34"/>
      <c r="C217" s="12"/>
      <c r="D217" s="12"/>
      <c r="E217" s="12"/>
      <c r="F217" s="12"/>
      <c r="G217" s="18"/>
      <c r="H217" s="35"/>
      <c r="I217" s="35"/>
      <c r="J217" s="12"/>
      <c r="O217" s="12"/>
      <c r="P217" s="18"/>
      <c r="Q217" s="12"/>
      <c r="R217" s="12"/>
      <c r="S217" s="12"/>
      <c r="T217" s="36"/>
      <c r="U217" s="36"/>
      <c r="V217" s="12"/>
      <c r="W217" s="12"/>
      <c r="X217" s="12"/>
      <c r="Y217" s="12"/>
      <c r="Z217" s="12"/>
    </row>
    <row r="218" customFormat="false" ht="15.75" hidden="false" customHeight="false" outlineLevel="0" collapsed="false">
      <c r="A218" s="12"/>
      <c r="B218" s="34"/>
      <c r="C218" s="12"/>
      <c r="D218" s="12"/>
      <c r="E218" s="12"/>
      <c r="F218" s="12"/>
      <c r="G218" s="18"/>
      <c r="H218" s="35"/>
      <c r="I218" s="35"/>
      <c r="J218" s="12"/>
      <c r="O218" s="12"/>
      <c r="P218" s="18"/>
      <c r="Q218" s="12"/>
      <c r="R218" s="12"/>
      <c r="S218" s="12"/>
      <c r="T218" s="36"/>
      <c r="U218" s="36"/>
      <c r="V218" s="12"/>
      <c r="W218" s="12"/>
      <c r="X218" s="12"/>
      <c r="Y218" s="12"/>
      <c r="Z218" s="12"/>
    </row>
    <row r="219" customFormat="false" ht="15.75" hidden="false" customHeight="false" outlineLevel="0" collapsed="false">
      <c r="A219" s="12"/>
      <c r="B219" s="34"/>
      <c r="C219" s="12"/>
      <c r="D219" s="12"/>
      <c r="E219" s="12"/>
      <c r="F219" s="12"/>
      <c r="G219" s="18"/>
      <c r="H219" s="35"/>
      <c r="I219" s="35"/>
      <c r="J219" s="12"/>
      <c r="O219" s="12"/>
      <c r="P219" s="18"/>
      <c r="Q219" s="12"/>
      <c r="R219" s="12"/>
      <c r="S219" s="12"/>
      <c r="T219" s="36"/>
      <c r="U219" s="36"/>
      <c r="V219" s="12"/>
      <c r="W219" s="12"/>
      <c r="X219" s="12"/>
      <c r="Y219" s="12"/>
      <c r="Z219" s="12"/>
    </row>
    <row r="220" customFormat="false" ht="15.75" hidden="false" customHeight="false" outlineLevel="0" collapsed="false">
      <c r="A220" s="12"/>
      <c r="B220" s="34"/>
      <c r="C220" s="12"/>
      <c r="D220" s="12"/>
      <c r="E220" s="12"/>
      <c r="F220" s="12"/>
      <c r="G220" s="18"/>
      <c r="H220" s="35"/>
      <c r="I220" s="35"/>
      <c r="J220" s="12"/>
      <c r="O220" s="12"/>
      <c r="P220" s="18"/>
      <c r="Q220" s="12"/>
      <c r="R220" s="12"/>
      <c r="S220" s="12"/>
      <c r="T220" s="36"/>
      <c r="U220" s="36"/>
      <c r="V220" s="12"/>
      <c r="W220" s="12"/>
      <c r="X220" s="12"/>
      <c r="Y220" s="12"/>
      <c r="Z220" s="12"/>
    </row>
    <row r="221" customFormat="false" ht="15.75" hidden="false" customHeight="false" outlineLevel="0" collapsed="false">
      <c r="A221" s="12"/>
      <c r="B221" s="34"/>
      <c r="C221" s="12"/>
      <c r="D221" s="12"/>
      <c r="E221" s="12"/>
      <c r="F221" s="12"/>
      <c r="G221" s="18"/>
      <c r="H221" s="35"/>
      <c r="I221" s="35"/>
      <c r="J221" s="12"/>
      <c r="O221" s="12"/>
      <c r="P221" s="18"/>
      <c r="Q221" s="12"/>
      <c r="R221" s="12"/>
      <c r="S221" s="12"/>
      <c r="T221" s="36"/>
      <c r="U221" s="36"/>
      <c r="V221" s="12"/>
      <c r="W221" s="12"/>
      <c r="X221" s="12"/>
      <c r="Y221" s="12"/>
      <c r="Z221" s="12"/>
    </row>
    <row r="222" customFormat="false" ht="15.75" hidden="false" customHeight="false" outlineLevel="0" collapsed="false">
      <c r="A222" s="12"/>
      <c r="B222" s="34"/>
      <c r="C222" s="12"/>
      <c r="D222" s="12"/>
      <c r="E222" s="12"/>
      <c r="F222" s="12"/>
      <c r="G222" s="18"/>
      <c r="H222" s="35"/>
      <c r="I222" s="35"/>
      <c r="J222" s="12"/>
      <c r="O222" s="12"/>
      <c r="P222" s="18"/>
      <c r="Q222" s="12"/>
      <c r="R222" s="12"/>
      <c r="S222" s="12"/>
      <c r="T222" s="36"/>
      <c r="U222" s="36"/>
      <c r="V222" s="12"/>
      <c r="W222" s="12"/>
      <c r="X222" s="12"/>
      <c r="Y222" s="12"/>
      <c r="Z222" s="12"/>
    </row>
    <row r="223" customFormat="false" ht="15.75" hidden="false" customHeight="false" outlineLevel="0" collapsed="false">
      <c r="A223" s="12"/>
      <c r="B223" s="34"/>
      <c r="C223" s="12"/>
      <c r="D223" s="12"/>
      <c r="E223" s="12"/>
      <c r="F223" s="12"/>
      <c r="G223" s="18"/>
      <c r="H223" s="35"/>
      <c r="I223" s="35"/>
      <c r="J223" s="12"/>
      <c r="O223" s="12"/>
      <c r="P223" s="18"/>
      <c r="Q223" s="12"/>
      <c r="R223" s="12"/>
      <c r="S223" s="12"/>
      <c r="T223" s="36"/>
      <c r="U223" s="36"/>
      <c r="V223" s="12"/>
      <c r="W223" s="12"/>
      <c r="X223" s="12"/>
      <c r="Y223" s="12"/>
      <c r="Z223" s="12"/>
    </row>
    <row r="224" customFormat="false" ht="15.75" hidden="false" customHeight="false" outlineLevel="0" collapsed="false">
      <c r="A224" s="12"/>
      <c r="B224" s="34"/>
      <c r="C224" s="12"/>
      <c r="D224" s="12"/>
      <c r="E224" s="12"/>
      <c r="F224" s="12"/>
      <c r="G224" s="18"/>
      <c r="H224" s="35"/>
      <c r="I224" s="35"/>
      <c r="J224" s="12"/>
      <c r="O224" s="12"/>
      <c r="P224" s="18"/>
      <c r="Q224" s="12"/>
      <c r="R224" s="12"/>
      <c r="S224" s="12"/>
      <c r="T224" s="36"/>
      <c r="U224" s="36"/>
      <c r="V224" s="12"/>
      <c r="W224" s="12"/>
      <c r="X224" s="12"/>
      <c r="Y224" s="12"/>
      <c r="Z224" s="12"/>
    </row>
    <row r="225" customFormat="false" ht="15.75" hidden="false" customHeight="false" outlineLevel="0" collapsed="false">
      <c r="A225" s="12"/>
      <c r="B225" s="34"/>
      <c r="C225" s="12"/>
      <c r="D225" s="12"/>
      <c r="E225" s="12"/>
      <c r="F225" s="12"/>
      <c r="G225" s="18"/>
      <c r="H225" s="35"/>
      <c r="I225" s="35"/>
      <c r="J225" s="12"/>
      <c r="O225" s="12"/>
      <c r="P225" s="18"/>
      <c r="Q225" s="12"/>
      <c r="R225" s="12"/>
      <c r="S225" s="12"/>
      <c r="T225" s="36"/>
      <c r="U225" s="36"/>
      <c r="V225" s="12"/>
      <c r="W225" s="12"/>
      <c r="X225" s="12"/>
      <c r="Y225" s="12"/>
      <c r="Z225" s="12"/>
    </row>
    <row r="226" customFormat="false" ht="15.75" hidden="false" customHeight="false" outlineLevel="0" collapsed="false">
      <c r="A226" s="12"/>
      <c r="B226" s="34"/>
      <c r="C226" s="12"/>
      <c r="D226" s="12"/>
      <c r="E226" s="12"/>
      <c r="F226" s="12"/>
      <c r="G226" s="18"/>
      <c r="H226" s="35"/>
      <c r="I226" s="35"/>
      <c r="J226" s="12"/>
      <c r="O226" s="12"/>
      <c r="P226" s="18"/>
      <c r="Q226" s="12"/>
      <c r="R226" s="12"/>
      <c r="S226" s="12"/>
      <c r="T226" s="36"/>
      <c r="U226" s="36"/>
      <c r="V226" s="12"/>
      <c r="W226" s="12"/>
      <c r="X226" s="12"/>
      <c r="Y226" s="12"/>
      <c r="Z226" s="12"/>
    </row>
    <row r="227" customFormat="false" ht="15.75" hidden="false" customHeight="false" outlineLevel="0" collapsed="false">
      <c r="A227" s="12"/>
      <c r="B227" s="34"/>
      <c r="C227" s="12"/>
      <c r="D227" s="12"/>
      <c r="E227" s="12"/>
      <c r="F227" s="12"/>
      <c r="G227" s="18"/>
      <c r="H227" s="35"/>
      <c r="I227" s="35"/>
      <c r="J227" s="12"/>
      <c r="O227" s="12"/>
      <c r="P227" s="18"/>
      <c r="Q227" s="12"/>
      <c r="R227" s="12"/>
      <c r="S227" s="12"/>
      <c r="T227" s="36"/>
      <c r="U227" s="36"/>
      <c r="V227" s="12"/>
      <c r="W227" s="12"/>
      <c r="X227" s="12"/>
      <c r="Y227" s="12"/>
      <c r="Z227" s="12"/>
    </row>
    <row r="228" customFormat="false" ht="15.75" hidden="false" customHeight="false" outlineLevel="0" collapsed="false">
      <c r="A228" s="12"/>
      <c r="B228" s="34"/>
      <c r="C228" s="12"/>
      <c r="D228" s="12"/>
      <c r="E228" s="12"/>
      <c r="F228" s="12"/>
      <c r="G228" s="18"/>
      <c r="H228" s="35"/>
      <c r="I228" s="35"/>
      <c r="J228" s="12"/>
      <c r="O228" s="12"/>
      <c r="P228" s="18"/>
      <c r="Q228" s="12"/>
      <c r="R228" s="12"/>
      <c r="S228" s="12"/>
      <c r="T228" s="36"/>
      <c r="U228" s="36"/>
      <c r="V228" s="12"/>
      <c r="W228" s="12"/>
      <c r="X228" s="12"/>
      <c r="Y228" s="12"/>
      <c r="Z228" s="12"/>
    </row>
    <row r="229" customFormat="false" ht="15.75" hidden="false" customHeight="false" outlineLevel="0" collapsed="false">
      <c r="A229" s="12"/>
      <c r="B229" s="34"/>
      <c r="C229" s="12"/>
      <c r="D229" s="12"/>
      <c r="E229" s="12"/>
      <c r="F229" s="12"/>
      <c r="G229" s="18"/>
      <c r="H229" s="35"/>
      <c r="I229" s="35"/>
      <c r="J229" s="12"/>
      <c r="O229" s="12"/>
      <c r="P229" s="18"/>
      <c r="Q229" s="12"/>
      <c r="R229" s="12"/>
      <c r="S229" s="12"/>
      <c r="T229" s="36"/>
      <c r="U229" s="36"/>
      <c r="V229" s="12"/>
      <c r="W229" s="12"/>
      <c r="X229" s="12"/>
      <c r="Y229" s="12"/>
      <c r="Z229" s="12"/>
    </row>
    <row r="230" customFormat="false" ht="15.75" hidden="false" customHeight="false" outlineLevel="0" collapsed="false">
      <c r="A230" s="12"/>
      <c r="B230" s="34"/>
      <c r="C230" s="12"/>
      <c r="D230" s="12"/>
      <c r="E230" s="12"/>
      <c r="F230" s="12"/>
      <c r="G230" s="18"/>
      <c r="H230" s="35"/>
      <c r="I230" s="35"/>
      <c r="J230" s="12"/>
      <c r="O230" s="12"/>
      <c r="P230" s="18"/>
      <c r="Q230" s="12"/>
      <c r="R230" s="12"/>
      <c r="S230" s="12"/>
      <c r="T230" s="36"/>
      <c r="U230" s="36"/>
      <c r="V230" s="12"/>
      <c r="W230" s="12"/>
      <c r="X230" s="12"/>
      <c r="Y230" s="12"/>
      <c r="Z230" s="12"/>
    </row>
    <row r="231" customFormat="false" ht="15.75" hidden="false" customHeight="false" outlineLevel="0" collapsed="false">
      <c r="A231" s="12"/>
      <c r="B231" s="34"/>
      <c r="C231" s="12"/>
      <c r="D231" s="12"/>
      <c r="E231" s="12"/>
      <c r="F231" s="12"/>
      <c r="G231" s="18"/>
      <c r="H231" s="35"/>
      <c r="I231" s="35"/>
      <c r="J231" s="12"/>
      <c r="O231" s="12"/>
      <c r="P231" s="18"/>
      <c r="Q231" s="12"/>
      <c r="R231" s="12"/>
      <c r="S231" s="12"/>
      <c r="T231" s="36"/>
      <c r="U231" s="36"/>
      <c r="V231" s="12"/>
      <c r="W231" s="12"/>
      <c r="X231" s="12"/>
      <c r="Y231" s="12"/>
      <c r="Z231" s="12"/>
    </row>
    <row r="232" customFormat="false" ht="15.75" hidden="false" customHeight="false" outlineLevel="0" collapsed="false">
      <c r="A232" s="12"/>
      <c r="B232" s="34"/>
      <c r="C232" s="12"/>
      <c r="D232" s="12"/>
      <c r="E232" s="12"/>
      <c r="F232" s="12"/>
      <c r="G232" s="18"/>
      <c r="H232" s="35"/>
      <c r="I232" s="35"/>
      <c r="J232" s="12"/>
      <c r="O232" s="12"/>
      <c r="P232" s="18"/>
      <c r="Q232" s="12"/>
      <c r="R232" s="12"/>
      <c r="S232" s="12"/>
      <c r="T232" s="36"/>
      <c r="U232" s="36"/>
      <c r="V232" s="12"/>
      <c r="W232" s="12"/>
      <c r="X232" s="12"/>
      <c r="Y232" s="12"/>
      <c r="Z232" s="12"/>
    </row>
    <row r="233" customFormat="false" ht="15.75" hidden="false" customHeight="false" outlineLevel="0" collapsed="false">
      <c r="A233" s="12"/>
      <c r="B233" s="34"/>
      <c r="C233" s="12"/>
      <c r="D233" s="12"/>
      <c r="E233" s="12"/>
      <c r="F233" s="12"/>
      <c r="G233" s="18"/>
      <c r="H233" s="35"/>
      <c r="I233" s="35"/>
      <c r="J233" s="12"/>
      <c r="O233" s="12"/>
      <c r="P233" s="18"/>
      <c r="Q233" s="12"/>
      <c r="R233" s="12"/>
      <c r="S233" s="12"/>
      <c r="T233" s="36"/>
      <c r="U233" s="36"/>
      <c r="V233" s="12"/>
      <c r="W233" s="12"/>
      <c r="X233" s="12"/>
      <c r="Y233" s="12"/>
      <c r="Z233" s="12"/>
    </row>
    <row r="234" customFormat="false" ht="15.75" hidden="false" customHeight="false" outlineLevel="0" collapsed="false">
      <c r="A234" s="12"/>
      <c r="B234" s="34"/>
      <c r="C234" s="12"/>
      <c r="D234" s="12"/>
      <c r="E234" s="12"/>
      <c r="F234" s="12"/>
      <c r="G234" s="18"/>
      <c r="H234" s="35"/>
      <c r="I234" s="35"/>
      <c r="J234" s="12"/>
      <c r="O234" s="12"/>
      <c r="P234" s="18"/>
      <c r="Q234" s="12"/>
      <c r="R234" s="12"/>
      <c r="S234" s="12"/>
      <c r="T234" s="36"/>
      <c r="U234" s="36"/>
      <c r="V234" s="12"/>
      <c r="W234" s="12"/>
      <c r="X234" s="12"/>
      <c r="Y234" s="12"/>
      <c r="Z234" s="12"/>
    </row>
    <row r="235" customFormat="false" ht="15.75" hidden="false" customHeight="false" outlineLevel="0" collapsed="false">
      <c r="A235" s="12"/>
      <c r="B235" s="34"/>
      <c r="C235" s="12"/>
      <c r="D235" s="12"/>
      <c r="E235" s="12"/>
      <c r="F235" s="12"/>
      <c r="G235" s="18"/>
      <c r="H235" s="35"/>
      <c r="I235" s="35"/>
      <c r="J235" s="12"/>
      <c r="O235" s="12"/>
      <c r="P235" s="18"/>
      <c r="Q235" s="12"/>
      <c r="R235" s="12"/>
      <c r="S235" s="12"/>
      <c r="T235" s="36"/>
      <c r="U235" s="36"/>
      <c r="V235" s="12"/>
      <c r="W235" s="12"/>
      <c r="X235" s="12"/>
      <c r="Y235" s="12"/>
      <c r="Z235" s="12"/>
    </row>
    <row r="236" customFormat="false" ht="15.75" hidden="false" customHeight="false" outlineLevel="0" collapsed="false">
      <c r="A236" s="12"/>
      <c r="B236" s="34"/>
      <c r="C236" s="12"/>
      <c r="D236" s="12"/>
      <c r="E236" s="12"/>
      <c r="F236" s="12"/>
      <c r="G236" s="18"/>
      <c r="H236" s="35"/>
      <c r="I236" s="35"/>
      <c r="J236" s="12"/>
      <c r="O236" s="12"/>
      <c r="P236" s="18"/>
      <c r="Q236" s="12"/>
      <c r="R236" s="12"/>
      <c r="S236" s="12"/>
      <c r="T236" s="36"/>
      <c r="U236" s="36"/>
      <c r="V236" s="12"/>
      <c r="W236" s="12"/>
      <c r="X236" s="12"/>
      <c r="Y236" s="12"/>
      <c r="Z236" s="12"/>
    </row>
    <row r="237" customFormat="false" ht="15.75" hidden="false" customHeight="false" outlineLevel="0" collapsed="false">
      <c r="A237" s="12"/>
      <c r="B237" s="34"/>
      <c r="C237" s="12"/>
      <c r="D237" s="12"/>
      <c r="E237" s="12"/>
      <c r="F237" s="12"/>
      <c r="G237" s="18"/>
      <c r="H237" s="35"/>
      <c r="I237" s="35"/>
      <c r="J237" s="12"/>
      <c r="O237" s="12"/>
      <c r="P237" s="18"/>
      <c r="Q237" s="12"/>
      <c r="R237" s="12"/>
      <c r="S237" s="12"/>
      <c r="T237" s="36"/>
      <c r="U237" s="36"/>
      <c r="V237" s="12"/>
      <c r="W237" s="12"/>
      <c r="X237" s="12"/>
      <c r="Y237" s="12"/>
      <c r="Z237" s="12"/>
    </row>
    <row r="238" customFormat="false" ht="15.75" hidden="false" customHeight="false" outlineLevel="0" collapsed="false">
      <c r="A238" s="12"/>
      <c r="B238" s="34"/>
      <c r="C238" s="12"/>
      <c r="D238" s="12"/>
      <c r="E238" s="12"/>
      <c r="F238" s="12"/>
      <c r="G238" s="18"/>
      <c r="H238" s="35"/>
      <c r="I238" s="35"/>
      <c r="J238" s="12"/>
      <c r="O238" s="12"/>
      <c r="P238" s="18"/>
      <c r="Q238" s="12"/>
      <c r="R238" s="12"/>
      <c r="S238" s="12"/>
      <c r="T238" s="36"/>
      <c r="U238" s="36"/>
      <c r="V238" s="12"/>
      <c r="W238" s="12"/>
      <c r="X238" s="12"/>
      <c r="Y238" s="12"/>
      <c r="Z238" s="12"/>
    </row>
    <row r="239" customFormat="false" ht="15.75" hidden="false" customHeight="false" outlineLevel="0" collapsed="false">
      <c r="A239" s="12"/>
      <c r="B239" s="34"/>
      <c r="C239" s="12"/>
      <c r="D239" s="12"/>
      <c r="E239" s="12"/>
      <c r="F239" s="12"/>
      <c r="G239" s="18"/>
      <c r="H239" s="35"/>
      <c r="I239" s="35"/>
      <c r="J239" s="12"/>
      <c r="O239" s="12"/>
      <c r="P239" s="18"/>
      <c r="Q239" s="12"/>
      <c r="R239" s="12"/>
      <c r="S239" s="12"/>
      <c r="T239" s="36"/>
      <c r="U239" s="36"/>
      <c r="V239" s="12"/>
      <c r="W239" s="12"/>
      <c r="X239" s="12"/>
      <c r="Y239" s="12"/>
      <c r="Z239" s="12"/>
    </row>
    <row r="240" customFormat="false" ht="15.75" hidden="false" customHeight="false" outlineLevel="0" collapsed="false">
      <c r="A240" s="12"/>
      <c r="B240" s="34"/>
      <c r="C240" s="12"/>
      <c r="D240" s="12"/>
      <c r="E240" s="12"/>
      <c r="F240" s="12"/>
      <c r="G240" s="18"/>
      <c r="H240" s="35"/>
      <c r="I240" s="35"/>
      <c r="J240" s="12"/>
      <c r="O240" s="12"/>
      <c r="P240" s="18"/>
      <c r="Q240" s="12"/>
      <c r="R240" s="12"/>
      <c r="S240" s="12"/>
      <c r="T240" s="36"/>
      <c r="U240" s="36"/>
      <c r="V240" s="12"/>
      <c r="W240" s="12"/>
      <c r="X240" s="12"/>
      <c r="Y240" s="12"/>
      <c r="Z240" s="12"/>
    </row>
    <row r="241" customFormat="false" ht="15.75" hidden="false" customHeight="false" outlineLevel="0" collapsed="false">
      <c r="A241" s="12"/>
      <c r="B241" s="34"/>
      <c r="C241" s="12"/>
      <c r="D241" s="12"/>
      <c r="E241" s="12"/>
      <c r="F241" s="12"/>
      <c r="G241" s="18"/>
      <c r="H241" s="35"/>
      <c r="I241" s="35"/>
      <c r="J241" s="12"/>
      <c r="O241" s="12"/>
      <c r="P241" s="18"/>
      <c r="Q241" s="12"/>
      <c r="R241" s="12"/>
      <c r="S241" s="12"/>
      <c r="T241" s="36"/>
      <c r="U241" s="36"/>
      <c r="V241" s="12"/>
      <c r="W241" s="12"/>
      <c r="X241" s="12"/>
      <c r="Y241" s="12"/>
      <c r="Z241" s="12"/>
    </row>
    <row r="242" customFormat="false" ht="15.75" hidden="false" customHeight="false" outlineLevel="0" collapsed="false">
      <c r="A242" s="12"/>
      <c r="B242" s="34"/>
      <c r="C242" s="12"/>
      <c r="D242" s="12"/>
      <c r="E242" s="12"/>
      <c r="F242" s="12"/>
      <c r="G242" s="18"/>
      <c r="H242" s="35"/>
      <c r="I242" s="35"/>
      <c r="J242" s="12"/>
      <c r="O242" s="12"/>
      <c r="P242" s="18"/>
      <c r="Q242" s="12"/>
      <c r="R242" s="12"/>
      <c r="S242" s="12"/>
      <c r="T242" s="36"/>
      <c r="U242" s="36"/>
      <c r="V242" s="12"/>
      <c r="W242" s="12"/>
      <c r="X242" s="12"/>
      <c r="Y242" s="12"/>
      <c r="Z242" s="12"/>
    </row>
    <row r="243" customFormat="false" ht="15.75" hidden="false" customHeight="false" outlineLevel="0" collapsed="false">
      <c r="A243" s="12"/>
      <c r="B243" s="34"/>
      <c r="C243" s="12"/>
      <c r="D243" s="12"/>
      <c r="E243" s="12"/>
      <c r="F243" s="12"/>
      <c r="G243" s="18"/>
      <c r="H243" s="35"/>
      <c r="I243" s="35"/>
      <c r="J243" s="12"/>
      <c r="O243" s="12"/>
      <c r="P243" s="18"/>
      <c r="Q243" s="12"/>
      <c r="R243" s="12"/>
      <c r="S243" s="12"/>
      <c r="T243" s="36"/>
      <c r="U243" s="36"/>
      <c r="V243" s="12"/>
      <c r="W243" s="12"/>
      <c r="X243" s="12"/>
      <c r="Y243" s="12"/>
      <c r="Z243" s="12"/>
    </row>
    <row r="244" customFormat="false" ht="15.75" hidden="false" customHeight="false" outlineLevel="0" collapsed="false">
      <c r="A244" s="12"/>
      <c r="B244" s="34"/>
      <c r="C244" s="12"/>
      <c r="D244" s="12"/>
      <c r="E244" s="12"/>
      <c r="F244" s="12"/>
      <c r="G244" s="18"/>
      <c r="H244" s="35"/>
      <c r="I244" s="35"/>
      <c r="J244" s="12"/>
      <c r="O244" s="12"/>
      <c r="P244" s="18"/>
      <c r="Q244" s="12"/>
      <c r="R244" s="12"/>
      <c r="S244" s="12"/>
      <c r="T244" s="36"/>
      <c r="U244" s="36"/>
      <c r="V244" s="12"/>
      <c r="W244" s="12"/>
      <c r="X244" s="12"/>
      <c r="Y244" s="12"/>
      <c r="Z244" s="12"/>
    </row>
    <row r="245" customFormat="false" ht="15.75" hidden="false" customHeight="false" outlineLevel="0" collapsed="false">
      <c r="A245" s="12"/>
      <c r="B245" s="34"/>
      <c r="C245" s="12"/>
      <c r="D245" s="12"/>
      <c r="E245" s="12"/>
      <c r="F245" s="12"/>
      <c r="G245" s="18"/>
      <c r="H245" s="35"/>
      <c r="I245" s="35"/>
      <c r="J245" s="12"/>
      <c r="O245" s="12"/>
      <c r="P245" s="18"/>
      <c r="Q245" s="12"/>
      <c r="R245" s="12"/>
      <c r="S245" s="12"/>
      <c r="T245" s="36"/>
      <c r="U245" s="36"/>
      <c r="V245" s="12"/>
      <c r="W245" s="12"/>
      <c r="X245" s="12"/>
      <c r="Y245" s="12"/>
      <c r="Z245" s="12"/>
    </row>
    <row r="246" customFormat="false" ht="15.75" hidden="false" customHeight="false" outlineLevel="0" collapsed="false">
      <c r="A246" s="12"/>
      <c r="B246" s="34"/>
      <c r="C246" s="12"/>
      <c r="D246" s="12"/>
      <c r="E246" s="12"/>
      <c r="F246" s="12"/>
      <c r="G246" s="18"/>
      <c r="H246" s="35"/>
      <c r="I246" s="35"/>
      <c r="J246" s="12"/>
      <c r="O246" s="12"/>
      <c r="P246" s="18"/>
      <c r="Q246" s="12"/>
      <c r="R246" s="12"/>
      <c r="S246" s="12"/>
      <c r="T246" s="36"/>
      <c r="U246" s="36"/>
      <c r="V246" s="12"/>
      <c r="W246" s="12"/>
      <c r="X246" s="12"/>
      <c r="Y246" s="12"/>
      <c r="Z246" s="12"/>
    </row>
    <row r="247" customFormat="false" ht="15.75" hidden="false" customHeight="false" outlineLevel="0" collapsed="false">
      <c r="A247" s="12"/>
      <c r="B247" s="34"/>
      <c r="C247" s="12"/>
      <c r="D247" s="12"/>
      <c r="E247" s="12"/>
      <c r="F247" s="12"/>
      <c r="G247" s="18"/>
      <c r="H247" s="35"/>
      <c r="I247" s="35"/>
      <c r="J247" s="12"/>
      <c r="O247" s="12"/>
      <c r="P247" s="18"/>
      <c r="Q247" s="12"/>
      <c r="R247" s="12"/>
      <c r="S247" s="12"/>
      <c r="T247" s="36"/>
      <c r="U247" s="36"/>
      <c r="V247" s="12"/>
      <c r="W247" s="12"/>
      <c r="X247" s="12"/>
      <c r="Y247" s="12"/>
      <c r="Z247" s="12"/>
    </row>
    <row r="248" customFormat="false" ht="15.75" hidden="false" customHeight="false" outlineLevel="0" collapsed="false">
      <c r="A248" s="12"/>
      <c r="B248" s="34"/>
      <c r="C248" s="12"/>
      <c r="D248" s="12"/>
      <c r="E248" s="12"/>
      <c r="F248" s="12"/>
      <c r="G248" s="18"/>
      <c r="H248" s="35"/>
      <c r="I248" s="35"/>
      <c r="J248" s="12"/>
      <c r="O248" s="12"/>
      <c r="P248" s="18"/>
      <c r="Q248" s="12"/>
      <c r="R248" s="12"/>
      <c r="S248" s="12"/>
      <c r="T248" s="36"/>
      <c r="U248" s="36"/>
      <c r="V248" s="12"/>
      <c r="W248" s="12"/>
      <c r="X248" s="12"/>
      <c r="Y248" s="12"/>
      <c r="Z248" s="12"/>
    </row>
    <row r="249" customFormat="false" ht="15.75" hidden="false" customHeight="false" outlineLevel="0" collapsed="false">
      <c r="A249" s="12"/>
      <c r="B249" s="34"/>
      <c r="C249" s="12"/>
      <c r="D249" s="12"/>
      <c r="E249" s="12"/>
      <c r="F249" s="12"/>
      <c r="G249" s="18"/>
      <c r="H249" s="35"/>
      <c r="I249" s="35"/>
      <c r="J249" s="12"/>
      <c r="O249" s="12"/>
      <c r="P249" s="18"/>
      <c r="Q249" s="12"/>
      <c r="R249" s="12"/>
      <c r="S249" s="12"/>
      <c r="T249" s="36"/>
      <c r="U249" s="36"/>
      <c r="V249" s="12"/>
      <c r="W249" s="12"/>
      <c r="X249" s="12"/>
      <c r="Y249" s="12"/>
      <c r="Z249" s="12"/>
    </row>
    <row r="250" customFormat="false" ht="15.75" hidden="false" customHeight="false" outlineLevel="0" collapsed="false">
      <c r="A250" s="12"/>
      <c r="B250" s="34"/>
      <c r="C250" s="12"/>
      <c r="D250" s="12"/>
      <c r="E250" s="12"/>
      <c r="F250" s="12"/>
      <c r="G250" s="18"/>
      <c r="H250" s="35"/>
      <c r="I250" s="35"/>
      <c r="J250" s="12"/>
      <c r="O250" s="12"/>
      <c r="P250" s="18"/>
      <c r="Q250" s="12"/>
      <c r="R250" s="12"/>
      <c r="S250" s="12"/>
      <c r="T250" s="36"/>
      <c r="U250" s="36"/>
      <c r="V250" s="12"/>
      <c r="W250" s="12"/>
      <c r="X250" s="12"/>
      <c r="Y250" s="12"/>
      <c r="Z250" s="12"/>
    </row>
    <row r="251" customFormat="false" ht="15.75" hidden="false" customHeight="false" outlineLevel="0" collapsed="false">
      <c r="A251" s="12"/>
      <c r="B251" s="34"/>
      <c r="C251" s="12"/>
      <c r="D251" s="12"/>
      <c r="E251" s="12"/>
      <c r="F251" s="12"/>
      <c r="G251" s="18"/>
      <c r="H251" s="35"/>
      <c r="I251" s="35"/>
      <c r="J251" s="12"/>
      <c r="O251" s="12"/>
      <c r="P251" s="18"/>
      <c r="Q251" s="12"/>
      <c r="R251" s="12"/>
      <c r="S251" s="12"/>
      <c r="T251" s="36"/>
      <c r="U251" s="36"/>
      <c r="V251" s="12"/>
      <c r="W251" s="12"/>
      <c r="X251" s="12"/>
      <c r="Y251" s="12"/>
      <c r="Z251" s="12"/>
    </row>
    <row r="252" customFormat="false" ht="15.75" hidden="false" customHeight="false" outlineLevel="0" collapsed="false">
      <c r="A252" s="12"/>
      <c r="B252" s="34"/>
      <c r="C252" s="12"/>
      <c r="D252" s="12"/>
      <c r="E252" s="12"/>
      <c r="F252" s="12"/>
      <c r="G252" s="18"/>
      <c r="H252" s="35"/>
      <c r="I252" s="35"/>
      <c r="J252" s="12"/>
      <c r="O252" s="12"/>
      <c r="P252" s="18"/>
      <c r="Q252" s="12"/>
      <c r="R252" s="12"/>
      <c r="S252" s="12"/>
      <c r="T252" s="36"/>
      <c r="U252" s="36"/>
      <c r="V252" s="12"/>
      <c r="W252" s="12"/>
      <c r="X252" s="12"/>
      <c r="Y252" s="12"/>
      <c r="Z252" s="12"/>
    </row>
    <row r="253" customFormat="false" ht="15.75" hidden="false" customHeight="false" outlineLevel="0" collapsed="false">
      <c r="A253" s="12"/>
      <c r="B253" s="34"/>
      <c r="C253" s="12"/>
      <c r="D253" s="12"/>
      <c r="E253" s="12"/>
      <c r="F253" s="12"/>
      <c r="G253" s="18"/>
      <c r="H253" s="35"/>
      <c r="I253" s="35"/>
      <c r="J253" s="12"/>
      <c r="O253" s="12"/>
      <c r="P253" s="18"/>
      <c r="Q253" s="12"/>
      <c r="R253" s="12"/>
      <c r="S253" s="12"/>
      <c r="T253" s="36"/>
      <c r="U253" s="36"/>
      <c r="V253" s="12"/>
      <c r="W253" s="12"/>
      <c r="X253" s="12"/>
      <c r="Y253" s="12"/>
      <c r="Z253" s="12"/>
    </row>
    <row r="254" customFormat="false" ht="15.75" hidden="false" customHeight="false" outlineLevel="0" collapsed="false">
      <c r="A254" s="12"/>
      <c r="B254" s="34"/>
      <c r="C254" s="12"/>
      <c r="D254" s="12"/>
      <c r="E254" s="12"/>
      <c r="F254" s="12"/>
      <c r="G254" s="18"/>
      <c r="H254" s="35"/>
      <c r="I254" s="35"/>
      <c r="J254" s="12"/>
      <c r="O254" s="12"/>
      <c r="P254" s="18"/>
      <c r="Q254" s="12"/>
      <c r="R254" s="12"/>
      <c r="S254" s="12"/>
      <c r="T254" s="36"/>
      <c r="U254" s="36"/>
      <c r="V254" s="12"/>
      <c r="W254" s="12"/>
      <c r="X254" s="12"/>
      <c r="Y254" s="12"/>
      <c r="Z254" s="12"/>
    </row>
    <row r="255" customFormat="false" ht="15.75" hidden="false" customHeight="false" outlineLevel="0" collapsed="false">
      <c r="A255" s="12"/>
      <c r="B255" s="34"/>
      <c r="C255" s="12"/>
      <c r="D255" s="12"/>
      <c r="E255" s="12"/>
      <c r="F255" s="12"/>
      <c r="G255" s="18"/>
      <c r="H255" s="35"/>
      <c r="I255" s="35"/>
      <c r="J255" s="12"/>
      <c r="O255" s="12"/>
      <c r="P255" s="18"/>
      <c r="Q255" s="12"/>
      <c r="R255" s="12"/>
      <c r="S255" s="12"/>
      <c r="T255" s="36"/>
      <c r="U255" s="36"/>
      <c r="V255" s="12"/>
      <c r="W255" s="12"/>
      <c r="X255" s="12"/>
      <c r="Y255" s="12"/>
      <c r="Z255" s="12"/>
    </row>
    <row r="256" customFormat="false" ht="15.75" hidden="false" customHeight="false" outlineLevel="0" collapsed="false">
      <c r="A256" s="12"/>
      <c r="B256" s="34"/>
      <c r="C256" s="12"/>
      <c r="D256" s="12"/>
      <c r="E256" s="12"/>
      <c r="F256" s="12"/>
      <c r="G256" s="18"/>
      <c r="H256" s="35"/>
      <c r="I256" s="35"/>
      <c r="J256" s="12"/>
      <c r="O256" s="12"/>
      <c r="P256" s="18"/>
      <c r="Q256" s="12"/>
      <c r="R256" s="12"/>
      <c r="S256" s="12"/>
      <c r="T256" s="36"/>
      <c r="U256" s="36"/>
      <c r="V256" s="12"/>
      <c r="W256" s="12"/>
      <c r="X256" s="12"/>
      <c r="Y256" s="12"/>
      <c r="Z256" s="12"/>
    </row>
    <row r="257" customFormat="false" ht="15.75" hidden="false" customHeight="false" outlineLevel="0" collapsed="false">
      <c r="A257" s="12"/>
      <c r="B257" s="34"/>
      <c r="C257" s="12"/>
      <c r="D257" s="12"/>
      <c r="E257" s="12"/>
      <c r="F257" s="12"/>
      <c r="G257" s="18"/>
      <c r="H257" s="35"/>
      <c r="I257" s="35"/>
      <c r="J257" s="12"/>
      <c r="O257" s="12"/>
      <c r="P257" s="18"/>
      <c r="Q257" s="12"/>
      <c r="R257" s="12"/>
      <c r="S257" s="12"/>
      <c r="T257" s="36"/>
      <c r="U257" s="36"/>
      <c r="V257" s="12"/>
      <c r="W257" s="12"/>
      <c r="X257" s="12"/>
      <c r="Y257" s="12"/>
      <c r="Z257" s="12"/>
    </row>
    <row r="258" customFormat="false" ht="15.75" hidden="false" customHeight="false" outlineLevel="0" collapsed="false">
      <c r="A258" s="12"/>
      <c r="B258" s="34"/>
      <c r="C258" s="12"/>
      <c r="D258" s="12"/>
      <c r="E258" s="12"/>
      <c r="F258" s="12"/>
      <c r="G258" s="18"/>
      <c r="H258" s="35"/>
      <c r="I258" s="35"/>
      <c r="J258" s="12"/>
      <c r="O258" s="12"/>
      <c r="P258" s="18"/>
      <c r="Q258" s="12"/>
      <c r="R258" s="12"/>
      <c r="S258" s="12"/>
      <c r="T258" s="36"/>
      <c r="U258" s="36"/>
      <c r="V258" s="12"/>
      <c r="W258" s="12"/>
      <c r="X258" s="12"/>
      <c r="Y258" s="12"/>
      <c r="Z258" s="12"/>
    </row>
    <row r="259" customFormat="false" ht="15.75" hidden="false" customHeight="false" outlineLevel="0" collapsed="false">
      <c r="A259" s="12"/>
      <c r="B259" s="34"/>
      <c r="C259" s="12"/>
      <c r="D259" s="12"/>
      <c r="E259" s="12"/>
      <c r="F259" s="12"/>
      <c r="G259" s="18"/>
      <c r="H259" s="35"/>
      <c r="I259" s="35"/>
      <c r="J259" s="12"/>
      <c r="O259" s="12"/>
      <c r="P259" s="18"/>
      <c r="Q259" s="12"/>
      <c r="R259" s="12"/>
      <c r="S259" s="12"/>
      <c r="T259" s="36"/>
      <c r="U259" s="36"/>
      <c r="V259" s="12"/>
      <c r="W259" s="12"/>
      <c r="X259" s="12"/>
      <c r="Y259" s="12"/>
      <c r="Z259" s="12"/>
    </row>
    <row r="260" customFormat="false" ht="15.75" hidden="false" customHeight="false" outlineLevel="0" collapsed="false">
      <c r="A260" s="12"/>
      <c r="B260" s="34"/>
      <c r="C260" s="12"/>
      <c r="D260" s="12"/>
      <c r="E260" s="12"/>
      <c r="F260" s="12"/>
      <c r="G260" s="18"/>
      <c r="H260" s="35"/>
      <c r="I260" s="35"/>
      <c r="J260" s="12"/>
      <c r="O260" s="12"/>
      <c r="P260" s="18"/>
      <c r="Q260" s="12"/>
      <c r="R260" s="12"/>
      <c r="S260" s="12"/>
      <c r="T260" s="36"/>
      <c r="U260" s="36"/>
      <c r="V260" s="12"/>
      <c r="W260" s="12"/>
      <c r="X260" s="12"/>
      <c r="Y260" s="12"/>
      <c r="Z260" s="12"/>
    </row>
    <row r="261" customFormat="false" ht="15.75" hidden="false" customHeight="false" outlineLevel="0" collapsed="false">
      <c r="A261" s="12"/>
      <c r="B261" s="34"/>
      <c r="C261" s="12"/>
      <c r="D261" s="12"/>
      <c r="E261" s="12"/>
      <c r="F261" s="12"/>
      <c r="G261" s="18"/>
      <c r="H261" s="35"/>
      <c r="I261" s="35"/>
      <c r="J261" s="12"/>
      <c r="O261" s="12"/>
      <c r="P261" s="18"/>
      <c r="Q261" s="12"/>
      <c r="R261" s="12"/>
      <c r="S261" s="12"/>
      <c r="T261" s="36"/>
      <c r="U261" s="36"/>
      <c r="V261" s="12"/>
      <c r="W261" s="12"/>
      <c r="X261" s="12"/>
      <c r="Y261" s="12"/>
      <c r="Z261" s="12"/>
    </row>
    <row r="262" customFormat="false" ht="15.75" hidden="false" customHeight="false" outlineLevel="0" collapsed="false">
      <c r="A262" s="12"/>
      <c r="B262" s="34"/>
      <c r="C262" s="12"/>
      <c r="D262" s="12"/>
      <c r="E262" s="12"/>
      <c r="F262" s="12"/>
      <c r="G262" s="18"/>
      <c r="H262" s="35"/>
      <c r="I262" s="35"/>
      <c r="J262" s="12"/>
      <c r="O262" s="12"/>
      <c r="P262" s="18"/>
      <c r="Q262" s="12"/>
      <c r="R262" s="12"/>
      <c r="S262" s="12"/>
      <c r="T262" s="36"/>
      <c r="U262" s="36"/>
      <c r="V262" s="12"/>
      <c r="W262" s="12"/>
      <c r="X262" s="12"/>
      <c r="Y262" s="12"/>
      <c r="Z262" s="12"/>
    </row>
    <row r="263" customFormat="false" ht="15.75" hidden="false" customHeight="false" outlineLevel="0" collapsed="false">
      <c r="A263" s="12"/>
      <c r="B263" s="34"/>
      <c r="C263" s="12"/>
      <c r="D263" s="12"/>
      <c r="E263" s="12"/>
      <c r="F263" s="12"/>
      <c r="G263" s="18"/>
      <c r="H263" s="35"/>
      <c r="I263" s="35"/>
      <c r="J263" s="12"/>
      <c r="O263" s="12"/>
      <c r="P263" s="18"/>
      <c r="Q263" s="12"/>
      <c r="R263" s="12"/>
      <c r="S263" s="12"/>
      <c r="T263" s="36"/>
      <c r="U263" s="36"/>
      <c r="V263" s="12"/>
      <c r="W263" s="12"/>
      <c r="X263" s="12"/>
      <c r="Y263" s="12"/>
      <c r="Z263" s="12"/>
    </row>
    <row r="264" customFormat="false" ht="15.75" hidden="false" customHeight="false" outlineLevel="0" collapsed="false">
      <c r="A264" s="12"/>
      <c r="B264" s="34"/>
      <c r="C264" s="12"/>
      <c r="D264" s="12"/>
      <c r="E264" s="12"/>
      <c r="F264" s="12"/>
      <c r="G264" s="18"/>
      <c r="H264" s="35"/>
      <c r="I264" s="35"/>
      <c r="J264" s="12"/>
      <c r="O264" s="12"/>
      <c r="P264" s="18"/>
      <c r="Q264" s="12"/>
      <c r="R264" s="12"/>
      <c r="S264" s="12"/>
      <c r="T264" s="36"/>
      <c r="U264" s="36"/>
      <c r="V264" s="12"/>
      <c r="W264" s="12"/>
      <c r="X264" s="12"/>
      <c r="Y264" s="12"/>
      <c r="Z264" s="12"/>
    </row>
    <row r="265" customFormat="false" ht="15.75" hidden="false" customHeight="false" outlineLevel="0" collapsed="false">
      <c r="A265" s="12"/>
      <c r="B265" s="34"/>
      <c r="C265" s="12"/>
      <c r="D265" s="12"/>
      <c r="E265" s="12"/>
      <c r="F265" s="12"/>
      <c r="G265" s="18"/>
      <c r="H265" s="35"/>
      <c r="I265" s="35"/>
      <c r="J265" s="12"/>
      <c r="O265" s="12"/>
      <c r="P265" s="18"/>
      <c r="Q265" s="12"/>
      <c r="R265" s="12"/>
      <c r="S265" s="12"/>
      <c r="T265" s="36"/>
      <c r="U265" s="36"/>
      <c r="V265" s="12"/>
      <c r="W265" s="12"/>
      <c r="X265" s="12"/>
      <c r="Y265" s="12"/>
      <c r="Z265" s="12"/>
    </row>
    <row r="266" customFormat="false" ht="15.75" hidden="false" customHeight="false" outlineLevel="0" collapsed="false">
      <c r="A266" s="12"/>
      <c r="B266" s="34"/>
      <c r="C266" s="12"/>
      <c r="D266" s="12"/>
      <c r="E266" s="12"/>
      <c r="F266" s="12"/>
      <c r="G266" s="18"/>
      <c r="H266" s="35"/>
      <c r="I266" s="35"/>
      <c r="J266" s="12"/>
      <c r="O266" s="12"/>
      <c r="P266" s="18"/>
      <c r="Q266" s="12"/>
      <c r="R266" s="12"/>
      <c r="S266" s="12"/>
      <c r="T266" s="36"/>
      <c r="U266" s="36"/>
      <c r="V266" s="12"/>
      <c r="W266" s="12"/>
      <c r="X266" s="12"/>
      <c r="Y266" s="12"/>
      <c r="Z266" s="12"/>
    </row>
    <row r="267" customFormat="false" ht="15.75" hidden="false" customHeight="false" outlineLevel="0" collapsed="false">
      <c r="A267" s="12"/>
      <c r="B267" s="34"/>
      <c r="C267" s="12"/>
      <c r="D267" s="12"/>
      <c r="E267" s="12"/>
      <c r="F267" s="12"/>
      <c r="G267" s="18"/>
      <c r="H267" s="35"/>
      <c r="I267" s="35"/>
      <c r="J267" s="12"/>
      <c r="O267" s="12"/>
      <c r="P267" s="18"/>
      <c r="Q267" s="12"/>
      <c r="R267" s="12"/>
      <c r="S267" s="12"/>
      <c r="T267" s="36"/>
      <c r="U267" s="36"/>
      <c r="V267" s="12"/>
      <c r="W267" s="12"/>
      <c r="X267" s="12"/>
      <c r="Y267" s="12"/>
      <c r="Z267" s="12"/>
    </row>
    <row r="268" customFormat="false" ht="15.75" hidden="false" customHeight="false" outlineLevel="0" collapsed="false">
      <c r="A268" s="12"/>
      <c r="B268" s="34"/>
      <c r="C268" s="12"/>
      <c r="D268" s="12"/>
      <c r="E268" s="12"/>
      <c r="F268" s="12"/>
      <c r="G268" s="18"/>
      <c r="H268" s="35"/>
      <c r="I268" s="35"/>
      <c r="J268" s="12"/>
      <c r="O268" s="12"/>
      <c r="P268" s="18"/>
      <c r="Q268" s="12"/>
      <c r="R268" s="12"/>
      <c r="S268" s="12"/>
      <c r="T268" s="36"/>
      <c r="U268" s="36"/>
      <c r="V268" s="12"/>
      <c r="W268" s="12"/>
      <c r="X268" s="12"/>
      <c r="Y268" s="12"/>
      <c r="Z268" s="12"/>
    </row>
    <row r="269" customFormat="false" ht="15.75" hidden="false" customHeight="false" outlineLevel="0" collapsed="false">
      <c r="A269" s="12"/>
      <c r="B269" s="34"/>
      <c r="C269" s="12"/>
      <c r="D269" s="12"/>
      <c r="E269" s="12"/>
      <c r="F269" s="12"/>
      <c r="G269" s="18"/>
      <c r="H269" s="35"/>
      <c r="I269" s="35"/>
      <c r="J269" s="12"/>
      <c r="O269" s="12"/>
      <c r="P269" s="18"/>
      <c r="Q269" s="12"/>
      <c r="R269" s="12"/>
      <c r="S269" s="12"/>
      <c r="T269" s="36"/>
      <c r="U269" s="36"/>
      <c r="V269" s="12"/>
      <c r="W269" s="12"/>
      <c r="X269" s="12"/>
      <c r="Y269" s="12"/>
      <c r="Z269" s="12"/>
    </row>
    <row r="270" customFormat="false" ht="15.75" hidden="false" customHeight="false" outlineLevel="0" collapsed="false">
      <c r="A270" s="12"/>
      <c r="B270" s="34"/>
      <c r="C270" s="12"/>
      <c r="D270" s="12"/>
      <c r="E270" s="12"/>
      <c r="F270" s="12"/>
      <c r="G270" s="18"/>
      <c r="H270" s="35"/>
      <c r="I270" s="35"/>
      <c r="J270" s="12"/>
      <c r="O270" s="12"/>
      <c r="P270" s="18"/>
      <c r="Q270" s="12"/>
      <c r="R270" s="12"/>
      <c r="S270" s="12"/>
      <c r="T270" s="36"/>
      <c r="U270" s="36"/>
      <c r="V270" s="12"/>
      <c r="W270" s="12"/>
      <c r="X270" s="12"/>
      <c r="Y270" s="12"/>
      <c r="Z270" s="12"/>
    </row>
    <row r="271" customFormat="false" ht="15.75" hidden="false" customHeight="false" outlineLevel="0" collapsed="false">
      <c r="A271" s="12"/>
      <c r="B271" s="34"/>
      <c r="C271" s="12"/>
      <c r="D271" s="12"/>
      <c r="E271" s="12"/>
      <c r="F271" s="12"/>
      <c r="G271" s="18"/>
      <c r="H271" s="35"/>
      <c r="I271" s="35"/>
      <c r="J271" s="12"/>
      <c r="O271" s="12"/>
      <c r="P271" s="18"/>
      <c r="Q271" s="12"/>
      <c r="R271" s="12"/>
      <c r="S271" s="12"/>
      <c r="T271" s="36"/>
      <c r="U271" s="36"/>
      <c r="V271" s="12"/>
      <c r="W271" s="12"/>
      <c r="X271" s="12"/>
      <c r="Y271" s="12"/>
      <c r="Z271" s="12"/>
    </row>
    <row r="272" customFormat="false" ht="15.75" hidden="false" customHeight="false" outlineLevel="0" collapsed="false">
      <c r="A272" s="12"/>
      <c r="B272" s="34"/>
      <c r="C272" s="12"/>
      <c r="D272" s="12"/>
      <c r="E272" s="12"/>
      <c r="F272" s="12"/>
      <c r="G272" s="18"/>
      <c r="H272" s="35"/>
      <c r="I272" s="35"/>
      <c r="J272" s="12"/>
      <c r="O272" s="12"/>
      <c r="P272" s="18"/>
      <c r="Q272" s="12"/>
      <c r="R272" s="12"/>
      <c r="S272" s="12"/>
      <c r="T272" s="36"/>
      <c r="U272" s="36"/>
      <c r="V272" s="12"/>
      <c r="W272" s="12"/>
      <c r="X272" s="12"/>
      <c r="Y272" s="12"/>
      <c r="Z272" s="12"/>
    </row>
    <row r="273" customFormat="false" ht="15.75" hidden="false" customHeight="false" outlineLevel="0" collapsed="false">
      <c r="A273" s="12"/>
      <c r="B273" s="34"/>
      <c r="C273" s="12"/>
      <c r="D273" s="12"/>
      <c r="E273" s="12"/>
      <c r="F273" s="12"/>
      <c r="G273" s="18"/>
      <c r="H273" s="35"/>
      <c r="I273" s="35"/>
      <c r="J273" s="12"/>
      <c r="O273" s="12"/>
      <c r="P273" s="18"/>
      <c r="Q273" s="12"/>
      <c r="R273" s="12"/>
      <c r="S273" s="12"/>
      <c r="T273" s="36"/>
      <c r="U273" s="36"/>
      <c r="V273" s="12"/>
      <c r="W273" s="12"/>
      <c r="X273" s="12"/>
      <c r="Y273" s="12"/>
      <c r="Z273" s="12"/>
    </row>
    <row r="274" customFormat="false" ht="15.75" hidden="false" customHeight="false" outlineLevel="0" collapsed="false">
      <c r="A274" s="12"/>
      <c r="B274" s="34"/>
      <c r="C274" s="12"/>
      <c r="D274" s="12"/>
      <c r="E274" s="12"/>
      <c r="F274" s="12"/>
      <c r="G274" s="18"/>
      <c r="H274" s="35"/>
      <c r="I274" s="35"/>
      <c r="J274" s="12"/>
      <c r="O274" s="12"/>
      <c r="P274" s="18"/>
      <c r="Q274" s="12"/>
      <c r="R274" s="12"/>
      <c r="S274" s="12"/>
      <c r="T274" s="36"/>
      <c r="U274" s="36"/>
      <c r="V274" s="12"/>
      <c r="W274" s="12"/>
      <c r="X274" s="12"/>
      <c r="Y274" s="12"/>
      <c r="Z274" s="12"/>
    </row>
    <row r="275" customFormat="false" ht="15.75" hidden="false" customHeight="false" outlineLevel="0" collapsed="false">
      <c r="A275" s="12"/>
      <c r="B275" s="34"/>
      <c r="C275" s="12"/>
      <c r="D275" s="12"/>
      <c r="E275" s="12"/>
      <c r="F275" s="12"/>
      <c r="G275" s="18"/>
      <c r="H275" s="35"/>
      <c r="I275" s="35"/>
      <c r="J275" s="12"/>
      <c r="O275" s="12"/>
      <c r="P275" s="18"/>
      <c r="Q275" s="12"/>
      <c r="R275" s="12"/>
      <c r="S275" s="12"/>
      <c r="T275" s="36"/>
      <c r="U275" s="36"/>
      <c r="V275" s="12"/>
      <c r="W275" s="12"/>
      <c r="X275" s="12"/>
      <c r="Y275" s="12"/>
      <c r="Z275" s="12"/>
    </row>
    <row r="276" customFormat="false" ht="15.75" hidden="false" customHeight="false" outlineLevel="0" collapsed="false">
      <c r="A276" s="12"/>
      <c r="B276" s="34"/>
      <c r="C276" s="12"/>
      <c r="D276" s="12"/>
      <c r="E276" s="12"/>
      <c r="F276" s="12"/>
      <c r="G276" s="18"/>
      <c r="H276" s="35"/>
      <c r="I276" s="35"/>
      <c r="J276" s="12"/>
      <c r="O276" s="12"/>
      <c r="P276" s="18"/>
      <c r="Q276" s="12"/>
      <c r="R276" s="12"/>
      <c r="S276" s="12"/>
      <c r="T276" s="36"/>
      <c r="U276" s="36"/>
      <c r="V276" s="12"/>
      <c r="W276" s="12"/>
      <c r="X276" s="12"/>
      <c r="Y276" s="12"/>
      <c r="Z276" s="12"/>
    </row>
    <row r="277" customFormat="false" ht="15.75" hidden="false" customHeight="false" outlineLevel="0" collapsed="false">
      <c r="A277" s="12"/>
      <c r="B277" s="34"/>
      <c r="C277" s="12"/>
      <c r="D277" s="12"/>
      <c r="E277" s="12"/>
      <c r="F277" s="12"/>
      <c r="G277" s="18"/>
      <c r="H277" s="35"/>
      <c r="I277" s="35"/>
      <c r="J277" s="12"/>
      <c r="O277" s="12"/>
      <c r="P277" s="18"/>
      <c r="Q277" s="12"/>
      <c r="R277" s="12"/>
      <c r="S277" s="12"/>
      <c r="T277" s="36"/>
      <c r="U277" s="36"/>
      <c r="V277" s="12"/>
      <c r="W277" s="12"/>
      <c r="X277" s="12"/>
      <c r="Y277" s="12"/>
      <c r="Z277" s="12"/>
    </row>
    <row r="278" customFormat="false" ht="15.75" hidden="false" customHeight="false" outlineLevel="0" collapsed="false">
      <c r="A278" s="12"/>
      <c r="B278" s="34"/>
      <c r="C278" s="12"/>
      <c r="D278" s="12"/>
      <c r="E278" s="12"/>
      <c r="F278" s="12"/>
      <c r="G278" s="18"/>
      <c r="H278" s="35"/>
      <c r="I278" s="35"/>
      <c r="J278" s="12"/>
      <c r="O278" s="12"/>
      <c r="P278" s="18"/>
      <c r="Q278" s="12"/>
      <c r="R278" s="12"/>
      <c r="S278" s="12"/>
      <c r="T278" s="36"/>
      <c r="U278" s="36"/>
      <c r="V278" s="12"/>
      <c r="W278" s="12"/>
      <c r="X278" s="12"/>
      <c r="Y278" s="12"/>
      <c r="Z278" s="12"/>
    </row>
    <row r="279" customFormat="false" ht="15.75" hidden="false" customHeight="false" outlineLevel="0" collapsed="false">
      <c r="A279" s="12"/>
      <c r="B279" s="34"/>
      <c r="C279" s="12"/>
      <c r="D279" s="12"/>
      <c r="E279" s="12"/>
      <c r="F279" s="12"/>
      <c r="G279" s="18"/>
      <c r="H279" s="35"/>
      <c r="I279" s="35"/>
      <c r="J279" s="12"/>
      <c r="O279" s="12"/>
      <c r="P279" s="18"/>
      <c r="Q279" s="12"/>
      <c r="R279" s="12"/>
      <c r="S279" s="12"/>
      <c r="T279" s="36"/>
      <c r="U279" s="36"/>
      <c r="V279" s="12"/>
      <c r="W279" s="12"/>
      <c r="X279" s="12"/>
      <c r="Y279" s="12"/>
      <c r="Z279" s="12"/>
    </row>
    <row r="280" customFormat="false" ht="15.75" hidden="false" customHeight="false" outlineLevel="0" collapsed="false">
      <c r="A280" s="12"/>
      <c r="B280" s="34"/>
      <c r="C280" s="12"/>
      <c r="D280" s="12"/>
      <c r="E280" s="12"/>
      <c r="F280" s="12"/>
      <c r="G280" s="18"/>
      <c r="H280" s="35"/>
      <c r="I280" s="35"/>
      <c r="J280" s="12"/>
      <c r="O280" s="12"/>
      <c r="P280" s="18"/>
      <c r="Q280" s="12"/>
      <c r="R280" s="12"/>
      <c r="S280" s="12"/>
      <c r="T280" s="36"/>
      <c r="U280" s="36"/>
      <c r="V280" s="12"/>
      <c r="W280" s="12"/>
      <c r="X280" s="12"/>
      <c r="Y280" s="12"/>
      <c r="Z280" s="12"/>
    </row>
    <row r="281" customFormat="false" ht="15.75" hidden="false" customHeight="false" outlineLevel="0" collapsed="false">
      <c r="A281" s="12"/>
      <c r="B281" s="34"/>
      <c r="C281" s="12"/>
      <c r="D281" s="12"/>
      <c r="E281" s="12"/>
      <c r="F281" s="12"/>
      <c r="G281" s="18"/>
      <c r="H281" s="35"/>
      <c r="I281" s="35"/>
      <c r="J281" s="12"/>
      <c r="O281" s="12"/>
      <c r="P281" s="18"/>
      <c r="Q281" s="12"/>
      <c r="R281" s="12"/>
      <c r="S281" s="12"/>
      <c r="T281" s="36"/>
      <c r="U281" s="36"/>
      <c r="V281" s="12"/>
      <c r="W281" s="12"/>
      <c r="X281" s="12"/>
      <c r="Y281" s="12"/>
      <c r="Z281" s="12"/>
    </row>
    <row r="282" customFormat="false" ht="15.75" hidden="false" customHeight="false" outlineLevel="0" collapsed="false">
      <c r="A282" s="12"/>
      <c r="B282" s="34"/>
      <c r="C282" s="12"/>
      <c r="D282" s="12"/>
      <c r="E282" s="12"/>
      <c r="F282" s="12"/>
      <c r="G282" s="18"/>
      <c r="H282" s="35"/>
      <c r="I282" s="35"/>
      <c r="J282" s="12"/>
      <c r="O282" s="12"/>
      <c r="P282" s="18"/>
      <c r="Q282" s="12"/>
      <c r="R282" s="12"/>
      <c r="S282" s="12"/>
      <c r="T282" s="36"/>
      <c r="U282" s="36"/>
      <c r="V282" s="12"/>
      <c r="W282" s="12"/>
      <c r="X282" s="12"/>
      <c r="Y282" s="12"/>
      <c r="Z282" s="12"/>
    </row>
    <row r="283" customFormat="false" ht="15.75" hidden="false" customHeight="false" outlineLevel="0" collapsed="false">
      <c r="A283" s="12"/>
      <c r="B283" s="34"/>
      <c r="C283" s="12"/>
      <c r="D283" s="12"/>
      <c r="E283" s="12"/>
      <c r="F283" s="12"/>
      <c r="G283" s="18"/>
      <c r="H283" s="35"/>
      <c r="I283" s="35"/>
      <c r="J283" s="12"/>
      <c r="O283" s="12"/>
      <c r="P283" s="18"/>
      <c r="Q283" s="12"/>
      <c r="R283" s="12"/>
      <c r="S283" s="12"/>
      <c r="T283" s="36"/>
      <c r="U283" s="36"/>
      <c r="V283" s="12"/>
      <c r="W283" s="12"/>
      <c r="X283" s="12"/>
      <c r="Y283" s="12"/>
      <c r="Z283" s="12"/>
    </row>
    <row r="284" customFormat="false" ht="15.75" hidden="false" customHeight="false" outlineLevel="0" collapsed="false">
      <c r="A284" s="12"/>
      <c r="B284" s="34"/>
      <c r="C284" s="12"/>
      <c r="D284" s="12"/>
      <c r="E284" s="12"/>
      <c r="F284" s="12"/>
      <c r="G284" s="18"/>
      <c r="H284" s="35"/>
      <c r="I284" s="35"/>
      <c r="J284" s="12"/>
      <c r="O284" s="12"/>
      <c r="P284" s="18"/>
      <c r="Q284" s="12"/>
      <c r="R284" s="12"/>
      <c r="S284" s="12"/>
      <c r="T284" s="36"/>
      <c r="U284" s="36"/>
      <c r="V284" s="12"/>
      <c r="W284" s="12"/>
      <c r="X284" s="12"/>
      <c r="Y284" s="12"/>
      <c r="Z284" s="12"/>
    </row>
    <row r="285" customFormat="false" ht="15.75" hidden="false" customHeight="false" outlineLevel="0" collapsed="false">
      <c r="A285" s="12"/>
      <c r="B285" s="34"/>
      <c r="C285" s="12"/>
      <c r="D285" s="12"/>
      <c r="E285" s="12"/>
      <c r="F285" s="12"/>
      <c r="G285" s="18"/>
      <c r="H285" s="35"/>
      <c r="I285" s="35"/>
      <c r="J285" s="12"/>
      <c r="O285" s="12"/>
      <c r="P285" s="18"/>
      <c r="Q285" s="12"/>
      <c r="R285" s="12"/>
      <c r="S285" s="12"/>
      <c r="T285" s="36"/>
      <c r="U285" s="36"/>
      <c r="V285" s="12"/>
      <c r="W285" s="12"/>
      <c r="X285" s="12"/>
      <c r="Y285" s="12"/>
      <c r="Z285" s="12"/>
    </row>
    <row r="286" customFormat="false" ht="15.75" hidden="false" customHeight="false" outlineLevel="0" collapsed="false">
      <c r="A286" s="12"/>
      <c r="B286" s="34"/>
      <c r="C286" s="12"/>
      <c r="D286" s="12"/>
      <c r="E286" s="12"/>
      <c r="F286" s="12"/>
      <c r="G286" s="18"/>
      <c r="H286" s="35"/>
      <c r="I286" s="35"/>
      <c r="J286" s="12"/>
      <c r="O286" s="12"/>
      <c r="P286" s="18"/>
      <c r="Q286" s="12"/>
      <c r="R286" s="12"/>
      <c r="S286" s="12"/>
      <c r="T286" s="36"/>
      <c r="U286" s="36"/>
      <c r="V286" s="12"/>
      <c r="W286" s="12"/>
      <c r="X286" s="12"/>
      <c r="Y286" s="12"/>
      <c r="Z286" s="12"/>
    </row>
    <row r="287" customFormat="false" ht="15.75" hidden="false" customHeight="false" outlineLevel="0" collapsed="false">
      <c r="A287" s="12"/>
      <c r="B287" s="34"/>
      <c r="C287" s="12"/>
      <c r="D287" s="12"/>
      <c r="E287" s="12"/>
      <c r="F287" s="12"/>
      <c r="G287" s="18"/>
      <c r="H287" s="35"/>
      <c r="I287" s="35"/>
      <c r="J287" s="12"/>
      <c r="O287" s="12"/>
      <c r="P287" s="18"/>
      <c r="Q287" s="12"/>
      <c r="R287" s="12"/>
      <c r="S287" s="12"/>
      <c r="T287" s="36"/>
      <c r="U287" s="36"/>
      <c r="V287" s="12"/>
      <c r="W287" s="12"/>
      <c r="X287" s="12"/>
      <c r="Y287" s="12"/>
      <c r="Z287" s="12"/>
    </row>
    <row r="288" customFormat="false" ht="15.75" hidden="false" customHeight="false" outlineLevel="0" collapsed="false">
      <c r="A288" s="12"/>
      <c r="B288" s="34"/>
      <c r="C288" s="12"/>
      <c r="D288" s="12"/>
      <c r="E288" s="12"/>
      <c r="F288" s="12"/>
      <c r="G288" s="18"/>
      <c r="H288" s="35"/>
      <c r="I288" s="35"/>
      <c r="J288" s="12"/>
      <c r="O288" s="12"/>
      <c r="P288" s="18"/>
      <c r="Q288" s="12"/>
      <c r="R288" s="12"/>
      <c r="S288" s="12"/>
      <c r="T288" s="36"/>
      <c r="U288" s="36"/>
      <c r="V288" s="12"/>
      <c r="W288" s="12"/>
      <c r="X288" s="12"/>
      <c r="Y288" s="12"/>
      <c r="Z288" s="12"/>
    </row>
    <row r="289" customFormat="false" ht="15.75" hidden="false" customHeight="false" outlineLevel="0" collapsed="false">
      <c r="A289" s="12"/>
      <c r="B289" s="34"/>
      <c r="C289" s="12"/>
      <c r="D289" s="12"/>
      <c r="E289" s="12"/>
      <c r="F289" s="12"/>
      <c r="G289" s="18"/>
      <c r="H289" s="35"/>
      <c r="I289" s="35"/>
      <c r="J289" s="12"/>
      <c r="O289" s="12"/>
      <c r="P289" s="18"/>
      <c r="Q289" s="12"/>
      <c r="R289" s="12"/>
      <c r="S289" s="12"/>
      <c r="T289" s="36"/>
      <c r="U289" s="36"/>
      <c r="V289" s="12"/>
      <c r="W289" s="12"/>
      <c r="X289" s="12"/>
      <c r="Y289" s="12"/>
      <c r="Z289" s="12"/>
    </row>
    <row r="290" customFormat="false" ht="15.75" hidden="false" customHeight="false" outlineLevel="0" collapsed="false">
      <c r="A290" s="12"/>
      <c r="B290" s="34"/>
      <c r="C290" s="12"/>
      <c r="D290" s="12"/>
      <c r="E290" s="12"/>
      <c r="F290" s="12"/>
      <c r="G290" s="18"/>
      <c r="H290" s="35"/>
      <c r="I290" s="35"/>
      <c r="J290" s="12"/>
      <c r="O290" s="12"/>
      <c r="P290" s="18"/>
      <c r="Q290" s="12"/>
      <c r="R290" s="12"/>
      <c r="S290" s="12"/>
      <c r="T290" s="36"/>
      <c r="U290" s="36"/>
      <c r="V290" s="12"/>
      <c r="W290" s="12"/>
      <c r="X290" s="12"/>
      <c r="Y290" s="12"/>
      <c r="Z290" s="12"/>
    </row>
    <row r="291" customFormat="false" ht="15.75" hidden="false" customHeight="false" outlineLevel="0" collapsed="false">
      <c r="A291" s="12"/>
      <c r="B291" s="34"/>
      <c r="C291" s="12"/>
      <c r="D291" s="12"/>
      <c r="E291" s="12"/>
      <c r="F291" s="12"/>
      <c r="G291" s="18"/>
      <c r="H291" s="35"/>
      <c r="I291" s="35"/>
      <c r="J291" s="12"/>
      <c r="O291" s="12"/>
      <c r="P291" s="18"/>
      <c r="Q291" s="12"/>
      <c r="R291" s="12"/>
      <c r="S291" s="12"/>
      <c r="T291" s="36"/>
      <c r="U291" s="36"/>
      <c r="V291" s="12"/>
      <c r="W291" s="12"/>
      <c r="X291" s="12"/>
      <c r="Y291" s="12"/>
      <c r="Z291" s="12"/>
    </row>
    <row r="292" customFormat="false" ht="15.75" hidden="false" customHeight="false" outlineLevel="0" collapsed="false">
      <c r="A292" s="12"/>
      <c r="B292" s="34"/>
      <c r="C292" s="12"/>
      <c r="D292" s="12"/>
      <c r="E292" s="12"/>
      <c r="F292" s="12"/>
      <c r="G292" s="18"/>
      <c r="H292" s="35"/>
      <c r="I292" s="35"/>
      <c r="J292" s="12"/>
      <c r="O292" s="12"/>
      <c r="P292" s="18"/>
      <c r="Q292" s="12"/>
      <c r="R292" s="12"/>
      <c r="S292" s="12"/>
      <c r="T292" s="36"/>
      <c r="U292" s="36"/>
      <c r="V292" s="12"/>
      <c r="W292" s="12"/>
      <c r="X292" s="12"/>
      <c r="Y292" s="12"/>
      <c r="Z292" s="12"/>
    </row>
    <row r="293" customFormat="false" ht="15.75" hidden="false" customHeight="false" outlineLevel="0" collapsed="false">
      <c r="A293" s="12"/>
      <c r="B293" s="34"/>
      <c r="C293" s="12"/>
      <c r="D293" s="12"/>
      <c r="E293" s="12"/>
      <c r="F293" s="12"/>
      <c r="G293" s="18"/>
      <c r="H293" s="35"/>
      <c r="I293" s="35"/>
      <c r="J293" s="12"/>
      <c r="O293" s="12"/>
      <c r="P293" s="18"/>
      <c r="Q293" s="12"/>
      <c r="R293" s="12"/>
      <c r="S293" s="12"/>
      <c r="T293" s="36"/>
      <c r="U293" s="36"/>
      <c r="V293" s="12"/>
      <c r="W293" s="12"/>
      <c r="X293" s="12"/>
      <c r="Y293" s="12"/>
      <c r="Z293" s="12"/>
    </row>
    <row r="294" customFormat="false" ht="15.75" hidden="false" customHeight="false" outlineLevel="0" collapsed="false">
      <c r="A294" s="12"/>
      <c r="B294" s="34"/>
      <c r="C294" s="12"/>
      <c r="D294" s="12"/>
      <c r="E294" s="12"/>
      <c r="F294" s="12"/>
      <c r="G294" s="18"/>
      <c r="H294" s="35"/>
      <c r="I294" s="35"/>
      <c r="J294" s="12"/>
      <c r="O294" s="12"/>
      <c r="P294" s="18"/>
      <c r="Q294" s="12"/>
      <c r="R294" s="12"/>
      <c r="S294" s="12"/>
      <c r="T294" s="36"/>
      <c r="U294" s="36"/>
      <c r="V294" s="12"/>
      <c r="W294" s="12"/>
      <c r="X294" s="12"/>
      <c r="Y294" s="12"/>
      <c r="Z294" s="12"/>
    </row>
    <row r="295" customFormat="false" ht="15.75" hidden="false" customHeight="false" outlineLevel="0" collapsed="false">
      <c r="A295" s="12"/>
      <c r="B295" s="34"/>
      <c r="C295" s="12"/>
      <c r="D295" s="12"/>
      <c r="E295" s="12"/>
      <c r="F295" s="12"/>
      <c r="G295" s="18"/>
      <c r="H295" s="35"/>
      <c r="I295" s="35"/>
      <c r="J295" s="12"/>
      <c r="O295" s="12"/>
      <c r="P295" s="18"/>
      <c r="Q295" s="12"/>
      <c r="R295" s="12"/>
      <c r="S295" s="12"/>
      <c r="T295" s="36"/>
      <c r="U295" s="36"/>
      <c r="V295" s="12"/>
      <c r="W295" s="12"/>
      <c r="X295" s="12"/>
      <c r="Y295" s="12"/>
      <c r="Z295" s="12"/>
    </row>
    <row r="296" customFormat="false" ht="15.75" hidden="false" customHeight="false" outlineLevel="0" collapsed="false">
      <c r="A296" s="12"/>
      <c r="B296" s="34"/>
      <c r="C296" s="12"/>
      <c r="D296" s="12"/>
      <c r="E296" s="12"/>
      <c r="F296" s="12"/>
      <c r="G296" s="18"/>
      <c r="H296" s="35"/>
      <c r="I296" s="35"/>
      <c r="J296" s="12"/>
      <c r="O296" s="12"/>
      <c r="P296" s="18"/>
      <c r="Q296" s="12"/>
      <c r="R296" s="12"/>
      <c r="S296" s="12"/>
      <c r="T296" s="36"/>
      <c r="U296" s="36"/>
      <c r="V296" s="12"/>
      <c r="W296" s="12"/>
      <c r="X296" s="12"/>
      <c r="Y296" s="12"/>
      <c r="Z296" s="12"/>
    </row>
    <row r="297" customFormat="false" ht="15.75" hidden="false" customHeight="false" outlineLevel="0" collapsed="false">
      <c r="A297" s="12"/>
      <c r="B297" s="34"/>
      <c r="C297" s="12"/>
      <c r="D297" s="12"/>
      <c r="E297" s="12"/>
      <c r="F297" s="12"/>
      <c r="G297" s="18"/>
      <c r="H297" s="35"/>
      <c r="I297" s="35"/>
      <c r="J297" s="12"/>
      <c r="O297" s="12"/>
      <c r="P297" s="18"/>
      <c r="Q297" s="12"/>
      <c r="R297" s="12"/>
      <c r="S297" s="12"/>
      <c r="T297" s="36"/>
      <c r="U297" s="36"/>
      <c r="V297" s="12"/>
      <c r="W297" s="12"/>
      <c r="X297" s="12"/>
      <c r="Y297" s="12"/>
      <c r="Z297" s="12"/>
    </row>
    <row r="298" customFormat="false" ht="15.75" hidden="false" customHeight="false" outlineLevel="0" collapsed="false">
      <c r="A298" s="12"/>
      <c r="B298" s="34"/>
      <c r="C298" s="12"/>
      <c r="D298" s="12"/>
      <c r="E298" s="12"/>
      <c r="F298" s="12"/>
      <c r="G298" s="18"/>
      <c r="H298" s="35"/>
      <c r="I298" s="35"/>
      <c r="J298" s="12"/>
      <c r="O298" s="12"/>
      <c r="P298" s="18"/>
      <c r="Q298" s="12"/>
      <c r="R298" s="12"/>
      <c r="S298" s="12"/>
      <c r="T298" s="36"/>
      <c r="U298" s="36"/>
      <c r="V298" s="12"/>
      <c r="W298" s="12"/>
      <c r="X298" s="12"/>
      <c r="Y298" s="12"/>
      <c r="Z298" s="12"/>
    </row>
    <row r="299" customFormat="false" ht="15.75" hidden="false" customHeight="false" outlineLevel="0" collapsed="false">
      <c r="A299" s="12"/>
      <c r="B299" s="34"/>
      <c r="C299" s="12"/>
      <c r="D299" s="12"/>
      <c r="E299" s="12"/>
      <c r="F299" s="12"/>
      <c r="G299" s="18"/>
      <c r="H299" s="35"/>
      <c r="I299" s="35"/>
      <c r="J299" s="12"/>
      <c r="O299" s="12"/>
      <c r="P299" s="18"/>
      <c r="Q299" s="12"/>
      <c r="R299" s="12"/>
      <c r="S299" s="12"/>
      <c r="T299" s="36"/>
      <c r="U299" s="36"/>
      <c r="V299" s="12"/>
      <c r="W299" s="12"/>
      <c r="X299" s="12"/>
      <c r="Y299" s="12"/>
      <c r="Z299" s="12"/>
    </row>
    <row r="300" customFormat="false" ht="15.75" hidden="false" customHeight="false" outlineLevel="0" collapsed="false">
      <c r="A300" s="12"/>
      <c r="B300" s="34"/>
      <c r="C300" s="12"/>
      <c r="D300" s="12"/>
      <c r="E300" s="12"/>
      <c r="F300" s="12"/>
      <c r="G300" s="18"/>
      <c r="H300" s="35"/>
      <c r="I300" s="35"/>
      <c r="J300" s="12"/>
      <c r="O300" s="12"/>
      <c r="P300" s="18"/>
      <c r="Q300" s="12"/>
      <c r="R300" s="12"/>
      <c r="S300" s="12"/>
      <c r="T300" s="36"/>
      <c r="U300" s="36"/>
      <c r="V300" s="12"/>
      <c r="W300" s="12"/>
      <c r="X300" s="12"/>
      <c r="Y300" s="12"/>
      <c r="Z300" s="12"/>
    </row>
    <row r="301" customFormat="false" ht="15.75" hidden="false" customHeight="false" outlineLevel="0" collapsed="false">
      <c r="A301" s="12"/>
      <c r="B301" s="34"/>
      <c r="C301" s="12"/>
      <c r="D301" s="12"/>
      <c r="E301" s="12"/>
      <c r="F301" s="12"/>
      <c r="G301" s="18"/>
      <c r="H301" s="35"/>
      <c r="I301" s="35"/>
      <c r="J301" s="12"/>
      <c r="O301" s="12"/>
      <c r="P301" s="18"/>
      <c r="Q301" s="12"/>
      <c r="R301" s="12"/>
      <c r="S301" s="12"/>
      <c r="T301" s="36"/>
      <c r="U301" s="36"/>
      <c r="V301" s="12"/>
      <c r="W301" s="12"/>
      <c r="X301" s="12"/>
      <c r="Y301" s="12"/>
      <c r="Z301" s="12"/>
    </row>
    <row r="302" customFormat="false" ht="15.75" hidden="false" customHeight="false" outlineLevel="0" collapsed="false">
      <c r="A302" s="12"/>
      <c r="B302" s="34"/>
      <c r="C302" s="12"/>
      <c r="D302" s="12"/>
      <c r="E302" s="12"/>
      <c r="F302" s="12"/>
      <c r="G302" s="18"/>
      <c r="H302" s="35"/>
      <c r="I302" s="35"/>
      <c r="J302" s="12"/>
      <c r="O302" s="12"/>
      <c r="P302" s="18"/>
      <c r="Q302" s="12"/>
      <c r="R302" s="12"/>
      <c r="S302" s="12"/>
      <c r="T302" s="36"/>
      <c r="U302" s="36"/>
      <c r="V302" s="12"/>
      <c r="W302" s="12"/>
      <c r="X302" s="12"/>
      <c r="Y302" s="12"/>
      <c r="Z302" s="12"/>
    </row>
    <row r="303" customFormat="false" ht="15.75" hidden="false" customHeight="false" outlineLevel="0" collapsed="false">
      <c r="A303" s="12"/>
      <c r="B303" s="34"/>
      <c r="C303" s="12"/>
      <c r="D303" s="12"/>
      <c r="E303" s="12"/>
      <c r="F303" s="12"/>
      <c r="G303" s="18"/>
      <c r="H303" s="35"/>
      <c r="I303" s="35"/>
      <c r="J303" s="12"/>
      <c r="O303" s="12"/>
      <c r="P303" s="18"/>
      <c r="Q303" s="12"/>
      <c r="R303" s="12"/>
      <c r="S303" s="12"/>
      <c r="T303" s="36"/>
      <c r="U303" s="36"/>
      <c r="V303" s="12"/>
      <c r="W303" s="12"/>
      <c r="X303" s="12"/>
      <c r="Y303" s="12"/>
      <c r="Z303" s="12"/>
    </row>
    <row r="304" customFormat="false" ht="15.75" hidden="false" customHeight="false" outlineLevel="0" collapsed="false">
      <c r="A304" s="12"/>
      <c r="B304" s="34"/>
      <c r="C304" s="12"/>
      <c r="D304" s="12"/>
      <c r="E304" s="12"/>
      <c r="F304" s="12"/>
      <c r="G304" s="18"/>
      <c r="H304" s="35"/>
      <c r="I304" s="35"/>
      <c r="J304" s="12"/>
      <c r="O304" s="12"/>
      <c r="P304" s="18"/>
      <c r="Q304" s="12"/>
      <c r="R304" s="12"/>
      <c r="S304" s="12"/>
      <c r="T304" s="36"/>
      <c r="U304" s="36"/>
      <c r="V304" s="12"/>
      <c r="W304" s="12"/>
      <c r="X304" s="12"/>
      <c r="Y304" s="12"/>
      <c r="Z304" s="12"/>
    </row>
    <row r="305" customFormat="false" ht="15.75" hidden="false" customHeight="false" outlineLevel="0" collapsed="false">
      <c r="A305" s="12"/>
      <c r="B305" s="34"/>
      <c r="C305" s="12"/>
      <c r="D305" s="12"/>
      <c r="E305" s="12"/>
      <c r="F305" s="12"/>
      <c r="G305" s="18"/>
      <c r="H305" s="35"/>
      <c r="I305" s="35"/>
      <c r="J305" s="12"/>
      <c r="O305" s="12"/>
      <c r="P305" s="18"/>
      <c r="Q305" s="12"/>
      <c r="R305" s="12"/>
      <c r="S305" s="12"/>
      <c r="T305" s="36"/>
      <c r="U305" s="36"/>
      <c r="V305" s="12"/>
      <c r="W305" s="12"/>
      <c r="X305" s="12"/>
      <c r="Y305" s="12"/>
      <c r="Z305" s="12"/>
    </row>
    <row r="306" customFormat="false" ht="15.75" hidden="false" customHeight="false" outlineLevel="0" collapsed="false">
      <c r="A306" s="12"/>
      <c r="B306" s="34"/>
      <c r="C306" s="12"/>
      <c r="D306" s="12"/>
      <c r="E306" s="12"/>
      <c r="F306" s="12"/>
      <c r="G306" s="18"/>
      <c r="H306" s="35"/>
      <c r="I306" s="35"/>
      <c r="J306" s="12"/>
      <c r="O306" s="12"/>
      <c r="P306" s="18"/>
      <c r="Q306" s="12"/>
      <c r="R306" s="12"/>
      <c r="S306" s="12"/>
      <c r="T306" s="36"/>
      <c r="U306" s="36"/>
      <c r="V306" s="12"/>
      <c r="W306" s="12"/>
      <c r="X306" s="12"/>
      <c r="Y306" s="12"/>
      <c r="Z306" s="12"/>
    </row>
    <row r="307" customFormat="false" ht="15.75" hidden="false" customHeight="false" outlineLevel="0" collapsed="false">
      <c r="A307" s="12"/>
      <c r="B307" s="34"/>
      <c r="C307" s="12"/>
      <c r="D307" s="12"/>
      <c r="E307" s="12"/>
      <c r="F307" s="12"/>
      <c r="G307" s="18"/>
      <c r="H307" s="35"/>
      <c r="I307" s="35"/>
      <c r="J307" s="12"/>
      <c r="O307" s="12"/>
      <c r="P307" s="18"/>
      <c r="Q307" s="12"/>
      <c r="R307" s="12"/>
      <c r="S307" s="12"/>
      <c r="T307" s="36"/>
      <c r="U307" s="36"/>
      <c r="V307" s="12"/>
      <c r="W307" s="12"/>
      <c r="X307" s="12"/>
      <c r="Y307" s="12"/>
      <c r="Z307" s="12"/>
    </row>
    <row r="308" customFormat="false" ht="15.75" hidden="false" customHeight="false" outlineLevel="0" collapsed="false">
      <c r="A308" s="12"/>
      <c r="B308" s="34"/>
      <c r="C308" s="12"/>
      <c r="D308" s="12"/>
      <c r="E308" s="12"/>
      <c r="F308" s="12"/>
      <c r="G308" s="18"/>
      <c r="H308" s="35"/>
      <c r="I308" s="35"/>
      <c r="J308" s="12"/>
      <c r="O308" s="12"/>
      <c r="P308" s="18"/>
      <c r="Q308" s="12"/>
      <c r="R308" s="12"/>
      <c r="S308" s="12"/>
      <c r="T308" s="36"/>
      <c r="U308" s="36"/>
      <c r="V308" s="12"/>
      <c r="W308" s="12"/>
      <c r="X308" s="12"/>
      <c r="Y308" s="12"/>
      <c r="Z308" s="12"/>
    </row>
    <row r="309" customFormat="false" ht="15.75" hidden="false" customHeight="false" outlineLevel="0" collapsed="false">
      <c r="A309" s="12"/>
      <c r="B309" s="34"/>
      <c r="C309" s="12"/>
      <c r="D309" s="12"/>
      <c r="E309" s="12"/>
      <c r="F309" s="12"/>
      <c r="G309" s="18"/>
      <c r="H309" s="35"/>
      <c r="I309" s="35"/>
      <c r="J309" s="12"/>
      <c r="O309" s="12"/>
      <c r="P309" s="18"/>
      <c r="Q309" s="12"/>
      <c r="R309" s="12"/>
      <c r="S309" s="12"/>
      <c r="T309" s="36"/>
      <c r="U309" s="36"/>
      <c r="V309" s="12"/>
      <c r="W309" s="12"/>
      <c r="X309" s="12"/>
      <c r="Y309" s="12"/>
      <c r="Z309" s="12"/>
    </row>
    <row r="310" customFormat="false" ht="15.75" hidden="false" customHeight="false" outlineLevel="0" collapsed="false">
      <c r="A310" s="12"/>
      <c r="B310" s="34"/>
      <c r="C310" s="12"/>
      <c r="D310" s="12"/>
      <c r="E310" s="12"/>
      <c r="F310" s="12"/>
      <c r="G310" s="18"/>
      <c r="H310" s="35"/>
      <c r="I310" s="35"/>
      <c r="J310" s="12"/>
      <c r="O310" s="12"/>
      <c r="P310" s="18"/>
      <c r="Q310" s="12"/>
      <c r="R310" s="12"/>
      <c r="S310" s="12"/>
      <c r="T310" s="36"/>
      <c r="U310" s="36"/>
      <c r="V310" s="12"/>
      <c r="W310" s="12"/>
      <c r="X310" s="12"/>
      <c r="Y310" s="12"/>
      <c r="Z310" s="12"/>
    </row>
    <row r="311" customFormat="false" ht="15.75" hidden="false" customHeight="false" outlineLevel="0" collapsed="false">
      <c r="A311" s="12"/>
      <c r="B311" s="34"/>
      <c r="C311" s="12"/>
      <c r="D311" s="12"/>
      <c r="E311" s="12"/>
      <c r="F311" s="12"/>
      <c r="G311" s="18"/>
      <c r="H311" s="35"/>
      <c r="I311" s="35"/>
      <c r="J311" s="12"/>
      <c r="O311" s="12"/>
      <c r="P311" s="18"/>
      <c r="Q311" s="12"/>
      <c r="R311" s="12"/>
      <c r="S311" s="12"/>
      <c r="T311" s="36"/>
      <c r="U311" s="36"/>
      <c r="V311" s="12"/>
      <c r="W311" s="12"/>
      <c r="X311" s="12"/>
      <c r="Y311" s="12"/>
      <c r="Z311" s="12"/>
    </row>
    <row r="312" customFormat="false" ht="15.75" hidden="false" customHeight="false" outlineLevel="0" collapsed="false">
      <c r="A312" s="12"/>
      <c r="B312" s="34"/>
      <c r="C312" s="12"/>
      <c r="D312" s="12"/>
      <c r="E312" s="12"/>
      <c r="F312" s="12"/>
      <c r="G312" s="18"/>
      <c r="H312" s="35"/>
      <c r="I312" s="35"/>
      <c r="J312" s="12"/>
      <c r="O312" s="12"/>
      <c r="P312" s="18"/>
      <c r="Q312" s="12"/>
      <c r="R312" s="12"/>
      <c r="S312" s="12"/>
      <c r="T312" s="36"/>
      <c r="U312" s="36"/>
      <c r="V312" s="12"/>
      <c r="W312" s="12"/>
      <c r="X312" s="12"/>
      <c r="Y312" s="12"/>
      <c r="Z312" s="12"/>
    </row>
    <row r="313" customFormat="false" ht="15.75" hidden="false" customHeight="false" outlineLevel="0" collapsed="false">
      <c r="A313" s="12"/>
      <c r="B313" s="34"/>
      <c r="C313" s="12"/>
      <c r="D313" s="12"/>
      <c r="E313" s="12"/>
      <c r="F313" s="12"/>
      <c r="G313" s="18"/>
      <c r="H313" s="35"/>
      <c r="I313" s="35"/>
      <c r="J313" s="12"/>
      <c r="O313" s="12"/>
      <c r="P313" s="18"/>
      <c r="Q313" s="12"/>
      <c r="R313" s="12"/>
      <c r="S313" s="12"/>
      <c r="T313" s="36"/>
      <c r="U313" s="36"/>
      <c r="V313" s="12"/>
      <c r="W313" s="12"/>
      <c r="X313" s="12"/>
      <c r="Y313" s="12"/>
      <c r="Z313" s="12"/>
    </row>
    <row r="314" customFormat="false" ht="15.75" hidden="false" customHeight="false" outlineLevel="0" collapsed="false">
      <c r="A314" s="12"/>
      <c r="B314" s="34"/>
      <c r="C314" s="12"/>
      <c r="D314" s="12"/>
      <c r="E314" s="12"/>
      <c r="F314" s="12"/>
      <c r="G314" s="18"/>
      <c r="H314" s="35"/>
      <c r="I314" s="35"/>
      <c r="J314" s="12"/>
      <c r="O314" s="12"/>
      <c r="P314" s="18"/>
      <c r="Q314" s="12"/>
      <c r="R314" s="12"/>
      <c r="S314" s="12"/>
      <c r="T314" s="36"/>
      <c r="U314" s="36"/>
      <c r="V314" s="12"/>
      <c r="W314" s="12"/>
      <c r="X314" s="12"/>
      <c r="Y314" s="12"/>
      <c r="Z314" s="12"/>
    </row>
    <row r="315" customFormat="false" ht="15.75" hidden="false" customHeight="false" outlineLevel="0" collapsed="false">
      <c r="A315" s="12"/>
      <c r="B315" s="34"/>
      <c r="C315" s="12"/>
      <c r="D315" s="12"/>
      <c r="E315" s="12"/>
      <c r="F315" s="12"/>
      <c r="G315" s="18"/>
      <c r="H315" s="35"/>
      <c r="I315" s="35"/>
      <c r="J315" s="12"/>
      <c r="O315" s="12"/>
      <c r="P315" s="18"/>
      <c r="Q315" s="12"/>
      <c r="R315" s="12"/>
      <c r="S315" s="12"/>
      <c r="T315" s="36"/>
      <c r="U315" s="36"/>
      <c r="V315" s="12"/>
      <c r="W315" s="12"/>
      <c r="X315" s="12"/>
      <c r="Y315" s="12"/>
      <c r="Z315" s="12"/>
    </row>
    <row r="316" customFormat="false" ht="15.75" hidden="false" customHeight="false" outlineLevel="0" collapsed="false">
      <c r="A316" s="12"/>
      <c r="B316" s="34"/>
      <c r="C316" s="12"/>
      <c r="D316" s="12"/>
      <c r="E316" s="12"/>
      <c r="F316" s="12"/>
      <c r="G316" s="18"/>
      <c r="H316" s="35"/>
      <c r="I316" s="35"/>
      <c r="J316" s="12"/>
      <c r="O316" s="12"/>
      <c r="P316" s="18"/>
      <c r="Q316" s="12"/>
      <c r="R316" s="12"/>
      <c r="S316" s="12"/>
      <c r="T316" s="36"/>
      <c r="U316" s="36"/>
      <c r="V316" s="12"/>
      <c r="W316" s="12"/>
      <c r="X316" s="12"/>
      <c r="Y316" s="12"/>
      <c r="Z316" s="12"/>
    </row>
    <row r="317" customFormat="false" ht="15.75" hidden="false" customHeight="false" outlineLevel="0" collapsed="false">
      <c r="A317" s="12"/>
      <c r="B317" s="34"/>
      <c r="C317" s="12"/>
      <c r="D317" s="12"/>
      <c r="E317" s="12"/>
      <c r="F317" s="12"/>
      <c r="G317" s="18"/>
      <c r="H317" s="35"/>
      <c r="I317" s="35"/>
      <c r="J317" s="12"/>
      <c r="O317" s="12"/>
      <c r="P317" s="18"/>
      <c r="Q317" s="12"/>
      <c r="R317" s="12"/>
      <c r="S317" s="12"/>
      <c r="T317" s="36"/>
      <c r="U317" s="36"/>
      <c r="V317" s="12"/>
      <c r="W317" s="12"/>
      <c r="X317" s="12"/>
      <c r="Y317" s="12"/>
      <c r="Z317" s="12"/>
    </row>
    <row r="318" customFormat="false" ht="15.75" hidden="false" customHeight="false" outlineLevel="0" collapsed="false">
      <c r="A318" s="12"/>
      <c r="B318" s="34"/>
      <c r="C318" s="12"/>
      <c r="D318" s="12"/>
      <c r="E318" s="12"/>
      <c r="F318" s="12"/>
      <c r="G318" s="18"/>
      <c r="H318" s="35"/>
      <c r="I318" s="35"/>
      <c r="J318" s="12"/>
      <c r="O318" s="12"/>
      <c r="P318" s="18"/>
      <c r="Q318" s="12"/>
      <c r="R318" s="12"/>
      <c r="S318" s="12"/>
      <c r="T318" s="36"/>
      <c r="U318" s="36"/>
      <c r="V318" s="12"/>
      <c r="W318" s="12"/>
      <c r="X318" s="12"/>
      <c r="Y318" s="12"/>
      <c r="Z318" s="12"/>
    </row>
    <row r="319" customFormat="false" ht="15.75" hidden="false" customHeight="false" outlineLevel="0" collapsed="false">
      <c r="A319" s="12"/>
      <c r="B319" s="34"/>
      <c r="C319" s="12"/>
      <c r="D319" s="12"/>
      <c r="E319" s="12"/>
      <c r="F319" s="12"/>
      <c r="G319" s="18"/>
      <c r="H319" s="35"/>
      <c r="I319" s="35"/>
      <c r="J319" s="12"/>
      <c r="O319" s="12"/>
      <c r="P319" s="18"/>
      <c r="Q319" s="12"/>
      <c r="R319" s="12"/>
      <c r="S319" s="12"/>
      <c r="T319" s="36"/>
      <c r="U319" s="36"/>
      <c r="V319" s="12"/>
      <c r="W319" s="12"/>
      <c r="X319" s="12"/>
      <c r="Y319" s="12"/>
      <c r="Z319" s="12"/>
    </row>
    <row r="320" customFormat="false" ht="15.75" hidden="false" customHeight="false" outlineLevel="0" collapsed="false">
      <c r="A320" s="12"/>
      <c r="B320" s="34"/>
      <c r="C320" s="12"/>
      <c r="D320" s="12"/>
      <c r="E320" s="12"/>
      <c r="F320" s="12"/>
      <c r="G320" s="18"/>
      <c r="H320" s="35"/>
      <c r="I320" s="35"/>
      <c r="J320" s="12"/>
      <c r="O320" s="12"/>
      <c r="P320" s="18"/>
      <c r="Q320" s="12"/>
      <c r="R320" s="12"/>
      <c r="S320" s="12"/>
      <c r="T320" s="36"/>
      <c r="U320" s="36"/>
      <c r="V320" s="12"/>
      <c r="W320" s="12"/>
      <c r="X320" s="12"/>
      <c r="Y320" s="12"/>
      <c r="Z320" s="12"/>
    </row>
    <row r="321" customFormat="false" ht="15.75" hidden="false" customHeight="false" outlineLevel="0" collapsed="false">
      <c r="A321" s="12"/>
      <c r="B321" s="34"/>
      <c r="C321" s="12"/>
      <c r="D321" s="12"/>
      <c r="E321" s="12"/>
      <c r="F321" s="12"/>
      <c r="G321" s="18"/>
      <c r="H321" s="35"/>
      <c r="I321" s="35"/>
      <c r="J321" s="12"/>
      <c r="O321" s="12"/>
      <c r="P321" s="18"/>
      <c r="Q321" s="12"/>
      <c r="R321" s="12"/>
      <c r="S321" s="12"/>
      <c r="T321" s="36"/>
      <c r="U321" s="36"/>
      <c r="V321" s="12"/>
      <c r="W321" s="12"/>
      <c r="X321" s="12"/>
      <c r="Y321" s="12"/>
      <c r="Z321" s="12"/>
    </row>
    <row r="322" customFormat="false" ht="15.75" hidden="false" customHeight="false" outlineLevel="0" collapsed="false">
      <c r="A322" s="12"/>
      <c r="B322" s="34"/>
      <c r="C322" s="12"/>
      <c r="D322" s="12"/>
      <c r="E322" s="12"/>
      <c r="F322" s="12"/>
      <c r="G322" s="18"/>
      <c r="H322" s="35"/>
      <c r="I322" s="35"/>
      <c r="J322" s="12"/>
      <c r="O322" s="12"/>
      <c r="P322" s="18"/>
      <c r="Q322" s="12"/>
      <c r="R322" s="12"/>
      <c r="S322" s="12"/>
      <c r="T322" s="36"/>
      <c r="U322" s="36"/>
      <c r="V322" s="12"/>
      <c r="W322" s="12"/>
      <c r="X322" s="12"/>
      <c r="Y322" s="12"/>
      <c r="Z322" s="12"/>
    </row>
    <row r="323" customFormat="false" ht="15.75" hidden="false" customHeight="false" outlineLevel="0" collapsed="false">
      <c r="A323" s="12"/>
      <c r="B323" s="34"/>
      <c r="C323" s="12"/>
      <c r="D323" s="12"/>
      <c r="E323" s="12"/>
      <c r="F323" s="12"/>
      <c r="G323" s="18"/>
      <c r="H323" s="35"/>
      <c r="I323" s="35"/>
      <c r="J323" s="12"/>
      <c r="O323" s="12"/>
      <c r="P323" s="18"/>
      <c r="Q323" s="12"/>
      <c r="R323" s="12"/>
      <c r="S323" s="12"/>
      <c r="T323" s="36"/>
      <c r="U323" s="36"/>
      <c r="V323" s="12"/>
      <c r="W323" s="12"/>
      <c r="X323" s="12"/>
      <c r="Y323" s="12"/>
      <c r="Z323" s="12"/>
    </row>
    <row r="324" customFormat="false" ht="15.75" hidden="false" customHeight="false" outlineLevel="0" collapsed="false">
      <c r="A324" s="12"/>
      <c r="B324" s="34"/>
      <c r="C324" s="12"/>
      <c r="D324" s="12"/>
      <c r="E324" s="12"/>
      <c r="F324" s="12"/>
      <c r="G324" s="18"/>
      <c r="H324" s="35"/>
      <c r="I324" s="35"/>
      <c r="J324" s="12"/>
      <c r="O324" s="12"/>
      <c r="P324" s="18"/>
      <c r="Q324" s="12"/>
      <c r="R324" s="12"/>
      <c r="S324" s="12"/>
      <c r="T324" s="36"/>
      <c r="U324" s="36"/>
      <c r="V324" s="12"/>
      <c r="W324" s="12"/>
      <c r="X324" s="12"/>
      <c r="Y324" s="12"/>
      <c r="Z324" s="12"/>
    </row>
    <row r="325" customFormat="false" ht="15.75" hidden="false" customHeight="false" outlineLevel="0" collapsed="false">
      <c r="A325" s="12"/>
      <c r="B325" s="34"/>
      <c r="C325" s="12"/>
      <c r="D325" s="12"/>
      <c r="E325" s="12"/>
      <c r="F325" s="12"/>
      <c r="G325" s="18"/>
      <c r="H325" s="35"/>
      <c r="I325" s="35"/>
      <c r="J325" s="12"/>
      <c r="O325" s="12"/>
      <c r="P325" s="18"/>
      <c r="Q325" s="12"/>
      <c r="R325" s="12"/>
      <c r="S325" s="12"/>
      <c r="T325" s="36"/>
      <c r="U325" s="36"/>
      <c r="V325" s="12"/>
      <c r="W325" s="12"/>
      <c r="X325" s="12"/>
      <c r="Y325" s="12"/>
      <c r="Z325" s="12"/>
    </row>
    <row r="326" customFormat="false" ht="15.75" hidden="false" customHeight="false" outlineLevel="0" collapsed="false">
      <c r="A326" s="12"/>
      <c r="B326" s="34"/>
      <c r="C326" s="12"/>
      <c r="D326" s="12"/>
      <c r="E326" s="12"/>
      <c r="F326" s="12"/>
      <c r="G326" s="18"/>
      <c r="H326" s="35"/>
      <c r="I326" s="35"/>
      <c r="J326" s="12"/>
      <c r="O326" s="12"/>
      <c r="P326" s="18"/>
      <c r="Q326" s="12"/>
      <c r="R326" s="12"/>
      <c r="S326" s="12"/>
      <c r="T326" s="36"/>
      <c r="U326" s="36"/>
      <c r="V326" s="12"/>
      <c r="W326" s="12"/>
      <c r="X326" s="12"/>
      <c r="Y326" s="12"/>
      <c r="Z326" s="12"/>
    </row>
    <row r="327" customFormat="false" ht="15.75" hidden="false" customHeight="false" outlineLevel="0" collapsed="false">
      <c r="A327" s="12"/>
      <c r="B327" s="34"/>
      <c r="C327" s="12"/>
      <c r="D327" s="12"/>
      <c r="E327" s="12"/>
      <c r="F327" s="12"/>
      <c r="G327" s="18"/>
      <c r="H327" s="35"/>
      <c r="I327" s="35"/>
      <c r="J327" s="12"/>
      <c r="O327" s="12"/>
      <c r="P327" s="18"/>
      <c r="Q327" s="12"/>
      <c r="R327" s="12"/>
      <c r="S327" s="12"/>
      <c r="T327" s="36"/>
      <c r="U327" s="36"/>
      <c r="V327" s="12"/>
      <c r="W327" s="12"/>
      <c r="X327" s="12"/>
      <c r="Y327" s="12"/>
      <c r="Z327" s="12"/>
    </row>
    <row r="328" customFormat="false" ht="15.75" hidden="false" customHeight="false" outlineLevel="0" collapsed="false">
      <c r="A328" s="12"/>
      <c r="B328" s="34"/>
      <c r="C328" s="12"/>
      <c r="D328" s="12"/>
      <c r="E328" s="12"/>
      <c r="F328" s="12"/>
      <c r="G328" s="18"/>
      <c r="H328" s="35"/>
      <c r="I328" s="35"/>
      <c r="J328" s="12"/>
      <c r="O328" s="12"/>
      <c r="P328" s="18"/>
      <c r="Q328" s="12"/>
      <c r="R328" s="12"/>
      <c r="S328" s="12"/>
      <c r="T328" s="36"/>
      <c r="U328" s="36"/>
      <c r="V328" s="12"/>
      <c r="W328" s="12"/>
      <c r="X328" s="12"/>
      <c r="Y328" s="12"/>
      <c r="Z328" s="12"/>
    </row>
    <row r="329" customFormat="false" ht="15.75" hidden="false" customHeight="false" outlineLevel="0" collapsed="false">
      <c r="A329" s="12"/>
      <c r="B329" s="34"/>
      <c r="C329" s="12"/>
      <c r="D329" s="12"/>
      <c r="E329" s="12"/>
      <c r="F329" s="12"/>
      <c r="G329" s="18"/>
      <c r="H329" s="35"/>
      <c r="I329" s="35"/>
      <c r="J329" s="12"/>
      <c r="O329" s="12"/>
      <c r="P329" s="18"/>
      <c r="Q329" s="12"/>
      <c r="R329" s="12"/>
      <c r="S329" s="12"/>
      <c r="T329" s="36"/>
      <c r="U329" s="36"/>
      <c r="V329" s="12"/>
      <c r="W329" s="12"/>
      <c r="X329" s="12"/>
      <c r="Y329" s="12"/>
      <c r="Z329" s="12"/>
    </row>
    <row r="330" customFormat="false" ht="15.75" hidden="false" customHeight="false" outlineLevel="0" collapsed="false">
      <c r="A330" s="12"/>
      <c r="B330" s="34"/>
      <c r="C330" s="12"/>
      <c r="D330" s="12"/>
      <c r="E330" s="12"/>
      <c r="F330" s="12"/>
      <c r="G330" s="18"/>
      <c r="H330" s="35"/>
      <c r="I330" s="35"/>
      <c r="J330" s="12"/>
      <c r="O330" s="12"/>
      <c r="P330" s="18"/>
      <c r="Q330" s="12"/>
      <c r="R330" s="12"/>
      <c r="S330" s="12"/>
      <c r="T330" s="36"/>
      <c r="U330" s="36"/>
      <c r="V330" s="12"/>
      <c r="W330" s="12"/>
      <c r="X330" s="12"/>
      <c r="Y330" s="12"/>
      <c r="Z330" s="12"/>
    </row>
    <row r="331" customFormat="false" ht="15.75" hidden="false" customHeight="false" outlineLevel="0" collapsed="false">
      <c r="A331" s="12"/>
      <c r="B331" s="34"/>
      <c r="C331" s="12"/>
      <c r="D331" s="12"/>
      <c r="E331" s="12"/>
      <c r="F331" s="12"/>
      <c r="G331" s="18"/>
      <c r="H331" s="35"/>
      <c r="I331" s="35"/>
      <c r="J331" s="12"/>
      <c r="O331" s="12"/>
      <c r="P331" s="18"/>
      <c r="Q331" s="12"/>
      <c r="R331" s="12"/>
      <c r="S331" s="12"/>
      <c r="T331" s="36"/>
      <c r="U331" s="36"/>
      <c r="V331" s="12"/>
      <c r="W331" s="12"/>
      <c r="X331" s="12"/>
      <c r="Y331" s="12"/>
      <c r="Z331" s="12"/>
    </row>
    <row r="332" customFormat="false" ht="15.75" hidden="false" customHeight="false" outlineLevel="0" collapsed="false">
      <c r="A332" s="12"/>
      <c r="B332" s="34"/>
      <c r="C332" s="12"/>
      <c r="D332" s="12"/>
      <c r="E332" s="12"/>
      <c r="F332" s="12"/>
      <c r="G332" s="18"/>
      <c r="H332" s="35"/>
      <c r="I332" s="35"/>
      <c r="J332" s="12"/>
      <c r="O332" s="12"/>
      <c r="P332" s="18"/>
      <c r="Q332" s="12"/>
      <c r="R332" s="12"/>
      <c r="S332" s="12"/>
      <c r="T332" s="36"/>
      <c r="U332" s="36"/>
      <c r="V332" s="12"/>
      <c r="W332" s="12"/>
      <c r="X332" s="12"/>
      <c r="Y332" s="12"/>
      <c r="Z332" s="12"/>
    </row>
    <row r="333" customFormat="false" ht="15.75" hidden="false" customHeight="false" outlineLevel="0" collapsed="false">
      <c r="A333" s="12"/>
      <c r="B333" s="34"/>
      <c r="C333" s="12"/>
      <c r="D333" s="12"/>
      <c r="E333" s="12"/>
      <c r="F333" s="12"/>
      <c r="G333" s="18"/>
      <c r="H333" s="35"/>
      <c r="I333" s="35"/>
      <c r="J333" s="12"/>
      <c r="O333" s="12"/>
      <c r="P333" s="18"/>
      <c r="Q333" s="12"/>
      <c r="R333" s="12"/>
      <c r="S333" s="12"/>
      <c r="T333" s="36"/>
      <c r="U333" s="36"/>
      <c r="V333" s="12"/>
      <c r="W333" s="12"/>
      <c r="X333" s="12"/>
      <c r="Y333" s="12"/>
      <c r="Z333" s="12"/>
    </row>
    <row r="334" customFormat="false" ht="15.75" hidden="false" customHeight="false" outlineLevel="0" collapsed="false">
      <c r="A334" s="12"/>
      <c r="B334" s="34"/>
      <c r="C334" s="12"/>
      <c r="D334" s="12"/>
      <c r="E334" s="12"/>
      <c r="F334" s="12"/>
      <c r="G334" s="18"/>
      <c r="H334" s="35"/>
      <c r="I334" s="35"/>
      <c r="J334" s="12"/>
      <c r="O334" s="12"/>
      <c r="P334" s="18"/>
      <c r="Q334" s="12"/>
      <c r="R334" s="12"/>
      <c r="S334" s="12"/>
      <c r="T334" s="36"/>
      <c r="U334" s="36"/>
      <c r="V334" s="12"/>
      <c r="W334" s="12"/>
      <c r="X334" s="12"/>
      <c r="Y334" s="12"/>
      <c r="Z334" s="12"/>
    </row>
    <row r="335" customFormat="false" ht="15.75" hidden="false" customHeight="false" outlineLevel="0" collapsed="false">
      <c r="A335" s="12"/>
      <c r="B335" s="34"/>
      <c r="C335" s="12"/>
      <c r="D335" s="12"/>
      <c r="E335" s="12"/>
      <c r="F335" s="12"/>
      <c r="G335" s="18"/>
      <c r="H335" s="35"/>
      <c r="I335" s="35"/>
      <c r="J335" s="12"/>
      <c r="O335" s="12"/>
      <c r="P335" s="18"/>
      <c r="Q335" s="12"/>
      <c r="R335" s="12"/>
      <c r="S335" s="12"/>
      <c r="T335" s="36"/>
      <c r="U335" s="36"/>
      <c r="V335" s="12"/>
      <c r="W335" s="12"/>
      <c r="X335" s="12"/>
      <c r="Y335" s="12"/>
      <c r="Z335" s="12"/>
    </row>
    <row r="336" customFormat="false" ht="15.75" hidden="false" customHeight="false" outlineLevel="0" collapsed="false">
      <c r="A336" s="12"/>
      <c r="B336" s="34"/>
      <c r="C336" s="12"/>
      <c r="D336" s="12"/>
      <c r="E336" s="12"/>
      <c r="F336" s="12"/>
      <c r="G336" s="18"/>
      <c r="H336" s="35"/>
      <c r="I336" s="35"/>
      <c r="J336" s="12"/>
      <c r="O336" s="12"/>
      <c r="P336" s="18"/>
      <c r="Q336" s="12"/>
      <c r="R336" s="12"/>
      <c r="S336" s="12"/>
      <c r="T336" s="36"/>
      <c r="U336" s="36"/>
      <c r="V336" s="12"/>
      <c r="W336" s="12"/>
      <c r="X336" s="12"/>
      <c r="Y336" s="12"/>
      <c r="Z336" s="12"/>
    </row>
    <row r="337" customFormat="false" ht="15.75" hidden="false" customHeight="false" outlineLevel="0" collapsed="false">
      <c r="A337" s="12"/>
      <c r="B337" s="34"/>
      <c r="C337" s="12"/>
      <c r="D337" s="12"/>
      <c r="E337" s="12"/>
      <c r="F337" s="12"/>
      <c r="G337" s="18"/>
      <c r="H337" s="35"/>
      <c r="I337" s="35"/>
      <c r="J337" s="12"/>
      <c r="O337" s="12"/>
      <c r="P337" s="18"/>
      <c r="Q337" s="12"/>
      <c r="R337" s="12"/>
      <c r="S337" s="12"/>
      <c r="T337" s="36"/>
      <c r="U337" s="36"/>
      <c r="V337" s="12"/>
      <c r="W337" s="12"/>
      <c r="X337" s="12"/>
      <c r="Y337" s="12"/>
      <c r="Z337" s="12"/>
    </row>
    <row r="338" customFormat="false" ht="15.75" hidden="false" customHeight="false" outlineLevel="0" collapsed="false">
      <c r="A338" s="12"/>
      <c r="B338" s="34"/>
      <c r="C338" s="12"/>
      <c r="D338" s="12"/>
      <c r="E338" s="12"/>
      <c r="F338" s="12"/>
      <c r="G338" s="18"/>
      <c r="H338" s="35"/>
      <c r="I338" s="35"/>
      <c r="J338" s="12"/>
      <c r="O338" s="12"/>
      <c r="P338" s="18"/>
      <c r="Q338" s="12"/>
      <c r="R338" s="12"/>
      <c r="S338" s="12"/>
      <c r="T338" s="36"/>
      <c r="U338" s="36"/>
      <c r="V338" s="12"/>
      <c r="W338" s="12"/>
      <c r="X338" s="12"/>
      <c r="Y338" s="12"/>
      <c r="Z338" s="12"/>
    </row>
    <row r="339" customFormat="false" ht="15.75" hidden="false" customHeight="false" outlineLevel="0" collapsed="false">
      <c r="A339" s="12"/>
      <c r="B339" s="34"/>
      <c r="C339" s="12"/>
      <c r="D339" s="12"/>
      <c r="E339" s="12"/>
      <c r="F339" s="12"/>
      <c r="G339" s="18"/>
      <c r="H339" s="35"/>
      <c r="I339" s="35"/>
      <c r="J339" s="12"/>
      <c r="O339" s="12"/>
      <c r="P339" s="18"/>
      <c r="Q339" s="12"/>
      <c r="R339" s="12"/>
      <c r="S339" s="12"/>
      <c r="T339" s="36"/>
      <c r="U339" s="36"/>
      <c r="V339" s="12"/>
      <c r="W339" s="12"/>
      <c r="X339" s="12"/>
      <c r="Y339" s="12"/>
      <c r="Z339" s="12"/>
    </row>
    <row r="340" customFormat="false" ht="15.75" hidden="false" customHeight="false" outlineLevel="0" collapsed="false">
      <c r="A340" s="12"/>
      <c r="B340" s="34"/>
      <c r="C340" s="12"/>
      <c r="D340" s="12"/>
      <c r="E340" s="12"/>
      <c r="F340" s="12"/>
      <c r="G340" s="18"/>
      <c r="H340" s="35"/>
      <c r="I340" s="35"/>
      <c r="J340" s="12"/>
      <c r="O340" s="12"/>
      <c r="P340" s="18"/>
      <c r="Q340" s="12"/>
      <c r="R340" s="12"/>
      <c r="S340" s="12"/>
      <c r="T340" s="36"/>
      <c r="U340" s="36"/>
      <c r="V340" s="12"/>
      <c r="W340" s="12"/>
      <c r="X340" s="12"/>
      <c r="Y340" s="12"/>
      <c r="Z340" s="12"/>
    </row>
    <row r="341" customFormat="false" ht="15.75" hidden="false" customHeight="false" outlineLevel="0" collapsed="false">
      <c r="A341" s="12"/>
      <c r="B341" s="34"/>
      <c r="C341" s="12"/>
      <c r="D341" s="12"/>
      <c r="E341" s="12"/>
      <c r="F341" s="12"/>
      <c r="G341" s="18"/>
      <c r="H341" s="35"/>
      <c r="I341" s="35"/>
      <c r="J341" s="12"/>
      <c r="O341" s="12"/>
      <c r="P341" s="18"/>
      <c r="Q341" s="12"/>
      <c r="R341" s="12"/>
      <c r="S341" s="12"/>
      <c r="T341" s="36"/>
      <c r="U341" s="36"/>
      <c r="V341" s="12"/>
      <c r="W341" s="12"/>
      <c r="X341" s="12"/>
      <c r="Y341" s="12"/>
      <c r="Z341" s="12"/>
    </row>
    <row r="342" customFormat="false" ht="15.75" hidden="false" customHeight="false" outlineLevel="0" collapsed="false">
      <c r="A342" s="12"/>
      <c r="B342" s="34"/>
      <c r="C342" s="12"/>
      <c r="D342" s="12"/>
      <c r="E342" s="12"/>
      <c r="F342" s="12"/>
      <c r="G342" s="18"/>
      <c r="H342" s="35"/>
      <c r="I342" s="35"/>
      <c r="J342" s="12"/>
      <c r="O342" s="12"/>
      <c r="P342" s="18"/>
      <c r="Q342" s="12"/>
      <c r="R342" s="12"/>
      <c r="S342" s="12"/>
      <c r="T342" s="36"/>
      <c r="U342" s="36"/>
      <c r="V342" s="12"/>
      <c r="W342" s="12"/>
      <c r="X342" s="12"/>
      <c r="Y342" s="12"/>
      <c r="Z342" s="12"/>
    </row>
    <row r="343" customFormat="false" ht="15.75" hidden="false" customHeight="false" outlineLevel="0" collapsed="false">
      <c r="A343" s="12"/>
      <c r="B343" s="34"/>
      <c r="C343" s="12"/>
      <c r="D343" s="12"/>
      <c r="E343" s="12"/>
      <c r="F343" s="12"/>
      <c r="G343" s="18"/>
      <c r="H343" s="35"/>
      <c r="I343" s="35"/>
      <c r="J343" s="12"/>
      <c r="O343" s="12"/>
      <c r="P343" s="18"/>
      <c r="Q343" s="12"/>
      <c r="R343" s="12"/>
      <c r="S343" s="12"/>
      <c r="T343" s="36"/>
      <c r="U343" s="36"/>
      <c r="V343" s="12"/>
      <c r="W343" s="12"/>
      <c r="X343" s="12"/>
      <c r="Y343" s="12"/>
      <c r="Z343" s="12"/>
    </row>
    <row r="344" customFormat="false" ht="15.75" hidden="false" customHeight="false" outlineLevel="0" collapsed="false">
      <c r="A344" s="12"/>
      <c r="B344" s="34"/>
      <c r="C344" s="12"/>
      <c r="D344" s="12"/>
      <c r="E344" s="12"/>
      <c r="F344" s="12"/>
      <c r="G344" s="18"/>
      <c r="H344" s="35"/>
      <c r="I344" s="35"/>
      <c r="J344" s="12"/>
      <c r="O344" s="12"/>
      <c r="P344" s="18"/>
      <c r="Q344" s="12"/>
      <c r="R344" s="12"/>
      <c r="S344" s="12"/>
      <c r="T344" s="36"/>
      <c r="U344" s="36"/>
      <c r="V344" s="12"/>
      <c r="W344" s="12"/>
      <c r="X344" s="12"/>
      <c r="Y344" s="12"/>
      <c r="Z344" s="12"/>
    </row>
    <row r="345" customFormat="false" ht="15.75" hidden="false" customHeight="false" outlineLevel="0" collapsed="false">
      <c r="A345" s="12"/>
      <c r="B345" s="34"/>
      <c r="C345" s="12"/>
      <c r="D345" s="12"/>
      <c r="E345" s="12"/>
      <c r="F345" s="12"/>
      <c r="G345" s="18"/>
      <c r="H345" s="35"/>
      <c r="I345" s="35"/>
      <c r="J345" s="12"/>
      <c r="O345" s="12"/>
      <c r="P345" s="18"/>
      <c r="Q345" s="12"/>
      <c r="R345" s="12"/>
      <c r="S345" s="12"/>
      <c r="T345" s="36"/>
      <c r="U345" s="36"/>
      <c r="V345" s="12"/>
      <c r="W345" s="12"/>
      <c r="X345" s="12"/>
      <c r="Y345" s="12"/>
      <c r="Z345" s="12"/>
    </row>
    <row r="346" customFormat="false" ht="15.75" hidden="false" customHeight="false" outlineLevel="0" collapsed="false">
      <c r="A346" s="12"/>
      <c r="B346" s="34"/>
      <c r="C346" s="12"/>
      <c r="D346" s="12"/>
      <c r="E346" s="12"/>
      <c r="F346" s="12"/>
      <c r="G346" s="18"/>
      <c r="H346" s="35"/>
      <c r="I346" s="35"/>
      <c r="J346" s="12"/>
      <c r="O346" s="12"/>
      <c r="P346" s="18"/>
      <c r="Q346" s="12"/>
      <c r="R346" s="12"/>
      <c r="S346" s="12"/>
      <c r="T346" s="36"/>
      <c r="U346" s="36"/>
      <c r="V346" s="12"/>
      <c r="W346" s="12"/>
      <c r="X346" s="12"/>
      <c r="Y346" s="12"/>
      <c r="Z346" s="12"/>
    </row>
    <row r="347" customFormat="false" ht="15.75" hidden="false" customHeight="false" outlineLevel="0" collapsed="false">
      <c r="A347" s="12"/>
      <c r="B347" s="34"/>
      <c r="C347" s="12"/>
      <c r="D347" s="12"/>
      <c r="E347" s="12"/>
      <c r="F347" s="12"/>
      <c r="G347" s="18"/>
      <c r="H347" s="35"/>
      <c r="I347" s="35"/>
      <c r="J347" s="12"/>
      <c r="O347" s="12"/>
      <c r="P347" s="18"/>
      <c r="Q347" s="12"/>
      <c r="R347" s="12"/>
      <c r="S347" s="12"/>
      <c r="T347" s="36"/>
      <c r="U347" s="36"/>
      <c r="V347" s="12"/>
      <c r="W347" s="12"/>
      <c r="X347" s="12"/>
      <c r="Y347" s="12"/>
      <c r="Z347" s="12"/>
    </row>
    <row r="348" customFormat="false" ht="15.75" hidden="false" customHeight="false" outlineLevel="0" collapsed="false">
      <c r="A348" s="12"/>
      <c r="B348" s="34"/>
      <c r="C348" s="12"/>
      <c r="D348" s="12"/>
      <c r="E348" s="12"/>
      <c r="F348" s="12"/>
      <c r="G348" s="18"/>
      <c r="H348" s="35"/>
      <c r="I348" s="35"/>
      <c r="J348" s="12"/>
      <c r="O348" s="12"/>
      <c r="P348" s="18"/>
      <c r="Q348" s="12"/>
      <c r="R348" s="12"/>
      <c r="S348" s="12"/>
      <c r="T348" s="36"/>
      <c r="U348" s="36"/>
      <c r="V348" s="12"/>
      <c r="W348" s="12"/>
      <c r="X348" s="12"/>
      <c r="Y348" s="12"/>
      <c r="Z348" s="12"/>
    </row>
    <row r="349" customFormat="false" ht="15.75" hidden="false" customHeight="false" outlineLevel="0" collapsed="false">
      <c r="A349" s="12"/>
      <c r="B349" s="34"/>
      <c r="C349" s="12"/>
      <c r="D349" s="12"/>
      <c r="E349" s="12"/>
      <c r="F349" s="12"/>
      <c r="G349" s="18"/>
      <c r="H349" s="35"/>
      <c r="I349" s="35"/>
      <c r="J349" s="12"/>
      <c r="O349" s="12"/>
      <c r="P349" s="18"/>
      <c r="Q349" s="12"/>
      <c r="R349" s="12"/>
      <c r="S349" s="12"/>
      <c r="T349" s="36"/>
      <c r="U349" s="36"/>
      <c r="V349" s="12"/>
      <c r="W349" s="12"/>
      <c r="X349" s="12"/>
      <c r="Y349" s="12"/>
      <c r="Z349" s="12"/>
    </row>
    <row r="350" customFormat="false" ht="15.75" hidden="false" customHeight="false" outlineLevel="0" collapsed="false">
      <c r="A350" s="12"/>
      <c r="B350" s="34"/>
      <c r="C350" s="12"/>
      <c r="D350" s="12"/>
      <c r="E350" s="12"/>
      <c r="F350" s="12"/>
      <c r="G350" s="18"/>
      <c r="H350" s="35"/>
      <c r="I350" s="35"/>
      <c r="J350" s="12"/>
      <c r="O350" s="12"/>
      <c r="P350" s="18"/>
      <c r="Q350" s="12"/>
      <c r="R350" s="12"/>
      <c r="S350" s="12"/>
      <c r="T350" s="36"/>
      <c r="U350" s="36"/>
      <c r="V350" s="12"/>
      <c r="W350" s="12"/>
      <c r="X350" s="12"/>
      <c r="Y350" s="12"/>
      <c r="Z350" s="12"/>
    </row>
    <row r="351" customFormat="false" ht="15.75" hidden="false" customHeight="false" outlineLevel="0" collapsed="false">
      <c r="A351" s="12"/>
      <c r="B351" s="34"/>
      <c r="C351" s="12"/>
      <c r="D351" s="12"/>
      <c r="E351" s="12"/>
      <c r="F351" s="12"/>
      <c r="G351" s="18"/>
      <c r="H351" s="35"/>
      <c r="I351" s="35"/>
      <c r="J351" s="12"/>
      <c r="O351" s="12"/>
      <c r="P351" s="18"/>
      <c r="Q351" s="12"/>
      <c r="R351" s="12"/>
      <c r="S351" s="12"/>
      <c r="T351" s="36"/>
      <c r="U351" s="36"/>
      <c r="V351" s="12"/>
      <c r="W351" s="12"/>
      <c r="X351" s="12"/>
      <c r="Y351" s="12"/>
      <c r="Z351" s="12"/>
    </row>
    <row r="352" customFormat="false" ht="15.75" hidden="false" customHeight="false" outlineLevel="0" collapsed="false">
      <c r="A352" s="12"/>
      <c r="B352" s="34"/>
      <c r="C352" s="12"/>
      <c r="D352" s="12"/>
      <c r="E352" s="12"/>
      <c r="F352" s="12"/>
      <c r="G352" s="18"/>
      <c r="H352" s="35"/>
      <c r="I352" s="35"/>
      <c r="J352" s="12"/>
      <c r="O352" s="12"/>
      <c r="P352" s="18"/>
      <c r="Q352" s="12"/>
      <c r="R352" s="12"/>
      <c r="S352" s="12"/>
      <c r="T352" s="36"/>
      <c r="U352" s="36"/>
      <c r="V352" s="12"/>
      <c r="W352" s="12"/>
      <c r="X352" s="12"/>
      <c r="Y352" s="12"/>
      <c r="Z352" s="12"/>
    </row>
    <row r="353" customFormat="false" ht="15.75" hidden="false" customHeight="false" outlineLevel="0" collapsed="false">
      <c r="A353" s="12"/>
      <c r="B353" s="34"/>
      <c r="C353" s="12"/>
      <c r="D353" s="12"/>
      <c r="E353" s="12"/>
      <c r="F353" s="12"/>
      <c r="G353" s="18"/>
      <c r="H353" s="35"/>
      <c r="I353" s="35"/>
      <c r="J353" s="12"/>
      <c r="O353" s="12"/>
      <c r="P353" s="18"/>
      <c r="Q353" s="12"/>
      <c r="R353" s="12"/>
      <c r="S353" s="12"/>
      <c r="T353" s="36"/>
      <c r="U353" s="36"/>
      <c r="V353" s="12"/>
      <c r="W353" s="12"/>
      <c r="X353" s="12"/>
      <c r="Y353" s="12"/>
      <c r="Z353" s="12"/>
    </row>
    <row r="354" customFormat="false" ht="15.75" hidden="false" customHeight="false" outlineLevel="0" collapsed="false">
      <c r="A354" s="12"/>
      <c r="B354" s="34"/>
      <c r="C354" s="12"/>
      <c r="D354" s="12"/>
      <c r="E354" s="12"/>
      <c r="F354" s="12"/>
      <c r="G354" s="18"/>
      <c r="H354" s="35"/>
      <c r="I354" s="35"/>
      <c r="J354" s="12"/>
      <c r="O354" s="12"/>
      <c r="P354" s="18"/>
      <c r="Q354" s="12"/>
      <c r="R354" s="12"/>
      <c r="S354" s="12"/>
      <c r="T354" s="36"/>
      <c r="U354" s="36"/>
      <c r="V354" s="12"/>
      <c r="W354" s="12"/>
      <c r="X354" s="12"/>
      <c r="Y354" s="12"/>
      <c r="Z354" s="12"/>
    </row>
    <row r="355" customFormat="false" ht="15.75" hidden="false" customHeight="false" outlineLevel="0" collapsed="false">
      <c r="A355" s="12"/>
      <c r="B355" s="34"/>
      <c r="C355" s="12"/>
      <c r="D355" s="12"/>
      <c r="E355" s="12"/>
      <c r="F355" s="12"/>
      <c r="G355" s="18"/>
      <c r="H355" s="35"/>
      <c r="I355" s="35"/>
      <c r="J355" s="12"/>
      <c r="O355" s="12"/>
      <c r="P355" s="18"/>
      <c r="Q355" s="12"/>
      <c r="R355" s="12"/>
      <c r="S355" s="12"/>
      <c r="T355" s="36"/>
      <c r="U355" s="36"/>
      <c r="V355" s="12"/>
      <c r="W355" s="12"/>
      <c r="X355" s="12"/>
      <c r="Y355" s="12"/>
      <c r="Z355" s="12"/>
    </row>
    <row r="356" customFormat="false" ht="15.75" hidden="false" customHeight="false" outlineLevel="0" collapsed="false">
      <c r="A356" s="12"/>
      <c r="B356" s="34"/>
      <c r="C356" s="12"/>
      <c r="D356" s="12"/>
      <c r="E356" s="12"/>
      <c r="F356" s="12"/>
      <c r="G356" s="18"/>
      <c r="H356" s="35"/>
      <c r="I356" s="35"/>
      <c r="J356" s="12"/>
      <c r="O356" s="12"/>
      <c r="P356" s="18"/>
      <c r="Q356" s="12"/>
      <c r="R356" s="12"/>
      <c r="S356" s="12"/>
      <c r="T356" s="36"/>
      <c r="U356" s="36"/>
      <c r="V356" s="12"/>
      <c r="W356" s="12"/>
      <c r="X356" s="12"/>
      <c r="Y356" s="12"/>
      <c r="Z356" s="12"/>
    </row>
    <row r="357" customFormat="false" ht="15.75" hidden="false" customHeight="false" outlineLevel="0" collapsed="false">
      <c r="A357" s="12"/>
      <c r="B357" s="34"/>
      <c r="C357" s="12"/>
      <c r="D357" s="12"/>
      <c r="E357" s="12"/>
      <c r="F357" s="12"/>
      <c r="G357" s="18"/>
      <c r="H357" s="35"/>
      <c r="I357" s="35"/>
      <c r="J357" s="12"/>
      <c r="O357" s="12"/>
      <c r="P357" s="18"/>
      <c r="Q357" s="12"/>
      <c r="R357" s="12"/>
      <c r="S357" s="12"/>
      <c r="T357" s="36"/>
      <c r="U357" s="36"/>
      <c r="V357" s="12"/>
      <c r="W357" s="12"/>
      <c r="X357" s="12"/>
      <c r="Y357" s="12"/>
      <c r="Z357" s="12"/>
    </row>
    <row r="358" customFormat="false" ht="15.75" hidden="false" customHeight="false" outlineLevel="0" collapsed="false">
      <c r="A358" s="12"/>
      <c r="B358" s="34"/>
      <c r="C358" s="12"/>
      <c r="D358" s="12"/>
      <c r="E358" s="12"/>
      <c r="F358" s="12"/>
      <c r="G358" s="18"/>
      <c r="H358" s="35"/>
      <c r="I358" s="35"/>
      <c r="J358" s="12"/>
      <c r="O358" s="12"/>
      <c r="P358" s="18"/>
      <c r="Q358" s="12"/>
      <c r="R358" s="12"/>
      <c r="S358" s="12"/>
      <c r="T358" s="36"/>
      <c r="U358" s="36"/>
      <c r="V358" s="12"/>
      <c r="W358" s="12"/>
      <c r="X358" s="12"/>
      <c r="Y358" s="12"/>
      <c r="Z358" s="12"/>
    </row>
    <row r="359" customFormat="false" ht="15.75" hidden="false" customHeight="false" outlineLevel="0" collapsed="false">
      <c r="A359" s="12"/>
      <c r="B359" s="34"/>
      <c r="C359" s="12"/>
      <c r="D359" s="12"/>
      <c r="E359" s="12"/>
      <c r="F359" s="12"/>
      <c r="G359" s="18"/>
      <c r="H359" s="35"/>
      <c r="I359" s="35"/>
      <c r="J359" s="12"/>
      <c r="O359" s="12"/>
      <c r="P359" s="18"/>
      <c r="Q359" s="12"/>
      <c r="R359" s="12"/>
      <c r="S359" s="12"/>
      <c r="T359" s="36"/>
      <c r="U359" s="36"/>
      <c r="V359" s="12"/>
      <c r="W359" s="12"/>
      <c r="X359" s="12"/>
      <c r="Y359" s="12"/>
      <c r="Z359" s="12"/>
    </row>
    <row r="360" customFormat="false" ht="15.75" hidden="false" customHeight="false" outlineLevel="0" collapsed="false">
      <c r="A360" s="12"/>
      <c r="B360" s="34"/>
      <c r="C360" s="12"/>
      <c r="D360" s="12"/>
      <c r="E360" s="12"/>
      <c r="F360" s="12"/>
      <c r="G360" s="18"/>
      <c r="H360" s="35"/>
      <c r="I360" s="35"/>
      <c r="J360" s="12"/>
      <c r="O360" s="12"/>
      <c r="P360" s="18"/>
      <c r="Q360" s="12"/>
      <c r="R360" s="12"/>
      <c r="S360" s="12"/>
      <c r="T360" s="36"/>
      <c r="U360" s="36"/>
      <c r="V360" s="12"/>
      <c r="W360" s="12"/>
      <c r="X360" s="12"/>
      <c r="Y360" s="12"/>
      <c r="Z360" s="12"/>
    </row>
    <row r="361" customFormat="false" ht="15.75" hidden="false" customHeight="false" outlineLevel="0" collapsed="false">
      <c r="A361" s="12"/>
      <c r="B361" s="34"/>
      <c r="C361" s="12"/>
      <c r="D361" s="12"/>
      <c r="E361" s="12"/>
      <c r="F361" s="12"/>
      <c r="G361" s="18"/>
      <c r="H361" s="35"/>
      <c r="I361" s="35"/>
      <c r="J361" s="12"/>
      <c r="O361" s="12"/>
      <c r="P361" s="18"/>
      <c r="Q361" s="12"/>
      <c r="R361" s="12"/>
      <c r="S361" s="12"/>
      <c r="T361" s="36"/>
      <c r="U361" s="36"/>
      <c r="V361" s="12"/>
      <c r="W361" s="12"/>
      <c r="X361" s="12"/>
      <c r="Y361" s="12"/>
      <c r="Z361" s="12"/>
    </row>
    <row r="362" customFormat="false" ht="15.75" hidden="false" customHeight="false" outlineLevel="0" collapsed="false">
      <c r="A362" s="12"/>
      <c r="B362" s="34"/>
      <c r="C362" s="12"/>
      <c r="D362" s="12"/>
      <c r="E362" s="12"/>
      <c r="F362" s="12"/>
      <c r="G362" s="18"/>
      <c r="H362" s="35"/>
      <c r="I362" s="35"/>
      <c r="J362" s="12"/>
      <c r="O362" s="12"/>
      <c r="P362" s="18"/>
      <c r="Q362" s="12"/>
      <c r="R362" s="12"/>
      <c r="S362" s="12"/>
      <c r="T362" s="36"/>
      <c r="U362" s="36"/>
      <c r="V362" s="12"/>
      <c r="W362" s="12"/>
      <c r="X362" s="12"/>
      <c r="Y362" s="12"/>
      <c r="Z362" s="12"/>
    </row>
    <row r="363" customFormat="false" ht="15.75" hidden="false" customHeight="false" outlineLevel="0" collapsed="false">
      <c r="A363" s="12"/>
      <c r="B363" s="34"/>
      <c r="C363" s="12"/>
      <c r="D363" s="12"/>
      <c r="E363" s="12"/>
      <c r="F363" s="12"/>
      <c r="G363" s="18"/>
      <c r="H363" s="35"/>
      <c r="I363" s="35"/>
      <c r="J363" s="12"/>
      <c r="O363" s="12"/>
      <c r="P363" s="18"/>
      <c r="Q363" s="12"/>
      <c r="R363" s="12"/>
      <c r="S363" s="12"/>
      <c r="T363" s="36"/>
      <c r="U363" s="36"/>
      <c r="V363" s="12"/>
      <c r="W363" s="12"/>
      <c r="X363" s="12"/>
      <c r="Y363" s="12"/>
      <c r="Z363" s="12"/>
    </row>
    <row r="364" customFormat="false" ht="15.75" hidden="false" customHeight="false" outlineLevel="0" collapsed="false">
      <c r="A364" s="12"/>
      <c r="B364" s="34"/>
      <c r="C364" s="12"/>
      <c r="D364" s="12"/>
      <c r="E364" s="12"/>
      <c r="F364" s="12"/>
      <c r="G364" s="18"/>
      <c r="H364" s="35"/>
      <c r="I364" s="35"/>
      <c r="J364" s="12"/>
      <c r="O364" s="12"/>
      <c r="P364" s="18"/>
      <c r="Q364" s="12"/>
      <c r="R364" s="12"/>
      <c r="S364" s="12"/>
      <c r="T364" s="36"/>
      <c r="U364" s="36"/>
      <c r="V364" s="12"/>
      <c r="W364" s="12"/>
      <c r="X364" s="12"/>
      <c r="Y364" s="12"/>
      <c r="Z364" s="12"/>
    </row>
    <row r="365" customFormat="false" ht="15.75" hidden="false" customHeight="false" outlineLevel="0" collapsed="false">
      <c r="A365" s="12"/>
      <c r="B365" s="34"/>
      <c r="C365" s="12"/>
      <c r="D365" s="12"/>
      <c r="E365" s="12"/>
      <c r="F365" s="12"/>
      <c r="G365" s="18"/>
      <c r="H365" s="35"/>
      <c r="I365" s="35"/>
      <c r="J365" s="12"/>
      <c r="O365" s="12"/>
      <c r="P365" s="18"/>
      <c r="Q365" s="12"/>
      <c r="R365" s="12"/>
      <c r="S365" s="12"/>
      <c r="T365" s="36"/>
      <c r="U365" s="36"/>
      <c r="V365" s="12"/>
      <c r="W365" s="12"/>
      <c r="X365" s="12"/>
      <c r="Y365" s="12"/>
      <c r="Z365" s="12"/>
    </row>
    <row r="366" customFormat="false" ht="15.75" hidden="false" customHeight="false" outlineLevel="0" collapsed="false">
      <c r="A366" s="12"/>
      <c r="B366" s="34"/>
      <c r="C366" s="12"/>
      <c r="D366" s="12"/>
      <c r="E366" s="12"/>
      <c r="F366" s="12"/>
      <c r="G366" s="18"/>
      <c r="H366" s="35"/>
      <c r="I366" s="35"/>
      <c r="J366" s="12"/>
      <c r="O366" s="12"/>
      <c r="P366" s="18"/>
      <c r="Q366" s="12"/>
      <c r="R366" s="12"/>
      <c r="S366" s="12"/>
      <c r="T366" s="36"/>
      <c r="U366" s="36"/>
      <c r="V366" s="12"/>
      <c r="W366" s="12"/>
      <c r="X366" s="12"/>
      <c r="Y366" s="12"/>
      <c r="Z366" s="12"/>
    </row>
    <row r="367" customFormat="false" ht="15.75" hidden="false" customHeight="false" outlineLevel="0" collapsed="false">
      <c r="A367" s="12"/>
      <c r="B367" s="34"/>
      <c r="C367" s="12"/>
      <c r="D367" s="12"/>
      <c r="E367" s="12"/>
      <c r="F367" s="12"/>
      <c r="G367" s="18"/>
      <c r="H367" s="35"/>
      <c r="I367" s="35"/>
      <c r="J367" s="12"/>
      <c r="O367" s="12"/>
      <c r="P367" s="18"/>
      <c r="Q367" s="12"/>
      <c r="R367" s="12"/>
      <c r="S367" s="12"/>
      <c r="T367" s="36"/>
      <c r="U367" s="36"/>
      <c r="V367" s="12"/>
      <c r="W367" s="12"/>
      <c r="X367" s="12"/>
      <c r="Y367" s="12"/>
      <c r="Z367" s="12"/>
    </row>
    <row r="368" customFormat="false" ht="15.75" hidden="false" customHeight="false" outlineLevel="0" collapsed="false">
      <c r="A368" s="12"/>
      <c r="B368" s="34"/>
      <c r="C368" s="12"/>
      <c r="D368" s="12"/>
      <c r="E368" s="12"/>
      <c r="F368" s="12"/>
      <c r="G368" s="18"/>
      <c r="H368" s="35"/>
      <c r="I368" s="35"/>
      <c r="J368" s="12"/>
      <c r="O368" s="12"/>
      <c r="P368" s="18"/>
      <c r="Q368" s="12"/>
      <c r="R368" s="12"/>
      <c r="S368" s="12"/>
      <c r="T368" s="36"/>
      <c r="U368" s="36"/>
      <c r="V368" s="12"/>
      <c r="W368" s="12"/>
      <c r="X368" s="12"/>
      <c r="Y368" s="12"/>
      <c r="Z368" s="12"/>
    </row>
    <row r="369" customFormat="false" ht="15.75" hidden="false" customHeight="false" outlineLevel="0" collapsed="false">
      <c r="A369" s="12"/>
      <c r="B369" s="34"/>
      <c r="C369" s="12"/>
      <c r="D369" s="12"/>
      <c r="E369" s="12"/>
      <c r="F369" s="12"/>
      <c r="G369" s="18"/>
      <c r="H369" s="35"/>
      <c r="I369" s="35"/>
      <c r="J369" s="12"/>
      <c r="O369" s="12"/>
      <c r="P369" s="18"/>
      <c r="Q369" s="12"/>
      <c r="R369" s="12"/>
      <c r="S369" s="12"/>
      <c r="T369" s="36"/>
      <c r="U369" s="36"/>
      <c r="V369" s="12"/>
      <c r="W369" s="12"/>
      <c r="X369" s="12"/>
      <c r="Y369" s="12"/>
      <c r="Z369" s="12"/>
    </row>
    <row r="370" customFormat="false" ht="15.75" hidden="false" customHeight="false" outlineLevel="0" collapsed="false">
      <c r="A370" s="12"/>
      <c r="B370" s="34"/>
      <c r="C370" s="12"/>
      <c r="D370" s="12"/>
      <c r="E370" s="12"/>
      <c r="F370" s="12"/>
      <c r="G370" s="18"/>
      <c r="H370" s="35"/>
      <c r="I370" s="35"/>
      <c r="J370" s="12"/>
      <c r="O370" s="12"/>
      <c r="P370" s="18"/>
      <c r="Q370" s="12"/>
      <c r="R370" s="12"/>
      <c r="S370" s="12"/>
      <c r="T370" s="36"/>
      <c r="U370" s="36"/>
      <c r="V370" s="12"/>
      <c r="W370" s="12"/>
      <c r="X370" s="12"/>
      <c r="Y370" s="12"/>
      <c r="Z370" s="12"/>
    </row>
    <row r="371" customFormat="false" ht="15.75" hidden="false" customHeight="false" outlineLevel="0" collapsed="false">
      <c r="A371" s="12"/>
      <c r="B371" s="34"/>
      <c r="C371" s="12"/>
      <c r="D371" s="12"/>
      <c r="E371" s="12"/>
      <c r="F371" s="12"/>
      <c r="G371" s="18"/>
      <c r="H371" s="35"/>
      <c r="I371" s="35"/>
      <c r="J371" s="12"/>
      <c r="O371" s="12"/>
      <c r="P371" s="18"/>
      <c r="Q371" s="12"/>
      <c r="R371" s="12"/>
      <c r="S371" s="12"/>
      <c r="T371" s="36"/>
      <c r="U371" s="36"/>
      <c r="V371" s="12"/>
      <c r="W371" s="12"/>
      <c r="X371" s="12"/>
      <c r="Y371" s="12"/>
      <c r="Z371" s="12"/>
    </row>
    <row r="372" customFormat="false" ht="15.75" hidden="false" customHeight="false" outlineLevel="0" collapsed="false">
      <c r="A372" s="12"/>
      <c r="B372" s="34"/>
      <c r="C372" s="12"/>
      <c r="D372" s="12"/>
      <c r="E372" s="12"/>
      <c r="F372" s="12"/>
      <c r="G372" s="18"/>
      <c r="H372" s="35"/>
      <c r="I372" s="35"/>
      <c r="J372" s="12"/>
      <c r="O372" s="12"/>
      <c r="P372" s="18"/>
      <c r="Q372" s="12"/>
      <c r="R372" s="12"/>
      <c r="S372" s="12"/>
      <c r="T372" s="36"/>
      <c r="U372" s="36"/>
      <c r="V372" s="12"/>
      <c r="W372" s="12"/>
      <c r="X372" s="12"/>
      <c r="Y372" s="12"/>
      <c r="Z372" s="12"/>
    </row>
    <row r="373" customFormat="false" ht="15.75" hidden="false" customHeight="false" outlineLevel="0" collapsed="false">
      <c r="A373" s="12"/>
      <c r="B373" s="34"/>
      <c r="C373" s="12"/>
      <c r="D373" s="12"/>
      <c r="E373" s="12"/>
      <c r="F373" s="12"/>
      <c r="G373" s="18"/>
      <c r="H373" s="35"/>
      <c r="I373" s="35"/>
      <c r="J373" s="12"/>
      <c r="O373" s="12"/>
      <c r="P373" s="18"/>
      <c r="Q373" s="12"/>
      <c r="R373" s="12"/>
      <c r="S373" s="12"/>
      <c r="T373" s="36"/>
      <c r="U373" s="36"/>
      <c r="V373" s="12"/>
      <c r="W373" s="12"/>
      <c r="X373" s="12"/>
      <c r="Y373" s="12"/>
      <c r="Z373" s="12"/>
    </row>
    <row r="374" customFormat="false" ht="15.75" hidden="false" customHeight="false" outlineLevel="0" collapsed="false">
      <c r="A374" s="12"/>
      <c r="B374" s="34"/>
      <c r="C374" s="12"/>
      <c r="D374" s="12"/>
      <c r="E374" s="12"/>
      <c r="F374" s="12"/>
      <c r="G374" s="18"/>
      <c r="H374" s="35"/>
      <c r="I374" s="35"/>
      <c r="J374" s="12"/>
      <c r="O374" s="12"/>
      <c r="P374" s="18"/>
      <c r="Q374" s="12"/>
      <c r="R374" s="12"/>
      <c r="S374" s="12"/>
      <c r="T374" s="36"/>
      <c r="U374" s="36"/>
      <c r="V374" s="12"/>
      <c r="W374" s="12"/>
      <c r="X374" s="12"/>
      <c r="Y374" s="12"/>
      <c r="Z374" s="12"/>
    </row>
    <row r="375" customFormat="false" ht="15.75" hidden="false" customHeight="false" outlineLevel="0" collapsed="false">
      <c r="A375" s="12"/>
      <c r="B375" s="34"/>
      <c r="C375" s="12"/>
      <c r="D375" s="12"/>
      <c r="E375" s="12"/>
      <c r="F375" s="12"/>
      <c r="G375" s="18"/>
      <c r="H375" s="35"/>
      <c r="I375" s="35"/>
      <c r="J375" s="12"/>
      <c r="O375" s="12"/>
      <c r="P375" s="18"/>
      <c r="Q375" s="12"/>
      <c r="R375" s="12"/>
      <c r="S375" s="12"/>
      <c r="T375" s="36"/>
      <c r="U375" s="36"/>
      <c r="V375" s="12"/>
      <c r="W375" s="12"/>
      <c r="X375" s="12"/>
      <c r="Y375" s="12"/>
      <c r="Z375" s="12"/>
    </row>
    <row r="376" customFormat="false" ht="15.75" hidden="false" customHeight="false" outlineLevel="0" collapsed="false">
      <c r="A376" s="12"/>
      <c r="B376" s="34"/>
      <c r="C376" s="12"/>
      <c r="D376" s="12"/>
      <c r="E376" s="12"/>
      <c r="F376" s="12"/>
      <c r="G376" s="18"/>
      <c r="H376" s="35"/>
      <c r="I376" s="35"/>
      <c r="J376" s="12"/>
      <c r="O376" s="12"/>
      <c r="P376" s="18"/>
      <c r="Q376" s="12"/>
      <c r="R376" s="12"/>
      <c r="S376" s="12"/>
      <c r="T376" s="36"/>
      <c r="U376" s="36"/>
      <c r="V376" s="12"/>
      <c r="W376" s="12"/>
      <c r="X376" s="12"/>
      <c r="Y376" s="12"/>
      <c r="Z376" s="12"/>
    </row>
    <row r="377" customFormat="false" ht="15.75" hidden="false" customHeight="false" outlineLevel="0" collapsed="false">
      <c r="A377" s="12"/>
      <c r="B377" s="34"/>
      <c r="C377" s="12"/>
      <c r="D377" s="12"/>
      <c r="E377" s="12"/>
      <c r="F377" s="12"/>
      <c r="G377" s="18"/>
      <c r="H377" s="35"/>
      <c r="I377" s="35"/>
      <c r="J377" s="12"/>
      <c r="O377" s="12"/>
      <c r="P377" s="18"/>
      <c r="Q377" s="12"/>
      <c r="R377" s="12"/>
      <c r="S377" s="12"/>
      <c r="T377" s="36"/>
      <c r="U377" s="36"/>
      <c r="V377" s="12"/>
      <c r="W377" s="12"/>
      <c r="X377" s="12"/>
      <c r="Y377" s="12"/>
      <c r="Z377" s="12"/>
    </row>
    <row r="378" customFormat="false" ht="15.75" hidden="false" customHeight="false" outlineLevel="0" collapsed="false">
      <c r="A378" s="12"/>
      <c r="B378" s="34"/>
      <c r="C378" s="12"/>
      <c r="D378" s="12"/>
      <c r="E378" s="12"/>
      <c r="F378" s="12"/>
      <c r="G378" s="18"/>
      <c r="H378" s="35"/>
      <c r="I378" s="35"/>
      <c r="J378" s="12"/>
      <c r="O378" s="12"/>
      <c r="P378" s="18"/>
      <c r="Q378" s="12"/>
      <c r="R378" s="12"/>
      <c r="S378" s="12"/>
      <c r="T378" s="36"/>
      <c r="U378" s="36"/>
      <c r="V378" s="12"/>
      <c r="W378" s="12"/>
      <c r="X378" s="12"/>
      <c r="Y378" s="12"/>
      <c r="Z378" s="12"/>
    </row>
    <row r="379" customFormat="false" ht="15.75" hidden="false" customHeight="false" outlineLevel="0" collapsed="false">
      <c r="A379" s="12"/>
      <c r="B379" s="34"/>
      <c r="C379" s="12"/>
      <c r="D379" s="12"/>
      <c r="E379" s="12"/>
      <c r="F379" s="12"/>
      <c r="G379" s="18"/>
      <c r="H379" s="35"/>
      <c r="I379" s="35"/>
      <c r="J379" s="12"/>
      <c r="O379" s="12"/>
      <c r="P379" s="18"/>
      <c r="Q379" s="12"/>
      <c r="R379" s="12"/>
      <c r="S379" s="12"/>
      <c r="T379" s="36"/>
      <c r="U379" s="36"/>
      <c r="V379" s="12"/>
      <c r="W379" s="12"/>
      <c r="X379" s="12"/>
      <c r="Y379" s="12"/>
      <c r="Z379" s="12"/>
    </row>
    <row r="380" customFormat="false" ht="15.75" hidden="false" customHeight="false" outlineLevel="0" collapsed="false">
      <c r="A380" s="12"/>
      <c r="B380" s="34"/>
      <c r="C380" s="12"/>
      <c r="D380" s="12"/>
      <c r="E380" s="12"/>
      <c r="F380" s="12"/>
      <c r="G380" s="18"/>
      <c r="H380" s="35"/>
      <c r="I380" s="35"/>
      <c r="J380" s="12"/>
      <c r="O380" s="12"/>
      <c r="P380" s="18"/>
      <c r="Q380" s="12"/>
      <c r="R380" s="12"/>
      <c r="S380" s="12"/>
      <c r="T380" s="36"/>
      <c r="U380" s="36"/>
      <c r="V380" s="12"/>
      <c r="W380" s="12"/>
      <c r="X380" s="12"/>
      <c r="Y380" s="12"/>
      <c r="Z380" s="12"/>
    </row>
    <row r="381" customFormat="false" ht="15.75" hidden="false" customHeight="false" outlineLevel="0" collapsed="false">
      <c r="A381" s="12"/>
      <c r="B381" s="34"/>
      <c r="C381" s="12"/>
      <c r="D381" s="12"/>
      <c r="E381" s="12"/>
      <c r="F381" s="12"/>
      <c r="G381" s="18"/>
      <c r="H381" s="35"/>
      <c r="I381" s="35"/>
      <c r="J381" s="12"/>
      <c r="O381" s="12"/>
      <c r="P381" s="18"/>
      <c r="Q381" s="12"/>
      <c r="R381" s="12"/>
      <c r="S381" s="12"/>
      <c r="T381" s="36"/>
      <c r="U381" s="36"/>
      <c r="V381" s="12"/>
      <c r="W381" s="12"/>
      <c r="X381" s="12"/>
      <c r="Y381" s="12"/>
      <c r="Z381" s="12"/>
    </row>
    <row r="382" customFormat="false" ht="15.75" hidden="false" customHeight="false" outlineLevel="0" collapsed="false">
      <c r="A382" s="12"/>
      <c r="B382" s="34"/>
      <c r="C382" s="12"/>
      <c r="D382" s="12"/>
      <c r="E382" s="12"/>
      <c r="F382" s="12"/>
      <c r="G382" s="18"/>
      <c r="H382" s="35"/>
      <c r="I382" s="35"/>
      <c r="J382" s="12"/>
      <c r="O382" s="12"/>
      <c r="P382" s="18"/>
      <c r="Q382" s="12"/>
      <c r="R382" s="12"/>
      <c r="S382" s="12"/>
      <c r="T382" s="36"/>
      <c r="U382" s="36"/>
      <c r="V382" s="12"/>
      <c r="W382" s="12"/>
      <c r="X382" s="12"/>
      <c r="Y382" s="12"/>
      <c r="Z382" s="12"/>
    </row>
    <row r="383" customFormat="false" ht="15.75" hidden="false" customHeight="false" outlineLevel="0" collapsed="false">
      <c r="A383" s="12"/>
      <c r="B383" s="34"/>
      <c r="C383" s="12"/>
      <c r="D383" s="12"/>
      <c r="E383" s="12"/>
      <c r="F383" s="12"/>
      <c r="G383" s="18"/>
      <c r="H383" s="35"/>
      <c r="I383" s="35"/>
      <c r="J383" s="12"/>
      <c r="O383" s="12"/>
      <c r="P383" s="18"/>
      <c r="Q383" s="12"/>
      <c r="R383" s="12"/>
      <c r="S383" s="12"/>
      <c r="T383" s="36"/>
      <c r="U383" s="36"/>
      <c r="V383" s="12"/>
      <c r="W383" s="12"/>
      <c r="X383" s="12"/>
      <c r="Y383" s="12"/>
      <c r="Z383" s="12"/>
    </row>
    <row r="384" customFormat="false" ht="15.75" hidden="false" customHeight="false" outlineLevel="0" collapsed="false">
      <c r="A384" s="12"/>
      <c r="B384" s="34"/>
      <c r="C384" s="12"/>
      <c r="D384" s="12"/>
      <c r="E384" s="12"/>
      <c r="F384" s="12"/>
      <c r="G384" s="18"/>
      <c r="H384" s="35"/>
      <c r="I384" s="35"/>
      <c r="J384" s="12"/>
      <c r="O384" s="12"/>
      <c r="P384" s="18"/>
      <c r="Q384" s="12"/>
      <c r="R384" s="12"/>
      <c r="S384" s="12"/>
      <c r="T384" s="36"/>
      <c r="U384" s="36"/>
      <c r="V384" s="12"/>
      <c r="W384" s="12"/>
      <c r="X384" s="12"/>
      <c r="Y384" s="12"/>
      <c r="Z384" s="12"/>
    </row>
    <row r="385" customFormat="false" ht="15.75" hidden="false" customHeight="false" outlineLevel="0" collapsed="false">
      <c r="A385" s="12"/>
      <c r="B385" s="34"/>
      <c r="C385" s="12"/>
      <c r="D385" s="12"/>
      <c r="E385" s="12"/>
      <c r="F385" s="12"/>
      <c r="G385" s="18"/>
      <c r="H385" s="35"/>
      <c r="I385" s="35"/>
      <c r="J385" s="12"/>
      <c r="O385" s="12"/>
      <c r="P385" s="18"/>
      <c r="Q385" s="12"/>
      <c r="R385" s="12"/>
      <c r="S385" s="12"/>
      <c r="T385" s="36"/>
      <c r="U385" s="36"/>
      <c r="V385" s="12"/>
      <c r="W385" s="12"/>
      <c r="X385" s="12"/>
      <c r="Y385" s="12"/>
      <c r="Z385" s="12"/>
    </row>
    <row r="386" customFormat="false" ht="15.75" hidden="false" customHeight="false" outlineLevel="0" collapsed="false">
      <c r="A386" s="12"/>
      <c r="B386" s="34"/>
      <c r="C386" s="12"/>
      <c r="D386" s="12"/>
      <c r="E386" s="12"/>
      <c r="F386" s="12"/>
      <c r="G386" s="18"/>
      <c r="H386" s="35"/>
      <c r="I386" s="35"/>
      <c r="J386" s="12"/>
      <c r="O386" s="12"/>
      <c r="P386" s="18"/>
      <c r="Q386" s="12"/>
      <c r="R386" s="12"/>
      <c r="S386" s="12"/>
      <c r="T386" s="36"/>
      <c r="U386" s="36"/>
      <c r="V386" s="12"/>
      <c r="W386" s="12"/>
      <c r="X386" s="12"/>
      <c r="Y386" s="12"/>
      <c r="Z386" s="12"/>
    </row>
    <row r="387" customFormat="false" ht="15.75" hidden="false" customHeight="false" outlineLevel="0" collapsed="false">
      <c r="A387" s="12"/>
      <c r="B387" s="34"/>
      <c r="C387" s="12"/>
      <c r="D387" s="12"/>
      <c r="E387" s="12"/>
      <c r="F387" s="12"/>
      <c r="G387" s="18"/>
      <c r="H387" s="35"/>
      <c r="I387" s="35"/>
      <c r="J387" s="12"/>
      <c r="O387" s="12"/>
      <c r="P387" s="18"/>
      <c r="Q387" s="12"/>
      <c r="R387" s="12"/>
      <c r="S387" s="12"/>
      <c r="T387" s="36"/>
      <c r="U387" s="36"/>
      <c r="V387" s="12"/>
      <c r="W387" s="12"/>
      <c r="X387" s="12"/>
      <c r="Y387" s="12"/>
      <c r="Z387" s="12"/>
    </row>
    <row r="388" customFormat="false" ht="15.75" hidden="false" customHeight="false" outlineLevel="0" collapsed="false">
      <c r="A388" s="12"/>
      <c r="B388" s="34"/>
      <c r="C388" s="12"/>
      <c r="D388" s="12"/>
      <c r="E388" s="12"/>
      <c r="F388" s="12"/>
      <c r="G388" s="18"/>
      <c r="H388" s="35"/>
      <c r="I388" s="35"/>
      <c r="J388" s="12"/>
      <c r="O388" s="12"/>
      <c r="P388" s="18"/>
      <c r="Q388" s="12"/>
      <c r="R388" s="12"/>
      <c r="S388" s="12"/>
      <c r="T388" s="36"/>
      <c r="U388" s="36"/>
      <c r="V388" s="12"/>
      <c r="W388" s="12"/>
      <c r="X388" s="12"/>
      <c r="Y388" s="12"/>
      <c r="Z388" s="12"/>
    </row>
    <row r="389" customFormat="false" ht="15.75" hidden="false" customHeight="false" outlineLevel="0" collapsed="false">
      <c r="A389" s="12"/>
      <c r="B389" s="34"/>
      <c r="C389" s="12"/>
      <c r="D389" s="12"/>
      <c r="E389" s="12"/>
      <c r="F389" s="12"/>
      <c r="G389" s="18"/>
      <c r="H389" s="35"/>
      <c r="I389" s="35"/>
      <c r="J389" s="12"/>
      <c r="O389" s="12"/>
      <c r="P389" s="18"/>
      <c r="Q389" s="12"/>
      <c r="R389" s="12"/>
      <c r="S389" s="12"/>
      <c r="T389" s="36"/>
      <c r="U389" s="36"/>
      <c r="V389" s="12"/>
      <c r="W389" s="12"/>
      <c r="X389" s="12"/>
      <c r="Y389" s="12"/>
      <c r="Z389" s="12"/>
    </row>
    <row r="390" customFormat="false" ht="15.75" hidden="false" customHeight="false" outlineLevel="0" collapsed="false">
      <c r="A390" s="12"/>
      <c r="B390" s="34"/>
      <c r="C390" s="12"/>
      <c r="D390" s="12"/>
      <c r="E390" s="12"/>
      <c r="F390" s="12"/>
      <c r="G390" s="18"/>
      <c r="H390" s="35"/>
      <c r="I390" s="35"/>
      <c r="J390" s="12"/>
      <c r="O390" s="12"/>
      <c r="P390" s="18"/>
      <c r="Q390" s="12"/>
      <c r="R390" s="12"/>
      <c r="S390" s="12"/>
      <c r="T390" s="36"/>
      <c r="U390" s="36"/>
      <c r="V390" s="12"/>
      <c r="W390" s="12"/>
      <c r="X390" s="12"/>
      <c r="Y390" s="12"/>
      <c r="Z390" s="12"/>
    </row>
    <row r="391" customFormat="false" ht="15.75" hidden="false" customHeight="false" outlineLevel="0" collapsed="false">
      <c r="A391" s="12"/>
      <c r="B391" s="34"/>
      <c r="C391" s="12"/>
      <c r="D391" s="12"/>
      <c r="E391" s="12"/>
      <c r="F391" s="12"/>
      <c r="G391" s="18"/>
      <c r="H391" s="35"/>
      <c r="I391" s="35"/>
      <c r="J391" s="12"/>
      <c r="O391" s="12"/>
      <c r="P391" s="18"/>
      <c r="Q391" s="12"/>
      <c r="R391" s="12"/>
      <c r="S391" s="12"/>
      <c r="T391" s="36"/>
      <c r="U391" s="36"/>
      <c r="V391" s="12"/>
      <c r="W391" s="12"/>
      <c r="X391" s="12"/>
      <c r="Y391" s="12"/>
      <c r="Z391" s="12"/>
    </row>
    <row r="392" customFormat="false" ht="15.75" hidden="false" customHeight="false" outlineLevel="0" collapsed="false">
      <c r="A392" s="12"/>
      <c r="B392" s="34"/>
      <c r="C392" s="12"/>
      <c r="D392" s="12"/>
      <c r="E392" s="12"/>
      <c r="F392" s="12"/>
      <c r="G392" s="18"/>
      <c r="H392" s="35"/>
      <c r="I392" s="35"/>
      <c r="J392" s="12"/>
      <c r="O392" s="12"/>
      <c r="P392" s="18"/>
      <c r="Q392" s="12"/>
      <c r="R392" s="12"/>
      <c r="S392" s="12"/>
      <c r="T392" s="36"/>
      <c r="U392" s="36"/>
      <c r="V392" s="12"/>
      <c r="W392" s="12"/>
      <c r="X392" s="12"/>
      <c r="Y392" s="12"/>
      <c r="Z392" s="12"/>
    </row>
    <row r="393" customFormat="false" ht="15.75" hidden="false" customHeight="false" outlineLevel="0" collapsed="false">
      <c r="A393" s="12"/>
      <c r="B393" s="34"/>
      <c r="C393" s="12"/>
      <c r="D393" s="12"/>
      <c r="E393" s="12"/>
      <c r="F393" s="12"/>
      <c r="G393" s="18"/>
      <c r="H393" s="35"/>
      <c r="I393" s="35"/>
      <c r="J393" s="12"/>
      <c r="O393" s="12"/>
      <c r="P393" s="18"/>
      <c r="Q393" s="12"/>
      <c r="R393" s="12"/>
      <c r="S393" s="12"/>
      <c r="T393" s="36"/>
      <c r="U393" s="36"/>
      <c r="V393" s="12"/>
      <c r="W393" s="12"/>
      <c r="X393" s="12"/>
      <c r="Y393" s="12"/>
      <c r="Z393" s="12"/>
    </row>
    <row r="394" customFormat="false" ht="15.75" hidden="false" customHeight="false" outlineLevel="0" collapsed="false">
      <c r="A394" s="12"/>
      <c r="B394" s="34"/>
      <c r="C394" s="12"/>
      <c r="D394" s="12"/>
      <c r="E394" s="12"/>
      <c r="F394" s="12"/>
      <c r="G394" s="18"/>
      <c r="H394" s="35"/>
      <c r="I394" s="35"/>
      <c r="J394" s="12"/>
      <c r="O394" s="12"/>
      <c r="P394" s="18"/>
      <c r="Q394" s="12"/>
      <c r="R394" s="12"/>
      <c r="S394" s="12"/>
      <c r="T394" s="36"/>
      <c r="U394" s="36"/>
      <c r="V394" s="12"/>
      <c r="W394" s="12"/>
      <c r="X394" s="12"/>
      <c r="Y394" s="12"/>
      <c r="Z394" s="12"/>
    </row>
    <row r="395" customFormat="false" ht="15.75" hidden="false" customHeight="false" outlineLevel="0" collapsed="false">
      <c r="A395" s="12"/>
      <c r="B395" s="34"/>
      <c r="C395" s="12"/>
      <c r="D395" s="12"/>
      <c r="E395" s="12"/>
      <c r="F395" s="12"/>
      <c r="G395" s="18"/>
      <c r="H395" s="35"/>
      <c r="I395" s="35"/>
      <c r="J395" s="12"/>
      <c r="O395" s="12"/>
      <c r="P395" s="18"/>
      <c r="Q395" s="12"/>
      <c r="R395" s="12"/>
      <c r="S395" s="12"/>
      <c r="T395" s="36"/>
      <c r="U395" s="36"/>
      <c r="V395" s="12"/>
      <c r="W395" s="12"/>
      <c r="X395" s="12"/>
      <c r="Y395" s="12"/>
      <c r="Z395" s="12"/>
    </row>
    <row r="396" customFormat="false" ht="15.75" hidden="false" customHeight="false" outlineLevel="0" collapsed="false">
      <c r="A396" s="12"/>
      <c r="B396" s="34"/>
      <c r="C396" s="12"/>
      <c r="D396" s="12"/>
      <c r="E396" s="12"/>
      <c r="F396" s="12"/>
      <c r="G396" s="18"/>
      <c r="H396" s="35"/>
      <c r="I396" s="35"/>
      <c r="J396" s="12"/>
      <c r="O396" s="12"/>
      <c r="P396" s="18"/>
      <c r="Q396" s="12"/>
      <c r="R396" s="12"/>
      <c r="S396" s="12"/>
      <c r="T396" s="36"/>
      <c r="U396" s="36"/>
      <c r="V396" s="12"/>
      <c r="W396" s="12"/>
      <c r="X396" s="12"/>
      <c r="Y396" s="12"/>
      <c r="Z396" s="12"/>
    </row>
    <row r="397" customFormat="false" ht="15.75" hidden="false" customHeight="false" outlineLevel="0" collapsed="false">
      <c r="A397" s="12"/>
      <c r="B397" s="34"/>
      <c r="C397" s="12"/>
      <c r="D397" s="12"/>
      <c r="E397" s="12"/>
      <c r="F397" s="12"/>
      <c r="G397" s="18"/>
      <c r="H397" s="35"/>
      <c r="I397" s="35"/>
      <c r="J397" s="12"/>
      <c r="O397" s="12"/>
      <c r="P397" s="18"/>
      <c r="Q397" s="12"/>
      <c r="R397" s="12"/>
      <c r="S397" s="12"/>
      <c r="T397" s="36"/>
      <c r="U397" s="36"/>
      <c r="V397" s="12"/>
      <c r="W397" s="12"/>
      <c r="X397" s="12"/>
      <c r="Y397" s="12"/>
      <c r="Z397" s="12"/>
    </row>
    <row r="398" customFormat="false" ht="15.75" hidden="false" customHeight="false" outlineLevel="0" collapsed="false">
      <c r="A398" s="12"/>
      <c r="B398" s="34"/>
      <c r="C398" s="12"/>
      <c r="D398" s="12"/>
      <c r="E398" s="12"/>
      <c r="F398" s="12"/>
      <c r="G398" s="18"/>
      <c r="H398" s="35"/>
      <c r="I398" s="35"/>
      <c r="J398" s="12"/>
      <c r="O398" s="12"/>
      <c r="P398" s="18"/>
      <c r="Q398" s="12"/>
      <c r="R398" s="12"/>
      <c r="S398" s="12"/>
      <c r="T398" s="36"/>
      <c r="U398" s="36"/>
      <c r="V398" s="12"/>
      <c r="W398" s="12"/>
      <c r="X398" s="12"/>
      <c r="Y398" s="12"/>
      <c r="Z398" s="12"/>
    </row>
    <row r="399" customFormat="false" ht="15.75" hidden="false" customHeight="false" outlineLevel="0" collapsed="false">
      <c r="A399" s="12"/>
      <c r="B399" s="34"/>
      <c r="C399" s="12"/>
      <c r="D399" s="12"/>
      <c r="E399" s="12"/>
      <c r="F399" s="12"/>
      <c r="G399" s="18"/>
      <c r="H399" s="35"/>
      <c r="I399" s="35"/>
      <c r="J399" s="12"/>
      <c r="O399" s="12"/>
      <c r="P399" s="18"/>
      <c r="Q399" s="12"/>
      <c r="R399" s="12"/>
      <c r="S399" s="12"/>
      <c r="T399" s="36"/>
      <c r="U399" s="36"/>
      <c r="V399" s="12"/>
      <c r="W399" s="12"/>
      <c r="X399" s="12"/>
      <c r="Y399" s="12"/>
      <c r="Z399" s="12"/>
    </row>
    <row r="400" customFormat="false" ht="15.75" hidden="false" customHeight="false" outlineLevel="0" collapsed="false">
      <c r="A400" s="12"/>
      <c r="B400" s="34"/>
      <c r="C400" s="12"/>
      <c r="D400" s="12"/>
      <c r="E400" s="12"/>
      <c r="F400" s="12"/>
      <c r="G400" s="18"/>
      <c r="H400" s="35"/>
      <c r="I400" s="35"/>
      <c r="J400" s="12"/>
      <c r="O400" s="12"/>
      <c r="P400" s="18"/>
      <c r="Q400" s="12"/>
      <c r="R400" s="12"/>
      <c r="S400" s="12"/>
      <c r="T400" s="36"/>
      <c r="U400" s="36"/>
      <c r="V400" s="12"/>
      <c r="W400" s="12"/>
      <c r="X400" s="12"/>
      <c r="Y400" s="12"/>
      <c r="Z400" s="12"/>
    </row>
    <row r="401" customFormat="false" ht="15.75" hidden="false" customHeight="false" outlineLevel="0" collapsed="false">
      <c r="A401" s="12"/>
      <c r="B401" s="34"/>
      <c r="C401" s="12"/>
      <c r="D401" s="12"/>
      <c r="E401" s="12"/>
      <c r="F401" s="12"/>
      <c r="G401" s="18"/>
      <c r="H401" s="35"/>
      <c r="I401" s="35"/>
      <c r="J401" s="12"/>
      <c r="O401" s="12"/>
      <c r="P401" s="18"/>
      <c r="Q401" s="12"/>
      <c r="R401" s="12"/>
      <c r="S401" s="12"/>
      <c r="T401" s="36"/>
      <c r="U401" s="36"/>
      <c r="V401" s="12"/>
      <c r="W401" s="12"/>
      <c r="X401" s="12"/>
      <c r="Y401" s="12"/>
      <c r="Z401" s="12"/>
    </row>
    <row r="402" customFormat="false" ht="15.75" hidden="false" customHeight="false" outlineLevel="0" collapsed="false">
      <c r="A402" s="12"/>
      <c r="B402" s="34"/>
      <c r="C402" s="12"/>
      <c r="D402" s="12"/>
      <c r="E402" s="12"/>
      <c r="F402" s="12"/>
      <c r="G402" s="18"/>
      <c r="H402" s="35"/>
      <c r="I402" s="35"/>
      <c r="J402" s="12"/>
      <c r="O402" s="12"/>
      <c r="P402" s="18"/>
      <c r="Q402" s="12"/>
      <c r="R402" s="12"/>
      <c r="S402" s="12"/>
      <c r="T402" s="36"/>
      <c r="U402" s="36"/>
      <c r="V402" s="12"/>
      <c r="W402" s="12"/>
      <c r="X402" s="12"/>
      <c r="Y402" s="12"/>
      <c r="Z402" s="12"/>
    </row>
    <row r="403" customFormat="false" ht="15.75" hidden="false" customHeight="false" outlineLevel="0" collapsed="false">
      <c r="A403" s="12"/>
      <c r="B403" s="34"/>
      <c r="C403" s="12"/>
      <c r="D403" s="12"/>
      <c r="E403" s="12"/>
      <c r="F403" s="12"/>
      <c r="G403" s="18"/>
      <c r="H403" s="35"/>
      <c r="I403" s="35"/>
      <c r="J403" s="12"/>
      <c r="O403" s="12"/>
      <c r="P403" s="18"/>
      <c r="Q403" s="12"/>
      <c r="R403" s="12"/>
      <c r="S403" s="12"/>
      <c r="T403" s="36"/>
      <c r="U403" s="36"/>
      <c r="V403" s="12"/>
      <c r="W403" s="12"/>
      <c r="X403" s="12"/>
      <c r="Y403" s="12"/>
      <c r="Z403" s="12"/>
    </row>
    <row r="404" customFormat="false" ht="15.75" hidden="false" customHeight="false" outlineLevel="0" collapsed="false">
      <c r="A404" s="12"/>
      <c r="B404" s="34"/>
      <c r="C404" s="12"/>
      <c r="D404" s="12"/>
      <c r="E404" s="12"/>
      <c r="F404" s="12"/>
      <c r="G404" s="18"/>
      <c r="H404" s="35"/>
      <c r="I404" s="35"/>
      <c r="J404" s="12"/>
      <c r="O404" s="12"/>
      <c r="P404" s="18"/>
      <c r="Q404" s="12"/>
      <c r="R404" s="12"/>
      <c r="S404" s="12"/>
      <c r="T404" s="36"/>
      <c r="U404" s="36"/>
      <c r="V404" s="12"/>
      <c r="W404" s="12"/>
      <c r="X404" s="12"/>
      <c r="Y404" s="12"/>
      <c r="Z404" s="12"/>
    </row>
    <row r="405" customFormat="false" ht="15.75" hidden="false" customHeight="false" outlineLevel="0" collapsed="false">
      <c r="A405" s="12"/>
      <c r="B405" s="34"/>
      <c r="C405" s="12"/>
      <c r="D405" s="12"/>
      <c r="E405" s="12"/>
      <c r="F405" s="12"/>
      <c r="G405" s="18"/>
      <c r="H405" s="35"/>
      <c r="I405" s="35"/>
      <c r="J405" s="12"/>
      <c r="O405" s="12"/>
      <c r="P405" s="18"/>
      <c r="Q405" s="12"/>
      <c r="R405" s="12"/>
      <c r="S405" s="12"/>
      <c r="T405" s="36"/>
      <c r="U405" s="36"/>
      <c r="V405" s="12"/>
      <c r="W405" s="12"/>
      <c r="X405" s="12"/>
      <c r="Y405" s="12"/>
      <c r="Z405" s="12"/>
    </row>
    <row r="406" customFormat="false" ht="15.75" hidden="false" customHeight="false" outlineLevel="0" collapsed="false">
      <c r="A406" s="12"/>
      <c r="B406" s="34"/>
      <c r="C406" s="12"/>
      <c r="D406" s="12"/>
      <c r="E406" s="12"/>
      <c r="F406" s="12"/>
      <c r="G406" s="18"/>
      <c r="H406" s="35"/>
      <c r="I406" s="35"/>
      <c r="J406" s="12"/>
      <c r="O406" s="12"/>
      <c r="P406" s="18"/>
      <c r="Q406" s="12"/>
      <c r="R406" s="12"/>
      <c r="S406" s="12"/>
      <c r="T406" s="36"/>
      <c r="U406" s="36"/>
      <c r="V406" s="12"/>
      <c r="W406" s="12"/>
      <c r="X406" s="12"/>
      <c r="Y406" s="12"/>
      <c r="Z406" s="12"/>
    </row>
    <row r="407" customFormat="false" ht="15.75" hidden="false" customHeight="false" outlineLevel="0" collapsed="false">
      <c r="A407" s="12"/>
      <c r="B407" s="34"/>
      <c r="C407" s="12"/>
      <c r="D407" s="12"/>
      <c r="E407" s="12"/>
      <c r="F407" s="12"/>
      <c r="G407" s="18"/>
      <c r="H407" s="35"/>
      <c r="I407" s="35"/>
      <c r="J407" s="12"/>
      <c r="O407" s="12"/>
      <c r="P407" s="18"/>
      <c r="Q407" s="12"/>
      <c r="R407" s="12"/>
      <c r="S407" s="12"/>
      <c r="T407" s="36"/>
      <c r="U407" s="36"/>
      <c r="V407" s="12"/>
      <c r="W407" s="12"/>
      <c r="X407" s="12"/>
      <c r="Y407" s="12"/>
      <c r="Z407" s="12"/>
    </row>
    <row r="408" customFormat="false" ht="15.75" hidden="false" customHeight="false" outlineLevel="0" collapsed="false">
      <c r="A408" s="12"/>
      <c r="B408" s="34"/>
      <c r="C408" s="12"/>
      <c r="D408" s="12"/>
      <c r="E408" s="12"/>
      <c r="F408" s="12"/>
      <c r="G408" s="18"/>
      <c r="H408" s="35"/>
      <c r="I408" s="35"/>
      <c r="J408" s="12"/>
      <c r="O408" s="12"/>
      <c r="P408" s="18"/>
      <c r="Q408" s="12"/>
      <c r="R408" s="12"/>
      <c r="S408" s="12"/>
      <c r="T408" s="36"/>
      <c r="U408" s="36"/>
      <c r="V408" s="12"/>
      <c r="W408" s="12"/>
      <c r="X408" s="12"/>
      <c r="Y408" s="12"/>
      <c r="Z408" s="12"/>
    </row>
    <row r="409" customFormat="false" ht="15.75" hidden="false" customHeight="false" outlineLevel="0" collapsed="false">
      <c r="A409" s="12"/>
      <c r="B409" s="34"/>
      <c r="C409" s="12"/>
      <c r="D409" s="12"/>
      <c r="E409" s="12"/>
      <c r="F409" s="12"/>
      <c r="G409" s="18"/>
      <c r="H409" s="35"/>
      <c r="I409" s="35"/>
      <c r="J409" s="12"/>
      <c r="O409" s="12"/>
      <c r="P409" s="18"/>
      <c r="Q409" s="12"/>
      <c r="R409" s="12"/>
      <c r="S409" s="12"/>
      <c r="T409" s="36"/>
      <c r="U409" s="36"/>
      <c r="V409" s="12"/>
      <c r="W409" s="12"/>
      <c r="X409" s="12"/>
      <c r="Y409" s="12"/>
      <c r="Z409" s="12"/>
    </row>
    <row r="410" customFormat="false" ht="15.75" hidden="false" customHeight="false" outlineLevel="0" collapsed="false">
      <c r="A410" s="12"/>
      <c r="B410" s="34"/>
      <c r="C410" s="12"/>
      <c r="D410" s="12"/>
      <c r="E410" s="12"/>
      <c r="F410" s="12"/>
      <c r="G410" s="18"/>
      <c r="H410" s="35"/>
      <c r="I410" s="35"/>
      <c r="J410" s="12"/>
      <c r="O410" s="12"/>
      <c r="P410" s="18"/>
      <c r="Q410" s="12"/>
      <c r="R410" s="12"/>
      <c r="S410" s="12"/>
      <c r="T410" s="36"/>
      <c r="U410" s="36"/>
      <c r="V410" s="12"/>
      <c r="W410" s="12"/>
      <c r="X410" s="12"/>
      <c r="Y410" s="12"/>
      <c r="Z410" s="12"/>
    </row>
    <row r="411" customFormat="false" ht="15.75" hidden="false" customHeight="false" outlineLevel="0" collapsed="false">
      <c r="A411" s="12"/>
      <c r="B411" s="34"/>
      <c r="C411" s="12"/>
      <c r="D411" s="12"/>
      <c r="E411" s="12"/>
      <c r="F411" s="12"/>
      <c r="G411" s="18"/>
      <c r="H411" s="35"/>
      <c r="I411" s="35"/>
      <c r="J411" s="12"/>
      <c r="O411" s="12"/>
      <c r="P411" s="18"/>
      <c r="Q411" s="12"/>
      <c r="R411" s="12"/>
      <c r="S411" s="12"/>
      <c r="T411" s="36"/>
      <c r="U411" s="36"/>
      <c r="V411" s="12"/>
      <c r="W411" s="12"/>
      <c r="X411" s="12"/>
      <c r="Y411" s="12"/>
      <c r="Z411" s="12"/>
    </row>
    <row r="412" customFormat="false" ht="15.75" hidden="false" customHeight="false" outlineLevel="0" collapsed="false">
      <c r="A412" s="12"/>
      <c r="B412" s="34"/>
      <c r="C412" s="12"/>
      <c r="D412" s="12"/>
      <c r="E412" s="12"/>
      <c r="F412" s="12"/>
      <c r="G412" s="18"/>
      <c r="H412" s="35"/>
      <c r="I412" s="35"/>
      <c r="J412" s="12"/>
      <c r="O412" s="12"/>
      <c r="P412" s="18"/>
      <c r="Q412" s="12"/>
      <c r="R412" s="12"/>
      <c r="S412" s="12"/>
      <c r="T412" s="36"/>
      <c r="U412" s="36"/>
      <c r="V412" s="12"/>
      <c r="W412" s="12"/>
      <c r="X412" s="12"/>
      <c r="Y412" s="12"/>
      <c r="Z412" s="12"/>
    </row>
    <row r="413" customFormat="false" ht="15.75" hidden="false" customHeight="false" outlineLevel="0" collapsed="false">
      <c r="A413" s="12"/>
      <c r="B413" s="34"/>
      <c r="C413" s="12"/>
      <c r="D413" s="12"/>
      <c r="E413" s="12"/>
      <c r="F413" s="12"/>
      <c r="G413" s="18"/>
      <c r="H413" s="35"/>
      <c r="I413" s="35"/>
      <c r="J413" s="12"/>
      <c r="O413" s="12"/>
      <c r="P413" s="18"/>
      <c r="Q413" s="12"/>
      <c r="R413" s="12"/>
      <c r="S413" s="12"/>
      <c r="T413" s="36"/>
      <c r="U413" s="36"/>
      <c r="V413" s="12"/>
      <c r="W413" s="12"/>
      <c r="X413" s="12"/>
      <c r="Y413" s="12"/>
      <c r="Z413" s="12"/>
    </row>
    <row r="414" customFormat="false" ht="15.75" hidden="false" customHeight="false" outlineLevel="0" collapsed="false">
      <c r="A414" s="12"/>
      <c r="B414" s="34"/>
      <c r="C414" s="12"/>
      <c r="D414" s="12"/>
      <c r="E414" s="12"/>
      <c r="F414" s="12"/>
      <c r="G414" s="18"/>
      <c r="H414" s="35"/>
      <c r="I414" s="35"/>
      <c r="J414" s="12"/>
      <c r="O414" s="12"/>
      <c r="P414" s="18"/>
      <c r="Q414" s="12"/>
      <c r="R414" s="12"/>
      <c r="S414" s="12"/>
      <c r="T414" s="36"/>
      <c r="U414" s="36"/>
      <c r="V414" s="12"/>
      <c r="W414" s="12"/>
      <c r="X414" s="12"/>
      <c r="Y414" s="12"/>
      <c r="Z414" s="12"/>
    </row>
    <row r="415" customFormat="false" ht="15.75" hidden="false" customHeight="false" outlineLevel="0" collapsed="false">
      <c r="A415" s="12"/>
      <c r="B415" s="34"/>
      <c r="C415" s="12"/>
      <c r="D415" s="12"/>
      <c r="E415" s="12"/>
      <c r="F415" s="12"/>
      <c r="G415" s="18"/>
      <c r="H415" s="35"/>
      <c r="I415" s="35"/>
      <c r="J415" s="12"/>
      <c r="O415" s="12"/>
      <c r="P415" s="18"/>
      <c r="Q415" s="12"/>
      <c r="R415" s="12"/>
      <c r="S415" s="12"/>
      <c r="T415" s="36"/>
      <c r="U415" s="36"/>
      <c r="V415" s="12"/>
      <c r="W415" s="12"/>
      <c r="X415" s="12"/>
      <c r="Y415" s="12"/>
      <c r="Z415" s="12"/>
    </row>
    <row r="416" customFormat="false" ht="15.75" hidden="false" customHeight="false" outlineLevel="0" collapsed="false">
      <c r="A416" s="12"/>
      <c r="B416" s="34"/>
      <c r="C416" s="12"/>
      <c r="D416" s="12"/>
      <c r="E416" s="12"/>
      <c r="F416" s="12"/>
      <c r="G416" s="18"/>
      <c r="H416" s="35"/>
      <c r="I416" s="35"/>
      <c r="J416" s="12"/>
      <c r="O416" s="12"/>
      <c r="P416" s="18"/>
      <c r="Q416" s="12"/>
      <c r="R416" s="12"/>
      <c r="S416" s="12"/>
      <c r="T416" s="36"/>
      <c r="U416" s="36"/>
      <c r="V416" s="12"/>
      <c r="W416" s="12"/>
      <c r="X416" s="12"/>
      <c r="Y416" s="12"/>
      <c r="Z416" s="12"/>
    </row>
    <row r="417" customFormat="false" ht="15.75" hidden="false" customHeight="false" outlineLevel="0" collapsed="false">
      <c r="A417" s="12"/>
      <c r="B417" s="34"/>
      <c r="C417" s="12"/>
      <c r="D417" s="12"/>
      <c r="E417" s="12"/>
      <c r="F417" s="12"/>
      <c r="G417" s="18"/>
      <c r="H417" s="35"/>
      <c r="I417" s="35"/>
      <c r="J417" s="12"/>
      <c r="O417" s="12"/>
      <c r="P417" s="18"/>
      <c r="Q417" s="12"/>
      <c r="R417" s="12"/>
      <c r="S417" s="12"/>
      <c r="T417" s="36"/>
      <c r="U417" s="36"/>
      <c r="V417" s="12"/>
      <c r="W417" s="12"/>
      <c r="X417" s="12"/>
      <c r="Y417" s="12"/>
      <c r="Z417" s="12"/>
    </row>
    <row r="418" customFormat="false" ht="15.75" hidden="false" customHeight="false" outlineLevel="0" collapsed="false">
      <c r="A418" s="12"/>
      <c r="B418" s="34"/>
      <c r="C418" s="12"/>
      <c r="D418" s="12"/>
      <c r="E418" s="12"/>
      <c r="F418" s="12"/>
      <c r="G418" s="18"/>
      <c r="H418" s="35"/>
      <c r="I418" s="35"/>
      <c r="J418" s="12"/>
      <c r="O418" s="12"/>
      <c r="P418" s="18"/>
      <c r="Q418" s="12"/>
      <c r="R418" s="12"/>
      <c r="S418" s="12"/>
      <c r="T418" s="36"/>
      <c r="U418" s="36"/>
      <c r="V418" s="12"/>
      <c r="W418" s="12"/>
      <c r="X418" s="12"/>
      <c r="Y418" s="12"/>
      <c r="Z418" s="12"/>
    </row>
    <row r="419" customFormat="false" ht="15.75" hidden="false" customHeight="false" outlineLevel="0" collapsed="false">
      <c r="A419" s="12"/>
      <c r="B419" s="34"/>
      <c r="C419" s="12"/>
      <c r="D419" s="12"/>
      <c r="E419" s="12"/>
      <c r="F419" s="12"/>
      <c r="G419" s="18"/>
      <c r="H419" s="35"/>
      <c r="I419" s="35"/>
      <c r="J419" s="12"/>
      <c r="O419" s="12"/>
      <c r="P419" s="18"/>
      <c r="Q419" s="12"/>
      <c r="R419" s="12"/>
      <c r="S419" s="12"/>
      <c r="T419" s="36"/>
      <c r="U419" s="36"/>
      <c r="V419" s="12"/>
      <c r="W419" s="12"/>
      <c r="X419" s="12"/>
      <c r="Y419" s="12"/>
      <c r="Z419" s="12"/>
    </row>
    <row r="420" customFormat="false" ht="15.75" hidden="false" customHeight="false" outlineLevel="0" collapsed="false">
      <c r="A420" s="12"/>
      <c r="B420" s="34"/>
      <c r="C420" s="12"/>
      <c r="D420" s="12"/>
      <c r="E420" s="12"/>
      <c r="F420" s="12"/>
      <c r="G420" s="18"/>
      <c r="H420" s="35"/>
      <c r="I420" s="35"/>
      <c r="J420" s="12"/>
      <c r="O420" s="12"/>
      <c r="P420" s="18"/>
      <c r="Q420" s="12"/>
      <c r="R420" s="12"/>
      <c r="S420" s="12"/>
      <c r="T420" s="36"/>
      <c r="U420" s="36"/>
      <c r="V420" s="12"/>
      <c r="W420" s="12"/>
      <c r="X420" s="12"/>
      <c r="Y420" s="12"/>
      <c r="Z420" s="12"/>
    </row>
    <row r="421" customFormat="false" ht="15.75" hidden="false" customHeight="false" outlineLevel="0" collapsed="false">
      <c r="A421" s="12"/>
      <c r="B421" s="34"/>
      <c r="C421" s="12"/>
      <c r="D421" s="12"/>
      <c r="E421" s="12"/>
      <c r="F421" s="12"/>
      <c r="G421" s="18"/>
      <c r="H421" s="35"/>
      <c r="I421" s="35"/>
      <c r="J421" s="12"/>
      <c r="O421" s="12"/>
      <c r="P421" s="18"/>
      <c r="Q421" s="12"/>
      <c r="R421" s="12"/>
      <c r="S421" s="12"/>
      <c r="T421" s="36"/>
      <c r="U421" s="36"/>
      <c r="V421" s="12"/>
      <c r="W421" s="12"/>
      <c r="X421" s="12"/>
      <c r="Y421" s="12"/>
      <c r="Z421" s="12"/>
    </row>
    <row r="422" customFormat="false" ht="15.75" hidden="false" customHeight="false" outlineLevel="0" collapsed="false">
      <c r="A422" s="12"/>
      <c r="B422" s="34"/>
      <c r="C422" s="12"/>
      <c r="D422" s="12"/>
      <c r="E422" s="12"/>
      <c r="F422" s="12"/>
      <c r="G422" s="18"/>
      <c r="H422" s="35"/>
      <c r="I422" s="35"/>
      <c r="J422" s="12"/>
      <c r="O422" s="12"/>
      <c r="P422" s="18"/>
      <c r="Q422" s="12"/>
      <c r="R422" s="12"/>
      <c r="S422" s="12"/>
      <c r="T422" s="36"/>
      <c r="U422" s="36"/>
      <c r="V422" s="12"/>
      <c r="W422" s="12"/>
      <c r="X422" s="12"/>
      <c r="Y422" s="12"/>
      <c r="Z422" s="12"/>
    </row>
    <row r="423" customFormat="false" ht="15.75" hidden="false" customHeight="false" outlineLevel="0" collapsed="false">
      <c r="A423" s="12"/>
      <c r="B423" s="34"/>
      <c r="C423" s="12"/>
      <c r="D423" s="12"/>
      <c r="E423" s="12"/>
      <c r="F423" s="12"/>
      <c r="G423" s="18"/>
      <c r="H423" s="35"/>
      <c r="I423" s="35"/>
      <c r="J423" s="12"/>
      <c r="O423" s="12"/>
      <c r="P423" s="18"/>
      <c r="Q423" s="12"/>
      <c r="R423" s="12"/>
      <c r="S423" s="12"/>
      <c r="T423" s="36"/>
      <c r="U423" s="36"/>
      <c r="V423" s="12"/>
      <c r="W423" s="12"/>
      <c r="X423" s="12"/>
      <c r="Y423" s="12"/>
      <c r="Z423" s="12"/>
    </row>
    <row r="424" customFormat="false" ht="15.75" hidden="false" customHeight="false" outlineLevel="0" collapsed="false">
      <c r="A424" s="12"/>
      <c r="B424" s="34"/>
      <c r="C424" s="12"/>
      <c r="D424" s="12"/>
      <c r="E424" s="12"/>
      <c r="F424" s="12"/>
      <c r="G424" s="18"/>
      <c r="H424" s="35"/>
      <c r="I424" s="35"/>
      <c r="J424" s="12"/>
      <c r="O424" s="12"/>
      <c r="P424" s="18"/>
      <c r="Q424" s="12"/>
      <c r="R424" s="12"/>
      <c r="S424" s="12"/>
      <c r="T424" s="36"/>
      <c r="U424" s="36"/>
      <c r="V424" s="12"/>
      <c r="W424" s="12"/>
      <c r="X424" s="12"/>
      <c r="Y424" s="12"/>
      <c r="Z424" s="12"/>
    </row>
    <row r="425" customFormat="false" ht="15.75" hidden="false" customHeight="false" outlineLevel="0" collapsed="false">
      <c r="A425" s="12"/>
      <c r="B425" s="34"/>
      <c r="C425" s="12"/>
      <c r="D425" s="12"/>
      <c r="E425" s="12"/>
      <c r="F425" s="12"/>
      <c r="G425" s="18"/>
      <c r="H425" s="35"/>
      <c r="I425" s="35"/>
      <c r="J425" s="12"/>
      <c r="O425" s="12"/>
      <c r="P425" s="18"/>
      <c r="Q425" s="12"/>
      <c r="R425" s="12"/>
      <c r="S425" s="12"/>
      <c r="T425" s="36"/>
      <c r="U425" s="36"/>
      <c r="V425" s="12"/>
      <c r="W425" s="12"/>
      <c r="X425" s="12"/>
      <c r="Y425" s="12"/>
      <c r="Z425" s="12"/>
    </row>
    <row r="426" customFormat="false" ht="15.75" hidden="false" customHeight="false" outlineLevel="0" collapsed="false">
      <c r="A426" s="12"/>
      <c r="B426" s="34"/>
      <c r="C426" s="12"/>
      <c r="D426" s="12"/>
      <c r="E426" s="12"/>
      <c r="F426" s="12"/>
      <c r="G426" s="18"/>
      <c r="H426" s="35"/>
      <c r="I426" s="35"/>
      <c r="J426" s="12"/>
      <c r="O426" s="12"/>
      <c r="P426" s="18"/>
      <c r="Q426" s="12"/>
      <c r="R426" s="12"/>
      <c r="S426" s="12"/>
      <c r="T426" s="36"/>
      <c r="U426" s="36"/>
      <c r="V426" s="12"/>
      <c r="W426" s="12"/>
      <c r="X426" s="12"/>
      <c r="Y426" s="12"/>
      <c r="Z426" s="12"/>
    </row>
    <row r="427" customFormat="false" ht="15.75" hidden="false" customHeight="false" outlineLevel="0" collapsed="false">
      <c r="A427" s="12"/>
      <c r="B427" s="34"/>
      <c r="C427" s="12"/>
      <c r="D427" s="12"/>
      <c r="E427" s="12"/>
      <c r="F427" s="12"/>
      <c r="G427" s="18"/>
      <c r="H427" s="35"/>
      <c r="I427" s="35"/>
      <c r="J427" s="12"/>
      <c r="O427" s="12"/>
      <c r="P427" s="18"/>
      <c r="Q427" s="12"/>
      <c r="R427" s="12"/>
      <c r="S427" s="12"/>
      <c r="T427" s="36"/>
      <c r="U427" s="36"/>
      <c r="V427" s="12"/>
      <c r="W427" s="12"/>
      <c r="X427" s="12"/>
      <c r="Y427" s="12"/>
      <c r="Z427" s="12"/>
    </row>
    <row r="428" customFormat="false" ht="15.75" hidden="false" customHeight="false" outlineLevel="0" collapsed="false">
      <c r="A428" s="12"/>
      <c r="B428" s="34"/>
      <c r="C428" s="12"/>
      <c r="D428" s="12"/>
      <c r="E428" s="12"/>
      <c r="F428" s="12"/>
      <c r="G428" s="18"/>
      <c r="H428" s="35"/>
      <c r="I428" s="35"/>
      <c r="J428" s="12"/>
      <c r="O428" s="12"/>
      <c r="P428" s="18"/>
      <c r="Q428" s="12"/>
      <c r="R428" s="12"/>
      <c r="S428" s="12"/>
      <c r="T428" s="36"/>
      <c r="U428" s="36"/>
      <c r="V428" s="12"/>
      <c r="W428" s="12"/>
      <c r="X428" s="12"/>
      <c r="Y428" s="12"/>
      <c r="Z428" s="12"/>
    </row>
    <row r="429" customFormat="false" ht="15.75" hidden="false" customHeight="false" outlineLevel="0" collapsed="false">
      <c r="A429" s="12"/>
      <c r="B429" s="34"/>
      <c r="C429" s="12"/>
      <c r="D429" s="12"/>
      <c r="E429" s="12"/>
      <c r="F429" s="12"/>
      <c r="G429" s="18"/>
      <c r="H429" s="35"/>
      <c r="I429" s="35"/>
      <c r="J429" s="12"/>
      <c r="O429" s="12"/>
      <c r="P429" s="18"/>
      <c r="Q429" s="12"/>
      <c r="R429" s="12"/>
      <c r="S429" s="12"/>
      <c r="T429" s="36"/>
      <c r="U429" s="36"/>
      <c r="V429" s="12"/>
      <c r="W429" s="12"/>
      <c r="X429" s="12"/>
      <c r="Y429" s="12"/>
      <c r="Z429" s="12"/>
    </row>
    <row r="430" customFormat="false" ht="15.75" hidden="false" customHeight="false" outlineLevel="0" collapsed="false">
      <c r="A430" s="12"/>
      <c r="B430" s="34"/>
      <c r="C430" s="12"/>
      <c r="D430" s="12"/>
      <c r="E430" s="12"/>
      <c r="F430" s="12"/>
      <c r="G430" s="18"/>
      <c r="H430" s="35"/>
      <c r="I430" s="35"/>
      <c r="J430" s="12"/>
      <c r="O430" s="12"/>
      <c r="P430" s="18"/>
      <c r="Q430" s="12"/>
      <c r="R430" s="12"/>
      <c r="S430" s="12"/>
      <c r="T430" s="36"/>
      <c r="U430" s="36"/>
      <c r="V430" s="12"/>
      <c r="W430" s="12"/>
      <c r="X430" s="12"/>
      <c r="Y430" s="12"/>
      <c r="Z430" s="12"/>
    </row>
    <row r="431" customFormat="false" ht="15.75" hidden="false" customHeight="false" outlineLevel="0" collapsed="false">
      <c r="A431" s="12"/>
      <c r="B431" s="34"/>
      <c r="C431" s="12"/>
      <c r="D431" s="12"/>
      <c r="E431" s="12"/>
      <c r="F431" s="12"/>
      <c r="G431" s="18"/>
      <c r="H431" s="35"/>
      <c r="I431" s="35"/>
      <c r="J431" s="12"/>
      <c r="O431" s="12"/>
      <c r="P431" s="18"/>
      <c r="Q431" s="12"/>
      <c r="R431" s="12"/>
      <c r="S431" s="12"/>
      <c r="T431" s="36"/>
      <c r="U431" s="36"/>
      <c r="V431" s="12"/>
      <c r="W431" s="12"/>
      <c r="X431" s="12"/>
      <c r="Y431" s="12"/>
      <c r="Z431" s="12"/>
    </row>
    <row r="432" customFormat="false" ht="15.75" hidden="false" customHeight="false" outlineLevel="0" collapsed="false">
      <c r="A432" s="12"/>
      <c r="B432" s="34"/>
      <c r="C432" s="12"/>
      <c r="D432" s="12"/>
      <c r="E432" s="12"/>
      <c r="F432" s="12"/>
      <c r="G432" s="18"/>
      <c r="H432" s="35"/>
      <c r="I432" s="35"/>
      <c r="J432" s="12"/>
      <c r="O432" s="12"/>
      <c r="P432" s="18"/>
      <c r="Q432" s="12"/>
      <c r="R432" s="12"/>
      <c r="S432" s="12"/>
      <c r="T432" s="36"/>
      <c r="U432" s="36"/>
      <c r="V432" s="12"/>
      <c r="W432" s="12"/>
      <c r="X432" s="12"/>
      <c r="Y432" s="12"/>
      <c r="Z432" s="12"/>
    </row>
    <row r="433" customFormat="false" ht="15.75" hidden="false" customHeight="false" outlineLevel="0" collapsed="false">
      <c r="A433" s="12"/>
      <c r="B433" s="34"/>
      <c r="C433" s="12"/>
      <c r="D433" s="12"/>
      <c r="E433" s="12"/>
      <c r="F433" s="12"/>
      <c r="G433" s="18"/>
      <c r="H433" s="35"/>
      <c r="I433" s="35"/>
      <c r="J433" s="12"/>
      <c r="O433" s="12"/>
      <c r="P433" s="18"/>
      <c r="Q433" s="12"/>
      <c r="R433" s="12"/>
      <c r="S433" s="12"/>
      <c r="T433" s="36"/>
      <c r="U433" s="36"/>
      <c r="V433" s="12"/>
      <c r="W433" s="12"/>
      <c r="X433" s="12"/>
      <c r="Y433" s="12"/>
      <c r="Z433" s="12"/>
    </row>
    <row r="434" customFormat="false" ht="15.75" hidden="false" customHeight="false" outlineLevel="0" collapsed="false">
      <c r="A434" s="12"/>
      <c r="B434" s="34"/>
      <c r="C434" s="12"/>
      <c r="D434" s="12"/>
      <c r="E434" s="12"/>
      <c r="F434" s="12"/>
      <c r="G434" s="18"/>
      <c r="H434" s="35"/>
      <c r="I434" s="35"/>
      <c r="J434" s="12"/>
      <c r="O434" s="12"/>
      <c r="P434" s="18"/>
      <c r="Q434" s="12"/>
      <c r="R434" s="12"/>
      <c r="S434" s="12"/>
      <c r="T434" s="36"/>
      <c r="U434" s="36"/>
      <c r="V434" s="12"/>
      <c r="W434" s="12"/>
      <c r="X434" s="12"/>
      <c r="Y434" s="12"/>
      <c r="Z434" s="12"/>
    </row>
    <row r="435" customFormat="false" ht="15.75" hidden="false" customHeight="false" outlineLevel="0" collapsed="false">
      <c r="A435" s="12"/>
      <c r="B435" s="34"/>
      <c r="C435" s="12"/>
      <c r="D435" s="12"/>
      <c r="E435" s="12"/>
      <c r="F435" s="12"/>
      <c r="G435" s="18"/>
      <c r="H435" s="35"/>
      <c r="I435" s="35"/>
      <c r="J435" s="12"/>
      <c r="O435" s="12"/>
      <c r="P435" s="18"/>
      <c r="Q435" s="12"/>
      <c r="R435" s="12"/>
      <c r="S435" s="12"/>
      <c r="T435" s="36"/>
      <c r="U435" s="36"/>
      <c r="V435" s="12"/>
      <c r="W435" s="12"/>
      <c r="X435" s="12"/>
      <c r="Y435" s="12"/>
      <c r="Z435" s="12"/>
    </row>
    <row r="436" customFormat="false" ht="15.75" hidden="false" customHeight="false" outlineLevel="0" collapsed="false">
      <c r="A436" s="12"/>
      <c r="B436" s="34"/>
      <c r="C436" s="12"/>
      <c r="D436" s="12"/>
      <c r="E436" s="12"/>
      <c r="F436" s="12"/>
      <c r="G436" s="18"/>
      <c r="H436" s="35"/>
      <c r="I436" s="35"/>
      <c r="J436" s="12"/>
      <c r="O436" s="12"/>
      <c r="P436" s="18"/>
      <c r="Q436" s="12"/>
      <c r="R436" s="12"/>
      <c r="S436" s="12"/>
      <c r="T436" s="36"/>
      <c r="U436" s="36"/>
      <c r="V436" s="12"/>
      <c r="W436" s="12"/>
      <c r="X436" s="12"/>
      <c r="Y436" s="12"/>
      <c r="Z436" s="12"/>
    </row>
    <row r="437" customFormat="false" ht="15.75" hidden="false" customHeight="false" outlineLevel="0" collapsed="false">
      <c r="A437" s="12"/>
      <c r="B437" s="34"/>
      <c r="C437" s="12"/>
      <c r="D437" s="12"/>
      <c r="E437" s="12"/>
      <c r="F437" s="12"/>
      <c r="G437" s="18"/>
      <c r="H437" s="35"/>
      <c r="I437" s="35"/>
      <c r="J437" s="12"/>
      <c r="O437" s="12"/>
      <c r="P437" s="18"/>
      <c r="Q437" s="12"/>
      <c r="R437" s="12"/>
      <c r="S437" s="12"/>
      <c r="T437" s="36"/>
      <c r="U437" s="36"/>
      <c r="V437" s="12"/>
      <c r="W437" s="12"/>
      <c r="X437" s="12"/>
      <c r="Y437" s="12"/>
      <c r="Z437" s="12"/>
    </row>
    <row r="438" customFormat="false" ht="15.75" hidden="false" customHeight="false" outlineLevel="0" collapsed="false">
      <c r="A438" s="12"/>
      <c r="B438" s="34"/>
      <c r="C438" s="12"/>
      <c r="D438" s="12"/>
      <c r="E438" s="12"/>
      <c r="F438" s="12"/>
      <c r="G438" s="18"/>
      <c r="H438" s="35"/>
      <c r="I438" s="35"/>
      <c r="J438" s="12"/>
      <c r="O438" s="12"/>
      <c r="P438" s="18"/>
      <c r="Q438" s="12"/>
      <c r="R438" s="12"/>
      <c r="S438" s="12"/>
      <c r="T438" s="36"/>
      <c r="U438" s="36"/>
      <c r="V438" s="12"/>
      <c r="W438" s="12"/>
      <c r="X438" s="12"/>
      <c r="Y438" s="12"/>
      <c r="Z438" s="12"/>
    </row>
    <row r="439" customFormat="false" ht="15.75" hidden="false" customHeight="false" outlineLevel="0" collapsed="false">
      <c r="A439" s="12"/>
      <c r="B439" s="34"/>
      <c r="C439" s="12"/>
      <c r="D439" s="12"/>
      <c r="E439" s="12"/>
      <c r="F439" s="12"/>
      <c r="G439" s="18"/>
      <c r="H439" s="35"/>
      <c r="I439" s="35"/>
      <c r="J439" s="12"/>
      <c r="O439" s="12"/>
      <c r="P439" s="18"/>
      <c r="Q439" s="12"/>
      <c r="R439" s="12"/>
      <c r="S439" s="12"/>
      <c r="T439" s="36"/>
      <c r="U439" s="36"/>
      <c r="V439" s="12"/>
      <c r="W439" s="12"/>
      <c r="X439" s="12"/>
      <c r="Y439" s="12"/>
      <c r="Z439" s="12"/>
    </row>
    <row r="440" customFormat="false" ht="15.75" hidden="false" customHeight="false" outlineLevel="0" collapsed="false">
      <c r="A440" s="12"/>
      <c r="B440" s="34"/>
      <c r="C440" s="12"/>
      <c r="D440" s="12"/>
      <c r="E440" s="12"/>
      <c r="F440" s="12"/>
      <c r="G440" s="18"/>
      <c r="H440" s="35"/>
      <c r="I440" s="35"/>
      <c r="J440" s="12"/>
      <c r="O440" s="12"/>
      <c r="P440" s="18"/>
      <c r="Q440" s="12"/>
      <c r="R440" s="12"/>
      <c r="S440" s="12"/>
      <c r="T440" s="36"/>
      <c r="U440" s="36"/>
      <c r="V440" s="12"/>
      <c r="W440" s="12"/>
      <c r="X440" s="12"/>
      <c r="Y440" s="12"/>
      <c r="Z440" s="12"/>
    </row>
    <row r="441" customFormat="false" ht="15.75" hidden="false" customHeight="false" outlineLevel="0" collapsed="false">
      <c r="A441" s="12"/>
      <c r="B441" s="34"/>
      <c r="C441" s="12"/>
      <c r="D441" s="12"/>
      <c r="E441" s="12"/>
      <c r="F441" s="12"/>
      <c r="G441" s="18"/>
      <c r="H441" s="35"/>
      <c r="I441" s="35"/>
      <c r="J441" s="12"/>
      <c r="O441" s="12"/>
      <c r="P441" s="18"/>
      <c r="Q441" s="12"/>
      <c r="R441" s="12"/>
      <c r="S441" s="12"/>
      <c r="T441" s="36"/>
      <c r="U441" s="36"/>
      <c r="V441" s="12"/>
      <c r="W441" s="12"/>
      <c r="X441" s="12"/>
      <c r="Y441" s="12"/>
      <c r="Z441" s="12"/>
    </row>
    <row r="442" customFormat="false" ht="15.75" hidden="false" customHeight="false" outlineLevel="0" collapsed="false">
      <c r="A442" s="12"/>
      <c r="B442" s="34"/>
      <c r="C442" s="12"/>
      <c r="D442" s="12"/>
      <c r="E442" s="12"/>
      <c r="F442" s="12"/>
      <c r="G442" s="18"/>
      <c r="H442" s="35"/>
      <c r="I442" s="35"/>
      <c r="J442" s="12"/>
      <c r="O442" s="12"/>
      <c r="P442" s="18"/>
      <c r="Q442" s="12"/>
      <c r="R442" s="12"/>
      <c r="S442" s="12"/>
      <c r="T442" s="36"/>
      <c r="U442" s="36"/>
      <c r="V442" s="12"/>
      <c r="W442" s="12"/>
      <c r="X442" s="12"/>
      <c r="Y442" s="12"/>
      <c r="Z442" s="12"/>
    </row>
    <row r="443" customFormat="false" ht="15.75" hidden="false" customHeight="false" outlineLevel="0" collapsed="false">
      <c r="A443" s="12"/>
      <c r="B443" s="34"/>
      <c r="C443" s="12"/>
      <c r="D443" s="12"/>
      <c r="E443" s="12"/>
      <c r="F443" s="12"/>
      <c r="G443" s="18"/>
      <c r="H443" s="35"/>
      <c r="I443" s="35"/>
      <c r="J443" s="12"/>
      <c r="O443" s="12"/>
      <c r="P443" s="18"/>
      <c r="Q443" s="12"/>
      <c r="R443" s="12"/>
      <c r="S443" s="12"/>
      <c r="T443" s="36"/>
      <c r="U443" s="36"/>
      <c r="V443" s="12"/>
      <c r="W443" s="12"/>
      <c r="X443" s="12"/>
      <c r="Y443" s="12"/>
      <c r="Z443" s="12"/>
    </row>
    <row r="444" customFormat="false" ht="15.75" hidden="false" customHeight="false" outlineLevel="0" collapsed="false">
      <c r="A444" s="12"/>
      <c r="B444" s="34"/>
      <c r="C444" s="12"/>
      <c r="D444" s="12"/>
      <c r="E444" s="12"/>
      <c r="F444" s="12"/>
      <c r="G444" s="18"/>
      <c r="H444" s="35"/>
      <c r="I444" s="35"/>
      <c r="J444" s="12"/>
      <c r="O444" s="12"/>
      <c r="P444" s="18"/>
      <c r="Q444" s="12"/>
      <c r="R444" s="12"/>
      <c r="S444" s="12"/>
      <c r="T444" s="36"/>
      <c r="U444" s="36"/>
      <c r="V444" s="12"/>
      <c r="W444" s="12"/>
      <c r="X444" s="12"/>
      <c r="Y444" s="12"/>
      <c r="Z444" s="12"/>
    </row>
    <row r="445" customFormat="false" ht="15.75" hidden="false" customHeight="false" outlineLevel="0" collapsed="false">
      <c r="A445" s="12"/>
      <c r="B445" s="34"/>
      <c r="C445" s="12"/>
      <c r="D445" s="12"/>
      <c r="E445" s="12"/>
      <c r="F445" s="12"/>
      <c r="G445" s="18"/>
      <c r="H445" s="35"/>
      <c r="I445" s="35"/>
      <c r="J445" s="12"/>
      <c r="O445" s="12"/>
      <c r="P445" s="18"/>
      <c r="Q445" s="12"/>
      <c r="R445" s="12"/>
      <c r="S445" s="12"/>
      <c r="T445" s="36"/>
      <c r="U445" s="36"/>
      <c r="V445" s="12"/>
      <c r="W445" s="12"/>
      <c r="X445" s="12"/>
      <c r="Y445" s="12"/>
      <c r="Z445" s="12"/>
    </row>
    <row r="446" customFormat="false" ht="15.75" hidden="false" customHeight="false" outlineLevel="0" collapsed="false">
      <c r="A446" s="12"/>
      <c r="B446" s="34"/>
      <c r="C446" s="12"/>
      <c r="D446" s="12"/>
      <c r="E446" s="12"/>
      <c r="F446" s="12"/>
      <c r="G446" s="18"/>
      <c r="H446" s="35"/>
      <c r="I446" s="35"/>
      <c r="J446" s="12"/>
      <c r="O446" s="12"/>
      <c r="P446" s="18"/>
      <c r="Q446" s="12"/>
      <c r="R446" s="12"/>
      <c r="S446" s="12"/>
      <c r="T446" s="36"/>
      <c r="U446" s="36"/>
      <c r="V446" s="12"/>
      <c r="W446" s="12"/>
      <c r="X446" s="12"/>
      <c r="Y446" s="12"/>
      <c r="Z446" s="12"/>
    </row>
    <row r="447" customFormat="false" ht="15.75" hidden="false" customHeight="false" outlineLevel="0" collapsed="false">
      <c r="A447" s="12"/>
      <c r="B447" s="34"/>
      <c r="C447" s="12"/>
      <c r="D447" s="12"/>
      <c r="E447" s="12"/>
      <c r="F447" s="12"/>
      <c r="G447" s="18"/>
      <c r="H447" s="35"/>
      <c r="I447" s="35"/>
      <c r="J447" s="12"/>
      <c r="O447" s="12"/>
      <c r="P447" s="18"/>
      <c r="Q447" s="12"/>
      <c r="R447" s="12"/>
      <c r="S447" s="12"/>
      <c r="T447" s="36"/>
      <c r="U447" s="36"/>
      <c r="V447" s="12"/>
      <c r="W447" s="12"/>
      <c r="X447" s="12"/>
      <c r="Y447" s="12"/>
      <c r="Z447" s="12"/>
    </row>
    <row r="448" customFormat="false" ht="15.75" hidden="false" customHeight="false" outlineLevel="0" collapsed="false">
      <c r="A448" s="12"/>
      <c r="B448" s="34"/>
      <c r="C448" s="12"/>
      <c r="D448" s="12"/>
      <c r="E448" s="12"/>
      <c r="F448" s="12"/>
      <c r="G448" s="18"/>
      <c r="H448" s="35"/>
      <c r="I448" s="35"/>
      <c r="J448" s="12"/>
      <c r="O448" s="12"/>
      <c r="P448" s="18"/>
      <c r="Q448" s="12"/>
      <c r="R448" s="12"/>
      <c r="S448" s="12"/>
      <c r="T448" s="36"/>
      <c r="U448" s="36"/>
      <c r="V448" s="12"/>
      <c r="W448" s="12"/>
      <c r="X448" s="12"/>
      <c r="Y448" s="12"/>
      <c r="Z448" s="12"/>
    </row>
    <row r="449" customFormat="false" ht="15.75" hidden="false" customHeight="false" outlineLevel="0" collapsed="false">
      <c r="A449" s="12"/>
      <c r="B449" s="34"/>
      <c r="C449" s="12"/>
      <c r="D449" s="12"/>
      <c r="E449" s="12"/>
      <c r="F449" s="12"/>
      <c r="G449" s="18"/>
      <c r="H449" s="35"/>
      <c r="I449" s="35"/>
      <c r="J449" s="12"/>
      <c r="O449" s="12"/>
      <c r="P449" s="18"/>
      <c r="Q449" s="12"/>
      <c r="R449" s="12"/>
      <c r="S449" s="12"/>
      <c r="T449" s="36"/>
      <c r="U449" s="36"/>
      <c r="V449" s="12"/>
      <c r="W449" s="12"/>
      <c r="X449" s="12"/>
      <c r="Y449" s="12"/>
      <c r="Z449" s="12"/>
    </row>
    <row r="450" customFormat="false" ht="15.75" hidden="false" customHeight="false" outlineLevel="0" collapsed="false">
      <c r="A450" s="12"/>
      <c r="B450" s="34"/>
      <c r="C450" s="12"/>
      <c r="D450" s="12"/>
      <c r="E450" s="12"/>
      <c r="F450" s="12"/>
      <c r="G450" s="18"/>
      <c r="H450" s="35"/>
      <c r="I450" s="35"/>
      <c r="J450" s="12"/>
      <c r="O450" s="12"/>
      <c r="P450" s="18"/>
      <c r="Q450" s="12"/>
      <c r="R450" s="12"/>
      <c r="S450" s="12"/>
      <c r="T450" s="36"/>
      <c r="U450" s="36"/>
      <c r="V450" s="12"/>
      <c r="W450" s="12"/>
      <c r="X450" s="12"/>
      <c r="Y450" s="12"/>
      <c r="Z450" s="12"/>
    </row>
    <row r="451" customFormat="false" ht="15.75" hidden="false" customHeight="false" outlineLevel="0" collapsed="false">
      <c r="A451" s="12"/>
      <c r="B451" s="34"/>
      <c r="C451" s="12"/>
      <c r="D451" s="12"/>
      <c r="E451" s="12"/>
      <c r="F451" s="12"/>
      <c r="G451" s="18"/>
      <c r="H451" s="35"/>
      <c r="I451" s="35"/>
      <c r="J451" s="12"/>
      <c r="O451" s="12"/>
      <c r="P451" s="18"/>
      <c r="Q451" s="12"/>
      <c r="R451" s="12"/>
      <c r="S451" s="12"/>
      <c r="T451" s="36"/>
      <c r="U451" s="36"/>
      <c r="V451" s="12"/>
      <c r="W451" s="12"/>
      <c r="X451" s="12"/>
      <c r="Y451" s="12"/>
      <c r="Z451" s="12"/>
    </row>
    <row r="452" customFormat="false" ht="15.75" hidden="false" customHeight="false" outlineLevel="0" collapsed="false">
      <c r="A452" s="12"/>
      <c r="B452" s="34"/>
      <c r="C452" s="12"/>
      <c r="D452" s="12"/>
      <c r="E452" s="12"/>
      <c r="F452" s="12"/>
      <c r="G452" s="18"/>
      <c r="H452" s="35"/>
      <c r="I452" s="35"/>
      <c r="J452" s="12"/>
      <c r="O452" s="12"/>
      <c r="P452" s="18"/>
      <c r="Q452" s="12"/>
      <c r="R452" s="12"/>
      <c r="S452" s="12"/>
      <c r="T452" s="36"/>
      <c r="U452" s="36"/>
      <c r="V452" s="12"/>
      <c r="W452" s="12"/>
      <c r="X452" s="12"/>
      <c r="Y452" s="12"/>
      <c r="Z452" s="12"/>
    </row>
    <row r="453" customFormat="false" ht="15.75" hidden="false" customHeight="false" outlineLevel="0" collapsed="false">
      <c r="A453" s="12"/>
      <c r="B453" s="34"/>
      <c r="C453" s="12"/>
      <c r="D453" s="12"/>
      <c r="E453" s="12"/>
      <c r="F453" s="12"/>
      <c r="G453" s="18"/>
      <c r="H453" s="35"/>
      <c r="I453" s="35"/>
      <c r="J453" s="12"/>
      <c r="O453" s="12"/>
      <c r="P453" s="18"/>
      <c r="Q453" s="12"/>
      <c r="R453" s="12"/>
      <c r="S453" s="12"/>
      <c r="T453" s="36"/>
      <c r="U453" s="36"/>
      <c r="V453" s="12"/>
      <c r="W453" s="12"/>
      <c r="X453" s="12"/>
      <c r="Y453" s="12"/>
      <c r="Z453" s="12"/>
    </row>
    <row r="454" customFormat="false" ht="15.75" hidden="false" customHeight="false" outlineLevel="0" collapsed="false">
      <c r="A454" s="12"/>
      <c r="B454" s="34"/>
      <c r="C454" s="12"/>
      <c r="D454" s="12"/>
      <c r="E454" s="12"/>
      <c r="F454" s="12"/>
      <c r="G454" s="18"/>
      <c r="H454" s="35"/>
      <c r="I454" s="35"/>
      <c r="J454" s="12"/>
      <c r="O454" s="12"/>
      <c r="P454" s="18"/>
      <c r="Q454" s="12"/>
      <c r="R454" s="12"/>
      <c r="S454" s="12"/>
      <c r="T454" s="36"/>
      <c r="U454" s="36"/>
      <c r="V454" s="12"/>
      <c r="W454" s="12"/>
      <c r="X454" s="12"/>
      <c r="Y454" s="12"/>
      <c r="Z454" s="12"/>
    </row>
    <row r="455" customFormat="false" ht="15.75" hidden="false" customHeight="false" outlineLevel="0" collapsed="false">
      <c r="A455" s="12"/>
      <c r="B455" s="34"/>
      <c r="C455" s="12"/>
      <c r="D455" s="12"/>
      <c r="E455" s="12"/>
      <c r="F455" s="12"/>
      <c r="G455" s="18"/>
      <c r="H455" s="35"/>
      <c r="I455" s="35"/>
      <c r="J455" s="12"/>
      <c r="O455" s="12"/>
      <c r="P455" s="18"/>
      <c r="Q455" s="12"/>
      <c r="R455" s="12"/>
      <c r="S455" s="12"/>
      <c r="T455" s="36"/>
      <c r="U455" s="36"/>
      <c r="V455" s="12"/>
      <c r="W455" s="12"/>
      <c r="X455" s="12"/>
      <c r="Y455" s="12"/>
      <c r="Z455" s="12"/>
    </row>
    <row r="456" customFormat="false" ht="15.75" hidden="false" customHeight="false" outlineLevel="0" collapsed="false">
      <c r="A456" s="12"/>
      <c r="B456" s="34"/>
      <c r="C456" s="12"/>
      <c r="D456" s="12"/>
      <c r="E456" s="12"/>
      <c r="F456" s="12"/>
      <c r="G456" s="18"/>
      <c r="H456" s="35"/>
      <c r="I456" s="35"/>
      <c r="J456" s="12"/>
      <c r="O456" s="12"/>
      <c r="P456" s="18"/>
      <c r="Q456" s="12"/>
      <c r="R456" s="12"/>
      <c r="S456" s="12"/>
      <c r="T456" s="36"/>
      <c r="U456" s="36"/>
      <c r="V456" s="12"/>
      <c r="W456" s="12"/>
      <c r="X456" s="12"/>
      <c r="Y456" s="12"/>
      <c r="Z456" s="12"/>
    </row>
    <row r="457" customFormat="false" ht="15.75" hidden="false" customHeight="false" outlineLevel="0" collapsed="false">
      <c r="A457" s="12"/>
      <c r="B457" s="34"/>
      <c r="C457" s="12"/>
      <c r="D457" s="12"/>
      <c r="E457" s="12"/>
      <c r="F457" s="12"/>
      <c r="G457" s="18"/>
      <c r="H457" s="35"/>
      <c r="I457" s="35"/>
      <c r="J457" s="12"/>
      <c r="O457" s="12"/>
      <c r="P457" s="18"/>
      <c r="Q457" s="12"/>
      <c r="R457" s="12"/>
      <c r="S457" s="12"/>
      <c r="T457" s="36"/>
      <c r="U457" s="36"/>
      <c r="V457" s="12"/>
      <c r="W457" s="12"/>
      <c r="X457" s="12"/>
      <c r="Y457" s="12"/>
      <c r="Z457" s="12"/>
    </row>
    <row r="458" customFormat="false" ht="15.75" hidden="false" customHeight="false" outlineLevel="0" collapsed="false">
      <c r="A458" s="12"/>
      <c r="B458" s="34"/>
      <c r="C458" s="12"/>
      <c r="D458" s="12"/>
      <c r="E458" s="12"/>
      <c r="F458" s="12"/>
      <c r="G458" s="18"/>
      <c r="H458" s="35"/>
      <c r="I458" s="35"/>
      <c r="J458" s="12"/>
      <c r="O458" s="12"/>
      <c r="P458" s="18"/>
      <c r="Q458" s="12"/>
      <c r="R458" s="12"/>
      <c r="S458" s="12"/>
      <c r="T458" s="36"/>
      <c r="U458" s="36"/>
      <c r="V458" s="12"/>
      <c r="W458" s="12"/>
      <c r="X458" s="12"/>
      <c r="Y458" s="12"/>
      <c r="Z458" s="12"/>
    </row>
    <row r="459" customFormat="false" ht="15.75" hidden="false" customHeight="false" outlineLevel="0" collapsed="false">
      <c r="A459" s="12"/>
      <c r="B459" s="34"/>
      <c r="C459" s="12"/>
      <c r="D459" s="12"/>
      <c r="E459" s="12"/>
      <c r="F459" s="12"/>
      <c r="G459" s="18"/>
      <c r="H459" s="35"/>
      <c r="I459" s="35"/>
      <c r="J459" s="12"/>
      <c r="O459" s="12"/>
      <c r="P459" s="18"/>
      <c r="Q459" s="12"/>
      <c r="R459" s="12"/>
      <c r="S459" s="12"/>
      <c r="T459" s="36"/>
      <c r="U459" s="36"/>
      <c r="V459" s="12"/>
      <c r="W459" s="12"/>
      <c r="X459" s="12"/>
      <c r="Y459" s="12"/>
      <c r="Z459" s="12"/>
    </row>
    <row r="460" customFormat="false" ht="15.75" hidden="false" customHeight="false" outlineLevel="0" collapsed="false">
      <c r="A460" s="12"/>
      <c r="B460" s="34"/>
      <c r="C460" s="12"/>
      <c r="D460" s="12"/>
      <c r="E460" s="12"/>
      <c r="F460" s="12"/>
      <c r="G460" s="18"/>
      <c r="H460" s="35"/>
      <c r="I460" s="35"/>
      <c r="J460" s="12"/>
      <c r="O460" s="12"/>
      <c r="P460" s="18"/>
      <c r="Q460" s="12"/>
      <c r="R460" s="12"/>
      <c r="S460" s="12"/>
      <c r="T460" s="36"/>
      <c r="U460" s="36"/>
      <c r="V460" s="12"/>
      <c r="W460" s="12"/>
      <c r="X460" s="12"/>
      <c r="Y460" s="12"/>
      <c r="Z460" s="12"/>
    </row>
    <row r="461" customFormat="false" ht="15.75" hidden="false" customHeight="false" outlineLevel="0" collapsed="false">
      <c r="A461" s="12"/>
      <c r="B461" s="34"/>
      <c r="C461" s="12"/>
      <c r="D461" s="12"/>
      <c r="E461" s="12"/>
      <c r="F461" s="12"/>
      <c r="G461" s="18"/>
      <c r="H461" s="35"/>
      <c r="I461" s="35"/>
      <c r="J461" s="12"/>
      <c r="O461" s="12"/>
      <c r="P461" s="18"/>
      <c r="Q461" s="12"/>
      <c r="R461" s="12"/>
      <c r="S461" s="12"/>
      <c r="T461" s="36"/>
      <c r="U461" s="36"/>
      <c r="V461" s="12"/>
      <c r="W461" s="12"/>
      <c r="X461" s="12"/>
      <c r="Y461" s="12"/>
      <c r="Z461" s="12"/>
    </row>
    <row r="462" customFormat="false" ht="15.75" hidden="false" customHeight="false" outlineLevel="0" collapsed="false">
      <c r="A462" s="12"/>
      <c r="B462" s="34"/>
      <c r="C462" s="12"/>
      <c r="D462" s="12"/>
      <c r="E462" s="12"/>
      <c r="F462" s="12"/>
      <c r="G462" s="18"/>
      <c r="H462" s="35"/>
      <c r="I462" s="35"/>
      <c r="J462" s="12"/>
      <c r="O462" s="12"/>
      <c r="P462" s="18"/>
      <c r="Q462" s="12"/>
      <c r="R462" s="12"/>
      <c r="S462" s="12"/>
      <c r="T462" s="36"/>
      <c r="U462" s="36"/>
      <c r="V462" s="12"/>
      <c r="W462" s="12"/>
      <c r="X462" s="12"/>
      <c r="Y462" s="12"/>
      <c r="Z462" s="12"/>
    </row>
    <row r="463" customFormat="false" ht="15.75" hidden="false" customHeight="false" outlineLevel="0" collapsed="false">
      <c r="A463" s="12"/>
      <c r="B463" s="34"/>
      <c r="C463" s="12"/>
      <c r="D463" s="12"/>
      <c r="E463" s="12"/>
      <c r="F463" s="12"/>
      <c r="G463" s="18"/>
      <c r="H463" s="35"/>
      <c r="I463" s="35"/>
      <c r="J463" s="12"/>
      <c r="O463" s="12"/>
      <c r="P463" s="18"/>
      <c r="Q463" s="12"/>
      <c r="R463" s="12"/>
      <c r="S463" s="12"/>
      <c r="T463" s="36"/>
      <c r="U463" s="36"/>
      <c r="V463" s="12"/>
      <c r="W463" s="12"/>
      <c r="X463" s="12"/>
      <c r="Y463" s="12"/>
      <c r="Z463" s="12"/>
    </row>
    <row r="464" customFormat="false" ht="15.75" hidden="false" customHeight="false" outlineLevel="0" collapsed="false">
      <c r="A464" s="12"/>
      <c r="B464" s="34"/>
      <c r="C464" s="12"/>
      <c r="D464" s="12"/>
      <c r="E464" s="12"/>
      <c r="F464" s="12"/>
      <c r="G464" s="18"/>
      <c r="H464" s="35"/>
      <c r="I464" s="35"/>
      <c r="J464" s="12"/>
      <c r="O464" s="12"/>
      <c r="P464" s="18"/>
      <c r="Q464" s="12"/>
      <c r="R464" s="12"/>
      <c r="S464" s="12"/>
      <c r="T464" s="36"/>
      <c r="U464" s="36"/>
      <c r="V464" s="12"/>
      <c r="W464" s="12"/>
      <c r="X464" s="12"/>
      <c r="Y464" s="12"/>
      <c r="Z464" s="12"/>
    </row>
    <row r="465" customFormat="false" ht="15.75" hidden="false" customHeight="false" outlineLevel="0" collapsed="false">
      <c r="A465" s="12"/>
      <c r="B465" s="34"/>
      <c r="C465" s="12"/>
      <c r="D465" s="12"/>
      <c r="E465" s="12"/>
      <c r="F465" s="12"/>
      <c r="G465" s="18"/>
      <c r="H465" s="35"/>
      <c r="I465" s="35"/>
      <c r="J465" s="12"/>
      <c r="O465" s="12"/>
      <c r="P465" s="18"/>
      <c r="Q465" s="12"/>
      <c r="R465" s="12"/>
      <c r="S465" s="12"/>
      <c r="T465" s="36"/>
      <c r="U465" s="36"/>
      <c r="V465" s="12"/>
      <c r="W465" s="12"/>
      <c r="X465" s="12"/>
      <c r="Y465" s="12"/>
      <c r="Z465" s="12"/>
    </row>
    <row r="466" customFormat="false" ht="15.75" hidden="false" customHeight="false" outlineLevel="0" collapsed="false">
      <c r="A466" s="12"/>
      <c r="B466" s="34"/>
      <c r="C466" s="12"/>
      <c r="D466" s="12"/>
      <c r="E466" s="12"/>
      <c r="F466" s="12"/>
      <c r="G466" s="18"/>
      <c r="H466" s="35"/>
      <c r="I466" s="35"/>
      <c r="J466" s="12"/>
      <c r="O466" s="12"/>
      <c r="P466" s="18"/>
      <c r="Q466" s="12"/>
      <c r="R466" s="12"/>
      <c r="S466" s="12"/>
      <c r="T466" s="36"/>
      <c r="U466" s="36"/>
      <c r="V466" s="12"/>
      <c r="W466" s="12"/>
      <c r="X466" s="12"/>
      <c r="Y466" s="12"/>
      <c r="Z466" s="12"/>
    </row>
    <row r="467" customFormat="false" ht="15.75" hidden="false" customHeight="false" outlineLevel="0" collapsed="false">
      <c r="A467" s="12"/>
      <c r="B467" s="34"/>
      <c r="C467" s="12"/>
      <c r="D467" s="12"/>
      <c r="E467" s="12"/>
      <c r="F467" s="12"/>
      <c r="G467" s="18"/>
      <c r="H467" s="35"/>
      <c r="I467" s="35"/>
      <c r="J467" s="12"/>
      <c r="O467" s="12"/>
      <c r="P467" s="18"/>
      <c r="Q467" s="12"/>
      <c r="R467" s="12"/>
      <c r="S467" s="12"/>
      <c r="T467" s="36"/>
      <c r="U467" s="36"/>
      <c r="V467" s="12"/>
      <c r="W467" s="12"/>
      <c r="X467" s="12"/>
      <c r="Y467" s="12"/>
      <c r="Z467" s="12"/>
    </row>
    <row r="468" customFormat="false" ht="15.75" hidden="false" customHeight="false" outlineLevel="0" collapsed="false">
      <c r="A468" s="12"/>
      <c r="B468" s="34"/>
      <c r="C468" s="12"/>
      <c r="D468" s="12"/>
      <c r="E468" s="12"/>
      <c r="F468" s="12"/>
      <c r="G468" s="18"/>
      <c r="H468" s="35"/>
      <c r="I468" s="35"/>
      <c r="J468" s="12"/>
      <c r="O468" s="12"/>
      <c r="P468" s="18"/>
      <c r="Q468" s="12"/>
      <c r="R468" s="12"/>
      <c r="S468" s="12"/>
      <c r="T468" s="36"/>
      <c r="U468" s="36"/>
      <c r="V468" s="12"/>
      <c r="W468" s="12"/>
      <c r="X468" s="12"/>
      <c r="Y468" s="12"/>
      <c r="Z468" s="12"/>
    </row>
    <row r="469" customFormat="false" ht="15.75" hidden="false" customHeight="false" outlineLevel="0" collapsed="false">
      <c r="A469" s="12"/>
      <c r="B469" s="34"/>
      <c r="C469" s="12"/>
      <c r="D469" s="12"/>
      <c r="E469" s="12"/>
      <c r="F469" s="12"/>
      <c r="G469" s="18"/>
      <c r="H469" s="35"/>
      <c r="I469" s="35"/>
      <c r="J469" s="12"/>
      <c r="O469" s="12"/>
      <c r="P469" s="18"/>
      <c r="Q469" s="12"/>
      <c r="R469" s="12"/>
      <c r="S469" s="12"/>
      <c r="T469" s="36"/>
      <c r="U469" s="36"/>
      <c r="V469" s="12"/>
      <c r="W469" s="12"/>
      <c r="X469" s="12"/>
      <c r="Y469" s="12"/>
      <c r="Z469" s="12"/>
    </row>
    <row r="470" customFormat="false" ht="15.75" hidden="false" customHeight="false" outlineLevel="0" collapsed="false">
      <c r="A470" s="12"/>
      <c r="B470" s="34"/>
      <c r="C470" s="12"/>
      <c r="D470" s="12"/>
      <c r="E470" s="12"/>
      <c r="F470" s="12"/>
      <c r="G470" s="18"/>
      <c r="H470" s="35"/>
      <c r="I470" s="35"/>
      <c r="J470" s="12"/>
      <c r="O470" s="12"/>
      <c r="P470" s="18"/>
      <c r="Q470" s="12"/>
      <c r="R470" s="12"/>
      <c r="S470" s="12"/>
      <c r="T470" s="36"/>
      <c r="U470" s="36"/>
      <c r="V470" s="12"/>
      <c r="W470" s="12"/>
      <c r="X470" s="12"/>
      <c r="Y470" s="12"/>
      <c r="Z470" s="12"/>
    </row>
    <row r="471" customFormat="false" ht="15.75" hidden="false" customHeight="false" outlineLevel="0" collapsed="false">
      <c r="A471" s="12"/>
      <c r="B471" s="34"/>
      <c r="C471" s="12"/>
      <c r="D471" s="12"/>
      <c r="E471" s="12"/>
      <c r="F471" s="12"/>
      <c r="G471" s="18"/>
      <c r="H471" s="35"/>
      <c r="I471" s="35"/>
      <c r="J471" s="12"/>
      <c r="O471" s="12"/>
      <c r="P471" s="18"/>
      <c r="Q471" s="12"/>
      <c r="R471" s="12"/>
      <c r="S471" s="12"/>
      <c r="T471" s="36"/>
      <c r="U471" s="36"/>
      <c r="V471" s="12"/>
      <c r="W471" s="12"/>
      <c r="X471" s="12"/>
      <c r="Y471" s="12"/>
      <c r="Z471" s="12"/>
    </row>
    <row r="472" customFormat="false" ht="15.75" hidden="false" customHeight="false" outlineLevel="0" collapsed="false">
      <c r="A472" s="12"/>
      <c r="B472" s="34"/>
      <c r="C472" s="12"/>
      <c r="D472" s="12"/>
      <c r="E472" s="12"/>
      <c r="F472" s="12"/>
      <c r="G472" s="18"/>
      <c r="H472" s="35"/>
      <c r="I472" s="35"/>
      <c r="J472" s="12"/>
      <c r="O472" s="12"/>
      <c r="P472" s="18"/>
      <c r="Q472" s="12"/>
      <c r="R472" s="12"/>
      <c r="S472" s="12"/>
      <c r="T472" s="36"/>
      <c r="U472" s="36"/>
      <c r="V472" s="12"/>
      <c r="W472" s="12"/>
      <c r="X472" s="12"/>
      <c r="Y472" s="12"/>
      <c r="Z472" s="12"/>
    </row>
    <row r="473" customFormat="false" ht="15.75" hidden="false" customHeight="false" outlineLevel="0" collapsed="false">
      <c r="A473" s="12"/>
      <c r="B473" s="34"/>
      <c r="C473" s="12"/>
      <c r="D473" s="12"/>
      <c r="E473" s="12"/>
      <c r="F473" s="12"/>
      <c r="G473" s="18"/>
      <c r="H473" s="35"/>
      <c r="I473" s="35"/>
      <c r="J473" s="12"/>
      <c r="O473" s="12"/>
      <c r="P473" s="18"/>
      <c r="Q473" s="12"/>
      <c r="R473" s="12"/>
      <c r="S473" s="12"/>
      <c r="T473" s="36"/>
      <c r="U473" s="36"/>
      <c r="V473" s="12"/>
      <c r="W473" s="12"/>
      <c r="X473" s="12"/>
      <c r="Y473" s="12"/>
      <c r="Z473" s="12"/>
    </row>
    <row r="474" customFormat="false" ht="15.75" hidden="false" customHeight="false" outlineLevel="0" collapsed="false">
      <c r="A474" s="12"/>
      <c r="B474" s="34"/>
      <c r="C474" s="12"/>
      <c r="D474" s="12"/>
      <c r="E474" s="12"/>
      <c r="F474" s="12"/>
      <c r="G474" s="18"/>
      <c r="H474" s="35"/>
      <c r="I474" s="35"/>
      <c r="J474" s="12"/>
      <c r="O474" s="12"/>
      <c r="P474" s="18"/>
      <c r="Q474" s="12"/>
      <c r="R474" s="12"/>
      <c r="S474" s="12"/>
      <c r="T474" s="36"/>
      <c r="U474" s="36"/>
      <c r="V474" s="12"/>
      <c r="W474" s="12"/>
      <c r="X474" s="12"/>
      <c r="Y474" s="12"/>
      <c r="Z474" s="12"/>
    </row>
    <row r="475" customFormat="false" ht="15.75" hidden="false" customHeight="false" outlineLevel="0" collapsed="false">
      <c r="A475" s="12"/>
      <c r="B475" s="34"/>
      <c r="C475" s="12"/>
      <c r="D475" s="12"/>
      <c r="E475" s="12"/>
      <c r="F475" s="12"/>
      <c r="G475" s="18"/>
      <c r="H475" s="35"/>
      <c r="I475" s="35"/>
      <c r="J475" s="12"/>
      <c r="O475" s="12"/>
      <c r="P475" s="18"/>
      <c r="Q475" s="12"/>
      <c r="R475" s="12"/>
      <c r="S475" s="12"/>
      <c r="T475" s="36"/>
      <c r="U475" s="36"/>
      <c r="V475" s="12"/>
      <c r="W475" s="12"/>
      <c r="X475" s="12"/>
      <c r="Y475" s="12"/>
      <c r="Z475" s="12"/>
    </row>
    <row r="476" customFormat="false" ht="15.75" hidden="false" customHeight="false" outlineLevel="0" collapsed="false">
      <c r="A476" s="12"/>
      <c r="B476" s="34"/>
      <c r="C476" s="12"/>
      <c r="D476" s="12"/>
      <c r="E476" s="12"/>
      <c r="F476" s="12"/>
      <c r="G476" s="18"/>
      <c r="H476" s="35"/>
      <c r="I476" s="35"/>
      <c r="J476" s="12"/>
      <c r="O476" s="12"/>
      <c r="P476" s="18"/>
      <c r="Q476" s="12"/>
      <c r="R476" s="12"/>
      <c r="S476" s="12"/>
      <c r="T476" s="36"/>
      <c r="U476" s="36"/>
      <c r="V476" s="12"/>
      <c r="W476" s="12"/>
      <c r="X476" s="12"/>
      <c r="Y476" s="12"/>
      <c r="Z476" s="12"/>
    </row>
    <row r="477" customFormat="false" ht="15.75" hidden="false" customHeight="false" outlineLevel="0" collapsed="false">
      <c r="A477" s="12"/>
      <c r="B477" s="34"/>
      <c r="C477" s="12"/>
      <c r="D477" s="12"/>
      <c r="E477" s="12"/>
      <c r="F477" s="12"/>
      <c r="G477" s="18"/>
      <c r="H477" s="35"/>
      <c r="I477" s="35"/>
      <c r="J477" s="12"/>
      <c r="O477" s="12"/>
      <c r="P477" s="18"/>
      <c r="Q477" s="12"/>
      <c r="R477" s="12"/>
      <c r="S477" s="12"/>
      <c r="T477" s="36"/>
      <c r="U477" s="36"/>
      <c r="V477" s="12"/>
      <c r="W477" s="12"/>
      <c r="X477" s="12"/>
      <c r="Y477" s="12"/>
      <c r="Z477" s="12"/>
    </row>
    <row r="478" customFormat="false" ht="15.75" hidden="false" customHeight="false" outlineLevel="0" collapsed="false">
      <c r="A478" s="12"/>
      <c r="B478" s="34"/>
      <c r="C478" s="12"/>
      <c r="D478" s="12"/>
      <c r="E478" s="12"/>
      <c r="F478" s="12"/>
      <c r="G478" s="18"/>
      <c r="H478" s="35"/>
      <c r="I478" s="35"/>
      <c r="J478" s="12"/>
      <c r="O478" s="12"/>
      <c r="P478" s="18"/>
      <c r="Q478" s="12"/>
      <c r="R478" s="12"/>
      <c r="S478" s="12"/>
      <c r="T478" s="36"/>
      <c r="U478" s="36"/>
      <c r="V478" s="12"/>
      <c r="W478" s="12"/>
      <c r="X478" s="12"/>
      <c r="Y478" s="12"/>
      <c r="Z478" s="12"/>
    </row>
    <row r="479" customFormat="false" ht="15.75" hidden="false" customHeight="false" outlineLevel="0" collapsed="false">
      <c r="A479" s="12"/>
      <c r="B479" s="34"/>
      <c r="C479" s="12"/>
      <c r="D479" s="12"/>
      <c r="E479" s="12"/>
      <c r="F479" s="12"/>
      <c r="G479" s="18"/>
      <c r="H479" s="35"/>
      <c r="I479" s="35"/>
      <c r="J479" s="12"/>
      <c r="O479" s="12"/>
      <c r="P479" s="18"/>
      <c r="Q479" s="12"/>
      <c r="R479" s="12"/>
      <c r="S479" s="12"/>
      <c r="T479" s="36"/>
      <c r="U479" s="36"/>
      <c r="V479" s="12"/>
      <c r="W479" s="12"/>
      <c r="X479" s="12"/>
      <c r="Y479" s="12"/>
      <c r="Z479" s="12"/>
    </row>
    <row r="480" customFormat="false" ht="15.75" hidden="false" customHeight="false" outlineLevel="0" collapsed="false">
      <c r="A480" s="12"/>
      <c r="B480" s="34"/>
      <c r="C480" s="12"/>
      <c r="D480" s="12"/>
      <c r="E480" s="12"/>
      <c r="F480" s="12"/>
      <c r="G480" s="18"/>
      <c r="H480" s="35"/>
      <c r="I480" s="35"/>
      <c r="J480" s="12"/>
      <c r="O480" s="12"/>
      <c r="P480" s="18"/>
      <c r="Q480" s="12"/>
      <c r="R480" s="12"/>
      <c r="S480" s="12"/>
      <c r="T480" s="36"/>
      <c r="U480" s="36"/>
      <c r="V480" s="12"/>
      <c r="W480" s="12"/>
      <c r="X480" s="12"/>
      <c r="Y480" s="12"/>
      <c r="Z480" s="12"/>
    </row>
    <row r="481" customFormat="false" ht="15.75" hidden="false" customHeight="false" outlineLevel="0" collapsed="false">
      <c r="A481" s="12"/>
      <c r="B481" s="34"/>
      <c r="C481" s="12"/>
      <c r="D481" s="12"/>
      <c r="E481" s="12"/>
      <c r="F481" s="12"/>
      <c r="G481" s="18"/>
      <c r="H481" s="35"/>
      <c r="I481" s="35"/>
      <c r="J481" s="12"/>
      <c r="O481" s="12"/>
      <c r="P481" s="18"/>
      <c r="Q481" s="12"/>
      <c r="R481" s="12"/>
      <c r="S481" s="12"/>
      <c r="T481" s="36"/>
      <c r="U481" s="36"/>
      <c r="V481" s="12"/>
      <c r="W481" s="12"/>
      <c r="X481" s="12"/>
      <c r="Y481" s="12"/>
      <c r="Z481" s="12"/>
    </row>
    <row r="482" customFormat="false" ht="15.75" hidden="false" customHeight="false" outlineLevel="0" collapsed="false">
      <c r="A482" s="12"/>
      <c r="B482" s="34"/>
      <c r="C482" s="12"/>
      <c r="D482" s="12"/>
      <c r="E482" s="12"/>
      <c r="F482" s="12"/>
      <c r="G482" s="18"/>
      <c r="H482" s="35"/>
      <c r="I482" s="35"/>
      <c r="J482" s="12"/>
      <c r="O482" s="12"/>
      <c r="P482" s="18"/>
      <c r="Q482" s="12"/>
      <c r="R482" s="12"/>
      <c r="S482" s="12"/>
      <c r="T482" s="36"/>
      <c r="U482" s="36"/>
      <c r="V482" s="12"/>
      <c r="W482" s="12"/>
      <c r="X482" s="12"/>
      <c r="Y482" s="12"/>
      <c r="Z482" s="12"/>
    </row>
    <row r="483" customFormat="false" ht="15.75" hidden="false" customHeight="false" outlineLevel="0" collapsed="false">
      <c r="A483" s="12"/>
      <c r="B483" s="34"/>
      <c r="C483" s="12"/>
      <c r="D483" s="12"/>
      <c r="E483" s="12"/>
      <c r="F483" s="12"/>
      <c r="G483" s="18"/>
      <c r="H483" s="35"/>
      <c r="I483" s="35"/>
      <c r="J483" s="12"/>
      <c r="O483" s="12"/>
      <c r="P483" s="18"/>
      <c r="Q483" s="12"/>
      <c r="R483" s="12"/>
      <c r="S483" s="12"/>
      <c r="T483" s="36"/>
      <c r="U483" s="36"/>
      <c r="V483" s="12"/>
      <c r="W483" s="12"/>
      <c r="X483" s="12"/>
      <c r="Y483" s="12"/>
      <c r="Z483" s="12"/>
    </row>
    <row r="484" customFormat="false" ht="15.75" hidden="false" customHeight="false" outlineLevel="0" collapsed="false">
      <c r="A484" s="12"/>
      <c r="B484" s="34"/>
      <c r="C484" s="12"/>
      <c r="D484" s="12"/>
      <c r="E484" s="12"/>
      <c r="F484" s="12"/>
      <c r="G484" s="18"/>
      <c r="H484" s="35"/>
      <c r="I484" s="35"/>
      <c r="J484" s="12"/>
      <c r="O484" s="12"/>
      <c r="P484" s="18"/>
      <c r="Q484" s="12"/>
      <c r="R484" s="12"/>
      <c r="S484" s="12"/>
      <c r="T484" s="36"/>
      <c r="U484" s="36"/>
      <c r="V484" s="12"/>
      <c r="W484" s="12"/>
      <c r="X484" s="12"/>
      <c r="Y484" s="12"/>
      <c r="Z484" s="12"/>
    </row>
    <row r="485" customFormat="false" ht="15.75" hidden="false" customHeight="false" outlineLevel="0" collapsed="false">
      <c r="A485" s="12"/>
      <c r="B485" s="34"/>
      <c r="C485" s="12"/>
      <c r="D485" s="12"/>
      <c r="E485" s="12"/>
      <c r="F485" s="12"/>
      <c r="G485" s="18"/>
      <c r="H485" s="35"/>
      <c r="I485" s="35"/>
      <c r="J485" s="12"/>
      <c r="O485" s="12"/>
      <c r="P485" s="18"/>
      <c r="Q485" s="12"/>
      <c r="R485" s="12"/>
      <c r="S485" s="12"/>
      <c r="T485" s="36"/>
      <c r="U485" s="36"/>
      <c r="V485" s="12"/>
      <c r="W485" s="12"/>
      <c r="X485" s="12"/>
      <c r="Y485" s="12"/>
      <c r="Z485" s="12"/>
    </row>
    <row r="486" customFormat="false" ht="15.75" hidden="false" customHeight="false" outlineLevel="0" collapsed="false">
      <c r="A486" s="12"/>
      <c r="B486" s="34"/>
      <c r="C486" s="12"/>
      <c r="D486" s="12"/>
      <c r="E486" s="12"/>
      <c r="F486" s="12"/>
      <c r="G486" s="18"/>
      <c r="H486" s="35"/>
      <c r="I486" s="35"/>
      <c r="J486" s="12"/>
      <c r="O486" s="12"/>
      <c r="P486" s="18"/>
      <c r="Q486" s="12"/>
      <c r="R486" s="12"/>
      <c r="S486" s="12"/>
      <c r="T486" s="36"/>
      <c r="U486" s="36"/>
      <c r="V486" s="12"/>
      <c r="W486" s="12"/>
      <c r="X486" s="12"/>
      <c r="Y486" s="12"/>
      <c r="Z486" s="12"/>
    </row>
    <row r="487" customFormat="false" ht="15.75" hidden="false" customHeight="false" outlineLevel="0" collapsed="false">
      <c r="A487" s="12"/>
      <c r="B487" s="34"/>
      <c r="C487" s="12"/>
      <c r="D487" s="12"/>
      <c r="E487" s="12"/>
      <c r="F487" s="12"/>
      <c r="G487" s="18"/>
      <c r="H487" s="35"/>
      <c r="I487" s="35"/>
      <c r="J487" s="12"/>
      <c r="O487" s="12"/>
      <c r="P487" s="18"/>
      <c r="Q487" s="12"/>
      <c r="R487" s="12"/>
      <c r="S487" s="12"/>
      <c r="T487" s="36"/>
      <c r="U487" s="36"/>
      <c r="V487" s="12"/>
      <c r="W487" s="12"/>
      <c r="X487" s="12"/>
      <c r="Y487" s="12"/>
      <c r="Z487" s="12"/>
    </row>
    <row r="488" customFormat="false" ht="15.75" hidden="false" customHeight="false" outlineLevel="0" collapsed="false">
      <c r="A488" s="12"/>
      <c r="B488" s="34"/>
      <c r="C488" s="12"/>
      <c r="D488" s="12"/>
      <c r="E488" s="12"/>
      <c r="F488" s="12"/>
      <c r="G488" s="18"/>
      <c r="H488" s="35"/>
      <c r="I488" s="35"/>
      <c r="J488" s="12"/>
      <c r="O488" s="12"/>
      <c r="P488" s="18"/>
      <c r="Q488" s="12"/>
      <c r="R488" s="12"/>
      <c r="S488" s="12"/>
      <c r="T488" s="36"/>
      <c r="U488" s="36"/>
      <c r="V488" s="12"/>
      <c r="W488" s="12"/>
      <c r="X488" s="12"/>
      <c r="Y488" s="12"/>
      <c r="Z488" s="12"/>
    </row>
    <row r="489" customFormat="false" ht="15.75" hidden="false" customHeight="false" outlineLevel="0" collapsed="false">
      <c r="A489" s="12"/>
      <c r="B489" s="34"/>
      <c r="C489" s="12"/>
      <c r="D489" s="12"/>
      <c r="E489" s="12"/>
      <c r="F489" s="12"/>
      <c r="G489" s="18"/>
      <c r="H489" s="35"/>
      <c r="I489" s="35"/>
      <c r="J489" s="12"/>
      <c r="O489" s="12"/>
      <c r="P489" s="18"/>
      <c r="Q489" s="12"/>
      <c r="R489" s="12"/>
      <c r="S489" s="12"/>
      <c r="T489" s="36"/>
      <c r="U489" s="36"/>
      <c r="V489" s="12"/>
      <c r="W489" s="12"/>
      <c r="X489" s="12"/>
      <c r="Y489" s="12"/>
      <c r="Z489" s="12"/>
    </row>
    <row r="490" customFormat="false" ht="15.75" hidden="false" customHeight="false" outlineLevel="0" collapsed="false">
      <c r="A490" s="12"/>
      <c r="B490" s="34"/>
      <c r="C490" s="12"/>
      <c r="D490" s="12"/>
      <c r="E490" s="12"/>
      <c r="F490" s="12"/>
      <c r="G490" s="18"/>
      <c r="H490" s="35"/>
      <c r="I490" s="35"/>
      <c r="J490" s="12"/>
      <c r="O490" s="12"/>
      <c r="P490" s="18"/>
      <c r="Q490" s="12"/>
      <c r="R490" s="12"/>
      <c r="S490" s="12"/>
      <c r="T490" s="36"/>
      <c r="U490" s="36"/>
      <c r="V490" s="12"/>
      <c r="W490" s="12"/>
      <c r="X490" s="12"/>
      <c r="Y490" s="12"/>
      <c r="Z490" s="12"/>
    </row>
    <row r="491" customFormat="false" ht="15.75" hidden="false" customHeight="false" outlineLevel="0" collapsed="false">
      <c r="A491" s="12"/>
      <c r="B491" s="34"/>
      <c r="C491" s="12"/>
      <c r="D491" s="12"/>
      <c r="E491" s="12"/>
      <c r="F491" s="12"/>
      <c r="G491" s="18"/>
      <c r="H491" s="35"/>
      <c r="I491" s="35"/>
      <c r="J491" s="12"/>
      <c r="O491" s="12"/>
      <c r="P491" s="18"/>
      <c r="Q491" s="12"/>
      <c r="R491" s="12"/>
      <c r="S491" s="12"/>
      <c r="T491" s="36"/>
      <c r="U491" s="36"/>
      <c r="V491" s="12"/>
      <c r="W491" s="12"/>
      <c r="X491" s="12"/>
      <c r="Y491" s="12"/>
      <c r="Z491" s="12"/>
    </row>
    <row r="492" customFormat="false" ht="15.75" hidden="false" customHeight="false" outlineLevel="0" collapsed="false">
      <c r="A492" s="12"/>
      <c r="B492" s="34"/>
      <c r="C492" s="12"/>
      <c r="D492" s="12"/>
      <c r="E492" s="12"/>
      <c r="F492" s="12"/>
      <c r="G492" s="18"/>
      <c r="H492" s="35"/>
      <c r="I492" s="35"/>
      <c r="J492" s="12"/>
      <c r="O492" s="12"/>
      <c r="P492" s="18"/>
      <c r="Q492" s="12"/>
      <c r="R492" s="12"/>
      <c r="S492" s="12"/>
      <c r="T492" s="36"/>
      <c r="U492" s="36"/>
      <c r="V492" s="12"/>
      <c r="W492" s="12"/>
      <c r="X492" s="12"/>
      <c r="Y492" s="12"/>
      <c r="Z492" s="12"/>
    </row>
    <row r="493" customFormat="false" ht="15.75" hidden="false" customHeight="false" outlineLevel="0" collapsed="false">
      <c r="A493" s="12"/>
      <c r="B493" s="34"/>
      <c r="C493" s="12"/>
      <c r="D493" s="12"/>
      <c r="E493" s="12"/>
      <c r="F493" s="12"/>
      <c r="G493" s="18"/>
      <c r="H493" s="35"/>
      <c r="I493" s="35"/>
      <c r="J493" s="12"/>
      <c r="O493" s="12"/>
      <c r="P493" s="18"/>
      <c r="Q493" s="12"/>
      <c r="R493" s="12"/>
      <c r="S493" s="12"/>
      <c r="T493" s="36"/>
      <c r="U493" s="36"/>
      <c r="V493" s="12"/>
      <c r="W493" s="12"/>
      <c r="X493" s="12"/>
      <c r="Y493" s="12"/>
      <c r="Z493" s="12"/>
    </row>
    <row r="494" customFormat="false" ht="15.75" hidden="false" customHeight="false" outlineLevel="0" collapsed="false">
      <c r="A494" s="12"/>
      <c r="B494" s="34"/>
      <c r="C494" s="12"/>
      <c r="D494" s="12"/>
      <c r="E494" s="12"/>
      <c r="F494" s="12"/>
      <c r="G494" s="18"/>
      <c r="H494" s="35"/>
      <c r="I494" s="35"/>
      <c r="J494" s="12"/>
      <c r="O494" s="12"/>
      <c r="P494" s="18"/>
      <c r="Q494" s="12"/>
      <c r="R494" s="12"/>
      <c r="S494" s="12"/>
      <c r="T494" s="36"/>
      <c r="U494" s="36"/>
      <c r="V494" s="12"/>
      <c r="W494" s="12"/>
      <c r="X494" s="12"/>
      <c r="Y494" s="12"/>
      <c r="Z494" s="12"/>
    </row>
    <row r="495" customFormat="false" ht="15.75" hidden="false" customHeight="false" outlineLevel="0" collapsed="false">
      <c r="A495" s="12"/>
      <c r="B495" s="34"/>
      <c r="C495" s="12"/>
      <c r="D495" s="12"/>
      <c r="E495" s="12"/>
      <c r="F495" s="12"/>
      <c r="G495" s="18"/>
      <c r="H495" s="35"/>
      <c r="I495" s="35"/>
      <c r="J495" s="12"/>
      <c r="O495" s="12"/>
      <c r="P495" s="18"/>
      <c r="Q495" s="12"/>
      <c r="R495" s="12"/>
      <c r="S495" s="12"/>
      <c r="T495" s="36"/>
      <c r="U495" s="36"/>
      <c r="V495" s="12"/>
      <c r="W495" s="12"/>
      <c r="X495" s="12"/>
      <c r="Y495" s="12"/>
      <c r="Z495" s="12"/>
    </row>
    <row r="496" customFormat="false" ht="15.75" hidden="false" customHeight="false" outlineLevel="0" collapsed="false">
      <c r="A496" s="12"/>
      <c r="B496" s="34"/>
      <c r="C496" s="12"/>
      <c r="D496" s="12"/>
      <c r="E496" s="12"/>
      <c r="F496" s="12"/>
      <c r="G496" s="18"/>
      <c r="H496" s="35"/>
      <c r="I496" s="35"/>
      <c r="J496" s="12"/>
      <c r="O496" s="12"/>
      <c r="P496" s="18"/>
      <c r="Q496" s="12"/>
      <c r="R496" s="12"/>
      <c r="S496" s="12"/>
      <c r="T496" s="36"/>
      <c r="U496" s="36"/>
      <c r="V496" s="12"/>
      <c r="W496" s="12"/>
      <c r="X496" s="12"/>
      <c r="Y496" s="12"/>
      <c r="Z496" s="12"/>
    </row>
    <row r="497" customFormat="false" ht="15.75" hidden="false" customHeight="false" outlineLevel="0" collapsed="false">
      <c r="A497" s="12"/>
      <c r="B497" s="34"/>
      <c r="C497" s="12"/>
      <c r="D497" s="12"/>
      <c r="E497" s="12"/>
      <c r="F497" s="12"/>
      <c r="G497" s="18"/>
      <c r="H497" s="35"/>
      <c r="I497" s="35"/>
      <c r="J497" s="12"/>
      <c r="O497" s="12"/>
      <c r="P497" s="18"/>
      <c r="Q497" s="12"/>
      <c r="R497" s="12"/>
      <c r="S497" s="12"/>
      <c r="T497" s="36"/>
      <c r="U497" s="36"/>
      <c r="V497" s="12"/>
      <c r="W497" s="12"/>
      <c r="X497" s="12"/>
      <c r="Y497" s="12"/>
      <c r="Z497" s="12"/>
    </row>
    <row r="498" customFormat="false" ht="15.75" hidden="false" customHeight="false" outlineLevel="0" collapsed="false">
      <c r="A498" s="12"/>
      <c r="B498" s="34"/>
      <c r="C498" s="12"/>
      <c r="D498" s="12"/>
      <c r="E498" s="12"/>
      <c r="F498" s="12"/>
      <c r="G498" s="18"/>
      <c r="H498" s="35"/>
      <c r="I498" s="35"/>
      <c r="J498" s="12"/>
      <c r="O498" s="12"/>
      <c r="P498" s="18"/>
      <c r="Q498" s="12"/>
      <c r="R498" s="12"/>
      <c r="S498" s="12"/>
      <c r="T498" s="36"/>
      <c r="U498" s="36"/>
      <c r="V498" s="12"/>
      <c r="W498" s="12"/>
      <c r="X498" s="12"/>
      <c r="Y498" s="12"/>
      <c r="Z498" s="12"/>
    </row>
    <row r="499" customFormat="false" ht="15.75" hidden="false" customHeight="false" outlineLevel="0" collapsed="false">
      <c r="A499" s="12"/>
      <c r="B499" s="34"/>
      <c r="C499" s="12"/>
      <c r="D499" s="12"/>
      <c r="E499" s="12"/>
      <c r="F499" s="12"/>
      <c r="G499" s="18"/>
      <c r="H499" s="35"/>
      <c r="I499" s="35"/>
      <c r="J499" s="12"/>
      <c r="O499" s="12"/>
      <c r="P499" s="18"/>
      <c r="Q499" s="12"/>
      <c r="R499" s="12"/>
      <c r="S499" s="12"/>
      <c r="T499" s="36"/>
      <c r="U499" s="36"/>
      <c r="V499" s="12"/>
      <c r="W499" s="12"/>
      <c r="X499" s="12"/>
      <c r="Y499" s="12"/>
      <c r="Z499" s="12"/>
    </row>
    <row r="500" customFormat="false" ht="15.75" hidden="false" customHeight="false" outlineLevel="0" collapsed="false">
      <c r="A500" s="12"/>
      <c r="B500" s="34"/>
      <c r="C500" s="12"/>
      <c r="D500" s="12"/>
      <c r="E500" s="12"/>
      <c r="F500" s="12"/>
      <c r="G500" s="18"/>
      <c r="H500" s="35"/>
      <c r="I500" s="35"/>
      <c r="J500" s="12"/>
      <c r="O500" s="12"/>
      <c r="P500" s="18"/>
      <c r="Q500" s="12"/>
      <c r="R500" s="12"/>
      <c r="S500" s="12"/>
      <c r="T500" s="36"/>
      <c r="U500" s="36"/>
      <c r="V500" s="12"/>
      <c r="W500" s="12"/>
      <c r="X500" s="12"/>
      <c r="Y500" s="12"/>
      <c r="Z500" s="12"/>
    </row>
    <row r="501" customFormat="false" ht="15.75" hidden="false" customHeight="false" outlineLevel="0" collapsed="false">
      <c r="A501" s="12"/>
      <c r="B501" s="34"/>
      <c r="C501" s="12"/>
      <c r="D501" s="12"/>
      <c r="E501" s="12"/>
      <c r="F501" s="12"/>
      <c r="G501" s="18"/>
      <c r="H501" s="35"/>
      <c r="I501" s="35"/>
      <c r="J501" s="12"/>
      <c r="O501" s="12"/>
      <c r="P501" s="18"/>
      <c r="Q501" s="12"/>
      <c r="R501" s="12"/>
      <c r="S501" s="12"/>
      <c r="T501" s="36"/>
      <c r="U501" s="36"/>
      <c r="V501" s="12"/>
      <c r="W501" s="12"/>
      <c r="X501" s="12"/>
      <c r="Y501" s="12"/>
      <c r="Z501" s="12"/>
    </row>
    <row r="502" customFormat="false" ht="15.75" hidden="false" customHeight="false" outlineLevel="0" collapsed="false">
      <c r="A502" s="12"/>
      <c r="B502" s="34"/>
      <c r="C502" s="12"/>
      <c r="D502" s="12"/>
      <c r="E502" s="12"/>
      <c r="F502" s="12"/>
      <c r="G502" s="18"/>
      <c r="H502" s="35"/>
      <c r="I502" s="35"/>
      <c r="J502" s="12"/>
      <c r="O502" s="12"/>
      <c r="P502" s="18"/>
      <c r="Q502" s="12"/>
      <c r="R502" s="12"/>
      <c r="S502" s="12"/>
      <c r="T502" s="36"/>
      <c r="U502" s="36"/>
      <c r="V502" s="12"/>
      <c r="W502" s="12"/>
      <c r="X502" s="12"/>
      <c r="Y502" s="12"/>
      <c r="Z502" s="12"/>
    </row>
    <row r="503" customFormat="false" ht="15.75" hidden="false" customHeight="false" outlineLevel="0" collapsed="false">
      <c r="A503" s="12"/>
      <c r="B503" s="34"/>
      <c r="C503" s="12"/>
      <c r="D503" s="12"/>
      <c r="E503" s="12"/>
      <c r="F503" s="12"/>
      <c r="G503" s="18"/>
      <c r="H503" s="35"/>
      <c r="I503" s="35"/>
      <c r="J503" s="12"/>
      <c r="O503" s="12"/>
      <c r="P503" s="18"/>
      <c r="Q503" s="12"/>
      <c r="R503" s="12"/>
      <c r="S503" s="12"/>
      <c r="T503" s="36"/>
      <c r="U503" s="36"/>
      <c r="V503" s="12"/>
      <c r="W503" s="12"/>
      <c r="X503" s="12"/>
      <c r="Y503" s="12"/>
      <c r="Z503" s="12"/>
    </row>
    <row r="504" customFormat="false" ht="15.75" hidden="false" customHeight="false" outlineLevel="0" collapsed="false">
      <c r="A504" s="12"/>
      <c r="B504" s="34"/>
      <c r="C504" s="12"/>
      <c r="D504" s="12"/>
      <c r="E504" s="12"/>
      <c r="F504" s="12"/>
      <c r="G504" s="18"/>
      <c r="H504" s="35"/>
      <c r="I504" s="35"/>
      <c r="J504" s="12"/>
      <c r="O504" s="12"/>
      <c r="P504" s="18"/>
      <c r="Q504" s="12"/>
      <c r="R504" s="12"/>
      <c r="S504" s="12"/>
      <c r="T504" s="36"/>
      <c r="U504" s="36"/>
      <c r="V504" s="12"/>
      <c r="W504" s="12"/>
      <c r="X504" s="12"/>
      <c r="Y504" s="12"/>
      <c r="Z504" s="12"/>
    </row>
    <row r="505" customFormat="false" ht="15.75" hidden="false" customHeight="false" outlineLevel="0" collapsed="false">
      <c r="A505" s="12"/>
      <c r="B505" s="34"/>
      <c r="C505" s="12"/>
      <c r="D505" s="12"/>
      <c r="E505" s="12"/>
      <c r="F505" s="12"/>
      <c r="G505" s="18"/>
      <c r="H505" s="35"/>
      <c r="I505" s="35"/>
      <c r="J505" s="12"/>
      <c r="O505" s="12"/>
      <c r="P505" s="18"/>
      <c r="Q505" s="12"/>
      <c r="R505" s="12"/>
      <c r="S505" s="12"/>
      <c r="T505" s="36"/>
      <c r="U505" s="36"/>
      <c r="V505" s="12"/>
      <c r="W505" s="12"/>
      <c r="X505" s="12"/>
      <c r="Y505" s="12"/>
      <c r="Z505" s="12"/>
    </row>
    <row r="506" customFormat="false" ht="15.75" hidden="false" customHeight="false" outlineLevel="0" collapsed="false">
      <c r="A506" s="12"/>
      <c r="B506" s="34"/>
      <c r="C506" s="12"/>
      <c r="D506" s="12"/>
      <c r="E506" s="12"/>
      <c r="F506" s="12"/>
      <c r="G506" s="18"/>
      <c r="H506" s="35"/>
      <c r="I506" s="35"/>
      <c r="J506" s="12"/>
      <c r="O506" s="12"/>
      <c r="P506" s="18"/>
      <c r="Q506" s="12"/>
      <c r="R506" s="12"/>
      <c r="S506" s="12"/>
      <c r="T506" s="36"/>
      <c r="U506" s="36"/>
      <c r="V506" s="12"/>
      <c r="W506" s="12"/>
      <c r="X506" s="12"/>
      <c r="Y506" s="12"/>
      <c r="Z506" s="12"/>
    </row>
    <row r="507" customFormat="false" ht="15.75" hidden="false" customHeight="false" outlineLevel="0" collapsed="false">
      <c r="A507" s="12"/>
      <c r="B507" s="34"/>
      <c r="C507" s="12"/>
      <c r="D507" s="12"/>
      <c r="E507" s="12"/>
      <c r="F507" s="12"/>
      <c r="G507" s="18"/>
      <c r="H507" s="35"/>
      <c r="I507" s="35"/>
      <c r="J507" s="12"/>
      <c r="O507" s="12"/>
      <c r="P507" s="18"/>
      <c r="Q507" s="12"/>
      <c r="R507" s="12"/>
      <c r="S507" s="12"/>
      <c r="T507" s="36"/>
      <c r="U507" s="36"/>
      <c r="V507" s="12"/>
      <c r="W507" s="12"/>
      <c r="X507" s="12"/>
      <c r="Y507" s="12"/>
      <c r="Z507" s="12"/>
    </row>
    <row r="508" customFormat="false" ht="15.75" hidden="false" customHeight="false" outlineLevel="0" collapsed="false">
      <c r="A508" s="12"/>
      <c r="B508" s="34"/>
      <c r="C508" s="12"/>
      <c r="D508" s="12"/>
      <c r="E508" s="12"/>
      <c r="F508" s="12"/>
      <c r="G508" s="18"/>
      <c r="H508" s="35"/>
      <c r="I508" s="35"/>
      <c r="J508" s="12"/>
      <c r="O508" s="12"/>
      <c r="P508" s="18"/>
      <c r="Q508" s="12"/>
      <c r="R508" s="12"/>
      <c r="S508" s="12"/>
      <c r="T508" s="36"/>
      <c r="U508" s="36"/>
      <c r="V508" s="12"/>
      <c r="W508" s="12"/>
      <c r="X508" s="12"/>
      <c r="Y508" s="12"/>
      <c r="Z508" s="12"/>
    </row>
    <row r="509" customFormat="false" ht="15.75" hidden="false" customHeight="false" outlineLevel="0" collapsed="false">
      <c r="A509" s="12"/>
      <c r="B509" s="34"/>
      <c r="C509" s="12"/>
      <c r="D509" s="12"/>
      <c r="E509" s="12"/>
      <c r="F509" s="12"/>
      <c r="G509" s="18"/>
      <c r="H509" s="35"/>
      <c r="I509" s="35"/>
      <c r="J509" s="12"/>
      <c r="O509" s="12"/>
      <c r="P509" s="18"/>
      <c r="Q509" s="12"/>
      <c r="R509" s="12"/>
      <c r="S509" s="12"/>
      <c r="T509" s="36"/>
      <c r="U509" s="36"/>
      <c r="V509" s="12"/>
      <c r="W509" s="12"/>
      <c r="X509" s="12"/>
      <c r="Y509" s="12"/>
      <c r="Z509" s="12"/>
    </row>
    <row r="510" customFormat="false" ht="15.75" hidden="false" customHeight="false" outlineLevel="0" collapsed="false">
      <c r="A510" s="12"/>
      <c r="B510" s="34"/>
      <c r="C510" s="12"/>
      <c r="D510" s="12"/>
      <c r="E510" s="12"/>
      <c r="F510" s="12"/>
      <c r="G510" s="18"/>
      <c r="H510" s="35"/>
      <c r="I510" s="35"/>
      <c r="J510" s="12"/>
      <c r="O510" s="12"/>
      <c r="P510" s="18"/>
      <c r="Q510" s="12"/>
      <c r="R510" s="12"/>
      <c r="S510" s="12"/>
      <c r="T510" s="36"/>
      <c r="U510" s="36"/>
      <c r="V510" s="12"/>
      <c r="W510" s="12"/>
      <c r="X510" s="12"/>
      <c r="Y510" s="12"/>
      <c r="Z510" s="12"/>
    </row>
    <row r="511" customFormat="false" ht="15.75" hidden="false" customHeight="false" outlineLevel="0" collapsed="false">
      <c r="A511" s="12"/>
      <c r="B511" s="34"/>
      <c r="C511" s="12"/>
      <c r="D511" s="12"/>
      <c r="E511" s="12"/>
      <c r="F511" s="12"/>
      <c r="G511" s="18"/>
      <c r="H511" s="35"/>
      <c r="I511" s="35"/>
      <c r="J511" s="12"/>
      <c r="O511" s="12"/>
      <c r="P511" s="18"/>
      <c r="Q511" s="12"/>
      <c r="R511" s="12"/>
      <c r="S511" s="12"/>
      <c r="T511" s="36"/>
      <c r="U511" s="36"/>
      <c r="V511" s="12"/>
      <c r="W511" s="12"/>
      <c r="X511" s="12"/>
      <c r="Y511" s="12"/>
      <c r="Z511" s="12"/>
    </row>
    <row r="512" customFormat="false" ht="15.75" hidden="false" customHeight="false" outlineLevel="0" collapsed="false">
      <c r="A512" s="12"/>
      <c r="B512" s="34"/>
      <c r="C512" s="12"/>
      <c r="D512" s="12"/>
      <c r="E512" s="12"/>
      <c r="F512" s="12"/>
      <c r="G512" s="18"/>
      <c r="H512" s="35"/>
      <c r="I512" s="35"/>
      <c r="J512" s="12"/>
      <c r="O512" s="12"/>
      <c r="P512" s="18"/>
      <c r="Q512" s="12"/>
      <c r="R512" s="12"/>
      <c r="S512" s="12"/>
      <c r="T512" s="36"/>
      <c r="U512" s="36"/>
      <c r="V512" s="12"/>
      <c r="W512" s="12"/>
      <c r="X512" s="12"/>
      <c r="Y512" s="12"/>
      <c r="Z512" s="12"/>
    </row>
    <row r="513" customFormat="false" ht="15.75" hidden="false" customHeight="false" outlineLevel="0" collapsed="false">
      <c r="A513" s="12"/>
      <c r="B513" s="34"/>
      <c r="C513" s="12"/>
      <c r="D513" s="12"/>
      <c r="E513" s="12"/>
      <c r="F513" s="12"/>
      <c r="G513" s="18"/>
      <c r="H513" s="35"/>
      <c r="I513" s="35"/>
      <c r="J513" s="12"/>
      <c r="O513" s="12"/>
      <c r="P513" s="18"/>
      <c r="Q513" s="12"/>
      <c r="R513" s="12"/>
      <c r="S513" s="12"/>
      <c r="T513" s="36"/>
      <c r="U513" s="36"/>
      <c r="V513" s="12"/>
      <c r="W513" s="12"/>
      <c r="X513" s="12"/>
      <c r="Y513" s="12"/>
      <c r="Z513" s="12"/>
    </row>
    <row r="514" customFormat="false" ht="15.75" hidden="false" customHeight="false" outlineLevel="0" collapsed="false">
      <c r="A514" s="12"/>
      <c r="B514" s="34"/>
      <c r="C514" s="12"/>
      <c r="D514" s="12"/>
      <c r="E514" s="12"/>
      <c r="F514" s="12"/>
      <c r="G514" s="18"/>
      <c r="H514" s="35"/>
      <c r="I514" s="35"/>
      <c r="J514" s="12"/>
      <c r="O514" s="12"/>
      <c r="P514" s="18"/>
      <c r="Q514" s="12"/>
      <c r="R514" s="12"/>
      <c r="S514" s="12"/>
      <c r="T514" s="36"/>
      <c r="U514" s="36"/>
      <c r="V514" s="12"/>
      <c r="W514" s="12"/>
      <c r="X514" s="12"/>
      <c r="Y514" s="12"/>
      <c r="Z514" s="12"/>
    </row>
    <row r="515" customFormat="false" ht="15.75" hidden="false" customHeight="false" outlineLevel="0" collapsed="false">
      <c r="A515" s="12"/>
      <c r="B515" s="34"/>
      <c r="C515" s="12"/>
      <c r="D515" s="12"/>
      <c r="E515" s="12"/>
      <c r="F515" s="12"/>
      <c r="G515" s="18"/>
      <c r="H515" s="35"/>
      <c r="I515" s="35"/>
      <c r="J515" s="12"/>
      <c r="O515" s="12"/>
      <c r="P515" s="18"/>
      <c r="Q515" s="12"/>
      <c r="R515" s="12"/>
      <c r="S515" s="12"/>
      <c r="T515" s="36"/>
      <c r="U515" s="36"/>
      <c r="V515" s="12"/>
      <c r="W515" s="12"/>
      <c r="X515" s="12"/>
      <c r="Y515" s="12"/>
      <c r="Z515" s="12"/>
    </row>
    <row r="516" customFormat="false" ht="15.75" hidden="false" customHeight="false" outlineLevel="0" collapsed="false">
      <c r="A516" s="12"/>
      <c r="B516" s="34"/>
      <c r="C516" s="12"/>
      <c r="D516" s="12"/>
      <c r="E516" s="12"/>
      <c r="F516" s="12"/>
      <c r="G516" s="18"/>
      <c r="H516" s="35"/>
      <c r="I516" s="35"/>
      <c r="J516" s="12"/>
      <c r="O516" s="12"/>
      <c r="P516" s="18"/>
      <c r="Q516" s="12"/>
      <c r="R516" s="12"/>
      <c r="S516" s="12"/>
      <c r="T516" s="36"/>
      <c r="U516" s="36"/>
      <c r="V516" s="12"/>
      <c r="W516" s="12"/>
      <c r="X516" s="12"/>
      <c r="Y516" s="12"/>
      <c r="Z516" s="12"/>
    </row>
    <row r="517" customFormat="false" ht="15.75" hidden="false" customHeight="false" outlineLevel="0" collapsed="false">
      <c r="A517" s="12"/>
      <c r="B517" s="34"/>
      <c r="C517" s="12"/>
      <c r="D517" s="12"/>
      <c r="E517" s="12"/>
      <c r="F517" s="12"/>
      <c r="G517" s="18"/>
      <c r="H517" s="35"/>
      <c r="I517" s="35"/>
      <c r="J517" s="12"/>
      <c r="O517" s="12"/>
      <c r="P517" s="18"/>
      <c r="Q517" s="12"/>
      <c r="R517" s="12"/>
      <c r="S517" s="12"/>
      <c r="T517" s="36"/>
      <c r="U517" s="36"/>
      <c r="V517" s="12"/>
      <c r="W517" s="12"/>
      <c r="X517" s="12"/>
      <c r="Y517" s="12"/>
      <c r="Z517" s="12"/>
    </row>
    <row r="518" customFormat="false" ht="15.75" hidden="false" customHeight="false" outlineLevel="0" collapsed="false">
      <c r="A518" s="12"/>
      <c r="B518" s="34"/>
      <c r="C518" s="12"/>
      <c r="D518" s="12"/>
      <c r="E518" s="12"/>
      <c r="F518" s="12"/>
      <c r="G518" s="18"/>
      <c r="H518" s="35"/>
      <c r="I518" s="35"/>
      <c r="J518" s="12"/>
      <c r="O518" s="12"/>
      <c r="P518" s="18"/>
      <c r="Q518" s="12"/>
      <c r="R518" s="12"/>
      <c r="S518" s="12"/>
      <c r="T518" s="36"/>
      <c r="U518" s="36"/>
      <c r="V518" s="12"/>
      <c r="W518" s="12"/>
      <c r="X518" s="12"/>
      <c r="Y518" s="12"/>
      <c r="Z518" s="12"/>
    </row>
    <row r="519" customFormat="false" ht="15.75" hidden="false" customHeight="false" outlineLevel="0" collapsed="false">
      <c r="A519" s="12"/>
      <c r="B519" s="34"/>
      <c r="C519" s="12"/>
      <c r="D519" s="12"/>
      <c r="E519" s="12"/>
      <c r="F519" s="12"/>
      <c r="G519" s="18"/>
      <c r="H519" s="35"/>
      <c r="I519" s="35"/>
      <c r="J519" s="12"/>
      <c r="O519" s="12"/>
      <c r="P519" s="18"/>
      <c r="Q519" s="12"/>
      <c r="R519" s="12"/>
      <c r="S519" s="12"/>
      <c r="T519" s="36"/>
      <c r="U519" s="36"/>
      <c r="V519" s="12"/>
      <c r="W519" s="12"/>
      <c r="X519" s="12"/>
      <c r="Y519" s="12"/>
      <c r="Z519" s="12"/>
    </row>
    <row r="520" customFormat="false" ht="15.75" hidden="false" customHeight="false" outlineLevel="0" collapsed="false">
      <c r="A520" s="12"/>
      <c r="B520" s="34"/>
      <c r="C520" s="12"/>
      <c r="D520" s="12"/>
      <c r="E520" s="12"/>
      <c r="F520" s="12"/>
      <c r="G520" s="18"/>
      <c r="H520" s="35"/>
      <c r="I520" s="35"/>
      <c r="J520" s="12"/>
      <c r="O520" s="12"/>
      <c r="P520" s="18"/>
      <c r="Q520" s="12"/>
      <c r="R520" s="12"/>
      <c r="S520" s="12"/>
      <c r="T520" s="36"/>
      <c r="U520" s="36"/>
      <c r="V520" s="12"/>
      <c r="W520" s="12"/>
      <c r="X520" s="12"/>
      <c r="Y520" s="12"/>
      <c r="Z520" s="12"/>
    </row>
    <row r="521" customFormat="false" ht="15.75" hidden="false" customHeight="false" outlineLevel="0" collapsed="false">
      <c r="A521" s="12"/>
      <c r="B521" s="34"/>
      <c r="C521" s="12"/>
      <c r="D521" s="12"/>
      <c r="E521" s="12"/>
      <c r="F521" s="12"/>
      <c r="G521" s="18"/>
      <c r="H521" s="35"/>
      <c r="I521" s="35"/>
      <c r="J521" s="12"/>
      <c r="O521" s="12"/>
      <c r="P521" s="18"/>
      <c r="Q521" s="12"/>
      <c r="R521" s="12"/>
      <c r="S521" s="12"/>
      <c r="T521" s="36"/>
      <c r="U521" s="36"/>
      <c r="V521" s="12"/>
      <c r="W521" s="12"/>
      <c r="X521" s="12"/>
      <c r="Y521" s="12"/>
      <c r="Z521" s="12"/>
    </row>
    <row r="522" customFormat="false" ht="15.75" hidden="false" customHeight="false" outlineLevel="0" collapsed="false">
      <c r="A522" s="12"/>
      <c r="B522" s="34"/>
      <c r="C522" s="12"/>
      <c r="D522" s="12"/>
      <c r="E522" s="12"/>
      <c r="F522" s="12"/>
      <c r="G522" s="18"/>
      <c r="H522" s="35"/>
      <c r="I522" s="35"/>
      <c r="J522" s="12"/>
      <c r="O522" s="12"/>
      <c r="P522" s="18"/>
      <c r="Q522" s="12"/>
      <c r="R522" s="12"/>
      <c r="S522" s="12"/>
      <c r="T522" s="36"/>
      <c r="U522" s="36"/>
      <c r="V522" s="12"/>
      <c r="W522" s="12"/>
      <c r="X522" s="12"/>
      <c r="Y522" s="12"/>
      <c r="Z522" s="12"/>
    </row>
    <row r="523" customFormat="false" ht="15.75" hidden="false" customHeight="false" outlineLevel="0" collapsed="false">
      <c r="A523" s="12"/>
      <c r="B523" s="34"/>
      <c r="C523" s="12"/>
      <c r="D523" s="12"/>
      <c r="E523" s="12"/>
      <c r="F523" s="12"/>
      <c r="G523" s="18"/>
      <c r="H523" s="35"/>
      <c r="I523" s="35"/>
      <c r="J523" s="12"/>
      <c r="O523" s="12"/>
      <c r="P523" s="18"/>
      <c r="Q523" s="12"/>
      <c r="R523" s="12"/>
      <c r="S523" s="12"/>
      <c r="T523" s="36"/>
      <c r="U523" s="36"/>
      <c r="V523" s="12"/>
      <c r="W523" s="12"/>
      <c r="X523" s="12"/>
      <c r="Y523" s="12"/>
      <c r="Z523" s="12"/>
    </row>
    <row r="524" customFormat="false" ht="15.75" hidden="false" customHeight="false" outlineLevel="0" collapsed="false">
      <c r="A524" s="12"/>
      <c r="B524" s="34"/>
      <c r="C524" s="12"/>
      <c r="D524" s="12"/>
      <c r="E524" s="12"/>
      <c r="F524" s="12"/>
      <c r="G524" s="18"/>
      <c r="H524" s="35"/>
      <c r="I524" s="35"/>
      <c r="J524" s="12"/>
      <c r="O524" s="12"/>
      <c r="P524" s="18"/>
      <c r="Q524" s="12"/>
      <c r="R524" s="12"/>
      <c r="S524" s="12"/>
      <c r="T524" s="36"/>
      <c r="U524" s="36"/>
      <c r="V524" s="12"/>
      <c r="W524" s="12"/>
      <c r="X524" s="12"/>
      <c r="Y524" s="12"/>
      <c r="Z524" s="12"/>
    </row>
    <row r="525" customFormat="false" ht="15.75" hidden="false" customHeight="false" outlineLevel="0" collapsed="false">
      <c r="A525" s="12"/>
      <c r="B525" s="34"/>
      <c r="C525" s="12"/>
      <c r="D525" s="12"/>
      <c r="E525" s="12"/>
      <c r="F525" s="12"/>
      <c r="G525" s="18"/>
      <c r="H525" s="35"/>
      <c r="I525" s="35"/>
      <c r="J525" s="12"/>
      <c r="O525" s="12"/>
      <c r="P525" s="18"/>
      <c r="Q525" s="12"/>
      <c r="R525" s="12"/>
      <c r="S525" s="12"/>
      <c r="T525" s="36"/>
      <c r="U525" s="36"/>
      <c r="V525" s="12"/>
      <c r="W525" s="12"/>
      <c r="X525" s="12"/>
      <c r="Y525" s="12"/>
      <c r="Z525" s="12"/>
    </row>
    <row r="526" customFormat="false" ht="15.75" hidden="false" customHeight="false" outlineLevel="0" collapsed="false">
      <c r="A526" s="12"/>
      <c r="B526" s="34"/>
      <c r="C526" s="12"/>
      <c r="D526" s="12"/>
      <c r="E526" s="12"/>
      <c r="F526" s="12"/>
      <c r="G526" s="18"/>
      <c r="H526" s="35"/>
      <c r="I526" s="35"/>
      <c r="J526" s="12"/>
      <c r="O526" s="12"/>
      <c r="P526" s="18"/>
      <c r="Q526" s="12"/>
      <c r="R526" s="12"/>
      <c r="S526" s="12"/>
      <c r="T526" s="36"/>
      <c r="U526" s="36"/>
      <c r="V526" s="12"/>
      <c r="W526" s="12"/>
      <c r="X526" s="12"/>
      <c r="Y526" s="12"/>
      <c r="Z526" s="12"/>
    </row>
    <row r="527" customFormat="false" ht="15.75" hidden="false" customHeight="false" outlineLevel="0" collapsed="false">
      <c r="A527" s="12"/>
      <c r="B527" s="34"/>
      <c r="C527" s="12"/>
      <c r="D527" s="12"/>
      <c r="E527" s="12"/>
      <c r="F527" s="12"/>
      <c r="G527" s="18"/>
      <c r="H527" s="35"/>
      <c r="I527" s="35"/>
      <c r="J527" s="12"/>
      <c r="O527" s="12"/>
      <c r="P527" s="18"/>
      <c r="Q527" s="12"/>
      <c r="R527" s="12"/>
      <c r="S527" s="12"/>
      <c r="T527" s="36"/>
      <c r="U527" s="36"/>
      <c r="V527" s="12"/>
      <c r="W527" s="12"/>
      <c r="X527" s="12"/>
      <c r="Y527" s="12"/>
      <c r="Z527" s="12"/>
    </row>
    <row r="528" customFormat="false" ht="15.75" hidden="false" customHeight="false" outlineLevel="0" collapsed="false">
      <c r="A528" s="12"/>
      <c r="B528" s="34"/>
      <c r="C528" s="12"/>
      <c r="D528" s="12"/>
      <c r="E528" s="12"/>
      <c r="F528" s="12"/>
      <c r="G528" s="18"/>
      <c r="H528" s="35"/>
      <c r="I528" s="35"/>
      <c r="J528" s="12"/>
      <c r="O528" s="12"/>
      <c r="P528" s="18"/>
      <c r="Q528" s="12"/>
      <c r="R528" s="12"/>
      <c r="S528" s="12"/>
      <c r="T528" s="36"/>
      <c r="U528" s="36"/>
      <c r="V528" s="12"/>
      <c r="W528" s="12"/>
      <c r="X528" s="12"/>
      <c r="Y528" s="12"/>
      <c r="Z528" s="12"/>
    </row>
    <row r="529" customFormat="false" ht="15.75" hidden="false" customHeight="false" outlineLevel="0" collapsed="false">
      <c r="A529" s="12"/>
      <c r="B529" s="34"/>
      <c r="C529" s="12"/>
      <c r="D529" s="12"/>
      <c r="E529" s="12"/>
      <c r="F529" s="12"/>
      <c r="G529" s="18"/>
      <c r="H529" s="35"/>
      <c r="I529" s="35"/>
      <c r="J529" s="12"/>
      <c r="O529" s="12"/>
      <c r="P529" s="18"/>
      <c r="Q529" s="12"/>
      <c r="R529" s="12"/>
      <c r="S529" s="12"/>
      <c r="T529" s="36"/>
      <c r="U529" s="36"/>
      <c r="V529" s="12"/>
      <c r="W529" s="12"/>
      <c r="X529" s="12"/>
      <c r="Y529" s="12"/>
      <c r="Z529" s="12"/>
    </row>
    <row r="530" customFormat="false" ht="15.75" hidden="false" customHeight="false" outlineLevel="0" collapsed="false">
      <c r="A530" s="12"/>
      <c r="B530" s="34"/>
      <c r="C530" s="12"/>
      <c r="D530" s="12"/>
      <c r="E530" s="12"/>
      <c r="F530" s="12"/>
      <c r="G530" s="18"/>
      <c r="H530" s="35"/>
      <c r="I530" s="35"/>
      <c r="J530" s="12"/>
      <c r="O530" s="12"/>
      <c r="P530" s="18"/>
      <c r="Q530" s="12"/>
      <c r="R530" s="12"/>
      <c r="S530" s="12"/>
      <c r="T530" s="36"/>
      <c r="U530" s="36"/>
      <c r="V530" s="12"/>
      <c r="W530" s="12"/>
      <c r="X530" s="12"/>
      <c r="Y530" s="12"/>
      <c r="Z530" s="12"/>
    </row>
    <row r="531" customFormat="false" ht="15.75" hidden="false" customHeight="false" outlineLevel="0" collapsed="false">
      <c r="A531" s="12"/>
      <c r="B531" s="34"/>
      <c r="C531" s="12"/>
      <c r="D531" s="12"/>
      <c r="E531" s="12"/>
      <c r="F531" s="12"/>
      <c r="G531" s="18"/>
      <c r="H531" s="35"/>
      <c r="I531" s="35"/>
      <c r="J531" s="12"/>
      <c r="O531" s="12"/>
      <c r="P531" s="18"/>
      <c r="Q531" s="12"/>
      <c r="R531" s="12"/>
      <c r="S531" s="12"/>
      <c r="T531" s="36"/>
      <c r="U531" s="36"/>
      <c r="V531" s="12"/>
      <c r="W531" s="12"/>
      <c r="X531" s="12"/>
      <c r="Y531" s="12"/>
      <c r="Z531" s="12"/>
    </row>
    <row r="532" customFormat="false" ht="15.75" hidden="false" customHeight="false" outlineLevel="0" collapsed="false">
      <c r="A532" s="12"/>
      <c r="B532" s="34"/>
      <c r="C532" s="12"/>
      <c r="D532" s="12"/>
      <c r="E532" s="12"/>
      <c r="F532" s="12"/>
      <c r="G532" s="18"/>
      <c r="H532" s="35"/>
      <c r="I532" s="35"/>
      <c r="J532" s="12"/>
      <c r="O532" s="12"/>
      <c r="P532" s="18"/>
      <c r="Q532" s="12"/>
      <c r="R532" s="12"/>
      <c r="S532" s="12"/>
      <c r="T532" s="36"/>
      <c r="U532" s="36"/>
      <c r="V532" s="12"/>
      <c r="W532" s="12"/>
      <c r="X532" s="12"/>
      <c r="Y532" s="12"/>
      <c r="Z532" s="12"/>
    </row>
    <row r="533" customFormat="false" ht="15.75" hidden="false" customHeight="false" outlineLevel="0" collapsed="false">
      <c r="A533" s="12"/>
      <c r="B533" s="34"/>
      <c r="C533" s="12"/>
      <c r="D533" s="12"/>
      <c r="E533" s="12"/>
      <c r="F533" s="12"/>
      <c r="G533" s="18"/>
      <c r="H533" s="35"/>
      <c r="I533" s="35"/>
      <c r="J533" s="12"/>
      <c r="O533" s="12"/>
      <c r="P533" s="18"/>
      <c r="Q533" s="12"/>
      <c r="R533" s="12"/>
      <c r="S533" s="12"/>
      <c r="T533" s="36"/>
      <c r="U533" s="36"/>
      <c r="V533" s="12"/>
      <c r="W533" s="12"/>
      <c r="X533" s="12"/>
      <c r="Y533" s="12"/>
      <c r="Z533" s="12"/>
    </row>
    <row r="534" customFormat="false" ht="15.75" hidden="false" customHeight="false" outlineLevel="0" collapsed="false">
      <c r="A534" s="12"/>
      <c r="B534" s="34"/>
      <c r="C534" s="12"/>
      <c r="D534" s="12"/>
      <c r="E534" s="12"/>
      <c r="F534" s="12"/>
      <c r="G534" s="18"/>
      <c r="H534" s="35"/>
      <c r="I534" s="35"/>
      <c r="J534" s="12"/>
      <c r="O534" s="12"/>
      <c r="P534" s="18"/>
      <c r="Q534" s="12"/>
      <c r="R534" s="12"/>
      <c r="S534" s="12"/>
      <c r="T534" s="36"/>
      <c r="U534" s="36"/>
      <c r="V534" s="12"/>
      <c r="W534" s="12"/>
      <c r="X534" s="12"/>
      <c r="Y534" s="12"/>
      <c r="Z534" s="12"/>
    </row>
    <row r="535" customFormat="false" ht="15.75" hidden="false" customHeight="false" outlineLevel="0" collapsed="false">
      <c r="A535" s="12"/>
      <c r="B535" s="34"/>
      <c r="C535" s="12"/>
      <c r="D535" s="12"/>
      <c r="E535" s="12"/>
      <c r="F535" s="12"/>
      <c r="G535" s="18"/>
      <c r="H535" s="35"/>
      <c r="I535" s="35"/>
      <c r="J535" s="12"/>
      <c r="O535" s="12"/>
      <c r="P535" s="18"/>
      <c r="Q535" s="12"/>
      <c r="R535" s="12"/>
      <c r="S535" s="12"/>
      <c r="T535" s="36"/>
      <c r="U535" s="36"/>
      <c r="V535" s="12"/>
      <c r="W535" s="12"/>
      <c r="X535" s="12"/>
      <c r="Y535" s="12"/>
      <c r="Z535" s="12"/>
    </row>
    <row r="536" customFormat="false" ht="15.75" hidden="false" customHeight="false" outlineLevel="0" collapsed="false">
      <c r="A536" s="12"/>
      <c r="B536" s="34"/>
      <c r="C536" s="12"/>
      <c r="D536" s="12"/>
      <c r="E536" s="12"/>
      <c r="F536" s="12"/>
      <c r="G536" s="18"/>
      <c r="H536" s="35"/>
      <c r="I536" s="35"/>
      <c r="J536" s="12"/>
      <c r="O536" s="12"/>
      <c r="P536" s="18"/>
      <c r="Q536" s="12"/>
      <c r="R536" s="12"/>
      <c r="S536" s="12"/>
      <c r="T536" s="36"/>
      <c r="U536" s="36"/>
      <c r="V536" s="12"/>
      <c r="W536" s="12"/>
      <c r="X536" s="12"/>
      <c r="Y536" s="12"/>
      <c r="Z536" s="12"/>
    </row>
    <row r="537" customFormat="false" ht="15.75" hidden="false" customHeight="false" outlineLevel="0" collapsed="false">
      <c r="A537" s="12"/>
      <c r="B537" s="34"/>
      <c r="C537" s="12"/>
      <c r="D537" s="12"/>
      <c r="E537" s="12"/>
      <c r="F537" s="12"/>
      <c r="G537" s="18"/>
      <c r="H537" s="35"/>
      <c r="I537" s="35"/>
      <c r="J537" s="12"/>
      <c r="O537" s="12"/>
      <c r="P537" s="18"/>
      <c r="Q537" s="12"/>
      <c r="R537" s="12"/>
      <c r="S537" s="12"/>
      <c r="T537" s="36"/>
      <c r="U537" s="36"/>
      <c r="V537" s="12"/>
      <c r="W537" s="12"/>
      <c r="X537" s="12"/>
      <c r="Y537" s="12"/>
      <c r="Z537" s="12"/>
    </row>
    <row r="538" customFormat="false" ht="15.75" hidden="false" customHeight="false" outlineLevel="0" collapsed="false">
      <c r="A538" s="12"/>
      <c r="B538" s="34"/>
      <c r="C538" s="12"/>
      <c r="D538" s="12"/>
      <c r="E538" s="12"/>
      <c r="F538" s="12"/>
      <c r="G538" s="18"/>
      <c r="H538" s="35"/>
      <c r="I538" s="35"/>
      <c r="J538" s="12"/>
      <c r="O538" s="12"/>
      <c r="P538" s="18"/>
      <c r="Q538" s="12"/>
      <c r="R538" s="12"/>
      <c r="S538" s="12"/>
      <c r="T538" s="36"/>
      <c r="U538" s="36"/>
      <c r="V538" s="12"/>
      <c r="W538" s="12"/>
      <c r="X538" s="12"/>
      <c r="Y538" s="12"/>
      <c r="Z538" s="12"/>
    </row>
    <row r="539" customFormat="false" ht="15.75" hidden="false" customHeight="false" outlineLevel="0" collapsed="false">
      <c r="A539" s="12"/>
      <c r="B539" s="34"/>
      <c r="C539" s="12"/>
      <c r="D539" s="12"/>
      <c r="E539" s="12"/>
      <c r="F539" s="12"/>
      <c r="G539" s="18"/>
      <c r="H539" s="35"/>
      <c r="I539" s="35"/>
      <c r="J539" s="12"/>
      <c r="O539" s="12"/>
      <c r="P539" s="18"/>
      <c r="Q539" s="12"/>
      <c r="R539" s="12"/>
      <c r="S539" s="12"/>
      <c r="T539" s="36"/>
      <c r="U539" s="36"/>
      <c r="V539" s="12"/>
      <c r="W539" s="12"/>
      <c r="X539" s="12"/>
      <c r="Y539" s="12"/>
      <c r="Z539" s="12"/>
    </row>
    <row r="540" customFormat="false" ht="15.75" hidden="false" customHeight="false" outlineLevel="0" collapsed="false">
      <c r="A540" s="12"/>
      <c r="B540" s="34"/>
      <c r="C540" s="12"/>
      <c r="D540" s="12"/>
      <c r="E540" s="12"/>
      <c r="F540" s="12"/>
      <c r="G540" s="18"/>
      <c r="H540" s="35"/>
      <c r="I540" s="35"/>
      <c r="J540" s="12"/>
      <c r="O540" s="12"/>
      <c r="P540" s="18"/>
      <c r="Q540" s="12"/>
      <c r="R540" s="12"/>
      <c r="S540" s="12"/>
      <c r="T540" s="36"/>
      <c r="U540" s="36"/>
      <c r="V540" s="12"/>
      <c r="W540" s="12"/>
      <c r="X540" s="12"/>
      <c r="Y540" s="12"/>
      <c r="Z540" s="12"/>
    </row>
    <row r="541" customFormat="false" ht="15.75" hidden="false" customHeight="false" outlineLevel="0" collapsed="false">
      <c r="A541" s="12"/>
      <c r="B541" s="34"/>
      <c r="C541" s="12"/>
      <c r="D541" s="12"/>
      <c r="E541" s="12"/>
      <c r="F541" s="12"/>
      <c r="G541" s="18"/>
      <c r="H541" s="35"/>
      <c r="I541" s="35"/>
      <c r="J541" s="12"/>
      <c r="O541" s="12"/>
      <c r="P541" s="18"/>
      <c r="Q541" s="12"/>
      <c r="R541" s="12"/>
      <c r="S541" s="12"/>
      <c r="T541" s="36"/>
      <c r="U541" s="36"/>
      <c r="V541" s="12"/>
      <c r="W541" s="12"/>
      <c r="X541" s="12"/>
      <c r="Y541" s="12"/>
      <c r="Z541" s="12"/>
    </row>
    <row r="542" customFormat="false" ht="15.75" hidden="false" customHeight="false" outlineLevel="0" collapsed="false">
      <c r="A542" s="12"/>
      <c r="B542" s="34"/>
      <c r="C542" s="12"/>
      <c r="D542" s="12"/>
      <c r="E542" s="12"/>
      <c r="F542" s="12"/>
      <c r="G542" s="18"/>
      <c r="H542" s="35"/>
      <c r="I542" s="35"/>
      <c r="J542" s="12"/>
      <c r="O542" s="12"/>
      <c r="P542" s="18"/>
      <c r="Q542" s="12"/>
      <c r="R542" s="12"/>
      <c r="S542" s="12"/>
      <c r="T542" s="36"/>
      <c r="U542" s="36"/>
      <c r="V542" s="12"/>
      <c r="W542" s="12"/>
      <c r="X542" s="12"/>
      <c r="Y542" s="12"/>
      <c r="Z542" s="12"/>
    </row>
    <row r="543" customFormat="false" ht="15.75" hidden="false" customHeight="false" outlineLevel="0" collapsed="false">
      <c r="A543" s="12"/>
      <c r="B543" s="34"/>
      <c r="C543" s="12"/>
      <c r="D543" s="12"/>
      <c r="E543" s="12"/>
      <c r="F543" s="12"/>
      <c r="G543" s="18"/>
      <c r="H543" s="35"/>
      <c r="I543" s="35"/>
      <c r="J543" s="12"/>
      <c r="O543" s="12"/>
      <c r="P543" s="18"/>
      <c r="Q543" s="12"/>
      <c r="R543" s="12"/>
      <c r="S543" s="12"/>
      <c r="T543" s="36"/>
      <c r="U543" s="36"/>
      <c r="V543" s="12"/>
      <c r="W543" s="12"/>
      <c r="X543" s="12"/>
      <c r="Y543" s="12"/>
      <c r="Z543" s="12"/>
    </row>
    <row r="544" customFormat="false" ht="15.75" hidden="false" customHeight="false" outlineLevel="0" collapsed="false">
      <c r="A544" s="12"/>
      <c r="B544" s="34"/>
      <c r="C544" s="12"/>
      <c r="D544" s="12"/>
      <c r="E544" s="12"/>
      <c r="F544" s="12"/>
      <c r="G544" s="18"/>
      <c r="H544" s="35"/>
      <c r="I544" s="35"/>
      <c r="J544" s="12"/>
      <c r="O544" s="12"/>
      <c r="P544" s="18"/>
      <c r="Q544" s="12"/>
      <c r="R544" s="12"/>
      <c r="S544" s="12"/>
      <c r="T544" s="36"/>
      <c r="U544" s="36"/>
      <c r="V544" s="12"/>
      <c r="W544" s="12"/>
      <c r="X544" s="12"/>
      <c r="Y544" s="12"/>
      <c r="Z544" s="12"/>
    </row>
    <row r="545" customFormat="false" ht="15.75" hidden="false" customHeight="false" outlineLevel="0" collapsed="false">
      <c r="A545" s="12"/>
      <c r="B545" s="34"/>
      <c r="C545" s="12"/>
      <c r="D545" s="12"/>
      <c r="E545" s="12"/>
      <c r="F545" s="12"/>
      <c r="G545" s="18"/>
      <c r="H545" s="35"/>
      <c r="I545" s="35"/>
      <c r="J545" s="12"/>
      <c r="O545" s="12"/>
      <c r="P545" s="18"/>
      <c r="Q545" s="12"/>
      <c r="R545" s="12"/>
      <c r="S545" s="12"/>
      <c r="T545" s="36"/>
      <c r="U545" s="36"/>
      <c r="V545" s="12"/>
      <c r="W545" s="12"/>
      <c r="X545" s="12"/>
      <c r="Y545" s="12"/>
      <c r="Z545" s="12"/>
    </row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AG68"/>
  <conditionalFormatting sqref="G2:G4 P2:P4">
    <cfRule type="containsText" priority="2" operator="containsText" aboveAverage="0" equalAverage="0" bottom="0" percent="0" rank="0" text="x" dxfId="0">
      <formula>NOT(ISERROR(SEARCH("x",G2)))</formula>
    </cfRule>
  </conditionalFormatting>
  <conditionalFormatting sqref="G2:J4 Q2:R4 W2:X4 Z2:Z4">
    <cfRule type="cellIs" priority="3" operator="equal" aboveAverage="0" equalAverage="0" bottom="0" percent="0" rank="0" text="" dxfId="0">
      <formula>"Completo"</formula>
    </cfRule>
    <cfRule type="cellIs" priority="4" operator="equal" aboveAverage="0" equalAverage="0" bottom="0" percent="0" rank="0" text="" dxfId="1">
      <formula>"No Aplica"</formula>
    </cfRule>
  </conditionalFormatting>
  <conditionalFormatting sqref="T2:U4">
    <cfRule type="expression" priority="5" aboveAverage="0" equalAverage="0" bottom="0" percent="0" rank="0" text="" dxfId="0">
      <formula>LEN(TRIM(T2))&gt;0</formula>
    </cfRule>
  </conditionalFormatting>
  <conditionalFormatting sqref="S2:S4">
    <cfRule type="expression" priority="6" aboveAverage="0" equalAverage="0" bottom="0" percent="0" rank="0" text="" dxfId="0">
      <formula>LEN(TRIM(S2))&gt;0</formula>
    </cfRule>
  </conditionalFormatting>
  <conditionalFormatting sqref="V2:V4">
    <cfRule type="expression" priority="7" aboveAverage="0" equalAverage="0" bottom="0" percent="0" rank="0" text="" dxfId="0">
      <formula>LEN(TRIM(V2))&gt;0</formula>
    </cfRule>
  </conditionalFormatting>
  <conditionalFormatting sqref="Y2:Y4">
    <cfRule type="expression" priority="8" aboveAverage="0" equalAverage="0" bottom="0" percent="0" rank="0" text="" dxfId="0">
      <formula>LEN(TRIM(Y2))&gt;0</formula>
    </cfRule>
  </conditionalFormatting>
  <conditionalFormatting sqref="Z2:Z4">
    <cfRule type="cellIs" priority="9" operator="equal" aboveAverage="0" equalAverage="0" bottom="0" percent="0" rank="0" text="" dxfId="0">
      <formula>"Completo"</formula>
    </cfRule>
    <cfRule type="cellIs" priority="10" operator="equal" aboveAverage="0" equalAverage="0" bottom="0" percent="0" rank="0" text="" dxfId="1">
      <formula>"No aplica"</formula>
    </cfRule>
  </conditionalFormatting>
  <conditionalFormatting sqref="T5:U545">
    <cfRule type="expression" priority="11" aboveAverage="0" equalAverage="0" bottom="0" percent="0" rank="0" text="" dxfId="0">
      <formula>LEN(TRIM(T5))&gt;0</formula>
    </cfRule>
  </conditionalFormatting>
  <conditionalFormatting sqref="S5:S545">
    <cfRule type="expression" priority="12" aboveAverage="0" equalAverage="0" bottom="0" percent="0" rank="0" text="" dxfId="0">
      <formula>LEN(TRIM(S5))&gt;0</formula>
    </cfRule>
  </conditionalFormatting>
  <conditionalFormatting sqref="G5:G545 P5:P545">
    <cfRule type="containsText" priority="13" operator="containsText" aboveAverage="0" equalAverage="0" bottom="0" percent="0" rank="0" text="x" dxfId="0">
      <formula>NOT(ISERROR(SEARCH("x",G5)))</formula>
    </cfRule>
  </conditionalFormatting>
  <conditionalFormatting sqref="V5:V545">
    <cfRule type="expression" priority="14" aboveAverage="0" equalAverage="0" bottom="0" percent="0" rank="0" text="" dxfId="0">
      <formula>LEN(TRIM(V5))&gt;0</formula>
    </cfRule>
  </conditionalFormatting>
  <conditionalFormatting sqref="Y5:Y545">
    <cfRule type="expression" priority="15" aboveAverage="0" equalAverage="0" bottom="0" percent="0" rank="0" text="" dxfId="0">
      <formula>LEN(TRIM(Y5))&gt;0</formula>
    </cfRule>
  </conditionalFormatting>
  <conditionalFormatting sqref="Z5:Z545">
    <cfRule type="cellIs" priority="16" operator="equal" aboveAverage="0" equalAverage="0" bottom="0" percent="0" rank="0" text="" dxfId="0">
      <formula>"Completo"</formula>
    </cfRule>
    <cfRule type="cellIs" priority="17" operator="equal" aboveAverage="0" equalAverage="0" bottom="0" percent="0" rank="0" text="" dxfId="1">
      <formula>"No aplica"</formula>
    </cfRule>
  </conditionalFormatting>
  <conditionalFormatting sqref="G5:J545 Q5:R545 W5:X545 Z5:Z545">
    <cfRule type="cellIs" priority="18" operator="equal" aboveAverage="0" equalAverage="0" bottom="0" percent="0" rank="0" text="" dxfId="0">
      <formula>"Completo"</formula>
    </cfRule>
    <cfRule type="cellIs" priority="19" operator="equal" aboveAverage="0" equalAverage="0" bottom="0" percent="0" rank="0" text="" dxfId="1">
      <formula>"No Aplica"</formula>
    </cfRule>
  </conditionalFormatting>
  <dataValidations count="6">
    <dataValidation allowBlank="true" errorStyle="stop" operator="between" showDropDown="false" showErrorMessage="true" showInputMessage="false" sqref="AA2:AA36" type="list">
      <formula1>"Aceptada,En espera,Rechazada,No aplica"</formula1>
      <formula2>0</formula2>
    </dataValidation>
    <dataValidation allowBlank="true" errorStyle="stop" operator="between" showDropDown="false" showErrorMessage="false" showInputMessage="false" sqref="V2:V545" type="list">
      <formula1>LEYENDA!$A$23:$A$24</formula1>
      <formula2>0</formula2>
    </dataValidation>
    <dataValidation allowBlank="true" errorStyle="stop" operator="between" showDropDown="false" showErrorMessage="false" showInputMessage="false" sqref="T2:T545" type="list">
      <formula1>LEYENDA!$A$15:$A$21</formula1>
      <formula2>0</formula2>
    </dataValidation>
    <dataValidation allowBlank="true" errorStyle="stop" operator="between" showDropDown="false" showErrorMessage="true" showInputMessage="false" sqref="D2:D545" type="list">
      <formula1>LEYENDA!$B$2:$D$2</formula1>
      <formula2>0</formula2>
    </dataValidation>
    <dataValidation allowBlank="true" errorStyle="stop" operator="between" showDropDown="false" showErrorMessage="true" showInputMessage="false" sqref="H2:J545 Q2:R545 W2:X545 Z2:Z545" type="list">
      <formula1>LEYENDA!$B$1:$C$1</formula1>
      <formula2>0</formula2>
    </dataValidation>
    <dataValidation allowBlank="true" errorStyle="stop" operator="between" showDropDown="false" showErrorMessage="false" showInputMessage="false" sqref="E2:E545" type="list">
      <formula1>LEYENDA!$A$8:$A$12</formula1>
      <formula2>0</formula2>
    </dataValidation>
  </dataValidations>
  <hyperlinks>
    <hyperlink ref="H2" r:id="rId2" display="Completo"/>
    <hyperlink ref="H3" r:id="rId3" display="Completo"/>
    <hyperlink ref="R3" r:id="rId4" display="Completo"/>
    <hyperlink ref="H4" r:id="rId5" display="Completo"/>
    <hyperlink ref="R4" r:id="rId6" display="Completo"/>
    <hyperlink ref="H6" r:id="rId7" display="Completo"/>
    <hyperlink ref="H7" r:id="rId8" display="Completo"/>
    <hyperlink ref="H8" r:id="rId9" display="Completo"/>
    <hyperlink ref="H9" r:id="rId10" display="Completo"/>
    <hyperlink ref="W9" r:id="rId11" display="Completo"/>
    <hyperlink ref="X9" r:id="rId12" display="Completo"/>
    <hyperlink ref="H10" r:id="rId13" display="Completo"/>
    <hyperlink ref="H17" r:id="rId14" display="Completo"/>
    <hyperlink ref="H19" r:id="rId15" display="Completo"/>
    <hyperlink ref="H20" r:id="rId16" display="Completo"/>
    <hyperlink ref="H21" r:id="rId17" display="Completo"/>
    <hyperlink ref="H24" r:id="rId18" display="Completo"/>
    <hyperlink ref="R24" r:id="rId19" display="Completo"/>
    <hyperlink ref="W24" r:id="rId20" display="Completo"/>
    <hyperlink ref="X24" r:id="rId21" display="Completo"/>
    <hyperlink ref="H25" r:id="rId22" display="Completo"/>
    <hyperlink ref="R25" r:id="rId23" display="Completo"/>
    <hyperlink ref="W25" r:id="rId24" display="Completo"/>
    <hyperlink ref="X25" r:id="rId25" display="Completo"/>
    <hyperlink ref="H26" r:id="rId26" display="Completo"/>
    <hyperlink ref="W26" r:id="rId27" display="Completo"/>
    <hyperlink ref="X26" r:id="rId28" display="Completo"/>
    <hyperlink ref="H27" r:id="rId29" display="Completo"/>
    <hyperlink ref="R27" r:id="rId30" display="Completo"/>
    <hyperlink ref="W27" r:id="rId31" display="Completo"/>
    <hyperlink ref="X27" r:id="rId32" display="Completo"/>
    <hyperlink ref="H28" r:id="rId33" display="Completo"/>
    <hyperlink ref="H29" r:id="rId34" display="Completo"/>
    <hyperlink ref="H30" r:id="rId35" display="Completo"/>
    <hyperlink ref="R30" r:id="rId36" display="Completo"/>
    <hyperlink ref="H32" r:id="rId37" display="Completo"/>
    <hyperlink ref="R32" r:id="rId38" display="Completo"/>
    <hyperlink ref="W32" r:id="rId39" display="Completo"/>
    <hyperlink ref="X32" r:id="rId40" display="Completo"/>
    <hyperlink ref="H33" r:id="rId41" display="Completo"/>
    <hyperlink ref="H34" r:id="rId42" display="Completo"/>
  </hyperlinks>
  <printOptions headings="false" gridLines="true" gridLinesSet="true" horizontalCentered="true" verticalCentered="false"/>
  <pageMargins left="0.7" right="0.7" top="0.75" bottom="0.75" header="0.511811023622047" footer="0.511811023622047"/>
  <pageSetup paperSize="9" scale="100" fitToWidth="1" fitToHeight="0" pageOrder="overThenDown" orientation="landscape" blackAndWhite="false" draft="false" cellComments="none" horizontalDpi="300" verticalDpi="300" copies="1"/>
  <headerFooter differentFirst="false" differentOddEven="false">
    <oddHeader/>
    <oddFooter/>
  </headerFooter>
  <drawing r:id="rId43"/>
  <legacyDrawing r:id="rId44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XFD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7" ySplit="3" topLeftCell="H4" activePane="bottomRight" state="frozen"/>
      <selection pane="topLeft" activeCell="A1" activeCellId="0" sqref="A1"/>
      <selection pane="topRight" activeCell="H1" activeCellId="0" sqref="H1"/>
      <selection pane="bottomLeft" activeCell="A4" activeCellId="0" sqref="A4"/>
      <selection pane="bottomRight" activeCell="F16" activeCellId="0" sqref="F16"/>
    </sheetView>
  </sheetViews>
  <sheetFormatPr defaultColWidth="12.6328125" defaultRowHeight="15.75" zeroHeight="false" outlineLevelRow="0" outlineLevelCol="0"/>
  <cols>
    <col collapsed="false" customWidth="true" hidden="false" outlineLevel="0" max="1" min="1" style="1" width="10.25"/>
    <col collapsed="false" customWidth="true" hidden="false" outlineLevel="0" max="2" min="2" style="1" width="10.38"/>
    <col collapsed="false" customWidth="true" hidden="false" outlineLevel="0" max="4" min="3" style="1" width="16.38"/>
    <col collapsed="false" customWidth="true" hidden="false" outlineLevel="0" max="5" min="5" style="1" width="18.25"/>
    <col collapsed="false" customWidth="true" hidden="false" outlineLevel="0" max="6" min="6" style="1" width="29.38"/>
    <col collapsed="false" customWidth="true" hidden="false" outlineLevel="0" max="7" min="7" style="1" width="14.13"/>
    <col collapsed="false" customWidth="true" hidden="false" outlineLevel="0" max="8" min="8" style="1" width="10.13"/>
    <col collapsed="false" customWidth="true" hidden="true" outlineLevel="0" max="9" min="9" style="1" width="10.13"/>
    <col collapsed="false" customWidth="true" hidden="false" outlineLevel="0" max="10" min="10" style="1" width="12.88"/>
    <col collapsed="false" customWidth="true" hidden="false" outlineLevel="0" max="12" min="11" style="1" width="12"/>
    <col collapsed="false" customWidth="true" hidden="false" outlineLevel="0" max="13" min="13" style="1" width="10"/>
    <col collapsed="false" customWidth="true" hidden="false" outlineLevel="0" max="14" min="14" style="1" width="12.25"/>
    <col collapsed="false" customWidth="true" hidden="false" outlineLevel="0" max="15" min="15" style="1" width="26.12"/>
    <col collapsed="false" customWidth="true" hidden="true" outlineLevel="0" max="16" min="16" style="1" width="18"/>
    <col collapsed="false" customWidth="true" hidden="false" outlineLevel="0" max="18" min="17" style="1" width="10.63"/>
    <col collapsed="false" customWidth="true" hidden="false" outlineLevel="0" max="19" min="19" style="1" width="8.5"/>
    <col collapsed="false" customWidth="true" hidden="false" outlineLevel="0" max="21" min="21" style="1" width="25.38"/>
    <col collapsed="false" customWidth="true" hidden="false" outlineLevel="0" max="22" min="22" style="1" width="18.13"/>
    <col collapsed="false" customWidth="true" hidden="false" outlineLevel="0" max="23" min="23" style="1" width="10.13"/>
    <col collapsed="false" customWidth="true" hidden="false" outlineLevel="0" max="24" min="24" style="1" width="11.38"/>
    <col collapsed="false" customWidth="true" hidden="false" outlineLevel="0" max="25" min="25" style="1" width="24.38"/>
    <col collapsed="false" customWidth="true" hidden="false" outlineLevel="0" max="27" min="27" style="1" width="13.5"/>
    <col collapsed="false" customWidth="true" hidden="false" outlineLevel="0" max="16384" min="16384" style="1" width="11.53"/>
  </cols>
  <sheetData>
    <row r="1" customFormat="false" ht="42.5" hidden="false" customHeight="false" outlineLevel="0" collapsed="false">
      <c r="A1" s="2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/>
      <c r="J1" s="4" t="s">
        <v>8</v>
      </c>
      <c r="K1" s="2"/>
      <c r="L1" s="2" t="s">
        <v>9</v>
      </c>
      <c r="M1" s="2" t="s">
        <v>10</v>
      </c>
      <c r="N1" s="4" t="s">
        <v>11</v>
      </c>
      <c r="O1" s="3" t="s">
        <v>12</v>
      </c>
      <c r="P1" s="7" t="s">
        <v>13</v>
      </c>
      <c r="Q1" s="7" t="s">
        <v>14</v>
      </c>
      <c r="R1" s="7" t="s">
        <v>15</v>
      </c>
      <c r="S1" s="7" t="s">
        <v>16</v>
      </c>
      <c r="T1" s="7" t="s">
        <v>17</v>
      </c>
      <c r="U1" s="8" t="s">
        <v>18</v>
      </c>
      <c r="V1" s="9" t="s">
        <v>19</v>
      </c>
      <c r="W1" s="9" t="s">
        <v>20</v>
      </c>
      <c r="X1" s="10" t="s">
        <v>15</v>
      </c>
      <c r="Y1" s="11" t="s">
        <v>21</v>
      </c>
      <c r="Z1" s="11" t="s">
        <v>22</v>
      </c>
      <c r="AA1" s="12"/>
      <c r="AB1" s="12"/>
      <c r="AC1" s="12"/>
      <c r="AD1" s="12"/>
      <c r="AE1" s="12"/>
      <c r="AF1" s="12"/>
      <c r="XFD1" s="0"/>
    </row>
    <row r="2" customFormat="false" ht="15.75" hidden="false" customHeight="false" outlineLevel="0" collapsed="false">
      <c r="A2" s="13" t="n">
        <v>8037</v>
      </c>
      <c r="B2" s="14" t="n">
        <v>45474</v>
      </c>
      <c r="C2" s="15" t="s">
        <v>523</v>
      </c>
      <c r="D2" s="16" t="s">
        <v>24</v>
      </c>
      <c r="E2" s="16" t="s">
        <v>222</v>
      </c>
      <c r="F2" s="16" t="s">
        <v>524</v>
      </c>
      <c r="G2" s="16" t="s">
        <v>525</v>
      </c>
      <c r="H2" s="17" t="s">
        <v>28</v>
      </c>
      <c r="I2" s="16"/>
      <c r="J2" s="16" t="s">
        <v>28</v>
      </c>
      <c r="K2" s="16" t="n">
        <v>30799228036</v>
      </c>
      <c r="L2" s="16" t="s">
        <v>526</v>
      </c>
      <c r="M2" s="16"/>
      <c r="N2" s="16" t="n">
        <v>33763</v>
      </c>
      <c r="O2" s="16"/>
      <c r="P2" s="16"/>
      <c r="Q2" s="16" t="s">
        <v>28</v>
      </c>
      <c r="R2" s="17" t="s">
        <v>28</v>
      </c>
      <c r="S2" s="16"/>
      <c r="T2" s="16" t="s">
        <v>222</v>
      </c>
      <c r="U2" s="16"/>
      <c r="V2" s="16"/>
      <c r="W2" s="16" t="s">
        <v>37</v>
      </c>
      <c r="X2" s="16" t="s">
        <v>37</v>
      </c>
      <c r="Y2" s="16"/>
      <c r="Z2" s="16" t="s">
        <v>28</v>
      </c>
      <c r="AA2" s="12" t="s">
        <v>156</v>
      </c>
    </row>
    <row r="3" customFormat="false" ht="15.75" hidden="false" customHeight="false" outlineLevel="0" collapsed="false">
      <c r="A3" s="13" t="n">
        <v>8038</v>
      </c>
      <c r="B3" s="14" t="n">
        <v>45474</v>
      </c>
      <c r="C3" s="15" t="s">
        <v>523</v>
      </c>
      <c r="D3" s="16" t="s">
        <v>24</v>
      </c>
      <c r="E3" s="16" t="s">
        <v>222</v>
      </c>
      <c r="F3" s="16" t="s">
        <v>524</v>
      </c>
      <c r="G3" s="16" t="s">
        <v>527</v>
      </c>
      <c r="H3" s="17" t="s">
        <v>28</v>
      </c>
      <c r="I3" s="16"/>
      <c r="J3" s="16" t="s">
        <v>28</v>
      </c>
      <c r="K3" s="16" t="n">
        <v>30709228036</v>
      </c>
      <c r="L3" s="16" t="s">
        <v>526</v>
      </c>
      <c r="M3" s="16"/>
      <c r="N3" s="16" t="n">
        <v>33763</v>
      </c>
      <c r="O3" s="16"/>
      <c r="P3" s="16"/>
      <c r="Q3" s="16" t="s">
        <v>28</v>
      </c>
      <c r="R3" s="17" t="s">
        <v>28</v>
      </c>
      <c r="S3" s="16"/>
      <c r="T3" s="16" t="s">
        <v>222</v>
      </c>
      <c r="U3" s="16"/>
      <c r="V3" s="16"/>
      <c r="W3" s="16" t="s">
        <v>37</v>
      </c>
      <c r="X3" s="16" t="s">
        <v>37</v>
      </c>
      <c r="Y3" s="16"/>
      <c r="Z3" s="16" t="s">
        <v>28</v>
      </c>
      <c r="AA3" s="12" t="s">
        <v>156</v>
      </c>
    </row>
    <row r="4" customFormat="false" ht="15.75" hidden="false" customHeight="false" outlineLevel="0" collapsed="false">
      <c r="A4" s="13" t="n">
        <v>8039</v>
      </c>
      <c r="B4" s="14" t="n">
        <v>45474</v>
      </c>
      <c r="C4" s="15" t="s">
        <v>528</v>
      </c>
      <c r="D4" s="16" t="s">
        <v>24</v>
      </c>
      <c r="E4" s="16" t="s">
        <v>222</v>
      </c>
      <c r="F4" s="16" t="s">
        <v>529</v>
      </c>
      <c r="G4" s="16" t="s">
        <v>530</v>
      </c>
      <c r="H4" s="17" t="s">
        <v>28</v>
      </c>
      <c r="I4" s="16"/>
      <c r="J4" s="16" t="s">
        <v>28</v>
      </c>
      <c r="K4" s="16"/>
      <c r="L4" s="16"/>
      <c r="M4" s="16"/>
      <c r="N4" s="16"/>
      <c r="O4" s="16"/>
      <c r="P4" s="18"/>
      <c r="Q4" s="16" t="s">
        <v>28</v>
      </c>
      <c r="R4" s="17" t="s">
        <v>28</v>
      </c>
      <c r="S4" s="16"/>
      <c r="T4" s="16" t="s">
        <v>222</v>
      </c>
      <c r="U4" s="16"/>
      <c r="V4" s="16" t="s">
        <v>74</v>
      </c>
      <c r="W4" s="17" t="s">
        <v>28</v>
      </c>
      <c r="X4" s="17" t="s">
        <v>28</v>
      </c>
      <c r="Y4" s="16" t="s">
        <v>36</v>
      </c>
      <c r="Z4" s="16" t="s">
        <v>28</v>
      </c>
      <c r="AA4" s="12" t="s">
        <v>32</v>
      </c>
    </row>
    <row r="5" customFormat="false" ht="15.75" hidden="false" customHeight="false" outlineLevel="0" collapsed="false">
      <c r="A5" s="19" t="n">
        <v>8040</v>
      </c>
      <c r="B5" s="14" t="n">
        <v>45475</v>
      </c>
      <c r="C5" s="16" t="s">
        <v>531</v>
      </c>
      <c r="D5" s="16" t="s">
        <v>24</v>
      </c>
      <c r="E5" s="16" t="s">
        <v>25</v>
      </c>
      <c r="F5" s="16" t="s">
        <v>532</v>
      </c>
      <c r="G5" s="16" t="s">
        <v>533</v>
      </c>
      <c r="H5" s="17" t="s">
        <v>28</v>
      </c>
      <c r="I5" s="16"/>
      <c r="J5" s="16" t="s">
        <v>28</v>
      </c>
      <c r="K5" s="16" t="n">
        <v>30691732629</v>
      </c>
      <c r="L5" s="16" t="n">
        <v>1177003029</v>
      </c>
      <c r="M5" s="16" t="s">
        <v>534</v>
      </c>
      <c r="N5" s="16" t="n">
        <v>134117</v>
      </c>
      <c r="O5" s="16"/>
      <c r="P5" s="16"/>
      <c r="Q5" s="16" t="s">
        <v>28</v>
      </c>
      <c r="R5" s="17" t="s">
        <v>28</v>
      </c>
      <c r="S5" s="16"/>
      <c r="T5" s="16" t="s">
        <v>222</v>
      </c>
      <c r="U5" s="16"/>
      <c r="V5" s="16"/>
      <c r="W5" s="16"/>
      <c r="X5" s="16"/>
      <c r="Y5" s="16"/>
      <c r="Z5" s="16" t="s">
        <v>28</v>
      </c>
      <c r="AA5" s="12" t="s">
        <v>156</v>
      </c>
    </row>
    <row r="6" customFormat="false" ht="15.75" hidden="false" customHeight="false" outlineLevel="0" collapsed="false">
      <c r="A6" s="19" t="n">
        <v>8041</v>
      </c>
      <c r="B6" s="14" t="n">
        <v>45478</v>
      </c>
      <c r="C6" s="21" t="s">
        <v>23</v>
      </c>
      <c r="D6" s="16" t="s">
        <v>24</v>
      </c>
      <c r="E6" s="21" t="s">
        <v>34</v>
      </c>
      <c r="F6" s="16" t="s">
        <v>535</v>
      </c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 t="s">
        <v>37</v>
      </c>
      <c r="X6" s="16" t="s">
        <v>37</v>
      </c>
      <c r="Y6" s="16"/>
      <c r="Z6" s="16" t="s">
        <v>28</v>
      </c>
      <c r="AA6" s="12" t="s">
        <v>32</v>
      </c>
    </row>
    <row r="7" customFormat="false" ht="15.75" hidden="false" customHeight="false" outlineLevel="0" collapsed="false">
      <c r="A7" s="19" t="n">
        <v>8042</v>
      </c>
      <c r="B7" s="14" t="n">
        <v>45481</v>
      </c>
      <c r="C7" s="16" t="s">
        <v>536</v>
      </c>
      <c r="D7" s="21" t="s">
        <v>24</v>
      </c>
      <c r="E7" s="21" t="s">
        <v>222</v>
      </c>
      <c r="F7" s="16" t="s">
        <v>537</v>
      </c>
      <c r="G7" s="16" t="s">
        <v>538</v>
      </c>
      <c r="H7" s="17" t="s">
        <v>28</v>
      </c>
      <c r="I7" s="16"/>
      <c r="J7" s="16" t="s">
        <v>28</v>
      </c>
      <c r="K7" s="16"/>
      <c r="L7" s="16" t="n">
        <v>3585714295</v>
      </c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 t="s">
        <v>37</v>
      </c>
      <c r="AA7" s="12" t="s">
        <v>32</v>
      </c>
    </row>
    <row r="8" customFormat="false" ht="15.75" hidden="false" customHeight="false" outlineLevel="0" collapsed="false">
      <c r="A8" s="19" t="n">
        <v>8043</v>
      </c>
      <c r="B8" s="14" t="n">
        <v>45481</v>
      </c>
      <c r="C8" s="16" t="s">
        <v>539</v>
      </c>
      <c r="D8" s="21" t="s">
        <v>24</v>
      </c>
      <c r="E8" s="21" t="s">
        <v>540</v>
      </c>
      <c r="F8" s="16" t="s">
        <v>541</v>
      </c>
      <c r="G8" s="16" t="s">
        <v>542</v>
      </c>
      <c r="H8" s="16" t="s">
        <v>37</v>
      </c>
      <c r="I8" s="16"/>
      <c r="J8" s="16" t="s">
        <v>37</v>
      </c>
      <c r="K8" s="16"/>
      <c r="L8" s="16"/>
      <c r="M8" s="16"/>
      <c r="N8" s="16"/>
      <c r="O8" s="16"/>
      <c r="P8" s="16"/>
      <c r="Q8" s="16" t="s">
        <v>37</v>
      </c>
      <c r="R8" s="16" t="s">
        <v>37</v>
      </c>
      <c r="S8" s="16"/>
      <c r="T8" s="16"/>
      <c r="U8" s="16"/>
      <c r="V8" s="16"/>
      <c r="W8" s="16" t="s">
        <v>37</v>
      </c>
      <c r="X8" s="16" t="s">
        <v>37</v>
      </c>
      <c r="Y8" s="16"/>
      <c r="Z8" s="16" t="s">
        <v>28</v>
      </c>
      <c r="AA8" s="12" t="s">
        <v>32</v>
      </c>
    </row>
    <row r="9" customFormat="false" ht="15.75" hidden="false" customHeight="false" outlineLevel="0" collapsed="false">
      <c r="A9" s="19" t="n">
        <v>8044</v>
      </c>
      <c r="B9" s="14" t="n">
        <v>45481</v>
      </c>
      <c r="C9" s="16" t="s">
        <v>188</v>
      </c>
      <c r="D9" s="21" t="s">
        <v>24</v>
      </c>
      <c r="E9" s="21" t="s">
        <v>34</v>
      </c>
      <c r="F9" s="16" t="s">
        <v>543</v>
      </c>
      <c r="G9" s="16"/>
      <c r="H9" s="16"/>
      <c r="I9" s="16"/>
      <c r="J9" s="16"/>
      <c r="K9" s="16" t="s">
        <v>29</v>
      </c>
      <c r="L9" s="16" t="s">
        <v>29</v>
      </c>
      <c r="M9" s="16" t="s">
        <v>29</v>
      </c>
      <c r="N9" s="16"/>
      <c r="O9" s="16"/>
      <c r="P9" s="16"/>
      <c r="Q9" s="16"/>
      <c r="R9" s="16"/>
      <c r="S9" s="16"/>
      <c r="T9" s="16"/>
      <c r="U9" s="16"/>
      <c r="V9" s="16"/>
      <c r="W9" s="16" t="s">
        <v>37</v>
      </c>
      <c r="X9" s="16" t="s">
        <v>37</v>
      </c>
      <c r="Y9" s="16"/>
      <c r="Z9" s="16" t="s">
        <v>28</v>
      </c>
      <c r="AA9" s="12" t="s">
        <v>32</v>
      </c>
    </row>
    <row r="10" customFormat="false" ht="15.75" hidden="false" customHeight="false" outlineLevel="0" collapsed="false">
      <c r="A10" s="19" t="n">
        <v>8045</v>
      </c>
      <c r="B10" s="14" t="n">
        <v>45483</v>
      </c>
      <c r="C10" s="16" t="s">
        <v>544</v>
      </c>
      <c r="D10" s="16" t="s">
        <v>24</v>
      </c>
      <c r="E10" s="16" t="s">
        <v>25</v>
      </c>
      <c r="F10" s="16" t="s">
        <v>545</v>
      </c>
      <c r="G10" s="16"/>
      <c r="H10" s="17" t="s">
        <v>28</v>
      </c>
      <c r="I10" s="16"/>
      <c r="J10" s="16" t="s">
        <v>28</v>
      </c>
      <c r="K10" s="16" t="s">
        <v>29</v>
      </c>
      <c r="L10" s="16" t="s">
        <v>29</v>
      </c>
      <c r="M10" s="16" t="s">
        <v>29</v>
      </c>
      <c r="N10" s="16" t="n">
        <v>10268</v>
      </c>
      <c r="O10" s="16"/>
      <c r="P10" s="16"/>
      <c r="Q10" s="16"/>
      <c r="R10" s="16"/>
      <c r="S10" s="16"/>
      <c r="T10" s="16"/>
      <c r="U10" s="16"/>
      <c r="V10" s="16"/>
      <c r="W10" s="16" t="s">
        <v>37</v>
      </c>
      <c r="X10" s="16" t="s">
        <v>37</v>
      </c>
      <c r="Y10" s="16"/>
      <c r="Z10" s="16" t="s">
        <v>28</v>
      </c>
      <c r="AA10" s="12" t="s">
        <v>32</v>
      </c>
    </row>
    <row r="11" customFormat="false" ht="15.75" hidden="false" customHeight="false" outlineLevel="0" collapsed="false">
      <c r="A11" s="19" t="n">
        <v>8046</v>
      </c>
      <c r="B11" s="14" t="n">
        <v>45483</v>
      </c>
      <c r="C11" s="16" t="s">
        <v>544</v>
      </c>
      <c r="D11" s="16" t="s">
        <v>24</v>
      </c>
      <c r="E11" s="16" t="s">
        <v>25</v>
      </c>
      <c r="F11" s="16" t="s">
        <v>546</v>
      </c>
      <c r="G11" s="16"/>
      <c r="H11" s="17" t="s">
        <v>28</v>
      </c>
      <c r="I11" s="16"/>
      <c r="J11" s="16" t="s">
        <v>28</v>
      </c>
      <c r="K11" s="16" t="s">
        <v>29</v>
      </c>
      <c r="L11" s="16" t="s">
        <v>29</v>
      </c>
      <c r="M11" s="16" t="s">
        <v>29</v>
      </c>
      <c r="N11" s="16" t="n">
        <v>10268</v>
      </c>
      <c r="O11" s="16"/>
      <c r="P11" s="16"/>
      <c r="Q11" s="16"/>
      <c r="R11" s="16"/>
      <c r="S11" s="16"/>
      <c r="T11" s="16"/>
      <c r="U11" s="16"/>
      <c r="V11" s="16"/>
      <c r="W11" s="16" t="s">
        <v>37</v>
      </c>
      <c r="X11" s="16" t="s">
        <v>37</v>
      </c>
      <c r="Y11" s="16"/>
      <c r="Z11" s="16" t="s">
        <v>28</v>
      </c>
      <c r="AA11" s="12" t="s">
        <v>32</v>
      </c>
    </row>
    <row r="12" customFormat="false" ht="15.75" hidden="false" customHeight="false" outlineLevel="0" collapsed="false">
      <c r="A12" s="19" t="n">
        <v>8047</v>
      </c>
      <c r="B12" s="22" t="n">
        <v>45484</v>
      </c>
      <c r="C12" s="16" t="s">
        <v>23</v>
      </c>
      <c r="D12" s="16" t="s">
        <v>24</v>
      </c>
      <c r="E12" s="16" t="s">
        <v>34</v>
      </c>
      <c r="F12" s="16" t="s">
        <v>547</v>
      </c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 t="s">
        <v>37</v>
      </c>
      <c r="X12" s="16" t="s">
        <v>37</v>
      </c>
      <c r="Y12" s="16"/>
      <c r="Z12" s="16" t="s">
        <v>28</v>
      </c>
      <c r="AA12" s="12" t="s">
        <v>32</v>
      </c>
    </row>
    <row r="13" customFormat="false" ht="15.75" hidden="false" customHeight="false" outlineLevel="0" collapsed="false">
      <c r="A13" s="19" t="n">
        <v>8048</v>
      </c>
      <c r="B13" s="14" t="n">
        <v>45485</v>
      </c>
      <c r="C13" s="16" t="s">
        <v>176</v>
      </c>
      <c r="D13" s="16" t="s">
        <v>24</v>
      </c>
      <c r="E13" s="21" t="s">
        <v>25</v>
      </c>
      <c r="F13" s="16" t="s">
        <v>548</v>
      </c>
      <c r="G13" s="16"/>
      <c r="H13" s="17" t="s">
        <v>28</v>
      </c>
      <c r="I13" s="16"/>
      <c r="J13" s="16" t="s">
        <v>28</v>
      </c>
      <c r="K13" s="16" t="s">
        <v>29</v>
      </c>
      <c r="L13" s="16" t="s">
        <v>29</v>
      </c>
      <c r="M13" s="16" t="s">
        <v>29</v>
      </c>
      <c r="N13" s="16" t="n">
        <v>8891</v>
      </c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 t="s">
        <v>28</v>
      </c>
      <c r="AA13" s="12" t="s">
        <v>32</v>
      </c>
    </row>
    <row r="14" customFormat="false" ht="15.75" hidden="false" customHeight="false" outlineLevel="0" collapsed="false">
      <c r="A14" s="19" t="n">
        <v>8049</v>
      </c>
      <c r="B14" s="14" t="n">
        <v>45486</v>
      </c>
      <c r="C14" s="16" t="s">
        <v>120</v>
      </c>
      <c r="D14" s="16" t="s">
        <v>24</v>
      </c>
      <c r="E14" s="21" t="s">
        <v>25</v>
      </c>
      <c r="F14" s="16" t="s">
        <v>549</v>
      </c>
      <c r="G14" s="16"/>
      <c r="H14" s="17" t="s">
        <v>28</v>
      </c>
      <c r="I14" s="16"/>
      <c r="J14" s="16" t="s">
        <v>28</v>
      </c>
      <c r="K14" s="16" t="s">
        <v>29</v>
      </c>
      <c r="L14" s="16" t="s">
        <v>29</v>
      </c>
      <c r="M14" s="16" t="s">
        <v>29</v>
      </c>
      <c r="N14" s="16" t="n">
        <v>5280</v>
      </c>
      <c r="O14" s="16"/>
      <c r="P14" s="16"/>
      <c r="Q14" s="16"/>
      <c r="R14" s="16"/>
      <c r="S14" s="16"/>
      <c r="T14" s="16"/>
      <c r="U14" s="16"/>
      <c r="V14" s="16"/>
      <c r="W14" s="16" t="s">
        <v>37</v>
      </c>
      <c r="X14" s="16" t="s">
        <v>37</v>
      </c>
      <c r="Y14" s="16"/>
      <c r="Z14" s="16" t="s">
        <v>28</v>
      </c>
      <c r="AA14" s="12" t="s">
        <v>32</v>
      </c>
    </row>
    <row r="15" customFormat="false" ht="15.75" hidden="false" customHeight="false" outlineLevel="0" collapsed="false">
      <c r="A15" s="19" t="n">
        <v>8050</v>
      </c>
      <c r="B15" s="14" t="n">
        <v>45486</v>
      </c>
      <c r="C15" s="16" t="s">
        <v>120</v>
      </c>
      <c r="D15" s="16" t="s">
        <v>24</v>
      </c>
      <c r="E15" s="16" t="s">
        <v>25</v>
      </c>
      <c r="F15" s="24" t="s">
        <v>549</v>
      </c>
      <c r="G15" s="16"/>
      <c r="H15" s="17" t="s">
        <v>28</v>
      </c>
      <c r="I15" s="16"/>
      <c r="J15" s="16" t="s">
        <v>28</v>
      </c>
      <c r="K15" s="16" t="s">
        <v>29</v>
      </c>
      <c r="L15" s="16" t="s">
        <v>29</v>
      </c>
      <c r="M15" s="16" t="s">
        <v>29</v>
      </c>
      <c r="N15" s="16" t="n">
        <v>5280</v>
      </c>
      <c r="O15" s="16"/>
      <c r="P15" s="16"/>
      <c r="Q15" s="16"/>
      <c r="R15" s="16"/>
      <c r="S15" s="16"/>
      <c r="T15" s="16"/>
      <c r="U15" s="16"/>
      <c r="V15" s="16"/>
      <c r="W15" s="16" t="s">
        <v>37</v>
      </c>
      <c r="X15" s="16" t="s">
        <v>37</v>
      </c>
      <c r="Y15" s="16"/>
      <c r="Z15" s="16" t="s">
        <v>28</v>
      </c>
      <c r="AA15" s="12" t="s">
        <v>32</v>
      </c>
    </row>
    <row r="16" customFormat="false" ht="15.75" hidden="false" customHeight="false" outlineLevel="0" collapsed="false">
      <c r="A16" s="19" t="n">
        <v>8051</v>
      </c>
      <c r="B16" s="14" t="n">
        <v>45489</v>
      </c>
      <c r="C16" s="16" t="s">
        <v>23</v>
      </c>
      <c r="D16" s="16" t="s">
        <v>24</v>
      </c>
      <c r="E16" s="16" t="s">
        <v>34</v>
      </c>
      <c r="F16" s="19" t="s">
        <v>550</v>
      </c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 t="s">
        <v>37</v>
      </c>
      <c r="X16" s="16" t="s">
        <v>37</v>
      </c>
      <c r="Y16" s="16"/>
      <c r="Z16" s="16" t="s">
        <v>28</v>
      </c>
      <c r="AA16" s="12" t="s">
        <v>32</v>
      </c>
    </row>
    <row r="17" customFormat="false" ht="15.75" hidden="false" customHeight="false" outlineLevel="0" collapsed="false">
      <c r="A17" s="19" t="n">
        <v>8052</v>
      </c>
      <c r="B17" s="14" t="n">
        <v>45489</v>
      </c>
      <c r="C17" s="16" t="s">
        <v>551</v>
      </c>
      <c r="D17" s="16" t="s">
        <v>24</v>
      </c>
      <c r="E17" s="16" t="s">
        <v>25</v>
      </c>
      <c r="F17" s="16" t="s">
        <v>552</v>
      </c>
      <c r="G17" s="16"/>
      <c r="H17" s="16" t="s">
        <v>28</v>
      </c>
      <c r="I17" s="16"/>
      <c r="J17" s="16" t="s">
        <v>28</v>
      </c>
      <c r="K17" s="16" t="s">
        <v>553</v>
      </c>
      <c r="L17" s="16" t="s">
        <v>554</v>
      </c>
      <c r="M17" s="16" t="s">
        <v>29</v>
      </c>
      <c r="N17" s="16" t="s">
        <v>29</v>
      </c>
      <c r="O17" s="16"/>
      <c r="P17" s="16"/>
      <c r="Q17" s="16"/>
      <c r="R17" s="16"/>
      <c r="S17" s="16"/>
      <c r="T17" s="16"/>
      <c r="U17" s="16"/>
      <c r="V17" s="16"/>
      <c r="W17" s="16" t="s">
        <v>37</v>
      </c>
      <c r="X17" s="16" t="s">
        <v>37</v>
      </c>
      <c r="Y17" s="16"/>
      <c r="Z17" s="16" t="s">
        <v>28</v>
      </c>
      <c r="AA17" s="12" t="s">
        <v>156</v>
      </c>
    </row>
    <row r="18" customFormat="false" ht="15.75" hidden="false" customHeight="false" outlineLevel="0" collapsed="false">
      <c r="A18" s="19" t="n">
        <v>8053</v>
      </c>
      <c r="B18" s="14" t="n">
        <v>45496</v>
      </c>
      <c r="C18" s="16" t="s">
        <v>465</v>
      </c>
      <c r="D18" s="16" t="s">
        <v>24</v>
      </c>
      <c r="E18" s="16" t="s">
        <v>25</v>
      </c>
      <c r="F18" s="16" t="s">
        <v>555</v>
      </c>
      <c r="G18" s="16"/>
      <c r="H18" s="17" t="s">
        <v>28</v>
      </c>
      <c r="I18" s="16"/>
      <c r="J18" s="16" t="s">
        <v>28</v>
      </c>
      <c r="K18" s="16" t="s">
        <v>29</v>
      </c>
      <c r="L18" s="16" t="s">
        <v>29</v>
      </c>
      <c r="M18" s="16" t="s">
        <v>29</v>
      </c>
      <c r="N18" s="16" t="s">
        <v>29</v>
      </c>
      <c r="O18" s="16"/>
      <c r="P18" s="16"/>
      <c r="Q18" s="16"/>
      <c r="R18" s="16"/>
      <c r="S18" s="16"/>
      <c r="T18" s="16"/>
      <c r="U18" s="16"/>
      <c r="V18" s="16"/>
      <c r="W18" s="16" t="s">
        <v>37</v>
      </c>
      <c r="X18" s="16" t="s">
        <v>37</v>
      </c>
      <c r="Y18" s="16"/>
      <c r="Z18" s="16" t="s">
        <v>37</v>
      </c>
      <c r="AA18" s="12" t="s">
        <v>40</v>
      </c>
    </row>
    <row r="19" customFormat="false" ht="15.75" hidden="false" customHeight="false" outlineLevel="0" collapsed="false">
      <c r="A19" s="13" t="n">
        <v>8054</v>
      </c>
      <c r="B19" s="14" t="n">
        <v>45497</v>
      </c>
      <c r="C19" s="15" t="s">
        <v>556</v>
      </c>
      <c r="D19" s="16" t="s">
        <v>24</v>
      </c>
      <c r="E19" s="16" t="s">
        <v>25</v>
      </c>
      <c r="F19" s="16" t="s">
        <v>557</v>
      </c>
      <c r="G19" s="16"/>
      <c r="H19" s="17" t="s">
        <v>28</v>
      </c>
      <c r="I19" s="16"/>
      <c r="J19" s="16" t="s">
        <v>28</v>
      </c>
      <c r="K19" s="16" t="s">
        <v>29</v>
      </c>
      <c r="L19" s="16" t="s">
        <v>29</v>
      </c>
      <c r="M19" s="16" t="s">
        <v>29</v>
      </c>
      <c r="N19" s="16" t="s">
        <v>558</v>
      </c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 t="s">
        <v>28</v>
      </c>
      <c r="AA19" s="12" t="s">
        <v>48</v>
      </c>
    </row>
    <row r="20" customFormat="false" ht="15.75" hidden="false" customHeight="false" outlineLevel="0" collapsed="false">
      <c r="A20" s="24" t="n">
        <v>8055</v>
      </c>
      <c r="B20" s="14" t="n">
        <v>45497</v>
      </c>
      <c r="C20" s="25" t="s">
        <v>556</v>
      </c>
      <c r="D20" s="25" t="s">
        <v>24</v>
      </c>
      <c r="E20" s="25" t="s">
        <v>25</v>
      </c>
      <c r="F20" s="25" t="s">
        <v>557</v>
      </c>
      <c r="G20" s="25"/>
      <c r="H20" s="26" t="s">
        <v>28</v>
      </c>
      <c r="I20" s="25"/>
      <c r="J20" s="25" t="s">
        <v>28</v>
      </c>
      <c r="K20" s="25" t="s">
        <v>29</v>
      </c>
      <c r="L20" s="25" t="s">
        <v>29</v>
      </c>
      <c r="M20" s="25" t="s">
        <v>29</v>
      </c>
      <c r="N20" s="25" t="s">
        <v>558</v>
      </c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 t="s">
        <v>28</v>
      </c>
      <c r="AA20" s="12" t="s">
        <v>48</v>
      </c>
    </row>
    <row r="21" customFormat="false" ht="15.75" hidden="false" customHeight="false" outlineLevel="0" collapsed="false">
      <c r="A21" s="19" t="n">
        <v>8056</v>
      </c>
      <c r="B21" s="14" t="n">
        <v>45497</v>
      </c>
      <c r="C21" s="16" t="s">
        <v>556</v>
      </c>
      <c r="D21" s="16" t="s">
        <v>24</v>
      </c>
      <c r="E21" s="16" t="s">
        <v>30</v>
      </c>
      <c r="F21" s="16" t="s">
        <v>559</v>
      </c>
      <c r="G21" s="16"/>
      <c r="H21" s="17" t="s">
        <v>28</v>
      </c>
      <c r="I21" s="16"/>
      <c r="J21" s="16" t="s">
        <v>37</v>
      </c>
      <c r="K21" s="16" t="s">
        <v>29</v>
      </c>
      <c r="L21" s="16" t="s">
        <v>29</v>
      </c>
      <c r="M21" s="16" t="s">
        <v>29</v>
      </c>
      <c r="N21" s="16" t="s">
        <v>558</v>
      </c>
      <c r="O21" s="16"/>
      <c r="P21" s="16"/>
      <c r="Q21" s="16"/>
      <c r="R21" s="16"/>
      <c r="S21" s="16"/>
      <c r="T21" s="16"/>
      <c r="U21" s="25"/>
      <c r="V21" s="16"/>
      <c r="W21" s="16"/>
      <c r="X21" s="16"/>
      <c r="Y21" s="16"/>
      <c r="Z21" s="16" t="s">
        <v>28</v>
      </c>
      <c r="AA21" s="12" t="s">
        <v>156</v>
      </c>
    </row>
    <row r="22" customFormat="false" ht="15.75" hidden="false" customHeight="false" outlineLevel="0" collapsed="false">
      <c r="A22" s="19" t="n">
        <v>8057</v>
      </c>
      <c r="B22" s="14" t="n">
        <v>45497</v>
      </c>
      <c r="C22" s="16" t="s">
        <v>556</v>
      </c>
      <c r="D22" s="16" t="s">
        <v>24</v>
      </c>
      <c r="E22" s="16" t="s">
        <v>30</v>
      </c>
      <c r="F22" s="16" t="s">
        <v>560</v>
      </c>
      <c r="G22" s="16" t="s">
        <v>561</v>
      </c>
      <c r="H22" s="17" t="s">
        <v>28</v>
      </c>
      <c r="I22" s="16"/>
      <c r="J22" s="16" t="s">
        <v>28</v>
      </c>
      <c r="K22" s="16" t="s">
        <v>29</v>
      </c>
      <c r="L22" s="16" t="s">
        <v>29</v>
      </c>
      <c r="M22" s="16" t="s">
        <v>29</v>
      </c>
      <c r="N22" s="16" t="s">
        <v>558</v>
      </c>
      <c r="O22" s="16"/>
      <c r="P22" s="16"/>
      <c r="Q22" s="16"/>
      <c r="R22" s="16"/>
      <c r="S22" s="16"/>
      <c r="T22" s="16"/>
      <c r="U22" s="16"/>
      <c r="V22" s="16" t="s">
        <v>74</v>
      </c>
      <c r="W22" s="17" t="s">
        <v>28</v>
      </c>
      <c r="X22" s="17" t="s">
        <v>28</v>
      </c>
      <c r="Y22" s="16" t="s">
        <v>36</v>
      </c>
      <c r="Z22" s="16" t="s">
        <v>28</v>
      </c>
      <c r="AA22" s="12" t="s">
        <v>48</v>
      </c>
    </row>
    <row r="23" customFormat="false" ht="15.75" hidden="false" customHeight="false" outlineLevel="0" collapsed="false">
      <c r="A23" s="19" t="n">
        <v>8058</v>
      </c>
      <c r="B23" s="14" t="n">
        <v>45497</v>
      </c>
      <c r="C23" s="16" t="s">
        <v>556</v>
      </c>
      <c r="D23" s="16" t="s">
        <v>24</v>
      </c>
      <c r="E23" s="16" t="s">
        <v>30</v>
      </c>
      <c r="F23" s="16" t="s">
        <v>560</v>
      </c>
      <c r="G23" s="16" t="s">
        <v>562</v>
      </c>
      <c r="H23" s="17" t="s">
        <v>28</v>
      </c>
      <c r="I23" s="16"/>
      <c r="J23" s="16" t="s">
        <v>28</v>
      </c>
      <c r="K23" s="16" t="s">
        <v>29</v>
      </c>
      <c r="L23" s="16" t="s">
        <v>29</v>
      </c>
      <c r="M23" s="16" t="s">
        <v>29</v>
      </c>
      <c r="N23" s="16" t="s">
        <v>558</v>
      </c>
      <c r="O23" s="16"/>
      <c r="P23" s="16"/>
      <c r="Q23" s="16"/>
      <c r="R23" s="16"/>
      <c r="S23" s="16"/>
      <c r="T23" s="16"/>
      <c r="U23" s="16"/>
      <c r="V23" s="16" t="s">
        <v>74</v>
      </c>
      <c r="W23" s="17" t="s">
        <v>28</v>
      </c>
      <c r="X23" s="17" t="s">
        <v>28</v>
      </c>
      <c r="Y23" s="16" t="s">
        <v>36</v>
      </c>
      <c r="Z23" s="16" t="s">
        <v>28</v>
      </c>
      <c r="AA23" s="12" t="s">
        <v>48</v>
      </c>
    </row>
    <row r="24" customFormat="false" ht="15.75" hidden="false" customHeight="false" outlineLevel="0" collapsed="false">
      <c r="A24" s="13" t="n">
        <v>8059</v>
      </c>
      <c r="B24" s="14" t="n">
        <v>45497</v>
      </c>
      <c r="C24" s="16" t="s">
        <v>556</v>
      </c>
      <c r="D24" s="16" t="s">
        <v>24</v>
      </c>
      <c r="E24" s="16" t="s">
        <v>30</v>
      </c>
      <c r="F24" s="16" t="s">
        <v>560</v>
      </c>
      <c r="G24" s="16" t="s">
        <v>563</v>
      </c>
      <c r="H24" s="17" t="s">
        <v>28</v>
      </c>
      <c r="I24" s="16"/>
      <c r="J24" s="16" t="s">
        <v>28</v>
      </c>
      <c r="K24" s="16" t="s">
        <v>29</v>
      </c>
      <c r="L24" s="16" t="s">
        <v>29</v>
      </c>
      <c r="M24" s="16" t="s">
        <v>29</v>
      </c>
      <c r="N24" s="16" t="s">
        <v>558</v>
      </c>
      <c r="O24" s="16"/>
      <c r="P24" s="16"/>
      <c r="Q24" s="16"/>
      <c r="R24" s="16"/>
      <c r="S24" s="16"/>
      <c r="T24" s="16"/>
      <c r="U24" s="16"/>
      <c r="V24" s="16" t="s">
        <v>74</v>
      </c>
      <c r="W24" s="17" t="s">
        <v>28</v>
      </c>
      <c r="X24" s="17" t="s">
        <v>28</v>
      </c>
      <c r="Y24" s="16" t="s">
        <v>36</v>
      </c>
      <c r="Z24" s="16" t="s">
        <v>28</v>
      </c>
      <c r="AA24" s="12" t="s">
        <v>32</v>
      </c>
    </row>
    <row r="25" customFormat="false" ht="15.75" hidden="false" customHeight="false" outlineLevel="0" collapsed="false">
      <c r="A25" s="13" t="n">
        <v>8060</v>
      </c>
      <c r="B25" s="14" t="n">
        <v>45497</v>
      </c>
      <c r="C25" s="16" t="s">
        <v>556</v>
      </c>
      <c r="D25" s="16" t="s">
        <v>24</v>
      </c>
      <c r="E25" s="16" t="s">
        <v>30</v>
      </c>
      <c r="F25" s="16" t="s">
        <v>560</v>
      </c>
      <c r="G25" s="16" t="s">
        <v>564</v>
      </c>
      <c r="H25" s="17" t="s">
        <v>28</v>
      </c>
      <c r="I25" s="16"/>
      <c r="J25" s="16" t="s">
        <v>28</v>
      </c>
      <c r="K25" s="16" t="s">
        <v>29</v>
      </c>
      <c r="L25" s="16" t="s">
        <v>29</v>
      </c>
      <c r="M25" s="16" t="s">
        <v>29</v>
      </c>
      <c r="N25" s="16" t="s">
        <v>558</v>
      </c>
      <c r="O25" s="16"/>
      <c r="P25" s="16"/>
      <c r="Q25" s="16"/>
      <c r="R25" s="16"/>
      <c r="S25" s="16"/>
      <c r="T25" s="16"/>
      <c r="U25" s="16"/>
      <c r="V25" s="16" t="s">
        <v>74</v>
      </c>
      <c r="W25" s="17" t="s">
        <v>28</v>
      </c>
      <c r="X25" s="17" t="s">
        <v>28</v>
      </c>
      <c r="Y25" s="16" t="s">
        <v>36</v>
      </c>
      <c r="Z25" s="16" t="s">
        <v>28</v>
      </c>
      <c r="AA25" s="12" t="s">
        <v>48</v>
      </c>
    </row>
    <row r="26" customFormat="false" ht="15.75" hidden="false" customHeight="false" outlineLevel="0" collapsed="false">
      <c r="A26" s="24" t="n">
        <v>8061</v>
      </c>
      <c r="B26" s="14" t="n">
        <v>45497</v>
      </c>
      <c r="C26" s="25" t="s">
        <v>565</v>
      </c>
      <c r="D26" s="16" t="s">
        <v>24</v>
      </c>
      <c r="E26" s="16" t="s">
        <v>30</v>
      </c>
      <c r="F26" s="25" t="s">
        <v>560</v>
      </c>
      <c r="G26" s="16" t="s">
        <v>566</v>
      </c>
      <c r="H26" s="17" t="s">
        <v>28</v>
      </c>
      <c r="I26" s="16"/>
      <c r="J26" s="16" t="s">
        <v>28</v>
      </c>
      <c r="K26" s="16" t="s">
        <v>29</v>
      </c>
      <c r="L26" s="16" t="s">
        <v>29</v>
      </c>
      <c r="M26" s="16" t="s">
        <v>29</v>
      </c>
      <c r="N26" s="16" t="s">
        <v>558</v>
      </c>
      <c r="O26" s="16"/>
      <c r="P26" s="16"/>
      <c r="Q26" s="16"/>
      <c r="R26" s="16"/>
      <c r="S26" s="16"/>
      <c r="T26" s="16"/>
      <c r="U26" s="16"/>
      <c r="V26" s="16" t="s">
        <v>74</v>
      </c>
      <c r="W26" s="17" t="s">
        <v>28</v>
      </c>
      <c r="X26" s="17" t="s">
        <v>28</v>
      </c>
      <c r="Y26" s="16" t="s">
        <v>36</v>
      </c>
      <c r="Z26" s="16" t="s">
        <v>28</v>
      </c>
      <c r="AA26" s="12" t="s">
        <v>48</v>
      </c>
    </row>
    <row r="27" customFormat="false" ht="15.75" hidden="false" customHeight="false" outlineLevel="0" collapsed="false">
      <c r="A27" s="13" t="n">
        <v>8062</v>
      </c>
      <c r="B27" s="14" t="n">
        <v>45497</v>
      </c>
      <c r="C27" s="25" t="s">
        <v>565</v>
      </c>
      <c r="D27" s="16" t="s">
        <v>24</v>
      </c>
      <c r="E27" s="25" t="s">
        <v>30</v>
      </c>
      <c r="F27" s="16" t="s">
        <v>560</v>
      </c>
      <c r="G27" s="16" t="s">
        <v>567</v>
      </c>
      <c r="H27" s="17" t="s">
        <v>28</v>
      </c>
      <c r="I27" s="16"/>
      <c r="J27" s="16" t="s">
        <v>28</v>
      </c>
      <c r="K27" s="16" t="s">
        <v>29</v>
      </c>
      <c r="L27" s="16" t="s">
        <v>29</v>
      </c>
      <c r="M27" s="16" t="s">
        <v>29</v>
      </c>
      <c r="N27" s="16" t="s">
        <v>558</v>
      </c>
      <c r="O27" s="16"/>
      <c r="P27" s="16"/>
      <c r="Q27" s="16"/>
      <c r="R27" s="16"/>
      <c r="S27" s="16"/>
      <c r="T27" s="16"/>
      <c r="U27" s="16"/>
      <c r="V27" s="16" t="s">
        <v>74</v>
      </c>
      <c r="W27" s="17" t="s">
        <v>28</v>
      </c>
      <c r="X27" s="17" t="s">
        <v>28</v>
      </c>
      <c r="Y27" s="16" t="s">
        <v>36</v>
      </c>
      <c r="Z27" s="16" t="s">
        <v>28</v>
      </c>
      <c r="AA27" s="12" t="s">
        <v>32</v>
      </c>
    </row>
    <row r="28" customFormat="false" ht="15.75" hidden="false" customHeight="false" outlineLevel="0" collapsed="false">
      <c r="A28" s="13" t="n">
        <v>8063</v>
      </c>
      <c r="B28" s="14" t="n">
        <v>45497</v>
      </c>
      <c r="C28" s="16" t="s">
        <v>565</v>
      </c>
      <c r="D28" s="16" t="s">
        <v>24</v>
      </c>
      <c r="E28" s="25" t="s">
        <v>30</v>
      </c>
      <c r="F28" s="16" t="s">
        <v>560</v>
      </c>
      <c r="G28" s="16" t="s">
        <v>567</v>
      </c>
      <c r="H28" s="17" t="s">
        <v>28</v>
      </c>
      <c r="I28" s="16"/>
      <c r="J28" s="16" t="s">
        <v>28</v>
      </c>
      <c r="K28" s="16" t="s">
        <v>29</v>
      </c>
      <c r="L28" s="16" t="s">
        <v>29</v>
      </c>
      <c r="M28" s="16" t="s">
        <v>29</v>
      </c>
      <c r="N28" s="16" t="s">
        <v>558</v>
      </c>
      <c r="O28" s="16"/>
      <c r="P28" s="16"/>
      <c r="Q28" s="16"/>
      <c r="R28" s="16"/>
      <c r="S28" s="16"/>
      <c r="T28" s="16"/>
      <c r="U28" s="16"/>
      <c r="V28" s="16" t="s">
        <v>74</v>
      </c>
      <c r="W28" s="17" t="s">
        <v>28</v>
      </c>
      <c r="X28" s="17" t="s">
        <v>28</v>
      </c>
      <c r="Y28" s="16" t="s">
        <v>36</v>
      </c>
      <c r="Z28" s="16" t="s">
        <v>28</v>
      </c>
      <c r="AA28" s="12" t="s">
        <v>32</v>
      </c>
    </row>
    <row r="29" customFormat="false" ht="15.75" hidden="false" customHeight="false" outlineLevel="0" collapsed="false">
      <c r="A29" s="13" t="n">
        <v>8065</v>
      </c>
      <c r="B29" s="14" t="n">
        <v>45497</v>
      </c>
      <c r="C29" s="16" t="s">
        <v>544</v>
      </c>
      <c r="D29" s="16" t="s">
        <v>24</v>
      </c>
      <c r="E29" s="25" t="s">
        <v>34</v>
      </c>
      <c r="F29" s="16" t="s">
        <v>568</v>
      </c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 t="s">
        <v>37</v>
      </c>
      <c r="X29" s="16" t="s">
        <v>37</v>
      </c>
      <c r="Y29" s="16"/>
      <c r="Z29" s="16" t="s">
        <v>28</v>
      </c>
      <c r="AA29" s="12" t="s">
        <v>32</v>
      </c>
    </row>
    <row r="30" customFormat="false" ht="15.75" hidden="false" customHeight="false" outlineLevel="0" collapsed="false">
      <c r="A30" s="13" t="n">
        <v>8066</v>
      </c>
      <c r="B30" s="14" t="n">
        <v>45498</v>
      </c>
      <c r="C30" s="16" t="s">
        <v>188</v>
      </c>
      <c r="D30" s="16" t="s">
        <v>24</v>
      </c>
      <c r="E30" s="16" t="s">
        <v>34</v>
      </c>
      <c r="F30" s="16" t="s">
        <v>569</v>
      </c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 t="s">
        <v>37</v>
      </c>
      <c r="X30" s="16" t="s">
        <v>37</v>
      </c>
      <c r="Y30" s="16"/>
      <c r="Z30" s="16" t="s">
        <v>28</v>
      </c>
      <c r="AA30" s="12" t="s">
        <v>32</v>
      </c>
    </row>
    <row r="31" customFormat="false" ht="15.75" hidden="false" customHeight="false" outlineLevel="0" collapsed="false">
      <c r="A31" s="13" t="n">
        <v>8067</v>
      </c>
      <c r="B31" s="14" t="n">
        <v>45498</v>
      </c>
      <c r="C31" s="16" t="s">
        <v>91</v>
      </c>
      <c r="D31" s="16" t="s">
        <v>24</v>
      </c>
      <c r="E31" s="16" t="s">
        <v>34</v>
      </c>
      <c r="F31" s="16" t="s">
        <v>570</v>
      </c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 t="s">
        <v>37</v>
      </c>
      <c r="X31" s="16" t="s">
        <v>37</v>
      </c>
      <c r="Y31" s="16"/>
      <c r="Z31" s="16" t="s">
        <v>28</v>
      </c>
      <c r="AA31" s="12" t="s">
        <v>32</v>
      </c>
    </row>
    <row r="32" customFormat="false" ht="15.75" hidden="false" customHeight="false" outlineLevel="0" collapsed="false">
      <c r="A32" s="13" t="n">
        <v>8068</v>
      </c>
      <c r="B32" s="14" t="n">
        <v>45498</v>
      </c>
      <c r="C32" s="16" t="s">
        <v>571</v>
      </c>
      <c r="D32" s="16" t="s">
        <v>24</v>
      </c>
      <c r="E32" s="16" t="s">
        <v>25</v>
      </c>
      <c r="F32" s="16" t="s">
        <v>572</v>
      </c>
      <c r="G32" s="16" t="s">
        <v>573</v>
      </c>
      <c r="H32" s="27" t="s">
        <v>28</v>
      </c>
      <c r="I32" s="16"/>
      <c r="J32" s="16" t="s">
        <v>28</v>
      </c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 t="s">
        <v>74</v>
      </c>
      <c r="W32" s="17" t="s">
        <v>28</v>
      </c>
      <c r="X32" s="17" t="s">
        <v>28</v>
      </c>
      <c r="Y32" s="16" t="s">
        <v>36</v>
      </c>
      <c r="Z32" s="16" t="s">
        <v>28</v>
      </c>
      <c r="AA32" s="12" t="s">
        <v>32</v>
      </c>
    </row>
    <row r="33" customFormat="false" ht="15.75" hidden="false" customHeight="false" outlineLevel="0" collapsed="false">
      <c r="A33" s="13" t="n">
        <v>8069</v>
      </c>
      <c r="B33" s="14" t="n">
        <v>45499</v>
      </c>
      <c r="C33" s="16" t="s">
        <v>574</v>
      </c>
      <c r="D33" s="16" t="s">
        <v>24</v>
      </c>
      <c r="E33" s="16" t="s">
        <v>30</v>
      </c>
      <c r="F33" s="16" t="s">
        <v>127</v>
      </c>
      <c r="G33" s="16" t="s">
        <v>575</v>
      </c>
      <c r="H33" s="17" t="s">
        <v>28</v>
      </c>
      <c r="I33" s="16"/>
      <c r="J33" s="16" t="s">
        <v>28</v>
      </c>
      <c r="K33" s="16" t="s">
        <v>29</v>
      </c>
      <c r="L33" s="16" t="s">
        <v>29</v>
      </c>
      <c r="M33" s="16" t="s">
        <v>29</v>
      </c>
      <c r="N33" s="16"/>
      <c r="O33" s="16" t="s">
        <v>576</v>
      </c>
      <c r="P33" s="16"/>
      <c r="Q33" s="16" t="s">
        <v>28</v>
      </c>
      <c r="R33" s="17" t="s">
        <v>28</v>
      </c>
      <c r="S33" s="16" t="s">
        <v>29</v>
      </c>
      <c r="T33" s="16" t="s">
        <v>30</v>
      </c>
      <c r="U33" s="16"/>
      <c r="V33" s="16"/>
      <c r="W33" s="16"/>
      <c r="X33" s="16"/>
      <c r="Y33" s="16"/>
      <c r="Z33" s="16" t="s">
        <v>28</v>
      </c>
      <c r="AA33" s="12" t="s">
        <v>32</v>
      </c>
    </row>
    <row r="34" customFormat="false" ht="15.75" hidden="false" customHeight="false" outlineLevel="0" collapsed="false">
      <c r="A34" s="13" t="s">
        <v>577</v>
      </c>
      <c r="B34" s="14" t="n">
        <v>45502</v>
      </c>
      <c r="C34" s="20" t="s">
        <v>571</v>
      </c>
      <c r="D34" s="16" t="s">
        <v>578</v>
      </c>
      <c r="E34" s="16" t="s">
        <v>25</v>
      </c>
      <c r="F34" s="16" t="s">
        <v>579</v>
      </c>
      <c r="G34" s="16" t="s">
        <v>573</v>
      </c>
      <c r="H34" s="17" t="s">
        <v>28</v>
      </c>
      <c r="I34" s="16"/>
      <c r="J34" s="16" t="s">
        <v>28</v>
      </c>
      <c r="K34" s="16" t="s">
        <v>29</v>
      </c>
      <c r="L34" s="16" t="s">
        <v>29</v>
      </c>
      <c r="M34" s="16" t="s">
        <v>29</v>
      </c>
      <c r="N34" s="16" t="n">
        <v>4870</v>
      </c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 t="s">
        <v>37</v>
      </c>
      <c r="AA34" s="12" t="s">
        <v>40</v>
      </c>
    </row>
    <row r="35" customFormat="false" ht="15.75" hidden="false" customHeight="false" outlineLevel="0" collapsed="false">
      <c r="A35" s="13" t="s">
        <v>580</v>
      </c>
      <c r="B35" s="14" t="n">
        <v>45502</v>
      </c>
      <c r="C35" s="15" t="s">
        <v>402</v>
      </c>
      <c r="D35" s="16" t="s">
        <v>578</v>
      </c>
      <c r="E35" s="16" t="s">
        <v>25</v>
      </c>
      <c r="F35" s="16" t="s">
        <v>581</v>
      </c>
      <c r="G35" s="16" t="s">
        <v>582</v>
      </c>
      <c r="H35" s="17" t="s">
        <v>28</v>
      </c>
      <c r="I35" s="16"/>
      <c r="J35" s="16" t="s">
        <v>28</v>
      </c>
      <c r="K35" s="16" t="s">
        <v>29</v>
      </c>
      <c r="L35" s="16" t="s">
        <v>29</v>
      </c>
      <c r="M35" s="16" t="s">
        <v>29</v>
      </c>
      <c r="N35" s="16" t="s">
        <v>583</v>
      </c>
      <c r="O35" s="16"/>
      <c r="P35" s="16"/>
      <c r="Q35" s="16" t="s">
        <v>28</v>
      </c>
      <c r="R35" s="17" t="s">
        <v>28</v>
      </c>
      <c r="S35" s="16" t="s">
        <v>73</v>
      </c>
      <c r="T35" s="16" t="s">
        <v>74</v>
      </c>
      <c r="U35" s="16" t="s">
        <v>36</v>
      </c>
      <c r="V35" s="16" t="s">
        <v>74</v>
      </c>
      <c r="W35" s="17" t="s">
        <v>28</v>
      </c>
      <c r="X35" s="17" t="s">
        <v>28</v>
      </c>
      <c r="Y35" s="16" t="s">
        <v>36</v>
      </c>
      <c r="Z35" s="16" t="s">
        <v>37</v>
      </c>
      <c r="AA35" s="12" t="s">
        <v>40</v>
      </c>
    </row>
    <row r="36" customFormat="false" ht="15.75" hidden="false" customHeight="false" outlineLevel="0" collapsed="false">
      <c r="A36" s="44" t="n">
        <v>2156028</v>
      </c>
      <c r="B36" s="14" t="n">
        <v>45502</v>
      </c>
      <c r="C36" s="15" t="s">
        <v>402</v>
      </c>
      <c r="D36" s="16" t="s">
        <v>24</v>
      </c>
      <c r="E36" s="16" t="s">
        <v>25</v>
      </c>
      <c r="F36" s="16" t="s">
        <v>584</v>
      </c>
      <c r="G36" s="16" t="s">
        <v>585</v>
      </c>
      <c r="H36" s="17" t="s">
        <v>28</v>
      </c>
      <c r="I36" s="16"/>
      <c r="J36" s="16" t="s">
        <v>28</v>
      </c>
      <c r="K36" s="16" t="s">
        <v>29</v>
      </c>
      <c r="L36" s="16" t="s">
        <v>29</v>
      </c>
      <c r="M36" s="16" t="s">
        <v>29</v>
      </c>
      <c r="N36" s="16" t="s">
        <v>583</v>
      </c>
      <c r="O36" s="16"/>
      <c r="P36" s="18"/>
      <c r="Q36" s="16" t="s">
        <v>28</v>
      </c>
      <c r="R36" s="17" t="s">
        <v>28</v>
      </c>
      <c r="S36" s="16" t="s">
        <v>73</v>
      </c>
      <c r="T36" s="16" t="s">
        <v>74</v>
      </c>
      <c r="U36" s="16" t="s">
        <v>36</v>
      </c>
      <c r="V36" s="16" t="s">
        <v>58</v>
      </c>
      <c r="W36" s="17" t="s">
        <v>28</v>
      </c>
      <c r="X36" s="17" t="s">
        <v>28</v>
      </c>
      <c r="Y36" s="16" t="s">
        <v>36</v>
      </c>
      <c r="Z36" s="16" t="s">
        <v>28</v>
      </c>
      <c r="AA36" s="12" t="s">
        <v>32</v>
      </c>
    </row>
    <row r="37" customFormat="false" ht="15.75" hidden="false" customHeight="false" outlineLevel="0" collapsed="false">
      <c r="A37" s="13" t="n">
        <v>8071</v>
      </c>
      <c r="B37" s="14" t="n">
        <v>45502</v>
      </c>
      <c r="C37" s="21" t="s">
        <v>412</v>
      </c>
      <c r="D37" s="16" t="s">
        <v>24</v>
      </c>
      <c r="E37" s="16" t="s">
        <v>25</v>
      </c>
      <c r="F37" s="16" t="s">
        <v>586</v>
      </c>
      <c r="G37" s="16"/>
      <c r="H37" s="17" t="s">
        <v>28</v>
      </c>
      <c r="I37" s="16"/>
      <c r="J37" s="16" t="s">
        <v>28</v>
      </c>
      <c r="K37" s="16" t="s">
        <v>29</v>
      </c>
      <c r="L37" s="16" t="s">
        <v>29</v>
      </c>
      <c r="M37" s="16" t="s">
        <v>29</v>
      </c>
      <c r="N37" s="16" t="n">
        <v>19233</v>
      </c>
      <c r="O37" s="16"/>
      <c r="P37" s="18"/>
      <c r="Q37" s="16"/>
      <c r="R37" s="16"/>
      <c r="S37" s="16"/>
      <c r="T37" s="16"/>
      <c r="U37" s="16"/>
      <c r="V37" s="16" t="s">
        <v>58</v>
      </c>
      <c r="W37" s="17" t="s">
        <v>28</v>
      </c>
      <c r="X37" s="16" t="s">
        <v>28</v>
      </c>
      <c r="Y37" s="16" t="s">
        <v>36</v>
      </c>
      <c r="Z37" s="16" t="s">
        <v>28</v>
      </c>
      <c r="AA37" s="12" t="s">
        <v>32</v>
      </c>
    </row>
    <row r="38" customFormat="false" ht="15.75" hidden="false" customHeight="false" outlineLevel="0" collapsed="false">
      <c r="A38" s="13" t="n">
        <v>8072</v>
      </c>
      <c r="B38" s="22" t="n">
        <v>45502</v>
      </c>
      <c r="C38" s="16" t="s">
        <v>412</v>
      </c>
      <c r="D38" s="16" t="s">
        <v>24</v>
      </c>
      <c r="E38" s="16" t="s">
        <v>25</v>
      </c>
      <c r="F38" s="16" t="s">
        <v>586</v>
      </c>
      <c r="G38" s="16"/>
      <c r="H38" s="17" t="s">
        <v>28</v>
      </c>
      <c r="I38" s="16"/>
      <c r="J38" s="16" t="s">
        <v>28</v>
      </c>
      <c r="K38" s="16" t="s">
        <v>29</v>
      </c>
      <c r="L38" s="16" t="s">
        <v>29</v>
      </c>
      <c r="M38" s="16" t="s">
        <v>29</v>
      </c>
      <c r="N38" s="16" t="n">
        <v>19233</v>
      </c>
      <c r="O38" s="16"/>
      <c r="P38" s="18"/>
      <c r="Q38" s="16"/>
      <c r="R38" s="16"/>
      <c r="S38" s="16"/>
      <c r="T38" s="16"/>
      <c r="U38" s="16"/>
      <c r="V38" s="16" t="s">
        <v>74</v>
      </c>
      <c r="W38" s="17" t="s">
        <v>28</v>
      </c>
      <c r="X38" s="17" t="s">
        <v>28</v>
      </c>
      <c r="Y38" s="16" t="s">
        <v>36</v>
      </c>
      <c r="Z38" s="16" t="s">
        <v>28</v>
      </c>
      <c r="AA38" s="12" t="s">
        <v>32</v>
      </c>
    </row>
    <row r="39" customFormat="false" ht="15.75" hidden="false" customHeight="false" outlineLevel="0" collapsed="false">
      <c r="A39" s="13" t="n">
        <v>8073</v>
      </c>
      <c r="B39" s="14" t="n">
        <v>45502</v>
      </c>
      <c r="C39" s="16" t="s">
        <v>587</v>
      </c>
      <c r="D39" s="16" t="s">
        <v>24</v>
      </c>
      <c r="E39" s="16" t="s">
        <v>34</v>
      </c>
      <c r="F39" s="16" t="s">
        <v>588</v>
      </c>
      <c r="G39" s="16"/>
      <c r="H39" s="16" t="s">
        <v>37</v>
      </c>
      <c r="I39" s="16"/>
      <c r="J39" s="16" t="s">
        <v>37</v>
      </c>
      <c r="K39" s="16" t="s">
        <v>36</v>
      </c>
      <c r="L39" s="16" t="s">
        <v>36</v>
      </c>
      <c r="M39" s="16" t="s">
        <v>36</v>
      </c>
      <c r="N39" s="16" t="s">
        <v>36</v>
      </c>
      <c r="O39" s="16" t="s">
        <v>36</v>
      </c>
      <c r="P39" s="16"/>
      <c r="Q39" s="16" t="s">
        <v>37</v>
      </c>
      <c r="R39" s="16" t="s">
        <v>37</v>
      </c>
      <c r="S39" s="16" t="s">
        <v>36</v>
      </c>
      <c r="T39" s="16" t="s">
        <v>36</v>
      </c>
      <c r="U39" s="16" t="s">
        <v>36</v>
      </c>
      <c r="V39" s="16" t="s">
        <v>36</v>
      </c>
      <c r="W39" s="16" t="s">
        <v>37</v>
      </c>
      <c r="X39" s="16" t="s">
        <v>37</v>
      </c>
      <c r="Y39" s="16" t="s">
        <v>36</v>
      </c>
      <c r="Z39" s="16" t="s">
        <v>37</v>
      </c>
      <c r="AA39" s="12" t="s">
        <v>40</v>
      </c>
    </row>
    <row r="40" customFormat="false" ht="15.75" hidden="false" customHeight="false" outlineLevel="0" collapsed="false">
      <c r="A40" s="28" t="n">
        <v>8074</v>
      </c>
      <c r="B40" s="14" t="n">
        <v>45503</v>
      </c>
      <c r="C40" s="21" t="s">
        <v>465</v>
      </c>
      <c r="D40" s="16" t="s">
        <v>24</v>
      </c>
      <c r="E40" s="16" t="s">
        <v>34</v>
      </c>
      <c r="F40" s="16" t="s">
        <v>589</v>
      </c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 t="s">
        <v>37</v>
      </c>
      <c r="X40" s="16" t="s">
        <v>37</v>
      </c>
      <c r="Y40" s="16"/>
      <c r="Z40" s="16" t="s">
        <v>28</v>
      </c>
      <c r="AA40" s="12" t="s">
        <v>32</v>
      </c>
    </row>
    <row r="41" customFormat="false" ht="15.75" hidden="false" customHeight="false" outlineLevel="0" collapsed="false">
      <c r="A41" s="13" t="n">
        <v>8075</v>
      </c>
      <c r="B41" s="14" t="n">
        <v>45503</v>
      </c>
      <c r="C41" s="15" t="s">
        <v>590</v>
      </c>
      <c r="D41" s="16" t="s">
        <v>24</v>
      </c>
      <c r="E41" s="16" t="s">
        <v>34</v>
      </c>
      <c r="F41" s="16" t="s">
        <v>591</v>
      </c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 t="s">
        <v>37</v>
      </c>
      <c r="X41" s="16" t="s">
        <v>37</v>
      </c>
      <c r="Y41" s="16"/>
      <c r="Z41" s="16" t="s">
        <v>28</v>
      </c>
      <c r="AA41" s="12" t="s">
        <v>32</v>
      </c>
    </row>
    <row r="42" customFormat="false" ht="15.75" hidden="false" customHeight="false" outlineLevel="0" collapsed="false">
      <c r="A42" s="13" t="s">
        <v>592</v>
      </c>
      <c r="B42" s="14" t="n">
        <v>45504</v>
      </c>
      <c r="C42" s="15" t="s">
        <v>593</v>
      </c>
      <c r="D42" s="16" t="s">
        <v>578</v>
      </c>
      <c r="E42" s="16" t="s">
        <v>25</v>
      </c>
      <c r="F42" s="16" t="s">
        <v>594</v>
      </c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 t="s">
        <v>28</v>
      </c>
      <c r="R42" s="17" t="s">
        <v>28</v>
      </c>
      <c r="S42" s="16" t="s">
        <v>595</v>
      </c>
      <c r="T42" s="16" t="s">
        <v>186</v>
      </c>
      <c r="U42" s="16"/>
      <c r="V42" s="16"/>
      <c r="W42" s="16"/>
      <c r="X42" s="16"/>
      <c r="Y42" s="16"/>
      <c r="Z42" s="16" t="s">
        <v>37</v>
      </c>
      <c r="AA42" s="12" t="s">
        <v>40</v>
      </c>
    </row>
    <row r="43" customFormat="false" ht="15.75" hidden="false" customHeight="false" outlineLevel="0" collapsed="false">
      <c r="A43" s="13" t="n">
        <v>8076</v>
      </c>
      <c r="B43" s="14" t="n">
        <v>45504</v>
      </c>
      <c r="C43" s="15" t="s">
        <v>596</v>
      </c>
      <c r="D43" s="16" t="s">
        <v>24</v>
      </c>
      <c r="E43" s="16" t="s">
        <v>34</v>
      </c>
      <c r="F43" s="16" t="s">
        <v>597</v>
      </c>
      <c r="G43" s="16"/>
      <c r="H43" s="16"/>
      <c r="I43" s="16"/>
      <c r="J43" s="16"/>
      <c r="K43" s="16"/>
      <c r="L43" s="16" t="n">
        <v>3571577794</v>
      </c>
      <c r="M43" s="16"/>
      <c r="N43" s="16"/>
      <c r="O43" s="16" t="s">
        <v>598</v>
      </c>
      <c r="P43" s="18"/>
      <c r="Q43" s="16"/>
      <c r="R43" s="16"/>
      <c r="S43" s="16"/>
      <c r="T43" s="16"/>
      <c r="U43" s="16"/>
      <c r="V43" s="16"/>
      <c r="W43" s="16" t="s">
        <v>37</v>
      </c>
      <c r="X43" s="16" t="s">
        <v>37</v>
      </c>
      <c r="Y43" s="16"/>
      <c r="Z43" s="16" t="s">
        <v>28</v>
      </c>
      <c r="AA43" s="12" t="s">
        <v>156</v>
      </c>
    </row>
    <row r="44" customFormat="false" ht="15.75" hidden="false" customHeight="false" outlineLevel="0" collapsed="false">
      <c r="A44" s="13"/>
      <c r="B44" s="14"/>
      <c r="C44" s="15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8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2"/>
    </row>
    <row r="45" customFormat="false" ht="15.75" hidden="false" customHeight="false" outlineLevel="0" collapsed="false">
      <c r="A45" s="13"/>
      <c r="B45" s="14"/>
      <c r="C45" s="15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8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48"/>
      <c r="AB45" s="12"/>
    </row>
    <row r="46" customFormat="false" ht="15.75" hidden="false" customHeight="false" outlineLevel="0" collapsed="false">
      <c r="A46" s="13"/>
      <c r="B46" s="14"/>
      <c r="C46" s="15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48"/>
      <c r="AB46" s="12"/>
    </row>
    <row r="47" customFormat="false" ht="15.75" hidden="false" customHeight="false" outlineLevel="0" collapsed="false">
      <c r="A47" s="13"/>
      <c r="B47" s="14"/>
      <c r="C47" s="15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48"/>
      <c r="AB47" s="12"/>
    </row>
    <row r="48" customFormat="false" ht="15.75" hidden="false" customHeight="false" outlineLevel="0" collapsed="false">
      <c r="A48" s="13"/>
      <c r="B48" s="14"/>
      <c r="C48" s="15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48"/>
      <c r="AB48" s="12"/>
    </row>
    <row r="49" customFormat="false" ht="15.75" hidden="false" customHeight="false" outlineLevel="0" collapsed="false">
      <c r="A49" s="13"/>
      <c r="B49" s="14"/>
      <c r="C49" s="15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</row>
    <row r="50" customFormat="false" ht="15.75" hidden="false" customHeight="false" outlineLevel="0" collapsed="false">
      <c r="A50" s="13"/>
      <c r="B50" s="14"/>
      <c r="C50" s="15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8"/>
      <c r="Q50" s="16"/>
      <c r="R50" s="16"/>
      <c r="S50" s="16"/>
      <c r="T50" s="16"/>
      <c r="U50" s="16"/>
      <c r="V50" s="16"/>
      <c r="W50" s="16"/>
      <c r="X50" s="16"/>
      <c r="Y50" s="16"/>
      <c r="Z50" s="16"/>
    </row>
    <row r="51" customFormat="false" ht="15.75" hidden="false" customHeight="false" outlineLevel="0" collapsed="false">
      <c r="A51" s="13"/>
      <c r="B51" s="14"/>
      <c r="C51" s="15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8"/>
      <c r="Q51" s="16"/>
      <c r="R51" s="16"/>
      <c r="S51" s="16"/>
      <c r="T51" s="16"/>
      <c r="U51" s="16"/>
      <c r="V51" s="16"/>
      <c r="W51" s="16"/>
      <c r="X51" s="16"/>
      <c r="Y51" s="16"/>
      <c r="Z51" s="16"/>
    </row>
    <row r="52" customFormat="false" ht="15.75" hidden="false" customHeight="false" outlineLevel="0" collapsed="false">
      <c r="A52" s="13"/>
      <c r="B52" s="14"/>
      <c r="C52" s="15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8"/>
      <c r="Q52" s="16"/>
      <c r="R52" s="16"/>
      <c r="S52" s="16"/>
      <c r="T52" s="16"/>
      <c r="U52" s="16"/>
      <c r="V52" s="16"/>
      <c r="W52" s="16"/>
      <c r="X52" s="16"/>
      <c r="Y52" s="16"/>
      <c r="Z52" s="16"/>
    </row>
    <row r="53" customFormat="false" ht="15.75" hidden="false" customHeight="false" outlineLevel="0" collapsed="false">
      <c r="A53" s="13"/>
      <c r="B53" s="14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</row>
    <row r="54" customFormat="false" ht="15.75" hidden="false" customHeight="false" outlineLevel="0" collapsed="false">
      <c r="A54" s="13"/>
      <c r="B54" s="14"/>
      <c r="C54" s="21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</row>
    <row r="55" customFormat="false" ht="15.75" hidden="false" customHeight="false" outlineLevel="0" collapsed="false">
      <c r="A55" s="13"/>
      <c r="B55" s="14"/>
      <c r="C55" s="15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</row>
    <row r="56" customFormat="false" ht="15.75" hidden="false" customHeight="false" outlineLevel="0" collapsed="false">
      <c r="A56" s="13"/>
      <c r="B56" s="14"/>
      <c r="C56" s="15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</row>
    <row r="57" customFormat="false" ht="15.75" hidden="false" customHeight="false" outlineLevel="0" collapsed="false">
      <c r="A57" s="44"/>
      <c r="B57" s="14"/>
      <c r="C57" s="15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8"/>
      <c r="Q57" s="16"/>
      <c r="R57" s="16"/>
      <c r="S57" s="16"/>
      <c r="T57" s="16"/>
      <c r="U57" s="16"/>
      <c r="V57" s="16"/>
      <c r="W57" s="16"/>
      <c r="X57" s="16"/>
      <c r="Y57" s="16"/>
      <c r="Z57" s="16"/>
    </row>
    <row r="58" customFormat="false" ht="15.75" hidden="false" customHeight="false" outlineLevel="0" collapsed="false">
      <c r="A58" s="13"/>
      <c r="B58" s="14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8"/>
      <c r="Q58" s="16"/>
      <c r="R58" s="16"/>
      <c r="S58" s="16"/>
      <c r="T58" s="16"/>
      <c r="U58" s="16"/>
      <c r="V58" s="16"/>
      <c r="W58" s="16"/>
      <c r="X58" s="16"/>
      <c r="Y58" s="16"/>
      <c r="Z58" s="16"/>
    </row>
    <row r="59" customFormat="false" ht="15.75" hidden="false" customHeight="false" outlineLevel="0" collapsed="false">
      <c r="A59" s="13"/>
      <c r="B59" s="14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8"/>
      <c r="Q59" s="16"/>
      <c r="R59" s="16"/>
      <c r="S59" s="16"/>
      <c r="T59" s="16"/>
      <c r="U59" s="16"/>
      <c r="V59" s="16"/>
      <c r="W59" s="16"/>
      <c r="X59" s="16"/>
      <c r="Y59" s="16"/>
      <c r="Z59" s="16"/>
    </row>
    <row r="60" customFormat="false" ht="15.75" hidden="false" customHeight="false" outlineLevel="0" collapsed="false">
      <c r="A60" s="21"/>
      <c r="B60" s="29"/>
      <c r="C60" s="21"/>
      <c r="D60" s="21"/>
      <c r="E60" s="21"/>
      <c r="F60" s="21"/>
      <c r="G60" s="30"/>
      <c r="H60" s="31"/>
      <c r="I60" s="31"/>
      <c r="J60" s="21"/>
      <c r="K60" s="21"/>
      <c r="L60" s="21"/>
      <c r="M60" s="21"/>
      <c r="N60" s="21"/>
      <c r="O60" s="21"/>
      <c r="P60" s="30"/>
      <c r="Q60" s="21"/>
      <c r="R60" s="21"/>
      <c r="S60" s="21"/>
      <c r="T60" s="32"/>
      <c r="U60" s="32"/>
      <c r="V60" s="21"/>
      <c r="W60" s="21"/>
      <c r="X60" s="21"/>
      <c r="Y60" s="21"/>
      <c r="Z60" s="21"/>
    </row>
    <row r="61" customFormat="false" ht="15.75" hidden="false" customHeight="false" outlineLevel="0" collapsed="false">
      <c r="A61" s="47"/>
      <c r="B61" s="29"/>
      <c r="C61" s="21"/>
      <c r="D61" s="21"/>
      <c r="E61" s="21"/>
      <c r="F61" s="21"/>
      <c r="G61" s="30"/>
      <c r="H61" s="31"/>
      <c r="I61" s="31"/>
      <c r="J61" s="21"/>
      <c r="K61" s="21"/>
      <c r="L61" s="21"/>
      <c r="M61" s="21"/>
      <c r="N61" s="21"/>
      <c r="O61" s="21"/>
      <c r="P61" s="30"/>
      <c r="Q61" s="21"/>
      <c r="R61" s="21"/>
      <c r="S61" s="21"/>
      <c r="T61" s="32"/>
      <c r="U61" s="32"/>
      <c r="V61" s="21"/>
      <c r="W61" s="21"/>
      <c r="X61" s="21"/>
      <c r="Y61" s="21"/>
      <c r="Z61" s="21"/>
    </row>
    <row r="62" customFormat="false" ht="15.75" hidden="false" customHeight="false" outlineLevel="0" collapsed="false">
      <c r="A62" s="21"/>
      <c r="B62" s="29"/>
      <c r="C62" s="21"/>
      <c r="D62" s="21"/>
      <c r="E62" s="21"/>
      <c r="F62" s="21"/>
      <c r="G62" s="30"/>
      <c r="H62" s="31"/>
      <c r="I62" s="31"/>
      <c r="J62" s="21"/>
      <c r="K62" s="21"/>
      <c r="L62" s="21"/>
      <c r="M62" s="21"/>
      <c r="N62" s="21"/>
      <c r="O62" s="21"/>
      <c r="P62" s="30"/>
      <c r="Q62" s="21"/>
      <c r="R62" s="21"/>
      <c r="S62" s="21"/>
      <c r="T62" s="32"/>
      <c r="U62" s="32"/>
      <c r="V62" s="21"/>
      <c r="W62" s="21"/>
      <c r="X62" s="21"/>
      <c r="Y62" s="21"/>
      <c r="Z62" s="21"/>
    </row>
    <row r="63" customFormat="false" ht="15.75" hidden="false" customHeight="false" outlineLevel="0" collapsed="false">
      <c r="A63" s="47"/>
      <c r="B63" s="29"/>
      <c r="C63" s="21"/>
      <c r="D63" s="21"/>
      <c r="E63" s="21"/>
      <c r="F63" s="21"/>
      <c r="G63" s="30"/>
      <c r="H63" s="31"/>
      <c r="I63" s="31"/>
      <c r="J63" s="21"/>
      <c r="K63" s="21"/>
      <c r="L63" s="21"/>
      <c r="M63" s="21"/>
      <c r="N63" s="21"/>
      <c r="O63" s="21"/>
      <c r="P63" s="30"/>
      <c r="Q63" s="21"/>
      <c r="R63" s="21"/>
      <c r="S63" s="21"/>
      <c r="T63" s="32"/>
      <c r="U63" s="32"/>
      <c r="V63" s="21"/>
      <c r="W63" s="21"/>
      <c r="X63" s="21"/>
      <c r="Y63" s="21"/>
      <c r="Z63" s="21"/>
    </row>
    <row r="64" customFormat="false" ht="15.75" hidden="false" customHeight="false" outlineLevel="0" collapsed="false">
      <c r="A64" s="47"/>
      <c r="B64" s="29"/>
      <c r="C64" s="21"/>
      <c r="D64" s="21"/>
      <c r="E64" s="21"/>
      <c r="F64" s="21"/>
      <c r="G64" s="30"/>
      <c r="H64" s="31"/>
      <c r="I64" s="31"/>
      <c r="J64" s="21"/>
      <c r="K64" s="21"/>
      <c r="L64" s="21"/>
      <c r="M64" s="21"/>
      <c r="N64" s="21"/>
      <c r="O64" s="21"/>
      <c r="P64" s="30"/>
      <c r="Q64" s="21"/>
      <c r="R64" s="21"/>
      <c r="S64" s="21"/>
      <c r="T64" s="32"/>
      <c r="U64" s="32"/>
      <c r="V64" s="21"/>
      <c r="W64" s="21"/>
      <c r="X64" s="21"/>
      <c r="Y64" s="21"/>
      <c r="Z64" s="21"/>
    </row>
    <row r="65" customFormat="false" ht="15.75" hidden="false" customHeight="false" outlineLevel="0" collapsed="false">
      <c r="A65" s="21"/>
      <c r="B65" s="33"/>
      <c r="C65" s="21"/>
      <c r="D65" s="21"/>
      <c r="E65" s="21"/>
      <c r="F65" s="21"/>
      <c r="G65" s="30"/>
      <c r="H65" s="31"/>
      <c r="I65" s="31"/>
      <c r="J65" s="21"/>
      <c r="K65" s="21"/>
      <c r="L65" s="21"/>
      <c r="M65" s="21"/>
      <c r="N65" s="21"/>
      <c r="O65" s="21"/>
      <c r="P65" s="30"/>
      <c r="Q65" s="21"/>
      <c r="R65" s="21"/>
      <c r="S65" s="21"/>
      <c r="T65" s="32"/>
      <c r="U65" s="32"/>
      <c r="V65" s="21"/>
      <c r="W65" s="21"/>
      <c r="X65" s="21"/>
      <c r="Y65" s="21"/>
      <c r="Z65" s="21"/>
    </row>
    <row r="66" customFormat="false" ht="15.75" hidden="false" customHeight="false" outlineLevel="0" collapsed="false">
      <c r="A66" s="21"/>
      <c r="B66" s="29"/>
      <c r="C66" s="21"/>
      <c r="D66" s="21"/>
      <c r="E66" s="21"/>
      <c r="F66" s="21"/>
      <c r="G66" s="30"/>
      <c r="H66" s="31"/>
      <c r="I66" s="31"/>
      <c r="J66" s="21"/>
      <c r="K66" s="21"/>
      <c r="L66" s="21"/>
      <c r="M66" s="21"/>
      <c r="N66" s="21"/>
      <c r="O66" s="21"/>
      <c r="P66" s="30"/>
      <c r="Q66" s="21"/>
      <c r="R66" s="21"/>
      <c r="S66" s="21"/>
      <c r="T66" s="32"/>
      <c r="U66" s="32"/>
      <c r="V66" s="21"/>
      <c r="W66" s="21"/>
      <c r="X66" s="21"/>
      <c r="Y66" s="21"/>
      <c r="Z66" s="21"/>
    </row>
    <row r="67" customFormat="false" ht="15.75" hidden="false" customHeight="false" outlineLevel="0" collapsed="false">
      <c r="A67" s="21"/>
      <c r="B67" s="29"/>
      <c r="C67" s="21"/>
      <c r="D67" s="21"/>
      <c r="E67" s="21"/>
      <c r="F67" s="21"/>
      <c r="G67" s="30"/>
      <c r="H67" s="31"/>
      <c r="I67" s="31"/>
      <c r="J67" s="21"/>
      <c r="K67" s="21"/>
      <c r="L67" s="21"/>
      <c r="M67" s="21"/>
      <c r="N67" s="21"/>
      <c r="O67" s="21"/>
      <c r="P67" s="30"/>
      <c r="Q67" s="21"/>
      <c r="R67" s="21"/>
      <c r="S67" s="21"/>
      <c r="T67" s="32"/>
      <c r="U67" s="32"/>
      <c r="V67" s="21"/>
      <c r="W67" s="21"/>
      <c r="X67" s="21"/>
      <c r="Y67" s="21"/>
      <c r="Z67" s="21"/>
    </row>
    <row r="68" customFormat="false" ht="15.75" hidden="false" customHeight="false" outlineLevel="0" collapsed="false">
      <c r="A68" s="21"/>
      <c r="B68" s="29"/>
      <c r="C68" s="21"/>
      <c r="D68" s="21"/>
      <c r="E68" s="21"/>
      <c r="F68" s="21"/>
      <c r="G68" s="30"/>
      <c r="H68" s="31"/>
      <c r="I68" s="31"/>
      <c r="J68" s="21"/>
      <c r="K68" s="21"/>
      <c r="L68" s="21"/>
      <c r="M68" s="21"/>
      <c r="N68" s="21"/>
      <c r="O68" s="21"/>
      <c r="P68" s="30"/>
      <c r="Q68" s="21"/>
      <c r="R68" s="21"/>
      <c r="S68" s="21"/>
      <c r="T68" s="32"/>
      <c r="U68" s="32"/>
      <c r="V68" s="21"/>
      <c r="W68" s="21"/>
      <c r="X68" s="21"/>
      <c r="Y68" s="21"/>
      <c r="Z68" s="21"/>
    </row>
    <row r="69" customFormat="false" ht="15.75" hidden="false" customHeight="false" outlineLevel="0" collapsed="false">
      <c r="B69" s="34"/>
      <c r="D69" s="12"/>
      <c r="E69" s="12"/>
      <c r="G69" s="18"/>
      <c r="H69" s="35"/>
      <c r="I69" s="35"/>
      <c r="J69" s="12"/>
      <c r="P69" s="18"/>
      <c r="Q69" s="12"/>
      <c r="R69" s="12"/>
      <c r="T69" s="36"/>
      <c r="U69" s="36"/>
      <c r="V69" s="12"/>
      <c r="W69" s="12"/>
      <c r="X69" s="12"/>
      <c r="Z69" s="12"/>
    </row>
    <row r="70" customFormat="false" ht="15.75" hidden="false" customHeight="false" outlineLevel="0" collapsed="false">
      <c r="B70" s="34"/>
      <c r="D70" s="12"/>
      <c r="E70" s="12"/>
      <c r="G70" s="18"/>
      <c r="H70" s="35"/>
      <c r="I70" s="35"/>
      <c r="J70" s="12"/>
      <c r="P70" s="18"/>
      <c r="Q70" s="12"/>
      <c r="R70" s="12"/>
      <c r="T70" s="36"/>
      <c r="U70" s="36"/>
      <c r="V70" s="12"/>
      <c r="W70" s="12"/>
      <c r="X70" s="12"/>
      <c r="Z70" s="12"/>
    </row>
    <row r="71" customFormat="false" ht="15.75" hidden="false" customHeight="false" outlineLevel="0" collapsed="false">
      <c r="B71" s="34"/>
      <c r="D71" s="12"/>
      <c r="E71" s="12"/>
      <c r="G71" s="18"/>
      <c r="H71" s="35"/>
      <c r="I71" s="35"/>
      <c r="J71" s="12"/>
      <c r="P71" s="18"/>
      <c r="Q71" s="12"/>
      <c r="R71" s="12"/>
      <c r="T71" s="36"/>
      <c r="U71" s="36"/>
      <c r="V71" s="12"/>
      <c r="W71" s="12"/>
      <c r="X71" s="12"/>
      <c r="Z71" s="12"/>
    </row>
    <row r="72" customFormat="false" ht="15.75" hidden="false" customHeight="false" outlineLevel="0" collapsed="false">
      <c r="B72" s="34"/>
      <c r="D72" s="12"/>
      <c r="E72" s="12"/>
      <c r="G72" s="18"/>
      <c r="H72" s="35"/>
      <c r="I72" s="35"/>
      <c r="J72" s="12"/>
      <c r="P72" s="18"/>
      <c r="Q72" s="12"/>
      <c r="R72" s="12"/>
      <c r="T72" s="36"/>
      <c r="U72" s="36"/>
      <c r="V72" s="12"/>
      <c r="W72" s="12"/>
      <c r="X72" s="12"/>
      <c r="Z72" s="12"/>
    </row>
    <row r="73" customFormat="false" ht="15.75" hidden="false" customHeight="false" outlineLevel="0" collapsed="false">
      <c r="B73" s="34"/>
      <c r="D73" s="12"/>
      <c r="E73" s="12"/>
      <c r="G73" s="18"/>
      <c r="H73" s="35"/>
      <c r="I73" s="35"/>
      <c r="J73" s="12"/>
      <c r="P73" s="18"/>
      <c r="Q73" s="12"/>
      <c r="R73" s="12"/>
      <c r="T73" s="36"/>
      <c r="U73" s="36"/>
      <c r="V73" s="12"/>
      <c r="W73" s="12"/>
      <c r="X73" s="12"/>
      <c r="Z73" s="12"/>
    </row>
    <row r="74" customFormat="false" ht="15.75" hidden="false" customHeight="false" outlineLevel="0" collapsed="false">
      <c r="B74" s="34"/>
      <c r="D74" s="12"/>
      <c r="E74" s="12"/>
      <c r="G74" s="18"/>
      <c r="H74" s="35"/>
      <c r="I74" s="35"/>
      <c r="J74" s="12"/>
      <c r="P74" s="18"/>
      <c r="Q74" s="12"/>
      <c r="R74" s="12"/>
      <c r="T74" s="36"/>
      <c r="U74" s="36"/>
      <c r="V74" s="12"/>
      <c r="W74" s="12"/>
      <c r="X74" s="12"/>
      <c r="Z74" s="12"/>
    </row>
    <row r="75" customFormat="false" ht="15.75" hidden="false" customHeight="false" outlineLevel="0" collapsed="false">
      <c r="B75" s="34"/>
      <c r="D75" s="12"/>
      <c r="E75" s="12"/>
      <c r="G75" s="18"/>
      <c r="H75" s="35"/>
      <c r="I75" s="35"/>
      <c r="J75" s="12"/>
      <c r="P75" s="18"/>
      <c r="Q75" s="12"/>
      <c r="R75" s="12"/>
      <c r="T75" s="36"/>
      <c r="U75" s="36"/>
      <c r="V75" s="12"/>
      <c r="W75" s="12"/>
      <c r="X75" s="12"/>
      <c r="Z75" s="12"/>
    </row>
    <row r="76" customFormat="false" ht="15.75" hidden="false" customHeight="false" outlineLevel="0" collapsed="false">
      <c r="B76" s="34"/>
      <c r="D76" s="12"/>
      <c r="E76" s="12"/>
      <c r="G76" s="18"/>
      <c r="H76" s="35"/>
      <c r="I76" s="35"/>
      <c r="J76" s="12"/>
      <c r="P76" s="18"/>
      <c r="Q76" s="12"/>
      <c r="R76" s="12"/>
      <c r="T76" s="36"/>
      <c r="U76" s="36"/>
      <c r="V76" s="12"/>
      <c r="W76" s="12"/>
      <c r="X76" s="12"/>
      <c r="Z76" s="12"/>
    </row>
    <row r="77" customFormat="false" ht="15.75" hidden="false" customHeight="false" outlineLevel="0" collapsed="false">
      <c r="B77" s="34"/>
      <c r="D77" s="12"/>
      <c r="E77" s="12"/>
      <c r="G77" s="18"/>
      <c r="H77" s="35"/>
      <c r="I77" s="35"/>
      <c r="J77" s="12"/>
      <c r="P77" s="18"/>
      <c r="Q77" s="12"/>
      <c r="R77" s="12"/>
      <c r="T77" s="36"/>
      <c r="U77" s="36"/>
      <c r="V77" s="12"/>
      <c r="W77" s="12"/>
      <c r="X77" s="12"/>
      <c r="Z77" s="12"/>
    </row>
    <row r="78" customFormat="false" ht="15.75" hidden="false" customHeight="false" outlineLevel="0" collapsed="false">
      <c r="B78" s="34"/>
      <c r="D78" s="12"/>
      <c r="E78" s="12"/>
      <c r="G78" s="18"/>
      <c r="H78" s="35"/>
      <c r="I78" s="35"/>
      <c r="J78" s="12"/>
      <c r="P78" s="18"/>
      <c r="Q78" s="12"/>
      <c r="R78" s="12"/>
      <c r="T78" s="36"/>
      <c r="U78" s="36"/>
      <c r="V78" s="12"/>
      <c r="W78" s="12"/>
      <c r="X78" s="12"/>
      <c r="Z78" s="12"/>
    </row>
    <row r="79" customFormat="false" ht="15.75" hidden="false" customHeight="false" outlineLevel="0" collapsed="false">
      <c r="B79" s="34"/>
      <c r="D79" s="12"/>
      <c r="E79" s="12"/>
      <c r="G79" s="18"/>
      <c r="H79" s="35"/>
      <c r="I79" s="35"/>
      <c r="J79" s="12"/>
      <c r="P79" s="18"/>
      <c r="Q79" s="12"/>
      <c r="R79" s="12"/>
      <c r="T79" s="36"/>
      <c r="U79" s="36"/>
      <c r="V79" s="12"/>
      <c r="W79" s="12"/>
      <c r="X79" s="12"/>
      <c r="Z79" s="12"/>
    </row>
    <row r="80" customFormat="false" ht="15.75" hidden="false" customHeight="false" outlineLevel="0" collapsed="false">
      <c r="B80" s="34"/>
      <c r="D80" s="12"/>
      <c r="E80" s="12"/>
      <c r="G80" s="18"/>
      <c r="H80" s="35"/>
      <c r="I80" s="35"/>
      <c r="J80" s="12"/>
      <c r="P80" s="18"/>
      <c r="Q80" s="12"/>
      <c r="R80" s="12"/>
      <c r="T80" s="36"/>
      <c r="U80" s="36"/>
      <c r="V80" s="12"/>
      <c r="W80" s="12"/>
      <c r="X80" s="12"/>
      <c r="Z80" s="12"/>
    </row>
    <row r="81" customFormat="false" ht="15.75" hidden="false" customHeight="false" outlineLevel="0" collapsed="false">
      <c r="B81" s="34"/>
      <c r="D81" s="12"/>
      <c r="E81" s="12"/>
      <c r="G81" s="18"/>
      <c r="H81" s="35"/>
      <c r="I81" s="35"/>
      <c r="J81" s="12"/>
      <c r="P81" s="18"/>
      <c r="Q81" s="12"/>
      <c r="R81" s="12"/>
      <c r="T81" s="36"/>
      <c r="U81" s="36"/>
      <c r="V81" s="12"/>
      <c r="W81" s="12"/>
      <c r="X81" s="12"/>
      <c r="Z81" s="12"/>
    </row>
    <row r="82" customFormat="false" ht="15.75" hidden="false" customHeight="false" outlineLevel="0" collapsed="false">
      <c r="B82" s="34"/>
      <c r="D82" s="12"/>
      <c r="E82" s="12"/>
      <c r="G82" s="18"/>
      <c r="H82" s="35"/>
      <c r="I82" s="35"/>
      <c r="J82" s="12"/>
      <c r="P82" s="18"/>
      <c r="Q82" s="12"/>
      <c r="R82" s="12"/>
      <c r="T82" s="36"/>
      <c r="U82" s="36"/>
      <c r="V82" s="12"/>
      <c r="W82" s="12"/>
      <c r="X82" s="12"/>
      <c r="Z82" s="12"/>
    </row>
    <row r="83" customFormat="false" ht="15.75" hidden="false" customHeight="false" outlineLevel="0" collapsed="false">
      <c r="B83" s="34"/>
      <c r="D83" s="12"/>
      <c r="E83" s="12"/>
      <c r="G83" s="18"/>
      <c r="H83" s="35"/>
      <c r="I83" s="35"/>
      <c r="J83" s="12"/>
      <c r="P83" s="18"/>
      <c r="Q83" s="12"/>
      <c r="R83" s="12"/>
      <c r="T83" s="36"/>
      <c r="U83" s="36"/>
      <c r="V83" s="12"/>
      <c r="W83" s="12"/>
      <c r="X83" s="12"/>
      <c r="Z83" s="12"/>
    </row>
    <row r="84" customFormat="false" ht="15.75" hidden="false" customHeight="false" outlineLevel="0" collapsed="false">
      <c r="B84" s="34"/>
      <c r="D84" s="12"/>
      <c r="E84" s="12"/>
      <c r="G84" s="18"/>
      <c r="H84" s="35"/>
      <c r="I84" s="35"/>
      <c r="J84" s="12"/>
      <c r="P84" s="18"/>
      <c r="Q84" s="12"/>
      <c r="R84" s="12"/>
      <c r="T84" s="36"/>
      <c r="U84" s="36"/>
      <c r="V84" s="12"/>
      <c r="W84" s="12"/>
      <c r="X84" s="12"/>
      <c r="Z84" s="12"/>
    </row>
    <row r="85" customFormat="false" ht="15.75" hidden="false" customHeight="false" outlineLevel="0" collapsed="false">
      <c r="B85" s="34"/>
      <c r="D85" s="12"/>
      <c r="E85" s="12"/>
      <c r="G85" s="18"/>
      <c r="H85" s="35"/>
      <c r="I85" s="35"/>
      <c r="J85" s="12"/>
      <c r="P85" s="18"/>
      <c r="Q85" s="12"/>
      <c r="R85" s="12"/>
      <c r="T85" s="36"/>
      <c r="U85" s="36"/>
      <c r="V85" s="12"/>
      <c r="W85" s="12"/>
      <c r="X85" s="12"/>
      <c r="Z85" s="12"/>
    </row>
    <row r="86" customFormat="false" ht="15.75" hidden="false" customHeight="false" outlineLevel="0" collapsed="false">
      <c r="A86" s="12"/>
      <c r="B86" s="34"/>
      <c r="C86" s="12"/>
      <c r="D86" s="12"/>
      <c r="E86" s="12"/>
      <c r="F86" s="12"/>
      <c r="G86" s="18"/>
      <c r="H86" s="35"/>
      <c r="I86" s="35"/>
      <c r="J86" s="12"/>
      <c r="O86" s="12"/>
      <c r="P86" s="18"/>
      <c r="Q86" s="12"/>
      <c r="R86" s="12"/>
      <c r="S86" s="12"/>
      <c r="T86" s="36"/>
      <c r="U86" s="36"/>
      <c r="V86" s="12"/>
      <c r="W86" s="12"/>
      <c r="X86" s="12"/>
      <c r="Y86" s="12"/>
      <c r="Z86" s="12"/>
    </row>
    <row r="87" customFormat="false" ht="15.75" hidden="false" customHeight="false" outlineLevel="0" collapsed="false">
      <c r="A87" s="12"/>
      <c r="B87" s="34"/>
      <c r="C87" s="12"/>
      <c r="D87" s="12"/>
      <c r="E87" s="12"/>
      <c r="F87" s="12"/>
      <c r="G87" s="18"/>
      <c r="H87" s="35"/>
      <c r="I87" s="35"/>
      <c r="J87" s="12"/>
      <c r="O87" s="12"/>
      <c r="P87" s="18"/>
      <c r="Q87" s="12"/>
      <c r="R87" s="12"/>
      <c r="S87" s="12"/>
      <c r="T87" s="36"/>
      <c r="U87" s="36"/>
      <c r="V87" s="12"/>
      <c r="W87" s="12"/>
      <c r="X87" s="12"/>
      <c r="Y87" s="12"/>
      <c r="Z87" s="12"/>
    </row>
    <row r="88" customFormat="false" ht="15.75" hidden="false" customHeight="false" outlineLevel="0" collapsed="false">
      <c r="A88" s="12"/>
      <c r="B88" s="34"/>
      <c r="C88" s="12"/>
      <c r="D88" s="12"/>
      <c r="E88" s="12"/>
      <c r="F88" s="12"/>
      <c r="G88" s="18"/>
      <c r="H88" s="35"/>
      <c r="I88" s="35"/>
      <c r="J88" s="12"/>
      <c r="O88" s="12"/>
      <c r="P88" s="18"/>
      <c r="Q88" s="12"/>
      <c r="R88" s="12"/>
      <c r="S88" s="12"/>
      <c r="T88" s="36"/>
      <c r="U88" s="36"/>
      <c r="V88" s="12"/>
      <c r="W88" s="12"/>
      <c r="X88" s="12"/>
      <c r="Y88" s="12"/>
      <c r="Z88" s="12"/>
    </row>
    <row r="89" customFormat="false" ht="15.75" hidden="false" customHeight="false" outlineLevel="0" collapsed="false">
      <c r="A89" s="12"/>
      <c r="B89" s="34"/>
      <c r="C89" s="12"/>
      <c r="D89" s="12"/>
      <c r="E89" s="12"/>
      <c r="F89" s="12"/>
      <c r="G89" s="18"/>
      <c r="H89" s="35"/>
      <c r="I89" s="35"/>
      <c r="J89" s="12"/>
      <c r="O89" s="12"/>
      <c r="P89" s="18"/>
      <c r="Q89" s="12"/>
      <c r="R89" s="12"/>
      <c r="S89" s="12"/>
      <c r="T89" s="36"/>
      <c r="U89" s="36"/>
      <c r="V89" s="12"/>
      <c r="W89" s="12"/>
      <c r="X89" s="12"/>
      <c r="Y89" s="12"/>
      <c r="Z89" s="12"/>
    </row>
    <row r="90" customFormat="false" ht="15.75" hidden="false" customHeight="false" outlineLevel="0" collapsed="false">
      <c r="A90" s="12"/>
      <c r="B90" s="34"/>
      <c r="C90" s="12"/>
      <c r="D90" s="12"/>
      <c r="E90" s="12"/>
      <c r="F90" s="12"/>
      <c r="G90" s="18"/>
      <c r="H90" s="35"/>
      <c r="I90" s="35"/>
      <c r="J90" s="12"/>
      <c r="O90" s="12"/>
      <c r="P90" s="18"/>
      <c r="Q90" s="12"/>
      <c r="R90" s="12"/>
      <c r="S90" s="12"/>
      <c r="T90" s="36"/>
      <c r="U90" s="36"/>
      <c r="V90" s="12"/>
      <c r="W90" s="12"/>
      <c r="X90" s="12"/>
      <c r="Y90" s="12"/>
      <c r="Z90" s="12"/>
    </row>
    <row r="91" customFormat="false" ht="15.75" hidden="false" customHeight="false" outlineLevel="0" collapsed="false">
      <c r="A91" s="12"/>
      <c r="B91" s="34"/>
      <c r="C91" s="12"/>
      <c r="D91" s="12"/>
      <c r="E91" s="12"/>
      <c r="F91" s="12"/>
      <c r="G91" s="18"/>
      <c r="H91" s="35"/>
      <c r="I91" s="35"/>
      <c r="J91" s="12"/>
      <c r="O91" s="12"/>
      <c r="P91" s="18"/>
      <c r="Q91" s="12"/>
      <c r="R91" s="12"/>
      <c r="S91" s="12"/>
      <c r="T91" s="36"/>
      <c r="U91" s="36"/>
      <c r="V91" s="12"/>
      <c r="W91" s="12"/>
      <c r="X91" s="12"/>
      <c r="Y91" s="12"/>
      <c r="Z91" s="12"/>
    </row>
    <row r="92" customFormat="false" ht="15.75" hidden="false" customHeight="false" outlineLevel="0" collapsed="false">
      <c r="A92" s="12"/>
      <c r="B92" s="34"/>
      <c r="C92" s="12"/>
      <c r="D92" s="12"/>
      <c r="E92" s="12"/>
      <c r="F92" s="12"/>
      <c r="G92" s="18"/>
      <c r="H92" s="35"/>
      <c r="I92" s="35"/>
      <c r="J92" s="12"/>
      <c r="O92" s="12"/>
      <c r="P92" s="18"/>
      <c r="Q92" s="12"/>
      <c r="R92" s="12"/>
      <c r="S92" s="12"/>
      <c r="T92" s="36"/>
      <c r="U92" s="36"/>
      <c r="V92" s="12"/>
      <c r="W92" s="12"/>
      <c r="X92" s="12"/>
      <c r="Y92" s="12"/>
      <c r="Z92" s="12"/>
    </row>
    <row r="93" customFormat="false" ht="15.75" hidden="false" customHeight="false" outlineLevel="0" collapsed="false">
      <c r="A93" s="12"/>
      <c r="B93" s="34"/>
      <c r="C93" s="12"/>
      <c r="D93" s="12"/>
      <c r="E93" s="12"/>
      <c r="F93" s="12"/>
      <c r="G93" s="18"/>
      <c r="H93" s="35"/>
      <c r="I93" s="35"/>
      <c r="J93" s="12"/>
      <c r="O93" s="12"/>
      <c r="P93" s="18"/>
      <c r="Q93" s="12"/>
      <c r="R93" s="12"/>
      <c r="S93" s="12"/>
      <c r="T93" s="36"/>
      <c r="U93" s="36"/>
      <c r="V93" s="12"/>
      <c r="W93" s="12"/>
      <c r="X93" s="12"/>
      <c r="Y93" s="12"/>
      <c r="Z93" s="12"/>
    </row>
    <row r="94" customFormat="false" ht="15.75" hidden="false" customHeight="false" outlineLevel="0" collapsed="false">
      <c r="A94" s="12"/>
      <c r="B94" s="34"/>
      <c r="C94" s="12"/>
      <c r="D94" s="12"/>
      <c r="E94" s="12"/>
      <c r="F94" s="12"/>
      <c r="G94" s="18"/>
      <c r="H94" s="35"/>
      <c r="I94" s="35"/>
      <c r="J94" s="12"/>
      <c r="O94" s="12"/>
      <c r="P94" s="18"/>
      <c r="Q94" s="12"/>
      <c r="R94" s="12"/>
      <c r="S94" s="12"/>
      <c r="T94" s="36"/>
      <c r="U94" s="36"/>
      <c r="V94" s="12"/>
      <c r="W94" s="12"/>
      <c r="X94" s="12"/>
      <c r="Y94" s="12"/>
      <c r="Z94" s="12"/>
    </row>
    <row r="95" customFormat="false" ht="15.75" hidden="false" customHeight="false" outlineLevel="0" collapsed="false">
      <c r="A95" s="12"/>
      <c r="B95" s="34"/>
      <c r="C95" s="12"/>
      <c r="D95" s="12"/>
      <c r="E95" s="12"/>
      <c r="F95" s="12"/>
      <c r="G95" s="18"/>
      <c r="H95" s="35"/>
      <c r="I95" s="35"/>
      <c r="J95" s="12"/>
      <c r="O95" s="12"/>
      <c r="P95" s="18"/>
      <c r="Q95" s="12"/>
      <c r="R95" s="12"/>
      <c r="S95" s="12"/>
      <c r="T95" s="36"/>
      <c r="U95" s="36"/>
      <c r="V95" s="12"/>
      <c r="W95" s="12"/>
      <c r="X95" s="12"/>
      <c r="Y95" s="12"/>
      <c r="Z95" s="12"/>
    </row>
    <row r="96" customFormat="false" ht="15.75" hidden="false" customHeight="false" outlineLevel="0" collapsed="false">
      <c r="A96" s="12"/>
      <c r="B96" s="34"/>
      <c r="C96" s="12"/>
      <c r="D96" s="12"/>
      <c r="E96" s="12"/>
      <c r="F96" s="12"/>
      <c r="G96" s="18"/>
      <c r="H96" s="35"/>
      <c r="I96" s="35"/>
      <c r="J96" s="12"/>
      <c r="O96" s="12"/>
      <c r="P96" s="18"/>
      <c r="Q96" s="12"/>
      <c r="R96" s="12"/>
      <c r="S96" s="12"/>
      <c r="T96" s="36"/>
      <c r="U96" s="36"/>
      <c r="V96" s="12"/>
      <c r="W96" s="12"/>
      <c r="X96" s="12"/>
      <c r="Y96" s="12"/>
      <c r="Z96" s="12"/>
    </row>
    <row r="97" customFormat="false" ht="15.75" hidden="false" customHeight="false" outlineLevel="0" collapsed="false">
      <c r="A97" s="12"/>
      <c r="B97" s="34"/>
      <c r="C97" s="12"/>
      <c r="D97" s="12"/>
      <c r="E97" s="12"/>
      <c r="F97" s="12"/>
      <c r="G97" s="18"/>
      <c r="H97" s="35"/>
      <c r="I97" s="35"/>
      <c r="J97" s="12"/>
      <c r="O97" s="12"/>
      <c r="P97" s="18"/>
      <c r="Q97" s="12"/>
      <c r="R97" s="12"/>
      <c r="S97" s="12"/>
      <c r="T97" s="36"/>
      <c r="U97" s="36"/>
      <c r="V97" s="12"/>
      <c r="W97" s="12"/>
      <c r="X97" s="12"/>
      <c r="Y97" s="12"/>
      <c r="Z97" s="12"/>
    </row>
    <row r="98" customFormat="false" ht="15.75" hidden="false" customHeight="false" outlineLevel="0" collapsed="false">
      <c r="A98" s="12"/>
      <c r="B98" s="34"/>
      <c r="C98" s="12"/>
      <c r="D98" s="12"/>
      <c r="E98" s="12"/>
      <c r="F98" s="12"/>
      <c r="G98" s="18"/>
      <c r="H98" s="35"/>
      <c r="I98" s="35"/>
      <c r="J98" s="12"/>
      <c r="O98" s="12"/>
      <c r="P98" s="18"/>
      <c r="Q98" s="12"/>
      <c r="R98" s="12"/>
      <c r="S98" s="12"/>
      <c r="T98" s="36"/>
      <c r="U98" s="36"/>
      <c r="V98" s="12"/>
      <c r="W98" s="12"/>
      <c r="X98" s="12"/>
      <c r="Y98" s="12"/>
      <c r="Z98" s="12"/>
    </row>
    <row r="99" customFormat="false" ht="15.75" hidden="false" customHeight="false" outlineLevel="0" collapsed="false">
      <c r="A99" s="12"/>
      <c r="B99" s="34"/>
      <c r="C99" s="12"/>
      <c r="D99" s="12"/>
      <c r="E99" s="12"/>
      <c r="F99" s="12"/>
      <c r="G99" s="18"/>
      <c r="H99" s="35"/>
      <c r="I99" s="35"/>
      <c r="J99" s="12"/>
      <c r="O99" s="12"/>
      <c r="P99" s="18"/>
      <c r="Q99" s="12"/>
      <c r="R99" s="12"/>
      <c r="S99" s="12"/>
      <c r="T99" s="36"/>
      <c r="U99" s="36"/>
      <c r="V99" s="12"/>
      <c r="W99" s="12"/>
      <c r="X99" s="12"/>
      <c r="Y99" s="12"/>
      <c r="Z99" s="12"/>
    </row>
    <row r="100" customFormat="false" ht="15.75" hidden="false" customHeight="false" outlineLevel="0" collapsed="false">
      <c r="A100" s="12"/>
      <c r="B100" s="34"/>
      <c r="C100" s="12"/>
      <c r="D100" s="12"/>
      <c r="E100" s="12"/>
      <c r="F100" s="12"/>
      <c r="G100" s="18"/>
      <c r="H100" s="35"/>
      <c r="I100" s="35"/>
      <c r="J100" s="12"/>
      <c r="O100" s="12"/>
      <c r="P100" s="18"/>
      <c r="Q100" s="12"/>
      <c r="R100" s="12"/>
      <c r="S100" s="12"/>
      <c r="T100" s="36"/>
      <c r="U100" s="36"/>
      <c r="V100" s="12"/>
      <c r="W100" s="12"/>
      <c r="X100" s="12"/>
      <c r="Y100" s="12"/>
      <c r="Z100" s="12"/>
    </row>
    <row r="101" customFormat="false" ht="15.75" hidden="false" customHeight="false" outlineLevel="0" collapsed="false">
      <c r="A101" s="12"/>
      <c r="B101" s="34"/>
      <c r="C101" s="12"/>
      <c r="D101" s="12"/>
      <c r="E101" s="12"/>
      <c r="F101" s="12"/>
      <c r="G101" s="18"/>
      <c r="H101" s="35"/>
      <c r="I101" s="35"/>
      <c r="J101" s="12"/>
      <c r="O101" s="12"/>
      <c r="P101" s="18"/>
      <c r="Q101" s="12"/>
      <c r="R101" s="12"/>
      <c r="S101" s="12"/>
      <c r="T101" s="36"/>
      <c r="U101" s="36"/>
      <c r="V101" s="12"/>
      <c r="W101" s="12"/>
      <c r="X101" s="12"/>
      <c r="Y101" s="12"/>
      <c r="Z101" s="12"/>
    </row>
    <row r="102" customFormat="false" ht="15.75" hidden="false" customHeight="false" outlineLevel="0" collapsed="false">
      <c r="A102" s="12"/>
      <c r="B102" s="34"/>
      <c r="C102" s="12"/>
      <c r="D102" s="12"/>
      <c r="E102" s="12"/>
      <c r="F102" s="12"/>
      <c r="G102" s="18"/>
      <c r="H102" s="35"/>
      <c r="I102" s="35"/>
      <c r="J102" s="12"/>
      <c r="O102" s="12"/>
      <c r="P102" s="18"/>
      <c r="Q102" s="12"/>
      <c r="R102" s="12"/>
      <c r="S102" s="12"/>
      <c r="T102" s="36"/>
      <c r="U102" s="36"/>
      <c r="V102" s="12"/>
      <c r="W102" s="12"/>
      <c r="X102" s="12"/>
      <c r="Y102" s="12"/>
      <c r="Z102" s="12"/>
    </row>
    <row r="103" customFormat="false" ht="15.75" hidden="false" customHeight="false" outlineLevel="0" collapsed="false">
      <c r="A103" s="12"/>
      <c r="B103" s="34"/>
      <c r="C103" s="12"/>
      <c r="D103" s="12"/>
      <c r="E103" s="12"/>
      <c r="F103" s="12"/>
      <c r="G103" s="18"/>
      <c r="H103" s="35"/>
      <c r="I103" s="35"/>
      <c r="J103" s="12"/>
      <c r="O103" s="12"/>
      <c r="P103" s="18"/>
      <c r="Q103" s="12"/>
      <c r="R103" s="12"/>
      <c r="S103" s="12"/>
      <c r="T103" s="36"/>
      <c r="U103" s="36"/>
      <c r="V103" s="12"/>
      <c r="W103" s="12"/>
      <c r="X103" s="12"/>
      <c r="Y103" s="12"/>
      <c r="Z103" s="12"/>
    </row>
    <row r="104" customFormat="false" ht="15.75" hidden="false" customHeight="false" outlineLevel="0" collapsed="false">
      <c r="A104" s="12"/>
      <c r="B104" s="34"/>
      <c r="C104" s="12"/>
      <c r="D104" s="12"/>
      <c r="E104" s="12"/>
      <c r="F104" s="12"/>
      <c r="G104" s="18"/>
      <c r="H104" s="35"/>
      <c r="I104" s="35"/>
      <c r="J104" s="12"/>
      <c r="O104" s="12"/>
      <c r="P104" s="18"/>
      <c r="Q104" s="12"/>
      <c r="R104" s="12"/>
      <c r="S104" s="12"/>
      <c r="T104" s="36"/>
      <c r="U104" s="36"/>
      <c r="V104" s="12"/>
      <c r="W104" s="12"/>
      <c r="X104" s="12"/>
      <c r="Y104" s="12"/>
      <c r="Z104" s="12"/>
    </row>
    <row r="105" customFormat="false" ht="15.75" hidden="false" customHeight="false" outlineLevel="0" collapsed="false">
      <c r="A105" s="12"/>
      <c r="B105" s="34"/>
      <c r="C105" s="12"/>
      <c r="D105" s="12"/>
      <c r="E105" s="12"/>
      <c r="F105" s="12"/>
      <c r="G105" s="18"/>
      <c r="H105" s="35"/>
      <c r="I105" s="35"/>
      <c r="J105" s="12"/>
      <c r="O105" s="12"/>
      <c r="P105" s="18"/>
      <c r="Q105" s="12"/>
      <c r="R105" s="12"/>
      <c r="S105" s="12"/>
      <c r="T105" s="36"/>
      <c r="U105" s="36"/>
      <c r="V105" s="12"/>
      <c r="W105" s="12"/>
      <c r="X105" s="12"/>
      <c r="Y105" s="12"/>
      <c r="Z105" s="12"/>
    </row>
    <row r="106" customFormat="false" ht="15.75" hidden="false" customHeight="false" outlineLevel="0" collapsed="false">
      <c r="A106" s="12"/>
      <c r="B106" s="34"/>
      <c r="C106" s="12"/>
      <c r="D106" s="12"/>
      <c r="E106" s="12"/>
      <c r="F106" s="12"/>
      <c r="G106" s="18"/>
      <c r="H106" s="35"/>
      <c r="I106" s="35"/>
      <c r="J106" s="12"/>
      <c r="O106" s="12"/>
      <c r="P106" s="18"/>
      <c r="Q106" s="12"/>
      <c r="R106" s="12"/>
      <c r="S106" s="12"/>
      <c r="T106" s="36"/>
      <c r="U106" s="36"/>
      <c r="V106" s="12"/>
      <c r="W106" s="12"/>
      <c r="X106" s="12"/>
      <c r="Y106" s="12"/>
      <c r="Z106" s="12"/>
    </row>
    <row r="107" customFormat="false" ht="15.75" hidden="false" customHeight="false" outlineLevel="0" collapsed="false">
      <c r="A107" s="12"/>
      <c r="B107" s="34"/>
      <c r="C107" s="12"/>
      <c r="D107" s="12"/>
      <c r="E107" s="12"/>
      <c r="F107" s="12"/>
      <c r="G107" s="18"/>
      <c r="H107" s="35"/>
      <c r="I107" s="35"/>
      <c r="J107" s="12"/>
      <c r="O107" s="12"/>
      <c r="P107" s="18"/>
      <c r="Q107" s="12"/>
      <c r="R107" s="12"/>
      <c r="S107" s="12"/>
      <c r="T107" s="36"/>
      <c r="U107" s="36"/>
      <c r="V107" s="12"/>
      <c r="W107" s="12"/>
      <c r="X107" s="12"/>
      <c r="Y107" s="12"/>
      <c r="Z107" s="12"/>
    </row>
    <row r="108" customFormat="false" ht="15.75" hidden="false" customHeight="false" outlineLevel="0" collapsed="false">
      <c r="A108" s="12"/>
      <c r="B108" s="34"/>
      <c r="C108" s="12"/>
      <c r="D108" s="12"/>
      <c r="E108" s="12"/>
      <c r="F108" s="12"/>
      <c r="G108" s="18"/>
      <c r="H108" s="35"/>
      <c r="I108" s="35"/>
      <c r="J108" s="12"/>
      <c r="O108" s="12"/>
      <c r="P108" s="18"/>
      <c r="Q108" s="12"/>
      <c r="R108" s="12"/>
      <c r="S108" s="12"/>
      <c r="T108" s="36"/>
      <c r="U108" s="36"/>
      <c r="V108" s="12"/>
      <c r="W108" s="12"/>
      <c r="X108" s="12"/>
      <c r="Y108" s="12"/>
      <c r="Z108" s="12"/>
    </row>
    <row r="109" customFormat="false" ht="15.75" hidden="false" customHeight="false" outlineLevel="0" collapsed="false">
      <c r="A109" s="12"/>
      <c r="B109" s="34"/>
      <c r="C109" s="12"/>
      <c r="D109" s="12"/>
      <c r="E109" s="12"/>
      <c r="F109" s="12"/>
      <c r="G109" s="18"/>
      <c r="H109" s="35"/>
      <c r="I109" s="35"/>
      <c r="J109" s="12"/>
      <c r="O109" s="12"/>
      <c r="P109" s="18"/>
      <c r="Q109" s="12"/>
      <c r="R109" s="12"/>
      <c r="S109" s="12"/>
      <c r="T109" s="36"/>
      <c r="U109" s="36"/>
      <c r="V109" s="12"/>
      <c r="W109" s="12"/>
      <c r="X109" s="12"/>
      <c r="Y109" s="12"/>
      <c r="Z109" s="12"/>
    </row>
    <row r="110" customFormat="false" ht="15.75" hidden="false" customHeight="false" outlineLevel="0" collapsed="false">
      <c r="A110" s="12"/>
      <c r="B110" s="34"/>
      <c r="C110" s="12"/>
      <c r="D110" s="12"/>
      <c r="E110" s="12"/>
      <c r="F110" s="12"/>
      <c r="G110" s="18"/>
      <c r="H110" s="35"/>
      <c r="I110" s="35"/>
      <c r="J110" s="12"/>
      <c r="O110" s="12"/>
      <c r="P110" s="18"/>
      <c r="Q110" s="12"/>
      <c r="R110" s="12"/>
      <c r="S110" s="12"/>
      <c r="T110" s="36"/>
      <c r="U110" s="36"/>
      <c r="V110" s="12"/>
      <c r="W110" s="12"/>
      <c r="X110" s="12"/>
      <c r="Y110" s="12"/>
      <c r="Z110" s="12"/>
    </row>
    <row r="111" customFormat="false" ht="15.75" hidden="false" customHeight="false" outlineLevel="0" collapsed="false">
      <c r="A111" s="12"/>
      <c r="B111" s="34"/>
      <c r="C111" s="12"/>
      <c r="D111" s="12"/>
      <c r="E111" s="12"/>
      <c r="F111" s="12"/>
      <c r="G111" s="18"/>
      <c r="H111" s="35"/>
      <c r="I111" s="35"/>
      <c r="J111" s="12"/>
      <c r="O111" s="12"/>
      <c r="P111" s="18"/>
      <c r="Q111" s="12"/>
      <c r="R111" s="12"/>
      <c r="S111" s="12"/>
      <c r="T111" s="36"/>
      <c r="U111" s="36"/>
      <c r="V111" s="12"/>
      <c r="W111" s="12"/>
      <c r="X111" s="12"/>
      <c r="Y111" s="12"/>
      <c r="Z111" s="12"/>
    </row>
    <row r="112" customFormat="false" ht="15.75" hidden="false" customHeight="false" outlineLevel="0" collapsed="false">
      <c r="A112" s="12"/>
      <c r="B112" s="34"/>
      <c r="C112" s="12"/>
      <c r="D112" s="12"/>
      <c r="E112" s="12"/>
      <c r="F112" s="12"/>
      <c r="G112" s="18"/>
      <c r="H112" s="35"/>
      <c r="I112" s="35"/>
      <c r="J112" s="12"/>
      <c r="O112" s="12"/>
      <c r="P112" s="18"/>
      <c r="Q112" s="12"/>
      <c r="R112" s="12"/>
      <c r="S112" s="12"/>
      <c r="T112" s="36"/>
      <c r="U112" s="36"/>
      <c r="V112" s="12"/>
      <c r="W112" s="12"/>
      <c r="X112" s="12"/>
      <c r="Y112" s="12"/>
      <c r="Z112" s="12"/>
    </row>
    <row r="113" customFormat="false" ht="15.75" hidden="false" customHeight="false" outlineLevel="0" collapsed="false">
      <c r="A113" s="12"/>
      <c r="B113" s="34"/>
      <c r="C113" s="12"/>
      <c r="D113" s="12"/>
      <c r="E113" s="12"/>
      <c r="F113" s="12"/>
      <c r="G113" s="18"/>
      <c r="H113" s="35"/>
      <c r="I113" s="35"/>
      <c r="J113" s="12"/>
      <c r="O113" s="12"/>
      <c r="P113" s="18"/>
      <c r="Q113" s="12"/>
      <c r="R113" s="12"/>
      <c r="S113" s="12"/>
      <c r="T113" s="36"/>
      <c r="U113" s="36"/>
      <c r="V113" s="12"/>
      <c r="W113" s="12"/>
      <c r="X113" s="12"/>
      <c r="Y113" s="12"/>
      <c r="Z113" s="12"/>
    </row>
    <row r="114" customFormat="false" ht="15.75" hidden="false" customHeight="false" outlineLevel="0" collapsed="false">
      <c r="A114" s="12"/>
      <c r="B114" s="34"/>
      <c r="C114" s="12"/>
      <c r="D114" s="12"/>
      <c r="E114" s="12"/>
      <c r="F114" s="12"/>
      <c r="G114" s="18"/>
      <c r="H114" s="35"/>
      <c r="I114" s="35"/>
      <c r="J114" s="12"/>
      <c r="O114" s="12"/>
      <c r="P114" s="18"/>
      <c r="Q114" s="12"/>
      <c r="R114" s="12"/>
      <c r="S114" s="12"/>
      <c r="T114" s="36"/>
      <c r="U114" s="36"/>
      <c r="V114" s="12"/>
      <c r="W114" s="12"/>
      <c r="X114" s="12"/>
      <c r="Y114" s="12"/>
      <c r="Z114" s="12"/>
    </row>
    <row r="115" customFormat="false" ht="15.75" hidden="false" customHeight="false" outlineLevel="0" collapsed="false">
      <c r="A115" s="12"/>
      <c r="B115" s="34"/>
      <c r="C115" s="12"/>
      <c r="D115" s="12"/>
      <c r="E115" s="12"/>
      <c r="F115" s="12"/>
      <c r="G115" s="18"/>
      <c r="H115" s="35"/>
      <c r="I115" s="35"/>
      <c r="J115" s="12"/>
      <c r="O115" s="12"/>
      <c r="P115" s="18"/>
      <c r="Q115" s="12"/>
      <c r="R115" s="12"/>
      <c r="S115" s="12"/>
      <c r="T115" s="36"/>
      <c r="U115" s="36"/>
      <c r="V115" s="12"/>
      <c r="W115" s="12"/>
      <c r="X115" s="12"/>
      <c r="Y115" s="12"/>
      <c r="Z115" s="12"/>
    </row>
    <row r="116" customFormat="false" ht="15.75" hidden="false" customHeight="false" outlineLevel="0" collapsed="false">
      <c r="A116" s="12"/>
      <c r="B116" s="34"/>
      <c r="C116" s="12"/>
      <c r="D116" s="12"/>
      <c r="E116" s="12"/>
      <c r="F116" s="12"/>
      <c r="G116" s="18"/>
      <c r="H116" s="35"/>
      <c r="I116" s="35"/>
      <c r="J116" s="12"/>
      <c r="O116" s="12"/>
      <c r="P116" s="18"/>
      <c r="Q116" s="12"/>
      <c r="R116" s="12"/>
      <c r="S116" s="12"/>
      <c r="T116" s="36"/>
      <c r="U116" s="36"/>
      <c r="V116" s="12"/>
      <c r="W116" s="12"/>
      <c r="X116" s="12"/>
      <c r="Y116" s="12"/>
      <c r="Z116" s="12"/>
    </row>
    <row r="117" customFormat="false" ht="15.75" hidden="false" customHeight="false" outlineLevel="0" collapsed="false">
      <c r="A117" s="12"/>
      <c r="B117" s="34"/>
      <c r="C117" s="12"/>
      <c r="D117" s="12"/>
      <c r="E117" s="12"/>
      <c r="F117" s="12"/>
      <c r="G117" s="18"/>
      <c r="H117" s="35"/>
      <c r="I117" s="35"/>
      <c r="J117" s="12"/>
      <c r="O117" s="12"/>
      <c r="P117" s="18"/>
      <c r="Q117" s="12"/>
      <c r="R117" s="12"/>
      <c r="S117" s="12"/>
      <c r="T117" s="36"/>
      <c r="U117" s="36"/>
      <c r="V117" s="12"/>
      <c r="W117" s="12"/>
      <c r="X117" s="12"/>
      <c r="Y117" s="12"/>
      <c r="Z117" s="12"/>
    </row>
    <row r="118" customFormat="false" ht="15.75" hidden="false" customHeight="false" outlineLevel="0" collapsed="false">
      <c r="A118" s="12"/>
      <c r="B118" s="34"/>
      <c r="C118" s="12"/>
      <c r="D118" s="12"/>
      <c r="E118" s="12"/>
      <c r="F118" s="12"/>
      <c r="G118" s="18"/>
      <c r="H118" s="35"/>
      <c r="I118" s="35"/>
      <c r="J118" s="12"/>
      <c r="O118" s="12"/>
      <c r="P118" s="18"/>
      <c r="Q118" s="12"/>
      <c r="R118" s="12"/>
      <c r="S118" s="12"/>
      <c r="T118" s="36"/>
      <c r="U118" s="36"/>
      <c r="V118" s="12"/>
      <c r="W118" s="12"/>
      <c r="X118" s="12"/>
      <c r="Y118" s="12"/>
      <c r="Z118" s="12"/>
    </row>
    <row r="119" customFormat="false" ht="15.75" hidden="false" customHeight="false" outlineLevel="0" collapsed="false">
      <c r="A119" s="12"/>
      <c r="B119" s="34"/>
      <c r="C119" s="12"/>
      <c r="D119" s="12"/>
      <c r="E119" s="12"/>
      <c r="F119" s="12"/>
      <c r="G119" s="18"/>
      <c r="H119" s="35"/>
      <c r="I119" s="35"/>
      <c r="J119" s="12"/>
      <c r="O119" s="12"/>
      <c r="P119" s="18"/>
      <c r="Q119" s="12"/>
      <c r="R119" s="12"/>
      <c r="S119" s="12"/>
      <c r="T119" s="36"/>
      <c r="U119" s="36"/>
      <c r="V119" s="12"/>
      <c r="W119" s="12"/>
      <c r="X119" s="12"/>
      <c r="Y119" s="12"/>
      <c r="Z119" s="12"/>
    </row>
    <row r="120" customFormat="false" ht="15.75" hidden="false" customHeight="false" outlineLevel="0" collapsed="false">
      <c r="A120" s="12"/>
      <c r="B120" s="34"/>
      <c r="C120" s="12"/>
      <c r="D120" s="12"/>
      <c r="E120" s="12"/>
      <c r="F120" s="12"/>
      <c r="G120" s="18"/>
      <c r="H120" s="35"/>
      <c r="I120" s="35"/>
      <c r="J120" s="12"/>
      <c r="O120" s="12"/>
      <c r="P120" s="18"/>
      <c r="Q120" s="12"/>
      <c r="R120" s="12"/>
      <c r="S120" s="12"/>
      <c r="T120" s="36"/>
      <c r="U120" s="36"/>
      <c r="V120" s="12"/>
      <c r="W120" s="12"/>
      <c r="X120" s="12"/>
      <c r="Y120" s="12"/>
      <c r="Z120" s="12"/>
    </row>
    <row r="121" customFormat="false" ht="15.75" hidden="false" customHeight="false" outlineLevel="0" collapsed="false">
      <c r="A121" s="12"/>
      <c r="B121" s="34"/>
      <c r="C121" s="12"/>
      <c r="D121" s="12"/>
      <c r="E121" s="12"/>
      <c r="F121" s="12"/>
      <c r="G121" s="18"/>
      <c r="H121" s="35"/>
      <c r="I121" s="35"/>
      <c r="J121" s="12"/>
      <c r="O121" s="12"/>
      <c r="P121" s="18"/>
      <c r="Q121" s="12"/>
      <c r="R121" s="12"/>
      <c r="S121" s="12"/>
      <c r="T121" s="36"/>
      <c r="U121" s="36"/>
      <c r="V121" s="12"/>
      <c r="W121" s="12"/>
      <c r="X121" s="12"/>
      <c r="Y121" s="12"/>
      <c r="Z121" s="12"/>
    </row>
    <row r="122" customFormat="false" ht="15.75" hidden="false" customHeight="false" outlineLevel="0" collapsed="false">
      <c r="A122" s="12"/>
      <c r="B122" s="34"/>
      <c r="C122" s="12"/>
      <c r="D122" s="12"/>
      <c r="E122" s="12"/>
      <c r="F122" s="12"/>
      <c r="G122" s="18"/>
      <c r="H122" s="35"/>
      <c r="I122" s="35"/>
      <c r="J122" s="12"/>
      <c r="O122" s="12"/>
      <c r="P122" s="18"/>
      <c r="Q122" s="12"/>
      <c r="R122" s="12"/>
      <c r="S122" s="12"/>
      <c r="T122" s="36"/>
      <c r="U122" s="36"/>
      <c r="V122" s="12"/>
      <c r="W122" s="12"/>
      <c r="X122" s="12"/>
      <c r="Y122" s="12"/>
      <c r="Z122" s="12"/>
    </row>
    <row r="123" customFormat="false" ht="15.75" hidden="false" customHeight="false" outlineLevel="0" collapsed="false">
      <c r="A123" s="12"/>
      <c r="B123" s="34"/>
      <c r="C123" s="12"/>
      <c r="D123" s="12"/>
      <c r="E123" s="12"/>
      <c r="F123" s="12"/>
      <c r="G123" s="18"/>
      <c r="H123" s="35"/>
      <c r="I123" s="35"/>
      <c r="J123" s="12"/>
      <c r="O123" s="12"/>
      <c r="P123" s="18"/>
      <c r="Q123" s="12"/>
      <c r="R123" s="12"/>
      <c r="S123" s="12"/>
      <c r="T123" s="36"/>
      <c r="U123" s="36"/>
      <c r="V123" s="12"/>
      <c r="W123" s="12"/>
      <c r="X123" s="12"/>
      <c r="Y123" s="12"/>
      <c r="Z123" s="12"/>
    </row>
    <row r="124" customFormat="false" ht="15.75" hidden="false" customHeight="false" outlineLevel="0" collapsed="false">
      <c r="A124" s="12"/>
      <c r="B124" s="34"/>
      <c r="C124" s="12"/>
      <c r="D124" s="12"/>
      <c r="E124" s="12"/>
      <c r="F124" s="12"/>
      <c r="G124" s="18"/>
      <c r="H124" s="35"/>
      <c r="I124" s="35"/>
      <c r="J124" s="12"/>
      <c r="O124" s="12"/>
      <c r="P124" s="18"/>
      <c r="Q124" s="12"/>
      <c r="R124" s="12"/>
      <c r="S124" s="12"/>
      <c r="T124" s="36"/>
      <c r="U124" s="36"/>
      <c r="V124" s="12"/>
      <c r="W124" s="12"/>
      <c r="X124" s="12"/>
      <c r="Y124" s="12"/>
      <c r="Z124" s="12"/>
    </row>
    <row r="125" customFormat="false" ht="15.75" hidden="false" customHeight="false" outlineLevel="0" collapsed="false">
      <c r="A125" s="12"/>
      <c r="B125" s="34"/>
      <c r="C125" s="12"/>
      <c r="D125" s="12"/>
      <c r="E125" s="12"/>
      <c r="F125" s="12"/>
      <c r="G125" s="18"/>
      <c r="H125" s="35"/>
      <c r="I125" s="35"/>
      <c r="J125" s="12"/>
      <c r="O125" s="12"/>
      <c r="P125" s="18"/>
      <c r="Q125" s="12"/>
      <c r="R125" s="12"/>
      <c r="S125" s="12"/>
      <c r="T125" s="36"/>
      <c r="U125" s="36"/>
      <c r="V125" s="12"/>
      <c r="W125" s="12"/>
      <c r="X125" s="12"/>
      <c r="Y125" s="12"/>
      <c r="Z125" s="12"/>
    </row>
    <row r="126" customFormat="false" ht="15.75" hidden="false" customHeight="false" outlineLevel="0" collapsed="false">
      <c r="A126" s="12"/>
      <c r="B126" s="34"/>
      <c r="C126" s="12"/>
      <c r="D126" s="12"/>
      <c r="E126" s="12"/>
      <c r="F126" s="12"/>
      <c r="G126" s="18"/>
      <c r="H126" s="35"/>
      <c r="I126" s="35"/>
      <c r="J126" s="12"/>
      <c r="O126" s="12"/>
      <c r="P126" s="18"/>
      <c r="Q126" s="12"/>
      <c r="R126" s="12"/>
      <c r="S126" s="12"/>
      <c r="T126" s="36"/>
      <c r="U126" s="36"/>
      <c r="V126" s="12"/>
      <c r="W126" s="12"/>
      <c r="X126" s="12"/>
      <c r="Y126" s="12"/>
      <c r="Z126" s="12"/>
    </row>
    <row r="127" customFormat="false" ht="15.75" hidden="false" customHeight="false" outlineLevel="0" collapsed="false">
      <c r="A127" s="12"/>
      <c r="B127" s="34"/>
      <c r="C127" s="12"/>
      <c r="D127" s="12"/>
      <c r="E127" s="12"/>
      <c r="F127" s="12"/>
      <c r="G127" s="18"/>
      <c r="H127" s="35"/>
      <c r="I127" s="35"/>
      <c r="J127" s="12"/>
      <c r="O127" s="12"/>
      <c r="P127" s="18"/>
      <c r="Q127" s="12"/>
      <c r="R127" s="12"/>
      <c r="S127" s="12"/>
      <c r="T127" s="36"/>
      <c r="U127" s="36"/>
      <c r="V127" s="12"/>
      <c r="W127" s="12"/>
      <c r="X127" s="12"/>
      <c r="Y127" s="12"/>
      <c r="Z127" s="12"/>
    </row>
    <row r="128" customFormat="false" ht="15.75" hidden="false" customHeight="false" outlineLevel="0" collapsed="false">
      <c r="A128" s="12"/>
      <c r="B128" s="34"/>
      <c r="C128" s="12"/>
      <c r="D128" s="12"/>
      <c r="E128" s="12"/>
      <c r="F128" s="12"/>
      <c r="G128" s="18"/>
      <c r="H128" s="35"/>
      <c r="I128" s="35"/>
      <c r="J128" s="12"/>
      <c r="O128" s="12"/>
      <c r="P128" s="18"/>
      <c r="Q128" s="12"/>
      <c r="R128" s="12"/>
      <c r="S128" s="12"/>
      <c r="T128" s="36"/>
      <c r="U128" s="36"/>
      <c r="V128" s="12"/>
      <c r="W128" s="12"/>
      <c r="X128" s="12"/>
      <c r="Y128" s="12"/>
      <c r="Z128" s="12"/>
    </row>
    <row r="129" customFormat="false" ht="15.75" hidden="false" customHeight="false" outlineLevel="0" collapsed="false">
      <c r="A129" s="12"/>
      <c r="B129" s="34"/>
      <c r="C129" s="12"/>
      <c r="D129" s="12"/>
      <c r="E129" s="12"/>
      <c r="F129" s="12"/>
      <c r="G129" s="18"/>
      <c r="H129" s="35"/>
      <c r="I129" s="35"/>
      <c r="J129" s="12"/>
      <c r="O129" s="12"/>
      <c r="P129" s="18"/>
      <c r="Q129" s="12"/>
      <c r="R129" s="12"/>
      <c r="S129" s="12"/>
      <c r="T129" s="36"/>
      <c r="U129" s="36"/>
      <c r="V129" s="12"/>
      <c r="W129" s="12"/>
      <c r="X129" s="12"/>
      <c r="Y129" s="12"/>
      <c r="Z129" s="12"/>
    </row>
    <row r="130" customFormat="false" ht="15.75" hidden="false" customHeight="false" outlineLevel="0" collapsed="false">
      <c r="A130" s="12"/>
      <c r="B130" s="34"/>
      <c r="C130" s="12"/>
      <c r="D130" s="12"/>
      <c r="E130" s="12"/>
      <c r="F130" s="12"/>
      <c r="G130" s="18"/>
      <c r="H130" s="35"/>
      <c r="I130" s="35"/>
      <c r="J130" s="12"/>
      <c r="O130" s="12"/>
      <c r="P130" s="18"/>
      <c r="Q130" s="12"/>
      <c r="R130" s="12"/>
      <c r="S130" s="12"/>
      <c r="T130" s="36"/>
      <c r="U130" s="36"/>
      <c r="V130" s="12"/>
      <c r="W130" s="12"/>
      <c r="X130" s="12"/>
      <c r="Y130" s="12"/>
      <c r="Z130" s="12"/>
    </row>
    <row r="131" customFormat="false" ht="15.75" hidden="false" customHeight="false" outlineLevel="0" collapsed="false">
      <c r="A131" s="12"/>
      <c r="B131" s="34"/>
      <c r="C131" s="12"/>
      <c r="D131" s="12"/>
      <c r="E131" s="12"/>
      <c r="F131" s="12"/>
      <c r="G131" s="18"/>
      <c r="H131" s="35"/>
      <c r="I131" s="35"/>
      <c r="J131" s="12"/>
      <c r="O131" s="12"/>
      <c r="P131" s="18"/>
      <c r="Q131" s="12"/>
      <c r="R131" s="12"/>
      <c r="S131" s="12"/>
      <c r="T131" s="36"/>
      <c r="U131" s="36"/>
      <c r="V131" s="12"/>
      <c r="W131" s="12"/>
      <c r="X131" s="12"/>
      <c r="Y131" s="12"/>
      <c r="Z131" s="12"/>
    </row>
    <row r="132" customFormat="false" ht="15.75" hidden="false" customHeight="false" outlineLevel="0" collapsed="false">
      <c r="A132" s="12"/>
      <c r="B132" s="34"/>
      <c r="C132" s="12"/>
      <c r="D132" s="12"/>
      <c r="E132" s="12"/>
      <c r="F132" s="12"/>
      <c r="G132" s="18"/>
      <c r="H132" s="35"/>
      <c r="I132" s="35"/>
      <c r="J132" s="12"/>
      <c r="O132" s="12"/>
      <c r="P132" s="18"/>
      <c r="Q132" s="12"/>
      <c r="R132" s="12"/>
      <c r="S132" s="12"/>
      <c r="T132" s="36"/>
      <c r="U132" s="36"/>
      <c r="V132" s="12"/>
      <c r="W132" s="12"/>
      <c r="X132" s="12"/>
      <c r="Y132" s="12"/>
      <c r="Z132" s="12"/>
    </row>
    <row r="133" customFormat="false" ht="15.75" hidden="false" customHeight="false" outlineLevel="0" collapsed="false">
      <c r="A133" s="12"/>
      <c r="B133" s="34"/>
      <c r="C133" s="12"/>
      <c r="D133" s="12"/>
      <c r="E133" s="12"/>
      <c r="F133" s="12"/>
      <c r="G133" s="18"/>
      <c r="H133" s="35"/>
      <c r="I133" s="35"/>
      <c r="J133" s="12"/>
      <c r="O133" s="12"/>
      <c r="P133" s="18"/>
      <c r="Q133" s="12"/>
      <c r="R133" s="12"/>
      <c r="S133" s="12"/>
      <c r="T133" s="36"/>
      <c r="U133" s="36"/>
      <c r="V133" s="12"/>
      <c r="W133" s="12"/>
      <c r="X133" s="12"/>
      <c r="Y133" s="12"/>
      <c r="Z133" s="12"/>
    </row>
    <row r="134" customFormat="false" ht="15.75" hidden="false" customHeight="false" outlineLevel="0" collapsed="false">
      <c r="A134" s="12"/>
      <c r="B134" s="34"/>
      <c r="C134" s="12"/>
      <c r="D134" s="12"/>
      <c r="E134" s="12"/>
      <c r="F134" s="12"/>
      <c r="G134" s="18"/>
      <c r="H134" s="35"/>
      <c r="I134" s="35"/>
      <c r="J134" s="12"/>
      <c r="O134" s="12"/>
      <c r="P134" s="18"/>
      <c r="Q134" s="12"/>
      <c r="R134" s="12"/>
      <c r="S134" s="12"/>
      <c r="T134" s="36"/>
      <c r="U134" s="36"/>
      <c r="V134" s="12"/>
      <c r="W134" s="12"/>
      <c r="X134" s="12"/>
      <c r="Y134" s="12"/>
      <c r="Z134" s="12"/>
    </row>
    <row r="135" customFormat="false" ht="15.75" hidden="false" customHeight="false" outlineLevel="0" collapsed="false">
      <c r="A135" s="12"/>
      <c r="B135" s="34"/>
      <c r="C135" s="12"/>
      <c r="D135" s="12"/>
      <c r="E135" s="12"/>
      <c r="F135" s="12"/>
      <c r="G135" s="18"/>
      <c r="H135" s="35"/>
      <c r="I135" s="35"/>
      <c r="J135" s="12"/>
      <c r="O135" s="12"/>
      <c r="P135" s="18"/>
      <c r="Q135" s="12"/>
      <c r="R135" s="12"/>
      <c r="S135" s="12"/>
      <c r="T135" s="36"/>
      <c r="U135" s="36"/>
      <c r="V135" s="12"/>
      <c r="W135" s="12"/>
      <c r="X135" s="12"/>
      <c r="Y135" s="12"/>
      <c r="Z135" s="12"/>
    </row>
    <row r="136" customFormat="false" ht="15.75" hidden="false" customHeight="false" outlineLevel="0" collapsed="false">
      <c r="A136" s="12"/>
      <c r="B136" s="34"/>
      <c r="C136" s="12"/>
      <c r="D136" s="12"/>
      <c r="E136" s="12"/>
      <c r="F136" s="12"/>
      <c r="G136" s="18"/>
      <c r="H136" s="35"/>
      <c r="I136" s="35"/>
      <c r="J136" s="12"/>
      <c r="O136" s="12"/>
      <c r="P136" s="18"/>
      <c r="Q136" s="12"/>
      <c r="R136" s="12"/>
      <c r="S136" s="12"/>
      <c r="T136" s="36"/>
      <c r="U136" s="36"/>
      <c r="V136" s="12"/>
      <c r="W136" s="12"/>
      <c r="X136" s="12"/>
      <c r="Y136" s="12"/>
      <c r="Z136" s="12"/>
    </row>
    <row r="137" customFormat="false" ht="15.75" hidden="false" customHeight="false" outlineLevel="0" collapsed="false">
      <c r="A137" s="12"/>
      <c r="B137" s="34"/>
      <c r="C137" s="12"/>
      <c r="D137" s="12"/>
      <c r="E137" s="12"/>
      <c r="F137" s="12"/>
      <c r="G137" s="18"/>
      <c r="H137" s="35"/>
      <c r="I137" s="35"/>
      <c r="J137" s="12"/>
      <c r="O137" s="12"/>
      <c r="P137" s="18"/>
      <c r="Q137" s="12"/>
      <c r="R137" s="12"/>
      <c r="S137" s="12"/>
      <c r="T137" s="36"/>
      <c r="U137" s="36"/>
      <c r="V137" s="12"/>
      <c r="W137" s="12"/>
      <c r="X137" s="12"/>
      <c r="Y137" s="12"/>
      <c r="Z137" s="12"/>
    </row>
    <row r="138" customFormat="false" ht="15.75" hidden="false" customHeight="false" outlineLevel="0" collapsed="false">
      <c r="A138" s="12"/>
      <c r="B138" s="34"/>
      <c r="C138" s="12"/>
      <c r="D138" s="12"/>
      <c r="E138" s="12"/>
      <c r="F138" s="12"/>
      <c r="G138" s="18"/>
      <c r="H138" s="35"/>
      <c r="I138" s="35"/>
      <c r="J138" s="12"/>
      <c r="O138" s="12"/>
      <c r="P138" s="18"/>
      <c r="Q138" s="12"/>
      <c r="R138" s="12"/>
      <c r="S138" s="12"/>
      <c r="T138" s="36"/>
      <c r="U138" s="36"/>
      <c r="V138" s="12"/>
      <c r="W138" s="12"/>
      <c r="X138" s="12"/>
      <c r="Y138" s="12"/>
      <c r="Z138" s="12"/>
    </row>
    <row r="139" customFormat="false" ht="15.75" hidden="false" customHeight="false" outlineLevel="0" collapsed="false">
      <c r="A139" s="12"/>
      <c r="B139" s="34"/>
      <c r="C139" s="12"/>
      <c r="D139" s="12"/>
      <c r="E139" s="12"/>
      <c r="F139" s="12"/>
      <c r="G139" s="18"/>
      <c r="H139" s="35"/>
      <c r="I139" s="35"/>
      <c r="J139" s="12"/>
      <c r="O139" s="12"/>
      <c r="P139" s="18"/>
      <c r="Q139" s="12"/>
      <c r="R139" s="12"/>
      <c r="S139" s="12"/>
      <c r="T139" s="36"/>
      <c r="U139" s="36"/>
      <c r="V139" s="12"/>
      <c r="W139" s="12"/>
      <c r="X139" s="12"/>
      <c r="Y139" s="12"/>
      <c r="Z139" s="12"/>
    </row>
    <row r="140" customFormat="false" ht="15.75" hidden="false" customHeight="false" outlineLevel="0" collapsed="false">
      <c r="A140" s="12"/>
      <c r="B140" s="34"/>
      <c r="C140" s="12"/>
      <c r="D140" s="12"/>
      <c r="E140" s="12"/>
      <c r="F140" s="12"/>
      <c r="G140" s="18"/>
      <c r="H140" s="35"/>
      <c r="I140" s="35"/>
      <c r="J140" s="12"/>
      <c r="O140" s="12"/>
      <c r="P140" s="18"/>
      <c r="Q140" s="12"/>
      <c r="R140" s="12"/>
      <c r="S140" s="12"/>
      <c r="T140" s="36"/>
      <c r="U140" s="36"/>
      <c r="V140" s="12"/>
      <c r="W140" s="12"/>
      <c r="X140" s="12"/>
      <c r="Y140" s="12"/>
      <c r="Z140" s="12"/>
    </row>
    <row r="141" customFormat="false" ht="15.75" hidden="false" customHeight="false" outlineLevel="0" collapsed="false">
      <c r="A141" s="12"/>
      <c r="B141" s="34"/>
      <c r="C141" s="12"/>
      <c r="D141" s="12"/>
      <c r="E141" s="12"/>
      <c r="F141" s="12"/>
      <c r="G141" s="18"/>
      <c r="H141" s="35"/>
      <c r="I141" s="35"/>
      <c r="J141" s="12"/>
      <c r="O141" s="12"/>
      <c r="P141" s="18"/>
      <c r="Q141" s="12"/>
      <c r="R141" s="12"/>
      <c r="S141" s="12"/>
      <c r="T141" s="36"/>
      <c r="U141" s="36"/>
      <c r="V141" s="12"/>
      <c r="W141" s="12"/>
      <c r="X141" s="12"/>
      <c r="Y141" s="12"/>
      <c r="Z141" s="12"/>
    </row>
    <row r="142" customFormat="false" ht="15.75" hidden="false" customHeight="false" outlineLevel="0" collapsed="false">
      <c r="A142" s="12"/>
      <c r="B142" s="34"/>
      <c r="C142" s="12"/>
      <c r="D142" s="12"/>
      <c r="E142" s="12"/>
      <c r="F142" s="12"/>
      <c r="G142" s="18"/>
      <c r="H142" s="35"/>
      <c r="I142" s="35"/>
      <c r="J142" s="12"/>
      <c r="O142" s="12"/>
      <c r="P142" s="18"/>
      <c r="Q142" s="12"/>
      <c r="R142" s="12"/>
      <c r="S142" s="12"/>
      <c r="T142" s="36"/>
      <c r="U142" s="36"/>
      <c r="V142" s="12"/>
      <c r="W142" s="12"/>
      <c r="X142" s="12"/>
      <c r="Y142" s="12"/>
      <c r="Z142" s="12"/>
    </row>
    <row r="143" customFormat="false" ht="15.75" hidden="false" customHeight="false" outlineLevel="0" collapsed="false">
      <c r="A143" s="12"/>
      <c r="B143" s="34"/>
      <c r="C143" s="12"/>
      <c r="D143" s="12"/>
      <c r="E143" s="12"/>
      <c r="F143" s="12"/>
      <c r="G143" s="18"/>
      <c r="H143" s="35"/>
      <c r="I143" s="35"/>
      <c r="J143" s="12"/>
      <c r="O143" s="12"/>
      <c r="P143" s="18"/>
      <c r="Q143" s="12"/>
      <c r="R143" s="12"/>
      <c r="S143" s="12"/>
      <c r="T143" s="36"/>
      <c r="U143" s="36"/>
      <c r="V143" s="12"/>
      <c r="W143" s="12"/>
      <c r="X143" s="12"/>
      <c r="Y143" s="12"/>
      <c r="Z143" s="12"/>
    </row>
    <row r="144" customFormat="false" ht="15.75" hidden="false" customHeight="false" outlineLevel="0" collapsed="false">
      <c r="A144" s="12"/>
      <c r="B144" s="34"/>
      <c r="C144" s="12"/>
      <c r="D144" s="12"/>
      <c r="E144" s="12"/>
      <c r="F144" s="12"/>
      <c r="G144" s="18"/>
      <c r="H144" s="35"/>
      <c r="I144" s="35"/>
      <c r="J144" s="12"/>
      <c r="O144" s="12"/>
      <c r="P144" s="18"/>
      <c r="Q144" s="12"/>
      <c r="R144" s="12"/>
      <c r="S144" s="12"/>
      <c r="T144" s="36"/>
      <c r="U144" s="36"/>
      <c r="V144" s="12"/>
      <c r="W144" s="12"/>
      <c r="X144" s="12"/>
      <c r="Y144" s="12"/>
      <c r="Z144" s="12"/>
    </row>
    <row r="145" customFormat="false" ht="15.75" hidden="false" customHeight="false" outlineLevel="0" collapsed="false">
      <c r="A145" s="12"/>
      <c r="B145" s="34"/>
      <c r="C145" s="12"/>
      <c r="D145" s="12"/>
      <c r="E145" s="12"/>
      <c r="F145" s="12"/>
      <c r="G145" s="18"/>
      <c r="H145" s="35"/>
      <c r="I145" s="35"/>
      <c r="J145" s="12"/>
      <c r="O145" s="12"/>
      <c r="P145" s="18"/>
      <c r="Q145" s="12"/>
      <c r="R145" s="12"/>
      <c r="S145" s="12"/>
      <c r="T145" s="36"/>
      <c r="U145" s="36"/>
      <c r="V145" s="12"/>
      <c r="W145" s="12"/>
      <c r="X145" s="12"/>
      <c r="Y145" s="12"/>
      <c r="Z145" s="12"/>
    </row>
    <row r="146" customFormat="false" ht="15.75" hidden="false" customHeight="false" outlineLevel="0" collapsed="false">
      <c r="A146" s="12"/>
      <c r="B146" s="34"/>
      <c r="C146" s="12"/>
      <c r="D146" s="12"/>
      <c r="E146" s="12"/>
      <c r="F146" s="12"/>
      <c r="G146" s="18"/>
      <c r="H146" s="35"/>
      <c r="I146" s="35"/>
      <c r="J146" s="12"/>
      <c r="O146" s="12"/>
      <c r="P146" s="18"/>
      <c r="Q146" s="12"/>
      <c r="R146" s="12"/>
      <c r="S146" s="12"/>
      <c r="T146" s="36"/>
      <c r="U146" s="36"/>
      <c r="V146" s="12"/>
      <c r="W146" s="12"/>
      <c r="X146" s="12"/>
      <c r="Y146" s="12"/>
      <c r="Z146" s="12"/>
    </row>
    <row r="147" customFormat="false" ht="15.75" hidden="false" customHeight="false" outlineLevel="0" collapsed="false">
      <c r="A147" s="12"/>
      <c r="B147" s="34"/>
      <c r="C147" s="12"/>
      <c r="D147" s="12"/>
      <c r="E147" s="12"/>
      <c r="F147" s="12"/>
      <c r="G147" s="18"/>
      <c r="H147" s="35"/>
      <c r="I147" s="35"/>
      <c r="J147" s="12"/>
      <c r="O147" s="12"/>
      <c r="P147" s="18"/>
      <c r="Q147" s="12"/>
      <c r="R147" s="12"/>
      <c r="S147" s="12"/>
      <c r="T147" s="36"/>
      <c r="U147" s="36"/>
      <c r="V147" s="12"/>
      <c r="W147" s="12"/>
      <c r="X147" s="12"/>
      <c r="Y147" s="12"/>
      <c r="Z147" s="12"/>
    </row>
    <row r="148" customFormat="false" ht="15.75" hidden="false" customHeight="false" outlineLevel="0" collapsed="false">
      <c r="A148" s="12"/>
      <c r="B148" s="34"/>
      <c r="C148" s="12"/>
      <c r="D148" s="12"/>
      <c r="E148" s="12"/>
      <c r="F148" s="12"/>
      <c r="G148" s="18"/>
      <c r="H148" s="35"/>
      <c r="I148" s="35"/>
      <c r="J148" s="12"/>
      <c r="O148" s="12"/>
      <c r="P148" s="18"/>
      <c r="Q148" s="12"/>
      <c r="R148" s="12"/>
      <c r="S148" s="12"/>
      <c r="T148" s="36"/>
      <c r="U148" s="36"/>
      <c r="V148" s="12"/>
      <c r="W148" s="12"/>
      <c r="X148" s="12"/>
      <c r="Y148" s="12"/>
      <c r="Z148" s="12"/>
    </row>
    <row r="149" customFormat="false" ht="15.75" hidden="false" customHeight="false" outlineLevel="0" collapsed="false">
      <c r="A149" s="12"/>
      <c r="B149" s="34"/>
      <c r="C149" s="12"/>
      <c r="D149" s="12"/>
      <c r="E149" s="12"/>
      <c r="F149" s="12"/>
      <c r="G149" s="18"/>
      <c r="H149" s="35"/>
      <c r="I149" s="35"/>
      <c r="J149" s="12"/>
      <c r="O149" s="12"/>
      <c r="P149" s="18"/>
      <c r="Q149" s="12"/>
      <c r="R149" s="12"/>
      <c r="S149" s="12"/>
      <c r="T149" s="36"/>
      <c r="U149" s="36"/>
      <c r="V149" s="12"/>
      <c r="W149" s="12"/>
      <c r="X149" s="12"/>
      <c r="Y149" s="12"/>
      <c r="Z149" s="12"/>
    </row>
    <row r="150" customFormat="false" ht="15.75" hidden="false" customHeight="false" outlineLevel="0" collapsed="false">
      <c r="A150" s="12"/>
      <c r="B150" s="34"/>
      <c r="C150" s="12"/>
      <c r="D150" s="12"/>
      <c r="E150" s="12"/>
      <c r="F150" s="12"/>
      <c r="G150" s="18"/>
      <c r="H150" s="35"/>
      <c r="I150" s="35"/>
      <c r="J150" s="12"/>
      <c r="O150" s="12"/>
      <c r="P150" s="18"/>
      <c r="Q150" s="12"/>
      <c r="R150" s="12"/>
      <c r="S150" s="12"/>
      <c r="T150" s="36"/>
      <c r="U150" s="36"/>
      <c r="V150" s="12"/>
      <c r="W150" s="12"/>
      <c r="X150" s="12"/>
      <c r="Y150" s="12"/>
      <c r="Z150" s="12"/>
    </row>
    <row r="151" customFormat="false" ht="15.75" hidden="false" customHeight="false" outlineLevel="0" collapsed="false">
      <c r="A151" s="12"/>
      <c r="B151" s="34"/>
      <c r="C151" s="12"/>
      <c r="D151" s="12"/>
      <c r="E151" s="12"/>
      <c r="F151" s="12"/>
      <c r="G151" s="18"/>
      <c r="H151" s="35"/>
      <c r="I151" s="35"/>
      <c r="J151" s="12"/>
      <c r="O151" s="12"/>
      <c r="P151" s="18"/>
      <c r="Q151" s="12"/>
      <c r="R151" s="12"/>
      <c r="S151" s="12"/>
      <c r="T151" s="36"/>
      <c r="U151" s="36"/>
      <c r="V151" s="12"/>
      <c r="W151" s="12"/>
      <c r="X151" s="12"/>
      <c r="Y151" s="12"/>
      <c r="Z151" s="12"/>
    </row>
    <row r="152" customFormat="false" ht="15.75" hidden="false" customHeight="false" outlineLevel="0" collapsed="false">
      <c r="A152" s="12"/>
      <c r="B152" s="34"/>
      <c r="C152" s="12"/>
      <c r="D152" s="12"/>
      <c r="E152" s="12"/>
      <c r="F152" s="12"/>
      <c r="G152" s="18"/>
      <c r="H152" s="35"/>
      <c r="I152" s="35"/>
      <c r="J152" s="12"/>
      <c r="O152" s="12"/>
      <c r="P152" s="18"/>
      <c r="Q152" s="12"/>
      <c r="R152" s="12"/>
      <c r="S152" s="12"/>
      <c r="T152" s="36"/>
      <c r="U152" s="36"/>
      <c r="V152" s="12"/>
      <c r="W152" s="12"/>
      <c r="X152" s="12"/>
      <c r="Y152" s="12"/>
      <c r="Z152" s="12"/>
    </row>
    <row r="153" customFormat="false" ht="15.75" hidden="false" customHeight="false" outlineLevel="0" collapsed="false">
      <c r="A153" s="12"/>
      <c r="B153" s="34"/>
      <c r="C153" s="12"/>
      <c r="D153" s="12"/>
      <c r="E153" s="12"/>
      <c r="F153" s="12"/>
      <c r="G153" s="18"/>
      <c r="H153" s="35"/>
      <c r="I153" s="35"/>
      <c r="J153" s="12"/>
      <c r="O153" s="12"/>
      <c r="P153" s="18"/>
      <c r="Q153" s="12"/>
      <c r="R153" s="12"/>
      <c r="S153" s="12"/>
      <c r="T153" s="36"/>
      <c r="U153" s="36"/>
      <c r="V153" s="12"/>
      <c r="W153" s="12"/>
      <c r="X153" s="12"/>
      <c r="Y153" s="12"/>
      <c r="Z153" s="12"/>
    </row>
    <row r="154" customFormat="false" ht="15.75" hidden="false" customHeight="false" outlineLevel="0" collapsed="false">
      <c r="A154" s="12"/>
      <c r="B154" s="34"/>
      <c r="C154" s="12"/>
      <c r="D154" s="12"/>
      <c r="E154" s="12"/>
      <c r="F154" s="12"/>
      <c r="G154" s="18"/>
      <c r="H154" s="35"/>
      <c r="I154" s="35"/>
      <c r="J154" s="12"/>
      <c r="O154" s="12"/>
      <c r="P154" s="18"/>
      <c r="Q154" s="12"/>
      <c r="R154" s="12"/>
      <c r="S154" s="12"/>
      <c r="T154" s="36"/>
      <c r="U154" s="36"/>
      <c r="V154" s="12"/>
      <c r="W154" s="12"/>
      <c r="X154" s="12"/>
      <c r="Y154" s="12"/>
      <c r="Z154" s="12"/>
    </row>
    <row r="155" customFormat="false" ht="15.75" hidden="false" customHeight="false" outlineLevel="0" collapsed="false">
      <c r="A155" s="12"/>
      <c r="B155" s="34"/>
      <c r="C155" s="12"/>
      <c r="D155" s="12"/>
      <c r="E155" s="12"/>
      <c r="F155" s="12"/>
      <c r="G155" s="18"/>
      <c r="H155" s="35"/>
      <c r="I155" s="35"/>
      <c r="J155" s="12"/>
      <c r="O155" s="12"/>
      <c r="P155" s="18"/>
      <c r="Q155" s="12"/>
      <c r="R155" s="12"/>
      <c r="S155" s="12"/>
      <c r="T155" s="36"/>
      <c r="U155" s="36"/>
      <c r="V155" s="12"/>
      <c r="W155" s="12"/>
      <c r="X155" s="12"/>
      <c r="Y155" s="12"/>
      <c r="Z155" s="12"/>
    </row>
    <row r="156" customFormat="false" ht="15.75" hidden="false" customHeight="false" outlineLevel="0" collapsed="false">
      <c r="A156" s="12"/>
      <c r="B156" s="34"/>
      <c r="C156" s="12"/>
      <c r="D156" s="12"/>
      <c r="E156" s="12"/>
      <c r="F156" s="12"/>
      <c r="G156" s="18"/>
      <c r="H156" s="35"/>
      <c r="I156" s="35"/>
      <c r="J156" s="12"/>
      <c r="O156" s="12"/>
      <c r="P156" s="18"/>
      <c r="Q156" s="12"/>
      <c r="R156" s="12"/>
      <c r="S156" s="12"/>
      <c r="T156" s="36"/>
      <c r="U156" s="36"/>
      <c r="V156" s="12"/>
      <c r="W156" s="12"/>
      <c r="X156" s="12"/>
      <c r="Y156" s="12"/>
      <c r="Z156" s="12"/>
    </row>
    <row r="157" customFormat="false" ht="15.75" hidden="false" customHeight="false" outlineLevel="0" collapsed="false">
      <c r="A157" s="12"/>
      <c r="B157" s="34"/>
      <c r="C157" s="12"/>
      <c r="D157" s="12"/>
      <c r="E157" s="12"/>
      <c r="F157" s="12"/>
      <c r="G157" s="18"/>
      <c r="H157" s="35"/>
      <c r="I157" s="35"/>
      <c r="J157" s="12"/>
      <c r="O157" s="12"/>
      <c r="P157" s="18"/>
      <c r="Q157" s="12"/>
      <c r="R157" s="12"/>
      <c r="S157" s="12"/>
      <c r="T157" s="36"/>
      <c r="U157" s="36"/>
      <c r="V157" s="12"/>
      <c r="W157" s="12"/>
      <c r="X157" s="12"/>
      <c r="Y157" s="12"/>
      <c r="Z157" s="12"/>
    </row>
    <row r="158" customFormat="false" ht="15.75" hidden="false" customHeight="false" outlineLevel="0" collapsed="false">
      <c r="A158" s="12"/>
      <c r="B158" s="34"/>
      <c r="C158" s="12"/>
      <c r="D158" s="12"/>
      <c r="E158" s="12"/>
      <c r="F158" s="12"/>
      <c r="G158" s="18"/>
      <c r="H158" s="35"/>
      <c r="I158" s="35"/>
      <c r="J158" s="12"/>
      <c r="O158" s="12"/>
      <c r="P158" s="18"/>
      <c r="Q158" s="12"/>
      <c r="R158" s="12"/>
      <c r="S158" s="12"/>
      <c r="T158" s="36"/>
      <c r="U158" s="36"/>
      <c r="V158" s="12"/>
      <c r="W158" s="12"/>
      <c r="X158" s="12"/>
      <c r="Y158" s="12"/>
      <c r="Z158" s="12"/>
    </row>
    <row r="159" customFormat="false" ht="15.75" hidden="false" customHeight="false" outlineLevel="0" collapsed="false">
      <c r="A159" s="12"/>
      <c r="B159" s="34"/>
      <c r="C159" s="12"/>
      <c r="D159" s="12"/>
      <c r="E159" s="12"/>
      <c r="F159" s="12"/>
      <c r="G159" s="18"/>
      <c r="H159" s="35"/>
      <c r="I159" s="35"/>
      <c r="J159" s="12"/>
      <c r="O159" s="12"/>
      <c r="P159" s="18"/>
      <c r="Q159" s="12"/>
      <c r="R159" s="12"/>
      <c r="S159" s="12"/>
      <c r="T159" s="36"/>
      <c r="U159" s="36"/>
      <c r="V159" s="12"/>
      <c r="W159" s="12"/>
      <c r="X159" s="12"/>
      <c r="Y159" s="12"/>
      <c r="Z159" s="12"/>
    </row>
    <row r="160" customFormat="false" ht="15.75" hidden="false" customHeight="false" outlineLevel="0" collapsed="false">
      <c r="A160" s="12"/>
      <c r="B160" s="34"/>
      <c r="C160" s="12"/>
      <c r="D160" s="12"/>
      <c r="E160" s="12"/>
      <c r="F160" s="12"/>
      <c r="G160" s="18"/>
      <c r="H160" s="35"/>
      <c r="I160" s="35"/>
      <c r="J160" s="12"/>
      <c r="O160" s="12"/>
      <c r="P160" s="18"/>
      <c r="Q160" s="12"/>
      <c r="R160" s="12"/>
      <c r="S160" s="12"/>
      <c r="T160" s="36"/>
      <c r="U160" s="36"/>
      <c r="V160" s="12"/>
      <c r="W160" s="12"/>
      <c r="X160" s="12"/>
      <c r="Y160" s="12"/>
      <c r="Z160" s="12"/>
    </row>
    <row r="161" customFormat="false" ht="15.75" hidden="false" customHeight="false" outlineLevel="0" collapsed="false">
      <c r="A161" s="12"/>
      <c r="B161" s="34"/>
      <c r="C161" s="12"/>
      <c r="D161" s="12"/>
      <c r="E161" s="12"/>
      <c r="F161" s="12"/>
      <c r="G161" s="18"/>
      <c r="H161" s="35"/>
      <c r="I161" s="35"/>
      <c r="J161" s="12"/>
      <c r="O161" s="12"/>
      <c r="P161" s="18"/>
      <c r="Q161" s="12"/>
      <c r="R161" s="12"/>
      <c r="S161" s="12"/>
      <c r="T161" s="36"/>
      <c r="U161" s="36"/>
      <c r="V161" s="12"/>
      <c r="W161" s="12"/>
      <c r="X161" s="12"/>
      <c r="Y161" s="12"/>
      <c r="Z161" s="12"/>
    </row>
    <row r="162" customFormat="false" ht="15.75" hidden="false" customHeight="false" outlineLevel="0" collapsed="false">
      <c r="A162" s="12"/>
      <c r="B162" s="34"/>
      <c r="C162" s="12"/>
      <c r="D162" s="12"/>
      <c r="E162" s="12"/>
      <c r="F162" s="12"/>
      <c r="G162" s="18"/>
      <c r="H162" s="35"/>
      <c r="I162" s="35"/>
      <c r="J162" s="12"/>
      <c r="O162" s="12"/>
      <c r="P162" s="18"/>
      <c r="Q162" s="12"/>
      <c r="R162" s="12"/>
      <c r="S162" s="12"/>
      <c r="T162" s="36"/>
      <c r="U162" s="36"/>
      <c r="V162" s="12"/>
      <c r="W162" s="12"/>
      <c r="X162" s="12"/>
      <c r="Y162" s="12"/>
      <c r="Z162" s="12"/>
    </row>
    <row r="163" customFormat="false" ht="15.75" hidden="false" customHeight="false" outlineLevel="0" collapsed="false">
      <c r="A163" s="12"/>
      <c r="B163" s="34"/>
      <c r="C163" s="12"/>
      <c r="D163" s="12"/>
      <c r="E163" s="12"/>
      <c r="F163" s="12"/>
      <c r="G163" s="18"/>
      <c r="H163" s="35"/>
      <c r="I163" s="35"/>
      <c r="J163" s="12"/>
      <c r="O163" s="12"/>
      <c r="P163" s="18"/>
      <c r="Q163" s="12"/>
      <c r="R163" s="12"/>
      <c r="S163" s="12"/>
      <c r="T163" s="36"/>
      <c r="U163" s="36"/>
      <c r="V163" s="12"/>
      <c r="W163" s="12"/>
      <c r="X163" s="12"/>
      <c r="Y163" s="12"/>
      <c r="Z163" s="12"/>
    </row>
    <row r="164" customFormat="false" ht="15.75" hidden="false" customHeight="false" outlineLevel="0" collapsed="false">
      <c r="A164" s="12"/>
      <c r="B164" s="34"/>
      <c r="C164" s="12"/>
      <c r="D164" s="12"/>
      <c r="E164" s="12"/>
      <c r="F164" s="12"/>
      <c r="G164" s="18"/>
      <c r="H164" s="35"/>
      <c r="I164" s="35"/>
      <c r="J164" s="12"/>
      <c r="O164" s="12"/>
      <c r="P164" s="18"/>
      <c r="Q164" s="12"/>
      <c r="R164" s="12"/>
      <c r="S164" s="12"/>
      <c r="T164" s="36"/>
      <c r="U164" s="36"/>
      <c r="V164" s="12"/>
      <c r="W164" s="12"/>
      <c r="X164" s="12"/>
      <c r="Y164" s="12"/>
      <c r="Z164" s="12"/>
    </row>
    <row r="165" customFormat="false" ht="15.75" hidden="false" customHeight="false" outlineLevel="0" collapsed="false">
      <c r="A165" s="12"/>
      <c r="B165" s="34"/>
      <c r="C165" s="12"/>
      <c r="D165" s="12"/>
      <c r="E165" s="12"/>
      <c r="F165" s="12"/>
      <c r="G165" s="18"/>
      <c r="H165" s="35"/>
      <c r="I165" s="35"/>
      <c r="J165" s="12"/>
      <c r="O165" s="12"/>
      <c r="P165" s="18"/>
      <c r="Q165" s="12"/>
      <c r="R165" s="12"/>
      <c r="S165" s="12"/>
      <c r="T165" s="36"/>
      <c r="U165" s="36"/>
      <c r="V165" s="12"/>
      <c r="W165" s="12"/>
      <c r="X165" s="12"/>
      <c r="Y165" s="12"/>
      <c r="Z165" s="12"/>
    </row>
    <row r="166" customFormat="false" ht="15.75" hidden="false" customHeight="false" outlineLevel="0" collapsed="false">
      <c r="A166" s="12"/>
      <c r="B166" s="34"/>
      <c r="C166" s="12"/>
      <c r="D166" s="12"/>
      <c r="E166" s="12"/>
      <c r="F166" s="12"/>
      <c r="G166" s="18"/>
      <c r="H166" s="35"/>
      <c r="I166" s="35"/>
      <c r="J166" s="12"/>
      <c r="O166" s="12"/>
      <c r="P166" s="18"/>
      <c r="Q166" s="12"/>
      <c r="R166" s="12"/>
      <c r="S166" s="12"/>
      <c r="T166" s="36"/>
      <c r="U166" s="36"/>
      <c r="V166" s="12"/>
      <c r="W166" s="12"/>
      <c r="X166" s="12"/>
      <c r="Y166" s="12"/>
      <c r="Z166" s="12"/>
    </row>
    <row r="167" customFormat="false" ht="15.75" hidden="false" customHeight="false" outlineLevel="0" collapsed="false">
      <c r="A167" s="12"/>
      <c r="B167" s="34"/>
      <c r="C167" s="12"/>
      <c r="D167" s="12"/>
      <c r="E167" s="12"/>
      <c r="F167" s="12"/>
      <c r="G167" s="18"/>
      <c r="H167" s="35"/>
      <c r="I167" s="35"/>
      <c r="J167" s="12"/>
      <c r="O167" s="12"/>
      <c r="P167" s="18"/>
      <c r="Q167" s="12"/>
      <c r="R167" s="12"/>
      <c r="S167" s="12"/>
      <c r="T167" s="36"/>
      <c r="U167" s="36"/>
      <c r="V167" s="12"/>
      <c r="W167" s="12"/>
      <c r="X167" s="12"/>
      <c r="Y167" s="12"/>
      <c r="Z167" s="12"/>
    </row>
    <row r="168" customFormat="false" ht="15.75" hidden="false" customHeight="false" outlineLevel="0" collapsed="false">
      <c r="A168" s="12"/>
      <c r="B168" s="34"/>
      <c r="C168" s="12"/>
      <c r="D168" s="12"/>
      <c r="E168" s="12"/>
      <c r="F168" s="12"/>
      <c r="G168" s="18"/>
      <c r="H168" s="35"/>
      <c r="I168" s="35"/>
      <c r="J168" s="12"/>
      <c r="O168" s="12"/>
      <c r="P168" s="18"/>
      <c r="Q168" s="12"/>
      <c r="R168" s="12"/>
      <c r="S168" s="12"/>
      <c r="T168" s="36"/>
      <c r="U168" s="36"/>
      <c r="V168" s="12"/>
      <c r="W168" s="12"/>
      <c r="X168" s="12"/>
      <c r="Y168" s="12"/>
      <c r="Z168" s="12"/>
    </row>
    <row r="169" customFormat="false" ht="15.75" hidden="false" customHeight="false" outlineLevel="0" collapsed="false">
      <c r="A169" s="12"/>
      <c r="B169" s="34"/>
      <c r="C169" s="12"/>
      <c r="D169" s="12"/>
      <c r="E169" s="12"/>
      <c r="F169" s="12"/>
      <c r="G169" s="18"/>
      <c r="H169" s="35"/>
      <c r="I169" s="35"/>
      <c r="J169" s="12"/>
      <c r="O169" s="12"/>
      <c r="P169" s="18"/>
      <c r="Q169" s="12"/>
      <c r="R169" s="12"/>
      <c r="S169" s="12"/>
      <c r="T169" s="36"/>
      <c r="U169" s="36"/>
      <c r="V169" s="12"/>
      <c r="W169" s="12"/>
      <c r="X169" s="12"/>
      <c r="Y169" s="12"/>
      <c r="Z169" s="12"/>
    </row>
    <row r="170" customFormat="false" ht="15.75" hidden="false" customHeight="false" outlineLevel="0" collapsed="false">
      <c r="A170" s="12"/>
      <c r="B170" s="34"/>
      <c r="C170" s="12"/>
      <c r="D170" s="12"/>
      <c r="E170" s="12"/>
      <c r="F170" s="12"/>
      <c r="G170" s="18"/>
      <c r="H170" s="35"/>
      <c r="I170" s="35"/>
      <c r="J170" s="12"/>
      <c r="O170" s="12"/>
      <c r="P170" s="18"/>
      <c r="Q170" s="12"/>
      <c r="R170" s="12"/>
      <c r="S170" s="12"/>
      <c r="T170" s="36"/>
      <c r="U170" s="36"/>
      <c r="V170" s="12"/>
      <c r="W170" s="12"/>
      <c r="X170" s="12"/>
      <c r="Y170" s="12"/>
      <c r="Z170" s="12"/>
    </row>
    <row r="171" customFormat="false" ht="15.75" hidden="false" customHeight="false" outlineLevel="0" collapsed="false">
      <c r="A171" s="12"/>
      <c r="B171" s="34"/>
      <c r="C171" s="12"/>
      <c r="D171" s="12"/>
      <c r="E171" s="12"/>
      <c r="F171" s="12"/>
      <c r="G171" s="18"/>
      <c r="H171" s="35"/>
      <c r="I171" s="35"/>
      <c r="J171" s="12"/>
      <c r="O171" s="12"/>
      <c r="P171" s="18"/>
      <c r="Q171" s="12"/>
      <c r="R171" s="12"/>
      <c r="S171" s="12"/>
      <c r="T171" s="36"/>
      <c r="U171" s="36"/>
      <c r="V171" s="12"/>
      <c r="W171" s="12"/>
      <c r="X171" s="12"/>
      <c r="Y171" s="12"/>
      <c r="Z171" s="12"/>
    </row>
    <row r="172" customFormat="false" ht="15.75" hidden="false" customHeight="false" outlineLevel="0" collapsed="false">
      <c r="A172" s="12"/>
      <c r="B172" s="34"/>
      <c r="C172" s="12"/>
      <c r="D172" s="12"/>
      <c r="E172" s="12"/>
      <c r="F172" s="12"/>
      <c r="G172" s="18"/>
      <c r="H172" s="35"/>
      <c r="I172" s="35"/>
      <c r="J172" s="12"/>
      <c r="O172" s="12"/>
      <c r="P172" s="18"/>
      <c r="Q172" s="12"/>
      <c r="R172" s="12"/>
      <c r="S172" s="12"/>
      <c r="T172" s="36"/>
      <c r="U172" s="36"/>
      <c r="V172" s="12"/>
      <c r="W172" s="12"/>
      <c r="X172" s="12"/>
      <c r="Y172" s="12"/>
      <c r="Z172" s="12"/>
    </row>
    <row r="173" customFormat="false" ht="15.75" hidden="false" customHeight="false" outlineLevel="0" collapsed="false">
      <c r="A173" s="12"/>
      <c r="B173" s="34"/>
      <c r="C173" s="12"/>
      <c r="D173" s="12"/>
      <c r="E173" s="12"/>
      <c r="F173" s="12"/>
      <c r="G173" s="18"/>
      <c r="H173" s="35"/>
      <c r="I173" s="35"/>
      <c r="J173" s="12"/>
      <c r="O173" s="12"/>
      <c r="P173" s="18"/>
      <c r="Q173" s="12"/>
      <c r="R173" s="12"/>
      <c r="S173" s="12"/>
      <c r="T173" s="36"/>
      <c r="U173" s="36"/>
      <c r="V173" s="12"/>
      <c r="W173" s="12"/>
      <c r="X173" s="12"/>
      <c r="Y173" s="12"/>
      <c r="Z173" s="12"/>
    </row>
    <row r="174" customFormat="false" ht="15.75" hidden="false" customHeight="false" outlineLevel="0" collapsed="false">
      <c r="A174" s="12"/>
      <c r="B174" s="34"/>
      <c r="C174" s="12"/>
      <c r="D174" s="12"/>
      <c r="E174" s="12"/>
      <c r="F174" s="12"/>
      <c r="G174" s="18"/>
      <c r="H174" s="35"/>
      <c r="I174" s="35"/>
      <c r="J174" s="12"/>
      <c r="O174" s="12"/>
      <c r="P174" s="18"/>
      <c r="Q174" s="12"/>
      <c r="R174" s="12"/>
      <c r="S174" s="12"/>
      <c r="T174" s="36"/>
      <c r="U174" s="36"/>
      <c r="V174" s="12"/>
      <c r="W174" s="12"/>
      <c r="X174" s="12"/>
      <c r="Y174" s="12"/>
      <c r="Z174" s="12"/>
    </row>
    <row r="175" customFormat="false" ht="15.75" hidden="false" customHeight="false" outlineLevel="0" collapsed="false">
      <c r="A175" s="12"/>
      <c r="B175" s="34"/>
      <c r="C175" s="12"/>
      <c r="D175" s="12"/>
      <c r="E175" s="12"/>
      <c r="F175" s="12"/>
      <c r="G175" s="18"/>
      <c r="H175" s="35"/>
      <c r="I175" s="35"/>
      <c r="J175" s="12"/>
      <c r="O175" s="12"/>
      <c r="P175" s="18"/>
      <c r="Q175" s="12"/>
      <c r="R175" s="12"/>
      <c r="S175" s="12"/>
      <c r="T175" s="36"/>
      <c r="U175" s="36"/>
      <c r="V175" s="12"/>
      <c r="W175" s="12"/>
      <c r="X175" s="12"/>
      <c r="Y175" s="12"/>
      <c r="Z175" s="12"/>
    </row>
    <row r="176" customFormat="false" ht="15.75" hidden="false" customHeight="false" outlineLevel="0" collapsed="false">
      <c r="A176" s="12"/>
      <c r="B176" s="34"/>
      <c r="C176" s="12"/>
      <c r="D176" s="12"/>
      <c r="E176" s="12"/>
      <c r="F176" s="12"/>
      <c r="G176" s="18"/>
      <c r="H176" s="35"/>
      <c r="I176" s="35"/>
      <c r="J176" s="12"/>
      <c r="O176" s="12"/>
      <c r="P176" s="18"/>
      <c r="Q176" s="12"/>
      <c r="R176" s="12"/>
      <c r="S176" s="12"/>
      <c r="T176" s="36"/>
      <c r="U176" s="36"/>
      <c r="V176" s="12"/>
      <c r="W176" s="12"/>
      <c r="X176" s="12"/>
      <c r="Y176" s="12"/>
      <c r="Z176" s="12"/>
    </row>
    <row r="177" customFormat="false" ht="15.75" hidden="false" customHeight="false" outlineLevel="0" collapsed="false">
      <c r="A177" s="12"/>
      <c r="B177" s="34"/>
      <c r="C177" s="12"/>
      <c r="D177" s="12"/>
      <c r="E177" s="12"/>
      <c r="F177" s="12"/>
      <c r="G177" s="18"/>
      <c r="H177" s="35"/>
      <c r="I177" s="35"/>
      <c r="J177" s="12"/>
      <c r="O177" s="12"/>
      <c r="P177" s="18"/>
      <c r="Q177" s="12"/>
      <c r="R177" s="12"/>
      <c r="S177" s="12"/>
      <c r="T177" s="36"/>
      <c r="U177" s="36"/>
      <c r="V177" s="12"/>
      <c r="W177" s="12"/>
      <c r="X177" s="12"/>
      <c r="Y177" s="12"/>
      <c r="Z177" s="12"/>
    </row>
    <row r="178" customFormat="false" ht="15.75" hidden="false" customHeight="false" outlineLevel="0" collapsed="false">
      <c r="A178" s="12"/>
      <c r="B178" s="34"/>
      <c r="C178" s="12"/>
      <c r="D178" s="12"/>
      <c r="E178" s="12"/>
      <c r="F178" s="12"/>
      <c r="G178" s="18"/>
      <c r="H178" s="35"/>
      <c r="I178" s="35"/>
      <c r="J178" s="12"/>
      <c r="O178" s="12"/>
      <c r="P178" s="18"/>
      <c r="Q178" s="12"/>
      <c r="R178" s="12"/>
      <c r="S178" s="12"/>
      <c r="T178" s="36"/>
      <c r="U178" s="36"/>
      <c r="V178" s="12"/>
      <c r="W178" s="12"/>
      <c r="X178" s="12"/>
      <c r="Y178" s="12"/>
      <c r="Z178" s="12"/>
    </row>
    <row r="179" customFormat="false" ht="15.75" hidden="false" customHeight="false" outlineLevel="0" collapsed="false">
      <c r="A179" s="12"/>
      <c r="B179" s="34"/>
      <c r="C179" s="12"/>
      <c r="D179" s="12"/>
      <c r="E179" s="12"/>
      <c r="F179" s="12"/>
      <c r="G179" s="18"/>
      <c r="H179" s="35"/>
      <c r="I179" s="35"/>
      <c r="J179" s="12"/>
      <c r="O179" s="12"/>
      <c r="P179" s="18"/>
      <c r="Q179" s="12"/>
      <c r="R179" s="12"/>
      <c r="S179" s="12"/>
      <c r="T179" s="36"/>
      <c r="U179" s="36"/>
      <c r="V179" s="12"/>
      <c r="W179" s="12"/>
      <c r="X179" s="12"/>
      <c r="Y179" s="12"/>
      <c r="Z179" s="12"/>
    </row>
    <row r="180" customFormat="false" ht="15.75" hidden="false" customHeight="false" outlineLevel="0" collapsed="false">
      <c r="A180" s="12"/>
      <c r="B180" s="34"/>
      <c r="C180" s="12"/>
      <c r="D180" s="12"/>
      <c r="E180" s="12"/>
      <c r="F180" s="12"/>
      <c r="G180" s="18"/>
      <c r="H180" s="35"/>
      <c r="I180" s="35"/>
      <c r="J180" s="12"/>
      <c r="O180" s="12"/>
      <c r="P180" s="18"/>
      <c r="Q180" s="12"/>
      <c r="R180" s="12"/>
      <c r="S180" s="12"/>
      <c r="T180" s="36"/>
      <c r="U180" s="36"/>
      <c r="V180" s="12"/>
      <c r="W180" s="12"/>
      <c r="X180" s="12"/>
      <c r="Y180" s="12"/>
      <c r="Z180" s="12"/>
    </row>
    <row r="181" customFormat="false" ht="15.75" hidden="false" customHeight="false" outlineLevel="0" collapsed="false">
      <c r="A181" s="12"/>
      <c r="B181" s="34"/>
      <c r="C181" s="12"/>
      <c r="D181" s="12"/>
      <c r="E181" s="12"/>
      <c r="F181" s="12"/>
      <c r="G181" s="18"/>
      <c r="H181" s="35"/>
      <c r="I181" s="35"/>
      <c r="J181" s="12"/>
      <c r="O181" s="12"/>
      <c r="P181" s="18"/>
      <c r="Q181" s="12"/>
      <c r="R181" s="12"/>
      <c r="S181" s="12"/>
      <c r="T181" s="36"/>
      <c r="U181" s="36"/>
      <c r="V181" s="12"/>
      <c r="W181" s="12"/>
      <c r="X181" s="12"/>
      <c r="Y181" s="12"/>
      <c r="Z181" s="12"/>
    </row>
    <row r="182" customFormat="false" ht="15.75" hidden="false" customHeight="false" outlineLevel="0" collapsed="false">
      <c r="A182" s="12"/>
      <c r="B182" s="34"/>
      <c r="C182" s="12"/>
      <c r="D182" s="12"/>
      <c r="E182" s="12"/>
      <c r="F182" s="12"/>
      <c r="G182" s="18"/>
      <c r="H182" s="35"/>
      <c r="I182" s="35"/>
      <c r="J182" s="12"/>
      <c r="O182" s="12"/>
      <c r="P182" s="18"/>
      <c r="Q182" s="12"/>
      <c r="R182" s="12"/>
      <c r="S182" s="12"/>
      <c r="T182" s="36"/>
      <c r="U182" s="36"/>
      <c r="V182" s="12"/>
      <c r="W182" s="12"/>
      <c r="X182" s="12"/>
      <c r="Y182" s="12"/>
      <c r="Z182" s="12"/>
    </row>
    <row r="183" customFormat="false" ht="15.75" hidden="false" customHeight="false" outlineLevel="0" collapsed="false">
      <c r="A183" s="12"/>
      <c r="B183" s="34"/>
      <c r="C183" s="12"/>
      <c r="D183" s="12"/>
      <c r="E183" s="12"/>
      <c r="F183" s="12"/>
      <c r="G183" s="18"/>
      <c r="H183" s="35"/>
      <c r="I183" s="35"/>
      <c r="J183" s="12"/>
      <c r="O183" s="12"/>
      <c r="P183" s="18"/>
      <c r="Q183" s="12"/>
      <c r="R183" s="12"/>
      <c r="S183" s="12"/>
      <c r="T183" s="36"/>
      <c r="U183" s="36"/>
      <c r="V183" s="12"/>
      <c r="W183" s="12"/>
      <c r="X183" s="12"/>
      <c r="Y183" s="12"/>
      <c r="Z183" s="12"/>
    </row>
    <row r="184" customFormat="false" ht="15.75" hidden="false" customHeight="false" outlineLevel="0" collapsed="false">
      <c r="A184" s="12"/>
      <c r="B184" s="34"/>
      <c r="C184" s="12"/>
      <c r="D184" s="12"/>
      <c r="E184" s="12"/>
      <c r="F184" s="12"/>
      <c r="G184" s="18"/>
      <c r="H184" s="35"/>
      <c r="I184" s="35"/>
      <c r="J184" s="12"/>
      <c r="O184" s="12"/>
      <c r="P184" s="18"/>
      <c r="Q184" s="12"/>
      <c r="R184" s="12"/>
      <c r="S184" s="12"/>
      <c r="T184" s="36"/>
      <c r="U184" s="36"/>
      <c r="V184" s="12"/>
      <c r="W184" s="12"/>
      <c r="X184" s="12"/>
      <c r="Y184" s="12"/>
      <c r="Z184" s="12"/>
    </row>
    <row r="185" customFormat="false" ht="15.75" hidden="false" customHeight="false" outlineLevel="0" collapsed="false">
      <c r="A185" s="12"/>
      <c r="B185" s="34"/>
      <c r="C185" s="12"/>
      <c r="D185" s="12"/>
      <c r="E185" s="12"/>
      <c r="F185" s="12"/>
      <c r="G185" s="18"/>
      <c r="H185" s="35"/>
      <c r="I185" s="35"/>
      <c r="J185" s="12"/>
      <c r="O185" s="12"/>
      <c r="P185" s="18"/>
      <c r="Q185" s="12"/>
      <c r="R185" s="12"/>
      <c r="S185" s="12"/>
      <c r="T185" s="36"/>
      <c r="U185" s="36"/>
      <c r="V185" s="12"/>
      <c r="W185" s="12"/>
      <c r="X185" s="12"/>
      <c r="Y185" s="12"/>
      <c r="Z185" s="12"/>
    </row>
    <row r="186" customFormat="false" ht="15.75" hidden="false" customHeight="false" outlineLevel="0" collapsed="false">
      <c r="A186" s="12"/>
      <c r="B186" s="34"/>
      <c r="C186" s="12"/>
      <c r="D186" s="12"/>
      <c r="E186" s="12"/>
      <c r="F186" s="12"/>
      <c r="G186" s="18"/>
      <c r="H186" s="35"/>
      <c r="I186" s="35"/>
      <c r="J186" s="12"/>
      <c r="O186" s="12"/>
      <c r="P186" s="18"/>
      <c r="Q186" s="12"/>
      <c r="R186" s="12"/>
      <c r="S186" s="12"/>
      <c r="T186" s="36"/>
      <c r="U186" s="36"/>
      <c r="V186" s="12"/>
      <c r="W186" s="12"/>
      <c r="X186" s="12"/>
      <c r="Y186" s="12"/>
      <c r="Z186" s="12"/>
    </row>
    <row r="187" customFormat="false" ht="15.75" hidden="false" customHeight="false" outlineLevel="0" collapsed="false">
      <c r="A187" s="12"/>
      <c r="B187" s="34"/>
      <c r="C187" s="12"/>
      <c r="D187" s="12"/>
      <c r="E187" s="12"/>
      <c r="F187" s="12"/>
      <c r="G187" s="18"/>
      <c r="H187" s="35"/>
      <c r="I187" s="35"/>
      <c r="J187" s="12"/>
      <c r="O187" s="12"/>
      <c r="P187" s="18"/>
      <c r="Q187" s="12"/>
      <c r="R187" s="12"/>
      <c r="S187" s="12"/>
      <c r="T187" s="36"/>
      <c r="U187" s="36"/>
      <c r="V187" s="12"/>
      <c r="W187" s="12"/>
      <c r="X187" s="12"/>
      <c r="Y187" s="12"/>
      <c r="Z187" s="12"/>
    </row>
    <row r="188" customFormat="false" ht="15.75" hidden="false" customHeight="false" outlineLevel="0" collapsed="false">
      <c r="A188" s="12"/>
      <c r="B188" s="34"/>
      <c r="C188" s="12"/>
      <c r="D188" s="12"/>
      <c r="E188" s="12"/>
      <c r="F188" s="12"/>
      <c r="G188" s="18"/>
      <c r="H188" s="35"/>
      <c r="I188" s="35"/>
      <c r="J188" s="12"/>
      <c r="O188" s="12"/>
      <c r="P188" s="18"/>
      <c r="Q188" s="12"/>
      <c r="R188" s="12"/>
      <c r="S188" s="12"/>
      <c r="T188" s="36"/>
      <c r="U188" s="36"/>
      <c r="V188" s="12"/>
      <c r="W188" s="12"/>
      <c r="X188" s="12"/>
      <c r="Y188" s="12"/>
      <c r="Z188" s="12"/>
    </row>
    <row r="189" customFormat="false" ht="15.75" hidden="false" customHeight="false" outlineLevel="0" collapsed="false">
      <c r="A189" s="12"/>
      <c r="B189" s="34"/>
      <c r="C189" s="12"/>
      <c r="D189" s="12"/>
      <c r="E189" s="12"/>
      <c r="F189" s="12"/>
      <c r="G189" s="18"/>
      <c r="H189" s="35"/>
      <c r="I189" s="35"/>
      <c r="J189" s="12"/>
      <c r="O189" s="12"/>
      <c r="P189" s="18"/>
      <c r="Q189" s="12"/>
      <c r="R189" s="12"/>
      <c r="S189" s="12"/>
      <c r="T189" s="36"/>
      <c r="U189" s="36"/>
      <c r="V189" s="12"/>
      <c r="W189" s="12"/>
      <c r="X189" s="12"/>
      <c r="Y189" s="12"/>
      <c r="Z189" s="12"/>
    </row>
    <row r="190" customFormat="false" ht="15.75" hidden="false" customHeight="false" outlineLevel="0" collapsed="false">
      <c r="A190" s="12"/>
      <c r="B190" s="34"/>
      <c r="C190" s="12"/>
      <c r="D190" s="12"/>
      <c r="E190" s="12"/>
      <c r="F190" s="12"/>
      <c r="G190" s="18"/>
      <c r="H190" s="35"/>
      <c r="I190" s="35"/>
      <c r="J190" s="12"/>
      <c r="O190" s="12"/>
      <c r="P190" s="18"/>
      <c r="Q190" s="12"/>
      <c r="R190" s="12"/>
      <c r="S190" s="12"/>
      <c r="T190" s="36"/>
      <c r="U190" s="36"/>
      <c r="V190" s="12"/>
      <c r="W190" s="12"/>
      <c r="X190" s="12"/>
      <c r="Y190" s="12"/>
      <c r="Z190" s="12"/>
    </row>
    <row r="191" customFormat="false" ht="15.75" hidden="false" customHeight="false" outlineLevel="0" collapsed="false">
      <c r="A191" s="12"/>
      <c r="B191" s="34"/>
      <c r="C191" s="12"/>
      <c r="D191" s="12"/>
      <c r="E191" s="12"/>
      <c r="F191" s="12"/>
      <c r="G191" s="18"/>
      <c r="H191" s="35"/>
      <c r="I191" s="35"/>
      <c r="J191" s="12"/>
      <c r="O191" s="12"/>
      <c r="P191" s="18"/>
      <c r="Q191" s="12"/>
      <c r="R191" s="12"/>
      <c r="S191" s="12"/>
      <c r="T191" s="36"/>
      <c r="U191" s="36"/>
      <c r="V191" s="12"/>
      <c r="W191" s="12"/>
      <c r="X191" s="12"/>
      <c r="Y191" s="12"/>
      <c r="Z191" s="12"/>
    </row>
    <row r="192" customFormat="false" ht="15.75" hidden="false" customHeight="false" outlineLevel="0" collapsed="false">
      <c r="A192" s="12"/>
      <c r="B192" s="34"/>
      <c r="C192" s="12"/>
      <c r="D192" s="12"/>
      <c r="E192" s="12"/>
      <c r="F192" s="12"/>
      <c r="G192" s="18"/>
      <c r="H192" s="35"/>
      <c r="I192" s="35"/>
      <c r="J192" s="12"/>
      <c r="O192" s="12"/>
      <c r="P192" s="18"/>
      <c r="Q192" s="12"/>
      <c r="R192" s="12"/>
      <c r="S192" s="12"/>
      <c r="T192" s="36"/>
      <c r="U192" s="36"/>
      <c r="V192" s="12"/>
      <c r="W192" s="12"/>
      <c r="X192" s="12"/>
      <c r="Y192" s="12"/>
      <c r="Z192" s="12"/>
    </row>
    <row r="193" customFormat="false" ht="15.75" hidden="false" customHeight="false" outlineLevel="0" collapsed="false">
      <c r="A193" s="12"/>
      <c r="B193" s="34"/>
      <c r="C193" s="12"/>
      <c r="D193" s="12"/>
      <c r="E193" s="12"/>
      <c r="F193" s="12"/>
      <c r="G193" s="18"/>
      <c r="H193" s="35"/>
      <c r="I193" s="35"/>
      <c r="J193" s="12"/>
      <c r="O193" s="12"/>
      <c r="P193" s="18"/>
      <c r="Q193" s="12"/>
      <c r="R193" s="12"/>
      <c r="S193" s="12"/>
      <c r="T193" s="36"/>
      <c r="U193" s="36"/>
      <c r="V193" s="12"/>
      <c r="W193" s="12"/>
      <c r="X193" s="12"/>
      <c r="Y193" s="12"/>
      <c r="Z193" s="12"/>
    </row>
    <row r="194" customFormat="false" ht="15.75" hidden="false" customHeight="false" outlineLevel="0" collapsed="false">
      <c r="A194" s="12"/>
      <c r="B194" s="34"/>
      <c r="C194" s="12"/>
      <c r="D194" s="12"/>
      <c r="E194" s="12"/>
      <c r="F194" s="12"/>
      <c r="G194" s="18"/>
      <c r="H194" s="35"/>
      <c r="I194" s="35"/>
      <c r="J194" s="12"/>
      <c r="O194" s="12"/>
      <c r="P194" s="18"/>
      <c r="Q194" s="12"/>
      <c r="R194" s="12"/>
      <c r="S194" s="12"/>
      <c r="T194" s="36"/>
      <c r="U194" s="36"/>
      <c r="V194" s="12"/>
      <c r="W194" s="12"/>
      <c r="X194" s="12"/>
      <c r="Y194" s="12"/>
      <c r="Z194" s="12"/>
    </row>
    <row r="195" customFormat="false" ht="15.75" hidden="false" customHeight="false" outlineLevel="0" collapsed="false">
      <c r="A195" s="12"/>
      <c r="B195" s="34"/>
      <c r="C195" s="12"/>
      <c r="D195" s="12"/>
      <c r="E195" s="12"/>
      <c r="F195" s="12"/>
      <c r="G195" s="18"/>
      <c r="H195" s="35"/>
      <c r="I195" s="35"/>
      <c r="J195" s="12"/>
      <c r="O195" s="12"/>
      <c r="P195" s="18"/>
      <c r="Q195" s="12"/>
      <c r="R195" s="12"/>
      <c r="S195" s="12"/>
      <c r="T195" s="36"/>
      <c r="U195" s="36"/>
      <c r="V195" s="12"/>
      <c r="W195" s="12"/>
      <c r="X195" s="12"/>
      <c r="Y195" s="12"/>
      <c r="Z195" s="12"/>
    </row>
    <row r="196" customFormat="false" ht="15.75" hidden="false" customHeight="false" outlineLevel="0" collapsed="false">
      <c r="A196" s="12"/>
      <c r="B196" s="34"/>
      <c r="C196" s="12"/>
      <c r="D196" s="12"/>
      <c r="E196" s="12"/>
      <c r="F196" s="12"/>
      <c r="G196" s="18"/>
      <c r="H196" s="35"/>
      <c r="I196" s="35"/>
      <c r="J196" s="12"/>
      <c r="O196" s="12"/>
      <c r="P196" s="18"/>
      <c r="Q196" s="12"/>
      <c r="R196" s="12"/>
      <c r="S196" s="12"/>
      <c r="T196" s="36"/>
      <c r="U196" s="36"/>
      <c r="V196" s="12"/>
      <c r="W196" s="12"/>
      <c r="X196" s="12"/>
      <c r="Y196" s="12"/>
      <c r="Z196" s="12"/>
    </row>
    <row r="197" customFormat="false" ht="15.75" hidden="false" customHeight="false" outlineLevel="0" collapsed="false">
      <c r="A197" s="12"/>
      <c r="B197" s="34"/>
      <c r="C197" s="12"/>
      <c r="D197" s="12"/>
      <c r="E197" s="12"/>
      <c r="F197" s="12"/>
      <c r="G197" s="18"/>
      <c r="H197" s="35"/>
      <c r="I197" s="35"/>
      <c r="J197" s="12"/>
      <c r="O197" s="12"/>
      <c r="P197" s="18"/>
      <c r="Q197" s="12"/>
      <c r="R197" s="12"/>
      <c r="S197" s="12"/>
      <c r="T197" s="36"/>
      <c r="U197" s="36"/>
      <c r="V197" s="12"/>
      <c r="W197" s="12"/>
      <c r="X197" s="12"/>
      <c r="Y197" s="12"/>
      <c r="Z197" s="12"/>
    </row>
    <row r="198" customFormat="false" ht="15.75" hidden="false" customHeight="false" outlineLevel="0" collapsed="false">
      <c r="A198" s="12"/>
      <c r="B198" s="34"/>
      <c r="C198" s="12"/>
      <c r="D198" s="12"/>
      <c r="E198" s="12"/>
      <c r="F198" s="12"/>
      <c r="G198" s="18"/>
      <c r="H198" s="35"/>
      <c r="I198" s="35"/>
      <c r="J198" s="12"/>
      <c r="O198" s="12"/>
      <c r="P198" s="18"/>
      <c r="Q198" s="12"/>
      <c r="R198" s="12"/>
      <c r="S198" s="12"/>
      <c r="T198" s="36"/>
      <c r="U198" s="36"/>
      <c r="V198" s="12"/>
      <c r="W198" s="12"/>
      <c r="X198" s="12"/>
      <c r="Y198" s="12"/>
      <c r="Z198" s="12"/>
    </row>
    <row r="199" customFormat="false" ht="15.75" hidden="false" customHeight="false" outlineLevel="0" collapsed="false">
      <c r="A199" s="12"/>
      <c r="B199" s="34"/>
      <c r="C199" s="12"/>
      <c r="D199" s="12"/>
      <c r="E199" s="12"/>
      <c r="F199" s="12"/>
      <c r="G199" s="18"/>
      <c r="H199" s="35"/>
      <c r="I199" s="35"/>
      <c r="J199" s="12"/>
      <c r="O199" s="12"/>
      <c r="P199" s="18"/>
      <c r="Q199" s="12"/>
      <c r="R199" s="12"/>
      <c r="S199" s="12"/>
      <c r="T199" s="36"/>
      <c r="U199" s="36"/>
      <c r="V199" s="12"/>
      <c r="W199" s="12"/>
      <c r="X199" s="12"/>
      <c r="Y199" s="12"/>
      <c r="Z199" s="12"/>
    </row>
    <row r="200" customFormat="false" ht="15.75" hidden="false" customHeight="false" outlineLevel="0" collapsed="false">
      <c r="A200" s="12"/>
      <c r="B200" s="34"/>
      <c r="C200" s="12"/>
      <c r="D200" s="12"/>
      <c r="E200" s="12"/>
      <c r="F200" s="12"/>
      <c r="G200" s="18"/>
      <c r="H200" s="35"/>
      <c r="I200" s="35"/>
      <c r="J200" s="12"/>
      <c r="O200" s="12"/>
      <c r="P200" s="18"/>
      <c r="Q200" s="12"/>
      <c r="R200" s="12"/>
      <c r="S200" s="12"/>
      <c r="T200" s="36"/>
      <c r="U200" s="36"/>
      <c r="V200" s="12"/>
      <c r="W200" s="12"/>
      <c r="X200" s="12"/>
      <c r="Y200" s="12"/>
      <c r="Z200" s="12"/>
    </row>
    <row r="201" customFormat="false" ht="15.75" hidden="false" customHeight="false" outlineLevel="0" collapsed="false">
      <c r="A201" s="12"/>
      <c r="B201" s="34"/>
      <c r="C201" s="12"/>
      <c r="D201" s="12"/>
      <c r="E201" s="12"/>
      <c r="F201" s="12"/>
      <c r="G201" s="18"/>
      <c r="H201" s="35"/>
      <c r="I201" s="35"/>
      <c r="J201" s="12"/>
      <c r="O201" s="12"/>
      <c r="P201" s="18"/>
      <c r="Q201" s="12"/>
      <c r="R201" s="12"/>
      <c r="S201" s="12"/>
      <c r="T201" s="36"/>
      <c r="U201" s="36"/>
      <c r="V201" s="12"/>
      <c r="W201" s="12"/>
      <c r="X201" s="12"/>
      <c r="Y201" s="12"/>
      <c r="Z201" s="12"/>
    </row>
    <row r="202" customFormat="false" ht="15.75" hidden="false" customHeight="false" outlineLevel="0" collapsed="false">
      <c r="A202" s="12"/>
      <c r="B202" s="34"/>
      <c r="C202" s="12"/>
      <c r="D202" s="12"/>
      <c r="E202" s="12"/>
      <c r="F202" s="12"/>
      <c r="G202" s="18"/>
      <c r="H202" s="35"/>
      <c r="I202" s="35"/>
      <c r="J202" s="12"/>
      <c r="O202" s="12"/>
      <c r="P202" s="18"/>
      <c r="Q202" s="12"/>
      <c r="R202" s="12"/>
      <c r="S202" s="12"/>
      <c r="T202" s="36"/>
      <c r="U202" s="36"/>
      <c r="V202" s="12"/>
      <c r="W202" s="12"/>
      <c r="X202" s="12"/>
      <c r="Y202" s="12"/>
      <c r="Z202" s="12"/>
    </row>
    <row r="203" customFormat="false" ht="15.75" hidden="false" customHeight="false" outlineLevel="0" collapsed="false">
      <c r="A203" s="12"/>
      <c r="B203" s="34"/>
      <c r="C203" s="12"/>
      <c r="D203" s="12"/>
      <c r="E203" s="12"/>
      <c r="F203" s="12"/>
      <c r="G203" s="18"/>
      <c r="H203" s="35"/>
      <c r="I203" s="35"/>
      <c r="J203" s="12"/>
      <c r="O203" s="12"/>
      <c r="P203" s="18"/>
      <c r="Q203" s="12"/>
      <c r="R203" s="12"/>
      <c r="S203" s="12"/>
      <c r="T203" s="36"/>
      <c r="U203" s="36"/>
      <c r="V203" s="12"/>
      <c r="W203" s="12"/>
      <c r="X203" s="12"/>
      <c r="Y203" s="12"/>
      <c r="Z203" s="12"/>
    </row>
    <row r="204" customFormat="false" ht="15.75" hidden="false" customHeight="false" outlineLevel="0" collapsed="false">
      <c r="A204" s="12"/>
      <c r="B204" s="34"/>
      <c r="C204" s="12"/>
      <c r="D204" s="12"/>
      <c r="E204" s="12"/>
      <c r="F204" s="12"/>
      <c r="G204" s="18"/>
      <c r="H204" s="35"/>
      <c r="I204" s="35"/>
      <c r="J204" s="12"/>
      <c r="O204" s="12"/>
      <c r="P204" s="18"/>
      <c r="Q204" s="12"/>
      <c r="R204" s="12"/>
      <c r="S204" s="12"/>
      <c r="T204" s="36"/>
      <c r="U204" s="36"/>
      <c r="V204" s="12"/>
      <c r="W204" s="12"/>
      <c r="X204" s="12"/>
      <c r="Y204" s="12"/>
      <c r="Z204" s="12"/>
    </row>
    <row r="205" customFormat="false" ht="15.75" hidden="false" customHeight="false" outlineLevel="0" collapsed="false">
      <c r="A205" s="12"/>
      <c r="B205" s="34"/>
      <c r="C205" s="12"/>
      <c r="D205" s="12"/>
      <c r="E205" s="12"/>
      <c r="F205" s="12"/>
      <c r="G205" s="18"/>
      <c r="H205" s="35"/>
      <c r="I205" s="35"/>
      <c r="J205" s="12"/>
      <c r="O205" s="12"/>
      <c r="P205" s="18"/>
      <c r="Q205" s="12"/>
      <c r="R205" s="12"/>
      <c r="S205" s="12"/>
      <c r="T205" s="36"/>
      <c r="U205" s="36"/>
      <c r="V205" s="12"/>
      <c r="W205" s="12"/>
      <c r="X205" s="12"/>
      <c r="Y205" s="12"/>
      <c r="Z205" s="12"/>
    </row>
    <row r="206" customFormat="false" ht="15.75" hidden="false" customHeight="false" outlineLevel="0" collapsed="false">
      <c r="A206" s="12"/>
      <c r="B206" s="34"/>
      <c r="C206" s="12"/>
      <c r="D206" s="12"/>
      <c r="E206" s="12"/>
      <c r="F206" s="12"/>
      <c r="G206" s="18"/>
      <c r="H206" s="35"/>
      <c r="I206" s="35"/>
      <c r="J206" s="12"/>
      <c r="O206" s="12"/>
      <c r="P206" s="18"/>
      <c r="Q206" s="12"/>
      <c r="R206" s="12"/>
      <c r="S206" s="12"/>
      <c r="T206" s="36"/>
      <c r="U206" s="36"/>
      <c r="V206" s="12"/>
      <c r="W206" s="12"/>
      <c r="X206" s="12"/>
      <c r="Y206" s="12"/>
      <c r="Z206" s="12"/>
    </row>
    <row r="207" customFormat="false" ht="15.75" hidden="false" customHeight="false" outlineLevel="0" collapsed="false">
      <c r="A207" s="12"/>
      <c r="B207" s="34"/>
      <c r="C207" s="12"/>
      <c r="D207" s="12"/>
      <c r="E207" s="12"/>
      <c r="F207" s="12"/>
      <c r="G207" s="18"/>
      <c r="H207" s="35"/>
      <c r="I207" s="35"/>
      <c r="J207" s="12"/>
      <c r="O207" s="12"/>
      <c r="P207" s="18"/>
      <c r="Q207" s="12"/>
      <c r="R207" s="12"/>
      <c r="S207" s="12"/>
      <c r="T207" s="36"/>
      <c r="U207" s="36"/>
      <c r="V207" s="12"/>
      <c r="W207" s="12"/>
      <c r="X207" s="12"/>
      <c r="Y207" s="12"/>
      <c r="Z207" s="12"/>
    </row>
    <row r="208" customFormat="false" ht="15.75" hidden="false" customHeight="false" outlineLevel="0" collapsed="false">
      <c r="A208" s="12"/>
      <c r="B208" s="34"/>
      <c r="C208" s="12"/>
      <c r="D208" s="12"/>
      <c r="E208" s="12"/>
      <c r="F208" s="12"/>
      <c r="G208" s="18"/>
      <c r="H208" s="35"/>
      <c r="I208" s="35"/>
      <c r="J208" s="12"/>
      <c r="O208" s="12"/>
      <c r="P208" s="18"/>
      <c r="Q208" s="12"/>
      <c r="R208" s="12"/>
      <c r="S208" s="12"/>
      <c r="T208" s="36"/>
      <c r="U208" s="36"/>
      <c r="V208" s="12"/>
      <c r="W208" s="12"/>
      <c r="X208" s="12"/>
      <c r="Y208" s="12"/>
      <c r="Z208" s="12"/>
    </row>
    <row r="209" customFormat="false" ht="15.75" hidden="false" customHeight="false" outlineLevel="0" collapsed="false">
      <c r="A209" s="12"/>
      <c r="B209" s="34"/>
      <c r="C209" s="12"/>
      <c r="D209" s="12"/>
      <c r="E209" s="12"/>
      <c r="F209" s="12"/>
      <c r="G209" s="18"/>
      <c r="H209" s="35"/>
      <c r="I209" s="35"/>
      <c r="J209" s="12"/>
      <c r="O209" s="12"/>
      <c r="P209" s="18"/>
      <c r="Q209" s="12"/>
      <c r="R209" s="12"/>
      <c r="S209" s="12"/>
      <c r="T209" s="36"/>
      <c r="U209" s="36"/>
      <c r="V209" s="12"/>
      <c r="W209" s="12"/>
      <c r="X209" s="12"/>
      <c r="Y209" s="12"/>
      <c r="Z209" s="12"/>
    </row>
    <row r="210" customFormat="false" ht="15.75" hidden="false" customHeight="false" outlineLevel="0" collapsed="false">
      <c r="A210" s="12"/>
      <c r="B210" s="34"/>
      <c r="C210" s="12"/>
      <c r="D210" s="12"/>
      <c r="E210" s="12"/>
      <c r="F210" s="12"/>
      <c r="G210" s="18"/>
      <c r="H210" s="35"/>
      <c r="I210" s="35"/>
      <c r="J210" s="12"/>
      <c r="O210" s="12"/>
      <c r="P210" s="18"/>
      <c r="Q210" s="12"/>
      <c r="R210" s="12"/>
      <c r="S210" s="12"/>
      <c r="T210" s="36"/>
      <c r="U210" s="36"/>
      <c r="V210" s="12"/>
      <c r="W210" s="12"/>
      <c r="X210" s="12"/>
      <c r="Y210" s="12"/>
      <c r="Z210" s="12"/>
    </row>
    <row r="211" customFormat="false" ht="15.75" hidden="false" customHeight="false" outlineLevel="0" collapsed="false">
      <c r="A211" s="12"/>
      <c r="B211" s="34"/>
      <c r="C211" s="12"/>
      <c r="D211" s="12"/>
      <c r="E211" s="12"/>
      <c r="F211" s="12"/>
      <c r="G211" s="18"/>
      <c r="H211" s="35"/>
      <c r="I211" s="35"/>
      <c r="J211" s="12"/>
      <c r="O211" s="12"/>
      <c r="P211" s="18"/>
      <c r="Q211" s="12"/>
      <c r="R211" s="12"/>
      <c r="S211" s="12"/>
      <c r="T211" s="36"/>
      <c r="U211" s="36"/>
      <c r="V211" s="12"/>
      <c r="W211" s="12"/>
      <c r="X211" s="12"/>
      <c r="Y211" s="12"/>
      <c r="Z211" s="12"/>
    </row>
    <row r="212" customFormat="false" ht="15.75" hidden="false" customHeight="false" outlineLevel="0" collapsed="false">
      <c r="A212" s="12"/>
      <c r="B212" s="34"/>
      <c r="C212" s="12"/>
      <c r="D212" s="12"/>
      <c r="E212" s="12"/>
      <c r="F212" s="12"/>
      <c r="G212" s="18"/>
      <c r="H212" s="35"/>
      <c r="I212" s="35"/>
      <c r="J212" s="12"/>
      <c r="O212" s="12"/>
      <c r="P212" s="18"/>
      <c r="Q212" s="12"/>
      <c r="R212" s="12"/>
      <c r="S212" s="12"/>
      <c r="T212" s="36"/>
      <c r="U212" s="36"/>
      <c r="V212" s="12"/>
      <c r="W212" s="12"/>
      <c r="X212" s="12"/>
      <c r="Y212" s="12"/>
      <c r="Z212" s="12"/>
    </row>
    <row r="213" customFormat="false" ht="15.75" hidden="false" customHeight="false" outlineLevel="0" collapsed="false">
      <c r="A213" s="12"/>
      <c r="B213" s="34"/>
      <c r="C213" s="12"/>
      <c r="D213" s="12"/>
      <c r="E213" s="12"/>
      <c r="F213" s="12"/>
      <c r="G213" s="18"/>
      <c r="H213" s="35"/>
      <c r="I213" s="35"/>
      <c r="J213" s="12"/>
      <c r="O213" s="12"/>
      <c r="P213" s="18"/>
      <c r="Q213" s="12"/>
      <c r="R213" s="12"/>
      <c r="S213" s="12"/>
      <c r="T213" s="36"/>
      <c r="U213" s="36"/>
      <c r="V213" s="12"/>
      <c r="W213" s="12"/>
      <c r="X213" s="12"/>
      <c r="Y213" s="12"/>
      <c r="Z213" s="12"/>
    </row>
    <row r="214" customFormat="false" ht="15.75" hidden="false" customHeight="false" outlineLevel="0" collapsed="false">
      <c r="A214" s="12"/>
      <c r="B214" s="34"/>
      <c r="C214" s="12"/>
      <c r="D214" s="12"/>
      <c r="E214" s="12"/>
      <c r="F214" s="12"/>
      <c r="G214" s="18"/>
      <c r="H214" s="35"/>
      <c r="I214" s="35"/>
      <c r="J214" s="12"/>
      <c r="O214" s="12"/>
      <c r="P214" s="18"/>
      <c r="Q214" s="12"/>
      <c r="R214" s="12"/>
      <c r="S214" s="12"/>
      <c r="T214" s="36"/>
      <c r="U214" s="36"/>
      <c r="V214" s="12"/>
      <c r="W214" s="12"/>
      <c r="X214" s="12"/>
      <c r="Y214" s="12"/>
      <c r="Z214" s="12"/>
    </row>
    <row r="215" customFormat="false" ht="15.75" hidden="false" customHeight="false" outlineLevel="0" collapsed="false">
      <c r="A215" s="12"/>
      <c r="B215" s="34"/>
      <c r="C215" s="12"/>
      <c r="D215" s="12"/>
      <c r="E215" s="12"/>
      <c r="F215" s="12"/>
      <c r="G215" s="18"/>
      <c r="H215" s="35"/>
      <c r="I215" s="35"/>
      <c r="J215" s="12"/>
      <c r="O215" s="12"/>
      <c r="P215" s="18"/>
      <c r="Q215" s="12"/>
      <c r="R215" s="12"/>
      <c r="S215" s="12"/>
      <c r="T215" s="36"/>
      <c r="U215" s="36"/>
      <c r="V215" s="12"/>
      <c r="W215" s="12"/>
      <c r="X215" s="12"/>
      <c r="Y215" s="12"/>
      <c r="Z215" s="12"/>
    </row>
    <row r="216" customFormat="false" ht="15.75" hidden="false" customHeight="false" outlineLevel="0" collapsed="false">
      <c r="A216" s="12"/>
      <c r="B216" s="34"/>
      <c r="C216" s="12"/>
      <c r="D216" s="12"/>
      <c r="E216" s="12"/>
      <c r="F216" s="12"/>
      <c r="G216" s="18"/>
      <c r="H216" s="35"/>
      <c r="I216" s="35"/>
      <c r="J216" s="12"/>
      <c r="O216" s="12"/>
      <c r="P216" s="18"/>
      <c r="Q216" s="12"/>
      <c r="R216" s="12"/>
      <c r="S216" s="12"/>
      <c r="T216" s="36"/>
      <c r="U216" s="36"/>
      <c r="V216" s="12"/>
      <c r="W216" s="12"/>
      <c r="X216" s="12"/>
      <c r="Y216" s="12"/>
      <c r="Z216" s="12"/>
    </row>
    <row r="217" customFormat="false" ht="15.75" hidden="false" customHeight="false" outlineLevel="0" collapsed="false">
      <c r="A217" s="12"/>
      <c r="B217" s="34"/>
      <c r="C217" s="12"/>
      <c r="D217" s="12"/>
      <c r="E217" s="12"/>
      <c r="F217" s="12"/>
      <c r="G217" s="18"/>
      <c r="H217" s="35"/>
      <c r="I217" s="35"/>
      <c r="J217" s="12"/>
      <c r="O217" s="12"/>
      <c r="P217" s="18"/>
      <c r="Q217" s="12"/>
      <c r="R217" s="12"/>
      <c r="S217" s="12"/>
      <c r="T217" s="36"/>
      <c r="U217" s="36"/>
      <c r="V217" s="12"/>
      <c r="W217" s="12"/>
      <c r="X217" s="12"/>
      <c r="Y217" s="12"/>
      <c r="Z217" s="12"/>
    </row>
    <row r="218" customFormat="false" ht="15.75" hidden="false" customHeight="false" outlineLevel="0" collapsed="false">
      <c r="A218" s="12"/>
      <c r="B218" s="34"/>
      <c r="C218" s="12"/>
      <c r="D218" s="12"/>
      <c r="E218" s="12"/>
      <c r="F218" s="12"/>
      <c r="G218" s="18"/>
      <c r="H218" s="35"/>
      <c r="I218" s="35"/>
      <c r="J218" s="12"/>
      <c r="O218" s="12"/>
      <c r="P218" s="18"/>
      <c r="Q218" s="12"/>
      <c r="R218" s="12"/>
      <c r="S218" s="12"/>
      <c r="T218" s="36"/>
      <c r="U218" s="36"/>
      <c r="V218" s="12"/>
      <c r="W218" s="12"/>
      <c r="X218" s="12"/>
      <c r="Y218" s="12"/>
      <c r="Z218" s="12"/>
    </row>
    <row r="219" customFormat="false" ht="15.75" hidden="false" customHeight="false" outlineLevel="0" collapsed="false">
      <c r="A219" s="12"/>
      <c r="B219" s="34"/>
      <c r="C219" s="12"/>
      <c r="D219" s="12"/>
      <c r="E219" s="12"/>
      <c r="F219" s="12"/>
      <c r="G219" s="18"/>
      <c r="H219" s="35"/>
      <c r="I219" s="35"/>
      <c r="J219" s="12"/>
      <c r="O219" s="12"/>
      <c r="P219" s="18"/>
      <c r="Q219" s="12"/>
      <c r="R219" s="12"/>
      <c r="S219" s="12"/>
      <c r="T219" s="36"/>
      <c r="U219" s="36"/>
      <c r="V219" s="12"/>
      <c r="W219" s="12"/>
      <c r="X219" s="12"/>
      <c r="Y219" s="12"/>
      <c r="Z219" s="12"/>
    </row>
    <row r="220" customFormat="false" ht="15.75" hidden="false" customHeight="false" outlineLevel="0" collapsed="false">
      <c r="A220" s="12"/>
      <c r="B220" s="34"/>
      <c r="C220" s="12"/>
      <c r="D220" s="12"/>
      <c r="E220" s="12"/>
      <c r="F220" s="12"/>
      <c r="G220" s="18"/>
      <c r="H220" s="35"/>
      <c r="I220" s="35"/>
      <c r="J220" s="12"/>
      <c r="O220" s="12"/>
      <c r="P220" s="18"/>
      <c r="Q220" s="12"/>
      <c r="R220" s="12"/>
      <c r="S220" s="12"/>
      <c r="T220" s="36"/>
      <c r="U220" s="36"/>
      <c r="V220" s="12"/>
      <c r="W220" s="12"/>
      <c r="X220" s="12"/>
      <c r="Y220" s="12"/>
      <c r="Z220" s="12"/>
    </row>
    <row r="221" customFormat="false" ht="15.75" hidden="false" customHeight="false" outlineLevel="0" collapsed="false">
      <c r="A221" s="12"/>
      <c r="B221" s="34"/>
      <c r="C221" s="12"/>
      <c r="D221" s="12"/>
      <c r="E221" s="12"/>
      <c r="F221" s="12"/>
      <c r="G221" s="18"/>
      <c r="H221" s="35"/>
      <c r="I221" s="35"/>
      <c r="J221" s="12"/>
      <c r="O221" s="12"/>
      <c r="P221" s="18"/>
      <c r="Q221" s="12"/>
      <c r="R221" s="12"/>
      <c r="S221" s="12"/>
      <c r="T221" s="36"/>
      <c r="U221" s="36"/>
      <c r="V221" s="12"/>
      <c r="W221" s="12"/>
      <c r="X221" s="12"/>
      <c r="Y221" s="12"/>
      <c r="Z221" s="12"/>
    </row>
    <row r="222" customFormat="false" ht="15.75" hidden="false" customHeight="false" outlineLevel="0" collapsed="false">
      <c r="A222" s="12"/>
      <c r="B222" s="34"/>
      <c r="C222" s="12"/>
      <c r="D222" s="12"/>
      <c r="E222" s="12"/>
      <c r="F222" s="12"/>
      <c r="G222" s="18"/>
      <c r="H222" s="35"/>
      <c r="I222" s="35"/>
      <c r="J222" s="12"/>
      <c r="O222" s="12"/>
      <c r="P222" s="18"/>
      <c r="Q222" s="12"/>
      <c r="R222" s="12"/>
      <c r="S222" s="12"/>
      <c r="T222" s="36"/>
      <c r="U222" s="36"/>
      <c r="V222" s="12"/>
      <c r="W222" s="12"/>
      <c r="X222" s="12"/>
      <c r="Y222" s="12"/>
      <c r="Z222" s="12"/>
    </row>
    <row r="223" customFormat="false" ht="15.75" hidden="false" customHeight="false" outlineLevel="0" collapsed="false">
      <c r="A223" s="12"/>
      <c r="B223" s="34"/>
      <c r="C223" s="12"/>
      <c r="D223" s="12"/>
      <c r="E223" s="12"/>
      <c r="F223" s="12"/>
      <c r="G223" s="18"/>
      <c r="H223" s="35"/>
      <c r="I223" s="35"/>
      <c r="J223" s="12"/>
      <c r="O223" s="12"/>
      <c r="P223" s="18"/>
      <c r="Q223" s="12"/>
      <c r="R223" s="12"/>
      <c r="S223" s="12"/>
      <c r="T223" s="36"/>
      <c r="U223" s="36"/>
      <c r="V223" s="12"/>
      <c r="W223" s="12"/>
      <c r="X223" s="12"/>
      <c r="Y223" s="12"/>
      <c r="Z223" s="12"/>
    </row>
    <row r="224" customFormat="false" ht="15.75" hidden="false" customHeight="false" outlineLevel="0" collapsed="false">
      <c r="A224" s="12"/>
      <c r="B224" s="34"/>
      <c r="C224" s="12"/>
      <c r="D224" s="12"/>
      <c r="E224" s="12"/>
      <c r="F224" s="12"/>
      <c r="G224" s="18"/>
      <c r="H224" s="35"/>
      <c r="I224" s="35"/>
      <c r="J224" s="12"/>
      <c r="O224" s="12"/>
      <c r="P224" s="18"/>
      <c r="Q224" s="12"/>
      <c r="R224" s="12"/>
      <c r="S224" s="12"/>
      <c r="T224" s="36"/>
      <c r="U224" s="36"/>
      <c r="V224" s="12"/>
      <c r="W224" s="12"/>
      <c r="X224" s="12"/>
      <c r="Y224" s="12"/>
      <c r="Z224" s="12"/>
    </row>
    <row r="225" customFormat="false" ht="15.75" hidden="false" customHeight="false" outlineLevel="0" collapsed="false">
      <c r="A225" s="12"/>
      <c r="B225" s="34"/>
      <c r="C225" s="12"/>
      <c r="D225" s="12"/>
      <c r="E225" s="12"/>
      <c r="F225" s="12"/>
      <c r="G225" s="18"/>
      <c r="H225" s="35"/>
      <c r="I225" s="35"/>
      <c r="J225" s="12"/>
      <c r="O225" s="12"/>
      <c r="P225" s="18"/>
      <c r="Q225" s="12"/>
      <c r="R225" s="12"/>
      <c r="S225" s="12"/>
      <c r="T225" s="36"/>
      <c r="U225" s="36"/>
      <c r="V225" s="12"/>
      <c r="W225" s="12"/>
      <c r="X225" s="12"/>
      <c r="Y225" s="12"/>
      <c r="Z225" s="12"/>
    </row>
    <row r="226" customFormat="false" ht="15.75" hidden="false" customHeight="false" outlineLevel="0" collapsed="false">
      <c r="A226" s="12"/>
      <c r="B226" s="34"/>
      <c r="C226" s="12"/>
      <c r="D226" s="12"/>
      <c r="E226" s="12"/>
      <c r="F226" s="12"/>
      <c r="G226" s="18"/>
      <c r="H226" s="35"/>
      <c r="I226" s="35"/>
      <c r="J226" s="12"/>
      <c r="O226" s="12"/>
      <c r="P226" s="18"/>
      <c r="Q226" s="12"/>
      <c r="R226" s="12"/>
      <c r="S226" s="12"/>
      <c r="T226" s="36"/>
      <c r="U226" s="36"/>
      <c r="V226" s="12"/>
      <c r="W226" s="12"/>
      <c r="X226" s="12"/>
      <c r="Y226" s="12"/>
      <c r="Z226" s="12"/>
    </row>
    <row r="227" customFormat="false" ht="15.75" hidden="false" customHeight="false" outlineLevel="0" collapsed="false">
      <c r="A227" s="12"/>
      <c r="B227" s="34"/>
      <c r="C227" s="12"/>
      <c r="D227" s="12"/>
      <c r="E227" s="12"/>
      <c r="F227" s="12"/>
      <c r="G227" s="18"/>
      <c r="H227" s="35"/>
      <c r="I227" s="35"/>
      <c r="J227" s="12"/>
      <c r="O227" s="12"/>
      <c r="P227" s="18"/>
      <c r="Q227" s="12"/>
      <c r="R227" s="12"/>
      <c r="S227" s="12"/>
      <c r="T227" s="36"/>
      <c r="U227" s="36"/>
      <c r="V227" s="12"/>
      <c r="W227" s="12"/>
      <c r="X227" s="12"/>
      <c r="Y227" s="12"/>
      <c r="Z227" s="12"/>
    </row>
    <row r="228" customFormat="false" ht="15.75" hidden="false" customHeight="false" outlineLevel="0" collapsed="false">
      <c r="A228" s="12"/>
      <c r="B228" s="34"/>
      <c r="C228" s="12"/>
      <c r="D228" s="12"/>
      <c r="E228" s="12"/>
      <c r="F228" s="12"/>
      <c r="G228" s="18"/>
      <c r="H228" s="35"/>
      <c r="I228" s="35"/>
      <c r="J228" s="12"/>
      <c r="O228" s="12"/>
      <c r="P228" s="18"/>
      <c r="Q228" s="12"/>
      <c r="R228" s="12"/>
      <c r="S228" s="12"/>
      <c r="T228" s="36"/>
      <c r="U228" s="36"/>
      <c r="V228" s="12"/>
      <c r="W228" s="12"/>
      <c r="X228" s="12"/>
      <c r="Y228" s="12"/>
      <c r="Z228" s="12"/>
    </row>
    <row r="229" customFormat="false" ht="15.75" hidden="false" customHeight="false" outlineLevel="0" collapsed="false">
      <c r="A229" s="12"/>
      <c r="B229" s="34"/>
      <c r="C229" s="12"/>
      <c r="D229" s="12"/>
      <c r="E229" s="12"/>
      <c r="F229" s="12"/>
      <c r="G229" s="18"/>
      <c r="H229" s="35"/>
      <c r="I229" s="35"/>
      <c r="J229" s="12"/>
      <c r="O229" s="12"/>
      <c r="P229" s="18"/>
      <c r="Q229" s="12"/>
      <c r="R229" s="12"/>
      <c r="S229" s="12"/>
      <c r="T229" s="36"/>
      <c r="U229" s="36"/>
      <c r="V229" s="12"/>
      <c r="W229" s="12"/>
      <c r="X229" s="12"/>
      <c r="Y229" s="12"/>
      <c r="Z229" s="12"/>
    </row>
    <row r="230" customFormat="false" ht="15.75" hidden="false" customHeight="false" outlineLevel="0" collapsed="false">
      <c r="A230" s="12"/>
      <c r="B230" s="34"/>
      <c r="C230" s="12"/>
      <c r="D230" s="12"/>
      <c r="E230" s="12"/>
      <c r="F230" s="12"/>
      <c r="G230" s="18"/>
      <c r="H230" s="35"/>
      <c r="I230" s="35"/>
      <c r="J230" s="12"/>
      <c r="O230" s="12"/>
      <c r="P230" s="18"/>
      <c r="Q230" s="12"/>
      <c r="R230" s="12"/>
      <c r="S230" s="12"/>
      <c r="T230" s="36"/>
      <c r="U230" s="36"/>
      <c r="V230" s="12"/>
      <c r="W230" s="12"/>
      <c r="X230" s="12"/>
      <c r="Y230" s="12"/>
      <c r="Z230" s="12"/>
    </row>
    <row r="231" customFormat="false" ht="15.75" hidden="false" customHeight="false" outlineLevel="0" collapsed="false">
      <c r="A231" s="12"/>
      <c r="B231" s="34"/>
      <c r="C231" s="12"/>
      <c r="D231" s="12"/>
      <c r="E231" s="12"/>
      <c r="F231" s="12"/>
      <c r="G231" s="18"/>
      <c r="H231" s="35"/>
      <c r="I231" s="35"/>
      <c r="J231" s="12"/>
      <c r="O231" s="12"/>
      <c r="P231" s="18"/>
      <c r="Q231" s="12"/>
      <c r="R231" s="12"/>
      <c r="S231" s="12"/>
      <c r="T231" s="36"/>
      <c r="U231" s="36"/>
      <c r="V231" s="12"/>
      <c r="W231" s="12"/>
      <c r="X231" s="12"/>
      <c r="Y231" s="12"/>
      <c r="Z231" s="12"/>
    </row>
    <row r="232" customFormat="false" ht="15.75" hidden="false" customHeight="false" outlineLevel="0" collapsed="false">
      <c r="A232" s="12"/>
      <c r="B232" s="34"/>
      <c r="C232" s="12"/>
      <c r="D232" s="12"/>
      <c r="E232" s="12"/>
      <c r="F232" s="12"/>
      <c r="G232" s="18"/>
      <c r="H232" s="35"/>
      <c r="I232" s="35"/>
      <c r="J232" s="12"/>
      <c r="O232" s="12"/>
      <c r="P232" s="18"/>
      <c r="Q232" s="12"/>
      <c r="R232" s="12"/>
      <c r="S232" s="12"/>
      <c r="T232" s="36"/>
      <c r="U232" s="36"/>
      <c r="V232" s="12"/>
      <c r="W232" s="12"/>
      <c r="X232" s="12"/>
      <c r="Y232" s="12"/>
      <c r="Z232" s="12"/>
    </row>
    <row r="233" customFormat="false" ht="15.75" hidden="false" customHeight="false" outlineLevel="0" collapsed="false">
      <c r="A233" s="12"/>
      <c r="B233" s="34"/>
      <c r="C233" s="12"/>
      <c r="D233" s="12"/>
      <c r="E233" s="12"/>
      <c r="F233" s="12"/>
      <c r="G233" s="18"/>
      <c r="H233" s="35"/>
      <c r="I233" s="35"/>
      <c r="J233" s="12"/>
      <c r="O233" s="12"/>
      <c r="P233" s="18"/>
      <c r="Q233" s="12"/>
      <c r="R233" s="12"/>
      <c r="S233" s="12"/>
      <c r="T233" s="36"/>
      <c r="U233" s="36"/>
      <c r="V233" s="12"/>
      <c r="W233" s="12"/>
      <c r="X233" s="12"/>
      <c r="Y233" s="12"/>
      <c r="Z233" s="12"/>
    </row>
    <row r="234" customFormat="false" ht="15.75" hidden="false" customHeight="false" outlineLevel="0" collapsed="false">
      <c r="A234" s="12"/>
      <c r="B234" s="34"/>
      <c r="C234" s="12"/>
      <c r="D234" s="12"/>
      <c r="E234" s="12"/>
      <c r="F234" s="12"/>
      <c r="G234" s="18"/>
      <c r="H234" s="35"/>
      <c r="I234" s="35"/>
      <c r="J234" s="12"/>
      <c r="O234" s="12"/>
      <c r="P234" s="18"/>
      <c r="Q234" s="12"/>
      <c r="R234" s="12"/>
      <c r="S234" s="12"/>
      <c r="T234" s="36"/>
      <c r="U234" s="36"/>
      <c r="V234" s="12"/>
      <c r="W234" s="12"/>
      <c r="X234" s="12"/>
      <c r="Y234" s="12"/>
      <c r="Z234" s="12"/>
    </row>
    <row r="235" customFormat="false" ht="15.75" hidden="false" customHeight="false" outlineLevel="0" collapsed="false">
      <c r="A235" s="12"/>
      <c r="B235" s="34"/>
      <c r="C235" s="12"/>
      <c r="D235" s="12"/>
      <c r="E235" s="12"/>
      <c r="F235" s="12"/>
      <c r="G235" s="18"/>
      <c r="H235" s="35"/>
      <c r="I235" s="35"/>
      <c r="J235" s="12"/>
      <c r="O235" s="12"/>
      <c r="P235" s="18"/>
      <c r="Q235" s="12"/>
      <c r="R235" s="12"/>
      <c r="S235" s="12"/>
      <c r="T235" s="36"/>
      <c r="U235" s="36"/>
      <c r="V235" s="12"/>
      <c r="W235" s="12"/>
      <c r="X235" s="12"/>
      <c r="Y235" s="12"/>
      <c r="Z235" s="12"/>
    </row>
    <row r="236" customFormat="false" ht="15.75" hidden="false" customHeight="false" outlineLevel="0" collapsed="false">
      <c r="A236" s="12"/>
      <c r="B236" s="34"/>
      <c r="C236" s="12"/>
      <c r="D236" s="12"/>
      <c r="E236" s="12"/>
      <c r="F236" s="12"/>
      <c r="G236" s="18"/>
      <c r="H236" s="35"/>
      <c r="I236" s="35"/>
      <c r="J236" s="12"/>
      <c r="O236" s="12"/>
      <c r="P236" s="18"/>
      <c r="Q236" s="12"/>
      <c r="R236" s="12"/>
      <c r="S236" s="12"/>
      <c r="T236" s="36"/>
      <c r="U236" s="36"/>
      <c r="V236" s="12"/>
      <c r="W236" s="12"/>
      <c r="X236" s="12"/>
      <c r="Y236" s="12"/>
      <c r="Z236" s="12"/>
    </row>
    <row r="237" customFormat="false" ht="15.75" hidden="false" customHeight="false" outlineLevel="0" collapsed="false">
      <c r="A237" s="12"/>
      <c r="B237" s="34"/>
      <c r="C237" s="12"/>
      <c r="D237" s="12"/>
      <c r="E237" s="12"/>
      <c r="F237" s="12"/>
      <c r="G237" s="18"/>
      <c r="H237" s="35"/>
      <c r="I237" s="35"/>
      <c r="J237" s="12"/>
      <c r="O237" s="12"/>
      <c r="P237" s="18"/>
      <c r="Q237" s="12"/>
      <c r="R237" s="12"/>
      <c r="S237" s="12"/>
      <c r="T237" s="36"/>
      <c r="U237" s="36"/>
      <c r="V237" s="12"/>
      <c r="W237" s="12"/>
      <c r="X237" s="12"/>
      <c r="Y237" s="12"/>
      <c r="Z237" s="12"/>
    </row>
    <row r="238" customFormat="false" ht="15.75" hidden="false" customHeight="false" outlineLevel="0" collapsed="false">
      <c r="A238" s="12"/>
      <c r="B238" s="34"/>
      <c r="C238" s="12"/>
      <c r="D238" s="12"/>
      <c r="E238" s="12"/>
      <c r="F238" s="12"/>
      <c r="G238" s="18"/>
      <c r="H238" s="35"/>
      <c r="I238" s="35"/>
      <c r="J238" s="12"/>
      <c r="O238" s="12"/>
      <c r="P238" s="18"/>
      <c r="Q238" s="12"/>
      <c r="R238" s="12"/>
      <c r="S238" s="12"/>
      <c r="T238" s="36"/>
      <c r="U238" s="36"/>
      <c r="V238" s="12"/>
      <c r="W238" s="12"/>
      <c r="X238" s="12"/>
      <c r="Y238" s="12"/>
      <c r="Z238" s="12"/>
    </row>
    <row r="239" customFormat="false" ht="15.75" hidden="false" customHeight="false" outlineLevel="0" collapsed="false">
      <c r="A239" s="12"/>
      <c r="B239" s="34"/>
      <c r="C239" s="12"/>
      <c r="D239" s="12"/>
      <c r="E239" s="12"/>
      <c r="F239" s="12"/>
      <c r="G239" s="18"/>
      <c r="H239" s="35"/>
      <c r="I239" s="35"/>
      <c r="J239" s="12"/>
      <c r="O239" s="12"/>
      <c r="P239" s="18"/>
      <c r="Q239" s="12"/>
      <c r="R239" s="12"/>
      <c r="S239" s="12"/>
      <c r="T239" s="36"/>
      <c r="U239" s="36"/>
      <c r="V239" s="12"/>
      <c r="W239" s="12"/>
      <c r="X239" s="12"/>
      <c r="Y239" s="12"/>
      <c r="Z239" s="12"/>
    </row>
    <row r="240" customFormat="false" ht="15.75" hidden="false" customHeight="false" outlineLevel="0" collapsed="false">
      <c r="A240" s="12"/>
      <c r="B240" s="34"/>
      <c r="C240" s="12"/>
      <c r="D240" s="12"/>
      <c r="E240" s="12"/>
      <c r="F240" s="12"/>
      <c r="G240" s="18"/>
      <c r="H240" s="35"/>
      <c r="I240" s="35"/>
      <c r="J240" s="12"/>
      <c r="O240" s="12"/>
      <c r="P240" s="18"/>
      <c r="Q240" s="12"/>
      <c r="R240" s="12"/>
      <c r="S240" s="12"/>
      <c r="T240" s="36"/>
      <c r="U240" s="36"/>
      <c r="V240" s="12"/>
      <c r="W240" s="12"/>
      <c r="X240" s="12"/>
      <c r="Y240" s="12"/>
      <c r="Z240" s="12"/>
    </row>
    <row r="241" customFormat="false" ht="15.75" hidden="false" customHeight="false" outlineLevel="0" collapsed="false">
      <c r="A241" s="12"/>
      <c r="B241" s="34"/>
      <c r="C241" s="12"/>
      <c r="D241" s="12"/>
      <c r="E241" s="12"/>
      <c r="F241" s="12"/>
      <c r="G241" s="18"/>
      <c r="H241" s="35"/>
      <c r="I241" s="35"/>
      <c r="J241" s="12"/>
      <c r="O241" s="12"/>
      <c r="P241" s="18"/>
      <c r="Q241" s="12"/>
      <c r="R241" s="12"/>
      <c r="S241" s="12"/>
      <c r="T241" s="36"/>
      <c r="U241" s="36"/>
      <c r="V241" s="12"/>
      <c r="W241" s="12"/>
      <c r="X241" s="12"/>
      <c r="Y241" s="12"/>
      <c r="Z241" s="12"/>
    </row>
    <row r="242" customFormat="false" ht="15.75" hidden="false" customHeight="false" outlineLevel="0" collapsed="false">
      <c r="A242" s="12"/>
      <c r="B242" s="34"/>
      <c r="C242" s="12"/>
      <c r="D242" s="12"/>
      <c r="E242" s="12"/>
      <c r="F242" s="12"/>
      <c r="G242" s="18"/>
      <c r="H242" s="35"/>
      <c r="I242" s="35"/>
      <c r="J242" s="12"/>
      <c r="O242" s="12"/>
      <c r="P242" s="18"/>
      <c r="Q242" s="12"/>
      <c r="R242" s="12"/>
      <c r="S242" s="12"/>
      <c r="T242" s="36"/>
      <c r="U242" s="36"/>
      <c r="V242" s="12"/>
      <c r="W242" s="12"/>
      <c r="X242" s="12"/>
      <c r="Y242" s="12"/>
      <c r="Z242" s="12"/>
    </row>
    <row r="243" customFormat="false" ht="15.75" hidden="false" customHeight="false" outlineLevel="0" collapsed="false">
      <c r="A243" s="12"/>
      <c r="B243" s="34"/>
      <c r="C243" s="12"/>
      <c r="D243" s="12"/>
      <c r="E243" s="12"/>
      <c r="F243" s="12"/>
      <c r="G243" s="18"/>
      <c r="H243" s="35"/>
      <c r="I243" s="35"/>
      <c r="J243" s="12"/>
      <c r="O243" s="12"/>
      <c r="P243" s="18"/>
      <c r="Q243" s="12"/>
      <c r="R243" s="12"/>
      <c r="S243" s="12"/>
      <c r="T243" s="36"/>
      <c r="U243" s="36"/>
      <c r="V243" s="12"/>
      <c r="W243" s="12"/>
      <c r="X243" s="12"/>
      <c r="Y243" s="12"/>
      <c r="Z243" s="12"/>
    </row>
    <row r="244" customFormat="false" ht="15.75" hidden="false" customHeight="false" outlineLevel="0" collapsed="false">
      <c r="A244" s="12"/>
      <c r="B244" s="34"/>
      <c r="C244" s="12"/>
      <c r="D244" s="12"/>
      <c r="E244" s="12"/>
      <c r="F244" s="12"/>
      <c r="G244" s="18"/>
      <c r="H244" s="35"/>
      <c r="I244" s="35"/>
      <c r="J244" s="12"/>
      <c r="O244" s="12"/>
      <c r="P244" s="18"/>
      <c r="Q244" s="12"/>
      <c r="R244" s="12"/>
      <c r="S244" s="12"/>
      <c r="T244" s="36"/>
      <c r="U244" s="36"/>
      <c r="V244" s="12"/>
      <c r="W244" s="12"/>
      <c r="X244" s="12"/>
      <c r="Y244" s="12"/>
      <c r="Z244" s="12"/>
    </row>
    <row r="245" customFormat="false" ht="15.75" hidden="false" customHeight="false" outlineLevel="0" collapsed="false">
      <c r="A245" s="12"/>
      <c r="B245" s="34"/>
      <c r="C245" s="12"/>
      <c r="D245" s="12"/>
      <c r="E245" s="12"/>
      <c r="F245" s="12"/>
      <c r="G245" s="18"/>
      <c r="H245" s="35"/>
      <c r="I245" s="35"/>
      <c r="J245" s="12"/>
      <c r="O245" s="12"/>
      <c r="P245" s="18"/>
      <c r="Q245" s="12"/>
      <c r="R245" s="12"/>
      <c r="S245" s="12"/>
      <c r="T245" s="36"/>
      <c r="U245" s="36"/>
      <c r="V245" s="12"/>
      <c r="W245" s="12"/>
      <c r="X245" s="12"/>
      <c r="Y245" s="12"/>
      <c r="Z245" s="12"/>
    </row>
    <row r="246" customFormat="false" ht="15.75" hidden="false" customHeight="false" outlineLevel="0" collapsed="false">
      <c r="A246" s="12"/>
      <c r="B246" s="34"/>
      <c r="C246" s="12"/>
      <c r="D246" s="12"/>
      <c r="E246" s="12"/>
      <c r="F246" s="12"/>
      <c r="G246" s="18"/>
      <c r="H246" s="35"/>
      <c r="I246" s="35"/>
      <c r="J246" s="12"/>
      <c r="O246" s="12"/>
      <c r="P246" s="18"/>
      <c r="Q246" s="12"/>
      <c r="R246" s="12"/>
      <c r="S246" s="12"/>
      <c r="T246" s="36"/>
      <c r="U246" s="36"/>
      <c r="V246" s="12"/>
      <c r="W246" s="12"/>
      <c r="X246" s="12"/>
      <c r="Y246" s="12"/>
      <c r="Z246" s="12"/>
    </row>
    <row r="247" customFormat="false" ht="15.75" hidden="false" customHeight="false" outlineLevel="0" collapsed="false">
      <c r="A247" s="12"/>
      <c r="B247" s="34"/>
      <c r="C247" s="12"/>
      <c r="D247" s="12"/>
      <c r="E247" s="12"/>
      <c r="F247" s="12"/>
      <c r="G247" s="18"/>
      <c r="H247" s="35"/>
      <c r="I247" s="35"/>
      <c r="J247" s="12"/>
      <c r="O247" s="12"/>
      <c r="P247" s="18"/>
      <c r="Q247" s="12"/>
      <c r="R247" s="12"/>
      <c r="S247" s="12"/>
      <c r="T247" s="36"/>
      <c r="U247" s="36"/>
      <c r="V247" s="12"/>
      <c r="W247" s="12"/>
      <c r="X247" s="12"/>
      <c r="Y247" s="12"/>
      <c r="Z247" s="12"/>
    </row>
    <row r="248" customFormat="false" ht="15.75" hidden="false" customHeight="false" outlineLevel="0" collapsed="false">
      <c r="A248" s="12"/>
      <c r="B248" s="34"/>
      <c r="C248" s="12"/>
      <c r="D248" s="12"/>
      <c r="E248" s="12"/>
      <c r="F248" s="12"/>
      <c r="G248" s="18"/>
      <c r="H248" s="35"/>
      <c r="I248" s="35"/>
      <c r="J248" s="12"/>
      <c r="O248" s="12"/>
      <c r="P248" s="18"/>
      <c r="Q248" s="12"/>
      <c r="R248" s="12"/>
      <c r="S248" s="12"/>
      <c r="T248" s="36"/>
      <c r="U248" s="36"/>
      <c r="V248" s="12"/>
      <c r="W248" s="12"/>
      <c r="X248" s="12"/>
      <c r="Y248" s="12"/>
      <c r="Z248" s="12"/>
    </row>
    <row r="249" customFormat="false" ht="15.75" hidden="false" customHeight="false" outlineLevel="0" collapsed="false">
      <c r="A249" s="12"/>
      <c r="B249" s="34"/>
      <c r="C249" s="12"/>
      <c r="D249" s="12"/>
      <c r="E249" s="12"/>
      <c r="F249" s="12"/>
      <c r="G249" s="18"/>
      <c r="H249" s="35"/>
      <c r="I249" s="35"/>
      <c r="J249" s="12"/>
      <c r="O249" s="12"/>
      <c r="P249" s="18"/>
      <c r="Q249" s="12"/>
      <c r="R249" s="12"/>
      <c r="S249" s="12"/>
      <c r="T249" s="36"/>
      <c r="U249" s="36"/>
      <c r="V249" s="12"/>
      <c r="W249" s="12"/>
      <c r="X249" s="12"/>
      <c r="Y249" s="12"/>
      <c r="Z249" s="12"/>
    </row>
    <row r="250" customFormat="false" ht="15.75" hidden="false" customHeight="false" outlineLevel="0" collapsed="false">
      <c r="A250" s="12"/>
      <c r="B250" s="34"/>
      <c r="C250" s="12"/>
      <c r="D250" s="12"/>
      <c r="E250" s="12"/>
      <c r="F250" s="12"/>
      <c r="G250" s="18"/>
      <c r="H250" s="35"/>
      <c r="I250" s="35"/>
      <c r="J250" s="12"/>
      <c r="O250" s="12"/>
      <c r="P250" s="18"/>
      <c r="Q250" s="12"/>
      <c r="R250" s="12"/>
      <c r="S250" s="12"/>
      <c r="T250" s="36"/>
      <c r="U250" s="36"/>
      <c r="V250" s="12"/>
      <c r="W250" s="12"/>
      <c r="X250" s="12"/>
      <c r="Y250" s="12"/>
      <c r="Z250" s="12"/>
    </row>
    <row r="251" customFormat="false" ht="15.75" hidden="false" customHeight="false" outlineLevel="0" collapsed="false">
      <c r="A251" s="12"/>
      <c r="B251" s="34"/>
      <c r="C251" s="12"/>
      <c r="D251" s="12"/>
      <c r="E251" s="12"/>
      <c r="F251" s="12"/>
      <c r="G251" s="18"/>
      <c r="H251" s="35"/>
      <c r="I251" s="35"/>
      <c r="J251" s="12"/>
      <c r="O251" s="12"/>
      <c r="P251" s="18"/>
      <c r="Q251" s="12"/>
      <c r="R251" s="12"/>
      <c r="S251" s="12"/>
      <c r="T251" s="36"/>
      <c r="U251" s="36"/>
      <c r="V251" s="12"/>
      <c r="W251" s="12"/>
      <c r="X251" s="12"/>
      <c r="Y251" s="12"/>
      <c r="Z251" s="12"/>
    </row>
    <row r="252" customFormat="false" ht="15.75" hidden="false" customHeight="false" outlineLevel="0" collapsed="false">
      <c r="A252" s="12"/>
      <c r="B252" s="34"/>
      <c r="C252" s="12"/>
      <c r="D252" s="12"/>
      <c r="E252" s="12"/>
      <c r="F252" s="12"/>
      <c r="G252" s="18"/>
      <c r="H252" s="35"/>
      <c r="I252" s="35"/>
      <c r="J252" s="12"/>
      <c r="O252" s="12"/>
      <c r="P252" s="18"/>
      <c r="Q252" s="12"/>
      <c r="R252" s="12"/>
      <c r="S252" s="12"/>
      <c r="T252" s="36"/>
      <c r="U252" s="36"/>
      <c r="V252" s="12"/>
      <c r="W252" s="12"/>
      <c r="X252" s="12"/>
      <c r="Y252" s="12"/>
      <c r="Z252" s="12"/>
    </row>
    <row r="253" customFormat="false" ht="15.75" hidden="false" customHeight="false" outlineLevel="0" collapsed="false">
      <c r="A253" s="12"/>
      <c r="B253" s="34"/>
      <c r="C253" s="12"/>
      <c r="D253" s="12"/>
      <c r="E253" s="12"/>
      <c r="F253" s="12"/>
      <c r="G253" s="18"/>
      <c r="H253" s="35"/>
      <c r="I253" s="35"/>
      <c r="J253" s="12"/>
      <c r="O253" s="12"/>
      <c r="P253" s="18"/>
      <c r="Q253" s="12"/>
      <c r="R253" s="12"/>
      <c r="S253" s="12"/>
      <c r="T253" s="36"/>
      <c r="U253" s="36"/>
      <c r="V253" s="12"/>
      <c r="W253" s="12"/>
      <c r="X253" s="12"/>
      <c r="Y253" s="12"/>
      <c r="Z253" s="12"/>
    </row>
    <row r="254" customFormat="false" ht="15.75" hidden="false" customHeight="false" outlineLevel="0" collapsed="false">
      <c r="A254" s="12"/>
      <c r="B254" s="34"/>
      <c r="C254" s="12"/>
      <c r="D254" s="12"/>
      <c r="E254" s="12"/>
      <c r="F254" s="12"/>
      <c r="G254" s="18"/>
      <c r="H254" s="35"/>
      <c r="I254" s="35"/>
      <c r="J254" s="12"/>
      <c r="O254" s="12"/>
      <c r="P254" s="18"/>
      <c r="Q254" s="12"/>
      <c r="R254" s="12"/>
      <c r="S254" s="12"/>
      <c r="T254" s="36"/>
      <c r="U254" s="36"/>
      <c r="V254" s="12"/>
      <c r="W254" s="12"/>
      <c r="X254" s="12"/>
      <c r="Y254" s="12"/>
      <c r="Z254" s="12"/>
    </row>
    <row r="255" customFormat="false" ht="15.75" hidden="false" customHeight="false" outlineLevel="0" collapsed="false">
      <c r="A255" s="12"/>
      <c r="B255" s="34"/>
      <c r="C255" s="12"/>
      <c r="D255" s="12"/>
      <c r="E255" s="12"/>
      <c r="F255" s="12"/>
      <c r="G255" s="18"/>
      <c r="H255" s="35"/>
      <c r="I255" s="35"/>
      <c r="J255" s="12"/>
      <c r="O255" s="12"/>
      <c r="P255" s="18"/>
      <c r="Q255" s="12"/>
      <c r="R255" s="12"/>
      <c r="S255" s="12"/>
      <c r="T255" s="36"/>
      <c r="U255" s="36"/>
      <c r="V255" s="12"/>
      <c r="W255" s="12"/>
      <c r="X255" s="12"/>
      <c r="Y255" s="12"/>
      <c r="Z255" s="12"/>
    </row>
    <row r="256" customFormat="false" ht="15.75" hidden="false" customHeight="false" outlineLevel="0" collapsed="false">
      <c r="A256" s="12"/>
      <c r="B256" s="34"/>
      <c r="C256" s="12"/>
      <c r="D256" s="12"/>
      <c r="E256" s="12"/>
      <c r="F256" s="12"/>
      <c r="G256" s="18"/>
      <c r="H256" s="35"/>
      <c r="I256" s="35"/>
      <c r="J256" s="12"/>
      <c r="O256" s="12"/>
      <c r="P256" s="18"/>
      <c r="Q256" s="12"/>
      <c r="R256" s="12"/>
      <c r="S256" s="12"/>
      <c r="T256" s="36"/>
      <c r="U256" s="36"/>
      <c r="V256" s="12"/>
      <c r="W256" s="12"/>
      <c r="X256" s="12"/>
      <c r="Y256" s="12"/>
      <c r="Z256" s="12"/>
    </row>
    <row r="257" customFormat="false" ht="15.75" hidden="false" customHeight="false" outlineLevel="0" collapsed="false">
      <c r="A257" s="12"/>
      <c r="B257" s="34"/>
      <c r="C257" s="12"/>
      <c r="D257" s="12"/>
      <c r="E257" s="12"/>
      <c r="F257" s="12"/>
      <c r="G257" s="18"/>
      <c r="H257" s="35"/>
      <c r="I257" s="35"/>
      <c r="J257" s="12"/>
      <c r="O257" s="12"/>
      <c r="P257" s="18"/>
      <c r="Q257" s="12"/>
      <c r="R257" s="12"/>
      <c r="S257" s="12"/>
      <c r="T257" s="36"/>
      <c r="U257" s="36"/>
      <c r="V257" s="12"/>
      <c r="W257" s="12"/>
      <c r="X257" s="12"/>
      <c r="Y257" s="12"/>
      <c r="Z257" s="12"/>
    </row>
    <row r="258" customFormat="false" ht="15.75" hidden="false" customHeight="false" outlineLevel="0" collapsed="false">
      <c r="A258" s="12"/>
      <c r="B258" s="34"/>
      <c r="C258" s="12"/>
      <c r="D258" s="12"/>
      <c r="E258" s="12"/>
      <c r="F258" s="12"/>
      <c r="G258" s="18"/>
      <c r="H258" s="35"/>
      <c r="I258" s="35"/>
      <c r="J258" s="12"/>
      <c r="O258" s="12"/>
      <c r="P258" s="18"/>
      <c r="Q258" s="12"/>
      <c r="R258" s="12"/>
      <c r="S258" s="12"/>
      <c r="T258" s="36"/>
      <c r="U258" s="36"/>
      <c r="V258" s="12"/>
      <c r="W258" s="12"/>
      <c r="X258" s="12"/>
      <c r="Y258" s="12"/>
      <c r="Z258" s="12"/>
    </row>
    <row r="259" customFormat="false" ht="15.75" hidden="false" customHeight="false" outlineLevel="0" collapsed="false">
      <c r="A259" s="12"/>
      <c r="B259" s="34"/>
      <c r="C259" s="12"/>
      <c r="D259" s="12"/>
      <c r="E259" s="12"/>
      <c r="F259" s="12"/>
      <c r="G259" s="18"/>
      <c r="H259" s="35"/>
      <c r="I259" s="35"/>
      <c r="J259" s="12"/>
      <c r="O259" s="12"/>
      <c r="P259" s="18"/>
      <c r="Q259" s="12"/>
      <c r="R259" s="12"/>
      <c r="S259" s="12"/>
      <c r="T259" s="36"/>
      <c r="U259" s="36"/>
      <c r="V259" s="12"/>
      <c r="W259" s="12"/>
      <c r="X259" s="12"/>
      <c r="Y259" s="12"/>
      <c r="Z259" s="12"/>
    </row>
    <row r="260" customFormat="false" ht="15.75" hidden="false" customHeight="false" outlineLevel="0" collapsed="false">
      <c r="A260" s="12"/>
      <c r="B260" s="34"/>
      <c r="C260" s="12"/>
      <c r="D260" s="12"/>
      <c r="E260" s="12"/>
      <c r="F260" s="12"/>
      <c r="G260" s="18"/>
      <c r="H260" s="35"/>
      <c r="I260" s="35"/>
      <c r="J260" s="12"/>
      <c r="O260" s="12"/>
      <c r="P260" s="18"/>
      <c r="Q260" s="12"/>
      <c r="R260" s="12"/>
      <c r="S260" s="12"/>
      <c r="T260" s="36"/>
      <c r="U260" s="36"/>
      <c r="V260" s="12"/>
      <c r="W260" s="12"/>
      <c r="X260" s="12"/>
      <c r="Y260" s="12"/>
      <c r="Z260" s="12"/>
    </row>
    <row r="261" customFormat="false" ht="15.75" hidden="false" customHeight="false" outlineLevel="0" collapsed="false">
      <c r="A261" s="12"/>
      <c r="B261" s="34"/>
      <c r="C261" s="12"/>
      <c r="D261" s="12"/>
      <c r="E261" s="12"/>
      <c r="F261" s="12"/>
      <c r="G261" s="18"/>
      <c r="H261" s="35"/>
      <c r="I261" s="35"/>
      <c r="J261" s="12"/>
      <c r="O261" s="12"/>
      <c r="P261" s="18"/>
      <c r="Q261" s="12"/>
      <c r="R261" s="12"/>
      <c r="S261" s="12"/>
      <c r="T261" s="36"/>
      <c r="U261" s="36"/>
      <c r="V261" s="12"/>
      <c r="W261" s="12"/>
      <c r="X261" s="12"/>
      <c r="Y261" s="12"/>
      <c r="Z261" s="12"/>
    </row>
    <row r="262" customFormat="false" ht="15.75" hidden="false" customHeight="false" outlineLevel="0" collapsed="false">
      <c r="A262" s="12"/>
      <c r="B262" s="34"/>
      <c r="C262" s="12"/>
      <c r="D262" s="12"/>
      <c r="E262" s="12"/>
      <c r="F262" s="12"/>
      <c r="G262" s="18"/>
      <c r="H262" s="35"/>
      <c r="I262" s="35"/>
      <c r="J262" s="12"/>
      <c r="O262" s="12"/>
      <c r="P262" s="18"/>
      <c r="Q262" s="12"/>
      <c r="R262" s="12"/>
      <c r="S262" s="12"/>
      <c r="T262" s="36"/>
      <c r="U262" s="36"/>
      <c r="V262" s="12"/>
      <c r="W262" s="12"/>
      <c r="X262" s="12"/>
      <c r="Y262" s="12"/>
      <c r="Z262" s="12"/>
    </row>
    <row r="263" customFormat="false" ht="15.75" hidden="false" customHeight="false" outlineLevel="0" collapsed="false">
      <c r="A263" s="12"/>
      <c r="B263" s="34"/>
      <c r="C263" s="12"/>
      <c r="D263" s="12"/>
      <c r="E263" s="12"/>
      <c r="F263" s="12"/>
      <c r="G263" s="18"/>
      <c r="H263" s="35"/>
      <c r="I263" s="35"/>
      <c r="J263" s="12"/>
      <c r="O263" s="12"/>
      <c r="P263" s="18"/>
      <c r="Q263" s="12"/>
      <c r="R263" s="12"/>
      <c r="S263" s="12"/>
      <c r="T263" s="36"/>
      <c r="U263" s="36"/>
      <c r="V263" s="12"/>
      <c r="W263" s="12"/>
      <c r="X263" s="12"/>
      <c r="Y263" s="12"/>
      <c r="Z263" s="12"/>
    </row>
    <row r="264" customFormat="false" ht="15.75" hidden="false" customHeight="false" outlineLevel="0" collapsed="false">
      <c r="A264" s="12"/>
      <c r="B264" s="34"/>
      <c r="C264" s="12"/>
      <c r="D264" s="12"/>
      <c r="E264" s="12"/>
      <c r="F264" s="12"/>
      <c r="G264" s="18"/>
      <c r="H264" s="35"/>
      <c r="I264" s="35"/>
      <c r="J264" s="12"/>
      <c r="O264" s="12"/>
      <c r="P264" s="18"/>
      <c r="Q264" s="12"/>
      <c r="R264" s="12"/>
      <c r="S264" s="12"/>
      <c r="T264" s="36"/>
      <c r="U264" s="36"/>
      <c r="V264" s="12"/>
      <c r="W264" s="12"/>
      <c r="X264" s="12"/>
      <c r="Y264" s="12"/>
      <c r="Z264" s="12"/>
    </row>
    <row r="265" customFormat="false" ht="15.75" hidden="false" customHeight="false" outlineLevel="0" collapsed="false">
      <c r="A265" s="12"/>
      <c r="B265" s="34"/>
      <c r="C265" s="12"/>
      <c r="D265" s="12"/>
      <c r="E265" s="12"/>
      <c r="F265" s="12"/>
      <c r="G265" s="18"/>
      <c r="H265" s="35"/>
      <c r="I265" s="35"/>
      <c r="J265" s="12"/>
      <c r="O265" s="12"/>
      <c r="P265" s="18"/>
      <c r="Q265" s="12"/>
      <c r="R265" s="12"/>
      <c r="S265" s="12"/>
      <c r="T265" s="36"/>
      <c r="U265" s="36"/>
      <c r="V265" s="12"/>
      <c r="W265" s="12"/>
      <c r="X265" s="12"/>
      <c r="Y265" s="12"/>
      <c r="Z265" s="12"/>
    </row>
    <row r="266" customFormat="false" ht="15.75" hidden="false" customHeight="false" outlineLevel="0" collapsed="false">
      <c r="A266" s="12"/>
      <c r="B266" s="34"/>
      <c r="C266" s="12"/>
      <c r="D266" s="12"/>
      <c r="E266" s="12"/>
      <c r="F266" s="12"/>
      <c r="G266" s="18"/>
      <c r="H266" s="35"/>
      <c r="I266" s="35"/>
      <c r="J266" s="12"/>
      <c r="O266" s="12"/>
      <c r="P266" s="18"/>
      <c r="Q266" s="12"/>
      <c r="R266" s="12"/>
      <c r="S266" s="12"/>
      <c r="T266" s="36"/>
      <c r="U266" s="36"/>
      <c r="V266" s="12"/>
      <c r="W266" s="12"/>
      <c r="X266" s="12"/>
      <c r="Y266" s="12"/>
      <c r="Z266" s="12"/>
    </row>
    <row r="267" customFormat="false" ht="15.75" hidden="false" customHeight="false" outlineLevel="0" collapsed="false">
      <c r="A267" s="12"/>
      <c r="B267" s="34"/>
      <c r="C267" s="12"/>
      <c r="D267" s="12"/>
      <c r="E267" s="12"/>
      <c r="F267" s="12"/>
      <c r="G267" s="18"/>
      <c r="H267" s="35"/>
      <c r="I267" s="35"/>
      <c r="J267" s="12"/>
      <c r="O267" s="12"/>
      <c r="P267" s="18"/>
      <c r="Q267" s="12"/>
      <c r="R267" s="12"/>
      <c r="S267" s="12"/>
      <c r="T267" s="36"/>
      <c r="U267" s="36"/>
      <c r="V267" s="12"/>
      <c r="W267" s="12"/>
      <c r="X267" s="12"/>
      <c r="Y267" s="12"/>
      <c r="Z267" s="12"/>
    </row>
    <row r="268" customFormat="false" ht="15.75" hidden="false" customHeight="false" outlineLevel="0" collapsed="false">
      <c r="A268" s="12"/>
      <c r="B268" s="34"/>
      <c r="C268" s="12"/>
      <c r="D268" s="12"/>
      <c r="E268" s="12"/>
      <c r="F268" s="12"/>
      <c r="G268" s="18"/>
      <c r="H268" s="35"/>
      <c r="I268" s="35"/>
      <c r="J268" s="12"/>
      <c r="O268" s="12"/>
      <c r="P268" s="18"/>
      <c r="Q268" s="12"/>
      <c r="R268" s="12"/>
      <c r="S268" s="12"/>
      <c r="T268" s="36"/>
      <c r="U268" s="36"/>
      <c r="V268" s="12"/>
      <c r="W268" s="12"/>
      <c r="X268" s="12"/>
      <c r="Y268" s="12"/>
      <c r="Z268" s="12"/>
    </row>
    <row r="269" customFormat="false" ht="15.75" hidden="false" customHeight="false" outlineLevel="0" collapsed="false">
      <c r="A269" s="12"/>
      <c r="B269" s="34"/>
      <c r="C269" s="12"/>
      <c r="D269" s="12"/>
      <c r="E269" s="12"/>
      <c r="F269" s="12"/>
      <c r="G269" s="18"/>
      <c r="H269" s="35"/>
      <c r="I269" s="35"/>
      <c r="J269" s="12"/>
      <c r="O269" s="12"/>
      <c r="P269" s="18"/>
      <c r="Q269" s="12"/>
      <c r="R269" s="12"/>
      <c r="S269" s="12"/>
      <c r="T269" s="36"/>
      <c r="U269" s="36"/>
      <c r="V269" s="12"/>
      <c r="W269" s="12"/>
      <c r="X269" s="12"/>
      <c r="Y269" s="12"/>
      <c r="Z269" s="12"/>
    </row>
    <row r="270" customFormat="false" ht="15.75" hidden="false" customHeight="false" outlineLevel="0" collapsed="false">
      <c r="A270" s="12"/>
      <c r="B270" s="34"/>
      <c r="C270" s="12"/>
      <c r="D270" s="12"/>
      <c r="E270" s="12"/>
      <c r="F270" s="12"/>
      <c r="G270" s="18"/>
      <c r="H270" s="35"/>
      <c r="I270" s="35"/>
      <c r="J270" s="12"/>
      <c r="O270" s="12"/>
      <c r="P270" s="18"/>
      <c r="Q270" s="12"/>
      <c r="R270" s="12"/>
      <c r="S270" s="12"/>
      <c r="T270" s="36"/>
      <c r="U270" s="36"/>
      <c r="V270" s="12"/>
      <c r="W270" s="12"/>
      <c r="X270" s="12"/>
      <c r="Y270" s="12"/>
      <c r="Z270" s="12"/>
    </row>
    <row r="271" customFormat="false" ht="15.75" hidden="false" customHeight="false" outlineLevel="0" collapsed="false">
      <c r="A271" s="12"/>
      <c r="B271" s="34"/>
      <c r="C271" s="12"/>
      <c r="D271" s="12"/>
      <c r="E271" s="12"/>
      <c r="F271" s="12"/>
      <c r="G271" s="18"/>
      <c r="H271" s="35"/>
      <c r="I271" s="35"/>
      <c r="J271" s="12"/>
      <c r="O271" s="12"/>
      <c r="P271" s="18"/>
      <c r="Q271" s="12"/>
      <c r="R271" s="12"/>
      <c r="S271" s="12"/>
      <c r="T271" s="36"/>
      <c r="U271" s="36"/>
      <c r="V271" s="12"/>
      <c r="W271" s="12"/>
      <c r="X271" s="12"/>
      <c r="Y271" s="12"/>
      <c r="Z271" s="12"/>
    </row>
    <row r="272" customFormat="false" ht="15.75" hidden="false" customHeight="false" outlineLevel="0" collapsed="false">
      <c r="A272" s="12"/>
      <c r="B272" s="34"/>
      <c r="C272" s="12"/>
      <c r="D272" s="12"/>
      <c r="E272" s="12"/>
      <c r="F272" s="12"/>
      <c r="G272" s="18"/>
      <c r="H272" s="35"/>
      <c r="I272" s="35"/>
      <c r="J272" s="12"/>
      <c r="O272" s="12"/>
      <c r="P272" s="18"/>
      <c r="Q272" s="12"/>
      <c r="R272" s="12"/>
      <c r="S272" s="12"/>
      <c r="T272" s="36"/>
      <c r="U272" s="36"/>
      <c r="V272" s="12"/>
      <c r="W272" s="12"/>
      <c r="X272" s="12"/>
      <c r="Y272" s="12"/>
      <c r="Z272" s="12"/>
    </row>
    <row r="273" customFormat="false" ht="15.75" hidden="false" customHeight="false" outlineLevel="0" collapsed="false">
      <c r="A273" s="12"/>
      <c r="B273" s="34"/>
      <c r="C273" s="12"/>
      <c r="D273" s="12"/>
      <c r="E273" s="12"/>
      <c r="F273" s="12"/>
      <c r="G273" s="18"/>
      <c r="H273" s="35"/>
      <c r="I273" s="35"/>
      <c r="J273" s="12"/>
      <c r="O273" s="12"/>
      <c r="P273" s="18"/>
      <c r="Q273" s="12"/>
      <c r="R273" s="12"/>
      <c r="S273" s="12"/>
      <c r="T273" s="36"/>
      <c r="U273" s="36"/>
      <c r="V273" s="12"/>
      <c r="W273" s="12"/>
      <c r="X273" s="12"/>
      <c r="Y273" s="12"/>
      <c r="Z273" s="12"/>
    </row>
    <row r="274" customFormat="false" ht="15.75" hidden="false" customHeight="false" outlineLevel="0" collapsed="false">
      <c r="A274" s="12"/>
      <c r="B274" s="34"/>
      <c r="C274" s="12"/>
      <c r="D274" s="12"/>
      <c r="E274" s="12"/>
      <c r="F274" s="12"/>
      <c r="G274" s="18"/>
      <c r="H274" s="35"/>
      <c r="I274" s="35"/>
      <c r="J274" s="12"/>
      <c r="O274" s="12"/>
      <c r="P274" s="18"/>
      <c r="Q274" s="12"/>
      <c r="R274" s="12"/>
      <c r="S274" s="12"/>
      <c r="T274" s="36"/>
      <c r="U274" s="36"/>
      <c r="V274" s="12"/>
      <c r="W274" s="12"/>
      <c r="X274" s="12"/>
      <c r="Y274" s="12"/>
      <c r="Z274" s="12"/>
    </row>
    <row r="275" customFormat="false" ht="15.75" hidden="false" customHeight="false" outlineLevel="0" collapsed="false">
      <c r="A275" s="12"/>
      <c r="B275" s="34"/>
      <c r="C275" s="12"/>
      <c r="D275" s="12"/>
      <c r="E275" s="12"/>
      <c r="F275" s="12"/>
      <c r="G275" s="18"/>
      <c r="H275" s="35"/>
      <c r="I275" s="35"/>
      <c r="J275" s="12"/>
      <c r="O275" s="12"/>
      <c r="P275" s="18"/>
      <c r="Q275" s="12"/>
      <c r="R275" s="12"/>
      <c r="S275" s="12"/>
      <c r="T275" s="36"/>
      <c r="U275" s="36"/>
      <c r="V275" s="12"/>
      <c r="W275" s="12"/>
      <c r="X275" s="12"/>
      <c r="Y275" s="12"/>
      <c r="Z275" s="12"/>
    </row>
    <row r="276" customFormat="false" ht="15.75" hidden="false" customHeight="false" outlineLevel="0" collapsed="false">
      <c r="A276" s="12"/>
      <c r="B276" s="34"/>
      <c r="C276" s="12"/>
      <c r="D276" s="12"/>
      <c r="E276" s="12"/>
      <c r="F276" s="12"/>
      <c r="G276" s="18"/>
      <c r="H276" s="35"/>
      <c r="I276" s="35"/>
      <c r="J276" s="12"/>
      <c r="O276" s="12"/>
      <c r="P276" s="18"/>
      <c r="Q276" s="12"/>
      <c r="R276" s="12"/>
      <c r="S276" s="12"/>
      <c r="T276" s="36"/>
      <c r="U276" s="36"/>
      <c r="V276" s="12"/>
      <c r="W276" s="12"/>
      <c r="X276" s="12"/>
      <c r="Y276" s="12"/>
      <c r="Z276" s="12"/>
    </row>
    <row r="277" customFormat="false" ht="15.75" hidden="false" customHeight="false" outlineLevel="0" collapsed="false">
      <c r="A277" s="12"/>
      <c r="B277" s="34"/>
      <c r="C277" s="12"/>
      <c r="D277" s="12"/>
      <c r="E277" s="12"/>
      <c r="F277" s="12"/>
      <c r="G277" s="18"/>
      <c r="H277" s="35"/>
      <c r="I277" s="35"/>
      <c r="J277" s="12"/>
      <c r="O277" s="12"/>
      <c r="P277" s="18"/>
      <c r="Q277" s="12"/>
      <c r="R277" s="12"/>
      <c r="S277" s="12"/>
      <c r="T277" s="36"/>
      <c r="U277" s="36"/>
      <c r="V277" s="12"/>
      <c r="W277" s="12"/>
      <c r="X277" s="12"/>
      <c r="Y277" s="12"/>
      <c r="Z277" s="12"/>
    </row>
    <row r="278" customFormat="false" ht="15.75" hidden="false" customHeight="false" outlineLevel="0" collapsed="false">
      <c r="A278" s="12"/>
      <c r="B278" s="34"/>
      <c r="C278" s="12"/>
      <c r="D278" s="12"/>
      <c r="E278" s="12"/>
      <c r="F278" s="12"/>
      <c r="G278" s="18"/>
      <c r="H278" s="35"/>
      <c r="I278" s="35"/>
      <c r="J278" s="12"/>
      <c r="O278" s="12"/>
      <c r="P278" s="18"/>
      <c r="Q278" s="12"/>
      <c r="R278" s="12"/>
      <c r="S278" s="12"/>
      <c r="T278" s="36"/>
      <c r="U278" s="36"/>
      <c r="V278" s="12"/>
      <c r="W278" s="12"/>
      <c r="X278" s="12"/>
      <c r="Y278" s="12"/>
      <c r="Z278" s="12"/>
    </row>
    <row r="279" customFormat="false" ht="15.75" hidden="false" customHeight="false" outlineLevel="0" collapsed="false">
      <c r="A279" s="12"/>
      <c r="B279" s="34"/>
      <c r="C279" s="12"/>
      <c r="D279" s="12"/>
      <c r="E279" s="12"/>
      <c r="F279" s="12"/>
      <c r="G279" s="18"/>
      <c r="H279" s="35"/>
      <c r="I279" s="35"/>
      <c r="J279" s="12"/>
      <c r="O279" s="12"/>
      <c r="P279" s="18"/>
      <c r="Q279" s="12"/>
      <c r="R279" s="12"/>
      <c r="S279" s="12"/>
      <c r="T279" s="36"/>
      <c r="U279" s="36"/>
      <c r="V279" s="12"/>
      <c r="W279" s="12"/>
      <c r="X279" s="12"/>
      <c r="Y279" s="12"/>
      <c r="Z279" s="12"/>
    </row>
    <row r="280" customFormat="false" ht="15.75" hidden="false" customHeight="false" outlineLevel="0" collapsed="false">
      <c r="A280" s="12"/>
      <c r="B280" s="34"/>
      <c r="C280" s="12"/>
      <c r="D280" s="12"/>
      <c r="E280" s="12"/>
      <c r="F280" s="12"/>
      <c r="G280" s="18"/>
      <c r="H280" s="35"/>
      <c r="I280" s="35"/>
      <c r="J280" s="12"/>
      <c r="O280" s="12"/>
      <c r="P280" s="18"/>
      <c r="Q280" s="12"/>
      <c r="R280" s="12"/>
      <c r="S280" s="12"/>
      <c r="T280" s="36"/>
      <c r="U280" s="36"/>
      <c r="V280" s="12"/>
      <c r="W280" s="12"/>
      <c r="X280" s="12"/>
      <c r="Y280" s="12"/>
      <c r="Z280" s="12"/>
    </row>
    <row r="281" customFormat="false" ht="15.75" hidden="false" customHeight="false" outlineLevel="0" collapsed="false">
      <c r="A281" s="12"/>
      <c r="B281" s="34"/>
      <c r="C281" s="12"/>
      <c r="D281" s="12"/>
      <c r="E281" s="12"/>
      <c r="F281" s="12"/>
      <c r="G281" s="18"/>
      <c r="H281" s="35"/>
      <c r="I281" s="35"/>
      <c r="J281" s="12"/>
      <c r="O281" s="12"/>
      <c r="P281" s="18"/>
      <c r="Q281" s="12"/>
      <c r="R281" s="12"/>
      <c r="S281" s="12"/>
      <c r="T281" s="36"/>
      <c r="U281" s="36"/>
      <c r="V281" s="12"/>
      <c r="W281" s="12"/>
      <c r="X281" s="12"/>
      <c r="Y281" s="12"/>
      <c r="Z281" s="12"/>
    </row>
    <row r="282" customFormat="false" ht="15.75" hidden="false" customHeight="false" outlineLevel="0" collapsed="false">
      <c r="A282" s="12"/>
      <c r="B282" s="34"/>
      <c r="C282" s="12"/>
      <c r="D282" s="12"/>
      <c r="E282" s="12"/>
      <c r="F282" s="12"/>
      <c r="G282" s="18"/>
      <c r="H282" s="35"/>
      <c r="I282" s="35"/>
      <c r="J282" s="12"/>
      <c r="O282" s="12"/>
      <c r="P282" s="18"/>
      <c r="Q282" s="12"/>
      <c r="R282" s="12"/>
      <c r="S282" s="12"/>
      <c r="T282" s="36"/>
      <c r="U282" s="36"/>
      <c r="V282" s="12"/>
      <c r="W282" s="12"/>
      <c r="X282" s="12"/>
      <c r="Y282" s="12"/>
      <c r="Z282" s="12"/>
    </row>
    <row r="283" customFormat="false" ht="15.75" hidden="false" customHeight="false" outlineLevel="0" collapsed="false">
      <c r="A283" s="12"/>
      <c r="B283" s="34"/>
      <c r="C283" s="12"/>
      <c r="D283" s="12"/>
      <c r="E283" s="12"/>
      <c r="F283" s="12"/>
      <c r="G283" s="18"/>
      <c r="H283" s="35"/>
      <c r="I283" s="35"/>
      <c r="J283" s="12"/>
      <c r="O283" s="12"/>
      <c r="P283" s="18"/>
      <c r="Q283" s="12"/>
      <c r="R283" s="12"/>
      <c r="S283" s="12"/>
      <c r="T283" s="36"/>
      <c r="U283" s="36"/>
      <c r="V283" s="12"/>
      <c r="W283" s="12"/>
      <c r="X283" s="12"/>
      <c r="Y283" s="12"/>
      <c r="Z283" s="12"/>
    </row>
    <row r="284" customFormat="false" ht="15.75" hidden="false" customHeight="false" outlineLevel="0" collapsed="false">
      <c r="A284" s="12"/>
      <c r="B284" s="34"/>
      <c r="C284" s="12"/>
      <c r="D284" s="12"/>
      <c r="E284" s="12"/>
      <c r="F284" s="12"/>
      <c r="G284" s="18"/>
      <c r="H284" s="35"/>
      <c r="I284" s="35"/>
      <c r="J284" s="12"/>
      <c r="O284" s="12"/>
      <c r="P284" s="18"/>
      <c r="Q284" s="12"/>
      <c r="R284" s="12"/>
      <c r="S284" s="12"/>
      <c r="T284" s="36"/>
      <c r="U284" s="36"/>
      <c r="V284" s="12"/>
      <c r="W284" s="12"/>
      <c r="X284" s="12"/>
      <c r="Y284" s="12"/>
      <c r="Z284" s="12"/>
    </row>
    <row r="285" customFormat="false" ht="15.75" hidden="false" customHeight="false" outlineLevel="0" collapsed="false">
      <c r="A285" s="12"/>
      <c r="B285" s="34"/>
      <c r="C285" s="12"/>
      <c r="D285" s="12"/>
      <c r="E285" s="12"/>
      <c r="F285" s="12"/>
      <c r="G285" s="18"/>
      <c r="H285" s="35"/>
      <c r="I285" s="35"/>
      <c r="J285" s="12"/>
      <c r="O285" s="12"/>
      <c r="P285" s="18"/>
      <c r="Q285" s="12"/>
      <c r="R285" s="12"/>
      <c r="S285" s="12"/>
      <c r="T285" s="36"/>
      <c r="U285" s="36"/>
      <c r="V285" s="12"/>
      <c r="W285" s="12"/>
      <c r="X285" s="12"/>
      <c r="Y285" s="12"/>
      <c r="Z285" s="12"/>
    </row>
    <row r="286" customFormat="false" ht="15.75" hidden="false" customHeight="false" outlineLevel="0" collapsed="false">
      <c r="A286" s="12"/>
      <c r="B286" s="34"/>
      <c r="C286" s="12"/>
      <c r="D286" s="12"/>
      <c r="E286" s="12"/>
      <c r="F286" s="12"/>
      <c r="G286" s="18"/>
      <c r="H286" s="35"/>
      <c r="I286" s="35"/>
      <c r="J286" s="12"/>
      <c r="O286" s="12"/>
      <c r="P286" s="18"/>
      <c r="Q286" s="12"/>
      <c r="R286" s="12"/>
      <c r="S286" s="12"/>
      <c r="T286" s="36"/>
      <c r="U286" s="36"/>
      <c r="V286" s="12"/>
      <c r="W286" s="12"/>
      <c r="X286" s="12"/>
      <c r="Y286" s="12"/>
      <c r="Z286" s="12"/>
    </row>
    <row r="287" customFormat="false" ht="15.75" hidden="false" customHeight="false" outlineLevel="0" collapsed="false">
      <c r="A287" s="12"/>
      <c r="B287" s="34"/>
      <c r="C287" s="12"/>
      <c r="D287" s="12"/>
      <c r="E287" s="12"/>
      <c r="F287" s="12"/>
      <c r="G287" s="18"/>
      <c r="H287" s="35"/>
      <c r="I287" s="35"/>
      <c r="J287" s="12"/>
      <c r="O287" s="12"/>
      <c r="P287" s="18"/>
      <c r="Q287" s="12"/>
      <c r="R287" s="12"/>
      <c r="S287" s="12"/>
      <c r="T287" s="36"/>
      <c r="U287" s="36"/>
      <c r="V287" s="12"/>
      <c r="W287" s="12"/>
      <c r="X287" s="12"/>
      <c r="Y287" s="12"/>
      <c r="Z287" s="12"/>
    </row>
    <row r="288" customFormat="false" ht="15.75" hidden="false" customHeight="false" outlineLevel="0" collapsed="false">
      <c r="A288" s="12"/>
      <c r="B288" s="34"/>
      <c r="C288" s="12"/>
      <c r="D288" s="12"/>
      <c r="E288" s="12"/>
      <c r="F288" s="12"/>
      <c r="G288" s="18"/>
      <c r="H288" s="35"/>
      <c r="I288" s="35"/>
      <c r="J288" s="12"/>
      <c r="O288" s="12"/>
      <c r="P288" s="18"/>
      <c r="Q288" s="12"/>
      <c r="R288" s="12"/>
      <c r="S288" s="12"/>
      <c r="T288" s="36"/>
      <c r="U288" s="36"/>
      <c r="V288" s="12"/>
      <c r="W288" s="12"/>
      <c r="X288" s="12"/>
      <c r="Y288" s="12"/>
      <c r="Z288" s="12"/>
    </row>
    <row r="289" customFormat="false" ht="15.75" hidden="false" customHeight="false" outlineLevel="0" collapsed="false">
      <c r="A289" s="12"/>
      <c r="B289" s="34"/>
      <c r="C289" s="12"/>
      <c r="D289" s="12"/>
      <c r="E289" s="12"/>
      <c r="F289" s="12"/>
      <c r="G289" s="18"/>
      <c r="H289" s="35"/>
      <c r="I289" s="35"/>
      <c r="J289" s="12"/>
      <c r="O289" s="12"/>
      <c r="P289" s="18"/>
      <c r="Q289" s="12"/>
      <c r="R289" s="12"/>
      <c r="S289" s="12"/>
      <c r="T289" s="36"/>
      <c r="U289" s="36"/>
      <c r="V289" s="12"/>
      <c r="W289" s="12"/>
      <c r="X289" s="12"/>
      <c r="Y289" s="12"/>
      <c r="Z289" s="12"/>
    </row>
    <row r="290" customFormat="false" ht="15.75" hidden="false" customHeight="false" outlineLevel="0" collapsed="false">
      <c r="A290" s="12"/>
      <c r="B290" s="34"/>
      <c r="C290" s="12"/>
      <c r="D290" s="12"/>
      <c r="E290" s="12"/>
      <c r="F290" s="12"/>
      <c r="G290" s="18"/>
      <c r="H290" s="35"/>
      <c r="I290" s="35"/>
      <c r="J290" s="12"/>
      <c r="O290" s="12"/>
      <c r="P290" s="18"/>
      <c r="Q290" s="12"/>
      <c r="R290" s="12"/>
      <c r="S290" s="12"/>
      <c r="T290" s="36"/>
      <c r="U290" s="36"/>
      <c r="V290" s="12"/>
      <c r="W290" s="12"/>
      <c r="X290" s="12"/>
      <c r="Y290" s="12"/>
      <c r="Z290" s="12"/>
    </row>
    <row r="291" customFormat="false" ht="15.75" hidden="false" customHeight="false" outlineLevel="0" collapsed="false">
      <c r="A291" s="12"/>
      <c r="B291" s="34"/>
      <c r="C291" s="12"/>
      <c r="D291" s="12"/>
      <c r="E291" s="12"/>
      <c r="F291" s="12"/>
      <c r="G291" s="18"/>
      <c r="H291" s="35"/>
      <c r="I291" s="35"/>
      <c r="J291" s="12"/>
      <c r="O291" s="12"/>
      <c r="P291" s="18"/>
      <c r="Q291" s="12"/>
      <c r="R291" s="12"/>
      <c r="S291" s="12"/>
      <c r="T291" s="36"/>
      <c r="U291" s="36"/>
      <c r="V291" s="12"/>
      <c r="W291" s="12"/>
      <c r="X291" s="12"/>
      <c r="Y291" s="12"/>
      <c r="Z291" s="12"/>
    </row>
    <row r="292" customFormat="false" ht="15.75" hidden="false" customHeight="false" outlineLevel="0" collapsed="false">
      <c r="A292" s="12"/>
      <c r="B292" s="34"/>
      <c r="C292" s="12"/>
      <c r="D292" s="12"/>
      <c r="E292" s="12"/>
      <c r="F292" s="12"/>
      <c r="G292" s="18"/>
      <c r="H292" s="35"/>
      <c r="I292" s="35"/>
      <c r="J292" s="12"/>
      <c r="O292" s="12"/>
      <c r="P292" s="18"/>
      <c r="Q292" s="12"/>
      <c r="R292" s="12"/>
      <c r="S292" s="12"/>
      <c r="T292" s="36"/>
      <c r="U292" s="36"/>
      <c r="V292" s="12"/>
      <c r="W292" s="12"/>
      <c r="X292" s="12"/>
      <c r="Y292" s="12"/>
      <c r="Z292" s="12"/>
    </row>
    <row r="293" customFormat="false" ht="15.75" hidden="false" customHeight="false" outlineLevel="0" collapsed="false">
      <c r="A293" s="12"/>
      <c r="B293" s="34"/>
      <c r="C293" s="12"/>
      <c r="D293" s="12"/>
      <c r="E293" s="12"/>
      <c r="F293" s="12"/>
      <c r="G293" s="18"/>
      <c r="H293" s="35"/>
      <c r="I293" s="35"/>
      <c r="J293" s="12"/>
      <c r="O293" s="12"/>
      <c r="P293" s="18"/>
      <c r="Q293" s="12"/>
      <c r="R293" s="12"/>
      <c r="S293" s="12"/>
      <c r="T293" s="36"/>
      <c r="U293" s="36"/>
      <c r="V293" s="12"/>
      <c r="W293" s="12"/>
      <c r="X293" s="12"/>
      <c r="Y293" s="12"/>
      <c r="Z293" s="12"/>
    </row>
    <row r="294" customFormat="false" ht="15.75" hidden="false" customHeight="false" outlineLevel="0" collapsed="false">
      <c r="A294" s="12"/>
      <c r="B294" s="34"/>
      <c r="C294" s="12"/>
      <c r="D294" s="12"/>
      <c r="E294" s="12"/>
      <c r="F294" s="12"/>
      <c r="G294" s="18"/>
      <c r="H294" s="35"/>
      <c r="I294" s="35"/>
      <c r="J294" s="12"/>
      <c r="O294" s="12"/>
      <c r="P294" s="18"/>
      <c r="Q294" s="12"/>
      <c r="R294" s="12"/>
      <c r="S294" s="12"/>
      <c r="T294" s="36"/>
      <c r="U294" s="36"/>
      <c r="V294" s="12"/>
      <c r="W294" s="12"/>
      <c r="X294" s="12"/>
      <c r="Y294" s="12"/>
      <c r="Z294" s="12"/>
    </row>
    <row r="295" customFormat="false" ht="15.75" hidden="false" customHeight="false" outlineLevel="0" collapsed="false">
      <c r="A295" s="12"/>
      <c r="B295" s="34"/>
      <c r="C295" s="12"/>
      <c r="D295" s="12"/>
      <c r="E295" s="12"/>
      <c r="F295" s="12"/>
      <c r="G295" s="18"/>
      <c r="H295" s="35"/>
      <c r="I295" s="35"/>
      <c r="J295" s="12"/>
      <c r="O295" s="12"/>
      <c r="P295" s="18"/>
      <c r="Q295" s="12"/>
      <c r="R295" s="12"/>
      <c r="S295" s="12"/>
      <c r="T295" s="36"/>
      <c r="U295" s="36"/>
      <c r="V295" s="12"/>
      <c r="W295" s="12"/>
      <c r="X295" s="12"/>
      <c r="Y295" s="12"/>
      <c r="Z295" s="12"/>
    </row>
    <row r="296" customFormat="false" ht="15.75" hidden="false" customHeight="false" outlineLevel="0" collapsed="false">
      <c r="A296" s="12"/>
      <c r="B296" s="34"/>
      <c r="C296" s="12"/>
      <c r="D296" s="12"/>
      <c r="E296" s="12"/>
      <c r="F296" s="12"/>
      <c r="G296" s="18"/>
      <c r="H296" s="35"/>
      <c r="I296" s="35"/>
      <c r="J296" s="12"/>
      <c r="O296" s="12"/>
      <c r="P296" s="18"/>
      <c r="Q296" s="12"/>
      <c r="R296" s="12"/>
      <c r="S296" s="12"/>
      <c r="T296" s="36"/>
      <c r="U296" s="36"/>
      <c r="V296" s="12"/>
      <c r="W296" s="12"/>
      <c r="X296" s="12"/>
      <c r="Y296" s="12"/>
      <c r="Z296" s="12"/>
    </row>
    <row r="297" customFormat="false" ht="15.75" hidden="false" customHeight="false" outlineLevel="0" collapsed="false">
      <c r="A297" s="12"/>
      <c r="B297" s="34"/>
      <c r="C297" s="12"/>
      <c r="D297" s="12"/>
      <c r="E297" s="12"/>
      <c r="F297" s="12"/>
      <c r="G297" s="18"/>
      <c r="H297" s="35"/>
      <c r="I297" s="35"/>
      <c r="J297" s="12"/>
      <c r="O297" s="12"/>
      <c r="P297" s="18"/>
      <c r="Q297" s="12"/>
      <c r="R297" s="12"/>
      <c r="S297" s="12"/>
      <c r="T297" s="36"/>
      <c r="U297" s="36"/>
      <c r="V297" s="12"/>
      <c r="W297" s="12"/>
      <c r="X297" s="12"/>
      <c r="Y297" s="12"/>
      <c r="Z297" s="12"/>
    </row>
    <row r="298" customFormat="false" ht="15.75" hidden="false" customHeight="false" outlineLevel="0" collapsed="false">
      <c r="A298" s="12"/>
      <c r="B298" s="34"/>
      <c r="C298" s="12"/>
      <c r="D298" s="12"/>
      <c r="E298" s="12"/>
      <c r="F298" s="12"/>
      <c r="G298" s="18"/>
      <c r="H298" s="35"/>
      <c r="I298" s="35"/>
      <c r="J298" s="12"/>
      <c r="O298" s="12"/>
      <c r="P298" s="18"/>
      <c r="Q298" s="12"/>
      <c r="R298" s="12"/>
      <c r="S298" s="12"/>
      <c r="T298" s="36"/>
      <c r="U298" s="36"/>
      <c r="V298" s="12"/>
      <c r="W298" s="12"/>
      <c r="X298" s="12"/>
      <c r="Y298" s="12"/>
      <c r="Z298" s="12"/>
    </row>
    <row r="299" customFormat="false" ht="15.75" hidden="false" customHeight="false" outlineLevel="0" collapsed="false">
      <c r="A299" s="12"/>
      <c r="B299" s="34"/>
      <c r="C299" s="12"/>
      <c r="D299" s="12"/>
      <c r="E299" s="12"/>
      <c r="F299" s="12"/>
      <c r="G299" s="18"/>
      <c r="H299" s="35"/>
      <c r="I299" s="35"/>
      <c r="J299" s="12"/>
      <c r="O299" s="12"/>
      <c r="P299" s="18"/>
      <c r="Q299" s="12"/>
      <c r="R299" s="12"/>
      <c r="S299" s="12"/>
      <c r="T299" s="36"/>
      <c r="U299" s="36"/>
      <c r="V299" s="12"/>
      <c r="W299" s="12"/>
      <c r="X299" s="12"/>
      <c r="Y299" s="12"/>
      <c r="Z299" s="12"/>
    </row>
    <row r="300" customFormat="false" ht="15.75" hidden="false" customHeight="false" outlineLevel="0" collapsed="false">
      <c r="A300" s="12"/>
      <c r="B300" s="34"/>
      <c r="C300" s="12"/>
      <c r="D300" s="12"/>
      <c r="E300" s="12"/>
      <c r="F300" s="12"/>
      <c r="G300" s="18"/>
      <c r="H300" s="35"/>
      <c r="I300" s="35"/>
      <c r="J300" s="12"/>
      <c r="O300" s="12"/>
      <c r="P300" s="18"/>
      <c r="Q300" s="12"/>
      <c r="R300" s="12"/>
      <c r="S300" s="12"/>
      <c r="T300" s="36"/>
      <c r="U300" s="36"/>
      <c r="V300" s="12"/>
      <c r="W300" s="12"/>
      <c r="X300" s="12"/>
      <c r="Y300" s="12"/>
      <c r="Z300" s="12"/>
    </row>
    <row r="301" customFormat="false" ht="15.75" hidden="false" customHeight="false" outlineLevel="0" collapsed="false">
      <c r="A301" s="12"/>
      <c r="B301" s="34"/>
      <c r="C301" s="12"/>
      <c r="D301" s="12"/>
      <c r="E301" s="12"/>
      <c r="F301" s="12"/>
      <c r="G301" s="18"/>
      <c r="H301" s="35"/>
      <c r="I301" s="35"/>
      <c r="J301" s="12"/>
      <c r="O301" s="12"/>
      <c r="P301" s="18"/>
      <c r="Q301" s="12"/>
      <c r="R301" s="12"/>
      <c r="S301" s="12"/>
      <c r="T301" s="36"/>
      <c r="U301" s="36"/>
      <c r="V301" s="12"/>
      <c r="W301" s="12"/>
      <c r="X301" s="12"/>
      <c r="Y301" s="12"/>
      <c r="Z301" s="12"/>
    </row>
    <row r="302" customFormat="false" ht="15.75" hidden="false" customHeight="false" outlineLevel="0" collapsed="false">
      <c r="A302" s="12"/>
      <c r="B302" s="34"/>
      <c r="C302" s="12"/>
      <c r="D302" s="12"/>
      <c r="E302" s="12"/>
      <c r="F302" s="12"/>
      <c r="G302" s="18"/>
      <c r="H302" s="35"/>
      <c r="I302" s="35"/>
      <c r="J302" s="12"/>
      <c r="O302" s="12"/>
      <c r="P302" s="18"/>
      <c r="Q302" s="12"/>
      <c r="R302" s="12"/>
      <c r="S302" s="12"/>
      <c r="T302" s="36"/>
      <c r="U302" s="36"/>
      <c r="V302" s="12"/>
      <c r="W302" s="12"/>
      <c r="X302" s="12"/>
      <c r="Y302" s="12"/>
      <c r="Z302" s="12"/>
    </row>
    <row r="303" customFormat="false" ht="15.75" hidden="false" customHeight="false" outlineLevel="0" collapsed="false">
      <c r="A303" s="12"/>
      <c r="B303" s="34"/>
      <c r="C303" s="12"/>
      <c r="D303" s="12"/>
      <c r="E303" s="12"/>
      <c r="F303" s="12"/>
      <c r="G303" s="18"/>
      <c r="H303" s="35"/>
      <c r="I303" s="35"/>
      <c r="J303" s="12"/>
      <c r="O303" s="12"/>
      <c r="P303" s="18"/>
      <c r="Q303" s="12"/>
      <c r="R303" s="12"/>
      <c r="S303" s="12"/>
      <c r="T303" s="36"/>
      <c r="U303" s="36"/>
      <c r="V303" s="12"/>
      <c r="W303" s="12"/>
      <c r="X303" s="12"/>
      <c r="Y303" s="12"/>
      <c r="Z303" s="12"/>
    </row>
    <row r="304" customFormat="false" ht="15.75" hidden="false" customHeight="false" outlineLevel="0" collapsed="false">
      <c r="A304" s="12"/>
      <c r="B304" s="34"/>
      <c r="C304" s="12"/>
      <c r="D304" s="12"/>
      <c r="E304" s="12"/>
      <c r="F304" s="12"/>
      <c r="G304" s="18"/>
      <c r="H304" s="35"/>
      <c r="I304" s="35"/>
      <c r="J304" s="12"/>
      <c r="O304" s="12"/>
      <c r="P304" s="18"/>
      <c r="Q304" s="12"/>
      <c r="R304" s="12"/>
      <c r="S304" s="12"/>
      <c r="T304" s="36"/>
      <c r="U304" s="36"/>
      <c r="V304" s="12"/>
      <c r="W304" s="12"/>
      <c r="X304" s="12"/>
      <c r="Y304" s="12"/>
      <c r="Z304" s="12"/>
    </row>
    <row r="305" customFormat="false" ht="15.75" hidden="false" customHeight="false" outlineLevel="0" collapsed="false">
      <c r="A305" s="12"/>
      <c r="B305" s="34"/>
      <c r="C305" s="12"/>
      <c r="D305" s="12"/>
      <c r="E305" s="12"/>
      <c r="F305" s="12"/>
      <c r="G305" s="18"/>
      <c r="H305" s="35"/>
      <c r="I305" s="35"/>
      <c r="J305" s="12"/>
      <c r="O305" s="12"/>
      <c r="P305" s="18"/>
      <c r="Q305" s="12"/>
      <c r="R305" s="12"/>
      <c r="S305" s="12"/>
      <c r="T305" s="36"/>
      <c r="U305" s="36"/>
      <c r="V305" s="12"/>
      <c r="W305" s="12"/>
      <c r="X305" s="12"/>
      <c r="Y305" s="12"/>
      <c r="Z305" s="12"/>
    </row>
    <row r="306" customFormat="false" ht="15.75" hidden="false" customHeight="false" outlineLevel="0" collapsed="false">
      <c r="A306" s="12"/>
      <c r="B306" s="34"/>
      <c r="C306" s="12"/>
      <c r="D306" s="12"/>
      <c r="E306" s="12"/>
      <c r="F306" s="12"/>
      <c r="G306" s="18"/>
      <c r="H306" s="35"/>
      <c r="I306" s="35"/>
      <c r="J306" s="12"/>
      <c r="O306" s="12"/>
      <c r="P306" s="18"/>
      <c r="Q306" s="12"/>
      <c r="R306" s="12"/>
      <c r="S306" s="12"/>
      <c r="T306" s="36"/>
      <c r="U306" s="36"/>
      <c r="V306" s="12"/>
      <c r="W306" s="12"/>
      <c r="X306" s="12"/>
      <c r="Y306" s="12"/>
      <c r="Z306" s="12"/>
    </row>
    <row r="307" customFormat="false" ht="15.75" hidden="false" customHeight="false" outlineLevel="0" collapsed="false">
      <c r="A307" s="12"/>
      <c r="B307" s="34"/>
      <c r="C307" s="12"/>
      <c r="D307" s="12"/>
      <c r="E307" s="12"/>
      <c r="F307" s="12"/>
      <c r="G307" s="18"/>
      <c r="H307" s="35"/>
      <c r="I307" s="35"/>
      <c r="J307" s="12"/>
      <c r="O307" s="12"/>
      <c r="P307" s="18"/>
      <c r="Q307" s="12"/>
      <c r="R307" s="12"/>
      <c r="S307" s="12"/>
      <c r="T307" s="36"/>
      <c r="U307" s="36"/>
      <c r="V307" s="12"/>
      <c r="W307" s="12"/>
      <c r="X307" s="12"/>
      <c r="Y307" s="12"/>
      <c r="Z307" s="12"/>
    </row>
    <row r="308" customFormat="false" ht="15.75" hidden="false" customHeight="false" outlineLevel="0" collapsed="false">
      <c r="A308" s="12"/>
      <c r="B308" s="34"/>
      <c r="C308" s="12"/>
      <c r="D308" s="12"/>
      <c r="E308" s="12"/>
      <c r="F308" s="12"/>
      <c r="G308" s="18"/>
      <c r="H308" s="35"/>
      <c r="I308" s="35"/>
      <c r="J308" s="12"/>
      <c r="O308" s="12"/>
      <c r="P308" s="18"/>
      <c r="Q308" s="12"/>
      <c r="R308" s="12"/>
      <c r="S308" s="12"/>
      <c r="T308" s="36"/>
      <c r="U308" s="36"/>
      <c r="V308" s="12"/>
      <c r="W308" s="12"/>
      <c r="X308" s="12"/>
      <c r="Y308" s="12"/>
      <c r="Z308" s="12"/>
    </row>
    <row r="309" customFormat="false" ht="15.75" hidden="false" customHeight="false" outlineLevel="0" collapsed="false">
      <c r="A309" s="12"/>
      <c r="B309" s="34"/>
      <c r="C309" s="12"/>
      <c r="D309" s="12"/>
      <c r="E309" s="12"/>
      <c r="F309" s="12"/>
      <c r="G309" s="18"/>
      <c r="H309" s="35"/>
      <c r="I309" s="35"/>
      <c r="J309" s="12"/>
      <c r="O309" s="12"/>
      <c r="P309" s="18"/>
      <c r="Q309" s="12"/>
      <c r="R309" s="12"/>
      <c r="S309" s="12"/>
      <c r="T309" s="36"/>
      <c r="U309" s="36"/>
      <c r="V309" s="12"/>
      <c r="W309" s="12"/>
      <c r="X309" s="12"/>
      <c r="Y309" s="12"/>
      <c r="Z309" s="12"/>
    </row>
    <row r="310" customFormat="false" ht="15.75" hidden="false" customHeight="false" outlineLevel="0" collapsed="false">
      <c r="A310" s="12"/>
      <c r="B310" s="34"/>
      <c r="C310" s="12"/>
      <c r="D310" s="12"/>
      <c r="E310" s="12"/>
      <c r="F310" s="12"/>
      <c r="G310" s="18"/>
      <c r="H310" s="35"/>
      <c r="I310" s="35"/>
      <c r="J310" s="12"/>
      <c r="O310" s="12"/>
      <c r="P310" s="18"/>
      <c r="Q310" s="12"/>
      <c r="R310" s="12"/>
      <c r="S310" s="12"/>
      <c r="T310" s="36"/>
      <c r="U310" s="36"/>
      <c r="V310" s="12"/>
      <c r="W310" s="12"/>
      <c r="X310" s="12"/>
      <c r="Y310" s="12"/>
      <c r="Z310" s="12"/>
    </row>
    <row r="311" customFormat="false" ht="15.75" hidden="false" customHeight="false" outlineLevel="0" collapsed="false">
      <c r="A311" s="12"/>
      <c r="B311" s="34"/>
      <c r="C311" s="12"/>
      <c r="D311" s="12"/>
      <c r="E311" s="12"/>
      <c r="F311" s="12"/>
      <c r="G311" s="18"/>
      <c r="H311" s="35"/>
      <c r="I311" s="35"/>
      <c r="J311" s="12"/>
      <c r="O311" s="12"/>
      <c r="P311" s="18"/>
      <c r="Q311" s="12"/>
      <c r="R311" s="12"/>
      <c r="S311" s="12"/>
      <c r="T311" s="36"/>
      <c r="U311" s="36"/>
      <c r="V311" s="12"/>
      <c r="W311" s="12"/>
      <c r="X311" s="12"/>
      <c r="Y311" s="12"/>
      <c r="Z311" s="12"/>
    </row>
    <row r="312" customFormat="false" ht="15.75" hidden="false" customHeight="false" outlineLevel="0" collapsed="false">
      <c r="A312" s="12"/>
      <c r="B312" s="34"/>
      <c r="C312" s="12"/>
      <c r="D312" s="12"/>
      <c r="E312" s="12"/>
      <c r="F312" s="12"/>
      <c r="G312" s="18"/>
      <c r="H312" s="35"/>
      <c r="I312" s="35"/>
      <c r="J312" s="12"/>
      <c r="O312" s="12"/>
      <c r="P312" s="18"/>
      <c r="Q312" s="12"/>
      <c r="R312" s="12"/>
      <c r="S312" s="12"/>
      <c r="T312" s="36"/>
      <c r="U312" s="36"/>
      <c r="V312" s="12"/>
      <c r="W312" s="12"/>
      <c r="X312" s="12"/>
      <c r="Y312" s="12"/>
      <c r="Z312" s="12"/>
    </row>
    <row r="313" customFormat="false" ht="15.75" hidden="false" customHeight="false" outlineLevel="0" collapsed="false">
      <c r="A313" s="12"/>
      <c r="B313" s="34"/>
      <c r="C313" s="12"/>
      <c r="D313" s="12"/>
      <c r="E313" s="12"/>
      <c r="F313" s="12"/>
      <c r="G313" s="18"/>
      <c r="H313" s="35"/>
      <c r="I313" s="35"/>
      <c r="J313" s="12"/>
      <c r="O313" s="12"/>
      <c r="P313" s="18"/>
      <c r="Q313" s="12"/>
      <c r="R313" s="12"/>
      <c r="S313" s="12"/>
      <c r="T313" s="36"/>
      <c r="U313" s="36"/>
      <c r="V313" s="12"/>
      <c r="W313" s="12"/>
      <c r="X313" s="12"/>
      <c r="Y313" s="12"/>
      <c r="Z313" s="12"/>
    </row>
    <row r="314" customFormat="false" ht="15.75" hidden="false" customHeight="false" outlineLevel="0" collapsed="false">
      <c r="A314" s="12"/>
      <c r="B314" s="34"/>
      <c r="C314" s="12"/>
      <c r="D314" s="12"/>
      <c r="E314" s="12"/>
      <c r="F314" s="12"/>
      <c r="G314" s="18"/>
      <c r="H314" s="35"/>
      <c r="I314" s="35"/>
      <c r="J314" s="12"/>
      <c r="O314" s="12"/>
      <c r="P314" s="18"/>
      <c r="Q314" s="12"/>
      <c r="R314" s="12"/>
      <c r="S314" s="12"/>
      <c r="T314" s="36"/>
      <c r="U314" s="36"/>
      <c r="V314" s="12"/>
      <c r="W314" s="12"/>
      <c r="X314" s="12"/>
      <c r="Y314" s="12"/>
      <c r="Z314" s="12"/>
    </row>
    <row r="315" customFormat="false" ht="15.75" hidden="false" customHeight="false" outlineLevel="0" collapsed="false">
      <c r="A315" s="12"/>
      <c r="B315" s="34"/>
      <c r="C315" s="12"/>
      <c r="D315" s="12"/>
      <c r="E315" s="12"/>
      <c r="F315" s="12"/>
      <c r="G315" s="18"/>
      <c r="H315" s="35"/>
      <c r="I315" s="35"/>
      <c r="J315" s="12"/>
      <c r="O315" s="12"/>
      <c r="P315" s="18"/>
      <c r="Q315" s="12"/>
      <c r="R315" s="12"/>
      <c r="S315" s="12"/>
      <c r="T315" s="36"/>
      <c r="U315" s="36"/>
      <c r="V315" s="12"/>
      <c r="W315" s="12"/>
      <c r="X315" s="12"/>
      <c r="Y315" s="12"/>
      <c r="Z315" s="12"/>
    </row>
    <row r="316" customFormat="false" ht="15.75" hidden="false" customHeight="false" outlineLevel="0" collapsed="false">
      <c r="A316" s="12"/>
      <c r="B316" s="34"/>
      <c r="C316" s="12"/>
      <c r="D316" s="12"/>
      <c r="E316" s="12"/>
      <c r="F316" s="12"/>
      <c r="G316" s="18"/>
      <c r="H316" s="35"/>
      <c r="I316" s="35"/>
      <c r="J316" s="12"/>
      <c r="O316" s="12"/>
      <c r="P316" s="18"/>
      <c r="Q316" s="12"/>
      <c r="R316" s="12"/>
      <c r="S316" s="12"/>
      <c r="T316" s="36"/>
      <c r="U316" s="36"/>
      <c r="V316" s="12"/>
      <c r="W316" s="12"/>
      <c r="X316" s="12"/>
      <c r="Y316" s="12"/>
      <c r="Z316" s="12"/>
    </row>
    <row r="317" customFormat="false" ht="15.75" hidden="false" customHeight="false" outlineLevel="0" collapsed="false">
      <c r="A317" s="12"/>
      <c r="B317" s="34"/>
      <c r="C317" s="12"/>
      <c r="D317" s="12"/>
      <c r="E317" s="12"/>
      <c r="F317" s="12"/>
      <c r="G317" s="18"/>
      <c r="H317" s="35"/>
      <c r="I317" s="35"/>
      <c r="J317" s="12"/>
      <c r="O317" s="12"/>
      <c r="P317" s="18"/>
      <c r="Q317" s="12"/>
      <c r="R317" s="12"/>
      <c r="S317" s="12"/>
      <c r="T317" s="36"/>
      <c r="U317" s="36"/>
      <c r="V317" s="12"/>
      <c r="W317" s="12"/>
      <c r="X317" s="12"/>
      <c r="Y317" s="12"/>
      <c r="Z317" s="12"/>
    </row>
    <row r="318" customFormat="false" ht="15.75" hidden="false" customHeight="false" outlineLevel="0" collapsed="false">
      <c r="A318" s="12"/>
      <c r="B318" s="34"/>
      <c r="C318" s="12"/>
      <c r="D318" s="12"/>
      <c r="E318" s="12"/>
      <c r="F318" s="12"/>
      <c r="G318" s="18"/>
      <c r="H318" s="35"/>
      <c r="I318" s="35"/>
      <c r="J318" s="12"/>
      <c r="O318" s="12"/>
      <c r="P318" s="18"/>
      <c r="Q318" s="12"/>
      <c r="R318" s="12"/>
      <c r="S318" s="12"/>
      <c r="T318" s="36"/>
      <c r="U318" s="36"/>
      <c r="V318" s="12"/>
      <c r="W318" s="12"/>
      <c r="X318" s="12"/>
      <c r="Y318" s="12"/>
      <c r="Z318" s="12"/>
    </row>
    <row r="319" customFormat="false" ht="15.75" hidden="false" customHeight="false" outlineLevel="0" collapsed="false">
      <c r="A319" s="12"/>
      <c r="B319" s="34"/>
      <c r="C319" s="12"/>
      <c r="D319" s="12"/>
      <c r="E319" s="12"/>
      <c r="F319" s="12"/>
      <c r="G319" s="18"/>
      <c r="H319" s="35"/>
      <c r="I319" s="35"/>
      <c r="J319" s="12"/>
      <c r="O319" s="12"/>
      <c r="P319" s="18"/>
      <c r="Q319" s="12"/>
      <c r="R319" s="12"/>
      <c r="S319" s="12"/>
      <c r="T319" s="36"/>
      <c r="U319" s="36"/>
      <c r="V319" s="12"/>
      <c r="W319" s="12"/>
      <c r="X319" s="12"/>
      <c r="Y319" s="12"/>
      <c r="Z319" s="12"/>
    </row>
    <row r="320" customFormat="false" ht="15.75" hidden="false" customHeight="false" outlineLevel="0" collapsed="false">
      <c r="A320" s="12"/>
      <c r="B320" s="34"/>
      <c r="C320" s="12"/>
      <c r="D320" s="12"/>
      <c r="E320" s="12"/>
      <c r="F320" s="12"/>
      <c r="G320" s="18"/>
      <c r="H320" s="35"/>
      <c r="I320" s="35"/>
      <c r="J320" s="12"/>
      <c r="O320" s="12"/>
      <c r="P320" s="18"/>
      <c r="Q320" s="12"/>
      <c r="R320" s="12"/>
      <c r="S320" s="12"/>
      <c r="T320" s="36"/>
      <c r="U320" s="36"/>
      <c r="V320" s="12"/>
      <c r="W320" s="12"/>
      <c r="X320" s="12"/>
      <c r="Y320" s="12"/>
      <c r="Z320" s="12"/>
    </row>
    <row r="321" customFormat="false" ht="15.75" hidden="false" customHeight="false" outlineLevel="0" collapsed="false">
      <c r="A321" s="12"/>
      <c r="B321" s="34"/>
      <c r="C321" s="12"/>
      <c r="D321" s="12"/>
      <c r="E321" s="12"/>
      <c r="F321" s="12"/>
      <c r="G321" s="18"/>
      <c r="H321" s="35"/>
      <c r="I321" s="35"/>
      <c r="J321" s="12"/>
      <c r="O321" s="12"/>
      <c r="P321" s="18"/>
      <c r="Q321" s="12"/>
      <c r="R321" s="12"/>
      <c r="S321" s="12"/>
      <c r="T321" s="36"/>
      <c r="U321" s="36"/>
      <c r="V321" s="12"/>
      <c r="W321" s="12"/>
      <c r="X321" s="12"/>
      <c r="Y321" s="12"/>
      <c r="Z321" s="12"/>
    </row>
    <row r="322" customFormat="false" ht="15.75" hidden="false" customHeight="false" outlineLevel="0" collapsed="false">
      <c r="A322" s="12"/>
      <c r="B322" s="34"/>
      <c r="C322" s="12"/>
      <c r="D322" s="12"/>
      <c r="E322" s="12"/>
      <c r="F322" s="12"/>
      <c r="G322" s="18"/>
      <c r="H322" s="35"/>
      <c r="I322" s="35"/>
      <c r="J322" s="12"/>
      <c r="O322" s="12"/>
      <c r="P322" s="18"/>
      <c r="Q322" s="12"/>
      <c r="R322" s="12"/>
      <c r="S322" s="12"/>
      <c r="T322" s="36"/>
      <c r="U322" s="36"/>
      <c r="V322" s="12"/>
      <c r="W322" s="12"/>
      <c r="X322" s="12"/>
      <c r="Y322" s="12"/>
      <c r="Z322" s="12"/>
    </row>
    <row r="323" customFormat="false" ht="15.75" hidden="false" customHeight="false" outlineLevel="0" collapsed="false">
      <c r="A323" s="12"/>
      <c r="B323" s="34"/>
      <c r="C323" s="12"/>
      <c r="D323" s="12"/>
      <c r="E323" s="12"/>
      <c r="F323" s="12"/>
      <c r="G323" s="18"/>
      <c r="H323" s="35"/>
      <c r="I323" s="35"/>
      <c r="J323" s="12"/>
      <c r="O323" s="12"/>
      <c r="P323" s="18"/>
      <c r="Q323" s="12"/>
      <c r="R323" s="12"/>
      <c r="S323" s="12"/>
      <c r="T323" s="36"/>
      <c r="U323" s="36"/>
      <c r="V323" s="12"/>
      <c r="W323" s="12"/>
      <c r="X323" s="12"/>
      <c r="Y323" s="12"/>
      <c r="Z323" s="12"/>
    </row>
    <row r="324" customFormat="false" ht="15.75" hidden="false" customHeight="false" outlineLevel="0" collapsed="false">
      <c r="A324" s="12"/>
      <c r="B324" s="34"/>
      <c r="C324" s="12"/>
      <c r="D324" s="12"/>
      <c r="E324" s="12"/>
      <c r="F324" s="12"/>
      <c r="G324" s="18"/>
      <c r="H324" s="35"/>
      <c r="I324" s="35"/>
      <c r="J324" s="12"/>
      <c r="O324" s="12"/>
      <c r="P324" s="18"/>
      <c r="Q324" s="12"/>
      <c r="R324" s="12"/>
      <c r="S324" s="12"/>
      <c r="T324" s="36"/>
      <c r="U324" s="36"/>
      <c r="V324" s="12"/>
      <c r="W324" s="12"/>
      <c r="X324" s="12"/>
      <c r="Y324" s="12"/>
      <c r="Z324" s="12"/>
    </row>
    <row r="325" customFormat="false" ht="15.75" hidden="false" customHeight="false" outlineLevel="0" collapsed="false">
      <c r="A325" s="12"/>
      <c r="B325" s="34"/>
      <c r="C325" s="12"/>
      <c r="D325" s="12"/>
      <c r="E325" s="12"/>
      <c r="F325" s="12"/>
      <c r="G325" s="18"/>
      <c r="H325" s="35"/>
      <c r="I325" s="35"/>
      <c r="J325" s="12"/>
      <c r="O325" s="12"/>
      <c r="P325" s="18"/>
      <c r="Q325" s="12"/>
      <c r="R325" s="12"/>
      <c r="S325" s="12"/>
      <c r="T325" s="36"/>
      <c r="U325" s="36"/>
      <c r="V325" s="12"/>
      <c r="W325" s="12"/>
      <c r="X325" s="12"/>
      <c r="Y325" s="12"/>
      <c r="Z325" s="12"/>
    </row>
    <row r="326" customFormat="false" ht="15.75" hidden="false" customHeight="false" outlineLevel="0" collapsed="false">
      <c r="A326" s="12"/>
      <c r="B326" s="34"/>
      <c r="C326" s="12"/>
      <c r="D326" s="12"/>
      <c r="E326" s="12"/>
      <c r="F326" s="12"/>
      <c r="G326" s="18"/>
      <c r="H326" s="35"/>
      <c r="I326" s="35"/>
      <c r="J326" s="12"/>
      <c r="O326" s="12"/>
      <c r="P326" s="18"/>
      <c r="Q326" s="12"/>
      <c r="R326" s="12"/>
      <c r="S326" s="12"/>
      <c r="T326" s="36"/>
      <c r="U326" s="36"/>
      <c r="V326" s="12"/>
      <c r="W326" s="12"/>
      <c r="X326" s="12"/>
      <c r="Y326" s="12"/>
      <c r="Z326" s="12"/>
    </row>
    <row r="327" customFormat="false" ht="15.75" hidden="false" customHeight="false" outlineLevel="0" collapsed="false">
      <c r="A327" s="12"/>
      <c r="B327" s="34"/>
      <c r="C327" s="12"/>
      <c r="D327" s="12"/>
      <c r="E327" s="12"/>
      <c r="F327" s="12"/>
      <c r="G327" s="18"/>
      <c r="H327" s="35"/>
      <c r="I327" s="35"/>
      <c r="J327" s="12"/>
      <c r="O327" s="12"/>
      <c r="P327" s="18"/>
      <c r="Q327" s="12"/>
      <c r="R327" s="12"/>
      <c r="S327" s="12"/>
      <c r="T327" s="36"/>
      <c r="U327" s="36"/>
      <c r="V327" s="12"/>
      <c r="W327" s="12"/>
      <c r="X327" s="12"/>
      <c r="Y327" s="12"/>
      <c r="Z327" s="12"/>
    </row>
    <row r="328" customFormat="false" ht="15.75" hidden="false" customHeight="false" outlineLevel="0" collapsed="false">
      <c r="A328" s="12"/>
      <c r="B328" s="34"/>
      <c r="C328" s="12"/>
      <c r="D328" s="12"/>
      <c r="E328" s="12"/>
      <c r="F328" s="12"/>
      <c r="G328" s="18"/>
      <c r="H328" s="35"/>
      <c r="I328" s="35"/>
      <c r="J328" s="12"/>
      <c r="O328" s="12"/>
      <c r="P328" s="18"/>
      <c r="Q328" s="12"/>
      <c r="R328" s="12"/>
      <c r="S328" s="12"/>
      <c r="T328" s="36"/>
      <c r="U328" s="36"/>
      <c r="V328" s="12"/>
      <c r="W328" s="12"/>
      <c r="X328" s="12"/>
      <c r="Y328" s="12"/>
      <c r="Z328" s="12"/>
    </row>
    <row r="329" customFormat="false" ht="15.75" hidden="false" customHeight="false" outlineLevel="0" collapsed="false">
      <c r="A329" s="12"/>
      <c r="B329" s="34"/>
      <c r="C329" s="12"/>
      <c r="D329" s="12"/>
      <c r="E329" s="12"/>
      <c r="F329" s="12"/>
      <c r="G329" s="18"/>
      <c r="H329" s="35"/>
      <c r="I329" s="35"/>
      <c r="J329" s="12"/>
      <c r="O329" s="12"/>
      <c r="P329" s="18"/>
      <c r="Q329" s="12"/>
      <c r="R329" s="12"/>
      <c r="S329" s="12"/>
      <c r="T329" s="36"/>
      <c r="U329" s="36"/>
      <c r="V329" s="12"/>
      <c r="W329" s="12"/>
      <c r="X329" s="12"/>
      <c r="Y329" s="12"/>
      <c r="Z329" s="12"/>
    </row>
    <row r="330" customFormat="false" ht="15.75" hidden="false" customHeight="false" outlineLevel="0" collapsed="false">
      <c r="A330" s="12"/>
      <c r="B330" s="34"/>
      <c r="C330" s="12"/>
      <c r="D330" s="12"/>
      <c r="E330" s="12"/>
      <c r="F330" s="12"/>
      <c r="G330" s="18"/>
      <c r="H330" s="35"/>
      <c r="I330" s="35"/>
      <c r="J330" s="12"/>
      <c r="O330" s="12"/>
      <c r="P330" s="18"/>
      <c r="Q330" s="12"/>
      <c r="R330" s="12"/>
      <c r="S330" s="12"/>
      <c r="T330" s="36"/>
      <c r="U330" s="36"/>
      <c r="V330" s="12"/>
      <c r="W330" s="12"/>
      <c r="X330" s="12"/>
      <c r="Y330" s="12"/>
      <c r="Z330" s="12"/>
    </row>
    <row r="331" customFormat="false" ht="15.75" hidden="false" customHeight="false" outlineLevel="0" collapsed="false">
      <c r="A331" s="12"/>
      <c r="B331" s="34"/>
      <c r="C331" s="12"/>
      <c r="D331" s="12"/>
      <c r="E331" s="12"/>
      <c r="F331" s="12"/>
      <c r="G331" s="18"/>
      <c r="H331" s="35"/>
      <c r="I331" s="35"/>
      <c r="J331" s="12"/>
      <c r="O331" s="12"/>
      <c r="P331" s="18"/>
      <c r="Q331" s="12"/>
      <c r="R331" s="12"/>
      <c r="S331" s="12"/>
      <c r="T331" s="36"/>
      <c r="U331" s="36"/>
      <c r="V331" s="12"/>
      <c r="W331" s="12"/>
      <c r="X331" s="12"/>
      <c r="Y331" s="12"/>
      <c r="Z331" s="12"/>
    </row>
    <row r="332" customFormat="false" ht="15.75" hidden="false" customHeight="false" outlineLevel="0" collapsed="false">
      <c r="A332" s="12"/>
      <c r="B332" s="34"/>
      <c r="C332" s="12"/>
      <c r="D332" s="12"/>
      <c r="E332" s="12"/>
      <c r="F332" s="12"/>
      <c r="G332" s="18"/>
      <c r="H332" s="35"/>
      <c r="I332" s="35"/>
      <c r="J332" s="12"/>
      <c r="O332" s="12"/>
      <c r="P332" s="18"/>
      <c r="Q332" s="12"/>
      <c r="R332" s="12"/>
      <c r="S332" s="12"/>
      <c r="T332" s="36"/>
      <c r="U332" s="36"/>
      <c r="V332" s="12"/>
      <c r="W332" s="12"/>
      <c r="X332" s="12"/>
      <c r="Y332" s="12"/>
      <c r="Z332" s="12"/>
    </row>
    <row r="333" customFormat="false" ht="15.75" hidden="false" customHeight="false" outlineLevel="0" collapsed="false">
      <c r="A333" s="12"/>
      <c r="B333" s="34"/>
      <c r="C333" s="12"/>
      <c r="D333" s="12"/>
      <c r="E333" s="12"/>
      <c r="F333" s="12"/>
      <c r="G333" s="18"/>
      <c r="H333" s="35"/>
      <c r="I333" s="35"/>
      <c r="J333" s="12"/>
      <c r="O333" s="12"/>
      <c r="P333" s="18"/>
      <c r="Q333" s="12"/>
      <c r="R333" s="12"/>
      <c r="S333" s="12"/>
      <c r="T333" s="36"/>
      <c r="U333" s="36"/>
      <c r="V333" s="12"/>
      <c r="W333" s="12"/>
      <c r="X333" s="12"/>
      <c r="Y333" s="12"/>
      <c r="Z333" s="12"/>
    </row>
    <row r="334" customFormat="false" ht="15.75" hidden="false" customHeight="false" outlineLevel="0" collapsed="false">
      <c r="A334" s="12"/>
      <c r="B334" s="34"/>
      <c r="C334" s="12"/>
      <c r="D334" s="12"/>
      <c r="E334" s="12"/>
      <c r="F334" s="12"/>
      <c r="G334" s="18"/>
      <c r="H334" s="35"/>
      <c r="I334" s="35"/>
      <c r="J334" s="12"/>
      <c r="O334" s="12"/>
      <c r="P334" s="18"/>
      <c r="Q334" s="12"/>
      <c r="R334" s="12"/>
      <c r="S334" s="12"/>
      <c r="T334" s="36"/>
      <c r="U334" s="36"/>
      <c r="V334" s="12"/>
      <c r="W334" s="12"/>
      <c r="X334" s="12"/>
      <c r="Y334" s="12"/>
      <c r="Z334" s="12"/>
    </row>
    <row r="335" customFormat="false" ht="15.75" hidden="false" customHeight="false" outlineLevel="0" collapsed="false">
      <c r="A335" s="12"/>
      <c r="B335" s="34"/>
      <c r="C335" s="12"/>
      <c r="D335" s="12"/>
      <c r="E335" s="12"/>
      <c r="F335" s="12"/>
      <c r="G335" s="18"/>
      <c r="H335" s="35"/>
      <c r="I335" s="35"/>
      <c r="J335" s="12"/>
      <c r="O335" s="12"/>
      <c r="P335" s="18"/>
      <c r="Q335" s="12"/>
      <c r="R335" s="12"/>
      <c r="S335" s="12"/>
      <c r="T335" s="36"/>
      <c r="U335" s="36"/>
      <c r="V335" s="12"/>
      <c r="W335" s="12"/>
      <c r="X335" s="12"/>
      <c r="Y335" s="12"/>
      <c r="Z335" s="12"/>
    </row>
    <row r="336" customFormat="false" ht="15.75" hidden="false" customHeight="false" outlineLevel="0" collapsed="false">
      <c r="A336" s="12"/>
      <c r="B336" s="34"/>
      <c r="C336" s="12"/>
      <c r="D336" s="12"/>
      <c r="E336" s="12"/>
      <c r="F336" s="12"/>
      <c r="G336" s="18"/>
      <c r="H336" s="35"/>
      <c r="I336" s="35"/>
      <c r="J336" s="12"/>
      <c r="O336" s="12"/>
      <c r="P336" s="18"/>
      <c r="Q336" s="12"/>
      <c r="R336" s="12"/>
      <c r="S336" s="12"/>
      <c r="T336" s="36"/>
      <c r="U336" s="36"/>
      <c r="V336" s="12"/>
      <c r="W336" s="12"/>
      <c r="X336" s="12"/>
      <c r="Y336" s="12"/>
      <c r="Z336" s="12"/>
    </row>
    <row r="337" customFormat="false" ht="15.75" hidden="false" customHeight="false" outlineLevel="0" collapsed="false">
      <c r="A337" s="12"/>
      <c r="B337" s="34"/>
      <c r="C337" s="12"/>
      <c r="D337" s="12"/>
      <c r="E337" s="12"/>
      <c r="F337" s="12"/>
      <c r="G337" s="18"/>
      <c r="H337" s="35"/>
      <c r="I337" s="35"/>
      <c r="J337" s="12"/>
      <c r="O337" s="12"/>
      <c r="P337" s="18"/>
      <c r="Q337" s="12"/>
      <c r="R337" s="12"/>
      <c r="S337" s="12"/>
      <c r="T337" s="36"/>
      <c r="U337" s="36"/>
      <c r="V337" s="12"/>
      <c r="W337" s="12"/>
      <c r="X337" s="12"/>
      <c r="Y337" s="12"/>
      <c r="Z337" s="12"/>
    </row>
    <row r="338" customFormat="false" ht="15.75" hidden="false" customHeight="false" outlineLevel="0" collapsed="false">
      <c r="A338" s="12"/>
      <c r="B338" s="34"/>
      <c r="C338" s="12"/>
      <c r="D338" s="12"/>
      <c r="E338" s="12"/>
      <c r="F338" s="12"/>
      <c r="G338" s="18"/>
      <c r="H338" s="35"/>
      <c r="I338" s="35"/>
      <c r="J338" s="12"/>
      <c r="O338" s="12"/>
      <c r="P338" s="18"/>
      <c r="Q338" s="12"/>
      <c r="R338" s="12"/>
      <c r="S338" s="12"/>
      <c r="T338" s="36"/>
      <c r="U338" s="36"/>
      <c r="V338" s="12"/>
      <c r="W338" s="12"/>
      <c r="X338" s="12"/>
      <c r="Y338" s="12"/>
      <c r="Z338" s="12"/>
    </row>
    <row r="339" customFormat="false" ht="15.75" hidden="false" customHeight="false" outlineLevel="0" collapsed="false">
      <c r="A339" s="12"/>
      <c r="B339" s="34"/>
      <c r="C339" s="12"/>
      <c r="D339" s="12"/>
      <c r="E339" s="12"/>
      <c r="F339" s="12"/>
      <c r="G339" s="18"/>
      <c r="H339" s="35"/>
      <c r="I339" s="35"/>
      <c r="J339" s="12"/>
      <c r="O339" s="12"/>
      <c r="P339" s="18"/>
      <c r="Q339" s="12"/>
      <c r="R339" s="12"/>
      <c r="S339" s="12"/>
      <c r="T339" s="36"/>
      <c r="U339" s="36"/>
      <c r="V339" s="12"/>
      <c r="W339" s="12"/>
      <c r="X339" s="12"/>
      <c r="Y339" s="12"/>
      <c r="Z339" s="12"/>
    </row>
    <row r="340" customFormat="false" ht="15.75" hidden="false" customHeight="false" outlineLevel="0" collapsed="false">
      <c r="A340" s="12"/>
      <c r="B340" s="34"/>
      <c r="C340" s="12"/>
      <c r="D340" s="12"/>
      <c r="E340" s="12"/>
      <c r="F340" s="12"/>
      <c r="G340" s="18"/>
      <c r="H340" s="35"/>
      <c r="I340" s="35"/>
      <c r="J340" s="12"/>
      <c r="O340" s="12"/>
      <c r="P340" s="18"/>
      <c r="Q340" s="12"/>
      <c r="R340" s="12"/>
      <c r="S340" s="12"/>
      <c r="T340" s="36"/>
      <c r="U340" s="36"/>
      <c r="V340" s="12"/>
      <c r="W340" s="12"/>
      <c r="X340" s="12"/>
      <c r="Y340" s="12"/>
      <c r="Z340" s="12"/>
    </row>
    <row r="341" customFormat="false" ht="15.75" hidden="false" customHeight="false" outlineLevel="0" collapsed="false">
      <c r="A341" s="12"/>
      <c r="B341" s="34"/>
      <c r="C341" s="12"/>
      <c r="D341" s="12"/>
      <c r="E341" s="12"/>
      <c r="F341" s="12"/>
      <c r="G341" s="18"/>
      <c r="H341" s="35"/>
      <c r="I341" s="35"/>
      <c r="J341" s="12"/>
      <c r="O341" s="12"/>
      <c r="P341" s="18"/>
      <c r="Q341" s="12"/>
      <c r="R341" s="12"/>
      <c r="S341" s="12"/>
      <c r="T341" s="36"/>
      <c r="U341" s="36"/>
      <c r="V341" s="12"/>
      <c r="W341" s="12"/>
      <c r="X341" s="12"/>
      <c r="Y341" s="12"/>
      <c r="Z341" s="12"/>
    </row>
    <row r="342" customFormat="false" ht="15.75" hidden="false" customHeight="false" outlineLevel="0" collapsed="false">
      <c r="A342" s="12"/>
      <c r="B342" s="34"/>
      <c r="C342" s="12"/>
      <c r="D342" s="12"/>
      <c r="E342" s="12"/>
      <c r="F342" s="12"/>
      <c r="G342" s="18"/>
      <c r="H342" s="35"/>
      <c r="I342" s="35"/>
      <c r="J342" s="12"/>
      <c r="O342" s="12"/>
      <c r="P342" s="18"/>
      <c r="Q342" s="12"/>
      <c r="R342" s="12"/>
      <c r="S342" s="12"/>
      <c r="T342" s="36"/>
      <c r="U342" s="36"/>
      <c r="V342" s="12"/>
      <c r="W342" s="12"/>
      <c r="X342" s="12"/>
      <c r="Y342" s="12"/>
      <c r="Z342" s="12"/>
    </row>
    <row r="343" customFormat="false" ht="15.75" hidden="false" customHeight="false" outlineLevel="0" collapsed="false">
      <c r="A343" s="12"/>
      <c r="B343" s="34"/>
      <c r="C343" s="12"/>
      <c r="D343" s="12"/>
      <c r="E343" s="12"/>
      <c r="F343" s="12"/>
      <c r="G343" s="18"/>
      <c r="H343" s="35"/>
      <c r="I343" s="35"/>
      <c r="J343" s="12"/>
      <c r="O343" s="12"/>
      <c r="P343" s="18"/>
      <c r="Q343" s="12"/>
      <c r="R343" s="12"/>
      <c r="S343" s="12"/>
      <c r="T343" s="36"/>
      <c r="U343" s="36"/>
      <c r="V343" s="12"/>
      <c r="W343" s="12"/>
      <c r="X343" s="12"/>
      <c r="Y343" s="12"/>
      <c r="Z343" s="12"/>
    </row>
    <row r="344" customFormat="false" ht="15.75" hidden="false" customHeight="false" outlineLevel="0" collapsed="false">
      <c r="A344" s="12"/>
      <c r="B344" s="34"/>
      <c r="C344" s="12"/>
      <c r="D344" s="12"/>
      <c r="E344" s="12"/>
      <c r="F344" s="12"/>
      <c r="G344" s="18"/>
      <c r="H344" s="35"/>
      <c r="I344" s="35"/>
      <c r="J344" s="12"/>
      <c r="O344" s="12"/>
      <c r="P344" s="18"/>
      <c r="Q344" s="12"/>
      <c r="R344" s="12"/>
      <c r="S344" s="12"/>
      <c r="T344" s="36"/>
      <c r="U344" s="36"/>
      <c r="V344" s="12"/>
      <c r="W344" s="12"/>
      <c r="X344" s="12"/>
      <c r="Y344" s="12"/>
      <c r="Z344" s="12"/>
    </row>
    <row r="345" customFormat="false" ht="15.75" hidden="false" customHeight="false" outlineLevel="0" collapsed="false">
      <c r="A345" s="12"/>
      <c r="B345" s="34"/>
      <c r="C345" s="12"/>
      <c r="D345" s="12"/>
      <c r="E345" s="12"/>
      <c r="F345" s="12"/>
      <c r="G345" s="18"/>
      <c r="H345" s="35"/>
      <c r="I345" s="35"/>
      <c r="J345" s="12"/>
      <c r="O345" s="12"/>
      <c r="P345" s="18"/>
      <c r="Q345" s="12"/>
      <c r="R345" s="12"/>
      <c r="S345" s="12"/>
      <c r="T345" s="36"/>
      <c r="U345" s="36"/>
      <c r="V345" s="12"/>
      <c r="W345" s="12"/>
      <c r="X345" s="12"/>
      <c r="Y345" s="12"/>
      <c r="Z345" s="12"/>
    </row>
    <row r="346" customFormat="false" ht="15.75" hidden="false" customHeight="false" outlineLevel="0" collapsed="false">
      <c r="A346" s="12"/>
      <c r="B346" s="34"/>
      <c r="C346" s="12"/>
      <c r="D346" s="12"/>
      <c r="E346" s="12"/>
      <c r="F346" s="12"/>
      <c r="G346" s="18"/>
      <c r="H346" s="35"/>
      <c r="I346" s="35"/>
      <c r="J346" s="12"/>
      <c r="O346" s="12"/>
      <c r="P346" s="18"/>
      <c r="Q346" s="12"/>
      <c r="R346" s="12"/>
      <c r="S346" s="12"/>
      <c r="T346" s="36"/>
      <c r="U346" s="36"/>
      <c r="V346" s="12"/>
      <c r="W346" s="12"/>
      <c r="X346" s="12"/>
      <c r="Y346" s="12"/>
      <c r="Z346" s="12"/>
    </row>
    <row r="347" customFormat="false" ht="15.75" hidden="false" customHeight="false" outlineLevel="0" collapsed="false">
      <c r="A347" s="12"/>
      <c r="B347" s="34"/>
      <c r="C347" s="12"/>
      <c r="D347" s="12"/>
      <c r="E347" s="12"/>
      <c r="F347" s="12"/>
      <c r="G347" s="18"/>
      <c r="H347" s="35"/>
      <c r="I347" s="35"/>
      <c r="J347" s="12"/>
      <c r="O347" s="12"/>
      <c r="P347" s="18"/>
      <c r="Q347" s="12"/>
      <c r="R347" s="12"/>
      <c r="S347" s="12"/>
      <c r="T347" s="36"/>
      <c r="U347" s="36"/>
      <c r="V347" s="12"/>
      <c r="W347" s="12"/>
      <c r="X347" s="12"/>
      <c r="Y347" s="12"/>
      <c r="Z347" s="12"/>
    </row>
    <row r="348" customFormat="false" ht="15.75" hidden="false" customHeight="false" outlineLevel="0" collapsed="false">
      <c r="A348" s="12"/>
      <c r="B348" s="34"/>
      <c r="C348" s="12"/>
      <c r="D348" s="12"/>
      <c r="E348" s="12"/>
      <c r="F348" s="12"/>
      <c r="G348" s="18"/>
      <c r="H348" s="35"/>
      <c r="I348" s="35"/>
      <c r="J348" s="12"/>
      <c r="O348" s="12"/>
      <c r="P348" s="18"/>
      <c r="Q348" s="12"/>
      <c r="R348" s="12"/>
      <c r="S348" s="12"/>
      <c r="T348" s="36"/>
      <c r="U348" s="36"/>
      <c r="V348" s="12"/>
      <c r="W348" s="12"/>
      <c r="X348" s="12"/>
      <c r="Y348" s="12"/>
      <c r="Z348" s="12"/>
    </row>
    <row r="349" customFormat="false" ht="15.75" hidden="false" customHeight="false" outlineLevel="0" collapsed="false">
      <c r="A349" s="12"/>
      <c r="B349" s="34"/>
      <c r="C349" s="12"/>
      <c r="D349" s="12"/>
      <c r="E349" s="12"/>
      <c r="F349" s="12"/>
      <c r="G349" s="18"/>
      <c r="H349" s="35"/>
      <c r="I349" s="35"/>
      <c r="J349" s="12"/>
      <c r="O349" s="12"/>
      <c r="P349" s="18"/>
      <c r="Q349" s="12"/>
      <c r="R349" s="12"/>
      <c r="S349" s="12"/>
      <c r="T349" s="36"/>
      <c r="U349" s="36"/>
      <c r="V349" s="12"/>
      <c r="W349" s="12"/>
      <c r="X349" s="12"/>
      <c r="Y349" s="12"/>
      <c r="Z349" s="12"/>
    </row>
    <row r="350" customFormat="false" ht="15.75" hidden="false" customHeight="false" outlineLevel="0" collapsed="false">
      <c r="A350" s="12"/>
      <c r="B350" s="34"/>
      <c r="C350" s="12"/>
      <c r="D350" s="12"/>
      <c r="E350" s="12"/>
      <c r="F350" s="12"/>
      <c r="G350" s="18"/>
      <c r="H350" s="35"/>
      <c r="I350" s="35"/>
      <c r="J350" s="12"/>
      <c r="O350" s="12"/>
      <c r="P350" s="18"/>
      <c r="Q350" s="12"/>
      <c r="R350" s="12"/>
      <c r="S350" s="12"/>
      <c r="T350" s="36"/>
      <c r="U350" s="36"/>
      <c r="V350" s="12"/>
      <c r="W350" s="12"/>
      <c r="X350" s="12"/>
      <c r="Y350" s="12"/>
      <c r="Z350" s="12"/>
    </row>
    <row r="351" customFormat="false" ht="15.75" hidden="false" customHeight="false" outlineLevel="0" collapsed="false">
      <c r="A351" s="12"/>
      <c r="B351" s="34"/>
      <c r="C351" s="12"/>
      <c r="D351" s="12"/>
      <c r="E351" s="12"/>
      <c r="F351" s="12"/>
      <c r="G351" s="18"/>
      <c r="H351" s="35"/>
      <c r="I351" s="35"/>
      <c r="J351" s="12"/>
      <c r="O351" s="12"/>
      <c r="P351" s="18"/>
      <c r="Q351" s="12"/>
      <c r="R351" s="12"/>
      <c r="S351" s="12"/>
      <c r="T351" s="36"/>
      <c r="U351" s="36"/>
      <c r="V351" s="12"/>
      <c r="W351" s="12"/>
      <c r="X351" s="12"/>
      <c r="Y351" s="12"/>
      <c r="Z351" s="12"/>
    </row>
    <row r="352" customFormat="false" ht="15.75" hidden="false" customHeight="false" outlineLevel="0" collapsed="false">
      <c r="A352" s="12"/>
      <c r="B352" s="34"/>
      <c r="C352" s="12"/>
      <c r="D352" s="12"/>
      <c r="E352" s="12"/>
      <c r="F352" s="12"/>
      <c r="G352" s="18"/>
      <c r="H352" s="35"/>
      <c r="I352" s="35"/>
      <c r="J352" s="12"/>
      <c r="O352" s="12"/>
      <c r="P352" s="18"/>
      <c r="Q352" s="12"/>
      <c r="R352" s="12"/>
      <c r="S352" s="12"/>
      <c r="T352" s="36"/>
      <c r="U352" s="36"/>
      <c r="V352" s="12"/>
      <c r="W352" s="12"/>
      <c r="X352" s="12"/>
      <c r="Y352" s="12"/>
      <c r="Z352" s="12"/>
    </row>
    <row r="353" customFormat="false" ht="15.75" hidden="false" customHeight="false" outlineLevel="0" collapsed="false">
      <c r="A353" s="12"/>
      <c r="B353" s="34"/>
      <c r="C353" s="12"/>
      <c r="D353" s="12"/>
      <c r="E353" s="12"/>
      <c r="F353" s="12"/>
      <c r="G353" s="18"/>
      <c r="H353" s="35"/>
      <c r="I353" s="35"/>
      <c r="J353" s="12"/>
      <c r="O353" s="12"/>
      <c r="P353" s="18"/>
      <c r="Q353" s="12"/>
      <c r="R353" s="12"/>
      <c r="S353" s="12"/>
      <c r="T353" s="36"/>
      <c r="U353" s="36"/>
      <c r="V353" s="12"/>
      <c r="W353" s="12"/>
      <c r="X353" s="12"/>
      <c r="Y353" s="12"/>
      <c r="Z353" s="12"/>
    </row>
    <row r="354" customFormat="false" ht="15.75" hidden="false" customHeight="false" outlineLevel="0" collapsed="false">
      <c r="A354" s="12"/>
      <c r="B354" s="34"/>
      <c r="C354" s="12"/>
      <c r="D354" s="12"/>
      <c r="E354" s="12"/>
      <c r="F354" s="12"/>
      <c r="G354" s="18"/>
      <c r="H354" s="35"/>
      <c r="I354" s="35"/>
      <c r="J354" s="12"/>
      <c r="O354" s="12"/>
      <c r="P354" s="18"/>
      <c r="Q354" s="12"/>
      <c r="R354" s="12"/>
      <c r="S354" s="12"/>
      <c r="T354" s="36"/>
      <c r="U354" s="36"/>
      <c r="V354" s="12"/>
      <c r="W354" s="12"/>
      <c r="X354" s="12"/>
      <c r="Y354" s="12"/>
      <c r="Z354" s="12"/>
    </row>
    <row r="355" customFormat="false" ht="15.75" hidden="false" customHeight="false" outlineLevel="0" collapsed="false">
      <c r="A355" s="12"/>
      <c r="B355" s="34"/>
      <c r="C355" s="12"/>
      <c r="D355" s="12"/>
      <c r="E355" s="12"/>
      <c r="F355" s="12"/>
      <c r="G355" s="18"/>
      <c r="H355" s="35"/>
      <c r="I355" s="35"/>
      <c r="J355" s="12"/>
      <c r="O355" s="12"/>
      <c r="P355" s="18"/>
      <c r="Q355" s="12"/>
      <c r="R355" s="12"/>
      <c r="S355" s="12"/>
      <c r="T355" s="36"/>
      <c r="U355" s="36"/>
      <c r="V355" s="12"/>
      <c r="W355" s="12"/>
      <c r="X355" s="12"/>
      <c r="Y355" s="12"/>
      <c r="Z355" s="12"/>
    </row>
    <row r="356" customFormat="false" ht="15.75" hidden="false" customHeight="false" outlineLevel="0" collapsed="false">
      <c r="A356" s="12"/>
      <c r="B356" s="34"/>
      <c r="C356" s="12"/>
      <c r="D356" s="12"/>
      <c r="E356" s="12"/>
      <c r="F356" s="12"/>
      <c r="G356" s="18"/>
      <c r="H356" s="35"/>
      <c r="I356" s="35"/>
      <c r="J356" s="12"/>
      <c r="O356" s="12"/>
      <c r="P356" s="18"/>
      <c r="Q356" s="12"/>
      <c r="R356" s="12"/>
      <c r="S356" s="12"/>
      <c r="T356" s="36"/>
      <c r="U356" s="36"/>
      <c r="V356" s="12"/>
      <c r="W356" s="12"/>
      <c r="X356" s="12"/>
      <c r="Y356" s="12"/>
      <c r="Z356" s="12"/>
    </row>
    <row r="357" customFormat="false" ht="15.75" hidden="false" customHeight="false" outlineLevel="0" collapsed="false">
      <c r="A357" s="12"/>
      <c r="B357" s="34"/>
      <c r="C357" s="12"/>
      <c r="D357" s="12"/>
      <c r="E357" s="12"/>
      <c r="F357" s="12"/>
      <c r="G357" s="18"/>
      <c r="H357" s="35"/>
      <c r="I357" s="35"/>
      <c r="J357" s="12"/>
      <c r="O357" s="12"/>
      <c r="P357" s="18"/>
      <c r="Q357" s="12"/>
      <c r="R357" s="12"/>
      <c r="S357" s="12"/>
      <c r="T357" s="36"/>
      <c r="U357" s="36"/>
      <c r="V357" s="12"/>
      <c r="W357" s="12"/>
      <c r="X357" s="12"/>
      <c r="Y357" s="12"/>
      <c r="Z357" s="12"/>
    </row>
    <row r="358" customFormat="false" ht="15.75" hidden="false" customHeight="false" outlineLevel="0" collapsed="false">
      <c r="A358" s="12"/>
      <c r="B358" s="34"/>
      <c r="C358" s="12"/>
      <c r="D358" s="12"/>
      <c r="E358" s="12"/>
      <c r="F358" s="12"/>
      <c r="G358" s="18"/>
      <c r="H358" s="35"/>
      <c r="I358" s="35"/>
      <c r="J358" s="12"/>
      <c r="O358" s="12"/>
      <c r="P358" s="18"/>
      <c r="Q358" s="12"/>
      <c r="R358" s="12"/>
      <c r="S358" s="12"/>
      <c r="T358" s="36"/>
      <c r="U358" s="36"/>
      <c r="V358" s="12"/>
      <c r="W358" s="12"/>
      <c r="X358" s="12"/>
      <c r="Y358" s="12"/>
      <c r="Z358" s="12"/>
    </row>
    <row r="359" customFormat="false" ht="15.75" hidden="false" customHeight="false" outlineLevel="0" collapsed="false">
      <c r="A359" s="12"/>
      <c r="B359" s="34"/>
      <c r="C359" s="12"/>
      <c r="D359" s="12"/>
      <c r="E359" s="12"/>
      <c r="F359" s="12"/>
      <c r="G359" s="18"/>
      <c r="H359" s="35"/>
      <c r="I359" s="35"/>
      <c r="J359" s="12"/>
      <c r="O359" s="12"/>
      <c r="P359" s="18"/>
      <c r="Q359" s="12"/>
      <c r="R359" s="12"/>
      <c r="S359" s="12"/>
      <c r="T359" s="36"/>
      <c r="U359" s="36"/>
      <c r="V359" s="12"/>
      <c r="W359" s="12"/>
      <c r="X359" s="12"/>
      <c r="Y359" s="12"/>
      <c r="Z359" s="12"/>
    </row>
    <row r="360" customFormat="false" ht="15.75" hidden="false" customHeight="false" outlineLevel="0" collapsed="false">
      <c r="A360" s="12"/>
      <c r="B360" s="34"/>
      <c r="C360" s="12"/>
      <c r="D360" s="12"/>
      <c r="E360" s="12"/>
      <c r="F360" s="12"/>
      <c r="G360" s="18"/>
      <c r="H360" s="35"/>
      <c r="I360" s="35"/>
      <c r="J360" s="12"/>
      <c r="O360" s="12"/>
      <c r="P360" s="18"/>
      <c r="Q360" s="12"/>
      <c r="R360" s="12"/>
      <c r="S360" s="12"/>
      <c r="T360" s="36"/>
      <c r="U360" s="36"/>
      <c r="V360" s="12"/>
      <c r="W360" s="12"/>
      <c r="X360" s="12"/>
      <c r="Y360" s="12"/>
      <c r="Z360" s="12"/>
    </row>
    <row r="361" customFormat="false" ht="15.75" hidden="false" customHeight="false" outlineLevel="0" collapsed="false">
      <c r="A361" s="12"/>
      <c r="B361" s="34"/>
      <c r="C361" s="12"/>
      <c r="D361" s="12"/>
      <c r="E361" s="12"/>
      <c r="F361" s="12"/>
      <c r="G361" s="18"/>
      <c r="H361" s="35"/>
      <c r="I361" s="35"/>
      <c r="J361" s="12"/>
      <c r="O361" s="12"/>
      <c r="P361" s="18"/>
      <c r="Q361" s="12"/>
      <c r="R361" s="12"/>
      <c r="S361" s="12"/>
      <c r="T361" s="36"/>
      <c r="U361" s="36"/>
      <c r="V361" s="12"/>
      <c r="W361" s="12"/>
      <c r="X361" s="12"/>
      <c r="Y361" s="12"/>
      <c r="Z361" s="12"/>
    </row>
    <row r="362" customFormat="false" ht="15.75" hidden="false" customHeight="false" outlineLevel="0" collapsed="false">
      <c r="A362" s="12"/>
      <c r="B362" s="34"/>
      <c r="C362" s="12"/>
      <c r="D362" s="12"/>
      <c r="E362" s="12"/>
      <c r="F362" s="12"/>
      <c r="G362" s="18"/>
      <c r="H362" s="35"/>
      <c r="I362" s="35"/>
      <c r="J362" s="12"/>
      <c r="O362" s="12"/>
      <c r="P362" s="18"/>
      <c r="Q362" s="12"/>
      <c r="R362" s="12"/>
      <c r="S362" s="12"/>
      <c r="T362" s="36"/>
      <c r="U362" s="36"/>
      <c r="V362" s="12"/>
      <c r="W362" s="12"/>
      <c r="X362" s="12"/>
      <c r="Y362" s="12"/>
      <c r="Z362" s="12"/>
    </row>
    <row r="363" customFormat="false" ht="15.75" hidden="false" customHeight="false" outlineLevel="0" collapsed="false">
      <c r="A363" s="12"/>
      <c r="B363" s="34"/>
      <c r="C363" s="12"/>
      <c r="D363" s="12"/>
      <c r="E363" s="12"/>
      <c r="F363" s="12"/>
      <c r="G363" s="18"/>
      <c r="H363" s="35"/>
      <c r="I363" s="35"/>
      <c r="J363" s="12"/>
      <c r="O363" s="12"/>
      <c r="P363" s="18"/>
      <c r="Q363" s="12"/>
      <c r="R363" s="12"/>
      <c r="S363" s="12"/>
      <c r="T363" s="36"/>
      <c r="U363" s="36"/>
      <c r="V363" s="12"/>
      <c r="W363" s="12"/>
      <c r="X363" s="12"/>
      <c r="Y363" s="12"/>
      <c r="Z363" s="12"/>
    </row>
    <row r="364" customFormat="false" ht="15.75" hidden="false" customHeight="false" outlineLevel="0" collapsed="false">
      <c r="A364" s="12"/>
      <c r="B364" s="34"/>
      <c r="C364" s="12"/>
      <c r="D364" s="12"/>
      <c r="E364" s="12"/>
      <c r="F364" s="12"/>
      <c r="G364" s="18"/>
      <c r="H364" s="35"/>
      <c r="I364" s="35"/>
      <c r="J364" s="12"/>
      <c r="O364" s="12"/>
      <c r="P364" s="18"/>
      <c r="Q364" s="12"/>
      <c r="R364" s="12"/>
      <c r="S364" s="12"/>
      <c r="T364" s="36"/>
      <c r="U364" s="36"/>
      <c r="V364" s="12"/>
      <c r="W364" s="12"/>
      <c r="X364" s="12"/>
      <c r="Y364" s="12"/>
      <c r="Z364" s="12"/>
    </row>
    <row r="365" customFormat="false" ht="15.75" hidden="false" customHeight="false" outlineLevel="0" collapsed="false">
      <c r="A365" s="12"/>
      <c r="B365" s="34"/>
      <c r="C365" s="12"/>
      <c r="D365" s="12"/>
      <c r="E365" s="12"/>
      <c r="F365" s="12"/>
      <c r="G365" s="18"/>
      <c r="H365" s="35"/>
      <c r="I365" s="35"/>
      <c r="J365" s="12"/>
      <c r="O365" s="12"/>
      <c r="P365" s="18"/>
      <c r="Q365" s="12"/>
      <c r="R365" s="12"/>
      <c r="S365" s="12"/>
      <c r="T365" s="36"/>
      <c r="U365" s="36"/>
      <c r="V365" s="12"/>
      <c r="W365" s="12"/>
      <c r="X365" s="12"/>
      <c r="Y365" s="12"/>
      <c r="Z365" s="12"/>
    </row>
    <row r="366" customFormat="false" ht="15.75" hidden="false" customHeight="false" outlineLevel="0" collapsed="false">
      <c r="A366" s="12"/>
      <c r="B366" s="34"/>
      <c r="C366" s="12"/>
      <c r="D366" s="12"/>
      <c r="E366" s="12"/>
      <c r="F366" s="12"/>
      <c r="G366" s="18"/>
      <c r="H366" s="35"/>
      <c r="I366" s="35"/>
      <c r="J366" s="12"/>
      <c r="O366" s="12"/>
      <c r="P366" s="18"/>
      <c r="Q366" s="12"/>
      <c r="R366" s="12"/>
      <c r="S366" s="12"/>
      <c r="T366" s="36"/>
      <c r="U366" s="36"/>
      <c r="V366" s="12"/>
      <c r="W366" s="12"/>
      <c r="X366" s="12"/>
      <c r="Y366" s="12"/>
      <c r="Z366" s="12"/>
    </row>
    <row r="367" customFormat="false" ht="15.75" hidden="false" customHeight="false" outlineLevel="0" collapsed="false">
      <c r="A367" s="12"/>
      <c r="B367" s="34"/>
      <c r="C367" s="12"/>
      <c r="D367" s="12"/>
      <c r="E367" s="12"/>
      <c r="F367" s="12"/>
      <c r="G367" s="18"/>
      <c r="H367" s="35"/>
      <c r="I367" s="35"/>
      <c r="J367" s="12"/>
      <c r="O367" s="12"/>
      <c r="P367" s="18"/>
      <c r="Q367" s="12"/>
      <c r="R367" s="12"/>
      <c r="S367" s="12"/>
      <c r="T367" s="36"/>
      <c r="U367" s="36"/>
      <c r="V367" s="12"/>
      <c r="W367" s="12"/>
      <c r="X367" s="12"/>
      <c r="Y367" s="12"/>
      <c r="Z367" s="12"/>
    </row>
    <row r="368" customFormat="false" ht="15.75" hidden="false" customHeight="false" outlineLevel="0" collapsed="false">
      <c r="A368" s="12"/>
      <c r="B368" s="34"/>
      <c r="C368" s="12"/>
      <c r="D368" s="12"/>
      <c r="E368" s="12"/>
      <c r="F368" s="12"/>
      <c r="G368" s="18"/>
      <c r="H368" s="35"/>
      <c r="I368" s="35"/>
      <c r="J368" s="12"/>
      <c r="O368" s="12"/>
      <c r="P368" s="18"/>
      <c r="Q368" s="12"/>
      <c r="R368" s="12"/>
      <c r="S368" s="12"/>
      <c r="T368" s="36"/>
      <c r="U368" s="36"/>
      <c r="V368" s="12"/>
      <c r="W368" s="12"/>
      <c r="X368" s="12"/>
      <c r="Y368" s="12"/>
      <c r="Z368" s="12"/>
    </row>
    <row r="369" customFormat="false" ht="15.75" hidden="false" customHeight="false" outlineLevel="0" collapsed="false">
      <c r="A369" s="12"/>
      <c r="B369" s="34"/>
      <c r="C369" s="12"/>
      <c r="D369" s="12"/>
      <c r="E369" s="12"/>
      <c r="F369" s="12"/>
      <c r="G369" s="18"/>
      <c r="H369" s="35"/>
      <c r="I369" s="35"/>
      <c r="J369" s="12"/>
      <c r="O369" s="12"/>
      <c r="P369" s="18"/>
      <c r="Q369" s="12"/>
      <c r="R369" s="12"/>
      <c r="S369" s="12"/>
      <c r="T369" s="36"/>
      <c r="U369" s="36"/>
      <c r="V369" s="12"/>
      <c r="W369" s="12"/>
      <c r="X369" s="12"/>
      <c r="Y369" s="12"/>
      <c r="Z369" s="12"/>
    </row>
    <row r="370" customFormat="false" ht="15.75" hidden="false" customHeight="false" outlineLevel="0" collapsed="false">
      <c r="A370" s="12"/>
      <c r="B370" s="34"/>
      <c r="C370" s="12"/>
      <c r="D370" s="12"/>
      <c r="E370" s="12"/>
      <c r="F370" s="12"/>
      <c r="G370" s="18"/>
      <c r="H370" s="35"/>
      <c r="I370" s="35"/>
      <c r="J370" s="12"/>
      <c r="O370" s="12"/>
      <c r="P370" s="18"/>
      <c r="Q370" s="12"/>
      <c r="R370" s="12"/>
      <c r="S370" s="12"/>
      <c r="T370" s="36"/>
      <c r="U370" s="36"/>
      <c r="V370" s="12"/>
      <c r="W370" s="12"/>
      <c r="X370" s="12"/>
      <c r="Y370" s="12"/>
      <c r="Z370" s="12"/>
    </row>
    <row r="371" customFormat="false" ht="15.75" hidden="false" customHeight="false" outlineLevel="0" collapsed="false">
      <c r="A371" s="12"/>
      <c r="B371" s="34"/>
      <c r="C371" s="12"/>
      <c r="D371" s="12"/>
      <c r="E371" s="12"/>
      <c r="F371" s="12"/>
      <c r="G371" s="18"/>
      <c r="H371" s="35"/>
      <c r="I371" s="35"/>
      <c r="J371" s="12"/>
      <c r="O371" s="12"/>
      <c r="P371" s="18"/>
      <c r="Q371" s="12"/>
      <c r="R371" s="12"/>
      <c r="S371" s="12"/>
      <c r="T371" s="36"/>
      <c r="U371" s="36"/>
      <c r="V371" s="12"/>
      <c r="W371" s="12"/>
      <c r="X371" s="12"/>
      <c r="Y371" s="12"/>
      <c r="Z371" s="12"/>
    </row>
    <row r="372" customFormat="false" ht="15.75" hidden="false" customHeight="false" outlineLevel="0" collapsed="false">
      <c r="A372" s="12"/>
      <c r="B372" s="34"/>
      <c r="C372" s="12"/>
      <c r="D372" s="12"/>
      <c r="E372" s="12"/>
      <c r="F372" s="12"/>
      <c r="G372" s="18"/>
      <c r="H372" s="35"/>
      <c r="I372" s="35"/>
      <c r="J372" s="12"/>
      <c r="O372" s="12"/>
      <c r="P372" s="18"/>
      <c r="Q372" s="12"/>
      <c r="R372" s="12"/>
      <c r="S372" s="12"/>
      <c r="T372" s="36"/>
      <c r="U372" s="36"/>
      <c r="V372" s="12"/>
      <c r="W372" s="12"/>
      <c r="X372" s="12"/>
      <c r="Y372" s="12"/>
      <c r="Z372" s="12"/>
    </row>
    <row r="373" customFormat="false" ht="15.75" hidden="false" customHeight="false" outlineLevel="0" collapsed="false">
      <c r="A373" s="12"/>
      <c r="B373" s="34"/>
      <c r="C373" s="12"/>
      <c r="D373" s="12"/>
      <c r="E373" s="12"/>
      <c r="F373" s="12"/>
      <c r="G373" s="18"/>
      <c r="H373" s="35"/>
      <c r="I373" s="35"/>
      <c r="J373" s="12"/>
      <c r="O373" s="12"/>
      <c r="P373" s="18"/>
      <c r="Q373" s="12"/>
      <c r="R373" s="12"/>
      <c r="S373" s="12"/>
      <c r="T373" s="36"/>
      <c r="U373" s="36"/>
      <c r="V373" s="12"/>
      <c r="W373" s="12"/>
      <c r="X373" s="12"/>
      <c r="Y373" s="12"/>
      <c r="Z373" s="12"/>
    </row>
    <row r="374" customFormat="false" ht="15.75" hidden="false" customHeight="false" outlineLevel="0" collapsed="false">
      <c r="A374" s="12"/>
      <c r="B374" s="34"/>
      <c r="C374" s="12"/>
      <c r="D374" s="12"/>
      <c r="E374" s="12"/>
      <c r="F374" s="12"/>
      <c r="G374" s="18"/>
      <c r="H374" s="35"/>
      <c r="I374" s="35"/>
      <c r="J374" s="12"/>
      <c r="O374" s="12"/>
      <c r="P374" s="18"/>
      <c r="Q374" s="12"/>
      <c r="R374" s="12"/>
      <c r="S374" s="12"/>
      <c r="T374" s="36"/>
      <c r="U374" s="36"/>
      <c r="V374" s="12"/>
      <c r="W374" s="12"/>
      <c r="X374" s="12"/>
      <c r="Y374" s="12"/>
      <c r="Z374" s="12"/>
    </row>
    <row r="375" customFormat="false" ht="15.75" hidden="false" customHeight="false" outlineLevel="0" collapsed="false">
      <c r="A375" s="12"/>
      <c r="B375" s="34"/>
      <c r="C375" s="12"/>
      <c r="D375" s="12"/>
      <c r="E375" s="12"/>
      <c r="F375" s="12"/>
      <c r="G375" s="18"/>
      <c r="H375" s="35"/>
      <c r="I375" s="35"/>
      <c r="J375" s="12"/>
      <c r="O375" s="12"/>
      <c r="P375" s="18"/>
      <c r="Q375" s="12"/>
      <c r="R375" s="12"/>
      <c r="S375" s="12"/>
      <c r="T375" s="36"/>
      <c r="U375" s="36"/>
      <c r="V375" s="12"/>
      <c r="W375" s="12"/>
      <c r="X375" s="12"/>
      <c r="Y375" s="12"/>
      <c r="Z375" s="12"/>
    </row>
    <row r="376" customFormat="false" ht="15.75" hidden="false" customHeight="false" outlineLevel="0" collapsed="false">
      <c r="A376" s="12"/>
      <c r="B376" s="34"/>
      <c r="C376" s="12"/>
      <c r="D376" s="12"/>
      <c r="E376" s="12"/>
      <c r="F376" s="12"/>
      <c r="G376" s="18"/>
      <c r="H376" s="35"/>
      <c r="I376" s="35"/>
      <c r="J376" s="12"/>
      <c r="O376" s="12"/>
      <c r="P376" s="18"/>
      <c r="Q376" s="12"/>
      <c r="R376" s="12"/>
      <c r="S376" s="12"/>
      <c r="T376" s="36"/>
      <c r="U376" s="36"/>
      <c r="V376" s="12"/>
      <c r="W376" s="12"/>
      <c r="X376" s="12"/>
      <c r="Y376" s="12"/>
      <c r="Z376" s="12"/>
    </row>
    <row r="377" customFormat="false" ht="15.75" hidden="false" customHeight="false" outlineLevel="0" collapsed="false">
      <c r="A377" s="12"/>
      <c r="B377" s="34"/>
      <c r="C377" s="12"/>
      <c r="D377" s="12"/>
      <c r="E377" s="12"/>
      <c r="F377" s="12"/>
      <c r="G377" s="18"/>
      <c r="H377" s="35"/>
      <c r="I377" s="35"/>
      <c r="J377" s="12"/>
      <c r="O377" s="12"/>
      <c r="P377" s="18"/>
      <c r="Q377" s="12"/>
      <c r="R377" s="12"/>
      <c r="S377" s="12"/>
      <c r="T377" s="36"/>
      <c r="U377" s="36"/>
      <c r="V377" s="12"/>
      <c r="W377" s="12"/>
      <c r="X377" s="12"/>
      <c r="Y377" s="12"/>
      <c r="Z377" s="12"/>
    </row>
    <row r="378" customFormat="false" ht="15.75" hidden="false" customHeight="false" outlineLevel="0" collapsed="false">
      <c r="A378" s="12"/>
      <c r="B378" s="34"/>
      <c r="C378" s="12"/>
      <c r="D378" s="12"/>
      <c r="E378" s="12"/>
      <c r="F378" s="12"/>
      <c r="G378" s="18"/>
      <c r="H378" s="35"/>
      <c r="I378" s="35"/>
      <c r="J378" s="12"/>
      <c r="O378" s="12"/>
      <c r="P378" s="18"/>
      <c r="Q378" s="12"/>
      <c r="R378" s="12"/>
      <c r="S378" s="12"/>
      <c r="T378" s="36"/>
      <c r="U378" s="36"/>
      <c r="V378" s="12"/>
      <c r="W378" s="12"/>
      <c r="X378" s="12"/>
      <c r="Y378" s="12"/>
      <c r="Z378" s="12"/>
    </row>
    <row r="379" customFormat="false" ht="15.75" hidden="false" customHeight="false" outlineLevel="0" collapsed="false">
      <c r="A379" s="12"/>
      <c r="B379" s="34"/>
      <c r="C379" s="12"/>
      <c r="D379" s="12"/>
      <c r="E379" s="12"/>
      <c r="F379" s="12"/>
      <c r="G379" s="18"/>
      <c r="H379" s="35"/>
      <c r="I379" s="35"/>
      <c r="J379" s="12"/>
      <c r="O379" s="12"/>
      <c r="P379" s="18"/>
      <c r="Q379" s="12"/>
      <c r="R379" s="12"/>
      <c r="S379" s="12"/>
      <c r="T379" s="36"/>
      <c r="U379" s="36"/>
      <c r="V379" s="12"/>
      <c r="W379" s="12"/>
      <c r="X379" s="12"/>
      <c r="Y379" s="12"/>
      <c r="Z379" s="12"/>
    </row>
    <row r="380" customFormat="false" ht="15.75" hidden="false" customHeight="false" outlineLevel="0" collapsed="false">
      <c r="A380" s="12"/>
      <c r="B380" s="34"/>
      <c r="C380" s="12"/>
      <c r="D380" s="12"/>
      <c r="E380" s="12"/>
      <c r="F380" s="12"/>
      <c r="G380" s="18"/>
      <c r="H380" s="35"/>
      <c r="I380" s="35"/>
      <c r="J380" s="12"/>
      <c r="O380" s="12"/>
      <c r="P380" s="18"/>
      <c r="Q380" s="12"/>
      <c r="R380" s="12"/>
      <c r="S380" s="12"/>
      <c r="T380" s="36"/>
      <c r="U380" s="36"/>
      <c r="V380" s="12"/>
      <c r="W380" s="12"/>
      <c r="X380" s="12"/>
      <c r="Y380" s="12"/>
      <c r="Z380" s="12"/>
    </row>
    <row r="381" customFormat="false" ht="15.75" hidden="false" customHeight="false" outlineLevel="0" collapsed="false">
      <c r="A381" s="12"/>
      <c r="B381" s="34"/>
      <c r="C381" s="12"/>
      <c r="D381" s="12"/>
      <c r="E381" s="12"/>
      <c r="F381" s="12"/>
      <c r="G381" s="18"/>
      <c r="H381" s="35"/>
      <c r="I381" s="35"/>
      <c r="J381" s="12"/>
      <c r="O381" s="12"/>
      <c r="P381" s="18"/>
      <c r="Q381" s="12"/>
      <c r="R381" s="12"/>
      <c r="S381" s="12"/>
      <c r="T381" s="36"/>
      <c r="U381" s="36"/>
      <c r="V381" s="12"/>
      <c r="W381" s="12"/>
      <c r="X381" s="12"/>
      <c r="Y381" s="12"/>
      <c r="Z381" s="12"/>
    </row>
    <row r="382" customFormat="false" ht="15.75" hidden="false" customHeight="false" outlineLevel="0" collapsed="false">
      <c r="A382" s="12"/>
      <c r="B382" s="34"/>
      <c r="C382" s="12"/>
      <c r="D382" s="12"/>
      <c r="E382" s="12"/>
      <c r="F382" s="12"/>
      <c r="G382" s="18"/>
      <c r="H382" s="35"/>
      <c r="I382" s="35"/>
      <c r="J382" s="12"/>
      <c r="O382" s="12"/>
      <c r="P382" s="18"/>
      <c r="Q382" s="12"/>
      <c r="R382" s="12"/>
      <c r="S382" s="12"/>
      <c r="T382" s="36"/>
      <c r="U382" s="36"/>
      <c r="V382" s="12"/>
      <c r="W382" s="12"/>
      <c r="X382" s="12"/>
      <c r="Y382" s="12"/>
      <c r="Z382" s="12"/>
    </row>
    <row r="383" customFormat="false" ht="15.75" hidden="false" customHeight="false" outlineLevel="0" collapsed="false">
      <c r="A383" s="12"/>
      <c r="B383" s="34"/>
      <c r="C383" s="12"/>
      <c r="D383" s="12"/>
      <c r="E383" s="12"/>
      <c r="F383" s="12"/>
      <c r="G383" s="18"/>
      <c r="H383" s="35"/>
      <c r="I383" s="35"/>
      <c r="J383" s="12"/>
      <c r="O383" s="12"/>
      <c r="P383" s="18"/>
      <c r="Q383" s="12"/>
      <c r="R383" s="12"/>
      <c r="S383" s="12"/>
      <c r="T383" s="36"/>
      <c r="U383" s="36"/>
      <c r="V383" s="12"/>
      <c r="W383" s="12"/>
      <c r="X383" s="12"/>
      <c r="Y383" s="12"/>
      <c r="Z383" s="12"/>
    </row>
    <row r="384" customFormat="false" ht="15.75" hidden="false" customHeight="false" outlineLevel="0" collapsed="false">
      <c r="A384" s="12"/>
      <c r="B384" s="34"/>
      <c r="C384" s="12"/>
      <c r="D384" s="12"/>
      <c r="E384" s="12"/>
      <c r="F384" s="12"/>
      <c r="G384" s="18"/>
      <c r="H384" s="35"/>
      <c r="I384" s="35"/>
      <c r="J384" s="12"/>
      <c r="O384" s="12"/>
      <c r="P384" s="18"/>
      <c r="Q384" s="12"/>
      <c r="R384" s="12"/>
      <c r="S384" s="12"/>
      <c r="T384" s="36"/>
      <c r="U384" s="36"/>
      <c r="V384" s="12"/>
      <c r="W384" s="12"/>
      <c r="X384" s="12"/>
      <c r="Y384" s="12"/>
      <c r="Z384" s="12"/>
    </row>
    <row r="385" customFormat="false" ht="15.75" hidden="false" customHeight="false" outlineLevel="0" collapsed="false">
      <c r="A385" s="12"/>
      <c r="B385" s="34"/>
      <c r="C385" s="12"/>
      <c r="D385" s="12"/>
      <c r="E385" s="12"/>
      <c r="F385" s="12"/>
      <c r="G385" s="18"/>
      <c r="H385" s="35"/>
      <c r="I385" s="35"/>
      <c r="J385" s="12"/>
      <c r="O385" s="12"/>
      <c r="P385" s="18"/>
      <c r="Q385" s="12"/>
      <c r="R385" s="12"/>
      <c r="S385" s="12"/>
      <c r="T385" s="36"/>
      <c r="U385" s="36"/>
      <c r="V385" s="12"/>
      <c r="W385" s="12"/>
      <c r="X385" s="12"/>
      <c r="Y385" s="12"/>
      <c r="Z385" s="12"/>
    </row>
    <row r="386" customFormat="false" ht="15.75" hidden="false" customHeight="false" outlineLevel="0" collapsed="false">
      <c r="A386" s="12"/>
      <c r="B386" s="34"/>
      <c r="C386" s="12"/>
      <c r="D386" s="12"/>
      <c r="E386" s="12"/>
      <c r="F386" s="12"/>
      <c r="G386" s="18"/>
      <c r="H386" s="35"/>
      <c r="I386" s="35"/>
      <c r="J386" s="12"/>
      <c r="O386" s="12"/>
      <c r="P386" s="18"/>
      <c r="Q386" s="12"/>
      <c r="R386" s="12"/>
      <c r="S386" s="12"/>
      <c r="T386" s="36"/>
      <c r="U386" s="36"/>
      <c r="V386" s="12"/>
      <c r="W386" s="12"/>
      <c r="X386" s="12"/>
      <c r="Y386" s="12"/>
      <c r="Z386" s="12"/>
    </row>
    <row r="387" customFormat="false" ht="15.75" hidden="false" customHeight="false" outlineLevel="0" collapsed="false">
      <c r="A387" s="12"/>
      <c r="B387" s="34"/>
      <c r="C387" s="12"/>
      <c r="D387" s="12"/>
      <c r="E387" s="12"/>
      <c r="F387" s="12"/>
      <c r="G387" s="18"/>
      <c r="H387" s="35"/>
      <c r="I387" s="35"/>
      <c r="J387" s="12"/>
      <c r="O387" s="12"/>
      <c r="P387" s="18"/>
      <c r="Q387" s="12"/>
      <c r="R387" s="12"/>
      <c r="S387" s="12"/>
      <c r="T387" s="36"/>
      <c r="U387" s="36"/>
      <c r="V387" s="12"/>
      <c r="W387" s="12"/>
      <c r="X387" s="12"/>
      <c r="Y387" s="12"/>
      <c r="Z387" s="12"/>
    </row>
    <row r="388" customFormat="false" ht="15.75" hidden="false" customHeight="false" outlineLevel="0" collapsed="false">
      <c r="A388" s="12"/>
      <c r="B388" s="34"/>
      <c r="C388" s="12"/>
      <c r="D388" s="12"/>
      <c r="E388" s="12"/>
      <c r="F388" s="12"/>
      <c r="G388" s="18"/>
      <c r="H388" s="35"/>
      <c r="I388" s="35"/>
      <c r="J388" s="12"/>
      <c r="O388" s="12"/>
      <c r="P388" s="18"/>
      <c r="Q388" s="12"/>
      <c r="R388" s="12"/>
      <c r="S388" s="12"/>
      <c r="T388" s="36"/>
      <c r="U388" s="36"/>
      <c r="V388" s="12"/>
      <c r="W388" s="12"/>
      <c r="X388" s="12"/>
      <c r="Y388" s="12"/>
      <c r="Z388" s="12"/>
    </row>
    <row r="389" customFormat="false" ht="15.75" hidden="false" customHeight="false" outlineLevel="0" collapsed="false">
      <c r="A389" s="12"/>
      <c r="B389" s="34"/>
      <c r="C389" s="12"/>
      <c r="D389" s="12"/>
      <c r="E389" s="12"/>
      <c r="F389" s="12"/>
      <c r="G389" s="18"/>
      <c r="H389" s="35"/>
      <c r="I389" s="35"/>
      <c r="J389" s="12"/>
      <c r="O389" s="12"/>
      <c r="P389" s="18"/>
      <c r="Q389" s="12"/>
      <c r="R389" s="12"/>
      <c r="S389" s="12"/>
      <c r="T389" s="36"/>
      <c r="U389" s="36"/>
      <c r="V389" s="12"/>
      <c r="W389" s="12"/>
      <c r="X389" s="12"/>
      <c r="Y389" s="12"/>
      <c r="Z389" s="12"/>
    </row>
    <row r="390" customFormat="false" ht="15.75" hidden="false" customHeight="false" outlineLevel="0" collapsed="false">
      <c r="A390" s="12"/>
      <c r="B390" s="34"/>
      <c r="C390" s="12"/>
      <c r="D390" s="12"/>
      <c r="E390" s="12"/>
      <c r="F390" s="12"/>
      <c r="G390" s="18"/>
      <c r="H390" s="35"/>
      <c r="I390" s="35"/>
      <c r="J390" s="12"/>
      <c r="O390" s="12"/>
      <c r="P390" s="18"/>
      <c r="Q390" s="12"/>
      <c r="R390" s="12"/>
      <c r="S390" s="12"/>
      <c r="T390" s="36"/>
      <c r="U390" s="36"/>
      <c r="V390" s="12"/>
      <c r="W390" s="12"/>
      <c r="X390" s="12"/>
      <c r="Y390" s="12"/>
      <c r="Z390" s="12"/>
    </row>
    <row r="391" customFormat="false" ht="15.75" hidden="false" customHeight="false" outlineLevel="0" collapsed="false">
      <c r="A391" s="12"/>
      <c r="B391" s="34"/>
      <c r="C391" s="12"/>
      <c r="D391" s="12"/>
      <c r="E391" s="12"/>
      <c r="F391" s="12"/>
      <c r="G391" s="18"/>
      <c r="H391" s="35"/>
      <c r="I391" s="35"/>
      <c r="J391" s="12"/>
      <c r="O391" s="12"/>
      <c r="P391" s="18"/>
      <c r="Q391" s="12"/>
      <c r="R391" s="12"/>
      <c r="S391" s="12"/>
      <c r="T391" s="36"/>
      <c r="U391" s="36"/>
      <c r="V391" s="12"/>
      <c r="W391" s="12"/>
      <c r="X391" s="12"/>
      <c r="Y391" s="12"/>
      <c r="Z391" s="12"/>
    </row>
    <row r="392" customFormat="false" ht="15.75" hidden="false" customHeight="false" outlineLevel="0" collapsed="false">
      <c r="A392" s="12"/>
      <c r="B392" s="34"/>
      <c r="C392" s="12"/>
      <c r="D392" s="12"/>
      <c r="E392" s="12"/>
      <c r="F392" s="12"/>
      <c r="G392" s="18"/>
      <c r="H392" s="35"/>
      <c r="I392" s="35"/>
      <c r="J392" s="12"/>
      <c r="O392" s="12"/>
      <c r="P392" s="18"/>
      <c r="Q392" s="12"/>
      <c r="R392" s="12"/>
      <c r="S392" s="12"/>
      <c r="T392" s="36"/>
      <c r="U392" s="36"/>
      <c r="V392" s="12"/>
      <c r="W392" s="12"/>
      <c r="X392" s="12"/>
      <c r="Y392" s="12"/>
      <c r="Z392" s="12"/>
    </row>
    <row r="393" customFormat="false" ht="15.75" hidden="false" customHeight="false" outlineLevel="0" collapsed="false">
      <c r="A393" s="12"/>
      <c r="B393" s="34"/>
      <c r="C393" s="12"/>
      <c r="D393" s="12"/>
      <c r="E393" s="12"/>
      <c r="F393" s="12"/>
      <c r="G393" s="18"/>
      <c r="H393" s="35"/>
      <c r="I393" s="35"/>
      <c r="J393" s="12"/>
      <c r="O393" s="12"/>
      <c r="P393" s="18"/>
      <c r="Q393" s="12"/>
      <c r="R393" s="12"/>
      <c r="S393" s="12"/>
      <c r="T393" s="36"/>
      <c r="U393" s="36"/>
      <c r="V393" s="12"/>
      <c r="W393" s="12"/>
      <c r="X393" s="12"/>
      <c r="Y393" s="12"/>
      <c r="Z393" s="12"/>
    </row>
    <row r="394" customFormat="false" ht="15.75" hidden="false" customHeight="false" outlineLevel="0" collapsed="false">
      <c r="A394" s="12"/>
      <c r="B394" s="34"/>
      <c r="C394" s="12"/>
      <c r="D394" s="12"/>
      <c r="E394" s="12"/>
      <c r="F394" s="12"/>
      <c r="G394" s="18"/>
      <c r="H394" s="35"/>
      <c r="I394" s="35"/>
      <c r="J394" s="12"/>
      <c r="O394" s="12"/>
      <c r="P394" s="18"/>
      <c r="Q394" s="12"/>
      <c r="R394" s="12"/>
      <c r="S394" s="12"/>
      <c r="T394" s="36"/>
      <c r="U394" s="36"/>
      <c r="V394" s="12"/>
      <c r="W394" s="12"/>
      <c r="X394" s="12"/>
      <c r="Y394" s="12"/>
      <c r="Z394" s="12"/>
    </row>
    <row r="395" customFormat="false" ht="15.75" hidden="false" customHeight="false" outlineLevel="0" collapsed="false">
      <c r="A395" s="12"/>
      <c r="B395" s="34"/>
      <c r="C395" s="12"/>
      <c r="D395" s="12"/>
      <c r="E395" s="12"/>
      <c r="F395" s="12"/>
      <c r="G395" s="18"/>
      <c r="H395" s="35"/>
      <c r="I395" s="35"/>
      <c r="J395" s="12"/>
      <c r="O395" s="12"/>
      <c r="P395" s="18"/>
      <c r="Q395" s="12"/>
      <c r="R395" s="12"/>
      <c r="S395" s="12"/>
      <c r="T395" s="36"/>
      <c r="U395" s="36"/>
      <c r="V395" s="12"/>
      <c r="W395" s="12"/>
      <c r="X395" s="12"/>
      <c r="Y395" s="12"/>
      <c r="Z395" s="12"/>
    </row>
    <row r="396" customFormat="false" ht="15.75" hidden="false" customHeight="false" outlineLevel="0" collapsed="false">
      <c r="A396" s="12"/>
      <c r="B396" s="34"/>
      <c r="C396" s="12"/>
      <c r="D396" s="12"/>
      <c r="E396" s="12"/>
      <c r="F396" s="12"/>
      <c r="G396" s="18"/>
      <c r="H396" s="35"/>
      <c r="I396" s="35"/>
      <c r="J396" s="12"/>
      <c r="O396" s="12"/>
      <c r="P396" s="18"/>
      <c r="Q396" s="12"/>
      <c r="R396" s="12"/>
      <c r="S396" s="12"/>
      <c r="T396" s="36"/>
      <c r="U396" s="36"/>
      <c r="V396" s="12"/>
      <c r="W396" s="12"/>
      <c r="X396" s="12"/>
      <c r="Y396" s="12"/>
      <c r="Z396" s="12"/>
    </row>
    <row r="397" customFormat="false" ht="15.75" hidden="false" customHeight="false" outlineLevel="0" collapsed="false">
      <c r="A397" s="12"/>
      <c r="B397" s="34"/>
      <c r="C397" s="12"/>
      <c r="D397" s="12"/>
      <c r="E397" s="12"/>
      <c r="F397" s="12"/>
      <c r="G397" s="18"/>
      <c r="H397" s="35"/>
      <c r="I397" s="35"/>
      <c r="J397" s="12"/>
      <c r="O397" s="12"/>
      <c r="P397" s="18"/>
      <c r="Q397" s="12"/>
      <c r="R397" s="12"/>
      <c r="S397" s="12"/>
      <c r="T397" s="36"/>
      <c r="U397" s="36"/>
      <c r="V397" s="12"/>
      <c r="W397" s="12"/>
      <c r="X397" s="12"/>
      <c r="Y397" s="12"/>
      <c r="Z397" s="12"/>
    </row>
    <row r="398" customFormat="false" ht="15.75" hidden="false" customHeight="false" outlineLevel="0" collapsed="false">
      <c r="A398" s="12"/>
      <c r="B398" s="34"/>
      <c r="C398" s="12"/>
      <c r="D398" s="12"/>
      <c r="E398" s="12"/>
      <c r="F398" s="12"/>
      <c r="G398" s="18"/>
      <c r="H398" s="35"/>
      <c r="I398" s="35"/>
      <c r="J398" s="12"/>
      <c r="O398" s="12"/>
      <c r="P398" s="18"/>
      <c r="Q398" s="12"/>
      <c r="R398" s="12"/>
      <c r="S398" s="12"/>
      <c r="T398" s="36"/>
      <c r="U398" s="36"/>
      <c r="V398" s="12"/>
      <c r="W398" s="12"/>
      <c r="X398" s="12"/>
      <c r="Y398" s="12"/>
      <c r="Z398" s="12"/>
    </row>
    <row r="399" customFormat="false" ht="15.75" hidden="false" customHeight="false" outlineLevel="0" collapsed="false">
      <c r="A399" s="12"/>
      <c r="B399" s="34"/>
      <c r="C399" s="12"/>
      <c r="D399" s="12"/>
      <c r="E399" s="12"/>
      <c r="F399" s="12"/>
      <c r="G399" s="18"/>
      <c r="H399" s="35"/>
      <c r="I399" s="35"/>
      <c r="J399" s="12"/>
      <c r="O399" s="12"/>
      <c r="P399" s="18"/>
      <c r="Q399" s="12"/>
      <c r="R399" s="12"/>
      <c r="S399" s="12"/>
      <c r="T399" s="36"/>
      <c r="U399" s="36"/>
      <c r="V399" s="12"/>
      <c r="W399" s="12"/>
      <c r="X399" s="12"/>
      <c r="Y399" s="12"/>
      <c r="Z399" s="12"/>
    </row>
    <row r="400" customFormat="false" ht="15.75" hidden="false" customHeight="false" outlineLevel="0" collapsed="false">
      <c r="A400" s="12"/>
      <c r="B400" s="34"/>
      <c r="C400" s="12"/>
      <c r="D400" s="12"/>
      <c r="E400" s="12"/>
      <c r="F400" s="12"/>
      <c r="G400" s="18"/>
      <c r="H400" s="35"/>
      <c r="I400" s="35"/>
      <c r="J400" s="12"/>
      <c r="O400" s="12"/>
      <c r="P400" s="18"/>
      <c r="Q400" s="12"/>
      <c r="R400" s="12"/>
      <c r="S400" s="12"/>
      <c r="T400" s="36"/>
      <c r="U400" s="36"/>
      <c r="V400" s="12"/>
      <c r="W400" s="12"/>
      <c r="X400" s="12"/>
      <c r="Y400" s="12"/>
      <c r="Z400" s="12"/>
    </row>
    <row r="401" customFormat="false" ht="15.75" hidden="false" customHeight="false" outlineLevel="0" collapsed="false">
      <c r="A401" s="12"/>
      <c r="B401" s="34"/>
      <c r="C401" s="12"/>
      <c r="D401" s="12"/>
      <c r="E401" s="12"/>
      <c r="F401" s="12"/>
      <c r="G401" s="18"/>
      <c r="H401" s="35"/>
      <c r="I401" s="35"/>
      <c r="J401" s="12"/>
      <c r="O401" s="12"/>
      <c r="P401" s="18"/>
      <c r="Q401" s="12"/>
      <c r="R401" s="12"/>
      <c r="S401" s="12"/>
      <c r="T401" s="36"/>
      <c r="U401" s="36"/>
      <c r="V401" s="12"/>
      <c r="W401" s="12"/>
      <c r="X401" s="12"/>
      <c r="Y401" s="12"/>
      <c r="Z401" s="12"/>
    </row>
    <row r="402" customFormat="false" ht="15.75" hidden="false" customHeight="false" outlineLevel="0" collapsed="false">
      <c r="A402" s="12"/>
      <c r="B402" s="34"/>
      <c r="C402" s="12"/>
      <c r="D402" s="12"/>
      <c r="E402" s="12"/>
      <c r="F402" s="12"/>
      <c r="G402" s="18"/>
      <c r="H402" s="35"/>
      <c r="I402" s="35"/>
      <c r="J402" s="12"/>
      <c r="O402" s="12"/>
      <c r="P402" s="18"/>
      <c r="Q402" s="12"/>
      <c r="R402" s="12"/>
      <c r="S402" s="12"/>
      <c r="T402" s="36"/>
      <c r="U402" s="36"/>
      <c r="V402" s="12"/>
      <c r="W402" s="12"/>
      <c r="X402" s="12"/>
      <c r="Y402" s="12"/>
      <c r="Z402" s="12"/>
    </row>
    <row r="403" customFormat="false" ht="15.75" hidden="false" customHeight="false" outlineLevel="0" collapsed="false">
      <c r="A403" s="12"/>
      <c r="B403" s="34"/>
      <c r="C403" s="12"/>
      <c r="D403" s="12"/>
      <c r="E403" s="12"/>
      <c r="F403" s="12"/>
      <c r="G403" s="18"/>
      <c r="H403" s="35"/>
      <c r="I403" s="35"/>
      <c r="J403" s="12"/>
      <c r="O403" s="12"/>
      <c r="P403" s="18"/>
      <c r="Q403" s="12"/>
      <c r="R403" s="12"/>
      <c r="S403" s="12"/>
      <c r="T403" s="36"/>
      <c r="U403" s="36"/>
      <c r="V403" s="12"/>
      <c r="W403" s="12"/>
      <c r="X403" s="12"/>
      <c r="Y403" s="12"/>
      <c r="Z403" s="12"/>
    </row>
    <row r="404" customFormat="false" ht="15.75" hidden="false" customHeight="false" outlineLevel="0" collapsed="false">
      <c r="A404" s="12"/>
      <c r="B404" s="34"/>
      <c r="C404" s="12"/>
      <c r="D404" s="12"/>
      <c r="E404" s="12"/>
      <c r="F404" s="12"/>
      <c r="G404" s="18"/>
      <c r="H404" s="35"/>
      <c r="I404" s="35"/>
      <c r="J404" s="12"/>
      <c r="O404" s="12"/>
      <c r="P404" s="18"/>
      <c r="Q404" s="12"/>
      <c r="R404" s="12"/>
      <c r="S404" s="12"/>
      <c r="T404" s="36"/>
      <c r="U404" s="36"/>
      <c r="V404" s="12"/>
      <c r="W404" s="12"/>
      <c r="X404" s="12"/>
      <c r="Y404" s="12"/>
      <c r="Z404" s="12"/>
    </row>
    <row r="405" customFormat="false" ht="15.75" hidden="false" customHeight="false" outlineLevel="0" collapsed="false">
      <c r="A405" s="12"/>
      <c r="B405" s="34"/>
      <c r="C405" s="12"/>
      <c r="D405" s="12"/>
      <c r="E405" s="12"/>
      <c r="F405" s="12"/>
      <c r="G405" s="18"/>
      <c r="H405" s="35"/>
      <c r="I405" s="35"/>
      <c r="J405" s="12"/>
      <c r="O405" s="12"/>
      <c r="P405" s="18"/>
      <c r="Q405" s="12"/>
      <c r="R405" s="12"/>
      <c r="S405" s="12"/>
      <c r="T405" s="36"/>
      <c r="U405" s="36"/>
      <c r="V405" s="12"/>
      <c r="W405" s="12"/>
      <c r="X405" s="12"/>
      <c r="Y405" s="12"/>
      <c r="Z405" s="12"/>
    </row>
    <row r="406" customFormat="false" ht="15.75" hidden="false" customHeight="false" outlineLevel="0" collapsed="false">
      <c r="A406" s="12"/>
      <c r="B406" s="34"/>
      <c r="C406" s="12"/>
      <c r="D406" s="12"/>
      <c r="E406" s="12"/>
      <c r="F406" s="12"/>
      <c r="G406" s="18"/>
      <c r="H406" s="35"/>
      <c r="I406" s="35"/>
      <c r="J406" s="12"/>
      <c r="O406" s="12"/>
      <c r="P406" s="18"/>
      <c r="Q406" s="12"/>
      <c r="R406" s="12"/>
      <c r="S406" s="12"/>
      <c r="T406" s="36"/>
      <c r="U406" s="36"/>
      <c r="V406" s="12"/>
      <c r="W406" s="12"/>
      <c r="X406" s="12"/>
      <c r="Y406" s="12"/>
      <c r="Z406" s="12"/>
    </row>
    <row r="407" customFormat="false" ht="15.75" hidden="false" customHeight="false" outlineLevel="0" collapsed="false">
      <c r="A407" s="12"/>
      <c r="B407" s="34"/>
      <c r="C407" s="12"/>
      <c r="D407" s="12"/>
      <c r="E407" s="12"/>
      <c r="F407" s="12"/>
      <c r="G407" s="18"/>
      <c r="H407" s="35"/>
      <c r="I407" s="35"/>
      <c r="J407" s="12"/>
      <c r="O407" s="12"/>
      <c r="P407" s="18"/>
      <c r="Q407" s="12"/>
      <c r="R407" s="12"/>
      <c r="S407" s="12"/>
      <c r="T407" s="36"/>
      <c r="U407" s="36"/>
      <c r="V407" s="12"/>
      <c r="W407" s="12"/>
      <c r="X407" s="12"/>
      <c r="Y407" s="12"/>
      <c r="Z407" s="12"/>
    </row>
    <row r="408" customFormat="false" ht="15.75" hidden="false" customHeight="false" outlineLevel="0" collapsed="false">
      <c r="A408" s="12"/>
      <c r="B408" s="34"/>
      <c r="C408" s="12"/>
      <c r="D408" s="12"/>
      <c r="E408" s="12"/>
      <c r="F408" s="12"/>
      <c r="G408" s="18"/>
      <c r="H408" s="35"/>
      <c r="I408" s="35"/>
      <c r="J408" s="12"/>
      <c r="O408" s="12"/>
      <c r="P408" s="18"/>
      <c r="Q408" s="12"/>
      <c r="R408" s="12"/>
      <c r="S408" s="12"/>
      <c r="T408" s="36"/>
      <c r="U408" s="36"/>
      <c r="V408" s="12"/>
      <c r="W408" s="12"/>
      <c r="X408" s="12"/>
      <c r="Y408" s="12"/>
      <c r="Z408" s="12"/>
    </row>
    <row r="409" customFormat="false" ht="15.75" hidden="false" customHeight="false" outlineLevel="0" collapsed="false">
      <c r="A409" s="12"/>
      <c r="B409" s="34"/>
      <c r="C409" s="12"/>
      <c r="D409" s="12"/>
      <c r="E409" s="12"/>
      <c r="F409" s="12"/>
      <c r="G409" s="18"/>
      <c r="H409" s="35"/>
      <c r="I409" s="35"/>
      <c r="J409" s="12"/>
      <c r="O409" s="12"/>
      <c r="P409" s="18"/>
      <c r="Q409" s="12"/>
      <c r="R409" s="12"/>
      <c r="S409" s="12"/>
      <c r="T409" s="36"/>
      <c r="U409" s="36"/>
      <c r="V409" s="12"/>
      <c r="W409" s="12"/>
      <c r="X409" s="12"/>
      <c r="Y409" s="12"/>
      <c r="Z409" s="12"/>
    </row>
    <row r="410" customFormat="false" ht="15.75" hidden="false" customHeight="false" outlineLevel="0" collapsed="false">
      <c r="A410" s="12"/>
      <c r="B410" s="34"/>
      <c r="C410" s="12"/>
      <c r="D410" s="12"/>
      <c r="E410" s="12"/>
      <c r="F410" s="12"/>
      <c r="G410" s="18"/>
      <c r="H410" s="35"/>
      <c r="I410" s="35"/>
      <c r="J410" s="12"/>
      <c r="O410" s="12"/>
      <c r="P410" s="18"/>
      <c r="Q410" s="12"/>
      <c r="R410" s="12"/>
      <c r="S410" s="12"/>
      <c r="T410" s="36"/>
      <c r="U410" s="36"/>
      <c r="V410" s="12"/>
      <c r="W410" s="12"/>
      <c r="X410" s="12"/>
      <c r="Y410" s="12"/>
      <c r="Z410" s="12"/>
    </row>
    <row r="411" customFormat="false" ht="15.75" hidden="false" customHeight="false" outlineLevel="0" collapsed="false">
      <c r="A411" s="12"/>
      <c r="B411" s="34"/>
      <c r="C411" s="12"/>
      <c r="D411" s="12"/>
      <c r="E411" s="12"/>
      <c r="F411" s="12"/>
      <c r="G411" s="18"/>
      <c r="H411" s="35"/>
      <c r="I411" s="35"/>
      <c r="J411" s="12"/>
      <c r="O411" s="12"/>
      <c r="P411" s="18"/>
      <c r="Q411" s="12"/>
      <c r="R411" s="12"/>
      <c r="S411" s="12"/>
      <c r="T411" s="36"/>
      <c r="U411" s="36"/>
      <c r="V411" s="12"/>
      <c r="W411" s="12"/>
      <c r="X411" s="12"/>
      <c r="Y411" s="12"/>
      <c r="Z411" s="12"/>
    </row>
    <row r="412" customFormat="false" ht="15.75" hidden="false" customHeight="false" outlineLevel="0" collapsed="false">
      <c r="A412" s="12"/>
      <c r="B412" s="34"/>
      <c r="C412" s="12"/>
      <c r="D412" s="12"/>
      <c r="E412" s="12"/>
      <c r="F412" s="12"/>
      <c r="G412" s="18"/>
      <c r="H412" s="35"/>
      <c r="I412" s="35"/>
      <c r="J412" s="12"/>
      <c r="O412" s="12"/>
      <c r="P412" s="18"/>
      <c r="Q412" s="12"/>
      <c r="R412" s="12"/>
      <c r="S412" s="12"/>
      <c r="T412" s="36"/>
      <c r="U412" s="36"/>
      <c r="V412" s="12"/>
      <c r="W412" s="12"/>
      <c r="X412" s="12"/>
      <c r="Y412" s="12"/>
      <c r="Z412" s="12"/>
    </row>
    <row r="413" customFormat="false" ht="15.75" hidden="false" customHeight="false" outlineLevel="0" collapsed="false">
      <c r="A413" s="12"/>
      <c r="B413" s="34"/>
      <c r="C413" s="12"/>
      <c r="D413" s="12"/>
      <c r="E413" s="12"/>
      <c r="F413" s="12"/>
      <c r="G413" s="18"/>
      <c r="H413" s="35"/>
      <c r="I413" s="35"/>
      <c r="J413" s="12"/>
      <c r="O413" s="12"/>
      <c r="P413" s="18"/>
      <c r="Q413" s="12"/>
      <c r="R413" s="12"/>
      <c r="S413" s="12"/>
      <c r="T413" s="36"/>
      <c r="U413" s="36"/>
      <c r="V413" s="12"/>
      <c r="W413" s="12"/>
      <c r="X413" s="12"/>
      <c r="Y413" s="12"/>
      <c r="Z413" s="12"/>
    </row>
    <row r="414" customFormat="false" ht="15.75" hidden="false" customHeight="false" outlineLevel="0" collapsed="false">
      <c r="A414" s="12"/>
      <c r="B414" s="34"/>
      <c r="C414" s="12"/>
      <c r="D414" s="12"/>
      <c r="E414" s="12"/>
      <c r="F414" s="12"/>
      <c r="G414" s="18"/>
      <c r="H414" s="35"/>
      <c r="I414" s="35"/>
      <c r="J414" s="12"/>
      <c r="O414" s="12"/>
      <c r="P414" s="18"/>
      <c r="Q414" s="12"/>
      <c r="R414" s="12"/>
      <c r="S414" s="12"/>
      <c r="T414" s="36"/>
      <c r="U414" s="36"/>
      <c r="V414" s="12"/>
      <c r="W414" s="12"/>
      <c r="X414" s="12"/>
      <c r="Y414" s="12"/>
      <c r="Z414" s="12"/>
    </row>
    <row r="415" customFormat="false" ht="15.75" hidden="false" customHeight="false" outlineLevel="0" collapsed="false">
      <c r="A415" s="12"/>
      <c r="B415" s="34"/>
      <c r="C415" s="12"/>
      <c r="D415" s="12"/>
      <c r="E415" s="12"/>
      <c r="F415" s="12"/>
      <c r="G415" s="18"/>
      <c r="H415" s="35"/>
      <c r="I415" s="35"/>
      <c r="J415" s="12"/>
      <c r="O415" s="12"/>
      <c r="P415" s="18"/>
      <c r="Q415" s="12"/>
      <c r="R415" s="12"/>
      <c r="S415" s="12"/>
      <c r="T415" s="36"/>
      <c r="U415" s="36"/>
      <c r="V415" s="12"/>
      <c r="W415" s="12"/>
      <c r="X415" s="12"/>
      <c r="Y415" s="12"/>
      <c r="Z415" s="12"/>
    </row>
    <row r="416" customFormat="false" ht="15.75" hidden="false" customHeight="false" outlineLevel="0" collapsed="false">
      <c r="A416" s="12"/>
      <c r="B416" s="34"/>
      <c r="C416" s="12"/>
      <c r="D416" s="12"/>
      <c r="E416" s="12"/>
      <c r="F416" s="12"/>
      <c r="G416" s="18"/>
      <c r="H416" s="35"/>
      <c r="I416" s="35"/>
      <c r="J416" s="12"/>
      <c r="O416" s="12"/>
      <c r="P416" s="18"/>
      <c r="Q416" s="12"/>
      <c r="R416" s="12"/>
      <c r="S416" s="12"/>
      <c r="T416" s="36"/>
      <c r="U416" s="36"/>
      <c r="V416" s="12"/>
      <c r="W416" s="12"/>
      <c r="X416" s="12"/>
      <c r="Y416" s="12"/>
      <c r="Z416" s="12"/>
    </row>
    <row r="417" customFormat="false" ht="15.75" hidden="false" customHeight="false" outlineLevel="0" collapsed="false">
      <c r="A417" s="12"/>
      <c r="B417" s="34"/>
      <c r="C417" s="12"/>
      <c r="D417" s="12"/>
      <c r="E417" s="12"/>
      <c r="F417" s="12"/>
      <c r="G417" s="18"/>
      <c r="H417" s="35"/>
      <c r="I417" s="35"/>
      <c r="J417" s="12"/>
      <c r="O417" s="12"/>
      <c r="P417" s="18"/>
      <c r="Q417" s="12"/>
      <c r="R417" s="12"/>
      <c r="S417" s="12"/>
      <c r="T417" s="36"/>
      <c r="U417" s="36"/>
      <c r="V417" s="12"/>
      <c r="W417" s="12"/>
      <c r="X417" s="12"/>
      <c r="Y417" s="12"/>
      <c r="Z417" s="12"/>
    </row>
    <row r="418" customFormat="false" ht="15.75" hidden="false" customHeight="false" outlineLevel="0" collapsed="false">
      <c r="A418" s="12"/>
      <c r="B418" s="34"/>
      <c r="C418" s="12"/>
      <c r="D418" s="12"/>
      <c r="E418" s="12"/>
      <c r="F418" s="12"/>
      <c r="G418" s="18"/>
      <c r="H418" s="35"/>
      <c r="I418" s="35"/>
      <c r="J418" s="12"/>
      <c r="O418" s="12"/>
      <c r="P418" s="18"/>
      <c r="Q418" s="12"/>
      <c r="R418" s="12"/>
      <c r="S418" s="12"/>
      <c r="T418" s="36"/>
      <c r="U418" s="36"/>
      <c r="V418" s="12"/>
      <c r="W418" s="12"/>
      <c r="X418" s="12"/>
      <c r="Y418" s="12"/>
      <c r="Z418" s="12"/>
    </row>
    <row r="419" customFormat="false" ht="15.75" hidden="false" customHeight="false" outlineLevel="0" collapsed="false">
      <c r="A419" s="12"/>
      <c r="B419" s="34"/>
      <c r="C419" s="12"/>
      <c r="D419" s="12"/>
      <c r="E419" s="12"/>
      <c r="F419" s="12"/>
      <c r="G419" s="18"/>
      <c r="H419" s="35"/>
      <c r="I419" s="35"/>
      <c r="J419" s="12"/>
      <c r="O419" s="12"/>
      <c r="P419" s="18"/>
      <c r="Q419" s="12"/>
      <c r="R419" s="12"/>
      <c r="S419" s="12"/>
      <c r="T419" s="36"/>
      <c r="U419" s="36"/>
      <c r="V419" s="12"/>
      <c r="W419" s="12"/>
      <c r="X419" s="12"/>
      <c r="Y419" s="12"/>
      <c r="Z419" s="12"/>
    </row>
    <row r="420" customFormat="false" ht="15.75" hidden="false" customHeight="false" outlineLevel="0" collapsed="false">
      <c r="A420" s="12"/>
      <c r="B420" s="34"/>
      <c r="C420" s="12"/>
      <c r="D420" s="12"/>
      <c r="E420" s="12"/>
      <c r="F420" s="12"/>
      <c r="G420" s="18"/>
      <c r="H420" s="35"/>
      <c r="I420" s="35"/>
      <c r="J420" s="12"/>
      <c r="O420" s="12"/>
      <c r="P420" s="18"/>
      <c r="Q420" s="12"/>
      <c r="R420" s="12"/>
      <c r="S420" s="12"/>
      <c r="T420" s="36"/>
      <c r="U420" s="36"/>
      <c r="V420" s="12"/>
      <c r="W420" s="12"/>
      <c r="X420" s="12"/>
      <c r="Y420" s="12"/>
      <c r="Z420" s="12"/>
    </row>
    <row r="421" customFormat="false" ht="15.75" hidden="false" customHeight="false" outlineLevel="0" collapsed="false">
      <c r="A421" s="12"/>
      <c r="B421" s="34"/>
      <c r="C421" s="12"/>
      <c r="D421" s="12"/>
      <c r="E421" s="12"/>
      <c r="F421" s="12"/>
      <c r="G421" s="18"/>
      <c r="H421" s="35"/>
      <c r="I421" s="35"/>
      <c r="J421" s="12"/>
      <c r="O421" s="12"/>
      <c r="P421" s="18"/>
      <c r="Q421" s="12"/>
      <c r="R421" s="12"/>
      <c r="S421" s="12"/>
      <c r="T421" s="36"/>
      <c r="U421" s="36"/>
      <c r="V421" s="12"/>
      <c r="W421" s="12"/>
      <c r="X421" s="12"/>
      <c r="Y421" s="12"/>
      <c r="Z421" s="12"/>
    </row>
    <row r="422" customFormat="false" ht="15.75" hidden="false" customHeight="false" outlineLevel="0" collapsed="false">
      <c r="A422" s="12"/>
      <c r="B422" s="34"/>
      <c r="C422" s="12"/>
      <c r="D422" s="12"/>
      <c r="E422" s="12"/>
      <c r="F422" s="12"/>
      <c r="G422" s="18"/>
      <c r="H422" s="35"/>
      <c r="I422" s="35"/>
      <c r="J422" s="12"/>
      <c r="O422" s="12"/>
      <c r="P422" s="18"/>
      <c r="Q422" s="12"/>
      <c r="R422" s="12"/>
      <c r="S422" s="12"/>
      <c r="T422" s="36"/>
      <c r="U422" s="36"/>
      <c r="V422" s="12"/>
      <c r="W422" s="12"/>
      <c r="X422" s="12"/>
      <c r="Y422" s="12"/>
      <c r="Z422" s="12"/>
    </row>
    <row r="423" customFormat="false" ht="15.75" hidden="false" customHeight="false" outlineLevel="0" collapsed="false">
      <c r="A423" s="12"/>
      <c r="B423" s="34"/>
      <c r="C423" s="12"/>
      <c r="D423" s="12"/>
      <c r="E423" s="12"/>
      <c r="F423" s="12"/>
      <c r="G423" s="18"/>
      <c r="H423" s="35"/>
      <c r="I423" s="35"/>
      <c r="J423" s="12"/>
      <c r="O423" s="12"/>
      <c r="P423" s="18"/>
      <c r="Q423" s="12"/>
      <c r="R423" s="12"/>
      <c r="S423" s="12"/>
      <c r="T423" s="36"/>
      <c r="U423" s="36"/>
      <c r="V423" s="12"/>
      <c r="W423" s="12"/>
      <c r="X423" s="12"/>
      <c r="Y423" s="12"/>
      <c r="Z423" s="12"/>
    </row>
    <row r="424" customFormat="false" ht="15.75" hidden="false" customHeight="false" outlineLevel="0" collapsed="false">
      <c r="A424" s="12"/>
      <c r="B424" s="34"/>
      <c r="C424" s="12"/>
      <c r="D424" s="12"/>
      <c r="E424" s="12"/>
      <c r="F424" s="12"/>
      <c r="G424" s="18"/>
      <c r="H424" s="35"/>
      <c r="I424" s="35"/>
      <c r="J424" s="12"/>
      <c r="O424" s="12"/>
      <c r="P424" s="18"/>
      <c r="Q424" s="12"/>
      <c r="R424" s="12"/>
      <c r="S424" s="12"/>
      <c r="T424" s="36"/>
      <c r="U424" s="36"/>
      <c r="V424" s="12"/>
      <c r="W424" s="12"/>
      <c r="X424" s="12"/>
      <c r="Y424" s="12"/>
      <c r="Z424" s="12"/>
    </row>
    <row r="425" customFormat="false" ht="15.75" hidden="false" customHeight="false" outlineLevel="0" collapsed="false">
      <c r="A425" s="12"/>
      <c r="B425" s="34"/>
      <c r="C425" s="12"/>
      <c r="D425" s="12"/>
      <c r="E425" s="12"/>
      <c r="F425" s="12"/>
      <c r="G425" s="18"/>
      <c r="H425" s="35"/>
      <c r="I425" s="35"/>
      <c r="J425" s="12"/>
      <c r="O425" s="12"/>
      <c r="P425" s="18"/>
      <c r="Q425" s="12"/>
      <c r="R425" s="12"/>
      <c r="S425" s="12"/>
      <c r="T425" s="36"/>
      <c r="U425" s="36"/>
      <c r="V425" s="12"/>
      <c r="W425" s="12"/>
      <c r="X425" s="12"/>
      <c r="Y425" s="12"/>
      <c r="Z425" s="12"/>
    </row>
    <row r="426" customFormat="false" ht="15.75" hidden="false" customHeight="false" outlineLevel="0" collapsed="false">
      <c r="A426" s="12"/>
      <c r="B426" s="34"/>
      <c r="C426" s="12"/>
      <c r="D426" s="12"/>
      <c r="E426" s="12"/>
      <c r="F426" s="12"/>
      <c r="G426" s="18"/>
      <c r="H426" s="35"/>
      <c r="I426" s="35"/>
      <c r="J426" s="12"/>
      <c r="O426" s="12"/>
      <c r="P426" s="18"/>
      <c r="Q426" s="12"/>
      <c r="R426" s="12"/>
      <c r="S426" s="12"/>
      <c r="T426" s="36"/>
      <c r="U426" s="36"/>
      <c r="V426" s="12"/>
      <c r="W426" s="12"/>
      <c r="X426" s="12"/>
      <c r="Y426" s="12"/>
      <c r="Z426" s="12"/>
    </row>
    <row r="427" customFormat="false" ht="15.75" hidden="false" customHeight="false" outlineLevel="0" collapsed="false">
      <c r="A427" s="12"/>
      <c r="B427" s="34"/>
      <c r="C427" s="12"/>
      <c r="D427" s="12"/>
      <c r="E427" s="12"/>
      <c r="F427" s="12"/>
      <c r="G427" s="18"/>
      <c r="H427" s="35"/>
      <c r="I427" s="35"/>
      <c r="J427" s="12"/>
      <c r="O427" s="12"/>
      <c r="P427" s="18"/>
      <c r="Q427" s="12"/>
      <c r="R427" s="12"/>
      <c r="S427" s="12"/>
      <c r="T427" s="36"/>
      <c r="U427" s="36"/>
      <c r="V427" s="12"/>
      <c r="W427" s="12"/>
      <c r="X427" s="12"/>
      <c r="Y427" s="12"/>
      <c r="Z427" s="12"/>
    </row>
    <row r="428" customFormat="false" ht="15.75" hidden="false" customHeight="false" outlineLevel="0" collapsed="false">
      <c r="A428" s="12"/>
      <c r="B428" s="34"/>
      <c r="C428" s="12"/>
      <c r="D428" s="12"/>
      <c r="E428" s="12"/>
      <c r="F428" s="12"/>
      <c r="G428" s="18"/>
      <c r="H428" s="35"/>
      <c r="I428" s="35"/>
      <c r="J428" s="12"/>
      <c r="O428" s="12"/>
      <c r="P428" s="18"/>
      <c r="Q428" s="12"/>
      <c r="R428" s="12"/>
      <c r="S428" s="12"/>
      <c r="T428" s="36"/>
      <c r="U428" s="36"/>
      <c r="V428" s="12"/>
      <c r="W428" s="12"/>
      <c r="X428" s="12"/>
      <c r="Y428" s="12"/>
      <c r="Z428" s="12"/>
    </row>
    <row r="429" customFormat="false" ht="15.75" hidden="false" customHeight="false" outlineLevel="0" collapsed="false">
      <c r="A429" s="12"/>
      <c r="B429" s="34"/>
      <c r="C429" s="12"/>
      <c r="D429" s="12"/>
      <c r="E429" s="12"/>
      <c r="F429" s="12"/>
      <c r="G429" s="18"/>
      <c r="H429" s="35"/>
      <c r="I429" s="35"/>
      <c r="J429" s="12"/>
      <c r="O429" s="12"/>
      <c r="P429" s="18"/>
      <c r="Q429" s="12"/>
      <c r="R429" s="12"/>
      <c r="S429" s="12"/>
      <c r="T429" s="36"/>
      <c r="U429" s="36"/>
      <c r="V429" s="12"/>
      <c r="W429" s="12"/>
      <c r="X429" s="12"/>
      <c r="Y429" s="12"/>
      <c r="Z429" s="12"/>
    </row>
    <row r="430" customFormat="false" ht="15.75" hidden="false" customHeight="false" outlineLevel="0" collapsed="false">
      <c r="A430" s="12"/>
      <c r="B430" s="34"/>
      <c r="C430" s="12"/>
      <c r="D430" s="12"/>
      <c r="E430" s="12"/>
      <c r="F430" s="12"/>
      <c r="G430" s="18"/>
      <c r="H430" s="35"/>
      <c r="I430" s="35"/>
      <c r="J430" s="12"/>
      <c r="O430" s="12"/>
      <c r="P430" s="18"/>
      <c r="Q430" s="12"/>
      <c r="R430" s="12"/>
      <c r="S430" s="12"/>
      <c r="T430" s="36"/>
      <c r="U430" s="36"/>
      <c r="V430" s="12"/>
      <c r="W430" s="12"/>
      <c r="X430" s="12"/>
      <c r="Y430" s="12"/>
      <c r="Z430" s="12"/>
    </row>
    <row r="431" customFormat="false" ht="15.75" hidden="false" customHeight="false" outlineLevel="0" collapsed="false">
      <c r="A431" s="12"/>
      <c r="B431" s="34"/>
      <c r="C431" s="12"/>
      <c r="D431" s="12"/>
      <c r="E431" s="12"/>
      <c r="F431" s="12"/>
      <c r="G431" s="18"/>
      <c r="H431" s="35"/>
      <c r="I431" s="35"/>
      <c r="J431" s="12"/>
      <c r="O431" s="12"/>
      <c r="P431" s="18"/>
      <c r="Q431" s="12"/>
      <c r="R431" s="12"/>
      <c r="S431" s="12"/>
      <c r="T431" s="36"/>
      <c r="U431" s="36"/>
      <c r="V431" s="12"/>
      <c r="W431" s="12"/>
      <c r="X431" s="12"/>
      <c r="Y431" s="12"/>
      <c r="Z431" s="12"/>
    </row>
    <row r="432" customFormat="false" ht="15.75" hidden="false" customHeight="false" outlineLevel="0" collapsed="false">
      <c r="A432" s="12"/>
      <c r="B432" s="34"/>
      <c r="C432" s="12"/>
      <c r="D432" s="12"/>
      <c r="E432" s="12"/>
      <c r="F432" s="12"/>
      <c r="G432" s="18"/>
      <c r="H432" s="35"/>
      <c r="I432" s="35"/>
      <c r="J432" s="12"/>
      <c r="O432" s="12"/>
      <c r="P432" s="18"/>
      <c r="Q432" s="12"/>
      <c r="R432" s="12"/>
      <c r="S432" s="12"/>
      <c r="T432" s="36"/>
      <c r="U432" s="36"/>
      <c r="V432" s="12"/>
      <c r="W432" s="12"/>
      <c r="X432" s="12"/>
      <c r="Y432" s="12"/>
      <c r="Z432" s="12"/>
    </row>
    <row r="433" customFormat="false" ht="15.75" hidden="false" customHeight="false" outlineLevel="0" collapsed="false">
      <c r="A433" s="12"/>
      <c r="B433" s="34"/>
      <c r="C433" s="12"/>
      <c r="D433" s="12"/>
      <c r="E433" s="12"/>
      <c r="F433" s="12"/>
      <c r="G433" s="18"/>
      <c r="H433" s="35"/>
      <c r="I433" s="35"/>
      <c r="J433" s="12"/>
      <c r="O433" s="12"/>
      <c r="P433" s="18"/>
      <c r="Q433" s="12"/>
      <c r="R433" s="12"/>
      <c r="S433" s="12"/>
      <c r="T433" s="36"/>
      <c r="U433" s="36"/>
      <c r="V433" s="12"/>
      <c r="W433" s="12"/>
      <c r="X433" s="12"/>
      <c r="Y433" s="12"/>
      <c r="Z433" s="12"/>
    </row>
    <row r="434" customFormat="false" ht="15.75" hidden="false" customHeight="false" outlineLevel="0" collapsed="false">
      <c r="A434" s="12"/>
      <c r="B434" s="34"/>
      <c r="C434" s="12"/>
      <c r="D434" s="12"/>
      <c r="E434" s="12"/>
      <c r="F434" s="12"/>
      <c r="G434" s="18"/>
      <c r="H434" s="35"/>
      <c r="I434" s="35"/>
      <c r="J434" s="12"/>
      <c r="O434" s="12"/>
      <c r="P434" s="18"/>
      <c r="Q434" s="12"/>
      <c r="R434" s="12"/>
      <c r="S434" s="12"/>
      <c r="T434" s="36"/>
      <c r="U434" s="36"/>
      <c r="V434" s="12"/>
      <c r="W434" s="12"/>
      <c r="X434" s="12"/>
      <c r="Y434" s="12"/>
      <c r="Z434" s="12"/>
    </row>
    <row r="435" customFormat="false" ht="15.75" hidden="false" customHeight="false" outlineLevel="0" collapsed="false">
      <c r="A435" s="12"/>
      <c r="B435" s="34"/>
      <c r="C435" s="12"/>
      <c r="D435" s="12"/>
      <c r="E435" s="12"/>
      <c r="F435" s="12"/>
      <c r="G435" s="18"/>
      <c r="H435" s="35"/>
      <c r="I435" s="35"/>
      <c r="J435" s="12"/>
      <c r="O435" s="12"/>
      <c r="P435" s="18"/>
      <c r="Q435" s="12"/>
      <c r="R435" s="12"/>
      <c r="S435" s="12"/>
      <c r="T435" s="36"/>
      <c r="U435" s="36"/>
      <c r="V435" s="12"/>
      <c r="W435" s="12"/>
      <c r="X435" s="12"/>
      <c r="Y435" s="12"/>
      <c r="Z435" s="12"/>
    </row>
    <row r="436" customFormat="false" ht="15.75" hidden="false" customHeight="false" outlineLevel="0" collapsed="false">
      <c r="A436" s="12"/>
      <c r="B436" s="34"/>
      <c r="C436" s="12"/>
      <c r="D436" s="12"/>
      <c r="E436" s="12"/>
      <c r="F436" s="12"/>
      <c r="G436" s="18"/>
      <c r="H436" s="35"/>
      <c r="I436" s="35"/>
      <c r="J436" s="12"/>
      <c r="O436" s="12"/>
      <c r="P436" s="18"/>
      <c r="Q436" s="12"/>
      <c r="R436" s="12"/>
      <c r="S436" s="12"/>
      <c r="T436" s="36"/>
      <c r="U436" s="36"/>
      <c r="V436" s="12"/>
      <c r="W436" s="12"/>
      <c r="X436" s="12"/>
      <c r="Y436" s="12"/>
      <c r="Z436" s="12"/>
    </row>
    <row r="437" customFormat="false" ht="15.75" hidden="false" customHeight="false" outlineLevel="0" collapsed="false">
      <c r="A437" s="12"/>
      <c r="B437" s="34"/>
      <c r="C437" s="12"/>
      <c r="D437" s="12"/>
      <c r="E437" s="12"/>
      <c r="F437" s="12"/>
      <c r="G437" s="18"/>
      <c r="H437" s="35"/>
      <c r="I437" s="35"/>
      <c r="J437" s="12"/>
      <c r="O437" s="12"/>
      <c r="P437" s="18"/>
      <c r="Q437" s="12"/>
      <c r="R437" s="12"/>
      <c r="S437" s="12"/>
      <c r="T437" s="36"/>
      <c r="U437" s="36"/>
      <c r="V437" s="12"/>
      <c r="W437" s="12"/>
      <c r="X437" s="12"/>
      <c r="Y437" s="12"/>
      <c r="Z437" s="12"/>
    </row>
    <row r="438" customFormat="false" ht="15.75" hidden="false" customHeight="false" outlineLevel="0" collapsed="false">
      <c r="A438" s="12"/>
      <c r="B438" s="34"/>
      <c r="C438" s="12"/>
      <c r="D438" s="12"/>
      <c r="E438" s="12"/>
      <c r="F438" s="12"/>
      <c r="G438" s="18"/>
      <c r="H438" s="35"/>
      <c r="I438" s="35"/>
      <c r="J438" s="12"/>
      <c r="O438" s="12"/>
      <c r="P438" s="18"/>
      <c r="Q438" s="12"/>
      <c r="R438" s="12"/>
      <c r="S438" s="12"/>
      <c r="T438" s="36"/>
      <c r="U438" s="36"/>
      <c r="V438" s="12"/>
      <c r="W438" s="12"/>
      <c r="X438" s="12"/>
      <c r="Y438" s="12"/>
      <c r="Z438" s="12"/>
    </row>
    <row r="439" customFormat="false" ht="15.75" hidden="false" customHeight="false" outlineLevel="0" collapsed="false">
      <c r="A439" s="12"/>
      <c r="B439" s="34"/>
      <c r="C439" s="12"/>
      <c r="D439" s="12"/>
      <c r="E439" s="12"/>
      <c r="F439" s="12"/>
      <c r="G439" s="18"/>
      <c r="H439" s="35"/>
      <c r="I439" s="35"/>
      <c r="J439" s="12"/>
      <c r="O439" s="12"/>
      <c r="P439" s="18"/>
      <c r="Q439" s="12"/>
      <c r="R439" s="12"/>
      <c r="S439" s="12"/>
      <c r="T439" s="36"/>
      <c r="U439" s="36"/>
      <c r="V439" s="12"/>
      <c r="W439" s="12"/>
      <c r="X439" s="12"/>
      <c r="Y439" s="12"/>
      <c r="Z439" s="12"/>
    </row>
    <row r="440" customFormat="false" ht="15.75" hidden="false" customHeight="false" outlineLevel="0" collapsed="false">
      <c r="A440" s="12"/>
      <c r="B440" s="34"/>
      <c r="C440" s="12"/>
      <c r="D440" s="12"/>
      <c r="E440" s="12"/>
      <c r="F440" s="12"/>
      <c r="G440" s="18"/>
      <c r="H440" s="35"/>
      <c r="I440" s="35"/>
      <c r="J440" s="12"/>
      <c r="O440" s="12"/>
      <c r="P440" s="18"/>
      <c r="Q440" s="12"/>
      <c r="R440" s="12"/>
      <c r="S440" s="12"/>
      <c r="T440" s="36"/>
      <c r="U440" s="36"/>
      <c r="V440" s="12"/>
      <c r="W440" s="12"/>
      <c r="X440" s="12"/>
      <c r="Y440" s="12"/>
      <c r="Z440" s="12"/>
    </row>
    <row r="441" customFormat="false" ht="15.75" hidden="false" customHeight="false" outlineLevel="0" collapsed="false">
      <c r="A441" s="12"/>
      <c r="B441" s="34"/>
      <c r="C441" s="12"/>
      <c r="D441" s="12"/>
      <c r="E441" s="12"/>
      <c r="F441" s="12"/>
      <c r="G441" s="18"/>
      <c r="H441" s="35"/>
      <c r="I441" s="35"/>
      <c r="J441" s="12"/>
      <c r="O441" s="12"/>
      <c r="P441" s="18"/>
      <c r="Q441" s="12"/>
      <c r="R441" s="12"/>
      <c r="S441" s="12"/>
      <c r="T441" s="36"/>
      <c r="U441" s="36"/>
      <c r="V441" s="12"/>
      <c r="W441" s="12"/>
      <c r="X441" s="12"/>
      <c r="Y441" s="12"/>
      <c r="Z441" s="12"/>
    </row>
    <row r="442" customFormat="false" ht="15.75" hidden="false" customHeight="false" outlineLevel="0" collapsed="false">
      <c r="A442" s="12"/>
      <c r="B442" s="34"/>
      <c r="C442" s="12"/>
      <c r="D442" s="12"/>
      <c r="E442" s="12"/>
      <c r="F442" s="12"/>
      <c r="G442" s="18"/>
      <c r="H442" s="35"/>
      <c r="I442" s="35"/>
      <c r="J442" s="12"/>
      <c r="O442" s="12"/>
      <c r="P442" s="18"/>
      <c r="Q442" s="12"/>
      <c r="R442" s="12"/>
      <c r="S442" s="12"/>
      <c r="T442" s="36"/>
      <c r="U442" s="36"/>
      <c r="V442" s="12"/>
      <c r="W442" s="12"/>
      <c r="X442" s="12"/>
      <c r="Y442" s="12"/>
      <c r="Z442" s="12"/>
    </row>
    <row r="443" customFormat="false" ht="15.75" hidden="false" customHeight="false" outlineLevel="0" collapsed="false">
      <c r="A443" s="12"/>
      <c r="B443" s="34"/>
      <c r="C443" s="12"/>
      <c r="D443" s="12"/>
      <c r="E443" s="12"/>
      <c r="F443" s="12"/>
      <c r="G443" s="18"/>
      <c r="H443" s="35"/>
      <c r="I443" s="35"/>
      <c r="J443" s="12"/>
      <c r="O443" s="12"/>
      <c r="P443" s="18"/>
      <c r="Q443" s="12"/>
      <c r="R443" s="12"/>
      <c r="S443" s="12"/>
      <c r="T443" s="36"/>
      <c r="U443" s="36"/>
      <c r="V443" s="12"/>
      <c r="W443" s="12"/>
      <c r="X443" s="12"/>
      <c r="Y443" s="12"/>
      <c r="Z443" s="12"/>
    </row>
    <row r="444" customFormat="false" ht="15.75" hidden="false" customHeight="false" outlineLevel="0" collapsed="false">
      <c r="A444" s="12"/>
      <c r="B444" s="34"/>
      <c r="C444" s="12"/>
      <c r="D444" s="12"/>
      <c r="E444" s="12"/>
      <c r="F444" s="12"/>
      <c r="G444" s="18"/>
      <c r="H444" s="35"/>
      <c r="I444" s="35"/>
      <c r="J444" s="12"/>
      <c r="O444" s="12"/>
      <c r="P444" s="18"/>
      <c r="Q444" s="12"/>
      <c r="R444" s="12"/>
      <c r="S444" s="12"/>
      <c r="T444" s="36"/>
      <c r="U444" s="36"/>
      <c r="V444" s="12"/>
      <c r="W444" s="12"/>
      <c r="X444" s="12"/>
      <c r="Y444" s="12"/>
      <c r="Z444" s="12"/>
    </row>
    <row r="445" customFormat="false" ht="15.75" hidden="false" customHeight="false" outlineLevel="0" collapsed="false">
      <c r="A445" s="12"/>
      <c r="B445" s="34"/>
      <c r="C445" s="12"/>
      <c r="D445" s="12"/>
      <c r="E445" s="12"/>
      <c r="F445" s="12"/>
      <c r="G445" s="18"/>
      <c r="H445" s="35"/>
      <c r="I445" s="35"/>
      <c r="J445" s="12"/>
      <c r="O445" s="12"/>
      <c r="P445" s="18"/>
      <c r="Q445" s="12"/>
      <c r="R445" s="12"/>
      <c r="S445" s="12"/>
      <c r="T445" s="36"/>
      <c r="U445" s="36"/>
      <c r="V445" s="12"/>
      <c r="W445" s="12"/>
      <c r="X445" s="12"/>
      <c r="Y445" s="12"/>
      <c r="Z445" s="12"/>
    </row>
    <row r="446" customFormat="false" ht="15.75" hidden="false" customHeight="false" outlineLevel="0" collapsed="false">
      <c r="A446" s="12"/>
      <c r="B446" s="34"/>
      <c r="C446" s="12"/>
      <c r="D446" s="12"/>
      <c r="E446" s="12"/>
      <c r="F446" s="12"/>
      <c r="G446" s="18"/>
      <c r="H446" s="35"/>
      <c r="I446" s="35"/>
      <c r="J446" s="12"/>
      <c r="O446" s="12"/>
      <c r="P446" s="18"/>
      <c r="Q446" s="12"/>
      <c r="R446" s="12"/>
      <c r="S446" s="12"/>
      <c r="T446" s="36"/>
      <c r="U446" s="36"/>
      <c r="V446" s="12"/>
      <c r="W446" s="12"/>
      <c r="X446" s="12"/>
      <c r="Y446" s="12"/>
      <c r="Z446" s="12"/>
    </row>
    <row r="447" customFormat="false" ht="15.75" hidden="false" customHeight="false" outlineLevel="0" collapsed="false">
      <c r="A447" s="12"/>
      <c r="B447" s="34"/>
      <c r="C447" s="12"/>
      <c r="D447" s="12"/>
      <c r="E447" s="12"/>
      <c r="F447" s="12"/>
      <c r="G447" s="18"/>
      <c r="H447" s="35"/>
      <c r="I447" s="35"/>
      <c r="J447" s="12"/>
      <c r="O447" s="12"/>
      <c r="P447" s="18"/>
      <c r="Q447" s="12"/>
      <c r="R447" s="12"/>
      <c r="S447" s="12"/>
      <c r="T447" s="36"/>
      <c r="U447" s="36"/>
      <c r="V447" s="12"/>
      <c r="W447" s="12"/>
      <c r="X447" s="12"/>
      <c r="Y447" s="12"/>
      <c r="Z447" s="12"/>
    </row>
    <row r="448" customFormat="false" ht="15.75" hidden="false" customHeight="false" outlineLevel="0" collapsed="false">
      <c r="A448" s="12"/>
      <c r="B448" s="34"/>
      <c r="C448" s="12"/>
      <c r="D448" s="12"/>
      <c r="E448" s="12"/>
      <c r="F448" s="12"/>
      <c r="G448" s="18"/>
      <c r="H448" s="35"/>
      <c r="I448" s="35"/>
      <c r="J448" s="12"/>
      <c r="O448" s="12"/>
      <c r="P448" s="18"/>
      <c r="Q448" s="12"/>
      <c r="R448" s="12"/>
      <c r="S448" s="12"/>
      <c r="T448" s="36"/>
      <c r="U448" s="36"/>
      <c r="V448" s="12"/>
      <c r="W448" s="12"/>
      <c r="X448" s="12"/>
      <c r="Y448" s="12"/>
      <c r="Z448" s="12"/>
    </row>
    <row r="449" customFormat="false" ht="15.75" hidden="false" customHeight="false" outlineLevel="0" collapsed="false">
      <c r="A449" s="12"/>
      <c r="B449" s="34"/>
      <c r="C449" s="12"/>
      <c r="D449" s="12"/>
      <c r="E449" s="12"/>
      <c r="F449" s="12"/>
      <c r="G449" s="18"/>
      <c r="H449" s="35"/>
      <c r="I449" s="35"/>
      <c r="J449" s="12"/>
      <c r="O449" s="12"/>
      <c r="P449" s="18"/>
      <c r="Q449" s="12"/>
      <c r="R449" s="12"/>
      <c r="S449" s="12"/>
      <c r="T449" s="36"/>
      <c r="U449" s="36"/>
      <c r="V449" s="12"/>
      <c r="W449" s="12"/>
      <c r="X449" s="12"/>
      <c r="Y449" s="12"/>
      <c r="Z449" s="12"/>
    </row>
    <row r="450" customFormat="false" ht="15.75" hidden="false" customHeight="false" outlineLevel="0" collapsed="false">
      <c r="A450" s="12"/>
      <c r="B450" s="34"/>
      <c r="C450" s="12"/>
      <c r="D450" s="12"/>
      <c r="E450" s="12"/>
      <c r="F450" s="12"/>
      <c r="G450" s="18"/>
      <c r="H450" s="35"/>
      <c r="I450" s="35"/>
      <c r="J450" s="12"/>
      <c r="O450" s="12"/>
      <c r="P450" s="18"/>
      <c r="Q450" s="12"/>
      <c r="R450" s="12"/>
      <c r="S450" s="12"/>
      <c r="T450" s="36"/>
      <c r="U450" s="36"/>
      <c r="V450" s="12"/>
      <c r="W450" s="12"/>
      <c r="X450" s="12"/>
      <c r="Y450" s="12"/>
      <c r="Z450" s="12"/>
    </row>
    <row r="451" customFormat="false" ht="15.75" hidden="false" customHeight="false" outlineLevel="0" collapsed="false">
      <c r="A451" s="12"/>
      <c r="B451" s="34"/>
      <c r="C451" s="12"/>
      <c r="D451" s="12"/>
      <c r="E451" s="12"/>
      <c r="F451" s="12"/>
      <c r="G451" s="18"/>
      <c r="H451" s="35"/>
      <c r="I451" s="35"/>
      <c r="J451" s="12"/>
      <c r="O451" s="12"/>
      <c r="P451" s="18"/>
      <c r="Q451" s="12"/>
      <c r="R451" s="12"/>
      <c r="S451" s="12"/>
      <c r="T451" s="36"/>
      <c r="U451" s="36"/>
      <c r="V451" s="12"/>
      <c r="W451" s="12"/>
      <c r="X451" s="12"/>
      <c r="Y451" s="12"/>
      <c r="Z451" s="12"/>
    </row>
    <row r="452" customFormat="false" ht="15.75" hidden="false" customHeight="false" outlineLevel="0" collapsed="false">
      <c r="A452" s="12"/>
      <c r="B452" s="34"/>
      <c r="C452" s="12"/>
      <c r="D452" s="12"/>
      <c r="E452" s="12"/>
      <c r="F452" s="12"/>
      <c r="G452" s="18"/>
      <c r="H452" s="35"/>
      <c r="I452" s="35"/>
      <c r="J452" s="12"/>
      <c r="O452" s="12"/>
      <c r="P452" s="18"/>
      <c r="Q452" s="12"/>
      <c r="R452" s="12"/>
      <c r="S452" s="12"/>
      <c r="T452" s="36"/>
      <c r="U452" s="36"/>
      <c r="V452" s="12"/>
      <c r="W452" s="12"/>
      <c r="X452" s="12"/>
      <c r="Y452" s="12"/>
      <c r="Z452" s="12"/>
    </row>
    <row r="453" customFormat="false" ht="15.75" hidden="false" customHeight="false" outlineLevel="0" collapsed="false">
      <c r="A453" s="12"/>
      <c r="B453" s="34"/>
      <c r="C453" s="12"/>
      <c r="D453" s="12"/>
      <c r="E453" s="12"/>
      <c r="F453" s="12"/>
      <c r="G453" s="18"/>
      <c r="H453" s="35"/>
      <c r="I453" s="35"/>
      <c r="J453" s="12"/>
      <c r="O453" s="12"/>
      <c r="P453" s="18"/>
      <c r="Q453" s="12"/>
      <c r="R453" s="12"/>
      <c r="S453" s="12"/>
      <c r="T453" s="36"/>
      <c r="U453" s="36"/>
      <c r="V453" s="12"/>
      <c r="W453" s="12"/>
      <c r="X453" s="12"/>
      <c r="Y453" s="12"/>
      <c r="Z453" s="12"/>
    </row>
    <row r="454" customFormat="false" ht="15.75" hidden="false" customHeight="false" outlineLevel="0" collapsed="false">
      <c r="A454" s="12"/>
      <c r="B454" s="34"/>
      <c r="C454" s="12"/>
      <c r="D454" s="12"/>
      <c r="E454" s="12"/>
      <c r="F454" s="12"/>
      <c r="G454" s="18"/>
      <c r="H454" s="35"/>
      <c r="I454" s="35"/>
      <c r="J454" s="12"/>
      <c r="O454" s="12"/>
      <c r="P454" s="18"/>
      <c r="Q454" s="12"/>
      <c r="R454" s="12"/>
      <c r="S454" s="12"/>
      <c r="T454" s="36"/>
      <c r="U454" s="36"/>
      <c r="V454" s="12"/>
      <c r="W454" s="12"/>
      <c r="X454" s="12"/>
      <c r="Y454" s="12"/>
      <c r="Z454" s="12"/>
    </row>
    <row r="455" customFormat="false" ht="15.75" hidden="false" customHeight="false" outlineLevel="0" collapsed="false">
      <c r="A455" s="12"/>
      <c r="B455" s="34"/>
      <c r="C455" s="12"/>
      <c r="D455" s="12"/>
      <c r="E455" s="12"/>
      <c r="F455" s="12"/>
      <c r="G455" s="18"/>
      <c r="H455" s="35"/>
      <c r="I455" s="35"/>
      <c r="J455" s="12"/>
      <c r="O455" s="12"/>
      <c r="P455" s="18"/>
      <c r="Q455" s="12"/>
      <c r="R455" s="12"/>
      <c r="S455" s="12"/>
      <c r="T455" s="36"/>
      <c r="U455" s="36"/>
      <c r="V455" s="12"/>
      <c r="W455" s="12"/>
      <c r="X455" s="12"/>
      <c r="Y455" s="12"/>
      <c r="Z455" s="12"/>
    </row>
    <row r="456" customFormat="false" ht="15.75" hidden="false" customHeight="false" outlineLevel="0" collapsed="false">
      <c r="A456" s="12"/>
      <c r="B456" s="34"/>
      <c r="C456" s="12"/>
      <c r="D456" s="12"/>
      <c r="E456" s="12"/>
      <c r="F456" s="12"/>
      <c r="G456" s="18"/>
      <c r="H456" s="35"/>
      <c r="I456" s="35"/>
      <c r="J456" s="12"/>
      <c r="O456" s="12"/>
      <c r="P456" s="18"/>
      <c r="Q456" s="12"/>
      <c r="R456" s="12"/>
      <c r="S456" s="12"/>
      <c r="T456" s="36"/>
      <c r="U456" s="36"/>
      <c r="V456" s="12"/>
      <c r="W456" s="12"/>
      <c r="X456" s="12"/>
      <c r="Y456" s="12"/>
      <c r="Z456" s="12"/>
    </row>
    <row r="457" customFormat="false" ht="15.75" hidden="false" customHeight="false" outlineLevel="0" collapsed="false">
      <c r="A457" s="12"/>
      <c r="B457" s="34"/>
      <c r="C457" s="12"/>
      <c r="D457" s="12"/>
      <c r="E457" s="12"/>
      <c r="F457" s="12"/>
      <c r="G457" s="18"/>
      <c r="H457" s="35"/>
      <c r="I457" s="35"/>
      <c r="J457" s="12"/>
      <c r="O457" s="12"/>
      <c r="P457" s="18"/>
      <c r="Q457" s="12"/>
      <c r="R457" s="12"/>
      <c r="S457" s="12"/>
      <c r="T457" s="36"/>
      <c r="U457" s="36"/>
      <c r="V457" s="12"/>
      <c r="W457" s="12"/>
      <c r="X457" s="12"/>
      <c r="Y457" s="12"/>
      <c r="Z457" s="12"/>
    </row>
    <row r="458" customFormat="false" ht="15.75" hidden="false" customHeight="false" outlineLevel="0" collapsed="false">
      <c r="A458" s="12"/>
      <c r="B458" s="34"/>
      <c r="C458" s="12"/>
      <c r="D458" s="12"/>
      <c r="E458" s="12"/>
      <c r="F458" s="12"/>
      <c r="G458" s="18"/>
      <c r="H458" s="35"/>
      <c r="I458" s="35"/>
      <c r="J458" s="12"/>
      <c r="O458" s="12"/>
      <c r="P458" s="18"/>
      <c r="Q458" s="12"/>
      <c r="R458" s="12"/>
      <c r="S458" s="12"/>
      <c r="T458" s="36"/>
      <c r="U458" s="36"/>
      <c r="V458" s="12"/>
      <c r="W458" s="12"/>
      <c r="X458" s="12"/>
      <c r="Y458" s="12"/>
      <c r="Z458" s="12"/>
    </row>
    <row r="459" customFormat="false" ht="15.75" hidden="false" customHeight="false" outlineLevel="0" collapsed="false">
      <c r="A459" s="12"/>
      <c r="B459" s="34"/>
      <c r="C459" s="12"/>
      <c r="D459" s="12"/>
      <c r="E459" s="12"/>
      <c r="F459" s="12"/>
      <c r="G459" s="18"/>
      <c r="H459" s="35"/>
      <c r="I459" s="35"/>
      <c r="J459" s="12"/>
      <c r="O459" s="12"/>
      <c r="P459" s="18"/>
      <c r="Q459" s="12"/>
      <c r="R459" s="12"/>
      <c r="S459" s="12"/>
      <c r="T459" s="36"/>
      <c r="U459" s="36"/>
      <c r="V459" s="12"/>
      <c r="W459" s="12"/>
      <c r="X459" s="12"/>
      <c r="Y459" s="12"/>
      <c r="Z459" s="12"/>
    </row>
    <row r="460" customFormat="false" ht="15.75" hidden="false" customHeight="false" outlineLevel="0" collapsed="false">
      <c r="A460" s="12"/>
      <c r="B460" s="34"/>
      <c r="C460" s="12"/>
      <c r="D460" s="12"/>
      <c r="E460" s="12"/>
      <c r="F460" s="12"/>
      <c r="G460" s="18"/>
      <c r="H460" s="35"/>
      <c r="I460" s="35"/>
      <c r="J460" s="12"/>
      <c r="O460" s="12"/>
      <c r="P460" s="18"/>
      <c r="Q460" s="12"/>
      <c r="R460" s="12"/>
      <c r="S460" s="12"/>
      <c r="T460" s="36"/>
      <c r="U460" s="36"/>
      <c r="V460" s="12"/>
      <c r="W460" s="12"/>
      <c r="X460" s="12"/>
      <c r="Y460" s="12"/>
      <c r="Z460" s="12"/>
    </row>
    <row r="461" customFormat="false" ht="15.75" hidden="false" customHeight="false" outlineLevel="0" collapsed="false">
      <c r="A461" s="12"/>
      <c r="B461" s="34"/>
      <c r="C461" s="12"/>
      <c r="D461" s="12"/>
      <c r="E461" s="12"/>
      <c r="F461" s="12"/>
      <c r="G461" s="18"/>
      <c r="H461" s="35"/>
      <c r="I461" s="35"/>
      <c r="J461" s="12"/>
      <c r="O461" s="12"/>
      <c r="P461" s="18"/>
      <c r="Q461" s="12"/>
      <c r="R461" s="12"/>
      <c r="S461" s="12"/>
      <c r="T461" s="36"/>
      <c r="U461" s="36"/>
      <c r="V461" s="12"/>
      <c r="W461" s="12"/>
      <c r="X461" s="12"/>
      <c r="Y461" s="12"/>
      <c r="Z461" s="12"/>
    </row>
    <row r="462" customFormat="false" ht="15.75" hidden="false" customHeight="false" outlineLevel="0" collapsed="false">
      <c r="A462" s="12"/>
      <c r="B462" s="34"/>
      <c r="C462" s="12"/>
      <c r="D462" s="12"/>
      <c r="E462" s="12"/>
      <c r="F462" s="12"/>
      <c r="G462" s="18"/>
      <c r="H462" s="35"/>
      <c r="I462" s="35"/>
      <c r="J462" s="12"/>
      <c r="O462" s="12"/>
      <c r="P462" s="18"/>
      <c r="Q462" s="12"/>
      <c r="R462" s="12"/>
      <c r="S462" s="12"/>
      <c r="T462" s="36"/>
      <c r="U462" s="36"/>
      <c r="V462" s="12"/>
      <c r="W462" s="12"/>
      <c r="X462" s="12"/>
      <c r="Y462" s="12"/>
      <c r="Z462" s="12"/>
    </row>
    <row r="463" customFormat="false" ht="15.75" hidden="false" customHeight="false" outlineLevel="0" collapsed="false">
      <c r="A463" s="12"/>
      <c r="B463" s="34"/>
      <c r="C463" s="12"/>
      <c r="D463" s="12"/>
      <c r="E463" s="12"/>
      <c r="F463" s="12"/>
      <c r="G463" s="18"/>
      <c r="H463" s="35"/>
      <c r="I463" s="35"/>
      <c r="J463" s="12"/>
      <c r="O463" s="12"/>
      <c r="P463" s="18"/>
      <c r="Q463" s="12"/>
      <c r="R463" s="12"/>
      <c r="S463" s="12"/>
      <c r="T463" s="36"/>
      <c r="U463" s="36"/>
      <c r="V463" s="12"/>
      <c r="W463" s="12"/>
      <c r="X463" s="12"/>
      <c r="Y463" s="12"/>
      <c r="Z463" s="12"/>
    </row>
    <row r="464" customFormat="false" ht="15.75" hidden="false" customHeight="false" outlineLevel="0" collapsed="false">
      <c r="A464" s="12"/>
      <c r="B464" s="34"/>
      <c r="C464" s="12"/>
      <c r="D464" s="12"/>
      <c r="E464" s="12"/>
      <c r="F464" s="12"/>
      <c r="G464" s="18"/>
      <c r="H464" s="35"/>
      <c r="I464" s="35"/>
      <c r="J464" s="12"/>
      <c r="O464" s="12"/>
      <c r="P464" s="18"/>
      <c r="Q464" s="12"/>
      <c r="R464" s="12"/>
      <c r="S464" s="12"/>
      <c r="T464" s="36"/>
      <c r="U464" s="36"/>
      <c r="V464" s="12"/>
      <c r="W464" s="12"/>
      <c r="X464" s="12"/>
      <c r="Y464" s="12"/>
      <c r="Z464" s="12"/>
    </row>
    <row r="465" customFormat="false" ht="15.75" hidden="false" customHeight="false" outlineLevel="0" collapsed="false">
      <c r="A465" s="12"/>
      <c r="B465" s="34"/>
      <c r="C465" s="12"/>
      <c r="D465" s="12"/>
      <c r="E465" s="12"/>
      <c r="F465" s="12"/>
      <c r="G465" s="18"/>
      <c r="H465" s="35"/>
      <c r="I465" s="35"/>
      <c r="J465" s="12"/>
      <c r="O465" s="12"/>
      <c r="P465" s="18"/>
      <c r="Q465" s="12"/>
      <c r="R465" s="12"/>
      <c r="S465" s="12"/>
      <c r="T465" s="36"/>
      <c r="U465" s="36"/>
      <c r="V465" s="12"/>
      <c r="W465" s="12"/>
      <c r="X465" s="12"/>
      <c r="Y465" s="12"/>
      <c r="Z465" s="12"/>
    </row>
    <row r="466" customFormat="false" ht="15.75" hidden="false" customHeight="false" outlineLevel="0" collapsed="false">
      <c r="A466" s="12"/>
      <c r="B466" s="34"/>
      <c r="C466" s="12"/>
      <c r="D466" s="12"/>
      <c r="E466" s="12"/>
      <c r="F466" s="12"/>
      <c r="G466" s="18"/>
      <c r="H466" s="35"/>
      <c r="I466" s="35"/>
      <c r="J466" s="12"/>
      <c r="O466" s="12"/>
      <c r="P466" s="18"/>
      <c r="Q466" s="12"/>
      <c r="R466" s="12"/>
      <c r="S466" s="12"/>
      <c r="T466" s="36"/>
      <c r="U466" s="36"/>
      <c r="V466" s="12"/>
      <c r="W466" s="12"/>
      <c r="X466" s="12"/>
      <c r="Y466" s="12"/>
      <c r="Z466" s="12"/>
    </row>
    <row r="467" customFormat="false" ht="15.75" hidden="false" customHeight="false" outlineLevel="0" collapsed="false">
      <c r="A467" s="12"/>
      <c r="B467" s="34"/>
      <c r="C467" s="12"/>
      <c r="D467" s="12"/>
      <c r="E467" s="12"/>
      <c r="F467" s="12"/>
      <c r="G467" s="18"/>
      <c r="H467" s="35"/>
      <c r="I467" s="35"/>
      <c r="J467" s="12"/>
      <c r="O467" s="12"/>
      <c r="P467" s="18"/>
      <c r="Q467" s="12"/>
      <c r="R467" s="12"/>
      <c r="S467" s="12"/>
      <c r="T467" s="36"/>
      <c r="U467" s="36"/>
      <c r="V467" s="12"/>
      <c r="W467" s="12"/>
      <c r="X467" s="12"/>
      <c r="Y467" s="12"/>
      <c r="Z467" s="12"/>
    </row>
    <row r="468" customFormat="false" ht="15.75" hidden="false" customHeight="false" outlineLevel="0" collapsed="false">
      <c r="A468" s="12"/>
      <c r="B468" s="34"/>
      <c r="C468" s="12"/>
      <c r="D468" s="12"/>
      <c r="E468" s="12"/>
      <c r="F468" s="12"/>
      <c r="G468" s="18"/>
      <c r="H468" s="35"/>
      <c r="I468" s="35"/>
      <c r="J468" s="12"/>
      <c r="O468" s="12"/>
      <c r="P468" s="18"/>
      <c r="Q468" s="12"/>
      <c r="R468" s="12"/>
      <c r="S468" s="12"/>
      <c r="T468" s="36"/>
      <c r="U468" s="36"/>
      <c r="V468" s="12"/>
      <c r="W468" s="12"/>
      <c r="X468" s="12"/>
      <c r="Y468" s="12"/>
      <c r="Z468" s="12"/>
    </row>
    <row r="469" customFormat="false" ht="15.75" hidden="false" customHeight="false" outlineLevel="0" collapsed="false">
      <c r="A469" s="12"/>
      <c r="B469" s="34"/>
      <c r="C469" s="12"/>
      <c r="D469" s="12"/>
      <c r="E469" s="12"/>
      <c r="F469" s="12"/>
      <c r="G469" s="18"/>
      <c r="H469" s="35"/>
      <c r="I469" s="35"/>
      <c r="J469" s="12"/>
      <c r="O469" s="12"/>
      <c r="P469" s="18"/>
      <c r="Q469" s="12"/>
      <c r="R469" s="12"/>
      <c r="S469" s="12"/>
      <c r="T469" s="36"/>
      <c r="U469" s="36"/>
      <c r="V469" s="12"/>
      <c r="W469" s="12"/>
      <c r="X469" s="12"/>
      <c r="Y469" s="12"/>
      <c r="Z469" s="12"/>
    </row>
    <row r="470" customFormat="false" ht="15.75" hidden="false" customHeight="false" outlineLevel="0" collapsed="false">
      <c r="A470" s="12"/>
      <c r="B470" s="34"/>
      <c r="C470" s="12"/>
      <c r="D470" s="12"/>
      <c r="E470" s="12"/>
      <c r="F470" s="12"/>
      <c r="G470" s="18"/>
      <c r="H470" s="35"/>
      <c r="I470" s="35"/>
      <c r="J470" s="12"/>
      <c r="O470" s="12"/>
      <c r="P470" s="18"/>
      <c r="Q470" s="12"/>
      <c r="R470" s="12"/>
      <c r="S470" s="12"/>
      <c r="T470" s="36"/>
      <c r="U470" s="36"/>
      <c r="V470" s="12"/>
      <c r="W470" s="12"/>
      <c r="X470" s="12"/>
      <c r="Y470" s="12"/>
      <c r="Z470" s="12"/>
    </row>
    <row r="471" customFormat="false" ht="15.75" hidden="false" customHeight="false" outlineLevel="0" collapsed="false">
      <c r="A471" s="12"/>
      <c r="B471" s="34"/>
      <c r="C471" s="12"/>
      <c r="D471" s="12"/>
      <c r="E471" s="12"/>
      <c r="F471" s="12"/>
      <c r="G471" s="18"/>
      <c r="H471" s="35"/>
      <c r="I471" s="35"/>
      <c r="J471" s="12"/>
      <c r="O471" s="12"/>
      <c r="P471" s="18"/>
      <c r="Q471" s="12"/>
      <c r="R471" s="12"/>
      <c r="S471" s="12"/>
      <c r="T471" s="36"/>
      <c r="U471" s="36"/>
      <c r="V471" s="12"/>
      <c r="W471" s="12"/>
      <c r="X471" s="12"/>
      <c r="Y471" s="12"/>
      <c r="Z471" s="12"/>
    </row>
    <row r="472" customFormat="false" ht="15.75" hidden="false" customHeight="false" outlineLevel="0" collapsed="false">
      <c r="A472" s="12"/>
      <c r="B472" s="34"/>
      <c r="C472" s="12"/>
      <c r="D472" s="12"/>
      <c r="E472" s="12"/>
      <c r="F472" s="12"/>
      <c r="G472" s="18"/>
      <c r="H472" s="35"/>
      <c r="I472" s="35"/>
      <c r="J472" s="12"/>
      <c r="O472" s="12"/>
      <c r="P472" s="18"/>
      <c r="Q472" s="12"/>
      <c r="R472" s="12"/>
      <c r="S472" s="12"/>
      <c r="T472" s="36"/>
      <c r="U472" s="36"/>
      <c r="V472" s="12"/>
      <c r="W472" s="12"/>
      <c r="X472" s="12"/>
      <c r="Y472" s="12"/>
      <c r="Z472" s="12"/>
    </row>
    <row r="473" customFormat="false" ht="15.75" hidden="false" customHeight="false" outlineLevel="0" collapsed="false">
      <c r="A473" s="12"/>
      <c r="B473" s="34"/>
      <c r="C473" s="12"/>
      <c r="D473" s="12"/>
      <c r="E473" s="12"/>
      <c r="F473" s="12"/>
      <c r="G473" s="18"/>
      <c r="H473" s="35"/>
      <c r="I473" s="35"/>
      <c r="J473" s="12"/>
      <c r="O473" s="12"/>
      <c r="P473" s="18"/>
      <c r="Q473" s="12"/>
      <c r="R473" s="12"/>
      <c r="S473" s="12"/>
      <c r="T473" s="36"/>
      <c r="U473" s="36"/>
      <c r="V473" s="12"/>
      <c r="W473" s="12"/>
      <c r="X473" s="12"/>
      <c r="Y473" s="12"/>
      <c r="Z473" s="12"/>
    </row>
    <row r="474" customFormat="false" ht="15.75" hidden="false" customHeight="false" outlineLevel="0" collapsed="false">
      <c r="A474" s="12"/>
      <c r="B474" s="34"/>
      <c r="C474" s="12"/>
      <c r="D474" s="12"/>
      <c r="E474" s="12"/>
      <c r="F474" s="12"/>
      <c r="G474" s="18"/>
      <c r="H474" s="35"/>
      <c r="I474" s="35"/>
      <c r="J474" s="12"/>
      <c r="O474" s="12"/>
      <c r="P474" s="18"/>
      <c r="Q474" s="12"/>
      <c r="R474" s="12"/>
      <c r="S474" s="12"/>
      <c r="T474" s="36"/>
      <c r="U474" s="36"/>
      <c r="V474" s="12"/>
      <c r="W474" s="12"/>
      <c r="X474" s="12"/>
      <c r="Y474" s="12"/>
      <c r="Z474" s="12"/>
    </row>
    <row r="475" customFormat="false" ht="15.75" hidden="false" customHeight="false" outlineLevel="0" collapsed="false">
      <c r="A475" s="12"/>
      <c r="B475" s="34"/>
      <c r="C475" s="12"/>
      <c r="D475" s="12"/>
      <c r="E475" s="12"/>
      <c r="F475" s="12"/>
      <c r="G475" s="18"/>
      <c r="H475" s="35"/>
      <c r="I475" s="35"/>
      <c r="J475" s="12"/>
      <c r="O475" s="12"/>
      <c r="P475" s="18"/>
      <c r="Q475" s="12"/>
      <c r="R475" s="12"/>
      <c r="S475" s="12"/>
      <c r="T475" s="36"/>
      <c r="U475" s="36"/>
      <c r="V475" s="12"/>
      <c r="W475" s="12"/>
      <c r="X475" s="12"/>
      <c r="Y475" s="12"/>
      <c r="Z475" s="12"/>
    </row>
    <row r="476" customFormat="false" ht="15.75" hidden="false" customHeight="false" outlineLevel="0" collapsed="false">
      <c r="A476" s="12"/>
      <c r="B476" s="34"/>
      <c r="C476" s="12"/>
      <c r="D476" s="12"/>
      <c r="E476" s="12"/>
      <c r="F476" s="12"/>
      <c r="G476" s="18"/>
      <c r="H476" s="35"/>
      <c r="I476" s="35"/>
      <c r="J476" s="12"/>
      <c r="O476" s="12"/>
      <c r="P476" s="18"/>
      <c r="Q476" s="12"/>
      <c r="R476" s="12"/>
      <c r="S476" s="12"/>
      <c r="T476" s="36"/>
      <c r="U476" s="36"/>
      <c r="V476" s="12"/>
      <c r="W476" s="12"/>
      <c r="X476" s="12"/>
      <c r="Y476" s="12"/>
      <c r="Z476" s="12"/>
    </row>
    <row r="477" customFormat="false" ht="15.75" hidden="false" customHeight="false" outlineLevel="0" collapsed="false">
      <c r="A477" s="12"/>
      <c r="B477" s="34"/>
      <c r="C477" s="12"/>
      <c r="D477" s="12"/>
      <c r="E477" s="12"/>
      <c r="F477" s="12"/>
      <c r="G477" s="18"/>
      <c r="H477" s="35"/>
      <c r="I477" s="35"/>
      <c r="J477" s="12"/>
      <c r="O477" s="12"/>
      <c r="P477" s="18"/>
      <c r="Q477" s="12"/>
      <c r="R477" s="12"/>
      <c r="S477" s="12"/>
      <c r="T477" s="36"/>
      <c r="U477" s="36"/>
      <c r="V477" s="12"/>
      <c r="W477" s="12"/>
      <c r="X477" s="12"/>
      <c r="Y477" s="12"/>
      <c r="Z477" s="12"/>
    </row>
    <row r="478" customFormat="false" ht="15.75" hidden="false" customHeight="false" outlineLevel="0" collapsed="false">
      <c r="A478" s="12"/>
      <c r="B478" s="34"/>
      <c r="C478" s="12"/>
      <c r="D478" s="12"/>
      <c r="E478" s="12"/>
      <c r="F478" s="12"/>
      <c r="G478" s="18"/>
      <c r="H478" s="35"/>
      <c r="I478" s="35"/>
      <c r="J478" s="12"/>
      <c r="O478" s="12"/>
      <c r="P478" s="18"/>
      <c r="Q478" s="12"/>
      <c r="R478" s="12"/>
      <c r="S478" s="12"/>
      <c r="T478" s="36"/>
      <c r="U478" s="36"/>
      <c r="V478" s="12"/>
      <c r="W478" s="12"/>
      <c r="X478" s="12"/>
      <c r="Y478" s="12"/>
      <c r="Z478" s="12"/>
    </row>
    <row r="479" customFormat="false" ht="15.75" hidden="false" customHeight="false" outlineLevel="0" collapsed="false">
      <c r="A479" s="12"/>
      <c r="B479" s="34"/>
      <c r="C479" s="12"/>
      <c r="D479" s="12"/>
      <c r="E479" s="12"/>
      <c r="F479" s="12"/>
      <c r="G479" s="18"/>
      <c r="H479" s="35"/>
      <c r="I479" s="35"/>
      <c r="J479" s="12"/>
      <c r="O479" s="12"/>
      <c r="P479" s="18"/>
      <c r="Q479" s="12"/>
      <c r="R479" s="12"/>
      <c r="S479" s="12"/>
      <c r="T479" s="36"/>
      <c r="U479" s="36"/>
      <c r="V479" s="12"/>
      <c r="W479" s="12"/>
      <c r="X479" s="12"/>
      <c r="Y479" s="12"/>
      <c r="Z479" s="12"/>
    </row>
    <row r="480" customFormat="false" ht="15.75" hidden="false" customHeight="false" outlineLevel="0" collapsed="false">
      <c r="A480" s="12"/>
      <c r="B480" s="34"/>
      <c r="C480" s="12"/>
      <c r="D480" s="12"/>
      <c r="E480" s="12"/>
      <c r="F480" s="12"/>
      <c r="G480" s="18"/>
      <c r="H480" s="35"/>
      <c r="I480" s="35"/>
      <c r="J480" s="12"/>
      <c r="O480" s="12"/>
      <c r="P480" s="18"/>
      <c r="Q480" s="12"/>
      <c r="R480" s="12"/>
      <c r="S480" s="12"/>
      <c r="T480" s="36"/>
      <c r="U480" s="36"/>
      <c r="V480" s="12"/>
      <c r="W480" s="12"/>
      <c r="X480" s="12"/>
      <c r="Y480" s="12"/>
      <c r="Z480" s="12"/>
    </row>
    <row r="481" customFormat="false" ht="15.75" hidden="false" customHeight="false" outlineLevel="0" collapsed="false">
      <c r="A481" s="12"/>
      <c r="B481" s="34"/>
      <c r="C481" s="12"/>
      <c r="D481" s="12"/>
      <c r="E481" s="12"/>
      <c r="F481" s="12"/>
      <c r="G481" s="18"/>
      <c r="H481" s="35"/>
      <c r="I481" s="35"/>
      <c r="J481" s="12"/>
      <c r="O481" s="12"/>
      <c r="P481" s="18"/>
      <c r="Q481" s="12"/>
      <c r="R481" s="12"/>
      <c r="S481" s="12"/>
      <c r="T481" s="36"/>
      <c r="U481" s="36"/>
      <c r="V481" s="12"/>
      <c r="W481" s="12"/>
      <c r="X481" s="12"/>
      <c r="Y481" s="12"/>
      <c r="Z481" s="12"/>
    </row>
    <row r="482" customFormat="false" ht="15.75" hidden="false" customHeight="false" outlineLevel="0" collapsed="false">
      <c r="A482" s="12"/>
      <c r="B482" s="34"/>
      <c r="C482" s="12"/>
      <c r="D482" s="12"/>
      <c r="E482" s="12"/>
      <c r="F482" s="12"/>
      <c r="G482" s="18"/>
      <c r="H482" s="35"/>
      <c r="I482" s="35"/>
      <c r="J482" s="12"/>
      <c r="O482" s="12"/>
      <c r="P482" s="18"/>
      <c r="Q482" s="12"/>
      <c r="R482" s="12"/>
      <c r="S482" s="12"/>
      <c r="T482" s="36"/>
      <c r="U482" s="36"/>
      <c r="V482" s="12"/>
      <c r="W482" s="12"/>
      <c r="X482" s="12"/>
      <c r="Y482" s="12"/>
      <c r="Z482" s="12"/>
    </row>
    <row r="483" customFormat="false" ht="15.75" hidden="false" customHeight="false" outlineLevel="0" collapsed="false">
      <c r="A483" s="12"/>
      <c r="B483" s="34"/>
      <c r="C483" s="12"/>
      <c r="D483" s="12"/>
      <c r="E483" s="12"/>
      <c r="F483" s="12"/>
      <c r="G483" s="18"/>
      <c r="H483" s="35"/>
      <c r="I483" s="35"/>
      <c r="J483" s="12"/>
      <c r="O483" s="12"/>
      <c r="P483" s="18"/>
      <c r="Q483" s="12"/>
      <c r="R483" s="12"/>
      <c r="S483" s="12"/>
      <c r="T483" s="36"/>
      <c r="U483" s="36"/>
      <c r="V483" s="12"/>
      <c r="W483" s="12"/>
      <c r="X483" s="12"/>
      <c r="Y483" s="12"/>
      <c r="Z483" s="12"/>
    </row>
    <row r="484" customFormat="false" ht="15.75" hidden="false" customHeight="false" outlineLevel="0" collapsed="false">
      <c r="A484" s="12"/>
      <c r="B484" s="34"/>
      <c r="C484" s="12"/>
      <c r="D484" s="12"/>
      <c r="E484" s="12"/>
      <c r="F484" s="12"/>
      <c r="G484" s="18"/>
      <c r="H484" s="35"/>
      <c r="I484" s="35"/>
      <c r="J484" s="12"/>
      <c r="O484" s="12"/>
      <c r="P484" s="18"/>
      <c r="Q484" s="12"/>
      <c r="R484" s="12"/>
      <c r="S484" s="12"/>
      <c r="T484" s="36"/>
      <c r="U484" s="36"/>
      <c r="V484" s="12"/>
      <c r="W484" s="12"/>
      <c r="X484" s="12"/>
      <c r="Y484" s="12"/>
      <c r="Z484" s="12"/>
    </row>
    <row r="485" customFormat="false" ht="15.75" hidden="false" customHeight="false" outlineLevel="0" collapsed="false">
      <c r="A485" s="12"/>
      <c r="B485" s="34"/>
      <c r="C485" s="12"/>
      <c r="D485" s="12"/>
      <c r="E485" s="12"/>
      <c r="F485" s="12"/>
      <c r="G485" s="18"/>
      <c r="H485" s="35"/>
      <c r="I485" s="35"/>
      <c r="J485" s="12"/>
      <c r="O485" s="12"/>
      <c r="P485" s="18"/>
      <c r="Q485" s="12"/>
      <c r="R485" s="12"/>
      <c r="S485" s="12"/>
      <c r="T485" s="36"/>
      <c r="U485" s="36"/>
      <c r="V485" s="12"/>
      <c r="W485" s="12"/>
      <c r="X485" s="12"/>
      <c r="Y485" s="12"/>
      <c r="Z485" s="12"/>
    </row>
    <row r="486" customFormat="false" ht="15.75" hidden="false" customHeight="false" outlineLevel="0" collapsed="false">
      <c r="A486" s="12"/>
      <c r="B486" s="34"/>
      <c r="C486" s="12"/>
      <c r="D486" s="12"/>
      <c r="E486" s="12"/>
      <c r="F486" s="12"/>
      <c r="G486" s="18"/>
      <c r="H486" s="35"/>
      <c r="I486" s="35"/>
      <c r="J486" s="12"/>
      <c r="O486" s="12"/>
      <c r="P486" s="18"/>
      <c r="Q486" s="12"/>
      <c r="R486" s="12"/>
      <c r="S486" s="12"/>
      <c r="T486" s="36"/>
      <c r="U486" s="36"/>
      <c r="V486" s="12"/>
      <c r="W486" s="12"/>
      <c r="X486" s="12"/>
      <c r="Y486" s="12"/>
      <c r="Z486" s="12"/>
    </row>
    <row r="487" customFormat="false" ht="15.75" hidden="false" customHeight="false" outlineLevel="0" collapsed="false">
      <c r="A487" s="12"/>
      <c r="B487" s="34"/>
      <c r="C487" s="12"/>
      <c r="D487" s="12"/>
      <c r="E487" s="12"/>
      <c r="F487" s="12"/>
      <c r="G487" s="18"/>
      <c r="H487" s="35"/>
      <c r="I487" s="35"/>
      <c r="J487" s="12"/>
      <c r="O487" s="12"/>
      <c r="P487" s="18"/>
      <c r="Q487" s="12"/>
      <c r="R487" s="12"/>
      <c r="S487" s="12"/>
      <c r="T487" s="36"/>
      <c r="U487" s="36"/>
      <c r="V487" s="12"/>
      <c r="W487" s="12"/>
      <c r="X487" s="12"/>
      <c r="Y487" s="12"/>
      <c r="Z487" s="12"/>
    </row>
    <row r="488" customFormat="false" ht="15.75" hidden="false" customHeight="false" outlineLevel="0" collapsed="false">
      <c r="A488" s="12"/>
      <c r="B488" s="34"/>
      <c r="C488" s="12"/>
      <c r="D488" s="12"/>
      <c r="E488" s="12"/>
      <c r="F488" s="12"/>
      <c r="G488" s="18"/>
      <c r="H488" s="35"/>
      <c r="I488" s="35"/>
      <c r="J488" s="12"/>
      <c r="O488" s="12"/>
      <c r="P488" s="18"/>
      <c r="Q488" s="12"/>
      <c r="R488" s="12"/>
      <c r="S488" s="12"/>
      <c r="T488" s="36"/>
      <c r="U488" s="36"/>
      <c r="V488" s="12"/>
      <c r="W488" s="12"/>
      <c r="X488" s="12"/>
      <c r="Y488" s="12"/>
      <c r="Z488" s="12"/>
    </row>
    <row r="489" customFormat="false" ht="15.75" hidden="false" customHeight="false" outlineLevel="0" collapsed="false">
      <c r="A489" s="12"/>
      <c r="B489" s="34"/>
      <c r="C489" s="12"/>
      <c r="D489" s="12"/>
      <c r="E489" s="12"/>
      <c r="F489" s="12"/>
      <c r="G489" s="18"/>
      <c r="H489" s="35"/>
      <c r="I489" s="35"/>
      <c r="J489" s="12"/>
      <c r="O489" s="12"/>
      <c r="P489" s="18"/>
      <c r="Q489" s="12"/>
      <c r="R489" s="12"/>
      <c r="S489" s="12"/>
      <c r="T489" s="36"/>
      <c r="U489" s="36"/>
      <c r="V489" s="12"/>
      <c r="W489" s="12"/>
      <c r="X489" s="12"/>
      <c r="Y489" s="12"/>
      <c r="Z489" s="12"/>
    </row>
    <row r="490" customFormat="false" ht="15.75" hidden="false" customHeight="false" outlineLevel="0" collapsed="false">
      <c r="A490" s="12"/>
      <c r="B490" s="34"/>
      <c r="C490" s="12"/>
      <c r="D490" s="12"/>
      <c r="E490" s="12"/>
      <c r="F490" s="12"/>
      <c r="G490" s="18"/>
      <c r="H490" s="35"/>
      <c r="I490" s="35"/>
      <c r="J490" s="12"/>
      <c r="O490" s="12"/>
      <c r="P490" s="18"/>
      <c r="Q490" s="12"/>
      <c r="R490" s="12"/>
      <c r="S490" s="12"/>
      <c r="T490" s="36"/>
      <c r="U490" s="36"/>
      <c r="V490" s="12"/>
      <c r="W490" s="12"/>
      <c r="X490" s="12"/>
      <c r="Y490" s="12"/>
      <c r="Z490" s="12"/>
    </row>
    <row r="491" customFormat="false" ht="15.75" hidden="false" customHeight="false" outlineLevel="0" collapsed="false">
      <c r="A491" s="12"/>
      <c r="B491" s="34"/>
      <c r="C491" s="12"/>
      <c r="D491" s="12"/>
      <c r="E491" s="12"/>
      <c r="F491" s="12"/>
      <c r="G491" s="18"/>
      <c r="H491" s="35"/>
      <c r="I491" s="35"/>
      <c r="J491" s="12"/>
      <c r="O491" s="12"/>
      <c r="P491" s="18"/>
      <c r="Q491" s="12"/>
      <c r="R491" s="12"/>
      <c r="S491" s="12"/>
      <c r="T491" s="36"/>
      <c r="U491" s="36"/>
      <c r="V491" s="12"/>
      <c r="W491" s="12"/>
      <c r="X491" s="12"/>
      <c r="Y491" s="12"/>
      <c r="Z491" s="12"/>
    </row>
    <row r="492" customFormat="false" ht="15.75" hidden="false" customHeight="false" outlineLevel="0" collapsed="false">
      <c r="A492" s="12"/>
      <c r="B492" s="34"/>
      <c r="C492" s="12"/>
      <c r="D492" s="12"/>
      <c r="E492" s="12"/>
      <c r="F492" s="12"/>
      <c r="G492" s="18"/>
      <c r="H492" s="35"/>
      <c r="I492" s="35"/>
      <c r="J492" s="12"/>
      <c r="O492" s="12"/>
      <c r="P492" s="18"/>
      <c r="Q492" s="12"/>
      <c r="R492" s="12"/>
      <c r="S492" s="12"/>
      <c r="T492" s="36"/>
      <c r="U492" s="36"/>
      <c r="V492" s="12"/>
      <c r="W492" s="12"/>
      <c r="X492" s="12"/>
      <c r="Y492" s="12"/>
      <c r="Z492" s="12"/>
    </row>
    <row r="493" customFormat="false" ht="15.75" hidden="false" customHeight="false" outlineLevel="0" collapsed="false">
      <c r="A493" s="12"/>
      <c r="B493" s="34"/>
      <c r="C493" s="12"/>
      <c r="D493" s="12"/>
      <c r="E493" s="12"/>
      <c r="F493" s="12"/>
      <c r="G493" s="18"/>
      <c r="H493" s="35"/>
      <c r="I493" s="35"/>
      <c r="J493" s="12"/>
      <c r="O493" s="12"/>
      <c r="P493" s="18"/>
      <c r="Q493" s="12"/>
      <c r="R493" s="12"/>
      <c r="S493" s="12"/>
      <c r="T493" s="36"/>
      <c r="U493" s="36"/>
      <c r="V493" s="12"/>
      <c r="W493" s="12"/>
      <c r="X493" s="12"/>
      <c r="Y493" s="12"/>
      <c r="Z493" s="12"/>
    </row>
    <row r="494" customFormat="false" ht="15.75" hidden="false" customHeight="false" outlineLevel="0" collapsed="false">
      <c r="A494" s="12"/>
      <c r="B494" s="34"/>
      <c r="C494" s="12"/>
      <c r="D494" s="12"/>
      <c r="E494" s="12"/>
      <c r="F494" s="12"/>
      <c r="G494" s="18"/>
      <c r="H494" s="35"/>
      <c r="I494" s="35"/>
      <c r="J494" s="12"/>
      <c r="O494" s="12"/>
      <c r="P494" s="18"/>
      <c r="Q494" s="12"/>
      <c r="R494" s="12"/>
      <c r="S494" s="12"/>
      <c r="T494" s="36"/>
      <c r="U494" s="36"/>
      <c r="V494" s="12"/>
      <c r="W494" s="12"/>
      <c r="X494" s="12"/>
      <c r="Y494" s="12"/>
      <c r="Z494" s="12"/>
    </row>
    <row r="495" customFormat="false" ht="15.75" hidden="false" customHeight="false" outlineLevel="0" collapsed="false">
      <c r="A495" s="12"/>
      <c r="B495" s="34"/>
      <c r="C495" s="12"/>
      <c r="D495" s="12"/>
      <c r="E495" s="12"/>
      <c r="F495" s="12"/>
      <c r="G495" s="18"/>
      <c r="H495" s="35"/>
      <c r="I495" s="35"/>
      <c r="J495" s="12"/>
      <c r="O495" s="12"/>
      <c r="P495" s="18"/>
      <c r="Q495" s="12"/>
      <c r="R495" s="12"/>
      <c r="S495" s="12"/>
      <c r="T495" s="36"/>
      <c r="U495" s="36"/>
      <c r="V495" s="12"/>
      <c r="W495" s="12"/>
      <c r="X495" s="12"/>
      <c r="Y495" s="12"/>
      <c r="Z495" s="12"/>
    </row>
    <row r="496" customFormat="false" ht="15.75" hidden="false" customHeight="false" outlineLevel="0" collapsed="false">
      <c r="A496" s="12"/>
      <c r="B496" s="34"/>
      <c r="C496" s="12"/>
      <c r="D496" s="12"/>
      <c r="E496" s="12"/>
      <c r="F496" s="12"/>
      <c r="G496" s="18"/>
      <c r="H496" s="35"/>
      <c r="I496" s="35"/>
      <c r="J496" s="12"/>
      <c r="O496" s="12"/>
      <c r="P496" s="18"/>
      <c r="Q496" s="12"/>
      <c r="R496" s="12"/>
      <c r="S496" s="12"/>
      <c r="T496" s="36"/>
      <c r="U496" s="36"/>
      <c r="V496" s="12"/>
      <c r="W496" s="12"/>
      <c r="X496" s="12"/>
      <c r="Y496" s="12"/>
      <c r="Z496" s="12"/>
    </row>
    <row r="497" customFormat="false" ht="15.75" hidden="false" customHeight="false" outlineLevel="0" collapsed="false">
      <c r="A497" s="12"/>
      <c r="B497" s="34"/>
      <c r="C497" s="12"/>
      <c r="D497" s="12"/>
      <c r="E497" s="12"/>
      <c r="F497" s="12"/>
      <c r="G497" s="18"/>
      <c r="H497" s="35"/>
      <c r="I497" s="35"/>
      <c r="J497" s="12"/>
      <c r="O497" s="12"/>
      <c r="P497" s="18"/>
      <c r="Q497" s="12"/>
      <c r="R497" s="12"/>
      <c r="S497" s="12"/>
      <c r="T497" s="36"/>
      <c r="U497" s="36"/>
      <c r="V497" s="12"/>
      <c r="W497" s="12"/>
      <c r="X497" s="12"/>
      <c r="Y497" s="12"/>
      <c r="Z497" s="12"/>
    </row>
    <row r="498" customFormat="false" ht="15.75" hidden="false" customHeight="false" outlineLevel="0" collapsed="false">
      <c r="A498" s="12"/>
      <c r="B498" s="34"/>
      <c r="C498" s="12"/>
      <c r="D498" s="12"/>
      <c r="E498" s="12"/>
      <c r="F498" s="12"/>
      <c r="G498" s="18"/>
      <c r="H498" s="35"/>
      <c r="I498" s="35"/>
      <c r="J498" s="12"/>
      <c r="O498" s="12"/>
      <c r="P498" s="18"/>
      <c r="Q498" s="12"/>
      <c r="R498" s="12"/>
      <c r="S498" s="12"/>
      <c r="T498" s="36"/>
      <c r="U498" s="36"/>
      <c r="V498" s="12"/>
      <c r="W498" s="12"/>
      <c r="X498" s="12"/>
      <c r="Y498" s="12"/>
      <c r="Z498" s="12"/>
    </row>
    <row r="499" customFormat="false" ht="15.75" hidden="false" customHeight="false" outlineLevel="0" collapsed="false">
      <c r="A499" s="12"/>
      <c r="B499" s="34"/>
      <c r="C499" s="12"/>
      <c r="D499" s="12"/>
      <c r="E499" s="12"/>
      <c r="F499" s="12"/>
      <c r="G499" s="18"/>
      <c r="H499" s="35"/>
      <c r="I499" s="35"/>
      <c r="J499" s="12"/>
      <c r="O499" s="12"/>
      <c r="P499" s="18"/>
      <c r="Q499" s="12"/>
      <c r="R499" s="12"/>
      <c r="S499" s="12"/>
      <c r="T499" s="36"/>
      <c r="U499" s="36"/>
      <c r="V499" s="12"/>
      <c r="W499" s="12"/>
      <c r="X499" s="12"/>
      <c r="Y499" s="12"/>
      <c r="Z499" s="12"/>
    </row>
    <row r="500" customFormat="false" ht="15.75" hidden="false" customHeight="false" outlineLevel="0" collapsed="false">
      <c r="A500" s="12"/>
      <c r="B500" s="34"/>
      <c r="C500" s="12"/>
      <c r="D500" s="12"/>
      <c r="E500" s="12"/>
      <c r="F500" s="12"/>
      <c r="G500" s="18"/>
      <c r="H500" s="35"/>
      <c r="I500" s="35"/>
      <c r="J500" s="12"/>
      <c r="O500" s="12"/>
      <c r="P500" s="18"/>
      <c r="Q500" s="12"/>
      <c r="R500" s="12"/>
      <c r="S500" s="12"/>
      <c r="T500" s="36"/>
      <c r="U500" s="36"/>
      <c r="V500" s="12"/>
      <c r="W500" s="12"/>
      <c r="X500" s="12"/>
      <c r="Y500" s="12"/>
      <c r="Z500" s="12"/>
    </row>
    <row r="501" customFormat="false" ht="15.75" hidden="false" customHeight="false" outlineLevel="0" collapsed="false">
      <c r="A501" s="12"/>
      <c r="B501" s="34"/>
      <c r="C501" s="12"/>
      <c r="D501" s="12"/>
      <c r="E501" s="12"/>
      <c r="F501" s="12"/>
      <c r="G501" s="18"/>
      <c r="H501" s="35"/>
      <c r="I501" s="35"/>
      <c r="J501" s="12"/>
      <c r="O501" s="12"/>
      <c r="P501" s="18"/>
      <c r="Q501" s="12"/>
      <c r="R501" s="12"/>
      <c r="S501" s="12"/>
      <c r="T501" s="36"/>
      <c r="U501" s="36"/>
      <c r="V501" s="12"/>
      <c r="W501" s="12"/>
      <c r="X501" s="12"/>
      <c r="Y501" s="12"/>
      <c r="Z501" s="12"/>
    </row>
    <row r="502" customFormat="false" ht="15.75" hidden="false" customHeight="false" outlineLevel="0" collapsed="false">
      <c r="A502" s="12"/>
      <c r="B502" s="34"/>
      <c r="C502" s="12"/>
      <c r="D502" s="12"/>
      <c r="E502" s="12"/>
      <c r="F502" s="12"/>
      <c r="G502" s="18"/>
      <c r="H502" s="35"/>
      <c r="I502" s="35"/>
      <c r="J502" s="12"/>
      <c r="O502" s="12"/>
      <c r="P502" s="18"/>
      <c r="Q502" s="12"/>
      <c r="R502" s="12"/>
      <c r="S502" s="12"/>
      <c r="T502" s="36"/>
      <c r="U502" s="36"/>
      <c r="V502" s="12"/>
      <c r="W502" s="12"/>
      <c r="X502" s="12"/>
      <c r="Y502" s="12"/>
      <c r="Z502" s="12"/>
    </row>
    <row r="503" customFormat="false" ht="15.75" hidden="false" customHeight="false" outlineLevel="0" collapsed="false">
      <c r="A503" s="12"/>
      <c r="B503" s="34"/>
      <c r="C503" s="12"/>
      <c r="D503" s="12"/>
      <c r="E503" s="12"/>
      <c r="F503" s="12"/>
      <c r="G503" s="18"/>
      <c r="H503" s="35"/>
      <c r="I503" s="35"/>
      <c r="J503" s="12"/>
      <c r="O503" s="12"/>
      <c r="P503" s="18"/>
      <c r="Q503" s="12"/>
      <c r="R503" s="12"/>
      <c r="S503" s="12"/>
      <c r="T503" s="36"/>
      <c r="U503" s="36"/>
      <c r="V503" s="12"/>
      <c r="W503" s="12"/>
      <c r="X503" s="12"/>
      <c r="Y503" s="12"/>
      <c r="Z503" s="12"/>
    </row>
    <row r="504" customFormat="false" ht="15.75" hidden="false" customHeight="false" outlineLevel="0" collapsed="false">
      <c r="A504" s="12"/>
      <c r="B504" s="34"/>
      <c r="C504" s="12"/>
      <c r="D504" s="12"/>
      <c r="E504" s="12"/>
      <c r="F504" s="12"/>
      <c r="G504" s="18"/>
      <c r="H504" s="35"/>
      <c r="I504" s="35"/>
      <c r="J504" s="12"/>
      <c r="O504" s="12"/>
      <c r="P504" s="18"/>
      <c r="Q504" s="12"/>
      <c r="R504" s="12"/>
      <c r="S504" s="12"/>
      <c r="T504" s="36"/>
      <c r="U504" s="36"/>
      <c r="V504" s="12"/>
      <c r="W504" s="12"/>
      <c r="X504" s="12"/>
      <c r="Y504" s="12"/>
      <c r="Z504" s="12"/>
    </row>
    <row r="505" customFormat="false" ht="15.75" hidden="false" customHeight="false" outlineLevel="0" collapsed="false">
      <c r="A505" s="12"/>
      <c r="B505" s="34"/>
      <c r="C505" s="12"/>
      <c r="D505" s="12"/>
      <c r="E505" s="12"/>
      <c r="F505" s="12"/>
      <c r="G505" s="18"/>
      <c r="H505" s="35"/>
      <c r="I505" s="35"/>
      <c r="J505" s="12"/>
      <c r="O505" s="12"/>
      <c r="P505" s="18"/>
      <c r="Q505" s="12"/>
      <c r="R505" s="12"/>
      <c r="S505" s="12"/>
      <c r="T505" s="36"/>
      <c r="U505" s="36"/>
      <c r="V505" s="12"/>
      <c r="W505" s="12"/>
      <c r="X505" s="12"/>
      <c r="Y505" s="12"/>
      <c r="Z505" s="12"/>
    </row>
    <row r="506" customFormat="false" ht="15.75" hidden="false" customHeight="false" outlineLevel="0" collapsed="false">
      <c r="A506" s="12"/>
      <c r="B506" s="34"/>
      <c r="C506" s="12"/>
      <c r="D506" s="12"/>
      <c r="E506" s="12"/>
      <c r="F506" s="12"/>
      <c r="G506" s="18"/>
      <c r="H506" s="35"/>
      <c r="I506" s="35"/>
      <c r="J506" s="12"/>
      <c r="O506" s="12"/>
      <c r="P506" s="18"/>
      <c r="Q506" s="12"/>
      <c r="R506" s="12"/>
      <c r="S506" s="12"/>
      <c r="T506" s="36"/>
      <c r="U506" s="36"/>
      <c r="V506" s="12"/>
      <c r="W506" s="12"/>
      <c r="X506" s="12"/>
      <c r="Y506" s="12"/>
      <c r="Z506" s="12"/>
    </row>
    <row r="507" customFormat="false" ht="15.75" hidden="false" customHeight="false" outlineLevel="0" collapsed="false">
      <c r="A507" s="12"/>
      <c r="B507" s="34"/>
      <c r="C507" s="12"/>
      <c r="D507" s="12"/>
      <c r="E507" s="12"/>
      <c r="F507" s="12"/>
      <c r="G507" s="18"/>
      <c r="H507" s="35"/>
      <c r="I507" s="35"/>
      <c r="J507" s="12"/>
      <c r="O507" s="12"/>
      <c r="P507" s="18"/>
      <c r="Q507" s="12"/>
      <c r="R507" s="12"/>
      <c r="S507" s="12"/>
      <c r="T507" s="36"/>
      <c r="U507" s="36"/>
      <c r="V507" s="12"/>
      <c r="W507" s="12"/>
      <c r="X507" s="12"/>
      <c r="Y507" s="12"/>
      <c r="Z507" s="12"/>
    </row>
    <row r="508" customFormat="false" ht="15.75" hidden="false" customHeight="false" outlineLevel="0" collapsed="false">
      <c r="A508" s="12"/>
      <c r="B508" s="34"/>
      <c r="C508" s="12"/>
      <c r="D508" s="12"/>
      <c r="E508" s="12"/>
      <c r="F508" s="12"/>
      <c r="G508" s="18"/>
      <c r="H508" s="35"/>
      <c r="I508" s="35"/>
      <c r="J508" s="12"/>
      <c r="O508" s="12"/>
      <c r="P508" s="18"/>
      <c r="Q508" s="12"/>
      <c r="R508" s="12"/>
      <c r="S508" s="12"/>
      <c r="T508" s="36"/>
      <c r="U508" s="36"/>
      <c r="V508" s="12"/>
      <c r="W508" s="12"/>
      <c r="X508" s="12"/>
      <c r="Y508" s="12"/>
      <c r="Z508" s="12"/>
    </row>
    <row r="509" customFormat="false" ht="15.75" hidden="false" customHeight="false" outlineLevel="0" collapsed="false">
      <c r="A509" s="12"/>
      <c r="B509" s="34"/>
      <c r="C509" s="12"/>
      <c r="D509" s="12"/>
      <c r="E509" s="12"/>
      <c r="F509" s="12"/>
      <c r="G509" s="18"/>
      <c r="H509" s="35"/>
      <c r="I509" s="35"/>
      <c r="J509" s="12"/>
      <c r="O509" s="12"/>
      <c r="P509" s="18"/>
      <c r="Q509" s="12"/>
      <c r="R509" s="12"/>
      <c r="S509" s="12"/>
      <c r="T509" s="36"/>
      <c r="U509" s="36"/>
      <c r="V509" s="12"/>
      <c r="W509" s="12"/>
      <c r="X509" s="12"/>
      <c r="Y509" s="12"/>
      <c r="Z509" s="12"/>
    </row>
    <row r="510" customFormat="false" ht="15.75" hidden="false" customHeight="false" outlineLevel="0" collapsed="false">
      <c r="A510" s="12"/>
      <c r="B510" s="34"/>
      <c r="C510" s="12"/>
      <c r="D510" s="12"/>
      <c r="E510" s="12"/>
      <c r="F510" s="12"/>
      <c r="G510" s="18"/>
      <c r="H510" s="35"/>
      <c r="I510" s="35"/>
      <c r="J510" s="12"/>
      <c r="O510" s="12"/>
      <c r="P510" s="18"/>
      <c r="Q510" s="12"/>
      <c r="R510" s="12"/>
      <c r="S510" s="12"/>
      <c r="T510" s="36"/>
      <c r="U510" s="36"/>
      <c r="V510" s="12"/>
      <c r="W510" s="12"/>
      <c r="X510" s="12"/>
      <c r="Y510" s="12"/>
      <c r="Z510" s="12"/>
    </row>
    <row r="511" customFormat="false" ht="15.75" hidden="false" customHeight="false" outlineLevel="0" collapsed="false">
      <c r="A511" s="12"/>
      <c r="B511" s="34"/>
      <c r="C511" s="12"/>
      <c r="D511" s="12"/>
      <c r="E511" s="12"/>
      <c r="F511" s="12"/>
      <c r="G511" s="18"/>
      <c r="H511" s="35"/>
      <c r="I511" s="35"/>
      <c r="J511" s="12"/>
      <c r="O511" s="12"/>
      <c r="P511" s="18"/>
      <c r="Q511" s="12"/>
      <c r="R511" s="12"/>
      <c r="S511" s="12"/>
      <c r="T511" s="36"/>
      <c r="U511" s="36"/>
      <c r="V511" s="12"/>
      <c r="W511" s="12"/>
      <c r="X511" s="12"/>
      <c r="Y511" s="12"/>
      <c r="Z511" s="12"/>
    </row>
    <row r="512" customFormat="false" ht="15.75" hidden="false" customHeight="false" outlineLevel="0" collapsed="false">
      <c r="A512" s="12"/>
      <c r="B512" s="34"/>
      <c r="C512" s="12"/>
      <c r="D512" s="12"/>
      <c r="E512" s="12"/>
      <c r="F512" s="12"/>
      <c r="G512" s="18"/>
      <c r="H512" s="35"/>
      <c r="I512" s="35"/>
      <c r="J512" s="12"/>
      <c r="O512" s="12"/>
      <c r="P512" s="18"/>
      <c r="Q512" s="12"/>
      <c r="R512" s="12"/>
      <c r="S512" s="12"/>
      <c r="T512" s="36"/>
      <c r="U512" s="36"/>
      <c r="V512" s="12"/>
      <c r="W512" s="12"/>
      <c r="X512" s="12"/>
      <c r="Y512" s="12"/>
      <c r="Z512" s="12"/>
    </row>
    <row r="513" customFormat="false" ht="15.75" hidden="false" customHeight="false" outlineLevel="0" collapsed="false">
      <c r="A513" s="12"/>
      <c r="B513" s="34"/>
      <c r="C513" s="12"/>
      <c r="D513" s="12"/>
      <c r="E513" s="12"/>
      <c r="F513" s="12"/>
      <c r="G513" s="18"/>
      <c r="H513" s="35"/>
      <c r="I513" s="35"/>
      <c r="J513" s="12"/>
      <c r="O513" s="12"/>
      <c r="P513" s="18"/>
      <c r="Q513" s="12"/>
      <c r="R513" s="12"/>
      <c r="S513" s="12"/>
      <c r="T513" s="36"/>
      <c r="U513" s="36"/>
      <c r="V513" s="12"/>
      <c r="W513" s="12"/>
      <c r="X513" s="12"/>
      <c r="Y513" s="12"/>
      <c r="Z513" s="12"/>
    </row>
    <row r="514" customFormat="false" ht="15.75" hidden="false" customHeight="false" outlineLevel="0" collapsed="false">
      <c r="A514" s="12"/>
      <c r="B514" s="34"/>
      <c r="C514" s="12"/>
      <c r="D514" s="12"/>
      <c r="E514" s="12"/>
      <c r="F514" s="12"/>
      <c r="G514" s="18"/>
      <c r="H514" s="35"/>
      <c r="I514" s="35"/>
      <c r="J514" s="12"/>
      <c r="O514" s="12"/>
      <c r="P514" s="18"/>
      <c r="Q514" s="12"/>
      <c r="R514" s="12"/>
      <c r="S514" s="12"/>
      <c r="T514" s="36"/>
      <c r="U514" s="36"/>
      <c r="V514" s="12"/>
      <c r="W514" s="12"/>
      <c r="X514" s="12"/>
      <c r="Y514" s="12"/>
      <c r="Z514" s="12"/>
    </row>
    <row r="515" customFormat="false" ht="15.75" hidden="false" customHeight="false" outlineLevel="0" collapsed="false">
      <c r="A515" s="12"/>
      <c r="B515" s="34"/>
      <c r="C515" s="12"/>
      <c r="D515" s="12"/>
      <c r="E515" s="12"/>
      <c r="F515" s="12"/>
      <c r="G515" s="18"/>
      <c r="H515" s="35"/>
      <c r="I515" s="35"/>
      <c r="J515" s="12"/>
      <c r="O515" s="12"/>
      <c r="P515" s="18"/>
      <c r="Q515" s="12"/>
      <c r="R515" s="12"/>
      <c r="S515" s="12"/>
      <c r="T515" s="36"/>
      <c r="U515" s="36"/>
      <c r="V515" s="12"/>
      <c r="W515" s="12"/>
      <c r="X515" s="12"/>
      <c r="Y515" s="12"/>
      <c r="Z515" s="12"/>
    </row>
    <row r="516" customFormat="false" ht="15.75" hidden="false" customHeight="false" outlineLevel="0" collapsed="false">
      <c r="A516" s="12"/>
      <c r="B516" s="34"/>
      <c r="C516" s="12"/>
      <c r="D516" s="12"/>
      <c r="E516" s="12"/>
      <c r="F516" s="12"/>
      <c r="G516" s="18"/>
      <c r="H516" s="35"/>
      <c r="I516" s="35"/>
      <c r="J516" s="12"/>
      <c r="O516" s="12"/>
      <c r="P516" s="18"/>
      <c r="Q516" s="12"/>
      <c r="R516" s="12"/>
      <c r="S516" s="12"/>
      <c r="T516" s="36"/>
      <c r="U516" s="36"/>
      <c r="V516" s="12"/>
      <c r="W516" s="12"/>
      <c r="X516" s="12"/>
      <c r="Y516" s="12"/>
      <c r="Z516" s="12"/>
    </row>
    <row r="517" customFormat="false" ht="15.75" hidden="false" customHeight="false" outlineLevel="0" collapsed="false">
      <c r="A517" s="12"/>
      <c r="B517" s="34"/>
      <c r="C517" s="12"/>
      <c r="D517" s="12"/>
      <c r="E517" s="12"/>
      <c r="F517" s="12"/>
      <c r="G517" s="18"/>
      <c r="H517" s="35"/>
      <c r="I517" s="35"/>
      <c r="J517" s="12"/>
      <c r="O517" s="12"/>
      <c r="P517" s="18"/>
      <c r="Q517" s="12"/>
      <c r="R517" s="12"/>
      <c r="S517" s="12"/>
      <c r="T517" s="36"/>
      <c r="U517" s="36"/>
      <c r="V517" s="12"/>
      <c r="W517" s="12"/>
      <c r="X517" s="12"/>
      <c r="Y517" s="12"/>
      <c r="Z517" s="12"/>
    </row>
    <row r="518" customFormat="false" ht="15.75" hidden="false" customHeight="false" outlineLevel="0" collapsed="false">
      <c r="A518" s="12"/>
      <c r="B518" s="34"/>
      <c r="C518" s="12"/>
      <c r="D518" s="12"/>
      <c r="E518" s="12"/>
      <c r="F518" s="12"/>
      <c r="G518" s="18"/>
      <c r="H518" s="35"/>
      <c r="I518" s="35"/>
      <c r="J518" s="12"/>
      <c r="O518" s="12"/>
      <c r="P518" s="18"/>
      <c r="Q518" s="12"/>
      <c r="R518" s="12"/>
      <c r="S518" s="12"/>
      <c r="T518" s="36"/>
      <c r="U518" s="36"/>
      <c r="V518" s="12"/>
      <c r="W518" s="12"/>
      <c r="X518" s="12"/>
      <c r="Y518" s="12"/>
      <c r="Z518" s="12"/>
    </row>
    <row r="519" customFormat="false" ht="15.75" hidden="false" customHeight="false" outlineLevel="0" collapsed="false">
      <c r="A519" s="12"/>
      <c r="B519" s="34"/>
      <c r="C519" s="12"/>
      <c r="D519" s="12"/>
      <c r="E519" s="12"/>
      <c r="F519" s="12"/>
      <c r="G519" s="18"/>
      <c r="H519" s="35"/>
      <c r="I519" s="35"/>
      <c r="J519" s="12"/>
      <c r="O519" s="12"/>
      <c r="P519" s="18"/>
      <c r="Q519" s="12"/>
      <c r="R519" s="12"/>
      <c r="S519" s="12"/>
      <c r="T519" s="36"/>
      <c r="U519" s="36"/>
      <c r="V519" s="12"/>
      <c r="W519" s="12"/>
      <c r="X519" s="12"/>
      <c r="Y519" s="12"/>
      <c r="Z519" s="12"/>
    </row>
    <row r="520" customFormat="false" ht="15.75" hidden="false" customHeight="false" outlineLevel="0" collapsed="false">
      <c r="A520" s="12"/>
      <c r="B520" s="34"/>
      <c r="C520" s="12"/>
      <c r="D520" s="12"/>
      <c r="E520" s="12"/>
      <c r="F520" s="12"/>
      <c r="G520" s="18"/>
      <c r="H520" s="35"/>
      <c r="I520" s="35"/>
      <c r="J520" s="12"/>
      <c r="O520" s="12"/>
      <c r="P520" s="18"/>
      <c r="Q520" s="12"/>
      <c r="R520" s="12"/>
      <c r="S520" s="12"/>
      <c r="T520" s="36"/>
      <c r="U520" s="36"/>
      <c r="V520" s="12"/>
      <c r="W520" s="12"/>
      <c r="X520" s="12"/>
      <c r="Y520" s="12"/>
      <c r="Z520" s="12"/>
    </row>
    <row r="521" customFormat="false" ht="15.75" hidden="false" customHeight="false" outlineLevel="0" collapsed="false">
      <c r="A521" s="12"/>
      <c r="B521" s="34"/>
      <c r="C521" s="12"/>
      <c r="D521" s="12"/>
      <c r="E521" s="12"/>
      <c r="F521" s="12"/>
      <c r="G521" s="18"/>
      <c r="H521" s="35"/>
      <c r="I521" s="35"/>
      <c r="J521" s="12"/>
      <c r="O521" s="12"/>
      <c r="P521" s="18"/>
      <c r="Q521" s="12"/>
      <c r="R521" s="12"/>
      <c r="S521" s="12"/>
      <c r="T521" s="36"/>
      <c r="U521" s="36"/>
      <c r="V521" s="12"/>
      <c r="W521" s="12"/>
      <c r="X521" s="12"/>
      <c r="Y521" s="12"/>
      <c r="Z521" s="12"/>
    </row>
    <row r="522" customFormat="false" ht="15.75" hidden="false" customHeight="false" outlineLevel="0" collapsed="false">
      <c r="A522" s="12"/>
      <c r="B522" s="34"/>
      <c r="C522" s="12"/>
      <c r="D522" s="12"/>
      <c r="E522" s="12"/>
      <c r="F522" s="12"/>
      <c r="G522" s="18"/>
      <c r="H522" s="35"/>
      <c r="I522" s="35"/>
      <c r="J522" s="12"/>
      <c r="O522" s="12"/>
      <c r="P522" s="18"/>
      <c r="Q522" s="12"/>
      <c r="R522" s="12"/>
      <c r="S522" s="12"/>
      <c r="T522" s="36"/>
      <c r="U522" s="36"/>
      <c r="V522" s="12"/>
      <c r="W522" s="12"/>
      <c r="X522" s="12"/>
      <c r="Y522" s="12"/>
      <c r="Z522" s="12"/>
    </row>
    <row r="523" customFormat="false" ht="15.75" hidden="false" customHeight="false" outlineLevel="0" collapsed="false">
      <c r="A523" s="12"/>
      <c r="B523" s="34"/>
      <c r="C523" s="12"/>
      <c r="D523" s="12"/>
      <c r="E523" s="12"/>
      <c r="F523" s="12"/>
      <c r="G523" s="18"/>
      <c r="H523" s="35"/>
      <c r="I523" s="35"/>
      <c r="J523" s="12"/>
      <c r="O523" s="12"/>
      <c r="P523" s="18"/>
      <c r="Q523" s="12"/>
      <c r="R523" s="12"/>
      <c r="S523" s="12"/>
      <c r="T523" s="36"/>
      <c r="U523" s="36"/>
      <c r="V523" s="12"/>
      <c r="W523" s="12"/>
      <c r="X523" s="12"/>
      <c r="Y523" s="12"/>
      <c r="Z523" s="12"/>
    </row>
    <row r="524" customFormat="false" ht="15.75" hidden="false" customHeight="false" outlineLevel="0" collapsed="false">
      <c r="A524" s="12"/>
      <c r="B524" s="34"/>
      <c r="C524" s="12"/>
      <c r="D524" s="12"/>
      <c r="E524" s="12"/>
      <c r="F524" s="12"/>
      <c r="G524" s="18"/>
      <c r="H524" s="35"/>
      <c r="I524" s="35"/>
      <c r="J524" s="12"/>
      <c r="O524" s="12"/>
      <c r="P524" s="18"/>
      <c r="Q524" s="12"/>
      <c r="R524" s="12"/>
      <c r="S524" s="12"/>
      <c r="T524" s="36"/>
      <c r="U524" s="36"/>
      <c r="V524" s="12"/>
      <c r="W524" s="12"/>
      <c r="X524" s="12"/>
      <c r="Y524" s="12"/>
      <c r="Z524" s="12"/>
    </row>
    <row r="525" customFormat="false" ht="15.75" hidden="false" customHeight="false" outlineLevel="0" collapsed="false">
      <c r="A525" s="12"/>
      <c r="B525" s="34"/>
      <c r="C525" s="12"/>
      <c r="D525" s="12"/>
      <c r="E525" s="12"/>
      <c r="F525" s="12"/>
      <c r="G525" s="18"/>
      <c r="H525" s="35"/>
      <c r="I525" s="35"/>
      <c r="J525" s="12"/>
      <c r="O525" s="12"/>
      <c r="P525" s="18"/>
      <c r="Q525" s="12"/>
      <c r="R525" s="12"/>
      <c r="S525" s="12"/>
      <c r="T525" s="36"/>
      <c r="U525" s="36"/>
      <c r="V525" s="12"/>
      <c r="W525" s="12"/>
      <c r="X525" s="12"/>
      <c r="Y525" s="12"/>
      <c r="Z525" s="12"/>
    </row>
    <row r="526" customFormat="false" ht="15.75" hidden="false" customHeight="false" outlineLevel="0" collapsed="false">
      <c r="A526" s="12"/>
      <c r="B526" s="34"/>
      <c r="C526" s="12"/>
      <c r="D526" s="12"/>
      <c r="E526" s="12"/>
      <c r="F526" s="12"/>
      <c r="G526" s="18"/>
      <c r="H526" s="35"/>
      <c r="I526" s="35"/>
      <c r="J526" s="12"/>
      <c r="O526" s="12"/>
      <c r="P526" s="18"/>
      <c r="Q526" s="12"/>
      <c r="R526" s="12"/>
      <c r="S526" s="12"/>
      <c r="T526" s="36"/>
      <c r="U526" s="36"/>
      <c r="V526" s="12"/>
      <c r="W526" s="12"/>
      <c r="X526" s="12"/>
      <c r="Y526" s="12"/>
      <c r="Z526" s="12"/>
    </row>
    <row r="527" customFormat="false" ht="15.75" hidden="false" customHeight="false" outlineLevel="0" collapsed="false">
      <c r="A527" s="12"/>
      <c r="B527" s="34"/>
      <c r="C527" s="12"/>
      <c r="D527" s="12"/>
      <c r="E527" s="12"/>
      <c r="F527" s="12"/>
      <c r="G527" s="18"/>
      <c r="H527" s="35"/>
      <c r="I527" s="35"/>
      <c r="J527" s="12"/>
      <c r="O527" s="12"/>
      <c r="P527" s="18"/>
      <c r="Q527" s="12"/>
      <c r="R527" s="12"/>
      <c r="S527" s="12"/>
      <c r="T527" s="36"/>
      <c r="U527" s="36"/>
      <c r="V527" s="12"/>
      <c r="W527" s="12"/>
      <c r="X527" s="12"/>
      <c r="Y527" s="12"/>
      <c r="Z527" s="12"/>
    </row>
    <row r="528" customFormat="false" ht="15.75" hidden="false" customHeight="false" outlineLevel="0" collapsed="false">
      <c r="A528" s="12"/>
      <c r="B528" s="34"/>
      <c r="C528" s="12"/>
      <c r="D528" s="12"/>
      <c r="E528" s="12"/>
      <c r="F528" s="12"/>
      <c r="G528" s="18"/>
      <c r="H528" s="35"/>
      <c r="I528" s="35"/>
      <c r="J528" s="12"/>
      <c r="O528" s="12"/>
      <c r="P528" s="18"/>
      <c r="Q528" s="12"/>
      <c r="R528" s="12"/>
      <c r="S528" s="12"/>
      <c r="T528" s="36"/>
      <c r="U528" s="36"/>
      <c r="V528" s="12"/>
      <c r="W528" s="12"/>
      <c r="X528" s="12"/>
      <c r="Y528" s="12"/>
      <c r="Z528" s="12"/>
    </row>
    <row r="529" customFormat="false" ht="15.75" hidden="false" customHeight="false" outlineLevel="0" collapsed="false">
      <c r="A529" s="12"/>
      <c r="B529" s="34"/>
      <c r="C529" s="12"/>
      <c r="D529" s="12"/>
      <c r="E529" s="12"/>
      <c r="F529" s="12"/>
      <c r="G529" s="18"/>
      <c r="H529" s="35"/>
      <c r="I529" s="35"/>
      <c r="J529" s="12"/>
      <c r="O529" s="12"/>
      <c r="P529" s="18"/>
      <c r="Q529" s="12"/>
      <c r="R529" s="12"/>
      <c r="S529" s="12"/>
      <c r="T529" s="36"/>
      <c r="U529" s="36"/>
      <c r="V529" s="12"/>
      <c r="W529" s="12"/>
      <c r="X529" s="12"/>
      <c r="Y529" s="12"/>
      <c r="Z529" s="12"/>
    </row>
    <row r="530" customFormat="false" ht="15.75" hidden="false" customHeight="false" outlineLevel="0" collapsed="false">
      <c r="A530" s="12"/>
      <c r="B530" s="34"/>
      <c r="C530" s="12"/>
      <c r="D530" s="12"/>
      <c r="E530" s="12"/>
      <c r="F530" s="12"/>
      <c r="G530" s="18"/>
      <c r="H530" s="35"/>
      <c r="I530" s="35"/>
      <c r="J530" s="12"/>
      <c r="O530" s="12"/>
      <c r="P530" s="18"/>
      <c r="Q530" s="12"/>
      <c r="R530" s="12"/>
      <c r="S530" s="12"/>
      <c r="T530" s="36"/>
      <c r="U530" s="36"/>
      <c r="V530" s="12"/>
      <c r="W530" s="12"/>
      <c r="X530" s="12"/>
      <c r="Y530" s="12"/>
      <c r="Z530" s="12"/>
    </row>
    <row r="531" customFormat="false" ht="15.75" hidden="false" customHeight="false" outlineLevel="0" collapsed="false">
      <c r="A531" s="12"/>
      <c r="B531" s="34"/>
      <c r="C531" s="12"/>
      <c r="D531" s="12"/>
      <c r="E531" s="12"/>
      <c r="F531" s="12"/>
      <c r="G531" s="18"/>
      <c r="H531" s="35"/>
      <c r="I531" s="35"/>
      <c r="J531" s="12"/>
      <c r="O531" s="12"/>
      <c r="P531" s="18"/>
      <c r="Q531" s="12"/>
      <c r="R531" s="12"/>
      <c r="S531" s="12"/>
      <c r="T531" s="36"/>
      <c r="U531" s="36"/>
      <c r="V531" s="12"/>
      <c r="W531" s="12"/>
      <c r="X531" s="12"/>
      <c r="Y531" s="12"/>
      <c r="Z531" s="12"/>
    </row>
    <row r="532" customFormat="false" ht="15.75" hidden="false" customHeight="false" outlineLevel="0" collapsed="false">
      <c r="A532" s="12"/>
      <c r="B532" s="34"/>
      <c r="C532" s="12"/>
      <c r="D532" s="12"/>
      <c r="E532" s="12"/>
      <c r="F532" s="12"/>
      <c r="G532" s="18"/>
      <c r="H532" s="35"/>
      <c r="I532" s="35"/>
      <c r="J532" s="12"/>
      <c r="O532" s="12"/>
      <c r="P532" s="18"/>
      <c r="Q532" s="12"/>
      <c r="R532" s="12"/>
      <c r="S532" s="12"/>
      <c r="T532" s="36"/>
      <c r="U532" s="36"/>
      <c r="V532" s="12"/>
      <c r="W532" s="12"/>
      <c r="X532" s="12"/>
      <c r="Y532" s="12"/>
      <c r="Z532" s="12"/>
    </row>
    <row r="533" customFormat="false" ht="15.75" hidden="false" customHeight="false" outlineLevel="0" collapsed="false">
      <c r="A533" s="12"/>
      <c r="B533" s="34"/>
      <c r="C533" s="12"/>
      <c r="D533" s="12"/>
      <c r="E533" s="12"/>
      <c r="F533" s="12"/>
      <c r="G533" s="18"/>
      <c r="H533" s="35"/>
      <c r="I533" s="35"/>
      <c r="J533" s="12"/>
      <c r="O533" s="12"/>
      <c r="P533" s="18"/>
      <c r="Q533" s="12"/>
      <c r="R533" s="12"/>
      <c r="S533" s="12"/>
      <c r="T533" s="36"/>
      <c r="U533" s="36"/>
      <c r="V533" s="12"/>
      <c r="W533" s="12"/>
      <c r="X533" s="12"/>
      <c r="Y533" s="12"/>
      <c r="Z533" s="12"/>
    </row>
    <row r="534" customFormat="false" ht="15.75" hidden="false" customHeight="false" outlineLevel="0" collapsed="false">
      <c r="A534" s="12"/>
      <c r="B534" s="34"/>
      <c r="C534" s="12"/>
      <c r="D534" s="12"/>
      <c r="E534" s="12"/>
      <c r="F534" s="12"/>
      <c r="G534" s="18"/>
      <c r="H534" s="35"/>
      <c r="I534" s="35"/>
      <c r="J534" s="12"/>
      <c r="O534" s="12"/>
      <c r="P534" s="18"/>
      <c r="Q534" s="12"/>
      <c r="R534" s="12"/>
      <c r="S534" s="12"/>
      <c r="T534" s="36"/>
      <c r="U534" s="36"/>
      <c r="V534" s="12"/>
      <c r="W534" s="12"/>
      <c r="X534" s="12"/>
      <c r="Y534" s="12"/>
      <c r="Z534" s="12"/>
    </row>
    <row r="535" customFormat="false" ht="15.75" hidden="false" customHeight="false" outlineLevel="0" collapsed="false">
      <c r="A535" s="12"/>
      <c r="B535" s="34"/>
      <c r="C535" s="12"/>
      <c r="D535" s="12"/>
      <c r="E535" s="12"/>
      <c r="F535" s="12"/>
      <c r="G535" s="18"/>
      <c r="H535" s="35"/>
      <c r="I535" s="35"/>
      <c r="J535" s="12"/>
      <c r="O535" s="12"/>
      <c r="P535" s="18"/>
      <c r="Q535" s="12"/>
      <c r="R535" s="12"/>
      <c r="S535" s="12"/>
      <c r="T535" s="36"/>
      <c r="U535" s="36"/>
      <c r="V535" s="12"/>
      <c r="W535" s="12"/>
      <c r="X535" s="12"/>
      <c r="Y535" s="12"/>
      <c r="Z535" s="12"/>
    </row>
    <row r="536" customFormat="false" ht="15.75" hidden="false" customHeight="false" outlineLevel="0" collapsed="false">
      <c r="A536" s="12"/>
      <c r="B536" s="34"/>
      <c r="C536" s="12"/>
      <c r="D536" s="12"/>
      <c r="E536" s="12"/>
      <c r="F536" s="12"/>
      <c r="G536" s="18"/>
      <c r="H536" s="35"/>
      <c r="I536" s="35"/>
      <c r="J536" s="12"/>
      <c r="O536" s="12"/>
      <c r="P536" s="18"/>
      <c r="Q536" s="12"/>
      <c r="R536" s="12"/>
      <c r="S536" s="12"/>
      <c r="T536" s="36"/>
      <c r="U536" s="36"/>
      <c r="V536" s="12"/>
      <c r="W536" s="12"/>
      <c r="X536" s="12"/>
      <c r="Y536" s="12"/>
      <c r="Z536" s="12"/>
    </row>
    <row r="537" customFormat="false" ht="15.75" hidden="false" customHeight="false" outlineLevel="0" collapsed="false">
      <c r="A537" s="12"/>
      <c r="B537" s="34"/>
      <c r="C537" s="12"/>
      <c r="D537" s="12"/>
      <c r="E537" s="12"/>
      <c r="F537" s="12"/>
      <c r="G537" s="18"/>
      <c r="H537" s="35"/>
      <c r="I537" s="35"/>
      <c r="J537" s="12"/>
      <c r="O537" s="12"/>
      <c r="P537" s="18"/>
      <c r="Q537" s="12"/>
      <c r="R537" s="12"/>
      <c r="S537" s="12"/>
      <c r="T537" s="36"/>
      <c r="U537" s="36"/>
      <c r="V537" s="12"/>
      <c r="W537" s="12"/>
      <c r="X537" s="12"/>
      <c r="Y537" s="12"/>
      <c r="Z537" s="12"/>
    </row>
    <row r="538" customFormat="false" ht="15.75" hidden="false" customHeight="false" outlineLevel="0" collapsed="false">
      <c r="A538" s="12"/>
      <c r="B538" s="34"/>
      <c r="C538" s="12"/>
      <c r="D538" s="12"/>
      <c r="E538" s="12"/>
      <c r="F538" s="12"/>
      <c r="G538" s="18"/>
      <c r="H538" s="35"/>
      <c r="I538" s="35"/>
      <c r="J538" s="12"/>
      <c r="O538" s="12"/>
      <c r="P538" s="18"/>
      <c r="Q538" s="12"/>
      <c r="R538" s="12"/>
      <c r="S538" s="12"/>
      <c r="T538" s="36"/>
      <c r="U538" s="36"/>
      <c r="V538" s="12"/>
      <c r="W538" s="12"/>
      <c r="X538" s="12"/>
      <c r="Y538" s="12"/>
      <c r="Z538" s="12"/>
    </row>
    <row r="539" customFormat="false" ht="15.75" hidden="false" customHeight="false" outlineLevel="0" collapsed="false">
      <c r="A539" s="12"/>
      <c r="B539" s="34"/>
      <c r="C539" s="12"/>
      <c r="D539" s="12"/>
      <c r="E539" s="12"/>
      <c r="F539" s="12"/>
      <c r="G539" s="18"/>
      <c r="H539" s="35"/>
      <c r="I539" s="35"/>
      <c r="J539" s="12"/>
      <c r="O539" s="12"/>
      <c r="P539" s="18"/>
      <c r="Q539" s="12"/>
      <c r="R539" s="12"/>
      <c r="S539" s="12"/>
      <c r="T539" s="36"/>
      <c r="U539" s="36"/>
      <c r="V539" s="12"/>
      <c r="W539" s="12"/>
      <c r="X539" s="12"/>
      <c r="Y539" s="12"/>
      <c r="Z539" s="12"/>
    </row>
    <row r="540" customFormat="false" ht="15.75" hidden="false" customHeight="false" outlineLevel="0" collapsed="false">
      <c r="A540" s="12"/>
      <c r="B540" s="34"/>
      <c r="C540" s="12"/>
      <c r="D540" s="12"/>
      <c r="E540" s="12"/>
      <c r="F540" s="12"/>
      <c r="G540" s="18"/>
      <c r="H540" s="35"/>
      <c r="I540" s="35"/>
      <c r="J540" s="12"/>
      <c r="O540" s="12"/>
      <c r="P540" s="18"/>
      <c r="Q540" s="12"/>
      <c r="R540" s="12"/>
      <c r="S540" s="12"/>
      <c r="T540" s="36"/>
      <c r="U540" s="36"/>
      <c r="V540" s="12"/>
      <c r="W540" s="12"/>
      <c r="X540" s="12"/>
      <c r="Y540" s="12"/>
      <c r="Z540" s="12"/>
    </row>
    <row r="541" customFormat="false" ht="15.75" hidden="false" customHeight="false" outlineLevel="0" collapsed="false">
      <c r="A541" s="12"/>
      <c r="B541" s="34"/>
      <c r="C541" s="12"/>
      <c r="D541" s="12"/>
      <c r="E541" s="12"/>
      <c r="F541" s="12"/>
      <c r="G541" s="18"/>
      <c r="H541" s="35"/>
      <c r="I541" s="35"/>
      <c r="J541" s="12"/>
      <c r="O541" s="12"/>
      <c r="P541" s="18"/>
      <c r="Q541" s="12"/>
      <c r="R541" s="12"/>
      <c r="S541" s="12"/>
      <c r="T541" s="36"/>
      <c r="U541" s="36"/>
      <c r="V541" s="12"/>
      <c r="W541" s="12"/>
      <c r="X541" s="12"/>
      <c r="Y541" s="12"/>
      <c r="Z541" s="12"/>
    </row>
    <row r="542" customFormat="false" ht="15.75" hidden="false" customHeight="false" outlineLevel="0" collapsed="false">
      <c r="A542" s="12"/>
      <c r="B542" s="34"/>
      <c r="C542" s="12"/>
      <c r="D542" s="12"/>
      <c r="E542" s="12"/>
      <c r="F542" s="12"/>
      <c r="G542" s="18"/>
      <c r="H542" s="35"/>
      <c r="I542" s="35"/>
      <c r="J542" s="12"/>
      <c r="O542" s="12"/>
      <c r="P542" s="18"/>
      <c r="Q542" s="12"/>
      <c r="R542" s="12"/>
      <c r="S542" s="12"/>
      <c r="T542" s="36"/>
      <c r="U542" s="36"/>
      <c r="V542" s="12"/>
      <c r="W542" s="12"/>
      <c r="X542" s="12"/>
      <c r="Y542" s="12"/>
      <c r="Z542" s="12"/>
    </row>
    <row r="543" customFormat="false" ht="15.75" hidden="false" customHeight="false" outlineLevel="0" collapsed="false">
      <c r="A543" s="12"/>
      <c r="B543" s="34"/>
      <c r="C543" s="12"/>
      <c r="D543" s="12"/>
      <c r="E543" s="12"/>
      <c r="F543" s="12"/>
      <c r="G543" s="18"/>
      <c r="H543" s="35"/>
      <c r="I543" s="35"/>
      <c r="J543" s="12"/>
      <c r="O543" s="12"/>
      <c r="P543" s="18"/>
      <c r="Q543" s="12"/>
      <c r="R543" s="12"/>
      <c r="S543" s="12"/>
      <c r="T543" s="36"/>
      <c r="U543" s="36"/>
      <c r="V543" s="12"/>
      <c r="W543" s="12"/>
      <c r="X543" s="12"/>
      <c r="Y543" s="12"/>
      <c r="Z543" s="12"/>
    </row>
    <row r="544" customFormat="false" ht="15.75" hidden="false" customHeight="false" outlineLevel="0" collapsed="false">
      <c r="A544" s="12"/>
      <c r="B544" s="34"/>
      <c r="C544" s="12"/>
      <c r="D544" s="12"/>
      <c r="E544" s="12"/>
      <c r="F544" s="12"/>
      <c r="G544" s="18"/>
      <c r="H544" s="35"/>
      <c r="I544" s="35"/>
      <c r="J544" s="12"/>
      <c r="O544" s="12"/>
      <c r="P544" s="18"/>
      <c r="Q544" s="12"/>
      <c r="R544" s="12"/>
      <c r="S544" s="12"/>
      <c r="T544" s="36"/>
      <c r="U544" s="36"/>
      <c r="V544" s="12"/>
      <c r="W544" s="12"/>
      <c r="X544" s="12"/>
      <c r="Y544" s="12"/>
      <c r="Z544" s="12"/>
    </row>
    <row r="545" customFormat="false" ht="15.75" hidden="false" customHeight="false" outlineLevel="0" collapsed="false">
      <c r="A545" s="12"/>
      <c r="B545" s="34"/>
      <c r="C545" s="12"/>
      <c r="D545" s="12"/>
      <c r="E545" s="12"/>
      <c r="F545" s="12"/>
      <c r="G545" s="18"/>
      <c r="H545" s="35"/>
      <c r="I545" s="35"/>
      <c r="J545" s="12"/>
      <c r="O545" s="12"/>
      <c r="P545" s="18"/>
      <c r="Q545" s="12"/>
      <c r="R545" s="12"/>
      <c r="S545" s="12"/>
      <c r="T545" s="36"/>
      <c r="U545" s="36"/>
      <c r="V545" s="12"/>
      <c r="W545" s="12"/>
      <c r="X545" s="12"/>
      <c r="Y545" s="12"/>
      <c r="Z545" s="12"/>
    </row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AH68"/>
  <conditionalFormatting sqref="G2:G4 P2:P4">
    <cfRule type="containsText" priority="2" operator="containsText" aboveAverage="0" equalAverage="0" bottom="0" percent="0" rank="0" text="x" dxfId="0">
      <formula>NOT(ISERROR(SEARCH("x",G2)))</formula>
    </cfRule>
  </conditionalFormatting>
  <conditionalFormatting sqref="G2:J4 Q2:R4 W2:X4 Z2:Z4">
    <cfRule type="cellIs" priority="3" operator="equal" aboveAverage="0" equalAverage="0" bottom="0" percent="0" rank="0" text="" dxfId="0">
      <formula>"Completo"</formula>
    </cfRule>
    <cfRule type="cellIs" priority="4" operator="equal" aboveAverage="0" equalAverage="0" bottom="0" percent="0" rank="0" text="" dxfId="1">
      <formula>"No Aplica"</formula>
    </cfRule>
  </conditionalFormatting>
  <conditionalFormatting sqref="T2:U4">
    <cfRule type="expression" priority="5" aboveAverage="0" equalAverage="0" bottom="0" percent="0" rank="0" text="" dxfId="0">
      <formula>LEN(TRIM(T2))&gt;0</formula>
    </cfRule>
  </conditionalFormatting>
  <conditionalFormatting sqref="S2:S4">
    <cfRule type="expression" priority="6" aboveAverage="0" equalAverage="0" bottom="0" percent="0" rank="0" text="" dxfId="0">
      <formula>LEN(TRIM(S2))&gt;0</formula>
    </cfRule>
  </conditionalFormatting>
  <conditionalFormatting sqref="V2:V4">
    <cfRule type="expression" priority="7" aboveAverage="0" equalAverage="0" bottom="0" percent="0" rank="0" text="" dxfId="0">
      <formula>LEN(TRIM(V2))&gt;0</formula>
    </cfRule>
  </conditionalFormatting>
  <conditionalFormatting sqref="Y2:Y4">
    <cfRule type="expression" priority="8" aboveAverage="0" equalAverage="0" bottom="0" percent="0" rank="0" text="" dxfId="0">
      <formula>LEN(TRIM(Y2))&gt;0</formula>
    </cfRule>
  </conditionalFormatting>
  <conditionalFormatting sqref="Z2:Z4">
    <cfRule type="cellIs" priority="9" operator="equal" aboveAverage="0" equalAverage="0" bottom="0" percent="0" rank="0" text="" dxfId="0">
      <formula>"Completo"</formula>
    </cfRule>
    <cfRule type="cellIs" priority="10" operator="equal" aboveAverage="0" equalAverage="0" bottom="0" percent="0" rank="0" text="" dxfId="1">
      <formula>"No aplica"</formula>
    </cfRule>
  </conditionalFormatting>
  <conditionalFormatting sqref="T5:U545">
    <cfRule type="expression" priority="11" aboveAverage="0" equalAverage="0" bottom="0" percent="0" rank="0" text="" dxfId="0">
      <formula>LEN(TRIM(T5))&gt;0</formula>
    </cfRule>
  </conditionalFormatting>
  <conditionalFormatting sqref="S5:S545">
    <cfRule type="expression" priority="12" aboveAverage="0" equalAverage="0" bottom="0" percent="0" rank="0" text="" dxfId="0">
      <formula>LEN(TRIM(S5))&gt;0</formula>
    </cfRule>
  </conditionalFormatting>
  <conditionalFormatting sqref="G5:G545 P5:P545">
    <cfRule type="containsText" priority="13" operator="containsText" aboveAverage="0" equalAverage="0" bottom="0" percent="0" rank="0" text="x" dxfId="0">
      <formula>NOT(ISERROR(SEARCH("x",G5)))</formula>
    </cfRule>
  </conditionalFormatting>
  <conditionalFormatting sqref="V5:V545">
    <cfRule type="expression" priority="14" aboveAverage="0" equalAverage="0" bottom="0" percent="0" rank="0" text="" dxfId="0">
      <formula>LEN(TRIM(V5))&gt;0</formula>
    </cfRule>
  </conditionalFormatting>
  <conditionalFormatting sqref="Y5:Y545">
    <cfRule type="expression" priority="15" aboveAverage="0" equalAverage="0" bottom="0" percent="0" rank="0" text="" dxfId="0">
      <formula>LEN(TRIM(Y5))&gt;0</formula>
    </cfRule>
  </conditionalFormatting>
  <conditionalFormatting sqref="Z5:Z545">
    <cfRule type="cellIs" priority="16" operator="equal" aboveAverage="0" equalAverage="0" bottom="0" percent="0" rank="0" text="" dxfId="0">
      <formula>"Completo"</formula>
    </cfRule>
    <cfRule type="cellIs" priority="17" operator="equal" aboveAverage="0" equalAverage="0" bottom="0" percent="0" rank="0" text="" dxfId="1">
      <formula>"No aplica"</formula>
    </cfRule>
  </conditionalFormatting>
  <conditionalFormatting sqref="G5:J545 Q5:R545 W5:X545 Z5:Z545">
    <cfRule type="cellIs" priority="18" operator="equal" aboveAverage="0" equalAverage="0" bottom="0" percent="0" rank="0" text="" dxfId="0">
      <formula>"Completo"</formula>
    </cfRule>
    <cfRule type="cellIs" priority="19" operator="equal" aboveAverage="0" equalAverage="0" bottom="0" percent="0" rank="0" text="" dxfId="1">
      <formula>"No Aplica"</formula>
    </cfRule>
  </conditionalFormatting>
  <dataValidations count="6">
    <dataValidation allowBlank="true" errorStyle="stop" operator="between" showDropDown="false" showErrorMessage="true" showInputMessage="false" sqref="AA2:AA47" type="list">
      <formula1>"Aceptada,En espera,Rechazada,No aplica"</formula1>
      <formula2>0</formula2>
    </dataValidation>
    <dataValidation allowBlank="true" errorStyle="stop" operator="between" showDropDown="false" showErrorMessage="false" showInputMessage="false" sqref="V2:V545" type="list">
      <formula1>LEYENDA!$A$23:$A$24</formula1>
      <formula2>0</formula2>
    </dataValidation>
    <dataValidation allowBlank="true" errorStyle="stop" operator="between" showDropDown="false" showErrorMessage="false" showInputMessage="false" sqref="T2:T545" type="list">
      <formula1>LEYENDA!$A$15:$A$21</formula1>
      <formula2>0</formula2>
    </dataValidation>
    <dataValidation allowBlank="true" errorStyle="stop" operator="between" showDropDown="false" showErrorMessage="true" showInputMessage="false" sqref="D2:D545" type="list">
      <formula1>LEYENDA!$B$2:$D$2</formula1>
      <formula2>0</formula2>
    </dataValidation>
    <dataValidation allowBlank="true" errorStyle="stop" operator="between" showDropDown="false" showErrorMessage="true" showInputMessage="false" sqref="H2:J545 Q2:R545 W2:X545 Z2:Z545" type="list">
      <formula1>LEYENDA!$B$1:$C$1</formula1>
      <formula2>0</formula2>
    </dataValidation>
    <dataValidation allowBlank="true" errorStyle="stop" operator="between" showDropDown="false" showErrorMessage="false" showInputMessage="false" sqref="E2:E545" type="list">
      <formula1>LEYENDA!$A$8:$A$12</formula1>
      <formula2>0</formula2>
    </dataValidation>
  </dataValidations>
  <hyperlinks>
    <hyperlink ref="H2" r:id="rId1" display="Completo"/>
    <hyperlink ref="R2" r:id="rId2" display="Completo"/>
    <hyperlink ref="H3" r:id="rId3" display="Completo"/>
    <hyperlink ref="R3" r:id="rId4" display="Completo"/>
    <hyperlink ref="H4" r:id="rId5" display="Completo"/>
    <hyperlink ref="R4" r:id="rId6" display="Completo"/>
    <hyperlink ref="W4" r:id="rId7" display="Completo"/>
    <hyperlink ref="X4" r:id="rId8" display="Completo"/>
    <hyperlink ref="H5" r:id="rId9" display="Completo"/>
    <hyperlink ref="R5" r:id="rId10" display="Completo"/>
    <hyperlink ref="H7" r:id="rId11" display="Completo"/>
    <hyperlink ref="H10" r:id="rId12" display="Completo"/>
    <hyperlink ref="H11" r:id="rId13" display="Completo"/>
    <hyperlink ref="H13" r:id="rId14" display="Completo"/>
    <hyperlink ref="H14" r:id="rId15" display="Completo"/>
    <hyperlink ref="H15" r:id="rId16" display="Completo"/>
    <hyperlink ref="H18" r:id="rId17" display="Completo"/>
    <hyperlink ref="H19" r:id="rId18" display="Completo"/>
    <hyperlink ref="H20" r:id="rId19" display="Completo"/>
    <hyperlink ref="H21" r:id="rId20" display="Completo"/>
    <hyperlink ref="H22" r:id="rId21" display="Completo"/>
    <hyperlink ref="W22" r:id="rId22" display="Completo"/>
    <hyperlink ref="X22" r:id="rId23" display="Completo"/>
    <hyperlink ref="H23" r:id="rId24" display="Completo"/>
    <hyperlink ref="W23" r:id="rId25" display="Completo"/>
    <hyperlink ref="X23" r:id="rId26" display="Completo"/>
    <hyperlink ref="H24" r:id="rId27" display="Completo"/>
    <hyperlink ref="W24" r:id="rId28" display="Completo"/>
    <hyperlink ref="X24" r:id="rId29" display="Completo"/>
    <hyperlink ref="H25" r:id="rId30" display="Completo"/>
    <hyperlink ref="W25" r:id="rId31" display="Completo"/>
    <hyperlink ref="X25" r:id="rId32" display="Completo"/>
    <hyperlink ref="H26" r:id="rId33" display="Completo"/>
    <hyperlink ref="W26" r:id="rId34" display="Completo"/>
    <hyperlink ref="X26" r:id="rId35" display="Completo"/>
    <hyperlink ref="H27" r:id="rId36" display="Completo"/>
    <hyperlink ref="W27" r:id="rId37" display="Completo"/>
    <hyperlink ref="X27" r:id="rId38" display="Completo"/>
    <hyperlink ref="H28" r:id="rId39" display="Completo"/>
    <hyperlink ref="W28" r:id="rId40" display="Completo"/>
    <hyperlink ref="X28" r:id="rId41" display="Completo"/>
    <hyperlink ref="H32" r:id="rId42" display="Completo"/>
    <hyperlink ref="W32" r:id="rId43" display="Completo"/>
    <hyperlink ref="X32" r:id="rId44" display="Completo"/>
    <hyperlink ref="H33" r:id="rId45" display="Completo"/>
    <hyperlink ref="R33" r:id="rId46" display="Completo"/>
    <hyperlink ref="H34" r:id="rId47" display="Completo"/>
    <hyperlink ref="H35" r:id="rId48" display="Completo"/>
    <hyperlink ref="R35" r:id="rId49" display="Completo"/>
    <hyperlink ref="W35" r:id="rId50" display="Completo"/>
    <hyperlink ref="X35" r:id="rId51" display="Completo"/>
    <hyperlink ref="H36" r:id="rId52" display="Completo"/>
    <hyperlink ref="R36" r:id="rId53" display="Completo"/>
    <hyperlink ref="W36" r:id="rId54" display="Completo"/>
    <hyperlink ref="X36" r:id="rId55" display="Completo"/>
    <hyperlink ref="H37" r:id="rId56" display="Completo"/>
    <hyperlink ref="W37" r:id="rId57" display="Completo"/>
    <hyperlink ref="H38" r:id="rId58" display="Completo"/>
    <hyperlink ref="W38" r:id="rId59" display="Completo"/>
    <hyperlink ref="X38" r:id="rId60" display="Completo"/>
    <hyperlink ref="R42" r:id="rId61" display="Completo"/>
  </hyperlinks>
  <printOptions headings="false" gridLines="true" gridLinesSet="true" horizontalCentered="true" verticalCentered="false"/>
  <pageMargins left="0.7" right="0.7" top="0.75" bottom="0.75" header="0.511811023622047" footer="0.511811023622047"/>
  <pageSetup paperSize="9" scale="100" fitToWidth="1" fitToHeight="0" pageOrder="overThenDown" orientation="landscape" blackAndWhite="false" draft="false" cellComments="none" horizontalDpi="300" verticalDpi="300" copies="1"/>
  <headerFooter differentFirst="false" differentOddEven="false">
    <oddHeader/>
    <oddFooter/>
  </headerFooter>
  <drawing r:id="rId6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XFD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7" ySplit="3" topLeftCell="H4" activePane="bottomRight" state="frozen"/>
      <selection pane="topLeft" activeCell="A1" activeCellId="0" sqref="A1"/>
      <selection pane="topRight" activeCell="H1" activeCellId="0" sqref="H1"/>
      <selection pane="bottomLeft" activeCell="A4" activeCellId="0" sqref="A4"/>
      <selection pane="bottomRight" activeCell="C8" activeCellId="0" sqref="C8"/>
    </sheetView>
  </sheetViews>
  <sheetFormatPr defaultColWidth="12.6328125" defaultRowHeight="15.75" zeroHeight="false" outlineLevelRow="0" outlineLevelCol="0"/>
  <cols>
    <col collapsed="false" customWidth="true" hidden="false" outlineLevel="0" max="1" min="1" style="1" width="10.25"/>
    <col collapsed="false" customWidth="true" hidden="false" outlineLevel="0" max="2" min="2" style="1" width="10.38"/>
    <col collapsed="false" customWidth="true" hidden="false" outlineLevel="0" max="4" min="3" style="1" width="16.38"/>
    <col collapsed="false" customWidth="true" hidden="false" outlineLevel="0" max="5" min="5" style="1" width="18.25"/>
    <col collapsed="false" customWidth="true" hidden="false" outlineLevel="0" max="6" min="6" style="1" width="29.38"/>
    <col collapsed="false" customWidth="true" hidden="false" outlineLevel="0" max="7" min="7" style="1" width="14.13"/>
    <col collapsed="false" customWidth="true" hidden="false" outlineLevel="0" max="8" min="8" style="1" width="10.13"/>
    <col collapsed="false" customWidth="true" hidden="true" outlineLevel="0" max="9" min="9" style="1" width="10.13"/>
    <col collapsed="false" customWidth="true" hidden="false" outlineLevel="0" max="10" min="10" style="1" width="12.88"/>
    <col collapsed="false" customWidth="true" hidden="false" outlineLevel="0" max="12" min="11" style="1" width="12"/>
    <col collapsed="false" customWidth="true" hidden="false" outlineLevel="0" max="13" min="13" style="1" width="10"/>
    <col collapsed="false" customWidth="true" hidden="false" outlineLevel="0" max="14" min="14" style="1" width="12.25"/>
    <col collapsed="false" customWidth="true" hidden="false" outlineLevel="0" max="15" min="15" style="1" width="26.12"/>
    <col collapsed="false" customWidth="true" hidden="true" outlineLevel="0" max="16" min="16" style="1" width="18"/>
    <col collapsed="false" customWidth="true" hidden="false" outlineLevel="0" max="18" min="17" style="1" width="10.63"/>
    <col collapsed="false" customWidth="true" hidden="false" outlineLevel="0" max="19" min="19" style="1" width="8.5"/>
    <col collapsed="false" customWidth="true" hidden="false" outlineLevel="0" max="21" min="21" style="1" width="25.38"/>
    <col collapsed="false" customWidth="true" hidden="false" outlineLevel="0" max="22" min="22" style="1" width="18.13"/>
    <col collapsed="false" customWidth="true" hidden="false" outlineLevel="0" max="23" min="23" style="1" width="10.13"/>
    <col collapsed="false" customWidth="true" hidden="false" outlineLevel="0" max="24" min="24" style="1" width="11.38"/>
    <col collapsed="false" customWidth="true" hidden="false" outlineLevel="0" max="25" min="25" style="1" width="24.38"/>
    <col collapsed="false" customWidth="true" hidden="false" outlineLevel="0" max="27" min="27" style="1" width="13.5"/>
    <col collapsed="false" customWidth="true" hidden="false" outlineLevel="0" max="16384" min="16384" style="1" width="11.53"/>
  </cols>
  <sheetData>
    <row r="1" customFormat="false" ht="42.5" hidden="false" customHeight="false" outlineLevel="0" collapsed="false">
      <c r="A1" s="2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/>
      <c r="J1" s="4" t="s">
        <v>8</v>
      </c>
      <c r="K1" s="2"/>
      <c r="L1" s="2" t="s">
        <v>9</v>
      </c>
      <c r="M1" s="2" t="s">
        <v>10</v>
      </c>
      <c r="N1" s="4" t="s">
        <v>11</v>
      </c>
      <c r="O1" s="3" t="s">
        <v>12</v>
      </c>
      <c r="P1" s="7" t="s">
        <v>13</v>
      </c>
      <c r="Q1" s="7" t="s">
        <v>14</v>
      </c>
      <c r="R1" s="7" t="s">
        <v>15</v>
      </c>
      <c r="S1" s="7" t="s">
        <v>16</v>
      </c>
      <c r="T1" s="7" t="s">
        <v>17</v>
      </c>
      <c r="U1" s="8" t="s">
        <v>18</v>
      </c>
      <c r="V1" s="9" t="s">
        <v>19</v>
      </c>
      <c r="W1" s="9" t="s">
        <v>20</v>
      </c>
      <c r="X1" s="10" t="s">
        <v>15</v>
      </c>
      <c r="Y1" s="11" t="s">
        <v>21</v>
      </c>
      <c r="Z1" s="11" t="s">
        <v>22</v>
      </c>
      <c r="AA1" s="12"/>
      <c r="AB1" s="12"/>
      <c r="AC1" s="12"/>
      <c r="AD1" s="12"/>
      <c r="AE1" s="12"/>
      <c r="AF1" s="12"/>
      <c r="XFD1" s="0"/>
    </row>
    <row r="2" customFormat="false" ht="15.75" hidden="false" customHeight="false" outlineLevel="0" collapsed="false">
      <c r="A2" s="42" t="n">
        <v>1932865</v>
      </c>
      <c r="B2" s="14" t="n">
        <v>45446</v>
      </c>
      <c r="C2" s="21" t="s">
        <v>599</v>
      </c>
      <c r="D2" s="21" t="s">
        <v>290</v>
      </c>
      <c r="E2" s="21" t="s">
        <v>25</v>
      </c>
      <c r="F2" s="16" t="s">
        <v>600</v>
      </c>
      <c r="G2" s="16" t="s">
        <v>601</v>
      </c>
      <c r="H2" s="17" t="s">
        <v>28</v>
      </c>
      <c r="I2" s="16"/>
      <c r="J2" s="16" t="s">
        <v>28</v>
      </c>
      <c r="K2" s="16" t="s">
        <v>29</v>
      </c>
      <c r="L2" s="16" t="s">
        <v>29</v>
      </c>
      <c r="M2" s="16" t="s">
        <v>29</v>
      </c>
      <c r="N2" s="16" t="s">
        <v>29</v>
      </c>
      <c r="O2" s="16" t="s">
        <v>36</v>
      </c>
      <c r="P2" s="16"/>
      <c r="Q2" s="16" t="s">
        <v>28</v>
      </c>
      <c r="R2" s="17" t="s">
        <v>28</v>
      </c>
      <c r="S2" s="16" t="s">
        <v>36</v>
      </c>
      <c r="T2" s="16" t="s">
        <v>222</v>
      </c>
      <c r="U2" s="16" t="s">
        <v>36</v>
      </c>
      <c r="V2" s="16" t="s">
        <v>36</v>
      </c>
      <c r="W2" s="16" t="s">
        <v>37</v>
      </c>
      <c r="X2" s="16" t="s">
        <v>37</v>
      </c>
      <c r="Y2" s="16" t="s">
        <v>36</v>
      </c>
      <c r="Z2" s="16" t="s">
        <v>28</v>
      </c>
      <c r="AA2" s="12" t="s">
        <v>32</v>
      </c>
    </row>
    <row r="3" customFormat="false" ht="15.75" hidden="false" customHeight="false" outlineLevel="0" collapsed="false">
      <c r="A3" s="19" t="n">
        <v>7985</v>
      </c>
      <c r="B3" s="14" t="n">
        <v>45446</v>
      </c>
      <c r="C3" s="21" t="s">
        <v>296</v>
      </c>
      <c r="D3" s="21" t="s">
        <v>24</v>
      </c>
      <c r="E3" s="21" t="s">
        <v>25</v>
      </c>
      <c r="F3" s="16" t="s">
        <v>602</v>
      </c>
      <c r="G3" s="16"/>
      <c r="H3" s="17" t="s">
        <v>28</v>
      </c>
      <c r="I3" s="16"/>
      <c r="J3" s="16" t="s">
        <v>28</v>
      </c>
      <c r="K3" s="16" t="s">
        <v>29</v>
      </c>
      <c r="L3" s="16" t="s">
        <v>29</v>
      </c>
      <c r="M3" s="16" t="s">
        <v>29</v>
      </c>
      <c r="N3" s="16" t="s">
        <v>29</v>
      </c>
      <c r="O3" s="16" t="s">
        <v>36</v>
      </c>
      <c r="P3" s="16"/>
      <c r="Q3" s="16" t="s">
        <v>28</v>
      </c>
      <c r="R3" s="17" t="s">
        <v>28</v>
      </c>
      <c r="S3" s="16" t="s">
        <v>29</v>
      </c>
      <c r="T3" s="16" t="s">
        <v>603</v>
      </c>
      <c r="U3" s="16" t="s">
        <v>36</v>
      </c>
      <c r="V3" s="16" t="s">
        <v>74</v>
      </c>
      <c r="W3" s="17" t="s">
        <v>28</v>
      </c>
      <c r="X3" s="17" t="s">
        <v>28</v>
      </c>
      <c r="Y3" s="16" t="s">
        <v>36</v>
      </c>
      <c r="Z3" s="16" t="s">
        <v>28</v>
      </c>
      <c r="AA3" s="12" t="s">
        <v>32</v>
      </c>
    </row>
    <row r="4" customFormat="false" ht="15.75" hidden="false" customHeight="false" outlineLevel="0" collapsed="false">
      <c r="A4" s="19" t="n">
        <v>7986</v>
      </c>
      <c r="B4" s="14" t="n">
        <v>45446</v>
      </c>
      <c r="C4" s="16" t="s">
        <v>33</v>
      </c>
      <c r="D4" s="16" t="s">
        <v>24</v>
      </c>
      <c r="E4" s="16" t="s">
        <v>34</v>
      </c>
      <c r="F4" s="16" t="s">
        <v>604</v>
      </c>
      <c r="G4" s="16" t="s">
        <v>36</v>
      </c>
      <c r="H4" s="16" t="s">
        <v>37</v>
      </c>
      <c r="I4" s="16"/>
      <c r="J4" s="16" t="s">
        <v>37</v>
      </c>
      <c r="K4" s="16" t="s">
        <v>36</v>
      </c>
      <c r="L4" s="16" t="s">
        <v>36</v>
      </c>
      <c r="M4" s="16" t="s">
        <v>36</v>
      </c>
      <c r="N4" s="16" t="s">
        <v>36</v>
      </c>
      <c r="O4" s="16" t="s">
        <v>36</v>
      </c>
      <c r="P4" s="16"/>
      <c r="Q4" s="16" t="s">
        <v>37</v>
      </c>
      <c r="R4" s="16" t="s">
        <v>37</v>
      </c>
      <c r="S4" s="16" t="s">
        <v>36</v>
      </c>
      <c r="T4" s="16" t="s">
        <v>36</v>
      </c>
      <c r="U4" s="16" t="s">
        <v>36</v>
      </c>
      <c r="V4" s="16" t="s">
        <v>36</v>
      </c>
      <c r="W4" s="16" t="s">
        <v>37</v>
      </c>
      <c r="X4" s="16" t="s">
        <v>37</v>
      </c>
      <c r="Y4" s="16" t="s">
        <v>36</v>
      </c>
      <c r="Z4" s="16" t="s">
        <v>28</v>
      </c>
      <c r="AA4" s="12" t="s">
        <v>32</v>
      </c>
    </row>
    <row r="5" customFormat="false" ht="15.75" hidden="false" customHeight="false" outlineLevel="0" collapsed="false">
      <c r="A5" s="19" t="n">
        <v>7987</v>
      </c>
      <c r="B5" s="14" t="n">
        <v>45447</v>
      </c>
      <c r="C5" s="16" t="s">
        <v>357</v>
      </c>
      <c r="D5" s="16" t="s">
        <v>24</v>
      </c>
      <c r="E5" s="16" t="s">
        <v>34</v>
      </c>
      <c r="F5" s="16" t="s">
        <v>605</v>
      </c>
      <c r="G5" s="16" t="s">
        <v>606</v>
      </c>
      <c r="H5" s="16" t="s">
        <v>37</v>
      </c>
      <c r="I5" s="16"/>
      <c r="J5" s="16" t="s">
        <v>37</v>
      </c>
      <c r="K5" s="16" t="s">
        <v>36</v>
      </c>
      <c r="L5" s="16" t="s">
        <v>36</v>
      </c>
      <c r="M5" s="16" t="s">
        <v>36</v>
      </c>
      <c r="N5" s="16" t="s">
        <v>36</v>
      </c>
      <c r="O5" s="16" t="s">
        <v>36</v>
      </c>
      <c r="P5" s="16"/>
      <c r="Q5" s="16" t="s">
        <v>37</v>
      </c>
      <c r="R5" s="16" t="s">
        <v>37</v>
      </c>
      <c r="S5" s="16" t="s">
        <v>36</v>
      </c>
      <c r="T5" s="16" t="s">
        <v>36</v>
      </c>
      <c r="U5" s="16" t="s">
        <v>36</v>
      </c>
      <c r="V5" s="16" t="s">
        <v>36</v>
      </c>
      <c r="W5" s="16" t="s">
        <v>37</v>
      </c>
      <c r="X5" s="16" t="s">
        <v>37</v>
      </c>
      <c r="Y5" s="16" t="s">
        <v>36</v>
      </c>
      <c r="Z5" s="16" t="s">
        <v>28</v>
      </c>
      <c r="AA5" s="12" t="s">
        <v>32</v>
      </c>
    </row>
    <row r="6" customFormat="false" ht="15.75" hidden="false" customHeight="false" outlineLevel="0" collapsed="false">
      <c r="A6" s="19" t="n">
        <v>7988</v>
      </c>
      <c r="B6" s="14" t="n">
        <v>45447</v>
      </c>
      <c r="C6" s="21" t="s">
        <v>357</v>
      </c>
      <c r="D6" s="21" t="s">
        <v>24</v>
      </c>
      <c r="E6" s="21" t="s">
        <v>34</v>
      </c>
      <c r="F6" s="16" t="s">
        <v>607</v>
      </c>
      <c r="G6" s="16" t="s">
        <v>608</v>
      </c>
      <c r="H6" s="16" t="s">
        <v>37</v>
      </c>
      <c r="I6" s="16"/>
      <c r="J6" s="16" t="s">
        <v>37</v>
      </c>
      <c r="K6" s="16" t="s">
        <v>36</v>
      </c>
      <c r="L6" s="16" t="s">
        <v>36</v>
      </c>
      <c r="M6" s="16" t="s">
        <v>36</v>
      </c>
      <c r="N6" s="16" t="s">
        <v>36</v>
      </c>
      <c r="O6" s="16" t="s">
        <v>36</v>
      </c>
      <c r="P6" s="16"/>
      <c r="Q6" s="16" t="s">
        <v>37</v>
      </c>
      <c r="R6" s="16" t="s">
        <v>37</v>
      </c>
      <c r="S6" s="16" t="s">
        <v>36</v>
      </c>
      <c r="T6" s="16" t="s">
        <v>36</v>
      </c>
      <c r="U6" s="16" t="s">
        <v>36</v>
      </c>
      <c r="V6" s="16" t="s">
        <v>36</v>
      </c>
      <c r="W6" s="16" t="s">
        <v>37</v>
      </c>
      <c r="X6" s="16" t="s">
        <v>37</v>
      </c>
      <c r="Y6" s="16" t="s">
        <v>36</v>
      </c>
      <c r="Z6" s="16" t="s">
        <v>28</v>
      </c>
      <c r="AA6" s="12" t="s">
        <v>32</v>
      </c>
    </row>
    <row r="7" customFormat="false" ht="15.75" hidden="false" customHeight="false" outlineLevel="0" collapsed="false">
      <c r="A7" s="19" t="n">
        <v>7989</v>
      </c>
      <c r="B7" s="14" t="n">
        <v>45447</v>
      </c>
      <c r="C7" s="16" t="s">
        <v>136</v>
      </c>
      <c r="D7" s="21" t="s">
        <v>24</v>
      </c>
      <c r="E7" s="21" t="s">
        <v>34</v>
      </c>
      <c r="F7" s="16" t="s">
        <v>609</v>
      </c>
      <c r="G7" s="16" t="s">
        <v>36</v>
      </c>
      <c r="H7" s="16" t="s">
        <v>37</v>
      </c>
      <c r="I7" s="16"/>
      <c r="J7" s="16" t="s">
        <v>37</v>
      </c>
      <c r="K7" s="16" t="s">
        <v>36</v>
      </c>
      <c r="L7" s="16" t="s">
        <v>36</v>
      </c>
      <c r="M7" s="16" t="s">
        <v>36</v>
      </c>
      <c r="N7" s="16" t="s">
        <v>36</v>
      </c>
      <c r="O7" s="16" t="s">
        <v>36</v>
      </c>
      <c r="P7" s="16"/>
      <c r="Q7" s="16" t="s">
        <v>37</v>
      </c>
      <c r="R7" s="16" t="s">
        <v>37</v>
      </c>
      <c r="S7" s="16" t="s">
        <v>36</v>
      </c>
      <c r="T7" s="16" t="s">
        <v>36</v>
      </c>
      <c r="U7" s="16" t="s">
        <v>36</v>
      </c>
      <c r="V7" s="16" t="s">
        <v>36</v>
      </c>
      <c r="W7" s="16" t="s">
        <v>37</v>
      </c>
      <c r="X7" s="16" t="s">
        <v>37</v>
      </c>
      <c r="Y7" s="16" t="s">
        <v>36</v>
      </c>
      <c r="Z7" s="16" t="s">
        <v>28</v>
      </c>
      <c r="AA7" s="12" t="s">
        <v>32</v>
      </c>
    </row>
    <row r="8" customFormat="false" ht="15.75" hidden="false" customHeight="false" outlineLevel="0" collapsed="false">
      <c r="A8" s="19" t="n">
        <v>7990</v>
      </c>
      <c r="B8" s="14" t="n">
        <v>45447</v>
      </c>
      <c r="C8" s="16" t="s">
        <v>136</v>
      </c>
      <c r="D8" s="21" t="s">
        <v>24</v>
      </c>
      <c r="E8" s="21" t="s">
        <v>34</v>
      </c>
      <c r="F8" s="16" t="s">
        <v>610</v>
      </c>
      <c r="G8" s="16" t="s">
        <v>36</v>
      </c>
      <c r="H8" s="16" t="s">
        <v>37</v>
      </c>
      <c r="I8" s="16"/>
      <c r="J8" s="16" t="s">
        <v>37</v>
      </c>
      <c r="K8" s="16" t="s">
        <v>36</v>
      </c>
      <c r="L8" s="16" t="s">
        <v>36</v>
      </c>
      <c r="M8" s="16" t="s">
        <v>36</v>
      </c>
      <c r="N8" s="16" t="s">
        <v>36</v>
      </c>
      <c r="O8" s="16" t="s">
        <v>36</v>
      </c>
      <c r="P8" s="16"/>
      <c r="Q8" s="16" t="s">
        <v>37</v>
      </c>
      <c r="R8" s="16" t="s">
        <v>37</v>
      </c>
      <c r="S8" s="16" t="s">
        <v>36</v>
      </c>
      <c r="T8" s="16" t="s">
        <v>36</v>
      </c>
      <c r="U8" s="16" t="s">
        <v>36</v>
      </c>
      <c r="V8" s="16" t="s">
        <v>36</v>
      </c>
      <c r="W8" s="16" t="s">
        <v>37</v>
      </c>
      <c r="X8" s="16" t="s">
        <v>37</v>
      </c>
      <c r="Y8" s="16" t="s">
        <v>36</v>
      </c>
      <c r="Z8" s="16" t="s">
        <v>28</v>
      </c>
      <c r="AA8" s="12" t="s">
        <v>32</v>
      </c>
    </row>
    <row r="9" customFormat="false" ht="15.75" hidden="false" customHeight="false" outlineLevel="0" collapsed="false">
      <c r="A9" s="19" t="n">
        <v>7991</v>
      </c>
      <c r="B9" s="14" t="n">
        <v>45447</v>
      </c>
      <c r="C9" s="16" t="s">
        <v>136</v>
      </c>
      <c r="D9" s="21" t="s">
        <v>24</v>
      </c>
      <c r="E9" s="21" t="s">
        <v>34</v>
      </c>
      <c r="F9" s="16" t="s">
        <v>611</v>
      </c>
      <c r="G9" s="16" t="s">
        <v>36</v>
      </c>
      <c r="H9" s="16" t="s">
        <v>37</v>
      </c>
      <c r="I9" s="16"/>
      <c r="J9" s="16" t="s">
        <v>37</v>
      </c>
      <c r="K9" s="16" t="s">
        <v>36</v>
      </c>
      <c r="L9" s="16" t="s">
        <v>36</v>
      </c>
      <c r="M9" s="16" t="s">
        <v>36</v>
      </c>
      <c r="N9" s="16" t="s">
        <v>36</v>
      </c>
      <c r="O9" s="16" t="s">
        <v>36</v>
      </c>
      <c r="P9" s="16"/>
      <c r="Q9" s="16" t="s">
        <v>37</v>
      </c>
      <c r="R9" s="16" t="s">
        <v>37</v>
      </c>
      <c r="S9" s="16" t="s">
        <v>36</v>
      </c>
      <c r="T9" s="16" t="s">
        <v>36</v>
      </c>
      <c r="U9" s="16" t="s">
        <v>36</v>
      </c>
      <c r="V9" s="16" t="s">
        <v>36</v>
      </c>
      <c r="W9" s="16" t="s">
        <v>37</v>
      </c>
      <c r="X9" s="16" t="s">
        <v>37</v>
      </c>
      <c r="Y9" s="16" t="s">
        <v>36</v>
      </c>
      <c r="Z9" s="16" t="s">
        <v>28</v>
      </c>
      <c r="AA9" s="12" t="s">
        <v>48</v>
      </c>
    </row>
    <row r="10" customFormat="false" ht="15.75" hidden="false" customHeight="false" outlineLevel="0" collapsed="false">
      <c r="A10" s="19" t="n">
        <v>7992</v>
      </c>
      <c r="B10" s="14" t="n">
        <v>45447</v>
      </c>
      <c r="C10" s="16" t="s">
        <v>67</v>
      </c>
      <c r="D10" s="16" t="s">
        <v>24</v>
      </c>
      <c r="E10" s="16" t="s">
        <v>25</v>
      </c>
      <c r="F10" s="16" t="s">
        <v>612</v>
      </c>
      <c r="G10" s="16" t="s">
        <v>36</v>
      </c>
      <c r="H10" s="17" t="s">
        <v>28</v>
      </c>
      <c r="I10" s="16"/>
      <c r="J10" s="16" t="s">
        <v>28</v>
      </c>
      <c r="K10" s="16" t="s">
        <v>29</v>
      </c>
      <c r="L10" s="16" t="s">
        <v>29</v>
      </c>
      <c r="M10" s="16" t="s">
        <v>29</v>
      </c>
      <c r="N10" s="16" t="s">
        <v>29</v>
      </c>
      <c r="O10" s="16" t="s">
        <v>36</v>
      </c>
      <c r="P10" s="16"/>
      <c r="Q10" s="16"/>
      <c r="R10" s="16"/>
      <c r="S10" s="16"/>
      <c r="T10" s="16"/>
      <c r="U10" s="16" t="s">
        <v>36</v>
      </c>
      <c r="V10" s="16" t="s">
        <v>74</v>
      </c>
      <c r="W10" s="16" t="s">
        <v>28</v>
      </c>
      <c r="X10" s="16" t="s">
        <v>28</v>
      </c>
      <c r="Y10" s="16" t="s">
        <v>36</v>
      </c>
      <c r="Z10" s="16"/>
      <c r="AA10" s="12" t="s">
        <v>32</v>
      </c>
    </row>
    <row r="11" customFormat="false" ht="15.75" hidden="false" customHeight="false" outlineLevel="0" collapsed="false">
      <c r="A11" s="19" t="n">
        <v>7993</v>
      </c>
      <c r="B11" s="14" t="n">
        <v>45447</v>
      </c>
      <c r="C11" s="16" t="s">
        <v>613</v>
      </c>
      <c r="D11" s="16" t="s">
        <v>24</v>
      </c>
      <c r="E11" s="16" t="s">
        <v>25</v>
      </c>
      <c r="F11" s="16" t="s">
        <v>614</v>
      </c>
      <c r="G11" s="16" t="s">
        <v>615</v>
      </c>
      <c r="H11" s="17" t="s">
        <v>28</v>
      </c>
      <c r="I11" s="16"/>
      <c r="J11" s="16" t="s">
        <v>28</v>
      </c>
      <c r="K11" s="16" t="s">
        <v>29</v>
      </c>
      <c r="L11" s="16" t="s">
        <v>29</v>
      </c>
      <c r="M11" s="16" t="s">
        <v>29</v>
      </c>
      <c r="N11" s="16" t="s">
        <v>29</v>
      </c>
      <c r="O11" s="16" t="s">
        <v>36</v>
      </c>
      <c r="P11" s="16"/>
      <c r="Q11" s="16" t="s">
        <v>28</v>
      </c>
      <c r="R11" s="16" t="s">
        <v>37</v>
      </c>
      <c r="S11" s="16" t="s">
        <v>36</v>
      </c>
      <c r="T11" s="16" t="s">
        <v>36</v>
      </c>
      <c r="U11" s="16" t="s">
        <v>36</v>
      </c>
      <c r="V11" s="16" t="s">
        <v>36</v>
      </c>
      <c r="W11" s="16" t="s">
        <v>37</v>
      </c>
      <c r="X11" s="16" t="s">
        <v>37</v>
      </c>
      <c r="Y11" s="16" t="s">
        <v>36</v>
      </c>
      <c r="Z11" s="16" t="s">
        <v>28</v>
      </c>
      <c r="AA11" s="12" t="s">
        <v>156</v>
      </c>
    </row>
    <row r="12" customFormat="false" ht="15.75" hidden="false" customHeight="false" outlineLevel="0" collapsed="false">
      <c r="A12" s="19" t="n">
        <v>7994</v>
      </c>
      <c r="B12" s="14" t="n">
        <v>45447</v>
      </c>
      <c r="C12" s="16" t="s">
        <v>616</v>
      </c>
      <c r="D12" s="16" t="s">
        <v>24</v>
      </c>
      <c r="E12" s="16" t="s">
        <v>25</v>
      </c>
      <c r="F12" s="16" t="s">
        <v>127</v>
      </c>
      <c r="G12" s="16"/>
      <c r="H12" s="17" t="s">
        <v>28</v>
      </c>
      <c r="I12" s="16"/>
      <c r="J12" s="16" t="s">
        <v>28</v>
      </c>
      <c r="K12" s="16" t="s">
        <v>29</v>
      </c>
      <c r="L12" s="16" t="s">
        <v>29</v>
      </c>
      <c r="M12" s="16" t="s">
        <v>29</v>
      </c>
      <c r="N12" s="16" t="s">
        <v>29</v>
      </c>
      <c r="O12" s="16" t="s">
        <v>36</v>
      </c>
      <c r="P12" s="16"/>
      <c r="Q12" s="16"/>
      <c r="R12" s="16"/>
      <c r="S12" s="16"/>
      <c r="T12" s="16"/>
      <c r="U12" s="16" t="s">
        <v>36</v>
      </c>
      <c r="V12" s="16"/>
      <c r="W12" s="16"/>
      <c r="X12" s="16"/>
      <c r="Y12" s="16"/>
      <c r="Z12" s="16" t="s">
        <v>28</v>
      </c>
      <c r="AA12" s="12" t="s">
        <v>156</v>
      </c>
    </row>
    <row r="13" customFormat="false" ht="15.75" hidden="false" customHeight="false" outlineLevel="0" collapsed="false">
      <c r="A13" s="19" t="n">
        <v>7995</v>
      </c>
      <c r="B13" s="14" t="n">
        <v>45447</v>
      </c>
      <c r="C13" s="16" t="s">
        <v>616</v>
      </c>
      <c r="D13" s="16" t="s">
        <v>24</v>
      </c>
      <c r="E13" s="21" t="s">
        <v>25</v>
      </c>
      <c r="F13" s="16" t="s">
        <v>127</v>
      </c>
      <c r="G13" s="16"/>
      <c r="H13" s="17" t="s">
        <v>28</v>
      </c>
      <c r="I13" s="16"/>
      <c r="J13" s="16" t="s">
        <v>28</v>
      </c>
      <c r="K13" s="16" t="s">
        <v>29</v>
      </c>
      <c r="L13" s="16" t="s">
        <v>29</v>
      </c>
      <c r="M13" s="16" t="s">
        <v>29</v>
      </c>
      <c r="N13" s="16" t="s">
        <v>29</v>
      </c>
      <c r="O13" s="16" t="s">
        <v>36</v>
      </c>
      <c r="P13" s="16"/>
      <c r="Q13" s="16"/>
      <c r="R13" s="16"/>
      <c r="S13" s="16"/>
      <c r="T13" s="16"/>
      <c r="U13" s="16" t="s">
        <v>36</v>
      </c>
      <c r="V13" s="16"/>
      <c r="W13" s="16"/>
      <c r="X13" s="16"/>
      <c r="Y13" s="16"/>
      <c r="Z13" s="16" t="s">
        <v>28</v>
      </c>
      <c r="AA13" s="12" t="s">
        <v>156</v>
      </c>
    </row>
    <row r="14" customFormat="false" ht="15.75" hidden="false" customHeight="false" outlineLevel="0" collapsed="false">
      <c r="A14" s="19" t="n">
        <v>7996</v>
      </c>
      <c r="B14" s="14" t="n">
        <v>45447</v>
      </c>
      <c r="C14" s="16" t="s">
        <v>176</v>
      </c>
      <c r="D14" s="16" t="s">
        <v>24</v>
      </c>
      <c r="E14" s="21" t="s">
        <v>25</v>
      </c>
      <c r="F14" s="16" t="s">
        <v>617</v>
      </c>
      <c r="G14" s="16" t="s">
        <v>618</v>
      </c>
      <c r="H14" s="17" t="s">
        <v>28</v>
      </c>
      <c r="I14" s="16"/>
      <c r="J14" s="16" t="s">
        <v>28</v>
      </c>
      <c r="K14" s="16" t="s">
        <v>29</v>
      </c>
      <c r="L14" s="16" t="s">
        <v>29</v>
      </c>
      <c r="M14" s="16" t="s">
        <v>29</v>
      </c>
      <c r="N14" s="16" t="n">
        <v>8794</v>
      </c>
      <c r="O14" s="16" t="s">
        <v>36</v>
      </c>
      <c r="P14" s="16"/>
      <c r="Q14" s="16" t="s">
        <v>37</v>
      </c>
      <c r="R14" s="16" t="s">
        <v>37</v>
      </c>
      <c r="S14" s="16" t="s">
        <v>36</v>
      </c>
      <c r="T14" s="16" t="s">
        <v>36</v>
      </c>
      <c r="U14" s="16" t="s">
        <v>36</v>
      </c>
      <c r="V14" s="16" t="s">
        <v>36</v>
      </c>
      <c r="W14" s="16" t="s">
        <v>37</v>
      </c>
      <c r="X14" s="16" t="s">
        <v>37</v>
      </c>
      <c r="Y14" s="16" t="s">
        <v>36</v>
      </c>
      <c r="Z14" s="16" t="s">
        <v>37</v>
      </c>
      <c r="AA14" s="12" t="s">
        <v>32</v>
      </c>
    </row>
    <row r="15" customFormat="false" ht="15.75" hidden="false" customHeight="false" outlineLevel="0" collapsed="false">
      <c r="A15" s="19" t="n">
        <v>7997</v>
      </c>
      <c r="B15" s="14" t="n">
        <v>45447</v>
      </c>
      <c r="C15" s="16" t="s">
        <v>176</v>
      </c>
      <c r="D15" s="16" t="s">
        <v>24</v>
      </c>
      <c r="E15" s="16" t="s">
        <v>25</v>
      </c>
      <c r="F15" s="24" t="s">
        <v>619</v>
      </c>
      <c r="G15" s="16" t="s">
        <v>620</v>
      </c>
      <c r="H15" s="17" t="s">
        <v>28</v>
      </c>
      <c r="I15" s="16"/>
      <c r="J15" s="16" t="s">
        <v>28</v>
      </c>
      <c r="K15" s="16" t="s">
        <v>29</v>
      </c>
      <c r="L15" s="16" t="s">
        <v>29</v>
      </c>
      <c r="M15" s="16" t="s">
        <v>29</v>
      </c>
      <c r="N15" s="16" t="n">
        <v>8795</v>
      </c>
      <c r="O15" s="16" t="s">
        <v>36</v>
      </c>
      <c r="P15" s="16"/>
      <c r="Q15" s="16" t="s">
        <v>37</v>
      </c>
      <c r="R15" s="16" t="s">
        <v>37</v>
      </c>
      <c r="S15" s="16" t="s">
        <v>36</v>
      </c>
      <c r="T15" s="16" t="s">
        <v>36</v>
      </c>
      <c r="U15" s="16" t="s">
        <v>36</v>
      </c>
      <c r="V15" s="16" t="s">
        <v>36</v>
      </c>
      <c r="W15" s="16" t="s">
        <v>37</v>
      </c>
      <c r="X15" s="16" t="s">
        <v>37</v>
      </c>
      <c r="Y15" s="16" t="s">
        <v>36</v>
      </c>
      <c r="Z15" s="16" t="s">
        <v>37</v>
      </c>
      <c r="AA15" s="12" t="s">
        <v>32</v>
      </c>
    </row>
    <row r="16" customFormat="false" ht="15.75" hidden="false" customHeight="false" outlineLevel="0" collapsed="false">
      <c r="A16" s="19" t="n">
        <v>7998</v>
      </c>
      <c r="B16" s="14" t="n">
        <v>45448</v>
      </c>
      <c r="C16" s="16" t="s">
        <v>621</v>
      </c>
      <c r="D16" s="16" t="s">
        <v>24</v>
      </c>
      <c r="E16" s="16" t="s">
        <v>25</v>
      </c>
      <c r="F16" s="19" t="s">
        <v>622</v>
      </c>
      <c r="G16" s="16" t="s">
        <v>36</v>
      </c>
      <c r="H16" s="17" t="s">
        <v>28</v>
      </c>
      <c r="I16" s="16"/>
      <c r="J16" s="16" t="s">
        <v>28</v>
      </c>
      <c r="K16" s="16" t="s">
        <v>29</v>
      </c>
      <c r="L16" s="16" t="s">
        <v>29</v>
      </c>
      <c r="M16" s="16" t="s">
        <v>29</v>
      </c>
      <c r="N16" s="16" t="s">
        <v>29</v>
      </c>
      <c r="O16" s="16" t="s">
        <v>36</v>
      </c>
      <c r="P16" s="16"/>
      <c r="Q16" s="16" t="s">
        <v>37</v>
      </c>
      <c r="R16" s="16" t="s">
        <v>37</v>
      </c>
      <c r="S16" s="16" t="s">
        <v>36</v>
      </c>
      <c r="T16" s="16" t="s">
        <v>36</v>
      </c>
      <c r="U16" s="16" t="s">
        <v>36</v>
      </c>
      <c r="V16" s="16" t="s">
        <v>36</v>
      </c>
      <c r="W16" s="16" t="s">
        <v>37</v>
      </c>
      <c r="X16" s="16" t="s">
        <v>37</v>
      </c>
      <c r="Y16" s="16" t="s">
        <v>36</v>
      </c>
      <c r="Z16" s="16" t="s">
        <v>28</v>
      </c>
      <c r="AA16" s="12" t="s">
        <v>32</v>
      </c>
    </row>
    <row r="17" customFormat="false" ht="15.75" hidden="false" customHeight="false" outlineLevel="0" collapsed="false">
      <c r="A17" s="19" t="n">
        <v>7999</v>
      </c>
      <c r="B17" s="14" t="n">
        <v>45448</v>
      </c>
      <c r="C17" s="16" t="s">
        <v>623</v>
      </c>
      <c r="D17" s="16" t="s">
        <v>24</v>
      </c>
      <c r="E17" s="16" t="s">
        <v>25</v>
      </c>
      <c r="F17" s="16" t="s">
        <v>624</v>
      </c>
      <c r="G17" s="16" t="s">
        <v>625</v>
      </c>
      <c r="H17" s="17" t="s">
        <v>28</v>
      </c>
      <c r="I17" s="16"/>
      <c r="J17" s="16" t="s">
        <v>28</v>
      </c>
      <c r="K17" s="16" t="s">
        <v>29</v>
      </c>
      <c r="L17" s="16" t="s">
        <v>29</v>
      </c>
      <c r="M17" s="16" t="s">
        <v>29</v>
      </c>
      <c r="N17" s="16" t="n">
        <v>2789</v>
      </c>
      <c r="O17" s="16" t="s">
        <v>36</v>
      </c>
      <c r="P17" s="16"/>
      <c r="Q17" s="16" t="s">
        <v>28</v>
      </c>
      <c r="R17" s="17" t="s">
        <v>28</v>
      </c>
      <c r="S17" s="16" t="s">
        <v>36</v>
      </c>
      <c r="T17" s="16" t="s">
        <v>626</v>
      </c>
      <c r="U17" s="16" t="s">
        <v>36</v>
      </c>
      <c r="V17" s="16" t="s">
        <v>58</v>
      </c>
      <c r="W17" s="17" t="s">
        <v>28</v>
      </c>
      <c r="X17" s="17" t="s">
        <v>28</v>
      </c>
      <c r="Y17" s="16" t="s">
        <v>36</v>
      </c>
      <c r="Z17" s="16" t="s">
        <v>28</v>
      </c>
      <c r="AA17" s="12" t="s">
        <v>32</v>
      </c>
    </row>
    <row r="18" customFormat="false" ht="15.75" hidden="false" customHeight="false" outlineLevel="0" collapsed="false">
      <c r="A18" s="19" t="n">
        <v>8000</v>
      </c>
      <c r="B18" s="14" t="n">
        <v>45449</v>
      </c>
      <c r="C18" s="16" t="s">
        <v>84</v>
      </c>
      <c r="D18" s="16" t="s">
        <v>24</v>
      </c>
      <c r="E18" s="16" t="s">
        <v>34</v>
      </c>
      <c r="F18" s="16" t="s">
        <v>627</v>
      </c>
      <c r="G18" s="16" t="s">
        <v>36</v>
      </c>
      <c r="H18" s="16" t="s">
        <v>37</v>
      </c>
      <c r="I18" s="16"/>
      <c r="J18" s="16" t="s">
        <v>37</v>
      </c>
      <c r="K18" s="16" t="s">
        <v>36</v>
      </c>
      <c r="L18" s="16" t="s">
        <v>36</v>
      </c>
      <c r="M18" s="16" t="s">
        <v>36</v>
      </c>
      <c r="N18" s="16" t="s">
        <v>36</v>
      </c>
      <c r="O18" s="16" t="s">
        <v>36</v>
      </c>
      <c r="P18" s="16"/>
      <c r="Q18" s="16" t="s">
        <v>37</v>
      </c>
      <c r="R18" s="16" t="s">
        <v>37</v>
      </c>
      <c r="S18" s="16" t="s">
        <v>36</v>
      </c>
      <c r="T18" s="16" t="s">
        <v>36</v>
      </c>
      <c r="U18" s="16" t="s">
        <v>36</v>
      </c>
      <c r="V18" s="16" t="s">
        <v>58</v>
      </c>
      <c r="W18" s="17" t="s">
        <v>28</v>
      </c>
      <c r="X18" s="17" t="s">
        <v>28</v>
      </c>
      <c r="Y18" s="16" t="s">
        <v>36</v>
      </c>
      <c r="Z18" s="16" t="s">
        <v>28</v>
      </c>
      <c r="AA18" s="12" t="s">
        <v>32</v>
      </c>
    </row>
    <row r="19" customFormat="false" ht="15.75" hidden="false" customHeight="false" outlineLevel="0" collapsed="false">
      <c r="A19" s="13" t="n">
        <v>8001</v>
      </c>
      <c r="B19" s="14" t="n">
        <v>45453</v>
      </c>
      <c r="C19" s="15" t="s">
        <v>628</v>
      </c>
      <c r="D19" s="16" t="s">
        <v>24</v>
      </c>
      <c r="E19" s="16" t="s">
        <v>34</v>
      </c>
      <c r="F19" s="16" t="s">
        <v>629</v>
      </c>
      <c r="G19" s="16" t="s">
        <v>36</v>
      </c>
      <c r="H19" s="16" t="s">
        <v>37</v>
      </c>
      <c r="I19" s="16"/>
      <c r="J19" s="16" t="s">
        <v>37</v>
      </c>
      <c r="K19" s="16" t="s">
        <v>36</v>
      </c>
      <c r="L19" s="16" t="s">
        <v>36</v>
      </c>
      <c r="M19" s="16" t="s">
        <v>630</v>
      </c>
      <c r="N19" s="16" t="s">
        <v>36</v>
      </c>
      <c r="O19" s="16" t="s">
        <v>36</v>
      </c>
      <c r="P19" s="16"/>
      <c r="Q19" s="16" t="s">
        <v>37</v>
      </c>
      <c r="R19" s="16" t="s">
        <v>37</v>
      </c>
      <c r="S19" s="16" t="s">
        <v>36</v>
      </c>
      <c r="T19" s="16" t="s">
        <v>36</v>
      </c>
      <c r="U19" s="16" t="s">
        <v>36</v>
      </c>
      <c r="V19" s="16" t="s">
        <v>36</v>
      </c>
      <c r="W19" s="16" t="s">
        <v>37</v>
      </c>
      <c r="X19" s="16" t="s">
        <v>37</v>
      </c>
      <c r="Y19" s="16" t="s">
        <v>36</v>
      </c>
      <c r="Z19" s="16" t="s">
        <v>28</v>
      </c>
      <c r="AA19" s="12" t="s">
        <v>156</v>
      </c>
    </row>
    <row r="20" customFormat="false" ht="15.75" hidden="false" customHeight="false" outlineLevel="0" collapsed="false">
      <c r="A20" s="24" t="n">
        <v>8002</v>
      </c>
      <c r="B20" s="14" t="n">
        <v>45454</v>
      </c>
      <c r="C20" s="25" t="s">
        <v>631</v>
      </c>
      <c r="D20" s="25" t="s">
        <v>24</v>
      </c>
      <c r="E20" s="25" t="s">
        <v>25</v>
      </c>
      <c r="F20" s="25" t="s">
        <v>632</v>
      </c>
      <c r="G20" s="25" t="s">
        <v>633</v>
      </c>
      <c r="H20" s="26" t="s">
        <v>28</v>
      </c>
      <c r="I20" s="25"/>
      <c r="J20" s="25" t="s">
        <v>28</v>
      </c>
      <c r="K20" s="25" t="s">
        <v>29</v>
      </c>
      <c r="L20" s="25" t="s">
        <v>29</v>
      </c>
      <c r="M20" s="25" t="s">
        <v>29</v>
      </c>
      <c r="N20" s="25" t="s">
        <v>634</v>
      </c>
      <c r="O20" s="25" t="s">
        <v>36</v>
      </c>
      <c r="P20" s="25"/>
      <c r="Q20" s="25" t="s">
        <v>28</v>
      </c>
      <c r="R20" s="26" t="s">
        <v>28</v>
      </c>
      <c r="S20" s="25" t="s">
        <v>29</v>
      </c>
      <c r="T20" s="25" t="s">
        <v>30</v>
      </c>
      <c r="U20" s="25" t="s">
        <v>36</v>
      </c>
      <c r="V20" s="25" t="s">
        <v>74</v>
      </c>
      <c r="W20" s="26" t="s">
        <v>28</v>
      </c>
      <c r="X20" s="26" t="s">
        <v>28</v>
      </c>
      <c r="Y20" s="25" t="s">
        <v>36</v>
      </c>
      <c r="Z20" s="25" t="s">
        <v>28</v>
      </c>
      <c r="AA20" s="12" t="s">
        <v>32</v>
      </c>
    </row>
    <row r="21" customFormat="false" ht="15.75" hidden="false" customHeight="false" outlineLevel="0" collapsed="false">
      <c r="A21" s="19" t="n">
        <v>8003</v>
      </c>
      <c r="B21" s="14" t="n">
        <v>45454</v>
      </c>
      <c r="C21" s="16" t="s">
        <v>402</v>
      </c>
      <c r="D21" s="16" t="s">
        <v>24</v>
      </c>
      <c r="E21" s="16" t="s">
        <v>25</v>
      </c>
      <c r="F21" s="16" t="s">
        <v>635</v>
      </c>
      <c r="G21" s="16" t="s">
        <v>633</v>
      </c>
      <c r="H21" s="17" t="s">
        <v>28</v>
      </c>
      <c r="I21" s="16"/>
      <c r="J21" s="16" t="s">
        <v>28</v>
      </c>
      <c r="K21" s="16" t="s">
        <v>29</v>
      </c>
      <c r="L21" s="16" t="s">
        <v>29</v>
      </c>
      <c r="M21" s="16" t="s">
        <v>29</v>
      </c>
      <c r="N21" s="16" t="s">
        <v>636</v>
      </c>
      <c r="O21" s="16" t="s">
        <v>36</v>
      </c>
      <c r="P21" s="16"/>
      <c r="Q21" s="16" t="s">
        <v>28</v>
      </c>
      <c r="R21" s="17" t="s">
        <v>28</v>
      </c>
      <c r="S21" s="16" t="s">
        <v>29</v>
      </c>
      <c r="T21" s="16" t="s">
        <v>30</v>
      </c>
      <c r="U21" s="25" t="s">
        <v>36</v>
      </c>
      <c r="V21" s="16" t="s">
        <v>74</v>
      </c>
      <c r="W21" s="17" t="s">
        <v>28</v>
      </c>
      <c r="X21" s="17" t="s">
        <v>28</v>
      </c>
      <c r="Y21" s="16" t="s">
        <v>36</v>
      </c>
      <c r="Z21" s="16" t="s">
        <v>28</v>
      </c>
      <c r="AA21" s="12" t="s">
        <v>32</v>
      </c>
    </row>
    <row r="22" customFormat="false" ht="15.75" hidden="false" customHeight="false" outlineLevel="0" collapsed="false">
      <c r="A22" s="19" t="n">
        <v>8004</v>
      </c>
      <c r="B22" s="14" t="n">
        <v>45454</v>
      </c>
      <c r="C22" s="16" t="s">
        <v>350</v>
      </c>
      <c r="D22" s="16" t="s">
        <v>24</v>
      </c>
      <c r="E22" s="16" t="s">
        <v>34</v>
      </c>
      <c r="F22" s="16" t="s">
        <v>637</v>
      </c>
      <c r="G22" s="16" t="s">
        <v>36</v>
      </c>
      <c r="H22" s="16" t="s">
        <v>37</v>
      </c>
      <c r="I22" s="16"/>
      <c r="J22" s="16" t="s">
        <v>37</v>
      </c>
      <c r="K22" s="16" t="s">
        <v>36</v>
      </c>
      <c r="L22" s="16" t="s">
        <v>36</v>
      </c>
      <c r="M22" s="16" t="s">
        <v>36</v>
      </c>
      <c r="N22" s="16" t="s">
        <v>36</v>
      </c>
      <c r="O22" s="16" t="s">
        <v>36</v>
      </c>
      <c r="P22" s="16"/>
      <c r="Q22" s="16" t="s">
        <v>37</v>
      </c>
      <c r="R22" s="16" t="s">
        <v>37</v>
      </c>
      <c r="S22" s="16" t="s">
        <v>36</v>
      </c>
      <c r="T22" s="16" t="s">
        <v>36</v>
      </c>
      <c r="U22" s="16" t="s">
        <v>36</v>
      </c>
      <c r="V22" s="16" t="s">
        <v>36</v>
      </c>
      <c r="W22" s="16" t="s">
        <v>37</v>
      </c>
      <c r="X22" s="16" t="s">
        <v>37</v>
      </c>
      <c r="Y22" s="16" t="s">
        <v>36</v>
      </c>
      <c r="Z22" s="16" t="s">
        <v>37</v>
      </c>
      <c r="AA22" s="12" t="s">
        <v>40</v>
      </c>
    </row>
    <row r="23" customFormat="false" ht="15.75" hidden="false" customHeight="false" outlineLevel="0" collapsed="false">
      <c r="A23" s="19" t="n">
        <v>8005</v>
      </c>
      <c r="B23" s="14" t="n">
        <v>45454</v>
      </c>
      <c r="C23" s="16" t="s">
        <v>350</v>
      </c>
      <c r="D23" s="16" t="s">
        <v>24</v>
      </c>
      <c r="E23" s="16" t="s">
        <v>34</v>
      </c>
      <c r="F23" s="16" t="s">
        <v>638</v>
      </c>
      <c r="G23" s="16" t="s">
        <v>36</v>
      </c>
      <c r="H23" s="16" t="s">
        <v>37</v>
      </c>
      <c r="I23" s="16"/>
      <c r="J23" s="16" t="s">
        <v>37</v>
      </c>
      <c r="K23" s="16" t="s">
        <v>36</v>
      </c>
      <c r="L23" s="16" t="s">
        <v>36</v>
      </c>
      <c r="M23" s="16" t="s">
        <v>36</v>
      </c>
      <c r="N23" s="16" t="s">
        <v>36</v>
      </c>
      <c r="O23" s="16" t="s">
        <v>36</v>
      </c>
      <c r="P23" s="16"/>
      <c r="Q23" s="16" t="s">
        <v>37</v>
      </c>
      <c r="R23" s="16" t="s">
        <v>37</v>
      </c>
      <c r="S23" s="16" t="s">
        <v>36</v>
      </c>
      <c r="T23" s="16" t="s">
        <v>36</v>
      </c>
      <c r="U23" s="16" t="s">
        <v>36</v>
      </c>
      <c r="V23" s="16" t="s">
        <v>36</v>
      </c>
      <c r="W23" s="16" t="s">
        <v>37</v>
      </c>
      <c r="X23" s="16" t="s">
        <v>37</v>
      </c>
      <c r="Y23" s="16" t="s">
        <v>36</v>
      </c>
      <c r="Z23" s="16" t="s">
        <v>37</v>
      </c>
      <c r="AA23" s="12" t="s">
        <v>40</v>
      </c>
    </row>
    <row r="24" customFormat="false" ht="15.75" hidden="false" customHeight="false" outlineLevel="0" collapsed="false">
      <c r="A24" s="13" t="n">
        <v>8006</v>
      </c>
      <c r="B24" s="14" t="n">
        <v>45454</v>
      </c>
      <c r="C24" s="16" t="s">
        <v>350</v>
      </c>
      <c r="D24" s="16" t="s">
        <v>24</v>
      </c>
      <c r="E24" s="16" t="s">
        <v>34</v>
      </c>
      <c r="F24" s="16" t="s">
        <v>639</v>
      </c>
      <c r="G24" s="16" t="s">
        <v>36</v>
      </c>
      <c r="H24" s="16" t="s">
        <v>37</v>
      </c>
      <c r="I24" s="16"/>
      <c r="J24" s="16" t="s">
        <v>37</v>
      </c>
      <c r="K24" s="16" t="s">
        <v>36</v>
      </c>
      <c r="L24" s="16" t="s">
        <v>36</v>
      </c>
      <c r="M24" s="16" t="s">
        <v>36</v>
      </c>
      <c r="N24" s="16" t="s">
        <v>36</v>
      </c>
      <c r="O24" s="16" t="s">
        <v>36</v>
      </c>
      <c r="P24" s="16"/>
      <c r="Q24" s="16" t="s">
        <v>37</v>
      </c>
      <c r="R24" s="16" t="s">
        <v>37</v>
      </c>
      <c r="S24" s="16" t="s">
        <v>36</v>
      </c>
      <c r="T24" s="16" t="s">
        <v>36</v>
      </c>
      <c r="U24" s="16" t="s">
        <v>36</v>
      </c>
      <c r="V24" s="16" t="s">
        <v>36</v>
      </c>
      <c r="W24" s="16" t="s">
        <v>37</v>
      </c>
      <c r="X24" s="16" t="s">
        <v>37</v>
      </c>
      <c r="Y24" s="16" t="s">
        <v>36</v>
      </c>
      <c r="Z24" s="16" t="s">
        <v>37</v>
      </c>
      <c r="AA24" s="12" t="s">
        <v>40</v>
      </c>
    </row>
    <row r="25" customFormat="false" ht="15.75" hidden="false" customHeight="false" outlineLevel="0" collapsed="false">
      <c r="A25" s="13" t="n">
        <v>8007</v>
      </c>
      <c r="B25" s="14" t="n">
        <v>45454</v>
      </c>
      <c r="C25" s="16" t="s">
        <v>350</v>
      </c>
      <c r="D25" s="16" t="s">
        <v>24</v>
      </c>
      <c r="E25" s="16" t="s">
        <v>34</v>
      </c>
      <c r="F25" s="16" t="s">
        <v>640</v>
      </c>
      <c r="G25" s="16" t="s">
        <v>36</v>
      </c>
      <c r="H25" s="16" t="s">
        <v>37</v>
      </c>
      <c r="I25" s="16"/>
      <c r="J25" s="16" t="s">
        <v>37</v>
      </c>
      <c r="K25" s="16" t="s">
        <v>36</v>
      </c>
      <c r="L25" s="16" t="s">
        <v>36</v>
      </c>
      <c r="M25" s="16" t="s">
        <v>36</v>
      </c>
      <c r="N25" s="16" t="s">
        <v>36</v>
      </c>
      <c r="O25" s="16" t="s">
        <v>36</v>
      </c>
      <c r="P25" s="16"/>
      <c r="Q25" s="16" t="s">
        <v>37</v>
      </c>
      <c r="R25" s="16" t="s">
        <v>37</v>
      </c>
      <c r="S25" s="16" t="s">
        <v>36</v>
      </c>
      <c r="T25" s="16" t="s">
        <v>36</v>
      </c>
      <c r="U25" s="16" t="s">
        <v>36</v>
      </c>
      <c r="V25" s="16" t="s">
        <v>36</v>
      </c>
      <c r="W25" s="16" t="s">
        <v>37</v>
      </c>
      <c r="X25" s="16" t="s">
        <v>37</v>
      </c>
      <c r="Y25" s="16" t="s">
        <v>36</v>
      </c>
      <c r="Z25" s="16" t="s">
        <v>37</v>
      </c>
      <c r="AA25" s="12" t="s">
        <v>40</v>
      </c>
    </row>
    <row r="26" customFormat="false" ht="15.75" hidden="false" customHeight="false" outlineLevel="0" collapsed="false">
      <c r="A26" s="24" t="n">
        <v>8008</v>
      </c>
      <c r="B26" s="14" t="n">
        <v>45454</v>
      </c>
      <c r="C26" s="25" t="s">
        <v>350</v>
      </c>
      <c r="D26" s="16" t="s">
        <v>24</v>
      </c>
      <c r="E26" s="16" t="s">
        <v>34</v>
      </c>
      <c r="F26" s="25" t="s">
        <v>641</v>
      </c>
      <c r="G26" s="16" t="s">
        <v>36</v>
      </c>
      <c r="H26" s="16" t="s">
        <v>37</v>
      </c>
      <c r="I26" s="16"/>
      <c r="J26" s="16" t="s">
        <v>37</v>
      </c>
      <c r="K26" s="16" t="s">
        <v>36</v>
      </c>
      <c r="L26" s="16" t="s">
        <v>36</v>
      </c>
      <c r="M26" s="16" t="s">
        <v>36</v>
      </c>
      <c r="N26" s="16" t="s">
        <v>36</v>
      </c>
      <c r="O26" s="16" t="s">
        <v>36</v>
      </c>
      <c r="P26" s="16"/>
      <c r="Q26" s="16" t="s">
        <v>37</v>
      </c>
      <c r="R26" s="16" t="s">
        <v>37</v>
      </c>
      <c r="S26" s="16" t="s">
        <v>36</v>
      </c>
      <c r="T26" s="16" t="s">
        <v>36</v>
      </c>
      <c r="U26" s="16" t="s">
        <v>36</v>
      </c>
      <c r="V26" s="16" t="s">
        <v>36</v>
      </c>
      <c r="W26" s="16" t="s">
        <v>37</v>
      </c>
      <c r="X26" s="16" t="s">
        <v>37</v>
      </c>
      <c r="Y26" s="16" t="s">
        <v>36</v>
      </c>
      <c r="Z26" s="16" t="s">
        <v>37</v>
      </c>
      <c r="AA26" s="12" t="s">
        <v>40</v>
      </c>
    </row>
    <row r="27" customFormat="false" ht="15.75" hidden="false" customHeight="false" outlineLevel="0" collapsed="false">
      <c r="A27" s="13" t="n">
        <v>8009</v>
      </c>
      <c r="B27" s="14" t="n">
        <v>45454</v>
      </c>
      <c r="C27" s="25" t="s">
        <v>631</v>
      </c>
      <c r="D27" s="16" t="s">
        <v>24</v>
      </c>
      <c r="E27" s="25" t="s">
        <v>25</v>
      </c>
      <c r="F27" s="16" t="s">
        <v>642</v>
      </c>
      <c r="G27" s="16" t="s">
        <v>643</v>
      </c>
      <c r="H27" s="17" t="s">
        <v>28</v>
      </c>
      <c r="I27" s="16"/>
      <c r="J27" s="16" t="s">
        <v>28</v>
      </c>
      <c r="K27" s="16" t="s">
        <v>29</v>
      </c>
      <c r="L27" s="16" t="s">
        <v>29</v>
      </c>
      <c r="M27" s="16" t="s">
        <v>29</v>
      </c>
      <c r="N27" s="16" t="s">
        <v>636</v>
      </c>
      <c r="O27" s="16" t="s">
        <v>36</v>
      </c>
      <c r="P27" s="16"/>
      <c r="Q27" s="16"/>
      <c r="R27" s="16"/>
      <c r="S27" s="16"/>
      <c r="T27" s="16"/>
      <c r="U27" s="16" t="s">
        <v>36</v>
      </c>
      <c r="V27" s="16" t="s">
        <v>58</v>
      </c>
      <c r="W27" s="17" t="s">
        <v>28</v>
      </c>
      <c r="X27" s="17" t="s">
        <v>28</v>
      </c>
      <c r="Y27" s="16" t="s">
        <v>36</v>
      </c>
      <c r="Z27" s="16" t="s">
        <v>28</v>
      </c>
      <c r="AA27" s="12" t="s">
        <v>32</v>
      </c>
    </row>
    <row r="28" customFormat="false" ht="15.75" hidden="false" customHeight="false" outlineLevel="0" collapsed="false">
      <c r="A28" s="13" t="n">
        <v>8010</v>
      </c>
      <c r="B28" s="14" t="n">
        <v>45454</v>
      </c>
      <c r="C28" s="16" t="s">
        <v>402</v>
      </c>
      <c r="D28" s="16" t="s">
        <v>24</v>
      </c>
      <c r="E28" s="25" t="s">
        <v>25</v>
      </c>
      <c r="F28" s="16" t="s">
        <v>642</v>
      </c>
      <c r="G28" s="16" t="s">
        <v>643</v>
      </c>
      <c r="H28" s="17" t="s">
        <v>28</v>
      </c>
      <c r="I28" s="16"/>
      <c r="J28" s="16" t="s">
        <v>28</v>
      </c>
      <c r="K28" s="16" t="s">
        <v>29</v>
      </c>
      <c r="L28" s="16" t="s">
        <v>29</v>
      </c>
      <c r="M28" s="16" t="s">
        <v>29</v>
      </c>
      <c r="N28" s="16" t="s">
        <v>636</v>
      </c>
      <c r="O28" s="16" t="s">
        <v>36</v>
      </c>
      <c r="P28" s="16"/>
      <c r="Q28" s="16" t="s">
        <v>28</v>
      </c>
      <c r="R28" s="17" t="s">
        <v>28</v>
      </c>
      <c r="S28" s="16" t="s">
        <v>29</v>
      </c>
      <c r="T28" s="16" t="s">
        <v>222</v>
      </c>
      <c r="U28" s="16" t="s">
        <v>36</v>
      </c>
      <c r="V28" s="16" t="s">
        <v>74</v>
      </c>
      <c r="W28" s="17" t="s">
        <v>28</v>
      </c>
      <c r="X28" s="17" t="s">
        <v>28</v>
      </c>
      <c r="Y28" s="16" t="s">
        <v>36</v>
      </c>
      <c r="Z28" s="16" t="s">
        <v>28</v>
      </c>
      <c r="AA28" s="12" t="s">
        <v>32</v>
      </c>
    </row>
    <row r="29" customFormat="false" ht="15.75" hidden="false" customHeight="false" outlineLevel="0" collapsed="false">
      <c r="A29" s="13" t="n">
        <v>8011</v>
      </c>
      <c r="B29" s="14" t="n">
        <v>45454</v>
      </c>
      <c r="C29" s="25" t="s">
        <v>631</v>
      </c>
      <c r="D29" s="16" t="s">
        <v>24</v>
      </c>
      <c r="E29" s="25" t="s">
        <v>25</v>
      </c>
      <c r="F29" s="16" t="s">
        <v>644</v>
      </c>
      <c r="G29" s="16" t="s">
        <v>645</v>
      </c>
      <c r="H29" s="17" t="s">
        <v>28</v>
      </c>
      <c r="I29" s="16"/>
      <c r="J29" s="16" t="s">
        <v>28</v>
      </c>
      <c r="K29" s="16" t="s">
        <v>29</v>
      </c>
      <c r="L29" s="16" t="s">
        <v>29</v>
      </c>
      <c r="M29" s="16" t="s">
        <v>29</v>
      </c>
      <c r="N29" s="16" t="s">
        <v>646</v>
      </c>
      <c r="O29" s="16" t="s">
        <v>36</v>
      </c>
      <c r="P29" s="16"/>
      <c r="Q29" s="16" t="s">
        <v>28</v>
      </c>
      <c r="R29" s="17" t="s">
        <v>28</v>
      </c>
      <c r="S29" s="16" t="s">
        <v>29</v>
      </c>
      <c r="T29" s="16" t="s">
        <v>30</v>
      </c>
      <c r="U29" s="16" t="s">
        <v>36</v>
      </c>
      <c r="V29" s="16" t="s">
        <v>74</v>
      </c>
      <c r="W29" s="17" t="s">
        <v>28</v>
      </c>
      <c r="X29" s="17" t="s">
        <v>28</v>
      </c>
      <c r="Y29" s="16" t="s">
        <v>36</v>
      </c>
      <c r="Z29" s="16" t="s">
        <v>28</v>
      </c>
      <c r="AA29" s="12" t="s">
        <v>32</v>
      </c>
    </row>
    <row r="30" customFormat="false" ht="15.75" hidden="false" customHeight="false" outlineLevel="0" collapsed="false">
      <c r="A30" s="13" t="n">
        <v>8012</v>
      </c>
      <c r="B30" s="14" t="n">
        <v>45454</v>
      </c>
      <c r="C30" s="16" t="s">
        <v>402</v>
      </c>
      <c r="D30" s="16" t="s">
        <v>24</v>
      </c>
      <c r="E30" s="25" t="s">
        <v>25</v>
      </c>
      <c r="F30" s="16" t="s">
        <v>647</v>
      </c>
      <c r="G30" s="16" t="s">
        <v>648</v>
      </c>
      <c r="H30" s="17" t="s">
        <v>28</v>
      </c>
      <c r="I30" s="16"/>
      <c r="J30" s="16" t="s">
        <v>28</v>
      </c>
      <c r="K30" s="16" t="s">
        <v>29</v>
      </c>
      <c r="L30" s="16" t="s">
        <v>29</v>
      </c>
      <c r="M30" s="16" t="s">
        <v>29</v>
      </c>
      <c r="N30" s="16" t="s">
        <v>636</v>
      </c>
      <c r="O30" s="16" t="s">
        <v>36</v>
      </c>
      <c r="P30" s="16"/>
      <c r="Q30" s="16" t="s">
        <v>28</v>
      </c>
      <c r="R30" s="17" t="s">
        <v>28</v>
      </c>
      <c r="S30" s="16" t="s">
        <v>29</v>
      </c>
      <c r="T30" s="16" t="s">
        <v>25</v>
      </c>
      <c r="U30" s="16" t="s">
        <v>36</v>
      </c>
      <c r="V30" s="16"/>
      <c r="W30" s="16"/>
      <c r="X30" s="16"/>
      <c r="Y30" s="16"/>
      <c r="Z30" s="16" t="s">
        <v>28</v>
      </c>
      <c r="AA30" s="12" t="s">
        <v>32</v>
      </c>
    </row>
    <row r="31" customFormat="false" ht="15.75" hidden="false" customHeight="false" outlineLevel="0" collapsed="false">
      <c r="A31" s="13" t="n">
        <v>8013</v>
      </c>
      <c r="B31" s="14" t="n">
        <v>45454</v>
      </c>
      <c r="C31" s="16" t="s">
        <v>649</v>
      </c>
      <c r="D31" s="16" t="s">
        <v>24</v>
      </c>
      <c r="E31" s="16" t="s">
        <v>34</v>
      </c>
      <c r="F31" s="16" t="s">
        <v>650</v>
      </c>
      <c r="G31" s="16" t="s">
        <v>36</v>
      </c>
      <c r="H31" s="16" t="s">
        <v>37</v>
      </c>
      <c r="I31" s="16"/>
      <c r="J31" s="16" t="s">
        <v>37</v>
      </c>
      <c r="K31" s="16" t="s">
        <v>36</v>
      </c>
      <c r="L31" s="16" t="s">
        <v>36</v>
      </c>
      <c r="M31" s="16" t="s">
        <v>36</v>
      </c>
      <c r="N31" s="16" t="s">
        <v>36</v>
      </c>
      <c r="O31" s="16" t="s">
        <v>36</v>
      </c>
      <c r="P31" s="16"/>
      <c r="Q31" s="16" t="s">
        <v>37</v>
      </c>
      <c r="R31" s="16" t="s">
        <v>37</v>
      </c>
      <c r="S31" s="16" t="s">
        <v>36</v>
      </c>
      <c r="T31" s="16" t="s">
        <v>36</v>
      </c>
      <c r="U31" s="16" t="s">
        <v>36</v>
      </c>
      <c r="V31" s="16" t="s">
        <v>36</v>
      </c>
      <c r="W31" s="16" t="s">
        <v>37</v>
      </c>
      <c r="X31" s="16" t="s">
        <v>37</v>
      </c>
      <c r="Y31" s="16" t="s">
        <v>36</v>
      </c>
      <c r="Z31" s="16" t="s">
        <v>28</v>
      </c>
      <c r="AA31" s="12" t="s">
        <v>32</v>
      </c>
    </row>
    <row r="32" customFormat="false" ht="15.75" hidden="false" customHeight="false" outlineLevel="0" collapsed="false">
      <c r="A32" s="13" t="n">
        <v>8014</v>
      </c>
      <c r="B32" s="14" t="n">
        <v>45454</v>
      </c>
      <c r="C32" s="16" t="s">
        <v>84</v>
      </c>
      <c r="D32" s="16" t="s">
        <v>24</v>
      </c>
      <c r="E32" s="16" t="s">
        <v>34</v>
      </c>
      <c r="F32" s="16" t="s">
        <v>627</v>
      </c>
      <c r="G32" s="16" t="s">
        <v>36</v>
      </c>
      <c r="H32" s="16" t="s">
        <v>37</v>
      </c>
      <c r="I32" s="16"/>
      <c r="J32" s="16" t="s">
        <v>37</v>
      </c>
      <c r="K32" s="16" t="s">
        <v>36</v>
      </c>
      <c r="L32" s="16" t="s">
        <v>36</v>
      </c>
      <c r="M32" s="16" t="s">
        <v>36</v>
      </c>
      <c r="N32" s="16" t="s">
        <v>36</v>
      </c>
      <c r="O32" s="16" t="s">
        <v>36</v>
      </c>
      <c r="P32" s="16"/>
      <c r="Q32" s="16" t="s">
        <v>37</v>
      </c>
      <c r="R32" s="16" t="s">
        <v>37</v>
      </c>
      <c r="S32" s="16" t="s">
        <v>36</v>
      </c>
      <c r="T32" s="16" t="s">
        <v>36</v>
      </c>
      <c r="U32" s="16" t="s">
        <v>36</v>
      </c>
      <c r="V32" s="16" t="s">
        <v>36</v>
      </c>
      <c r="W32" s="16" t="s">
        <v>37</v>
      </c>
      <c r="X32" s="16" t="s">
        <v>37</v>
      </c>
      <c r="Y32" s="16" t="s">
        <v>36</v>
      </c>
      <c r="Z32" s="16" t="s">
        <v>28</v>
      </c>
      <c r="AA32" s="12" t="s">
        <v>32</v>
      </c>
    </row>
    <row r="33" customFormat="false" ht="15.75" hidden="false" customHeight="false" outlineLevel="0" collapsed="false">
      <c r="A33" s="13" t="n">
        <v>8015</v>
      </c>
      <c r="B33" s="14" t="n">
        <v>45454</v>
      </c>
      <c r="C33" s="16" t="s">
        <v>389</v>
      </c>
      <c r="D33" s="16" t="s">
        <v>24</v>
      </c>
      <c r="E33" s="16" t="s">
        <v>25</v>
      </c>
      <c r="F33" s="16" t="s">
        <v>651</v>
      </c>
      <c r="G33" s="16" t="s">
        <v>36</v>
      </c>
      <c r="H33" s="17" t="s">
        <v>28</v>
      </c>
      <c r="I33" s="16"/>
      <c r="J33" s="16" t="s">
        <v>28</v>
      </c>
      <c r="K33" s="16" t="s">
        <v>36</v>
      </c>
      <c r="L33" s="16" t="s">
        <v>36</v>
      </c>
      <c r="M33" s="16" t="s">
        <v>36</v>
      </c>
      <c r="N33" s="16" t="s">
        <v>36</v>
      </c>
      <c r="O33" s="16" t="s">
        <v>36</v>
      </c>
      <c r="P33" s="16"/>
      <c r="Q33" s="16" t="s">
        <v>37</v>
      </c>
      <c r="R33" s="16" t="s">
        <v>37</v>
      </c>
      <c r="S33" s="16" t="s">
        <v>36</v>
      </c>
      <c r="T33" s="16" t="s">
        <v>36</v>
      </c>
      <c r="U33" s="16" t="s">
        <v>36</v>
      </c>
      <c r="V33" s="16" t="s">
        <v>36</v>
      </c>
      <c r="W33" s="16" t="s">
        <v>37</v>
      </c>
      <c r="X33" s="16" t="s">
        <v>37</v>
      </c>
      <c r="Y33" s="16" t="s">
        <v>36</v>
      </c>
      <c r="Z33" s="16" t="s">
        <v>28</v>
      </c>
      <c r="AA33" s="12" t="s">
        <v>32</v>
      </c>
    </row>
    <row r="34" customFormat="false" ht="15.75" hidden="false" customHeight="false" outlineLevel="0" collapsed="false">
      <c r="A34" s="13" t="n">
        <v>8016</v>
      </c>
      <c r="B34" s="14" t="n">
        <v>45456</v>
      </c>
      <c r="C34" s="16" t="s">
        <v>176</v>
      </c>
      <c r="D34" s="16" t="s">
        <v>24</v>
      </c>
      <c r="E34" s="16" t="s">
        <v>25</v>
      </c>
      <c r="F34" s="16" t="s">
        <v>652</v>
      </c>
      <c r="G34" s="16" t="s">
        <v>653</v>
      </c>
      <c r="H34" s="17" t="s">
        <v>28</v>
      </c>
      <c r="I34" s="16"/>
      <c r="J34" s="16" t="s">
        <v>28</v>
      </c>
      <c r="K34" s="16" t="s">
        <v>29</v>
      </c>
      <c r="L34" s="16" t="s">
        <v>29</v>
      </c>
      <c r="M34" s="16" t="s">
        <v>29</v>
      </c>
      <c r="N34" s="16" t="n">
        <v>8879</v>
      </c>
      <c r="O34" s="16" t="s">
        <v>29</v>
      </c>
      <c r="P34" s="16"/>
      <c r="Q34" s="16" t="s">
        <v>28</v>
      </c>
      <c r="R34" s="17" t="s">
        <v>28</v>
      </c>
      <c r="S34" s="16" t="s">
        <v>29</v>
      </c>
      <c r="T34" s="16" t="s">
        <v>25</v>
      </c>
      <c r="U34" s="16"/>
      <c r="V34" s="16"/>
      <c r="W34" s="16"/>
      <c r="X34" s="16"/>
      <c r="Y34" s="16"/>
      <c r="Z34" s="16" t="s">
        <v>28</v>
      </c>
      <c r="AA34" s="12" t="s">
        <v>32</v>
      </c>
    </row>
    <row r="35" customFormat="false" ht="15.75" hidden="false" customHeight="false" outlineLevel="0" collapsed="false">
      <c r="A35" s="13" t="n">
        <v>8018</v>
      </c>
      <c r="B35" s="14" t="n">
        <v>45456</v>
      </c>
      <c r="C35" s="20" t="s">
        <v>23</v>
      </c>
      <c r="D35" s="16" t="s">
        <v>24</v>
      </c>
      <c r="E35" s="16" t="s">
        <v>654</v>
      </c>
      <c r="F35" s="21"/>
      <c r="G35" s="16"/>
      <c r="H35" s="16"/>
      <c r="I35" s="16"/>
      <c r="J35" s="16"/>
      <c r="K35" s="16"/>
      <c r="L35" s="16"/>
      <c r="M35" s="16"/>
      <c r="N35" s="16"/>
      <c r="O35" s="16" t="s">
        <v>29</v>
      </c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 t="s">
        <v>28</v>
      </c>
      <c r="AA35" s="12" t="s">
        <v>32</v>
      </c>
    </row>
    <row r="36" customFormat="false" ht="15.75" hidden="false" customHeight="false" outlineLevel="0" collapsed="false">
      <c r="A36" s="13" t="n">
        <v>8019</v>
      </c>
      <c r="B36" s="14" t="n">
        <v>45457</v>
      </c>
      <c r="C36" s="15" t="s">
        <v>112</v>
      </c>
      <c r="D36" s="16" t="s">
        <v>24</v>
      </c>
      <c r="E36" s="16" t="s">
        <v>25</v>
      </c>
      <c r="F36" s="16" t="s">
        <v>655</v>
      </c>
      <c r="G36" s="16" t="s">
        <v>656</v>
      </c>
      <c r="H36" s="17" t="s">
        <v>28</v>
      </c>
      <c r="I36" s="16"/>
      <c r="J36" s="16" t="s">
        <v>28</v>
      </c>
      <c r="K36" s="16" t="s">
        <v>29</v>
      </c>
      <c r="L36" s="16" t="s">
        <v>29</v>
      </c>
      <c r="M36" s="16" t="s">
        <v>29</v>
      </c>
      <c r="N36" s="16" t="n">
        <v>4888</v>
      </c>
      <c r="O36" s="16" t="s">
        <v>29</v>
      </c>
      <c r="P36" s="16"/>
      <c r="Q36" s="16" t="s">
        <v>28</v>
      </c>
      <c r="R36" s="17" t="s">
        <v>28</v>
      </c>
      <c r="S36" s="16" t="s">
        <v>29</v>
      </c>
      <c r="T36" s="16" t="s">
        <v>30</v>
      </c>
      <c r="U36" s="16" t="s">
        <v>29</v>
      </c>
      <c r="V36" s="16" t="s">
        <v>74</v>
      </c>
      <c r="W36" s="17" t="s">
        <v>28</v>
      </c>
      <c r="X36" s="17" t="s">
        <v>28</v>
      </c>
      <c r="Y36" s="16" t="s">
        <v>36</v>
      </c>
      <c r="Z36" s="16" t="s">
        <v>28</v>
      </c>
      <c r="AA36" s="12" t="s">
        <v>32</v>
      </c>
    </row>
    <row r="37" customFormat="false" ht="15.75" hidden="false" customHeight="false" outlineLevel="0" collapsed="false">
      <c r="A37" s="13" t="n">
        <v>8020</v>
      </c>
      <c r="B37" s="14" t="n">
        <v>45457</v>
      </c>
      <c r="C37" s="15" t="s">
        <v>657</v>
      </c>
      <c r="D37" s="16" t="s">
        <v>24</v>
      </c>
      <c r="E37" s="16" t="s">
        <v>25</v>
      </c>
      <c r="F37" s="16" t="s">
        <v>658</v>
      </c>
      <c r="G37" s="16" t="s">
        <v>659</v>
      </c>
      <c r="H37" s="17" t="s">
        <v>28</v>
      </c>
      <c r="I37" s="16"/>
      <c r="J37" s="16" t="s">
        <v>28</v>
      </c>
      <c r="K37" s="16" t="s">
        <v>29</v>
      </c>
      <c r="L37" s="16" t="s">
        <v>29</v>
      </c>
      <c r="M37" s="16" t="s">
        <v>29</v>
      </c>
      <c r="N37" s="23" t="n">
        <v>286777</v>
      </c>
      <c r="O37" s="16" t="s">
        <v>29</v>
      </c>
      <c r="P37" s="18"/>
      <c r="Q37" s="16"/>
      <c r="R37" s="16"/>
      <c r="S37" s="16"/>
      <c r="T37" s="16"/>
      <c r="U37" s="16"/>
      <c r="V37" s="16"/>
      <c r="W37" s="16"/>
      <c r="X37" s="16"/>
      <c r="Y37" s="16"/>
      <c r="Z37" s="16" t="s">
        <v>28</v>
      </c>
      <c r="AA37" s="12" t="s">
        <v>156</v>
      </c>
    </row>
    <row r="38" customFormat="false" ht="15.75" hidden="false" customHeight="false" outlineLevel="0" collapsed="false">
      <c r="A38" s="13" t="n">
        <v>8021</v>
      </c>
      <c r="B38" s="14" t="n">
        <v>45457</v>
      </c>
      <c r="C38" s="21" t="s">
        <v>657</v>
      </c>
      <c r="D38" s="16" t="s">
        <v>24</v>
      </c>
      <c r="E38" s="16" t="s">
        <v>25</v>
      </c>
      <c r="F38" s="16" t="s">
        <v>660</v>
      </c>
      <c r="G38" s="16" t="s">
        <v>661</v>
      </c>
      <c r="H38" s="17" t="s">
        <v>28</v>
      </c>
      <c r="I38" s="16"/>
      <c r="J38" s="16" t="s">
        <v>28</v>
      </c>
      <c r="K38" s="16" t="s">
        <v>29</v>
      </c>
      <c r="L38" s="16" t="s">
        <v>29</v>
      </c>
      <c r="M38" s="16" t="s">
        <v>29</v>
      </c>
      <c r="N38" s="23" t="n">
        <v>286777</v>
      </c>
      <c r="O38" s="16" t="s">
        <v>29</v>
      </c>
      <c r="P38" s="18"/>
      <c r="Q38" s="16" t="s">
        <v>28</v>
      </c>
      <c r="R38" s="17" t="s">
        <v>28</v>
      </c>
      <c r="S38" s="16" t="s">
        <v>29</v>
      </c>
      <c r="T38" s="16" t="s">
        <v>30</v>
      </c>
      <c r="U38" s="16"/>
      <c r="V38" s="16" t="s">
        <v>31</v>
      </c>
      <c r="W38" s="17" t="s">
        <v>28</v>
      </c>
      <c r="X38" s="17" t="s">
        <v>28</v>
      </c>
      <c r="Y38" s="17" t="s">
        <v>662</v>
      </c>
      <c r="Z38" s="16" t="s">
        <v>28</v>
      </c>
      <c r="AA38" s="12" t="s">
        <v>32</v>
      </c>
    </row>
    <row r="39" customFormat="false" ht="15.75" hidden="false" customHeight="false" outlineLevel="0" collapsed="false">
      <c r="A39" s="13" t="n">
        <v>8022</v>
      </c>
      <c r="B39" s="22" t="n">
        <v>45457</v>
      </c>
      <c r="C39" s="16" t="s">
        <v>657</v>
      </c>
      <c r="D39" s="16" t="s">
        <v>24</v>
      </c>
      <c r="E39" s="16" t="s">
        <v>25</v>
      </c>
      <c r="F39" s="16" t="s">
        <v>660</v>
      </c>
      <c r="G39" s="16" t="s">
        <v>661</v>
      </c>
      <c r="H39" s="17" t="s">
        <v>28</v>
      </c>
      <c r="I39" s="16"/>
      <c r="J39" s="16" t="s">
        <v>28</v>
      </c>
      <c r="K39" s="16" t="s">
        <v>29</v>
      </c>
      <c r="L39" s="16" t="s">
        <v>29</v>
      </c>
      <c r="M39" s="16" t="s">
        <v>29</v>
      </c>
      <c r="N39" s="23" t="n">
        <v>286777</v>
      </c>
      <c r="O39" s="16" t="s">
        <v>29</v>
      </c>
      <c r="P39" s="18"/>
      <c r="Q39" s="16"/>
      <c r="R39" s="16"/>
      <c r="S39" s="16"/>
      <c r="T39" s="16"/>
      <c r="U39" s="16"/>
      <c r="V39" s="16" t="s">
        <v>31</v>
      </c>
      <c r="W39" s="17" t="s">
        <v>28</v>
      </c>
      <c r="X39" s="17" t="s">
        <v>28</v>
      </c>
      <c r="Y39" s="17" t="s">
        <v>662</v>
      </c>
      <c r="Z39" s="16" t="s">
        <v>28</v>
      </c>
      <c r="AA39" s="12" t="s">
        <v>32</v>
      </c>
    </row>
    <row r="40" customFormat="false" ht="15.75" hidden="false" customHeight="false" outlineLevel="0" collapsed="false">
      <c r="A40" s="13" t="n">
        <v>8023</v>
      </c>
      <c r="B40" s="14" t="n">
        <v>45461</v>
      </c>
      <c r="C40" s="16" t="s">
        <v>621</v>
      </c>
      <c r="D40" s="16" t="s">
        <v>24</v>
      </c>
      <c r="E40" s="16" t="s">
        <v>25</v>
      </c>
      <c r="F40" s="16" t="s">
        <v>663</v>
      </c>
      <c r="G40" s="16" t="s">
        <v>664</v>
      </c>
      <c r="H40" s="17" t="s">
        <v>28</v>
      </c>
      <c r="I40" s="16"/>
      <c r="J40" s="16" t="s">
        <v>28</v>
      </c>
      <c r="K40" s="16" t="s">
        <v>29</v>
      </c>
      <c r="L40" s="16" t="s">
        <v>29</v>
      </c>
      <c r="M40" s="16" t="s">
        <v>29</v>
      </c>
      <c r="N40" s="16" t="s">
        <v>29</v>
      </c>
      <c r="O40" s="16" t="s">
        <v>29</v>
      </c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 t="s">
        <v>37</v>
      </c>
      <c r="AA40" s="12" t="s">
        <v>40</v>
      </c>
    </row>
    <row r="41" customFormat="false" ht="15.75" hidden="false" customHeight="false" outlineLevel="0" collapsed="false">
      <c r="A41" s="28" t="s">
        <v>665</v>
      </c>
      <c r="B41" s="14" t="n">
        <v>45461</v>
      </c>
      <c r="C41" s="21" t="s">
        <v>412</v>
      </c>
      <c r="D41" s="16" t="s">
        <v>578</v>
      </c>
      <c r="E41" s="16" t="s">
        <v>25</v>
      </c>
      <c r="F41" s="16" t="s">
        <v>666</v>
      </c>
      <c r="G41" s="16"/>
      <c r="H41" s="17" t="s">
        <v>28</v>
      </c>
      <c r="I41" s="16"/>
      <c r="J41" s="16" t="s">
        <v>28</v>
      </c>
      <c r="K41" s="16" t="s">
        <v>29</v>
      </c>
      <c r="L41" s="16" t="s">
        <v>29</v>
      </c>
      <c r="M41" s="16" t="s">
        <v>29</v>
      </c>
      <c r="N41" s="16" t="n">
        <v>17596</v>
      </c>
      <c r="O41" s="16" t="s">
        <v>29</v>
      </c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2" t="s">
        <v>48</v>
      </c>
    </row>
    <row r="42" customFormat="false" ht="15.75" hidden="false" customHeight="false" outlineLevel="0" collapsed="false">
      <c r="A42" s="13" t="n">
        <v>8024</v>
      </c>
      <c r="B42" s="14" t="n">
        <v>45461</v>
      </c>
      <c r="C42" s="15" t="s">
        <v>176</v>
      </c>
      <c r="D42" s="16" t="s">
        <v>24</v>
      </c>
      <c r="E42" s="16" t="s">
        <v>25</v>
      </c>
      <c r="F42" s="16" t="s">
        <v>667</v>
      </c>
      <c r="G42" s="16"/>
      <c r="H42" s="17" t="s">
        <v>28</v>
      </c>
      <c r="I42" s="16"/>
      <c r="J42" s="16" t="s">
        <v>28</v>
      </c>
      <c r="K42" s="16" t="s">
        <v>29</v>
      </c>
      <c r="L42" s="16" t="s">
        <v>29</v>
      </c>
      <c r="M42" s="16" t="s">
        <v>29</v>
      </c>
      <c r="N42" s="16" t="s">
        <v>29</v>
      </c>
      <c r="O42" s="16" t="s">
        <v>29</v>
      </c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 t="s">
        <v>37</v>
      </c>
      <c r="AA42" s="12" t="s">
        <v>40</v>
      </c>
    </row>
    <row r="43" customFormat="false" ht="15.75" hidden="false" customHeight="false" outlineLevel="0" collapsed="false">
      <c r="A43" s="13" t="n">
        <v>8025</v>
      </c>
      <c r="B43" s="14" t="n">
        <v>45462</v>
      </c>
      <c r="C43" s="15" t="s">
        <v>465</v>
      </c>
      <c r="D43" s="16" t="s">
        <v>24</v>
      </c>
      <c r="E43" s="16" t="s">
        <v>25</v>
      </c>
      <c r="F43" s="16" t="s">
        <v>668</v>
      </c>
      <c r="G43" s="16"/>
      <c r="H43" s="17" t="s">
        <v>28</v>
      </c>
      <c r="I43" s="16"/>
      <c r="J43" s="16" t="s">
        <v>28</v>
      </c>
      <c r="K43" s="16" t="s">
        <v>29</v>
      </c>
      <c r="L43" s="16" t="s">
        <v>29</v>
      </c>
      <c r="M43" s="16" t="s">
        <v>29</v>
      </c>
      <c r="N43" s="16" t="s">
        <v>29</v>
      </c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 t="s">
        <v>37</v>
      </c>
      <c r="AA43" s="12" t="s">
        <v>40</v>
      </c>
    </row>
    <row r="44" customFormat="false" ht="15.75" hidden="false" customHeight="false" outlineLevel="0" collapsed="false">
      <c r="A44" s="13" t="s">
        <v>669</v>
      </c>
      <c r="B44" s="14" t="n">
        <v>45467</v>
      </c>
      <c r="C44" s="15" t="s">
        <v>571</v>
      </c>
      <c r="D44" s="16" t="s">
        <v>578</v>
      </c>
      <c r="E44" s="16" t="s">
        <v>25</v>
      </c>
      <c r="F44" s="16" t="s">
        <v>670</v>
      </c>
      <c r="G44" s="16" t="s">
        <v>671</v>
      </c>
      <c r="H44" s="17" t="s">
        <v>28</v>
      </c>
      <c r="I44" s="16"/>
      <c r="J44" s="16" t="s">
        <v>28</v>
      </c>
      <c r="K44" s="16" t="s">
        <v>29</v>
      </c>
      <c r="L44" s="16" t="s">
        <v>29</v>
      </c>
      <c r="M44" s="16" t="s">
        <v>29</v>
      </c>
      <c r="N44" s="16" t="n">
        <v>4728</v>
      </c>
      <c r="O44" s="16"/>
      <c r="P44" s="18"/>
      <c r="Q44" s="16" t="s">
        <v>28</v>
      </c>
      <c r="R44" s="17" t="s">
        <v>28</v>
      </c>
      <c r="S44" s="16" t="s">
        <v>73</v>
      </c>
      <c r="T44" s="16" t="s">
        <v>74</v>
      </c>
      <c r="U44" s="16" t="s">
        <v>672</v>
      </c>
      <c r="V44" s="16" t="s">
        <v>673</v>
      </c>
      <c r="W44" s="17" t="s">
        <v>28</v>
      </c>
      <c r="X44" s="17" t="s">
        <v>28</v>
      </c>
      <c r="Y44" s="16" t="s">
        <v>36</v>
      </c>
      <c r="Z44" s="16" t="s">
        <v>37</v>
      </c>
      <c r="AA44" s="12" t="s">
        <v>40</v>
      </c>
    </row>
    <row r="45" customFormat="false" ht="15.75" hidden="false" customHeight="false" outlineLevel="0" collapsed="false">
      <c r="A45" s="13" t="n">
        <v>8026</v>
      </c>
      <c r="B45" s="14" t="n">
        <v>45467</v>
      </c>
      <c r="C45" s="15" t="s">
        <v>571</v>
      </c>
      <c r="D45" s="16" t="s">
        <v>24</v>
      </c>
      <c r="E45" s="16" t="s">
        <v>25</v>
      </c>
      <c r="F45" s="16" t="s">
        <v>674</v>
      </c>
      <c r="G45" s="16"/>
      <c r="H45" s="17" t="s">
        <v>28</v>
      </c>
      <c r="I45" s="16"/>
      <c r="J45" s="16" t="s">
        <v>28</v>
      </c>
      <c r="K45" s="16" t="s">
        <v>29</v>
      </c>
      <c r="L45" s="16" t="s">
        <v>29</v>
      </c>
      <c r="M45" s="16" t="s">
        <v>29</v>
      </c>
      <c r="N45" s="16" t="n">
        <v>4728</v>
      </c>
      <c r="O45" s="16"/>
      <c r="P45" s="18"/>
      <c r="Q45" s="16"/>
      <c r="R45" s="16"/>
      <c r="S45" s="16"/>
      <c r="T45" s="16"/>
      <c r="U45" s="16"/>
      <c r="V45" s="16" t="s">
        <v>74</v>
      </c>
      <c r="W45" s="17" t="s">
        <v>28</v>
      </c>
      <c r="X45" s="17" t="s">
        <v>28</v>
      </c>
      <c r="Y45" s="16" t="s">
        <v>36</v>
      </c>
      <c r="Z45" s="16" t="s">
        <v>28</v>
      </c>
      <c r="AA45" s="12" t="s">
        <v>32</v>
      </c>
    </row>
    <row r="46" customFormat="false" ht="15.75" hidden="false" customHeight="false" outlineLevel="0" collapsed="false">
      <c r="A46" s="13" t="n">
        <v>8027</v>
      </c>
      <c r="B46" s="14" t="n">
        <v>45467</v>
      </c>
      <c r="C46" s="15" t="s">
        <v>675</v>
      </c>
      <c r="D46" s="16" t="s">
        <v>24</v>
      </c>
      <c r="E46" s="16" t="s">
        <v>25</v>
      </c>
      <c r="F46" s="16" t="s">
        <v>676</v>
      </c>
      <c r="G46" s="16" t="s">
        <v>677</v>
      </c>
      <c r="H46" s="17" t="s">
        <v>28</v>
      </c>
      <c r="I46" s="16"/>
      <c r="J46" s="16" t="s">
        <v>28</v>
      </c>
      <c r="K46" s="16" t="s">
        <v>29</v>
      </c>
      <c r="L46" s="16" t="s">
        <v>29</v>
      </c>
      <c r="M46" s="16" t="s">
        <v>29</v>
      </c>
      <c r="N46" s="16" t="n">
        <v>25031</v>
      </c>
      <c r="O46" s="16"/>
      <c r="P46" s="18"/>
      <c r="Q46" s="16"/>
      <c r="R46" s="16"/>
      <c r="S46" s="16"/>
      <c r="T46" s="16"/>
      <c r="U46" s="16"/>
      <c r="V46" s="16"/>
      <c r="W46" s="16"/>
      <c r="X46" s="16"/>
      <c r="Y46" s="16"/>
      <c r="Z46" s="16" t="s">
        <v>28</v>
      </c>
      <c r="AA46" s="12" t="s">
        <v>32</v>
      </c>
    </row>
    <row r="47" customFormat="false" ht="15.75" hidden="false" customHeight="false" outlineLevel="0" collapsed="false">
      <c r="A47" s="13" t="n">
        <v>8028</v>
      </c>
      <c r="B47" s="14" t="n">
        <v>45467</v>
      </c>
      <c r="C47" s="15" t="s">
        <v>675</v>
      </c>
      <c r="D47" s="16" t="s">
        <v>24</v>
      </c>
      <c r="E47" s="16" t="s">
        <v>25</v>
      </c>
      <c r="F47" s="16" t="s">
        <v>678</v>
      </c>
      <c r="G47" s="16" t="s">
        <v>679</v>
      </c>
      <c r="H47" s="17" t="s">
        <v>28</v>
      </c>
      <c r="I47" s="16"/>
      <c r="J47" s="16" t="s">
        <v>28</v>
      </c>
      <c r="K47" s="16" t="s">
        <v>29</v>
      </c>
      <c r="L47" s="16" t="s">
        <v>29</v>
      </c>
      <c r="M47" s="16" t="s">
        <v>29</v>
      </c>
      <c r="N47" s="16" t="n">
        <v>25031</v>
      </c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 t="s">
        <v>28</v>
      </c>
      <c r="AA47" s="12" t="s">
        <v>32</v>
      </c>
    </row>
    <row r="48" customFormat="false" ht="15.75" hidden="false" customHeight="false" outlineLevel="0" collapsed="false">
      <c r="A48" s="13" t="n">
        <v>8029</v>
      </c>
      <c r="B48" s="14" t="n">
        <v>45467</v>
      </c>
      <c r="C48" s="15" t="s">
        <v>680</v>
      </c>
      <c r="D48" s="16" t="s">
        <v>24</v>
      </c>
      <c r="E48" s="16" t="s">
        <v>25</v>
      </c>
      <c r="F48" s="16" t="s">
        <v>681</v>
      </c>
      <c r="G48" s="16" t="s">
        <v>682</v>
      </c>
      <c r="H48" s="17" t="s">
        <v>28</v>
      </c>
      <c r="I48" s="16"/>
      <c r="J48" s="16" t="s">
        <v>28</v>
      </c>
      <c r="K48" s="16" t="s">
        <v>29</v>
      </c>
      <c r="L48" s="16" t="s">
        <v>29</v>
      </c>
      <c r="M48" s="16" t="s">
        <v>29</v>
      </c>
      <c r="N48" s="16" t="s">
        <v>683</v>
      </c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 t="s">
        <v>28</v>
      </c>
      <c r="AA48" s="12" t="s">
        <v>156</v>
      </c>
    </row>
    <row r="49" customFormat="false" ht="15.75" hidden="false" customHeight="false" outlineLevel="0" collapsed="false">
      <c r="A49" s="13" t="n">
        <v>8030</v>
      </c>
      <c r="B49" s="14" t="n">
        <v>45470</v>
      </c>
      <c r="C49" s="15" t="s">
        <v>684</v>
      </c>
      <c r="D49" s="16" t="s">
        <v>24</v>
      </c>
      <c r="E49" s="16" t="s">
        <v>30</v>
      </c>
      <c r="F49" s="16" t="s">
        <v>685</v>
      </c>
      <c r="G49" s="16" t="s">
        <v>686</v>
      </c>
      <c r="H49" s="17" t="s">
        <v>28</v>
      </c>
      <c r="I49" s="16"/>
      <c r="J49" s="16" t="s">
        <v>28</v>
      </c>
      <c r="K49" s="16" t="n">
        <v>30679893064</v>
      </c>
      <c r="L49" s="16"/>
      <c r="M49" s="16"/>
      <c r="N49" s="16" t="n">
        <v>100019228</v>
      </c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 t="s">
        <v>28</v>
      </c>
      <c r="AA49" s="12" t="s">
        <v>32</v>
      </c>
    </row>
    <row r="50" customFormat="false" ht="15.75" hidden="false" customHeight="false" outlineLevel="0" collapsed="false">
      <c r="A50" s="13" t="n">
        <v>8031</v>
      </c>
      <c r="B50" s="14" t="n">
        <v>45470</v>
      </c>
      <c r="C50" s="15" t="s">
        <v>684</v>
      </c>
      <c r="D50" s="16" t="s">
        <v>24</v>
      </c>
      <c r="E50" s="16" t="s">
        <v>30</v>
      </c>
      <c r="F50" s="16" t="s">
        <v>687</v>
      </c>
      <c r="G50" s="16" t="s">
        <v>688</v>
      </c>
      <c r="H50" s="17" t="s">
        <v>28</v>
      </c>
      <c r="I50" s="16"/>
      <c r="J50" s="16" t="s">
        <v>28</v>
      </c>
      <c r="K50" s="16"/>
      <c r="L50" s="16"/>
      <c r="M50" s="16"/>
      <c r="N50" s="16" t="n">
        <v>100020272</v>
      </c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 t="s">
        <v>28</v>
      </c>
      <c r="AA50" s="12" t="s">
        <v>32</v>
      </c>
    </row>
    <row r="51" customFormat="false" ht="15.75" hidden="false" customHeight="false" outlineLevel="0" collapsed="false">
      <c r="A51" s="13" t="n">
        <v>8032</v>
      </c>
      <c r="B51" s="14" t="n">
        <v>45470</v>
      </c>
      <c r="C51" s="15" t="s">
        <v>689</v>
      </c>
      <c r="D51" s="16" t="s">
        <v>24</v>
      </c>
      <c r="E51" s="16" t="s">
        <v>30</v>
      </c>
      <c r="F51" s="16" t="s">
        <v>690</v>
      </c>
      <c r="G51" s="16" t="s">
        <v>691</v>
      </c>
      <c r="H51" s="17" t="s">
        <v>28</v>
      </c>
      <c r="I51" s="16"/>
      <c r="J51" s="16" t="s">
        <v>28</v>
      </c>
      <c r="K51" s="16"/>
      <c r="L51" s="16"/>
      <c r="M51" s="16"/>
      <c r="N51" s="16" t="n">
        <v>2895</v>
      </c>
      <c r="O51" s="16"/>
      <c r="P51" s="18"/>
      <c r="Q51" s="16"/>
      <c r="R51" s="16"/>
      <c r="S51" s="16"/>
      <c r="T51" s="16"/>
      <c r="U51" s="16"/>
      <c r="V51" s="16"/>
      <c r="W51" s="16"/>
      <c r="X51" s="16"/>
      <c r="Y51" s="16"/>
      <c r="Z51" s="16" t="s">
        <v>37</v>
      </c>
      <c r="AA51" s="12" t="s">
        <v>40</v>
      </c>
    </row>
    <row r="52" customFormat="false" ht="15.75" hidden="false" customHeight="false" outlineLevel="0" collapsed="false">
      <c r="A52" s="13" t="n">
        <v>8033</v>
      </c>
      <c r="B52" s="14" t="n">
        <v>45470</v>
      </c>
      <c r="C52" s="15" t="s">
        <v>692</v>
      </c>
      <c r="D52" s="16" t="s">
        <v>24</v>
      </c>
      <c r="E52" s="16" t="s">
        <v>30</v>
      </c>
      <c r="F52" s="16" t="s">
        <v>127</v>
      </c>
      <c r="G52" s="16" t="s">
        <v>693</v>
      </c>
      <c r="H52" s="17" t="s">
        <v>28</v>
      </c>
      <c r="I52" s="16"/>
      <c r="J52" s="16" t="s">
        <v>28</v>
      </c>
      <c r="K52" s="16" t="n">
        <v>30501111127</v>
      </c>
      <c r="L52" s="16" t="n">
        <v>3514982682</v>
      </c>
      <c r="M52" s="16"/>
      <c r="N52" s="16" t="n">
        <v>422</v>
      </c>
      <c r="O52" s="16"/>
      <c r="P52" s="18"/>
      <c r="Q52" s="16"/>
      <c r="R52" s="16"/>
      <c r="S52" s="16"/>
      <c r="T52" s="16"/>
      <c r="U52" s="16"/>
      <c r="V52" s="16" t="s">
        <v>58</v>
      </c>
      <c r="W52" s="17" t="s">
        <v>28</v>
      </c>
      <c r="X52" s="17" t="s">
        <v>28</v>
      </c>
      <c r="Y52" s="16" t="s">
        <v>36</v>
      </c>
      <c r="Z52" s="16" t="s">
        <v>28</v>
      </c>
      <c r="AA52" s="12" t="s">
        <v>156</v>
      </c>
    </row>
    <row r="53" customFormat="false" ht="15.75" hidden="false" customHeight="false" outlineLevel="0" collapsed="false">
      <c r="A53" s="13" t="n">
        <v>8034</v>
      </c>
      <c r="B53" s="14" t="n">
        <v>45470</v>
      </c>
      <c r="C53" s="15" t="s">
        <v>694</v>
      </c>
      <c r="D53" s="16" t="s">
        <v>24</v>
      </c>
      <c r="E53" s="16" t="s">
        <v>30</v>
      </c>
      <c r="F53" s="16" t="s">
        <v>127</v>
      </c>
      <c r="G53" s="16" t="s">
        <v>695</v>
      </c>
      <c r="H53" s="17" t="s">
        <v>28</v>
      </c>
      <c r="I53" s="16"/>
      <c r="J53" s="16" t="s">
        <v>28</v>
      </c>
      <c r="K53" s="16"/>
      <c r="L53" s="16"/>
      <c r="M53" s="16"/>
      <c r="N53" s="16"/>
      <c r="O53" s="16"/>
      <c r="P53" s="18"/>
      <c r="Q53" s="16" t="s">
        <v>28</v>
      </c>
      <c r="R53" s="17" t="s">
        <v>28</v>
      </c>
      <c r="S53" s="16"/>
      <c r="T53" s="16" t="s">
        <v>222</v>
      </c>
      <c r="U53" s="16"/>
      <c r="V53" s="16" t="s">
        <v>74</v>
      </c>
      <c r="W53" s="17" t="s">
        <v>28</v>
      </c>
      <c r="X53" s="17" t="s">
        <v>28</v>
      </c>
      <c r="Y53" s="16" t="s">
        <v>36</v>
      </c>
      <c r="Z53" s="16" t="s">
        <v>28</v>
      </c>
      <c r="AA53" s="12" t="s">
        <v>32</v>
      </c>
    </row>
    <row r="54" customFormat="false" ht="15.75" hidden="false" customHeight="false" outlineLevel="0" collapsed="false">
      <c r="A54" s="13" t="n">
        <v>8035</v>
      </c>
      <c r="B54" s="14" t="n">
        <v>45470</v>
      </c>
      <c r="C54" s="16" t="s">
        <v>696</v>
      </c>
      <c r="D54" s="16" t="s">
        <v>24</v>
      </c>
      <c r="E54" s="16" t="s">
        <v>30</v>
      </c>
      <c r="F54" s="16" t="s">
        <v>127</v>
      </c>
      <c r="G54" s="16" t="s">
        <v>695</v>
      </c>
      <c r="H54" s="17" t="s">
        <v>28</v>
      </c>
      <c r="I54" s="16"/>
      <c r="J54" s="16" t="s">
        <v>28</v>
      </c>
      <c r="K54" s="16"/>
      <c r="L54" s="16"/>
      <c r="M54" s="16"/>
      <c r="N54" s="16"/>
      <c r="O54" s="16"/>
      <c r="P54" s="16"/>
      <c r="Q54" s="16" t="s">
        <v>28</v>
      </c>
      <c r="R54" s="17" t="s">
        <v>28</v>
      </c>
      <c r="S54" s="16"/>
      <c r="T54" s="16" t="s">
        <v>222</v>
      </c>
      <c r="U54" s="16"/>
      <c r="V54" s="16" t="s">
        <v>74</v>
      </c>
      <c r="W54" s="17" t="s">
        <v>28</v>
      </c>
      <c r="X54" s="17" t="s">
        <v>28</v>
      </c>
      <c r="Y54" s="16" t="s">
        <v>36</v>
      </c>
      <c r="Z54" s="16" t="s">
        <v>28</v>
      </c>
      <c r="AA54" s="12" t="s">
        <v>32</v>
      </c>
    </row>
    <row r="55" customFormat="false" ht="15.75" hidden="false" customHeight="false" outlineLevel="0" collapsed="false">
      <c r="A55" s="13" t="n">
        <v>8036</v>
      </c>
      <c r="B55" s="14" t="n">
        <v>45471</v>
      </c>
      <c r="C55" s="21" t="s">
        <v>389</v>
      </c>
      <c r="D55" s="16" t="s">
        <v>24</v>
      </c>
      <c r="E55" s="16" t="s">
        <v>25</v>
      </c>
      <c r="F55" s="16" t="s">
        <v>697</v>
      </c>
      <c r="G55" s="16"/>
      <c r="H55" s="17" t="s">
        <v>28</v>
      </c>
      <c r="I55" s="16"/>
      <c r="J55" s="16" t="s">
        <v>28</v>
      </c>
      <c r="K55" s="16" t="s">
        <v>29</v>
      </c>
      <c r="L55" s="16" t="s">
        <v>29</v>
      </c>
      <c r="M55" s="16" t="s">
        <v>29</v>
      </c>
      <c r="N55" s="16" t="s">
        <v>29</v>
      </c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 t="s">
        <v>28</v>
      </c>
      <c r="AA55" s="12" t="s">
        <v>40</v>
      </c>
    </row>
    <row r="56" customFormat="false" ht="15.75" hidden="false" customHeight="false" outlineLevel="0" collapsed="false">
      <c r="A56" s="47"/>
      <c r="B56" s="29"/>
      <c r="C56" s="21"/>
      <c r="D56" s="21"/>
      <c r="E56" s="21"/>
      <c r="F56" s="21"/>
      <c r="G56" s="30"/>
      <c r="H56" s="31"/>
      <c r="I56" s="31"/>
      <c r="J56" s="21"/>
      <c r="K56" s="21"/>
      <c r="L56" s="21"/>
      <c r="M56" s="21"/>
      <c r="N56" s="21"/>
      <c r="O56" s="21"/>
      <c r="P56" s="30"/>
      <c r="Q56" s="21"/>
      <c r="R56" s="21"/>
      <c r="S56" s="21"/>
      <c r="T56" s="32"/>
      <c r="U56" s="32"/>
      <c r="V56" s="21"/>
      <c r="W56" s="21"/>
      <c r="X56" s="21"/>
      <c r="Y56" s="21"/>
      <c r="Z56" s="21"/>
    </row>
    <row r="57" customFormat="false" ht="15.75" hidden="false" customHeight="false" outlineLevel="0" collapsed="false">
      <c r="A57" s="21"/>
      <c r="B57" s="33"/>
      <c r="C57" s="21"/>
      <c r="D57" s="21"/>
      <c r="E57" s="21"/>
      <c r="F57" s="21"/>
      <c r="G57" s="30"/>
      <c r="H57" s="31"/>
      <c r="I57" s="31"/>
      <c r="J57" s="21"/>
      <c r="K57" s="21"/>
      <c r="L57" s="21"/>
      <c r="M57" s="21"/>
      <c r="N57" s="21"/>
      <c r="O57" s="21"/>
      <c r="P57" s="30"/>
      <c r="Q57" s="21"/>
      <c r="R57" s="21"/>
      <c r="S57" s="21"/>
      <c r="T57" s="32"/>
      <c r="U57" s="32"/>
      <c r="V57" s="21"/>
      <c r="W57" s="21"/>
      <c r="X57" s="21"/>
      <c r="Y57" s="21"/>
      <c r="Z57" s="21"/>
    </row>
    <row r="58" customFormat="false" ht="15.75" hidden="false" customHeight="false" outlineLevel="0" collapsed="false">
      <c r="A58" s="21"/>
      <c r="B58" s="29"/>
      <c r="C58" s="21"/>
      <c r="D58" s="21"/>
      <c r="E58" s="21"/>
      <c r="F58" s="21"/>
      <c r="G58" s="30"/>
      <c r="H58" s="31"/>
      <c r="I58" s="31"/>
      <c r="J58" s="21"/>
      <c r="K58" s="21"/>
      <c r="L58" s="21"/>
      <c r="M58" s="21"/>
      <c r="N58" s="21"/>
      <c r="O58" s="21"/>
      <c r="P58" s="30"/>
      <c r="Q58" s="21"/>
      <c r="R58" s="21"/>
      <c r="S58" s="21"/>
      <c r="T58" s="32"/>
      <c r="U58" s="32"/>
      <c r="V58" s="21"/>
      <c r="W58" s="21"/>
      <c r="X58" s="21"/>
      <c r="Y58" s="21"/>
      <c r="Z58" s="21"/>
    </row>
    <row r="59" customFormat="false" ht="15.75" hidden="false" customHeight="false" outlineLevel="0" collapsed="false">
      <c r="A59" s="21"/>
      <c r="B59" s="29"/>
      <c r="C59" s="21"/>
      <c r="D59" s="21"/>
      <c r="E59" s="21"/>
      <c r="F59" s="21"/>
      <c r="G59" s="30"/>
      <c r="H59" s="31"/>
      <c r="I59" s="31"/>
      <c r="J59" s="21"/>
      <c r="K59" s="21"/>
      <c r="L59" s="21"/>
      <c r="M59" s="21"/>
      <c r="N59" s="21"/>
      <c r="O59" s="21"/>
      <c r="P59" s="30"/>
      <c r="Q59" s="21"/>
      <c r="R59" s="21"/>
      <c r="S59" s="21"/>
      <c r="T59" s="32"/>
      <c r="U59" s="32"/>
      <c r="V59" s="21"/>
      <c r="W59" s="21"/>
      <c r="X59" s="21"/>
      <c r="Y59" s="21"/>
      <c r="Z59" s="21"/>
    </row>
    <row r="60" customFormat="false" ht="15.75" hidden="false" customHeight="false" outlineLevel="0" collapsed="false">
      <c r="A60" s="21"/>
      <c r="B60" s="29"/>
      <c r="C60" s="21"/>
      <c r="D60" s="21"/>
      <c r="E60" s="21"/>
      <c r="F60" s="21"/>
      <c r="G60" s="30"/>
      <c r="H60" s="31"/>
      <c r="I60" s="31"/>
      <c r="J60" s="21"/>
      <c r="K60" s="21"/>
      <c r="L60" s="21"/>
      <c r="M60" s="21"/>
      <c r="N60" s="21"/>
      <c r="O60" s="21"/>
      <c r="P60" s="30"/>
      <c r="Q60" s="21"/>
      <c r="R60" s="21"/>
      <c r="S60" s="21"/>
      <c r="T60" s="32"/>
      <c r="U60" s="32"/>
      <c r="V60" s="21"/>
      <c r="W60" s="21"/>
      <c r="X60" s="21"/>
      <c r="Y60" s="21"/>
      <c r="Z60" s="21"/>
    </row>
    <row r="61" customFormat="false" ht="15.75" hidden="false" customHeight="false" outlineLevel="0" collapsed="false">
      <c r="B61" s="34"/>
      <c r="D61" s="12"/>
      <c r="E61" s="12"/>
      <c r="G61" s="18"/>
      <c r="H61" s="35"/>
      <c r="I61" s="35"/>
      <c r="J61" s="12"/>
      <c r="P61" s="18"/>
      <c r="Q61" s="12"/>
      <c r="R61" s="12"/>
      <c r="T61" s="36"/>
      <c r="U61" s="36"/>
      <c r="V61" s="12"/>
      <c r="W61" s="12"/>
      <c r="X61" s="12"/>
      <c r="Z61" s="12"/>
    </row>
    <row r="62" customFormat="false" ht="15.75" hidden="false" customHeight="false" outlineLevel="0" collapsed="false">
      <c r="B62" s="34"/>
      <c r="D62" s="12"/>
      <c r="E62" s="12"/>
      <c r="G62" s="18"/>
      <c r="H62" s="35"/>
      <c r="I62" s="35"/>
      <c r="J62" s="12"/>
      <c r="P62" s="18"/>
      <c r="Q62" s="12"/>
      <c r="R62" s="12"/>
      <c r="T62" s="36"/>
      <c r="U62" s="36"/>
      <c r="V62" s="12"/>
      <c r="W62" s="12"/>
      <c r="X62" s="12"/>
      <c r="Z62" s="12"/>
    </row>
    <row r="63" customFormat="false" ht="15.75" hidden="false" customHeight="false" outlineLevel="0" collapsed="false">
      <c r="B63" s="34"/>
      <c r="D63" s="12"/>
      <c r="E63" s="12"/>
      <c r="G63" s="18"/>
      <c r="H63" s="35"/>
      <c r="I63" s="35"/>
      <c r="J63" s="12"/>
      <c r="P63" s="18"/>
      <c r="Q63" s="12"/>
      <c r="R63" s="12"/>
      <c r="T63" s="36"/>
      <c r="U63" s="36"/>
      <c r="V63" s="12"/>
      <c r="W63" s="12"/>
      <c r="X63" s="12"/>
      <c r="Z63" s="12"/>
    </row>
    <row r="64" customFormat="false" ht="15.75" hidden="false" customHeight="false" outlineLevel="0" collapsed="false">
      <c r="B64" s="34"/>
      <c r="D64" s="12"/>
      <c r="E64" s="12"/>
      <c r="G64" s="18"/>
      <c r="H64" s="35"/>
      <c r="I64" s="35"/>
      <c r="J64" s="12"/>
      <c r="P64" s="18"/>
      <c r="Q64" s="12"/>
      <c r="R64" s="12"/>
      <c r="T64" s="36"/>
      <c r="U64" s="36"/>
      <c r="V64" s="12"/>
      <c r="W64" s="12"/>
      <c r="X64" s="12"/>
      <c r="Z64" s="12"/>
    </row>
    <row r="65" customFormat="false" ht="15.75" hidden="false" customHeight="false" outlineLevel="0" collapsed="false">
      <c r="B65" s="34"/>
      <c r="D65" s="12"/>
      <c r="E65" s="12"/>
      <c r="G65" s="18"/>
      <c r="H65" s="35"/>
      <c r="I65" s="35"/>
      <c r="J65" s="12"/>
      <c r="P65" s="18"/>
      <c r="Q65" s="12"/>
      <c r="R65" s="12"/>
      <c r="T65" s="36"/>
      <c r="U65" s="36"/>
      <c r="V65" s="12"/>
      <c r="W65" s="12"/>
      <c r="X65" s="12"/>
      <c r="Z65" s="12"/>
    </row>
    <row r="66" customFormat="false" ht="15.75" hidden="false" customHeight="false" outlineLevel="0" collapsed="false">
      <c r="B66" s="34"/>
      <c r="D66" s="12"/>
      <c r="E66" s="12"/>
      <c r="G66" s="18"/>
      <c r="H66" s="35"/>
      <c r="I66" s="35"/>
      <c r="J66" s="12"/>
      <c r="P66" s="18"/>
      <c r="Q66" s="12"/>
      <c r="R66" s="12"/>
      <c r="T66" s="36"/>
      <c r="U66" s="36"/>
      <c r="V66" s="12"/>
      <c r="W66" s="12"/>
      <c r="X66" s="12"/>
      <c r="Z66" s="12"/>
    </row>
    <row r="67" customFormat="false" ht="15.75" hidden="false" customHeight="false" outlineLevel="0" collapsed="false">
      <c r="B67" s="34"/>
      <c r="D67" s="12"/>
      <c r="E67" s="12"/>
      <c r="G67" s="18"/>
      <c r="H67" s="35"/>
      <c r="I67" s="35"/>
      <c r="J67" s="12"/>
      <c r="P67" s="18"/>
      <c r="Q67" s="12"/>
      <c r="R67" s="12"/>
      <c r="T67" s="36"/>
      <c r="U67" s="36"/>
      <c r="V67" s="12"/>
      <c r="W67" s="12"/>
      <c r="X67" s="12"/>
      <c r="Z67" s="12"/>
    </row>
    <row r="68" customFormat="false" ht="15.75" hidden="false" customHeight="false" outlineLevel="0" collapsed="false">
      <c r="B68" s="34"/>
      <c r="D68" s="12"/>
      <c r="E68" s="12"/>
      <c r="G68" s="18"/>
      <c r="H68" s="35"/>
      <c r="I68" s="35"/>
      <c r="J68" s="12"/>
      <c r="P68" s="18"/>
      <c r="Q68" s="12"/>
      <c r="R68" s="12"/>
      <c r="T68" s="36"/>
      <c r="U68" s="36"/>
      <c r="V68" s="12"/>
      <c r="W68" s="12"/>
      <c r="X68" s="12"/>
      <c r="Z68" s="12"/>
    </row>
    <row r="69" customFormat="false" ht="15.75" hidden="false" customHeight="false" outlineLevel="0" collapsed="false">
      <c r="B69" s="34"/>
      <c r="D69" s="12"/>
      <c r="E69" s="12"/>
      <c r="G69" s="18"/>
      <c r="H69" s="35"/>
      <c r="I69" s="35"/>
      <c r="J69" s="12"/>
      <c r="P69" s="18"/>
      <c r="Q69" s="12"/>
      <c r="R69" s="12"/>
      <c r="T69" s="36"/>
      <c r="U69" s="36"/>
      <c r="V69" s="12"/>
      <c r="W69" s="12"/>
      <c r="X69" s="12"/>
      <c r="Z69" s="12"/>
    </row>
    <row r="70" customFormat="false" ht="15.75" hidden="false" customHeight="false" outlineLevel="0" collapsed="false">
      <c r="B70" s="34"/>
      <c r="D70" s="12"/>
      <c r="E70" s="12"/>
      <c r="G70" s="18"/>
      <c r="H70" s="35"/>
      <c r="I70" s="35"/>
      <c r="J70" s="12"/>
      <c r="P70" s="18"/>
      <c r="Q70" s="12"/>
      <c r="R70" s="12"/>
      <c r="T70" s="36"/>
      <c r="U70" s="36"/>
      <c r="V70" s="12"/>
      <c r="W70" s="12"/>
      <c r="X70" s="12"/>
      <c r="Z70" s="12"/>
    </row>
    <row r="71" customFormat="false" ht="15.75" hidden="false" customHeight="false" outlineLevel="0" collapsed="false">
      <c r="B71" s="34"/>
      <c r="D71" s="12"/>
      <c r="E71" s="12"/>
      <c r="G71" s="18"/>
      <c r="H71" s="35"/>
      <c r="I71" s="35"/>
      <c r="J71" s="12"/>
      <c r="P71" s="18"/>
      <c r="Q71" s="12"/>
      <c r="R71" s="12"/>
      <c r="T71" s="36"/>
      <c r="U71" s="36"/>
      <c r="V71" s="12"/>
      <c r="W71" s="12"/>
      <c r="X71" s="12"/>
      <c r="Z71" s="12"/>
    </row>
    <row r="72" customFormat="false" ht="15.75" hidden="false" customHeight="false" outlineLevel="0" collapsed="false">
      <c r="B72" s="34"/>
      <c r="D72" s="12"/>
      <c r="E72" s="12"/>
      <c r="G72" s="18"/>
      <c r="H72" s="35"/>
      <c r="I72" s="35"/>
      <c r="J72" s="12"/>
      <c r="P72" s="18"/>
      <c r="Q72" s="12"/>
      <c r="R72" s="12"/>
      <c r="T72" s="36"/>
      <c r="U72" s="36"/>
      <c r="V72" s="12"/>
      <c r="W72" s="12"/>
      <c r="X72" s="12"/>
      <c r="Z72" s="12"/>
    </row>
    <row r="73" customFormat="false" ht="15.75" hidden="false" customHeight="false" outlineLevel="0" collapsed="false">
      <c r="B73" s="34"/>
      <c r="D73" s="12"/>
      <c r="E73" s="12"/>
      <c r="G73" s="18"/>
      <c r="H73" s="35"/>
      <c r="I73" s="35"/>
      <c r="J73" s="12"/>
      <c r="P73" s="18"/>
      <c r="Q73" s="12"/>
      <c r="R73" s="12"/>
      <c r="T73" s="36"/>
      <c r="U73" s="36"/>
      <c r="V73" s="12"/>
      <c r="W73" s="12"/>
      <c r="X73" s="12"/>
      <c r="Z73" s="12"/>
    </row>
    <row r="74" customFormat="false" ht="15.75" hidden="false" customHeight="false" outlineLevel="0" collapsed="false">
      <c r="B74" s="34"/>
      <c r="D74" s="12"/>
      <c r="E74" s="12"/>
      <c r="G74" s="18"/>
      <c r="H74" s="35"/>
      <c r="I74" s="35"/>
      <c r="J74" s="12"/>
      <c r="P74" s="18"/>
      <c r="Q74" s="12"/>
      <c r="R74" s="12"/>
      <c r="T74" s="36"/>
      <c r="U74" s="36"/>
      <c r="V74" s="12"/>
      <c r="W74" s="12"/>
      <c r="X74" s="12"/>
      <c r="Z74" s="12"/>
    </row>
    <row r="75" customFormat="false" ht="15.75" hidden="false" customHeight="false" outlineLevel="0" collapsed="false">
      <c r="B75" s="34"/>
      <c r="D75" s="12"/>
      <c r="E75" s="12"/>
      <c r="G75" s="18"/>
      <c r="H75" s="35"/>
      <c r="I75" s="35"/>
      <c r="J75" s="12"/>
      <c r="P75" s="18"/>
      <c r="Q75" s="12"/>
      <c r="R75" s="12"/>
      <c r="T75" s="36"/>
      <c r="U75" s="36"/>
      <c r="V75" s="12"/>
      <c r="W75" s="12"/>
      <c r="X75" s="12"/>
      <c r="Z75" s="12"/>
    </row>
    <row r="76" customFormat="false" ht="15.75" hidden="false" customHeight="false" outlineLevel="0" collapsed="false">
      <c r="B76" s="34"/>
      <c r="D76" s="12"/>
      <c r="E76" s="12"/>
      <c r="G76" s="18"/>
      <c r="H76" s="35"/>
      <c r="I76" s="35"/>
      <c r="J76" s="12"/>
      <c r="P76" s="18"/>
      <c r="Q76" s="12"/>
      <c r="R76" s="12"/>
      <c r="T76" s="36"/>
      <c r="U76" s="36"/>
      <c r="V76" s="12"/>
      <c r="W76" s="12"/>
      <c r="X76" s="12"/>
      <c r="Z76" s="12"/>
    </row>
    <row r="77" customFormat="false" ht="15.75" hidden="false" customHeight="false" outlineLevel="0" collapsed="false">
      <c r="B77" s="34"/>
      <c r="D77" s="12"/>
      <c r="E77" s="12"/>
      <c r="G77" s="18"/>
      <c r="H77" s="35"/>
      <c r="I77" s="35"/>
      <c r="J77" s="12"/>
      <c r="P77" s="18"/>
      <c r="Q77" s="12"/>
      <c r="R77" s="12"/>
      <c r="T77" s="36"/>
      <c r="U77" s="36"/>
      <c r="V77" s="12"/>
      <c r="W77" s="12"/>
      <c r="X77" s="12"/>
      <c r="Z77" s="12"/>
    </row>
    <row r="78" customFormat="false" ht="15.75" hidden="false" customHeight="false" outlineLevel="0" collapsed="false">
      <c r="A78" s="12"/>
      <c r="B78" s="34"/>
      <c r="C78" s="12"/>
      <c r="D78" s="12"/>
      <c r="E78" s="12"/>
      <c r="F78" s="12"/>
      <c r="G78" s="18"/>
      <c r="H78" s="35"/>
      <c r="I78" s="35"/>
      <c r="J78" s="12"/>
      <c r="O78" s="12"/>
      <c r="P78" s="18"/>
      <c r="Q78" s="12"/>
      <c r="R78" s="12"/>
      <c r="S78" s="12"/>
      <c r="T78" s="36"/>
      <c r="U78" s="36"/>
      <c r="V78" s="12"/>
      <c r="W78" s="12"/>
      <c r="X78" s="12"/>
      <c r="Y78" s="12"/>
      <c r="Z78" s="12"/>
    </row>
    <row r="79" customFormat="false" ht="15.75" hidden="false" customHeight="false" outlineLevel="0" collapsed="false">
      <c r="A79" s="12"/>
      <c r="B79" s="34"/>
      <c r="C79" s="12"/>
      <c r="D79" s="12"/>
      <c r="E79" s="12"/>
      <c r="F79" s="12"/>
      <c r="G79" s="18"/>
      <c r="H79" s="35"/>
      <c r="I79" s="35"/>
      <c r="J79" s="12"/>
      <c r="O79" s="12"/>
      <c r="P79" s="18"/>
      <c r="Q79" s="12"/>
      <c r="R79" s="12"/>
      <c r="S79" s="12"/>
      <c r="T79" s="36"/>
      <c r="U79" s="36"/>
      <c r="V79" s="12"/>
      <c r="W79" s="12"/>
      <c r="X79" s="12"/>
      <c r="Y79" s="12"/>
      <c r="Z79" s="12"/>
    </row>
    <row r="80" customFormat="false" ht="15.75" hidden="false" customHeight="false" outlineLevel="0" collapsed="false">
      <c r="A80" s="12"/>
      <c r="B80" s="34"/>
      <c r="C80" s="12"/>
      <c r="D80" s="12"/>
      <c r="E80" s="12"/>
      <c r="F80" s="12"/>
      <c r="G80" s="18"/>
      <c r="H80" s="35"/>
      <c r="I80" s="35"/>
      <c r="J80" s="12"/>
      <c r="O80" s="12"/>
      <c r="P80" s="18"/>
      <c r="Q80" s="12"/>
      <c r="R80" s="12"/>
      <c r="S80" s="12"/>
      <c r="T80" s="36"/>
      <c r="U80" s="36"/>
      <c r="V80" s="12"/>
      <c r="W80" s="12"/>
      <c r="X80" s="12"/>
      <c r="Y80" s="12"/>
      <c r="Z80" s="12"/>
    </row>
    <row r="81" customFormat="false" ht="15.75" hidden="false" customHeight="false" outlineLevel="0" collapsed="false">
      <c r="A81" s="12"/>
      <c r="B81" s="34"/>
      <c r="C81" s="12"/>
      <c r="D81" s="12"/>
      <c r="E81" s="12"/>
      <c r="F81" s="12"/>
      <c r="G81" s="18"/>
      <c r="H81" s="35"/>
      <c r="I81" s="35"/>
      <c r="J81" s="12"/>
      <c r="O81" s="12"/>
      <c r="P81" s="18"/>
      <c r="Q81" s="12"/>
      <c r="R81" s="12"/>
      <c r="S81" s="12"/>
      <c r="T81" s="36"/>
      <c r="U81" s="36"/>
      <c r="V81" s="12"/>
      <c r="W81" s="12"/>
      <c r="X81" s="12"/>
      <c r="Y81" s="12"/>
      <c r="Z81" s="12"/>
    </row>
    <row r="82" customFormat="false" ht="15.75" hidden="false" customHeight="false" outlineLevel="0" collapsed="false">
      <c r="A82" s="12"/>
      <c r="B82" s="34"/>
      <c r="C82" s="12"/>
      <c r="D82" s="12"/>
      <c r="E82" s="12"/>
      <c r="F82" s="12"/>
      <c r="G82" s="18"/>
      <c r="H82" s="35"/>
      <c r="I82" s="35"/>
      <c r="J82" s="12"/>
      <c r="O82" s="12"/>
      <c r="P82" s="18"/>
      <c r="Q82" s="12"/>
      <c r="R82" s="12"/>
      <c r="S82" s="12"/>
      <c r="T82" s="36"/>
      <c r="U82" s="36"/>
      <c r="V82" s="12"/>
      <c r="W82" s="12"/>
      <c r="X82" s="12"/>
      <c r="Y82" s="12"/>
      <c r="Z82" s="12"/>
    </row>
    <row r="83" customFormat="false" ht="15.75" hidden="false" customHeight="false" outlineLevel="0" collapsed="false">
      <c r="A83" s="12"/>
      <c r="B83" s="34"/>
      <c r="C83" s="12"/>
      <c r="D83" s="12"/>
      <c r="E83" s="12"/>
      <c r="F83" s="12"/>
      <c r="G83" s="18"/>
      <c r="H83" s="35"/>
      <c r="I83" s="35"/>
      <c r="J83" s="12"/>
      <c r="O83" s="12"/>
      <c r="P83" s="18"/>
      <c r="Q83" s="12"/>
      <c r="R83" s="12"/>
      <c r="S83" s="12"/>
      <c r="T83" s="36"/>
      <c r="U83" s="36"/>
      <c r="V83" s="12"/>
      <c r="W83" s="12"/>
      <c r="X83" s="12"/>
      <c r="Y83" s="12"/>
      <c r="Z83" s="12"/>
    </row>
    <row r="84" customFormat="false" ht="15.75" hidden="false" customHeight="false" outlineLevel="0" collapsed="false">
      <c r="A84" s="12"/>
      <c r="B84" s="34"/>
      <c r="C84" s="12"/>
      <c r="D84" s="12"/>
      <c r="E84" s="12"/>
      <c r="F84" s="12"/>
      <c r="G84" s="18"/>
      <c r="H84" s="35"/>
      <c r="I84" s="35"/>
      <c r="J84" s="12"/>
      <c r="O84" s="12"/>
      <c r="P84" s="18"/>
      <c r="Q84" s="12"/>
      <c r="R84" s="12"/>
      <c r="S84" s="12"/>
      <c r="T84" s="36"/>
      <c r="U84" s="36"/>
      <c r="V84" s="12"/>
      <c r="W84" s="12"/>
      <c r="X84" s="12"/>
      <c r="Y84" s="12"/>
      <c r="Z84" s="12"/>
    </row>
    <row r="85" customFormat="false" ht="15.75" hidden="false" customHeight="false" outlineLevel="0" collapsed="false">
      <c r="A85" s="12"/>
      <c r="B85" s="34"/>
      <c r="C85" s="12"/>
      <c r="D85" s="12"/>
      <c r="E85" s="12"/>
      <c r="F85" s="12"/>
      <c r="G85" s="18"/>
      <c r="H85" s="35"/>
      <c r="I85" s="35"/>
      <c r="J85" s="12"/>
      <c r="O85" s="12"/>
      <c r="P85" s="18"/>
      <c r="Q85" s="12"/>
      <c r="R85" s="12"/>
      <c r="S85" s="12"/>
      <c r="T85" s="36"/>
      <c r="U85" s="36"/>
      <c r="V85" s="12"/>
      <c r="W85" s="12"/>
      <c r="X85" s="12"/>
      <c r="Y85" s="12"/>
      <c r="Z85" s="12"/>
    </row>
    <row r="86" customFormat="false" ht="15.75" hidden="false" customHeight="false" outlineLevel="0" collapsed="false">
      <c r="A86" s="12"/>
      <c r="B86" s="34"/>
      <c r="C86" s="12"/>
      <c r="D86" s="12"/>
      <c r="E86" s="12"/>
      <c r="F86" s="12"/>
      <c r="G86" s="18"/>
      <c r="H86" s="35"/>
      <c r="I86" s="35"/>
      <c r="J86" s="12"/>
      <c r="O86" s="12"/>
      <c r="P86" s="18"/>
      <c r="Q86" s="12"/>
      <c r="R86" s="12"/>
      <c r="S86" s="12"/>
      <c r="T86" s="36"/>
      <c r="U86" s="36"/>
      <c r="V86" s="12"/>
      <c r="W86" s="12"/>
      <c r="X86" s="12"/>
      <c r="Y86" s="12"/>
      <c r="Z86" s="12"/>
    </row>
    <row r="87" customFormat="false" ht="15.75" hidden="false" customHeight="false" outlineLevel="0" collapsed="false">
      <c r="A87" s="12"/>
      <c r="B87" s="34"/>
      <c r="C87" s="12"/>
      <c r="D87" s="12"/>
      <c r="E87" s="12"/>
      <c r="F87" s="12"/>
      <c r="G87" s="18"/>
      <c r="H87" s="35"/>
      <c r="I87" s="35"/>
      <c r="J87" s="12"/>
      <c r="O87" s="12"/>
      <c r="P87" s="18"/>
      <c r="Q87" s="12"/>
      <c r="R87" s="12"/>
      <c r="S87" s="12"/>
      <c r="T87" s="36"/>
      <c r="U87" s="36"/>
      <c r="V87" s="12"/>
      <c r="W87" s="12"/>
      <c r="X87" s="12"/>
      <c r="Y87" s="12"/>
      <c r="Z87" s="12"/>
    </row>
    <row r="88" customFormat="false" ht="15.75" hidden="false" customHeight="false" outlineLevel="0" collapsed="false">
      <c r="A88" s="12"/>
      <c r="B88" s="34"/>
      <c r="C88" s="12"/>
      <c r="D88" s="12"/>
      <c r="E88" s="12"/>
      <c r="F88" s="12"/>
      <c r="G88" s="18"/>
      <c r="H88" s="35"/>
      <c r="I88" s="35"/>
      <c r="J88" s="12"/>
      <c r="O88" s="12"/>
      <c r="P88" s="18"/>
      <c r="Q88" s="12"/>
      <c r="R88" s="12"/>
      <c r="S88" s="12"/>
      <c r="T88" s="36"/>
      <c r="U88" s="36"/>
      <c r="V88" s="12"/>
      <c r="W88" s="12"/>
      <c r="X88" s="12"/>
      <c r="Y88" s="12"/>
      <c r="Z88" s="12"/>
    </row>
    <row r="89" customFormat="false" ht="15.75" hidden="false" customHeight="false" outlineLevel="0" collapsed="false">
      <c r="A89" s="12"/>
      <c r="B89" s="34"/>
      <c r="C89" s="12"/>
      <c r="D89" s="12"/>
      <c r="E89" s="12"/>
      <c r="F89" s="12"/>
      <c r="G89" s="18"/>
      <c r="H89" s="35"/>
      <c r="I89" s="35"/>
      <c r="J89" s="12"/>
      <c r="O89" s="12"/>
      <c r="P89" s="18"/>
      <c r="Q89" s="12"/>
      <c r="R89" s="12"/>
      <c r="S89" s="12"/>
      <c r="T89" s="36"/>
      <c r="U89" s="36"/>
      <c r="V89" s="12"/>
      <c r="W89" s="12"/>
      <c r="X89" s="12"/>
      <c r="Y89" s="12"/>
      <c r="Z89" s="12"/>
    </row>
    <row r="90" customFormat="false" ht="15.75" hidden="false" customHeight="false" outlineLevel="0" collapsed="false">
      <c r="A90" s="12"/>
      <c r="B90" s="34"/>
      <c r="C90" s="12"/>
      <c r="D90" s="12"/>
      <c r="E90" s="12"/>
      <c r="F90" s="12"/>
      <c r="G90" s="18"/>
      <c r="H90" s="35"/>
      <c r="I90" s="35"/>
      <c r="J90" s="12"/>
      <c r="O90" s="12"/>
      <c r="P90" s="18"/>
      <c r="Q90" s="12"/>
      <c r="R90" s="12"/>
      <c r="S90" s="12"/>
      <c r="T90" s="36"/>
      <c r="U90" s="36"/>
      <c r="V90" s="12"/>
      <c r="W90" s="12"/>
      <c r="X90" s="12"/>
      <c r="Y90" s="12"/>
      <c r="Z90" s="12"/>
    </row>
    <row r="91" customFormat="false" ht="15.75" hidden="false" customHeight="false" outlineLevel="0" collapsed="false">
      <c r="A91" s="12"/>
      <c r="B91" s="34"/>
      <c r="C91" s="12"/>
      <c r="D91" s="12"/>
      <c r="E91" s="12"/>
      <c r="F91" s="12"/>
      <c r="G91" s="18"/>
      <c r="H91" s="35"/>
      <c r="I91" s="35"/>
      <c r="J91" s="12"/>
      <c r="O91" s="12"/>
      <c r="P91" s="18"/>
      <c r="Q91" s="12"/>
      <c r="R91" s="12"/>
      <c r="S91" s="12"/>
      <c r="T91" s="36"/>
      <c r="U91" s="36"/>
      <c r="V91" s="12"/>
      <c r="W91" s="12"/>
      <c r="X91" s="12"/>
      <c r="Y91" s="12"/>
      <c r="Z91" s="12"/>
    </row>
    <row r="92" customFormat="false" ht="15.75" hidden="false" customHeight="false" outlineLevel="0" collapsed="false">
      <c r="A92" s="12"/>
      <c r="B92" s="34"/>
      <c r="C92" s="12"/>
      <c r="D92" s="12"/>
      <c r="E92" s="12"/>
      <c r="F92" s="12"/>
      <c r="G92" s="18"/>
      <c r="H92" s="35"/>
      <c r="I92" s="35"/>
      <c r="J92" s="12"/>
      <c r="O92" s="12"/>
      <c r="P92" s="18"/>
      <c r="Q92" s="12"/>
      <c r="R92" s="12"/>
      <c r="S92" s="12"/>
      <c r="T92" s="36"/>
      <c r="U92" s="36"/>
      <c r="V92" s="12"/>
      <c r="W92" s="12"/>
      <c r="X92" s="12"/>
      <c r="Y92" s="12"/>
      <c r="Z92" s="12"/>
    </row>
    <row r="93" customFormat="false" ht="15.75" hidden="false" customHeight="false" outlineLevel="0" collapsed="false">
      <c r="A93" s="12"/>
      <c r="B93" s="34"/>
      <c r="C93" s="12"/>
      <c r="D93" s="12"/>
      <c r="E93" s="12"/>
      <c r="F93" s="12"/>
      <c r="G93" s="18"/>
      <c r="H93" s="35"/>
      <c r="I93" s="35"/>
      <c r="J93" s="12"/>
      <c r="O93" s="12"/>
      <c r="P93" s="18"/>
      <c r="Q93" s="12"/>
      <c r="R93" s="12"/>
      <c r="S93" s="12"/>
      <c r="T93" s="36"/>
      <c r="U93" s="36"/>
      <c r="V93" s="12"/>
      <c r="W93" s="12"/>
      <c r="X93" s="12"/>
      <c r="Y93" s="12"/>
      <c r="Z93" s="12"/>
    </row>
    <row r="94" customFormat="false" ht="15.75" hidden="false" customHeight="false" outlineLevel="0" collapsed="false">
      <c r="A94" s="12"/>
      <c r="B94" s="34"/>
      <c r="C94" s="12"/>
      <c r="D94" s="12"/>
      <c r="E94" s="12"/>
      <c r="F94" s="12"/>
      <c r="G94" s="18"/>
      <c r="H94" s="35"/>
      <c r="I94" s="35"/>
      <c r="J94" s="12"/>
      <c r="O94" s="12"/>
      <c r="P94" s="18"/>
      <c r="Q94" s="12"/>
      <c r="R94" s="12"/>
      <c r="S94" s="12"/>
      <c r="T94" s="36"/>
      <c r="U94" s="36"/>
      <c r="V94" s="12"/>
      <c r="W94" s="12"/>
      <c r="X94" s="12"/>
      <c r="Y94" s="12"/>
      <c r="Z94" s="12"/>
    </row>
    <row r="95" customFormat="false" ht="15.75" hidden="false" customHeight="false" outlineLevel="0" collapsed="false">
      <c r="A95" s="12"/>
      <c r="B95" s="34"/>
      <c r="C95" s="12"/>
      <c r="D95" s="12"/>
      <c r="E95" s="12"/>
      <c r="F95" s="12"/>
      <c r="G95" s="18"/>
      <c r="H95" s="35"/>
      <c r="I95" s="35"/>
      <c r="J95" s="12"/>
      <c r="O95" s="12"/>
      <c r="P95" s="18"/>
      <c r="Q95" s="12"/>
      <c r="R95" s="12"/>
      <c r="S95" s="12"/>
      <c r="T95" s="36"/>
      <c r="U95" s="36"/>
      <c r="V95" s="12"/>
      <c r="W95" s="12"/>
      <c r="X95" s="12"/>
      <c r="Y95" s="12"/>
      <c r="Z95" s="12"/>
    </row>
    <row r="96" customFormat="false" ht="15.75" hidden="false" customHeight="false" outlineLevel="0" collapsed="false">
      <c r="A96" s="12"/>
      <c r="B96" s="34"/>
      <c r="C96" s="12"/>
      <c r="D96" s="12"/>
      <c r="E96" s="12"/>
      <c r="F96" s="12"/>
      <c r="G96" s="18"/>
      <c r="H96" s="35"/>
      <c r="I96" s="35"/>
      <c r="J96" s="12"/>
      <c r="O96" s="12"/>
      <c r="P96" s="18"/>
      <c r="Q96" s="12"/>
      <c r="R96" s="12"/>
      <c r="S96" s="12"/>
      <c r="T96" s="36"/>
      <c r="U96" s="36"/>
      <c r="V96" s="12"/>
      <c r="W96" s="12"/>
      <c r="X96" s="12"/>
      <c r="Y96" s="12"/>
      <c r="Z96" s="12"/>
    </row>
    <row r="97" customFormat="false" ht="15.75" hidden="false" customHeight="false" outlineLevel="0" collapsed="false">
      <c r="A97" s="12"/>
      <c r="B97" s="34"/>
      <c r="C97" s="12"/>
      <c r="D97" s="12"/>
      <c r="E97" s="12"/>
      <c r="F97" s="12"/>
      <c r="G97" s="18"/>
      <c r="H97" s="35"/>
      <c r="I97" s="35"/>
      <c r="J97" s="12"/>
      <c r="O97" s="12"/>
      <c r="P97" s="18"/>
      <c r="Q97" s="12"/>
      <c r="R97" s="12"/>
      <c r="S97" s="12"/>
      <c r="T97" s="36"/>
      <c r="U97" s="36"/>
      <c r="V97" s="12"/>
      <c r="W97" s="12"/>
      <c r="X97" s="12"/>
      <c r="Y97" s="12"/>
      <c r="Z97" s="12"/>
    </row>
    <row r="98" customFormat="false" ht="15.75" hidden="false" customHeight="false" outlineLevel="0" collapsed="false">
      <c r="A98" s="12"/>
      <c r="B98" s="34"/>
      <c r="C98" s="12"/>
      <c r="D98" s="12"/>
      <c r="E98" s="12"/>
      <c r="F98" s="12"/>
      <c r="G98" s="18"/>
      <c r="H98" s="35"/>
      <c r="I98" s="35"/>
      <c r="J98" s="12"/>
      <c r="O98" s="12"/>
      <c r="P98" s="18"/>
      <c r="Q98" s="12"/>
      <c r="R98" s="12"/>
      <c r="S98" s="12"/>
      <c r="T98" s="36"/>
      <c r="U98" s="36"/>
      <c r="V98" s="12"/>
      <c r="W98" s="12"/>
      <c r="X98" s="12"/>
      <c r="Y98" s="12"/>
      <c r="Z98" s="12"/>
    </row>
    <row r="99" customFormat="false" ht="15.75" hidden="false" customHeight="false" outlineLevel="0" collapsed="false">
      <c r="A99" s="12"/>
      <c r="B99" s="34"/>
      <c r="C99" s="12"/>
      <c r="D99" s="12"/>
      <c r="E99" s="12"/>
      <c r="F99" s="12"/>
      <c r="G99" s="18"/>
      <c r="H99" s="35"/>
      <c r="I99" s="35"/>
      <c r="J99" s="12"/>
      <c r="O99" s="12"/>
      <c r="P99" s="18"/>
      <c r="Q99" s="12"/>
      <c r="R99" s="12"/>
      <c r="S99" s="12"/>
      <c r="T99" s="36"/>
      <c r="U99" s="36"/>
      <c r="V99" s="12"/>
      <c r="W99" s="12"/>
      <c r="X99" s="12"/>
      <c r="Y99" s="12"/>
      <c r="Z99" s="12"/>
    </row>
    <row r="100" customFormat="false" ht="15.75" hidden="false" customHeight="false" outlineLevel="0" collapsed="false">
      <c r="A100" s="12"/>
      <c r="B100" s="34"/>
      <c r="C100" s="12"/>
      <c r="D100" s="12"/>
      <c r="E100" s="12"/>
      <c r="F100" s="12"/>
      <c r="G100" s="18"/>
      <c r="H100" s="35"/>
      <c r="I100" s="35"/>
      <c r="J100" s="12"/>
      <c r="O100" s="12"/>
      <c r="P100" s="18"/>
      <c r="Q100" s="12"/>
      <c r="R100" s="12"/>
      <c r="S100" s="12"/>
      <c r="T100" s="36"/>
      <c r="U100" s="36"/>
      <c r="V100" s="12"/>
      <c r="W100" s="12"/>
      <c r="X100" s="12"/>
      <c r="Y100" s="12"/>
      <c r="Z100" s="12"/>
    </row>
    <row r="101" customFormat="false" ht="15.75" hidden="false" customHeight="false" outlineLevel="0" collapsed="false">
      <c r="A101" s="12"/>
      <c r="B101" s="34"/>
      <c r="C101" s="12"/>
      <c r="D101" s="12"/>
      <c r="E101" s="12"/>
      <c r="F101" s="12"/>
      <c r="G101" s="18"/>
      <c r="H101" s="35"/>
      <c r="I101" s="35"/>
      <c r="J101" s="12"/>
      <c r="O101" s="12"/>
      <c r="P101" s="18"/>
      <c r="Q101" s="12"/>
      <c r="R101" s="12"/>
      <c r="S101" s="12"/>
      <c r="T101" s="36"/>
      <c r="U101" s="36"/>
      <c r="V101" s="12"/>
      <c r="W101" s="12"/>
      <c r="X101" s="12"/>
      <c r="Y101" s="12"/>
      <c r="Z101" s="12"/>
    </row>
    <row r="102" customFormat="false" ht="15.75" hidden="false" customHeight="false" outlineLevel="0" collapsed="false">
      <c r="A102" s="12"/>
      <c r="B102" s="34"/>
      <c r="C102" s="12"/>
      <c r="D102" s="12"/>
      <c r="E102" s="12"/>
      <c r="F102" s="12"/>
      <c r="G102" s="18"/>
      <c r="H102" s="35"/>
      <c r="I102" s="35"/>
      <c r="J102" s="12"/>
      <c r="O102" s="12"/>
      <c r="P102" s="18"/>
      <c r="Q102" s="12"/>
      <c r="R102" s="12"/>
      <c r="S102" s="12"/>
      <c r="T102" s="36"/>
      <c r="U102" s="36"/>
      <c r="V102" s="12"/>
      <c r="W102" s="12"/>
      <c r="X102" s="12"/>
      <c r="Y102" s="12"/>
      <c r="Z102" s="12"/>
    </row>
    <row r="103" customFormat="false" ht="15.75" hidden="false" customHeight="false" outlineLevel="0" collapsed="false">
      <c r="A103" s="12"/>
      <c r="B103" s="34"/>
      <c r="C103" s="12"/>
      <c r="D103" s="12"/>
      <c r="E103" s="12"/>
      <c r="F103" s="12"/>
      <c r="G103" s="18"/>
      <c r="H103" s="35"/>
      <c r="I103" s="35"/>
      <c r="J103" s="12"/>
      <c r="O103" s="12"/>
      <c r="P103" s="18"/>
      <c r="Q103" s="12"/>
      <c r="R103" s="12"/>
      <c r="S103" s="12"/>
      <c r="T103" s="36"/>
      <c r="U103" s="36"/>
      <c r="V103" s="12"/>
      <c r="W103" s="12"/>
      <c r="X103" s="12"/>
      <c r="Y103" s="12"/>
      <c r="Z103" s="12"/>
    </row>
    <row r="104" customFormat="false" ht="15.75" hidden="false" customHeight="false" outlineLevel="0" collapsed="false">
      <c r="A104" s="12"/>
      <c r="B104" s="34"/>
      <c r="C104" s="12"/>
      <c r="D104" s="12"/>
      <c r="E104" s="12"/>
      <c r="F104" s="12"/>
      <c r="G104" s="18"/>
      <c r="H104" s="35"/>
      <c r="I104" s="35"/>
      <c r="J104" s="12"/>
      <c r="O104" s="12"/>
      <c r="P104" s="18"/>
      <c r="Q104" s="12"/>
      <c r="R104" s="12"/>
      <c r="S104" s="12"/>
      <c r="T104" s="36"/>
      <c r="U104" s="36"/>
      <c r="V104" s="12"/>
      <c r="W104" s="12"/>
      <c r="X104" s="12"/>
      <c r="Y104" s="12"/>
      <c r="Z104" s="12"/>
    </row>
    <row r="105" customFormat="false" ht="15.75" hidden="false" customHeight="false" outlineLevel="0" collapsed="false">
      <c r="A105" s="12"/>
      <c r="B105" s="34"/>
      <c r="C105" s="12"/>
      <c r="D105" s="12"/>
      <c r="E105" s="12"/>
      <c r="F105" s="12"/>
      <c r="G105" s="18"/>
      <c r="H105" s="35"/>
      <c r="I105" s="35"/>
      <c r="J105" s="12"/>
      <c r="O105" s="12"/>
      <c r="P105" s="18"/>
      <c r="Q105" s="12"/>
      <c r="R105" s="12"/>
      <c r="S105" s="12"/>
      <c r="T105" s="36"/>
      <c r="U105" s="36"/>
      <c r="V105" s="12"/>
      <c r="W105" s="12"/>
      <c r="X105" s="12"/>
      <c r="Y105" s="12"/>
      <c r="Z105" s="12"/>
    </row>
    <row r="106" customFormat="false" ht="15.75" hidden="false" customHeight="false" outlineLevel="0" collapsed="false">
      <c r="A106" s="12"/>
      <c r="B106" s="34"/>
      <c r="C106" s="12"/>
      <c r="D106" s="12"/>
      <c r="E106" s="12"/>
      <c r="F106" s="12"/>
      <c r="G106" s="18"/>
      <c r="H106" s="35"/>
      <c r="I106" s="35"/>
      <c r="J106" s="12"/>
      <c r="O106" s="12"/>
      <c r="P106" s="18"/>
      <c r="Q106" s="12"/>
      <c r="R106" s="12"/>
      <c r="S106" s="12"/>
      <c r="T106" s="36"/>
      <c r="U106" s="36"/>
      <c r="V106" s="12"/>
      <c r="W106" s="12"/>
      <c r="X106" s="12"/>
      <c r="Y106" s="12"/>
      <c r="Z106" s="12"/>
    </row>
    <row r="107" customFormat="false" ht="15.75" hidden="false" customHeight="false" outlineLevel="0" collapsed="false">
      <c r="A107" s="12"/>
      <c r="B107" s="34"/>
      <c r="C107" s="12"/>
      <c r="D107" s="12"/>
      <c r="E107" s="12"/>
      <c r="F107" s="12"/>
      <c r="G107" s="18"/>
      <c r="H107" s="35"/>
      <c r="I107" s="35"/>
      <c r="J107" s="12"/>
      <c r="O107" s="12"/>
      <c r="P107" s="18"/>
      <c r="Q107" s="12"/>
      <c r="R107" s="12"/>
      <c r="S107" s="12"/>
      <c r="T107" s="36"/>
      <c r="U107" s="36"/>
      <c r="V107" s="12"/>
      <c r="W107" s="12"/>
      <c r="X107" s="12"/>
      <c r="Y107" s="12"/>
      <c r="Z107" s="12"/>
    </row>
    <row r="108" customFormat="false" ht="15.75" hidden="false" customHeight="false" outlineLevel="0" collapsed="false">
      <c r="A108" s="12"/>
      <c r="B108" s="34"/>
      <c r="C108" s="12"/>
      <c r="D108" s="12"/>
      <c r="E108" s="12"/>
      <c r="F108" s="12"/>
      <c r="G108" s="18"/>
      <c r="H108" s="35"/>
      <c r="I108" s="35"/>
      <c r="J108" s="12"/>
      <c r="O108" s="12"/>
      <c r="P108" s="18"/>
      <c r="Q108" s="12"/>
      <c r="R108" s="12"/>
      <c r="S108" s="12"/>
      <c r="T108" s="36"/>
      <c r="U108" s="36"/>
      <c r="V108" s="12"/>
      <c r="W108" s="12"/>
      <c r="X108" s="12"/>
      <c r="Y108" s="12"/>
      <c r="Z108" s="12"/>
    </row>
    <row r="109" customFormat="false" ht="15.75" hidden="false" customHeight="false" outlineLevel="0" collapsed="false">
      <c r="A109" s="12"/>
      <c r="B109" s="34"/>
      <c r="C109" s="12"/>
      <c r="D109" s="12"/>
      <c r="E109" s="12"/>
      <c r="F109" s="12"/>
      <c r="G109" s="18"/>
      <c r="H109" s="35"/>
      <c r="I109" s="35"/>
      <c r="J109" s="12"/>
      <c r="O109" s="12"/>
      <c r="P109" s="18"/>
      <c r="Q109" s="12"/>
      <c r="R109" s="12"/>
      <c r="S109" s="12"/>
      <c r="T109" s="36"/>
      <c r="U109" s="36"/>
      <c r="V109" s="12"/>
      <c r="W109" s="12"/>
      <c r="X109" s="12"/>
      <c r="Y109" s="12"/>
      <c r="Z109" s="12"/>
    </row>
    <row r="110" customFormat="false" ht="15.75" hidden="false" customHeight="false" outlineLevel="0" collapsed="false">
      <c r="A110" s="12"/>
      <c r="B110" s="34"/>
      <c r="C110" s="12"/>
      <c r="D110" s="12"/>
      <c r="E110" s="12"/>
      <c r="F110" s="12"/>
      <c r="G110" s="18"/>
      <c r="H110" s="35"/>
      <c r="I110" s="35"/>
      <c r="J110" s="12"/>
      <c r="O110" s="12"/>
      <c r="P110" s="18"/>
      <c r="Q110" s="12"/>
      <c r="R110" s="12"/>
      <c r="S110" s="12"/>
      <c r="T110" s="36"/>
      <c r="U110" s="36"/>
      <c r="V110" s="12"/>
      <c r="W110" s="12"/>
      <c r="X110" s="12"/>
      <c r="Y110" s="12"/>
      <c r="Z110" s="12"/>
    </row>
    <row r="111" customFormat="false" ht="15.75" hidden="false" customHeight="false" outlineLevel="0" collapsed="false">
      <c r="A111" s="12"/>
      <c r="B111" s="34"/>
      <c r="C111" s="12"/>
      <c r="D111" s="12"/>
      <c r="E111" s="12"/>
      <c r="F111" s="12"/>
      <c r="G111" s="18"/>
      <c r="H111" s="35"/>
      <c r="I111" s="35"/>
      <c r="J111" s="12"/>
      <c r="O111" s="12"/>
      <c r="P111" s="18"/>
      <c r="Q111" s="12"/>
      <c r="R111" s="12"/>
      <c r="S111" s="12"/>
      <c r="T111" s="36"/>
      <c r="U111" s="36"/>
      <c r="V111" s="12"/>
      <c r="W111" s="12"/>
      <c r="X111" s="12"/>
      <c r="Y111" s="12"/>
      <c r="Z111" s="12"/>
    </row>
    <row r="112" customFormat="false" ht="15.75" hidden="false" customHeight="false" outlineLevel="0" collapsed="false">
      <c r="A112" s="12"/>
      <c r="B112" s="34"/>
      <c r="C112" s="12"/>
      <c r="D112" s="12"/>
      <c r="E112" s="12"/>
      <c r="F112" s="12"/>
      <c r="G112" s="18"/>
      <c r="H112" s="35"/>
      <c r="I112" s="35"/>
      <c r="J112" s="12"/>
      <c r="O112" s="12"/>
      <c r="P112" s="18"/>
      <c r="Q112" s="12"/>
      <c r="R112" s="12"/>
      <c r="S112" s="12"/>
      <c r="T112" s="36"/>
      <c r="U112" s="36"/>
      <c r="V112" s="12"/>
      <c r="W112" s="12"/>
      <c r="X112" s="12"/>
      <c r="Y112" s="12"/>
      <c r="Z112" s="12"/>
    </row>
    <row r="113" customFormat="false" ht="15.75" hidden="false" customHeight="false" outlineLevel="0" collapsed="false">
      <c r="A113" s="12"/>
      <c r="B113" s="34"/>
      <c r="C113" s="12"/>
      <c r="D113" s="12"/>
      <c r="E113" s="12"/>
      <c r="F113" s="12"/>
      <c r="G113" s="18"/>
      <c r="H113" s="35"/>
      <c r="I113" s="35"/>
      <c r="J113" s="12"/>
      <c r="O113" s="12"/>
      <c r="P113" s="18"/>
      <c r="Q113" s="12"/>
      <c r="R113" s="12"/>
      <c r="S113" s="12"/>
      <c r="T113" s="36"/>
      <c r="U113" s="36"/>
      <c r="V113" s="12"/>
      <c r="W113" s="12"/>
      <c r="X113" s="12"/>
      <c r="Y113" s="12"/>
      <c r="Z113" s="12"/>
    </row>
    <row r="114" customFormat="false" ht="15.75" hidden="false" customHeight="false" outlineLevel="0" collapsed="false">
      <c r="A114" s="12"/>
      <c r="B114" s="34"/>
      <c r="C114" s="12"/>
      <c r="D114" s="12"/>
      <c r="E114" s="12"/>
      <c r="F114" s="12"/>
      <c r="G114" s="18"/>
      <c r="H114" s="35"/>
      <c r="I114" s="35"/>
      <c r="J114" s="12"/>
      <c r="O114" s="12"/>
      <c r="P114" s="18"/>
      <c r="Q114" s="12"/>
      <c r="R114" s="12"/>
      <c r="S114" s="12"/>
      <c r="T114" s="36"/>
      <c r="U114" s="36"/>
      <c r="V114" s="12"/>
      <c r="W114" s="12"/>
      <c r="X114" s="12"/>
      <c r="Y114" s="12"/>
      <c r="Z114" s="12"/>
    </row>
    <row r="115" customFormat="false" ht="15.75" hidden="false" customHeight="false" outlineLevel="0" collapsed="false">
      <c r="A115" s="12"/>
      <c r="B115" s="34"/>
      <c r="C115" s="12"/>
      <c r="D115" s="12"/>
      <c r="E115" s="12"/>
      <c r="F115" s="12"/>
      <c r="G115" s="18"/>
      <c r="H115" s="35"/>
      <c r="I115" s="35"/>
      <c r="J115" s="12"/>
      <c r="O115" s="12"/>
      <c r="P115" s="18"/>
      <c r="Q115" s="12"/>
      <c r="R115" s="12"/>
      <c r="S115" s="12"/>
      <c r="T115" s="36"/>
      <c r="U115" s="36"/>
      <c r="V115" s="12"/>
      <c r="W115" s="12"/>
      <c r="X115" s="12"/>
      <c r="Y115" s="12"/>
      <c r="Z115" s="12"/>
    </row>
    <row r="116" customFormat="false" ht="15.75" hidden="false" customHeight="false" outlineLevel="0" collapsed="false">
      <c r="A116" s="12"/>
      <c r="B116" s="34"/>
      <c r="C116" s="12"/>
      <c r="D116" s="12"/>
      <c r="E116" s="12"/>
      <c r="F116" s="12"/>
      <c r="G116" s="18"/>
      <c r="H116" s="35"/>
      <c r="I116" s="35"/>
      <c r="J116" s="12"/>
      <c r="O116" s="12"/>
      <c r="P116" s="18"/>
      <c r="Q116" s="12"/>
      <c r="R116" s="12"/>
      <c r="S116" s="12"/>
      <c r="T116" s="36"/>
      <c r="U116" s="36"/>
      <c r="V116" s="12"/>
      <c r="W116" s="12"/>
      <c r="X116" s="12"/>
      <c r="Y116" s="12"/>
      <c r="Z116" s="12"/>
    </row>
    <row r="117" customFormat="false" ht="15.75" hidden="false" customHeight="false" outlineLevel="0" collapsed="false">
      <c r="A117" s="12"/>
      <c r="B117" s="34"/>
      <c r="C117" s="12"/>
      <c r="D117" s="12"/>
      <c r="E117" s="12"/>
      <c r="F117" s="12"/>
      <c r="G117" s="18"/>
      <c r="H117" s="35"/>
      <c r="I117" s="35"/>
      <c r="J117" s="12"/>
      <c r="O117" s="12"/>
      <c r="P117" s="18"/>
      <c r="Q117" s="12"/>
      <c r="R117" s="12"/>
      <c r="S117" s="12"/>
      <c r="T117" s="36"/>
      <c r="U117" s="36"/>
      <c r="V117" s="12"/>
      <c r="W117" s="12"/>
      <c r="X117" s="12"/>
      <c r="Y117" s="12"/>
      <c r="Z117" s="12"/>
    </row>
    <row r="118" customFormat="false" ht="15.75" hidden="false" customHeight="false" outlineLevel="0" collapsed="false">
      <c r="A118" s="12"/>
      <c r="B118" s="34"/>
      <c r="C118" s="12"/>
      <c r="D118" s="12"/>
      <c r="E118" s="12"/>
      <c r="F118" s="12"/>
      <c r="G118" s="18"/>
      <c r="H118" s="35"/>
      <c r="I118" s="35"/>
      <c r="J118" s="12"/>
      <c r="O118" s="12"/>
      <c r="P118" s="18"/>
      <c r="Q118" s="12"/>
      <c r="R118" s="12"/>
      <c r="S118" s="12"/>
      <c r="T118" s="36"/>
      <c r="U118" s="36"/>
      <c r="V118" s="12"/>
      <c r="W118" s="12"/>
      <c r="X118" s="12"/>
      <c r="Y118" s="12"/>
      <c r="Z118" s="12"/>
    </row>
    <row r="119" customFormat="false" ht="15.75" hidden="false" customHeight="false" outlineLevel="0" collapsed="false">
      <c r="A119" s="12"/>
      <c r="B119" s="34"/>
      <c r="C119" s="12"/>
      <c r="D119" s="12"/>
      <c r="E119" s="12"/>
      <c r="F119" s="12"/>
      <c r="G119" s="18"/>
      <c r="H119" s="35"/>
      <c r="I119" s="35"/>
      <c r="J119" s="12"/>
      <c r="O119" s="12"/>
      <c r="P119" s="18"/>
      <c r="Q119" s="12"/>
      <c r="R119" s="12"/>
      <c r="S119" s="12"/>
      <c r="T119" s="36"/>
      <c r="U119" s="36"/>
      <c r="V119" s="12"/>
      <c r="W119" s="12"/>
      <c r="X119" s="12"/>
      <c r="Y119" s="12"/>
      <c r="Z119" s="12"/>
    </row>
    <row r="120" customFormat="false" ht="15.75" hidden="false" customHeight="false" outlineLevel="0" collapsed="false">
      <c r="A120" s="12"/>
      <c r="B120" s="34"/>
      <c r="C120" s="12"/>
      <c r="D120" s="12"/>
      <c r="E120" s="12"/>
      <c r="F120" s="12"/>
      <c r="G120" s="18"/>
      <c r="H120" s="35"/>
      <c r="I120" s="35"/>
      <c r="J120" s="12"/>
      <c r="O120" s="12"/>
      <c r="P120" s="18"/>
      <c r="Q120" s="12"/>
      <c r="R120" s="12"/>
      <c r="S120" s="12"/>
      <c r="T120" s="36"/>
      <c r="U120" s="36"/>
      <c r="V120" s="12"/>
      <c r="W120" s="12"/>
      <c r="X120" s="12"/>
      <c r="Y120" s="12"/>
      <c r="Z120" s="12"/>
    </row>
    <row r="121" customFormat="false" ht="15.75" hidden="false" customHeight="false" outlineLevel="0" collapsed="false">
      <c r="A121" s="12"/>
      <c r="B121" s="34"/>
      <c r="C121" s="12"/>
      <c r="D121" s="12"/>
      <c r="E121" s="12"/>
      <c r="F121" s="12"/>
      <c r="G121" s="18"/>
      <c r="H121" s="35"/>
      <c r="I121" s="35"/>
      <c r="J121" s="12"/>
      <c r="O121" s="12"/>
      <c r="P121" s="18"/>
      <c r="Q121" s="12"/>
      <c r="R121" s="12"/>
      <c r="S121" s="12"/>
      <c r="T121" s="36"/>
      <c r="U121" s="36"/>
      <c r="V121" s="12"/>
      <c r="W121" s="12"/>
      <c r="X121" s="12"/>
      <c r="Y121" s="12"/>
      <c r="Z121" s="12"/>
    </row>
    <row r="122" customFormat="false" ht="15.75" hidden="false" customHeight="false" outlineLevel="0" collapsed="false">
      <c r="A122" s="12"/>
      <c r="B122" s="34"/>
      <c r="C122" s="12"/>
      <c r="D122" s="12"/>
      <c r="E122" s="12"/>
      <c r="F122" s="12"/>
      <c r="G122" s="18"/>
      <c r="H122" s="35"/>
      <c r="I122" s="35"/>
      <c r="J122" s="12"/>
      <c r="O122" s="12"/>
      <c r="P122" s="18"/>
      <c r="Q122" s="12"/>
      <c r="R122" s="12"/>
      <c r="S122" s="12"/>
      <c r="T122" s="36"/>
      <c r="U122" s="36"/>
      <c r="V122" s="12"/>
      <c r="W122" s="12"/>
      <c r="X122" s="12"/>
      <c r="Y122" s="12"/>
      <c r="Z122" s="12"/>
    </row>
    <row r="123" customFormat="false" ht="15.75" hidden="false" customHeight="false" outlineLevel="0" collapsed="false">
      <c r="A123" s="12"/>
      <c r="B123" s="34"/>
      <c r="C123" s="12"/>
      <c r="D123" s="12"/>
      <c r="E123" s="12"/>
      <c r="F123" s="12"/>
      <c r="G123" s="18"/>
      <c r="H123" s="35"/>
      <c r="I123" s="35"/>
      <c r="J123" s="12"/>
      <c r="O123" s="12"/>
      <c r="P123" s="18"/>
      <c r="Q123" s="12"/>
      <c r="R123" s="12"/>
      <c r="S123" s="12"/>
      <c r="T123" s="36"/>
      <c r="U123" s="36"/>
      <c r="V123" s="12"/>
      <c r="W123" s="12"/>
      <c r="X123" s="12"/>
      <c r="Y123" s="12"/>
      <c r="Z123" s="12"/>
    </row>
    <row r="124" customFormat="false" ht="15.75" hidden="false" customHeight="false" outlineLevel="0" collapsed="false">
      <c r="A124" s="12"/>
      <c r="B124" s="34"/>
      <c r="C124" s="12"/>
      <c r="D124" s="12"/>
      <c r="E124" s="12"/>
      <c r="F124" s="12"/>
      <c r="G124" s="18"/>
      <c r="H124" s="35"/>
      <c r="I124" s="35"/>
      <c r="J124" s="12"/>
      <c r="O124" s="12"/>
      <c r="P124" s="18"/>
      <c r="Q124" s="12"/>
      <c r="R124" s="12"/>
      <c r="S124" s="12"/>
      <c r="T124" s="36"/>
      <c r="U124" s="36"/>
      <c r="V124" s="12"/>
      <c r="W124" s="12"/>
      <c r="X124" s="12"/>
      <c r="Y124" s="12"/>
      <c r="Z124" s="12"/>
    </row>
    <row r="125" customFormat="false" ht="15.75" hidden="false" customHeight="false" outlineLevel="0" collapsed="false">
      <c r="A125" s="12"/>
      <c r="B125" s="34"/>
      <c r="C125" s="12"/>
      <c r="D125" s="12"/>
      <c r="E125" s="12"/>
      <c r="F125" s="12"/>
      <c r="G125" s="18"/>
      <c r="H125" s="35"/>
      <c r="I125" s="35"/>
      <c r="J125" s="12"/>
      <c r="O125" s="12"/>
      <c r="P125" s="18"/>
      <c r="Q125" s="12"/>
      <c r="R125" s="12"/>
      <c r="S125" s="12"/>
      <c r="T125" s="36"/>
      <c r="U125" s="36"/>
      <c r="V125" s="12"/>
      <c r="W125" s="12"/>
      <c r="X125" s="12"/>
      <c r="Y125" s="12"/>
      <c r="Z125" s="12"/>
    </row>
    <row r="126" customFormat="false" ht="15.75" hidden="false" customHeight="false" outlineLevel="0" collapsed="false">
      <c r="A126" s="12"/>
      <c r="B126" s="34"/>
      <c r="C126" s="12"/>
      <c r="D126" s="12"/>
      <c r="E126" s="12"/>
      <c r="F126" s="12"/>
      <c r="G126" s="18"/>
      <c r="H126" s="35"/>
      <c r="I126" s="35"/>
      <c r="J126" s="12"/>
      <c r="O126" s="12"/>
      <c r="P126" s="18"/>
      <c r="Q126" s="12"/>
      <c r="R126" s="12"/>
      <c r="S126" s="12"/>
      <c r="T126" s="36"/>
      <c r="U126" s="36"/>
      <c r="V126" s="12"/>
      <c r="W126" s="12"/>
      <c r="X126" s="12"/>
      <c r="Y126" s="12"/>
      <c r="Z126" s="12"/>
    </row>
    <row r="127" customFormat="false" ht="15.75" hidden="false" customHeight="false" outlineLevel="0" collapsed="false">
      <c r="A127" s="12"/>
      <c r="B127" s="34"/>
      <c r="C127" s="12"/>
      <c r="D127" s="12"/>
      <c r="E127" s="12"/>
      <c r="F127" s="12"/>
      <c r="G127" s="18"/>
      <c r="H127" s="35"/>
      <c r="I127" s="35"/>
      <c r="J127" s="12"/>
      <c r="O127" s="12"/>
      <c r="P127" s="18"/>
      <c r="Q127" s="12"/>
      <c r="R127" s="12"/>
      <c r="S127" s="12"/>
      <c r="T127" s="36"/>
      <c r="U127" s="36"/>
      <c r="V127" s="12"/>
      <c r="W127" s="12"/>
      <c r="X127" s="12"/>
      <c r="Y127" s="12"/>
      <c r="Z127" s="12"/>
    </row>
    <row r="128" customFormat="false" ht="15.75" hidden="false" customHeight="false" outlineLevel="0" collapsed="false">
      <c r="A128" s="12"/>
      <c r="B128" s="34"/>
      <c r="C128" s="12"/>
      <c r="D128" s="12"/>
      <c r="E128" s="12"/>
      <c r="F128" s="12"/>
      <c r="G128" s="18"/>
      <c r="H128" s="35"/>
      <c r="I128" s="35"/>
      <c r="J128" s="12"/>
      <c r="O128" s="12"/>
      <c r="P128" s="18"/>
      <c r="Q128" s="12"/>
      <c r="R128" s="12"/>
      <c r="S128" s="12"/>
      <c r="T128" s="36"/>
      <c r="U128" s="36"/>
      <c r="V128" s="12"/>
      <c r="W128" s="12"/>
      <c r="X128" s="12"/>
      <c r="Y128" s="12"/>
      <c r="Z128" s="12"/>
    </row>
    <row r="129" customFormat="false" ht="15.75" hidden="false" customHeight="false" outlineLevel="0" collapsed="false">
      <c r="A129" s="12"/>
      <c r="B129" s="34"/>
      <c r="C129" s="12"/>
      <c r="D129" s="12"/>
      <c r="E129" s="12"/>
      <c r="F129" s="12"/>
      <c r="G129" s="18"/>
      <c r="H129" s="35"/>
      <c r="I129" s="35"/>
      <c r="J129" s="12"/>
      <c r="O129" s="12"/>
      <c r="P129" s="18"/>
      <c r="Q129" s="12"/>
      <c r="R129" s="12"/>
      <c r="S129" s="12"/>
      <c r="T129" s="36"/>
      <c r="U129" s="36"/>
      <c r="V129" s="12"/>
      <c r="W129" s="12"/>
      <c r="X129" s="12"/>
      <c r="Y129" s="12"/>
      <c r="Z129" s="12"/>
    </row>
    <row r="130" customFormat="false" ht="15.75" hidden="false" customHeight="false" outlineLevel="0" collapsed="false">
      <c r="A130" s="12"/>
      <c r="B130" s="34"/>
      <c r="C130" s="12"/>
      <c r="D130" s="12"/>
      <c r="E130" s="12"/>
      <c r="F130" s="12"/>
      <c r="G130" s="18"/>
      <c r="H130" s="35"/>
      <c r="I130" s="35"/>
      <c r="J130" s="12"/>
      <c r="O130" s="12"/>
      <c r="P130" s="18"/>
      <c r="Q130" s="12"/>
      <c r="R130" s="12"/>
      <c r="S130" s="12"/>
      <c r="T130" s="36"/>
      <c r="U130" s="36"/>
      <c r="V130" s="12"/>
      <c r="W130" s="12"/>
      <c r="X130" s="12"/>
      <c r="Y130" s="12"/>
      <c r="Z130" s="12"/>
    </row>
    <row r="131" customFormat="false" ht="15.75" hidden="false" customHeight="false" outlineLevel="0" collapsed="false">
      <c r="A131" s="12"/>
      <c r="B131" s="34"/>
      <c r="C131" s="12"/>
      <c r="D131" s="12"/>
      <c r="E131" s="12"/>
      <c r="F131" s="12"/>
      <c r="G131" s="18"/>
      <c r="H131" s="35"/>
      <c r="I131" s="35"/>
      <c r="J131" s="12"/>
      <c r="O131" s="12"/>
      <c r="P131" s="18"/>
      <c r="Q131" s="12"/>
      <c r="R131" s="12"/>
      <c r="S131" s="12"/>
      <c r="T131" s="36"/>
      <c r="U131" s="36"/>
      <c r="V131" s="12"/>
      <c r="W131" s="12"/>
      <c r="X131" s="12"/>
      <c r="Y131" s="12"/>
      <c r="Z131" s="12"/>
    </row>
    <row r="132" customFormat="false" ht="15.75" hidden="false" customHeight="false" outlineLevel="0" collapsed="false">
      <c r="A132" s="12"/>
      <c r="B132" s="34"/>
      <c r="C132" s="12"/>
      <c r="D132" s="12"/>
      <c r="E132" s="12"/>
      <c r="F132" s="12"/>
      <c r="G132" s="18"/>
      <c r="H132" s="35"/>
      <c r="I132" s="35"/>
      <c r="J132" s="12"/>
      <c r="O132" s="12"/>
      <c r="P132" s="18"/>
      <c r="Q132" s="12"/>
      <c r="R132" s="12"/>
      <c r="S132" s="12"/>
      <c r="T132" s="36"/>
      <c r="U132" s="36"/>
      <c r="V132" s="12"/>
      <c r="W132" s="12"/>
      <c r="X132" s="12"/>
      <c r="Y132" s="12"/>
      <c r="Z132" s="12"/>
    </row>
    <row r="133" customFormat="false" ht="15.75" hidden="false" customHeight="false" outlineLevel="0" collapsed="false">
      <c r="A133" s="12"/>
      <c r="B133" s="34"/>
      <c r="C133" s="12"/>
      <c r="D133" s="12"/>
      <c r="E133" s="12"/>
      <c r="F133" s="12"/>
      <c r="G133" s="18"/>
      <c r="H133" s="35"/>
      <c r="I133" s="35"/>
      <c r="J133" s="12"/>
      <c r="O133" s="12"/>
      <c r="P133" s="18"/>
      <c r="Q133" s="12"/>
      <c r="R133" s="12"/>
      <c r="S133" s="12"/>
      <c r="T133" s="36"/>
      <c r="U133" s="36"/>
      <c r="V133" s="12"/>
      <c r="W133" s="12"/>
      <c r="X133" s="12"/>
      <c r="Y133" s="12"/>
      <c r="Z133" s="12"/>
    </row>
    <row r="134" customFormat="false" ht="15.75" hidden="false" customHeight="false" outlineLevel="0" collapsed="false">
      <c r="A134" s="12"/>
      <c r="B134" s="34"/>
      <c r="C134" s="12"/>
      <c r="D134" s="12"/>
      <c r="E134" s="12"/>
      <c r="F134" s="12"/>
      <c r="G134" s="18"/>
      <c r="H134" s="35"/>
      <c r="I134" s="35"/>
      <c r="J134" s="12"/>
      <c r="O134" s="12"/>
      <c r="P134" s="18"/>
      <c r="Q134" s="12"/>
      <c r="R134" s="12"/>
      <c r="S134" s="12"/>
      <c r="T134" s="36"/>
      <c r="U134" s="36"/>
      <c r="V134" s="12"/>
      <c r="W134" s="12"/>
      <c r="X134" s="12"/>
      <c r="Y134" s="12"/>
      <c r="Z134" s="12"/>
    </row>
    <row r="135" customFormat="false" ht="15.75" hidden="false" customHeight="false" outlineLevel="0" collapsed="false">
      <c r="A135" s="12"/>
      <c r="B135" s="34"/>
      <c r="C135" s="12"/>
      <c r="D135" s="12"/>
      <c r="E135" s="12"/>
      <c r="F135" s="12"/>
      <c r="G135" s="18"/>
      <c r="H135" s="35"/>
      <c r="I135" s="35"/>
      <c r="J135" s="12"/>
      <c r="O135" s="12"/>
      <c r="P135" s="18"/>
      <c r="Q135" s="12"/>
      <c r="R135" s="12"/>
      <c r="S135" s="12"/>
      <c r="T135" s="36"/>
      <c r="U135" s="36"/>
      <c r="V135" s="12"/>
      <c r="W135" s="12"/>
      <c r="X135" s="12"/>
      <c r="Y135" s="12"/>
      <c r="Z135" s="12"/>
    </row>
    <row r="136" customFormat="false" ht="15.75" hidden="false" customHeight="false" outlineLevel="0" collapsed="false">
      <c r="A136" s="12"/>
      <c r="B136" s="34"/>
      <c r="C136" s="12"/>
      <c r="D136" s="12"/>
      <c r="E136" s="12"/>
      <c r="F136" s="12"/>
      <c r="G136" s="18"/>
      <c r="H136" s="35"/>
      <c r="I136" s="35"/>
      <c r="J136" s="12"/>
      <c r="O136" s="12"/>
      <c r="P136" s="18"/>
      <c r="Q136" s="12"/>
      <c r="R136" s="12"/>
      <c r="S136" s="12"/>
      <c r="T136" s="36"/>
      <c r="U136" s="36"/>
      <c r="V136" s="12"/>
      <c r="W136" s="12"/>
      <c r="X136" s="12"/>
      <c r="Y136" s="12"/>
      <c r="Z136" s="12"/>
    </row>
    <row r="137" customFormat="false" ht="15.75" hidden="false" customHeight="false" outlineLevel="0" collapsed="false">
      <c r="A137" s="12"/>
      <c r="B137" s="34"/>
      <c r="C137" s="12"/>
      <c r="D137" s="12"/>
      <c r="E137" s="12"/>
      <c r="F137" s="12"/>
      <c r="G137" s="18"/>
      <c r="H137" s="35"/>
      <c r="I137" s="35"/>
      <c r="J137" s="12"/>
      <c r="O137" s="12"/>
      <c r="P137" s="18"/>
      <c r="Q137" s="12"/>
      <c r="R137" s="12"/>
      <c r="S137" s="12"/>
      <c r="T137" s="36"/>
      <c r="U137" s="36"/>
      <c r="V137" s="12"/>
      <c r="W137" s="12"/>
      <c r="X137" s="12"/>
      <c r="Y137" s="12"/>
      <c r="Z137" s="12"/>
    </row>
    <row r="138" customFormat="false" ht="15.75" hidden="false" customHeight="false" outlineLevel="0" collapsed="false">
      <c r="A138" s="12"/>
      <c r="B138" s="34"/>
      <c r="C138" s="12"/>
      <c r="D138" s="12"/>
      <c r="E138" s="12"/>
      <c r="F138" s="12"/>
      <c r="G138" s="18"/>
      <c r="H138" s="35"/>
      <c r="I138" s="35"/>
      <c r="J138" s="12"/>
      <c r="O138" s="12"/>
      <c r="P138" s="18"/>
      <c r="Q138" s="12"/>
      <c r="R138" s="12"/>
      <c r="S138" s="12"/>
      <c r="T138" s="36"/>
      <c r="U138" s="36"/>
      <c r="V138" s="12"/>
      <c r="W138" s="12"/>
      <c r="X138" s="12"/>
      <c r="Y138" s="12"/>
      <c r="Z138" s="12"/>
    </row>
    <row r="139" customFormat="false" ht="15.75" hidden="false" customHeight="false" outlineLevel="0" collapsed="false">
      <c r="A139" s="12"/>
      <c r="B139" s="34"/>
      <c r="C139" s="12"/>
      <c r="D139" s="12"/>
      <c r="E139" s="12"/>
      <c r="F139" s="12"/>
      <c r="G139" s="18"/>
      <c r="H139" s="35"/>
      <c r="I139" s="35"/>
      <c r="J139" s="12"/>
      <c r="O139" s="12"/>
      <c r="P139" s="18"/>
      <c r="Q139" s="12"/>
      <c r="R139" s="12"/>
      <c r="S139" s="12"/>
      <c r="T139" s="36"/>
      <c r="U139" s="36"/>
      <c r="V139" s="12"/>
      <c r="W139" s="12"/>
      <c r="X139" s="12"/>
      <c r="Y139" s="12"/>
      <c r="Z139" s="12"/>
    </row>
    <row r="140" customFormat="false" ht="15.75" hidden="false" customHeight="false" outlineLevel="0" collapsed="false">
      <c r="A140" s="12"/>
      <c r="B140" s="34"/>
      <c r="C140" s="12"/>
      <c r="D140" s="12"/>
      <c r="E140" s="12"/>
      <c r="F140" s="12"/>
      <c r="G140" s="18"/>
      <c r="H140" s="35"/>
      <c r="I140" s="35"/>
      <c r="J140" s="12"/>
      <c r="O140" s="12"/>
      <c r="P140" s="18"/>
      <c r="Q140" s="12"/>
      <c r="R140" s="12"/>
      <c r="S140" s="12"/>
      <c r="T140" s="36"/>
      <c r="U140" s="36"/>
      <c r="V140" s="12"/>
      <c r="W140" s="12"/>
      <c r="X140" s="12"/>
      <c r="Y140" s="12"/>
      <c r="Z140" s="12"/>
    </row>
    <row r="141" customFormat="false" ht="15.75" hidden="false" customHeight="false" outlineLevel="0" collapsed="false">
      <c r="A141" s="12"/>
      <c r="B141" s="34"/>
      <c r="C141" s="12"/>
      <c r="D141" s="12"/>
      <c r="E141" s="12"/>
      <c r="F141" s="12"/>
      <c r="G141" s="18"/>
      <c r="H141" s="35"/>
      <c r="I141" s="35"/>
      <c r="J141" s="12"/>
      <c r="O141" s="12"/>
      <c r="P141" s="18"/>
      <c r="Q141" s="12"/>
      <c r="R141" s="12"/>
      <c r="S141" s="12"/>
      <c r="T141" s="36"/>
      <c r="U141" s="36"/>
      <c r="V141" s="12"/>
      <c r="W141" s="12"/>
      <c r="X141" s="12"/>
      <c r="Y141" s="12"/>
      <c r="Z141" s="12"/>
    </row>
    <row r="142" customFormat="false" ht="15.75" hidden="false" customHeight="false" outlineLevel="0" collapsed="false">
      <c r="A142" s="12"/>
      <c r="B142" s="34"/>
      <c r="C142" s="12"/>
      <c r="D142" s="12"/>
      <c r="E142" s="12"/>
      <c r="F142" s="12"/>
      <c r="G142" s="18"/>
      <c r="H142" s="35"/>
      <c r="I142" s="35"/>
      <c r="J142" s="12"/>
      <c r="O142" s="12"/>
      <c r="P142" s="18"/>
      <c r="Q142" s="12"/>
      <c r="R142" s="12"/>
      <c r="S142" s="12"/>
      <c r="T142" s="36"/>
      <c r="U142" s="36"/>
      <c r="V142" s="12"/>
      <c r="W142" s="12"/>
      <c r="X142" s="12"/>
      <c r="Y142" s="12"/>
      <c r="Z142" s="12"/>
    </row>
    <row r="143" customFormat="false" ht="15.75" hidden="false" customHeight="false" outlineLevel="0" collapsed="false">
      <c r="A143" s="12"/>
      <c r="B143" s="34"/>
      <c r="C143" s="12"/>
      <c r="D143" s="12"/>
      <c r="E143" s="12"/>
      <c r="F143" s="12"/>
      <c r="G143" s="18"/>
      <c r="H143" s="35"/>
      <c r="I143" s="35"/>
      <c r="J143" s="12"/>
      <c r="O143" s="12"/>
      <c r="P143" s="18"/>
      <c r="Q143" s="12"/>
      <c r="R143" s="12"/>
      <c r="S143" s="12"/>
      <c r="T143" s="36"/>
      <c r="U143" s="36"/>
      <c r="V143" s="12"/>
      <c r="W143" s="12"/>
      <c r="X143" s="12"/>
      <c r="Y143" s="12"/>
      <c r="Z143" s="12"/>
    </row>
    <row r="144" customFormat="false" ht="15.75" hidden="false" customHeight="false" outlineLevel="0" collapsed="false">
      <c r="A144" s="12"/>
      <c r="B144" s="34"/>
      <c r="C144" s="12"/>
      <c r="D144" s="12"/>
      <c r="E144" s="12"/>
      <c r="F144" s="12"/>
      <c r="G144" s="18"/>
      <c r="H144" s="35"/>
      <c r="I144" s="35"/>
      <c r="J144" s="12"/>
      <c r="O144" s="12"/>
      <c r="P144" s="18"/>
      <c r="Q144" s="12"/>
      <c r="R144" s="12"/>
      <c r="S144" s="12"/>
      <c r="T144" s="36"/>
      <c r="U144" s="36"/>
      <c r="V144" s="12"/>
      <c r="W144" s="12"/>
      <c r="X144" s="12"/>
      <c r="Y144" s="12"/>
      <c r="Z144" s="12"/>
    </row>
    <row r="145" customFormat="false" ht="15.75" hidden="false" customHeight="false" outlineLevel="0" collapsed="false">
      <c r="A145" s="12"/>
      <c r="B145" s="34"/>
      <c r="C145" s="12"/>
      <c r="D145" s="12"/>
      <c r="E145" s="12"/>
      <c r="F145" s="12"/>
      <c r="G145" s="18"/>
      <c r="H145" s="35"/>
      <c r="I145" s="35"/>
      <c r="J145" s="12"/>
      <c r="O145" s="12"/>
      <c r="P145" s="18"/>
      <c r="Q145" s="12"/>
      <c r="R145" s="12"/>
      <c r="S145" s="12"/>
      <c r="T145" s="36"/>
      <c r="U145" s="36"/>
      <c r="V145" s="12"/>
      <c r="W145" s="12"/>
      <c r="X145" s="12"/>
      <c r="Y145" s="12"/>
      <c r="Z145" s="12"/>
    </row>
    <row r="146" customFormat="false" ht="15.75" hidden="false" customHeight="false" outlineLevel="0" collapsed="false">
      <c r="A146" s="12"/>
      <c r="B146" s="34"/>
      <c r="C146" s="12"/>
      <c r="D146" s="12"/>
      <c r="E146" s="12"/>
      <c r="F146" s="12"/>
      <c r="G146" s="18"/>
      <c r="H146" s="35"/>
      <c r="I146" s="35"/>
      <c r="J146" s="12"/>
      <c r="O146" s="12"/>
      <c r="P146" s="18"/>
      <c r="Q146" s="12"/>
      <c r="R146" s="12"/>
      <c r="S146" s="12"/>
      <c r="T146" s="36"/>
      <c r="U146" s="36"/>
      <c r="V146" s="12"/>
      <c r="W146" s="12"/>
      <c r="X146" s="12"/>
      <c r="Y146" s="12"/>
      <c r="Z146" s="12"/>
    </row>
    <row r="147" customFormat="false" ht="15.75" hidden="false" customHeight="false" outlineLevel="0" collapsed="false">
      <c r="A147" s="12"/>
      <c r="B147" s="34"/>
      <c r="C147" s="12"/>
      <c r="D147" s="12"/>
      <c r="E147" s="12"/>
      <c r="F147" s="12"/>
      <c r="G147" s="18"/>
      <c r="H147" s="35"/>
      <c r="I147" s="35"/>
      <c r="J147" s="12"/>
      <c r="O147" s="12"/>
      <c r="P147" s="18"/>
      <c r="Q147" s="12"/>
      <c r="R147" s="12"/>
      <c r="S147" s="12"/>
      <c r="T147" s="36"/>
      <c r="U147" s="36"/>
      <c r="V147" s="12"/>
      <c r="W147" s="12"/>
      <c r="X147" s="12"/>
      <c r="Y147" s="12"/>
      <c r="Z147" s="12"/>
    </row>
    <row r="148" customFormat="false" ht="15.75" hidden="false" customHeight="false" outlineLevel="0" collapsed="false">
      <c r="A148" s="12"/>
      <c r="B148" s="34"/>
      <c r="C148" s="12"/>
      <c r="D148" s="12"/>
      <c r="E148" s="12"/>
      <c r="F148" s="12"/>
      <c r="G148" s="18"/>
      <c r="H148" s="35"/>
      <c r="I148" s="35"/>
      <c r="J148" s="12"/>
      <c r="O148" s="12"/>
      <c r="P148" s="18"/>
      <c r="Q148" s="12"/>
      <c r="R148" s="12"/>
      <c r="S148" s="12"/>
      <c r="T148" s="36"/>
      <c r="U148" s="36"/>
      <c r="V148" s="12"/>
      <c r="W148" s="12"/>
      <c r="X148" s="12"/>
      <c r="Y148" s="12"/>
      <c r="Z148" s="12"/>
    </row>
    <row r="149" customFormat="false" ht="15.75" hidden="false" customHeight="false" outlineLevel="0" collapsed="false">
      <c r="A149" s="12"/>
      <c r="B149" s="34"/>
      <c r="C149" s="12"/>
      <c r="D149" s="12"/>
      <c r="E149" s="12"/>
      <c r="F149" s="12"/>
      <c r="G149" s="18"/>
      <c r="H149" s="35"/>
      <c r="I149" s="35"/>
      <c r="J149" s="12"/>
      <c r="O149" s="12"/>
      <c r="P149" s="18"/>
      <c r="Q149" s="12"/>
      <c r="R149" s="12"/>
      <c r="S149" s="12"/>
      <c r="T149" s="36"/>
      <c r="U149" s="36"/>
      <c r="V149" s="12"/>
      <c r="W149" s="12"/>
      <c r="X149" s="12"/>
      <c r="Y149" s="12"/>
      <c r="Z149" s="12"/>
    </row>
    <row r="150" customFormat="false" ht="15.75" hidden="false" customHeight="false" outlineLevel="0" collapsed="false">
      <c r="A150" s="12"/>
      <c r="B150" s="34"/>
      <c r="C150" s="12"/>
      <c r="D150" s="12"/>
      <c r="E150" s="12"/>
      <c r="F150" s="12"/>
      <c r="G150" s="18"/>
      <c r="H150" s="35"/>
      <c r="I150" s="35"/>
      <c r="J150" s="12"/>
      <c r="O150" s="12"/>
      <c r="P150" s="18"/>
      <c r="Q150" s="12"/>
      <c r="R150" s="12"/>
      <c r="S150" s="12"/>
      <c r="T150" s="36"/>
      <c r="U150" s="36"/>
      <c r="V150" s="12"/>
      <c r="W150" s="12"/>
      <c r="X150" s="12"/>
      <c r="Y150" s="12"/>
      <c r="Z150" s="12"/>
    </row>
    <row r="151" customFormat="false" ht="15.75" hidden="false" customHeight="false" outlineLevel="0" collapsed="false">
      <c r="A151" s="12"/>
      <c r="B151" s="34"/>
      <c r="C151" s="12"/>
      <c r="D151" s="12"/>
      <c r="E151" s="12"/>
      <c r="F151" s="12"/>
      <c r="G151" s="18"/>
      <c r="H151" s="35"/>
      <c r="I151" s="35"/>
      <c r="J151" s="12"/>
      <c r="O151" s="12"/>
      <c r="P151" s="18"/>
      <c r="Q151" s="12"/>
      <c r="R151" s="12"/>
      <c r="S151" s="12"/>
      <c r="T151" s="36"/>
      <c r="U151" s="36"/>
      <c r="V151" s="12"/>
      <c r="W151" s="12"/>
      <c r="X151" s="12"/>
      <c r="Y151" s="12"/>
      <c r="Z151" s="12"/>
    </row>
    <row r="152" customFormat="false" ht="15.75" hidden="false" customHeight="false" outlineLevel="0" collapsed="false">
      <c r="A152" s="12"/>
      <c r="B152" s="34"/>
      <c r="C152" s="12"/>
      <c r="D152" s="12"/>
      <c r="E152" s="12"/>
      <c r="F152" s="12"/>
      <c r="G152" s="18"/>
      <c r="H152" s="35"/>
      <c r="I152" s="35"/>
      <c r="J152" s="12"/>
      <c r="O152" s="12"/>
      <c r="P152" s="18"/>
      <c r="Q152" s="12"/>
      <c r="R152" s="12"/>
      <c r="S152" s="12"/>
      <c r="T152" s="36"/>
      <c r="U152" s="36"/>
      <c r="V152" s="12"/>
      <c r="W152" s="12"/>
      <c r="X152" s="12"/>
      <c r="Y152" s="12"/>
      <c r="Z152" s="12"/>
    </row>
    <row r="153" customFormat="false" ht="15.75" hidden="false" customHeight="false" outlineLevel="0" collapsed="false">
      <c r="A153" s="12"/>
      <c r="B153" s="34"/>
      <c r="C153" s="12"/>
      <c r="D153" s="12"/>
      <c r="E153" s="12"/>
      <c r="F153" s="12"/>
      <c r="G153" s="18"/>
      <c r="H153" s="35"/>
      <c r="I153" s="35"/>
      <c r="J153" s="12"/>
      <c r="O153" s="12"/>
      <c r="P153" s="18"/>
      <c r="Q153" s="12"/>
      <c r="R153" s="12"/>
      <c r="S153" s="12"/>
      <c r="T153" s="36"/>
      <c r="U153" s="36"/>
      <c r="V153" s="12"/>
      <c r="W153" s="12"/>
      <c r="X153" s="12"/>
      <c r="Y153" s="12"/>
      <c r="Z153" s="12"/>
    </row>
    <row r="154" customFormat="false" ht="15.75" hidden="false" customHeight="false" outlineLevel="0" collapsed="false">
      <c r="A154" s="12"/>
      <c r="B154" s="34"/>
      <c r="C154" s="12"/>
      <c r="D154" s="12"/>
      <c r="E154" s="12"/>
      <c r="F154" s="12"/>
      <c r="G154" s="18"/>
      <c r="H154" s="35"/>
      <c r="I154" s="35"/>
      <c r="J154" s="12"/>
      <c r="O154" s="12"/>
      <c r="P154" s="18"/>
      <c r="Q154" s="12"/>
      <c r="R154" s="12"/>
      <c r="S154" s="12"/>
      <c r="T154" s="36"/>
      <c r="U154" s="36"/>
      <c r="V154" s="12"/>
      <c r="W154" s="12"/>
      <c r="X154" s="12"/>
      <c r="Y154" s="12"/>
      <c r="Z154" s="12"/>
    </row>
    <row r="155" customFormat="false" ht="15.75" hidden="false" customHeight="false" outlineLevel="0" collapsed="false">
      <c r="A155" s="12"/>
      <c r="B155" s="34"/>
      <c r="C155" s="12"/>
      <c r="D155" s="12"/>
      <c r="E155" s="12"/>
      <c r="F155" s="12"/>
      <c r="G155" s="18"/>
      <c r="H155" s="35"/>
      <c r="I155" s="35"/>
      <c r="J155" s="12"/>
      <c r="O155" s="12"/>
      <c r="P155" s="18"/>
      <c r="Q155" s="12"/>
      <c r="R155" s="12"/>
      <c r="S155" s="12"/>
      <c r="T155" s="36"/>
      <c r="U155" s="36"/>
      <c r="V155" s="12"/>
      <c r="W155" s="12"/>
      <c r="X155" s="12"/>
      <c r="Y155" s="12"/>
      <c r="Z155" s="12"/>
    </row>
    <row r="156" customFormat="false" ht="15.75" hidden="false" customHeight="false" outlineLevel="0" collapsed="false">
      <c r="A156" s="12"/>
      <c r="B156" s="34"/>
      <c r="C156" s="12"/>
      <c r="D156" s="12"/>
      <c r="E156" s="12"/>
      <c r="F156" s="12"/>
      <c r="G156" s="18"/>
      <c r="H156" s="35"/>
      <c r="I156" s="35"/>
      <c r="J156" s="12"/>
      <c r="O156" s="12"/>
      <c r="P156" s="18"/>
      <c r="Q156" s="12"/>
      <c r="R156" s="12"/>
      <c r="S156" s="12"/>
      <c r="T156" s="36"/>
      <c r="U156" s="36"/>
      <c r="V156" s="12"/>
      <c r="W156" s="12"/>
      <c r="X156" s="12"/>
      <c r="Y156" s="12"/>
      <c r="Z156" s="12"/>
    </row>
    <row r="157" customFormat="false" ht="15.75" hidden="false" customHeight="false" outlineLevel="0" collapsed="false">
      <c r="A157" s="12"/>
      <c r="B157" s="34"/>
      <c r="C157" s="12"/>
      <c r="D157" s="12"/>
      <c r="E157" s="12"/>
      <c r="F157" s="12"/>
      <c r="G157" s="18"/>
      <c r="H157" s="35"/>
      <c r="I157" s="35"/>
      <c r="J157" s="12"/>
      <c r="O157" s="12"/>
      <c r="P157" s="18"/>
      <c r="Q157" s="12"/>
      <c r="R157" s="12"/>
      <c r="S157" s="12"/>
      <c r="T157" s="36"/>
      <c r="U157" s="36"/>
      <c r="V157" s="12"/>
      <c r="W157" s="12"/>
      <c r="X157" s="12"/>
      <c r="Y157" s="12"/>
      <c r="Z157" s="12"/>
    </row>
    <row r="158" customFormat="false" ht="15.75" hidden="false" customHeight="false" outlineLevel="0" collapsed="false">
      <c r="A158" s="12"/>
      <c r="B158" s="34"/>
      <c r="C158" s="12"/>
      <c r="D158" s="12"/>
      <c r="E158" s="12"/>
      <c r="F158" s="12"/>
      <c r="G158" s="18"/>
      <c r="H158" s="35"/>
      <c r="I158" s="35"/>
      <c r="J158" s="12"/>
      <c r="O158" s="12"/>
      <c r="P158" s="18"/>
      <c r="Q158" s="12"/>
      <c r="R158" s="12"/>
      <c r="S158" s="12"/>
      <c r="T158" s="36"/>
      <c r="U158" s="36"/>
      <c r="V158" s="12"/>
      <c r="W158" s="12"/>
      <c r="X158" s="12"/>
      <c r="Y158" s="12"/>
      <c r="Z158" s="12"/>
    </row>
    <row r="159" customFormat="false" ht="15.75" hidden="false" customHeight="false" outlineLevel="0" collapsed="false">
      <c r="A159" s="12"/>
      <c r="B159" s="34"/>
      <c r="C159" s="12"/>
      <c r="D159" s="12"/>
      <c r="E159" s="12"/>
      <c r="F159" s="12"/>
      <c r="G159" s="18"/>
      <c r="H159" s="35"/>
      <c r="I159" s="35"/>
      <c r="J159" s="12"/>
      <c r="O159" s="12"/>
      <c r="P159" s="18"/>
      <c r="Q159" s="12"/>
      <c r="R159" s="12"/>
      <c r="S159" s="12"/>
      <c r="T159" s="36"/>
      <c r="U159" s="36"/>
      <c r="V159" s="12"/>
      <c r="W159" s="12"/>
      <c r="X159" s="12"/>
      <c r="Y159" s="12"/>
      <c r="Z159" s="12"/>
    </row>
    <row r="160" customFormat="false" ht="15.75" hidden="false" customHeight="false" outlineLevel="0" collapsed="false">
      <c r="A160" s="12"/>
      <c r="B160" s="34"/>
      <c r="C160" s="12"/>
      <c r="D160" s="12"/>
      <c r="E160" s="12"/>
      <c r="F160" s="12"/>
      <c r="G160" s="18"/>
      <c r="H160" s="35"/>
      <c r="I160" s="35"/>
      <c r="J160" s="12"/>
      <c r="O160" s="12"/>
      <c r="P160" s="18"/>
      <c r="Q160" s="12"/>
      <c r="R160" s="12"/>
      <c r="S160" s="12"/>
      <c r="T160" s="36"/>
      <c r="U160" s="36"/>
      <c r="V160" s="12"/>
      <c r="W160" s="12"/>
      <c r="X160" s="12"/>
      <c r="Y160" s="12"/>
      <c r="Z160" s="12"/>
    </row>
    <row r="161" customFormat="false" ht="15.75" hidden="false" customHeight="false" outlineLevel="0" collapsed="false">
      <c r="A161" s="12"/>
      <c r="B161" s="34"/>
      <c r="C161" s="12"/>
      <c r="D161" s="12"/>
      <c r="E161" s="12"/>
      <c r="F161" s="12"/>
      <c r="G161" s="18"/>
      <c r="H161" s="35"/>
      <c r="I161" s="35"/>
      <c r="J161" s="12"/>
      <c r="O161" s="12"/>
      <c r="P161" s="18"/>
      <c r="Q161" s="12"/>
      <c r="R161" s="12"/>
      <c r="S161" s="12"/>
      <c r="T161" s="36"/>
      <c r="U161" s="36"/>
      <c r="V161" s="12"/>
      <c r="W161" s="12"/>
      <c r="X161" s="12"/>
      <c r="Y161" s="12"/>
      <c r="Z161" s="12"/>
    </row>
    <row r="162" customFormat="false" ht="15.75" hidden="false" customHeight="false" outlineLevel="0" collapsed="false">
      <c r="A162" s="12"/>
      <c r="B162" s="34"/>
      <c r="C162" s="12"/>
      <c r="D162" s="12"/>
      <c r="E162" s="12"/>
      <c r="F162" s="12"/>
      <c r="G162" s="18"/>
      <c r="H162" s="35"/>
      <c r="I162" s="35"/>
      <c r="J162" s="12"/>
      <c r="O162" s="12"/>
      <c r="P162" s="18"/>
      <c r="Q162" s="12"/>
      <c r="R162" s="12"/>
      <c r="S162" s="12"/>
      <c r="T162" s="36"/>
      <c r="U162" s="36"/>
      <c r="V162" s="12"/>
      <c r="W162" s="12"/>
      <c r="X162" s="12"/>
      <c r="Y162" s="12"/>
      <c r="Z162" s="12"/>
    </row>
    <row r="163" customFormat="false" ht="15.75" hidden="false" customHeight="false" outlineLevel="0" collapsed="false">
      <c r="A163" s="12"/>
      <c r="B163" s="34"/>
      <c r="C163" s="12"/>
      <c r="D163" s="12"/>
      <c r="E163" s="12"/>
      <c r="F163" s="12"/>
      <c r="G163" s="18"/>
      <c r="H163" s="35"/>
      <c r="I163" s="35"/>
      <c r="J163" s="12"/>
      <c r="O163" s="12"/>
      <c r="P163" s="18"/>
      <c r="Q163" s="12"/>
      <c r="R163" s="12"/>
      <c r="S163" s="12"/>
      <c r="T163" s="36"/>
      <c r="U163" s="36"/>
      <c r="V163" s="12"/>
      <c r="W163" s="12"/>
      <c r="X163" s="12"/>
      <c r="Y163" s="12"/>
      <c r="Z163" s="12"/>
    </row>
    <row r="164" customFormat="false" ht="15.75" hidden="false" customHeight="false" outlineLevel="0" collapsed="false">
      <c r="A164" s="12"/>
      <c r="B164" s="34"/>
      <c r="C164" s="12"/>
      <c r="D164" s="12"/>
      <c r="E164" s="12"/>
      <c r="F164" s="12"/>
      <c r="G164" s="18"/>
      <c r="H164" s="35"/>
      <c r="I164" s="35"/>
      <c r="J164" s="12"/>
      <c r="O164" s="12"/>
      <c r="P164" s="18"/>
      <c r="Q164" s="12"/>
      <c r="R164" s="12"/>
      <c r="S164" s="12"/>
      <c r="T164" s="36"/>
      <c r="U164" s="36"/>
      <c r="V164" s="12"/>
      <c r="W164" s="12"/>
      <c r="X164" s="12"/>
      <c r="Y164" s="12"/>
      <c r="Z164" s="12"/>
    </row>
    <row r="165" customFormat="false" ht="15.75" hidden="false" customHeight="false" outlineLevel="0" collapsed="false">
      <c r="A165" s="12"/>
      <c r="B165" s="34"/>
      <c r="C165" s="12"/>
      <c r="D165" s="12"/>
      <c r="E165" s="12"/>
      <c r="F165" s="12"/>
      <c r="G165" s="18"/>
      <c r="H165" s="35"/>
      <c r="I165" s="35"/>
      <c r="J165" s="12"/>
      <c r="O165" s="12"/>
      <c r="P165" s="18"/>
      <c r="Q165" s="12"/>
      <c r="R165" s="12"/>
      <c r="S165" s="12"/>
      <c r="T165" s="36"/>
      <c r="U165" s="36"/>
      <c r="V165" s="12"/>
      <c r="W165" s="12"/>
      <c r="X165" s="12"/>
      <c r="Y165" s="12"/>
      <c r="Z165" s="12"/>
    </row>
    <row r="166" customFormat="false" ht="15.75" hidden="false" customHeight="false" outlineLevel="0" collapsed="false">
      <c r="A166" s="12"/>
      <c r="B166" s="34"/>
      <c r="C166" s="12"/>
      <c r="D166" s="12"/>
      <c r="E166" s="12"/>
      <c r="F166" s="12"/>
      <c r="G166" s="18"/>
      <c r="H166" s="35"/>
      <c r="I166" s="35"/>
      <c r="J166" s="12"/>
      <c r="O166" s="12"/>
      <c r="P166" s="18"/>
      <c r="Q166" s="12"/>
      <c r="R166" s="12"/>
      <c r="S166" s="12"/>
      <c r="T166" s="36"/>
      <c r="U166" s="36"/>
      <c r="V166" s="12"/>
      <c r="W166" s="12"/>
      <c r="X166" s="12"/>
      <c r="Y166" s="12"/>
      <c r="Z166" s="12"/>
    </row>
    <row r="167" customFormat="false" ht="15.75" hidden="false" customHeight="false" outlineLevel="0" collapsed="false">
      <c r="A167" s="12"/>
      <c r="B167" s="34"/>
      <c r="C167" s="12"/>
      <c r="D167" s="12"/>
      <c r="E167" s="12"/>
      <c r="F167" s="12"/>
      <c r="G167" s="18"/>
      <c r="H167" s="35"/>
      <c r="I167" s="35"/>
      <c r="J167" s="12"/>
      <c r="O167" s="12"/>
      <c r="P167" s="18"/>
      <c r="Q167" s="12"/>
      <c r="R167" s="12"/>
      <c r="S167" s="12"/>
      <c r="T167" s="36"/>
      <c r="U167" s="36"/>
      <c r="V167" s="12"/>
      <c r="W167" s="12"/>
      <c r="X167" s="12"/>
      <c r="Y167" s="12"/>
      <c r="Z167" s="12"/>
    </row>
    <row r="168" customFormat="false" ht="15.75" hidden="false" customHeight="false" outlineLevel="0" collapsed="false">
      <c r="A168" s="12"/>
      <c r="B168" s="34"/>
      <c r="C168" s="12"/>
      <c r="D168" s="12"/>
      <c r="E168" s="12"/>
      <c r="F168" s="12"/>
      <c r="G168" s="18"/>
      <c r="H168" s="35"/>
      <c r="I168" s="35"/>
      <c r="J168" s="12"/>
      <c r="O168" s="12"/>
      <c r="P168" s="18"/>
      <c r="Q168" s="12"/>
      <c r="R168" s="12"/>
      <c r="S168" s="12"/>
      <c r="T168" s="36"/>
      <c r="U168" s="36"/>
      <c r="V168" s="12"/>
      <c r="W168" s="12"/>
      <c r="X168" s="12"/>
      <c r="Y168" s="12"/>
      <c r="Z168" s="12"/>
    </row>
    <row r="169" customFormat="false" ht="15.75" hidden="false" customHeight="false" outlineLevel="0" collapsed="false">
      <c r="A169" s="12"/>
      <c r="B169" s="34"/>
      <c r="C169" s="12"/>
      <c r="D169" s="12"/>
      <c r="E169" s="12"/>
      <c r="F169" s="12"/>
      <c r="G169" s="18"/>
      <c r="H169" s="35"/>
      <c r="I169" s="35"/>
      <c r="J169" s="12"/>
      <c r="O169" s="12"/>
      <c r="P169" s="18"/>
      <c r="Q169" s="12"/>
      <c r="R169" s="12"/>
      <c r="S169" s="12"/>
      <c r="T169" s="36"/>
      <c r="U169" s="36"/>
      <c r="V169" s="12"/>
      <c r="W169" s="12"/>
      <c r="X169" s="12"/>
      <c r="Y169" s="12"/>
      <c r="Z169" s="12"/>
    </row>
    <row r="170" customFormat="false" ht="15.75" hidden="false" customHeight="false" outlineLevel="0" collapsed="false">
      <c r="A170" s="12"/>
      <c r="B170" s="34"/>
      <c r="C170" s="12"/>
      <c r="D170" s="12"/>
      <c r="E170" s="12"/>
      <c r="F170" s="12"/>
      <c r="G170" s="18"/>
      <c r="H170" s="35"/>
      <c r="I170" s="35"/>
      <c r="J170" s="12"/>
      <c r="O170" s="12"/>
      <c r="P170" s="18"/>
      <c r="Q170" s="12"/>
      <c r="R170" s="12"/>
      <c r="S170" s="12"/>
      <c r="T170" s="36"/>
      <c r="U170" s="36"/>
      <c r="V170" s="12"/>
      <c r="W170" s="12"/>
      <c r="X170" s="12"/>
      <c r="Y170" s="12"/>
      <c r="Z170" s="12"/>
    </row>
    <row r="171" customFormat="false" ht="15.75" hidden="false" customHeight="false" outlineLevel="0" collapsed="false">
      <c r="A171" s="12"/>
      <c r="B171" s="34"/>
      <c r="C171" s="12"/>
      <c r="D171" s="12"/>
      <c r="E171" s="12"/>
      <c r="F171" s="12"/>
      <c r="G171" s="18"/>
      <c r="H171" s="35"/>
      <c r="I171" s="35"/>
      <c r="J171" s="12"/>
      <c r="O171" s="12"/>
      <c r="P171" s="18"/>
      <c r="Q171" s="12"/>
      <c r="R171" s="12"/>
      <c r="S171" s="12"/>
      <c r="T171" s="36"/>
      <c r="U171" s="36"/>
      <c r="V171" s="12"/>
      <c r="W171" s="12"/>
      <c r="X171" s="12"/>
      <c r="Y171" s="12"/>
      <c r="Z171" s="12"/>
    </row>
    <row r="172" customFormat="false" ht="15.75" hidden="false" customHeight="false" outlineLevel="0" collapsed="false">
      <c r="A172" s="12"/>
      <c r="B172" s="34"/>
      <c r="C172" s="12"/>
      <c r="D172" s="12"/>
      <c r="E172" s="12"/>
      <c r="F172" s="12"/>
      <c r="G172" s="18"/>
      <c r="H172" s="35"/>
      <c r="I172" s="35"/>
      <c r="J172" s="12"/>
      <c r="O172" s="12"/>
      <c r="P172" s="18"/>
      <c r="Q172" s="12"/>
      <c r="R172" s="12"/>
      <c r="S172" s="12"/>
      <c r="T172" s="36"/>
      <c r="U172" s="36"/>
      <c r="V172" s="12"/>
      <c r="W172" s="12"/>
      <c r="X172" s="12"/>
      <c r="Y172" s="12"/>
      <c r="Z172" s="12"/>
    </row>
    <row r="173" customFormat="false" ht="15.75" hidden="false" customHeight="false" outlineLevel="0" collapsed="false">
      <c r="A173" s="12"/>
      <c r="B173" s="34"/>
      <c r="C173" s="12"/>
      <c r="D173" s="12"/>
      <c r="E173" s="12"/>
      <c r="F173" s="12"/>
      <c r="G173" s="18"/>
      <c r="H173" s="35"/>
      <c r="I173" s="35"/>
      <c r="J173" s="12"/>
      <c r="O173" s="12"/>
      <c r="P173" s="18"/>
      <c r="Q173" s="12"/>
      <c r="R173" s="12"/>
      <c r="S173" s="12"/>
      <c r="T173" s="36"/>
      <c r="U173" s="36"/>
      <c r="V173" s="12"/>
      <c r="W173" s="12"/>
      <c r="X173" s="12"/>
      <c r="Y173" s="12"/>
      <c r="Z173" s="12"/>
    </row>
    <row r="174" customFormat="false" ht="15.75" hidden="false" customHeight="false" outlineLevel="0" collapsed="false">
      <c r="A174" s="12"/>
      <c r="B174" s="34"/>
      <c r="C174" s="12"/>
      <c r="D174" s="12"/>
      <c r="E174" s="12"/>
      <c r="F174" s="12"/>
      <c r="G174" s="18"/>
      <c r="H174" s="35"/>
      <c r="I174" s="35"/>
      <c r="J174" s="12"/>
      <c r="O174" s="12"/>
      <c r="P174" s="18"/>
      <c r="Q174" s="12"/>
      <c r="R174" s="12"/>
      <c r="S174" s="12"/>
      <c r="T174" s="36"/>
      <c r="U174" s="36"/>
      <c r="V174" s="12"/>
      <c r="W174" s="12"/>
      <c r="X174" s="12"/>
      <c r="Y174" s="12"/>
      <c r="Z174" s="12"/>
    </row>
    <row r="175" customFormat="false" ht="15.75" hidden="false" customHeight="false" outlineLevel="0" collapsed="false">
      <c r="A175" s="12"/>
      <c r="B175" s="34"/>
      <c r="C175" s="12"/>
      <c r="D175" s="12"/>
      <c r="E175" s="12"/>
      <c r="F175" s="12"/>
      <c r="G175" s="18"/>
      <c r="H175" s="35"/>
      <c r="I175" s="35"/>
      <c r="J175" s="12"/>
      <c r="O175" s="12"/>
      <c r="P175" s="18"/>
      <c r="Q175" s="12"/>
      <c r="R175" s="12"/>
      <c r="S175" s="12"/>
      <c r="T175" s="36"/>
      <c r="U175" s="36"/>
      <c r="V175" s="12"/>
      <c r="W175" s="12"/>
      <c r="X175" s="12"/>
      <c r="Y175" s="12"/>
      <c r="Z175" s="12"/>
    </row>
    <row r="176" customFormat="false" ht="15.75" hidden="false" customHeight="false" outlineLevel="0" collapsed="false">
      <c r="A176" s="12"/>
      <c r="B176" s="34"/>
      <c r="C176" s="12"/>
      <c r="D176" s="12"/>
      <c r="E176" s="12"/>
      <c r="F176" s="12"/>
      <c r="G176" s="18"/>
      <c r="H176" s="35"/>
      <c r="I176" s="35"/>
      <c r="J176" s="12"/>
      <c r="O176" s="12"/>
      <c r="P176" s="18"/>
      <c r="Q176" s="12"/>
      <c r="R176" s="12"/>
      <c r="S176" s="12"/>
      <c r="T176" s="36"/>
      <c r="U176" s="36"/>
      <c r="V176" s="12"/>
      <c r="W176" s="12"/>
      <c r="X176" s="12"/>
      <c r="Y176" s="12"/>
      <c r="Z176" s="12"/>
    </row>
    <row r="177" customFormat="false" ht="15.75" hidden="false" customHeight="false" outlineLevel="0" collapsed="false">
      <c r="A177" s="12"/>
      <c r="B177" s="34"/>
      <c r="C177" s="12"/>
      <c r="D177" s="12"/>
      <c r="E177" s="12"/>
      <c r="F177" s="12"/>
      <c r="G177" s="18"/>
      <c r="H177" s="35"/>
      <c r="I177" s="35"/>
      <c r="J177" s="12"/>
      <c r="O177" s="12"/>
      <c r="P177" s="18"/>
      <c r="Q177" s="12"/>
      <c r="R177" s="12"/>
      <c r="S177" s="12"/>
      <c r="T177" s="36"/>
      <c r="U177" s="36"/>
      <c r="V177" s="12"/>
      <c r="W177" s="12"/>
      <c r="X177" s="12"/>
      <c r="Y177" s="12"/>
      <c r="Z177" s="12"/>
    </row>
    <row r="178" customFormat="false" ht="15.75" hidden="false" customHeight="false" outlineLevel="0" collapsed="false">
      <c r="A178" s="12"/>
      <c r="B178" s="34"/>
      <c r="C178" s="12"/>
      <c r="D178" s="12"/>
      <c r="E178" s="12"/>
      <c r="F178" s="12"/>
      <c r="G178" s="18"/>
      <c r="H178" s="35"/>
      <c r="I178" s="35"/>
      <c r="J178" s="12"/>
      <c r="O178" s="12"/>
      <c r="P178" s="18"/>
      <c r="Q178" s="12"/>
      <c r="R178" s="12"/>
      <c r="S178" s="12"/>
      <c r="T178" s="36"/>
      <c r="U178" s="36"/>
      <c r="V178" s="12"/>
      <c r="W178" s="12"/>
      <c r="X178" s="12"/>
      <c r="Y178" s="12"/>
      <c r="Z178" s="12"/>
    </row>
    <row r="179" customFormat="false" ht="15.75" hidden="false" customHeight="false" outlineLevel="0" collapsed="false">
      <c r="A179" s="12"/>
      <c r="B179" s="34"/>
      <c r="C179" s="12"/>
      <c r="D179" s="12"/>
      <c r="E179" s="12"/>
      <c r="F179" s="12"/>
      <c r="G179" s="18"/>
      <c r="H179" s="35"/>
      <c r="I179" s="35"/>
      <c r="J179" s="12"/>
      <c r="O179" s="12"/>
      <c r="P179" s="18"/>
      <c r="Q179" s="12"/>
      <c r="R179" s="12"/>
      <c r="S179" s="12"/>
      <c r="T179" s="36"/>
      <c r="U179" s="36"/>
      <c r="V179" s="12"/>
      <c r="W179" s="12"/>
      <c r="X179" s="12"/>
      <c r="Y179" s="12"/>
      <c r="Z179" s="12"/>
    </row>
    <row r="180" customFormat="false" ht="15.75" hidden="false" customHeight="false" outlineLevel="0" collapsed="false">
      <c r="A180" s="12"/>
      <c r="B180" s="34"/>
      <c r="C180" s="12"/>
      <c r="D180" s="12"/>
      <c r="E180" s="12"/>
      <c r="F180" s="12"/>
      <c r="G180" s="18"/>
      <c r="H180" s="35"/>
      <c r="I180" s="35"/>
      <c r="J180" s="12"/>
      <c r="O180" s="12"/>
      <c r="P180" s="18"/>
      <c r="Q180" s="12"/>
      <c r="R180" s="12"/>
      <c r="S180" s="12"/>
      <c r="T180" s="36"/>
      <c r="U180" s="36"/>
      <c r="V180" s="12"/>
      <c r="W180" s="12"/>
      <c r="X180" s="12"/>
      <c r="Y180" s="12"/>
      <c r="Z180" s="12"/>
    </row>
    <row r="181" customFormat="false" ht="15.75" hidden="false" customHeight="false" outlineLevel="0" collapsed="false">
      <c r="A181" s="12"/>
      <c r="B181" s="34"/>
      <c r="C181" s="12"/>
      <c r="D181" s="12"/>
      <c r="E181" s="12"/>
      <c r="F181" s="12"/>
      <c r="G181" s="18"/>
      <c r="H181" s="35"/>
      <c r="I181" s="35"/>
      <c r="J181" s="12"/>
      <c r="O181" s="12"/>
      <c r="P181" s="18"/>
      <c r="Q181" s="12"/>
      <c r="R181" s="12"/>
      <c r="S181" s="12"/>
      <c r="T181" s="36"/>
      <c r="U181" s="36"/>
      <c r="V181" s="12"/>
      <c r="W181" s="12"/>
      <c r="X181" s="12"/>
      <c r="Y181" s="12"/>
      <c r="Z181" s="12"/>
    </row>
    <row r="182" customFormat="false" ht="15.75" hidden="false" customHeight="false" outlineLevel="0" collapsed="false">
      <c r="A182" s="12"/>
      <c r="B182" s="34"/>
      <c r="C182" s="12"/>
      <c r="D182" s="12"/>
      <c r="E182" s="12"/>
      <c r="F182" s="12"/>
      <c r="G182" s="18"/>
      <c r="H182" s="35"/>
      <c r="I182" s="35"/>
      <c r="J182" s="12"/>
      <c r="O182" s="12"/>
      <c r="P182" s="18"/>
      <c r="Q182" s="12"/>
      <c r="R182" s="12"/>
      <c r="S182" s="12"/>
      <c r="T182" s="36"/>
      <c r="U182" s="36"/>
      <c r="V182" s="12"/>
      <c r="W182" s="12"/>
      <c r="X182" s="12"/>
      <c r="Y182" s="12"/>
      <c r="Z182" s="12"/>
    </row>
    <row r="183" customFormat="false" ht="15.75" hidden="false" customHeight="false" outlineLevel="0" collapsed="false">
      <c r="A183" s="12"/>
      <c r="B183" s="34"/>
      <c r="C183" s="12"/>
      <c r="D183" s="12"/>
      <c r="E183" s="12"/>
      <c r="F183" s="12"/>
      <c r="G183" s="18"/>
      <c r="H183" s="35"/>
      <c r="I183" s="35"/>
      <c r="J183" s="12"/>
      <c r="O183" s="12"/>
      <c r="P183" s="18"/>
      <c r="Q183" s="12"/>
      <c r="R183" s="12"/>
      <c r="S183" s="12"/>
      <c r="T183" s="36"/>
      <c r="U183" s="36"/>
      <c r="V183" s="12"/>
      <c r="W183" s="12"/>
      <c r="X183" s="12"/>
      <c r="Y183" s="12"/>
      <c r="Z183" s="12"/>
    </row>
    <row r="184" customFormat="false" ht="15.75" hidden="false" customHeight="false" outlineLevel="0" collapsed="false">
      <c r="A184" s="12"/>
      <c r="B184" s="34"/>
      <c r="C184" s="12"/>
      <c r="D184" s="12"/>
      <c r="E184" s="12"/>
      <c r="F184" s="12"/>
      <c r="G184" s="18"/>
      <c r="H184" s="35"/>
      <c r="I184" s="35"/>
      <c r="J184" s="12"/>
      <c r="O184" s="12"/>
      <c r="P184" s="18"/>
      <c r="Q184" s="12"/>
      <c r="R184" s="12"/>
      <c r="S184" s="12"/>
      <c r="T184" s="36"/>
      <c r="U184" s="36"/>
      <c r="V184" s="12"/>
      <c r="W184" s="12"/>
      <c r="X184" s="12"/>
      <c r="Y184" s="12"/>
      <c r="Z184" s="12"/>
    </row>
    <row r="185" customFormat="false" ht="15.75" hidden="false" customHeight="false" outlineLevel="0" collapsed="false">
      <c r="A185" s="12"/>
      <c r="B185" s="34"/>
      <c r="C185" s="12"/>
      <c r="D185" s="12"/>
      <c r="E185" s="12"/>
      <c r="F185" s="12"/>
      <c r="G185" s="18"/>
      <c r="H185" s="35"/>
      <c r="I185" s="35"/>
      <c r="J185" s="12"/>
      <c r="O185" s="12"/>
      <c r="P185" s="18"/>
      <c r="Q185" s="12"/>
      <c r="R185" s="12"/>
      <c r="S185" s="12"/>
      <c r="T185" s="36"/>
      <c r="U185" s="36"/>
      <c r="V185" s="12"/>
      <c r="W185" s="12"/>
      <c r="X185" s="12"/>
      <c r="Y185" s="12"/>
      <c r="Z185" s="12"/>
    </row>
    <row r="186" customFormat="false" ht="15.75" hidden="false" customHeight="false" outlineLevel="0" collapsed="false">
      <c r="A186" s="12"/>
      <c r="B186" s="34"/>
      <c r="C186" s="12"/>
      <c r="D186" s="12"/>
      <c r="E186" s="12"/>
      <c r="F186" s="12"/>
      <c r="G186" s="18"/>
      <c r="H186" s="35"/>
      <c r="I186" s="35"/>
      <c r="J186" s="12"/>
      <c r="O186" s="12"/>
      <c r="P186" s="18"/>
      <c r="Q186" s="12"/>
      <c r="R186" s="12"/>
      <c r="S186" s="12"/>
      <c r="T186" s="36"/>
      <c r="U186" s="36"/>
      <c r="V186" s="12"/>
      <c r="W186" s="12"/>
      <c r="X186" s="12"/>
      <c r="Y186" s="12"/>
      <c r="Z186" s="12"/>
    </row>
    <row r="187" customFormat="false" ht="15.75" hidden="false" customHeight="false" outlineLevel="0" collapsed="false">
      <c r="A187" s="12"/>
      <c r="B187" s="34"/>
      <c r="C187" s="12"/>
      <c r="D187" s="12"/>
      <c r="E187" s="12"/>
      <c r="F187" s="12"/>
      <c r="G187" s="18"/>
      <c r="H187" s="35"/>
      <c r="I187" s="35"/>
      <c r="J187" s="12"/>
      <c r="O187" s="12"/>
      <c r="P187" s="18"/>
      <c r="Q187" s="12"/>
      <c r="R187" s="12"/>
      <c r="S187" s="12"/>
      <c r="T187" s="36"/>
      <c r="U187" s="36"/>
      <c r="V187" s="12"/>
      <c r="W187" s="12"/>
      <c r="X187" s="12"/>
      <c r="Y187" s="12"/>
      <c r="Z187" s="12"/>
    </row>
    <row r="188" customFormat="false" ht="15.75" hidden="false" customHeight="false" outlineLevel="0" collapsed="false">
      <c r="A188" s="12"/>
      <c r="B188" s="34"/>
      <c r="C188" s="12"/>
      <c r="D188" s="12"/>
      <c r="E188" s="12"/>
      <c r="F188" s="12"/>
      <c r="G188" s="18"/>
      <c r="H188" s="35"/>
      <c r="I188" s="35"/>
      <c r="J188" s="12"/>
      <c r="O188" s="12"/>
      <c r="P188" s="18"/>
      <c r="Q188" s="12"/>
      <c r="R188" s="12"/>
      <c r="S188" s="12"/>
      <c r="T188" s="36"/>
      <c r="U188" s="36"/>
      <c r="V188" s="12"/>
      <c r="W188" s="12"/>
      <c r="X188" s="12"/>
      <c r="Y188" s="12"/>
      <c r="Z188" s="12"/>
    </row>
    <row r="189" customFormat="false" ht="15.75" hidden="false" customHeight="false" outlineLevel="0" collapsed="false">
      <c r="A189" s="12"/>
      <c r="B189" s="34"/>
      <c r="C189" s="12"/>
      <c r="D189" s="12"/>
      <c r="E189" s="12"/>
      <c r="F189" s="12"/>
      <c r="G189" s="18"/>
      <c r="H189" s="35"/>
      <c r="I189" s="35"/>
      <c r="J189" s="12"/>
      <c r="O189" s="12"/>
      <c r="P189" s="18"/>
      <c r="Q189" s="12"/>
      <c r="R189" s="12"/>
      <c r="S189" s="12"/>
      <c r="T189" s="36"/>
      <c r="U189" s="36"/>
      <c r="V189" s="12"/>
      <c r="W189" s="12"/>
      <c r="X189" s="12"/>
      <c r="Y189" s="12"/>
      <c r="Z189" s="12"/>
    </row>
    <row r="190" customFormat="false" ht="15.75" hidden="false" customHeight="false" outlineLevel="0" collapsed="false">
      <c r="A190" s="12"/>
      <c r="B190" s="34"/>
      <c r="C190" s="12"/>
      <c r="D190" s="12"/>
      <c r="E190" s="12"/>
      <c r="F190" s="12"/>
      <c r="G190" s="18"/>
      <c r="H190" s="35"/>
      <c r="I190" s="35"/>
      <c r="J190" s="12"/>
      <c r="O190" s="12"/>
      <c r="P190" s="18"/>
      <c r="Q190" s="12"/>
      <c r="R190" s="12"/>
      <c r="S190" s="12"/>
      <c r="T190" s="36"/>
      <c r="U190" s="36"/>
      <c r="V190" s="12"/>
      <c r="W190" s="12"/>
      <c r="X190" s="12"/>
      <c r="Y190" s="12"/>
      <c r="Z190" s="12"/>
    </row>
    <row r="191" customFormat="false" ht="15.75" hidden="false" customHeight="false" outlineLevel="0" collapsed="false">
      <c r="A191" s="12"/>
      <c r="B191" s="34"/>
      <c r="C191" s="12"/>
      <c r="D191" s="12"/>
      <c r="E191" s="12"/>
      <c r="F191" s="12"/>
      <c r="G191" s="18"/>
      <c r="H191" s="35"/>
      <c r="I191" s="35"/>
      <c r="J191" s="12"/>
      <c r="O191" s="12"/>
      <c r="P191" s="18"/>
      <c r="Q191" s="12"/>
      <c r="R191" s="12"/>
      <c r="S191" s="12"/>
      <c r="T191" s="36"/>
      <c r="U191" s="36"/>
      <c r="V191" s="12"/>
      <c r="W191" s="12"/>
      <c r="X191" s="12"/>
      <c r="Y191" s="12"/>
      <c r="Z191" s="12"/>
    </row>
    <row r="192" customFormat="false" ht="15.75" hidden="false" customHeight="false" outlineLevel="0" collapsed="false">
      <c r="A192" s="12"/>
      <c r="B192" s="34"/>
      <c r="C192" s="12"/>
      <c r="D192" s="12"/>
      <c r="E192" s="12"/>
      <c r="F192" s="12"/>
      <c r="G192" s="18"/>
      <c r="H192" s="35"/>
      <c r="I192" s="35"/>
      <c r="J192" s="12"/>
      <c r="O192" s="12"/>
      <c r="P192" s="18"/>
      <c r="Q192" s="12"/>
      <c r="R192" s="12"/>
      <c r="S192" s="12"/>
      <c r="T192" s="36"/>
      <c r="U192" s="36"/>
      <c r="V192" s="12"/>
      <c r="W192" s="12"/>
      <c r="X192" s="12"/>
      <c r="Y192" s="12"/>
      <c r="Z192" s="12"/>
    </row>
    <row r="193" customFormat="false" ht="15.75" hidden="false" customHeight="false" outlineLevel="0" collapsed="false">
      <c r="A193" s="12"/>
      <c r="B193" s="34"/>
      <c r="C193" s="12"/>
      <c r="D193" s="12"/>
      <c r="E193" s="12"/>
      <c r="F193" s="12"/>
      <c r="G193" s="18"/>
      <c r="H193" s="35"/>
      <c r="I193" s="35"/>
      <c r="J193" s="12"/>
      <c r="O193" s="12"/>
      <c r="P193" s="18"/>
      <c r="Q193" s="12"/>
      <c r="R193" s="12"/>
      <c r="S193" s="12"/>
      <c r="T193" s="36"/>
      <c r="U193" s="36"/>
      <c r="V193" s="12"/>
      <c r="W193" s="12"/>
      <c r="X193" s="12"/>
      <c r="Y193" s="12"/>
      <c r="Z193" s="12"/>
    </row>
    <row r="194" customFormat="false" ht="15.75" hidden="false" customHeight="false" outlineLevel="0" collapsed="false">
      <c r="A194" s="12"/>
      <c r="B194" s="34"/>
      <c r="C194" s="12"/>
      <c r="D194" s="12"/>
      <c r="E194" s="12"/>
      <c r="F194" s="12"/>
      <c r="G194" s="18"/>
      <c r="H194" s="35"/>
      <c r="I194" s="35"/>
      <c r="J194" s="12"/>
      <c r="O194" s="12"/>
      <c r="P194" s="18"/>
      <c r="Q194" s="12"/>
      <c r="R194" s="12"/>
      <c r="S194" s="12"/>
      <c r="T194" s="36"/>
      <c r="U194" s="36"/>
      <c r="V194" s="12"/>
      <c r="W194" s="12"/>
      <c r="X194" s="12"/>
      <c r="Y194" s="12"/>
      <c r="Z194" s="12"/>
    </row>
    <row r="195" customFormat="false" ht="15.75" hidden="false" customHeight="false" outlineLevel="0" collapsed="false">
      <c r="A195" s="12"/>
      <c r="B195" s="34"/>
      <c r="C195" s="12"/>
      <c r="D195" s="12"/>
      <c r="E195" s="12"/>
      <c r="F195" s="12"/>
      <c r="G195" s="18"/>
      <c r="H195" s="35"/>
      <c r="I195" s="35"/>
      <c r="J195" s="12"/>
      <c r="O195" s="12"/>
      <c r="P195" s="18"/>
      <c r="Q195" s="12"/>
      <c r="R195" s="12"/>
      <c r="S195" s="12"/>
      <c r="T195" s="36"/>
      <c r="U195" s="36"/>
      <c r="V195" s="12"/>
      <c r="W195" s="12"/>
      <c r="X195" s="12"/>
      <c r="Y195" s="12"/>
      <c r="Z195" s="12"/>
    </row>
    <row r="196" customFormat="false" ht="15.75" hidden="false" customHeight="false" outlineLevel="0" collapsed="false">
      <c r="A196" s="12"/>
      <c r="B196" s="34"/>
      <c r="C196" s="12"/>
      <c r="D196" s="12"/>
      <c r="E196" s="12"/>
      <c r="F196" s="12"/>
      <c r="G196" s="18"/>
      <c r="H196" s="35"/>
      <c r="I196" s="35"/>
      <c r="J196" s="12"/>
      <c r="O196" s="12"/>
      <c r="P196" s="18"/>
      <c r="Q196" s="12"/>
      <c r="R196" s="12"/>
      <c r="S196" s="12"/>
      <c r="T196" s="36"/>
      <c r="U196" s="36"/>
      <c r="V196" s="12"/>
      <c r="W196" s="12"/>
      <c r="X196" s="12"/>
      <c r="Y196" s="12"/>
      <c r="Z196" s="12"/>
    </row>
    <row r="197" customFormat="false" ht="15.75" hidden="false" customHeight="false" outlineLevel="0" collapsed="false">
      <c r="A197" s="12"/>
      <c r="B197" s="34"/>
      <c r="C197" s="12"/>
      <c r="D197" s="12"/>
      <c r="E197" s="12"/>
      <c r="F197" s="12"/>
      <c r="G197" s="18"/>
      <c r="H197" s="35"/>
      <c r="I197" s="35"/>
      <c r="J197" s="12"/>
      <c r="O197" s="12"/>
      <c r="P197" s="18"/>
      <c r="Q197" s="12"/>
      <c r="R197" s="12"/>
      <c r="S197" s="12"/>
      <c r="T197" s="36"/>
      <c r="U197" s="36"/>
      <c r="V197" s="12"/>
      <c r="W197" s="12"/>
      <c r="X197" s="12"/>
      <c r="Y197" s="12"/>
      <c r="Z197" s="12"/>
    </row>
    <row r="198" customFormat="false" ht="15.75" hidden="false" customHeight="false" outlineLevel="0" collapsed="false">
      <c r="A198" s="12"/>
      <c r="B198" s="34"/>
      <c r="C198" s="12"/>
      <c r="D198" s="12"/>
      <c r="E198" s="12"/>
      <c r="F198" s="12"/>
      <c r="G198" s="18"/>
      <c r="H198" s="35"/>
      <c r="I198" s="35"/>
      <c r="J198" s="12"/>
      <c r="O198" s="12"/>
      <c r="P198" s="18"/>
      <c r="Q198" s="12"/>
      <c r="R198" s="12"/>
      <c r="S198" s="12"/>
      <c r="T198" s="36"/>
      <c r="U198" s="36"/>
      <c r="V198" s="12"/>
      <c r="W198" s="12"/>
      <c r="X198" s="12"/>
      <c r="Y198" s="12"/>
      <c r="Z198" s="12"/>
    </row>
    <row r="199" customFormat="false" ht="15.75" hidden="false" customHeight="false" outlineLevel="0" collapsed="false">
      <c r="A199" s="12"/>
      <c r="B199" s="34"/>
      <c r="C199" s="12"/>
      <c r="D199" s="12"/>
      <c r="E199" s="12"/>
      <c r="F199" s="12"/>
      <c r="G199" s="18"/>
      <c r="H199" s="35"/>
      <c r="I199" s="35"/>
      <c r="J199" s="12"/>
      <c r="O199" s="12"/>
      <c r="P199" s="18"/>
      <c r="Q199" s="12"/>
      <c r="R199" s="12"/>
      <c r="S199" s="12"/>
      <c r="T199" s="36"/>
      <c r="U199" s="36"/>
      <c r="V199" s="12"/>
      <c r="W199" s="12"/>
      <c r="X199" s="12"/>
      <c r="Y199" s="12"/>
      <c r="Z199" s="12"/>
    </row>
    <row r="200" customFormat="false" ht="15.75" hidden="false" customHeight="false" outlineLevel="0" collapsed="false">
      <c r="A200" s="12"/>
      <c r="B200" s="34"/>
      <c r="C200" s="12"/>
      <c r="D200" s="12"/>
      <c r="E200" s="12"/>
      <c r="F200" s="12"/>
      <c r="G200" s="18"/>
      <c r="H200" s="35"/>
      <c r="I200" s="35"/>
      <c r="J200" s="12"/>
      <c r="O200" s="12"/>
      <c r="P200" s="18"/>
      <c r="Q200" s="12"/>
      <c r="R200" s="12"/>
      <c r="S200" s="12"/>
      <c r="T200" s="36"/>
      <c r="U200" s="36"/>
      <c r="V200" s="12"/>
      <c r="W200" s="12"/>
      <c r="X200" s="12"/>
      <c r="Y200" s="12"/>
      <c r="Z200" s="12"/>
    </row>
    <row r="201" customFormat="false" ht="15.75" hidden="false" customHeight="false" outlineLevel="0" collapsed="false">
      <c r="A201" s="12"/>
      <c r="B201" s="34"/>
      <c r="C201" s="12"/>
      <c r="D201" s="12"/>
      <c r="E201" s="12"/>
      <c r="F201" s="12"/>
      <c r="G201" s="18"/>
      <c r="H201" s="35"/>
      <c r="I201" s="35"/>
      <c r="J201" s="12"/>
      <c r="O201" s="12"/>
      <c r="P201" s="18"/>
      <c r="Q201" s="12"/>
      <c r="R201" s="12"/>
      <c r="S201" s="12"/>
      <c r="T201" s="36"/>
      <c r="U201" s="36"/>
      <c r="V201" s="12"/>
      <c r="W201" s="12"/>
      <c r="X201" s="12"/>
      <c r="Y201" s="12"/>
      <c r="Z201" s="12"/>
    </row>
    <row r="202" customFormat="false" ht="15.75" hidden="false" customHeight="false" outlineLevel="0" collapsed="false">
      <c r="A202" s="12"/>
      <c r="B202" s="34"/>
      <c r="C202" s="12"/>
      <c r="D202" s="12"/>
      <c r="E202" s="12"/>
      <c r="F202" s="12"/>
      <c r="G202" s="18"/>
      <c r="H202" s="35"/>
      <c r="I202" s="35"/>
      <c r="J202" s="12"/>
      <c r="O202" s="12"/>
      <c r="P202" s="18"/>
      <c r="Q202" s="12"/>
      <c r="R202" s="12"/>
      <c r="S202" s="12"/>
      <c r="T202" s="36"/>
      <c r="U202" s="36"/>
      <c r="V202" s="12"/>
      <c r="W202" s="12"/>
      <c r="X202" s="12"/>
      <c r="Y202" s="12"/>
      <c r="Z202" s="12"/>
    </row>
    <row r="203" customFormat="false" ht="15.75" hidden="false" customHeight="false" outlineLevel="0" collapsed="false">
      <c r="A203" s="12"/>
      <c r="B203" s="34"/>
      <c r="C203" s="12"/>
      <c r="D203" s="12"/>
      <c r="E203" s="12"/>
      <c r="F203" s="12"/>
      <c r="G203" s="18"/>
      <c r="H203" s="35"/>
      <c r="I203" s="35"/>
      <c r="J203" s="12"/>
      <c r="O203" s="12"/>
      <c r="P203" s="18"/>
      <c r="Q203" s="12"/>
      <c r="R203" s="12"/>
      <c r="S203" s="12"/>
      <c r="T203" s="36"/>
      <c r="U203" s="36"/>
      <c r="V203" s="12"/>
      <c r="W203" s="12"/>
      <c r="X203" s="12"/>
      <c r="Y203" s="12"/>
      <c r="Z203" s="12"/>
    </row>
    <row r="204" customFormat="false" ht="15.75" hidden="false" customHeight="false" outlineLevel="0" collapsed="false">
      <c r="A204" s="12"/>
      <c r="B204" s="34"/>
      <c r="C204" s="12"/>
      <c r="D204" s="12"/>
      <c r="E204" s="12"/>
      <c r="F204" s="12"/>
      <c r="G204" s="18"/>
      <c r="H204" s="35"/>
      <c r="I204" s="35"/>
      <c r="J204" s="12"/>
      <c r="O204" s="12"/>
      <c r="P204" s="18"/>
      <c r="Q204" s="12"/>
      <c r="R204" s="12"/>
      <c r="S204" s="12"/>
      <c r="T204" s="36"/>
      <c r="U204" s="36"/>
      <c r="V204" s="12"/>
      <c r="W204" s="12"/>
      <c r="X204" s="12"/>
      <c r="Y204" s="12"/>
      <c r="Z204" s="12"/>
    </row>
    <row r="205" customFormat="false" ht="15.75" hidden="false" customHeight="false" outlineLevel="0" collapsed="false">
      <c r="A205" s="12"/>
      <c r="B205" s="34"/>
      <c r="C205" s="12"/>
      <c r="D205" s="12"/>
      <c r="E205" s="12"/>
      <c r="F205" s="12"/>
      <c r="G205" s="18"/>
      <c r="H205" s="35"/>
      <c r="I205" s="35"/>
      <c r="J205" s="12"/>
      <c r="O205" s="12"/>
      <c r="P205" s="18"/>
      <c r="Q205" s="12"/>
      <c r="R205" s="12"/>
      <c r="S205" s="12"/>
      <c r="T205" s="36"/>
      <c r="U205" s="36"/>
      <c r="V205" s="12"/>
      <c r="W205" s="12"/>
      <c r="X205" s="12"/>
      <c r="Y205" s="12"/>
      <c r="Z205" s="12"/>
    </row>
    <row r="206" customFormat="false" ht="15.75" hidden="false" customHeight="false" outlineLevel="0" collapsed="false">
      <c r="A206" s="12"/>
      <c r="B206" s="34"/>
      <c r="C206" s="12"/>
      <c r="D206" s="12"/>
      <c r="E206" s="12"/>
      <c r="F206" s="12"/>
      <c r="G206" s="18"/>
      <c r="H206" s="35"/>
      <c r="I206" s="35"/>
      <c r="J206" s="12"/>
      <c r="O206" s="12"/>
      <c r="P206" s="18"/>
      <c r="Q206" s="12"/>
      <c r="R206" s="12"/>
      <c r="S206" s="12"/>
      <c r="T206" s="36"/>
      <c r="U206" s="36"/>
      <c r="V206" s="12"/>
      <c r="W206" s="12"/>
      <c r="X206" s="12"/>
      <c r="Y206" s="12"/>
      <c r="Z206" s="12"/>
    </row>
    <row r="207" customFormat="false" ht="15.75" hidden="false" customHeight="false" outlineLevel="0" collapsed="false">
      <c r="A207" s="12"/>
      <c r="B207" s="34"/>
      <c r="C207" s="12"/>
      <c r="D207" s="12"/>
      <c r="E207" s="12"/>
      <c r="F207" s="12"/>
      <c r="G207" s="18"/>
      <c r="H207" s="35"/>
      <c r="I207" s="35"/>
      <c r="J207" s="12"/>
      <c r="O207" s="12"/>
      <c r="P207" s="18"/>
      <c r="Q207" s="12"/>
      <c r="R207" s="12"/>
      <c r="S207" s="12"/>
      <c r="T207" s="36"/>
      <c r="U207" s="36"/>
      <c r="V207" s="12"/>
      <c r="W207" s="12"/>
      <c r="X207" s="12"/>
      <c r="Y207" s="12"/>
      <c r="Z207" s="12"/>
    </row>
    <row r="208" customFormat="false" ht="15.75" hidden="false" customHeight="false" outlineLevel="0" collapsed="false">
      <c r="A208" s="12"/>
      <c r="B208" s="34"/>
      <c r="C208" s="12"/>
      <c r="D208" s="12"/>
      <c r="E208" s="12"/>
      <c r="F208" s="12"/>
      <c r="G208" s="18"/>
      <c r="H208" s="35"/>
      <c r="I208" s="35"/>
      <c r="J208" s="12"/>
      <c r="O208" s="12"/>
      <c r="P208" s="18"/>
      <c r="Q208" s="12"/>
      <c r="R208" s="12"/>
      <c r="S208" s="12"/>
      <c r="T208" s="36"/>
      <c r="U208" s="36"/>
      <c r="V208" s="12"/>
      <c r="W208" s="12"/>
      <c r="X208" s="12"/>
      <c r="Y208" s="12"/>
      <c r="Z208" s="12"/>
    </row>
    <row r="209" customFormat="false" ht="15.75" hidden="false" customHeight="false" outlineLevel="0" collapsed="false">
      <c r="A209" s="12"/>
      <c r="B209" s="34"/>
      <c r="C209" s="12"/>
      <c r="D209" s="12"/>
      <c r="E209" s="12"/>
      <c r="F209" s="12"/>
      <c r="G209" s="18"/>
      <c r="H209" s="35"/>
      <c r="I209" s="35"/>
      <c r="J209" s="12"/>
      <c r="O209" s="12"/>
      <c r="P209" s="18"/>
      <c r="Q209" s="12"/>
      <c r="R209" s="12"/>
      <c r="S209" s="12"/>
      <c r="T209" s="36"/>
      <c r="U209" s="36"/>
      <c r="V209" s="12"/>
      <c r="W209" s="12"/>
      <c r="X209" s="12"/>
      <c r="Y209" s="12"/>
      <c r="Z209" s="12"/>
    </row>
    <row r="210" customFormat="false" ht="15.75" hidden="false" customHeight="false" outlineLevel="0" collapsed="false">
      <c r="A210" s="12"/>
      <c r="B210" s="34"/>
      <c r="C210" s="12"/>
      <c r="D210" s="12"/>
      <c r="E210" s="12"/>
      <c r="F210" s="12"/>
      <c r="G210" s="18"/>
      <c r="H210" s="35"/>
      <c r="I210" s="35"/>
      <c r="J210" s="12"/>
      <c r="O210" s="12"/>
      <c r="P210" s="18"/>
      <c r="Q210" s="12"/>
      <c r="R210" s="12"/>
      <c r="S210" s="12"/>
      <c r="T210" s="36"/>
      <c r="U210" s="36"/>
      <c r="V210" s="12"/>
      <c r="W210" s="12"/>
      <c r="X210" s="12"/>
      <c r="Y210" s="12"/>
      <c r="Z210" s="12"/>
    </row>
    <row r="211" customFormat="false" ht="15.75" hidden="false" customHeight="false" outlineLevel="0" collapsed="false">
      <c r="A211" s="12"/>
      <c r="B211" s="34"/>
      <c r="C211" s="12"/>
      <c r="D211" s="12"/>
      <c r="E211" s="12"/>
      <c r="F211" s="12"/>
      <c r="G211" s="18"/>
      <c r="H211" s="35"/>
      <c r="I211" s="35"/>
      <c r="J211" s="12"/>
      <c r="O211" s="12"/>
      <c r="P211" s="18"/>
      <c r="Q211" s="12"/>
      <c r="R211" s="12"/>
      <c r="S211" s="12"/>
      <c r="T211" s="36"/>
      <c r="U211" s="36"/>
      <c r="V211" s="12"/>
      <c r="W211" s="12"/>
      <c r="X211" s="12"/>
      <c r="Y211" s="12"/>
      <c r="Z211" s="12"/>
    </row>
    <row r="212" customFormat="false" ht="15.75" hidden="false" customHeight="false" outlineLevel="0" collapsed="false">
      <c r="A212" s="12"/>
      <c r="B212" s="34"/>
      <c r="C212" s="12"/>
      <c r="D212" s="12"/>
      <c r="E212" s="12"/>
      <c r="F212" s="12"/>
      <c r="G212" s="18"/>
      <c r="H212" s="35"/>
      <c r="I212" s="35"/>
      <c r="J212" s="12"/>
      <c r="O212" s="12"/>
      <c r="P212" s="18"/>
      <c r="Q212" s="12"/>
      <c r="R212" s="12"/>
      <c r="S212" s="12"/>
      <c r="T212" s="36"/>
      <c r="U212" s="36"/>
      <c r="V212" s="12"/>
      <c r="W212" s="12"/>
      <c r="X212" s="12"/>
      <c r="Y212" s="12"/>
      <c r="Z212" s="12"/>
    </row>
    <row r="213" customFormat="false" ht="15.75" hidden="false" customHeight="false" outlineLevel="0" collapsed="false">
      <c r="A213" s="12"/>
      <c r="B213" s="34"/>
      <c r="C213" s="12"/>
      <c r="D213" s="12"/>
      <c r="E213" s="12"/>
      <c r="F213" s="12"/>
      <c r="G213" s="18"/>
      <c r="H213" s="35"/>
      <c r="I213" s="35"/>
      <c r="J213" s="12"/>
      <c r="O213" s="12"/>
      <c r="P213" s="18"/>
      <c r="Q213" s="12"/>
      <c r="R213" s="12"/>
      <c r="S213" s="12"/>
      <c r="T213" s="36"/>
      <c r="U213" s="36"/>
      <c r="V213" s="12"/>
      <c r="W213" s="12"/>
      <c r="X213" s="12"/>
      <c r="Y213" s="12"/>
      <c r="Z213" s="12"/>
    </row>
    <row r="214" customFormat="false" ht="15.75" hidden="false" customHeight="false" outlineLevel="0" collapsed="false">
      <c r="A214" s="12"/>
      <c r="B214" s="34"/>
      <c r="C214" s="12"/>
      <c r="D214" s="12"/>
      <c r="E214" s="12"/>
      <c r="F214" s="12"/>
      <c r="G214" s="18"/>
      <c r="H214" s="35"/>
      <c r="I214" s="35"/>
      <c r="J214" s="12"/>
      <c r="O214" s="12"/>
      <c r="P214" s="18"/>
      <c r="Q214" s="12"/>
      <c r="R214" s="12"/>
      <c r="S214" s="12"/>
      <c r="T214" s="36"/>
      <c r="U214" s="36"/>
      <c r="V214" s="12"/>
      <c r="W214" s="12"/>
      <c r="X214" s="12"/>
      <c r="Y214" s="12"/>
      <c r="Z214" s="12"/>
    </row>
    <row r="215" customFormat="false" ht="15.75" hidden="false" customHeight="false" outlineLevel="0" collapsed="false">
      <c r="A215" s="12"/>
      <c r="B215" s="34"/>
      <c r="C215" s="12"/>
      <c r="D215" s="12"/>
      <c r="E215" s="12"/>
      <c r="F215" s="12"/>
      <c r="G215" s="18"/>
      <c r="H215" s="35"/>
      <c r="I215" s="35"/>
      <c r="J215" s="12"/>
      <c r="O215" s="12"/>
      <c r="P215" s="18"/>
      <c r="Q215" s="12"/>
      <c r="R215" s="12"/>
      <c r="S215" s="12"/>
      <c r="T215" s="36"/>
      <c r="U215" s="36"/>
      <c r="V215" s="12"/>
      <c r="W215" s="12"/>
      <c r="X215" s="12"/>
      <c r="Y215" s="12"/>
      <c r="Z215" s="12"/>
    </row>
    <row r="216" customFormat="false" ht="15.75" hidden="false" customHeight="false" outlineLevel="0" collapsed="false">
      <c r="A216" s="12"/>
      <c r="B216" s="34"/>
      <c r="C216" s="12"/>
      <c r="D216" s="12"/>
      <c r="E216" s="12"/>
      <c r="F216" s="12"/>
      <c r="G216" s="18"/>
      <c r="H216" s="35"/>
      <c r="I216" s="35"/>
      <c r="J216" s="12"/>
      <c r="O216" s="12"/>
      <c r="P216" s="18"/>
      <c r="Q216" s="12"/>
      <c r="R216" s="12"/>
      <c r="S216" s="12"/>
      <c r="T216" s="36"/>
      <c r="U216" s="36"/>
      <c r="V216" s="12"/>
      <c r="W216" s="12"/>
      <c r="X216" s="12"/>
      <c r="Y216" s="12"/>
      <c r="Z216" s="12"/>
    </row>
    <row r="217" customFormat="false" ht="15.75" hidden="false" customHeight="false" outlineLevel="0" collapsed="false">
      <c r="A217" s="12"/>
      <c r="B217" s="34"/>
      <c r="C217" s="12"/>
      <c r="D217" s="12"/>
      <c r="E217" s="12"/>
      <c r="F217" s="12"/>
      <c r="G217" s="18"/>
      <c r="H217" s="35"/>
      <c r="I217" s="35"/>
      <c r="J217" s="12"/>
      <c r="O217" s="12"/>
      <c r="P217" s="18"/>
      <c r="Q217" s="12"/>
      <c r="R217" s="12"/>
      <c r="S217" s="12"/>
      <c r="T217" s="36"/>
      <c r="U217" s="36"/>
      <c r="V217" s="12"/>
      <c r="W217" s="12"/>
      <c r="X217" s="12"/>
      <c r="Y217" s="12"/>
      <c r="Z217" s="12"/>
    </row>
    <row r="218" customFormat="false" ht="15.75" hidden="false" customHeight="false" outlineLevel="0" collapsed="false">
      <c r="A218" s="12"/>
      <c r="B218" s="34"/>
      <c r="C218" s="12"/>
      <c r="D218" s="12"/>
      <c r="E218" s="12"/>
      <c r="F218" s="12"/>
      <c r="G218" s="18"/>
      <c r="H218" s="35"/>
      <c r="I218" s="35"/>
      <c r="J218" s="12"/>
      <c r="O218" s="12"/>
      <c r="P218" s="18"/>
      <c r="Q218" s="12"/>
      <c r="R218" s="12"/>
      <c r="S218" s="12"/>
      <c r="T218" s="36"/>
      <c r="U218" s="36"/>
      <c r="V218" s="12"/>
      <c r="W218" s="12"/>
      <c r="X218" s="12"/>
      <c r="Y218" s="12"/>
      <c r="Z218" s="12"/>
    </row>
    <row r="219" customFormat="false" ht="15.75" hidden="false" customHeight="false" outlineLevel="0" collapsed="false">
      <c r="A219" s="12"/>
      <c r="B219" s="34"/>
      <c r="C219" s="12"/>
      <c r="D219" s="12"/>
      <c r="E219" s="12"/>
      <c r="F219" s="12"/>
      <c r="G219" s="18"/>
      <c r="H219" s="35"/>
      <c r="I219" s="35"/>
      <c r="J219" s="12"/>
      <c r="O219" s="12"/>
      <c r="P219" s="18"/>
      <c r="Q219" s="12"/>
      <c r="R219" s="12"/>
      <c r="S219" s="12"/>
      <c r="T219" s="36"/>
      <c r="U219" s="36"/>
      <c r="V219" s="12"/>
      <c r="W219" s="12"/>
      <c r="X219" s="12"/>
      <c r="Y219" s="12"/>
      <c r="Z219" s="12"/>
    </row>
    <row r="220" customFormat="false" ht="15.75" hidden="false" customHeight="false" outlineLevel="0" collapsed="false">
      <c r="A220" s="12"/>
      <c r="B220" s="34"/>
      <c r="C220" s="12"/>
      <c r="D220" s="12"/>
      <c r="E220" s="12"/>
      <c r="F220" s="12"/>
      <c r="G220" s="18"/>
      <c r="H220" s="35"/>
      <c r="I220" s="35"/>
      <c r="J220" s="12"/>
      <c r="O220" s="12"/>
      <c r="P220" s="18"/>
      <c r="Q220" s="12"/>
      <c r="R220" s="12"/>
      <c r="S220" s="12"/>
      <c r="T220" s="36"/>
      <c r="U220" s="36"/>
      <c r="V220" s="12"/>
      <c r="W220" s="12"/>
      <c r="X220" s="12"/>
      <c r="Y220" s="12"/>
      <c r="Z220" s="12"/>
    </row>
    <row r="221" customFormat="false" ht="15.75" hidden="false" customHeight="false" outlineLevel="0" collapsed="false">
      <c r="A221" s="12"/>
      <c r="B221" s="34"/>
      <c r="C221" s="12"/>
      <c r="D221" s="12"/>
      <c r="E221" s="12"/>
      <c r="F221" s="12"/>
      <c r="G221" s="18"/>
      <c r="H221" s="35"/>
      <c r="I221" s="35"/>
      <c r="J221" s="12"/>
      <c r="O221" s="12"/>
      <c r="P221" s="18"/>
      <c r="Q221" s="12"/>
      <c r="R221" s="12"/>
      <c r="S221" s="12"/>
      <c r="T221" s="36"/>
      <c r="U221" s="36"/>
      <c r="V221" s="12"/>
      <c r="W221" s="12"/>
      <c r="X221" s="12"/>
      <c r="Y221" s="12"/>
      <c r="Z221" s="12"/>
    </row>
    <row r="222" customFormat="false" ht="15.75" hidden="false" customHeight="false" outlineLevel="0" collapsed="false">
      <c r="A222" s="12"/>
      <c r="B222" s="34"/>
      <c r="C222" s="12"/>
      <c r="D222" s="12"/>
      <c r="E222" s="12"/>
      <c r="F222" s="12"/>
      <c r="G222" s="18"/>
      <c r="H222" s="35"/>
      <c r="I222" s="35"/>
      <c r="J222" s="12"/>
      <c r="O222" s="12"/>
      <c r="P222" s="18"/>
      <c r="Q222" s="12"/>
      <c r="R222" s="12"/>
      <c r="S222" s="12"/>
      <c r="T222" s="36"/>
      <c r="U222" s="36"/>
      <c r="V222" s="12"/>
      <c r="W222" s="12"/>
      <c r="X222" s="12"/>
      <c r="Y222" s="12"/>
      <c r="Z222" s="12"/>
    </row>
    <row r="223" customFormat="false" ht="15.75" hidden="false" customHeight="false" outlineLevel="0" collapsed="false">
      <c r="A223" s="12"/>
      <c r="B223" s="34"/>
      <c r="C223" s="12"/>
      <c r="D223" s="12"/>
      <c r="E223" s="12"/>
      <c r="F223" s="12"/>
      <c r="G223" s="18"/>
      <c r="H223" s="35"/>
      <c r="I223" s="35"/>
      <c r="J223" s="12"/>
      <c r="O223" s="12"/>
      <c r="P223" s="18"/>
      <c r="Q223" s="12"/>
      <c r="R223" s="12"/>
      <c r="S223" s="12"/>
      <c r="T223" s="36"/>
      <c r="U223" s="36"/>
      <c r="V223" s="12"/>
      <c r="W223" s="12"/>
      <c r="X223" s="12"/>
      <c r="Y223" s="12"/>
      <c r="Z223" s="12"/>
    </row>
    <row r="224" customFormat="false" ht="15.75" hidden="false" customHeight="false" outlineLevel="0" collapsed="false">
      <c r="A224" s="12"/>
      <c r="B224" s="34"/>
      <c r="C224" s="12"/>
      <c r="D224" s="12"/>
      <c r="E224" s="12"/>
      <c r="F224" s="12"/>
      <c r="G224" s="18"/>
      <c r="H224" s="35"/>
      <c r="I224" s="35"/>
      <c r="J224" s="12"/>
      <c r="O224" s="12"/>
      <c r="P224" s="18"/>
      <c r="Q224" s="12"/>
      <c r="R224" s="12"/>
      <c r="S224" s="12"/>
      <c r="T224" s="36"/>
      <c r="U224" s="36"/>
      <c r="V224" s="12"/>
      <c r="W224" s="12"/>
      <c r="X224" s="12"/>
      <c r="Y224" s="12"/>
      <c r="Z224" s="12"/>
    </row>
    <row r="225" customFormat="false" ht="15.75" hidden="false" customHeight="false" outlineLevel="0" collapsed="false">
      <c r="A225" s="12"/>
      <c r="B225" s="34"/>
      <c r="C225" s="12"/>
      <c r="D225" s="12"/>
      <c r="E225" s="12"/>
      <c r="F225" s="12"/>
      <c r="G225" s="18"/>
      <c r="H225" s="35"/>
      <c r="I225" s="35"/>
      <c r="J225" s="12"/>
      <c r="O225" s="12"/>
      <c r="P225" s="18"/>
      <c r="Q225" s="12"/>
      <c r="R225" s="12"/>
      <c r="S225" s="12"/>
      <c r="T225" s="36"/>
      <c r="U225" s="36"/>
      <c r="V225" s="12"/>
      <c r="W225" s="12"/>
      <c r="X225" s="12"/>
      <c r="Y225" s="12"/>
      <c r="Z225" s="12"/>
    </row>
    <row r="226" customFormat="false" ht="15.75" hidden="false" customHeight="false" outlineLevel="0" collapsed="false">
      <c r="A226" s="12"/>
      <c r="B226" s="34"/>
      <c r="C226" s="12"/>
      <c r="D226" s="12"/>
      <c r="E226" s="12"/>
      <c r="F226" s="12"/>
      <c r="G226" s="18"/>
      <c r="H226" s="35"/>
      <c r="I226" s="35"/>
      <c r="J226" s="12"/>
      <c r="O226" s="12"/>
      <c r="P226" s="18"/>
      <c r="Q226" s="12"/>
      <c r="R226" s="12"/>
      <c r="S226" s="12"/>
      <c r="T226" s="36"/>
      <c r="U226" s="36"/>
      <c r="V226" s="12"/>
      <c r="W226" s="12"/>
      <c r="X226" s="12"/>
      <c r="Y226" s="12"/>
      <c r="Z226" s="12"/>
    </row>
    <row r="227" customFormat="false" ht="15.75" hidden="false" customHeight="false" outlineLevel="0" collapsed="false">
      <c r="A227" s="12"/>
      <c r="B227" s="34"/>
      <c r="C227" s="12"/>
      <c r="D227" s="12"/>
      <c r="E227" s="12"/>
      <c r="F227" s="12"/>
      <c r="G227" s="18"/>
      <c r="H227" s="35"/>
      <c r="I227" s="35"/>
      <c r="J227" s="12"/>
      <c r="O227" s="12"/>
      <c r="P227" s="18"/>
      <c r="Q227" s="12"/>
      <c r="R227" s="12"/>
      <c r="S227" s="12"/>
      <c r="T227" s="36"/>
      <c r="U227" s="36"/>
      <c r="V227" s="12"/>
      <c r="W227" s="12"/>
      <c r="X227" s="12"/>
      <c r="Y227" s="12"/>
      <c r="Z227" s="12"/>
    </row>
    <row r="228" customFormat="false" ht="15.75" hidden="false" customHeight="false" outlineLevel="0" collapsed="false">
      <c r="A228" s="12"/>
      <c r="B228" s="34"/>
      <c r="C228" s="12"/>
      <c r="D228" s="12"/>
      <c r="E228" s="12"/>
      <c r="F228" s="12"/>
      <c r="G228" s="18"/>
      <c r="H228" s="35"/>
      <c r="I228" s="35"/>
      <c r="J228" s="12"/>
      <c r="O228" s="12"/>
      <c r="P228" s="18"/>
      <c r="Q228" s="12"/>
      <c r="R228" s="12"/>
      <c r="S228" s="12"/>
      <c r="T228" s="36"/>
      <c r="U228" s="36"/>
      <c r="V228" s="12"/>
      <c r="W228" s="12"/>
      <c r="X228" s="12"/>
      <c r="Y228" s="12"/>
      <c r="Z228" s="12"/>
    </row>
    <row r="229" customFormat="false" ht="15.75" hidden="false" customHeight="false" outlineLevel="0" collapsed="false">
      <c r="A229" s="12"/>
      <c r="B229" s="34"/>
      <c r="C229" s="12"/>
      <c r="D229" s="12"/>
      <c r="E229" s="12"/>
      <c r="F229" s="12"/>
      <c r="G229" s="18"/>
      <c r="H229" s="35"/>
      <c r="I229" s="35"/>
      <c r="J229" s="12"/>
      <c r="O229" s="12"/>
      <c r="P229" s="18"/>
      <c r="Q229" s="12"/>
      <c r="R229" s="12"/>
      <c r="S229" s="12"/>
      <c r="T229" s="36"/>
      <c r="U229" s="36"/>
      <c r="V229" s="12"/>
      <c r="W229" s="12"/>
      <c r="X229" s="12"/>
      <c r="Y229" s="12"/>
      <c r="Z229" s="12"/>
    </row>
    <row r="230" customFormat="false" ht="15.75" hidden="false" customHeight="false" outlineLevel="0" collapsed="false">
      <c r="A230" s="12"/>
      <c r="B230" s="34"/>
      <c r="C230" s="12"/>
      <c r="D230" s="12"/>
      <c r="E230" s="12"/>
      <c r="F230" s="12"/>
      <c r="G230" s="18"/>
      <c r="H230" s="35"/>
      <c r="I230" s="35"/>
      <c r="J230" s="12"/>
      <c r="O230" s="12"/>
      <c r="P230" s="18"/>
      <c r="Q230" s="12"/>
      <c r="R230" s="12"/>
      <c r="S230" s="12"/>
      <c r="T230" s="36"/>
      <c r="U230" s="36"/>
      <c r="V230" s="12"/>
      <c r="W230" s="12"/>
      <c r="X230" s="12"/>
      <c r="Y230" s="12"/>
      <c r="Z230" s="12"/>
    </row>
    <row r="231" customFormat="false" ht="15.75" hidden="false" customHeight="false" outlineLevel="0" collapsed="false">
      <c r="A231" s="12"/>
      <c r="B231" s="34"/>
      <c r="C231" s="12"/>
      <c r="D231" s="12"/>
      <c r="E231" s="12"/>
      <c r="F231" s="12"/>
      <c r="G231" s="18"/>
      <c r="H231" s="35"/>
      <c r="I231" s="35"/>
      <c r="J231" s="12"/>
      <c r="O231" s="12"/>
      <c r="P231" s="18"/>
      <c r="Q231" s="12"/>
      <c r="R231" s="12"/>
      <c r="S231" s="12"/>
      <c r="T231" s="36"/>
      <c r="U231" s="36"/>
      <c r="V231" s="12"/>
      <c r="W231" s="12"/>
      <c r="X231" s="12"/>
      <c r="Y231" s="12"/>
      <c r="Z231" s="12"/>
    </row>
    <row r="232" customFormat="false" ht="15.75" hidden="false" customHeight="false" outlineLevel="0" collapsed="false">
      <c r="A232" s="12"/>
      <c r="B232" s="34"/>
      <c r="C232" s="12"/>
      <c r="D232" s="12"/>
      <c r="E232" s="12"/>
      <c r="F232" s="12"/>
      <c r="G232" s="18"/>
      <c r="H232" s="35"/>
      <c r="I232" s="35"/>
      <c r="J232" s="12"/>
      <c r="O232" s="12"/>
      <c r="P232" s="18"/>
      <c r="Q232" s="12"/>
      <c r="R232" s="12"/>
      <c r="S232" s="12"/>
      <c r="T232" s="36"/>
      <c r="U232" s="36"/>
      <c r="V232" s="12"/>
      <c r="W232" s="12"/>
      <c r="X232" s="12"/>
      <c r="Y232" s="12"/>
      <c r="Z232" s="12"/>
    </row>
    <row r="233" customFormat="false" ht="15.75" hidden="false" customHeight="false" outlineLevel="0" collapsed="false">
      <c r="A233" s="12"/>
      <c r="B233" s="34"/>
      <c r="C233" s="12"/>
      <c r="D233" s="12"/>
      <c r="E233" s="12"/>
      <c r="F233" s="12"/>
      <c r="G233" s="18"/>
      <c r="H233" s="35"/>
      <c r="I233" s="35"/>
      <c r="J233" s="12"/>
      <c r="O233" s="12"/>
      <c r="P233" s="18"/>
      <c r="Q233" s="12"/>
      <c r="R233" s="12"/>
      <c r="S233" s="12"/>
      <c r="T233" s="36"/>
      <c r="U233" s="36"/>
      <c r="V233" s="12"/>
      <c r="W233" s="12"/>
      <c r="X233" s="12"/>
      <c r="Y233" s="12"/>
      <c r="Z233" s="12"/>
    </row>
    <row r="234" customFormat="false" ht="15.75" hidden="false" customHeight="false" outlineLevel="0" collapsed="false">
      <c r="A234" s="12"/>
      <c r="B234" s="34"/>
      <c r="C234" s="12"/>
      <c r="D234" s="12"/>
      <c r="E234" s="12"/>
      <c r="F234" s="12"/>
      <c r="G234" s="18"/>
      <c r="H234" s="35"/>
      <c r="I234" s="35"/>
      <c r="J234" s="12"/>
      <c r="O234" s="12"/>
      <c r="P234" s="18"/>
      <c r="Q234" s="12"/>
      <c r="R234" s="12"/>
      <c r="S234" s="12"/>
      <c r="T234" s="36"/>
      <c r="U234" s="36"/>
      <c r="V234" s="12"/>
      <c r="W234" s="12"/>
      <c r="X234" s="12"/>
      <c r="Y234" s="12"/>
      <c r="Z234" s="12"/>
    </row>
    <row r="235" customFormat="false" ht="15.75" hidden="false" customHeight="false" outlineLevel="0" collapsed="false">
      <c r="A235" s="12"/>
      <c r="B235" s="34"/>
      <c r="C235" s="12"/>
      <c r="D235" s="12"/>
      <c r="E235" s="12"/>
      <c r="F235" s="12"/>
      <c r="G235" s="18"/>
      <c r="H235" s="35"/>
      <c r="I235" s="35"/>
      <c r="J235" s="12"/>
      <c r="O235" s="12"/>
      <c r="P235" s="18"/>
      <c r="Q235" s="12"/>
      <c r="R235" s="12"/>
      <c r="S235" s="12"/>
      <c r="T235" s="36"/>
      <c r="U235" s="36"/>
      <c r="V235" s="12"/>
      <c r="W235" s="12"/>
      <c r="X235" s="12"/>
      <c r="Y235" s="12"/>
      <c r="Z235" s="12"/>
    </row>
    <row r="236" customFormat="false" ht="15.75" hidden="false" customHeight="false" outlineLevel="0" collapsed="false">
      <c r="A236" s="12"/>
      <c r="B236" s="34"/>
      <c r="C236" s="12"/>
      <c r="D236" s="12"/>
      <c r="E236" s="12"/>
      <c r="F236" s="12"/>
      <c r="G236" s="18"/>
      <c r="H236" s="35"/>
      <c r="I236" s="35"/>
      <c r="J236" s="12"/>
      <c r="O236" s="12"/>
      <c r="P236" s="18"/>
      <c r="Q236" s="12"/>
      <c r="R236" s="12"/>
      <c r="S236" s="12"/>
      <c r="T236" s="36"/>
      <c r="U236" s="36"/>
      <c r="V236" s="12"/>
      <c r="W236" s="12"/>
      <c r="X236" s="12"/>
      <c r="Y236" s="12"/>
      <c r="Z236" s="12"/>
    </row>
    <row r="237" customFormat="false" ht="15.75" hidden="false" customHeight="false" outlineLevel="0" collapsed="false">
      <c r="A237" s="12"/>
      <c r="B237" s="34"/>
      <c r="C237" s="12"/>
      <c r="D237" s="12"/>
      <c r="E237" s="12"/>
      <c r="F237" s="12"/>
      <c r="G237" s="18"/>
      <c r="H237" s="35"/>
      <c r="I237" s="35"/>
      <c r="J237" s="12"/>
      <c r="O237" s="12"/>
      <c r="P237" s="18"/>
      <c r="Q237" s="12"/>
      <c r="R237" s="12"/>
      <c r="S237" s="12"/>
      <c r="T237" s="36"/>
      <c r="U237" s="36"/>
      <c r="V237" s="12"/>
      <c r="W237" s="12"/>
      <c r="X237" s="12"/>
      <c r="Y237" s="12"/>
      <c r="Z237" s="12"/>
    </row>
    <row r="238" customFormat="false" ht="15.75" hidden="false" customHeight="false" outlineLevel="0" collapsed="false">
      <c r="A238" s="12"/>
      <c r="B238" s="34"/>
      <c r="C238" s="12"/>
      <c r="D238" s="12"/>
      <c r="E238" s="12"/>
      <c r="F238" s="12"/>
      <c r="G238" s="18"/>
      <c r="H238" s="35"/>
      <c r="I238" s="35"/>
      <c r="J238" s="12"/>
      <c r="O238" s="12"/>
      <c r="P238" s="18"/>
      <c r="Q238" s="12"/>
      <c r="R238" s="12"/>
      <c r="S238" s="12"/>
      <c r="T238" s="36"/>
      <c r="U238" s="36"/>
      <c r="V238" s="12"/>
      <c r="W238" s="12"/>
      <c r="X238" s="12"/>
      <c r="Y238" s="12"/>
      <c r="Z238" s="12"/>
    </row>
    <row r="239" customFormat="false" ht="15.75" hidden="false" customHeight="false" outlineLevel="0" collapsed="false">
      <c r="A239" s="12"/>
      <c r="B239" s="34"/>
      <c r="C239" s="12"/>
      <c r="D239" s="12"/>
      <c r="E239" s="12"/>
      <c r="F239" s="12"/>
      <c r="G239" s="18"/>
      <c r="H239" s="35"/>
      <c r="I239" s="35"/>
      <c r="J239" s="12"/>
      <c r="O239" s="12"/>
      <c r="P239" s="18"/>
      <c r="Q239" s="12"/>
      <c r="R239" s="12"/>
      <c r="S239" s="12"/>
      <c r="T239" s="36"/>
      <c r="U239" s="36"/>
      <c r="V239" s="12"/>
      <c r="W239" s="12"/>
      <c r="X239" s="12"/>
      <c r="Y239" s="12"/>
      <c r="Z239" s="12"/>
    </row>
    <row r="240" customFormat="false" ht="15.75" hidden="false" customHeight="false" outlineLevel="0" collapsed="false">
      <c r="A240" s="12"/>
      <c r="B240" s="34"/>
      <c r="C240" s="12"/>
      <c r="D240" s="12"/>
      <c r="E240" s="12"/>
      <c r="F240" s="12"/>
      <c r="G240" s="18"/>
      <c r="H240" s="35"/>
      <c r="I240" s="35"/>
      <c r="J240" s="12"/>
      <c r="O240" s="12"/>
      <c r="P240" s="18"/>
      <c r="Q240" s="12"/>
      <c r="R240" s="12"/>
      <c r="S240" s="12"/>
      <c r="T240" s="36"/>
      <c r="U240" s="36"/>
      <c r="V240" s="12"/>
      <c r="W240" s="12"/>
      <c r="X240" s="12"/>
      <c r="Y240" s="12"/>
      <c r="Z240" s="12"/>
    </row>
    <row r="241" customFormat="false" ht="15.75" hidden="false" customHeight="false" outlineLevel="0" collapsed="false">
      <c r="A241" s="12"/>
      <c r="B241" s="34"/>
      <c r="C241" s="12"/>
      <c r="D241" s="12"/>
      <c r="E241" s="12"/>
      <c r="F241" s="12"/>
      <c r="G241" s="18"/>
      <c r="H241" s="35"/>
      <c r="I241" s="35"/>
      <c r="J241" s="12"/>
      <c r="O241" s="12"/>
      <c r="P241" s="18"/>
      <c r="Q241" s="12"/>
      <c r="R241" s="12"/>
      <c r="S241" s="12"/>
      <c r="T241" s="36"/>
      <c r="U241" s="36"/>
      <c r="V241" s="12"/>
      <c r="W241" s="12"/>
      <c r="X241" s="12"/>
      <c r="Y241" s="12"/>
      <c r="Z241" s="12"/>
    </row>
    <row r="242" customFormat="false" ht="15.75" hidden="false" customHeight="false" outlineLevel="0" collapsed="false">
      <c r="A242" s="12"/>
      <c r="B242" s="34"/>
      <c r="C242" s="12"/>
      <c r="D242" s="12"/>
      <c r="E242" s="12"/>
      <c r="F242" s="12"/>
      <c r="G242" s="18"/>
      <c r="H242" s="35"/>
      <c r="I242" s="35"/>
      <c r="J242" s="12"/>
      <c r="O242" s="12"/>
      <c r="P242" s="18"/>
      <c r="Q242" s="12"/>
      <c r="R242" s="12"/>
      <c r="S242" s="12"/>
      <c r="T242" s="36"/>
      <c r="U242" s="36"/>
      <c r="V242" s="12"/>
      <c r="W242" s="12"/>
      <c r="X242" s="12"/>
      <c r="Y242" s="12"/>
      <c r="Z242" s="12"/>
    </row>
    <row r="243" customFormat="false" ht="15.75" hidden="false" customHeight="false" outlineLevel="0" collapsed="false">
      <c r="A243" s="12"/>
      <c r="B243" s="34"/>
      <c r="C243" s="12"/>
      <c r="D243" s="12"/>
      <c r="E243" s="12"/>
      <c r="F243" s="12"/>
      <c r="G243" s="18"/>
      <c r="H243" s="35"/>
      <c r="I243" s="35"/>
      <c r="J243" s="12"/>
      <c r="O243" s="12"/>
      <c r="P243" s="18"/>
      <c r="Q243" s="12"/>
      <c r="R243" s="12"/>
      <c r="S243" s="12"/>
      <c r="T243" s="36"/>
      <c r="U243" s="36"/>
      <c r="V243" s="12"/>
      <c r="W243" s="12"/>
      <c r="X243" s="12"/>
      <c r="Y243" s="12"/>
      <c r="Z243" s="12"/>
    </row>
    <row r="244" customFormat="false" ht="15.75" hidden="false" customHeight="false" outlineLevel="0" collapsed="false">
      <c r="A244" s="12"/>
      <c r="B244" s="34"/>
      <c r="C244" s="12"/>
      <c r="D244" s="12"/>
      <c r="E244" s="12"/>
      <c r="F244" s="12"/>
      <c r="G244" s="18"/>
      <c r="H244" s="35"/>
      <c r="I244" s="35"/>
      <c r="J244" s="12"/>
      <c r="O244" s="12"/>
      <c r="P244" s="18"/>
      <c r="Q244" s="12"/>
      <c r="R244" s="12"/>
      <c r="S244" s="12"/>
      <c r="T244" s="36"/>
      <c r="U244" s="36"/>
      <c r="V244" s="12"/>
      <c r="W244" s="12"/>
      <c r="X244" s="12"/>
      <c r="Y244" s="12"/>
      <c r="Z244" s="12"/>
    </row>
    <row r="245" customFormat="false" ht="15.75" hidden="false" customHeight="false" outlineLevel="0" collapsed="false">
      <c r="A245" s="12"/>
      <c r="B245" s="34"/>
      <c r="C245" s="12"/>
      <c r="D245" s="12"/>
      <c r="E245" s="12"/>
      <c r="F245" s="12"/>
      <c r="G245" s="18"/>
      <c r="H245" s="35"/>
      <c r="I245" s="35"/>
      <c r="J245" s="12"/>
      <c r="O245" s="12"/>
      <c r="P245" s="18"/>
      <c r="Q245" s="12"/>
      <c r="R245" s="12"/>
      <c r="S245" s="12"/>
      <c r="T245" s="36"/>
      <c r="U245" s="36"/>
      <c r="V245" s="12"/>
      <c r="W245" s="12"/>
      <c r="X245" s="12"/>
      <c r="Y245" s="12"/>
      <c r="Z245" s="12"/>
    </row>
    <row r="246" customFormat="false" ht="15.75" hidden="false" customHeight="false" outlineLevel="0" collapsed="false">
      <c r="A246" s="12"/>
      <c r="B246" s="34"/>
      <c r="C246" s="12"/>
      <c r="D246" s="12"/>
      <c r="E246" s="12"/>
      <c r="F246" s="12"/>
      <c r="G246" s="18"/>
      <c r="H246" s="35"/>
      <c r="I246" s="35"/>
      <c r="J246" s="12"/>
      <c r="O246" s="12"/>
      <c r="P246" s="18"/>
      <c r="Q246" s="12"/>
      <c r="R246" s="12"/>
      <c r="S246" s="12"/>
      <c r="T246" s="36"/>
      <c r="U246" s="36"/>
      <c r="V246" s="12"/>
      <c r="W246" s="12"/>
      <c r="X246" s="12"/>
      <c r="Y246" s="12"/>
      <c r="Z246" s="12"/>
    </row>
    <row r="247" customFormat="false" ht="15.75" hidden="false" customHeight="false" outlineLevel="0" collapsed="false">
      <c r="A247" s="12"/>
      <c r="B247" s="34"/>
      <c r="C247" s="12"/>
      <c r="D247" s="12"/>
      <c r="E247" s="12"/>
      <c r="F247" s="12"/>
      <c r="G247" s="18"/>
      <c r="H247" s="35"/>
      <c r="I247" s="35"/>
      <c r="J247" s="12"/>
      <c r="O247" s="12"/>
      <c r="P247" s="18"/>
      <c r="Q247" s="12"/>
      <c r="R247" s="12"/>
      <c r="S247" s="12"/>
      <c r="T247" s="36"/>
      <c r="U247" s="36"/>
      <c r="V247" s="12"/>
      <c r="W247" s="12"/>
      <c r="X247" s="12"/>
      <c r="Y247" s="12"/>
      <c r="Z247" s="12"/>
    </row>
    <row r="248" customFormat="false" ht="15.75" hidden="false" customHeight="false" outlineLevel="0" collapsed="false">
      <c r="A248" s="12"/>
      <c r="B248" s="34"/>
      <c r="C248" s="12"/>
      <c r="D248" s="12"/>
      <c r="E248" s="12"/>
      <c r="F248" s="12"/>
      <c r="G248" s="18"/>
      <c r="H248" s="35"/>
      <c r="I248" s="35"/>
      <c r="J248" s="12"/>
      <c r="O248" s="12"/>
      <c r="P248" s="18"/>
      <c r="Q248" s="12"/>
      <c r="R248" s="12"/>
      <c r="S248" s="12"/>
      <c r="T248" s="36"/>
      <c r="U248" s="36"/>
      <c r="V248" s="12"/>
      <c r="W248" s="12"/>
      <c r="X248" s="12"/>
      <c r="Y248" s="12"/>
      <c r="Z248" s="12"/>
    </row>
    <row r="249" customFormat="false" ht="15.75" hidden="false" customHeight="false" outlineLevel="0" collapsed="false">
      <c r="A249" s="12"/>
      <c r="B249" s="34"/>
      <c r="C249" s="12"/>
      <c r="D249" s="12"/>
      <c r="E249" s="12"/>
      <c r="F249" s="12"/>
      <c r="G249" s="18"/>
      <c r="H249" s="35"/>
      <c r="I249" s="35"/>
      <c r="J249" s="12"/>
      <c r="O249" s="12"/>
      <c r="P249" s="18"/>
      <c r="Q249" s="12"/>
      <c r="R249" s="12"/>
      <c r="S249" s="12"/>
      <c r="T249" s="36"/>
      <c r="U249" s="36"/>
      <c r="V249" s="12"/>
      <c r="W249" s="12"/>
      <c r="X249" s="12"/>
      <c r="Y249" s="12"/>
      <c r="Z249" s="12"/>
    </row>
    <row r="250" customFormat="false" ht="15.75" hidden="false" customHeight="false" outlineLevel="0" collapsed="false">
      <c r="A250" s="12"/>
      <c r="B250" s="34"/>
      <c r="C250" s="12"/>
      <c r="D250" s="12"/>
      <c r="E250" s="12"/>
      <c r="F250" s="12"/>
      <c r="G250" s="18"/>
      <c r="H250" s="35"/>
      <c r="I250" s="35"/>
      <c r="J250" s="12"/>
      <c r="O250" s="12"/>
      <c r="P250" s="18"/>
      <c r="Q250" s="12"/>
      <c r="R250" s="12"/>
      <c r="S250" s="12"/>
      <c r="T250" s="36"/>
      <c r="U250" s="36"/>
      <c r="V250" s="12"/>
      <c r="W250" s="12"/>
      <c r="X250" s="12"/>
      <c r="Y250" s="12"/>
      <c r="Z250" s="12"/>
    </row>
    <row r="251" customFormat="false" ht="15.75" hidden="false" customHeight="false" outlineLevel="0" collapsed="false">
      <c r="A251" s="12"/>
      <c r="B251" s="34"/>
      <c r="C251" s="12"/>
      <c r="D251" s="12"/>
      <c r="E251" s="12"/>
      <c r="F251" s="12"/>
      <c r="G251" s="18"/>
      <c r="H251" s="35"/>
      <c r="I251" s="35"/>
      <c r="J251" s="12"/>
      <c r="O251" s="12"/>
      <c r="P251" s="18"/>
      <c r="Q251" s="12"/>
      <c r="R251" s="12"/>
      <c r="S251" s="12"/>
      <c r="T251" s="36"/>
      <c r="U251" s="36"/>
      <c r="V251" s="12"/>
      <c r="W251" s="12"/>
      <c r="X251" s="12"/>
      <c r="Y251" s="12"/>
      <c r="Z251" s="12"/>
    </row>
    <row r="252" customFormat="false" ht="15.75" hidden="false" customHeight="false" outlineLevel="0" collapsed="false">
      <c r="A252" s="12"/>
      <c r="B252" s="34"/>
      <c r="C252" s="12"/>
      <c r="D252" s="12"/>
      <c r="E252" s="12"/>
      <c r="F252" s="12"/>
      <c r="G252" s="18"/>
      <c r="H252" s="35"/>
      <c r="I252" s="35"/>
      <c r="J252" s="12"/>
      <c r="O252" s="12"/>
      <c r="P252" s="18"/>
      <c r="Q252" s="12"/>
      <c r="R252" s="12"/>
      <c r="S252" s="12"/>
      <c r="T252" s="36"/>
      <c r="U252" s="36"/>
      <c r="V252" s="12"/>
      <c r="W252" s="12"/>
      <c r="X252" s="12"/>
      <c r="Y252" s="12"/>
      <c r="Z252" s="12"/>
    </row>
    <row r="253" customFormat="false" ht="15.75" hidden="false" customHeight="false" outlineLevel="0" collapsed="false">
      <c r="A253" s="12"/>
      <c r="B253" s="34"/>
      <c r="C253" s="12"/>
      <c r="D253" s="12"/>
      <c r="E253" s="12"/>
      <c r="F253" s="12"/>
      <c r="G253" s="18"/>
      <c r="H253" s="35"/>
      <c r="I253" s="35"/>
      <c r="J253" s="12"/>
      <c r="O253" s="12"/>
      <c r="P253" s="18"/>
      <c r="Q253" s="12"/>
      <c r="R253" s="12"/>
      <c r="S253" s="12"/>
      <c r="T253" s="36"/>
      <c r="U253" s="36"/>
      <c r="V253" s="12"/>
      <c r="W253" s="12"/>
      <c r="X253" s="12"/>
      <c r="Y253" s="12"/>
      <c r="Z253" s="12"/>
    </row>
    <row r="254" customFormat="false" ht="15.75" hidden="false" customHeight="false" outlineLevel="0" collapsed="false">
      <c r="A254" s="12"/>
      <c r="B254" s="34"/>
      <c r="C254" s="12"/>
      <c r="D254" s="12"/>
      <c r="E254" s="12"/>
      <c r="F254" s="12"/>
      <c r="G254" s="18"/>
      <c r="H254" s="35"/>
      <c r="I254" s="35"/>
      <c r="J254" s="12"/>
      <c r="O254" s="12"/>
      <c r="P254" s="18"/>
      <c r="Q254" s="12"/>
      <c r="R254" s="12"/>
      <c r="S254" s="12"/>
      <c r="T254" s="36"/>
      <c r="U254" s="36"/>
      <c r="V254" s="12"/>
      <c r="W254" s="12"/>
      <c r="X254" s="12"/>
      <c r="Y254" s="12"/>
      <c r="Z254" s="12"/>
    </row>
    <row r="255" customFormat="false" ht="15.75" hidden="false" customHeight="false" outlineLevel="0" collapsed="false">
      <c r="A255" s="12"/>
      <c r="B255" s="34"/>
      <c r="C255" s="12"/>
      <c r="D255" s="12"/>
      <c r="E255" s="12"/>
      <c r="F255" s="12"/>
      <c r="G255" s="18"/>
      <c r="H255" s="35"/>
      <c r="I255" s="35"/>
      <c r="J255" s="12"/>
      <c r="O255" s="12"/>
      <c r="P255" s="18"/>
      <c r="Q255" s="12"/>
      <c r="R255" s="12"/>
      <c r="S255" s="12"/>
      <c r="T255" s="36"/>
      <c r="U255" s="36"/>
      <c r="V255" s="12"/>
      <c r="W255" s="12"/>
      <c r="X255" s="12"/>
      <c r="Y255" s="12"/>
      <c r="Z255" s="12"/>
    </row>
    <row r="256" customFormat="false" ht="15.75" hidden="false" customHeight="false" outlineLevel="0" collapsed="false">
      <c r="A256" s="12"/>
      <c r="B256" s="34"/>
      <c r="C256" s="12"/>
      <c r="D256" s="12"/>
      <c r="E256" s="12"/>
      <c r="F256" s="12"/>
      <c r="G256" s="18"/>
      <c r="H256" s="35"/>
      <c r="I256" s="35"/>
      <c r="J256" s="12"/>
      <c r="O256" s="12"/>
      <c r="P256" s="18"/>
      <c r="Q256" s="12"/>
      <c r="R256" s="12"/>
      <c r="S256" s="12"/>
      <c r="T256" s="36"/>
      <c r="U256" s="36"/>
      <c r="V256" s="12"/>
      <c r="W256" s="12"/>
      <c r="X256" s="12"/>
      <c r="Y256" s="12"/>
      <c r="Z256" s="12"/>
    </row>
    <row r="257" customFormat="false" ht="15.75" hidden="false" customHeight="false" outlineLevel="0" collapsed="false">
      <c r="A257" s="12"/>
      <c r="B257" s="34"/>
      <c r="C257" s="12"/>
      <c r="D257" s="12"/>
      <c r="E257" s="12"/>
      <c r="F257" s="12"/>
      <c r="G257" s="18"/>
      <c r="H257" s="35"/>
      <c r="I257" s="35"/>
      <c r="J257" s="12"/>
      <c r="O257" s="12"/>
      <c r="P257" s="18"/>
      <c r="Q257" s="12"/>
      <c r="R257" s="12"/>
      <c r="S257" s="12"/>
      <c r="T257" s="36"/>
      <c r="U257" s="36"/>
      <c r="V257" s="12"/>
      <c r="W257" s="12"/>
      <c r="X257" s="12"/>
      <c r="Y257" s="12"/>
      <c r="Z257" s="12"/>
    </row>
    <row r="258" customFormat="false" ht="15.75" hidden="false" customHeight="false" outlineLevel="0" collapsed="false">
      <c r="A258" s="12"/>
      <c r="B258" s="34"/>
      <c r="C258" s="12"/>
      <c r="D258" s="12"/>
      <c r="E258" s="12"/>
      <c r="F258" s="12"/>
      <c r="G258" s="18"/>
      <c r="H258" s="35"/>
      <c r="I258" s="35"/>
      <c r="J258" s="12"/>
      <c r="O258" s="12"/>
      <c r="P258" s="18"/>
      <c r="Q258" s="12"/>
      <c r="R258" s="12"/>
      <c r="S258" s="12"/>
      <c r="T258" s="36"/>
      <c r="U258" s="36"/>
      <c r="V258" s="12"/>
      <c r="W258" s="12"/>
      <c r="X258" s="12"/>
      <c r="Y258" s="12"/>
      <c r="Z258" s="12"/>
    </row>
    <row r="259" customFormat="false" ht="15.75" hidden="false" customHeight="false" outlineLevel="0" collapsed="false">
      <c r="A259" s="12"/>
      <c r="B259" s="34"/>
      <c r="C259" s="12"/>
      <c r="D259" s="12"/>
      <c r="E259" s="12"/>
      <c r="F259" s="12"/>
      <c r="G259" s="18"/>
      <c r="H259" s="35"/>
      <c r="I259" s="35"/>
      <c r="J259" s="12"/>
      <c r="O259" s="12"/>
      <c r="P259" s="18"/>
      <c r="Q259" s="12"/>
      <c r="R259" s="12"/>
      <c r="S259" s="12"/>
      <c r="T259" s="36"/>
      <c r="U259" s="36"/>
      <c r="V259" s="12"/>
      <c r="W259" s="12"/>
      <c r="X259" s="12"/>
      <c r="Y259" s="12"/>
      <c r="Z259" s="12"/>
    </row>
    <row r="260" customFormat="false" ht="15.75" hidden="false" customHeight="false" outlineLevel="0" collapsed="false">
      <c r="A260" s="12"/>
      <c r="B260" s="34"/>
      <c r="C260" s="12"/>
      <c r="D260" s="12"/>
      <c r="E260" s="12"/>
      <c r="F260" s="12"/>
      <c r="G260" s="18"/>
      <c r="H260" s="35"/>
      <c r="I260" s="35"/>
      <c r="J260" s="12"/>
      <c r="O260" s="12"/>
      <c r="P260" s="18"/>
      <c r="Q260" s="12"/>
      <c r="R260" s="12"/>
      <c r="S260" s="12"/>
      <c r="T260" s="36"/>
      <c r="U260" s="36"/>
      <c r="V260" s="12"/>
      <c r="W260" s="12"/>
      <c r="X260" s="12"/>
      <c r="Y260" s="12"/>
      <c r="Z260" s="12"/>
    </row>
    <row r="261" customFormat="false" ht="15.75" hidden="false" customHeight="false" outlineLevel="0" collapsed="false">
      <c r="A261" s="12"/>
      <c r="B261" s="34"/>
      <c r="C261" s="12"/>
      <c r="D261" s="12"/>
      <c r="E261" s="12"/>
      <c r="F261" s="12"/>
      <c r="G261" s="18"/>
      <c r="H261" s="35"/>
      <c r="I261" s="35"/>
      <c r="J261" s="12"/>
      <c r="O261" s="12"/>
      <c r="P261" s="18"/>
      <c r="Q261" s="12"/>
      <c r="R261" s="12"/>
      <c r="S261" s="12"/>
      <c r="T261" s="36"/>
      <c r="U261" s="36"/>
      <c r="V261" s="12"/>
      <c r="W261" s="12"/>
      <c r="X261" s="12"/>
      <c r="Y261" s="12"/>
      <c r="Z261" s="12"/>
    </row>
    <row r="262" customFormat="false" ht="15.75" hidden="false" customHeight="false" outlineLevel="0" collapsed="false">
      <c r="A262" s="12"/>
      <c r="B262" s="34"/>
      <c r="C262" s="12"/>
      <c r="D262" s="12"/>
      <c r="E262" s="12"/>
      <c r="F262" s="12"/>
      <c r="G262" s="18"/>
      <c r="H262" s="35"/>
      <c r="I262" s="35"/>
      <c r="J262" s="12"/>
      <c r="O262" s="12"/>
      <c r="P262" s="18"/>
      <c r="Q262" s="12"/>
      <c r="R262" s="12"/>
      <c r="S262" s="12"/>
      <c r="T262" s="36"/>
      <c r="U262" s="36"/>
      <c r="V262" s="12"/>
      <c r="W262" s="12"/>
      <c r="X262" s="12"/>
      <c r="Y262" s="12"/>
      <c r="Z262" s="12"/>
    </row>
    <row r="263" customFormat="false" ht="15.75" hidden="false" customHeight="false" outlineLevel="0" collapsed="false">
      <c r="A263" s="12"/>
      <c r="B263" s="34"/>
      <c r="C263" s="12"/>
      <c r="D263" s="12"/>
      <c r="E263" s="12"/>
      <c r="F263" s="12"/>
      <c r="G263" s="18"/>
      <c r="H263" s="35"/>
      <c r="I263" s="35"/>
      <c r="J263" s="12"/>
      <c r="O263" s="12"/>
      <c r="P263" s="18"/>
      <c r="Q263" s="12"/>
      <c r="R263" s="12"/>
      <c r="S263" s="12"/>
      <c r="T263" s="36"/>
      <c r="U263" s="36"/>
      <c r="V263" s="12"/>
      <c r="W263" s="12"/>
      <c r="X263" s="12"/>
      <c r="Y263" s="12"/>
      <c r="Z263" s="12"/>
    </row>
    <row r="264" customFormat="false" ht="15.75" hidden="false" customHeight="false" outlineLevel="0" collapsed="false">
      <c r="A264" s="12"/>
      <c r="B264" s="34"/>
      <c r="C264" s="12"/>
      <c r="D264" s="12"/>
      <c r="E264" s="12"/>
      <c r="F264" s="12"/>
      <c r="G264" s="18"/>
      <c r="H264" s="35"/>
      <c r="I264" s="35"/>
      <c r="J264" s="12"/>
      <c r="O264" s="12"/>
      <c r="P264" s="18"/>
      <c r="Q264" s="12"/>
      <c r="R264" s="12"/>
      <c r="S264" s="12"/>
      <c r="T264" s="36"/>
      <c r="U264" s="36"/>
      <c r="V264" s="12"/>
      <c r="W264" s="12"/>
      <c r="X264" s="12"/>
      <c r="Y264" s="12"/>
      <c r="Z264" s="12"/>
    </row>
    <row r="265" customFormat="false" ht="15.75" hidden="false" customHeight="false" outlineLevel="0" collapsed="false">
      <c r="A265" s="12"/>
      <c r="B265" s="34"/>
      <c r="C265" s="12"/>
      <c r="D265" s="12"/>
      <c r="E265" s="12"/>
      <c r="F265" s="12"/>
      <c r="G265" s="18"/>
      <c r="H265" s="35"/>
      <c r="I265" s="35"/>
      <c r="J265" s="12"/>
      <c r="O265" s="12"/>
      <c r="P265" s="18"/>
      <c r="Q265" s="12"/>
      <c r="R265" s="12"/>
      <c r="S265" s="12"/>
      <c r="T265" s="36"/>
      <c r="U265" s="36"/>
      <c r="V265" s="12"/>
      <c r="W265" s="12"/>
      <c r="X265" s="12"/>
      <c r="Y265" s="12"/>
      <c r="Z265" s="12"/>
    </row>
    <row r="266" customFormat="false" ht="15.75" hidden="false" customHeight="false" outlineLevel="0" collapsed="false">
      <c r="A266" s="12"/>
      <c r="B266" s="34"/>
      <c r="C266" s="12"/>
      <c r="D266" s="12"/>
      <c r="E266" s="12"/>
      <c r="F266" s="12"/>
      <c r="G266" s="18"/>
      <c r="H266" s="35"/>
      <c r="I266" s="35"/>
      <c r="J266" s="12"/>
      <c r="O266" s="12"/>
      <c r="P266" s="18"/>
      <c r="Q266" s="12"/>
      <c r="R266" s="12"/>
      <c r="S266" s="12"/>
      <c r="T266" s="36"/>
      <c r="U266" s="36"/>
      <c r="V266" s="12"/>
      <c r="W266" s="12"/>
      <c r="X266" s="12"/>
      <c r="Y266" s="12"/>
      <c r="Z266" s="12"/>
    </row>
    <row r="267" customFormat="false" ht="15.75" hidden="false" customHeight="false" outlineLevel="0" collapsed="false">
      <c r="A267" s="12"/>
      <c r="B267" s="34"/>
      <c r="C267" s="12"/>
      <c r="D267" s="12"/>
      <c r="E267" s="12"/>
      <c r="F267" s="12"/>
      <c r="G267" s="18"/>
      <c r="H267" s="35"/>
      <c r="I267" s="35"/>
      <c r="J267" s="12"/>
      <c r="O267" s="12"/>
      <c r="P267" s="18"/>
      <c r="Q267" s="12"/>
      <c r="R267" s="12"/>
      <c r="S267" s="12"/>
      <c r="T267" s="36"/>
      <c r="U267" s="36"/>
      <c r="V267" s="12"/>
      <c r="W267" s="12"/>
      <c r="X267" s="12"/>
      <c r="Y267" s="12"/>
      <c r="Z267" s="12"/>
    </row>
    <row r="268" customFormat="false" ht="15.75" hidden="false" customHeight="false" outlineLevel="0" collapsed="false">
      <c r="A268" s="12"/>
      <c r="B268" s="34"/>
      <c r="C268" s="12"/>
      <c r="D268" s="12"/>
      <c r="E268" s="12"/>
      <c r="F268" s="12"/>
      <c r="G268" s="18"/>
      <c r="H268" s="35"/>
      <c r="I268" s="35"/>
      <c r="J268" s="12"/>
      <c r="O268" s="12"/>
      <c r="P268" s="18"/>
      <c r="Q268" s="12"/>
      <c r="R268" s="12"/>
      <c r="S268" s="12"/>
      <c r="T268" s="36"/>
      <c r="U268" s="36"/>
      <c r="V268" s="12"/>
      <c r="W268" s="12"/>
      <c r="X268" s="12"/>
      <c r="Y268" s="12"/>
      <c r="Z268" s="12"/>
    </row>
    <row r="269" customFormat="false" ht="15.75" hidden="false" customHeight="false" outlineLevel="0" collapsed="false">
      <c r="A269" s="12"/>
      <c r="B269" s="34"/>
      <c r="C269" s="12"/>
      <c r="D269" s="12"/>
      <c r="E269" s="12"/>
      <c r="F269" s="12"/>
      <c r="G269" s="18"/>
      <c r="H269" s="35"/>
      <c r="I269" s="35"/>
      <c r="J269" s="12"/>
      <c r="O269" s="12"/>
      <c r="P269" s="18"/>
      <c r="Q269" s="12"/>
      <c r="R269" s="12"/>
      <c r="S269" s="12"/>
      <c r="T269" s="36"/>
      <c r="U269" s="36"/>
      <c r="V269" s="12"/>
      <c r="W269" s="12"/>
      <c r="X269" s="12"/>
      <c r="Y269" s="12"/>
      <c r="Z269" s="12"/>
    </row>
    <row r="270" customFormat="false" ht="15.75" hidden="false" customHeight="false" outlineLevel="0" collapsed="false">
      <c r="A270" s="12"/>
      <c r="B270" s="34"/>
      <c r="C270" s="12"/>
      <c r="D270" s="12"/>
      <c r="E270" s="12"/>
      <c r="F270" s="12"/>
      <c r="G270" s="18"/>
      <c r="H270" s="35"/>
      <c r="I270" s="35"/>
      <c r="J270" s="12"/>
      <c r="O270" s="12"/>
      <c r="P270" s="18"/>
      <c r="Q270" s="12"/>
      <c r="R270" s="12"/>
      <c r="S270" s="12"/>
      <c r="T270" s="36"/>
      <c r="U270" s="36"/>
      <c r="V270" s="12"/>
      <c r="W270" s="12"/>
      <c r="X270" s="12"/>
      <c r="Y270" s="12"/>
      <c r="Z270" s="12"/>
    </row>
    <row r="271" customFormat="false" ht="15.75" hidden="false" customHeight="false" outlineLevel="0" collapsed="false">
      <c r="A271" s="12"/>
      <c r="B271" s="34"/>
      <c r="C271" s="12"/>
      <c r="D271" s="12"/>
      <c r="E271" s="12"/>
      <c r="F271" s="12"/>
      <c r="G271" s="18"/>
      <c r="H271" s="35"/>
      <c r="I271" s="35"/>
      <c r="J271" s="12"/>
      <c r="O271" s="12"/>
      <c r="P271" s="18"/>
      <c r="Q271" s="12"/>
      <c r="R271" s="12"/>
      <c r="S271" s="12"/>
      <c r="T271" s="36"/>
      <c r="U271" s="36"/>
      <c r="V271" s="12"/>
      <c r="W271" s="12"/>
      <c r="X271" s="12"/>
      <c r="Y271" s="12"/>
      <c r="Z271" s="12"/>
    </row>
    <row r="272" customFormat="false" ht="15.75" hidden="false" customHeight="false" outlineLevel="0" collapsed="false">
      <c r="A272" s="12"/>
      <c r="B272" s="34"/>
      <c r="C272" s="12"/>
      <c r="D272" s="12"/>
      <c r="E272" s="12"/>
      <c r="F272" s="12"/>
      <c r="G272" s="18"/>
      <c r="H272" s="35"/>
      <c r="I272" s="35"/>
      <c r="J272" s="12"/>
      <c r="O272" s="12"/>
      <c r="P272" s="18"/>
      <c r="Q272" s="12"/>
      <c r="R272" s="12"/>
      <c r="S272" s="12"/>
      <c r="T272" s="36"/>
      <c r="U272" s="36"/>
      <c r="V272" s="12"/>
      <c r="W272" s="12"/>
      <c r="X272" s="12"/>
      <c r="Y272" s="12"/>
      <c r="Z272" s="12"/>
    </row>
    <row r="273" customFormat="false" ht="15.75" hidden="false" customHeight="false" outlineLevel="0" collapsed="false">
      <c r="A273" s="12"/>
      <c r="B273" s="34"/>
      <c r="C273" s="12"/>
      <c r="D273" s="12"/>
      <c r="E273" s="12"/>
      <c r="F273" s="12"/>
      <c r="G273" s="18"/>
      <c r="H273" s="35"/>
      <c r="I273" s="35"/>
      <c r="J273" s="12"/>
      <c r="O273" s="12"/>
      <c r="P273" s="18"/>
      <c r="Q273" s="12"/>
      <c r="R273" s="12"/>
      <c r="S273" s="12"/>
      <c r="T273" s="36"/>
      <c r="U273" s="36"/>
      <c r="V273" s="12"/>
      <c r="W273" s="12"/>
      <c r="X273" s="12"/>
      <c r="Y273" s="12"/>
      <c r="Z273" s="12"/>
    </row>
    <row r="274" customFormat="false" ht="15.75" hidden="false" customHeight="false" outlineLevel="0" collapsed="false">
      <c r="A274" s="12"/>
      <c r="B274" s="34"/>
      <c r="C274" s="12"/>
      <c r="D274" s="12"/>
      <c r="E274" s="12"/>
      <c r="F274" s="12"/>
      <c r="G274" s="18"/>
      <c r="H274" s="35"/>
      <c r="I274" s="35"/>
      <c r="J274" s="12"/>
      <c r="O274" s="12"/>
      <c r="P274" s="18"/>
      <c r="Q274" s="12"/>
      <c r="R274" s="12"/>
      <c r="S274" s="12"/>
      <c r="T274" s="36"/>
      <c r="U274" s="36"/>
      <c r="V274" s="12"/>
      <c r="W274" s="12"/>
      <c r="X274" s="12"/>
      <c r="Y274" s="12"/>
      <c r="Z274" s="12"/>
    </row>
    <row r="275" customFormat="false" ht="15.75" hidden="false" customHeight="false" outlineLevel="0" collapsed="false">
      <c r="A275" s="12"/>
      <c r="B275" s="34"/>
      <c r="C275" s="12"/>
      <c r="D275" s="12"/>
      <c r="E275" s="12"/>
      <c r="F275" s="12"/>
      <c r="G275" s="18"/>
      <c r="H275" s="35"/>
      <c r="I275" s="35"/>
      <c r="J275" s="12"/>
      <c r="O275" s="12"/>
      <c r="P275" s="18"/>
      <c r="Q275" s="12"/>
      <c r="R275" s="12"/>
      <c r="S275" s="12"/>
      <c r="T275" s="36"/>
      <c r="U275" s="36"/>
      <c r="V275" s="12"/>
      <c r="W275" s="12"/>
      <c r="X275" s="12"/>
      <c r="Y275" s="12"/>
      <c r="Z275" s="12"/>
    </row>
    <row r="276" customFormat="false" ht="15.75" hidden="false" customHeight="false" outlineLevel="0" collapsed="false">
      <c r="A276" s="12"/>
      <c r="B276" s="34"/>
      <c r="C276" s="12"/>
      <c r="D276" s="12"/>
      <c r="E276" s="12"/>
      <c r="F276" s="12"/>
      <c r="G276" s="18"/>
      <c r="H276" s="35"/>
      <c r="I276" s="35"/>
      <c r="J276" s="12"/>
      <c r="O276" s="12"/>
      <c r="P276" s="18"/>
      <c r="Q276" s="12"/>
      <c r="R276" s="12"/>
      <c r="S276" s="12"/>
      <c r="T276" s="36"/>
      <c r="U276" s="36"/>
      <c r="V276" s="12"/>
      <c r="W276" s="12"/>
      <c r="X276" s="12"/>
      <c r="Y276" s="12"/>
      <c r="Z276" s="12"/>
    </row>
    <row r="277" customFormat="false" ht="15.75" hidden="false" customHeight="false" outlineLevel="0" collapsed="false">
      <c r="A277" s="12"/>
      <c r="B277" s="34"/>
      <c r="C277" s="12"/>
      <c r="D277" s="12"/>
      <c r="E277" s="12"/>
      <c r="F277" s="12"/>
      <c r="G277" s="18"/>
      <c r="H277" s="35"/>
      <c r="I277" s="35"/>
      <c r="J277" s="12"/>
      <c r="O277" s="12"/>
      <c r="P277" s="18"/>
      <c r="Q277" s="12"/>
      <c r="R277" s="12"/>
      <c r="S277" s="12"/>
      <c r="T277" s="36"/>
      <c r="U277" s="36"/>
      <c r="V277" s="12"/>
      <c r="W277" s="12"/>
      <c r="X277" s="12"/>
      <c r="Y277" s="12"/>
      <c r="Z277" s="12"/>
    </row>
    <row r="278" customFormat="false" ht="15.75" hidden="false" customHeight="false" outlineLevel="0" collapsed="false">
      <c r="A278" s="12"/>
      <c r="B278" s="34"/>
      <c r="C278" s="12"/>
      <c r="D278" s="12"/>
      <c r="E278" s="12"/>
      <c r="F278" s="12"/>
      <c r="G278" s="18"/>
      <c r="H278" s="35"/>
      <c r="I278" s="35"/>
      <c r="J278" s="12"/>
      <c r="O278" s="12"/>
      <c r="P278" s="18"/>
      <c r="Q278" s="12"/>
      <c r="R278" s="12"/>
      <c r="S278" s="12"/>
      <c r="T278" s="36"/>
      <c r="U278" s="36"/>
      <c r="V278" s="12"/>
      <c r="W278" s="12"/>
      <c r="X278" s="12"/>
      <c r="Y278" s="12"/>
      <c r="Z278" s="12"/>
    </row>
    <row r="279" customFormat="false" ht="15.75" hidden="false" customHeight="false" outlineLevel="0" collapsed="false">
      <c r="A279" s="12"/>
      <c r="B279" s="34"/>
      <c r="C279" s="12"/>
      <c r="D279" s="12"/>
      <c r="E279" s="12"/>
      <c r="F279" s="12"/>
      <c r="G279" s="18"/>
      <c r="H279" s="35"/>
      <c r="I279" s="35"/>
      <c r="J279" s="12"/>
      <c r="O279" s="12"/>
      <c r="P279" s="18"/>
      <c r="Q279" s="12"/>
      <c r="R279" s="12"/>
      <c r="S279" s="12"/>
      <c r="T279" s="36"/>
      <c r="U279" s="36"/>
      <c r="V279" s="12"/>
      <c r="W279" s="12"/>
      <c r="X279" s="12"/>
      <c r="Y279" s="12"/>
      <c r="Z279" s="12"/>
    </row>
    <row r="280" customFormat="false" ht="15.75" hidden="false" customHeight="false" outlineLevel="0" collapsed="false">
      <c r="A280" s="12"/>
      <c r="B280" s="34"/>
      <c r="C280" s="12"/>
      <c r="D280" s="12"/>
      <c r="E280" s="12"/>
      <c r="F280" s="12"/>
      <c r="G280" s="18"/>
      <c r="H280" s="35"/>
      <c r="I280" s="35"/>
      <c r="J280" s="12"/>
      <c r="O280" s="12"/>
      <c r="P280" s="18"/>
      <c r="Q280" s="12"/>
      <c r="R280" s="12"/>
      <c r="S280" s="12"/>
      <c r="T280" s="36"/>
      <c r="U280" s="36"/>
      <c r="V280" s="12"/>
      <c r="W280" s="12"/>
      <c r="X280" s="12"/>
      <c r="Y280" s="12"/>
      <c r="Z280" s="12"/>
    </row>
    <row r="281" customFormat="false" ht="15.75" hidden="false" customHeight="false" outlineLevel="0" collapsed="false">
      <c r="A281" s="12"/>
      <c r="B281" s="34"/>
      <c r="C281" s="12"/>
      <c r="D281" s="12"/>
      <c r="E281" s="12"/>
      <c r="F281" s="12"/>
      <c r="G281" s="18"/>
      <c r="H281" s="35"/>
      <c r="I281" s="35"/>
      <c r="J281" s="12"/>
      <c r="O281" s="12"/>
      <c r="P281" s="18"/>
      <c r="Q281" s="12"/>
      <c r="R281" s="12"/>
      <c r="S281" s="12"/>
      <c r="T281" s="36"/>
      <c r="U281" s="36"/>
      <c r="V281" s="12"/>
      <c r="W281" s="12"/>
      <c r="X281" s="12"/>
      <c r="Y281" s="12"/>
      <c r="Z281" s="12"/>
    </row>
    <row r="282" customFormat="false" ht="15.75" hidden="false" customHeight="false" outlineLevel="0" collapsed="false">
      <c r="A282" s="12"/>
      <c r="B282" s="34"/>
      <c r="C282" s="12"/>
      <c r="D282" s="12"/>
      <c r="E282" s="12"/>
      <c r="F282" s="12"/>
      <c r="G282" s="18"/>
      <c r="H282" s="35"/>
      <c r="I282" s="35"/>
      <c r="J282" s="12"/>
      <c r="O282" s="12"/>
      <c r="P282" s="18"/>
      <c r="Q282" s="12"/>
      <c r="R282" s="12"/>
      <c r="S282" s="12"/>
      <c r="T282" s="36"/>
      <c r="U282" s="36"/>
      <c r="V282" s="12"/>
      <c r="W282" s="12"/>
      <c r="X282" s="12"/>
      <c r="Y282" s="12"/>
      <c r="Z282" s="12"/>
    </row>
    <row r="283" customFormat="false" ht="15.75" hidden="false" customHeight="false" outlineLevel="0" collapsed="false">
      <c r="A283" s="12"/>
      <c r="B283" s="34"/>
      <c r="C283" s="12"/>
      <c r="D283" s="12"/>
      <c r="E283" s="12"/>
      <c r="F283" s="12"/>
      <c r="G283" s="18"/>
      <c r="H283" s="35"/>
      <c r="I283" s="35"/>
      <c r="J283" s="12"/>
      <c r="O283" s="12"/>
      <c r="P283" s="18"/>
      <c r="Q283" s="12"/>
      <c r="R283" s="12"/>
      <c r="S283" s="12"/>
      <c r="T283" s="36"/>
      <c r="U283" s="36"/>
      <c r="V283" s="12"/>
      <c r="W283" s="12"/>
      <c r="X283" s="12"/>
      <c r="Y283" s="12"/>
      <c r="Z283" s="12"/>
    </row>
    <row r="284" customFormat="false" ht="15.75" hidden="false" customHeight="false" outlineLevel="0" collapsed="false">
      <c r="A284" s="12"/>
      <c r="B284" s="34"/>
      <c r="C284" s="12"/>
      <c r="D284" s="12"/>
      <c r="E284" s="12"/>
      <c r="F284" s="12"/>
      <c r="G284" s="18"/>
      <c r="H284" s="35"/>
      <c r="I284" s="35"/>
      <c r="J284" s="12"/>
      <c r="O284" s="12"/>
      <c r="P284" s="18"/>
      <c r="Q284" s="12"/>
      <c r="R284" s="12"/>
      <c r="S284" s="12"/>
      <c r="T284" s="36"/>
      <c r="U284" s="36"/>
      <c r="V284" s="12"/>
      <c r="W284" s="12"/>
      <c r="X284" s="12"/>
      <c r="Y284" s="12"/>
      <c r="Z284" s="12"/>
    </row>
    <row r="285" customFormat="false" ht="15.75" hidden="false" customHeight="false" outlineLevel="0" collapsed="false">
      <c r="A285" s="12"/>
      <c r="B285" s="34"/>
      <c r="C285" s="12"/>
      <c r="D285" s="12"/>
      <c r="E285" s="12"/>
      <c r="F285" s="12"/>
      <c r="G285" s="18"/>
      <c r="H285" s="35"/>
      <c r="I285" s="35"/>
      <c r="J285" s="12"/>
      <c r="O285" s="12"/>
      <c r="P285" s="18"/>
      <c r="Q285" s="12"/>
      <c r="R285" s="12"/>
      <c r="S285" s="12"/>
      <c r="T285" s="36"/>
      <c r="U285" s="36"/>
      <c r="V285" s="12"/>
      <c r="W285" s="12"/>
      <c r="X285" s="12"/>
      <c r="Y285" s="12"/>
      <c r="Z285" s="12"/>
    </row>
    <row r="286" customFormat="false" ht="15.75" hidden="false" customHeight="false" outlineLevel="0" collapsed="false">
      <c r="A286" s="12"/>
      <c r="B286" s="34"/>
      <c r="C286" s="12"/>
      <c r="D286" s="12"/>
      <c r="E286" s="12"/>
      <c r="F286" s="12"/>
      <c r="G286" s="18"/>
      <c r="H286" s="35"/>
      <c r="I286" s="35"/>
      <c r="J286" s="12"/>
      <c r="O286" s="12"/>
      <c r="P286" s="18"/>
      <c r="Q286" s="12"/>
      <c r="R286" s="12"/>
      <c r="S286" s="12"/>
      <c r="T286" s="36"/>
      <c r="U286" s="36"/>
      <c r="V286" s="12"/>
      <c r="W286" s="12"/>
      <c r="X286" s="12"/>
      <c r="Y286" s="12"/>
      <c r="Z286" s="12"/>
    </row>
    <row r="287" customFormat="false" ht="15.75" hidden="false" customHeight="false" outlineLevel="0" collapsed="false">
      <c r="A287" s="12"/>
      <c r="B287" s="34"/>
      <c r="C287" s="12"/>
      <c r="D287" s="12"/>
      <c r="E287" s="12"/>
      <c r="F287" s="12"/>
      <c r="G287" s="18"/>
      <c r="H287" s="35"/>
      <c r="I287" s="35"/>
      <c r="J287" s="12"/>
      <c r="O287" s="12"/>
      <c r="P287" s="18"/>
      <c r="Q287" s="12"/>
      <c r="R287" s="12"/>
      <c r="S287" s="12"/>
      <c r="T287" s="36"/>
      <c r="U287" s="36"/>
      <c r="V287" s="12"/>
      <c r="W287" s="12"/>
      <c r="X287" s="12"/>
      <c r="Y287" s="12"/>
      <c r="Z287" s="12"/>
    </row>
    <row r="288" customFormat="false" ht="15.75" hidden="false" customHeight="false" outlineLevel="0" collapsed="false">
      <c r="A288" s="12"/>
      <c r="B288" s="34"/>
      <c r="C288" s="12"/>
      <c r="D288" s="12"/>
      <c r="E288" s="12"/>
      <c r="F288" s="12"/>
      <c r="G288" s="18"/>
      <c r="H288" s="35"/>
      <c r="I288" s="35"/>
      <c r="J288" s="12"/>
      <c r="O288" s="12"/>
      <c r="P288" s="18"/>
      <c r="Q288" s="12"/>
      <c r="R288" s="12"/>
      <c r="S288" s="12"/>
      <c r="T288" s="36"/>
      <c r="U288" s="36"/>
      <c r="V288" s="12"/>
      <c r="W288" s="12"/>
      <c r="X288" s="12"/>
      <c r="Y288" s="12"/>
      <c r="Z288" s="12"/>
    </row>
    <row r="289" customFormat="false" ht="15.75" hidden="false" customHeight="false" outlineLevel="0" collapsed="false">
      <c r="A289" s="12"/>
      <c r="B289" s="34"/>
      <c r="C289" s="12"/>
      <c r="D289" s="12"/>
      <c r="E289" s="12"/>
      <c r="F289" s="12"/>
      <c r="G289" s="18"/>
      <c r="H289" s="35"/>
      <c r="I289" s="35"/>
      <c r="J289" s="12"/>
      <c r="O289" s="12"/>
      <c r="P289" s="18"/>
      <c r="Q289" s="12"/>
      <c r="R289" s="12"/>
      <c r="S289" s="12"/>
      <c r="T289" s="36"/>
      <c r="U289" s="36"/>
      <c r="V289" s="12"/>
      <c r="W289" s="12"/>
      <c r="X289" s="12"/>
      <c r="Y289" s="12"/>
      <c r="Z289" s="12"/>
    </row>
    <row r="290" customFormat="false" ht="15.75" hidden="false" customHeight="false" outlineLevel="0" collapsed="false">
      <c r="A290" s="12"/>
      <c r="B290" s="34"/>
      <c r="C290" s="12"/>
      <c r="D290" s="12"/>
      <c r="E290" s="12"/>
      <c r="F290" s="12"/>
      <c r="G290" s="18"/>
      <c r="H290" s="35"/>
      <c r="I290" s="35"/>
      <c r="J290" s="12"/>
      <c r="O290" s="12"/>
      <c r="P290" s="18"/>
      <c r="Q290" s="12"/>
      <c r="R290" s="12"/>
      <c r="S290" s="12"/>
      <c r="T290" s="36"/>
      <c r="U290" s="36"/>
      <c r="V290" s="12"/>
      <c r="W290" s="12"/>
      <c r="X290" s="12"/>
      <c r="Y290" s="12"/>
      <c r="Z290" s="12"/>
    </row>
    <row r="291" customFormat="false" ht="15.75" hidden="false" customHeight="false" outlineLevel="0" collapsed="false">
      <c r="A291" s="12"/>
      <c r="B291" s="34"/>
      <c r="C291" s="12"/>
      <c r="D291" s="12"/>
      <c r="E291" s="12"/>
      <c r="F291" s="12"/>
      <c r="G291" s="18"/>
      <c r="H291" s="35"/>
      <c r="I291" s="35"/>
      <c r="J291" s="12"/>
      <c r="O291" s="12"/>
      <c r="P291" s="18"/>
      <c r="Q291" s="12"/>
      <c r="R291" s="12"/>
      <c r="S291" s="12"/>
      <c r="T291" s="36"/>
      <c r="U291" s="36"/>
      <c r="V291" s="12"/>
      <c r="W291" s="12"/>
      <c r="X291" s="12"/>
      <c r="Y291" s="12"/>
      <c r="Z291" s="12"/>
    </row>
    <row r="292" customFormat="false" ht="15.75" hidden="false" customHeight="false" outlineLevel="0" collapsed="false">
      <c r="A292" s="12"/>
      <c r="B292" s="34"/>
      <c r="C292" s="12"/>
      <c r="D292" s="12"/>
      <c r="E292" s="12"/>
      <c r="F292" s="12"/>
      <c r="G292" s="18"/>
      <c r="H292" s="35"/>
      <c r="I292" s="35"/>
      <c r="J292" s="12"/>
      <c r="O292" s="12"/>
      <c r="P292" s="18"/>
      <c r="Q292" s="12"/>
      <c r="R292" s="12"/>
      <c r="S292" s="12"/>
      <c r="T292" s="36"/>
      <c r="U292" s="36"/>
      <c r="V292" s="12"/>
      <c r="W292" s="12"/>
      <c r="X292" s="12"/>
      <c r="Y292" s="12"/>
      <c r="Z292" s="12"/>
    </row>
    <row r="293" customFormat="false" ht="15.75" hidden="false" customHeight="false" outlineLevel="0" collapsed="false">
      <c r="A293" s="12"/>
      <c r="B293" s="34"/>
      <c r="C293" s="12"/>
      <c r="D293" s="12"/>
      <c r="E293" s="12"/>
      <c r="F293" s="12"/>
      <c r="G293" s="18"/>
      <c r="H293" s="35"/>
      <c r="I293" s="35"/>
      <c r="J293" s="12"/>
      <c r="O293" s="12"/>
      <c r="P293" s="18"/>
      <c r="Q293" s="12"/>
      <c r="R293" s="12"/>
      <c r="S293" s="12"/>
      <c r="T293" s="36"/>
      <c r="U293" s="36"/>
      <c r="V293" s="12"/>
      <c r="W293" s="12"/>
      <c r="X293" s="12"/>
      <c r="Y293" s="12"/>
      <c r="Z293" s="12"/>
    </row>
    <row r="294" customFormat="false" ht="15.75" hidden="false" customHeight="false" outlineLevel="0" collapsed="false">
      <c r="A294" s="12"/>
      <c r="B294" s="34"/>
      <c r="C294" s="12"/>
      <c r="D294" s="12"/>
      <c r="E294" s="12"/>
      <c r="F294" s="12"/>
      <c r="G294" s="18"/>
      <c r="H294" s="35"/>
      <c r="I294" s="35"/>
      <c r="J294" s="12"/>
      <c r="O294" s="12"/>
      <c r="P294" s="18"/>
      <c r="Q294" s="12"/>
      <c r="R294" s="12"/>
      <c r="S294" s="12"/>
      <c r="T294" s="36"/>
      <c r="U294" s="36"/>
      <c r="V294" s="12"/>
      <c r="W294" s="12"/>
      <c r="X294" s="12"/>
      <c r="Y294" s="12"/>
      <c r="Z294" s="12"/>
    </row>
    <row r="295" customFormat="false" ht="15.75" hidden="false" customHeight="false" outlineLevel="0" collapsed="false">
      <c r="A295" s="12"/>
      <c r="B295" s="34"/>
      <c r="C295" s="12"/>
      <c r="D295" s="12"/>
      <c r="E295" s="12"/>
      <c r="F295" s="12"/>
      <c r="G295" s="18"/>
      <c r="H295" s="35"/>
      <c r="I295" s="35"/>
      <c r="J295" s="12"/>
      <c r="O295" s="12"/>
      <c r="P295" s="18"/>
      <c r="Q295" s="12"/>
      <c r="R295" s="12"/>
      <c r="S295" s="12"/>
      <c r="T295" s="36"/>
      <c r="U295" s="36"/>
      <c r="V295" s="12"/>
      <c r="W295" s="12"/>
      <c r="X295" s="12"/>
      <c r="Y295" s="12"/>
      <c r="Z295" s="12"/>
    </row>
    <row r="296" customFormat="false" ht="15.75" hidden="false" customHeight="false" outlineLevel="0" collapsed="false">
      <c r="A296" s="12"/>
      <c r="B296" s="34"/>
      <c r="C296" s="12"/>
      <c r="D296" s="12"/>
      <c r="E296" s="12"/>
      <c r="F296" s="12"/>
      <c r="G296" s="18"/>
      <c r="H296" s="35"/>
      <c r="I296" s="35"/>
      <c r="J296" s="12"/>
      <c r="O296" s="12"/>
      <c r="P296" s="18"/>
      <c r="Q296" s="12"/>
      <c r="R296" s="12"/>
      <c r="S296" s="12"/>
      <c r="T296" s="36"/>
      <c r="U296" s="36"/>
      <c r="V296" s="12"/>
      <c r="W296" s="12"/>
      <c r="X296" s="12"/>
      <c r="Y296" s="12"/>
      <c r="Z296" s="12"/>
    </row>
    <row r="297" customFormat="false" ht="15.75" hidden="false" customHeight="false" outlineLevel="0" collapsed="false">
      <c r="A297" s="12"/>
      <c r="B297" s="34"/>
      <c r="C297" s="12"/>
      <c r="D297" s="12"/>
      <c r="E297" s="12"/>
      <c r="F297" s="12"/>
      <c r="G297" s="18"/>
      <c r="H297" s="35"/>
      <c r="I297" s="35"/>
      <c r="J297" s="12"/>
      <c r="O297" s="12"/>
      <c r="P297" s="18"/>
      <c r="Q297" s="12"/>
      <c r="R297" s="12"/>
      <c r="S297" s="12"/>
      <c r="T297" s="36"/>
      <c r="U297" s="36"/>
      <c r="V297" s="12"/>
      <c r="W297" s="12"/>
      <c r="X297" s="12"/>
      <c r="Y297" s="12"/>
      <c r="Z297" s="12"/>
    </row>
    <row r="298" customFormat="false" ht="15.75" hidden="false" customHeight="false" outlineLevel="0" collapsed="false">
      <c r="A298" s="12"/>
      <c r="B298" s="34"/>
      <c r="C298" s="12"/>
      <c r="D298" s="12"/>
      <c r="E298" s="12"/>
      <c r="F298" s="12"/>
      <c r="G298" s="18"/>
      <c r="H298" s="35"/>
      <c r="I298" s="35"/>
      <c r="J298" s="12"/>
      <c r="O298" s="12"/>
      <c r="P298" s="18"/>
      <c r="Q298" s="12"/>
      <c r="R298" s="12"/>
      <c r="S298" s="12"/>
      <c r="T298" s="36"/>
      <c r="U298" s="36"/>
      <c r="V298" s="12"/>
      <c r="W298" s="12"/>
      <c r="X298" s="12"/>
      <c r="Y298" s="12"/>
      <c r="Z298" s="12"/>
    </row>
    <row r="299" customFormat="false" ht="15.75" hidden="false" customHeight="false" outlineLevel="0" collapsed="false">
      <c r="A299" s="12"/>
      <c r="B299" s="34"/>
      <c r="C299" s="12"/>
      <c r="D299" s="12"/>
      <c r="E299" s="12"/>
      <c r="F299" s="12"/>
      <c r="G299" s="18"/>
      <c r="H299" s="35"/>
      <c r="I299" s="35"/>
      <c r="J299" s="12"/>
      <c r="O299" s="12"/>
      <c r="P299" s="18"/>
      <c r="Q299" s="12"/>
      <c r="R299" s="12"/>
      <c r="S299" s="12"/>
      <c r="T299" s="36"/>
      <c r="U299" s="36"/>
      <c r="V299" s="12"/>
      <c r="W299" s="12"/>
      <c r="X299" s="12"/>
      <c r="Y299" s="12"/>
      <c r="Z299" s="12"/>
    </row>
    <row r="300" customFormat="false" ht="15.75" hidden="false" customHeight="false" outlineLevel="0" collapsed="false">
      <c r="A300" s="12"/>
      <c r="B300" s="34"/>
      <c r="C300" s="12"/>
      <c r="D300" s="12"/>
      <c r="E300" s="12"/>
      <c r="F300" s="12"/>
      <c r="G300" s="18"/>
      <c r="H300" s="35"/>
      <c r="I300" s="35"/>
      <c r="J300" s="12"/>
      <c r="O300" s="12"/>
      <c r="P300" s="18"/>
      <c r="Q300" s="12"/>
      <c r="R300" s="12"/>
      <c r="S300" s="12"/>
      <c r="T300" s="36"/>
      <c r="U300" s="36"/>
      <c r="V300" s="12"/>
      <c r="W300" s="12"/>
      <c r="X300" s="12"/>
      <c r="Y300" s="12"/>
      <c r="Z300" s="12"/>
    </row>
    <row r="301" customFormat="false" ht="15.75" hidden="false" customHeight="false" outlineLevel="0" collapsed="false">
      <c r="A301" s="12"/>
      <c r="B301" s="34"/>
      <c r="C301" s="12"/>
      <c r="D301" s="12"/>
      <c r="E301" s="12"/>
      <c r="F301" s="12"/>
      <c r="G301" s="18"/>
      <c r="H301" s="35"/>
      <c r="I301" s="35"/>
      <c r="J301" s="12"/>
      <c r="O301" s="12"/>
      <c r="P301" s="18"/>
      <c r="Q301" s="12"/>
      <c r="R301" s="12"/>
      <c r="S301" s="12"/>
      <c r="T301" s="36"/>
      <c r="U301" s="36"/>
      <c r="V301" s="12"/>
      <c r="W301" s="12"/>
      <c r="X301" s="12"/>
      <c r="Y301" s="12"/>
      <c r="Z301" s="12"/>
    </row>
    <row r="302" customFormat="false" ht="15.75" hidden="false" customHeight="false" outlineLevel="0" collapsed="false">
      <c r="A302" s="12"/>
      <c r="B302" s="34"/>
      <c r="C302" s="12"/>
      <c r="D302" s="12"/>
      <c r="E302" s="12"/>
      <c r="F302" s="12"/>
      <c r="G302" s="18"/>
      <c r="H302" s="35"/>
      <c r="I302" s="35"/>
      <c r="J302" s="12"/>
      <c r="O302" s="12"/>
      <c r="P302" s="18"/>
      <c r="Q302" s="12"/>
      <c r="R302" s="12"/>
      <c r="S302" s="12"/>
      <c r="T302" s="36"/>
      <c r="U302" s="36"/>
      <c r="V302" s="12"/>
      <c r="W302" s="12"/>
      <c r="X302" s="12"/>
      <c r="Y302" s="12"/>
      <c r="Z302" s="12"/>
    </row>
    <row r="303" customFormat="false" ht="15.75" hidden="false" customHeight="false" outlineLevel="0" collapsed="false">
      <c r="A303" s="12"/>
      <c r="B303" s="34"/>
      <c r="C303" s="12"/>
      <c r="D303" s="12"/>
      <c r="E303" s="12"/>
      <c r="F303" s="12"/>
      <c r="G303" s="18"/>
      <c r="H303" s="35"/>
      <c r="I303" s="35"/>
      <c r="J303" s="12"/>
      <c r="O303" s="12"/>
      <c r="P303" s="18"/>
      <c r="Q303" s="12"/>
      <c r="R303" s="12"/>
      <c r="S303" s="12"/>
      <c r="T303" s="36"/>
      <c r="U303" s="36"/>
      <c r="V303" s="12"/>
      <c r="W303" s="12"/>
      <c r="X303" s="12"/>
      <c r="Y303" s="12"/>
      <c r="Z303" s="12"/>
    </row>
    <row r="304" customFormat="false" ht="15.75" hidden="false" customHeight="false" outlineLevel="0" collapsed="false">
      <c r="A304" s="12"/>
      <c r="B304" s="34"/>
      <c r="C304" s="12"/>
      <c r="D304" s="12"/>
      <c r="E304" s="12"/>
      <c r="F304" s="12"/>
      <c r="G304" s="18"/>
      <c r="H304" s="35"/>
      <c r="I304" s="35"/>
      <c r="J304" s="12"/>
      <c r="O304" s="12"/>
      <c r="P304" s="18"/>
      <c r="Q304" s="12"/>
      <c r="R304" s="12"/>
      <c r="S304" s="12"/>
      <c r="T304" s="36"/>
      <c r="U304" s="36"/>
      <c r="V304" s="12"/>
      <c r="W304" s="12"/>
      <c r="X304" s="12"/>
      <c r="Y304" s="12"/>
      <c r="Z304" s="12"/>
    </row>
    <row r="305" customFormat="false" ht="15.75" hidden="false" customHeight="false" outlineLevel="0" collapsed="false">
      <c r="A305" s="12"/>
      <c r="B305" s="34"/>
      <c r="C305" s="12"/>
      <c r="D305" s="12"/>
      <c r="E305" s="12"/>
      <c r="F305" s="12"/>
      <c r="G305" s="18"/>
      <c r="H305" s="35"/>
      <c r="I305" s="35"/>
      <c r="J305" s="12"/>
      <c r="O305" s="12"/>
      <c r="P305" s="18"/>
      <c r="Q305" s="12"/>
      <c r="R305" s="12"/>
      <c r="S305" s="12"/>
      <c r="T305" s="36"/>
      <c r="U305" s="36"/>
      <c r="V305" s="12"/>
      <c r="W305" s="12"/>
      <c r="X305" s="12"/>
      <c r="Y305" s="12"/>
      <c r="Z305" s="12"/>
    </row>
    <row r="306" customFormat="false" ht="15.75" hidden="false" customHeight="false" outlineLevel="0" collapsed="false">
      <c r="A306" s="12"/>
      <c r="B306" s="34"/>
      <c r="C306" s="12"/>
      <c r="D306" s="12"/>
      <c r="E306" s="12"/>
      <c r="F306" s="12"/>
      <c r="G306" s="18"/>
      <c r="H306" s="35"/>
      <c r="I306" s="35"/>
      <c r="J306" s="12"/>
      <c r="O306" s="12"/>
      <c r="P306" s="18"/>
      <c r="Q306" s="12"/>
      <c r="R306" s="12"/>
      <c r="S306" s="12"/>
      <c r="T306" s="36"/>
      <c r="U306" s="36"/>
      <c r="V306" s="12"/>
      <c r="W306" s="12"/>
      <c r="X306" s="12"/>
      <c r="Y306" s="12"/>
      <c r="Z306" s="12"/>
    </row>
    <row r="307" customFormat="false" ht="15.75" hidden="false" customHeight="false" outlineLevel="0" collapsed="false">
      <c r="A307" s="12"/>
      <c r="B307" s="34"/>
      <c r="C307" s="12"/>
      <c r="D307" s="12"/>
      <c r="E307" s="12"/>
      <c r="F307" s="12"/>
      <c r="G307" s="18"/>
      <c r="H307" s="35"/>
      <c r="I307" s="35"/>
      <c r="J307" s="12"/>
      <c r="O307" s="12"/>
      <c r="P307" s="18"/>
      <c r="Q307" s="12"/>
      <c r="R307" s="12"/>
      <c r="S307" s="12"/>
      <c r="T307" s="36"/>
      <c r="U307" s="36"/>
      <c r="V307" s="12"/>
      <c r="W307" s="12"/>
      <c r="X307" s="12"/>
      <c r="Y307" s="12"/>
      <c r="Z307" s="12"/>
    </row>
    <row r="308" customFormat="false" ht="15.75" hidden="false" customHeight="false" outlineLevel="0" collapsed="false">
      <c r="A308" s="12"/>
      <c r="B308" s="34"/>
      <c r="C308" s="12"/>
      <c r="D308" s="12"/>
      <c r="E308" s="12"/>
      <c r="F308" s="12"/>
      <c r="G308" s="18"/>
      <c r="H308" s="35"/>
      <c r="I308" s="35"/>
      <c r="J308" s="12"/>
      <c r="O308" s="12"/>
      <c r="P308" s="18"/>
      <c r="Q308" s="12"/>
      <c r="R308" s="12"/>
      <c r="S308" s="12"/>
      <c r="T308" s="36"/>
      <c r="U308" s="36"/>
      <c r="V308" s="12"/>
      <c r="W308" s="12"/>
      <c r="X308" s="12"/>
      <c r="Y308" s="12"/>
      <c r="Z308" s="12"/>
    </row>
    <row r="309" customFormat="false" ht="15.75" hidden="false" customHeight="false" outlineLevel="0" collapsed="false">
      <c r="A309" s="12"/>
      <c r="B309" s="34"/>
      <c r="C309" s="12"/>
      <c r="D309" s="12"/>
      <c r="E309" s="12"/>
      <c r="F309" s="12"/>
      <c r="G309" s="18"/>
      <c r="H309" s="35"/>
      <c r="I309" s="35"/>
      <c r="J309" s="12"/>
      <c r="O309" s="12"/>
      <c r="P309" s="18"/>
      <c r="Q309" s="12"/>
      <c r="R309" s="12"/>
      <c r="S309" s="12"/>
      <c r="T309" s="36"/>
      <c r="U309" s="36"/>
      <c r="V309" s="12"/>
      <c r="W309" s="12"/>
      <c r="X309" s="12"/>
      <c r="Y309" s="12"/>
      <c r="Z309" s="12"/>
    </row>
    <row r="310" customFormat="false" ht="15.75" hidden="false" customHeight="false" outlineLevel="0" collapsed="false">
      <c r="A310" s="12"/>
      <c r="B310" s="34"/>
      <c r="C310" s="12"/>
      <c r="D310" s="12"/>
      <c r="E310" s="12"/>
      <c r="F310" s="12"/>
      <c r="G310" s="18"/>
      <c r="H310" s="35"/>
      <c r="I310" s="35"/>
      <c r="J310" s="12"/>
      <c r="O310" s="12"/>
      <c r="P310" s="18"/>
      <c r="Q310" s="12"/>
      <c r="R310" s="12"/>
      <c r="S310" s="12"/>
      <c r="T310" s="36"/>
      <c r="U310" s="36"/>
      <c r="V310" s="12"/>
      <c r="W310" s="12"/>
      <c r="X310" s="12"/>
      <c r="Y310" s="12"/>
      <c r="Z310" s="12"/>
    </row>
    <row r="311" customFormat="false" ht="15.75" hidden="false" customHeight="false" outlineLevel="0" collapsed="false">
      <c r="A311" s="12"/>
      <c r="B311" s="34"/>
      <c r="C311" s="12"/>
      <c r="D311" s="12"/>
      <c r="E311" s="12"/>
      <c r="F311" s="12"/>
      <c r="G311" s="18"/>
      <c r="H311" s="35"/>
      <c r="I311" s="35"/>
      <c r="J311" s="12"/>
      <c r="O311" s="12"/>
      <c r="P311" s="18"/>
      <c r="Q311" s="12"/>
      <c r="R311" s="12"/>
      <c r="S311" s="12"/>
      <c r="T311" s="36"/>
      <c r="U311" s="36"/>
      <c r="V311" s="12"/>
      <c r="W311" s="12"/>
      <c r="X311" s="12"/>
      <c r="Y311" s="12"/>
      <c r="Z311" s="12"/>
    </row>
    <row r="312" customFormat="false" ht="15.75" hidden="false" customHeight="false" outlineLevel="0" collapsed="false">
      <c r="A312" s="12"/>
      <c r="B312" s="34"/>
      <c r="C312" s="12"/>
      <c r="D312" s="12"/>
      <c r="E312" s="12"/>
      <c r="F312" s="12"/>
      <c r="G312" s="18"/>
      <c r="H312" s="35"/>
      <c r="I312" s="35"/>
      <c r="J312" s="12"/>
      <c r="O312" s="12"/>
      <c r="P312" s="18"/>
      <c r="Q312" s="12"/>
      <c r="R312" s="12"/>
      <c r="S312" s="12"/>
      <c r="T312" s="36"/>
      <c r="U312" s="36"/>
      <c r="V312" s="12"/>
      <c r="W312" s="12"/>
      <c r="X312" s="12"/>
      <c r="Y312" s="12"/>
      <c r="Z312" s="12"/>
    </row>
    <row r="313" customFormat="false" ht="15.75" hidden="false" customHeight="false" outlineLevel="0" collapsed="false">
      <c r="A313" s="12"/>
      <c r="B313" s="34"/>
      <c r="C313" s="12"/>
      <c r="D313" s="12"/>
      <c r="E313" s="12"/>
      <c r="F313" s="12"/>
      <c r="G313" s="18"/>
      <c r="H313" s="35"/>
      <c r="I313" s="35"/>
      <c r="J313" s="12"/>
      <c r="O313" s="12"/>
      <c r="P313" s="18"/>
      <c r="Q313" s="12"/>
      <c r="R313" s="12"/>
      <c r="S313" s="12"/>
      <c r="T313" s="36"/>
      <c r="U313" s="36"/>
      <c r="V313" s="12"/>
      <c r="W313" s="12"/>
      <c r="X313" s="12"/>
      <c r="Y313" s="12"/>
      <c r="Z313" s="12"/>
    </row>
    <row r="314" customFormat="false" ht="15.75" hidden="false" customHeight="false" outlineLevel="0" collapsed="false">
      <c r="A314" s="12"/>
      <c r="B314" s="34"/>
      <c r="C314" s="12"/>
      <c r="D314" s="12"/>
      <c r="E314" s="12"/>
      <c r="F314" s="12"/>
      <c r="G314" s="18"/>
      <c r="H314" s="35"/>
      <c r="I314" s="35"/>
      <c r="J314" s="12"/>
      <c r="O314" s="12"/>
      <c r="P314" s="18"/>
      <c r="Q314" s="12"/>
      <c r="R314" s="12"/>
      <c r="S314" s="12"/>
      <c r="T314" s="36"/>
      <c r="U314" s="36"/>
      <c r="V314" s="12"/>
      <c r="W314" s="12"/>
      <c r="X314" s="12"/>
      <c r="Y314" s="12"/>
      <c r="Z314" s="12"/>
    </row>
    <row r="315" customFormat="false" ht="15.75" hidden="false" customHeight="false" outlineLevel="0" collapsed="false">
      <c r="A315" s="12"/>
      <c r="B315" s="34"/>
      <c r="C315" s="12"/>
      <c r="D315" s="12"/>
      <c r="E315" s="12"/>
      <c r="F315" s="12"/>
      <c r="G315" s="18"/>
      <c r="H315" s="35"/>
      <c r="I315" s="35"/>
      <c r="J315" s="12"/>
      <c r="O315" s="12"/>
      <c r="P315" s="18"/>
      <c r="Q315" s="12"/>
      <c r="R315" s="12"/>
      <c r="S315" s="12"/>
      <c r="T315" s="36"/>
      <c r="U315" s="36"/>
      <c r="V315" s="12"/>
      <c r="W315" s="12"/>
      <c r="X315" s="12"/>
      <c r="Y315" s="12"/>
      <c r="Z315" s="12"/>
    </row>
    <row r="316" customFormat="false" ht="15.75" hidden="false" customHeight="false" outlineLevel="0" collapsed="false">
      <c r="A316" s="12"/>
      <c r="B316" s="34"/>
      <c r="C316" s="12"/>
      <c r="D316" s="12"/>
      <c r="E316" s="12"/>
      <c r="F316" s="12"/>
      <c r="G316" s="18"/>
      <c r="H316" s="35"/>
      <c r="I316" s="35"/>
      <c r="J316" s="12"/>
      <c r="O316" s="12"/>
      <c r="P316" s="18"/>
      <c r="Q316" s="12"/>
      <c r="R316" s="12"/>
      <c r="S316" s="12"/>
      <c r="T316" s="36"/>
      <c r="U316" s="36"/>
      <c r="V316" s="12"/>
      <c r="W316" s="12"/>
      <c r="X316" s="12"/>
      <c r="Y316" s="12"/>
      <c r="Z316" s="12"/>
    </row>
    <row r="317" customFormat="false" ht="15.75" hidden="false" customHeight="false" outlineLevel="0" collapsed="false">
      <c r="A317" s="12"/>
      <c r="B317" s="34"/>
      <c r="C317" s="12"/>
      <c r="D317" s="12"/>
      <c r="E317" s="12"/>
      <c r="F317" s="12"/>
      <c r="G317" s="18"/>
      <c r="H317" s="35"/>
      <c r="I317" s="35"/>
      <c r="J317" s="12"/>
      <c r="O317" s="12"/>
      <c r="P317" s="18"/>
      <c r="Q317" s="12"/>
      <c r="R317" s="12"/>
      <c r="S317" s="12"/>
      <c r="T317" s="36"/>
      <c r="U317" s="36"/>
      <c r="V317" s="12"/>
      <c r="W317" s="12"/>
      <c r="X317" s="12"/>
      <c r="Y317" s="12"/>
      <c r="Z317" s="12"/>
    </row>
    <row r="318" customFormat="false" ht="15.75" hidden="false" customHeight="false" outlineLevel="0" collapsed="false">
      <c r="A318" s="12"/>
      <c r="B318" s="34"/>
      <c r="C318" s="12"/>
      <c r="D318" s="12"/>
      <c r="E318" s="12"/>
      <c r="F318" s="12"/>
      <c r="G318" s="18"/>
      <c r="H318" s="35"/>
      <c r="I318" s="35"/>
      <c r="J318" s="12"/>
      <c r="O318" s="12"/>
      <c r="P318" s="18"/>
      <c r="Q318" s="12"/>
      <c r="R318" s="12"/>
      <c r="S318" s="12"/>
      <c r="T318" s="36"/>
      <c r="U318" s="36"/>
      <c r="V318" s="12"/>
      <c r="W318" s="12"/>
      <c r="X318" s="12"/>
      <c r="Y318" s="12"/>
      <c r="Z318" s="12"/>
    </row>
    <row r="319" customFormat="false" ht="15.75" hidden="false" customHeight="false" outlineLevel="0" collapsed="false">
      <c r="A319" s="12"/>
      <c r="B319" s="34"/>
      <c r="C319" s="12"/>
      <c r="D319" s="12"/>
      <c r="E319" s="12"/>
      <c r="F319" s="12"/>
      <c r="G319" s="18"/>
      <c r="H319" s="35"/>
      <c r="I319" s="35"/>
      <c r="J319" s="12"/>
      <c r="O319" s="12"/>
      <c r="P319" s="18"/>
      <c r="Q319" s="12"/>
      <c r="R319" s="12"/>
      <c r="S319" s="12"/>
      <c r="T319" s="36"/>
      <c r="U319" s="36"/>
      <c r="V319" s="12"/>
      <c r="W319" s="12"/>
      <c r="X319" s="12"/>
      <c r="Y319" s="12"/>
      <c r="Z319" s="12"/>
    </row>
    <row r="320" customFormat="false" ht="15.75" hidden="false" customHeight="false" outlineLevel="0" collapsed="false">
      <c r="A320" s="12"/>
      <c r="B320" s="34"/>
      <c r="C320" s="12"/>
      <c r="D320" s="12"/>
      <c r="E320" s="12"/>
      <c r="F320" s="12"/>
      <c r="G320" s="18"/>
      <c r="H320" s="35"/>
      <c r="I320" s="35"/>
      <c r="J320" s="12"/>
      <c r="O320" s="12"/>
      <c r="P320" s="18"/>
      <c r="Q320" s="12"/>
      <c r="R320" s="12"/>
      <c r="S320" s="12"/>
      <c r="T320" s="36"/>
      <c r="U320" s="36"/>
      <c r="V320" s="12"/>
      <c r="W320" s="12"/>
      <c r="X320" s="12"/>
      <c r="Y320" s="12"/>
      <c r="Z320" s="12"/>
    </row>
    <row r="321" customFormat="false" ht="15.75" hidden="false" customHeight="false" outlineLevel="0" collapsed="false">
      <c r="A321" s="12"/>
      <c r="B321" s="34"/>
      <c r="C321" s="12"/>
      <c r="D321" s="12"/>
      <c r="E321" s="12"/>
      <c r="F321" s="12"/>
      <c r="G321" s="18"/>
      <c r="H321" s="35"/>
      <c r="I321" s="35"/>
      <c r="J321" s="12"/>
      <c r="O321" s="12"/>
      <c r="P321" s="18"/>
      <c r="Q321" s="12"/>
      <c r="R321" s="12"/>
      <c r="S321" s="12"/>
      <c r="T321" s="36"/>
      <c r="U321" s="36"/>
      <c r="V321" s="12"/>
      <c r="W321" s="12"/>
      <c r="X321" s="12"/>
      <c r="Y321" s="12"/>
      <c r="Z321" s="12"/>
    </row>
    <row r="322" customFormat="false" ht="15.75" hidden="false" customHeight="false" outlineLevel="0" collapsed="false">
      <c r="A322" s="12"/>
      <c r="B322" s="34"/>
      <c r="C322" s="12"/>
      <c r="D322" s="12"/>
      <c r="E322" s="12"/>
      <c r="F322" s="12"/>
      <c r="G322" s="18"/>
      <c r="H322" s="35"/>
      <c r="I322" s="35"/>
      <c r="J322" s="12"/>
      <c r="O322" s="12"/>
      <c r="P322" s="18"/>
      <c r="Q322" s="12"/>
      <c r="R322" s="12"/>
      <c r="S322" s="12"/>
      <c r="T322" s="36"/>
      <c r="U322" s="36"/>
      <c r="V322" s="12"/>
      <c r="W322" s="12"/>
      <c r="X322" s="12"/>
      <c r="Y322" s="12"/>
      <c r="Z322" s="12"/>
    </row>
    <row r="323" customFormat="false" ht="15.75" hidden="false" customHeight="false" outlineLevel="0" collapsed="false">
      <c r="A323" s="12"/>
      <c r="B323" s="34"/>
      <c r="C323" s="12"/>
      <c r="D323" s="12"/>
      <c r="E323" s="12"/>
      <c r="F323" s="12"/>
      <c r="G323" s="18"/>
      <c r="H323" s="35"/>
      <c r="I323" s="35"/>
      <c r="J323" s="12"/>
      <c r="O323" s="12"/>
      <c r="P323" s="18"/>
      <c r="Q323" s="12"/>
      <c r="R323" s="12"/>
      <c r="S323" s="12"/>
      <c r="T323" s="36"/>
      <c r="U323" s="36"/>
      <c r="V323" s="12"/>
      <c r="W323" s="12"/>
      <c r="X323" s="12"/>
      <c r="Y323" s="12"/>
      <c r="Z323" s="12"/>
    </row>
    <row r="324" customFormat="false" ht="15.75" hidden="false" customHeight="false" outlineLevel="0" collapsed="false">
      <c r="A324" s="12"/>
      <c r="B324" s="34"/>
      <c r="C324" s="12"/>
      <c r="D324" s="12"/>
      <c r="E324" s="12"/>
      <c r="F324" s="12"/>
      <c r="G324" s="18"/>
      <c r="H324" s="35"/>
      <c r="I324" s="35"/>
      <c r="J324" s="12"/>
      <c r="O324" s="12"/>
      <c r="P324" s="18"/>
      <c r="Q324" s="12"/>
      <c r="R324" s="12"/>
      <c r="S324" s="12"/>
      <c r="T324" s="36"/>
      <c r="U324" s="36"/>
      <c r="V324" s="12"/>
      <c r="W324" s="12"/>
      <c r="X324" s="12"/>
      <c r="Y324" s="12"/>
      <c r="Z324" s="12"/>
    </row>
    <row r="325" customFormat="false" ht="15.75" hidden="false" customHeight="false" outlineLevel="0" collapsed="false">
      <c r="A325" s="12"/>
      <c r="B325" s="34"/>
      <c r="C325" s="12"/>
      <c r="D325" s="12"/>
      <c r="E325" s="12"/>
      <c r="F325" s="12"/>
      <c r="G325" s="18"/>
      <c r="H325" s="35"/>
      <c r="I325" s="35"/>
      <c r="J325" s="12"/>
      <c r="O325" s="12"/>
      <c r="P325" s="18"/>
      <c r="Q325" s="12"/>
      <c r="R325" s="12"/>
      <c r="S325" s="12"/>
      <c r="T325" s="36"/>
      <c r="U325" s="36"/>
      <c r="V325" s="12"/>
      <c r="W325" s="12"/>
      <c r="X325" s="12"/>
      <c r="Y325" s="12"/>
      <c r="Z325" s="12"/>
    </row>
    <row r="326" customFormat="false" ht="15.75" hidden="false" customHeight="false" outlineLevel="0" collapsed="false">
      <c r="A326" s="12"/>
      <c r="B326" s="34"/>
      <c r="C326" s="12"/>
      <c r="D326" s="12"/>
      <c r="E326" s="12"/>
      <c r="F326" s="12"/>
      <c r="G326" s="18"/>
      <c r="H326" s="35"/>
      <c r="I326" s="35"/>
      <c r="J326" s="12"/>
      <c r="O326" s="12"/>
      <c r="P326" s="18"/>
      <c r="Q326" s="12"/>
      <c r="R326" s="12"/>
      <c r="S326" s="12"/>
      <c r="T326" s="36"/>
      <c r="U326" s="36"/>
      <c r="V326" s="12"/>
      <c r="W326" s="12"/>
      <c r="X326" s="12"/>
      <c r="Y326" s="12"/>
      <c r="Z326" s="12"/>
    </row>
    <row r="327" customFormat="false" ht="15.75" hidden="false" customHeight="false" outlineLevel="0" collapsed="false">
      <c r="A327" s="12"/>
      <c r="B327" s="34"/>
      <c r="C327" s="12"/>
      <c r="D327" s="12"/>
      <c r="E327" s="12"/>
      <c r="F327" s="12"/>
      <c r="G327" s="18"/>
      <c r="H327" s="35"/>
      <c r="I327" s="35"/>
      <c r="J327" s="12"/>
      <c r="O327" s="12"/>
      <c r="P327" s="18"/>
      <c r="Q327" s="12"/>
      <c r="R327" s="12"/>
      <c r="S327" s="12"/>
      <c r="T327" s="36"/>
      <c r="U327" s="36"/>
      <c r="V327" s="12"/>
      <c r="W327" s="12"/>
      <c r="X327" s="12"/>
      <c r="Y327" s="12"/>
      <c r="Z327" s="12"/>
    </row>
    <row r="328" customFormat="false" ht="15.75" hidden="false" customHeight="false" outlineLevel="0" collapsed="false">
      <c r="A328" s="12"/>
      <c r="B328" s="34"/>
      <c r="C328" s="12"/>
      <c r="D328" s="12"/>
      <c r="E328" s="12"/>
      <c r="F328" s="12"/>
      <c r="G328" s="18"/>
      <c r="H328" s="35"/>
      <c r="I328" s="35"/>
      <c r="J328" s="12"/>
      <c r="O328" s="12"/>
      <c r="P328" s="18"/>
      <c r="Q328" s="12"/>
      <c r="R328" s="12"/>
      <c r="S328" s="12"/>
      <c r="T328" s="36"/>
      <c r="U328" s="36"/>
      <c r="V328" s="12"/>
      <c r="W328" s="12"/>
      <c r="X328" s="12"/>
      <c r="Y328" s="12"/>
      <c r="Z328" s="12"/>
    </row>
    <row r="329" customFormat="false" ht="15.75" hidden="false" customHeight="false" outlineLevel="0" collapsed="false">
      <c r="A329" s="12"/>
      <c r="B329" s="34"/>
      <c r="C329" s="12"/>
      <c r="D329" s="12"/>
      <c r="E329" s="12"/>
      <c r="F329" s="12"/>
      <c r="G329" s="18"/>
      <c r="H329" s="35"/>
      <c r="I329" s="35"/>
      <c r="J329" s="12"/>
      <c r="O329" s="12"/>
      <c r="P329" s="18"/>
      <c r="Q329" s="12"/>
      <c r="R329" s="12"/>
      <c r="S329" s="12"/>
      <c r="T329" s="36"/>
      <c r="U329" s="36"/>
      <c r="V329" s="12"/>
      <c r="W329" s="12"/>
      <c r="X329" s="12"/>
      <c r="Y329" s="12"/>
      <c r="Z329" s="12"/>
    </row>
    <row r="330" customFormat="false" ht="15.75" hidden="false" customHeight="false" outlineLevel="0" collapsed="false">
      <c r="A330" s="12"/>
      <c r="B330" s="34"/>
      <c r="C330" s="12"/>
      <c r="D330" s="12"/>
      <c r="E330" s="12"/>
      <c r="F330" s="12"/>
      <c r="G330" s="18"/>
      <c r="H330" s="35"/>
      <c r="I330" s="35"/>
      <c r="J330" s="12"/>
      <c r="O330" s="12"/>
      <c r="P330" s="18"/>
      <c r="Q330" s="12"/>
      <c r="R330" s="12"/>
      <c r="S330" s="12"/>
      <c r="T330" s="36"/>
      <c r="U330" s="36"/>
      <c r="V330" s="12"/>
      <c r="W330" s="12"/>
      <c r="X330" s="12"/>
      <c r="Y330" s="12"/>
      <c r="Z330" s="12"/>
    </row>
    <row r="331" customFormat="false" ht="15.75" hidden="false" customHeight="false" outlineLevel="0" collapsed="false">
      <c r="A331" s="12"/>
      <c r="B331" s="34"/>
      <c r="C331" s="12"/>
      <c r="D331" s="12"/>
      <c r="E331" s="12"/>
      <c r="F331" s="12"/>
      <c r="G331" s="18"/>
      <c r="H331" s="35"/>
      <c r="I331" s="35"/>
      <c r="J331" s="12"/>
      <c r="O331" s="12"/>
      <c r="P331" s="18"/>
      <c r="Q331" s="12"/>
      <c r="R331" s="12"/>
      <c r="S331" s="12"/>
      <c r="T331" s="36"/>
      <c r="U331" s="36"/>
      <c r="V331" s="12"/>
      <c r="W331" s="12"/>
      <c r="X331" s="12"/>
      <c r="Y331" s="12"/>
      <c r="Z331" s="12"/>
    </row>
    <row r="332" customFormat="false" ht="15.75" hidden="false" customHeight="false" outlineLevel="0" collapsed="false">
      <c r="A332" s="12"/>
      <c r="B332" s="34"/>
      <c r="C332" s="12"/>
      <c r="D332" s="12"/>
      <c r="E332" s="12"/>
      <c r="F332" s="12"/>
      <c r="G332" s="18"/>
      <c r="H332" s="35"/>
      <c r="I332" s="35"/>
      <c r="J332" s="12"/>
      <c r="O332" s="12"/>
      <c r="P332" s="18"/>
      <c r="Q332" s="12"/>
      <c r="R332" s="12"/>
      <c r="S332" s="12"/>
      <c r="T332" s="36"/>
      <c r="U332" s="36"/>
      <c r="V332" s="12"/>
      <c r="W332" s="12"/>
      <c r="X332" s="12"/>
      <c r="Y332" s="12"/>
      <c r="Z332" s="12"/>
    </row>
    <row r="333" customFormat="false" ht="15.75" hidden="false" customHeight="false" outlineLevel="0" collapsed="false">
      <c r="A333" s="12"/>
      <c r="B333" s="34"/>
      <c r="C333" s="12"/>
      <c r="D333" s="12"/>
      <c r="E333" s="12"/>
      <c r="F333" s="12"/>
      <c r="G333" s="18"/>
      <c r="H333" s="35"/>
      <c r="I333" s="35"/>
      <c r="J333" s="12"/>
      <c r="O333" s="12"/>
      <c r="P333" s="18"/>
      <c r="Q333" s="12"/>
      <c r="R333" s="12"/>
      <c r="S333" s="12"/>
      <c r="T333" s="36"/>
      <c r="U333" s="36"/>
      <c r="V333" s="12"/>
      <c r="W333" s="12"/>
      <c r="X333" s="12"/>
      <c r="Y333" s="12"/>
      <c r="Z333" s="12"/>
    </row>
    <row r="334" customFormat="false" ht="15.75" hidden="false" customHeight="false" outlineLevel="0" collapsed="false">
      <c r="A334" s="12"/>
      <c r="B334" s="34"/>
      <c r="C334" s="12"/>
      <c r="D334" s="12"/>
      <c r="E334" s="12"/>
      <c r="F334" s="12"/>
      <c r="G334" s="18"/>
      <c r="H334" s="35"/>
      <c r="I334" s="35"/>
      <c r="J334" s="12"/>
      <c r="O334" s="12"/>
      <c r="P334" s="18"/>
      <c r="Q334" s="12"/>
      <c r="R334" s="12"/>
      <c r="S334" s="12"/>
      <c r="T334" s="36"/>
      <c r="U334" s="36"/>
      <c r="V334" s="12"/>
      <c r="W334" s="12"/>
      <c r="X334" s="12"/>
      <c r="Y334" s="12"/>
      <c r="Z334" s="12"/>
    </row>
    <row r="335" customFormat="false" ht="15.75" hidden="false" customHeight="false" outlineLevel="0" collapsed="false">
      <c r="A335" s="12"/>
      <c r="B335" s="34"/>
      <c r="C335" s="12"/>
      <c r="D335" s="12"/>
      <c r="E335" s="12"/>
      <c r="F335" s="12"/>
      <c r="G335" s="18"/>
      <c r="H335" s="35"/>
      <c r="I335" s="35"/>
      <c r="J335" s="12"/>
      <c r="O335" s="12"/>
      <c r="P335" s="18"/>
      <c r="Q335" s="12"/>
      <c r="R335" s="12"/>
      <c r="S335" s="12"/>
      <c r="T335" s="36"/>
      <c r="U335" s="36"/>
      <c r="V335" s="12"/>
      <c r="W335" s="12"/>
      <c r="X335" s="12"/>
      <c r="Y335" s="12"/>
      <c r="Z335" s="12"/>
    </row>
    <row r="336" customFormat="false" ht="15.75" hidden="false" customHeight="false" outlineLevel="0" collapsed="false">
      <c r="A336" s="12"/>
      <c r="B336" s="34"/>
      <c r="C336" s="12"/>
      <c r="D336" s="12"/>
      <c r="E336" s="12"/>
      <c r="F336" s="12"/>
      <c r="G336" s="18"/>
      <c r="H336" s="35"/>
      <c r="I336" s="35"/>
      <c r="J336" s="12"/>
      <c r="O336" s="12"/>
      <c r="P336" s="18"/>
      <c r="Q336" s="12"/>
      <c r="R336" s="12"/>
      <c r="S336" s="12"/>
      <c r="T336" s="36"/>
      <c r="U336" s="36"/>
      <c r="V336" s="12"/>
      <c r="W336" s="12"/>
      <c r="X336" s="12"/>
      <c r="Y336" s="12"/>
      <c r="Z336" s="12"/>
    </row>
    <row r="337" customFormat="false" ht="15.75" hidden="false" customHeight="false" outlineLevel="0" collapsed="false">
      <c r="A337" s="12"/>
      <c r="B337" s="34"/>
      <c r="C337" s="12"/>
      <c r="D337" s="12"/>
      <c r="E337" s="12"/>
      <c r="F337" s="12"/>
      <c r="G337" s="18"/>
      <c r="H337" s="35"/>
      <c r="I337" s="35"/>
      <c r="J337" s="12"/>
      <c r="O337" s="12"/>
      <c r="P337" s="18"/>
      <c r="Q337" s="12"/>
      <c r="R337" s="12"/>
      <c r="S337" s="12"/>
      <c r="T337" s="36"/>
      <c r="U337" s="36"/>
      <c r="V337" s="12"/>
      <c r="W337" s="12"/>
      <c r="X337" s="12"/>
      <c r="Y337" s="12"/>
      <c r="Z337" s="12"/>
    </row>
    <row r="338" customFormat="false" ht="15.75" hidden="false" customHeight="false" outlineLevel="0" collapsed="false">
      <c r="A338" s="12"/>
      <c r="B338" s="34"/>
      <c r="C338" s="12"/>
      <c r="D338" s="12"/>
      <c r="E338" s="12"/>
      <c r="F338" s="12"/>
      <c r="G338" s="18"/>
      <c r="H338" s="35"/>
      <c r="I338" s="35"/>
      <c r="J338" s="12"/>
      <c r="O338" s="12"/>
      <c r="P338" s="18"/>
      <c r="Q338" s="12"/>
      <c r="R338" s="12"/>
      <c r="S338" s="12"/>
      <c r="T338" s="36"/>
      <c r="U338" s="36"/>
      <c r="V338" s="12"/>
      <c r="W338" s="12"/>
      <c r="X338" s="12"/>
      <c r="Y338" s="12"/>
      <c r="Z338" s="12"/>
    </row>
    <row r="339" customFormat="false" ht="15.75" hidden="false" customHeight="false" outlineLevel="0" collapsed="false">
      <c r="A339" s="12"/>
      <c r="B339" s="34"/>
      <c r="C339" s="12"/>
      <c r="D339" s="12"/>
      <c r="E339" s="12"/>
      <c r="F339" s="12"/>
      <c r="G339" s="18"/>
      <c r="H339" s="35"/>
      <c r="I339" s="35"/>
      <c r="J339" s="12"/>
      <c r="O339" s="12"/>
      <c r="P339" s="18"/>
      <c r="Q339" s="12"/>
      <c r="R339" s="12"/>
      <c r="S339" s="12"/>
      <c r="T339" s="36"/>
      <c r="U339" s="36"/>
      <c r="V339" s="12"/>
      <c r="W339" s="12"/>
      <c r="X339" s="12"/>
      <c r="Y339" s="12"/>
      <c r="Z339" s="12"/>
    </row>
    <row r="340" customFormat="false" ht="15.75" hidden="false" customHeight="false" outlineLevel="0" collapsed="false">
      <c r="A340" s="12"/>
      <c r="B340" s="34"/>
      <c r="C340" s="12"/>
      <c r="D340" s="12"/>
      <c r="E340" s="12"/>
      <c r="F340" s="12"/>
      <c r="G340" s="18"/>
      <c r="H340" s="35"/>
      <c r="I340" s="35"/>
      <c r="J340" s="12"/>
      <c r="O340" s="12"/>
      <c r="P340" s="18"/>
      <c r="Q340" s="12"/>
      <c r="R340" s="12"/>
      <c r="S340" s="12"/>
      <c r="T340" s="36"/>
      <c r="U340" s="36"/>
      <c r="V340" s="12"/>
      <c r="W340" s="12"/>
      <c r="X340" s="12"/>
      <c r="Y340" s="12"/>
      <c r="Z340" s="12"/>
    </row>
    <row r="341" customFormat="false" ht="15.75" hidden="false" customHeight="false" outlineLevel="0" collapsed="false">
      <c r="A341" s="12"/>
      <c r="B341" s="34"/>
      <c r="C341" s="12"/>
      <c r="D341" s="12"/>
      <c r="E341" s="12"/>
      <c r="F341" s="12"/>
      <c r="G341" s="18"/>
      <c r="H341" s="35"/>
      <c r="I341" s="35"/>
      <c r="J341" s="12"/>
      <c r="O341" s="12"/>
      <c r="P341" s="18"/>
      <c r="Q341" s="12"/>
      <c r="R341" s="12"/>
      <c r="S341" s="12"/>
      <c r="T341" s="36"/>
      <c r="U341" s="36"/>
      <c r="V341" s="12"/>
      <c r="W341" s="12"/>
      <c r="X341" s="12"/>
      <c r="Y341" s="12"/>
      <c r="Z341" s="12"/>
    </row>
    <row r="342" customFormat="false" ht="15.75" hidden="false" customHeight="false" outlineLevel="0" collapsed="false">
      <c r="A342" s="12"/>
      <c r="B342" s="34"/>
      <c r="C342" s="12"/>
      <c r="D342" s="12"/>
      <c r="E342" s="12"/>
      <c r="F342" s="12"/>
      <c r="G342" s="18"/>
      <c r="H342" s="35"/>
      <c r="I342" s="35"/>
      <c r="J342" s="12"/>
      <c r="O342" s="12"/>
      <c r="P342" s="18"/>
      <c r="Q342" s="12"/>
      <c r="R342" s="12"/>
      <c r="S342" s="12"/>
      <c r="T342" s="36"/>
      <c r="U342" s="36"/>
      <c r="V342" s="12"/>
      <c r="W342" s="12"/>
      <c r="X342" s="12"/>
      <c r="Y342" s="12"/>
      <c r="Z342" s="12"/>
    </row>
    <row r="343" customFormat="false" ht="15.75" hidden="false" customHeight="false" outlineLevel="0" collapsed="false">
      <c r="A343" s="12"/>
      <c r="B343" s="34"/>
      <c r="C343" s="12"/>
      <c r="D343" s="12"/>
      <c r="E343" s="12"/>
      <c r="F343" s="12"/>
      <c r="G343" s="18"/>
      <c r="H343" s="35"/>
      <c r="I343" s="35"/>
      <c r="J343" s="12"/>
      <c r="O343" s="12"/>
      <c r="P343" s="18"/>
      <c r="Q343" s="12"/>
      <c r="R343" s="12"/>
      <c r="S343" s="12"/>
      <c r="T343" s="36"/>
      <c r="U343" s="36"/>
      <c r="V343" s="12"/>
      <c r="W343" s="12"/>
      <c r="X343" s="12"/>
      <c r="Y343" s="12"/>
      <c r="Z343" s="12"/>
    </row>
    <row r="344" customFormat="false" ht="15.75" hidden="false" customHeight="false" outlineLevel="0" collapsed="false">
      <c r="A344" s="12"/>
      <c r="B344" s="34"/>
      <c r="C344" s="12"/>
      <c r="D344" s="12"/>
      <c r="E344" s="12"/>
      <c r="F344" s="12"/>
      <c r="G344" s="18"/>
      <c r="H344" s="35"/>
      <c r="I344" s="35"/>
      <c r="J344" s="12"/>
      <c r="O344" s="12"/>
      <c r="P344" s="18"/>
      <c r="Q344" s="12"/>
      <c r="R344" s="12"/>
      <c r="S344" s="12"/>
      <c r="T344" s="36"/>
      <c r="U344" s="36"/>
      <c r="V344" s="12"/>
      <c r="W344" s="12"/>
      <c r="X344" s="12"/>
      <c r="Y344" s="12"/>
      <c r="Z344" s="12"/>
    </row>
    <row r="345" customFormat="false" ht="15.75" hidden="false" customHeight="false" outlineLevel="0" collapsed="false">
      <c r="A345" s="12"/>
      <c r="B345" s="34"/>
      <c r="C345" s="12"/>
      <c r="D345" s="12"/>
      <c r="E345" s="12"/>
      <c r="F345" s="12"/>
      <c r="G345" s="18"/>
      <c r="H345" s="35"/>
      <c r="I345" s="35"/>
      <c r="J345" s="12"/>
      <c r="O345" s="12"/>
      <c r="P345" s="18"/>
      <c r="Q345" s="12"/>
      <c r="R345" s="12"/>
      <c r="S345" s="12"/>
      <c r="T345" s="36"/>
      <c r="U345" s="36"/>
      <c r="V345" s="12"/>
      <c r="W345" s="12"/>
      <c r="X345" s="12"/>
      <c r="Y345" s="12"/>
      <c r="Z345" s="12"/>
    </row>
    <row r="346" customFormat="false" ht="15.75" hidden="false" customHeight="false" outlineLevel="0" collapsed="false">
      <c r="A346" s="12"/>
      <c r="B346" s="34"/>
      <c r="C346" s="12"/>
      <c r="D346" s="12"/>
      <c r="E346" s="12"/>
      <c r="F346" s="12"/>
      <c r="G346" s="18"/>
      <c r="H346" s="35"/>
      <c r="I346" s="35"/>
      <c r="J346" s="12"/>
      <c r="O346" s="12"/>
      <c r="P346" s="18"/>
      <c r="Q346" s="12"/>
      <c r="R346" s="12"/>
      <c r="S346" s="12"/>
      <c r="T346" s="36"/>
      <c r="U346" s="36"/>
      <c r="V346" s="12"/>
      <c r="W346" s="12"/>
      <c r="X346" s="12"/>
      <c r="Y346" s="12"/>
      <c r="Z346" s="12"/>
    </row>
    <row r="347" customFormat="false" ht="15.75" hidden="false" customHeight="false" outlineLevel="0" collapsed="false">
      <c r="A347" s="12"/>
      <c r="B347" s="34"/>
      <c r="C347" s="12"/>
      <c r="D347" s="12"/>
      <c r="E347" s="12"/>
      <c r="F347" s="12"/>
      <c r="G347" s="18"/>
      <c r="H347" s="35"/>
      <c r="I347" s="35"/>
      <c r="J347" s="12"/>
      <c r="O347" s="12"/>
      <c r="P347" s="18"/>
      <c r="Q347" s="12"/>
      <c r="R347" s="12"/>
      <c r="S347" s="12"/>
      <c r="T347" s="36"/>
      <c r="U347" s="36"/>
      <c r="V347" s="12"/>
      <c r="W347" s="12"/>
      <c r="X347" s="12"/>
      <c r="Y347" s="12"/>
      <c r="Z347" s="12"/>
    </row>
    <row r="348" customFormat="false" ht="15.75" hidden="false" customHeight="false" outlineLevel="0" collapsed="false">
      <c r="A348" s="12"/>
      <c r="B348" s="34"/>
      <c r="C348" s="12"/>
      <c r="D348" s="12"/>
      <c r="E348" s="12"/>
      <c r="F348" s="12"/>
      <c r="G348" s="18"/>
      <c r="H348" s="35"/>
      <c r="I348" s="35"/>
      <c r="J348" s="12"/>
      <c r="O348" s="12"/>
      <c r="P348" s="18"/>
      <c r="Q348" s="12"/>
      <c r="R348" s="12"/>
      <c r="S348" s="12"/>
      <c r="T348" s="36"/>
      <c r="U348" s="36"/>
      <c r="V348" s="12"/>
      <c r="W348" s="12"/>
      <c r="X348" s="12"/>
      <c r="Y348" s="12"/>
      <c r="Z348" s="12"/>
    </row>
    <row r="349" customFormat="false" ht="15.75" hidden="false" customHeight="false" outlineLevel="0" collapsed="false">
      <c r="A349" s="12"/>
      <c r="B349" s="34"/>
      <c r="C349" s="12"/>
      <c r="D349" s="12"/>
      <c r="E349" s="12"/>
      <c r="F349" s="12"/>
      <c r="G349" s="18"/>
      <c r="H349" s="35"/>
      <c r="I349" s="35"/>
      <c r="J349" s="12"/>
      <c r="O349" s="12"/>
      <c r="P349" s="18"/>
      <c r="Q349" s="12"/>
      <c r="R349" s="12"/>
      <c r="S349" s="12"/>
      <c r="T349" s="36"/>
      <c r="U349" s="36"/>
      <c r="V349" s="12"/>
      <c r="W349" s="12"/>
      <c r="X349" s="12"/>
      <c r="Y349" s="12"/>
      <c r="Z349" s="12"/>
    </row>
    <row r="350" customFormat="false" ht="15.75" hidden="false" customHeight="false" outlineLevel="0" collapsed="false">
      <c r="A350" s="12"/>
      <c r="B350" s="34"/>
      <c r="C350" s="12"/>
      <c r="D350" s="12"/>
      <c r="E350" s="12"/>
      <c r="F350" s="12"/>
      <c r="G350" s="18"/>
      <c r="H350" s="35"/>
      <c r="I350" s="35"/>
      <c r="J350" s="12"/>
      <c r="O350" s="12"/>
      <c r="P350" s="18"/>
      <c r="Q350" s="12"/>
      <c r="R350" s="12"/>
      <c r="S350" s="12"/>
      <c r="T350" s="36"/>
      <c r="U350" s="36"/>
      <c r="V350" s="12"/>
      <c r="W350" s="12"/>
      <c r="X350" s="12"/>
      <c r="Y350" s="12"/>
      <c r="Z350" s="12"/>
    </row>
    <row r="351" customFormat="false" ht="15.75" hidden="false" customHeight="false" outlineLevel="0" collapsed="false">
      <c r="A351" s="12"/>
      <c r="B351" s="34"/>
      <c r="C351" s="12"/>
      <c r="D351" s="12"/>
      <c r="E351" s="12"/>
      <c r="F351" s="12"/>
      <c r="G351" s="18"/>
      <c r="H351" s="35"/>
      <c r="I351" s="35"/>
      <c r="J351" s="12"/>
      <c r="O351" s="12"/>
      <c r="P351" s="18"/>
      <c r="Q351" s="12"/>
      <c r="R351" s="12"/>
      <c r="S351" s="12"/>
      <c r="T351" s="36"/>
      <c r="U351" s="36"/>
      <c r="V351" s="12"/>
      <c r="W351" s="12"/>
      <c r="X351" s="12"/>
      <c r="Y351" s="12"/>
      <c r="Z351" s="12"/>
    </row>
    <row r="352" customFormat="false" ht="15.75" hidden="false" customHeight="false" outlineLevel="0" collapsed="false">
      <c r="A352" s="12"/>
      <c r="B352" s="34"/>
      <c r="C352" s="12"/>
      <c r="D352" s="12"/>
      <c r="E352" s="12"/>
      <c r="F352" s="12"/>
      <c r="G352" s="18"/>
      <c r="H352" s="35"/>
      <c r="I352" s="35"/>
      <c r="J352" s="12"/>
      <c r="O352" s="12"/>
      <c r="P352" s="18"/>
      <c r="Q352" s="12"/>
      <c r="R352" s="12"/>
      <c r="S352" s="12"/>
      <c r="T352" s="36"/>
      <c r="U352" s="36"/>
      <c r="V352" s="12"/>
      <c r="W352" s="12"/>
      <c r="X352" s="12"/>
      <c r="Y352" s="12"/>
      <c r="Z352" s="12"/>
    </row>
    <row r="353" customFormat="false" ht="15.75" hidden="false" customHeight="false" outlineLevel="0" collapsed="false">
      <c r="A353" s="12"/>
      <c r="B353" s="34"/>
      <c r="C353" s="12"/>
      <c r="D353" s="12"/>
      <c r="E353" s="12"/>
      <c r="F353" s="12"/>
      <c r="G353" s="18"/>
      <c r="H353" s="35"/>
      <c r="I353" s="35"/>
      <c r="J353" s="12"/>
      <c r="O353" s="12"/>
      <c r="P353" s="18"/>
      <c r="Q353" s="12"/>
      <c r="R353" s="12"/>
      <c r="S353" s="12"/>
      <c r="T353" s="36"/>
      <c r="U353" s="36"/>
      <c r="V353" s="12"/>
      <c r="W353" s="12"/>
      <c r="X353" s="12"/>
      <c r="Y353" s="12"/>
      <c r="Z353" s="12"/>
    </row>
    <row r="354" customFormat="false" ht="15.75" hidden="false" customHeight="false" outlineLevel="0" collapsed="false">
      <c r="A354" s="12"/>
      <c r="B354" s="34"/>
      <c r="C354" s="12"/>
      <c r="D354" s="12"/>
      <c r="E354" s="12"/>
      <c r="F354" s="12"/>
      <c r="G354" s="18"/>
      <c r="H354" s="35"/>
      <c r="I354" s="35"/>
      <c r="J354" s="12"/>
      <c r="O354" s="12"/>
      <c r="P354" s="18"/>
      <c r="Q354" s="12"/>
      <c r="R354" s="12"/>
      <c r="S354" s="12"/>
      <c r="T354" s="36"/>
      <c r="U354" s="36"/>
      <c r="V354" s="12"/>
      <c r="W354" s="12"/>
      <c r="X354" s="12"/>
      <c r="Y354" s="12"/>
      <c r="Z354" s="12"/>
    </row>
    <row r="355" customFormat="false" ht="15.75" hidden="false" customHeight="false" outlineLevel="0" collapsed="false">
      <c r="A355" s="12"/>
      <c r="B355" s="34"/>
      <c r="C355" s="12"/>
      <c r="D355" s="12"/>
      <c r="E355" s="12"/>
      <c r="F355" s="12"/>
      <c r="G355" s="18"/>
      <c r="H355" s="35"/>
      <c r="I355" s="35"/>
      <c r="J355" s="12"/>
      <c r="O355" s="12"/>
      <c r="P355" s="18"/>
      <c r="Q355" s="12"/>
      <c r="R355" s="12"/>
      <c r="S355" s="12"/>
      <c r="T355" s="36"/>
      <c r="U355" s="36"/>
      <c r="V355" s="12"/>
      <c r="W355" s="12"/>
      <c r="X355" s="12"/>
      <c r="Y355" s="12"/>
      <c r="Z355" s="12"/>
    </row>
    <row r="356" customFormat="false" ht="15.75" hidden="false" customHeight="false" outlineLevel="0" collapsed="false">
      <c r="A356" s="12"/>
      <c r="B356" s="34"/>
      <c r="C356" s="12"/>
      <c r="D356" s="12"/>
      <c r="E356" s="12"/>
      <c r="F356" s="12"/>
      <c r="G356" s="18"/>
      <c r="H356" s="35"/>
      <c r="I356" s="35"/>
      <c r="J356" s="12"/>
      <c r="O356" s="12"/>
      <c r="P356" s="18"/>
      <c r="Q356" s="12"/>
      <c r="R356" s="12"/>
      <c r="S356" s="12"/>
      <c r="T356" s="36"/>
      <c r="U356" s="36"/>
      <c r="V356" s="12"/>
      <c r="W356" s="12"/>
      <c r="X356" s="12"/>
      <c r="Y356" s="12"/>
      <c r="Z356" s="12"/>
    </row>
    <row r="357" customFormat="false" ht="15.75" hidden="false" customHeight="false" outlineLevel="0" collapsed="false">
      <c r="A357" s="12"/>
      <c r="B357" s="34"/>
      <c r="C357" s="12"/>
      <c r="D357" s="12"/>
      <c r="E357" s="12"/>
      <c r="F357" s="12"/>
      <c r="G357" s="18"/>
      <c r="H357" s="35"/>
      <c r="I357" s="35"/>
      <c r="J357" s="12"/>
      <c r="O357" s="12"/>
      <c r="P357" s="18"/>
      <c r="Q357" s="12"/>
      <c r="R357" s="12"/>
      <c r="S357" s="12"/>
      <c r="T357" s="36"/>
      <c r="U357" s="36"/>
      <c r="V357" s="12"/>
      <c r="W357" s="12"/>
      <c r="X357" s="12"/>
      <c r="Y357" s="12"/>
      <c r="Z357" s="12"/>
    </row>
    <row r="358" customFormat="false" ht="15.75" hidden="false" customHeight="false" outlineLevel="0" collapsed="false">
      <c r="A358" s="12"/>
      <c r="B358" s="34"/>
      <c r="C358" s="12"/>
      <c r="D358" s="12"/>
      <c r="E358" s="12"/>
      <c r="F358" s="12"/>
      <c r="G358" s="18"/>
      <c r="H358" s="35"/>
      <c r="I358" s="35"/>
      <c r="J358" s="12"/>
      <c r="O358" s="12"/>
      <c r="P358" s="18"/>
      <c r="Q358" s="12"/>
      <c r="R358" s="12"/>
      <c r="S358" s="12"/>
      <c r="T358" s="36"/>
      <c r="U358" s="36"/>
      <c r="V358" s="12"/>
      <c r="W358" s="12"/>
      <c r="X358" s="12"/>
      <c r="Y358" s="12"/>
      <c r="Z358" s="12"/>
    </row>
    <row r="359" customFormat="false" ht="15.75" hidden="false" customHeight="false" outlineLevel="0" collapsed="false">
      <c r="A359" s="12"/>
      <c r="B359" s="34"/>
      <c r="C359" s="12"/>
      <c r="D359" s="12"/>
      <c r="E359" s="12"/>
      <c r="F359" s="12"/>
      <c r="G359" s="18"/>
      <c r="H359" s="35"/>
      <c r="I359" s="35"/>
      <c r="J359" s="12"/>
      <c r="O359" s="12"/>
      <c r="P359" s="18"/>
      <c r="Q359" s="12"/>
      <c r="R359" s="12"/>
      <c r="S359" s="12"/>
      <c r="T359" s="36"/>
      <c r="U359" s="36"/>
      <c r="V359" s="12"/>
      <c r="W359" s="12"/>
      <c r="X359" s="12"/>
      <c r="Y359" s="12"/>
      <c r="Z359" s="12"/>
    </row>
    <row r="360" customFormat="false" ht="15.75" hidden="false" customHeight="false" outlineLevel="0" collapsed="false">
      <c r="A360" s="12"/>
      <c r="B360" s="34"/>
      <c r="C360" s="12"/>
      <c r="D360" s="12"/>
      <c r="E360" s="12"/>
      <c r="F360" s="12"/>
      <c r="G360" s="18"/>
      <c r="H360" s="35"/>
      <c r="I360" s="35"/>
      <c r="J360" s="12"/>
      <c r="O360" s="12"/>
      <c r="P360" s="18"/>
      <c r="Q360" s="12"/>
      <c r="R360" s="12"/>
      <c r="S360" s="12"/>
      <c r="T360" s="36"/>
      <c r="U360" s="36"/>
      <c r="V360" s="12"/>
      <c r="W360" s="12"/>
      <c r="X360" s="12"/>
      <c r="Y360" s="12"/>
      <c r="Z360" s="12"/>
    </row>
    <row r="361" customFormat="false" ht="15.75" hidden="false" customHeight="false" outlineLevel="0" collapsed="false">
      <c r="A361" s="12"/>
      <c r="B361" s="34"/>
      <c r="C361" s="12"/>
      <c r="D361" s="12"/>
      <c r="E361" s="12"/>
      <c r="F361" s="12"/>
      <c r="G361" s="18"/>
      <c r="H361" s="35"/>
      <c r="I361" s="35"/>
      <c r="J361" s="12"/>
      <c r="O361" s="12"/>
      <c r="P361" s="18"/>
      <c r="Q361" s="12"/>
      <c r="R361" s="12"/>
      <c r="S361" s="12"/>
      <c r="T361" s="36"/>
      <c r="U361" s="36"/>
      <c r="V361" s="12"/>
      <c r="W361" s="12"/>
      <c r="X361" s="12"/>
      <c r="Y361" s="12"/>
      <c r="Z361" s="12"/>
    </row>
    <row r="362" customFormat="false" ht="15.75" hidden="false" customHeight="false" outlineLevel="0" collapsed="false">
      <c r="A362" s="12"/>
      <c r="B362" s="34"/>
      <c r="C362" s="12"/>
      <c r="D362" s="12"/>
      <c r="E362" s="12"/>
      <c r="F362" s="12"/>
      <c r="G362" s="18"/>
      <c r="H362" s="35"/>
      <c r="I362" s="35"/>
      <c r="J362" s="12"/>
      <c r="O362" s="12"/>
      <c r="P362" s="18"/>
      <c r="Q362" s="12"/>
      <c r="R362" s="12"/>
      <c r="S362" s="12"/>
      <c r="T362" s="36"/>
      <c r="U362" s="36"/>
      <c r="V362" s="12"/>
      <c r="W362" s="12"/>
      <c r="X362" s="12"/>
      <c r="Y362" s="12"/>
      <c r="Z362" s="12"/>
    </row>
    <row r="363" customFormat="false" ht="15.75" hidden="false" customHeight="false" outlineLevel="0" collapsed="false">
      <c r="A363" s="12"/>
      <c r="B363" s="34"/>
      <c r="C363" s="12"/>
      <c r="D363" s="12"/>
      <c r="E363" s="12"/>
      <c r="F363" s="12"/>
      <c r="G363" s="18"/>
      <c r="H363" s="35"/>
      <c r="I363" s="35"/>
      <c r="J363" s="12"/>
      <c r="O363" s="12"/>
      <c r="P363" s="18"/>
      <c r="Q363" s="12"/>
      <c r="R363" s="12"/>
      <c r="S363" s="12"/>
      <c r="T363" s="36"/>
      <c r="U363" s="36"/>
      <c r="V363" s="12"/>
      <c r="W363" s="12"/>
      <c r="X363" s="12"/>
      <c r="Y363" s="12"/>
      <c r="Z363" s="12"/>
    </row>
    <row r="364" customFormat="false" ht="15.75" hidden="false" customHeight="false" outlineLevel="0" collapsed="false">
      <c r="A364" s="12"/>
      <c r="B364" s="34"/>
      <c r="C364" s="12"/>
      <c r="D364" s="12"/>
      <c r="E364" s="12"/>
      <c r="F364" s="12"/>
      <c r="G364" s="18"/>
      <c r="H364" s="35"/>
      <c r="I364" s="35"/>
      <c r="J364" s="12"/>
      <c r="O364" s="12"/>
      <c r="P364" s="18"/>
      <c r="Q364" s="12"/>
      <c r="R364" s="12"/>
      <c r="S364" s="12"/>
      <c r="T364" s="36"/>
      <c r="U364" s="36"/>
      <c r="V364" s="12"/>
      <c r="W364" s="12"/>
      <c r="X364" s="12"/>
      <c r="Y364" s="12"/>
      <c r="Z364" s="12"/>
    </row>
    <row r="365" customFormat="false" ht="15.75" hidden="false" customHeight="false" outlineLevel="0" collapsed="false">
      <c r="A365" s="12"/>
      <c r="B365" s="34"/>
      <c r="C365" s="12"/>
      <c r="D365" s="12"/>
      <c r="E365" s="12"/>
      <c r="F365" s="12"/>
      <c r="G365" s="18"/>
      <c r="H365" s="35"/>
      <c r="I365" s="35"/>
      <c r="J365" s="12"/>
      <c r="O365" s="12"/>
      <c r="P365" s="18"/>
      <c r="Q365" s="12"/>
      <c r="R365" s="12"/>
      <c r="S365" s="12"/>
      <c r="T365" s="36"/>
      <c r="U365" s="36"/>
      <c r="V365" s="12"/>
      <c r="W365" s="12"/>
      <c r="X365" s="12"/>
      <c r="Y365" s="12"/>
      <c r="Z365" s="12"/>
    </row>
    <row r="366" customFormat="false" ht="15.75" hidden="false" customHeight="false" outlineLevel="0" collapsed="false">
      <c r="A366" s="12"/>
      <c r="B366" s="34"/>
      <c r="C366" s="12"/>
      <c r="D366" s="12"/>
      <c r="E366" s="12"/>
      <c r="F366" s="12"/>
      <c r="G366" s="18"/>
      <c r="H366" s="35"/>
      <c r="I366" s="35"/>
      <c r="J366" s="12"/>
      <c r="O366" s="12"/>
      <c r="P366" s="18"/>
      <c r="Q366" s="12"/>
      <c r="R366" s="12"/>
      <c r="S366" s="12"/>
      <c r="T366" s="36"/>
      <c r="U366" s="36"/>
      <c r="V366" s="12"/>
      <c r="W366" s="12"/>
      <c r="X366" s="12"/>
      <c r="Y366" s="12"/>
      <c r="Z366" s="12"/>
    </row>
    <row r="367" customFormat="false" ht="15.75" hidden="false" customHeight="false" outlineLevel="0" collapsed="false">
      <c r="A367" s="12"/>
      <c r="B367" s="34"/>
      <c r="C367" s="12"/>
      <c r="D367" s="12"/>
      <c r="E367" s="12"/>
      <c r="F367" s="12"/>
      <c r="G367" s="18"/>
      <c r="H367" s="35"/>
      <c r="I367" s="35"/>
      <c r="J367" s="12"/>
      <c r="O367" s="12"/>
      <c r="P367" s="18"/>
      <c r="Q367" s="12"/>
      <c r="R367" s="12"/>
      <c r="S367" s="12"/>
      <c r="T367" s="36"/>
      <c r="U367" s="36"/>
      <c r="V367" s="12"/>
      <c r="W367" s="12"/>
      <c r="X367" s="12"/>
      <c r="Y367" s="12"/>
      <c r="Z367" s="12"/>
    </row>
    <row r="368" customFormat="false" ht="15.75" hidden="false" customHeight="false" outlineLevel="0" collapsed="false">
      <c r="A368" s="12"/>
      <c r="B368" s="34"/>
      <c r="C368" s="12"/>
      <c r="D368" s="12"/>
      <c r="E368" s="12"/>
      <c r="F368" s="12"/>
      <c r="G368" s="18"/>
      <c r="H368" s="35"/>
      <c r="I368" s="35"/>
      <c r="J368" s="12"/>
      <c r="O368" s="12"/>
      <c r="P368" s="18"/>
      <c r="Q368" s="12"/>
      <c r="R368" s="12"/>
      <c r="S368" s="12"/>
      <c r="T368" s="36"/>
      <c r="U368" s="36"/>
      <c r="V368" s="12"/>
      <c r="W368" s="12"/>
      <c r="X368" s="12"/>
      <c r="Y368" s="12"/>
      <c r="Z368" s="12"/>
    </row>
    <row r="369" customFormat="false" ht="15.75" hidden="false" customHeight="false" outlineLevel="0" collapsed="false">
      <c r="A369" s="12"/>
      <c r="B369" s="34"/>
      <c r="C369" s="12"/>
      <c r="D369" s="12"/>
      <c r="E369" s="12"/>
      <c r="F369" s="12"/>
      <c r="G369" s="18"/>
      <c r="H369" s="35"/>
      <c r="I369" s="35"/>
      <c r="J369" s="12"/>
      <c r="O369" s="12"/>
      <c r="P369" s="18"/>
      <c r="Q369" s="12"/>
      <c r="R369" s="12"/>
      <c r="S369" s="12"/>
      <c r="T369" s="36"/>
      <c r="U369" s="36"/>
      <c r="V369" s="12"/>
      <c r="W369" s="12"/>
      <c r="X369" s="12"/>
      <c r="Y369" s="12"/>
      <c r="Z369" s="12"/>
    </row>
    <row r="370" customFormat="false" ht="15.75" hidden="false" customHeight="false" outlineLevel="0" collapsed="false">
      <c r="A370" s="12"/>
      <c r="B370" s="34"/>
      <c r="C370" s="12"/>
      <c r="D370" s="12"/>
      <c r="E370" s="12"/>
      <c r="F370" s="12"/>
      <c r="G370" s="18"/>
      <c r="H370" s="35"/>
      <c r="I370" s="35"/>
      <c r="J370" s="12"/>
      <c r="O370" s="12"/>
      <c r="P370" s="18"/>
      <c r="Q370" s="12"/>
      <c r="R370" s="12"/>
      <c r="S370" s="12"/>
      <c r="T370" s="36"/>
      <c r="U370" s="36"/>
      <c r="V370" s="12"/>
      <c r="W370" s="12"/>
      <c r="X370" s="12"/>
      <c r="Y370" s="12"/>
      <c r="Z370" s="12"/>
    </row>
    <row r="371" customFormat="false" ht="15.75" hidden="false" customHeight="false" outlineLevel="0" collapsed="false">
      <c r="A371" s="12"/>
      <c r="B371" s="34"/>
      <c r="C371" s="12"/>
      <c r="D371" s="12"/>
      <c r="E371" s="12"/>
      <c r="F371" s="12"/>
      <c r="G371" s="18"/>
      <c r="H371" s="35"/>
      <c r="I371" s="35"/>
      <c r="J371" s="12"/>
      <c r="O371" s="12"/>
      <c r="P371" s="18"/>
      <c r="Q371" s="12"/>
      <c r="R371" s="12"/>
      <c r="S371" s="12"/>
      <c r="T371" s="36"/>
      <c r="U371" s="36"/>
      <c r="V371" s="12"/>
      <c r="W371" s="12"/>
      <c r="X371" s="12"/>
      <c r="Y371" s="12"/>
      <c r="Z371" s="12"/>
    </row>
    <row r="372" customFormat="false" ht="15.75" hidden="false" customHeight="false" outlineLevel="0" collapsed="false">
      <c r="A372" s="12"/>
      <c r="B372" s="34"/>
      <c r="C372" s="12"/>
      <c r="D372" s="12"/>
      <c r="E372" s="12"/>
      <c r="F372" s="12"/>
      <c r="G372" s="18"/>
      <c r="H372" s="35"/>
      <c r="I372" s="35"/>
      <c r="J372" s="12"/>
      <c r="O372" s="12"/>
      <c r="P372" s="18"/>
      <c r="Q372" s="12"/>
      <c r="R372" s="12"/>
      <c r="S372" s="12"/>
      <c r="T372" s="36"/>
      <c r="U372" s="36"/>
      <c r="V372" s="12"/>
      <c r="W372" s="12"/>
      <c r="X372" s="12"/>
      <c r="Y372" s="12"/>
      <c r="Z372" s="12"/>
    </row>
    <row r="373" customFormat="false" ht="15.75" hidden="false" customHeight="false" outlineLevel="0" collapsed="false">
      <c r="A373" s="12"/>
      <c r="B373" s="34"/>
      <c r="C373" s="12"/>
      <c r="D373" s="12"/>
      <c r="E373" s="12"/>
      <c r="F373" s="12"/>
      <c r="G373" s="18"/>
      <c r="H373" s="35"/>
      <c r="I373" s="35"/>
      <c r="J373" s="12"/>
      <c r="O373" s="12"/>
      <c r="P373" s="18"/>
      <c r="Q373" s="12"/>
      <c r="R373" s="12"/>
      <c r="S373" s="12"/>
      <c r="T373" s="36"/>
      <c r="U373" s="36"/>
      <c r="V373" s="12"/>
      <c r="W373" s="12"/>
      <c r="X373" s="12"/>
      <c r="Y373" s="12"/>
      <c r="Z373" s="12"/>
    </row>
    <row r="374" customFormat="false" ht="15.75" hidden="false" customHeight="false" outlineLevel="0" collapsed="false">
      <c r="A374" s="12"/>
      <c r="B374" s="34"/>
      <c r="C374" s="12"/>
      <c r="D374" s="12"/>
      <c r="E374" s="12"/>
      <c r="F374" s="12"/>
      <c r="G374" s="18"/>
      <c r="H374" s="35"/>
      <c r="I374" s="35"/>
      <c r="J374" s="12"/>
      <c r="O374" s="12"/>
      <c r="P374" s="18"/>
      <c r="Q374" s="12"/>
      <c r="R374" s="12"/>
      <c r="S374" s="12"/>
      <c r="T374" s="36"/>
      <c r="U374" s="36"/>
      <c r="V374" s="12"/>
      <c r="W374" s="12"/>
      <c r="X374" s="12"/>
      <c r="Y374" s="12"/>
      <c r="Z374" s="12"/>
    </row>
    <row r="375" customFormat="false" ht="15.75" hidden="false" customHeight="false" outlineLevel="0" collapsed="false">
      <c r="A375" s="12"/>
      <c r="B375" s="34"/>
      <c r="C375" s="12"/>
      <c r="D375" s="12"/>
      <c r="E375" s="12"/>
      <c r="F375" s="12"/>
      <c r="G375" s="18"/>
      <c r="H375" s="35"/>
      <c r="I375" s="35"/>
      <c r="J375" s="12"/>
      <c r="O375" s="12"/>
      <c r="P375" s="18"/>
      <c r="Q375" s="12"/>
      <c r="R375" s="12"/>
      <c r="S375" s="12"/>
      <c r="T375" s="36"/>
      <c r="U375" s="36"/>
      <c r="V375" s="12"/>
      <c r="W375" s="12"/>
      <c r="X375" s="12"/>
      <c r="Y375" s="12"/>
      <c r="Z375" s="12"/>
    </row>
    <row r="376" customFormat="false" ht="15.75" hidden="false" customHeight="false" outlineLevel="0" collapsed="false">
      <c r="A376" s="12"/>
      <c r="B376" s="34"/>
      <c r="C376" s="12"/>
      <c r="D376" s="12"/>
      <c r="E376" s="12"/>
      <c r="F376" s="12"/>
      <c r="G376" s="18"/>
      <c r="H376" s="35"/>
      <c r="I376" s="35"/>
      <c r="J376" s="12"/>
      <c r="O376" s="12"/>
      <c r="P376" s="18"/>
      <c r="Q376" s="12"/>
      <c r="R376" s="12"/>
      <c r="S376" s="12"/>
      <c r="T376" s="36"/>
      <c r="U376" s="36"/>
      <c r="V376" s="12"/>
      <c r="W376" s="12"/>
      <c r="X376" s="12"/>
      <c r="Y376" s="12"/>
      <c r="Z376" s="12"/>
    </row>
    <row r="377" customFormat="false" ht="15.75" hidden="false" customHeight="false" outlineLevel="0" collapsed="false">
      <c r="A377" s="12"/>
      <c r="B377" s="34"/>
      <c r="C377" s="12"/>
      <c r="D377" s="12"/>
      <c r="E377" s="12"/>
      <c r="F377" s="12"/>
      <c r="G377" s="18"/>
      <c r="H377" s="35"/>
      <c r="I377" s="35"/>
      <c r="J377" s="12"/>
      <c r="O377" s="12"/>
      <c r="P377" s="18"/>
      <c r="Q377" s="12"/>
      <c r="R377" s="12"/>
      <c r="S377" s="12"/>
      <c r="T377" s="36"/>
      <c r="U377" s="36"/>
      <c r="V377" s="12"/>
      <c r="W377" s="12"/>
      <c r="X377" s="12"/>
      <c r="Y377" s="12"/>
      <c r="Z377" s="12"/>
    </row>
    <row r="378" customFormat="false" ht="15.75" hidden="false" customHeight="false" outlineLevel="0" collapsed="false">
      <c r="A378" s="12"/>
      <c r="B378" s="34"/>
      <c r="C378" s="12"/>
      <c r="D378" s="12"/>
      <c r="E378" s="12"/>
      <c r="F378" s="12"/>
      <c r="G378" s="18"/>
      <c r="H378" s="35"/>
      <c r="I378" s="35"/>
      <c r="J378" s="12"/>
      <c r="O378" s="12"/>
      <c r="P378" s="18"/>
      <c r="Q378" s="12"/>
      <c r="R378" s="12"/>
      <c r="S378" s="12"/>
      <c r="T378" s="36"/>
      <c r="U378" s="36"/>
      <c r="V378" s="12"/>
      <c r="W378" s="12"/>
      <c r="X378" s="12"/>
      <c r="Y378" s="12"/>
      <c r="Z378" s="12"/>
    </row>
    <row r="379" customFormat="false" ht="15.75" hidden="false" customHeight="false" outlineLevel="0" collapsed="false">
      <c r="A379" s="12"/>
      <c r="B379" s="34"/>
      <c r="C379" s="12"/>
      <c r="D379" s="12"/>
      <c r="E379" s="12"/>
      <c r="F379" s="12"/>
      <c r="G379" s="18"/>
      <c r="H379" s="35"/>
      <c r="I379" s="35"/>
      <c r="J379" s="12"/>
      <c r="O379" s="12"/>
      <c r="P379" s="18"/>
      <c r="Q379" s="12"/>
      <c r="R379" s="12"/>
      <c r="S379" s="12"/>
      <c r="T379" s="36"/>
      <c r="U379" s="36"/>
      <c r="V379" s="12"/>
      <c r="W379" s="12"/>
      <c r="X379" s="12"/>
      <c r="Y379" s="12"/>
      <c r="Z379" s="12"/>
    </row>
    <row r="380" customFormat="false" ht="15.75" hidden="false" customHeight="false" outlineLevel="0" collapsed="false">
      <c r="A380" s="12"/>
      <c r="B380" s="34"/>
      <c r="C380" s="12"/>
      <c r="D380" s="12"/>
      <c r="E380" s="12"/>
      <c r="F380" s="12"/>
      <c r="G380" s="18"/>
      <c r="H380" s="35"/>
      <c r="I380" s="35"/>
      <c r="J380" s="12"/>
      <c r="O380" s="12"/>
      <c r="P380" s="18"/>
      <c r="Q380" s="12"/>
      <c r="R380" s="12"/>
      <c r="S380" s="12"/>
      <c r="T380" s="36"/>
      <c r="U380" s="36"/>
      <c r="V380" s="12"/>
      <c r="W380" s="12"/>
      <c r="X380" s="12"/>
      <c r="Y380" s="12"/>
      <c r="Z380" s="12"/>
    </row>
    <row r="381" customFormat="false" ht="15.75" hidden="false" customHeight="false" outlineLevel="0" collapsed="false">
      <c r="A381" s="12"/>
      <c r="B381" s="34"/>
      <c r="C381" s="12"/>
      <c r="D381" s="12"/>
      <c r="E381" s="12"/>
      <c r="F381" s="12"/>
      <c r="G381" s="18"/>
      <c r="H381" s="35"/>
      <c r="I381" s="35"/>
      <c r="J381" s="12"/>
      <c r="O381" s="12"/>
      <c r="P381" s="18"/>
      <c r="Q381" s="12"/>
      <c r="R381" s="12"/>
      <c r="S381" s="12"/>
      <c r="T381" s="36"/>
      <c r="U381" s="36"/>
      <c r="V381" s="12"/>
      <c r="W381" s="12"/>
      <c r="X381" s="12"/>
      <c r="Y381" s="12"/>
      <c r="Z381" s="12"/>
    </row>
    <row r="382" customFormat="false" ht="15.75" hidden="false" customHeight="false" outlineLevel="0" collapsed="false">
      <c r="A382" s="12"/>
      <c r="B382" s="34"/>
      <c r="C382" s="12"/>
      <c r="D382" s="12"/>
      <c r="E382" s="12"/>
      <c r="F382" s="12"/>
      <c r="G382" s="18"/>
      <c r="H382" s="35"/>
      <c r="I382" s="35"/>
      <c r="J382" s="12"/>
      <c r="O382" s="12"/>
      <c r="P382" s="18"/>
      <c r="Q382" s="12"/>
      <c r="R382" s="12"/>
      <c r="S382" s="12"/>
      <c r="T382" s="36"/>
      <c r="U382" s="36"/>
      <c r="V382" s="12"/>
      <c r="W382" s="12"/>
      <c r="X382" s="12"/>
      <c r="Y382" s="12"/>
      <c r="Z382" s="12"/>
    </row>
    <row r="383" customFormat="false" ht="15.75" hidden="false" customHeight="false" outlineLevel="0" collapsed="false">
      <c r="A383" s="12"/>
      <c r="B383" s="34"/>
      <c r="C383" s="12"/>
      <c r="D383" s="12"/>
      <c r="E383" s="12"/>
      <c r="F383" s="12"/>
      <c r="G383" s="18"/>
      <c r="H383" s="35"/>
      <c r="I383" s="35"/>
      <c r="J383" s="12"/>
      <c r="O383" s="12"/>
      <c r="P383" s="18"/>
      <c r="Q383" s="12"/>
      <c r="R383" s="12"/>
      <c r="S383" s="12"/>
      <c r="T383" s="36"/>
      <c r="U383" s="36"/>
      <c r="V383" s="12"/>
      <c r="W383" s="12"/>
      <c r="X383" s="12"/>
      <c r="Y383" s="12"/>
      <c r="Z383" s="12"/>
    </row>
    <row r="384" customFormat="false" ht="15.75" hidden="false" customHeight="false" outlineLevel="0" collapsed="false">
      <c r="A384" s="12"/>
      <c r="B384" s="34"/>
      <c r="C384" s="12"/>
      <c r="D384" s="12"/>
      <c r="E384" s="12"/>
      <c r="F384" s="12"/>
      <c r="G384" s="18"/>
      <c r="H384" s="35"/>
      <c r="I384" s="35"/>
      <c r="J384" s="12"/>
      <c r="O384" s="12"/>
      <c r="P384" s="18"/>
      <c r="Q384" s="12"/>
      <c r="R384" s="12"/>
      <c r="S384" s="12"/>
      <c r="T384" s="36"/>
      <c r="U384" s="36"/>
      <c r="V384" s="12"/>
      <c r="W384" s="12"/>
      <c r="X384" s="12"/>
      <c r="Y384" s="12"/>
      <c r="Z384" s="12"/>
    </row>
    <row r="385" customFormat="false" ht="15.75" hidden="false" customHeight="false" outlineLevel="0" collapsed="false">
      <c r="A385" s="12"/>
      <c r="B385" s="34"/>
      <c r="C385" s="12"/>
      <c r="D385" s="12"/>
      <c r="E385" s="12"/>
      <c r="F385" s="12"/>
      <c r="G385" s="18"/>
      <c r="H385" s="35"/>
      <c r="I385" s="35"/>
      <c r="J385" s="12"/>
      <c r="O385" s="12"/>
      <c r="P385" s="18"/>
      <c r="Q385" s="12"/>
      <c r="R385" s="12"/>
      <c r="S385" s="12"/>
      <c r="T385" s="36"/>
      <c r="U385" s="36"/>
      <c r="V385" s="12"/>
      <c r="W385" s="12"/>
      <c r="X385" s="12"/>
      <c r="Y385" s="12"/>
      <c r="Z385" s="12"/>
    </row>
    <row r="386" customFormat="false" ht="15.75" hidden="false" customHeight="false" outlineLevel="0" collapsed="false">
      <c r="A386" s="12"/>
      <c r="B386" s="34"/>
      <c r="C386" s="12"/>
      <c r="D386" s="12"/>
      <c r="E386" s="12"/>
      <c r="F386" s="12"/>
      <c r="G386" s="18"/>
      <c r="H386" s="35"/>
      <c r="I386" s="35"/>
      <c r="J386" s="12"/>
      <c r="O386" s="12"/>
      <c r="P386" s="18"/>
      <c r="Q386" s="12"/>
      <c r="R386" s="12"/>
      <c r="S386" s="12"/>
      <c r="T386" s="36"/>
      <c r="U386" s="36"/>
      <c r="V386" s="12"/>
      <c r="W386" s="12"/>
      <c r="X386" s="12"/>
      <c r="Y386" s="12"/>
      <c r="Z386" s="12"/>
    </row>
    <row r="387" customFormat="false" ht="15.75" hidden="false" customHeight="false" outlineLevel="0" collapsed="false">
      <c r="A387" s="12"/>
      <c r="B387" s="34"/>
      <c r="C387" s="12"/>
      <c r="D387" s="12"/>
      <c r="E387" s="12"/>
      <c r="F387" s="12"/>
      <c r="G387" s="18"/>
      <c r="H387" s="35"/>
      <c r="I387" s="35"/>
      <c r="J387" s="12"/>
      <c r="O387" s="12"/>
      <c r="P387" s="18"/>
      <c r="Q387" s="12"/>
      <c r="R387" s="12"/>
      <c r="S387" s="12"/>
      <c r="T387" s="36"/>
      <c r="U387" s="36"/>
      <c r="V387" s="12"/>
      <c r="W387" s="12"/>
      <c r="X387" s="12"/>
      <c r="Y387" s="12"/>
      <c r="Z387" s="12"/>
    </row>
    <row r="388" customFormat="false" ht="15.75" hidden="false" customHeight="false" outlineLevel="0" collapsed="false">
      <c r="A388" s="12"/>
      <c r="B388" s="34"/>
      <c r="C388" s="12"/>
      <c r="D388" s="12"/>
      <c r="E388" s="12"/>
      <c r="F388" s="12"/>
      <c r="G388" s="18"/>
      <c r="H388" s="35"/>
      <c r="I388" s="35"/>
      <c r="J388" s="12"/>
      <c r="O388" s="12"/>
      <c r="P388" s="18"/>
      <c r="Q388" s="12"/>
      <c r="R388" s="12"/>
      <c r="S388" s="12"/>
      <c r="T388" s="36"/>
      <c r="U388" s="36"/>
      <c r="V388" s="12"/>
      <c r="W388" s="12"/>
      <c r="X388" s="12"/>
      <c r="Y388" s="12"/>
      <c r="Z388" s="12"/>
    </row>
    <row r="389" customFormat="false" ht="15.75" hidden="false" customHeight="false" outlineLevel="0" collapsed="false">
      <c r="A389" s="12"/>
      <c r="B389" s="34"/>
      <c r="C389" s="12"/>
      <c r="D389" s="12"/>
      <c r="E389" s="12"/>
      <c r="F389" s="12"/>
      <c r="G389" s="18"/>
      <c r="H389" s="35"/>
      <c r="I389" s="35"/>
      <c r="J389" s="12"/>
      <c r="O389" s="12"/>
      <c r="P389" s="18"/>
      <c r="Q389" s="12"/>
      <c r="R389" s="12"/>
      <c r="S389" s="12"/>
      <c r="T389" s="36"/>
      <c r="U389" s="36"/>
      <c r="V389" s="12"/>
      <c r="W389" s="12"/>
      <c r="X389" s="12"/>
      <c r="Y389" s="12"/>
      <c r="Z389" s="12"/>
    </row>
    <row r="390" customFormat="false" ht="15.75" hidden="false" customHeight="false" outlineLevel="0" collapsed="false">
      <c r="A390" s="12"/>
      <c r="B390" s="34"/>
      <c r="C390" s="12"/>
      <c r="D390" s="12"/>
      <c r="E390" s="12"/>
      <c r="F390" s="12"/>
      <c r="G390" s="18"/>
      <c r="H390" s="35"/>
      <c r="I390" s="35"/>
      <c r="J390" s="12"/>
      <c r="O390" s="12"/>
      <c r="P390" s="18"/>
      <c r="Q390" s="12"/>
      <c r="R390" s="12"/>
      <c r="S390" s="12"/>
      <c r="T390" s="36"/>
      <c r="U390" s="36"/>
      <c r="V390" s="12"/>
      <c r="W390" s="12"/>
      <c r="X390" s="12"/>
      <c r="Y390" s="12"/>
      <c r="Z390" s="12"/>
    </row>
    <row r="391" customFormat="false" ht="15.75" hidden="false" customHeight="false" outlineLevel="0" collapsed="false">
      <c r="A391" s="12"/>
      <c r="B391" s="34"/>
      <c r="C391" s="12"/>
      <c r="D391" s="12"/>
      <c r="E391" s="12"/>
      <c r="F391" s="12"/>
      <c r="G391" s="18"/>
      <c r="H391" s="35"/>
      <c r="I391" s="35"/>
      <c r="J391" s="12"/>
      <c r="O391" s="12"/>
      <c r="P391" s="18"/>
      <c r="Q391" s="12"/>
      <c r="R391" s="12"/>
      <c r="S391" s="12"/>
      <c r="T391" s="36"/>
      <c r="U391" s="36"/>
      <c r="V391" s="12"/>
      <c r="W391" s="12"/>
      <c r="X391" s="12"/>
      <c r="Y391" s="12"/>
      <c r="Z391" s="12"/>
    </row>
    <row r="392" customFormat="false" ht="15.75" hidden="false" customHeight="false" outlineLevel="0" collapsed="false">
      <c r="A392" s="12"/>
      <c r="B392" s="34"/>
      <c r="C392" s="12"/>
      <c r="D392" s="12"/>
      <c r="E392" s="12"/>
      <c r="F392" s="12"/>
      <c r="G392" s="18"/>
      <c r="H392" s="35"/>
      <c r="I392" s="35"/>
      <c r="J392" s="12"/>
      <c r="O392" s="12"/>
      <c r="P392" s="18"/>
      <c r="Q392" s="12"/>
      <c r="R392" s="12"/>
      <c r="S392" s="12"/>
      <c r="T392" s="36"/>
      <c r="U392" s="36"/>
      <c r="V392" s="12"/>
      <c r="W392" s="12"/>
      <c r="X392" s="12"/>
      <c r="Y392" s="12"/>
      <c r="Z392" s="12"/>
    </row>
    <row r="393" customFormat="false" ht="15.75" hidden="false" customHeight="false" outlineLevel="0" collapsed="false">
      <c r="A393" s="12"/>
      <c r="B393" s="34"/>
      <c r="C393" s="12"/>
      <c r="D393" s="12"/>
      <c r="E393" s="12"/>
      <c r="F393" s="12"/>
      <c r="G393" s="18"/>
      <c r="H393" s="35"/>
      <c r="I393" s="35"/>
      <c r="J393" s="12"/>
      <c r="O393" s="12"/>
      <c r="P393" s="18"/>
      <c r="Q393" s="12"/>
      <c r="R393" s="12"/>
      <c r="S393" s="12"/>
      <c r="T393" s="36"/>
      <c r="U393" s="36"/>
      <c r="V393" s="12"/>
      <c r="W393" s="12"/>
      <c r="X393" s="12"/>
      <c r="Y393" s="12"/>
      <c r="Z393" s="12"/>
    </row>
    <row r="394" customFormat="false" ht="15.75" hidden="false" customHeight="false" outlineLevel="0" collapsed="false">
      <c r="A394" s="12"/>
      <c r="B394" s="34"/>
      <c r="C394" s="12"/>
      <c r="D394" s="12"/>
      <c r="E394" s="12"/>
      <c r="F394" s="12"/>
      <c r="G394" s="18"/>
      <c r="H394" s="35"/>
      <c r="I394" s="35"/>
      <c r="J394" s="12"/>
      <c r="O394" s="12"/>
      <c r="P394" s="18"/>
      <c r="Q394" s="12"/>
      <c r="R394" s="12"/>
      <c r="S394" s="12"/>
      <c r="T394" s="36"/>
      <c r="U394" s="36"/>
      <c r="V394" s="12"/>
      <c r="W394" s="12"/>
      <c r="X394" s="12"/>
      <c r="Y394" s="12"/>
      <c r="Z394" s="12"/>
    </row>
    <row r="395" customFormat="false" ht="15.75" hidden="false" customHeight="false" outlineLevel="0" collapsed="false">
      <c r="A395" s="12"/>
      <c r="B395" s="34"/>
      <c r="C395" s="12"/>
      <c r="D395" s="12"/>
      <c r="E395" s="12"/>
      <c r="F395" s="12"/>
      <c r="G395" s="18"/>
      <c r="H395" s="35"/>
      <c r="I395" s="35"/>
      <c r="J395" s="12"/>
      <c r="O395" s="12"/>
      <c r="P395" s="18"/>
      <c r="Q395" s="12"/>
      <c r="R395" s="12"/>
      <c r="S395" s="12"/>
      <c r="T395" s="36"/>
      <c r="U395" s="36"/>
      <c r="V395" s="12"/>
      <c r="W395" s="12"/>
      <c r="X395" s="12"/>
      <c r="Y395" s="12"/>
      <c r="Z395" s="12"/>
    </row>
    <row r="396" customFormat="false" ht="15.75" hidden="false" customHeight="false" outlineLevel="0" collapsed="false">
      <c r="A396" s="12"/>
      <c r="B396" s="34"/>
      <c r="C396" s="12"/>
      <c r="D396" s="12"/>
      <c r="E396" s="12"/>
      <c r="F396" s="12"/>
      <c r="G396" s="18"/>
      <c r="H396" s="35"/>
      <c r="I396" s="35"/>
      <c r="J396" s="12"/>
      <c r="O396" s="12"/>
      <c r="P396" s="18"/>
      <c r="Q396" s="12"/>
      <c r="R396" s="12"/>
      <c r="S396" s="12"/>
      <c r="T396" s="36"/>
      <c r="U396" s="36"/>
      <c r="V396" s="12"/>
      <c r="W396" s="12"/>
      <c r="X396" s="12"/>
      <c r="Y396" s="12"/>
      <c r="Z396" s="12"/>
    </row>
    <row r="397" customFormat="false" ht="15.75" hidden="false" customHeight="false" outlineLevel="0" collapsed="false">
      <c r="A397" s="12"/>
      <c r="B397" s="34"/>
      <c r="C397" s="12"/>
      <c r="D397" s="12"/>
      <c r="E397" s="12"/>
      <c r="F397" s="12"/>
      <c r="G397" s="18"/>
      <c r="H397" s="35"/>
      <c r="I397" s="35"/>
      <c r="J397" s="12"/>
      <c r="O397" s="12"/>
      <c r="P397" s="18"/>
      <c r="Q397" s="12"/>
      <c r="R397" s="12"/>
      <c r="S397" s="12"/>
      <c r="T397" s="36"/>
      <c r="U397" s="36"/>
      <c r="V397" s="12"/>
      <c r="W397" s="12"/>
      <c r="X397" s="12"/>
      <c r="Y397" s="12"/>
      <c r="Z397" s="12"/>
    </row>
    <row r="398" customFormat="false" ht="15.75" hidden="false" customHeight="false" outlineLevel="0" collapsed="false">
      <c r="A398" s="12"/>
      <c r="B398" s="34"/>
      <c r="C398" s="12"/>
      <c r="D398" s="12"/>
      <c r="E398" s="12"/>
      <c r="F398" s="12"/>
      <c r="G398" s="18"/>
      <c r="H398" s="35"/>
      <c r="I398" s="35"/>
      <c r="J398" s="12"/>
      <c r="O398" s="12"/>
      <c r="P398" s="18"/>
      <c r="Q398" s="12"/>
      <c r="R398" s="12"/>
      <c r="S398" s="12"/>
      <c r="T398" s="36"/>
      <c r="U398" s="36"/>
      <c r="V398" s="12"/>
      <c r="W398" s="12"/>
      <c r="X398" s="12"/>
      <c r="Y398" s="12"/>
      <c r="Z398" s="12"/>
    </row>
    <row r="399" customFormat="false" ht="15.75" hidden="false" customHeight="false" outlineLevel="0" collapsed="false">
      <c r="A399" s="12"/>
      <c r="B399" s="34"/>
      <c r="C399" s="12"/>
      <c r="D399" s="12"/>
      <c r="E399" s="12"/>
      <c r="F399" s="12"/>
      <c r="G399" s="18"/>
      <c r="H399" s="35"/>
      <c r="I399" s="35"/>
      <c r="J399" s="12"/>
      <c r="O399" s="12"/>
      <c r="P399" s="18"/>
      <c r="Q399" s="12"/>
      <c r="R399" s="12"/>
      <c r="S399" s="12"/>
      <c r="T399" s="36"/>
      <c r="U399" s="36"/>
      <c r="V399" s="12"/>
      <c r="W399" s="12"/>
      <c r="X399" s="12"/>
      <c r="Y399" s="12"/>
      <c r="Z399" s="12"/>
    </row>
    <row r="400" customFormat="false" ht="15.75" hidden="false" customHeight="false" outlineLevel="0" collapsed="false">
      <c r="A400" s="12"/>
      <c r="B400" s="34"/>
      <c r="C400" s="12"/>
      <c r="D400" s="12"/>
      <c r="E400" s="12"/>
      <c r="F400" s="12"/>
      <c r="G400" s="18"/>
      <c r="H400" s="35"/>
      <c r="I400" s="35"/>
      <c r="J400" s="12"/>
      <c r="O400" s="12"/>
      <c r="P400" s="18"/>
      <c r="Q400" s="12"/>
      <c r="R400" s="12"/>
      <c r="S400" s="12"/>
      <c r="T400" s="36"/>
      <c r="U400" s="36"/>
      <c r="V400" s="12"/>
      <c r="W400" s="12"/>
      <c r="X400" s="12"/>
      <c r="Y400" s="12"/>
      <c r="Z400" s="12"/>
    </row>
    <row r="401" customFormat="false" ht="15.75" hidden="false" customHeight="false" outlineLevel="0" collapsed="false">
      <c r="A401" s="12"/>
      <c r="B401" s="34"/>
      <c r="C401" s="12"/>
      <c r="D401" s="12"/>
      <c r="E401" s="12"/>
      <c r="F401" s="12"/>
      <c r="G401" s="18"/>
      <c r="H401" s="35"/>
      <c r="I401" s="35"/>
      <c r="J401" s="12"/>
      <c r="O401" s="12"/>
      <c r="P401" s="18"/>
      <c r="Q401" s="12"/>
      <c r="R401" s="12"/>
      <c r="S401" s="12"/>
      <c r="T401" s="36"/>
      <c r="U401" s="36"/>
      <c r="V401" s="12"/>
      <c r="W401" s="12"/>
      <c r="X401" s="12"/>
      <c r="Y401" s="12"/>
      <c r="Z401" s="12"/>
    </row>
    <row r="402" customFormat="false" ht="15.75" hidden="false" customHeight="false" outlineLevel="0" collapsed="false">
      <c r="A402" s="12"/>
      <c r="B402" s="34"/>
      <c r="C402" s="12"/>
      <c r="D402" s="12"/>
      <c r="E402" s="12"/>
      <c r="F402" s="12"/>
      <c r="G402" s="18"/>
      <c r="H402" s="35"/>
      <c r="I402" s="35"/>
      <c r="J402" s="12"/>
      <c r="O402" s="12"/>
      <c r="P402" s="18"/>
      <c r="Q402" s="12"/>
      <c r="R402" s="12"/>
      <c r="S402" s="12"/>
      <c r="T402" s="36"/>
      <c r="U402" s="36"/>
      <c r="V402" s="12"/>
      <c r="W402" s="12"/>
      <c r="X402" s="12"/>
      <c r="Y402" s="12"/>
      <c r="Z402" s="12"/>
    </row>
    <row r="403" customFormat="false" ht="15.75" hidden="false" customHeight="false" outlineLevel="0" collapsed="false">
      <c r="A403" s="12"/>
      <c r="B403" s="34"/>
      <c r="C403" s="12"/>
      <c r="D403" s="12"/>
      <c r="E403" s="12"/>
      <c r="F403" s="12"/>
      <c r="G403" s="18"/>
      <c r="H403" s="35"/>
      <c r="I403" s="35"/>
      <c r="J403" s="12"/>
      <c r="O403" s="12"/>
      <c r="P403" s="18"/>
      <c r="Q403" s="12"/>
      <c r="R403" s="12"/>
      <c r="S403" s="12"/>
      <c r="T403" s="36"/>
      <c r="U403" s="36"/>
      <c r="V403" s="12"/>
      <c r="W403" s="12"/>
      <c r="X403" s="12"/>
      <c r="Y403" s="12"/>
      <c r="Z403" s="12"/>
    </row>
    <row r="404" customFormat="false" ht="15.75" hidden="false" customHeight="false" outlineLevel="0" collapsed="false">
      <c r="A404" s="12"/>
      <c r="B404" s="34"/>
      <c r="C404" s="12"/>
      <c r="D404" s="12"/>
      <c r="E404" s="12"/>
      <c r="F404" s="12"/>
      <c r="G404" s="18"/>
      <c r="H404" s="35"/>
      <c r="I404" s="35"/>
      <c r="J404" s="12"/>
      <c r="O404" s="12"/>
      <c r="P404" s="18"/>
      <c r="Q404" s="12"/>
      <c r="R404" s="12"/>
      <c r="S404" s="12"/>
      <c r="T404" s="36"/>
      <c r="U404" s="36"/>
      <c r="V404" s="12"/>
      <c r="W404" s="12"/>
      <c r="X404" s="12"/>
      <c r="Y404" s="12"/>
      <c r="Z404" s="12"/>
    </row>
    <row r="405" customFormat="false" ht="15.75" hidden="false" customHeight="false" outlineLevel="0" collapsed="false">
      <c r="A405" s="12"/>
      <c r="B405" s="34"/>
      <c r="C405" s="12"/>
      <c r="D405" s="12"/>
      <c r="E405" s="12"/>
      <c r="F405" s="12"/>
      <c r="G405" s="18"/>
      <c r="H405" s="35"/>
      <c r="I405" s="35"/>
      <c r="J405" s="12"/>
      <c r="O405" s="12"/>
      <c r="P405" s="18"/>
      <c r="Q405" s="12"/>
      <c r="R405" s="12"/>
      <c r="S405" s="12"/>
      <c r="T405" s="36"/>
      <c r="U405" s="36"/>
      <c r="V405" s="12"/>
      <c r="W405" s="12"/>
      <c r="X405" s="12"/>
      <c r="Y405" s="12"/>
      <c r="Z405" s="12"/>
    </row>
    <row r="406" customFormat="false" ht="15.75" hidden="false" customHeight="false" outlineLevel="0" collapsed="false">
      <c r="A406" s="12"/>
      <c r="B406" s="34"/>
      <c r="C406" s="12"/>
      <c r="D406" s="12"/>
      <c r="E406" s="12"/>
      <c r="F406" s="12"/>
      <c r="G406" s="18"/>
      <c r="H406" s="35"/>
      <c r="I406" s="35"/>
      <c r="J406" s="12"/>
      <c r="O406" s="12"/>
      <c r="P406" s="18"/>
      <c r="Q406" s="12"/>
      <c r="R406" s="12"/>
      <c r="S406" s="12"/>
      <c r="T406" s="36"/>
      <c r="U406" s="36"/>
      <c r="V406" s="12"/>
      <c r="W406" s="12"/>
      <c r="X406" s="12"/>
      <c r="Y406" s="12"/>
      <c r="Z406" s="12"/>
    </row>
    <row r="407" customFormat="false" ht="15.75" hidden="false" customHeight="false" outlineLevel="0" collapsed="false">
      <c r="A407" s="12"/>
      <c r="B407" s="34"/>
      <c r="C407" s="12"/>
      <c r="D407" s="12"/>
      <c r="E407" s="12"/>
      <c r="F407" s="12"/>
      <c r="G407" s="18"/>
      <c r="H407" s="35"/>
      <c r="I407" s="35"/>
      <c r="J407" s="12"/>
      <c r="O407" s="12"/>
      <c r="P407" s="18"/>
      <c r="Q407" s="12"/>
      <c r="R407" s="12"/>
      <c r="S407" s="12"/>
      <c r="T407" s="36"/>
      <c r="U407" s="36"/>
      <c r="V407" s="12"/>
      <c r="W407" s="12"/>
      <c r="X407" s="12"/>
      <c r="Y407" s="12"/>
      <c r="Z407" s="12"/>
    </row>
    <row r="408" customFormat="false" ht="15.75" hidden="false" customHeight="false" outlineLevel="0" collapsed="false">
      <c r="A408" s="12"/>
      <c r="B408" s="34"/>
      <c r="C408" s="12"/>
      <c r="D408" s="12"/>
      <c r="E408" s="12"/>
      <c r="F408" s="12"/>
      <c r="G408" s="18"/>
      <c r="H408" s="35"/>
      <c r="I408" s="35"/>
      <c r="J408" s="12"/>
      <c r="O408" s="12"/>
      <c r="P408" s="18"/>
      <c r="Q408" s="12"/>
      <c r="R408" s="12"/>
      <c r="S408" s="12"/>
      <c r="T408" s="36"/>
      <c r="U408" s="36"/>
      <c r="V408" s="12"/>
      <c r="W408" s="12"/>
      <c r="X408" s="12"/>
      <c r="Y408" s="12"/>
      <c r="Z408" s="12"/>
    </row>
    <row r="409" customFormat="false" ht="15.75" hidden="false" customHeight="false" outlineLevel="0" collapsed="false">
      <c r="A409" s="12"/>
      <c r="B409" s="34"/>
      <c r="C409" s="12"/>
      <c r="D409" s="12"/>
      <c r="E409" s="12"/>
      <c r="F409" s="12"/>
      <c r="G409" s="18"/>
      <c r="H409" s="35"/>
      <c r="I409" s="35"/>
      <c r="J409" s="12"/>
      <c r="O409" s="12"/>
      <c r="P409" s="18"/>
      <c r="Q409" s="12"/>
      <c r="R409" s="12"/>
      <c r="S409" s="12"/>
      <c r="T409" s="36"/>
      <c r="U409" s="36"/>
      <c r="V409" s="12"/>
      <c r="W409" s="12"/>
      <c r="X409" s="12"/>
      <c r="Y409" s="12"/>
      <c r="Z409" s="12"/>
    </row>
    <row r="410" customFormat="false" ht="15.75" hidden="false" customHeight="false" outlineLevel="0" collapsed="false">
      <c r="A410" s="12"/>
      <c r="B410" s="34"/>
      <c r="C410" s="12"/>
      <c r="D410" s="12"/>
      <c r="E410" s="12"/>
      <c r="F410" s="12"/>
      <c r="G410" s="18"/>
      <c r="H410" s="35"/>
      <c r="I410" s="35"/>
      <c r="J410" s="12"/>
      <c r="O410" s="12"/>
      <c r="P410" s="18"/>
      <c r="Q410" s="12"/>
      <c r="R410" s="12"/>
      <c r="S410" s="12"/>
      <c r="T410" s="36"/>
      <c r="U410" s="36"/>
      <c r="V410" s="12"/>
      <c r="W410" s="12"/>
      <c r="X410" s="12"/>
      <c r="Y410" s="12"/>
      <c r="Z410" s="12"/>
    </row>
    <row r="411" customFormat="false" ht="15.75" hidden="false" customHeight="false" outlineLevel="0" collapsed="false">
      <c r="A411" s="12"/>
      <c r="B411" s="34"/>
      <c r="C411" s="12"/>
      <c r="D411" s="12"/>
      <c r="E411" s="12"/>
      <c r="F411" s="12"/>
      <c r="G411" s="18"/>
      <c r="H411" s="35"/>
      <c r="I411" s="35"/>
      <c r="J411" s="12"/>
      <c r="O411" s="12"/>
      <c r="P411" s="18"/>
      <c r="Q411" s="12"/>
      <c r="R411" s="12"/>
      <c r="S411" s="12"/>
      <c r="T411" s="36"/>
      <c r="U411" s="36"/>
      <c r="V411" s="12"/>
      <c r="W411" s="12"/>
      <c r="X411" s="12"/>
      <c r="Y411" s="12"/>
      <c r="Z411" s="12"/>
    </row>
    <row r="412" customFormat="false" ht="15.75" hidden="false" customHeight="false" outlineLevel="0" collapsed="false">
      <c r="A412" s="12"/>
      <c r="B412" s="34"/>
      <c r="C412" s="12"/>
      <c r="D412" s="12"/>
      <c r="E412" s="12"/>
      <c r="F412" s="12"/>
      <c r="G412" s="18"/>
      <c r="H412" s="35"/>
      <c r="I412" s="35"/>
      <c r="J412" s="12"/>
      <c r="O412" s="12"/>
      <c r="P412" s="18"/>
      <c r="Q412" s="12"/>
      <c r="R412" s="12"/>
      <c r="S412" s="12"/>
      <c r="T412" s="36"/>
      <c r="U412" s="36"/>
      <c r="V412" s="12"/>
      <c r="W412" s="12"/>
      <c r="X412" s="12"/>
      <c r="Y412" s="12"/>
      <c r="Z412" s="12"/>
    </row>
    <row r="413" customFormat="false" ht="15.75" hidden="false" customHeight="false" outlineLevel="0" collapsed="false">
      <c r="A413" s="12"/>
      <c r="B413" s="34"/>
      <c r="C413" s="12"/>
      <c r="D413" s="12"/>
      <c r="E413" s="12"/>
      <c r="F413" s="12"/>
      <c r="G413" s="18"/>
      <c r="H413" s="35"/>
      <c r="I413" s="35"/>
      <c r="J413" s="12"/>
      <c r="O413" s="12"/>
      <c r="P413" s="18"/>
      <c r="Q413" s="12"/>
      <c r="R413" s="12"/>
      <c r="S413" s="12"/>
      <c r="T413" s="36"/>
      <c r="U413" s="36"/>
      <c r="V413" s="12"/>
      <c r="W413" s="12"/>
      <c r="X413" s="12"/>
      <c r="Y413" s="12"/>
      <c r="Z413" s="12"/>
    </row>
    <row r="414" customFormat="false" ht="15.75" hidden="false" customHeight="false" outlineLevel="0" collapsed="false">
      <c r="A414" s="12"/>
      <c r="B414" s="34"/>
      <c r="C414" s="12"/>
      <c r="D414" s="12"/>
      <c r="E414" s="12"/>
      <c r="F414" s="12"/>
      <c r="G414" s="18"/>
      <c r="H414" s="35"/>
      <c r="I414" s="35"/>
      <c r="J414" s="12"/>
      <c r="O414" s="12"/>
      <c r="P414" s="18"/>
      <c r="Q414" s="12"/>
      <c r="R414" s="12"/>
      <c r="S414" s="12"/>
      <c r="T414" s="36"/>
      <c r="U414" s="36"/>
      <c r="V414" s="12"/>
      <c r="W414" s="12"/>
      <c r="X414" s="12"/>
      <c r="Y414" s="12"/>
      <c r="Z414" s="12"/>
    </row>
    <row r="415" customFormat="false" ht="15.75" hidden="false" customHeight="false" outlineLevel="0" collapsed="false">
      <c r="A415" s="12"/>
      <c r="B415" s="34"/>
      <c r="C415" s="12"/>
      <c r="D415" s="12"/>
      <c r="E415" s="12"/>
      <c r="F415" s="12"/>
      <c r="G415" s="18"/>
      <c r="H415" s="35"/>
      <c r="I415" s="35"/>
      <c r="J415" s="12"/>
      <c r="O415" s="12"/>
      <c r="P415" s="18"/>
      <c r="Q415" s="12"/>
      <c r="R415" s="12"/>
      <c r="S415" s="12"/>
      <c r="T415" s="36"/>
      <c r="U415" s="36"/>
      <c r="V415" s="12"/>
      <c r="W415" s="12"/>
      <c r="X415" s="12"/>
      <c r="Y415" s="12"/>
      <c r="Z415" s="12"/>
    </row>
    <row r="416" customFormat="false" ht="15.75" hidden="false" customHeight="false" outlineLevel="0" collapsed="false">
      <c r="A416" s="12"/>
      <c r="B416" s="34"/>
      <c r="C416" s="12"/>
      <c r="D416" s="12"/>
      <c r="E416" s="12"/>
      <c r="F416" s="12"/>
      <c r="G416" s="18"/>
      <c r="H416" s="35"/>
      <c r="I416" s="35"/>
      <c r="J416" s="12"/>
      <c r="O416" s="12"/>
      <c r="P416" s="18"/>
      <c r="Q416" s="12"/>
      <c r="R416" s="12"/>
      <c r="S416" s="12"/>
      <c r="T416" s="36"/>
      <c r="U416" s="36"/>
      <c r="V416" s="12"/>
      <c r="W416" s="12"/>
      <c r="X416" s="12"/>
      <c r="Y416" s="12"/>
      <c r="Z416" s="12"/>
    </row>
    <row r="417" customFormat="false" ht="15.75" hidden="false" customHeight="false" outlineLevel="0" collapsed="false">
      <c r="A417" s="12"/>
      <c r="B417" s="34"/>
      <c r="C417" s="12"/>
      <c r="D417" s="12"/>
      <c r="E417" s="12"/>
      <c r="F417" s="12"/>
      <c r="G417" s="18"/>
      <c r="H417" s="35"/>
      <c r="I417" s="35"/>
      <c r="J417" s="12"/>
      <c r="O417" s="12"/>
      <c r="P417" s="18"/>
      <c r="Q417" s="12"/>
      <c r="R417" s="12"/>
      <c r="S417" s="12"/>
      <c r="T417" s="36"/>
      <c r="U417" s="36"/>
      <c r="V417" s="12"/>
      <c r="W417" s="12"/>
      <c r="X417" s="12"/>
      <c r="Y417" s="12"/>
      <c r="Z417" s="12"/>
    </row>
    <row r="418" customFormat="false" ht="15.75" hidden="false" customHeight="false" outlineLevel="0" collapsed="false">
      <c r="A418" s="12"/>
      <c r="B418" s="34"/>
      <c r="C418" s="12"/>
      <c r="D418" s="12"/>
      <c r="E418" s="12"/>
      <c r="F418" s="12"/>
      <c r="G418" s="18"/>
      <c r="H418" s="35"/>
      <c r="I418" s="35"/>
      <c r="J418" s="12"/>
      <c r="O418" s="12"/>
      <c r="P418" s="18"/>
      <c r="Q418" s="12"/>
      <c r="R418" s="12"/>
      <c r="S418" s="12"/>
      <c r="T418" s="36"/>
      <c r="U418" s="36"/>
      <c r="V418" s="12"/>
      <c r="W418" s="12"/>
      <c r="X418" s="12"/>
      <c r="Y418" s="12"/>
      <c r="Z418" s="12"/>
    </row>
    <row r="419" customFormat="false" ht="15.75" hidden="false" customHeight="false" outlineLevel="0" collapsed="false">
      <c r="A419" s="12"/>
      <c r="B419" s="34"/>
      <c r="C419" s="12"/>
      <c r="D419" s="12"/>
      <c r="E419" s="12"/>
      <c r="F419" s="12"/>
      <c r="G419" s="18"/>
      <c r="H419" s="35"/>
      <c r="I419" s="35"/>
      <c r="J419" s="12"/>
      <c r="O419" s="12"/>
      <c r="P419" s="18"/>
      <c r="Q419" s="12"/>
      <c r="R419" s="12"/>
      <c r="S419" s="12"/>
      <c r="T419" s="36"/>
      <c r="U419" s="36"/>
      <c r="V419" s="12"/>
      <c r="W419" s="12"/>
      <c r="X419" s="12"/>
      <c r="Y419" s="12"/>
      <c r="Z419" s="12"/>
    </row>
    <row r="420" customFormat="false" ht="15.75" hidden="false" customHeight="false" outlineLevel="0" collapsed="false">
      <c r="A420" s="12"/>
      <c r="B420" s="34"/>
      <c r="C420" s="12"/>
      <c r="D420" s="12"/>
      <c r="E420" s="12"/>
      <c r="F420" s="12"/>
      <c r="G420" s="18"/>
      <c r="H420" s="35"/>
      <c r="I420" s="35"/>
      <c r="J420" s="12"/>
      <c r="O420" s="12"/>
      <c r="P420" s="18"/>
      <c r="Q420" s="12"/>
      <c r="R420" s="12"/>
      <c r="S420" s="12"/>
      <c r="T420" s="36"/>
      <c r="U420" s="36"/>
      <c r="V420" s="12"/>
      <c r="W420" s="12"/>
      <c r="X420" s="12"/>
      <c r="Y420" s="12"/>
      <c r="Z420" s="12"/>
    </row>
    <row r="421" customFormat="false" ht="15.75" hidden="false" customHeight="false" outlineLevel="0" collapsed="false">
      <c r="A421" s="12"/>
      <c r="B421" s="34"/>
      <c r="C421" s="12"/>
      <c r="D421" s="12"/>
      <c r="E421" s="12"/>
      <c r="F421" s="12"/>
      <c r="G421" s="18"/>
      <c r="H421" s="35"/>
      <c r="I421" s="35"/>
      <c r="J421" s="12"/>
      <c r="O421" s="12"/>
      <c r="P421" s="18"/>
      <c r="Q421" s="12"/>
      <c r="R421" s="12"/>
      <c r="S421" s="12"/>
      <c r="T421" s="36"/>
      <c r="U421" s="36"/>
      <c r="V421" s="12"/>
      <c r="W421" s="12"/>
      <c r="X421" s="12"/>
      <c r="Y421" s="12"/>
      <c r="Z421" s="12"/>
    </row>
    <row r="422" customFormat="false" ht="15.75" hidden="false" customHeight="false" outlineLevel="0" collapsed="false">
      <c r="A422" s="12"/>
      <c r="B422" s="34"/>
      <c r="C422" s="12"/>
      <c r="D422" s="12"/>
      <c r="E422" s="12"/>
      <c r="F422" s="12"/>
      <c r="G422" s="18"/>
      <c r="H422" s="35"/>
      <c r="I422" s="35"/>
      <c r="J422" s="12"/>
      <c r="O422" s="12"/>
      <c r="P422" s="18"/>
      <c r="Q422" s="12"/>
      <c r="R422" s="12"/>
      <c r="S422" s="12"/>
      <c r="T422" s="36"/>
      <c r="U422" s="36"/>
      <c r="V422" s="12"/>
      <c r="W422" s="12"/>
      <c r="X422" s="12"/>
      <c r="Y422" s="12"/>
      <c r="Z422" s="12"/>
    </row>
    <row r="423" customFormat="false" ht="15.75" hidden="false" customHeight="false" outlineLevel="0" collapsed="false">
      <c r="A423" s="12"/>
      <c r="B423" s="34"/>
      <c r="C423" s="12"/>
      <c r="D423" s="12"/>
      <c r="E423" s="12"/>
      <c r="F423" s="12"/>
      <c r="G423" s="18"/>
      <c r="H423" s="35"/>
      <c r="I423" s="35"/>
      <c r="J423" s="12"/>
      <c r="O423" s="12"/>
      <c r="P423" s="18"/>
      <c r="Q423" s="12"/>
      <c r="R423" s="12"/>
      <c r="S423" s="12"/>
      <c r="T423" s="36"/>
      <c r="U423" s="36"/>
      <c r="V423" s="12"/>
      <c r="W423" s="12"/>
      <c r="X423" s="12"/>
      <c r="Y423" s="12"/>
      <c r="Z423" s="12"/>
    </row>
    <row r="424" customFormat="false" ht="15.75" hidden="false" customHeight="false" outlineLevel="0" collapsed="false">
      <c r="A424" s="12"/>
      <c r="B424" s="34"/>
      <c r="C424" s="12"/>
      <c r="D424" s="12"/>
      <c r="E424" s="12"/>
      <c r="F424" s="12"/>
      <c r="G424" s="18"/>
      <c r="H424" s="35"/>
      <c r="I424" s="35"/>
      <c r="J424" s="12"/>
      <c r="O424" s="12"/>
      <c r="P424" s="18"/>
      <c r="Q424" s="12"/>
      <c r="R424" s="12"/>
      <c r="S424" s="12"/>
      <c r="T424" s="36"/>
      <c r="U424" s="36"/>
      <c r="V424" s="12"/>
      <c r="W424" s="12"/>
      <c r="X424" s="12"/>
      <c r="Y424" s="12"/>
      <c r="Z424" s="12"/>
    </row>
    <row r="425" customFormat="false" ht="15.75" hidden="false" customHeight="false" outlineLevel="0" collapsed="false">
      <c r="A425" s="12"/>
      <c r="B425" s="34"/>
      <c r="C425" s="12"/>
      <c r="D425" s="12"/>
      <c r="E425" s="12"/>
      <c r="F425" s="12"/>
      <c r="G425" s="18"/>
      <c r="H425" s="35"/>
      <c r="I425" s="35"/>
      <c r="J425" s="12"/>
      <c r="O425" s="12"/>
      <c r="P425" s="18"/>
      <c r="Q425" s="12"/>
      <c r="R425" s="12"/>
      <c r="S425" s="12"/>
      <c r="T425" s="36"/>
      <c r="U425" s="36"/>
      <c r="V425" s="12"/>
      <c r="W425" s="12"/>
      <c r="X425" s="12"/>
      <c r="Y425" s="12"/>
      <c r="Z425" s="12"/>
    </row>
    <row r="426" customFormat="false" ht="15.75" hidden="false" customHeight="false" outlineLevel="0" collapsed="false">
      <c r="A426" s="12"/>
      <c r="B426" s="34"/>
      <c r="C426" s="12"/>
      <c r="D426" s="12"/>
      <c r="E426" s="12"/>
      <c r="F426" s="12"/>
      <c r="G426" s="18"/>
      <c r="H426" s="35"/>
      <c r="I426" s="35"/>
      <c r="J426" s="12"/>
      <c r="O426" s="12"/>
      <c r="P426" s="18"/>
      <c r="Q426" s="12"/>
      <c r="R426" s="12"/>
      <c r="S426" s="12"/>
      <c r="T426" s="36"/>
      <c r="U426" s="36"/>
      <c r="V426" s="12"/>
      <c r="W426" s="12"/>
      <c r="X426" s="12"/>
      <c r="Y426" s="12"/>
      <c r="Z426" s="12"/>
    </row>
    <row r="427" customFormat="false" ht="15.75" hidden="false" customHeight="false" outlineLevel="0" collapsed="false">
      <c r="A427" s="12"/>
      <c r="B427" s="34"/>
      <c r="C427" s="12"/>
      <c r="D427" s="12"/>
      <c r="E427" s="12"/>
      <c r="F427" s="12"/>
      <c r="G427" s="18"/>
      <c r="H427" s="35"/>
      <c r="I427" s="35"/>
      <c r="J427" s="12"/>
      <c r="O427" s="12"/>
      <c r="P427" s="18"/>
      <c r="Q427" s="12"/>
      <c r="R427" s="12"/>
      <c r="S427" s="12"/>
      <c r="T427" s="36"/>
      <c r="U427" s="36"/>
      <c r="V427" s="12"/>
      <c r="W427" s="12"/>
      <c r="X427" s="12"/>
      <c r="Y427" s="12"/>
      <c r="Z427" s="12"/>
    </row>
    <row r="428" customFormat="false" ht="15.75" hidden="false" customHeight="false" outlineLevel="0" collapsed="false">
      <c r="A428" s="12"/>
      <c r="B428" s="34"/>
      <c r="C428" s="12"/>
      <c r="D428" s="12"/>
      <c r="E428" s="12"/>
      <c r="F428" s="12"/>
      <c r="G428" s="18"/>
      <c r="H428" s="35"/>
      <c r="I428" s="35"/>
      <c r="J428" s="12"/>
      <c r="O428" s="12"/>
      <c r="P428" s="18"/>
      <c r="Q428" s="12"/>
      <c r="R428" s="12"/>
      <c r="S428" s="12"/>
      <c r="T428" s="36"/>
      <c r="U428" s="36"/>
      <c r="V428" s="12"/>
      <c r="W428" s="12"/>
      <c r="X428" s="12"/>
      <c r="Y428" s="12"/>
      <c r="Z428" s="12"/>
    </row>
    <row r="429" customFormat="false" ht="15.75" hidden="false" customHeight="false" outlineLevel="0" collapsed="false">
      <c r="A429" s="12"/>
      <c r="B429" s="34"/>
      <c r="C429" s="12"/>
      <c r="D429" s="12"/>
      <c r="E429" s="12"/>
      <c r="F429" s="12"/>
      <c r="G429" s="18"/>
      <c r="H429" s="35"/>
      <c r="I429" s="35"/>
      <c r="J429" s="12"/>
      <c r="O429" s="12"/>
      <c r="P429" s="18"/>
      <c r="Q429" s="12"/>
      <c r="R429" s="12"/>
      <c r="S429" s="12"/>
      <c r="T429" s="36"/>
      <c r="U429" s="36"/>
      <c r="V429" s="12"/>
      <c r="W429" s="12"/>
      <c r="X429" s="12"/>
      <c r="Y429" s="12"/>
      <c r="Z429" s="12"/>
    </row>
    <row r="430" customFormat="false" ht="15.75" hidden="false" customHeight="false" outlineLevel="0" collapsed="false">
      <c r="A430" s="12"/>
      <c r="B430" s="34"/>
      <c r="C430" s="12"/>
      <c r="D430" s="12"/>
      <c r="E430" s="12"/>
      <c r="F430" s="12"/>
      <c r="G430" s="18"/>
      <c r="H430" s="35"/>
      <c r="I430" s="35"/>
      <c r="J430" s="12"/>
      <c r="O430" s="12"/>
      <c r="P430" s="18"/>
      <c r="Q430" s="12"/>
      <c r="R430" s="12"/>
      <c r="S430" s="12"/>
      <c r="T430" s="36"/>
      <c r="U430" s="36"/>
      <c r="V430" s="12"/>
      <c r="W430" s="12"/>
      <c r="X430" s="12"/>
      <c r="Y430" s="12"/>
      <c r="Z430" s="12"/>
    </row>
    <row r="431" customFormat="false" ht="15.75" hidden="false" customHeight="false" outlineLevel="0" collapsed="false">
      <c r="A431" s="12"/>
      <c r="B431" s="34"/>
      <c r="C431" s="12"/>
      <c r="D431" s="12"/>
      <c r="E431" s="12"/>
      <c r="F431" s="12"/>
      <c r="G431" s="18"/>
      <c r="H431" s="35"/>
      <c r="I431" s="35"/>
      <c r="J431" s="12"/>
      <c r="O431" s="12"/>
      <c r="P431" s="18"/>
      <c r="Q431" s="12"/>
      <c r="R431" s="12"/>
      <c r="S431" s="12"/>
      <c r="T431" s="36"/>
      <c r="U431" s="36"/>
      <c r="V431" s="12"/>
      <c r="W431" s="12"/>
      <c r="X431" s="12"/>
      <c r="Y431" s="12"/>
      <c r="Z431" s="12"/>
    </row>
    <row r="432" customFormat="false" ht="15.75" hidden="false" customHeight="false" outlineLevel="0" collapsed="false">
      <c r="A432" s="12"/>
      <c r="B432" s="34"/>
      <c r="C432" s="12"/>
      <c r="D432" s="12"/>
      <c r="E432" s="12"/>
      <c r="F432" s="12"/>
      <c r="G432" s="18"/>
      <c r="H432" s="35"/>
      <c r="I432" s="35"/>
      <c r="J432" s="12"/>
      <c r="O432" s="12"/>
      <c r="P432" s="18"/>
      <c r="Q432" s="12"/>
      <c r="R432" s="12"/>
      <c r="S432" s="12"/>
      <c r="T432" s="36"/>
      <c r="U432" s="36"/>
      <c r="V432" s="12"/>
      <c r="W432" s="12"/>
      <c r="X432" s="12"/>
      <c r="Y432" s="12"/>
      <c r="Z432" s="12"/>
    </row>
    <row r="433" customFormat="false" ht="15.75" hidden="false" customHeight="false" outlineLevel="0" collapsed="false">
      <c r="A433" s="12"/>
      <c r="B433" s="34"/>
      <c r="C433" s="12"/>
      <c r="D433" s="12"/>
      <c r="E433" s="12"/>
      <c r="F433" s="12"/>
      <c r="G433" s="18"/>
      <c r="H433" s="35"/>
      <c r="I433" s="35"/>
      <c r="J433" s="12"/>
      <c r="O433" s="12"/>
      <c r="P433" s="18"/>
      <c r="Q433" s="12"/>
      <c r="R433" s="12"/>
      <c r="S433" s="12"/>
      <c r="T433" s="36"/>
      <c r="U433" s="36"/>
      <c r="V433" s="12"/>
      <c r="W433" s="12"/>
      <c r="X433" s="12"/>
      <c r="Y433" s="12"/>
      <c r="Z433" s="12"/>
    </row>
    <row r="434" customFormat="false" ht="15.75" hidden="false" customHeight="false" outlineLevel="0" collapsed="false">
      <c r="A434" s="12"/>
      <c r="B434" s="34"/>
      <c r="C434" s="12"/>
      <c r="D434" s="12"/>
      <c r="E434" s="12"/>
      <c r="F434" s="12"/>
      <c r="G434" s="18"/>
      <c r="H434" s="35"/>
      <c r="I434" s="35"/>
      <c r="J434" s="12"/>
      <c r="O434" s="12"/>
      <c r="P434" s="18"/>
      <c r="Q434" s="12"/>
      <c r="R434" s="12"/>
      <c r="S434" s="12"/>
      <c r="T434" s="36"/>
      <c r="U434" s="36"/>
      <c r="V434" s="12"/>
      <c r="W434" s="12"/>
      <c r="X434" s="12"/>
      <c r="Y434" s="12"/>
      <c r="Z434" s="12"/>
    </row>
    <row r="435" customFormat="false" ht="15.75" hidden="false" customHeight="false" outlineLevel="0" collapsed="false">
      <c r="A435" s="12"/>
      <c r="B435" s="34"/>
      <c r="C435" s="12"/>
      <c r="D435" s="12"/>
      <c r="E435" s="12"/>
      <c r="F435" s="12"/>
      <c r="G435" s="18"/>
      <c r="H435" s="35"/>
      <c r="I435" s="35"/>
      <c r="J435" s="12"/>
      <c r="O435" s="12"/>
      <c r="P435" s="18"/>
      <c r="Q435" s="12"/>
      <c r="R435" s="12"/>
      <c r="S435" s="12"/>
      <c r="T435" s="36"/>
      <c r="U435" s="36"/>
      <c r="V435" s="12"/>
      <c r="W435" s="12"/>
      <c r="X435" s="12"/>
      <c r="Y435" s="12"/>
      <c r="Z435" s="12"/>
    </row>
    <row r="436" customFormat="false" ht="15.75" hidden="false" customHeight="false" outlineLevel="0" collapsed="false">
      <c r="A436" s="12"/>
      <c r="B436" s="34"/>
      <c r="C436" s="12"/>
      <c r="D436" s="12"/>
      <c r="E436" s="12"/>
      <c r="F436" s="12"/>
      <c r="G436" s="18"/>
      <c r="H436" s="35"/>
      <c r="I436" s="35"/>
      <c r="J436" s="12"/>
      <c r="O436" s="12"/>
      <c r="P436" s="18"/>
      <c r="Q436" s="12"/>
      <c r="R436" s="12"/>
      <c r="S436" s="12"/>
      <c r="T436" s="36"/>
      <c r="U436" s="36"/>
      <c r="V436" s="12"/>
      <c r="W436" s="12"/>
      <c r="X436" s="12"/>
      <c r="Y436" s="12"/>
      <c r="Z436" s="12"/>
    </row>
    <row r="437" customFormat="false" ht="15.75" hidden="false" customHeight="false" outlineLevel="0" collapsed="false">
      <c r="A437" s="12"/>
      <c r="B437" s="34"/>
      <c r="C437" s="12"/>
      <c r="D437" s="12"/>
      <c r="E437" s="12"/>
      <c r="F437" s="12"/>
      <c r="G437" s="18"/>
      <c r="H437" s="35"/>
      <c r="I437" s="35"/>
      <c r="J437" s="12"/>
      <c r="O437" s="12"/>
      <c r="P437" s="18"/>
      <c r="Q437" s="12"/>
      <c r="R437" s="12"/>
      <c r="S437" s="12"/>
      <c r="T437" s="36"/>
      <c r="U437" s="36"/>
      <c r="V437" s="12"/>
      <c r="W437" s="12"/>
      <c r="X437" s="12"/>
      <c r="Y437" s="12"/>
      <c r="Z437" s="12"/>
    </row>
    <row r="438" customFormat="false" ht="15.75" hidden="false" customHeight="false" outlineLevel="0" collapsed="false">
      <c r="A438" s="12"/>
      <c r="B438" s="34"/>
      <c r="C438" s="12"/>
      <c r="D438" s="12"/>
      <c r="E438" s="12"/>
      <c r="F438" s="12"/>
      <c r="G438" s="18"/>
      <c r="H438" s="35"/>
      <c r="I438" s="35"/>
      <c r="J438" s="12"/>
      <c r="O438" s="12"/>
      <c r="P438" s="18"/>
      <c r="Q438" s="12"/>
      <c r="R438" s="12"/>
      <c r="S438" s="12"/>
      <c r="T438" s="36"/>
      <c r="U438" s="36"/>
      <c r="V438" s="12"/>
      <c r="W438" s="12"/>
      <c r="X438" s="12"/>
      <c r="Y438" s="12"/>
      <c r="Z438" s="12"/>
    </row>
    <row r="439" customFormat="false" ht="15.75" hidden="false" customHeight="false" outlineLevel="0" collapsed="false">
      <c r="A439" s="12"/>
      <c r="B439" s="34"/>
      <c r="C439" s="12"/>
      <c r="D439" s="12"/>
      <c r="E439" s="12"/>
      <c r="F439" s="12"/>
      <c r="G439" s="18"/>
      <c r="H439" s="35"/>
      <c r="I439" s="35"/>
      <c r="J439" s="12"/>
      <c r="O439" s="12"/>
      <c r="P439" s="18"/>
      <c r="Q439" s="12"/>
      <c r="R439" s="12"/>
      <c r="S439" s="12"/>
      <c r="T439" s="36"/>
      <c r="U439" s="36"/>
      <c r="V439" s="12"/>
      <c r="W439" s="12"/>
      <c r="X439" s="12"/>
      <c r="Y439" s="12"/>
      <c r="Z439" s="12"/>
    </row>
    <row r="440" customFormat="false" ht="15.75" hidden="false" customHeight="false" outlineLevel="0" collapsed="false">
      <c r="A440" s="12"/>
      <c r="B440" s="34"/>
      <c r="C440" s="12"/>
      <c r="D440" s="12"/>
      <c r="E440" s="12"/>
      <c r="F440" s="12"/>
      <c r="G440" s="18"/>
      <c r="H440" s="35"/>
      <c r="I440" s="35"/>
      <c r="J440" s="12"/>
      <c r="O440" s="12"/>
      <c r="P440" s="18"/>
      <c r="Q440" s="12"/>
      <c r="R440" s="12"/>
      <c r="S440" s="12"/>
      <c r="T440" s="36"/>
      <c r="U440" s="36"/>
      <c r="V440" s="12"/>
      <c r="W440" s="12"/>
      <c r="X440" s="12"/>
      <c r="Y440" s="12"/>
      <c r="Z440" s="12"/>
    </row>
    <row r="441" customFormat="false" ht="15.75" hidden="false" customHeight="false" outlineLevel="0" collapsed="false">
      <c r="A441" s="12"/>
      <c r="B441" s="34"/>
      <c r="C441" s="12"/>
      <c r="D441" s="12"/>
      <c r="E441" s="12"/>
      <c r="F441" s="12"/>
      <c r="G441" s="18"/>
      <c r="H441" s="35"/>
      <c r="I441" s="35"/>
      <c r="J441" s="12"/>
      <c r="O441" s="12"/>
      <c r="P441" s="18"/>
      <c r="Q441" s="12"/>
      <c r="R441" s="12"/>
      <c r="S441" s="12"/>
      <c r="T441" s="36"/>
      <c r="U441" s="36"/>
      <c r="V441" s="12"/>
      <c r="W441" s="12"/>
      <c r="X441" s="12"/>
      <c r="Y441" s="12"/>
      <c r="Z441" s="12"/>
    </row>
    <row r="442" customFormat="false" ht="15.75" hidden="false" customHeight="false" outlineLevel="0" collapsed="false">
      <c r="A442" s="12"/>
      <c r="B442" s="34"/>
      <c r="C442" s="12"/>
      <c r="D442" s="12"/>
      <c r="E442" s="12"/>
      <c r="F442" s="12"/>
      <c r="G442" s="18"/>
      <c r="H442" s="35"/>
      <c r="I442" s="35"/>
      <c r="J442" s="12"/>
      <c r="O442" s="12"/>
      <c r="P442" s="18"/>
      <c r="Q442" s="12"/>
      <c r="R442" s="12"/>
      <c r="S442" s="12"/>
      <c r="T442" s="36"/>
      <c r="U442" s="36"/>
      <c r="V442" s="12"/>
      <c r="W442" s="12"/>
      <c r="X442" s="12"/>
      <c r="Y442" s="12"/>
      <c r="Z442" s="12"/>
    </row>
    <row r="443" customFormat="false" ht="15.75" hidden="false" customHeight="false" outlineLevel="0" collapsed="false">
      <c r="A443" s="12"/>
      <c r="B443" s="34"/>
      <c r="C443" s="12"/>
      <c r="D443" s="12"/>
      <c r="E443" s="12"/>
      <c r="F443" s="12"/>
      <c r="G443" s="18"/>
      <c r="H443" s="35"/>
      <c r="I443" s="35"/>
      <c r="J443" s="12"/>
      <c r="O443" s="12"/>
      <c r="P443" s="18"/>
      <c r="Q443" s="12"/>
      <c r="R443" s="12"/>
      <c r="S443" s="12"/>
      <c r="T443" s="36"/>
      <c r="U443" s="36"/>
      <c r="V443" s="12"/>
      <c r="W443" s="12"/>
      <c r="X443" s="12"/>
      <c r="Y443" s="12"/>
      <c r="Z443" s="12"/>
    </row>
    <row r="444" customFormat="false" ht="15.75" hidden="false" customHeight="false" outlineLevel="0" collapsed="false">
      <c r="A444" s="12"/>
      <c r="B444" s="34"/>
      <c r="C444" s="12"/>
      <c r="D444" s="12"/>
      <c r="E444" s="12"/>
      <c r="F444" s="12"/>
      <c r="G444" s="18"/>
      <c r="H444" s="35"/>
      <c r="I444" s="35"/>
      <c r="J444" s="12"/>
      <c r="O444" s="12"/>
      <c r="P444" s="18"/>
      <c r="Q444" s="12"/>
      <c r="R444" s="12"/>
      <c r="S444" s="12"/>
      <c r="T444" s="36"/>
      <c r="U444" s="36"/>
      <c r="V444" s="12"/>
      <c r="W444" s="12"/>
      <c r="X444" s="12"/>
      <c r="Y444" s="12"/>
      <c r="Z444" s="12"/>
    </row>
    <row r="445" customFormat="false" ht="15.75" hidden="false" customHeight="false" outlineLevel="0" collapsed="false">
      <c r="A445" s="12"/>
      <c r="B445" s="34"/>
      <c r="C445" s="12"/>
      <c r="D445" s="12"/>
      <c r="E445" s="12"/>
      <c r="F445" s="12"/>
      <c r="G445" s="18"/>
      <c r="H445" s="35"/>
      <c r="I445" s="35"/>
      <c r="J445" s="12"/>
      <c r="O445" s="12"/>
      <c r="P445" s="18"/>
      <c r="Q445" s="12"/>
      <c r="R445" s="12"/>
      <c r="S445" s="12"/>
      <c r="T445" s="36"/>
      <c r="U445" s="36"/>
      <c r="V445" s="12"/>
      <c r="W445" s="12"/>
      <c r="X445" s="12"/>
      <c r="Y445" s="12"/>
      <c r="Z445" s="12"/>
    </row>
    <row r="446" customFormat="false" ht="15.75" hidden="false" customHeight="false" outlineLevel="0" collapsed="false">
      <c r="A446" s="12"/>
      <c r="B446" s="34"/>
      <c r="C446" s="12"/>
      <c r="D446" s="12"/>
      <c r="E446" s="12"/>
      <c r="F446" s="12"/>
      <c r="G446" s="18"/>
      <c r="H446" s="35"/>
      <c r="I446" s="35"/>
      <c r="J446" s="12"/>
      <c r="O446" s="12"/>
      <c r="P446" s="18"/>
      <c r="Q446" s="12"/>
      <c r="R446" s="12"/>
      <c r="S446" s="12"/>
      <c r="T446" s="36"/>
      <c r="U446" s="36"/>
      <c r="V446" s="12"/>
      <c r="W446" s="12"/>
      <c r="X446" s="12"/>
      <c r="Y446" s="12"/>
      <c r="Z446" s="12"/>
    </row>
    <row r="447" customFormat="false" ht="15.75" hidden="false" customHeight="false" outlineLevel="0" collapsed="false">
      <c r="A447" s="12"/>
      <c r="B447" s="34"/>
      <c r="C447" s="12"/>
      <c r="D447" s="12"/>
      <c r="E447" s="12"/>
      <c r="F447" s="12"/>
      <c r="G447" s="18"/>
      <c r="H447" s="35"/>
      <c r="I447" s="35"/>
      <c r="J447" s="12"/>
      <c r="O447" s="12"/>
      <c r="P447" s="18"/>
      <c r="Q447" s="12"/>
      <c r="R447" s="12"/>
      <c r="S447" s="12"/>
      <c r="T447" s="36"/>
      <c r="U447" s="36"/>
      <c r="V447" s="12"/>
      <c r="W447" s="12"/>
      <c r="X447" s="12"/>
      <c r="Y447" s="12"/>
      <c r="Z447" s="12"/>
    </row>
    <row r="448" customFormat="false" ht="15.75" hidden="false" customHeight="false" outlineLevel="0" collapsed="false">
      <c r="A448" s="12"/>
      <c r="B448" s="34"/>
      <c r="C448" s="12"/>
      <c r="D448" s="12"/>
      <c r="E448" s="12"/>
      <c r="F448" s="12"/>
      <c r="G448" s="18"/>
      <c r="H448" s="35"/>
      <c r="I448" s="35"/>
      <c r="J448" s="12"/>
      <c r="O448" s="12"/>
      <c r="P448" s="18"/>
      <c r="Q448" s="12"/>
      <c r="R448" s="12"/>
      <c r="S448" s="12"/>
      <c r="T448" s="36"/>
      <c r="U448" s="36"/>
      <c r="V448" s="12"/>
      <c r="W448" s="12"/>
      <c r="X448" s="12"/>
      <c r="Y448" s="12"/>
      <c r="Z448" s="12"/>
    </row>
    <row r="449" customFormat="false" ht="15.75" hidden="false" customHeight="false" outlineLevel="0" collapsed="false">
      <c r="A449" s="12"/>
      <c r="B449" s="34"/>
      <c r="C449" s="12"/>
      <c r="D449" s="12"/>
      <c r="E449" s="12"/>
      <c r="F449" s="12"/>
      <c r="G449" s="18"/>
      <c r="H449" s="35"/>
      <c r="I449" s="35"/>
      <c r="J449" s="12"/>
      <c r="O449" s="12"/>
      <c r="P449" s="18"/>
      <c r="Q449" s="12"/>
      <c r="R449" s="12"/>
      <c r="S449" s="12"/>
      <c r="T449" s="36"/>
      <c r="U449" s="36"/>
      <c r="V449" s="12"/>
      <c r="W449" s="12"/>
      <c r="X449" s="12"/>
      <c r="Y449" s="12"/>
      <c r="Z449" s="12"/>
    </row>
    <row r="450" customFormat="false" ht="15.75" hidden="false" customHeight="false" outlineLevel="0" collapsed="false">
      <c r="A450" s="12"/>
      <c r="B450" s="34"/>
      <c r="C450" s="12"/>
      <c r="D450" s="12"/>
      <c r="E450" s="12"/>
      <c r="F450" s="12"/>
      <c r="G450" s="18"/>
      <c r="H450" s="35"/>
      <c r="I450" s="35"/>
      <c r="J450" s="12"/>
      <c r="O450" s="12"/>
      <c r="P450" s="18"/>
      <c r="Q450" s="12"/>
      <c r="R450" s="12"/>
      <c r="S450" s="12"/>
      <c r="T450" s="36"/>
      <c r="U450" s="36"/>
      <c r="V450" s="12"/>
      <c r="W450" s="12"/>
      <c r="X450" s="12"/>
      <c r="Y450" s="12"/>
      <c r="Z450" s="12"/>
    </row>
    <row r="451" customFormat="false" ht="15.75" hidden="false" customHeight="false" outlineLevel="0" collapsed="false">
      <c r="A451" s="12"/>
      <c r="B451" s="34"/>
      <c r="C451" s="12"/>
      <c r="D451" s="12"/>
      <c r="E451" s="12"/>
      <c r="F451" s="12"/>
      <c r="G451" s="18"/>
      <c r="H451" s="35"/>
      <c r="I451" s="35"/>
      <c r="J451" s="12"/>
      <c r="O451" s="12"/>
      <c r="P451" s="18"/>
      <c r="Q451" s="12"/>
      <c r="R451" s="12"/>
      <c r="S451" s="12"/>
      <c r="T451" s="36"/>
      <c r="U451" s="36"/>
      <c r="V451" s="12"/>
      <c r="W451" s="12"/>
      <c r="X451" s="12"/>
      <c r="Y451" s="12"/>
      <c r="Z451" s="12"/>
    </row>
    <row r="452" customFormat="false" ht="15.75" hidden="false" customHeight="false" outlineLevel="0" collapsed="false">
      <c r="A452" s="12"/>
      <c r="B452" s="34"/>
      <c r="C452" s="12"/>
      <c r="D452" s="12"/>
      <c r="E452" s="12"/>
      <c r="F452" s="12"/>
      <c r="G452" s="18"/>
      <c r="H452" s="35"/>
      <c r="I452" s="35"/>
      <c r="J452" s="12"/>
      <c r="O452" s="12"/>
      <c r="P452" s="18"/>
      <c r="Q452" s="12"/>
      <c r="R452" s="12"/>
      <c r="S452" s="12"/>
      <c r="T452" s="36"/>
      <c r="U452" s="36"/>
      <c r="V452" s="12"/>
      <c r="W452" s="12"/>
      <c r="X452" s="12"/>
      <c r="Y452" s="12"/>
      <c r="Z452" s="12"/>
    </row>
    <row r="453" customFormat="false" ht="15.75" hidden="false" customHeight="false" outlineLevel="0" collapsed="false">
      <c r="A453" s="12"/>
      <c r="B453" s="34"/>
      <c r="C453" s="12"/>
      <c r="D453" s="12"/>
      <c r="E453" s="12"/>
      <c r="F453" s="12"/>
      <c r="G453" s="18"/>
      <c r="H453" s="35"/>
      <c r="I453" s="35"/>
      <c r="J453" s="12"/>
      <c r="O453" s="12"/>
      <c r="P453" s="18"/>
      <c r="Q453" s="12"/>
      <c r="R453" s="12"/>
      <c r="S453" s="12"/>
      <c r="T453" s="36"/>
      <c r="U453" s="36"/>
      <c r="V453" s="12"/>
      <c r="W453" s="12"/>
      <c r="X453" s="12"/>
      <c r="Y453" s="12"/>
      <c r="Z453" s="12"/>
    </row>
    <row r="454" customFormat="false" ht="15.75" hidden="false" customHeight="false" outlineLevel="0" collapsed="false">
      <c r="A454" s="12"/>
      <c r="B454" s="34"/>
      <c r="C454" s="12"/>
      <c r="D454" s="12"/>
      <c r="E454" s="12"/>
      <c r="F454" s="12"/>
      <c r="G454" s="18"/>
      <c r="H454" s="35"/>
      <c r="I454" s="35"/>
      <c r="J454" s="12"/>
      <c r="O454" s="12"/>
      <c r="P454" s="18"/>
      <c r="Q454" s="12"/>
      <c r="R454" s="12"/>
      <c r="S454" s="12"/>
      <c r="T454" s="36"/>
      <c r="U454" s="36"/>
      <c r="V454" s="12"/>
      <c r="W454" s="12"/>
      <c r="X454" s="12"/>
      <c r="Y454" s="12"/>
      <c r="Z454" s="12"/>
    </row>
    <row r="455" customFormat="false" ht="15.75" hidden="false" customHeight="false" outlineLevel="0" collapsed="false">
      <c r="A455" s="12"/>
      <c r="B455" s="34"/>
      <c r="C455" s="12"/>
      <c r="D455" s="12"/>
      <c r="E455" s="12"/>
      <c r="F455" s="12"/>
      <c r="G455" s="18"/>
      <c r="H455" s="35"/>
      <c r="I455" s="35"/>
      <c r="J455" s="12"/>
      <c r="O455" s="12"/>
      <c r="P455" s="18"/>
      <c r="Q455" s="12"/>
      <c r="R455" s="12"/>
      <c r="S455" s="12"/>
      <c r="T455" s="36"/>
      <c r="U455" s="36"/>
      <c r="V455" s="12"/>
      <c r="W455" s="12"/>
      <c r="X455" s="12"/>
      <c r="Y455" s="12"/>
      <c r="Z455" s="12"/>
    </row>
    <row r="456" customFormat="false" ht="15.75" hidden="false" customHeight="false" outlineLevel="0" collapsed="false">
      <c r="A456" s="12"/>
      <c r="B456" s="34"/>
      <c r="C456" s="12"/>
      <c r="D456" s="12"/>
      <c r="E456" s="12"/>
      <c r="F456" s="12"/>
      <c r="G456" s="18"/>
      <c r="H456" s="35"/>
      <c r="I456" s="35"/>
      <c r="J456" s="12"/>
      <c r="O456" s="12"/>
      <c r="P456" s="18"/>
      <c r="Q456" s="12"/>
      <c r="R456" s="12"/>
      <c r="S456" s="12"/>
      <c r="T456" s="36"/>
      <c r="U456" s="36"/>
      <c r="V456" s="12"/>
      <c r="W456" s="12"/>
      <c r="X456" s="12"/>
      <c r="Y456" s="12"/>
      <c r="Z456" s="12"/>
    </row>
    <row r="457" customFormat="false" ht="15.75" hidden="false" customHeight="false" outlineLevel="0" collapsed="false">
      <c r="A457" s="12"/>
      <c r="B457" s="34"/>
      <c r="C457" s="12"/>
      <c r="D457" s="12"/>
      <c r="E457" s="12"/>
      <c r="F457" s="12"/>
      <c r="G457" s="18"/>
      <c r="H457" s="35"/>
      <c r="I457" s="35"/>
      <c r="J457" s="12"/>
      <c r="O457" s="12"/>
      <c r="P457" s="18"/>
      <c r="Q457" s="12"/>
      <c r="R457" s="12"/>
      <c r="S457" s="12"/>
      <c r="T457" s="36"/>
      <c r="U457" s="36"/>
      <c r="V457" s="12"/>
      <c r="W457" s="12"/>
      <c r="X457" s="12"/>
      <c r="Y457" s="12"/>
      <c r="Z457" s="12"/>
    </row>
    <row r="458" customFormat="false" ht="15.75" hidden="false" customHeight="false" outlineLevel="0" collapsed="false">
      <c r="A458" s="12"/>
      <c r="B458" s="34"/>
      <c r="C458" s="12"/>
      <c r="D458" s="12"/>
      <c r="E458" s="12"/>
      <c r="F458" s="12"/>
      <c r="G458" s="18"/>
      <c r="H458" s="35"/>
      <c r="I458" s="35"/>
      <c r="J458" s="12"/>
      <c r="O458" s="12"/>
      <c r="P458" s="18"/>
      <c r="Q458" s="12"/>
      <c r="R458" s="12"/>
      <c r="S458" s="12"/>
      <c r="T458" s="36"/>
      <c r="U458" s="36"/>
      <c r="V458" s="12"/>
      <c r="W458" s="12"/>
      <c r="X458" s="12"/>
      <c r="Y458" s="12"/>
      <c r="Z458" s="12"/>
    </row>
    <row r="459" customFormat="false" ht="15.75" hidden="false" customHeight="false" outlineLevel="0" collapsed="false">
      <c r="A459" s="12"/>
      <c r="B459" s="34"/>
      <c r="C459" s="12"/>
      <c r="D459" s="12"/>
      <c r="E459" s="12"/>
      <c r="F459" s="12"/>
      <c r="G459" s="18"/>
      <c r="H459" s="35"/>
      <c r="I459" s="35"/>
      <c r="J459" s="12"/>
      <c r="O459" s="12"/>
      <c r="P459" s="18"/>
      <c r="Q459" s="12"/>
      <c r="R459" s="12"/>
      <c r="S459" s="12"/>
      <c r="T459" s="36"/>
      <c r="U459" s="36"/>
      <c r="V459" s="12"/>
      <c r="W459" s="12"/>
      <c r="X459" s="12"/>
      <c r="Y459" s="12"/>
      <c r="Z459" s="12"/>
    </row>
    <row r="460" customFormat="false" ht="15.75" hidden="false" customHeight="false" outlineLevel="0" collapsed="false">
      <c r="A460" s="12"/>
      <c r="B460" s="34"/>
      <c r="C460" s="12"/>
      <c r="D460" s="12"/>
      <c r="E460" s="12"/>
      <c r="F460" s="12"/>
      <c r="G460" s="18"/>
      <c r="H460" s="35"/>
      <c r="I460" s="35"/>
      <c r="J460" s="12"/>
      <c r="O460" s="12"/>
      <c r="P460" s="18"/>
      <c r="Q460" s="12"/>
      <c r="R460" s="12"/>
      <c r="S460" s="12"/>
      <c r="T460" s="36"/>
      <c r="U460" s="36"/>
      <c r="V460" s="12"/>
      <c r="W460" s="12"/>
      <c r="X460" s="12"/>
      <c r="Y460" s="12"/>
      <c r="Z460" s="12"/>
    </row>
    <row r="461" customFormat="false" ht="15.75" hidden="false" customHeight="false" outlineLevel="0" collapsed="false">
      <c r="A461" s="12"/>
      <c r="B461" s="34"/>
      <c r="C461" s="12"/>
      <c r="D461" s="12"/>
      <c r="E461" s="12"/>
      <c r="F461" s="12"/>
      <c r="G461" s="18"/>
      <c r="H461" s="35"/>
      <c r="I461" s="35"/>
      <c r="J461" s="12"/>
      <c r="O461" s="12"/>
      <c r="P461" s="18"/>
      <c r="Q461" s="12"/>
      <c r="R461" s="12"/>
      <c r="S461" s="12"/>
      <c r="T461" s="36"/>
      <c r="U461" s="36"/>
      <c r="V461" s="12"/>
      <c r="W461" s="12"/>
      <c r="X461" s="12"/>
      <c r="Y461" s="12"/>
      <c r="Z461" s="12"/>
    </row>
    <row r="462" customFormat="false" ht="15.75" hidden="false" customHeight="false" outlineLevel="0" collapsed="false">
      <c r="A462" s="12"/>
      <c r="B462" s="34"/>
      <c r="C462" s="12"/>
      <c r="D462" s="12"/>
      <c r="E462" s="12"/>
      <c r="F462" s="12"/>
      <c r="G462" s="18"/>
      <c r="H462" s="35"/>
      <c r="I462" s="35"/>
      <c r="J462" s="12"/>
      <c r="O462" s="12"/>
      <c r="P462" s="18"/>
      <c r="Q462" s="12"/>
      <c r="R462" s="12"/>
      <c r="S462" s="12"/>
      <c r="T462" s="36"/>
      <c r="U462" s="36"/>
      <c r="V462" s="12"/>
      <c r="W462" s="12"/>
      <c r="X462" s="12"/>
      <c r="Y462" s="12"/>
      <c r="Z462" s="12"/>
    </row>
    <row r="463" customFormat="false" ht="15.75" hidden="false" customHeight="false" outlineLevel="0" collapsed="false">
      <c r="A463" s="12"/>
      <c r="B463" s="34"/>
      <c r="C463" s="12"/>
      <c r="D463" s="12"/>
      <c r="E463" s="12"/>
      <c r="F463" s="12"/>
      <c r="G463" s="18"/>
      <c r="H463" s="35"/>
      <c r="I463" s="35"/>
      <c r="J463" s="12"/>
      <c r="O463" s="12"/>
      <c r="P463" s="18"/>
      <c r="Q463" s="12"/>
      <c r="R463" s="12"/>
      <c r="S463" s="12"/>
      <c r="T463" s="36"/>
      <c r="U463" s="36"/>
      <c r="V463" s="12"/>
      <c r="W463" s="12"/>
      <c r="X463" s="12"/>
      <c r="Y463" s="12"/>
      <c r="Z463" s="12"/>
    </row>
    <row r="464" customFormat="false" ht="15.75" hidden="false" customHeight="false" outlineLevel="0" collapsed="false">
      <c r="A464" s="12"/>
      <c r="B464" s="34"/>
      <c r="C464" s="12"/>
      <c r="D464" s="12"/>
      <c r="E464" s="12"/>
      <c r="F464" s="12"/>
      <c r="G464" s="18"/>
      <c r="H464" s="35"/>
      <c r="I464" s="35"/>
      <c r="J464" s="12"/>
      <c r="O464" s="12"/>
      <c r="P464" s="18"/>
      <c r="Q464" s="12"/>
      <c r="R464" s="12"/>
      <c r="S464" s="12"/>
      <c r="T464" s="36"/>
      <c r="U464" s="36"/>
      <c r="V464" s="12"/>
      <c r="W464" s="12"/>
      <c r="X464" s="12"/>
      <c r="Y464" s="12"/>
      <c r="Z464" s="12"/>
    </row>
    <row r="465" customFormat="false" ht="15.75" hidden="false" customHeight="false" outlineLevel="0" collapsed="false">
      <c r="A465" s="12"/>
      <c r="B465" s="34"/>
      <c r="C465" s="12"/>
      <c r="D465" s="12"/>
      <c r="E465" s="12"/>
      <c r="F465" s="12"/>
      <c r="G465" s="18"/>
      <c r="H465" s="35"/>
      <c r="I465" s="35"/>
      <c r="J465" s="12"/>
      <c r="O465" s="12"/>
      <c r="P465" s="18"/>
      <c r="Q465" s="12"/>
      <c r="R465" s="12"/>
      <c r="S465" s="12"/>
      <c r="T465" s="36"/>
      <c r="U465" s="36"/>
      <c r="V465" s="12"/>
      <c r="W465" s="12"/>
      <c r="X465" s="12"/>
      <c r="Y465" s="12"/>
      <c r="Z465" s="12"/>
    </row>
    <row r="466" customFormat="false" ht="15.75" hidden="false" customHeight="false" outlineLevel="0" collapsed="false">
      <c r="A466" s="12"/>
      <c r="B466" s="34"/>
      <c r="C466" s="12"/>
      <c r="D466" s="12"/>
      <c r="E466" s="12"/>
      <c r="F466" s="12"/>
      <c r="G466" s="18"/>
      <c r="H466" s="35"/>
      <c r="I466" s="35"/>
      <c r="J466" s="12"/>
      <c r="O466" s="12"/>
      <c r="P466" s="18"/>
      <c r="Q466" s="12"/>
      <c r="R466" s="12"/>
      <c r="S466" s="12"/>
      <c r="T466" s="36"/>
      <c r="U466" s="36"/>
      <c r="V466" s="12"/>
      <c r="W466" s="12"/>
      <c r="X466" s="12"/>
      <c r="Y466" s="12"/>
      <c r="Z466" s="12"/>
    </row>
    <row r="467" customFormat="false" ht="15.75" hidden="false" customHeight="false" outlineLevel="0" collapsed="false">
      <c r="A467" s="12"/>
      <c r="B467" s="34"/>
      <c r="C467" s="12"/>
      <c r="D467" s="12"/>
      <c r="E467" s="12"/>
      <c r="F467" s="12"/>
      <c r="G467" s="18"/>
      <c r="H467" s="35"/>
      <c r="I467" s="35"/>
      <c r="J467" s="12"/>
      <c r="O467" s="12"/>
      <c r="P467" s="18"/>
      <c r="Q467" s="12"/>
      <c r="R467" s="12"/>
      <c r="S467" s="12"/>
      <c r="T467" s="36"/>
      <c r="U467" s="36"/>
      <c r="V467" s="12"/>
      <c r="W467" s="12"/>
      <c r="X467" s="12"/>
      <c r="Y467" s="12"/>
      <c r="Z467" s="12"/>
    </row>
    <row r="468" customFormat="false" ht="15.75" hidden="false" customHeight="false" outlineLevel="0" collapsed="false">
      <c r="A468" s="12"/>
      <c r="B468" s="34"/>
      <c r="C468" s="12"/>
      <c r="D468" s="12"/>
      <c r="E468" s="12"/>
      <c r="F468" s="12"/>
      <c r="G468" s="18"/>
      <c r="H468" s="35"/>
      <c r="I468" s="35"/>
      <c r="J468" s="12"/>
      <c r="O468" s="12"/>
      <c r="P468" s="18"/>
      <c r="Q468" s="12"/>
      <c r="R468" s="12"/>
      <c r="S468" s="12"/>
      <c r="T468" s="36"/>
      <c r="U468" s="36"/>
      <c r="V468" s="12"/>
      <c r="W468" s="12"/>
      <c r="X468" s="12"/>
      <c r="Y468" s="12"/>
      <c r="Z468" s="12"/>
    </row>
    <row r="469" customFormat="false" ht="15.75" hidden="false" customHeight="false" outlineLevel="0" collapsed="false">
      <c r="A469" s="12"/>
      <c r="B469" s="34"/>
      <c r="C469" s="12"/>
      <c r="D469" s="12"/>
      <c r="E469" s="12"/>
      <c r="F469" s="12"/>
      <c r="G469" s="18"/>
      <c r="H469" s="35"/>
      <c r="I469" s="35"/>
      <c r="J469" s="12"/>
      <c r="O469" s="12"/>
      <c r="P469" s="18"/>
      <c r="Q469" s="12"/>
      <c r="R469" s="12"/>
      <c r="S469" s="12"/>
      <c r="T469" s="36"/>
      <c r="U469" s="36"/>
      <c r="V469" s="12"/>
      <c r="W469" s="12"/>
      <c r="X469" s="12"/>
      <c r="Y469" s="12"/>
      <c r="Z469" s="12"/>
    </row>
    <row r="470" customFormat="false" ht="15.75" hidden="false" customHeight="false" outlineLevel="0" collapsed="false">
      <c r="A470" s="12"/>
      <c r="B470" s="34"/>
      <c r="C470" s="12"/>
      <c r="D470" s="12"/>
      <c r="E470" s="12"/>
      <c r="F470" s="12"/>
      <c r="G470" s="18"/>
      <c r="H470" s="35"/>
      <c r="I470" s="35"/>
      <c r="J470" s="12"/>
      <c r="O470" s="12"/>
      <c r="P470" s="18"/>
      <c r="Q470" s="12"/>
      <c r="R470" s="12"/>
      <c r="S470" s="12"/>
      <c r="T470" s="36"/>
      <c r="U470" s="36"/>
      <c r="V470" s="12"/>
      <c r="W470" s="12"/>
      <c r="X470" s="12"/>
      <c r="Y470" s="12"/>
      <c r="Z470" s="12"/>
    </row>
    <row r="471" customFormat="false" ht="15.75" hidden="false" customHeight="false" outlineLevel="0" collapsed="false">
      <c r="A471" s="12"/>
      <c r="B471" s="34"/>
      <c r="C471" s="12"/>
      <c r="D471" s="12"/>
      <c r="E471" s="12"/>
      <c r="F471" s="12"/>
      <c r="G471" s="18"/>
      <c r="H471" s="35"/>
      <c r="I471" s="35"/>
      <c r="J471" s="12"/>
      <c r="O471" s="12"/>
      <c r="P471" s="18"/>
      <c r="Q471" s="12"/>
      <c r="R471" s="12"/>
      <c r="S471" s="12"/>
      <c r="T471" s="36"/>
      <c r="U471" s="36"/>
      <c r="V471" s="12"/>
      <c r="W471" s="12"/>
      <c r="X471" s="12"/>
      <c r="Y471" s="12"/>
      <c r="Z471" s="12"/>
    </row>
    <row r="472" customFormat="false" ht="15.75" hidden="false" customHeight="false" outlineLevel="0" collapsed="false">
      <c r="A472" s="12"/>
      <c r="B472" s="34"/>
      <c r="C472" s="12"/>
      <c r="D472" s="12"/>
      <c r="E472" s="12"/>
      <c r="F472" s="12"/>
      <c r="G472" s="18"/>
      <c r="H472" s="35"/>
      <c r="I472" s="35"/>
      <c r="J472" s="12"/>
      <c r="O472" s="12"/>
      <c r="P472" s="18"/>
      <c r="Q472" s="12"/>
      <c r="R472" s="12"/>
      <c r="S472" s="12"/>
      <c r="T472" s="36"/>
      <c r="U472" s="36"/>
      <c r="V472" s="12"/>
      <c r="W472" s="12"/>
      <c r="X472" s="12"/>
      <c r="Y472" s="12"/>
      <c r="Z472" s="12"/>
    </row>
    <row r="473" customFormat="false" ht="15.75" hidden="false" customHeight="false" outlineLevel="0" collapsed="false">
      <c r="A473" s="12"/>
      <c r="B473" s="34"/>
      <c r="C473" s="12"/>
      <c r="D473" s="12"/>
      <c r="E473" s="12"/>
      <c r="F473" s="12"/>
      <c r="G473" s="18"/>
      <c r="H473" s="35"/>
      <c r="I473" s="35"/>
      <c r="J473" s="12"/>
      <c r="O473" s="12"/>
      <c r="P473" s="18"/>
      <c r="Q473" s="12"/>
      <c r="R473" s="12"/>
      <c r="S473" s="12"/>
      <c r="T473" s="36"/>
      <c r="U473" s="36"/>
      <c r="V473" s="12"/>
      <c r="W473" s="12"/>
      <c r="X473" s="12"/>
      <c r="Y473" s="12"/>
      <c r="Z473" s="12"/>
    </row>
    <row r="474" customFormat="false" ht="15.75" hidden="false" customHeight="false" outlineLevel="0" collapsed="false">
      <c r="A474" s="12"/>
      <c r="B474" s="34"/>
      <c r="C474" s="12"/>
      <c r="D474" s="12"/>
      <c r="E474" s="12"/>
      <c r="F474" s="12"/>
      <c r="G474" s="18"/>
      <c r="H474" s="35"/>
      <c r="I474" s="35"/>
      <c r="J474" s="12"/>
      <c r="O474" s="12"/>
      <c r="P474" s="18"/>
      <c r="Q474" s="12"/>
      <c r="R474" s="12"/>
      <c r="S474" s="12"/>
      <c r="T474" s="36"/>
      <c r="U474" s="36"/>
      <c r="V474" s="12"/>
      <c r="W474" s="12"/>
      <c r="X474" s="12"/>
      <c r="Y474" s="12"/>
      <c r="Z474" s="12"/>
    </row>
    <row r="475" customFormat="false" ht="15.75" hidden="false" customHeight="false" outlineLevel="0" collapsed="false">
      <c r="A475" s="12"/>
      <c r="B475" s="34"/>
      <c r="C475" s="12"/>
      <c r="D475" s="12"/>
      <c r="E475" s="12"/>
      <c r="F475" s="12"/>
      <c r="G475" s="18"/>
      <c r="H475" s="35"/>
      <c r="I475" s="35"/>
      <c r="J475" s="12"/>
      <c r="O475" s="12"/>
      <c r="P475" s="18"/>
      <c r="Q475" s="12"/>
      <c r="R475" s="12"/>
      <c r="S475" s="12"/>
      <c r="T475" s="36"/>
      <c r="U475" s="36"/>
      <c r="V475" s="12"/>
      <c r="W475" s="12"/>
      <c r="X475" s="12"/>
      <c r="Y475" s="12"/>
      <c r="Z475" s="12"/>
    </row>
    <row r="476" customFormat="false" ht="15.75" hidden="false" customHeight="false" outlineLevel="0" collapsed="false">
      <c r="A476" s="12"/>
      <c r="B476" s="34"/>
      <c r="C476" s="12"/>
      <c r="D476" s="12"/>
      <c r="E476" s="12"/>
      <c r="F476" s="12"/>
      <c r="G476" s="18"/>
      <c r="H476" s="35"/>
      <c r="I476" s="35"/>
      <c r="J476" s="12"/>
      <c r="O476" s="12"/>
      <c r="P476" s="18"/>
      <c r="Q476" s="12"/>
      <c r="R476" s="12"/>
      <c r="S476" s="12"/>
      <c r="T476" s="36"/>
      <c r="U476" s="36"/>
      <c r="V476" s="12"/>
      <c r="W476" s="12"/>
      <c r="X476" s="12"/>
      <c r="Y476" s="12"/>
      <c r="Z476" s="12"/>
    </row>
    <row r="477" customFormat="false" ht="15.75" hidden="false" customHeight="false" outlineLevel="0" collapsed="false">
      <c r="A477" s="12"/>
      <c r="B477" s="34"/>
      <c r="C477" s="12"/>
      <c r="D477" s="12"/>
      <c r="E477" s="12"/>
      <c r="F477" s="12"/>
      <c r="G477" s="18"/>
      <c r="H477" s="35"/>
      <c r="I477" s="35"/>
      <c r="J477" s="12"/>
      <c r="O477" s="12"/>
      <c r="P477" s="18"/>
      <c r="Q477" s="12"/>
      <c r="R477" s="12"/>
      <c r="S477" s="12"/>
      <c r="T477" s="36"/>
      <c r="U477" s="36"/>
      <c r="V477" s="12"/>
      <c r="W477" s="12"/>
      <c r="X477" s="12"/>
      <c r="Y477" s="12"/>
      <c r="Z477" s="12"/>
    </row>
    <row r="478" customFormat="false" ht="15.75" hidden="false" customHeight="false" outlineLevel="0" collapsed="false">
      <c r="A478" s="12"/>
      <c r="B478" s="34"/>
      <c r="C478" s="12"/>
      <c r="D478" s="12"/>
      <c r="E478" s="12"/>
      <c r="F478" s="12"/>
      <c r="G478" s="18"/>
      <c r="H478" s="35"/>
      <c r="I478" s="35"/>
      <c r="J478" s="12"/>
      <c r="O478" s="12"/>
      <c r="P478" s="18"/>
      <c r="Q478" s="12"/>
      <c r="R478" s="12"/>
      <c r="S478" s="12"/>
      <c r="T478" s="36"/>
      <c r="U478" s="36"/>
      <c r="V478" s="12"/>
      <c r="W478" s="12"/>
      <c r="X478" s="12"/>
      <c r="Y478" s="12"/>
      <c r="Z478" s="12"/>
    </row>
    <row r="479" customFormat="false" ht="15.75" hidden="false" customHeight="false" outlineLevel="0" collapsed="false">
      <c r="A479" s="12"/>
      <c r="B479" s="34"/>
      <c r="C479" s="12"/>
      <c r="D479" s="12"/>
      <c r="E479" s="12"/>
      <c r="F479" s="12"/>
      <c r="G479" s="18"/>
      <c r="H479" s="35"/>
      <c r="I479" s="35"/>
      <c r="J479" s="12"/>
      <c r="O479" s="12"/>
      <c r="P479" s="18"/>
      <c r="Q479" s="12"/>
      <c r="R479" s="12"/>
      <c r="S479" s="12"/>
      <c r="T479" s="36"/>
      <c r="U479" s="36"/>
      <c r="V479" s="12"/>
      <c r="W479" s="12"/>
      <c r="X479" s="12"/>
      <c r="Y479" s="12"/>
      <c r="Z479" s="12"/>
    </row>
    <row r="480" customFormat="false" ht="15.75" hidden="false" customHeight="false" outlineLevel="0" collapsed="false">
      <c r="A480" s="12"/>
      <c r="B480" s="34"/>
      <c r="C480" s="12"/>
      <c r="D480" s="12"/>
      <c r="E480" s="12"/>
      <c r="F480" s="12"/>
      <c r="G480" s="18"/>
      <c r="H480" s="35"/>
      <c r="I480" s="35"/>
      <c r="J480" s="12"/>
      <c r="O480" s="12"/>
      <c r="P480" s="18"/>
      <c r="Q480" s="12"/>
      <c r="R480" s="12"/>
      <c r="S480" s="12"/>
      <c r="T480" s="36"/>
      <c r="U480" s="36"/>
      <c r="V480" s="12"/>
      <c r="W480" s="12"/>
      <c r="X480" s="12"/>
      <c r="Y480" s="12"/>
      <c r="Z480" s="12"/>
    </row>
    <row r="481" customFormat="false" ht="15.75" hidden="false" customHeight="false" outlineLevel="0" collapsed="false">
      <c r="A481" s="12"/>
      <c r="B481" s="34"/>
      <c r="C481" s="12"/>
      <c r="D481" s="12"/>
      <c r="E481" s="12"/>
      <c r="F481" s="12"/>
      <c r="G481" s="18"/>
      <c r="H481" s="35"/>
      <c r="I481" s="35"/>
      <c r="J481" s="12"/>
      <c r="O481" s="12"/>
      <c r="P481" s="18"/>
      <c r="Q481" s="12"/>
      <c r="R481" s="12"/>
      <c r="S481" s="12"/>
      <c r="T481" s="36"/>
      <c r="U481" s="36"/>
      <c r="V481" s="12"/>
      <c r="W481" s="12"/>
      <c r="X481" s="12"/>
      <c r="Y481" s="12"/>
      <c r="Z481" s="12"/>
    </row>
    <row r="482" customFormat="false" ht="15.75" hidden="false" customHeight="false" outlineLevel="0" collapsed="false">
      <c r="A482" s="12"/>
      <c r="B482" s="34"/>
      <c r="C482" s="12"/>
      <c r="D482" s="12"/>
      <c r="E482" s="12"/>
      <c r="F482" s="12"/>
      <c r="G482" s="18"/>
      <c r="H482" s="35"/>
      <c r="I482" s="35"/>
      <c r="J482" s="12"/>
      <c r="O482" s="12"/>
      <c r="P482" s="18"/>
      <c r="Q482" s="12"/>
      <c r="R482" s="12"/>
      <c r="S482" s="12"/>
      <c r="T482" s="36"/>
      <c r="U482" s="36"/>
      <c r="V482" s="12"/>
      <c r="W482" s="12"/>
      <c r="X482" s="12"/>
      <c r="Y482" s="12"/>
      <c r="Z482" s="12"/>
    </row>
    <row r="483" customFormat="false" ht="15.75" hidden="false" customHeight="false" outlineLevel="0" collapsed="false">
      <c r="A483" s="12"/>
      <c r="B483" s="34"/>
      <c r="C483" s="12"/>
      <c r="D483" s="12"/>
      <c r="E483" s="12"/>
      <c r="F483" s="12"/>
      <c r="G483" s="18"/>
      <c r="H483" s="35"/>
      <c r="I483" s="35"/>
      <c r="J483" s="12"/>
      <c r="O483" s="12"/>
      <c r="P483" s="18"/>
      <c r="Q483" s="12"/>
      <c r="R483" s="12"/>
      <c r="S483" s="12"/>
      <c r="T483" s="36"/>
      <c r="U483" s="36"/>
      <c r="V483" s="12"/>
      <c r="W483" s="12"/>
      <c r="X483" s="12"/>
      <c r="Y483" s="12"/>
      <c r="Z483" s="12"/>
    </row>
    <row r="484" customFormat="false" ht="15.75" hidden="false" customHeight="false" outlineLevel="0" collapsed="false">
      <c r="A484" s="12"/>
      <c r="B484" s="34"/>
      <c r="C484" s="12"/>
      <c r="D484" s="12"/>
      <c r="E484" s="12"/>
      <c r="F484" s="12"/>
      <c r="G484" s="18"/>
      <c r="H484" s="35"/>
      <c r="I484" s="35"/>
      <c r="J484" s="12"/>
      <c r="O484" s="12"/>
      <c r="P484" s="18"/>
      <c r="Q484" s="12"/>
      <c r="R484" s="12"/>
      <c r="S484" s="12"/>
      <c r="T484" s="36"/>
      <c r="U484" s="36"/>
      <c r="V484" s="12"/>
      <c r="W484" s="12"/>
      <c r="X484" s="12"/>
      <c r="Y484" s="12"/>
      <c r="Z484" s="12"/>
    </row>
    <row r="485" customFormat="false" ht="15.75" hidden="false" customHeight="false" outlineLevel="0" collapsed="false">
      <c r="A485" s="12"/>
      <c r="B485" s="34"/>
      <c r="C485" s="12"/>
      <c r="D485" s="12"/>
      <c r="E485" s="12"/>
      <c r="F485" s="12"/>
      <c r="G485" s="18"/>
      <c r="H485" s="35"/>
      <c r="I485" s="35"/>
      <c r="J485" s="12"/>
      <c r="O485" s="12"/>
      <c r="P485" s="18"/>
      <c r="Q485" s="12"/>
      <c r="R485" s="12"/>
      <c r="S485" s="12"/>
      <c r="T485" s="36"/>
      <c r="U485" s="36"/>
      <c r="V485" s="12"/>
      <c r="W485" s="12"/>
      <c r="X485" s="12"/>
      <c r="Y485" s="12"/>
      <c r="Z485" s="12"/>
    </row>
    <row r="486" customFormat="false" ht="15.75" hidden="false" customHeight="false" outlineLevel="0" collapsed="false">
      <c r="A486" s="12"/>
      <c r="B486" s="34"/>
      <c r="C486" s="12"/>
      <c r="D486" s="12"/>
      <c r="E486" s="12"/>
      <c r="F486" s="12"/>
      <c r="G486" s="18"/>
      <c r="H486" s="35"/>
      <c r="I486" s="35"/>
      <c r="J486" s="12"/>
      <c r="O486" s="12"/>
      <c r="P486" s="18"/>
      <c r="Q486" s="12"/>
      <c r="R486" s="12"/>
      <c r="S486" s="12"/>
      <c r="T486" s="36"/>
      <c r="U486" s="36"/>
      <c r="V486" s="12"/>
      <c r="W486" s="12"/>
      <c r="X486" s="12"/>
      <c r="Y486" s="12"/>
      <c r="Z486" s="12"/>
    </row>
    <row r="487" customFormat="false" ht="15.75" hidden="false" customHeight="false" outlineLevel="0" collapsed="false">
      <c r="A487" s="12"/>
      <c r="B487" s="34"/>
      <c r="C487" s="12"/>
      <c r="D487" s="12"/>
      <c r="E487" s="12"/>
      <c r="F487" s="12"/>
      <c r="G487" s="18"/>
      <c r="H487" s="35"/>
      <c r="I487" s="35"/>
      <c r="J487" s="12"/>
      <c r="O487" s="12"/>
      <c r="P487" s="18"/>
      <c r="Q487" s="12"/>
      <c r="R487" s="12"/>
      <c r="S487" s="12"/>
      <c r="T487" s="36"/>
      <c r="U487" s="36"/>
      <c r="V487" s="12"/>
      <c r="W487" s="12"/>
      <c r="X487" s="12"/>
      <c r="Y487" s="12"/>
      <c r="Z487" s="12"/>
    </row>
    <row r="488" customFormat="false" ht="15.75" hidden="false" customHeight="false" outlineLevel="0" collapsed="false">
      <c r="A488" s="12"/>
      <c r="B488" s="34"/>
      <c r="C488" s="12"/>
      <c r="D488" s="12"/>
      <c r="E488" s="12"/>
      <c r="F488" s="12"/>
      <c r="G488" s="18"/>
      <c r="H488" s="35"/>
      <c r="I488" s="35"/>
      <c r="J488" s="12"/>
      <c r="O488" s="12"/>
      <c r="P488" s="18"/>
      <c r="Q488" s="12"/>
      <c r="R488" s="12"/>
      <c r="S488" s="12"/>
      <c r="T488" s="36"/>
      <c r="U488" s="36"/>
      <c r="V488" s="12"/>
      <c r="W488" s="12"/>
      <c r="X488" s="12"/>
      <c r="Y488" s="12"/>
      <c r="Z488" s="12"/>
    </row>
    <row r="489" customFormat="false" ht="15.75" hidden="false" customHeight="false" outlineLevel="0" collapsed="false">
      <c r="A489" s="12"/>
      <c r="B489" s="34"/>
      <c r="C489" s="12"/>
      <c r="D489" s="12"/>
      <c r="E489" s="12"/>
      <c r="F489" s="12"/>
      <c r="G489" s="18"/>
      <c r="H489" s="35"/>
      <c r="I489" s="35"/>
      <c r="J489" s="12"/>
      <c r="O489" s="12"/>
      <c r="P489" s="18"/>
      <c r="Q489" s="12"/>
      <c r="R489" s="12"/>
      <c r="S489" s="12"/>
      <c r="T489" s="36"/>
      <c r="U489" s="36"/>
      <c r="V489" s="12"/>
      <c r="W489" s="12"/>
      <c r="X489" s="12"/>
      <c r="Y489" s="12"/>
      <c r="Z489" s="12"/>
    </row>
    <row r="490" customFormat="false" ht="15.75" hidden="false" customHeight="false" outlineLevel="0" collapsed="false">
      <c r="A490" s="12"/>
      <c r="B490" s="34"/>
      <c r="C490" s="12"/>
      <c r="D490" s="12"/>
      <c r="E490" s="12"/>
      <c r="F490" s="12"/>
      <c r="G490" s="18"/>
      <c r="H490" s="35"/>
      <c r="I490" s="35"/>
      <c r="J490" s="12"/>
      <c r="O490" s="12"/>
      <c r="P490" s="18"/>
      <c r="Q490" s="12"/>
      <c r="R490" s="12"/>
      <c r="S490" s="12"/>
      <c r="T490" s="36"/>
      <c r="U490" s="36"/>
      <c r="V490" s="12"/>
      <c r="W490" s="12"/>
      <c r="X490" s="12"/>
      <c r="Y490" s="12"/>
      <c r="Z490" s="12"/>
    </row>
    <row r="491" customFormat="false" ht="15.75" hidden="false" customHeight="false" outlineLevel="0" collapsed="false">
      <c r="A491" s="12"/>
      <c r="B491" s="34"/>
      <c r="C491" s="12"/>
      <c r="D491" s="12"/>
      <c r="E491" s="12"/>
      <c r="F491" s="12"/>
      <c r="G491" s="18"/>
      <c r="H491" s="35"/>
      <c r="I491" s="35"/>
      <c r="J491" s="12"/>
      <c r="O491" s="12"/>
      <c r="P491" s="18"/>
      <c r="Q491" s="12"/>
      <c r="R491" s="12"/>
      <c r="S491" s="12"/>
      <c r="T491" s="36"/>
      <c r="U491" s="36"/>
      <c r="V491" s="12"/>
      <c r="W491" s="12"/>
      <c r="X491" s="12"/>
      <c r="Y491" s="12"/>
      <c r="Z491" s="12"/>
    </row>
    <row r="492" customFormat="false" ht="15.75" hidden="false" customHeight="false" outlineLevel="0" collapsed="false">
      <c r="A492" s="12"/>
      <c r="B492" s="34"/>
      <c r="C492" s="12"/>
      <c r="D492" s="12"/>
      <c r="E492" s="12"/>
      <c r="F492" s="12"/>
      <c r="G492" s="18"/>
      <c r="H492" s="35"/>
      <c r="I492" s="35"/>
      <c r="J492" s="12"/>
      <c r="O492" s="12"/>
      <c r="P492" s="18"/>
      <c r="Q492" s="12"/>
      <c r="R492" s="12"/>
      <c r="S492" s="12"/>
      <c r="T492" s="36"/>
      <c r="U492" s="36"/>
      <c r="V492" s="12"/>
      <c r="W492" s="12"/>
      <c r="X492" s="12"/>
      <c r="Y492" s="12"/>
      <c r="Z492" s="12"/>
    </row>
    <row r="493" customFormat="false" ht="15.75" hidden="false" customHeight="false" outlineLevel="0" collapsed="false">
      <c r="A493" s="12"/>
      <c r="B493" s="34"/>
      <c r="C493" s="12"/>
      <c r="D493" s="12"/>
      <c r="E493" s="12"/>
      <c r="F493" s="12"/>
      <c r="G493" s="18"/>
      <c r="H493" s="35"/>
      <c r="I493" s="35"/>
      <c r="J493" s="12"/>
      <c r="O493" s="12"/>
      <c r="P493" s="18"/>
      <c r="Q493" s="12"/>
      <c r="R493" s="12"/>
      <c r="S493" s="12"/>
      <c r="T493" s="36"/>
      <c r="U493" s="36"/>
      <c r="V493" s="12"/>
      <c r="W493" s="12"/>
      <c r="X493" s="12"/>
      <c r="Y493" s="12"/>
      <c r="Z493" s="12"/>
    </row>
    <row r="494" customFormat="false" ht="15.75" hidden="false" customHeight="false" outlineLevel="0" collapsed="false">
      <c r="A494" s="12"/>
      <c r="B494" s="34"/>
      <c r="C494" s="12"/>
      <c r="D494" s="12"/>
      <c r="E494" s="12"/>
      <c r="F494" s="12"/>
      <c r="G494" s="18"/>
      <c r="H494" s="35"/>
      <c r="I494" s="35"/>
      <c r="J494" s="12"/>
      <c r="O494" s="12"/>
      <c r="P494" s="18"/>
      <c r="Q494" s="12"/>
      <c r="R494" s="12"/>
      <c r="S494" s="12"/>
      <c r="T494" s="36"/>
      <c r="U494" s="36"/>
      <c r="V494" s="12"/>
      <c r="W494" s="12"/>
      <c r="X494" s="12"/>
      <c r="Y494" s="12"/>
      <c r="Z494" s="12"/>
    </row>
    <row r="495" customFormat="false" ht="15.75" hidden="false" customHeight="false" outlineLevel="0" collapsed="false">
      <c r="A495" s="12"/>
      <c r="B495" s="34"/>
      <c r="C495" s="12"/>
      <c r="D495" s="12"/>
      <c r="E495" s="12"/>
      <c r="F495" s="12"/>
      <c r="G495" s="18"/>
      <c r="H495" s="35"/>
      <c r="I495" s="35"/>
      <c r="J495" s="12"/>
      <c r="O495" s="12"/>
      <c r="P495" s="18"/>
      <c r="Q495" s="12"/>
      <c r="R495" s="12"/>
      <c r="S495" s="12"/>
      <c r="T495" s="36"/>
      <c r="U495" s="36"/>
      <c r="V495" s="12"/>
      <c r="W495" s="12"/>
      <c r="X495" s="12"/>
      <c r="Y495" s="12"/>
      <c r="Z495" s="12"/>
    </row>
    <row r="496" customFormat="false" ht="15.75" hidden="false" customHeight="false" outlineLevel="0" collapsed="false">
      <c r="A496" s="12"/>
      <c r="B496" s="34"/>
      <c r="C496" s="12"/>
      <c r="D496" s="12"/>
      <c r="E496" s="12"/>
      <c r="F496" s="12"/>
      <c r="G496" s="18"/>
      <c r="H496" s="35"/>
      <c r="I496" s="35"/>
      <c r="J496" s="12"/>
      <c r="O496" s="12"/>
      <c r="P496" s="18"/>
      <c r="Q496" s="12"/>
      <c r="R496" s="12"/>
      <c r="S496" s="12"/>
      <c r="T496" s="36"/>
      <c r="U496" s="36"/>
      <c r="V496" s="12"/>
      <c r="W496" s="12"/>
      <c r="X496" s="12"/>
      <c r="Y496" s="12"/>
      <c r="Z496" s="12"/>
    </row>
    <row r="497" customFormat="false" ht="15.75" hidden="false" customHeight="false" outlineLevel="0" collapsed="false">
      <c r="A497" s="12"/>
      <c r="B497" s="34"/>
      <c r="C497" s="12"/>
      <c r="D497" s="12"/>
      <c r="E497" s="12"/>
      <c r="F497" s="12"/>
      <c r="G497" s="18"/>
      <c r="H497" s="35"/>
      <c r="I497" s="35"/>
      <c r="J497" s="12"/>
      <c r="O497" s="12"/>
      <c r="P497" s="18"/>
      <c r="Q497" s="12"/>
      <c r="R497" s="12"/>
      <c r="S497" s="12"/>
      <c r="T497" s="36"/>
      <c r="U497" s="36"/>
      <c r="V497" s="12"/>
      <c r="W497" s="12"/>
      <c r="X497" s="12"/>
      <c r="Y497" s="12"/>
      <c r="Z497" s="12"/>
    </row>
    <row r="498" customFormat="false" ht="15.75" hidden="false" customHeight="false" outlineLevel="0" collapsed="false">
      <c r="A498" s="12"/>
      <c r="B498" s="34"/>
      <c r="C498" s="12"/>
      <c r="D498" s="12"/>
      <c r="E498" s="12"/>
      <c r="F498" s="12"/>
      <c r="G498" s="18"/>
      <c r="H498" s="35"/>
      <c r="I498" s="35"/>
      <c r="J498" s="12"/>
      <c r="O498" s="12"/>
      <c r="P498" s="18"/>
      <c r="Q498" s="12"/>
      <c r="R498" s="12"/>
      <c r="S498" s="12"/>
      <c r="T498" s="36"/>
      <c r="U498" s="36"/>
      <c r="V498" s="12"/>
      <c r="W498" s="12"/>
      <c r="X498" s="12"/>
      <c r="Y498" s="12"/>
      <c r="Z498" s="12"/>
    </row>
    <row r="499" customFormat="false" ht="15.75" hidden="false" customHeight="false" outlineLevel="0" collapsed="false">
      <c r="A499" s="12"/>
      <c r="B499" s="34"/>
      <c r="C499" s="12"/>
      <c r="D499" s="12"/>
      <c r="E499" s="12"/>
      <c r="F499" s="12"/>
      <c r="G499" s="18"/>
      <c r="H499" s="35"/>
      <c r="I499" s="35"/>
      <c r="J499" s="12"/>
      <c r="O499" s="12"/>
      <c r="P499" s="18"/>
      <c r="Q499" s="12"/>
      <c r="R499" s="12"/>
      <c r="S499" s="12"/>
      <c r="T499" s="36"/>
      <c r="U499" s="36"/>
      <c r="V499" s="12"/>
      <c r="W499" s="12"/>
      <c r="X499" s="12"/>
      <c r="Y499" s="12"/>
      <c r="Z499" s="12"/>
    </row>
    <row r="500" customFormat="false" ht="15.75" hidden="false" customHeight="false" outlineLevel="0" collapsed="false">
      <c r="A500" s="12"/>
      <c r="B500" s="34"/>
      <c r="C500" s="12"/>
      <c r="D500" s="12"/>
      <c r="E500" s="12"/>
      <c r="F500" s="12"/>
      <c r="G500" s="18"/>
      <c r="H500" s="35"/>
      <c r="I500" s="35"/>
      <c r="J500" s="12"/>
      <c r="O500" s="12"/>
      <c r="P500" s="18"/>
      <c r="Q500" s="12"/>
      <c r="R500" s="12"/>
      <c r="S500" s="12"/>
      <c r="T500" s="36"/>
      <c r="U500" s="36"/>
      <c r="V500" s="12"/>
      <c r="W500" s="12"/>
      <c r="X500" s="12"/>
      <c r="Y500" s="12"/>
      <c r="Z500" s="12"/>
    </row>
    <row r="501" customFormat="false" ht="15.75" hidden="false" customHeight="false" outlineLevel="0" collapsed="false">
      <c r="A501" s="12"/>
      <c r="B501" s="34"/>
      <c r="C501" s="12"/>
      <c r="D501" s="12"/>
      <c r="E501" s="12"/>
      <c r="F501" s="12"/>
      <c r="G501" s="18"/>
      <c r="H501" s="35"/>
      <c r="I501" s="35"/>
      <c r="J501" s="12"/>
      <c r="O501" s="12"/>
      <c r="P501" s="18"/>
      <c r="Q501" s="12"/>
      <c r="R501" s="12"/>
      <c r="S501" s="12"/>
      <c r="T501" s="36"/>
      <c r="U501" s="36"/>
      <c r="V501" s="12"/>
      <c r="W501" s="12"/>
      <c r="X501" s="12"/>
      <c r="Y501" s="12"/>
      <c r="Z501" s="12"/>
    </row>
    <row r="502" customFormat="false" ht="15.75" hidden="false" customHeight="false" outlineLevel="0" collapsed="false">
      <c r="A502" s="12"/>
      <c r="B502" s="34"/>
      <c r="C502" s="12"/>
      <c r="D502" s="12"/>
      <c r="E502" s="12"/>
      <c r="F502" s="12"/>
      <c r="G502" s="18"/>
      <c r="H502" s="35"/>
      <c r="I502" s="35"/>
      <c r="J502" s="12"/>
      <c r="O502" s="12"/>
      <c r="P502" s="18"/>
      <c r="Q502" s="12"/>
      <c r="R502" s="12"/>
      <c r="S502" s="12"/>
      <c r="T502" s="36"/>
      <c r="U502" s="36"/>
      <c r="V502" s="12"/>
      <c r="W502" s="12"/>
      <c r="X502" s="12"/>
      <c r="Y502" s="12"/>
      <c r="Z502" s="12"/>
    </row>
    <row r="503" customFormat="false" ht="15.75" hidden="false" customHeight="false" outlineLevel="0" collapsed="false">
      <c r="A503" s="12"/>
      <c r="B503" s="34"/>
      <c r="C503" s="12"/>
      <c r="D503" s="12"/>
      <c r="E503" s="12"/>
      <c r="F503" s="12"/>
      <c r="G503" s="18"/>
      <c r="H503" s="35"/>
      <c r="I503" s="35"/>
      <c r="J503" s="12"/>
      <c r="O503" s="12"/>
      <c r="P503" s="18"/>
      <c r="Q503" s="12"/>
      <c r="R503" s="12"/>
      <c r="S503" s="12"/>
      <c r="T503" s="36"/>
      <c r="U503" s="36"/>
      <c r="V503" s="12"/>
      <c r="W503" s="12"/>
      <c r="X503" s="12"/>
      <c r="Y503" s="12"/>
      <c r="Z503" s="12"/>
    </row>
    <row r="504" customFormat="false" ht="15.75" hidden="false" customHeight="false" outlineLevel="0" collapsed="false">
      <c r="A504" s="12"/>
      <c r="B504" s="34"/>
      <c r="C504" s="12"/>
      <c r="D504" s="12"/>
      <c r="E504" s="12"/>
      <c r="F504" s="12"/>
      <c r="G504" s="18"/>
      <c r="H504" s="35"/>
      <c r="I504" s="35"/>
      <c r="J504" s="12"/>
      <c r="O504" s="12"/>
      <c r="P504" s="18"/>
      <c r="Q504" s="12"/>
      <c r="R504" s="12"/>
      <c r="S504" s="12"/>
      <c r="T504" s="36"/>
      <c r="U504" s="36"/>
      <c r="V504" s="12"/>
      <c r="W504" s="12"/>
      <c r="X504" s="12"/>
      <c r="Y504" s="12"/>
      <c r="Z504" s="12"/>
    </row>
    <row r="505" customFormat="false" ht="15.75" hidden="false" customHeight="false" outlineLevel="0" collapsed="false">
      <c r="A505" s="12"/>
      <c r="B505" s="34"/>
      <c r="C505" s="12"/>
      <c r="D505" s="12"/>
      <c r="E505" s="12"/>
      <c r="F505" s="12"/>
      <c r="G505" s="18"/>
      <c r="H505" s="35"/>
      <c r="I505" s="35"/>
      <c r="J505" s="12"/>
      <c r="O505" s="12"/>
      <c r="P505" s="18"/>
      <c r="Q505" s="12"/>
      <c r="R505" s="12"/>
      <c r="S505" s="12"/>
      <c r="T505" s="36"/>
      <c r="U505" s="36"/>
      <c r="V505" s="12"/>
      <c r="W505" s="12"/>
      <c r="X505" s="12"/>
      <c r="Y505" s="12"/>
      <c r="Z505" s="12"/>
    </row>
    <row r="506" customFormat="false" ht="15.75" hidden="false" customHeight="false" outlineLevel="0" collapsed="false">
      <c r="A506" s="12"/>
      <c r="B506" s="34"/>
      <c r="C506" s="12"/>
      <c r="D506" s="12"/>
      <c r="E506" s="12"/>
      <c r="F506" s="12"/>
      <c r="G506" s="18"/>
      <c r="H506" s="35"/>
      <c r="I506" s="35"/>
      <c r="J506" s="12"/>
      <c r="O506" s="12"/>
      <c r="P506" s="18"/>
      <c r="Q506" s="12"/>
      <c r="R506" s="12"/>
      <c r="S506" s="12"/>
      <c r="T506" s="36"/>
      <c r="U506" s="36"/>
      <c r="V506" s="12"/>
      <c r="W506" s="12"/>
      <c r="X506" s="12"/>
      <c r="Y506" s="12"/>
      <c r="Z506" s="12"/>
    </row>
    <row r="507" customFormat="false" ht="15.75" hidden="false" customHeight="false" outlineLevel="0" collapsed="false">
      <c r="A507" s="12"/>
      <c r="B507" s="34"/>
      <c r="C507" s="12"/>
      <c r="D507" s="12"/>
      <c r="E507" s="12"/>
      <c r="F507" s="12"/>
      <c r="G507" s="18"/>
      <c r="H507" s="35"/>
      <c r="I507" s="35"/>
      <c r="J507" s="12"/>
      <c r="O507" s="12"/>
      <c r="P507" s="18"/>
      <c r="Q507" s="12"/>
      <c r="R507" s="12"/>
      <c r="S507" s="12"/>
      <c r="T507" s="36"/>
      <c r="U507" s="36"/>
      <c r="V507" s="12"/>
      <c r="W507" s="12"/>
      <c r="X507" s="12"/>
      <c r="Y507" s="12"/>
      <c r="Z507" s="12"/>
    </row>
    <row r="508" customFormat="false" ht="15.75" hidden="false" customHeight="false" outlineLevel="0" collapsed="false">
      <c r="A508" s="12"/>
      <c r="B508" s="34"/>
      <c r="C508" s="12"/>
      <c r="D508" s="12"/>
      <c r="E508" s="12"/>
      <c r="F508" s="12"/>
      <c r="G508" s="18"/>
      <c r="H508" s="35"/>
      <c r="I508" s="35"/>
      <c r="J508" s="12"/>
      <c r="O508" s="12"/>
      <c r="P508" s="18"/>
      <c r="Q508" s="12"/>
      <c r="R508" s="12"/>
      <c r="S508" s="12"/>
      <c r="T508" s="36"/>
      <c r="U508" s="36"/>
      <c r="V508" s="12"/>
      <c r="W508" s="12"/>
      <c r="X508" s="12"/>
      <c r="Y508" s="12"/>
      <c r="Z508" s="12"/>
    </row>
    <row r="509" customFormat="false" ht="15.75" hidden="false" customHeight="false" outlineLevel="0" collapsed="false">
      <c r="A509" s="12"/>
      <c r="B509" s="34"/>
      <c r="C509" s="12"/>
      <c r="D509" s="12"/>
      <c r="E509" s="12"/>
      <c r="F509" s="12"/>
      <c r="G509" s="18"/>
      <c r="H509" s="35"/>
      <c r="I509" s="35"/>
      <c r="J509" s="12"/>
      <c r="O509" s="12"/>
      <c r="P509" s="18"/>
      <c r="Q509" s="12"/>
      <c r="R509" s="12"/>
      <c r="S509" s="12"/>
      <c r="T509" s="36"/>
      <c r="U509" s="36"/>
      <c r="V509" s="12"/>
      <c r="W509" s="12"/>
      <c r="X509" s="12"/>
      <c r="Y509" s="12"/>
      <c r="Z509" s="12"/>
    </row>
    <row r="510" customFormat="false" ht="15.75" hidden="false" customHeight="false" outlineLevel="0" collapsed="false">
      <c r="A510" s="12"/>
      <c r="B510" s="34"/>
      <c r="C510" s="12"/>
      <c r="D510" s="12"/>
      <c r="E510" s="12"/>
      <c r="F510" s="12"/>
      <c r="G510" s="18"/>
      <c r="H510" s="35"/>
      <c r="I510" s="35"/>
      <c r="J510" s="12"/>
      <c r="O510" s="12"/>
      <c r="P510" s="18"/>
      <c r="Q510" s="12"/>
      <c r="R510" s="12"/>
      <c r="S510" s="12"/>
      <c r="T510" s="36"/>
      <c r="U510" s="36"/>
      <c r="V510" s="12"/>
      <c r="W510" s="12"/>
      <c r="X510" s="12"/>
      <c r="Y510" s="12"/>
      <c r="Z510" s="12"/>
    </row>
    <row r="511" customFormat="false" ht="15.75" hidden="false" customHeight="false" outlineLevel="0" collapsed="false">
      <c r="A511" s="12"/>
      <c r="B511" s="34"/>
      <c r="C511" s="12"/>
      <c r="D511" s="12"/>
      <c r="E511" s="12"/>
      <c r="F511" s="12"/>
      <c r="G511" s="18"/>
      <c r="H511" s="35"/>
      <c r="I511" s="35"/>
      <c r="J511" s="12"/>
      <c r="O511" s="12"/>
      <c r="P511" s="18"/>
      <c r="Q511" s="12"/>
      <c r="R511" s="12"/>
      <c r="S511" s="12"/>
      <c r="T511" s="36"/>
      <c r="U511" s="36"/>
      <c r="V511" s="12"/>
      <c r="W511" s="12"/>
      <c r="X511" s="12"/>
      <c r="Y511" s="12"/>
      <c r="Z511" s="12"/>
    </row>
    <row r="512" customFormat="false" ht="15.75" hidden="false" customHeight="false" outlineLevel="0" collapsed="false">
      <c r="A512" s="12"/>
      <c r="B512" s="34"/>
      <c r="C512" s="12"/>
      <c r="D512" s="12"/>
      <c r="E512" s="12"/>
      <c r="F512" s="12"/>
      <c r="G512" s="18"/>
      <c r="H512" s="35"/>
      <c r="I512" s="35"/>
      <c r="J512" s="12"/>
      <c r="O512" s="12"/>
      <c r="P512" s="18"/>
      <c r="Q512" s="12"/>
      <c r="R512" s="12"/>
      <c r="S512" s="12"/>
      <c r="T512" s="36"/>
      <c r="U512" s="36"/>
      <c r="V512" s="12"/>
      <c r="W512" s="12"/>
      <c r="X512" s="12"/>
      <c r="Y512" s="12"/>
      <c r="Z512" s="12"/>
    </row>
    <row r="513" customFormat="false" ht="15.75" hidden="false" customHeight="false" outlineLevel="0" collapsed="false">
      <c r="A513" s="12"/>
      <c r="B513" s="34"/>
      <c r="C513" s="12"/>
      <c r="D513" s="12"/>
      <c r="E513" s="12"/>
      <c r="F513" s="12"/>
      <c r="G513" s="18"/>
      <c r="H513" s="35"/>
      <c r="I513" s="35"/>
      <c r="J513" s="12"/>
      <c r="O513" s="12"/>
      <c r="P513" s="18"/>
      <c r="Q513" s="12"/>
      <c r="R513" s="12"/>
      <c r="S513" s="12"/>
      <c r="T513" s="36"/>
      <c r="U513" s="36"/>
      <c r="V513" s="12"/>
      <c r="W513" s="12"/>
      <c r="X513" s="12"/>
      <c r="Y513" s="12"/>
      <c r="Z513" s="12"/>
    </row>
    <row r="514" customFormat="false" ht="15.75" hidden="false" customHeight="false" outlineLevel="0" collapsed="false">
      <c r="A514" s="12"/>
      <c r="B514" s="34"/>
      <c r="C514" s="12"/>
      <c r="D514" s="12"/>
      <c r="E514" s="12"/>
      <c r="F514" s="12"/>
      <c r="G514" s="18"/>
      <c r="H514" s="35"/>
      <c r="I514" s="35"/>
      <c r="J514" s="12"/>
      <c r="O514" s="12"/>
      <c r="P514" s="18"/>
      <c r="Q514" s="12"/>
      <c r="R514" s="12"/>
      <c r="S514" s="12"/>
      <c r="T514" s="36"/>
      <c r="U514" s="36"/>
      <c r="V514" s="12"/>
      <c r="W514" s="12"/>
      <c r="X514" s="12"/>
      <c r="Y514" s="12"/>
      <c r="Z514" s="12"/>
    </row>
    <row r="515" customFormat="false" ht="15.75" hidden="false" customHeight="false" outlineLevel="0" collapsed="false">
      <c r="A515" s="12"/>
      <c r="B515" s="34"/>
      <c r="C515" s="12"/>
      <c r="D515" s="12"/>
      <c r="E515" s="12"/>
      <c r="F515" s="12"/>
      <c r="G515" s="18"/>
      <c r="H515" s="35"/>
      <c r="I515" s="35"/>
      <c r="J515" s="12"/>
      <c r="O515" s="12"/>
      <c r="P515" s="18"/>
      <c r="Q515" s="12"/>
      <c r="R515" s="12"/>
      <c r="S515" s="12"/>
      <c r="T515" s="36"/>
      <c r="U515" s="36"/>
      <c r="V515" s="12"/>
      <c r="W515" s="12"/>
      <c r="X515" s="12"/>
      <c r="Y515" s="12"/>
      <c r="Z515" s="12"/>
    </row>
    <row r="516" customFormat="false" ht="15.75" hidden="false" customHeight="false" outlineLevel="0" collapsed="false">
      <c r="A516" s="12"/>
      <c r="B516" s="34"/>
      <c r="C516" s="12"/>
      <c r="D516" s="12"/>
      <c r="E516" s="12"/>
      <c r="F516" s="12"/>
      <c r="G516" s="18"/>
      <c r="H516" s="35"/>
      <c r="I516" s="35"/>
      <c r="J516" s="12"/>
      <c r="O516" s="12"/>
      <c r="P516" s="18"/>
      <c r="Q516" s="12"/>
      <c r="R516" s="12"/>
      <c r="S516" s="12"/>
      <c r="T516" s="36"/>
      <c r="U516" s="36"/>
      <c r="V516" s="12"/>
      <c r="W516" s="12"/>
      <c r="X516" s="12"/>
      <c r="Y516" s="12"/>
      <c r="Z516" s="12"/>
    </row>
    <row r="517" customFormat="false" ht="15.75" hidden="false" customHeight="false" outlineLevel="0" collapsed="false">
      <c r="A517" s="12"/>
      <c r="B517" s="34"/>
      <c r="C517" s="12"/>
      <c r="D517" s="12"/>
      <c r="E517" s="12"/>
      <c r="F517" s="12"/>
      <c r="G517" s="18"/>
      <c r="H517" s="35"/>
      <c r="I517" s="35"/>
      <c r="J517" s="12"/>
      <c r="O517" s="12"/>
      <c r="P517" s="18"/>
      <c r="Q517" s="12"/>
      <c r="R517" s="12"/>
      <c r="S517" s="12"/>
      <c r="T517" s="36"/>
      <c r="U517" s="36"/>
      <c r="V517" s="12"/>
      <c r="W517" s="12"/>
      <c r="X517" s="12"/>
      <c r="Y517" s="12"/>
      <c r="Z517" s="12"/>
    </row>
    <row r="518" customFormat="false" ht="15.75" hidden="false" customHeight="false" outlineLevel="0" collapsed="false">
      <c r="A518" s="12"/>
      <c r="B518" s="34"/>
      <c r="C518" s="12"/>
      <c r="D518" s="12"/>
      <c r="E518" s="12"/>
      <c r="F518" s="12"/>
      <c r="G518" s="18"/>
      <c r="H518" s="35"/>
      <c r="I518" s="35"/>
      <c r="J518" s="12"/>
      <c r="O518" s="12"/>
      <c r="P518" s="18"/>
      <c r="Q518" s="12"/>
      <c r="R518" s="12"/>
      <c r="S518" s="12"/>
      <c r="T518" s="36"/>
      <c r="U518" s="36"/>
      <c r="V518" s="12"/>
      <c r="W518" s="12"/>
      <c r="X518" s="12"/>
      <c r="Y518" s="12"/>
      <c r="Z518" s="12"/>
    </row>
    <row r="519" customFormat="false" ht="15.75" hidden="false" customHeight="false" outlineLevel="0" collapsed="false">
      <c r="A519" s="12"/>
      <c r="B519" s="34"/>
      <c r="C519" s="12"/>
      <c r="D519" s="12"/>
      <c r="E519" s="12"/>
      <c r="F519" s="12"/>
      <c r="G519" s="18"/>
      <c r="H519" s="35"/>
      <c r="I519" s="35"/>
      <c r="J519" s="12"/>
      <c r="O519" s="12"/>
      <c r="P519" s="18"/>
      <c r="Q519" s="12"/>
      <c r="R519" s="12"/>
      <c r="S519" s="12"/>
      <c r="T519" s="36"/>
      <c r="U519" s="36"/>
      <c r="V519" s="12"/>
      <c r="W519" s="12"/>
      <c r="X519" s="12"/>
      <c r="Y519" s="12"/>
      <c r="Z519" s="12"/>
    </row>
    <row r="520" customFormat="false" ht="15.75" hidden="false" customHeight="false" outlineLevel="0" collapsed="false">
      <c r="A520" s="12"/>
      <c r="B520" s="34"/>
      <c r="C520" s="12"/>
      <c r="D520" s="12"/>
      <c r="E520" s="12"/>
      <c r="F520" s="12"/>
      <c r="G520" s="18"/>
      <c r="H520" s="35"/>
      <c r="I520" s="35"/>
      <c r="J520" s="12"/>
      <c r="O520" s="12"/>
      <c r="P520" s="18"/>
      <c r="Q520" s="12"/>
      <c r="R520" s="12"/>
      <c r="S520" s="12"/>
      <c r="T520" s="36"/>
      <c r="U520" s="36"/>
      <c r="V520" s="12"/>
      <c r="W520" s="12"/>
      <c r="X520" s="12"/>
      <c r="Y520" s="12"/>
      <c r="Z520" s="12"/>
    </row>
    <row r="521" customFormat="false" ht="15.75" hidden="false" customHeight="false" outlineLevel="0" collapsed="false">
      <c r="A521" s="12"/>
      <c r="B521" s="34"/>
      <c r="C521" s="12"/>
      <c r="D521" s="12"/>
      <c r="E521" s="12"/>
      <c r="F521" s="12"/>
      <c r="G521" s="18"/>
      <c r="H521" s="35"/>
      <c r="I521" s="35"/>
      <c r="J521" s="12"/>
      <c r="O521" s="12"/>
      <c r="P521" s="18"/>
      <c r="Q521" s="12"/>
      <c r="R521" s="12"/>
      <c r="S521" s="12"/>
      <c r="T521" s="36"/>
      <c r="U521" s="36"/>
      <c r="V521" s="12"/>
      <c r="W521" s="12"/>
      <c r="X521" s="12"/>
      <c r="Y521" s="12"/>
      <c r="Z521" s="12"/>
    </row>
    <row r="522" customFormat="false" ht="15.75" hidden="false" customHeight="false" outlineLevel="0" collapsed="false">
      <c r="A522" s="12"/>
      <c r="B522" s="34"/>
      <c r="C522" s="12"/>
      <c r="D522" s="12"/>
      <c r="E522" s="12"/>
      <c r="F522" s="12"/>
      <c r="G522" s="18"/>
      <c r="H522" s="35"/>
      <c r="I522" s="35"/>
      <c r="J522" s="12"/>
      <c r="O522" s="12"/>
      <c r="P522" s="18"/>
      <c r="Q522" s="12"/>
      <c r="R522" s="12"/>
      <c r="S522" s="12"/>
      <c r="T522" s="36"/>
      <c r="U522" s="36"/>
      <c r="V522" s="12"/>
      <c r="W522" s="12"/>
      <c r="X522" s="12"/>
      <c r="Y522" s="12"/>
      <c r="Z522" s="12"/>
    </row>
    <row r="523" customFormat="false" ht="15.75" hidden="false" customHeight="false" outlineLevel="0" collapsed="false">
      <c r="A523" s="12"/>
      <c r="B523" s="34"/>
      <c r="C523" s="12"/>
      <c r="D523" s="12"/>
      <c r="E523" s="12"/>
      <c r="F523" s="12"/>
      <c r="G523" s="18"/>
      <c r="H523" s="35"/>
      <c r="I523" s="35"/>
      <c r="J523" s="12"/>
      <c r="O523" s="12"/>
      <c r="P523" s="18"/>
      <c r="Q523" s="12"/>
      <c r="R523" s="12"/>
      <c r="S523" s="12"/>
      <c r="T523" s="36"/>
      <c r="U523" s="36"/>
      <c r="V523" s="12"/>
      <c r="W523" s="12"/>
      <c r="X523" s="12"/>
      <c r="Y523" s="12"/>
      <c r="Z523" s="12"/>
    </row>
    <row r="524" customFormat="false" ht="15.75" hidden="false" customHeight="false" outlineLevel="0" collapsed="false">
      <c r="A524" s="12"/>
      <c r="B524" s="34"/>
      <c r="C524" s="12"/>
      <c r="D524" s="12"/>
      <c r="E524" s="12"/>
      <c r="F524" s="12"/>
      <c r="G524" s="18"/>
      <c r="H524" s="35"/>
      <c r="I524" s="35"/>
      <c r="J524" s="12"/>
      <c r="O524" s="12"/>
      <c r="P524" s="18"/>
      <c r="Q524" s="12"/>
      <c r="R524" s="12"/>
      <c r="S524" s="12"/>
      <c r="T524" s="36"/>
      <c r="U524" s="36"/>
      <c r="V524" s="12"/>
      <c r="W524" s="12"/>
      <c r="X524" s="12"/>
      <c r="Y524" s="12"/>
      <c r="Z524" s="12"/>
    </row>
    <row r="525" customFormat="false" ht="15.75" hidden="false" customHeight="false" outlineLevel="0" collapsed="false">
      <c r="A525" s="12"/>
      <c r="B525" s="34"/>
      <c r="C525" s="12"/>
      <c r="D525" s="12"/>
      <c r="E525" s="12"/>
      <c r="F525" s="12"/>
      <c r="G525" s="18"/>
      <c r="H525" s="35"/>
      <c r="I525" s="35"/>
      <c r="J525" s="12"/>
      <c r="O525" s="12"/>
      <c r="P525" s="18"/>
      <c r="Q525" s="12"/>
      <c r="R525" s="12"/>
      <c r="S525" s="12"/>
      <c r="T525" s="36"/>
      <c r="U525" s="36"/>
      <c r="V525" s="12"/>
      <c r="W525" s="12"/>
      <c r="X525" s="12"/>
      <c r="Y525" s="12"/>
      <c r="Z525" s="12"/>
    </row>
    <row r="526" customFormat="false" ht="15.75" hidden="false" customHeight="false" outlineLevel="0" collapsed="false">
      <c r="A526" s="12"/>
      <c r="B526" s="34"/>
      <c r="C526" s="12"/>
      <c r="D526" s="12"/>
      <c r="E526" s="12"/>
      <c r="F526" s="12"/>
      <c r="G526" s="18"/>
      <c r="H526" s="35"/>
      <c r="I526" s="35"/>
      <c r="J526" s="12"/>
      <c r="O526" s="12"/>
      <c r="P526" s="18"/>
      <c r="Q526" s="12"/>
      <c r="R526" s="12"/>
      <c r="S526" s="12"/>
      <c r="T526" s="36"/>
      <c r="U526" s="36"/>
      <c r="V526" s="12"/>
      <c r="W526" s="12"/>
      <c r="X526" s="12"/>
      <c r="Y526" s="12"/>
      <c r="Z526" s="12"/>
    </row>
    <row r="527" customFormat="false" ht="15.75" hidden="false" customHeight="false" outlineLevel="0" collapsed="false">
      <c r="A527" s="12"/>
      <c r="B527" s="34"/>
      <c r="C527" s="12"/>
      <c r="D527" s="12"/>
      <c r="E527" s="12"/>
      <c r="F527" s="12"/>
      <c r="G527" s="18"/>
      <c r="H527" s="35"/>
      <c r="I527" s="35"/>
      <c r="J527" s="12"/>
      <c r="O527" s="12"/>
      <c r="P527" s="18"/>
      <c r="Q527" s="12"/>
      <c r="R527" s="12"/>
      <c r="S527" s="12"/>
      <c r="T527" s="36"/>
      <c r="U527" s="36"/>
      <c r="V527" s="12"/>
      <c r="W527" s="12"/>
      <c r="X527" s="12"/>
      <c r="Y527" s="12"/>
      <c r="Z527" s="12"/>
    </row>
    <row r="528" customFormat="false" ht="15.75" hidden="false" customHeight="false" outlineLevel="0" collapsed="false">
      <c r="A528" s="12"/>
      <c r="B528" s="34"/>
      <c r="C528" s="12"/>
      <c r="D528" s="12"/>
      <c r="E528" s="12"/>
      <c r="F528" s="12"/>
      <c r="G528" s="18"/>
      <c r="H528" s="35"/>
      <c r="I528" s="35"/>
      <c r="J528" s="12"/>
      <c r="O528" s="12"/>
      <c r="P528" s="18"/>
      <c r="Q528" s="12"/>
      <c r="R528" s="12"/>
      <c r="S528" s="12"/>
      <c r="T528" s="36"/>
      <c r="U528" s="36"/>
      <c r="V528" s="12"/>
      <c r="W528" s="12"/>
      <c r="X528" s="12"/>
      <c r="Y528" s="12"/>
      <c r="Z528" s="12"/>
    </row>
    <row r="529" customFormat="false" ht="15.75" hidden="false" customHeight="false" outlineLevel="0" collapsed="false">
      <c r="A529" s="12"/>
      <c r="B529" s="34"/>
      <c r="C529" s="12"/>
      <c r="D529" s="12"/>
      <c r="E529" s="12"/>
      <c r="F529" s="12"/>
      <c r="G529" s="18"/>
      <c r="H529" s="35"/>
      <c r="I529" s="35"/>
      <c r="J529" s="12"/>
      <c r="O529" s="12"/>
      <c r="P529" s="18"/>
      <c r="Q529" s="12"/>
      <c r="R529" s="12"/>
      <c r="S529" s="12"/>
      <c r="T529" s="36"/>
      <c r="U529" s="36"/>
      <c r="V529" s="12"/>
      <c r="W529" s="12"/>
      <c r="X529" s="12"/>
      <c r="Y529" s="12"/>
      <c r="Z529" s="12"/>
    </row>
    <row r="530" customFormat="false" ht="15.75" hidden="false" customHeight="false" outlineLevel="0" collapsed="false">
      <c r="A530" s="12"/>
      <c r="B530" s="34"/>
      <c r="C530" s="12"/>
      <c r="D530" s="12"/>
      <c r="E530" s="12"/>
      <c r="F530" s="12"/>
      <c r="G530" s="18"/>
      <c r="H530" s="35"/>
      <c r="I530" s="35"/>
      <c r="J530" s="12"/>
      <c r="O530" s="12"/>
      <c r="P530" s="18"/>
      <c r="Q530" s="12"/>
      <c r="R530" s="12"/>
      <c r="S530" s="12"/>
      <c r="T530" s="36"/>
      <c r="U530" s="36"/>
      <c r="V530" s="12"/>
      <c r="W530" s="12"/>
      <c r="X530" s="12"/>
      <c r="Y530" s="12"/>
      <c r="Z530" s="12"/>
    </row>
    <row r="531" customFormat="false" ht="15.75" hidden="false" customHeight="false" outlineLevel="0" collapsed="false">
      <c r="A531" s="12"/>
      <c r="B531" s="34"/>
      <c r="C531" s="12"/>
      <c r="D531" s="12"/>
      <c r="E531" s="12"/>
      <c r="F531" s="12"/>
      <c r="G531" s="18"/>
      <c r="H531" s="35"/>
      <c r="I531" s="35"/>
      <c r="J531" s="12"/>
      <c r="O531" s="12"/>
      <c r="P531" s="18"/>
      <c r="Q531" s="12"/>
      <c r="R531" s="12"/>
      <c r="S531" s="12"/>
      <c r="T531" s="36"/>
      <c r="U531" s="36"/>
      <c r="V531" s="12"/>
      <c r="W531" s="12"/>
      <c r="X531" s="12"/>
      <c r="Y531" s="12"/>
      <c r="Z531" s="12"/>
    </row>
    <row r="532" customFormat="false" ht="15.75" hidden="false" customHeight="false" outlineLevel="0" collapsed="false">
      <c r="A532" s="12"/>
      <c r="B532" s="34"/>
      <c r="C532" s="12"/>
      <c r="D532" s="12"/>
      <c r="E532" s="12"/>
      <c r="F532" s="12"/>
      <c r="G532" s="18"/>
      <c r="H532" s="35"/>
      <c r="I532" s="35"/>
      <c r="J532" s="12"/>
      <c r="O532" s="12"/>
      <c r="P532" s="18"/>
      <c r="Q532" s="12"/>
      <c r="R532" s="12"/>
      <c r="S532" s="12"/>
      <c r="T532" s="36"/>
      <c r="U532" s="36"/>
      <c r="V532" s="12"/>
      <c r="W532" s="12"/>
      <c r="X532" s="12"/>
      <c r="Y532" s="12"/>
      <c r="Z532" s="12"/>
    </row>
    <row r="533" customFormat="false" ht="15.75" hidden="false" customHeight="false" outlineLevel="0" collapsed="false">
      <c r="A533" s="12"/>
      <c r="B533" s="34"/>
      <c r="C533" s="12"/>
      <c r="D533" s="12"/>
      <c r="E533" s="12"/>
      <c r="F533" s="12"/>
      <c r="G533" s="18"/>
      <c r="H533" s="35"/>
      <c r="I533" s="35"/>
      <c r="J533" s="12"/>
      <c r="O533" s="12"/>
      <c r="P533" s="18"/>
      <c r="Q533" s="12"/>
      <c r="R533" s="12"/>
      <c r="S533" s="12"/>
      <c r="T533" s="36"/>
      <c r="U533" s="36"/>
      <c r="V533" s="12"/>
      <c r="W533" s="12"/>
      <c r="X533" s="12"/>
      <c r="Y533" s="12"/>
      <c r="Z533" s="12"/>
    </row>
    <row r="534" customFormat="false" ht="15.75" hidden="false" customHeight="false" outlineLevel="0" collapsed="false">
      <c r="A534" s="12"/>
      <c r="B534" s="34"/>
      <c r="C534" s="12"/>
      <c r="D534" s="12"/>
      <c r="E534" s="12"/>
      <c r="F534" s="12"/>
      <c r="G534" s="18"/>
      <c r="H534" s="35"/>
      <c r="I534" s="35"/>
      <c r="J534" s="12"/>
      <c r="O534" s="12"/>
      <c r="P534" s="18"/>
      <c r="Q534" s="12"/>
      <c r="R534" s="12"/>
      <c r="S534" s="12"/>
      <c r="T534" s="36"/>
      <c r="U534" s="36"/>
      <c r="V534" s="12"/>
      <c r="W534" s="12"/>
      <c r="X534" s="12"/>
      <c r="Y534" s="12"/>
      <c r="Z534" s="12"/>
    </row>
    <row r="535" customFormat="false" ht="15.75" hidden="false" customHeight="false" outlineLevel="0" collapsed="false">
      <c r="A535" s="12"/>
      <c r="B535" s="34"/>
      <c r="C535" s="12"/>
      <c r="D535" s="12"/>
      <c r="E535" s="12"/>
      <c r="F535" s="12"/>
      <c r="G535" s="18"/>
      <c r="H535" s="35"/>
      <c r="I535" s="35"/>
      <c r="J535" s="12"/>
      <c r="O535" s="12"/>
      <c r="P535" s="18"/>
      <c r="Q535" s="12"/>
      <c r="R535" s="12"/>
      <c r="S535" s="12"/>
      <c r="T535" s="36"/>
      <c r="U535" s="36"/>
      <c r="V535" s="12"/>
      <c r="W535" s="12"/>
      <c r="X535" s="12"/>
      <c r="Y535" s="12"/>
      <c r="Z535" s="12"/>
    </row>
    <row r="536" customFormat="false" ht="15.75" hidden="false" customHeight="false" outlineLevel="0" collapsed="false">
      <c r="A536" s="12"/>
      <c r="B536" s="34"/>
      <c r="C536" s="12"/>
      <c r="D536" s="12"/>
      <c r="E536" s="12"/>
      <c r="F536" s="12"/>
      <c r="G536" s="18"/>
      <c r="H536" s="35"/>
      <c r="I536" s="35"/>
      <c r="J536" s="12"/>
      <c r="O536" s="12"/>
      <c r="P536" s="18"/>
      <c r="Q536" s="12"/>
      <c r="R536" s="12"/>
      <c r="S536" s="12"/>
      <c r="T536" s="36"/>
      <c r="U536" s="36"/>
      <c r="V536" s="12"/>
      <c r="W536" s="12"/>
      <c r="X536" s="12"/>
      <c r="Y536" s="12"/>
      <c r="Z536" s="12"/>
    </row>
    <row r="537" customFormat="false" ht="15.75" hidden="false" customHeight="false" outlineLevel="0" collapsed="false">
      <c r="A537" s="12"/>
      <c r="B537" s="34"/>
      <c r="C537" s="12"/>
      <c r="D537" s="12"/>
      <c r="E537" s="12"/>
      <c r="F537" s="12"/>
      <c r="G537" s="18"/>
      <c r="H537" s="35"/>
      <c r="I537" s="35"/>
      <c r="J537" s="12"/>
      <c r="O537" s="12"/>
      <c r="P537" s="18"/>
      <c r="Q537" s="12"/>
      <c r="R537" s="12"/>
      <c r="S537" s="12"/>
      <c r="T537" s="36"/>
      <c r="U537" s="36"/>
      <c r="V537" s="12"/>
      <c r="W537" s="12"/>
      <c r="X537" s="12"/>
      <c r="Y537" s="12"/>
      <c r="Z537" s="12"/>
    </row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AG60"/>
  <conditionalFormatting sqref="T2:U537">
    <cfRule type="expression" priority="2" aboveAverage="0" equalAverage="0" bottom="0" percent="0" rank="0" text="" dxfId="0">
      <formula>LEN(TRIM(T2))&gt;0</formula>
    </cfRule>
  </conditionalFormatting>
  <conditionalFormatting sqref="S2:S537">
    <cfRule type="expression" priority="3" aboveAverage="0" equalAverage="0" bottom="0" percent="0" rank="0" text="" dxfId="0">
      <formula>LEN(TRIM(S2))&gt;0</formula>
    </cfRule>
  </conditionalFormatting>
  <conditionalFormatting sqref="G2:G537 P2:P537">
    <cfRule type="containsText" priority="4" operator="containsText" aboveAverage="0" equalAverage="0" bottom="0" percent="0" rank="0" text="x" dxfId="0">
      <formula>NOT(ISERROR(SEARCH("x",G2)))</formula>
    </cfRule>
  </conditionalFormatting>
  <conditionalFormatting sqref="V2:V537">
    <cfRule type="expression" priority="5" aboveAverage="0" equalAverage="0" bottom="0" percent="0" rank="0" text="" dxfId="0">
      <formula>LEN(TRIM(V2))&gt;0</formula>
    </cfRule>
  </conditionalFormatting>
  <conditionalFormatting sqref="Y2:Y537">
    <cfRule type="expression" priority="6" aboveAverage="0" equalAverage="0" bottom="0" percent="0" rank="0" text="" dxfId="0">
      <formula>LEN(TRIM(Y2))&gt;0</formula>
    </cfRule>
  </conditionalFormatting>
  <conditionalFormatting sqref="Z2:Z537">
    <cfRule type="cellIs" priority="7" operator="equal" aboveAverage="0" equalAverage="0" bottom="0" percent="0" rank="0" text="" dxfId="0">
      <formula>"Completo"</formula>
    </cfRule>
    <cfRule type="cellIs" priority="8" operator="equal" aboveAverage="0" equalAverage="0" bottom="0" percent="0" rank="0" text="" dxfId="1">
      <formula>"No aplica"</formula>
    </cfRule>
  </conditionalFormatting>
  <conditionalFormatting sqref="G2:J537 Q2:R537 W2:X537 Z2:Z537">
    <cfRule type="cellIs" priority="9" operator="equal" aboveAverage="0" equalAverage="0" bottom="0" percent="0" rank="0" text="" dxfId="0">
      <formula>"Completo"</formula>
    </cfRule>
    <cfRule type="cellIs" priority="10" operator="equal" aboveAverage="0" equalAverage="0" bottom="0" percent="0" rank="0" text="" dxfId="1">
      <formula>"No Aplica"</formula>
    </cfRule>
  </conditionalFormatting>
  <dataValidations count="6">
    <dataValidation allowBlank="true" errorStyle="stop" operator="between" showDropDown="false" showErrorMessage="true" showInputMessage="false" sqref="AA2:AA55" type="list">
      <formula1>"Aceptada,En espera,Rechazada,No aplica"</formula1>
      <formula2>0</formula2>
    </dataValidation>
    <dataValidation allowBlank="true" errorStyle="stop" operator="between" showDropDown="false" showErrorMessage="false" showInputMessage="false" sqref="V2:V537" type="list">
      <formula1>LEYENDA!$A$23:$A$24</formula1>
      <formula2>0</formula2>
    </dataValidation>
    <dataValidation allowBlank="true" errorStyle="stop" operator="between" showDropDown="false" showErrorMessage="false" showInputMessage="false" sqref="T2:T537" type="list">
      <formula1>LEYENDA!$A$15:$A$21</formula1>
      <formula2>0</formula2>
    </dataValidation>
    <dataValidation allowBlank="true" errorStyle="stop" operator="between" showDropDown="false" showErrorMessage="true" showInputMessage="false" sqref="D2:D537" type="list">
      <formula1>LEYENDA!$B$2:$D$2</formula1>
      <formula2>0</formula2>
    </dataValidation>
    <dataValidation allowBlank="true" errorStyle="stop" operator="between" showDropDown="false" showErrorMessage="true" showInputMessage="false" sqref="H2:J537 Q2:R537 W2:X537 Z2:Z537" type="list">
      <formula1>LEYENDA!$B$1:$C$1</formula1>
      <formula2>0</formula2>
    </dataValidation>
    <dataValidation allowBlank="true" errorStyle="stop" operator="between" showDropDown="false" showErrorMessage="false" showInputMessage="false" sqref="E2:E34 E36:E537" type="list">
      <formula1>LEYENDA!$A$8:$A$12</formula1>
      <formula2>0</formula2>
    </dataValidation>
  </dataValidations>
  <hyperlinks>
    <hyperlink ref="H2" r:id="rId1" display="Completo"/>
    <hyperlink ref="R2" r:id="rId2" display="Completo"/>
    <hyperlink ref="H3" r:id="rId3" display="Completo"/>
    <hyperlink ref="R3" r:id="rId4" display="Completo"/>
    <hyperlink ref="W3" r:id="rId5" display="Completo"/>
    <hyperlink ref="X3" r:id="rId6" display="Completo"/>
    <hyperlink ref="H10" r:id="rId7" display="Completo"/>
    <hyperlink ref="H11" r:id="rId8" display="Completo"/>
    <hyperlink ref="H12" r:id="rId9" display="Completo"/>
    <hyperlink ref="H13" r:id="rId10" display="Completo"/>
    <hyperlink ref="H14" r:id="rId11" display="Completo"/>
    <hyperlink ref="H15" r:id="rId12" display="Completo"/>
    <hyperlink ref="H16" r:id="rId13" display="Completo"/>
    <hyperlink ref="H17" r:id="rId14" display="Completo"/>
    <hyperlink ref="R17" r:id="rId15" display="Completo"/>
    <hyperlink ref="W17" r:id="rId16" display="Completo"/>
    <hyperlink ref="X17" r:id="rId17" display="Completo"/>
    <hyperlink ref="W18" r:id="rId18" display="Completo"/>
    <hyperlink ref="X18" r:id="rId19" display="Completo"/>
    <hyperlink ref="H20" r:id="rId20" display="Completo"/>
    <hyperlink ref="R20" r:id="rId21" display="Completo"/>
    <hyperlink ref="W20" r:id="rId22" display="Completo"/>
    <hyperlink ref="X20" r:id="rId23" display="Completo"/>
    <hyperlink ref="H21" r:id="rId24" display="Completo"/>
    <hyperlink ref="R21" r:id="rId25" display="Completo"/>
    <hyperlink ref="W21" r:id="rId26" display="Completo"/>
    <hyperlink ref="X21" r:id="rId27" display="Completo"/>
    <hyperlink ref="H27" r:id="rId28" display="Completo"/>
    <hyperlink ref="W27" r:id="rId29" display="Completo"/>
    <hyperlink ref="X27" r:id="rId30" display="Completo"/>
    <hyperlink ref="H28" r:id="rId31" display="Completo"/>
    <hyperlink ref="R28" r:id="rId32" display="Completo"/>
    <hyperlink ref="W28" r:id="rId33" display="Completo"/>
    <hyperlink ref="X28" r:id="rId34" display="Completo"/>
    <hyperlink ref="H29" r:id="rId35" display="Completo"/>
    <hyperlink ref="R29" r:id="rId36" display="Completo"/>
    <hyperlink ref="W29" r:id="rId37" display="Completo"/>
    <hyperlink ref="X29" r:id="rId38" display="Completo"/>
    <hyperlink ref="H30" r:id="rId39" display="Completo"/>
    <hyperlink ref="R30" r:id="rId40" display="Completo"/>
    <hyperlink ref="H33" r:id="rId41" display="Completo"/>
    <hyperlink ref="H34" r:id="rId42" display="Completo"/>
    <hyperlink ref="R34" r:id="rId43" display="Completo"/>
    <hyperlink ref="H36" r:id="rId44" display="Completo"/>
    <hyperlink ref="R36" r:id="rId45" display="Completo"/>
    <hyperlink ref="W36" r:id="rId46" display="Completo"/>
    <hyperlink ref="X36" r:id="rId47" display="Completo"/>
    <hyperlink ref="H37" r:id="rId48" display="Completo"/>
    <hyperlink ref="H38" r:id="rId49" display="Completo"/>
    <hyperlink ref="R38" r:id="rId50" display="Completo"/>
    <hyperlink ref="W38" r:id="rId51" display="Completo"/>
    <hyperlink ref="X38" r:id="rId52" display="Completo"/>
    <hyperlink ref="Y38" r:id="rId53" display="medidas de anclaje"/>
    <hyperlink ref="H39" r:id="rId54" display="Completo"/>
    <hyperlink ref="W39" r:id="rId55" display="Completo"/>
    <hyperlink ref="X39" r:id="rId56" display="Completo"/>
    <hyperlink ref="Y39" r:id="rId57" display="medidas de anclaje"/>
    <hyperlink ref="H40" r:id="rId58" display="Completo"/>
    <hyperlink ref="H41" r:id="rId59" display="Completo"/>
    <hyperlink ref="H42" r:id="rId60" display="Completo"/>
    <hyperlink ref="H43" r:id="rId61" display="Completo"/>
    <hyperlink ref="H44" r:id="rId62" display="Completo"/>
    <hyperlink ref="R44" r:id="rId63" display="Completo"/>
    <hyperlink ref="W44" r:id="rId64" display="Completo"/>
    <hyperlink ref="X44" r:id="rId65" display="Completo"/>
    <hyperlink ref="H45" r:id="rId66" display="Completo"/>
    <hyperlink ref="W45" r:id="rId67" display="Completo"/>
    <hyperlink ref="X45" r:id="rId68" display="Completo"/>
    <hyperlink ref="H46" r:id="rId69" display="Completo"/>
    <hyperlink ref="H47" r:id="rId70" display="Completo"/>
    <hyperlink ref="H48" r:id="rId71" display="Completo"/>
    <hyperlink ref="H49" r:id="rId72" display="Completo"/>
    <hyperlink ref="H50" r:id="rId73" display="Completo"/>
    <hyperlink ref="H51" r:id="rId74" display="Completo"/>
    <hyperlink ref="H52" r:id="rId75" display="Completo"/>
    <hyperlink ref="W52" r:id="rId76" display="Completo"/>
    <hyperlink ref="X52" r:id="rId77" display="Completo"/>
    <hyperlink ref="H53" r:id="rId78" display="Completo"/>
    <hyperlink ref="R53" r:id="rId79" display="Completo"/>
    <hyperlink ref="W53" r:id="rId80" display="Completo"/>
    <hyperlink ref="X53" r:id="rId81" display="Completo"/>
    <hyperlink ref="H54" r:id="rId82" display="Completo"/>
    <hyperlink ref="R54" r:id="rId83" display="Completo"/>
    <hyperlink ref="W54" r:id="rId84" display="Completo"/>
    <hyperlink ref="X54" r:id="rId85" display="Completo"/>
    <hyperlink ref="H55" r:id="rId86" display="Completo"/>
  </hyperlinks>
  <printOptions headings="false" gridLines="true" gridLinesSet="true" horizontalCentered="true" verticalCentered="false"/>
  <pageMargins left="0.7" right="0.7" top="0.75" bottom="0.75" header="0.511811023622047" footer="0.511811023622047"/>
  <pageSetup paperSize="9" scale="100" fitToWidth="1" fitToHeight="0" pageOrder="overThenDown" orientation="landscape" blackAndWhite="false" draft="false" cellComments="none" horizontalDpi="300" verticalDpi="300" copies="1"/>
  <headerFooter differentFirst="false" differentOddEven="false">
    <oddHeader/>
    <oddFooter/>
  </headerFooter>
  <drawing r:id="rId87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XFD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7" ySplit="3" topLeftCell="H4" activePane="bottomRight" state="frozen"/>
      <selection pane="topLeft" activeCell="A1" activeCellId="0" sqref="A1"/>
      <selection pane="topRight" activeCell="H1" activeCellId="0" sqref="H1"/>
      <selection pane="bottomLeft" activeCell="A4" activeCellId="0" sqref="A4"/>
      <selection pane="bottomRight" activeCell="D9" activeCellId="0" sqref="D9"/>
    </sheetView>
  </sheetViews>
  <sheetFormatPr defaultColWidth="12.6328125" defaultRowHeight="15.75" zeroHeight="false" outlineLevelRow="0" outlineLevelCol="0"/>
  <cols>
    <col collapsed="false" customWidth="true" hidden="false" outlineLevel="0" max="1" min="1" style="1" width="10.25"/>
    <col collapsed="false" customWidth="true" hidden="false" outlineLevel="0" max="2" min="2" style="1" width="10.38"/>
    <col collapsed="false" customWidth="true" hidden="false" outlineLevel="0" max="4" min="3" style="1" width="16.38"/>
    <col collapsed="false" customWidth="true" hidden="false" outlineLevel="0" max="5" min="5" style="1" width="18.25"/>
    <col collapsed="false" customWidth="true" hidden="false" outlineLevel="0" max="6" min="6" style="1" width="29.38"/>
    <col collapsed="false" customWidth="true" hidden="false" outlineLevel="0" max="7" min="7" style="1" width="14.13"/>
    <col collapsed="false" customWidth="true" hidden="false" outlineLevel="0" max="8" min="8" style="1" width="10.13"/>
    <col collapsed="false" customWidth="true" hidden="true" outlineLevel="0" max="9" min="9" style="1" width="10.13"/>
    <col collapsed="false" customWidth="true" hidden="false" outlineLevel="0" max="10" min="10" style="1" width="12.88"/>
    <col collapsed="false" customWidth="true" hidden="false" outlineLevel="0" max="12" min="11" style="1" width="12"/>
    <col collapsed="false" customWidth="true" hidden="false" outlineLevel="0" max="13" min="13" style="1" width="12.13"/>
    <col collapsed="false" customWidth="true" hidden="false" outlineLevel="0" max="14" min="14" style="1" width="12.25"/>
    <col collapsed="false" customWidth="true" hidden="false" outlineLevel="0" max="15" min="15" style="1" width="26.12"/>
    <col collapsed="false" customWidth="true" hidden="true" outlineLevel="0" max="16" min="16" style="1" width="18"/>
    <col collapsed="false" customWidth="true" hidden="false" outlineLevel="0" max="18" min="17" style="1" width="10.63"/>
    <col collapsed="false" customWidth="true" hidden="false" outlineLevel="0" max="19" min="19" style="1" width="8.5"/>
    <col collapsed="false" customWidth="true" hidden="false" outlineLevel="0" max="21" min="21" style="1" width="25.38"/>
    <col collapsed="false" customWidth="true" hidden="false" outlineLevel="0" max="22" min="22" style="1" width="18.13"/>
    <col collapsed="false" customWidth="true" hidden="false" outlineLevel="0" max="23" min="23" style="1" width="10.13"/>
    <col collapsed="false" customWidth="true" hidden="false" outlineLevel="0" max="24" min="24" style="1" width="11.38"/>
    <col collapsed="false" customWidth="true" hidden="false" outlineLevel="0" max="25" min="25" style="1" width="24.38"/>
    <col collapsed="false" customWidth="true" hidden="false" outlineLevel="0" max="27" min="27" style="1" width="13.5"/>
    <col collapsed="false" customWidth="true" hidden="false" outlineLevel="0" max="16384" min="16384" style="1" width="11.53"/>
  </cols>
  <sheetData>
    <row r="1" customFormat="false" ht="42.5" hidden="false" customHeight="false" outlineLevel="0" collapsed="false">
      <c r="A1" s="2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/>
      <c r="J1" s="4" t="s">
        <v>8</v>
      </c>
      <c r="K1" s="2"/>
      <c r="L1" s="2" t="s">
        <v>9</v>
      </c>
      <c r="M1" s="2" t="s">
        <v>10</v>
      </c>
      <c r="N1" s="4" t="s">
        <v>11</v>
      </c>
      <c r="O1" s="3" t="s">
        <v>12</v>
      </c>
      <c r="P1" s="7" t="s">
        <v>13</v>
      </c>
      <c r="Q1" s="7" t="s">
        <v>14</v>
      </c>
      <c r="R1" s="7" t="s">
        <v>15</v>
      </c>
      <c r="S1" s="7" t="s">
        <v>16</v>
      </c>
      <c r="T1" s="7" t="s">
        <v>17</v>
      </c>
      <c r="U1" s="8" t="s">
        <v>18</v>
      </c>
      <c r="V1" s="9" t="s">
        <v>19</v>
      </c>
      <c r="W1" s="9" t="s">
        <v>20</v>
      </c>
      <c r="X1" s="10" t="s">
        <v>15</v>
      </c>
      <c r="Y1" s="11" t="s">
        <v>21</v>
      </c>
      <c r="Z1" s="11" t="s">
        <v>22</v>
      </c>
      <c r="AA1" s="12"/>
      <c r="AB1" s="12"/>
      <c r="AC1" s="12"/>
      <c r="AD1" s="12"/>
      <c r="AE1" s="12"/>
      <c r="AF1" s="12"/>
      <c r="XFD1" s="0"/>
    </row>
    <row r="2" customFormat="false" ht="15.75" hidden="false" customHeight="false" outlineLevel="0" collapsed="false">
      <c r="A2" s="19" t="n">
        <v>7943</v>
      </c>
      <c r="B2" s="14" t="n">
        <v>45414</v>
      </c>
      <c r="C2" s="21" t="s">
        <v>120</v>
      </c>
      <c r="D2" s="21" t="s">
        <v>24</v>
      </c>
      <c r="E2" s="21" t="s">
        <v>25</v>
      </c>
      <c r="F2" s="16" t="s">
        <v>698</v>
      </c>
      <c r="G2" s="16" t="s">
        <v>699</v>
      </c>
      <c r="H2" s="17" t="s">
        <v>28</v>
      </c>
      <c r="I2" s="16"/>
      <c r="J2" s="16" t="s">
        <v>28</v>
      </c>
      <c r="K2" s="16" t="s">
        <v>36</v>
      </c>
      <c r="L2" s="16" t="s">
        <v>36</v>
      </c>
      <c r="M2" s="16" t="s">
        <v>36</v>
      </c>
      <c r="N2" s="16" t="n">
        <v>4975</v>
      </c>
      <c r="O2" s="16" t="s">
        <v>700</v>
      </c>
      <c r="P2" s="16"/>
      <c r="Q2" s="16" t="s">
        <v>28</v>
      </c>
      <c r="R2" s="16" t="s">
        <v>28</v>
      </c>
      <c r="S2" s="16" t="s">
        <v>36</v>
      </c>
      <c r="T2" s="16" t="s">
        <v>58</v>
      </c>
      <c r="U2" s="16" t="s">
        <v>36</v>
      </c>
      <c r="V2" s="16" t="s">
        <v>58</v>
      </c>
      <c r="W2" s="17" t="s">
        <v>28</v>
      </c>
      <c r="X2" s="17" t="s">
        <v>28</v>
      </c>
      <c r="Y2" s="16" t="s">
        <v>36</v>
      </c>
      <c r="Z2" s="16" t="s">
        <v>28</v>
      </c>
      <c r="AA2" s="12" t="s">
        <v>32</v>
      </c>
    </row>
    <row r="3" customFormat="false" ht="15.75" hidden="false" customHeight="false" outlineLevel="0" collapsed="false">
      <c r="A3" s="19" t="n">
        <v>7944</v>
      </c>
      <c r="B3" s="14" t="n">
        <v>45414</v>
      </c>
      <c r="C3" s="21" t="s">
        <v>120</v>
      </c>
      <c r="D3" s="21" t="s">
        <v>24</v>
      </c>
      <c r="E3" s="21" t="s">
        <v>25</v>
      </c>
      <c r="F3" s="16" t="s">
        <v>462</v>
      </c>
      <c r="G3" s="16" t="s">
        <v>701</v>
      </c>
      <c r="H3" s="17" t="s">
        <v>28</v>
      </c>
      <c r="I3" s="16"/>
      <c r="J3" s="16" t="s">
        <v>28</v>
      </c>
      <c r="K3" s="16" t="s">
        <v>36</v>
      </c>
      <c r="L3" s="16" t="s">
        <v>36</v>
      </c>
      <c r="M3" s="16" t="s">
        <v>36</v>
      </c>
      <c r="N3" s="16" t="s">
        <v>36</v>
      </c>
      <c r="O3" s="16" t="s">
        <v>36</v>
      </c>
      <c r="P3" s="16"/>
      <c r="Q3" s="16" t="s">
        <v>28</v>
      </c>
      <c r="R3" s="17" t="s">
        <v>28</v>
      </c>
      <c r="S3" s="16" t="s">
        <v>702</v>
      </c>
      <c r="T3" s="16" t="s">
        <v>30</v>
      </c>
      <c r="U3" s="16" t="s">
        <v>36</v>
      </c>
      <c r="V3" s="16" t="s">
        <v>74</v>
      </c>
      <c r="W3" s="17" t="s">
        <v>28</v>
      </c>
      <c r="X3" s="17" t="s">
        <v>28</v>
      </c>
      <c r="Y3" s="16" t="s">
        <v>36</v>
      </c>
      <c r="Z3" s="16" t="s">
        <v>28</v>
      </c>
      <c r="AA3" s="12" t="s">
        <v>32</v>
      </c>
    </row>
    <row r="4" customFormat="false" ht="15.75" hidden="false" customHeight="false" outlineLevel="0" collapsed="false">
      <c r="A4" s="19" t="n">
        <v>7945</v>
      </c>
      <c r="B4" s="14" t="n">
        <v>45415</v>
      </c>
      <c r="C4" s="16" t="s">
        <v>703</v>
      </c>
      <c r="D4" s="16" t="s">
        <v>24</v>
      </c>
      <c r="E4" s="16" t="s">
        <v>34</v>
      </c>
      <c r="F4" s="16" t="s">
        <v>704</v>
      </c>
      <c r="G4" s="16" t="s">
        <v>36</v>
      </c>
      <c r="H4" s="16" t="s">
        <v>37</v>
      </c>
      <c r="I4" s="16"/>
      <c r="J4" s="16" t="s">
        <v>37</v>
      </c>
      <c r="K4" s="16" t="s">
        <v>36</v>
      </c>
      <c r="L4" s="16" t="s">
        <v>36</v>
      </c>
      <c r="M4" s="16" t="s">
        <v>36</v>
      </c>
      <c r="N4" s="16" t="s">
        <v>36</v>
      </c>
      <c r="O4" s="16" t="s">
        <v>36</v>
      </c>
      <c r="P4" s="16"/>
      <c r="Q4" s="16" t="s">
        <v>37</v>
      </c>
      <c r="R4" s="16" t="s">
        <v>37</v>
      </c>
      <c r="S4" s="16" t="s">
        <v>29</v>
      </c>
      <c r="T4" s="16" t="s">
        <v>36</v>
      </c>
      <c r="U4" s="16" t="s">
        <v>36</v>
      </c>
      <c r="V4" s="16" t="s">
        <v>37</v>
      </c>
      <c r="W4" s="16" t="s">
        <v>37</v>
      </c>
      <c r="X4" s="16" t="s">
        <v>37</v>
      </c>
      <c r="Y4" s="16" t="s">
        <v>29</v>
      </c>
      <c r="Z4" s="16" t="s">
        <v>28</v>
      </c>
      <c r="AA4" s="12" t="s">
        <v>32</v>
      </c>
    </row>
    <row r="5" customFormat="false" ht="15.75" hidden="false" customHeight="false" outlineLevel="0" collapsed="false">
      <c r="A5" s="19" t="n">
        <v>7946</v>
      </c>
      <c r="B5" s="14" t="n">
        <v>45415</v>
      </c>
      <c r="C5" s="16" t="s">
        <v>705</v>
      </c>
      <c r="D5" s="16" t="s">
        <v>24</v>
      </c>
      <c r="E5" s="16" t="s">
        <v>25</v>
      </c>
      <c r="F5" s="16" t="s">
        <v>706</v>
      </c>
      <c r="G5" s="16" t="s">
        <v>36</v>
      </c>
      <c r="H5" s="17" t="s">
        <v>28</v>
      </c>
      <c r="I5" s="16"/>
      <c r="J5" s="16" t="s">
        <v>28</v>
      </c>
      <c r="K5" s="16" t="s">
        <v>36</v>
      </c>
      <c r="L5" s="16" t="s">
        <v>36</v>
      </c>
      <c r="M5" s="16" t="s">
        <v>36</v>
      </c>
      <c r="N5" s="16" t="s">
        <v>707</v>
      </c>
      <c r="O5" s="16" t="s">
        <v>708</v>
      </c>
      <c r="P5" s="16"/>
      <c r="Q5" s="16" t="s">
        <v>28</v>
      </c>
      <c r="R5" s="16" t="s">
        <v>28</v>
      </c>
      <c r="S5" s="16" t="s">
        <v>36</v>
      </c>
      <c r="T5" s="16" t="s">
        <v>25</v>
      </c>
      <c r="U5" s="16" t="s">
        <v>36</v>
      </c>
      <c r="V5" s="16" t="s">
        <v>74</v>
      </c>
      <c r="W5" s="17" t="s">
        <v>28</v>
      </c>
      <c r="X5" s="17" t="s">
        <v>28</v>
      </c>
      <c r="Y5" s="16" t="s">
        <v>29</v>
      </c>
      <c r="Z5" s="16" t="s">
        <v>28</v>
      </c>
      <c r="AA5" s="12" t="s">
        <v>32</v>
      </c>
    </row>
    <row r="6" customFormat="false" ht="15.75" hidden="false" customHeight="false" outlineLevel="0" collapsed="false">
      <c r="A6" s="19" t="n">
        <v>7947</v>
      </c>
      <c r="B6" s="14" t="n">
        <v>45415</v>
      </c>
      <c r="C6" s="21" t="s">
        <v>709</v>
      </c>
      <c r="D6" s="21" t="s">
        <v>24</v>
      </c>
      <c r="E6" s="21" t="s">
        <v>34</v>
      </c>
      <c r="F6" s="16" t="s">
        <v>710</v>
      </c>
      <c r="G6" s="16" t="s">
        <v>36</v>
      </c>
      <c r="H6" s="16" t="s">
        <v>37</v>
      </c>
      <c r="I6" s="16"/>
      <c r="J6" s="16" t="s">
        <v>37</v>
      </c>
      <c r="K6" s="16" t="s">
        <v>36</v>
      </c>
      <c r="L6" s="16" t="s">
        <v>36</v>
      </c>
      <c r="M6" s="16" t="s">
        <v>36</v>
      </c>
      <c r="N6" s="16" t="s">
        <v>36</v>
      </c>
      <c r="O6" s="16" t="s">
        <v>36</v>
      </c>
      <c r="P6" s="16"/>
      <c r="Q6" s="16" t="s">
        <v>37</v>
      </c>
      <c r="R6" s="16" t="s">
        <v>37</v>
      </c>
      <c r="S6" s="16" t="s">
        <v>36</v>
      </c>
      <c r="T6" s="16" t="s">
        <v>36</v>
      </c>
      <c r="U6" s="16" t="s">
        <v>36</v>
      </c>
      <c r="V6" s="16" t="s">
        <v>37</v>
      </c>
      <c r="W6" s="16" t="s">
        <v>37</v>
      </c>
      <c r="X6" s="16" t="s">
        <v>37</v>
      </c>
      <c r="Y6" s="16" t="s">
        <v>29</v>
      </c>
      <c r="Z6" s="16" t="s">
        <v>28</v>
      </c>
      <c r="AA6" s="12" t="s">
        <v>32</v>
      </c>
    </row>
    <row r="7" customFormat="false" ht="15.75" hidden="false" customHeight="false" outlineLevel="0" collapsed="false">
      <c r="A7" s="42" t="n">
        <v>1483617</v>
      </c>
      <c r="B7" s="14" t="n">
        <v>45418</v>
      </c>
      <c r="C7" s="16" t="s">
        <v>613</v>
      </c>
      <c r="D7" s="16" t="s">
        <v>290</v>
      </c>
      <c r="E7" s="16" t="s">
        <v>30</v>
      </c>
      <c r="F7" s="16" t="s">
        <v>711</v>
      </c>
      <c r="G7" s="16" t="s">
        <v>712</v>
      </c>
      <c r="H7" s="17" t="s">
        <v>28</v>
      </c>
      <c r="I7" s="16"/>
      <c r="J7" s="16" t="s">
        <v>28</v>
      </c>
      <c r="K7" s="16" t="s">
        <v>36</v>
      </c>
      <c r="L7" s="16" t="s">
        <v>36</v>
      </c>
      <c r="M7" s="16" t="s">
        <v>36</v>
      </c>
      <c r="N7" s="16" t="s">
        <v>36</v>
      </c>
      <c r="O7" s="16" t="s">
        <v>36</v>
      </c>
      <c r="P7" s="16"/>
      <c r="Q7" s="16" t="s">
        <v>28</v>
      </c>
      <c r="R7" s="16" t="s">
        <v>28</v>
      </c>
      <c r="S7" s="16" t="s">
        <v>36</v>
      </c>
      <c r="T7" s="16" t="s">
        <v>30</v>
      </c>
      <c r="U7" s="16" t="s">
        <v>36</v>
      </c>
      <c r="V7" s="16" t="s">
        <v>74</v>
      </c>
      <c r="W7" s="17" t="s">
        <v>28</v>
      </c>
      <c r="X7" s="17" t="s">
        <v>28</v>
      </c>
      <c r="Y7" s="16" t="s">
        <v>29</v>
      </c>
      <c r="Z7" s="16" t="s">
        <v>28</v>
      </c>
      <c r="AA7" s="12" t="s">
        <v>32</v>
      </c>
    </row>
    <row r="8" customFormat="false" ht="15.75" hidden="false" customHeight="false" outlineLevel="0" collapsed="false">
      <c r="A8" s="19" t="n">
        <v>7948</v>
      </c>
      <c r="B8" s="14" t="n">
        <v>45419</v>
      </c>
      <c r="C8" s="16" t="s">
        <v>120</v>
      </c>
      <c r="D8" s="16" t="s">
        <v>24</v>
      </c>
      <c r="E8" s="16" t="s">
        <v>34</v>
      </c>
      <c r="F8" s="16" t="s">
        <v>713</v>
      </c>
      <c r="G8" s="16" t="s">
        <v>36</v>
      </c>
      <c r="H8" s="16" t="s">
        <v>37</v>
      </c>
      <c r="I8" s="16"/>
      <c r="J8" s="16" t="s">
        <v>37</v>
      </c>
      <c r="K8" s="16" t="s">
        <v>36</v>
      </c>
      <c r="L8" s="16" t="s">
        <v>36</v>
      </c>
      <c r="M8" s="16" t="s">
        <v>36</v>
      </c>
      <c r="N8" s="16" t="s">
        <v>36</v>
      </c>
      <c r="O8" s="16" t="s">
        <v>36</v>
      </c>
      <c r="P8" s="16"/>
      <c r="Q8" s="16" t="s">
        <v>37</v>
      </c>
      <c r="R8" s="16" t="s">
        <v>37</v>
      </c>
      <c r="S8" s="16" t="s">
        <v>36</v>
      </c>
      <c r="T8" s="16" t="s">
        <v>36</v>
      </c>
      <c r="U8" s="16" t="s">
        <v>36</v>
      </c>
      <c r="V8" s="16" t="s">
        <v>37</v>
      </c>
      <c r="W8" s="16" t="s">
        <v>37</v>
      </c>
      <c r="X8" s="16" t="s">
        <v>37</v>
      </c>
      <c r="Y8" s="16" t="s">
        <v>29</v>
      </c>
      <c r="Z8" s="16" t="s">
        <v>28</v>
      </c>
      <c r="AA8" s="12" t="s">
        <v>32</v>
      </c>
    </row>
    <row r="9" customFormat="false" ht="15.75" hidden="false" customHeight="false" outlineLevel="0" collapsed="false">
      <c r="A9" s="19" t="n">
        <v>7949</v>
      </c>
      <c r="B9" s="14" t="n">
        <v>45419</v>
      </c>
      <c r="C9" s="16" t="s">
        <v>714</v>
      </c>
      <c r="D9" s="16" t="s">
        <v>24</v>
      </c>
      <c r="E9" s="16" t="s">
        <v>160</v>
      </c>
      <c r="F9" s="16" t="s">
        <v>715</v>
      </c>
      <c r="G9" s="16" t="s">
        <v>36</v>
      </c>
      <c r="H9" s="16" t="s">
        <v>37</v>
      </c>
      <c r="I9" s="16"/>
      <c r="J9" s="16" t="s">
        <v>37</v>
      </c>
      <c r="K9" s="16" t="s">
        <v>36</v>
      </c>
      <c r="L9" s="16" t="s">
        <v>36</v>
      </c>
      <c r="M9" s="16" t="s">
        <v>36</v>
      </c>
      <c r="N9" s="16" t="s">
        <v>36</v>
      </c>
      <c r="O9" s="16" t="s">
        <v>36</v>
      </c>
      <c r="P9" s="16"/>
      <c r="Q9" s="16" t="s">
        <v>37</v>
      </c>
      <c r="R9" s="16" t="s">
        <v>37</v>
      </c>
      <c r="S9" s="16" t="s">
        <v>36</v>
      </c>
      <c r="T9" s="16" t="s">
        <v>36</v>
      </c>
      <c r="U9" s="16" t="s">
        <v>36</v>
      </c>
      <c r="V9" s="16" t="s">
        <v>37</v>
      </c>
      <c r="W9" s="16" t="s">
        <v>37</v>
      </c>
      <c r="X9" s="16" t="s">
        <v>37</v>
      </c>
      <c r="Y9" s="16" t="s">
        <v>29</v>
      </c>
      <c r="Z9" s="16" t="s">
        <v>28</v>
      </c>
      <c r="AA9" s="12" t="s">
        <v>32</v>
      </c>
    </row>
    <row r="10" customFormat="false" ht="15.75" hidden="false" customHeight="false" outlineLevel="0" collapsed="false">
      <c r="A10" s="19" t="n">
        <v>7950</v>
      </c>
      <c r="B10" s="14" t="n">
        <v>45419</v>
      </c>
      <c r="C10" s="16" t="s">
        <v>716</v>
      </c>
      <c r="D10" s="16" t="s">
        <v>24</v>
      </c>
      <c r="E10" s="16" t="s">
        <v>25</v>
      </c>
      <c r="F10" s="16" t="s">
        <v>717</v>
      </c>
      <c r="G10" s="16" t="s">
        <v>718</v>
      </c>
      <c r="H10" s="17" t="s">
        <v>28</v>
      </c>
      <c r="I10" s="16"/>
      <c r="J10" s="16" t="s">
        <v>28</v>
      </c>
      <c r="K10" s="16" t="s">
        <v>36</v>
      </c>
      <c r="L10" s="16" t="s">
        <v>36</v>
      </c>
      <c r="M10" s="16" t="s">
        <v>36</v>
      </c>
      <c r="N10" s="16" t="s">
        <v>36</v>
      </c>
      <c r="O10" s="16" t="s">
        <v>36</v>
      </c>
      <c r="P10" s="16"/>
      <c r="Q10" s="16" t="s">
        <v>37</v>
      </c>
      <c r="R10" s="16" t="s">
        <v>37</v>
      </c>
      <c r="S10" s="16" t="s">
        <v>36</v>
      </c>
      <c r="T10" s="16" t="s">
        <v>36</v>
      </c>
      <c r="U10" s="16" t="s">
        <v>36</v>
      </c>
      <c r="V10" s="16" t="s">
        <v>37</v>
      </c>
      <c r="W10" s="16" t="s">
        <v>37</v>
      </c>
      <c r="X10" s="16" t="s">
        <v>37</v>
      </c>
      <c r="Y10" s="16" t="s">
        <v>29</v>
      </c>
      <c r="Z10" s="16" t="s">
        <v>28</v>
      </c>
      <c r="AA10" s="12" t="s">
        <v>32</v>
      </c>
    </row>
    <row r="11" customFormat="false" ht="15.75" hidden="false" customHeight="false" outlineLevel="0" collapsed="false">
      <c r="A11" s="19" t="n">
        <v>7951</v>
      </c>
      <c r="B11" s="14" t="n">
        <v>45420</v>
      </c>
      <c r="C11" s="16" t="s">
        <v>719</v>
      </c>
      <c r="D11" s="16" t="s">
        <v>24</v>
      </c>
      <c r="E11" s="16" t="s">
        <v>25</v>
      </c>
      <c r="F11" s="16" t="s">
        <v>720</v>
      </c>
      <c r="G11" s="16" t="s">
        <v>36</v>
      </c>
      <c r="H11" s="17" t="s">
        <v>28</v>
      </c>
      <c r="I11" s="16"/>
      <c r="J11" s="16" t="s">
        <v>28</v>
      </c>
      <c r="K11" s="16" t="s">
        <v>36</v>
      </c>
      <c r="L11" s="16" t="s">
        <v>36</v>
      </c>
      <c r="M11" s="16" t="s">
        <v>36</v>
      </c>
      <c r="N11" s="16" t="n">
        <v>12076</v>
      </c>
      <c r="O11" s="16" t="s">
        <v>36</v>
      </c>
      <c r="P11" s="16"/>
      <c r="Q11" s="16" t="s">
        <v>37</v>
      </c>
      <c r="R11" s="16" t="s">
        <v>37</v>
      </c>
      <c r="S11" s="16" t="s">
        <v>36</v>
      </c>
      <c r="T11" s="16" t="s">
        <v>36</v>
      </c>
      <c r="U11" s="16" t="s">
        <v>36</v>
      </c>
      <c r="V11" s="16" t="s">
        <v>37</v>
      </c>
      <c r="W11" s="16" t="s">
        <v>37</v>
      </c>
      <c r="X11" s="16" t="s">
        <v>37</v>
      </c>
      <c r="Y11" s="16" t="s">
        <v>29</v>
      </c>
      <c r="Z11" s="16" t="s">
        <v>28</v>
      </c>
      <c r="AA11" s="12" t="s">
        <v>32</v>
      </c>
    </row>
    <row r="12" customFormat="false" ht="15.75" hidden="false" customHeight="false" outlineLevel="0" collapsed="false">
      <c r="A12" s="19" t="n">
        <v>7952</v>
      </c>
      <c r="B12" s="14" t="n">
        <v>45422</v>
      </c>
      <c r="C12" s="16" t="s">
        <v>721</v>
      </c>
      <c r="D12" s="16" t="s">
        <v>24</v>
      </c>
      <c r="E12" s="16" t="s">
        <v>25</v>
      </c>
      <c r="F12" s="16" t="s">
        <v>223</v>
      </c>
      <c r="G12" s="16" t="s">
        <v>36</v>
      </c>
      <c r="H12" s="17" t="s">
        <v>28</v>
      </c>
      <c r="I12" s="16"/>
      <c r="J12" s="16" t="s">
        <v>28</v>
      </c>
      <c r="K12" s="16" t="n">
        <v>30711956332</v>
      </c>
      <c r="L12" s="16" t="n">
        <v>3512434783</v>
      </c>
      <c r="M12" s="16" t="s">
        <v>722</v>
      </c>
      <c r="N12" s="16" t="s">
        <v>36</v>
      </c>
      <c r="O12" s="16" t="s">
        <v>723</v>
      </c>
      <c r="P12" s="16"/>
      <c r="Q12" s="16" t="s">
        <v>37</v>
      </c>
      <c r="R12" s="16" t="s">
        <v>37</v>
      </c>
      <c r="S12" s="16" t="s">
        <v>36</v>
      </c>
      <c r="T12" s="16" t="s">
        <v>36</v>
      </c>
      <c r="U12" s="16" t="s">
        <v>36</v>
      </c>
      <c r="V12" s="16" t="s">
        <v>37</v>
      </c>
      <c r="W12" s="16" t="s">
        <v>37</v>
      </c>
      <c r="X12" s="16" t="s">
        <v>37</v>
      </c>
      <c r="Y12" s="16" t="s">
        <v>724</v>
      </c>
      <c r="Z12" s="16" t="s">
        <v>37</v>
      </c>
      <c r="AA12" s="12" t="s">
        <v>40</v>
      </c>
    </row>
    <row r="13" customFormat="false" ht="15.75" hidden="false" customHeight="false" outlineLevel="0" collapsed="false">
      <c r="A13" s="19" t="n">
        <v>7953</v>
      </c>
      <c r="B13" s="14" t="n">
        <v>45423</v>
      </c>
      <c r="C13" s="16" t="s">
        <v>120</v>
      </c>
      <c r="D13" s="16" t="s">
        <v>24</v>
      </c>
      <c r="E13" s="21" t="s">
        <v>34</v>
      </c>
      <c r="F13" s="16" t="s">
        <v>725</v>
      </c>
      <c r="G13" s="16" t="s">
        <v>36</v>
      </c>
      <c r="H13" s="16" t="s">
        <v>37</v>
      </c>
      <c r="I13" s="16"/>
      <c r="J13" s="16" t="s">
        <v>37</v>
      </c>
      <c r="K13" s="16" t="s">
        <v>36</v>
      </c>
      <c r="L13" s="16" t="s">
        <v>36</v>
      </c>
      <c r="M13" s="16" t="s">
        <v>36</v>
      </c>
      <c r="N13" s="16" t="s">
        <v>36</v>
      </c>
      <c r="O13" s="16" t="s">
        <v>36</v>
      </c>
      <c r="P13" s="16"/>
      <c r="Q13" s="16" t="s">
        <v>37</v>
      </c>
      <c r="R13" s="16" t="s">
        <v>37</v>
      </c>
      <c r="S13" s="16" t="s">
        <v>36</v>
      </c>
      <c r="T13" s="16" t="s">
        <v>36</v>
      </c>
      <c r="U13" s="16" t="s">
        <v>36</v>
      </c>
      <c r="V13" s="16" t="s">
        <v>37</v>
      </c>
      <c r="W13" s="16" t="s">
        <v>37</v>
      </c>
      <c r="X13" s="16" t="s">
        <v>37</v>
      </c>
      <c r="Y13" s="16" t="s">
        <v>29</v>
      </c>
      <c r="Z13" s="16" t="s">
        <v>28</v>
      </c>
      <c r="AA13" s="12" t="s">
        <v>32</v>
      </c>
    </row>
    <row r="14" customFormat="false" ht="15.75" hidden="false" customHeight="false" outlineLevel="0" collapsed="false">
      <c r="A14" s="19" t="n">
        <v>7954</v>
      </c>
      <c r="B14" s="14" t="n">
        <v>45423</v>
      </c>
      <c r="C14" s="16" t="s">
        <v>120</v>
      </c>
      <c r="D14" s="16" t="s">
        <v>24</v>
      </c>
      <c r="E14" s="21" t="s">
        <v>34</v>
      </c>
      <c r="F14" s="16" t="s">
        <v>725</v>
      </c>
      <c r="G14" s="16" t="s">
        <v>36</v>
      </c>
      <c r="H14" s="16" t="s">
        <v>37</v>
      </c>
      <c r="I14" s="16"/>
      <c r="J14" s="16" t="s">
        <v>37</v>
      </c>
      <c r="K14" s="16" t="s">
        <v>36</v>
      </c>
      <c r="L14" s="16" t="s">
        <v>36</v>
      </c>
      <c r="M14" s="16" t="s">
        <v>36</v>
      </c>
      <c r="N14" s="16" t="s">
        <v>36</v>
      </c>
      <c r="O14" s="16" t="s">
        <v>36</v>
      </c>
      <c r="P14" s="16"/>
      <c r="Q14" s="16" t="s">
        <v>37</v>
      </c>
      <c r="R14" s="16" t="s">
        <v>37</v>
      </c>
      <c r="S14" s="16" t="s">
        <v>36</v>
      </c>
      <c r="T14" s="16" t="s">
        <v>36</v>
      </c>
      <c r="U14" s="16" t="s">
        <v>36</v>
      </c>
      <c r="V14" s="16" t="s">
        <v>37</v>
      </c>
      <c r="W14" s="16" t="s">
        <v>37</v>
      </c>
      <c r="X14" s="16" t="s">
        <v>37</v>
      </c>
      <c r="Y14" s="16" t="s">
        <v>29</v>
      </c>
      <c r="Z14" s="16" t="s">
        <v>28</v>
      </c>
      <c r="AA14" s="12" t="s">
        <v>32</v>
      </c>
    </row>
    <row r="15" customFormat="false" ht="15.75" hidden="false" customHeight="false" outlineLevel="0" collapsed="false">
      <c r="A15" s="19" t="n">
        <v>7955</v>
      </c>
      <c r="B15" s="14" t="n">
        <v>45425</v>
      </c>
      <c r="C15" s="16" t="s">
        <v>65</v>
      </c>
      <c r="D15" s="16" t="s">
        <v>24</v>
      </c>
      <c r="E15" s="16" t="s">
        <v>25</v>
      </c>
      <c r="F15" s="24" t="s">
        <v>726</v>
      </c>
      <c r="G15" s="16" t="s">
        <v>36</v>
      </c>
      <c r="H15" s="17" t="s">
        <v>28</v>
      </c>
      <c r="I15" s="16"/>
      <c r="J15" s="16" t="s">
        <v>28</v>
      </c>
      <c r="K15" s="16" t="s">
        <v>36</v>
      </c>
      <c r="L15" s="16" t="n">
        <v>3584838539</v>
      </c>
      <c r="M15" s="16" t="s">
        <v>727</v>
      </c>
      <c r="N15" s="16" t="s">
        <v>36</v>
      </c>
      <c r="O15" s="16" t="s">
        <v>36</v>
      </c>
      <c r="P15" s="16"/>
      <c r="Q15" s="16" t="s">
        <v>28</v>
      </c>
      <c r="R15" s="16" t="s">
        <v>28</v>
      </c>
      <c r="S15" s="16" t="s">
        <v>36</v>
      </c>
      <c r="T15" s="16" t="s">
        <v>36</v>
      </c>
      <c r="U15" s="16" t="s">
        <v>36</v>
      </c>
      <c r="V15" s="16" t="s">
        <v>58</v>
      </c>
      <c r="W15" s="16" t="s">
        <v>28</v>
      </c>
      <c r="X15" s="16" t="s">
        <v>28</v>
      </c>
      <c r="Y15" s="16" t="s">
        <v>29</v>
      </c>
      <c r="Z15" s="16" t="s">
        <v>28</v>
      </c>
      <c r="AA15" s="12" t="s">
        <v>32</v>
      </c>
    </row>
    <row r="16" customFormat="false" ht="15.75" hidden="false" customHeight="false" outlineLevel="0" collapsed="false">
      <c r="A16" s="19" t="n">
        <v>7956</v>
      </c>
      <c r="B16" s="14" t="n">
        <v>45425</v>
      </c>
      <c r="C16" s="16" t="s">
        <v>23</v>
      </c>
      <c r="D16" s="16" t="s">
        <v>24</v>
      </c>
      <c r="E16" s="16" t="s">
        <v>25</v>
      </c>
      <c r="F16" s="19" t="s">
        <v>418</v>
      </c>
      <c r="G16" s="16" t="s">
        <v>728</v>
      </c>
      <c r="H16" s="17" t="s">
        <v>28</v>
      </c>
      <c r="I16" s="16"/>
      <c r="J16" s="16" t="s">
        <v>28</v>
      </c>
      <c r="K16" s="16" t="s">
        <v>36</v>
      </c>
      <c r="L16" s="16" t="s">
        <v>36</v>
      </c>
      <c r="M16" s="16" t="s">
        <v>36</v>
      </c>
      <c r="N16" s="16" t="s">
        <v>36</v>
      </c>
      <c r="O16" s="16" t="s">
        <v>36</v>
      </c>
      <c r="P16" s="16"/>
      <c r="Q16" s="16" t="s">
        <v>37</v>
      </c>
      <c r="R16" s="16" t="s">
        <v>37</v>
      </c>
      <c r="S16" s="16" t="s">
        <v>36</v>
      </c>
      <c r="T16" s="16" t="s">
        <v>36</v>
      </c>
      <c r="U16" s="16" t="s">
        <v>36</v>
      </c>
      <c r="V16" s="16" t="s">
        <v>37</v>
      </c>
      <c r="W16" s="16" t="s">
        <v>37</v>
      </c>
      <c r="X16" s="16" t="s">
        <v>37</v>
      </c>
      <c r="Y16" s="16" t="s">
        <v>29</v>
      </c>
      <c r="Z16" s="16" t="s">
        <v>28</v>
      </c>
      <c r="AA16" s="12" t="s">
        <v>32</v>
      </c>
    </row>
    <row r="17" customFormat="false" ht="15.75" hidden="false" customHeight="false" outlineLevel="0" collapsed="false">
      <c r="A17" s="19" t="n">
        <v>7957</v>
      </c>
      <c r="B17" s="14" t="n">
        <v>45425</v>
      </c>
      <c r="C17" s="16" t="s">
        <v>23</v>
      </c>
      <c r="D17" s="16" t="s">
        <v>24</v>
      </c>
      <c r="E17" s="16" t="s">
        <v>25</v>
      </c>
      <c r="F17" s="16" t="s">
        <v>418</v>
      </c>
      <c r="G17" s="16" t="s">
        <v>728</v>
      </c>
      <c r="H17" s="17" t="s">
        <v>28</v>
      </c>
      <c r="I17" s="16"/>
      <c r="J17" s="16" t="s">
        <v>28</v>
      </c>
      <c r="K17" s="16" t="s">
        <v>36</v>
      </c>
      <c r="L17" s="16" t="s">
        <v>36</v>
      </c>
      <c r="M17" s="16" t="s">
        <v>36</v>
      </c>
      <c r="N17" s="16" t="s">
        <v>36</v>
      </c>
      <c r="O17" s="16" t="s">
        <v>36</v>
      </c>
      <c r="P17" s="16"/>
      <c r="Q17" s="16" t="s">
        <v>37</v>
      </c>
      <c r="R17" s="16" t="s">
        <v>37</v>
      </c>
      <c r="S17" s="16" t="s">
        <v>36</v>
      </c>
      <c r="T17" s="16" t="s">
        <v>36</v>
      </c>
      <c r="U17" s="16" t="s">
        <v>36</v>
      </c>
      <c r="V17" s="16" t="s">
        <v>37</v>
      </c>
      <c r="W17" s="16" t="s">
        <v>37</v>
      </c>
      <c r="X17" s="16" t="s">
        <v>37</v>
      </c>
      <c r="Y17" s="16" t="s">
        <v>29</v>
      </c>
      <c r="Z17" s="16" t="s">
        <v>28</v>
      </c>
      <c r="AA17" s="12" t="s">
        <v>32</v>
      </c>
    </row>
    <row r="18" customFormat="false" ht="15.75" hidden="false" customHeight="false" outlineLevel="0" collapsed="false">
      <c r="A18" s="19" t="n">
        <v>7958</v>
      </c>
      <c r="B18" s="14" t="n">
        <v>45425</v>
      </c>
      <c r="C18" s="16" t="s">
        <v>23</v>
      </c>
      <c r="D18" s="16" t="s">
        <v>24</v>
      </c>
      <c r="E18" s="16" t="s">
        <v>25</v>
      </c>
      <c r="F18" s="16" t="s">
        <v>418</v>
      </c>
      <c r="G18" s="16" t="s">
        <v>728</v>
      </c>
      <c r="H18" s="17" t="s">
        <v>28</v>
      </c>
      <c r="I18" s="16"/>
      <c r="J18" s="16" t="s">
        <v>28</v>
      </c>
      <c r="K18" s="16" t="s">
        <v>36</v>
      </c>
      <c r="L18" s="16" t="s">
        <v>36</v>
      </c>
      <c r="M18" s="16" t="s">
        <v>36</v>
      </c>
      <c r="N18" s="16" t="s">
        <v>36</v>
      </c>
      <c r="O18" s="16" t="s">
        <v>36</v>
      </c>
      <c r="P18" s="16"/>
      <c r="Q18" s="16" t="s">
        <v>37</v>
      </c>
      <c r="R18" s="16" t="s">
        <v>37</v>
      </c>
      <c r="S18" s="16" t="s">
        <v>36</v>
      </c>
      <c r="T18" s="16" t="s">
        <v>36</v>
      </c>
      <c r="U18" s="16" t="s">
        <v>36</v>
      </c>
      <c r="V18" s="16" t="s">
        <v>37</v>
      </c>
      <c r="W18" s="16" t="s">
        <v>37</v>
      </c>
      <c r="X18" s="16" t="s">
        <v>37</v>
      </c>
      <c r="Y18" s="16" t="s">
        <v>29</v>
      </c>
      <c r="Z18" s="16" t="s">
        <v>28</v>
      </c>
      <c r="AA18" s="12" t="s">
        <v>32</v>
      </c>
    </row>
    <row r="19" customFormat="false" ht="15.75" hidden="false" customHeight="false" outlineLevel="0" collapsed="false">
      <c r="A19" s="19" t="n">
        <v>7959</v>
      </c>
      <c r="B19" s="14" t="n">
        <v>45425</v>
      </c>
      <c r="C19" s="16" t="s">
        <v>23</v>
      </c>
      <c r="D19" s="16" t="s">
        <v>24</v>
      </c>
      <c r="E19" s="16" t="s">
        <v>25</v>
      </c>
      <c r="F19" s="16" t="s">
        <v>418</v>
      </c>
      <c r="G19" s="16" t="s">
        <v>728</v>
      </c>
      <c r="H19" s="17" t="s">
        <v>28</v>
      </c>
      <c r="I19" s="16"/>
      <c r="J19" s="16" t="s">
        <v>28</v>
      </c>
      <c r="K19" s="16" t="s">
        <v>36</v>
      </c>
      <c r="L19" s="16" t="s">
        <v>36</v>
      </c>
      <c r="M19" s="16" t="s">
        <v>36</v>
      </c>
      <c r="N19" s="16" t="s">
        <v>36</v>
      </c>
      <c r="O19" s="16" t="s">
        <v>36</v>
      </c>
      <c r="P19" s="16"/>
      <c r="Q19" s="16" t="s">
        <v>37</v>
      </c>
      <c r="R19" s="16" t="s">
        <v>37</v>
      </c>
      <c r="S19" s="16" t="s">
        <v>36</v>
      </c>
      <c r="T19" s="16" t="s">
        <v>36</v>
      </c>
      <c r="U19" s="16" t="s">
        <v>36</v>
      </c>
      <c r="V19" s="16" t="s">
        <v>37</v>
      </c>
      <c r="W19" s="16" t="s">
        <v>37</v>
      </c>
      <c r="X19" s="16" t="s">
        <v>37</v>
      </c>
      <c r="Y19" s="16" t="s">
        <v>29</v>
      </c>
      <c r="Z19" s="16" t="s">
        <v>28</v>
      </c>
      <c r="AA19" s="12" t="s">
        <v>32</v>
      </c>
    </row>
    <row r="20" customFormat="false" ht="15.75" hidden="false" customHeight="false" outlineLevel="0" collapsed="false">
      <c r="A20" s="24" t="n">
        <v>7960</v>
      </c>
      <c r="B20" s="14" t="n">
        <v>45425</v>
      </c>
      <c r="C20" s="25" t="s">
        <v>23</v>
      </c>
      <c r="D20" s="25" t="s">
        <v>24</v>
      </c>
      <c r="E20" s="25" t="s">
        <v>25</v>
      </c>
      <c r="F20" s="25" t="s">
        <v>729</v>
      </c>
      <c r="G20" s="25" t="s">
        <v>36</v>
      </c>
      <c r="H20" s="26" t="s">
        <v>28</v>
      </c>
      <c r="I20" s="25"/>
      <c r="J20" s="25" t="s">
        <v>28</v>
      </c>
      <c r="K20" s="25" t="s">
        <v>36</v>
      </c>
      <c r="L20" s="25" t="s">
        <v>36</v>
      </c>
      <c r="M20" s="25" t="s">
        <v>36</v>
      </c>
      <c r="N20" s="25" t="s">
        <v>36</v>
      </c>
      <c r="O20" s="25" t="s">
        <v>36</v>
      </c>
      <c r="P20" s="25"/>
      <c r="Q20" s="25" t="s">
        <v>37</v>
      </c>
      <c r="R20" s="16" t="s">
        <v>37</v>
      </c>
      <c r="S20" s="25" t="s">
        <v>36</v>
      </c>
      <c r="T20" s="25" t="s">
        <v>36</v>
      </c>
      <c r="U20" s="25" t="s">
        <v>36</v>
      </c>
      <c r="V20" s="25" t="s">
        <v>37</v>
      </c>
      <c r="W20" s="25" t="s">
        <v>37</v>
      </c>
      <c r="X20" s="25" t="s">
        <v>37</v>
      </c>
      <c r="Y20" s="25" t="s">
        <v>29</v>
      </c>
      <c r="Z20" s="25" t="s">
        <v>28</v>
      </c>
      <c r="AA20" s="12" t="s">
        <v>32</v>
      </c>
    </row>
    <row r="21" customFormat="false" ht="15.75" hidden="false" customHeight="false" outlineLevel="0" collapsed="false">
      <c r="A21" s="19" t="n">
        <v>7961</v>
      </c>
      <c r="B21" s="14" t="n">
        <v>45427</v>
      </c>
      <c r="C21" s="16" t="s">
        <v>730</v>
      </c>
      <c r="D21" s="16" t="s">
        <v>24</v>
      </c>
      <c r="E21" s="16" t="s">
        <v>25</v>
      </c>
      <c r="F21" s="16" t="s">
        <v>127</v>
      </c>
      <c r="G21" s="16" t="s">
        <v>731</v>
      </c>
      <c r="H21" s="17" t="s">
        <v>28</v>
      </c>
      <c r="I21" s="16"/>
      <c r="J21" s="16" t="s">
        <v>28</v>
      </c>
      <c r="K21" s="16" t="s">
        <v>36</v>
      </c>
      <c r="L21" s="16" t="s">
        <v>36</v>
      </c>
      <c r="M21" s="16" t="s">
        <v>36</v>
      </c>
      <c r="N21" s="16" t="s">
        <v>36</v>
      </c>
      <c r="O21" s="16" t="s">
        <v>36</v>
      </c>
      <c r="P21" s="16"/>
      <c r="Q21" s="16" t="s">
        <v>28</v>
      </c>
      <c r="R21" s="17" t="s">
        <v>28</v>
      </c>
      <c r="S21" s="16" t="s">
        <v>36</v>
      </c>
      <c r="T21" s="16" t="s">
        <v>222</v>
      </c>
      <c r="U21" s="25" t="s">
        <v>36</v>
      </c>
      <c r="V21" s="16" t="s">
        <v>74</v>
      </c>
      <c r="W21" s="17" t="s">
        <v>28</v>
      </c>
      <c r="X21" s="17" t="s">
        <v>28</v>
      </c>
      <c r="Y21" s="16" t="s">
        <v>36</v>
      </c>
      <c r="Z21" s="16" t="s">
        <v>28</v>
      </c>
      <c r="AA21" s="12" t="s">
        <v>32</v>
      </c>
    </row>
    <row r="22" customFormat="false" ht="15.75" hidden="false" customHeight="false" outlineLevel="0" collapsed="false">
      <c r="A22" s="19" t="n">
        <v>7962</v>
      </c>
      <c r="B22" s="14" t="n">
        <v>45429</v>
      </c>
      <c r="C22" s="16" t="s">
        <v>465</v>
      </c>
      <c r="D22" s="16" t="s">
        <v>24</v>
      </c>
      <c r="E22" s="16" t="s">
        <v>25</v>
      </c>
      <c r="F22" s="16" t="s">
        <v>732</v>
      </c>
      <c r="G22" s="16" t="s">
        <v>36</v>
      </c>
      <c r="H22" s="17" t="s">
        <v>28</v>
      </c>
      <c r="I22" s="16"/>
      <c r="J22" s="16" t="s">
        <v>28</v>
      </c>
      <c r="K22" s="16" t="s">
        <v>36</v>
      </c>
      <c r="L22" s="16" t="s">
        <v>36</v>
      </c>
      <c r="M22" s="16" t="s">
        <v>36</v>
      </c>
      <c r="N22" s="16" t="s">
        <v>36</v>
      </c>
      <c r="O22" s="16" t="s">
        <v>733</v>
      </c>
      <c r="P22" s="16"/>
      <c r="Q22" s="16" t="s">
        <v>37</v>
      </c>
      <c r="R22" s="16" t="s">
        <v>37</v>
      </c>
      <c r="S22" s="16" t="s">
        <v>36</v>
      </c>
      <c r="T22" s="16" t="s">
        <v>36</v>
      </c>
      <c r="U22" s="16" t="s">
        <v>36</v>
      </c>
      <c r="V22" s="16" t="s">
        <v>37</v>
      </c>
      <c r="W22" s="16" t="s">
        <v>37</v>
      </c>
      <c r="X22" s="16" t="s">
        <v>37</v>
      </c>
      <c r="Y22" s="16" t="s">
        <v>29</v>
      </c>
      <c r="Z22" s="16" t="s">
        <v>28</v>
      </c>
      <c r="AA22" s="12" t="s">
        <v>32</v>
      </c>
    </row>
    <row r="23" customFormat="false" ht="15.75" hidden="false" customHeight="false" outlineLevel="0" collapsed="false">
      <c r="A23" s="19" t="n">
        <v>7963</v>
      </c>
      <c r="B23" s="14" t="n">
        <v>45432</v>
      </c>
      <c r="C23" s="16" t="s">
        <v>41</v>
      </c>
      <c r="D23" s="16" t="s">
        <v>24</v>
      </c>
      <c r="E23" s="16" t="s">
        <v>25</v>
      </c>
      <c r="F23" s="16" t="s">
        <v>734</v>
      </c>
      <c r="G23" s="16" t="s">
        <v>735</v>
      </c>
      <c r="H23" s="17" t="s">
        <v>28</v>
      </c>
      <c r="I23" s="16"/>
      <c r="J23" s="16" t="s">
        <v>28</v>
      </c>
      <c r="K23" s="16" t="s">
        <v>36</v>
      </c>
      <c r="L23" s="16" t="s">
        <v>36</v>
      </c>
      <c r="M23" s="16" t="s">
        <v>36</v>
      </c>
      <c r="N23" s="16" t="s">
        <v>736</v>
      </c>
      <c r="O23" s="16" t="s">
        <v>36</v>
      </c>
      <c r="P23" s="16"/>
      <c r="Q23" s="16" t="s">
        <v>28</v>
      </c>
      <c r="R23" s="16" t="s">
        <v>28</v>
      </c>
      <c r="S23" s="16" t="s">
        <v>36</v>
      </c>
      <c r="T23" s="16" t="s">
        <v>25</v>
      </c>
      <c r="U23" s="16" t="s">
        <v>36</v>
      </c>
      <c r="V23" s="16" t="s">
        <v>74</v>
      </c>
      <c r="W23" s="17" t="s">
        <v>28</v>
      </c>
      <c r="X23" s="17" t="s">
        <v>28</v>
      </c>
      <c r="Y23" s="16" t="s">
        <v>36</v>
      </c>
      <c r="Z23" s="16" t="s">
        <v>28</v>
      </c>
      <c r="AA23" s="12" t="s">
        <v>32</v>
      </c>
    </row>
    <row r="24" customFormat="false" ht="15.75" hidden="false" customHeight="false" outlineLevel="0" collapsed="false">
      <c r="A24" s="13" t="n">
        <v>7964</v>
      </c>
      <c r="B24" s="14" t="n">
        <v>45432</v>
      </c>
      <c r="C24" s="16" t="s">
        <v>41</v>
      </c>
      <c r="D24" s="16" t="s">
        <v>24</v>
      </c>
      <c r="E24" s="16" t="s">
        <v>25</v>
      </c>
      <c r="F24" s="16" t="s">
        <v>737</v>
      </c>
      <c r="G24" s="16" t="s">
        <v>735</v>
      </c>
      <c r="H24" s="17" t="s">
        <v>28</v>
      </c>
      <c r="I24" s="16"/>
      <c r="J24" s="16" t="s">
        <v>28</v>
      </c>
      <c r="K24" s="16" t="s">
        <v>36</v>
      </c>
      <c r="L24" s="16" t="s">
        <v>36</v>
      </c>
      <c r="M24" s="16" t="s">
        <v>36</v>
      </c>
      <c r="N24" s="16" t="s">
        <v>736</v>
      </c>
      <c r="O24" s="16" t="s">
        <v>36</v>
      </c>
      <c r="P24" s="16"/>
      <c r="Q24" s="16" t="s">
        <v>28</v>
      </c>
      <c r="R24" s="16" t="s">
        <v>28</v>
      </c>
      <c r="S24" s="16" t="s">
        <v>36</v>
      </c>
      <c r="T24" s="16" t="s">
        <v>25</v>
      </c>
      <c r="U24" s="16" t="s">
        <v>36</v>
      </c>
      <c r="V24" s="16" t="s">
        <v>58</v>
      </c>
      <c r="W24" s="17" t="s">
        <v>28</v>
      </c>
      <c r="X24" s="17" t="s">
        <v>28</v>
      </c>
      <c r="Y24" s="16" t="s">
        <v>36</v>
      </c>
      <c r="Z24" s="16" t="s">
        <v>28</v>
      </c>
      <c r="AA24" s="12" t="s">
        <v>32</v>
      </c>
    </row>
    <row r="25" customFormat="false" ht="15.75" hidden="false" customHeight="false" outlineLevel="0" collapsed="false">
      <c r="A25" s="13" t="n">
        <v>7965</v>
      </c>
      <c r="B25" s="14" t="n">
        <v>45434</v>
      </c>
      <c r="C25" s="16" t="s">
        <v>41</v>
      </c>
      <c r="D25" s="16" t="s">
        <v>24</v>
      </c>
      <c r="E25" s="16" t="s">
        <v>25</v>
      </c>
      <c r="F25" s="16" t="s">
        <v>738</v>
      </c>
      <c r="G25" s="16" t="s">
        <v>739</v>
      </c>
      <c r="H25" s="17" t="s">
        <v>28</v>
      </c>
      <c r="I25" s="16"/>
      <c r="J25" s="16" t="s">
        <v>28</v>
      </c>
      <c r="K25" s="16" t="s">
        <v>36</v>
      </c>
      <c r="L25" s="16" t="s">
        <v>36</v>
      </c>
      <c r="M25" s="16" t="s">
        <v>36</v>
      </c>
      <c r="N25" s="16" t="s">
        <v>740</v>
      </c>
      <c r="O25" s="16" t="s">
        <v>36</v>
      </c>
      <c r="P25" s="16"/>
      <c r="Q25" s="16" t="s">
        <v>28</v>
      </c>
      <c r="R25" s="16" t="s">
        <v>28</v>
      </c>
      <c r="S25" s="16" t="s">
        <v>36</v>
      </c>
      <c r="T25" s="16" t="s">
        <v>25</v>
      </c>
      <c r="U25" s="16" t="s">
        <v>36</v>
      </c>
      <c r="V25" s="16" t="s">
        <v>74</v>
      </c>
      <c r="W25" s="17" t="s">
        <v>28</v>
      </c>
      <c r="X25" s="17" t="s">
        <v>28</v>
      </c>
      <c r="Y25" s="16" t="s">
        <v>36</v>
      </c>
      <c r="Z25" s="16" t="s">
        <v>28</v>
      </c>
      <c r="AA25" s="12" t="s">
        <v>32</v>
      </c>
    </row>
    <row r="26" customFormat="false" ht="15.75" hidden="false" customHeight="false" outlineLevel="0" collapsed="false">
      <c r="A26" s="24" t="n">
        <v>7966</v>
      </c>
      <c r="B26" s="14" t="n">
        <v>45434</v>
      </c>
      <c r="C26" s="25" t="s">
        <v>41</v>
      </c>
      <c r="D26" s="16" t="s">
        <v>24</v>
      </c>
      <c r="E26" s="25" t="s">
        <v>25</v>
      </c>
      <c r="F26" s="25" t="s">
        <v>738</v>
      </c>
      <c r="G26" s="16" t="s">
        <v>739</v>
      </c>
      <c r="H26" s="17" t="s">
        <v>28</v>
      </c>
      <c r="I26" s="16"/>
      <c r="J26" s="16" t="s">
        <v>28</v>
      </c>
      <c r="K26" s="16" t="s">
        <v>36</v>
      </c>
      <c r="L26" s="16" t="s">
        <v>36</v>
      </c>
      <c r="M26" s="16" t="s">
        <v>36</v>
      </c>
      <c r="N26" s="16" t="s">
        <v>740</v>
      </c>
      <c r="O26" s="16" t="s">
        <v>36</v>
      </c>
      <c r="P26" s="16"/>
      <c r="Q26" s="16" t="s">
        <v>28</v>
      </c>
      <c r="R26" s="16" t="s">
        <v>28</v>
      </c>
      <c r="S26" s="16" t="s">
        <v>36</v>
      </c>
      <c r="T26" s="16" t="s">
        <v>25</v>
      </c>
      <c r="U26" s="16" t="s">
        <v>36</v>
      </c>
      <c r="V26" s="16" t="s">
        <v>58</v>
      </c>
      <c r="W26" s="17" t="s">
        <v>28</v>
      </c>
      <c r="X26" s="17" t="s">
        <v>28</v>
      </c>
      <c r="Y26" s="16" t="s">
        <v>29</v>
      </c>
      <c r="Z26" s="16" t="s">
        <v>28</v>
      </c>
      <c r="AA26" s="12" t="s">
        <v>32</v>
      </c>
    </row>
    <row r="27" customFormat="false" ht="15.75" hidden="false" customHeight="false" outlineLevel="0" collapsed="false">
      <c r="A27" s="13" t="n">
        <v>7967</v>
      </c>
      <c r="B27" s="14" t="n">
        <v>45436</v>
      </c>
      <c r="C27" s="16" t="s">
        <v>82</v>
      </c>
      <c r="D27" s="16" t="s">
        <v>24</v>
      </c>
      <c r="E27" s="25" t="s">
        <v>34</v>
      </c>
      <c r="F27" s="16" t="s">
        <v>741</v>
      </c>
      <c r="G27" s="16" t="s">
        <v>36</v>
      </c>
      <c r="H27" s="16" t="s">
        <v>37</v>
      </c>
      <c r="I27" s="16"/>
      <c r="J27" s="16" t="s">
        <v>37</v>
      </c>
      <c r="K27" s="16" t="s">
        <v>36</v>
      </c>
      <c r="L27" s="16" t="s">
        <v>36</v>
      </c>
      <c r="M27" s="16" t="s">
        <v>36</v>
      </c>
      <c r="N27" s="16" t="s">
        <v>36</v>
      </c>
      <c r="O27" s="16" t="s">
        <v>36</v>
      </c>
      <c r="P27" s="16"/>
      <c r="Q27" s="16" t="s">
        <v>37</v>
      </c>
      <c r="R27" s="16" t="s">
        <v>37</v>
      </c>
      <c r="S27" s="16" t="s">
        <v>36</v>
      </c>
      <c r="T27" s="16" t="s">
        <v>36</v>
      </c>
      <c r="U27" s="16" t="s">
        <v>36</v>
      </c>
      <c r="V27" s="16" t="s">
        <v>37</v>
      </c>
      <c r="W27" s="16" t="s">
        <v>37</v>
      </c>
      <c r="X27" s="16" t="s">
        <v>37</v>
      </c>
      <c r="Y27" s="16" t="s">
        <v>29</v>
      </c>
      <c r="Z27" s="16" t="s">
        <v>28</v>
      </c>
      <c r="AA27" s="12" t="s">
        <v>32</v>
      </c>
    </row>
    <row r="28" customFormat="false" ht="15.75" hidden="false" customHeight="false" outlineLevel="0" collapsed="false">
      <c r="A28" s="13" t="n">
        <v>7968</v>
      </c>
      <c r="B28" s="14" t="n">
        <v>45436</v>
      </c>
      <c r="C28" s="16" t="s">
        <v>82</v>
      </c>
      <c r="D28" s="16" t="s">
        <v>24</v>
      </c>
      <c r="E28" s="16" t="s">
        <v>34</v>
      </c>
      <c r="F28" s="16" t="s">
        <v>741</v>
      </c>
      <c r="G28" s="16" t="s">
        <v>36</v>
      </c>
      <c r="H28" s="16" t="s">
        <v>37</v>
      </c>
      <c r="I28" s="16"/>
      <c r="J28" s="16" t="s">
        <v>37</v>
      </c>
      <c r="K28" s="16" t="s">
        <v>36</v>
      </c>
      <c r="L28" s="16" t="s">
        <v>36</v>
      </c>
      <c r="M28" s="16" t="s">
        <v>36</v>
      </c>
      <c r="N28" s="16" t="s">
        <v>36</v>
      </c>
      <c r="O28" s="16" t="s">
        <v>36</v>
      </c>
      <c r="P28" s="16"/>
      <c r="Q28" s="16" t="s">
        <v>37</v>
      </c>
      <c r="R28" s="16" t="s">
        <v>37</v>
      </c>
      <c r="S28" s="16" t="s">
        <v>36</v>
      </c>
      <c r="T28" s="16" t="s">
        <v>36</v>
      </c>
      <c r="U28" s="16" t="s">
        <v>36</v>
      </c>
      <c r="V28" s="16" t="s">
        <v>37</v>
      </c>
      <c r="W28" s="16" t="s">
        <v>37</v>
      </c>
      <c r="X28" s="16" t="s">
        <v>37</v>
      </c>
      <c r="Y28" s="16" t="s">
        <v>29</v>
      </c>
      <c r="Z28" s="16" t="s">
        <v>28</v>
      </c>
      <c r="AA28" s="12" t="s">
        <v>32</v>
      </c>
    </row>
    <row r="29" customFormat="false" ht="15.75" hidden="false" customHeight="false" outlineLevel="0" collapsed="false">
      <c r="A29" s="13" t="n">
        <v>7969</v>
      </c>
      <c r="B29" s="14" t="n">
        <v>45439</v>
      </c>
      <c r="C29" s="16" t="s">
        <v>23</v>
      </c>
      <c r="D29" s="16" t="s">
        <v>24</v>
      </c>
      <c r="E29" s="16" t="s">
        <v>25</v>
      </c>
      <c r="F29" s="16" t="s">
        <v>742</v>
      </c>
      <c r="G29" s="16" t="s">
        <v>36</v>
      </c>
      <c r="H29" s="17" t="s">
        <v>28</v>
      </c>
      <c r="I29" s="16"/>
      <c r="J29" s="16" t="s">
        <v>28</v>
      </c>
      <c r="K29" s="16" t="s">
        <v>36</v>
      </c>
      <c r="L29" s="16" t="s">
        <v>36</v>
      </c>
      <c r="M29" s="16" t="s">
        <v>36</v>
      </c>
      <c r="N29" s="16" t="s">
        <v>36</v>
      </c>
      <c r="O29" s="16" t="s">
        <v>36</v>
      </c>
      <c r="P29" s="16"/>
      <c r="Q29" s="16" t="s">
        <v>37</v>
      </c>
      <c r="R29" s="16" t="s">
        <v>37</v>
      </c>
      <c r="S29" s="16" t="s">
        <v>36</v>
      </c>
      <c r="T29" s="16" t="s">
        <v>36</v>
      </c>
      <c r="U29" s="16" t="s">
        <v>36</v>
      </c>
      <c r="V29" s="16" t="s">
        <v>37</v>
      </c>
      <c r="W29" s="16" t="s">
        <v>37</v>
      </c>
      <c r="X29" s="16" t="s">
        <v>37</v>
      </c>
      <c r="Y29" s="16" t="s">
        <v>29</v>
      </c>
      <c r="Z29" s="16" t="s">
        <v>28</v>
      </c>
      <c r="AA29" s="12" t="s">
        <v>32</v>
      </c>
    </row>
    <row r="30" customFormat="false" ht="15.75" hidden="false" customHeight="false" outlineLevel="0" collapsed="false">
      <c r="A30" s="13" t="n">
        <v>7970</v>
      </c>
      <c r="B30" s="14" t="n">
        <v>45440</v>
      </c>
      <c r="C30" s="16" t="s">
        <v>743</v>
      </c>
      <c r="D30" s="16" t="s">
        <v>24</v>
      </c>
      <c r="E30" s="16" t="s">
        <v>25</v>
      </c>
      <c r="F30" s="16" t="s">
        <v>744</v>
      </c>
      <c r="G30" s="16" t="s">
        <v>745</v>
      </c>
      <c r="H30" s="17" t="s">
        <v>28</v>
      </c>
      <c r="I30" s="16"/>
      <c r="J30" s="16" t="s">
        <v>28</v>
      </c>
      <c r="K30" s="16" t="s">
        <v>36</v>
      </c>
      <c r="L30" s="16" t="s">
        <v>36</v>
      </c>
      <c r="M30" s="16" t="s">
        <v>36</v>
      </c>
      <c r="N30" s="16" t="n">
        <v>15050</v>
      </c>
      <c r="O30" s="16" t="s">
        <v>36</v>
      </c>
      <c r="P30" s="16"/>
      <c r="Q30" s="16" t="s">
        <v>37</v>
      </c>
      <c r="R30" s="16" t="s">
        <v>37</v>
      </c>
      <c r="S30" s="16" t="s">
        <v>36</v>
      </c>
      <c r="T30" s="16" t="s">
        <v>36</v>
      </c>
      <c r="U30" s="16" t="s">
        <v>36</v>
      </c>
      <c r="V30" s="16" t="s">
        <v>37</v>
      </c>
      <c r="W30" s="16" t="s">
        <v>37</v>
      </c>
      <c r="X30" s="16" t="s">
        <v>37</v>
      </c>
      <c r="Y30" s="16" t="s">
        <v>29</v>
      </c>
      <c r="Z30" s="16" t="s">
        <v>28</v>
      </c>
      <c r="AA30" s="12" t="s">
        <v>156</v>
      </c>
    </row>
    <row r="31" customFormat="false" ht="15.75" hidden="false" customHeight="false" outlineLevel="0" collapsed="false">
      <c r="A31" s="13" t="n">
        <v>7971</v>
      </c>
      <c r="B31" s="14" t="n">
        <v>45440</v>
      </c>
      <c r="C31" s="16" t="s">
        <v>746</v>
      </c>
      <c r="D31" s="16" t="s">
        <v>24</v>
      </c>
      <c r="E31" s="16" t="s">
        <v>25</v>
      </c>
      <c r="F31" s="16" t="s">
        <v>127</v>
      </c>
      <c r="G31" s="16" t="s">
        <v>747</v>
      </c>
      <c r="H31" s="17" t="s">
        <v>28</v>
      </c>
      <c r="I31" s="16"/>
      <c r="J31" s="16" t="s">
        <v>28</v>
      </c>
      <c r="K31" s="16" t="n">
        <v>30507785316</v>
      </c>
      <c r="L31" s="16" t="n">
        <v>1150412268</v>
      </c>
      <c r="M31" s="16" t="s">
        <v>748</v>
      </c>
      <c r="N31" s="16" t="s">
        <v>36</v>
      </c>
      <c r="O31" s="16" t="s">
        <v>36</v>
      </c>
      <c r="P31" s="16"/>
      <c r="Q31" s="16" t="s">
        <v>28</v>
      </c>
      <c r="R31" s="17" t="s">
        <v>28</v>
      </c>
      <c r="S31" s="16" t="s">
        <v>73</v>
      </c>
      <c r="T31" s="16" t="s">
        <v>626</v>
      </c>
      <c r="U31" s="16" t="s">
        <v>36</v>
      </c>
      <c r="V31" s="16"/>
      <c r="W31" s="16"/>
      <c r="X31" s="16"/>
      <c r="Y31" s="16" t="s">
        <v>29</v>
      </c>
      <c r="Z31" s="16" t="s">
        <v>28</v>
      </c>
      <c r="AA31" s="12" t="s">
        <v>156</v>
      </c>
    </row>
    <row r="32" customFormat="false" ht="15.75" hidden="false" customHeight="false" outlineLevel="0" collapsed="false">
      <c r="A32" s="44" t="n">
        <v>1973042</v>
      </c>
      <c r="B32" s="14" t="n">
        <v>45441</v>
      </c>
      <c r="C32" s="16" t="s">
        <v>571</v>
      </c>
      <c r="D32" s="16" t="s">
        <v>290</v>
      </c>
      <c r="E32" s="16" t="s">
        <v>25</v>
      </c>
      <c r="F32" s="16" t="s">
        <v>749</v>
      </c>
      <c r="G32" s="16" t="s">
        <v>750</v>
      </c>
      <c r="H32" s="17" t="s">
        <v>28</v>
      </c>
      <c r="I32" s="16"/>
      <c r="J32" s="16" t="s">
        <v>28</v>
      </c>
      <c r="K32" s="16" t="s">
        <v>36</v>
      </c>
      <c r="L32" s="16" t="s">
        <v>36</v>
      </c>
      <c r="M32" s="16" t="s">
        <v>36</v>
      </c>
      <c r="N32" s="16" t="s">
        <v>36</v>
      </c>
      <c r="O32" s="16" t="s">
        <v>36</v>
      </c>
      <c r="P32" s="16"/>
      <c r="Q32" s="16" t="s">
        <v>28</v>
      </c>
      <c r="R32" s="16" t="s">
        <v>28</v>
      </c>
      <c r="S32" s="16" t="s">
        <v>36</v>
      </c>
      <c r="T32" s="16" t="s">
        <v>30</v>
      </c>
      <c r="U32" s="16" t="s">
        <v>36</v>
      </c>
      <c r="V32" s="16" t="s">
        <v>74</v>
      </c>
      <c r="W32" s="17" t="s">
        <v>28</v>
      </c>
      <c r="X32" s="16" t="s">
        <v>37</v>
      </c>
      <c r="Y32" s="16" t="s">
        <v>751</v>
      </c>
      <c r="Z32" s="16" t="s">
        <v>28</v>
      </c>
      <c r="AA32" s="12" t="s">
        <v>32</v>
      </c>
    </row>
    <row r="33" customFormat="false" ht="15.75" hidden="false" customHeight="false" outlineLevel="0" collapsed="false">
      <c r="A33" s="13" t="n">
        <v>7972</v>
      </c>
      <c r="B33" s="14" t="n">
        <v>45441</v>
      </c>
      <c r="C33" s="16" t="s">
        <v>571</v>
      </c>
      <c r="D33" s="16" t="s">
        <v>24</v>
      </c>
      <c r="E33" s="16" t="s">
        <v>25</v>
      </c>
      <c r="F33" s="16" t="s">
        <v>752</v>
      </c>
      <c r="G33" s="16" t="s">
        <v>750</v>
      </c>
      <c r="H33" s="17" t="s">
        <v>28</v>
      </c>
      <c r="I33" s="16"/>
      <c r="J33" s="16" t="s">
        <v>28</v>
      </c>
      <c r="K33" s="16" t="s">
        <v>36</v>
      </c>
      <c r="L33" s="16" t="s">
        <v>36</v>
      </c>
      <c r="M33" s="16" t="s">
        <v>36</v>
      </c>
      <c r="N33" s="16" t="s">
        <v>36</v>
      </c>
      <c r="O33" s="16" t="s">
        <v>36</v>
      </c>
      <c r="P33" s="16"/>
      <c r="Q33" s="16" t="s">
        <v>28</v>
      </c>
      <c r="R33" s="17" t="s">
        <v>28</v>
      </c>
      <c r="S33" s="16" t="s">
        <v>36</v>
      </c>
      <c r="T33" s="16" t="s">
        <v>30</v>
      </c>
      <c r="U33" s="16" t="s">
        <v>36</v>
      </c>
      <c r="V33" s="16" t="s">
        <v>74</v>
      </c>
      <c r="W33" s="17" t="s">
        <v>28</v>
      </c>
      <c r="X33" s="17" t="s">
        <v>28</v>
      </c>
      <c r="Y33" s="16" t="s">
        <v>29</v>
      </c>
      <c r="Z33" s="16" t="s">
        <v>28</v>
      </c>
      <c r="AA33" s="12" t="s">
        <v>32</v>
      </c>
    </row>
    <row r="34" customFormat="false" ht="15.75" hidden="false" customHeight="false" outlineLevel="0" collapsed="false">
      <c r="A34" s="13" t="n">
        <v>7973</v>
      </c>
      <c r="B34" s="14" t="n">
        <v>45441</v>
      </c>
      <c r="C34" s="16" t="s">
        <v>571</v>
      </c>
      <c r="D34" s="16" t="s">
        <v>24</v>
      </c>
      <c r="E34" s="16" t="s">
        <v>25</v>
      </c>
      <c r="F34" s="16" t="s">
        <v>753</v>
      </c>
      <c r="G34" s="16" t="s">
        <v>750</v>
      </c>
      <c r="H34" s="17" t="s">
        <v>28</v>
      </c>
      <c r="I34" s="16"/>
      <c r="J34" s="16" t="s">
        <v>28</v>
      </c>
      <c r="K34" s="16" t="s">
        <v>36</v>
      </c>
      <c r="L34" s="16" t="s">
        <v>36</v>
      </c>
      <c r="M34" s="16" t="s">
        <v>36</v>
      </c>
      <c r="N34" s="16" t="s">
        <v>36</v>
      </c>
      <c r="O34" s="16" t="s">
        <v>36</v>
      </c>
      <c r="P34" s="16"/>
      <c r="Q34" s="16" t="s">
        <v>28</v>
      </c>
      <c r="R34" s="17" t="s">
        <v>28</v>
      </c>
      <c r="S34" s="16" t="s">
        <v>36</v>
      </c>
      <c r="T34" s="16" t="s">
        <v>30</v>
      </c>
      <c r="U34" s="16" t="s">
        <v>36</v>
      </c>
      <c r="V34" s="16" t="s">
        <v>58</v>
      </c>
      <c r="W34" s="17" t="s">
        <v>28</v>
      </c>
      <c r="X34" s="17" t="s">
        <v>28</v>
      </c>
      <c r="Y34" s="16" t="s">
        <v>29</v>
      </c>
      <c r="Z34" s="16" t="s">
        <v>28</v>
      </c>
      <c r="AA34" s="12" t="s">
        <v>32</v>
      </c>
    </row>
    <row r="35" customFormat="false" ht="15.75" hidden="false" customHeight="false" outlineLevel="0" collapsed="false">
      <c r="A35" s="13" t="n">
        <v>7974</v>
      </c>
      <c r="B35" s="14" t="n">
        <v>45441</v>
      </c>
      <c r="C35" s="16" t="s">
        <v>571</v>
      </c>
      <c r="D35" s="16" t="s">
        <v>24</v>
      </c>
      <c r="E35" s="16" t="s">
        <v>25</v>
      </c>
      <c r="F35" s="16" t="s">
        <v>754</v>
      </c>
      <c r="G35" s="16" t="s">
        <v>755</v>
      </c>
      <c r="H35" s="17" t="s">
        <v>28</v>
      </c>
      <c r="I35" s="16"/>
      <c r="J35" s="16" t="s">
        <v>28</v>
      </c>
      <c r="K35" s="16" t="s">
        <v>36</v>
      </c>
      <c r="L35" s="16" t="s">
        <v>36</v>
      </c>
      <c r="M35" s="16" t="s">
        <v>36</v>
      </c>
      <c r="N35" s="16" t="s">
        <v>36</v>
      </c>
      <c r="O35" s="16" t="s">
        <v>36</v>
      </c>
      <c r="P35" s="16"/>
      <c r="Q35" s="16" t="s">
        <v>28</v>
      </c>
      <c r="R35" s="17" t="s">
        <v>28</v>
      </c>
      <c r="S35" s="16" t="s">
        <v>36</v>
      </c>
      <c r="T35" s="16" t="s">
        <v>30</v>
      </c>
      <c r="U35" s="16" t="s">
        <v>36</v>
      </c>
      <c r="V35" s="16" t="s">
        <v>58</v>
      </c>
      <c r="W35" s="17" t="s">
        <v>28</v>
      </c>
      <c r="X35" s="17" t="s">
        <v>28</v>
      </c>
      <c r="Y35" s="16" t="s">
        <v>29</v>
      </c>
      <c r="Z35" s="16" t="s">
        <v>28</v>
      </c>
      <c r="AA35" s="12" t="s">
        <v>32</v>
      </c>
    </row>
    <row r="36" customFormat="false" ht="15.75" hidden="false" customHeight="false" outlineLevel="0" collapsed="false">
      <c r="A36" s="13" t="n">
        <v>7975</v>
      </c>
      <c r="B36" s="14" t="n">
        <v>45075</v>
      </c>
      <c r="C36" s="20" t="s">
        <v>571</v>
      </c>
      <c r="D36" s="16" t="s">
        <v>24</v>
      </c>
      <c r="E36" s="16" t="s">
        <v>25</v>
      </c>
      <c r="F36" s="16" t="s">
        <v>756</v>
      </c>
      <c r="G36" s="16" t="s">
        <v>757</v>
      </c>
      <c r="H36" s="17" t="s">
        <v>28</v>
      </c>
      <c r="I36" s="16"/>
      <c r="J36" s="16" t="s">
        <v>28</v>
      </c>
      <c r="K36" s="16" t="s">
        <v>36</v>
      </c>
      <c r="L36" s="16" t="s">
        <v>36</v>
      </c>
      <c r="M36" s="16" t="s">
        <v>36</v>
      </c>
      <c r="N36" s="16" t="s">
        <v>36</v>
      </c>
      <c r="O36" s="16" t="s">
        <v>36</v>
      </c>
      <c r="P36" s="16"/>
      <c r="Q36" s="16" t="s">
        <v>28</v>
      </c>
      <c r="R36" s="17" t="s">
        <v>28</v>
      </c>
      <c r="S36" s="16" t="s">
        <v>214</v>
      </c>
      <c r="T36" s="16" t="s">
        <v>30</v>
      </c>
      <c r="U36" s="16" t="s">
        <v>36</v>
      </c>
      <c r="V36" s="16" t="s">
        <v>58</v>
      </c>
      <c r="W36" s="17" t="s">
        <v>28</v>
      </c>
      <c r="X36" s="17" t="s">
        <v>28</v>
      </c>
      <c r="Y36" s="16" t="s">
        <v>29</v>
      </c>
      <c r="Z36" s="16" t="s">
        <v>28</v>
      </c>
      <c r="AA36" s="12" t="s">
        <v>32</v>
      </c>
    </row>
    <row r="37" customFormat="false" ht="15.75" hidden="false" customHeight="false" outlineLevel="0" collapsed="false">
      <c r="A37" s="13" t="n">
        <v>7976</v>
      </c>
      <c r="B37" s="14" t="n">
        <v>45441</v>
      </c>
      <c r="C37" s="15" t="s">
        <v>571</v>
      </c>
      <c r="D37" s="16" t="s">
        <v>24</v>
      </c>
      <c r="E37" s="16" t="s">
        <v>25</v>
      </c>
      <c r="F37" s="16" t="s">
        <v>758</v>
      </c>
      <c r="G37" s="16" t="s">
        <v>757</v>
      </c>
      <c r="H37" s="17" t="s">
        <v>28</v>
      </c>
      <c r="I37" s="16"/>
      <c r="J37" s="16" t="s">
        <v>28</v>
      </c>
      <c r="K37" s="16" t="s">
        <v>36</v>
      </c>
      <c r="L37" s="16" t="s">
        <v>36</v>
      </c>
      <c r="M37" s="16" t="s">
        <v>36</v>
      </c>
      <c r="N37" s="16" t="s">
        <v>36</v>
      </c>
      <c r="O37" s="16" t="s">
        <v>36</v>
      </c>
      <c r="P37" s="16"/>
      <c r="Q37" s="16" t="s">
        <v>28</v>
      </c>
      <c r="R37" s="17" t="s">
        <v>28</v>
      </c>
      <c r="S37" s="16" t="s">
        <v>759</v>
      </c>
      <c r="T37" s="16" t="s">
        <v>30</v>
      </c>
      <c r="U37" s="16" t="s">
        <v>36</v>
      </c>
      <c r="V37" s="16" t="s">
        <v>58</v>
      </c>
      <c r="W37" s="17" t="s">
        <v>28</v>
      </c>
      <c r="X37" s="17" t="s">
        <v>28</v>
      </c>
      <c r="Y37" s="16" t="s">
        <v>29</v>
      </c>
      <c r="Z37" s="16" t="s">
        <v>28</v>
      </c>
      <c r="AA37" s="12" t="s">
        <v>32</v>
      </c>
    </row>
    <row r="38" customFormat="false" ht="15.75" hidden="false" customHeight="false" outlineLevel="0" collapsed="false">
      <c r="A38" s="13" t="n">
        <v>7977</v>
      </c>
      <c r="B38" s="14" t="n">
        <v>45441</v>
      </c>
      <c r="C38" s="15" t="s">
        <v>760</v>
      </c>
      <c r="D38" s="16" t="s">
        <v>24</v>
      </c>
      <c r="E38" s="16" t="s">
        <v>34</v>
      </c>
      <c r="F38" s="16" t="s">
        <v>761</v>
      </c>
      <c r="G38" s="16" t="s">
        <v>36</v>
      </c>
      <c r="H38" s="16" t="s">
        <v>37</v>
      </c>
      <c r="I38" s="16"/>
      <c r="J38" s="16" t="s">
        <v>28</v>
      </c>
      <c r="K38" s="16" t="s">
        <v>36</v>
      </c>
      <c r="L38" s="16" t="s">
        <v>36</v>
      </c>
      <c r="M38" s="16" t="s">
        <v>36</v>
      </c>
      <c r="N38" s="16" t="s">
        <v>36</v>
      </c>
      <c r="O38" s="16" t="s">
        <v>36</v>
      </c>
      <c r="P38" s="18"/>
      <c r="Q38" s="16" t="s">
        <v>37</v>
      </c>
      <c r="R38" s="16" t="s">
        <v>37</v>
      </c>
      <c r="S38" s="16" t="s">
        <v>36</v>
      </c>
      <c r="T38" s="16" t="s">
        <v>36</v>
      </c>
      <c r="U38" s="16" t="s">
        <v>36</v>
      </c>
      <c r="V38" s="16" t="s">
        <v>37</v>
      </c>
      <c r="W38" s="16" t="s">
        <v>37</v>
      </c>
      <c r="X38" s="16" t="s">
        <v>37</v>
      </c>
      <c r="Y38" s="16" t="s">
        <v>29</v>
      </c>
      <c r="Z38" s="16" t="s">
        <v>28</v>
      </c>
      <c r="AA38" s="12" t="s">
        <v>156</v>
      </c>
    </row>
    <row r="39" customFormat="false" ht="15.75" hidden="false" customHeight="false" outlineLevel="0" collapsed="false">
      <c r="A39" s="13" t="n">
        <v>7978</v>
      </c>
      <c r="B39" s="14" t="n">
        <v>45442</v>
      </c>
      <c r="C39" s="21" t="s">
        <v>762</v>
      </c>
      <c r="D39" s="16" t="s">
        <v>24</v>
      </c>
      <c r="E39" s="16" t="s">
        <v>34</v>
      </c>
      <c r="F39" s="16" t="s">
        <v>119</v>
      </c>
      <c r="G39" s="16" t="s">
        <v>36</v>
      </c>
      <c r="H39" s="16" t="s">
        <v>37</v>
      </c>
      <c r="I39" s="16"/>
      <c r="J39" s="16" t="s">
        <v>37</v>
      </c>
      <c r="K39" s="16" t="s">
        <v>36</v>
      </c>
      <c r="L39" s="16" t="s">
        <v>36</v>
      </c>
      <c r="M39" s="16" t="s">
        <v>36</v>
      </c>
      <c r="N39" s="16" t="s">
        <v>36</v>
      </c>
      <c r="O39" s="16" t="s">
        <v>36</v>
      </c>
      <c r="P39" s="18"/>
      <c r="Q39" s="16" t="s">
        <v>37</v>
      </c>
      <c r="R39" s="16" t="s">
        <v>37</v>
      </c>
      <c r="S39" s="16" t="s">
        <v>36</v>
      </c>
      <c r="T39" s="16" t="s">
        <v>36</v>
      </c>
      <c r="U39" s="16" t="s">
        <v>36</v>
      </c>
      <c r="V39" s="16" t="s">
        <v>37</v>
      </c>
      <c r="W39" s="16" t="s">
        <v>37</v>
      </c>
      <c r="X39" s="16" t="s">
        <v>37</v>
      </c>
      <c r="Y39" s="16" t="s">
        <v>29</v>
      </c>
      <c r="Z39" s="16" t="s">
        <v>28</v>
      </c>
      <c r="AA39" s="12" t="s">
        <v>32</v>
      </c>
    </row>
    <row r="40" customFormat="false" ht="15.75" hidden="false" customHeight="false" outlineLevel="0" collapsed="false">
      <c r="A40" s="13" t="n">
        <v>7979</v>
      </c>
      <c r="B40" s="22" t="n">
        <v>45442</v>
      </c>
      <c r="C40" s="16" t="s">
        <v>176</v>
      </c>
      <c r="D40" s="16" t="s">
        <v>24</v>
      </c>
      <c r="E40" s="16" t="s">
        <v>25</v>
      </c>
      <c r="F40" s="16" t="s">
        <v>763</v>
      </c>
      <c r="G40" s="16" t="s">
        <v>764</v>
      </c>
      <c r="H40" s="17" t="s">
        <v>28</v>
      </c>
      <c r="I40" s="16"/>
      <c r="J40" s="17" t="s">
        <v>28</v>
      </c>
      <c r="K40" s="16" t="s">
        <v>36</v>
      </c>
      <c r="L40" s="16" t="s">
        <v>36</v>
      </c>
      <c r="M40" s="16" t="s">
        <v>36</v>
      </c>
      <c r="N40" s="16" t="n">
        <v>8791</v>
      </c>
      <c r="O40" s="16" t="s">
        <v>36</v>
      </c>
      <c r="P40" s="18"/>
      <c r="Q40" s="16" t="s">
        <v>37</v>
      </c>
      <c r="R40" s="16" t="s">
        <v>37</v>
      </c>
      <c r="S40" s="16" t="s">
        <v>36</v>
      </c>
      <c r="T40" s="16" t="s">
        <v>36</v>
      </c>
      <c r="U40" s="16" t="s">
        <v>36</v>
      </c>
      <c r="V40" s="16" t="s">
        <v>37</v>
      </c>
      <c r="W40" s="16" t="s">
        <v>37</v>
      </c>
      <c r="X40" s="16" t="s">
        <v>37</v>
      </c>
      <c r="Y40" s="16" t="s">
        <v>29</v>
      </c>
      <c r="Z40" s="16" t="s">
        <v>28</v>
      </c>
      <c r="AA40" s="12" t="s">
        <v>32</v>
      </c>
    </row>
    <row r="41" customFormat="false" ht="15.75" hidden="false" customHeight="false" outlineLevel="0" collapsed="false">
      <c r="A41" s="13" t="n">
        <v>7980</v>
      </c>
      <c r="B41" s="14" t="n">
        <v>45443</v>
      </c>
      <c r="C41" s="16" t="s">
        <v>571</v>
      </c>
      <c r="D41" s="16" t="s">
        <v>24</v>
      </c>
      <c r="E41" s="16" t="s">
        <v>25</v>
      </c>
      <c r="F41" s="16" t="s">
        <v>572</v>
      </c>
      <c r="G41" s="16" t="s">
        <v>750</v>
      </c>
      <c r="H41" s="17" t="s">
        <v>28</v>
      </c>
      <c r="I41" s="16"/>
      <c r="J41" s="16" t="s">
        <v>28</v>
      </c>
      <c r="K41" s="16" t="s">
        <v>36</v>
      </c>
      <c r="L41" s="16" t="s">
        <v>36</v>
      </c>
      <c r="M41" s="16" t="s">
        <v>36</v>
      </c>
      <c r="N41" s="16" t="n">
        <v>2076</v>
      </c>
      <c r="O41" s="16" t="s">
        <v>36</v>
      </c>
      <c r="P41" s="16"/>
      <c r="Q41" s="16" t="s">
        <v>28</v>
      </c>
      <c r="R41" s="16" t="s">
        <v>28</v>
      </c>
      <c r="S41" s="16" t="s">
        <v>36</v>
      </c>
      <c r="T41" s="16" t="s">
        <v>30</v>
      </c>
      <c r="U41" s="16" t="s">
        <v>36</v>
      </c>
      <c r="V41" s="16" t="s">
        <v>58</v>
      </c>
      <c r="W41" s="16" t="s">
        <v>28</v>
      </c>
      <c r="X41" s="17" t="s">
        <v>28</v>
      </c>
      <c r="Y41" s="16" t="s">
        <v>29</v>
      </c>
      <c r="Z41" s="16" t="s">
        <v>28</v>
      </c>
      <c r="AA41" s="12" t="s">
        <v>32</v>
      </c>
    </row>
    <row r="42" customFormat="false" ht="15.75" hidden="false" customHeight="false" outlineLevel="0" collapsed="false">
      <c r="A42" s="44" t="n">
        <v>4750</v>
      </c>
      <c r="B42" s="14" t="n">
        <v>45443</v>
      </c>
      <c r="C42" s="21" t="s">
        <v>412</v>
      </c>
      <c r="D42" s="16" t="s">
        <v>24</v>
      </c>
      <c r="E42" s="16" t="s">
        <v>25</v>
      </c>
      <c r="F42" s="16" t="s">
        <v>765</v>
      </c>
      <c r="G42" s="16"/>
      <c r="H42" s="16" t="s">
        <v>28</v>
      </c>
      <c r="I42" s="16"/>
      <c r="J42" s="16" t="s">
        <v>28</v>
      </c>
      <c r="K42" s="16" t="s">
        <v>36</v>
      </c>
      <c r="L42" s="16" t="s">
        <v>36</v>
      </c>
      <c r="M42" s="16" t="s">
        <v>36</v>
      </c>
      <c r="N42" s="16" t="n">
        <v>17589</v>
      </c>
      <c r="O42" s="16" t="s">
        <v>36</v>
      </c>
      <c r="P42" s="16"/>
      <c r="Q42" s="16" t="s">
        <v>28</v>
      </c>
      <c r="R42" s="17" t="s">
        <v>28</v>
      </c>
      <c r="S42" s="16"/>
      <c r="T42" s="16" t="s">
        <v>222</v>
      </c>
      <c r="U42" s="16" t="s">
        <v>36</v>
      </c>
      <c r="V42" s="16" t="s">
        <v>74</v>
      </c>
      <c r="W42" s="17" t="s">
        <v>28</v>
      </c>
      <c r="X42" s="17" t="s">
        <v>28</v>
      </c>
      <c r="Y42" s="16" t="s">
        <v>29</v>
      </c>
      <c r="Z42" s="16" t="s">
        <v>28</v>
      </c>
      <c r="AA42" s="12" t="s">
        <v>32</v>
      </c>
    </row>
    <row r="43" customFormat="false" ht="15.75" hidden="false" customHeight="false" outlineLevel="0" collapsed="false">
      <c r="A43" s="13" t="s">
        <v>766</v>
      </c>
      <c r="B43" s="14" t="n">
        <v>45443</v>
      </c>
      <c r="C43" s="15" t="s">
        <v>412</v>
      </c>
      <c r="D43" s="16" t="s">
        <v>290</v>
      </c>
      <c r="E43" s="16" t="s">
        <v>25</v>
      </c>
      <c r="F43" s="16" t="s">
        <v>767</v>
      </c>
      <c r="G43" s="16"/>
      <c r="H43" s="17" t="s">
        <v>28</v>
      </c>
      <c r="I43" s="16"/>
      <c r="J43" s="17" t="s">
        <v>28</v>
      </c>
      <c r="K43" s="16" t="s">
        <v>36</v>
      </c>
      <c r="L43" s="16" t="s">
        <v>36</v>
      </c>
      <c r="M43" s="16" t="s">
        <v>36</v>
      </c>
      <c r="N43" s="16" t="n">
        <v>17589</v>
      </c>
      <c r="O43" s="16" t="s">
        <v>36</v>
      </c>
      <c r="P43" s="16"/>
      <c r="Q43" s="16" t="s">
        <v>28</v>
      </c>
      <c r="R43" s="17" t="s">
        <v>28</v>
      </c>
      <c r="S43" s="16" t="s">
        <v>214</v>
      </c>
      <c r="T43" s="16" t="s">
        <v>30</v>
      </c>
      <c r="U43" s="16" t="s">
        <v>36</v>
      </c>
      <c r="V43" s="16"/>
      <c r="W43" s="16"/>
      <c r="X43" s="16"/>
      <c r="Y43" s="16" t="s">
        <v>29</v>
      </c>
      <c r="Z43" s="16" t="s">
        <v>37</v>
      </c>
      <c r="AA43" s="12" t="s">
        <v>40</v>
      </c>
    </row>
    <row r="44" customFormat="false" ht="15.75" hidden="false" customHeight="false" outlineLevel="0" collapsed="false">
      <c r="A44" s="44" t="n">
        <v>1596477</v>
      </c>
      <c r="B44" s="14" t="n">
        <v>45443</v>
      </c>
      <c r="C44" s="15" t="s">
        <v>768</v>
      </c>
      <c r="D44" s="16" t="s">
        <v>24</v>
      </c>
      <c r="E44" s="16" t="s">
        <v>30</v>
      </c>
      <c r="F44" s="16" t="s">
        <v>600</v>
      </c>
      <c r="G44" s="16" t="s">
        <v>769</v>
      </c>
      <c r="H44" s="17" t="s">
        <v>28</v>
      </c>
      <c r="I44" s="16"/>
      <c r="J44" s="16" t="s">
        <v>28</v>
      </c>
      <c r="K44" s="16" t="s">
        <v>36</v>
      </c>
      <c r="L44" s="16" t="n">
        <v>3516131628</v>
      </c>
      <c r="M44" s="16" t="s">
        <v>770</v>
      </c>
      <c r="N44" s="16"/>
      <c r="O44" s="16" t="s">
        <v>36</v>
      </c>
      <c r="P44" s="18"/>
      <c r="Q44" s="16"/>
      <c r="R44" s="16"/>
      <c r="S44" s="16"/>
      <c r="T44" s="16"/>
      <c r="U44" s="16" t="s">
        <v>36</v>
      </c>
      <c r="V44" s="16"/>
      <c r="W44" s="16"/>
      <c r="X44" s="16"/>
      <c r="Y44" s="16" t="s">
        <v>29</v>
      </c>
      <c r="Z44" s="16" t="s">
        <v>28</v>
      </c>
      <c r="AA44" s="12" t="s">
        <v>48</v>
      </c>
    </row>
    <row r="45" customFormat="false" ht="15.75" hidden="false" customHeight="false" outlineLevel="0" collapsed="false">
      <c r="A45" s="13" t="n">
        <v>7984</v>
      </c>
      <c r="B45" s="14" t="n">
        <v>45443</v>
      </c>
      <c r="C45" s="15" t="s">
        <v>768</v>
      </c>
      <c r="D45" s="16" t="s">
        <v>24</v>
      </c>
      <c r="E45" s="16" t="s">
        <v>30</v>
      </c>
      <c r="F45" s="16" t="s">
        <v>771</v>
      </c>
      <c r="G45" s="16" t="s">
        <v>772</v>
      </c>
      <c r="H45" s="17" t="s">
        <v>28</v>
      </c>
      <c r="I45" s="16"/>
      <c r="J45" s="16" t="s">
        <v>28</v>
      </c>
      <c r="K45" s="16" t="s">
        <v>36</v>
      </c>
      <c r="L45" s="16" t="n">
        <v>3516131628</v>
      </c>
      <c r="M45" s="16" t="s">
        <v>770</v>
      </c>
      <c r="N45" s="16"/>
      <c r="O45" s="16" t="s">
        <v>36</v>
      </c>
      <c r="P45" s="18"/>
      <c r="Q45" s="16" t="s">
        <v>37</v>
      </c>
      <c r="R45" s="16" t="s">
        <v>37</v>
      </c>
      <c r="S45" s="16" t="s">
        <v>36</v>
      </c>
      <c r="T45" s="16" t="s">
        <v>36</v>
      </c>
      <c r="U45" s="16" t="s">
        <v>36</v>
      </c>
      <c r="V45" s="16" t="s">
        <v>37</v>
      </c>
      <c r="W45" s="16" t="s">
        <v>37</v>
      </c>
      <c r="X45" s="16" t="s">
        <v>37</v>
      </c>
      <c r="Y45" s="16" t="s">
        <v>29</v>
      </c>
      <c r="Z45" s="16" t="s">
        <v>37</v>
      </c>
      <c r="AA45" s="12" t="s">
        <v>40</v>
      </c>
    </row>
    <row r="46" customFormat="false" ht="15.75" hidden="false" customHeight="false" outlineLevel="0" collapsed="false">
      <c r="D46" s="16"/>
      <c r="E46" s="16"/>
      <c r="G46" s="16"/>
      <c r="H46" s="16"/>
      <c r="I46" s="16"/>
      <c r="J46" s="16"/>
      <c r="K46" s="16"/>
      <c r="L46" s="16"/>
      <c r="M46" s="16"/>
      <c r="N46" s="16"/>
      <c r="O46" s="16"/>
      <c r="P46" s="18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2"/>
    </row>
    <row r="47" customFormat="false" ht="15.75" hidden="false" customHeight="false" outlineLevel="0" collapsed="false">
      <c r="A47" s="13"/>
      <c r="B47" s="14"/>
      <c r="C47" s="15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2"/>
    </row>
    <row r="48" customFormat="false" ht="15.75" hidden="false" customHeight="false" outlineLevel="0" collapsed="false">
      <c r="A48" s="13"/>
      <c r="B48" s="14"/>
      <c r="C48" s="15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2"/>
    </row>
    <row r="49" customFormat="false" ht="15.75" hidden="false" customHeight="false" outlineLevel="0" collapsed="false">
      <c r="A49" s="13"/>
      <c r="B49" s="14"/>
      <c r="C49" s="15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2"/>
    </row>
    <row r="50" customFormat="false" ht="15.75" hidden="false" customHeight="false" outlineLevel="0" collapsed="false">
      <c r="A50" s="13"/>
      <c r="B50" s="14"/>
      <c r="C50" s="15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2"/>
    </row>
    <row r="51" customFormat="false" ht="15.75" hidden="false" customHeight="false" outlineLevel="0" collapsed="false">
      <c r="A51" s="13"/>
      <c r="B51" s="14"/>
      <c r="C51" s="15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8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2"/>
    </row>
    <row r="52" customFormat="false" ht="15.75" hidden="false" customHeight="false" outlineLevel="0" collapsed="false">
      <c r="A52" s="13"/>
      <c r="B52" s="14"/>
      <c r="C52" s="15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8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2"/>
    </row>
    <row r="53" customFormat="false" ht="15.75" hidden="false" customHeight="false" outlineLevel="0" collapsed="false">
      <c r="A53" s="13"/>
      <c r="B53" s="14"/>
      <c r="C53" s="15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8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2"/>
    </row>
    <row r="54" customFormat="false" ht="15.75" hidden="false" customHeight="false" outlineLevel="0" collapsed="false">
      <c r="A54" s="13"/>
      <c r="B54" s="14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2"/>
    </row>
    <row r="55" customFormat="false" ht="15.75" hidden="false" customHeight="false" outlineLevel="0" collapsed="false">
      <c r="A55" s="13"/>
      <c r="B55" s="14"/>
      <c r="C55" s="21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2"/>
    </row>
    <row r="56" customFormat="false" ht="15.75" hidden="false" customHeight="false" outlineLevel="0" collapsed="false">
      <c r="A56" s="13"/>
      <c r="B56" s="14"/>
      <c r="C56" s="15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2"/>
    </row>
    <row r="57" customFormat="false" ht="15.75" hidden="false" customHeight="false" outlineLevel="0" collapsed="false">
      <c r="A57" s="13"/>
      <c r="B57" s="14"/>
      <c r="C57" s="15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2"/>
    </row>
    <row r="58" customFormat="false" ht="15.75" hidden="false" customHeight="false" outlineLevel="0" collapsed="false">
      <c r="A58" s="44"/>
      <c r="B58" s="14"/>
      <c r="C58" s="15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8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2"/>
    </row>
    <row r="59" customFormat="false" ht="15.75" hidden="false" customHeight="false" outlineLevel="0" collapsed="false">
      <c r="A59" s="13"/>
      <c r="B59" s="14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8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2"/>
    </row>
    <row r="60" customFormat="false" ht="15.75" hidden="false" customHeight="false" outlineLevel="0" collapsed="false">
      <c r="A60" s="13"/>
      <c r="B60" s="14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8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2"/>
    </row>
    <row r="61" customFormat="false" ht="15.75" hidden="false" customHeight="false" outlineLevel="0" collapsed="false">
      <c r="A61" s="21"/>
      <c r="B61" s="29"/>
      <c r="C61" s="21"/>
      <c r="D61" s="21"/>
      <c r="E61" s="21"/>
      <c r="F61" s="21"/>
      <c r="G61" s="30"/>
      <c r="H61" s="31"/>
      <c r="I61" s="31"/>
      <c r="J61" s="21"/>
      <c r="K61" s="21"/>
      <c r="L61" s="21"/>
      <c r="M61" s="21"/>
      <c r="N61" s="21"/>
      <c r="O61" s="21"/>
      <c r="P61" s="30"/>
      <c r="Q61" s="21"/>
      <c r="R61" s="21"/>
      <c r="S61" s="21"/>
      <c r="T61" s="32"/>
      <c r="U61" s="32"/>
      <c r="V61" s="21"/>
      <c r="W61" s="21"/>
      <c r="X61" s="21"/>
      <c r="Y61" s="21"/>
      <c r="Z61" s="21"/>
      <c r="AA61" s="12"/>
    </row>
    <row r="62" customFormat="false" ht="15.75" hidden="false" customHeight="false" outlineLevel="0" collapsed="false">
      <c r="A62" s="47"/>
      <c r="B62" s="29"/>
      <c r="C62" s="21"/>
      <c r="D62" s="21"/>
      <c r="E62" s="21"/>
      <c r="F62" s="21"/>
      <c r="G62" s="30"/>
      <c r="H62" s="31"/>
      <c r="I62" s="31"/>
      <c r="J62" s="21"/>
      <c r="K62" s="21"/>
      <c r="L62" s="21"/>
      <c r="M62" s="21"/>
      <c r="N62" s="21"/>
      <c r="O62" s="21"/>
      <c r="P62" s="30"/>
      <c r="Q62" s="21"/>
      <c r="R62" s="21"/>
      <c r="S62" s="21"/>
      <c r="T62" s="32"/>
      <c r="U62" s="32"/>
      <c r="V62" s="21"/>
      <c r="W62" s="21"/>
      <c r="X62" s="21"/>
      <c r="Y62" s="21"/>
      <c r="Z62" s="21"/>
      <c r="AA62" s="12"/>
    </row>
    <row r="63" customFormat="false" ht="15.75" hidden="false" customHeight="false" outlineLevel="0" collapsed="false">
      <c r="A63" s="21"/>
      <c r="B63" s="29"/>
      <c r="C63" s="21"/>
      <c r="D63" s="21"/>
      <c r="E63" s="21"/>
      <c r="F63" s="21"/>
      <c r="G63" s="30"/>
      <c r="H63" s="31"/>
      <c r="I63" s="31"/>
      <c r="J63" s="21"/>
      <c r="K63" s="21"/>
      <c r="L63" s="21"/>
      <c r="M63" s="21"/>
      <c r="N63" s="21"/>
      <c r="O63" s="21"/>
      <c r="P63" s="30"/>
      <c r="Q63" s="21"/>
      <c r="R63" s="21"/>
      <c r="S63" s="21"/>
      <c r="T63" s="32"/>
      <c r="U63" s="32"/>
      <c r="V63" s="21"/>
      <c r="W63" s="21"/>
      <c r="X63" s="21"/>
      <c r="Y63" s="21"/>
      <c r="Z63" s="21"/>
      <c r="AA63" s="12"/>
    </row>
    <row r="64" customFormat="false" ht="15.75" hidden="false" customHeight="false" outlineLevel="0" collapsed="false">
      <c r="A64" s="47"/>
      <c r="B64" s="29"/>
      <c r="C64" s="21"/>
      <c r="D64" s="21"/>
      <c r="E64" s="21"/>
      <c r="F64" s="21"/>
      <c r="G64" s="30"/>
      <c r="H64" s="31"/>
      <c r="I64" s="31"/>
      <c r="J64" s="21"/>
      <c r="K64" s="21"/>
      <c r="L64" s="21"/>
      <c r="M64" s="21"/>
      <c r="N64" s="21"/>
      <c r="O64" s="21"/>
      <c r="P64" s="30"/>
      <c r="Q64" s="21"/>
      <c r="R64" s="21"/>
      <c r="S64" s="21"/>
      <c r="T64" s="32"/>
      <c r="U64" s="32"/>
      <c r="V64" s="21"/>
      <c r="W64" s="21"/>
      <c r="X64" s="21"/>
      <c r="Y64" s="21"/>
      <c r="Z64" s="21"/>
      <c r="AA64" s="12"/>
    </row>
    <row r="65" customFormat="false" ht="15.75" hidden="false" customHeight="false" outlineLevel="0" collapsed="false">
      <c r="A65" s="47"/>
      <c r="B65" s="29"/>
      <c r="C65" s="21"/>
      <c r="D65" s="21"/>
      <c r="E65" s="21"/>
      <c r="F65" s="21"/>
      <c r="G65" s="30"/>
      <c r="H65" s="31"/>
      <c r="I65" s="31"/>
      <c r="J65" s="21"/>
      <c r="K65" s="21"/>
      <c r="L65" s="21"/>
      <c r="M65" s="21"/>
      <c r="N65" s="21"/>
      <c r="O65" s="21"/>
      <c r="P65" s="30"/>
      <c r="Q65" s="21"/>
      <c r="R65" s="21"/>
      <c r="S65" s="21"/>
      <c r="T65" s="32"/>
      <c r="U65" s="32"/>
      <c r="V65" s="21"/>
      <c r="W65" s="21"/>
      <c r="X65" s="21"/>
      <c r="Y65" s="21"/>
      <c r="Z65" s="21"/>
      <c r="AA65" s="12"/>
    </row>
    <row r="66" customFormat="false" ht="15.75" hidden="false" customHeight="false" outlineLevel="0" collapsed="false">
      <c r="A66" s="21"/>
      <c r="B66" s="33"/>
      <c r="C66" s="21"/>
      <c r="D66" s="21"/>
      <c r="E66" s="21"/>
      <c r="F66" s="21"/>
      <c r="G66" s="30"/>
      <c r="H66" s="31"/>
      <c r="I66" s="31"/>
      <c r="J66" s="21"/>
      <c r="K66" s="21"/>
      <c r="L66" s="21"/>
      <c r="M66" s="21"/>
      <c r="N66" s="21"/>
      <c r="O66" s="21"/>
      <c r="P66" s="30"/>
      <c r="Q66" s="21"/>
      <c r="R66" s="21"/>
      <c r="S66" s="21"/>
      <c r="T66" s="32"/>
      <c r="U66" s="32"/>
      <c r="V66" s="21"/>
      <c r="W66" s="21"/>
      <c r="X66" s="21"/>
      <c r="Y66" s="21"/>
      <c r="Z66" s="21"/>
      <c r="AA66" s="12"/>
    </row>
    <row r="67" customFormat="false" ht="15.75" hidden="false" customHeight="false" outlineLevel="0" collapsed="false">
      <c r="A67" s="21"/>
      <c r="B67" s="29"/>
      <c r="C67" s="21"/>
      <c r="D67" s="21"/>
      <c r="E67" s="21"/>
      <c r="F67" s="21"/>
      <c r="G67" s="30"/>
      <c r="H67" s="31"/>
      <c r="I67" s="31"/>
      <c r="J67" s="21"/>
      <c r="K67" s="21"/>
      <c r="L67" s="21"/>
      <c r="M67" s="21"/>
      <c r="N67" s="21"/>
      <c r="O67" s="21"/>
      <c r="P67" s="30"/>
      <c r="Q67" s="21"/>
      <c r="R67" s="21"/>
      <c r="S67" s="21"/>
      <c r="T67" s="32"/>
      <c r="U67" s="32"/>
      <c r="V67" s="21"/>
      <c r="W67" s="21"/>
      <c r="X67" s="21"/>
      <c r="Y67" s="21"/>
      <c r="Z67" s="21"/>
      <c r="AA67" s="12"/>
    </row>
    <row r="68" customFormat="false" ht="15.75" hidden="false" customHeight="false" outlineLevel="0" collapsed="false">
      <c r="A68" s="21"/>
      <c r="B68" s="29"/>
      <c r="C68" s="21"/>
      <c r="D68" s="21"/>
      <c r="E68" s="21"/>
      <c r="F68" s="21"/>
      <c r="G68" s="30"/>
      <c r="H68" s="31"/>
      <c r="I68" s="31"/>
      <c r="J68" s="21"/>
      <c r="K68" s="21"/>
      <c r="L68" s="21"/>
      <c r="M68" s="21"/>
      <c r="N68" s="21"/>
      <c r="O68" s="21"/>
      <c r="P68" s="30"/>
      <c r="Q68" s="21"/>
      <c r="R68" s="21"/>
      <c r="S68" s="21"/>
      <c r="T68" s="32"/>
      <c r="U68" s="32"/>
      <c r="V68" s="21"/>
      <c r="W68" s="21"/>
      <c r="X68" s="21"/>
      <c r="Y68" s="21"/>
      <c r="Z68" s="21"/>
      <c r="AA68" s="12"/>
    </row>
    <row r="69" customFormat="false" ht="15.75" hidden="false" customHeight="false" outlineLevel="0" collapsed="false">
      <c r="A69" s="21"/>
      <c r="B69" s="29"/>
      <c r="C69" s="21"/>
      <c r="D69" s="21"/>
      <c r="E69" s="21"/>
      <c r="F69" s="21"/>
      <c r="G69" s="30"/>
      <c r="H69" s="31"/>
      <c r="I69" s="31"/>
      <c r="J69" s="21"/>
      <c r="K69" s="21"/>
      <c r="L69" s="21"/>
      <c r="M69" s="21"/>
      <c r="N69" s="21"/>
      <c r="O69" s="21"/>
      <c r="P69" s="30"/>
      <c r="Q69" s="21"/>
      <c r="R69" s="21"/>
      <c r="S69" s="21"/>
      <c r="T69" s="32"/>
      <c r="U69" s="32"/>
      <c r="V69" s="21"/>
      <c r="W69" s="21"/>
      <c r="X69" s="21"/>
      <c r="Y69" s="21"/>
      <c r="Z69" s="21"/>
      <c r="AA69" s="12"/>
    </row>
    <row r="70" customFormat="false" ht="15.75" hidden="false" customHeight="false" outlineLevel="0" collapsed="false">
      <c r="B70" s="34"/>
      <c r="D70" s="12"/>
      <c r="E70" s="12"/>
      <c r="G70" s="18"/>
      <c r="H70" s="35"/>
      <c r="I70" s="35"/>
      <c r="J70" s="12"/>
      <c r="P70" s="18"/>
      <c r="Q70" s="12"/>
      <c r="R70" s="12"/>
      <c r="T70" s="36"/>
      <c r="U70" s="36"/>
      <c r="V70" s="12"/>
      <c r="W70" s="12"/>
      <c r="X70" s="12"/>
      <c r="Z70" s="12"/>
    </row>
    <row r="71" customFormat="false" ht="15.75" hidden="false" customHeight="false" outlineLevel="0" collapsed="false">
      <c r="B71" s="34"/>
      <c r="D71" s="12"/>
      <c r="E71" s="12"/>
      <c r="G71" s="18"/>
      <c r="H71" s="35"/>
      <c r="I71" s="35"/>
      <c r="J71" s="12"/>
      <c r="P71" s="18"/>
      <c r="Q71" s="12"/>
      <c r="R71" s="12"/>
      <c r="T71" s="36"/>
      <c r="U71" s="36"/>
      <c r="V71" s="12"/>
      <c r="W71" s="12"/>
      <c r="X71" s="12"/>
      <c r="Z71" s="12"/>
    </row>
    <row r="72" customFormat="false" ht="15.75" hidden="false" customHeight="false" outlineLevel="0" collapsed="false">
      <c r="B72" s="34"/>
      <c r="D72" s="12"/>
      <c r="E72" s="12"/>
      <c r="G72" s="18"/>
      <c r="H72" s="35"/>
      <c r="I72" s="35"/>
      <c r="J72" s="12"/>
      <c r="P72" s="18"/>
      <c r="Q72" s="12"/>
      <c r="R72" s="12"/>
      <c r="T72" s="36"/>
      <c r="U72" s="36"/>
      <c r="V72" s="12"/>
      <c r="W72" s="12"/>
      <c r="X72" s="12"/>
      <c r="Z72" s="12"/>
    </row>
    <row r="73" customFormat="false" ht="15.75" hidden="false" customHeight="false" outlineLevel="0" collapsed="false">
      <c r="B73" s="34"/>
      <c r="D73" s="12"/>
      <c r="E73" s="12"/>
      <c r="G73" s="18"/>
      <c r="H73" s="35"/>
      <c r="I73" s="35"/>
      <c r="J73" s="12"/>
      <c r="P73" s="18"/>
      <c r="Q73" s="12"/>
      <c r="R73" s="12"/>
      <c r="T73" s="36"/>
      <c r="U73" s="36"/>
      <c r="V73" s="12"/>
      <c r="W73" s="12"/>
      <c r="X73" s="12"/>
      <c r="Z73" s="12"/>
    </row>
    <row r="74" customFormat="false" ht="15.75" hidden="false" customHeight="false" outlineLevel="0" collapsed="false">
      <c r="B74" s="34"/>
      <c r="D74" s="12"/>
      <c r="E74" s="12"/>
      <c r="G74" s="18"/>
      <c r="H74" s="35"/>
      <c r="I74" s="35"/>
      <c r="J74" s="12"/>
      <c r="P74" s="18"/>
      <c r="Q74" s="12"/>
      <c r="R74" s="12"/>
      <c r="T74" s="36"/>
      <c r="U74" s="36"/>
      <c r="V74" s="12"/>
      <c r="W74" s="12"/>
      <c r="X74" s="12"/>
      <c r="Z74" s="12"/>
    </row>
    <row r="75" customFormat="false" ht="15.75" hidden="false" customHeight="false" outlineLevel="0" collapsed="false">
      <c r="B75" s="34"/>
      <c r="D75" s="12"/>
      <c r="E75" s="12"/>
      <c r="G75" s="18"/>
      <c r="H75" s="35"/>
      <c r="I75" s="35"/>
      <c r="J75" s="12"/>
      <c r="P75" s="18"/>
      <c r="Q75" s="12"/>
      <c r="R75" s="12"/>
      <c r="T75" s="36"/>
      <c r="U75" s="36"/>
      <c r="V75" s="12"/>
      <c r="W75" s="12"/>
      <c r="X75" s="12"/>
      <c r="Z75" s="12"/>
    </row>
    <row r="76" customFormat="false" ht="15.75" hidden="false" customHeight="false" outlineLevel="0" collapsed="false">
      <c r="A76" s="12"/>
      <c r="B76" s="34"/>
      <c r="C76" s="12"/>
      <c r="D76" s="12"/>
      <c r="E76" s="12"/>
      <c r="F76" s="12"/>
      <c r="G76" s="18"/>
      <c r="H76" s="35"/>
      <c r="I76" s="35"/>
      <c r="J76" s="12"/>
      <c r="O76" s="12"/>
      <c r="P76" s="18"/>
      <c r="Q76" s="12"/>
      <c r="R76" s="12"/>
      <c r="S76" s="12"/>
      <c r="T76" s="36"/>
      <c r="U76" s="36"/>
      <c r="V76" s="12"/>
      <c r="W76" s="12"/>
      <c r="X76" s="12"/>
      <c r="Y76" s="12"/>
      <c r="Z76" s="12"/>
    </row>
    <row r="77" customFormat="false" ht="15.75" hidden="false" customHeight="false" outlineLevel="0" collapsed="false">
      <c r="A77" s="12"/>
      <c r="B77" s="34"/>
      <c r="C77" s="12"/>
      <c r="D77" s="12"/>
      <c r="E77" s="12"/>
      <c r="F77" s="12"/>
      <c r="G77" s="18"/>
      <c r="H77" s="35"/>
      <c r="I77" s="35"/>
      <c r="J77" s="12"/>
      <c r="O77" s="12"/>
      <c r="P77" s="18"/>
      <c r="Q77" s="12"/>
      <c r="R77" s="12"/>
      <c r="S77" s="12"/>
      <c r="T77" s="36"/>
      <c r="U77" s="36"/>
      <c r="V77" s="12"/>
      <c r="W77" s="12"/>
      <c r="X77" s="12"/>
      <c r="Y77" s="12"/>
      <c r="Z77" s="12"/>
    </row>
    <row r="78" customFormat="false" ht="15.75" hidden="false" customHeight="false" outlineLevel="0" collapsed="false">
      <c r="A78" s="12"/>
      <c r="B78" s="34"/>
      <c r="C78" s="12"/>
      <c r="D78" s="12"/>
      <c r="E78" s="12"/>
      <c r="F78" s="12"/>
      <c r="G78" s="18"/>
      <c r="H78" s="35"/>
      <c r="I78" s="35"/>
      <c r="J78" s="12"/>
      <c r="O78" s="12"/>
      <c r="P78" s="18"/>
      <c r="Q78" s="12"/>
      <c r="R78" s="12"/>
      <c r="S78" s="12"/>
      <c r="T78" s="36"/>
      <c r="U78" s="36"/>
      <c r="V78" s="12"/>
      <c r="W78" s="12"/>
      <c r="X78" s="12"/>
      <c r="Y78" s="12"/>
      <c r="Z78" s="12"/>
    </row>
    <row r="79" customFormat="false" ht="15.75" hidden="false" customHeight="false" outlineLevel="0" collapsed="false">
      <c r="A79" s="12"/>
      <c r="B79" s="34"/>
      <c r="C79" s="12"/>
      <c r="D79" s="12"/>
      <c r="E79" s="12"/>
      <c r="F79" s="12"/>
      <c r="G79" s="18"/>
      <c r="H79" s="35"/>
      <c r="I79" s="35"/>
      <c r="J79" s="12"/>
      <c r="O79" s="12"/>
      <c r="P79" s="18"/>
      <c r="Q79" s="12"/>
      <c r="R79" s="12"/>
      <c r="S79" s="12"/>
      <c r="T79" s="36"/>
      <c r="U79" s="36"/>
      <c r="V79" s="12"/>
      <c r="W79" s="12"/>
      <c r="X79" s="12"/>
      <c r="Y79" s="12"/>
      <c r="Z79" s="12"/>
    </row>
    <row r="80" customFormat="false" ht="15.75" hidden="false" customHeight="false" outlineLevel="0" collapsed="false">
      <c r="A80" s="12"/>
      <c r="B80" s="34"/>
      <c r="C80" s="12"/>
      <c r="D80" s="12"/>
      <c r="E80" s="12"/>
      <c r="F80" s="12"/>
      <c r="G80" s="18"/>
      <c r="H80" s="35"/>
      <c r="I80" s="35"/>
      <c r="J80" s="12"/>
      <c r="O80" s="12"/>
      <c r="P80" s="18"/>
      <c r="Q80" s="12"/>
      <c r="R80" s="12"/>
      <c r="S80" s="12"/>
      <c r="T80" s="36"/>
      <c r="U80" s="36"/>
      <c r="V80" s="12"/>
      <c r="W80" s="12"/>
      <c r="X80" s="12"/>
      <c r="Y80" s="12"/>
      <c r="Z80" s="12"/>
    </row>
    <row r="81" customFormat="false" ht="15.75" hidden="false" customHeight="false" outlineLevel="0" collapsed="false">
      <c r="A81" s="12"/>
      <c r="B81" s="34"/>
      <c r="C81" s="12"/>
      <c r="D81" s="12"/>
      <c r="E81" s="12"/>
      <c r="F81" s="12"/>
      <c r="G81" s="18"/>
      <c r="H81" s="35"/>
      <c r="I81" s="35"/>
      <c r="J81" s="12"/>
      <c r="O81" s="12"/>
      <c r="P81" s="18"/>
      <c r="Q81" s="12"/>
      <c r="R81" s="12"/>
      <c r="S81" s="12"/>
      <c r="T81" s="36"/>
      <c r="U81" s="36"/>
      <c r="V81" s="12"/>
      <c r="W81" s="12"/>
      <c r="X81" s="12"/>
      <c r="Y81" s="12"/>
      <c r="Z81" s="12"/>
    </row>
    <row r="82" customFormat="false" ht="15.75" hidden="false" customHeight="false" outlineLevel="0" collapsed="false">
      <c r="A82" s="12"/>
      <c r="B82" s="34"/>
      <c r="C82" s="12"/>
      <c r="D82" s="12"/>
      <c r="E82" s="12"/>
      <c r="F82" s="12"/>
      <c r="G82" s="18"/>
      <c r="H82" s="35"/>
      <c r="I82" s="35"/>
      <c r="J82" s="12"/>
      <c r="O82" s="12"/>
      <c r="P82" s="18"/>
      <c r="Q82" s="12"/>
      <c r="R82" s="12"/>
      <c r="S82" s="12"/>
      <c r="T82" s="36"/>
      <c r="U82" s="36"/>
      <c r="V82" s="12"/>
      <c r="W82" s="12"/>
      <c r="X82" s="12"/>
      <c r="Y82" s="12"/>
      <c r="Z82" s="12"/>
    </row>
    <row r="83" customFormat="false" ht="15.75" hidden="false" customHeight="false" outlineLevel="0" collapsed="false">
      <c r="A83" s="12"/>
      <c r="B83" s="34"/>
      <c r="C83" s="12"/>
      <c r="D83" s="12"/>
      <c r="E83" s="12"/>
      <c r="F83" s="12"/>
      <c r="G83" s="18"/>
      <c r="H83" s="35"/>
      <c r="I83" s="35"/>
      <c r="J83" s="12"/>
      <c r="O83" s="12"/>
      <c r="P83" s="18"/>
      <c r="Q83" s="12"/>
      <c r="R83" s="12"/>
      <c r="S83" s="12"/>
      <c r="T83" s="36"/>
      <c r="U83" s="36"/>
      <c r="V83" s="12"/>
      <c r="W83" s="12"/>
      <c r="X83" s="12"/>
      <c r="Y83" s="12"/>
      <c r="Z83" s="12"/>
    </row>
    <row r="84" customFormat="false" ht="15.75" hidden="false" customHeight="false" outlineLevel="0" collapsed="false">
      <c r="A84" s="12"/>
      <c r="B84" s="34"/>
      <c r="C84" s="12"/>
      <c r="D84" s="12"/>
      <c r="E84" s="12"/>
      <c r="F84" s="12"/>
      <c r="G84" s="18"/>
      <c r="H84" s="35"/>
      <c r="I84" s="35"/>
      <c r="J84" s="12"/>
      <c r="O84" s="12"/>
      <c r="P84" s="18"/>
      <c r="Q84" s="12"/>
      <c r="R84" s="12"/>
      <c r="S84" s="12"/>
      <c r="T84" s="36"/>
      <c r="U84" s="36"/>
      <c r="V84" s="12"/>
      <c r="W84" s="12"/>
      <c r="X84" s="12"/>
      <c r="Y84" s="12"/>
      <c r="Z84" s="12"/>
    </row>
    <row r="85" customFormat="false" ht="15.75" hidden="false" customHeight="false" outlineLevel="0" collapsed="false">
      <c r="A85" s="12"/>
      <c r="B85" s="34"/>
      <c r="C85" s="12"/>
      <c r="D85" s="12"/>
      <c r="E85" s="12"/>
      <c r="F85" s="12"/>
      <c r="G85" s="18"/>
      <c r="H85" s="35"/>
      <c r="I85" s="35"/>
      <c r="J85" s="12"/>
      <c r="O85" s="12"/>
      <c r="P85" s="18"/>
      <c r="Q85" s="12"/>
      <c r="R85" s="12"/>
      <c r="S85" s="12"/>
      <c r="T85" s="36"/>
      <c r="U85" s="36"/>
      <c r="V85" s="12"/>
      <c r="W85" s="12"/>
      <c r="X85" s="12"/>
      <c r="Y85" s="12"/>
      <c r="Z85" s="12"/>
    </row>
    <row r="86" customFormat="false" ht="15.75" hidden="false" customHeight="false" outlineLevel="0" collapsed="false">
      <c r="A86" s="12"/>
      <c r="B86" s="34"/>
      <c r="C86" s="12"/>
      <c r="D86" s="12"/>
      <c r="E86" s="12"/>
      <c r="F86" s="12"/>
      <c r="G86" s="18"/>
      <c r="H86" s="35"/>
      <c r="I86" s="35"/>
      <c r="J86" s="12"/>
      <c r="O86" s="12"/>
      <c r="P86" s="18"/>
      <c r="Q86" s="12"/>
      <c r="R86" s="12"/>
      <c r="S86" s="12"/>
      <c r="T86" s="36"/>
      <c r="U86" s="36"/>
      <c r="V86" s="12"/>
      <c r="W86" s="12"/>
      <c r="X86" s="12"/>
      <c r="Y86" s="12"/>
      <c r="Z86" s="12"/>
    </row>
    <row r="87" customFormat="false" ht="15.75" hidden="false" customHeight="false" outlineLevel="0" collapsed="false">
      <c r="A87" s="12"/>
      <c r="B87" s="34"/>
      <c r="C87" s="12"/>
      <c r="D87" s="12"/>
      <c r="E87" s="12"/>
      <c r="F87" s="12"/>
      <c r="G87" s="18"/>
      <c r="H87" s="35"/>
      <c r="I87" s="35"/>
      <c r="J87" s="12"/>
      <c r="O87" s="12"/>
      <c r="P87" s="18"/>
      <c r="Q87" s="12"/>
      <c r="R87" s="12"/>
      <c r="S87" s="12"/>
      <c r="T87" s="36"/>
      <c r="U87" s="36"/>
      <c r="V87" s="12"/>
      <c r="W87" s="12"/>
      <c r="X87" s="12"/>
      <c r="Y87" s="12"/>
      <c r="Z87" s="12"/>
    </row>
    <row r="88" customFormat="false" ht="15.75" hidden="false" customHeight="false" outlineLevel="0" collapsed="false">
      <c r="A88" s="12"/>
      <c r="B88" s="34"/>
      <c r="C88" s="12"/>
      <c r="D88" s="12"/>
      <c r="E88" s="12"/>
      <c r="F88" s="12"/>
      <c r="G88" s="18"/>
      <c r="H88" s="35"/>
      <c r="I88" s="35"/>
      <c r="J88" s="12"/>
      <c r="O88" s="12"/>
      <c r="P88" s="18"/>
      <c r="Q88" s="12"/>
      <c r="R88" s="12"/>
      <c r="S88" s="12"/>
      <c r="T88" s="36"/>
      <c r="U88" s="36"/>
      <c r="V88" s="12"/>
      <c r="W88" s="12"/>
      <c r="X88" s="12"/>
      <c r="Y88" s="12"/>
      <c r="Z88" s="12"/>
    </row>
    <row r="89" customFormat="false" ht="15.75" hidden="false" customHeight="false" outlineLevel="0" collapsed="false">
      <c r="A89" s="12"/>
      <c r="B89" s="34"/>
      <c r="C89" s="12"/>
      <c r="D89" s="12"/>
      <c r="E89" s="12"/>
      <c r="F89" s="12"/>
      <c r="G89" s="18"/>
      <c r="H89" s="35"/>
      <c r="I89" s="35"/>
      <c r="J89" s="12"/>
      <c r="O89" s="12"/>
      <c r="P89" s="18"/>
      <c r="Q89" s="12"/>
      <c r="R89" s="12"/>
      <c r="S89" s="12"/>
      <c r="T89" s="36"/>
      <c r="U89" s="36"/>
      <c r="V89" s="12"/>
      <c r="W89" s="12"/>
      <c r="X89" s="12"/>
      <c r="Y89" s="12"/>
      <c r="Z89" s="12"/>
    </row>
    <row r="90" customFormat="false" ht="15.75" hidden="false" customHeight="false" outlineLevel="0" collapsed="false">
      <c r="A90" s="12"/>
      <c r="B90" s="34"/>
      <c r="C90" s="12"/>
      <c r="D90" s="12"/>
      <c r="E90" s="12"/>
      <c r="F90" s="12"/>
      <c r="G90" s="18"/>
      <c r="H90" s="35"/>
      <c r="I90" s="35"/>
      <c r="J90" s="12"/>
      <c r="O90" s="12"/>
      <c r="P90" s="18"/>
      <c r="Q90" s="12"/>
      <c r="R90" s="12"/>
      <c r="S90" s="12"/>
      <c r="T90" s="36"/>
      <c r="U90" s="36"/>
      <c r="V90" s="12"/>
      <c r="W90" s="12"/>
      <c r="X90" s="12"/>
      <c r="Y90" s="12"/>
      <c r="Z90" s="12"/>
    </row>
    <row r="91" customFormat="false" ht="15.75" hidden="false" customHeight="false" outlineLevel="0" collapsed="false">
      <c r="A91" s="12"/>
      <c r="B91" s="34"/>
      <c r="C91" s="12"/>
      <c r="D91" s="12"/>
      <c r="E91" s="12"/>
      <c r="F91" s="12"/>
      <c r="G91" s="18"/>
      <c r="H91" s="35"/>
      <c r="I91" s="35"/>
      <c r="J91" s="12"/>
      <c r="O91" s="12"/>
      <c r="P91" s="18"/>
      <c r="Q91" s="12"/>
      <c r="R91" s="12"/>
      <c r="S91" s="12"/>
      <c r="T91" s="36"/>
      <c r="U91" s="36"/>
      <c r="V91" s="12"/>
      <c r="W91" s="12"/>
      <c r="X91" s="12"/>
      <c r="Y91" s="12"/>
      <c r="Z91" s="12"/>
    </row>
    <row r="92" customFormat="false" ht="15.75" hidden="false" customHeight="false" outlineLevel="0" collapsed="false">
      <c r="A92" s="12"/>
      <c r="B92" s="34"/>
      <c r="C92" s="12"/>
      <c r="D92" s="12"/>
      <c r="E92" s="12"/>
      <c r="F92" s="12"/>
      <c r="G92" s="18"/>
      <c r="H92" s="35"/>
      <c r="I92" s="35"/>
      <c r="J92" s="12"/>
      <c r="O92" s="12"/>
      <c r="P92" s="18"/>
      <c r="Q92" s="12"/>
      <c r="R92" s="12"/>
      <c r="S92" s="12"/>
      <c r="T92" s="36"/>
      <c r="U92" s="36"/>
      <c r="V92" s="12"/>
      <c r="W92" s="12"/>
      <c r="X92" s="12"/>
      <c r="Y92" s="12"/>
      <c r="Z92" s="12"/>
    </row>
    <row r="93" customFormat="false" ht="15.75" hidden="false" customHeight="false" outlineLevel="0" collapsed="false">
      <c r="A93" s="12"/>
      <c r="B93" s="34"/>
      <c r="C93" s="12"/>
      <c r="D93" s="12"/>
      <c r="E93" s="12"/>
      <c r="F93" s="12"/>
      <c r="G93" s="18"/>
      <c r="H93" s="35"/>
      <c r="I93" s="35"/>
      <c r="J93" s="12"/>
      <c r="O93" s="12"/>
      <c r="P93" s="18"/>
      <c r="Q93" s="12"/>
      <c r="R93" s="12"/>
      <c r="S93" s="12"/>
      <c r="T93" s="36"/>
      <c r="U93" s="36"/>
      <c r="V93" s="12"/>
      <c r="W93" s="12"/>
      <c r="X93" s="12"/>
      <c r="Y93" s="12"/>
      <c r="Z93" s="12"/>
    </row>
    <row r="94" customFormat="false" ht="15.75" hidden="false" customHeight="false" outlineLevel="0" collapsed="false">
      <c r="A94" s="12"/>
      <c r="B94" s="34"/>
      <c r="C94" s="12"/>
      <c r="D94" s="12"/>
      <c r="E94" s="12"/>
      <c r="F94" s="12"/>
      <c r="G94" s="18"/>
      <c r="H94" s="35"/>
      <c r="I94" s="35"/>
      <c r="J94" s="12"/>
      <c r="O94" s="12"/>
      <c r="P94" s="18"/>
      <c r="Q94" s="12"/>
      <c r="R94" s="12"/>
      <c r="S94" s="12"/>
      <c r="T94" s="36"/>
      <c r="U94" s="36"/>
      <c r="V94" s="12"/>
      <c r="W94" s="12"/>
      <c r="X94" s="12"/>
      <c r="Y94" s="12"/>
      <c r="Z94" s="12"/>
    </row>
    <row r="95" customFormat="false" ht="15.75" hidden="false" customHeight="false" outlineLevel="0" collapsed="false">
      <c r="A95" s="12"/>
      <c r="B95" s="34"/>
      <c r="C95" s="12"/>
      <c r="D95" s="12"/>
      <c r="E95" s="12"/>
      <c r="F95" s="12"/>
      <c r="G95" s="18"/>
      <c r="H95" s="35"/>
      <c r="I95" s="35"/>
      <c r="J95" s="12"/>
      <c r="O95" s="12"/>
      <c r="P95" s="18"/>
      <c r="Q95" s="12"/>
      <c r="R95" s="12"/>
      <c r="S95" s="12"/>
      <c r="T95" s="36"/>
      <c r="U95" s="36"/>
      <c r="V95" s="12"/>
      <c r="W95" s="12"/>
      <c r="X95" s="12"/>
      <c r="Y95" s="12"/>
      <c r="Z95" s="12"/>
    </row>
    <row r="96" customFormat="false" ht="15.75" hidden="false" customHeight="false" outlineLevel="0" collapsed="false">
      <c r="A96" s="12"/>
      <c r="B96" s="34"/>
      <c r="C96" s="12"/>
      <c r="D96" s="12"/>
      <c r="E96" s="12"/>
      <c r="F96" s="12"/>
      <c r="G96" s="18"/>
      <c r="H96" s="35"/>
      <c r="I96" s="35"/>
      <c r="J96" s="12"/>
      <c r="O96" s="12"/>
      <c r="P96" s="18"/>
      <c r="Q96" s="12"/>
      <c r="R96" s="12"/>
      <c r="S96" s="12"/>
      <c r="T96" s="36"/>
      <c r="U96" s="36"/>
      <c r="V96" s="12"/>
      <c r="W96" s="12"/>
      <c r="X96" s="12"/>
      <c r="Y96" s="12"/>
      <c r="Z96" s="12"/>
    </row>
    <row r="97" customFormat="false" ht="15.75" hidden="false" customHeight="false" outlineLevel="0" collapsed="false">
      <c r="A97" s="12"/>
      <c r="B97" s="34"/>
      <c r="C97" s="12"/>
      <c r="D97" s="12"/>
      <c r="E97" s="12"/>
      <c r="F97" s="12"/>
      <c r="G97" s="18"/>
      <c r="H97" s="35"/>
      <c r="I97" s="35"/>
      <c r="J97" s="12"/>
      <c r="O97" s="12"/>
      <c r="P97" s="18"/>
      <c r="Q97" s="12"/>
      <c r="R97" s="12"/>
      <c r="S97" s="12"/>
      <c r="T97" s="36"/>
      <c r="U97" s="36"/>
      <c r="V97" s="12"/>
      <c r="W97" s="12"/>
      <c r="X97" s="12"/>
      <c r="Y97" s="12"/>
      <c r="Z97" s="12"/>
    </row>
    <row r="98" customFormat="false" ht="15.75" hidden="false" customHeight="false" outlineLevel="0" collapsed="false">
      <c r="A98" s="12"/>
      <c r="B98" s="34"/>
      <c r="C98" s="12"/>
      <c r="D98" s="12"/>
      <c r="E98" s="12"/>
      <c r="F98" s="12"/>
      <c r="G98" s="18"/>
      <c r="H98" s="35"/>
      <c r="I98" s="35"/>
      <c r="J98" s="12"/>
      <c r="O98" s="12"/>
      <c r="P98" s="18"/>
      <c r="Q98" s="12"/>
      <c r="R98" s="12"/>
      <c r="S98" s="12"/>
      <c r="T98" s="36"/>
      <c r="U98" s="36"/>
      <c r="V98" s="12"/>
      <c r="W98" s="12"/>
      <c r="X98" s="12"/>
      <c r="Y98" s="12"/>
      <c r="Z98" s="12"/>
    </row>
    <row r="99" customFormat="false" ht="15.75" hidden="false" customHeight="false" outlineLevel="0" collapsed="false">
      <c r="A99" s="12"/>
      <c r="B99" s="34"/>
      <c r="C99" s="12"/>
      <c r="D99" s="12"/>
      <c r="E99" s="12"/>
      <c r="F99" s="12"/>
      <c r="G99" s="18"/>
      <c r="H99" s="35"/>
      <c r="I99" s="35"/>
      <c r="J99" s="12"/>
      <c r="O99" s="12"/>
      <c r="P99" s="18"/>
      <c r="Q99" s="12"/>
      <c r="R99" s="12"/>
      <c r="S99" s="12"/>
      <c r="T99" s="36"/>
      <c r="U99" s="36"/>
      <c r="V99" s="12"/>
      <c r="W99" s="12"/>
      <c r="X99" s="12"/>
      <c r="Y99" s="12"/>
      <c r="Z99" s="12"/>
    </row>
    <row r="100" customFormat="false" ht="15.75" hidden="false" customHeight="false" outlineLevel="0" collapsed="false">
      <c r="A100" s="12"/>
      <c r="B100" s="34"/>
      <c r="C100" s="12"/>
      <c r="D100" s="12"/>
      <c r="E100" s="12"/>
      <c r="F100" s="12"/>
      <c r="G100" s="18"/>
      <c r="H100" s="35"/>
      <c r="I100" s="35"/>
      <c r="J100" s="12"/>
      <c r="O100" s="12"/>
      <c r="P100" s="18"/>
      <c r="Q100" s="12"/>
      <c r="R100" s="12"/>
      <c r="S100" s="12"/>
      <c r="T100" s="36"/>
      <c r="U100" s="36"/>
      <c r="V100" s="12"/>
      <c r="W100" s="12"/>
      <c r="X100" s="12"/>
      <c r="Y100" s="12"/>
      <c r="Z100" s="12"/>
    </row>
    <row r="101" customFormat="false" ht="15.75" hidden="false" customHeight="false" outlineLevel="0" collapsed="false">
      <c r="A101" s="12"/>
      <c r="B101" s="34"/>
      <c r="C101" s="12"/>
      <c r="D101" s="12"/>
      <c r="E101" s="12"/>
      <c r="F101" s="12"/>
      <c r="G101" s="18"/>
      <c r="H101" s="35"/>
      <c r="I101" s="35"/>
      <c r="J101" s="12"/>
      <c r="O101" s="12"/>
      <c r="P101" s="18"/>
      <c r="Q101" s="12"/>
      <c r="R101" s="12"/>
      <c r="S101" s="12"/>
      <c r="T101" s="36"/>
      <c r="U101" s="36"/>
      <c r="V101" s="12"/>
      <c r="W101" s="12"/>
      <c r="X101" s="12"/>
      <c r="Y101" s="12"/>
      <c r="Z101" s="12"/>
    </row>
    <row r="102" customFormat="false" ht="15.75" hidden="false" customHeight="false" outlineLevel="0" collapsed="false">
      <c r="A102" s="12"/>
      <c r="B102" s="34"/>
      <c r="C102" s="12"/>
      <c r="D102" s="12"/>
      <c r="E102" s="12"/>
      <c r="F102" s="12"/>
      <c r="G102" s="18"/>
      <c r="H102" s="35"/>
      <c r="I102" s="35"/>
      <c r="J102" s="12"/>
      <c r="O102" s="12"/>
      <c r="P102" s="18"/>
      <c r="Q102" s="12"/>
      <c r="R102" s="12"/>
      <c r="S102" s="12"/>
      <c r="T102" s="36"/>
      <c r="U102" s="36"/>
      <c r="V102" s="12"/>
      <c r="W102" s="12"/>
      <c r="X102" s="12"/>
      <c r="Y102" s="12"/>
      <c r="Z102" s="12"/>
    </row>
    <row r="103" customFormat="false" ht="15.75" hidden="false" customHeight="false" outlineLevel="0" collapsed="false">
      <c r="A103" s="12"/>
      <c r="B103" s="34"/>
      <c r="C103" s="12"/>
      <c r="D103" s="12"/>
      <c r="E103" s="12"/>
      <c r="F103" s="12"/>
      <c r="G103" s="18"/>
      <c r="H103" s="35"/>
      <c r="I103" s="35"/>
      <c r="J103" s="12"/>
      <c r="O103" s="12"/>
      <c r="P103" s="18"/>
      <c r="Q103" s="12"/>
      <c r="R103" s="12"/>
      <c r="S103" s="12"/>
      <c r="T103" s="36"/>
      <c r="U103" s="36"/>
      <c r="V103" s="12"/>
      <c r="W103" s="12"/>
      <c r="X103" s="12"/>
      <c r="Y103" s="12"/>
      <c r="Z103" s="12"/>
    </row>
    <row r="104" customFormat="false" ht="15.75" hidden="false" customHeight="false" outlineLevel="0" collapsed="false">
      <c r="A104" s="12"/>
      <c r="B104" s="34"/>
      <c r="C104" s="12"/>
      <c r="D104" s="12"/>
      <c r="E104" s="12"/>
      <c r="F104" s="12"/>
      <c r="G104" s="18"/>
      <c r="H104" s="35"/>
      <c r="I104" s="35"/>
      <c r="J104" s="12"/>
      <c r="O104" s="12"/>
      <c r="P104" s="18"/>
      <c r="Q104" s="12"/>
      <c r="R104" s="12"/>
      <c r="S104" s="12"/>
      <c r="T104" s="36"/>
      <c r="U104" s="36"/>
      <c r="V104" s="12"/>
      <c r="W104" s="12"/>
      <c r="X104" s="12"/>
      <c r="Y104" s="12"/>
      <c r="Z104" s="12"/>
    </row>
    <row r="105" customFormat="false" ht="15.75" hidden="false" customHeight="false" outlineLevel="0" collapsed="false">
      <c r="A105" s="12"/>
      <c r="B105" s="34"/>
      <c r="C105" s="12"/>
      <c r="D105" s="12"/>
      <c r="E105" s="12"/>
      <c r="F105" s="12"/>
      <c r="G105" s="18"/>
      <c r="H105" s="35"/>
      <c r="I105" s="35"/>
      <c r="J105" s="12"/>
      <c r="O105" s="12"/>
      <c r="P105" s="18"/>
      <c r="Q105" s="12"/>
      <c r="R105" s="12"/>
      <c r="S105" s="12"/>
      <c r="T105" s="36"/>
      <c r="U105" s="36"/>
      <c r="V105" s="12"/>
      <c r="W105" s="12"/>
      <c r="X105" s="12"/>
      <c r="Y105" s="12"/>
      <c r="Z105" s="12"/>
    </row>
    <row r="106" customFormat="false" ht="15.75" hidden="false" customHeight="false" outlineLevel="0" collapsed="false">
      <c r="A106" s="12"/>
      <c r="B106" s="34"/>
      <c r="C106" s="12"/>
      <c r="D106" s="12"/>
      <c r="E106" s="12"/>
      <c r="F106" s="12"/>
      <c r="G106" s="18"/>
      <c r="H106" s="35"/>
      <c r="I106" s="35"/>
      <c r="J106" s="12"/>
      <c r="O106" s="12"/>
      <c r="P106" s="18"/>
      <c r="Q106" s="12"/>
      <c r="R106" s="12"/>
      <c r="S106" s="12"/>
      <c r="T106" s="36"/>
      <c r="U106" s="36"/>
      <c r="V106" s="12"/>
      <c r="W106" s="12"/>
      <c r="X106" s="12"/>
      <c r="Y106" s="12"/>
      <c r="Z106" s="12"/>
    </row>
    <row r="107" customFormat="false" ht="15.75" hidden="false" customHeight="false" outlineLevel="0" collapsed="false">
      <c r="A107" s="12"/>
      <c r="B107" s="34"/>
      <c r="C107" s="12"/>
      <c r="D107" s="12"/>
      <c r="E107" s="12"/>
      <c r="F107" s="12"/>
      <c r="G107" s="18"/>
      <c r="H107" s="35"/>
      <c r="I107" s="35"/>
      <c r="J107" s="12"/>
      <c r="O107" s="12"/>
      <c r="P107" s="18"/>
      <c r="Q107" s="12"/>
      <c r="R107" s="12"/>
      <c r="S107" s="12"/>
      <c r="T107" s="36"/>
      <c r="U107" s="36"/>
      <c r="V107" s="12"/>
      <c r="W107" s="12"/>
      <c r="X107" s="12"/>
      <c r="Y107" s="12"/>
      <c r="Z107" s="12"/>
    </row>
    <row r="108" customFormat="false" ht="15.75" hidden="false" customHeight="false" outlineLevel="0" collapsed="false">
      <c r="A108" s="12"/>
      <c r="B108" s="34"/>
      <c r="C108" s="12"/>
      <c r="D108" s="12"/>
      <c r="E108" s="12"/>
      <c r="F108" s="12"/>
      <c r="G108" s="18"/>
      <c r="H108" s="35"/>
      <c r="I108" s="35"/>
      <c r="J108" s="12"/>
      <c r="O108" s="12"/>
      <c r="P108" s="18"/>
      <c r="Q108" s="12"/>
      <c r="R108" s="12"/>
      <c r="S108" s="12"/>
      <c r="T108" s="36"/>
      <c r="U108" s="36"/>
      <c r="V108" s="12"/>
      <c r="W108" s="12"/>
      <c r="X108" s="12"/>
      <c r="Y108" s="12"/>
      <c r="Z108" s="12"/>
    </row>
    <row r="109" customFormat="false" ht="15.75" hidden="false" customHeight="false" outlineLevel="0" collapsed="false">
      <c r="A109" s="12"/>
      <c r="B109" s="34"/>
      <c r="C109" s="12"/>
      <c r="D109" s="12"/>
      <c r="E109" s="12"/>
      <c r="F109" s="12"/>
      <c r="G109" s="18"/>
      <c r="H109" s="35"/>
      <c r="I109" s="35"/>
      <c r="J109" s="12"/>
      <c r="O109" s="12"/>
      <c r="P109" s="18"/>
      <c r="Q109" s="12"/>
      <c r="R109" s="12"/>
      <c r="S109" s="12"/>
      <c r="T109" s="36"/>
      <c r="U109" s="36"/>
      <c r="V109" s="12"/>
      <c r="W109" s="12"/>
      <c r="X109" s="12"/>
      <c r="Y109" s="12"/>
      <c r="Z109" s="12"/>
    </row>
    <row r="110" customFormat="false" ht="15.75" hidden="false" customHeight="false" outlineLevel="0" collapsed="false">
      <c r="A110" s="12"/>
      <c r="B110" s="34"/>
      <c r="C110" s="12"/>
      <c r="D110" s="12"/>
      <c r="E110" s="12"/>
      <c r="F110" s="12"/>
      <c r="G110" s="18"/>
      <c r="H110" s="35"/>
      <c r="I110" s="35"/>
      <c r="J110" s="12"/>
      <c r="O110" s="12"/>
      <c r="P110" s="18"/>
      <c r="Q110" s="12"/>
      <c r="R110" s="12"/>
      <c r="S110" s="12"/>
      <c r="T110" s="36"/>
      <c r="U110" s="36"/>
      <c r="V110" s="12"/>
      <c r="W110" s="12"/>
      <c r="X110" s="12"/>
      <c r="Y110" s="12"/>
      <c r="Z110" s="12"/>
    </row>
    <row r="111" customFormat="false" ht="15.75" hidden="false" customHeight="false" outlineLevel="0" collapsed="false">
      <c r="A111" s="12"/>
      <c r="B111" s="34"/>
      <c r="C111" s="12"/>
      <c r="D111" s="12"/>
      <c r="E111" s="12"/>
      <c r="F111" s="12"/>
      <c r="G111" s="18"/>
      <c r="H111" s="35"/>
      <c r="I111" s="35"/>
      <c r="J111" s="12"/>
      <c r="O111" s="12"/>
      <c r="P111" s="18"/>
      <c r="Q111" s="12"/>
      <c r="R111" s="12"/>
      <c r="S111" s="12"/>
      <c r="T111" s="36"/>
      <c r="U111" s="36"/>
      <c r="V111" s="12"/>
      <c r="W111" s="12"/>
      <c r="X111" s="12"/>
      <c r="Y111" s="12"/>
      <c r="Z111" s="12"/>
    </row>
    <row r="112" customFormat="false" ht="15.75" hidden="false" customHeight="false" outlineLevel="0" collapsed="false">
      <c r="A112" s="12"/>
      <c r="B112" s="34"/>
      <c r="C112" s="12"/>
      <c r="D112" s="12"/>
      <c r="E112" s="12"/>
      <c r="F112" s="12"/>
      <c r="G112" s="18"/>
      <c r="H112" s="35"/>
      <c r="I112" s="35"/>
      <c r="J112" s="12"/>
      <c r="O112" s="12"/>
      <c r="P112" s="18"/>
      <c r="Q112" s="12"/>
      <c r="R112" s="12"/>
      <c r="S112" s="12"/>
      <c r="T112" s="36"/>
      <c r="U112" s="36"/>
      <c r="V112" s="12"/>
      <c r="W112" s="12"/>
      <c r="X112" s="12"/>
      <c r="Y112" s="12"/>
      <c r="Z112" s="12"/>
    </row>
    <row r="113" customFormat="false" ht="15.75" hidden="false" customHeight="false" outlineLevel="0" collapsed="false">
      <c r="A113" s="12"/>
      <c r="B113" s="34"/>
      <c r="C113" s="12"/>
      <c r="D113" s="12"/>
      <c r="E113" s="12"/>
      <c r="F113" s="12"/>
      <c r="G113" s="18"/>
      <c r="H113" s="35"/>
      <c r="I113" s="35"/>
      <c r="J113" s="12"/>
      <c r="O113" s="12"/>
      <c r="P113" s="18"/>
      <c r="Q113" s="12"/>
      <c r="R113" s="12"/>
      <c r="S113" s="12"/>
      <c r="T113" s="36"/>
      <c r="U113" s="36"/>
      <c r="V113" s="12"/>
      <c r="W113" s="12"/>
      <c r="X113" s="12"/>
      <c r="Y113" s="12"/>
      <c r="Z113" s="12"/>
    </row>
    <row r="114" customFormat="false" ht="15.75" hidden="false" customHeight="false" outlineLevel="0" collapsed="false">
      <c r="A114" s="12"/>
      <c r="B114" s="34"/>
      <c r="C114" s="12"/>
      <c r="D114" s="12"/>
      <c r="E114" s="12"/>
      <c r="F114" s="12"/>
      <c r="G114" s="18"/>
      <c r="H114" s="35"/>
      <c r="I114" s="35"/>
      <c r="J114" s="12"/>
      <c r="O114" s="12"/>
      <c r="P114" s="18"/>
      <c r="Q114" s="12"/>
      <c r="R114" s="12"/>
      <c r="S114" s="12"/>
      <c r="T114" s="36"/>
      <c r="U114" s="36"/>
      <c r="V114" s="12"/>
      <c r="W114" s="12"/>
      <c r="X114" s="12"/>
      <c r="Y114" s="12"/>
      <c r="Z114" s="12"/>
    </row>
    <row r="115" customFormat="false" ht="15.75" hidden="false" customHeight="false" outlineLevel="0" collapsed="false">
      <c r="A115" s="12"/>
      <c r="B115" s="34"/>
      <c r="C115" s="12"/>
      <c r="D115" s="12"/>
      <c r="E115" s="12"/>
      <c r="F115" s="12"/>
      <c r="G115" s="18"/>
      <c r="H115" s="35"/>
      <c r="I115" s="35"/>
      <c r="J115" s="12"/>
      <c r="O115" s="12"/>
      <c r="P115" s="18"/>
      <c r="Q115" s="12"/>
      <c r="R115" s="12"/>
      <c r="S115" s="12"/>
      <c r="T115" s="36"/>
      <c r="U115" s="36"/>
      <c r="V115" s="12"/>
      <c r="W115" s="12"/>
      <c r="X115" s="12"/>
      <c r="Y115" s="12"/>
      <c r="Z115" s="12"/>
    </row>
    <row r="116" customFormat="false" ht="15.75" hidden="false" customHeight="false" outlineLevel="0" collapsed="false">
      <c r="A116" s="12"/>
      <c r="B116" s="34"/>
      <c r="C116" s="12"/>
      <c r="D116" s="12"/>
      <c r="E116" s="12"/>
      <c r="F116" s="12"/>
      <c r="G116" s="18"/>
      <c r="H116" s="35"/>
      <c r="I116" s="35"/>
      <c r="J116" s="12"/>
      <c r="O116" s="12"/>
      <c r="P116" s="18"/>
      <c r="Q116" s="12"/>
      <c r="R116" s="12"/>
      <c r="S116" s="12"/>
      <c r="T116" s="36"/>
      <c r="U116" s="36"/>
      <c r="V116" s="12"/>
      <c r="W116" s="12"/>
      <c r="X116" s="12"/>
      <c r="Y116" s="12"/>
      <c r="Z116" s="12"/>
    </row>
    <row r="117" customFormat="false" ht="15.75" hidden="false" customHeight="false" outlineLevel="0" collapsed="false">
      <c r="A117" s="12"/>
      <c r="B117" s="34"/>
      <c r="C117" s="12"/>
      <c r="D117" s="12"/>
      <c r="E117" s="12"/>
      <c r="F117" s="12"/>
      <c r="G117" s="18"/>
      <c r="H117" s="35"/>
      <c r="I117" s="35"/>
      <c r="J117" s="12"/>
      <c r="O117" s="12"/>
      <c r="P117" s="18"/>
      <c r="Q117" s="12"/>
      <c r="R117" s="12"/>
      <c r="S117" s="12"/>
      <c r="T117" s="36"/>
      <c r="U117" s="36"/>
      <c r="V117" s="12"/>
      <c r="W117" s="12"/>
      <c r="X117" s="12"/>
      <c r="Y117" s="12"/>
      <c r="Z117" s="12"/>
    </row>
    <row r="118" customFormat="false" ht="15.75" hidden="false" customHeight="false" outlineLevel="0" collapsed="false">
      <c r="A118" s="12"/>
      <c r="B118" s="34"/>
      <c r="C118" s="12"/>
      <c r="D118" s="12"/>
      <c r="E118" s="12"/>
      <c r="F118" s="12"/>
      <c r="G118" s="18"/>
      <c r="H118" s="35"/>
      <c r="I118" s="35"/>
      <c r="J118" s="12"/>
      <c r="O118" s="12"/>
      <c r="P118" s="18"/>
      <c r="Q118" s="12"/>
      <c r="R118" s="12"/>
      <c r="S118" s="12"/>
      <c r="T118" s="36"/>
      <c r="U118" s="36"/>
      <c r="V118" s="12"/>
      <c r="W118" s="12"/>
      <c r="X118" s="12"/>
      <c r="Y118" s="12"/>
      <c r="Z118" s="12"/>
    </row>
    <row r="119" customFormat="false" ht="15.75" hidden="false" customHeight="false" outlineLevel="0" collapsed="false">
      <c r="A119" s="12"/>
      <c r="B119" s="34"/>
      <c r="C119" s="12"/>
      <c r="D119" s="12"/>
      <c r="E119" s="12"/>
      <c r="F119" s="12"/>
      <c r="G119" s="18"/>
      <c r="H119" s="35"/>
      <c r="I119" s="35"/>
      <c r="J119" s="12"/>
      <c r="O119" s="12"/>
      <c r="P119" s="18"/>
      <c r="Q119" s="12"/>
      <c r="R119" s="12"/>
      <c r="S119" s="12"/>
      <c r="T119" s="36"/>
      <c r="U119" s="36"/>
      <c r="V119" s="12"/>
      <c r="W119" s="12"/>
      <c r="X119" s="12"/>
      <c r="Y119" s="12"/>
      <c r="Z119" s="12"/>
    </row>
    <row r="120" customFormat="false" ht="15.75" hidden="false" customHeight="false" outlineLevel="0" collapsed="false">
      <c r="A120" s="12"/>
      <c r="B120" s="34"/>
      <c r="C120" s="12"/>
      <c r="D120" s="12"/>
      <c r="E120" s="12"/>
      <c r="F120" s="12"/>
      <c r="G120" s="18"/>
      <c r="H120" s="35"/>
      <c r="I120" s="35"/>
      <c r="J120" s="12"/>
      <c r="O120" s="12"/>
      <c r="P120" s="18"/>
      <c r="Q120" s="12"/>
      <c r="R120" s="12"/>
      <c r="S120" s="12"/>
      <c r="T120" s="36"/>
      <c r="U120" s="36"/>
      <c r="V120" s="12"/>
      <c r="W120" s="12"/>
      <c r="X120" s="12"/>
      <c r="Y120" s="12"/>
      <c r="Z120" s="12"/>
    </row>
    <row r="121" customFormat="false" ht="15.75" hidden="false" customHeight="false" outlineLevel="0" collapsed="false">
      <c r="A121" s="12"/>
      <c r="B121" s="34"/>
      <c r="C121" s="12"/>
      <c r="D121" s="12"/>
      <c r="E121" s="12"/>
      <c r="F121" s="12"/>
      <c r="G121" s="18"/>
      <c r="H121" s="35"/>
      <c r="I121" s="35"/>
      <c r="J121" s="12"/>
      <c r="O121" s="12"/>
      <c r="P121" s="18"/>
      <c r="Q121" s="12"/>
      <c r="R121" s="12"/>
      <c r="S121" s="12"/>
      <c r="T121" s="36"/>
      <c r="U121" s="36"/>
      <c r="V121" s="12"/>
      <c r="W121" s="12"/>
      <c r="X121" s="12"/>
      <c r="Y121" s="12"/>
      <c r="Z121" s="12"/>
    </row>
    <row r="122" customFormat="false" ht="15.75" hidden="false" customHeight="false" outlineLevel="0" collapsed="false">
      <c r="A122" s="12"/>
      <c r="B122" s="34"/>
      <c r="C122" s="12"/>
      <c r="D122" s="12"/>
      <c r="E122" s="12"/>
      <c r="F122" s="12"/>
      <c r="G122" s="18"/>
      <c r="H122" s="35"/>
      <c r="I122" s="35"/>
      <c r="J122" s="12"/>
      <c r="O122" s="12"/>
      <c r="P122" s="18"/>
      <c r="Q122" s="12"/>
      <c r="R122" s="12"/>
      <c r="S122" s="12"/>
      <c r="T122" s="36"/>
      <c r="U122" s="36"/>
      <c r="V122" s="12"/>
      <c r="W122" s="12"/>
      <c r="X122" s="12"/>
      <c r="Y122" s="12"/>
      <c r="Z122" s="12"/>
    </row>
    <row r="123" customFormat="false" ht="15.75" hidden="false" customHeight="false" outlineLevel="0" collapsed="false">
      <c r="A123" s="12"/>
      <c r="B123" s="34"/>
      <c r="C123" s="12"/>
      <c r="D123" s="12"/>
      <c r="E123" s="12"/>
      <c r="F123" s="12"/>
      <c r="G123" s="18"/>
      <c r="H123" s="35"/>
      <c r="I123" s="35"/>
      <c r="J123" s="12"/>
      <c r="O123" s="12"/>
      <c r="P123" s="18"/>
      <c r="Q123" s="12"/>
      <c r="R123" s="12"/>
      <c r="S123" s="12"/>
      <c r="T123" s="36"/>
      <c r="U123" s="36"/>
      <c r="V123" s="12"/>
      <c r="W123" s="12"/>
      <c r="X123" s="12"/>
      <c r="Y123" s="12"/>
      <c r="Z123" s="12"/>
    </row>
    <row r="124" customFormat="false" ht="15.75" hidden="false" customHeight="false" outlineLevel="0" collapsed="false">
      <c r="A124" s="12"/>
      <c r="B124" s="34"/>
      <c r="C124" s="12"/>
      <c r="D124" s="12"/>
      <c r="E124" s="12"/>
      <c r="F124" s="12"/>
      <c r="G124" s="18"/>
      <c r="H124" s="35"/>
      <c r="I124" s="35"/>
      <c r="J124" s="12"/>
      <c r="O124" s="12"/>
      <c r="P124" s="18"/>
      <c r="Q124" s="12"/>
      <c r="R124" s="12"/>
      <c r="S124" s="12"/>
      <c r="T124" s="36"/>
      <c r="U124" s="36"/>
      <c r="V124" s="12"/>
      <c r="W124" s="12"/>
      <c r="X124" s="12"/>
      <c r="Y124" s="12"/>
      <c r="Z124" s="12"/>
    </row>
    <row r="125" customFormat="false" ht="15.75" hidden="false" customHeight="false" outlineLevel="0" collapsed="false">
      <c r="A125" s="12"/>
      <c r="B125" s="34"/>
      <c r="C125" s="12"/>
      <c r="D125" s="12"/>
      <c r="E125" s="12"/>
      <c r="F125" s="12"/>
      <c r="G125" s="18"/>
      <c r="H125" s="35"/>
      <c r="I125" s="35"/>
      <c r="J125" s="12"/>
      <c r="O125" s="12"/>
      <c r="P125" s="18"/>
      <c r="Q125" s="12"/>
      <c r="R125" s="12"/>
      <c r="S125" s="12"/>
      <c r="T125" s="36"/>
      <c r="U125" s="36"/>
      <c r="V125" s="12"/>
      <c r="W125" s="12"/>
      <c r="X125" s="12"/>
      <c r="Y125" s="12"/>
      <c r="Z125" s="12"/>
    </row>
    <row r="126" customFormat="false" ht="15.75" hidden="false" customHeight="false" outlineLevel="0" collapsed="false">
      <c r="A126" s="12"/>
      <c r="B126" s="34"/>
      <c r="C126" s="12"/>
      <c r="D126" s="12"/>
      <c r="E126" s="12"/>
      <c r="F126" s="12"/>
      <c r="G126" s="18"/>
      <c r="H126" s="35"/>
      <c r="I126" s="35"/>
      <c r="J126" s="12"/>
      <c r="O126" s="12"/>
      <c r="P126" s="18"/>
      <c r="Q126" s="12"/>
      <c r="R126" s="12"/>
      <c r="S126" s="12"/>
      <c r="T126" s="36"/>
      <c r="U126" s="36"/>
      <c r="V126" s="12"/>
      <c r="W126" s="12"/>
      <c r="X126" s="12"/>
      <c r="Y126" s="12"/>
      <c r="Z126" s="12"/>
    </row>
    <row r="127" customFormat="false" ht="15.75" hidden="false" customHeight="false" outlineLevel="0" collapsed="false">
      <c r="A127" s="12"/>
      <c r="B127" s="34"/>
      <c r="C127" s="12"/>
      <c r="D127" s="12"/>
      <c r="E127" s="12"/>
      <c r="F127" s="12"/>
      <c r="G127" s="18"/>
      <c r="H127" s="35"/>
      <c r="I127" s="35"/>
      <c r="J127" s="12"/>
      <c r="O127" s="12"/>
      <c r="P127" s="18"/>
      <c r="Q127" s="12"/>
      <c r="R127" s="12"/>
      <c r="S127" s="12"/>
      <c r="T127" s="36"/>
      <c r="U127" s="36"/>
      <c r="V127" s="12"/>
      <c r="W127" s="12"/>
      <c r="X127" s="12"/>
      <c r="Y127" s="12"/>
      <c r="Z127" s="12"/>
    </row>
    <row r="128" customFormat="false" ht="15.75" hidden="false" customHeight="false" outlineLevel="0" collapsed="false">
      <c r="A128" s="12"/>
      <c r="B128" s="34"/>
      <c r="C128" s="12"/>
      <c r="D128" s="12"/>
      <c r="E128" s="12"/>
      <c r="F128" s="12"/>
      <c r="G128" s="18"/>
      <c r="H128" s="35"/>
      <c r="I128" s="35"/>
      <c r="J128" s="12"/>
      <c r="O128" s="12"/>
      <c r="P128" s="18"/>
      <c r="Q128" s="12"/>
      <c r="R128" s="12"/>
      <c r="S128" s="12"/>
      <c r="T128" s="36"/>
      <c r="U128" s="36"/>
      <c r="V128" s="12"/>
      <c r="W128" s="12"/>
      <c r="X128" s="12"/>
      <c r="Y128" s="12"/>
      <c r="Z128" s="12"/>
    </row>
    <row r="129" customFormat="false" ht="15.75" hidden="false" customHeight="false" outlineLevel="0" collapsed="false">
      <c r="A129" s="12"/>
      <c r="B129" s="34"/>
      <c r="C129" s="12"/>
      <c r="D129" s="12"/>
      <c r="E129" s="12"/>
      <c r="F129" s="12"/>
      <c r="G129" s="18"/>
      <c r="H129" s="35"/>
      <c r="I129" s="35"/>
      <c r="J129" s="12"/>
      <c r="O129" s="12"/>
      <c r="P129" s="18"/>
      <c r="Q129" s="12"/>
      <c r="R129" s="12"/>
      <c r="S129" s="12"/>
      <c r="T129" s="36"/>
      <c r="U129" s="36"/>
      <c r="V129" s="12"/>
      <c r="W129" s="12"/>
      <c r="X129" s="12"/>
      <c r="Y129" s="12"/>
      <c r="Z129" s="12"/>
    </row>
    <row r="130" customFormat="false" ht="15.75" hidden="false" customHeight="false" outlineLevel="0" collapsed="false">
      <c r="A130" s="12"/>
      <c r="B130" s="34"/>
      <c r="C130" s="12"/>
      <c r="D130" s="12"/>
      <c r="E130" s="12"/>
      <c r="F130" s="12"/>
      <c r="G130" s="18"/>
      <c r="H130" s="35"/>
      <c r="I130" s="35"/>
      <c r="J130" s="12"/>
      <c r="O130" s="12"/>
      <c r="P130" s="18"/>
      <c r="Q130" s="12"/>
      <c r="R130" s="12"/>
      <c r="S130" s="12"/>
      <c r="T130" s="36"/>
      <c r="U130" s="36"/>
      <c r="V130" s="12"/>
      <c r="W130" s="12"/>
      <c r="X130" s="12"/>
      <c r="Y130" s="12"/>
      <c r="Z130" s="12"/>
    </row>
    <row r="131" customFormat="false" ht="15.75" hidden="false" customHeight="false" outlineLevel="0" collapsed="false">
      <c r="A131" s="12"/>
      <c r="B131" s="34"/>
      <c r="C131" s="12"/>
      <c r="D131" s="12"/>
      <c r="E131" s="12"/>
      <c r="F131" s="12"/>
      <c r="G131" s="18"/>
      <c r="H131" s="35"/>
      <c r="I131" s="35"/>
      <c r="J131" s="12"/>
      <c r="O131" s="12"/>
      <c r="P131" s="18"/>
      <c r="Q131" s="12"/>
      <c r="R131" s="12"/>
      <c r="S131" s="12"/>
      <c r="T131" s="36"/>
      <c r="U131" s="36"/>
      <c r="V131" s="12"/>
      <c r="W131" s="12"/>
      <c r="X131" s="12"/>
      <c r="Y131" s="12"/>
      <c r="Z131" s="12"/>
    </row>
    <row r="132" customFormat="false" ht="15.75" hidden="false" customHeight="false" outlineLevel="0" collapsed="false">
      <c r="A132" s="12"/>
      <c r="B132" s="34"/>
      <c r="C132" s="12"/>
      <c r="D132" s="12"/>
      <c r="E132" s="12"/>
      <c r="F132" s="12"/>
      <c r="G132" s="18"/>
      <c r="H132" s="35"/>
      <c r="I132" s="35"/>
      <c r="J132" s="12"/>
      <c r="O132" s="12"/>
      <c r="P132" s="18"/>
      <c r="Q132" s="12"/>
      <c r="R132" s="12"/>
      <c r="S132" s="12"/>
      <c r="T132" s="36"/>
      <c r="U132" s="36"/>
      <c r="V132" s="12"/>
      <c r="W132" s="12"/>
      <c r="X132" s="12"/>
      <c r="Y132" s="12"/>
      <c r="Z132" s="12"/>
    </row>
    <row r="133" customFormat="false" ht="15.75" hidden="false" customHeight="false" outlineLevel="0" collapsed="false">
      <c r="A133" s="12"/>
      <c r="B133" s="34"/>
      <c r="C133" s="12"/>
      <c r="D133" s="12"/>
      <c r="E133" s="12"/>
      <c r="F133" s="12"/>
      <c r="G133" s="18"/>
      <c r="H133" s="35"/>
      <c r="I133" s="35"/>
      <c r="J133" s="12"/>
      <c r="O133" s="12"/>
      <c r="P133" s="18"/>
      <c r="Q133" s="12"/>
      <c r="R133" s="12"/>
      <c r="S133" s="12"/>
      <c r="T133" s="36"/>
      <c r="U133" s="36"/>
      <c r="V133" s="12"/>
      <c r="W133" s="12"/>
      <c r="X133" s="12"/>
      <c r="Y133" s="12"/>
      <c r="Z133" s="12"/>
    </row>
    <row r="134" customFormat="false" ht="15.75" hidden="false" customHeight="false" outlineLevel="0" collapsed="false">
      <c r="A134" s="12"/>
      <c r="B134" s="34"/>
      <c r="C134" s="12"/>
      <c r="D134" s="12"/>
      <c r="E134" s="12"/>
      <c r="F134" s="12"/>
      <c r="G134" s="18"/>
      <c r="H134" s="35"/>
      <c r="I134" s="35"/>
      <c r="J134" s="12"/>
      <c r="O134" s="12"/>
      <c r="P134" s="18"/>
      <c r="Q134" s="12"/>
      <c r="R134" s="12"/>
      <c r="S134" s="12"/>
      <c r="T134" s="36"/>
      <c r="U134" s="36"/>
      <c r="V134" s="12"/>
      <c r="W134" s="12"/>
      <c r="X134" s="12"/>
      <c r="Y134" s="12"/>
      <c r="Z134" s="12"/>
    </row>
    <row r="135" customFormat="false" ht="15.75" hidden="false" customHeight="false" outlineLevel="0" collapsed="false">
      <c r="A135" s="12"/>
      <c r="B135" s="34"/>
      <c r="C135" s="12"/>
      <c r="D135" s="12"/>
      <c r="E135" s="12"/>
      <c r="F135" s="12"/>
      <c r="G135" s="18"/>
      <c r="H135" s="35"/>
      <c r="I135" s="35"/>
      <c r="J135" s="12"/>
      <c r="O135" s="12"/>
      <c r="P135" s="18"/>
      <c r="Q135" s="12"/>
      <c r="R135" s="12"/>
      <c r="S135" s="12"/>
      <c r="T135" s="36"/>
      <c r="U135" s="36"/>
      <c r="V135" s="12"/>
      <c r="W135" s="12"/>
      <c r="X135" s="12"/>
      <c r="Y135" s="12"/>
      <c r="Z135" s="12"/>
    </row>
    <row r="136" customFormat="false" ht="15.75" hidden="false" customHeight="false" outlineLevel="0" collapsed="false">
      <c r="A136" s="12"/>
      <c r="B136" s="34"/>
      <c r="C136" s="12"/>
      <c r="D136" s="12"/>
      <c r="E136" s="12"/>
      <c r="F136" s="12"/>
      <c r="G136" s="18"/>
      <c r="H136" s="35"/>
      <c r="I136" s="35"/>
      <c r="J136" s="12"/>
      <c r="O136" s="12"/>
      <c r="P136" s="18"/>
      <c r="Q136" s="12"/>
      <c r="R136" s="12"/>
      <c r="S136" s="12"/>
      <c r="T136" s="36"/>
      <c r="U136" s="36"/>
      <c r="V136" s="12"/>
      <c r="W136" s="12"/>
      <c r="X136" s="12"/>
      <c r="Y136" s="12"/>
      <c r="Z136" s="12"/>
    </row>
    <row r="137" customFormat="false" ht="15.75" hidden="false" customHeight="false" outlineLevel="0" collapsed="false">
      <c r="A137" s="12"/>
      <c r="B137" s="34"/>
      <c r="C137" s="12"/>
      <c r="D137" s="12"/>
      <c r="E137" s="12"/>
      <c r="F137" s="12"/>
      <c r="G137" s="18"/>
      <c r="H137" s="35"/>
      <c r="I137" s="35"/>
      <c r="J137" s="12"/>
      <c r="O137" s="12"/>
      <c r="P137" s="18"/>
      <c r="Q137" s="12"/>
      <c r="R137" s="12"/>
      <c r="S137" s="12"/>
      <c r="T137" s="36"/>
      <c r="U137" s="36"/>
      <c r="V137" s="12"/>
      <c r="W137" s="12"/>
      <c r="X137" s="12"/>
      <c r="Y137" s="12"/>
      <c r="Z137" s="12"/>
    </row>
    <row r="138" customFormat="false" ht="15.75" hidden="false" customHeight="false" outlineLevel="0" collapsed="false">
      <c r="A138" s="12"/>
      <c r="B138" s="34"/>
      <c r="C138" s="12"/>
      <c r="D138" s="12"/>
      <c r="E138" s="12"/>
      <c r="F138" s="12"/>
      <c r="G138" s="18"/>
      <c r="H138" s="35"/>
      <c r="I138" s="35"/>
      <c r="J138" s="12"/>
      <c r="O138" s="12"/>
      <c r="P138" s="18"/>
      <c r="Q138" s="12"/>
      <c r="R138" s="12"/>
      <c r="S138" s="12"/>
      <c r="T138" s="36"/>
      <c r="U138" s="36"/>
      <c r="V138" s="12"/>
      <c r="W138" s="12"/>
      <c r="X138" s="12"/>
      <c r="Y138" s="12"/>
      <c r="Z138" s="12"/>
    </row>
    <row r="139" customFormat="false" ht="15.75" hidden="false" customHeight="false" outlineLevel="0" collapsed="false">
      <c r="A139" s="12"/>
      <c r="B139" s="34"/>
      <c r="C139" s="12"/>
      <c r="D139" s="12"/>
      <c r="E139" s="12"/>
      <c r="F139" s="12"/>
      <c r="G139" s="18"/>
      <c r="H139" s="35"/>
      <c r="I139" s="35"/>
      <c r="J139" s="12"/>
      <c r="O139" s="12"/>
      <c r="P139" s="18"/>
      <c r="Q139" s="12"/>
      <c r="R139" s="12"/>
      <c r="S139" s="12"/>
      <c r="T139" s="36"/>
      <c r="U139" s="36"/>
      <c r="V139" s="12"/>
      <c r="W139" s="12"/>
      <c r="X139" s="12"/>
      <c r="Y139" s="12"/>
      <c r="Z139" s="12"/>
    </row>
    <row r="140" customFormat="false" ht="15.75" hidden="false" customHeight="false" outlineLevel="0" collapsed="false">
      <c r="A140" s="12"/>
      <c r="B140" s="34"/>
      <c r="C140" s="12"/>
      <c r="D140" s="12"/>
      <c r="E140" s="12"/>
      <c r="F140" s="12"/>
      <c r="G140" s="18"/>
      <c r="H140" s="35"/>
      <c r="I140" s="35"/>
      <c r="J140" s="12"/>
      <c r="O140" s="12"/>
      <c r="P140" s="18"/>
      <c r="Q140" s="12"/>
      <c r="R140" s="12"/>
      <c r="S140" s="12"/>
      <c r="T140" s="36"/>
      <c r="U140" s="36"/>
      <c r="V140" s="12"/>
      <c r="W140" s="12"/>
      <c r="X140" s="12"/>
      <c r="Y140" s="12"/>
      <c r="Z140" s="12"/>
    </row>
    <row r="141" customFormat="false" ht="15.75" hidden="false" customHeight="false" outlineLevel="0" collapsed="false">
      <c r="A141" s="12"/>
      <c r="B141" s="34"/>
      <c r="C141" s="12"/>
      <c r="D141" s="12"/>
      <c r="E141" s="12"/>
      <c r="F141" s="12"/>
      <c r="G141" s="18"/>
      <c r="H141" s="35"/>
      <c r="I141" s="35"/>
      <c r="J141" s="12"/>
      <c r="O141" s="12"/>
      <c r="P141" s="18"/>
      <c r="Q141" s="12"/>
      <c r="R141" s="12"/>
      <c r="S141" s="12"/>
      <c r="T141" s="36"/>
      <c r="U141" s="36"/>
      <c r="V141" s="12"/>
      <c r="W141" s="12"/>
      <c r="X141" s="12"/>
      <c r="Y141" s="12"/>
      <c r="Z141" s="12"/>
    </row>
    <row r="142" customFormat="false" ht="15.75" hidden="false" customHeight="false" outlineLevel="0" collapsed="false">
      <c r="A142" s="12"/>
      <c r="B142" s="34"/>
      <c r="C142" s="12"/>
      <c r="D142" s="12"/>
      <c r="E142" s="12"/>
      <c r="F142" s="12"/>
      <c r="G142" s="18"/>
      <c r="H142" s="35"/>
      <c r="I142" s="35"/>
      <c r="J142" s="12"/>
      <c r="O142" s="12"/>
      <c r="P142" s="18"/>
      <c r="Q142" s="12"/>
      <c r="R142" s="12"/>
      <c r="S142" s="12"/>
      <c r="T142" s="36"/>
      <c r="U142" s="36"/>
      <c r="V142" s="12"/>
      <c r="W142" s="12"/>
      <c r="X142" s="12"/>
      <c r="Y142" s="12"/>
      <c r="Z142" s="12"/>
    </row>
    <row r="143" customFormat="false" ht="15.75" hidden="false" customHeight="false" outlineLevel="0" collapsed="false">
      <c r="A143" s="12"/>
      <c r="B143" s="34"/>
      <c r="C143" s="12"/>
      <c r="D143" s="12"/>
      <c r="E143" s="12"/>
      <c r="F143" s="12"/>
      <c r="G143" s="18"/>
      <c r="H143" s="35"/>
      <c r="I143" s="35"/>
      <c r="J143" s="12"/>
      <c r="O143" s="12"/>
      <c r="P143" s="18"/>
      <c r="Q143" s="12"/>
      <c r="R143" s="12"/>
      <c r="S143" s="12"/>
      <c r="T143" s="36"/>
      <c r="U143" s="36"/>
      <c r="V143" s="12"/>
      <c r="W143" s="12"/>
      <c r="X143" s="12"/>
      <c r="Y143" s="12"/>
      <c r="Z143" s="12"/>
    </row>
    <row r="144" customFormat="false" ht="15.75" hidden="false" customHeight="false" outlineLevel="0" collapsed="false">
      <c r="A144" s="12"/>
      <c r="B144" s="34"/>
      <c r="C144" s="12"/>
      <c r="D144" s="12"/>
      <c r="E144" s="12"/>
      <c r="F144" s="12"/>
      <c r="G144" s="18"/>
      <c r="H144" s="35"/>
      <c r="I144" s="35"/>
      <c r="J144" s="12"/>
      <c r="O144" s="12"/>
      <c r="P144" s="18"/>
      <c r="Q144" s="12"/>
      <c r="R144" s="12"/>
      <c r="S144" s="12"/>
      <c r="T144" s="36"/>
      <c r="U144" s="36"/>
      <c r="V144" s="12"/>
      <c r="W144" s="12"/>
      <c r="X144" s="12"/>
      <c r="Y144" s="12"/>
      <c r="Z144" s="12"/>
    </row>
    <row r="145" customFormat="false" ht="15.75" hidden="false" customHeight="false" outlineLevel="0" collapsed="false">
      <c r="A145" s="12"/>
      <c r="B145" s="34"/>
      <c r="C145" s="12"/>
      <c r="D145" s="12"/>
      <c r="E145" s="12"/>
      <c r="F145" s="12"/>
      <c r="G145" s="18"/>
      <c r="H145" s="35"/>
      <c r="I145" s="35"/>
      <c r="J145" s="12"/>
      <c r="O145" s="12"/>
      <c r="P145" s="18"/>
      <c r="Q145" s="12"/>
      <c r="R145" s="12"/>
      <c r="S145" s="12"/>
      <c r="T145" s="36"/>
      <c r="U145" s="36"/>
      <c r="V145" s="12"/>
      <c r="W145" s="12"/>
      <c r="X145" s="12"/>
      <c r="Y145" s="12"/>
      <c r="Z145" s="12"/>
    </row>
    <row r="146" customFormat="false" ht="15.75" hidden="false" customHeight="false" outlineLevel="0" collapsed="false">
      <c r="A146" s="12"/>
      <c r="B146" s="34"/>
      <c r="C146" s="12"/>
      <c r="D146" s="12"/>
      <c r="E146" s="12"/>
      <c r="F146" s="12"/>
      <c r="G146" s="18"/>
      <c r="H146" s="35"/>
      <c r="I146" s="35"/>
      <c r="J146" s="12"/>
      <c r="O146" s="12"/>
      <c r="P146" s="18"/>
      <c r="Q146" s="12"/>
      <c r="R146" s="12"/>
      <c r="S146" s="12"/>
      <c r="T146" s="36"/>
      <c r="U146" s="36"/>
      <c r="V146" s="12"/>
      <c r="W146" s="12"/>
      <c r="X146" s="12"/>
      <c r="Y146" s="12"/>
      <c r="Z146" s="12"/>
    </row>
    <row r="147" customFormat="false" ht="15.75" hidden="false" customHeight="false" outlineLevel="0" collapsed="false">
      <c r="A147" s="12"/>
      <c r="B147" s="34"/>
      <c r="C147" s="12"/>
      <c r="D147" s="12"/>
      <c r="E147" s="12"/>
      <c r="F147" s="12"/>
      <c r="G147" s="18"/>
      <c r="H147" s="35"/>
      <c r="I147" s="35"/>
      <c r="J147" s="12"/>
      <c r="O147" s="12"/>
      <c r="P147" s="18"/>
      <c r="Q147" s="12"/>
      <c r="R147" s="12"/>
      <c r="S147" s="12"/>
      <c r="T147" s="36"/>
      <c r="U147" s="36"/>
      <c r="V147" s="12"/>
      <c r="W147" s="12"/>
      <c r="X147" s="12"/>
      <c r="Y147" s="12"/>
      <c r="Z147" s="12"/>
    </row>
    <row r="148" customFormat="false" ht="15.75" hidden="false" customHeight="false" outlineLevel="0" collapsed="false">
      <c r="A148" s="12"/>
      <c r="B148" s="34"/>
      <c r="C148" s="12"/>
      <c r="D148" s="12"/>
      <c r="E148" s="12"/>
      <c r="F148" s="12"/>
      <c r="G148" s="18"/>
      <c r="H148" s="35"/>
      <c r="I148" s="35"/>
      <c r="J148" s="12"/>
      <c r="O148" s="12"/>
      <c r="P148" s="18"/>
      <c r="Q148" s="12"/>
      <c r="R148" s="12"/>
      <c r="S148" s="12"/>
      <c r="T148" s="36"/>
      <c r="U148" s="36"/>
      <c r="V148" s="12"/>
      <c r="W148" s="12"/>
      <c r="X148" s="12"/>
      <c r="Y148" s="12"/>
      <c r="Z148" s="12"/>
    </row>
    <row r="149" customFormat="false" ht="15.75" hidden="false" customHeight="false" outlineLevel="0" collapsed="false">
      <c r="A149" s="12"/>
      <c r="B149" s="34"/>
      <c r="C149" s="12"/>
      <c r="D149" s="12"/>
      <c r="E149" s="12"/>
      <c r="F149" s="12"/>
      <c r="G149" s="18"/>
      <c r="H149" s="35"/>
      <c r="I149" s="35"/>
      <c r="J149" s="12"/>
      <c r="O149" s="12"/>
      <c r="P149" s="18"/>
      <c r="Q149" s="12"/>
      <c r="R149" s="12"/>
      <c r="S149" s="12"/>
      <c r="T149" s="36"/>
      <c r="U149" s="36"/>
      <c r="V149" s="12"/>
      <c r="W149" s="12"/>
      <c r="X149" s="12"/>
      <c r="Y149" s="12"/>
      <c r="Z149" s="12"/>
    </row>
    <row r="150" customFormat="false" ht="15.75" hidden="false" customHeight="false" outlineLevel="0" collapsed="false">
      <c r="A150" s="12"/>
      <c r="B150" s="34"/>
      <c r="C150" s="12"/>
      <c r="D150" s="12"/>
      <c r="E150" s="12"/>
      <c r="F150" s="12"/>
      <c r="G150" s="18"/>
      <c r="H150" s="35"/>
      <c r="I150" s="35"/>
      <c r="J150" s="12"/>
      <c r="O150" s="12"/>
      <c r="P150" s="18"/>
      <c r="Q150" s="12"/>
      <c r="R150" s="12"/>
      <c r="S150" s="12"/>
      <c r="T150" s="36"/>
      <c r="U150" s="36"/>
      <c r="V150" s="12"/>
      <c r="W150" s="12"/>
      <c r="X150" s="12"/>
      <c r="Y150" s="12"/>
      <c r="Z150" s="12"/>
    </row>
    <row r="151" customFormat="false" ht="15.75" hidden="false" customHeight="false" outlineLevel="0" collapsed="false">
      <c r="A151" s="12"/>
      <c r="B151" s="34"/>
      <c r="C151" s="12"/>
      <c r="D151" s="12"/>
      <c r="E151" s="12"/>
      <c r="F151" s="12"/>
      <c r="G151" s="18"/>
      <c r="H151" s="35"/>
      <c r="I151" s="35"/>
      <c r="J151" s="12"/>
      <c r="O151" s="12"/>
      <c r="P151" s="18"/>
      <c r="Q151" s="12"/>
      <c r="R151" s="12"/>
      <c r="S151" s="12"/>
      <c r="T151" s="36"/>
      <c r="U151" s="36"/>
      <c r="V151" s="12"/>
      <c r="W151" s="12"/>
      <c r="X151" s="12"/>
      <c r="Y151" s="12"/>
      <c r="Z151" s="12"/>
    </row>
    <row r="152" customFormat="false" ht="15.75" hidden="false" customHeight="false" outlineLevel="0" collapsed="false">
      <c r="A152" s="12"/>
      <c r="B152" s="34"/>
      <c r="C152" s="12"/>
      <c r="D152" s="12"/>
      <c r="E152" s="12"/>
      <c r="F152" s="12"/>
      <c r="G152" s="18"/>
      <c r="H152" s="35"/>
      <c r="I152" s="35"/>
      <c r="J152" s="12"/>
      <c r="O152" s="12"/>
      <c r="P152" s="18"/>
      <c r="Q152" s="12"/>
      <c r="R152" s="12"/>
      <c r="S152" s="12"/>
      <c r="T152" s="36"/>
      <c r="U152" s="36"/>
      <c r="V152" s="12"/>
      <c r="W152" s="12"/>
      <c r="X152" s="12"/>
      <c r="Y152" s="12"/>
      <c r="Z152" s="12"/>
    </row>
    <row r="153" customFormat="false" ht="15.75" hidden="false" customHeight="false" outlineLevel="0" collapsed="false">
      <c r="A153" s="12"/>
      <c r="B153" s="34"/>
      <c r="C153" s="12"/>
      <c r="D153" s="12"/>
      <c r="E153" s="12"/>
      <c r="F153" s="12"/>
      <c r="G153" s="18"/>
      <c r="H153" s="35"/>
      <c r="I153" s="35"/>
      <c r="J153" s="12"/>
      <c r="O153" s="12"/>
      <c r="P153" s="18"/>
      <c r="Q153" s="12"/>
      <c r="R153" s="12"/>
      <c r="S153" s="12"/>
      <c r="T153" s="36"/>
      <c r="U153" s="36"/>
      <c r="V153" s="12"/>
      <c r="W153" s="12"/>
      <c r="X153" s="12"/>
      <c r="Y153" s="12"/>
      <c r="Z153" s="12"/>
    </row>
    <row r="154" customFormat="false" ht="15.75" hidden="false" customHeight="false" outlineLevel="0" collapsed="false">
      <c r="A154" s="12"/>
      <c r="B154" s="34"/>
      <c r="C154" s="12"/>
      <c r="D154" s="12"/>
      <c r="E154" s="12"/>
      <c r="F154" s="12"/>
      <c r="G154" s="18"/>
      <c r="H154" s="35"/>
      <c r="I154" s="35"/>
      <c r="J154" s="12"/>
      <c r="O154" s="12"/>
      <c r="P154" s="18"/>
      <c r="Q154" s="12"/>
      <c r="R154" s="12"/>
      <c r="S154" s="12"/>
      <c r="T154" s="36"/>
      <c r="U154" s="36"/>
      <c r="V154" s="12"/>
      <c r="W154" s="12"/>
      <c r="X154" s="12"/>
      <c r="Y154" s="12"/>
      <c r="Z154" s="12"/>
    </row>
    <row r="155" customFormat="false" ht="15.75" hidden="false" customHeight="false" outlineLevel="0" collapsed="false">
      <c r="A155" s="12"/>
      <c r="B155" s="34"/>
      <c r="C155" s="12"/>
      <c r="D155" s="12"/>
      <c r="E155" s="12"/>
      <c r="F155" s="12"/>
      <c r="G155" s="18"/>
      <c r="H155" s="35"/>
      <c r="I155" s="35"/>
      <c r="J155" s="12"/>
      <c r="O155" s="12"/>
      <c r="P155" s="18"/>
      <c r="Q155" s="12"/>
      <c r="R155" s="12"/>
      <c r="S155" s="12"/>
      <c r="T155" s="36"/>
      <c r="U155" s="36"/>
      <c r="V155" s="12"/>
      <c r="W155" s="12"/>
      <c r="X155" s="12"/>
      <c r="Y155" s="12"/>
      <c r="Z155" s="12"/>
    </row>
    <row r="156" customFormat="false" ht="15.75" hidden="false" customHeight="false" outlineLevel="0" collapsed="false">
      <c r="A156" s="12"/>
      <c r="B156" s="34"/>
      <c r="C156" s="12"/>
      <c r="D156" s="12"/>
      <c r="E156" s="12"/>
      <c r="F156" s="12"/>
      <c r="G156" s="18"/>
      <c r="H156" s="35"/>
      <c r="I156" s="35"/>
      <c r="J156" s="12"/>
      <c r="O156" s="12"/>
      <c r="P156" s="18"/>
      <c r="Q156" s="12"/>
      <c r="R156" s="12"/>
      <c r="S156" s="12"/>
      <c r="T156" s="36"/>
      <c r="U156" s="36"/>
      <c r="V156" s="12"/>
      <c r="W156" s="12"/>
      <c r="X156" s="12"/>
      <c r="Y156" s="12"/>
      <c r="Z156" s="12"/>
    </row>
    <row r="157" customFormat="false" ht="15.75" hidden="false" customHeight="false" outlineLevel="0" collapsed="false">
      <c r="A157" s="12"/>
      <c r="B157" s="34"/>
      <c r="C157" s="12"/>
      <c r="D157" s="12"/>
      <c r="E157" s="12"/>
      <c r="F157" s="12"/>
      <c r="G157" s="18"/>
      <c r="H157" s="35"/>
      <c r="I157" s="35"/>
      <c r="J157" s="12"/>
      <c r="O157" s="12"/>
      <c r="P157" s="18"/>
      <c r="Q157" s="12"/>
      <c r="R157" s="12"/>
      <c r="S157" s="12"/>
      <c r="T157" s="36"/>
      <c r="U157" s="36"/>
      <c r="V157" s="12"/>
      <c r="W157" s="12"/>
      <c r="X157" s="12"/>
      <c r="Y157" s="12"/>
      <c r="Z157" s="12"/>
    </row>
    <row r="158" customFormat="false" ht="15.75" hidden="false" customHeight="false" outlineLevel="0" collapsed="false">
      <c r="A158" s="12"/>
      <c r="B158" s="34"/>
      <c r="C158" s="12"/>
      <c r="D158" s="12"/>
      <c r="E158" s="12"/>
      <c r="F158" s="12"/>
      <c r="G158" s="18"/>
      <c r="H158" s="35"/>
      <c r="I158" s="35"/>
      <c r="J158" s="12"/>
      <c r="O158" s="12"/>
      <c r="P158" s="18"/>
      <c r="Q158" s="12"/>
      <c r="R158" s="12"/>
      <c r="S158" s="12"/>
      <c r="T158" s="36"/>
      <c r="U158" s="36"/>
      <c r="V158" s="12"/>
      <c r="W158" s="12"/>
      <c r="X158" s="12"/>
      <c r="Y158" s="12"/>
      <c r="Z158" s="12"/>
    </row>
    <row r="159" customFormat="false" ht="15.75" hidden="false" customHeight="false" outlineLevel="0" collapsed="false">
      <c r="A159" s="12"/>
      <c r="B159" s="34"/>
      <c r="C159" s="12"/>
      <c r="D159" s="12"/>
      <c r="E159" s="12"/>
      <c r="F159" s="12"/>
      <c r="G159" s="18"/>
      <c r="H159" s="35"/>
      <c r="I159" s="35"/>
      <c r="J159" s="12"/>
      <c r="O159" s="12"/>
      <c r="P159" s="18"/>
      <c r="Q159" s="12"/>
      <c r="R159" s="12"/>
      <c r="S159" s="12"/>
      <c r="T159" s="36"/>
      <c r="U159" s="36"/>
      <c r="V159" s="12"/>
      <c r="W159" s="12"/>
      <c r="X159" s="12"/>
      <c r="Y159" s="12"/>
      <c r="Z159" s="12"/>
    </row>
    <row r="160" customFormat="false" ht="15.75" hidden="false" customHeight="false" outlineLevel="0" collapsed="false">
      <c r="A160" s="12"/>
      <c r="B160" s="34"/>
      <c r="C160" s="12"/>
      <c r="D160" s="12"/>
      <c r="E160" s="12"/>
      <c r="F160" s="12"/>
      <c r="G160" s="18"/>
      <c r="H160" s="35"/>
      <c r="I160" s="35"/>
      <c r="J160" s="12"/>
      <c r="O160" s="12"/>
      <c r="P160" s="18"/>
      <c r="Q160" s="12"/>
      <c r="R160" s="12"/>
      <c r="S160" s="12"/>
      <c r="T160" s="36"/>
      <c r="U160" s="36"/>
      <c r="V160" s="12"/>
      <c r="W160" s="12"/>
      <c r="X160" s="12"/>
      <c r="Y160" s="12"/>
      <c r="Z160" s="12"/>
    </row>
    <row r="161" customFormat="false" ht="15.75" hidden="false" customHeight="false" outlineLevel="0" collapsed="false">
      <c r="A161" s="12"/>
      <c r="B161" s="34"/>
      <c r="C161" s="12"/>
      <c r="D161" s="12"/>
      <c r="E161" s="12"/>
      <c r="F161" s="12"/>
      <c r="G161" s="18"/>
      <c r="H161" s="35"/>
      <c r="I161" s="35"/>
      <c r="J161" s="12"/>
      <c r="O161" s="12"/>
      <c r="P161" s="18"/>
      <c r="Q161" s="12"/>
      <c r="R161" s="12"/>
      <c r="S161" s="12"/>
      <c r="T161" s="36"/>
      <c r="U161" s="36"/>
      <c r="V161" s="12"/>
      <c r="W161" s="12"/>
      <c r="X161" s="12"/>
      <c r="Y161" s="12"/>
      <c r="Z161" s="12"/>
    </row>
    <row r="162" customFormat="false" ht="15.75" hidden="false" customHeight="false" outlineLevel="0" collapsed="false">
      <c r="A162" s="12"/>
      <c r="B162" s="34"/>
      <c r="C162" s="12"/>
      <c r="D162" s="12"/>
      <c r="E162" s="12"/>
      <c r="F162" s="12"/>
      <c r="G162" s="18"/>
      <c r="H162" s="35"/>
      <c r="I162" s="35"/>
      <c r="J162" s="12"/>
      <c r="O162" s="12"/>
      <c r="P162" s="18"/>
      <c r="Q162" s="12"/>
      <c r="R162" s="12"/>
      <c r="S162" s="12"/>
      <c r="T162" s="36"/>
      <c r="U162" s="36"/>
      <c r="V162" s="12"/>
      <c r="W162" s="12"/>
      <c r="X162" s="12"/>
      <c r="Y162" s="12"/>
      <c r="Z162" s="12"/>
    </row>
    <row r="163" customFormat="false" ht="15.75" hidden="false" customHeight="false" outlineLevel="0" collapsed="false">
      <c r="A163" s="12"/>
      <c r="B163" s="34"/>
      <c r="C163" s="12"/>
      <c r="D163" s="12"/>
      <c r="E163" s="12"/>
      <c r="F163" s="12"/>
      <c r="G163" s="18"/>
      <c r="H163" s="35"/>
      <c r="I163" s="35"/>
      <c r="J163" s="12"/>
      <c r="O163" s="12"/>
      <c r="P163" s="18"/>
      <c r="Q163" s="12"/>
      <c r="R163" s="12"/>
      <c r="S163" s="12"/>
      <c r="T163" s="36"/>
      <c r="U163" s="36"/>
      <c r="V163" s="12"/>
      <c r="W163" s="12"/>
      <c r="X163" s="12"/>
      <c r="Y163" s="12"/>
      <c r="Z163" s="12"/>
    </row>
    <row r="164" customFormat="false" ht="15.75" hidden="false" customHeight="false" outlineLevel="0" collapsed="false">
      <c r="A164" s="12"/>
      <c r="B164" s="34"/>
      <c r="C164" s="12"/>
      <c r="D164" s="12"/>
      <c r="E164" s="12"/>
      <c r="F164" s="12"/>
      <c r="G164" s="18"/>
      <c r="H164" s="35"/>
      <c r="I164" s="35"/>
      <c r="J164" s="12"/>
      <c r="O164" s="12"/>
      <c r="P164" s="18"/>
      <c r="Q164" s="12"/>
      <c r="R164" s="12"/>
      <c r="S164" s="12"/>
      <c r="T164" s="36"/>
      <c r="U164" s="36"/>
      <c r="V164" s="12"/>
      <c r="W164" s="12"/>
      <c r="X164" s="12"/>
      <c r="Y164" s="12"/>
      <c r="Z164" s="12"/>
    </row>
    <row r="165" customFormat="false" ht="15.75" hidden="false" customHeight="false" outlineLevel="0" collapsed="false">
      <c r="A165" s="12"/>
      <c r="B165" s="34"/>
      <c r="C165" s="12"/>
      <c r="D165" s="12"/>
      <c r="E165" s="12"/>
      <c r="F165" s="12"/>
      <c r="G165" s="18"/>
      <c r="H165" s="35"/>
      <c r="I165" s="35"/>
      <c r="J165" s="12"/>
      <c r="O165" s="12"/>
      <c r="P165" s="18"/>
      <c r="Q165" s="12"/>
      <c r="R165" s="12"/>
      <c r="S165" s="12"/>
      <c r="T165" s="36"/>
      <c r="U165" s="36"/>
      <c r="V165" s="12"/>
      <c r="W165" s="12"/>
      <c r="X165" s="12"/>
      <c r="Y165" s="12"/>
      <c r="Z165" s="12"/>
    </row>
    <row r="166" customFormat="false" ht="15.75" hidden="false" customHeight="false" outlineLevel="0" collapsed="false">
      <c r="A166" s="12"/>
      <c r="B166" s="34"/>
      <c r="C166" s="12"/>
      <c r="D166" s="12"/>
      <c r="E166" s="12"/>
      <c r="F166" s="12"/>
      <c r="G166" s="18"/>
      <c r="H166" s="35"/>
      <c r="I166" s="35"/>
      <c r="J166" s="12"/>
      <c r="O166" s="12"/>
      <c r="P166" s="18"/>
      <c r="Q166" s="12"/>
      <c r="R166" s="12"/>
      <c r="S166" s="12"/>
      <c r="T166" s="36"/>
      <c r="U166" s="36"/>
      <c r="V166" s="12"/>
      <c r="W166" s="12"/>
      <c r="X166" s="12"/>
      <c r="Y166" s="12"/>
      <c r="Z166" s="12"/>
    </row>
    <row r="167" customFormat="false" ht="15.75" hidden="false" customHeight="false" outlineLevel="0" collapsed="false">
      <c r="A167" s="12"/>
      <c r="B167" s="34"/>
      <c r="C167" s="12"/>
      <c r="D167" s="12"/>
      <c r="E167" s="12"/>
      <c r="F167" s="12"/>
      <c r="G167" s="18"/>
      <c r="H167" s="35"/>
      <c r="I167" s="35"/>
      <c r="J167" s="12"/>
      <c r="O167" s="12"/>
      <c r="P167" s="18"/>
      <c r="Q167" s="12"/>
      <c r="R167" s="12"/>
      <c r="S167" s="12"/>
      <c r="T167" s="36"/>
      <c r="U167" s="36"/>
      <c r="V167" s="12"/>
      <c r="W167" s="12"/>
      <c r="X167" s="12"/>
      <c r="Y167" s="12"/>
      <c r="Z167" s="12"/>
    </row>
    <row r="168" customFormat="false" ht="15.75" hidden="false" customHeight="false" outlineLevel="0" collapsed="false">
      <c r="A168" s="12"/>
      <c r="B168" s="34"/>
      <c r="C168" s="12"/>
      <c r="D168" s="12"/>
      <c r="E168" s="12"/>
      <c r="F168" s="12"/>
      <c r="G168" s="18"/>
      <c r="H168" s="35"/>
      <c r="I168" s="35"/>
      <c r="J168" s="12"/>
      <c r="O168" s="12"/>
      <c r="P168" s="18"/>
      <c r="Q168" s="12"/>
      <c r="R168" s="12"/>
      <c r="S168" s="12"/>
      <c r="T168" s="36"/>
      <c r="U168" s="36"/>
      <c r="V168" s="12"/>
      <c r="W168" s="12"/>
      <c r="X168" s="12"/>
      <c r="Y168" s="12"/>
      <c r="Z168" s="12"/>
    </row>
    <row r="169" customFormat="false" ht="15.75" hidden="false" customHeight="false" outlineLevel="0" collapsed="false">
      <c r="A169" s="12"/>
      <c r="B169" s="34"/>
      <c r="C169" s="12"/>
      <c r="D169" s="12"/>
      <c r="E169" s="12"/>
      <c r="F169" s="12"/>
      <c r="G169" s="18"/>
      <c r="H169" s="35"/>
      <c r="I169" s="35"/>
      <c r="J169" s="12"/>
      <c r="O169" s="12"/>
      <c r="P169" s="18"/>
      <c r="Q169" s="12"/>
      <c r="R169" s="12"/>
      <c r="S169" s="12"/>
      <c r="T169" s="36"/>
      <c r="U169" s="36"/>
      <c r="V169" s="12"/>
      <c r="W169" s="12"/>
      <c r="X169" s="12"/>
      <c r="Y169" s="12"/>
      <c r="Z169" s="12"/>
    </row>
    <row r="170" customFormat="false" ht="15.75" hidden="false" customHeight="false" outlineLevel="0" collapsed="false">
      <c r="A170" s="12"/>
      <c r="B170" s="34"/>
      <c r="C170" s="12"/>
      <c r="D170" s="12"/>
      <c r="E170" s="12"/>
      <c r="F170" s="12"/>
      <c r="G170" s="18"/>
      <c r="H170" s="35"/>
      <c r="I170" s="35"/>
      <c r="J170" s="12"/>
      <c r="O170" s="12"/>
      <c r="P170" s="18"/>
      <c r="Q170" s="12"/>
      <c r="R170" s="12"/>
      <c r="S170" s="12"/>
      <c r="T170" s="36"/>
      <c r="U170" s="36"/>
      <c r="V170" s="12"/>
      <c r="W170" s="12"/>
      <c r="X170" s="12"/>
      <c r="Y170" s="12"/>
      <c r="Z170" s="12"/>
    </row>
    <row r="171" customFormat="false" ht="15.75" hidden="false" customHeight="false" outlineLevel="0" collapsed="false">
      <c r="A171" s="12"/>
      <c r="B171" s="34"/>
      <c r="C171" s="12"/>
      <c r="D171" s="12"/>
      <c r="E171" s="12"/>
      <c r="F171" s="12"/>
      <c r="G171" s="18"/>
      <c r="H171" s="35"/>
      <c r="I171" s="35"/>
      <c r="J171" s="12"/>
      <c r="O171" s="12"/>
      <c r="P171" s="18"/>
      <c r="Q171" s="12"/>
      <c r="R171" s="12"/>
      <c r="S171" s="12"/>
      <c r="T171" s="36"/>
      <c r="U171" s="36"/>
      <c r="V171" s="12"/>
      <c r="W171" s="12"/>
      <c r="X171" s="12"/>
      <c r="Y171" s="12"/>
      <c r="Z171" s="12"/>
    </row>
    <row r="172" customFormat="false" ht="15.75" hidden="false" customHeight="false" outlineLevel="0" collapsed="false">
      <c r="A172" s="12"/>
      <c r="B172" s="34"/>
      <c r="C172" s="12"/>
      <c r="D172" s="12"/>
      <c r="E172" s="12"/>
      <c r="F172" s="12"/>
      <c r="G172" s="18"/>
      <c r="H172" s="35"/>
      <c r="I172" s="35"/>
      <c r="J172" s="12"/>
      <c r="O172" s="12"/>
      <c r="P172" s="18"/>
      <c r="Q172" s="12"/>
      <c r="R172" s="12"/>
      <c r="S172" s="12"/>
      <c r="T172" s="36"/>
      <c r="U172" s="36"/>
      <c r="V172" s="12"/>
      <c r="W172" s="12"/>
      <c r="X172" s="12"/>
      <c r="Y172" s="12"/>
      <c r="Z172" s="12"/>
    </row>
    <row r="173" customFormat="false" ht="15.75" hidden="false" customHeight="false" outlineLevel="0" collapsed="false">
      <c r="A173" s="12"/>
      <c r="B173" s="34"/>
      <c r="C173" s="12"/>
      <c r="D173" s="12"/>
      <c r="E173" s="12"/>
      <c r="F173" s="12"/>
      <c r="G173" s="18"/>
      <c r="H173" s="35"/>
      <c r="I173" s="35"/>
      <c r="J173" s="12"/>
      <c r="O173" s="12"/>
      <c r="P173" s="18"/>
      <c r="Q173" s="12"/>
      <c r="R173" s="12"/>
      <c r="S173" s="12"/>
      <c r="T173" s="36"/>
      <c r="U173" s="36"/>
      <c r="V173" s="12"/>
      <c r="W173" s="12"/>
      <c r="X173" s="12"/>
      <c r="Y173" s="12"/>
      <c r="Z173" s="12"/>
    </row>
    <row r="174" customFormat="false" ht="15.75" hidden="false" customHeight="false" outlineLevel="0" collapsed="false">
      <c r="A174" s="12"/>
      <c r="B174" s="34"/>
      <c r="C174" s="12"/>
      <c r="D174" s="12"/>
      <c r="E174" s="12"/>
      <c r="F174" s="12"/>
      <c r="G174" s="18"/>
      <c r="H174" s="35"/>
      <c r="I174" s="35"/>
      <c r="J174" s="12"/>
      <c r="O174" s="12"/>
      <c r="P174" s="18"/>
      <c r="Q174" s="12"/>
      <c r="R174" s="12"/>
      <c r="S174" s="12"/>
      <c r="T174" s="36"/>
      <c r="U174" s="36"/>
      <c r="V174" s="12"/>
      <c r="W174" s="12"/>
      <c r="X174" s="12"/>
      <c r="Y174" s="12"/>
      <c r="Z174" s="12"/>
    </row>
    <row r="175" customFormat="false" ht="15.75" hidden="false" customHeight="false" outlineLevel="0" collapsed="false">
      <c r="A175" s="12"/>
      <c r="B175" s="34"/>
      <c r="C175" s="12"/>
      <c r="D175" s="12"/>
      <c r="E175" s="12"/>
      <c r="F175" s="12"/>
      <c r="G175" s="18"/>
      <c r="H175" s="35"/>
      <c r="I175" s="35"/>
      <c r="J175" s="12"/>
      <c r="O175" s="12"/>
      <c r="P175" s="18"/>
      <c r="Q175" s="12"/>
      <c r="R175" s="12"/>
      <c r="S175" s="12"/>
      <c r="T175" s="36"/>
      <c r="U175" s="36"/>
      <c r="V175" s="12"/>
      <c r="W175" s="12"/>
      <c r="X175" s="12"/>
      <c r="Y175" s="12"/>
      <c r="Z175" s="12"/>
    </row>
    <row r="176" customFormat="false" ht="15.75" hidden="false" customHeight="false" outlineLevel="0" collapsed="false">
      <c r="A176" s="12"/>
      <c r="B176" s="34"/>
      <c r="C176" s="12"/>
      <c r="D176" s="12"/>
      <c r="E176" s="12"/>
      <c r="F176" s="12"/>
      <c r="G176" s="18"/>
      <c r="H176" s="35"/>
      <c r="I176" s="35"/>
      <c r="J176" s="12"/>
      <c r="O176" s="12"/>
      <c r="P176" s="18"/>
      <c r="Q176" s="12"/>
      <c r="R176" s="12"/>
      <c r="S176" s="12"/>
      <c r="T176" s="36"/>
      <c r="U176" s="36"/>
      <c r="V176" s="12"/>
      <c r="W176" s="12"/>
      <c r="X176" s="12"/>
      <c r="Y176" s="12"/>
      <c r="Z176" s="12"/>
    </row>
    <row r="177" customFormat="false" ht="15.75" hidden="false" customHeight="false" outlineLevel="0" collapsed="false">
      <c r="A177" s="12"/>
      <c r="B177" s="34"/>
      <c r="C177" s="12"/>
      <c r="D177" s="12"/>
      <c r="E177" s="12"/>
      <c r="F177" s="12"/>
      <c r="G177" s="18"/>
      <c r="H177" s="35"/>
      <c r="I177" s="35"/>
      <c r="J177" s="12"/>
      <c r="O177" s="12"/>
      <c r="P177" s="18"/>
      <c r="Q177" s="12"/>
      <c r="R177" s="12"/>
      <c r="S177" s="12"/>
      <c r="T177" s="36"/>
      <c r="U177" s="36"/>
      <c r="V177" s="12"/>
      <c r="W177" s="12"/>
      <c r="X177" s="12"/>
      <c r="Y177" s="12"/>
      <c r="Z177" s="12"/>
    </row>
    <row r="178" customFormat="false" ht="15.75" hidden="false" customHeight="false" outlineLevel="0" collapsed="false">
      <c r="A178" s="12"/>
      <c r="B178" s="34"/>
      <c r="C178" s="12"/>
      <c r="D178" s="12"/>
      <c r="E178" s="12"/>
      <c r="F178" s="12"/>
      <c r="G178" s="18"/>
      <c r="H178" s="35"/>
      <c r="I178" s="35"/>
      <c r="J178" s="12"/>
      <c r="O178" s="12"/>
      <c r="P178" s="18"/>
      <c r="Q178" s="12"/>
      <c r="R178" s="12"/>
      <c r="S178" s="12"/>
      <c r="T178" s="36"/>
      <c r="U178" s="36"/>
      <c r="V178" s="12"/>
      <c r="W178" s="12"/>
      <c r="X178" s="12"/>
      <c r="Y178" s="12"/>
      <c r="Z178" s="12"/>
    </row>
    <row r="179" customFormat="false" ht="15.75" hidden="false" customHeight="false" outlineLevel="0" collapsed="false">
      <c r="A179" s="12"/>
      <c r="B179" s="34"/>
      <c r="C179" s="12"/>
      <c r="D179" s="12"/>
      <c r="E179" s="12"/>
      <c r="F179" s="12"/>
      <c r="G179" s="18"/>
      <c r="H179" s="35"/>
      <c r="I179" s="35"/>
      <c r="J179" s="12"/>
      <c r="O179" s="12"/>
      <c r="P179" s="18"/>
      <c r="Q179" s="12"/>
      <c r="R179" s="12"/>
      <c r="S179" s="12"/>
      <c r="T179" s="36"/>
      <c r="U179" s="36"/>
      <c r="V179" s="12"/>
      <c r="W179" s="12"/>
      <c r="X179" s="12"/>
      <c r="Y179" s="12"/>
      <c r="Z179" s="12"/>
    </row>
    <row r="180" customFormat="false" ht="15.75" hidden="false" customHeight="false" outlineLevel="0" collapsed="false">
      <c r="A180" s="12"/>
      <c r="B180" s="34"/>
      <c r="C180" s="12"/>
      <c r="D180" s="12"/>
      <c r="E180" s="12"/>
      <c r="F180" s="12"/>
      <c r="G180" s="18"/>
      <c r="H180" s="35"/>
      <c r="I180" s="35"/>
      <c r="J180" s="12"/>
      <c r="O180" s="12"/>
      <c r="P180" s="18"/>
      <c r="Q180" s="12"/>
      <c r="R180" s="12"/>
      <c r="S180" s="12"/>
      <c r="T180" s="36"/>
      <c r="U180" s="36"/>
      <c r="V180" s="12"/>
      <c r="W180" s="12"/>
      <c r="X180" s="12"/>
      <c r="Y180" s="12"/>
      <c r="Z180" s="12"/>
    </row>
    <row r="181" customFormat="false" ht="15.75" hidden="false" customHeight="false" outlineLevel="0" collapsed="false">
      <c r="A181" s="12"/>
      <c r="B181" s="34"/>
      <c r="C181" s="12"/>
      <c r="D181" s="12"/>
      <c r="E181" s="12"/>
      <c r="F181" s="12"/>
      <c r="G181" s="18"/>
      <c r="H181" s="35"/>
      <c r="I181" s="35"/>
      <c r="J181" s="12"/>
      <c r="O181" s="12"/>
      <c r="P181" s="18"/>
      <c r="Q181" s="12"/>
      <c r="R181" s="12"/>
      <c r="S181" s="12"/>
      <c r="T181" s="36"/>
      <c r="U181" s="36"/>
      <c r="V181" s="12"/>
      <c r="W181" s="12"/>
      <c r="X181" s="12"/>
      <c r="Y181" s="12"/>
      <c r="Z181" s="12"/>
    </row>
    <row r="182" customFormat="false" ht="15.75" hidden="false" customHeight="false" outlineLevel="0" collapsed="false">
      <c r="A182" s="12"/>
      <c r="B182" s="34"/>
      <c r="C182" s="12"/>
      <c r="D182" s="12"/>
      <c r="E182" s="12"/>
      <c r="F182" s="12"/>
      <c r="G182" s="18"/>
      <c r="H182" s="35"/>
      <c r="I182" s="35"/>
      <c r="J182" s="12"/>
      <c r="O182" s="12"/>
      <c r="P182" s="18"/>
      <c r="Q182" s="12"/>
      <c r="R182" s="12"/>
      <c r="S182" s="12"/>
      <c r="T182" s="36"/>
      <c r="U182" s="36"/>
      <c r="V182" s="12"/>
      <c r="W182" s="12"/>
      <c r="X182" s="12"/>
      <c r="Y182" s="12"/>
      <c r="Z182" s="12"/>
    </row>
    <row r="183" customFormat="false" ht="15.75" hidden="false" customHeight="false" outlineLevel="0" collapsed="false">
      <c r="A183" s="12"/>
      <c r="B183" s="34"/>
      <c r="C183" s="12"/>
      <c r="D183" s="12"/>
      <c r="E183" s="12"/>
      <c r="F183" s="12"/>
      <c r="G183" s="18"/>
      <c r="H183" s="35"/>
      <c r="I183" s="35"/>
      <c r="J183" s="12"/>
      <c r="O183" s="12"/>
      <c r="P183" s="18"/>
      <c r="Q183" s="12"/>
      <c r="R183" s="12"/>
      <c r="S183" s="12"/>
      <c r="T183" s="36"/>
      <c r="U183" s="36"/>
      <c r="V183" s="12"/>
      <c r="W183" s="12"/>
      <c r="X183" s="12"/>
      <c r="Y183" s="12"/>
      <c r="Z183" s="12"/>
    </row>
    <row r="184" customFormat="false" ht="15.75" hidden="false" customHeight="false" outlineLevel="0" collapsed="false">
      <c r="A184" s="12"/>
      <c r="B184" s="34"/>
      <c r="C184" s="12"/>
      <c r="D184" s="12"/>
      <c r="E184" s="12"/>
      <c r="F184" s="12"/>
      <c r="G184" s="18"/>
      <c r="H184" s="35"/>
      <c r="I184" s="35"/>
      <c r="J184" s="12"/>
      <c r="O184" s="12"/>
      <c r="P184" s="18"/>
      <c r="Q184" s="12"/>
      <c r="R184" s="12"/>
      <c r="S184" s="12"/>
      <c r="T184" s="36"/>
      <c r="U184" s="36"/>
      <c r="V184" s="12"/>
      <c r="W184" s="12"/>
      <c r="X184" s="12"/>
      <c r="Y184" s="12"/>
      <c r="Z184" s="12"/>
    </row>
    <row r="185" customFormat="false" ht="15.75" hidden="false" customHeight="false" outlineLevel="0" collapsed="false">
      <c r="A185" s="12"/>
      <c r="B185" s="34"/>
      <c r="C185" s="12"/>
      <c r="D185" s="12"/>
      <c r="E185" s="12"/>
      <c r="F185" s="12"/>
      <c r="G185" s="18"/>
      <c r="H185" s="35"/>
      <c r="I185" s="35"/>
      <c r="J185" s="12"/>
      <c r="O185" s="12"/>
      <c r="P185" s="18"/>
      <c r="Q185" s="12"/>
      <c r="R185" s="12"/>
      <c r="S185" s="12"/>
      <c r="T185" s="36"/>
      <c r="U185" s="36"/>
      <c r="V185" s="12"/>
      <c r="W185" s="12"/>
      <c r="X185" s="12"/>
      <c r="Y185" s="12"/>
      <c r="Z185" s="12"/>
    </row>
    <row r="186" customFormat="false" ht="15.75" hidden="false" customHeight="false" outlineLevel="0" collapsed="false">
      <c r="A186" s="12"/>
      <c r="B186" s="34"/>
      <c r="C186" s="12"/>
      <c r="D186" s="12"/>
      <c r="E186" s="12"/>
      <c r="F186" s="12"/>
      <c r="G186" s="18"/>
      <c r="H186" s="35"/>
      <c r="I186" s="35"/>
      <c r="J186" s="12"/>
      <c r="O186" s="12"/>
      <c r="P186" s="18"/>
      <c r="Q186" s="12"/>
      <c r="R186" s="12"/>
      <c r="S186" s="12"/>
      <c r="T186" s="36"/>
      <c r="U186" s="36"/>
      <c r="V186" s="12"/>
      <c r="W186" s="12"/>
      <c r="X186" s="12"/>
      <c r="Y186" s="12"/>
      <c r="Z186" s="12"/>
    </row>
    <row r="187" customFormat="false" ht="15.75" hidden="false" customHeight="false" outlineLevel="0" collapsed="false">
      <c r="A187" s="12"/>
      <c r="B187" s="34"/>
      <c r="C187" s="12"/>
      <c r="D187" s="12"/>
      <c r="E187" s="12"/>
      <c r="F187" s="12"/>
      <c r="G187" s="18"/>
      <c r="H187" s="35"/>
      <c r="I187" s="35"/>
      <c r="J187" s="12"/>
      <c r="O187" s="12"/>
      <c r="P187" s="18"/>
      <c r="Q187" s="12"/>
      <c r="R187" s="12"/>
      <c r="S187" s="12"/>
      <c r="T187" s="36"/>
      <c r="U187" s="36"/>
      <c r="V187" s="12"/>
      <c r="W187" s="12"/>
      <c r="X187" s="12"/>
      <c r="Y187" s="12"/>
      <c r="Z187" s="12"/>
    </row>
    <row r="188" customFormat="false" ht="15.75" hidden="false" customHeight="false" outlineLevel="0" collapsed="false">
      <c r="A188" s="12"/>
      <c r="B188" s="34"/>
      <c r="C188" s="12"/>
      <c r="D188" s="12"/>
      <c r="E188" s="12"/>
      <c r="F188" s="12"/>
      <c r="G188" s="18"/>
      <c r="H188" s="35"/>
      <c r="I188" s="35"/>
      <c r="J188" s="12"/>
      <c r="O188" s="12"/>
      <c r="P188" s="18"/>
      <c r="Q188" s="12"/>
      <c r="R188" s="12"/>
      <c r="S188" s="12"/>
      <c r="T188" s="36"/>
      <c r="U188" s="36"/>
      <c r="V188" s="12"/>
      <c r="W188" s="12"/>
      <c r="X188" s="12"/>
      <c r="Y188" s="12"/>
      <c r="Z188" s="12"/>
    </row>
    <row r="189" customFormat="false" ht="15.75" hidden="false" customHeight="false" outlineLevel="0" collapsed="false">
      <c r="A189" s="12"/>
      <c r="B189" s="34"/>
      <c r="C189" s="12"/>
      <c r="D189" s="12"/>
      <c r="E189" s="12"/>
      <c r="F189" s="12"/>
      <c r="G189" s="18"/>
      <c r="H189" s="35"/>
      <c r="I189" s="35"/>
      <c r="J189" s="12"/>
      <c r="O189" s="12"/>
      <c r="P189" s="18"/>
      <c r="Q189" s="12"/>
      <c r="R189" s="12"/>
      <c r="S189" s="12"/>
      <c r="T189" s="36"/>
      <c r="U189" s="36"/>
      <c r="V189" s="12"/>
      <c r="W189" s="12"/>
      <c r="X189" s="12"/>
      <c r="Y189" s="12"/>
      <c r="Z189" s="12"/>
    </row>
    <row r="190" customFormat="false" ht="15.75" hidden="false" customHeight="false" outlineLevel="0" collapsed="false">
      <c r="A190" s="12"/>
      <c r="B190" s="34"/>
      <c r="C190" s="12"/>
      <c r="D190" s="12"/>
      <c r="E190" s="12"/>
      <c r="F190" s="12"/>
      <c r="G190" s="18"/>
      <c r="H190" s="35"/>
      <c r="I190" s="35"/>
      <c r="J190" s="12"/>
      <c r="O190" s="12"/>
      <c r="P190" s="18"/>
      <c r="Q190" s="12"/>
      <c r="R190" s="12"/>
      <c r="S190" s="12"/>
      <c r="T190" s="36"/>
      <c r="U190" s="36"/>
      <c r="V190" s="12"/>
      <c r="W190" s="12"/>
      <c r="X190" s="12"/>
      <c r="Y190" s="12"/>
      <c r="Z190" s="12"/>
    </row>
    <row r="191" customFormat="false" ht="15.75" hidden="false" customHeight="false" outlineLevel="0" collapsed="false">
      <c r="A191" s="12"/>
      <c r="B191" s="34"/>
      <c r="C191" s="12"/>
      <c r="D191" s="12"/>
      <c r="E191" s="12"/>
      <c r="F191" s="12"/>
      <c r="G191" s="18"/>
      <c r="H191" s="35"/>
      <c r="I191" s="35"/>
      <c r="J191" s="12"/>
      <c r="O191" s="12"/>
      <c r="P191" s="18"/>
      <c r="Q191" s="12"/>
      <c r="R191" s="12"/>
      <c r="S191" s="12"/>
      <c r="T191" s="36"/>
      <c r="U191" s="36"/>
      <c r="V191" s="12"/>
      <c r="W191" s="12"/>
      <c r="X191" s="12"/>
      <c r="Y191" s="12"/>
      <c r="Z191" s="12"/>
    </row>
    <row r="192" customFormat="false" ht="15.75" hidden="false" customHeight="false" outlineLevel="0" collapsed="false">
      <c r="A192" s="12"/>
      <c r="B192" s="34"/>
      <c r="C192" s="12"/>
      <c r="D192" s="12"/>
      <c r="E192" s="12"/>
      <c r="F192" s="12"/>
      <c r="G192" s="18"/>
      <c r="H192" s="35"/>
      <c r="I192" s="35"/>
      <c r="J192" s="12"/>
      <c r="O192" s="12"/>
      <c r="P192" s="18"/>
      <c r="Q192" s="12"/>
      <c r="R192" s="12"/>
      <c r="S192" s="12"/>
      <c r="T192" s="36"/>
      <c r="U192" s="36"/>
      <c r="V192" s="12"/>
      <c r="W192" s="12"/>
      <c r="X192" s="12"/>
      <c r="Y192" s="12"/>
      <c r="Z192" s="12"/>
    </row>
    <row r="193" customFormat="false" ht="15.75" hidden="false" customHeight="false" outlineLevel="0" collapsed="false">
      <c r="A193" s="12"/>
      <c r="B193" s="34"/>
      <c r="C193" s="12"/>
      <c r="D193" s="12"/>
      <c r="E193" s="12"/>
      <c r="F193" s="12"/>
      <c r="G193" s="18"/>
      <c r="H193" s="35"/>
      <c r="I193" s="35"/>
      <c r="J193" s="12"/>
      <c r="O193" s="12"/>
      <c r="P193" s="18"/>
      <c r="Q193" s="12"/>
      <c r="R193" s="12"/>
      <c r="S193" s="12"/>
      <c r="T193" s="36"/>
      <c r="U193" s="36"/>
      <c r="V193" s="12"/>
      <c r="W193" s="12"/>
      <c r="X193" s="12"/>
      <c r="Y193" s="12"/>
      <c r="Z193" s="12"/>
    </row>
    <row r="194" customFormat="false" ht="15.75" hidden="false" customHeight="false" outlineLevel="0" collapsed="false">
      <c r="A194" s="12"/>
      <c r="B194" s="34"/>
      <c r="C194" s="12"/>
      <c r="D194" s="12"/>
      <c r="E194" s="12"/>
      <c r="F194" s="12"/>
      <c r="G194" s="18"/>
      <c r="H194" s="35"/>
      <c r="I194" s="35"/>
      <c r="J194" s="12"/>
      <c r="O194" s="12"/>
      <c r="P194" s="18"/>
      <c r="Q194" s="12"/>
      <c r="R194" s="12"/>
      <c r="S194" s="12"/>
      <c r="T194" s="36"/>
      <c r="U194" s="36"/>
      <c r="V194" s="12"/>
      <c r="W194" s="12"/>
      <c r="X194" s="12"/>
      <c r="Y194" s="12"/>
      <c r="Z194" s="12"/>
    </row>
    <row r="195" customFormat="false" ht="15.75" hidden="false" customHeight="false" outlineLevel="0" collapsed="false">
      <c r="A195" s="12"/>
      <c r="B195" s="34"/>
      <c r="C195" s="12"/>
      <c r="D195" s="12"/>
      <c r="E195" s="12"/>
      <c r="F195" s="12"/>
      <c r="G195" s="18"/>
      <c r="H195" s="35"/>
      <c r="I195" s="35"/>
      <c r="J195" s="12"/>
      <c r="O195" s="12"/>
      <c r="P195" s="18"/>
      <c r="Q195" s="12"/>
      <c r="R195" s="12"/>
      <c r="S195" s="12"/>
      <c r="T195" s="36"/>
      <c r="U195" s="36"/>
      <c r="V195" s="12"/>
      <c r="W195" s="12"/>
      <c r="X195" s="12"/>
      <c r="Y195" s="12"/>
      <c r="Z195" s="12"/>
    </row>
    <row r="196" customFormat="false" ht="15.75" hidden="false" customHeight="false" outlineLevel="0" collapsed="false">
      <c r="A196" s="12"/>
      <c r="B196" s="34"/>
      <c r="C196" s="12"/>
      <c r="D196" s="12"/>
      <c r="E196" s="12"/>
      <c r="F196" s="12"/>
      <c r="G196" s="18"/>
      <c r="H196" s="35"/>
      <c r="I196" s="35"/>
      <c r="J196" s="12"/>
      <c r="O196" s="12"/>
      <c r="P196" s="18"/>
      <c r="Q196" s="12"/>
      <c r="R196" s="12"/>
      <c r="S196" s="12"/>
      <c r="T196" s="36"/>
      <c r="U196" s="36"/>
      <c r="V196" s="12"/>
      <c r="W196" s="12"/>
      <c r="X196" s="12"/>
      <c r="Y196" s="12"/>
      <c r="Z196" s="12"/>
    </row>
    <row r="197" customFormat="false" ht="15.75" hidden="false" customHeight="false" outlineLevel="0" collapsed="false">
      <c r="A197" s="12"/>
      <c r="B197" s="34"/>
      <c r="C197" s="12"/>
      <c r="D197" s="12"/>
      <c r="E197" s="12"/>
      <c r="F197" s="12"/>
      <c r="G197" s="18"/>
      <c r="H197" s="35"/>
      <c r="I197" s="35"/>
      <c r="J197" s="12"/>
      <c r="O197" s="12"/>
      <c r="P197" s="18"/>
      <c r="Q197" s="12"/>
      <c r="R197" s="12"/>
      <c r="S197" s="12"/>
      <c r="T197" s="36"/>
      <c r="U197" s="36"/>
      <c r="V197" s="12"/>
      <c r="W197" s="12"/>
      <c r="X197" s="12"/>
      <c r="Y197" s="12"/>
      <c r="Z197" s="12"/>
    </row>
    <row r="198" customFormat="false" ht="15.75" hidden="false" customHeight="false" outlineLevel="0" collapsed="false">
      <c r="A198" s="12"/>
      <c r="B198" s="34"/>
      <c r="C198" s="12"/>
      <c r="D198" s="12"/>
      <c r="E198" s="12"/>
      <c r="F198" s="12"/>
      <c r="G198" s="18"/>
      <c r="H198" s="35"/>
      <c r="I198" s="35"/>
      <c r="J198" s="12"/>
      <c r="O198" s="12"/>
      <c r="P198" s="18"/>
      <c r="Q198" s="12"/>
      <c r="R198" s="12"/>
      <c r="S198" s="12"/>
      <c r="T198" s="36"/>
      <c r="U198" s="36"/>
      <c r="V198" s="12"/>
      <c r="W198" s="12"/>
      <c r="X198" s="12"/>
      <c r="Y198" s="12"/>
      <c r="Z198" s="12"/>
    </row>
    <row r="199" customFormat="false" ht="15.75" hidden="false" customHeight="false" outlineLevel="0" collapsed="false">
      <c r="A199" s="12"/>
      <c r="B199" s="34"/>
      <c r="C199" s="12"/>
      <c r="D199" s="12"/>
      <c r="E199" s="12"/>
      <c r="F199" s="12"/>
      <c r="G199" s="18"/>
      <c r="H199" s="35"/>
      <c r="I199" s="35"/>
      <c r="J199" s="12"/>
      <c r="O199" s="12"/>
      <c r="P199" s="18"/>
      <c r="Q199" s="12"/>
      <c r="R199" s="12"/>
      <c r="S199" s="12"/>
      <c r="T199" s="36"/>
      <c r="U199" s="36"/>
      <c r="V199" s="12"/>
      <c r="W199" s="12"/>
      <c r="X199" s="12"/>
      <c r="Y199" s="12"/>
      <c r="Z199" s="12"/>
    </row>
    <row r="200" customFormat="false" ht="15.75" hidden="false" customHeight="false" outlineLevel="0" collapsed="false">
      <c r="A200" s="12"/>
      <c r="B200" s="34"/>
      <c r="C200" s="12"/>
      <c r="D200" s="12"/>
      <c r="E200" s="12"/>
      <c r="F200" s="12"/>
      <c r="G200" s="18"/>
      <c r="H200" s="35"/>
      <c r="I200" s="35"/>
      <c r="J200" s="12"/>
      <c r="O200" s="12"/>
      <c r="P200" s="18"/>
      <c r="Q200" s="12"/>
      <c r="R200" s="12"/>
      <c r="S200" s="12"/>
      <c r="T200" s="36"/>
      <c r="U200" s="36"/>
      <c r="V200" s="12"/>
      <c r="W200" s="12"/>
      <c r="X200" s="12"/>
      <c r="Y200" s="12"/>
      <c r="Z200" s="12"/>
    </row>
    <row r="201" customFormat="false" ht="15.75" hidden="false" customHeight="false" outlineLevel="0" collapsed="false">
      <c r="A201" s="12"/>
      <c r="B201" s="34"/>
      <c r="C201" s="12"/>
      <c r="D201" s="12"/>
      <c r="E201" s="12"/>
      <c r="F201" s="12"/>
      <c r="G201" s="18"/>
      <c r="H201" s="35"/>
      <c r="I201" s="35"/>
      <c r="J201" s="12"/>
      <c r="O201" s="12"/>
      <c r="P201" s="18"/>
      <c r="Q201" s="12"/>
      <c r="R201" s="12"/>
      <c r="S201" s="12"/>
      <c r="T201" s="36"/>
      <c r="U201" s="36"/>
      <c r="V201" s="12"/>
      <c r="W201" s="12"/>
      <c r="X201" s="12"/>
      <c r="Y201" s="12"/>
      <c r="Z201" s="12"/>
    </row>
    <row r="202" customFormat="false" ht="15.75" hidden="false" customHeight="false" outlineLevel="0" collapsed="false">
      <c r="A202" s="12"/>
      <c r="B202" s="34"/>
      <c r="C202" s="12"/>
      <c r="D202" s="12"/>
      <c r="E202" s="12"/>
      <c r="F202" s="12"/>
      <c r="G202" s="18"/>
      <c r="H202" s="35"/>
      <c r="I202" s="35"/>
      <c r="J202" s="12"/>
      <c r="O202" s="12"/>
      <c r="P202" s="18"/>
      <c r="Q202" s="12"/>
      <c r="R202" s="12"/>
      <c r="S202" s="12"/>
      <c r="T202" s="36"/>
      <c r="U202" s="36"/>
      <c r="V202" s="12"/>
      <c r="W202" s="12"/>
      <c r="X202" s="12"/>
      <c r="Y202" s="12"/>
      <c r="Z202" s="12"/>
    </row>
    <row r="203" customFormat="false" ht="15.75" hidden="false" customHeight="false" outlineLevel="0" collapsed="false">
      <c r="A203" s="12"/>
      <c r="B203" s="34"/>
      <c r="C203" s="12"/>
      <c r="D203" s="12"/>
      <c r="E203" s="12"/>
      <c r="F203" s="12"/>
      <c r="G203" s="18"/>
      <c r="H203" s="35"/>
      <c r="I203" s="35"/>
      <c r="J203" s="12"/>
      <c r="O203" s="12"/>
      <c r="P203" s="18"/>
      <c r="Q203" s="12"/>
      <c r="R203" s="12"/>
      <c r="S203" s="12"/>
      <c r="T203" s="36"/>
      <c r="U203" s="36"/>
      <c r="V203" s="12"/>
      <c r="W203" s="12"/>
      <c r="X203" s="12"/>
      <c r="Y203" s="12"/>
      <c r="Z203" s="12"/>
    </row>
    <row r="204" customFormat="false" ht="15.75" hidden="false" customHeight="false" outlineLevel="0" collapsed="false">
      <c r="A204" s="12"/>
      <c r="B204" s="34"/>
      <c r="C204" s="12"/>
      <c r="D204" s="12"/>
      <c r="E204" s="12"/>
      <c r="F204" s="12"/>
      <c r="G204" s="18"/>
      <c r="H204" s="35"/>
      <c r="I204" s="35"/>
      <c r="J204" s="12"/>
      <c r="O204" s="12"/>
      <c r="P204" s="18"/>
      <c r="Q204" s="12"/>
      <c r="R204" s="12"/>
      <c r="S204" s="12"/>
      <c r="T204" s="36"/>
      <c r="U204" s="36"/>
      <c r="V204" s="12"/>
      <c r="W204" s="12"/>
      <c r="X204" s="12"/>
      <c r="Y204" s="12"/>
      <c r="Z204" s="12"/>
    </row>
    <row r="205" customFormat="false" ht="15.75" hidden="false" customHeight="false" outlineLevel="0" collapsed="false">
      <c r="A205" s="12"/>
      <c r="B205" s="34"/>
      <c r="C205" s="12"/>
      <c r="D205" s="12"/>
      <c r="E205" s="12"/>
      <c r="F205" s="12"/>
      <c r="G205" s="18"/>
      <c r="H205" s="35"/>
      <c r="I205" s="35"/>
      <c r="J205" s="12"/>
      <c r="O205" s="12"/>
      <c r="P205" s="18"/>
      <c r="Q205" s="12"/>
      <c r="R205" s="12"/>
      <c r="S205" s="12"/>
      <c r="T205" s="36"/>
      <c r="U205" s="36"/>
      <c r="V205" s="12"/>
      <c r="W205" s="12"/>
      <c r="X205" s="12"/>
      <c r="Y205" s="12"/>
      <c r="Z205" s="12"/>
    </row>
    <row r="206" customFormat="false" ht="15.75" hidden="false" customHeight="false" outlineLevel="0" collapsed="false">
      <c r="A206" s="12"/>
      <c r="B206" s="34"/>
      <c r="C206" s="12"/>
      <c r="D206" s="12"/>
      <c r="E206" s="12"/>
      <c r="F206" s="12"/>
      <c r="G206" s="18"/>
      <c r="H206" s="35"/>
      <c r="I206" s="35"/>
      <c r="J206" s="12"/>
      <c r="O206" s="12"/>
      <c r="P206" s="18"/>
      <c r="Q206" s="12"/>
      <c r="R206" s="12"/>
      <c r="S206" s="12"/>
      <c r="T206" s="36"/>
      <c r="U206" s="36"/>
      <c r="V206" s="12"/>
      <c r="W206" s="12"/>
      <c r="X206" s="12"/>
      <c r="Y206" s="12"/>
      <c r="Z206" s="12"/>
    </row>
    <row r="207" customFormat="false" ht="15.75" hidden="false" customHeight="false" outlineLevel="0" collapsed="false">
      <c r="A207" s="12"/>
      <c r="B207" s="34"/>
      <c r="C207" s="12"/>
      <c r="D207" s="12"/>
      <c r="E207" s="12"/>
      <c r="F207" s="12"/>
      <c r="G207" s="18"/>
      <c r="H207" s="35"/>
      <c r="I207" s="35"/>
      <c r="J207" s="12"/>
      <c r="O207" s="12"/>
      <c r="P207" s="18"/>
      <c r="Q207" s="12"/>
      <c r="R207" s="12"/>
      <c r="S207" s="12"/>
      <c r="T207" s="36"/>
      <c r="U207" s="36"/>
      <c r="V207" s="12"/>
      <c r="W207" s="12"/>
      <c r="X207" s="12"/>
      <c r="Y207" s="12"/>
      <c r="Z207" s="12"/>
    </row>
    <row r="208" customFormat="false" ht="15.75" hidden="false" customHeight="false" outlineLevel="0" collapsed="false">
      <c r="A208" s="12"/>
      <c r="B208" s="34"/>
      <c r="C208" s="12"/>
      <c r="D208" s="12"/>
      <c r="E208" s="12"/>
      <c r="F208" s="12"/>
      <c r="G208" s="18"/>
      <c r="H208" s="35"/>
      <c r="I208" s="35"/>
      <c r="J208" s="12"/>
      <c r="O208" s="12"/>
      <c r="P208" s="18"/>
      <c r="Q208" s="12"/>
      <c r="R208" s="12"/>
      <c r="S208" s="12"/>
      <c r="T208" s="36"/>
      <c r="U208" s="36"/>
      <c r="V208" s="12"/>
      <c r="W208" s="12"/>
      <c r="X208" s="12"/>
      <c r="Y208" s="12"/>
      <c r="Z208" s="12"/>
    </row>
    <row r="209" customFormat="false" ht="15.75" hidden="false" customHeight="false" outlineLevel="0" collapsed="false">
      <c r="A209" s="12"/>
      <c r="B209" s="34"/>
      <c r="C209" s="12"/>
      <c r="D209" s="12"/>
      <c r="E209" s="12"/>
      <c r="F209" s="12"/>
      <c r="G209" s="18"/>
      <c r="H209" s="35"/>
      <c r="I209" s="35"/>
      <c r="J209" s="12"/>
      <c r="O209" s="12"/>
      <c r="P209" s="18"/>
      <c r="Q209" s="12"/>
      <c r="R209" s="12"/>
      <c r="S209" s="12"/>
      <c r="T209" s="36"/>
      <c r="U209" s="36"/>
      <c r="V209" s="12"/>
      <c r="W209" s="12"/>
      <c r="X209" s="12"/>
      <c r="Y209" s="12"/>
      <c r="Z209" s="12"/>
    </row>
    <row r="210" customFormat="false" ht="15.75" hidden="false" customHeight="false" outlineLevel="0" collapsed="false">
      <c r="A210" s="12"/>
      <c r="B210" s="34"/>
      <c r="C210" s="12"/>
      <c r="D210" s="12"/>
      <c r="E210" s="12"/>
      <c r="F210" s="12"/>
      <c r="G210" s="18"/>
      <c r="H210" s="35"/>
      <c r="I210" s="35"/>
      <c r="J210" s="12"/>
      <c r="O210" s="12"/>
      <c r="P210" s="18"/>
      <c r="Q210" s="12"/>
      <c r="R210" s="12"/>
      <c r="S210" s="12"/>
      <c r="T210" s="36"/>
      <c r="U210" s="36"/>
      <c r="V210" s="12"/>
      <c r="W210" s="12"/>
      <c r="X210" s="12"/>
      <c r="Y210" s="12"/>
      <c r="Z210" s="12"/>
    </row>
    <row r="211" customFormat="false" ht="15.75" hidden="false" customHeight="false" outlineLevel="0" collapsed="false">
      <c r="A211" s="12"/>
      <c r="B211" s="34"/>
      <c r="C211" s="12"/>
      <c r="D211" s="12"/>
      <c r="E211" s="12"/>
      <c r="F211" s="12"/>
      <c r="G211" s="18"/>
      <c r="H211" s="35"/>
      <c r="I211" s="35"/>
      <c r="J211" s="12"/>
      <c r="O211" s="12"/>
      <c r="P211" s="18"/>
      <c r="Q211" s="12"/>
      <c r="R211" s="12"/>
      <c r="S211" s="12"/>
      <c r="T211" s="36"/>
      <c r="U211" s="36"/>
      <c r="V211" s="12"/>
      <c r="W211" s="12"/>
      <c r="X211" s="12"/>
      <c r="Y211" s="12"/>
      <c r="Z211" s="12"/>
    </row>
    <row r="212" customFormat="false" ht="15.75" hidden="false" customHeight="false" outlineLevel="0" collapsed="false">
      <c r="A212" s="12"/>
      <c r="B212" s="34"/>
      <c r="C212" s="12"/>
      <c r="D212" s="12"/>
      <c r="E212" s="12"/>
      <c r="F212" s="12"/>
      <c r="G212" s="18"/>
      <c r="H212" s="35"/>
      <c r="I212" s="35"/>
      <c r="J212" s="12"/>
      <c r="O212" s="12"/>
      <c r="P212" s="18"/>
      <c r="Q212" s="12"/>
      <c r="R212" s="12"/>
      <c r="S212" s="12"/>
      <c r="T212" s="36"/>
      <c r="U212" s="36"/>
      <c r="V212" s="12"/>
      <c r="W212" s="12"/>
      <c r="X212" s="12"/>
      <c r="Y212" s="12"/>
      <c r="Z212" s="12"/>
    </row>
    <row r="213" customFormat="false" ht="15.75" hidden="false" customHeight="false" outlineLevel="0" collapsed="false">
      <c r="A213" s="12"/>
      <c r="B213" s="34"/>
      <c r="C213" s="12"/>
      <c r="D213" s="12"/>
      <c r="E213" s="12"/>
      <c r="F213" s="12"/>
      <c r="G213" s="18"/>
      <c r="H213" s="35"/>
      <c r="I213" s="35"/>
      <c r="J213" s="12"/>
      <c r="O213" s="12"/>
      <c r="P213" s="18"/>
      <c r="Q213" s="12"/>
      <c r="R213" s="12"/>
      <c r="S213" s="12"/>
      <c r="T213" s="36"/>
      <c r="U213" s="36"/>
      <c r="V213" s="12"/>
      <c r="W213" s="12"/>
      <c r="X213" s="12"/>
      <c r="Y213" s="12"/>
      <c r="Z213" s="12"/>
    </row>
    <row r="214" customFormat="false" ht="15.75" hidden="false" customHeight="false" outlineLevel="0" collapsed="false">
      <c r="A214" s="12"/>
      <c r="B214" s="34"/>
      <c r="C214" s="12"/>
      <c r="D214" s="12"/>
      <c r="E214" s="12"/>
      <c r="F214" s="12"/>
      <c r="G214" s="18"/>
      <c r="H214" s="35"/>
      <c r="I214" s="35"/>
      <c r="J214" s="12"/>
      <c r="O214" s="12"/>
      <c r="P214" s="18"/>
      <c r="Q214" s="12"/>
      <c r="R214" s="12"/>
      <c r="S214" s="12"/>
      <c r="T214" s="36"/>
      <c r="U214" s="36"/>
      <c r="V214" s="12"/>
      <c r="W214" s="12"/>
      <c r="X214" s="12"/>
      <c r="Y214" s="12"/>
      <c r="Z214" s="12"/>
    </row>
    <row r="215" customFormat="false" ht="15.75" hidden="false" customHeight="false" outlineLevel="0" collapsed="false">
      <c r="A215" s="12"/>
      <c r="B215" s="34"/>
      <c r="C215" s="12"/>
      <c r="D215" s="12"/>
      <c r="E215" s="12"/>
      <c r="F215" s="12"/>
      <c r="G215" s="18"/>
      <c r="H215" s="35"/>
      <c r="I215" s="35"/>
      <c r="J215" s="12"/>
      <c r="O215" s="12"/>
      <c r="P215" s="18"/>
      <c r="Q215" s="12"/>
      <c r="R215" s="12"/>
      <c r="S215" s="12"/>
      <c r="T215" s="36"/>
      <c r="U215" s="36"/>
      <c r="V215" s="12"/>
      <c r="W215" s="12"/>
      <c r="X215" s="12"/>
      <c r="Y215" s="12"/>
      <c r="Z215" s="12"/>
    </row>
    <row r="216" customFormat="false" ht="15.75" hidden="false" customHeight="false" outlineLevel="0" collapsed="false">
      <c r="A216" s="12"/>
      <c r="B216" s="34"/>
      <c r="C216" s="12"/>
      <c r="D216" s="12"/>
      <c r="E216" s="12"/>
      <c r="F216" s="12"/>
      <c r="G216" s="18"/>
      <c r="H216" s="35"/>
      <c r="I216" s="35"/>
      <c r="J216" s="12"/>
      <c r="O216" s="12"/>
      <c r="P216" s="18"/>
      <c r="Q216" s="12"/>
      <c r="R216" s="12"/>
      <c r="S216" s="12"/>
      <c r="T216" s="36"/>
      <c r="U216" s="36"/>
      <c r="V216" s="12"/>
      <c r="W216" s="12"/>
      <c r="X216" s="12"/>
      <c r="Y216" s="12"/>
      <c r="Z216" s="12"/>
    </row>
    <row r="217" customFormat="false" ht="15.75" hidden="false" customHeight="false" outlineLevel="0" collapsed="false">
      <c r="A217" s="12"/>
      <c r="B217" s="34"/>
      <c r="C217" s="12"/>
      <c r="D217" s="12"/>
      <c r="E217" s="12"/>
      <c r="F217" s="12"/>
      <c r="G217" s="18"/>
      <c r="H217" s="35"/>
      <c r="I217" s="35"/>
      <c r="J217" s="12"/>
      <c r="O217" s="12"/>
      <c r="P217" s="18"/>
      <c r="Q217" s="12"/>
      <c r="R217" s="12"/>
      <c r="S217" s="12"/>
      <c r="T217" s="36"/>
      <c r="U217" s="36"/>
      <c r="V217" s="12"/>
      <c r="W217" s="12"/>
      <c r="X217" s="12"/>
      <c r="Y217" s="12"/>
      <c r="Z217" s="12"/>
    </row>
    <row r="218" customFormat="false" ht="15.75" hidden="false" customHeight="false" outlineLevel="0" collapsed="false">
      <c r="A218" s="12"/>
      <c r="B218" s="34"/>
      <c r="C218" s="12"/>
      <c r="D218" s="12"/>
      <c r="E218" s="12"/>
      <c r="F218" s="12"/>
      <c r="G218" s="18"/>
      <c r="H218" s="35"/>
      <c r="I218" s="35"/>
      <c r="J218" s="12"/>
      <c r="O218" s="12"/>
      <c r="P218" s="18"/>
      <c r="Q218" s="12"/>
      <c r="R218" s="12"/>
      <c r="S218" s="12"/>
      <c r="T218" s="36"/>
      <c r="U218" s="36"/>
      <c r="V218" s="12"/>
      <c r="W218" s="12"/>
      <c r="X218" s="12"/>
      <c r="Y218" s="12"/>
      <c r="Z218" s="12"/>
    </row>
    <row r="219" customFormat="false" ht="15.75" hidden="false" customHeight="false" outlineLevel="0" collapsed="false">
      <c r="A219" s="12"/>
      <c r="B219" s="34"/>
      <c r="C219" s="12"/>
      <c r="D219" s="12"/>
      <c r="E219" s="12"/>
      <c r="F219" s="12"/>
      <c r="G219" s="18"/>
      <c r="H219" s="35"/>
      <c r="I219" s="35"/>
      <c r="J219" s="12"/>
      <c r="O219" s="12"/>
      <c r="P219" s="18"/>
      <c r="Q219" s="12"/>
      <c r="R219" s="12"/>
      <c r="S219" s="12"/>
      <c r="T219" s="36"/>
      <c r="U219" s="36"/>
      <c r="V219" s="12"/>
      <c r="W219" s="12"/>
      <c r="X219" s="12"/>
      <c r="Y219" s="12"/>
      <c r="Z219" s="12"/>
    </row>
    <row r="220" customFormat="false" ht="15.75" hidden="false" customHeight="false" outlineLevel="0" collapsed="false">
      <c r="A220" s="12"/>
      <c r="B220" s="34"/>
      <c r="C220" s="12"/>
      <c r="D220" s="12"/>
      <c r="E220" s="12"/>
      <c r="F220" s="12"/>
      <c r="G220" s="18"/>
      <c r="H220" s="35"/>
      <c r="I220" s="35"/>
      <c r="J220" s="12"/>
      <c r="O220" s="12"/>
      <c r="P220" s="18"/>
      <c r="Q220" s="12"/>
      <c r="R220" s="12"/>
      <c r="S220" s="12"/>
      <c r="T220" s="36"/>
      <c r="U220" s="36"/>
      <c r="V220" s="12"/>
      <c r="W220" s="12"/>
      <c r="X220" s="12"/>
      <c r="Y220" s="12"/>
      <c r="Z220" s="12"/>
    </row>
    <row r="221" customFormat="false" ht="15.75" hidden="false" customHeight="false" outlineLevel="0" collapsed="false">
      <c r="A221" s="12"/>
      <c r="B221" s="34"/>
      <c r="C221" s="12"/>
      <c r="D221" s="12"/>
      <c r="E221" s="12"/>
      <c r="F221" s="12"/>
      <c r="G221" s="18"/>
      <c r="H221" s="35"/>
      <c r="I221" s="35"/>
      <c r="J221" s="12"/>
      <c r="O221" s="12"/>
      <c r="P221" s="18"/>
      <c r="Q221" s="12"/>
      <c r="R221" s="12"/>
      <c r="S221" s="12"/>
      <c r="T221" s="36"/>
      <c r="U221" s="36"/>
      <c r="V221" s="12"/>
      <c r="W221" s="12"/>
      <c r="X221" s="12"/>
      <c r="Y221" s="12"/>
      <c r="Z221" s="12"/>
    </row>
    <row r="222" customFormat="false" ht="15.75" hidden="false" customHeight="false" outlineLevel="0" collapsed="false">
      <c r="A222" s="12"/>
      <c r="B222" s="34"/>
      <c r="C222" s="12"/>
      <c r="D222" s="12"/>
      <c r="E222" s="12"/>
      <c r="F222" s="12"/>
      <c r="G222" s="18"/>
      <c r="H222" s="35"/>
      <c r="I222" s="35"/>
      <c r="J222" s="12"/>
      <c r="O222" s="12"/>
      <c r="P222" s="18"/>
      <c r="Q222" s="12"/>
      <c r="R222" s="12"/>
      <c r="S222" s="12"/>
      <c r="T222" s="36"/>
      <c r="U222" s="36"/>
      <c r="V222" s="12"/>
      <c r="W222" s="12"/>
      <c r="X222" s="12"/>
      <c r="Y222" s="12"/>
      <c r="Z222" s="12"/>
    </row>
    <row r="223" customFormat="false" ht="15.75" hidden="false" customHeight="false" outlineLevel="0" collapsed="false">
      <c r="A223" s="12"/>
      <c r="B223" s="34"/>
      <c r="C223" s="12"/>
      <c r="D223" s="12"/>
      <c r="E223" s="12"/>
      <c r="F223" s="12"/>
      <c r="G223" s="18"/>
      <c r="H223" s="35"/>
      <c r="I223" s="35"/>
      <c r="J223" s="12"/>
      <c r="O223" s="12"/>
      <c r="P223" s="18"/>
      <c r="Q223" s="12"/>
      <c r="R223" s="12"/>
      <c r="S223" s="12"/>
      <c r="T223" s="36"/>
      <c r="U223" s="36"/>
      <c r="V223" s="12"/>
      <c r="W223" s="12"/>
      <c r="X223" s="12"/>
      <c r="Y223" s="12"/>
      <c r="Z223" s="12"/>
    </row>
    <row r="224" customFormat="false" ht="15.75" hidden="false" customHeight="false" outlineLevel="0" collapsed="false">
      <c r="A224" s="12"/>
      <c r="B224" s="34"/>
      <c r="C224" s="12"/>
      <c r="D224" s="12"/>
      <c r="E224" s="12"/>
      <c r="F224" s="12"/>
      <c r="G224" s="18"/>
      <c r="H224" s="35"/>
      <c r="I224" s="35"/>
      <c r="J224" s="12"/>
      <c r="O224" s="12"/>
      <c r="P224" s="18"/>
      <c r="Q224" s="12"/>
      <c r="R224" s="12"/>
      <c r="S224" s="12"/>
      <c r="T224" s="36"/>
      <c r="U224" s="36"/>
      <c r="V224" s="12"/>
      <c r="W224" s="12"/>
      <c r="X224" s="12"/>
      <c r="Y224" s="12"/>
      <c r="Z224" s="12"/>
    </row>
    <row r="225" customFormat="false" ht="15.75" hidden="false" customHeight="false" outlineLevel="0" collapsed="false">
      <c r="A225" s="12"/>
      <c r="B225" s="34"/>
      <c r="C225" s="12"/>
      <c r="D225" s="12"/>
      <c r="E225" s="12"/>
      <c r="F225" s="12"/>
      <c r="G225" s="18"/>
      <c r="H225" s="35"/>
      <c r="I225" s="35"/>
      <c r="J225" s="12"/>
      <c r="O225" s="12"/>
      <c r="P225" s="18"/>
      <c r="Q225" s="12"/>
      <c r="R225" s="12"/>
      <c r="S225" s="12"/>
      <c r="T225" s="36"/>
      <c r="U225" s="36"/>
      <c r="V225" s="12"/>
      <c r="W225" s="12"/>
      <c r="X225" s="12"/>
      <c r="Y225" s="12"/>
      <c r="Z225" s="12"/>
    </row>
    <row r="226" customFormat="false" ht="15.75" hidden="false" customHeight="false" outlineLevel="0" collapsed="false">
      <c r="A226" s="12"/>
      <c r="B226" s="34"/>
      <c r="C226" s="12"/>
      <c r="D226" s="12"/>
      <c r="E226" s="12"/>
      <c r="F226" s="12"/>
      <c r="G226" s="18"/>
      <c r="H226" s="35"/>
      <c r="I226" s="35"/>
      <c r="J226" s="12"/>
      <c r="O226" s="12"/>
      <c r="P226" s="18"/>
      <c r="Q226" s="12"/>
      <c r="R226" s="12"/>
      <c r="S226" s="12"/>
      <c r="T226" s="36"/>
      <c r="U226" s="36"/>
      <c r="V226" s="12"/>
      <c r="W226" s="12"/>
      <c r="X226" s="12"/>
      <c r="Y226" s="12"/>
      <c r="Z226" s="12"/>
    </row>
    <row r="227" customFormat="false" ht="15.75" hidden="false" customHeight="false" outlineLevel="0" collapsed="false">
      <c r="A227" s="12"/>
      <c r="B227" s="34"/>
      <c r="C227" s="12"/>
      <c r="D227" s="12"/>
      <c r="E227" s="12"/>
      <c r="F227" s="12"/>
      <c r="G227" s="18"/>
      <c r="H227" s="35"/>
      <c r="I227" s="35"/>
      <c r="J227" s="12"/>
      <c r="O227" s="12"/>
      <c r="P227" s="18"/>
      <c r="Q227" s="12"/>
      <c r="R227" s="12"/>
      <c r="S227" s="12"/>
      <c r="T227" s="36"/>
      <c r="U227" s="36"/>
      <c r="V227" s="12"/>
      <c r="W227" s="12"/>
      <c r="X227" s="12"/>
      <c r="Y227" s="12"/>
      <c r="Z227" s="12"/>
    </row>
    <row r="228" customFormat="false" ht="15.75" hidden="false" customHeight="false" outlineLevel="0" collapsed="false">
      <c r="A228" s="12"/>
      <c r="B228" s="34"/>
      <c r="C228" s="12"/>
      <c r="D228" s="12"/>
      <c r="E228" s="12"/>
      <c r="F228" s="12"/>
      <c r="G228" s="18"/>
      <c r="H228" s="35"/>
      <c r="I228" s="35"/>
      <c r="J228" s="12"/>
      <c r="O228" s="12"/>
      <c r="P228" s="18"/>
      <c r="Q228" s="12"/>
      <c r="R228" s="12"/>
      <c r="S228" s="12"/>
      <c r="T228" s="36"/>
      <c r="U228" s="36"/>
      <c r="V228" s="12"/>
      <c r="W228" s="12"/>
      <c r="X228" s="12"/>
      <c r="Y228" s="12"/>
      <c r="Z228" s="12"/>
    </row>
    <row r="229" customFormat="false" ht="15.75" hidden="false" customHeight="false" outlineLevel="0" collapsed="false">
      <c r="A229" s="12"/>
      <c r="B229" s="34"/>
      <c r="C229" s="12"/>
      <c r="D229" s="12"/>
      <c r="E229" s="12"/>
      <c r="F229" s="12"/>
      <c r="G229" s="18"/>
      <c r="H229" s="35"/>
      <c r="I229" s="35"/>
      <c r="J229" s="12"/>
      <c r="O229" s="12"/>
      <c r="P229" s="18"/>
      <c r="Q229" s="12"/>
      <c r="R229" s="12"/>
      <c r="S229" s="12"/>
      <c r="T229" s="36"/>
      <c r="U229" s="36"/>
      <c r="V229" s="12"/>
      <c r="W229" s="12"/>
      <c r="X229" s="12"/>
      <c r="Y229" s="12"/>
      <c r="Z229" s="12"/>
    </row>
    <row r="230" customFormat="false" ht="15.75" hidden="false" customHeight="false" outlineLevel="0" collapsed="false">
      <c r="A230" s="12"/>
      <c r="B230" s="34"/>
      <c r="C230" s="12"/>
      <c r="D230" s="12"/>
      <c r="E230" s="12"/>
      <c r="F230" s="12"/>
      <c r="G230" s="18"/>
      <c r="H230" s="35"/>
      <c r="I230" s="35"/>
      <c r="J230" s="12"/>
      <c r="O230" s="12"/>
      <c r="P230" s="18"/>
      <c r="Q230" s="12"/>
      <c r="R230" s="12"/>
      <c r="S230" s="12"/>
      <c r="T230" s="36"/>
      <c r="U230" s="36"/>
      <c r="V230" s="12"/>
      <c r="W230" s="12"/>
      <c r="X230" s="12"/>
      <c r="Y230" s="12"/>
      <c r="Z230" s="12"/>
    </row>
    <row r="231" customFormat="false" ht="15.75" hidden="false" customHeight="false" outlineLevel="0" collapsed="false">
      <c r="A231" s="12"/>
      <c r="B231" s="34"/>
      <c r="C231" s="12"/>
      <c r="D231" s="12"/>
      <c r="E231" s="12"/>
      <c r="F231" s="12"/>
      <c r="G231" s="18"/>
      <c r="H231" s="35"/>
      <c r="I231" s="35"/>
      <c r="J231" s="12"/>
      <c r="O231" s="12"/>
      <c r="P231" s="18"/>
      <c r="Q231" s="12"/>
      <c r="R231" s="12"/>
      <c r="S231" s="12"/>
      <c r="T231" s="36"/>
      <c r="U231" s="36"/>
      <c r="V231" s="12"/>
      <c r="W231" s="12"/>
      <c r="X231" s="12"/>
      <c r="Y231" s="12"/>
      <c r="Z231" s="12"/>
    </row>
    <row r="232" customFormat="false" ht="15.75" hidden="false" customHeight="false" outlineLevel="0" collapsed="false">
      <c r="A232" s="12"/>
      <c r="B232" s="34"/>
      <c r="C232" s="12"/>
      <c r="D232" s="12"/>
      <c r="E232" s="12"/>
      <c r="F232" s="12"/>
      <c r="G232" s="18"/>
      <c r="H232" s="35"/>
      <c r="I232" s="35"/>
      <c r="J232" s="12"/>
      <c r="O232" s="12"/>
      <c r="P232" s="18"/>
      <c r="Q232" s="12"/>
      <c r="R232" s="12"/>
      <c r="S232" s="12"/>
      <c r="T232" s="36"/>
      <c r="U232" s="36"/>
      <c r="V232" s="12"/>
      <c r="W232" s="12"/>
      <c r="X232" s="12"/>
      <c r="Y232" s="12"/>
      <c r="Z232" s="12"/>
    </row>
    <row r="233" customFormat="false" ht="15.75" hidden="false" customHeight="false" outlineLevel="0" collapsed="false">
      <c r="A233" s="12"/>
      <c r="B233" s="34"/>
      <c r="C233" s="12"/>
      <c r="D233" s="12"/>
      <c r="E233" s="12"/>
      <c r="F233" s="12"/>
      <c r="G233" s="18"/>
      <c r="H233" s="35"/>
      <c r="I233" s="35"/>
      <c r="J233" s="12"/>
      <c r="O233" s="12"/>
      <c r="P233" s="18"/>
      <c r="Q233" s="12"/>
      <c r="R233" s="12"/>
      <c r="S233" s="12"/>
      <c r="T233" s="36"/>
      <c r="U233" s="36"/>
      <c r="V233" s="12"/>
      <c r="W233" s="12"/>
      <c r="X233" s="12"/>
      <c r="Y233" s="12"/>
      <c r="Z233" s="12"/>
    </row>
    <row r="234" customFormat="false" ht="15.75" hidden="false" customHeight="false" outlineLevel="0" collapsed="false">
      <c r="A234" s="12"/>
      <c r="B234" s="34"/>
      <c r="C234" s="12"/>
      <c r="D234" s="12"/>
      <c r="E234" s="12"/>
      <c r="F234" s="12"/>
      <c r="G234" s="18"/>
      <c r="H234" s="35"/>
      <c r="I234" s="35"/>
      <c r="J234" s="12"/>
      <c r="O234" s="12"/>
      <c r="P234" s="18"/>
      <c r="Q234" s="12"/>
      <c r="R234" s="12"/>
      <c r="S234" s="12"/>
      <c r="T234" s="36"/>
      <c r="U234" s="36"/>
      <c r="V234" s="12"/>
      <c r="W234" s="12"/>
      <c r="X234" s="12"/>
      <c r="Y234" s="12"/>
      <c r="Z234" s="12"/>
    </row>
    <row r="235" customFormat="false" ht="15.75" hidden="false" customHeight="false" outlineLevel="0" collapsed="false">
      <c r="A235" s="12"/>
      <c r="B235" s="34"/>
      <c r="C235" s="12"/>
      <c r="D235" s="12"/>
      <c r="E235" s="12"/>
      <c r="F235" s="12"/>
      <c r="G235" s="18"/>
      <c r="H235" s="35"/>
      <c r="I235" s="35"/>
      <c r="J235" s="12"/>
      <c r="O235" s="12"/>
      <c r="P235" s="18"/>
      <c r="Q235" s="12"/>
      <c r="R235" s="12"/>
      <c r="S235" s="12"/>
      <c r="T235" s="36"/>
      <c r="U235" s="36"/>
      <c r="V235" s="12"/>
      <c r="W235" s="12"/>
      <c r="X235" s="12"/>
      <c r="Y235" s="12"/>
      <c r="Z235" s="12"/>
    </row>
    <row r="236" customFormat="false" ht="15.75" hidden="false" customHeight="false" outlineLevel="0" collapsed="false">
      <c r="A236" s="12"/>
      <c r="B236" s="34"/>
      <c r="C236" s="12"/>
      <c r="D236" s="12"/>
      <c r="E236" s="12"/>
      <c r="F236" s="12"/>
      <c r="G236" s="18"/>
      <c r="H236" s="35"/>
      <c r="I236" s="35"/>
      <c r="J236" s="12"/>
      <c r="O236" s="12"/>
      <c r="P236" s="18"/>
      <c r="Q236" s="12"/>
      <c r="R236" s="12"/>
      <c r="S236" s="12"/>
      <c r="T236" s="36"/>
      <c r="U236" s="36"/>
      <c r="V236" s="12"/>
      <c r="W236" s="12"/>
      <c r="X236" s="12"/>
      <c r="Y236" s="12"/>
      <c r="Z236" s="12"/>
    </row>
    <row r="237" customFormat="false" ht="15.75" hidden="false" customHeight="false" outlineLevel="0" collapsed="false">
      <c r="A237" s="12"/>
      <c r="B237" s="34"/>
      <c r="C237" s="12"/>
      <c r="D237" s="12"/>
      <c r="E237" s="12"/>
      <c r="F237" s="12"/>
      <c r="G237" s="18"/>
      <c r="H237" s="35"/>
      <c r="I237" s="35"/>
      <c r="J237" s="12"/>
      <c r="O237" s="12"/>
      <c r="P237" s="18"/>
      <c r="Q237" s="12"/>
      <c r="R237" s="12"/>
      <c r="S237" s="12"/>
      <c r="T237" s="36"/>
      <c r="U237" s="36"/>
      <c r="V237" s="12"/>
      <c r="W237" s="12"/>
      <c r="X237" s="12"/>
      <c r="Y237" s="12"/>
      <c r="Z237" s="12"/>
    </row>
    <row r="238" customFormat="false" ht="15.75" hidden="false" customHeight="false" outlineLevel="0" collapsed="false">
      <c r="A238" s="12"/>
      <c r="B238" s="34"/>
      <c r="C238" s="12"/>
      <c r="D238" s="12"/>
      <c r="E238" s="12"/>
      <c r="F238" s="12"/>
      <c r="G238" s="18"/>
      <c r="H238" s="35"/>
      <c r="I238" s="35"/>
      <c r="J238" s="12"/>
      <c r="O238" s="12"/>
      <c r="P238" s="18"/>
      <c r="Q238" s="12"/>
      <c r="R238" s="12"/>
      <c r="S238" s="12"/>
      <c r="T238" s="36"/>
      <c r="U238" s="36"/>
      <c r="V238" s="12"/>
      <c r="W238" s="12"/>
      <c r="X238" s="12"/>
      <c r="Y238" s="12"/>
      <c r="Z238" s="12"/>
    </row>
    <row r="239" customFormat="false" ht="15.75" hidden="false" customHeight="false" outlineLevel="0" collapsed="false">
      <c r="A239" s="12"/>
      <c r="B239" s="34"/>
      <c r="C239" s="12"/>
      <c r="D239" s="12"/>
      <c r="E239" s="12"/>
      <c r="F239" s="12"/>
      <c r="G239" s="18"/>
      <c r="H239" s="35"/>
      <c r="I239" s="35"/>
      <c r="J239" s="12"/>
      <c r="O239" s="12"/>
      <c r="P239" s="18"/>
      <c r="Q239" s="12"/>
      <c r="R239" s="12"/>
      <c r="S239" s="12"/>
      <c r="T239" s="36"/>
      <c r="U239" s="36"/>
      <c r="V239" s="12"/>
      <c r="W239" s="12"/>
      <c r="X239" s="12"/>
      <c r="Y239" s="12"/>
      <c r="Z239" s="12"/>
    </row>
    <row r="240" customFormat="false" ht="15.75" hidden="false" customHeight="false" outlineLevel="0" collapsed="false">
      <c r="A240" s="12"/>
      <c r="B240" s="34"/>
      <c r="C240" s="12"/>
      <c r="D240" s="12"/>
      <c r="E240" s="12"/>
      <c r="F240" s="12"/>
      <c r="G240" s="18"/>
      <c r="H240" s="35"/>
      <c r="I240" s="35"/>
      <c r="J240" s="12"/>
      <c r="O240" s="12"/>
      <c r="P240" s="18"/>
      <c r="Q240" s="12"/>
      <c r="R240" s="12"/>
      <c r="S240" s="12"/>
      <c r="T240" s="36"/>
      <c r="U240" s="36"/>
      <c r="V240" s="12"/>
      <c r="W240" s="12"/>
      <c r="X240" s="12"/>
      <c r="Y240" s="12"/>
      <c r="Z240" s="12"/>
    </row>
    <row r="241" customFormat="false" ht="15.75" hidden="false" customHeight="false" outlineLevel="0" collapsed="false">
      <c r="A241" s="12"/>
      <c r="B241" s="34"/>
      <c r="C241" s="12"/>
      <c r="D241" s="12"/>
      <c r="E241" s="12"/>
      <c r="F241" s="12"/>
      <c r="G241" s="18"/>
      <c r="H241" s="35"/>
      <c r="I241" s="35"/>
      <c r="J241" s="12"/>
      <c r="O241" s="12"/>
      <c r="P241" s="18"/>
      <c r="Q241" s="12"/>
      <c r="R241" s="12"/>
      <c r="S241" s="12"/>
      <c r="T241" s="36"/>
      <c r="U241" s="36"/>
      <c r="V241" s="12"/>
      <c r="W241" s="12"/>
      <c r="X241" s="12"/>
      <c r="Y241" s="12"/>
      <c r="Z241" s="12"/>
    </row>
    <row r="242" customFormat="false" ht="15.75" hidden="false" customHeight="false" outlineLevel="0" collapsed="false">
      <c r="A242" s="12"/>
      <c r="B242" s="34"/>
      <c r="C242" s="12"/>
      <c r="D242" s="12"/>
      <c r="E242" s="12"/>
      <c r="F242" s="12"/>
      <c r="G242" s="18"/>
      <c r="H242" s="35"/>
      <c r="I242" s="35"/>
      <c r="J242" s="12"/>
      <c r="O242" s="12"/>
      <c r="P242" s="18"/>
      <c r="Q242" s="12"/>
      <c r="R242" s="12"/>
      <c r="S242" s="12"/>
      <c r="T242" s="36"/>
      <c r="U242" s="36"/>
      <c r="V242" s="12"/>
      <c r="W242" s="12"/>
      <c r="X242" s="12"/>
      <c r="Y242" s="12"/>
      <c r="Z242" s="12"/>
    </row>
    <row r="243" customFormat="false" ht="15.75" hidden="false" customHeight="false" outlineLevel="0" collapsed="false">
      <c r="A243" s="12"/>
      <c r="B243" s="34"/>
      <c r="C243" s="12"/>
      <c r="D243" s="12"/>
      <c r="E243" s="12"/>
      <c r="F243" s="12"/>
      <c r="G243" s="18"/>
      <c r="H243" s="35"/>
      <c r="I243" s="35"/>
      <c r="J243" s="12"/>
      <c r="O243" s="12"/>
      <c r="P243" s="18"/>
      <c r="Q243" s="12"/>
      <c r="R243" s="12"/>
      <c r="S243" s="12"/>
      <c r="T243" s="36"/>
      <c r="U243" s="36"/>
      <c r="V243" s="12"/>
      <c r="W243" s="12"/>
      <c r="X243" s="12"/>
      <c r="Y243" s="12"/>
      <c r="Z243" s="12"/>
    </row>
    <row r="244" customFormat="false" ht="15.75" hidden="false" customHeight="false" outlineLevel="0" collapsed="false">
      <c r="A244" s="12"/>
      <c r="B244" s="34"/>
      <c r="C244" s="12"/>
      <c r="D244" s="12"/>
      <c r="E244" s="12"/>
      <c r="F244" s="12"/>
      <c r="G244" s="18"/>
      <c r="H244" s="35"/>
      <c r="I244" s="35"/>
      <c r="J244" s="12"/>
      <c r="O244" s="12"/>
      <c r="P244" s="18"/>
      <c r="Q244" s="12"/>
      <c r="R244" s="12"/>
      <c r="S244" s="12"/>
      <c r="T244" s="36"/>
      <c r="U244" s="36"/>
      <c r="V244" s="12"/>
      <c r="W244" s="12"/>
      <c r="X244" s="12"/>
      <c r="Y244" s="12"/>
      <c r="Z244" s="12"/>
    </row>
    <row r="245" customFormat="false" ht="15.75" hidden="false" customHeight="false" outlineLevel="0" collapsed="false">
      <c r="A245" s="12"/>
      <c r="B245" s="34"/>
      <c r="C245" s="12"/>
      <c r="D245" s="12"/>
      <c r="E245" s="12"/>
      <c r="F245" s="12"/>
      <c r="G245" s="18"/>
      <c r="H245" s="35"/>
      <c r="I245" s="35"/>
      <c r="J245" s="12"/>
      <c r="O245" s="12"/>
      <c r="P245" s="18"/>
      <c r="Q245" s="12"/>
      <c r="R245" s="12"/>
      <c r="S245" s="12"/>
      <c r="T245" s="36"/>
      <c r="U245" s="36"/>
      <c r="V245" s="12"/>
      <c r="W245" s="12"/>
      <c r="X245" s="12"/>
      <c r="Y245" s="12"/>
      <c r="Z245" s="12"/>
    </row>
    <row r="246" customFormat="false" ht="15.75" hidden="false" customHeight="false" outlineLevel="0" collapsed="false">
      <c r="A246" s="12"/>
      <c r="B246" s="34"/>
      <c r="C246" s="12"/>
      <c r="D246" s="12"/>
      <c r="E246" s="12"/>
      <c r="F246" s="12"/>
      <c r="G246" s="18"/>
      <c r="H246" s="35"/>
      <c r="I246" s="35"/>
      <c r="J246" s="12"/>
      <c r="O246" s="12"/>
      <c r="P246" s="18"/>
      <c r="Q246" s="12"/>
      <c r="R246" s="12"/>
      <c r="S246" s="12"/>
      <c r="T246" s="36"/>
      <c r="U246" s="36"/>
      <c r="V246" s="12"/>
      <c r="W246" s="12"/>
      <c r="X246" s="12"/>
      <c r="Y246" s="12"/>
      <c r="Z246" s="12"/>
    </row>
    <row r="247" customFormat="false" ht="15.75" hidden="false" customHeight="false" outlineLevel="0" collapsed="false">
      <c r="A247" s="12"/>
      <c r="B247" s="34"/>
      <c r="C247" s="12"/>
      <c r="D247" s="12"/>
      <c r="E247" s="12"/>
      <c r="F247" s="12"/>
      <c r="G247" s="18"/>
      <c r="H247" s="35"/>
      <c r="I247" s="35"/>
      <c r="J247" s="12"/>
      <c r="O247" s="12"/>
      <c r="P247" s="18"/>
      <c r="Q247" s="12"/>
      <c r="R247" s="12"/>
      <c r="S247" s="12"/>
      <c r="T247" s="36"/>
      <c r="U247" s="36"/>
      <c r="V247" s="12"/>
      <c r="W247" s="12"/>
      <c r="X247" s="12"/>
      <c r="Y247" s="12"/>
      <c r="Z247" s="12"/>
    </row>
    <row r="248" customFormat="false" ht="15.75" hidden="false" customHeight="false" outlineLevel="0" collapsed="false">
      <c r="A248" s="12"/>
      <c r="B248" s="34"/>
      <c r="C248" s="12"/>
      <c r="D248" s="12"/>
      <c r="E248" s="12"/>
      <c r="F248" s="12"/>
      <c r="G248" s="18"/>
      <c r="H248" s="35"/>
      <c r="I248" s="35"/>
      <c r="J248" s="12"/>
      <c r="O248" s="12"/>
      <c r="P248" s="18"/>
      <c r="Q248" s="12"/>
      <c r="R248" s="12"/>
      <c r="S248" s="12"/>
      <c r="T248" s="36"/>
      <c r="U248" s="36"/>
      <c r="V248" s="12"/>
      <c r="W248" s="12"/>
      <c r="X248" s="12"/>
      <c r="Y248" s="12"/>
      <c r="Z248" s="12"/>
    </row>
    <row r="249" customFormat="false" ht="15.75" hidden="false" customHeight="false" outlineLevel="0" collapsed="false">
      <c r="A249" s="12"/>
      <c r="B249" s="34"/>
      <c r="C249" s="12"/>
      <c r="D249" s="12"/>
      <c r="E249" s="12"/>
      <c r="F249" s="12"/>
      <c r="G249" s="18"/>
      <c r="H249" s="35"/>
      <c r="I249" s="35"/>
      <c r="J249" s="12"/>
      <c r="O249" s="12"/>
      <c r="P249" s="18"/>
      <c r="Q249" s="12"/>
      <c r="R249" s="12"/>
      <c r="S249" s="12"/>
      <c r="T249" s="36"/>
      <c r="U249" s="36"/>
      <c r="V249" s="12"/>
      <c r="W249" s="12"/>
      <c r="X249" s="12"/>
      <c r="Y249" s="12"/>
      <c r="Z249" s="12"/>
    </row>
    <row r="250" customFormat="false" ht="15.75" hidden="false" customHeight="false" outlineLevel="0" collapsed="false">
      <c r="A250" s="12"/>
      <c r="B250" s="34"/>
      <c r="C250" s="12"/>
      <c r="D250" s="12"/>
      <c r="E250" s="12"/>
      <c r="F250" s="12"/>
      <c r="G250" s="18"/>
      <c r="H250" s="35"/>
      <c r="I250" s="35"/>
      <c r="J250" s="12"/>
      <c r="O250" s="12"/>
      <c r="P250" s="18"/>
      <c r="Q250" s="12"/>
      <c r="R250" s="12"/>
      <c r="S250" s="12"/>
      <c r="T250" s="36"/>
      <c r="U250" s="36"/>
      <c r="V250" s="12"/>
      <c r="W250" s="12"/>
      <c r="X250" s="12"/>
      <c r="Y250" s="12"/>
      <c r="Z250" s="12"/>
    </row>
    <row r="251" customFormat="false" ht="15.75" hidden="false" customHeight="false" outlineLevel="0" collapsed="false">
      <c r="A251" s="12"/>
      <c r="B251" s="34"/>
      <c r="C251" s="12"/>
      <c r="D251" s="12"/>
      <c r="E251" s="12"/>
      <c r="F251" s="12"/>
      <c r="G251" s="18"/>
      <c r="H251" s="35"/>
      <c r="I251" s="35"/>
      <c r="J251" s="12"/>
      <c r="O251" s="12"/>
      <c r="P251" s="18"/>
      <c r="Q251" s="12"/>
      <c r="R251" s="12"/>
      <c r="S251" s="12"/>
      <c r="T251" s="36"/>
      <c r="U251" s="36"/>
      <c r="V251" s="12"/>
      <c r="W251" s="12"/>
      <c r="X251" s="12"/>
      <c r="Y251" s="12"/>
      <c r="Z251" s="12"/>
    </row>
    <row r="252" customFormat="false" ht="15.75" hidden="false" customHeight="false" outlineLevel="0" collapsed="false">
      <c r="A252" s="12"/>
      <c r="B252" s="34"/>
      <c r="C252" s="12"/>
      <c r="D252" s="12"/>
      <c r="E252" s="12"/>
      <c r="F252" s="12"/>
      <c r="G252" s="18"/>
      <c r="H252" s="35"/>
      <c r="I252" s="35"/>
      <c r="J252" s="12"/>
      <c r="O252" s="12"/>
      <c r="P252" s="18"/>
      <c r="Q252" s="12"/>
      <c r="R252" s="12"/>
      <c r="S252" s="12"/>
      <c r="T252" s="36"/>
      <c r="U252" s="36"/>
      <c r="V252" s="12"/>
      <c r="W252" s="12"/>
      <c r="X252" s="12"/>
      <c r="Y252" s="12"/>
      <c r="Z252" s="12"/>
    </row>
    <row r="253" customFormat="false" ht="15.75" hidden="false" customHeight="false" outlineLevel="0" collapsed="false">
      <c r="A253" s="12"/>
      <c r="B253" s="34"/>
      <c r="C253" s="12"/>
      <c r="D253" s="12"/>
      <c r="E253" s="12"/>
      <c r="F253" s="12"/>
      <c r="G253" s="18"/>
      <c r="H253" s="35"/>
      <c r="I253" s="35"/>
      <c r="J253" s="12"/>
      <c r="O253" s="12"/>
      <c r="P253" s="18"/>
      <c r="Q253" s="12"/>
      <c r="R253" s="12"/>
      <c r="S253" s="12"/>
      <c r="T253" s="36"/>
      <c r="U253" s="36"/>
      <c r="V253" s="12"/>
      <c r="W253" s="12"/>
      <c r="X253" s="12"/>
      <c r="Y253" s="12"/>
      <c r="Z253" s="12"/>
    </row>
    <row r="254" customFormat="false" ht="15.75" hidden="false" customHeight="false" outlineLevel="0" collapsed="false">
      <c r="A254" s="12"/>
      <c r="B254" s="34"/>
      <c r="C254" s="12"/>
      <c r="D254" s="12"/>
      <c r="E254" s="12"/>
      <c r="F254" s="12"/>
      <c r="G254" s="18"/>
      <c r="H254" s="35"/>
      <c r="I254" s="35"/>
      <c r="J254" s="12"/>
      <c r="O254" s="12"/>
      <c r="P254" s="18"/>
      <c r="Q254" s="12"/>
      <c r="R254" s="12"/>
      <c r="S254" s="12"/>
      <c r="T254" s="36"/>
      <c r="U254" s="36"/>
      <c r="V254" s="12"/>
      <c r="W254" s="12"/>
      <c r="X254" s="12"/>
      <c r="Y254" s="12"/>
      <c r="Z254" s="12"/>
    </row>
    <row r="255" customFormat="false" ht="15.75" hidden="false" customHeight="false" outlineLevel="0" collapsed="false">
      <c r="A255" s="12"/>
      <c r="B255" s="34"/>
      <c r="C255" s="12"/>
      <c r="D255" s="12"/>
      <c r="E255" s="12"/>
      <c r="F255" s="12"/>
      <c r="G255" s="18"/>
      <c r="H255" s="35"/>
      <c r="I255" s="35"/>
      <c r="J255" s="12"/>
      <c r="O255" s="12"/>
      <c r="P255" s="18"/>
      <c r="Q255" s="12"/>
      <c r="R255" s="12"/>
      <c r="S255" s="12"/>
      <c r="T255" s="36"/>
      <c r="U255" s="36"/>
      <c r="V255" s="12"/>
      <c r="W255" s="12"/>
      <c r="X255" s="12"/>
      <c r="Y255" s="12"/>
      <c r="Z255" s="12"/>
    </row>
    <row r="256" customFormat="false" ht="15.75" hidden="false" customHeight="false" outlineLevel="0" collapsed="false">
      <c r="A256" s="12"/>
      <c r="B256" s="34"/>
      <c r="C256" s="12"/>
      <c r="D256" s="12"/>
      <c r="E256" s="12"/>
      <c r="F256" s="12"/>
      <c r="G256" s="18"/>
      <c r="H256" s="35"/>
      <c r="I256" s="35"/>
      <c r="J256" s="12"/>
      <c r="O256" s="12"/>
      <c r="P256" s="18"/>
      <c r="Q256" s="12"/>
      <c r="R256" s="12"/>
      <c r="S256" s="12"/>
      <c r="T256" s="36"/>
      <c r="U256" s="36"/>
      <c r="V256" s="12"/>
      <c r="W256" s="12"/>
      <c r="X256" s="12"/>
      <c r="Y256" s="12"/>
      <c r="Z256" s="12"/>
    </row>
    <row r="257" customFormat="false" ht="15.75" hidden="false" customHeight="false" outlineLevel="0" collapsed="false">
      <c r="A257" s="12"/>
      <c r="B257" s="34"/>
      <c r="C257" s="12"/>
      <c r="D257" s="12"/>
      <c r="E257" s="12"/>
      <c r="F257" s="12"/>
      <c r="G257" s="18"/>
      <c r="H257" s="35"/>
      <c r="I257" s="35"/>
      <c r="J257" s="12"/>
      <c r="O257" s="12"/>
      <c r="P257" s="18"/>
      <c r="Q257" s="12"/>
      <c r="R257" s="12"/>
      <c r="S257" s="12"/>
      <c r="T257" s="36"/>
      <c r="U257" s="36"/>
      <c r="V257" s="12"/>
      <c r="W257" s="12"/>
      <c r="X257" s="12"/>
      <c r="Y257" s="12"/>
      <c r="Z257" s="12"/>
    </row>
    <row r="258" customFormat="false" ht="15.75" hidden="false" customHeight="false" outlineLevel="0" collapsed="false">
      <c r="A258" s="12"/>
      <c r="B258" s="34"/>
      <c r="C258" s="12"/>
      <c r="D258" s="12"/>
      <c r="E258" s="12"/>
      <c r="F258" s="12"/>
      <c r="G258" s="18"/>
      <c r="H258" s="35"/>
      <c r="I258" s="35"/>
      <c r="J258" s="12"/>
      <c r="O258" s="12"/>
      <c r="P258" s="18"/>
      <c r="Q258" s="12"/>
      <c r="R258" s="12"/>
      <c r="S258" s="12"/>
      <c r="T258" s="36"/>
      <c r="U258" s="36"/>
      <c r="V258" s="12"/>
      <c r="W258" s="12"/>
      <c r="X258" s="12"/>
      <c r="Y258" s="12"/>
      <c r="Z258" s="12"/>
    </row>
    <row r="259" customFormat="false" ht="15.75" hidden="false" customHeight="false" outlineLevel="0" collapsed="false">
      <c r="A259" s="12"/>
      <c r="B259" s="34"/>
      <c r="C259" s="12"/>
      <c r="D259" s="12"/>
      <c r="E259" s="12"/>
      <c r="F259" s="12"/>
      <c r="G259" s="18"/>
      <c r="H259" s="35"/>
      <c r="I259" s="35"/>
      <c r="J259" s="12"/>
      <c r="O259" s="12"/>
      <c r="P259" s="18"/>
      <c r="Q259" s="12"/>
      <c r="R259" s="12"/>
      <c r="S259" s="12"/>
      <c r="T259" s="36"/>
      <c r="U259" s="36"/>
      <c r="V259" s="12"/>
      <c r="W259" s="12"/>
      <c r="X259" s="12"/>
      <c r="Y259" s="12"/>
      <c r="Z259" s="12"/>
    </row>
    <row r="260" customFormat="false" ht="15.75" hidden="false" customHeight="false" outlineLevel="0" collapsed="false">
      <c r="A260" s="12"/>
      <c r="B260" s="34"/>
      <c r="C260" s="12"/>
      <c r="D260" s="12"/>
      <c r="E260" s="12"/>
      <c r="F260" s="12"/>
      <c r="G260" s="18"/>
      <c r="H260" s="35"/>
      <c r="I260" s="35"/>
      <c r="J260" s="12"/>
      <c r="O260" s="12"/>
      <c r="P260" s="18"/>
      <c r="Q260" s="12"/>
      <c r="R260" s="12"/>
      <c r="S260" s="12"/>
      <c r="T260" s="36"/>
      <c r="U260" s="36"/>
      <c r="V260" s="12"/>
      <c r="W260" s="12"/>
      <c r="X260" s="12"/>
      <c r="Y260" s="12"/>
      <c r="Z260" s="12"/>
    </row>
    <row r="261" customFormat="false" ht="15.75" hidden="false" customHeight="false" outlineLevel="0" collapsed="false">
      <c r="A261" s="12"/>
      <c r="B261" s="34"/>
      <c r="C261" s="12"/>
      <c r="D261" s="12"/>
      <c r="E261" s="12"/>
      <c r="F261" s="12"/>
      <c r="G261" s="18"/>
      <c r="H261" s="35"/>
      <c r="I261" s="35"/>
      <c r="J261" s="12"/>
      <c r="O261" s="12"/>
      <c r="P261" s="18"/>
      <c r="Q261" s="12"/>
      <c r="R261" s="12"/>
      <c r="S261" s="12"/>
      <c r="T261" s="36"/>
      <c r="U261" s="36"/>
      <c r="V261" s="12"/>
      <c r="W261" s="12"/>
      <c r="X261" s="12"/>
      <c r="Y261" s="12"/>
      <c r="Z261" s="12"/>
    </row>
    <row r="262" customFormat="false" ht="15.75" hidden="false" customHeight="false" outlineLevel="0" collapsed="false">
      <c r="A262" s="12"/>
      <c r="B262" s="34"/>
      <c r="C262" s="12"/>
      <c r="D262" s="12"/>
      <c r="E262" s="12"/>
      <c r="F262" s="12"/>
      <c r="G262" s="18"/>
      <c r="H262" s="35"/>
      <c r="I262" s="35"/>
      <c r="J262" s="12"/>
      <c r="O262" s="12"/>
      <c r="P262" s="18"/>
      <c r="Q262" s="12"/>
      <c r="R262" s="12"/>
      <c r="S262" s="12"/>
      <c r="T262" s="36"/>
      <c r="U262" s="36"/>
      <c r="V262" s="12"/>
      <c r="W262" s="12"/>
      <c r="X262" s="12"/>
      <c r="Y262" s="12"/>
      <c r="Z262" s="12"/>
    </row>
    <row r="263" customFormat="false" ht="15.75" hidden="false" customHeight="false" outlineLevel="0" collapsed="false">
      <c r="A263" s="12"/>
      <c r="B263" s="34"/>
      <c r="C263" s="12"/>
      <c r="D263" s="12"/>
      <c r="E263" s="12"/>
      <c r="F263" s="12"/>
      <c r="G263" s="18"/>
      <c r="H263" s="35"/>
      <c r="I263" s="35"/>
      <c r="J263" s="12"/>
      <c r="O263" s="12"/>
      <c r="P263" s="18"/>
      <c r="Q263" s="12"/>
      <c r="R263" s="12"/>
      <c r="S263" s="12"/>
      <c r="T263" s="36"/>
      <c r="U263" s="36"/>
      <c r="V263" s="12"/>
      <c r="W263" s="12"/>
      <c r="X263" s="12"/>
      <c r="Y263" s="12"/>
      <c r="Z263" s="12"/>
    </row>
    <row r="264" customFormat="false" ht="15.75" hidden="false" customHeight="false" outlineLevel="0" collapsed="false">
      <c r="A264" s="12"/>
      <c r="B264" s="34"/>
      <c r="C264" s="12"/>
      <c r="D264" s="12"/>
      <c r="E264" s="12"/>
      <c r="F264" s="12"/>
      <c r="G264" s="18"/>
      <c r="H264" s="35"/>
      <c r="I264" s="35"/>
      <c r="J264" s="12"/>
      <c r="O264" s="12"/>
      <c r="P264" s="18"/>
      <c r="Q264" s="12"/>
      <c r="R264" s="12"/>
      <c r="S264" s="12"/>
      <c r="T264" s="36"/>
      <c r="U264" s="36"/>
      <c r="V264" s="12"/>
      <c r="W264" s="12"/>
      <c r="X264" s="12"/>
      <c r="Y264" s="12"/>
      <c r="Z264" s="12"/>
    </row>
    <row r="265" customFormat="false" ht="15.75" hidden="false" customHeight="false" outlineLevel="0" collapsed="false">
      <c r="A265" s="12"/>
      <c r="B265" s="34"/>
      <c r="C265" s="12"/>
      <c r="D265" s="12"/>
      <c r="E265" s="12"/>
      <c r="F265" s="12"/>
      <c r="G265" s="18"/>
      <c r="H265" s="35"/>
      <c r="I265" s="35"/>
      <c r="J265" s="12"/>
      <c r="O265" s="12"/>
      <c r="P265" s="18"/>
      <c r="Q265" s="12"/>
      <c r="R265" s="12"/>
      <c r="S265" s="12"/>
      <c r="T265" s="36"/>
      <c r="U265" s="36"/>
      <c r="V265" s="12"/>
      <c r="W265" s="12"/>
      <c r="X265" s="12"/>
      <c r="Y265" s="12"/>
      <c r="Z265" s="12"/>
    </row>
    <row r="266" customFormat="false" ht="15.75" hidden="false" customHeight="false" outlineLevel="0" collapsed="false">
      <c r="A266" s="12"/>
      <c r="B266" s="34"/>
      <c r="C266" s="12"/>
      <c r="D266" s="12"/>
      <c r="E266" s="12"/>
      <c r="F266" s="12"/>
      <c r="G266" s="18"/>
      <c r="H266" s="35"/>
      <c r="I266" s="35"/>
      <c r="J266" s="12"/>
      <c r="O266" s="12"/>
      <c r="P266" s="18"/>
      <c r="Q266" s="12"/>
      <c r="R266" s="12"/>
      <c r="S266" s="12"/>
      <c r="T266" s="36"/>
      <c r="U266" s="36"/>
      <c r="V266" s="12"/>
      <c r="W266" s="12"/>
      <c r="X266" s="12"/>
      <c r="Y266" s="12"/>
      <c r="Z266" s="12"/>
    </row>
    <row r="267" customFormat="false" ht="15.75" hidden="false" customHeight="false" outlineLevel="0" collapsed="false">
      <c r="A267" s="12"/>
      <c r="B267" s="34"/>
      <c r="C267" s="12"/>
      <c r="D267" s="12"/>
      <c r="E267" s="12"/>
      <c r="F267" s="12"/>
      <c r="G267" s="18"/>
      <c r="H267" s="35"/>
      <c r="I267" s="35"/>
      <c r="J267" s="12"/>
      <c r="O267" s="12"/>
      <c r="P267" s="18"/>
      <c r="Q267" s="12"/>
      <c r="R267" s="12"/>
      <c r="S267" s="12"/>
      <c r="T267" s="36"/>
      <c r="U267" s="36"/>
      <c r="V267" s="12"/>
      <c r="W267" s="12"/>
      <c r="X267" s="12"/>
      <c r="Y267" s="12"/>
      <c r="Z267" s="12"/>
    </row>
    <row r="268" customFormat="false" ht="15.75" hidden="false" customHeight="false" outlineLevel="0" collapsed="false">
      <c r="A268" s="12"/>
      <c r="B268" s="34"/>
      <c r="C268" s="12"/>
      <c r="D268" s="12"/>
      <c r="E268" s="12"/>
      <c r="F268" s="12"/>
      <c r="G268" s="18"/>
      <c r="H268" s="35"/>
      <c r="I268" s="35"/>
      <c r="J268" s="12"/>
      <c r="O268" s="12"/>
      <c r="P268" s="18"/>
      <c r="Q268" s="12"/>
      <c r="R268" s="12"/>
      <c r="S268" s="12"/>
      <c r="T268" s="36"/>
      <c r="U268" s="36"/>
      <c r="V268" s="12"/>
      <c r="W268" s="12"/>
      <c r="X268" s="12"/>
      <c r="Y268" s="12"/>
      <c r="Z268" s="12"/>
    </row>
    <row r="269" customFormat="false" ht="15.75" hidden="false" customHeight="false" outlineLevel="0" collapsed="false">
      <c r="A269" s="12"/>
      <c r="B269" s="34"/>
      <c r="C269" s="12"/>
      <c r="D269" s="12"/>
      <c r="E269" s="12"/>
      <c r="F269" s="12"/>
      <c r="G269" s="18"/>
      <c r="H269" s="35"/>
      <c r="I269" s="35"/>
      <c r="J269" s="12"/>
      <c r="O269" s="12"/>
      <c r="P269" s="18"/>
      <c r="Q269" s="12"/>
      <c r="R269" s="12"/>
      <c r="S269" s="12"/>
      <c r="T269" s="36"/>
      <c r="U269" s="36"/>
      <c r="V269" s="12"/>
      <c r="W269" s="12"/>
      <c r="X269" s="12"/>
      <c r="Y269" s="12"/>
      <c r="Z269" s="12"/>
    </row>
    <row r="270" customFormat="false" ht="15.75" hidden="false" customHeight="false" outlineLevel="0" collapsed="false">
      <c r="A270" s="12"/>
      <c r="B270" s="34"/>
      <c r="C270" s="12"/>
      <c r="D270" s="12"/>
      <c r="E270" s="12"/>
      <c r="F270" s="12"/>
      <c r="G270" s="18"/>
      <c r="H270" s="35"/>
      <c r="I270" s="35"/>
      <c r="J270" s="12"/>
      <c r="O270" s="12"/>
      <c r="P270" s="18"/>
      <c r="Q270" s="12"/>
      <c r="R270" s="12"/>
      <c r="S270" s="12"/>
      <c r="T270" s="36"/>
      <c r="U270" s="36"/>
      <c r="V270" s="12"/>
      <c r="W270" s="12"/>
      <c r="X270" s="12"/>
      <c r="Y270" s="12"/>
      <c r="Z270" s="12"/>
    </row>
    <row r="271" customFormat="false" ht="15.75" hidden="false" customHeight="false" outlineLevel="0" collapsed="false">
      <c r="A271" s="12"/>
      <c r="B271" s="34"/>
      <c r="C271" s="12"/>
      <c r="D271" s="12"/>
      <c r="E271" s="12"/>
      <c r="F271" s="12"/>
      <c r="G271" s="18"/>
      <c r="H271" s="35"/>
      <c r="I271" s="35"/>
      <c r="J271" s="12"/>
      <c r="O271" s="12"/>
      <c r="P271" s="18"/>
      <c r="Q271" s="12"/>
      <c r="R271" s="12"/>
      <c r="S271" s="12"/>
      <c r="T271" s="36"/>
      <c r="U271" s="36"/>
      <c r="V271" s="12"/>
      <c r="W271" s="12"/>
      <c r="X271" s="12"/>
      <c r="Y271" s="12"/>
      <c r="Z271" s="12"/>
    </row>
    <row r="272" customFormat="false" ht="15.75" hidden="false" customHeight="false" outlineLevel="0" collapsed="false">
      <c r="A272" s="12"/>
      <c r="B272" s="34"/>
      <c r="C272" s="12"/>
      <c r="D272" s="12"/>
      <c r="E272" s="12"/>
      <c r="F272" s="12"/>
      <c r="G272" s="18"/>
      <c r="H272" s="35"/>
      <c r="I272" s="35"/>
      <c r="J272" s="12"/>
      <c r="O272" s="12"/>
      <c r="P272" s="18"/>
      <c r="Q272" s="12"/>
      <c r="R272" s="12"/>
      <c r="S272" s="12"/>
      <c r="T272" s="36"/>
      <c r="U272" s="36"/>
      <c r="V272" s="12"/>
      <c r="W272" s="12"/>
      <c r="X272" s="12"/>
      <c r="Y272" s="12"/>
      <c r="Z272" s="12"/>
    </row>
    <row r="273" customFormat="false" ht="15.75" hidden="false" customHeight="false" outlineLevel="0" collapsed="false">
      <c r="A273" s="12"/>
      <c r="B273" s="34"/>
      <c r="C273" s="12"/>
      <c r="D273" s="12"/>
      <c r="E273" s="12"/>
      <c r="F273" s="12"/>
      <c r="G273" s="18"/>
      <c r="H273" s="35"/>
      <c r="I273" s="35"/>
      <c r="J273" s="12"/>
      <c r="O273" s="12"/>
      <c r="P273" s="18"/>
      <c r="Q273" s="12"/>
      <c r="R273" s="12"/>
      <c r="S273" s="12"/>
      <c r="T273" s="36"/>
      <c r="U273" s="36"/>
      <c r="V273" s="12"/>
      <c r="W273" s="12"/>
      <c r="X273" s="12"/>
      <c r="Y273" s="12"/>
      <c r="Z273" s="12"/>
    </row>
    <row r="274" customFormat="false" ht="15.75" hidden="false" customHeight="false" outlineLevel="0" collapsed="false">
      <c r="A274" s="12"/>
      <c r="B274" s="34"/>
      <c r="C274" s="12"/>
      <c r="D274" s="12"/>
      <c r="E274" s="12"/>
      <c r="F274" s="12"/>
      <c r="G274" s="18"/>
      <c r="H274" s="35"/>
      <c r="I274" s="35"/>
      <c r="J274" s="12"/>
      <c r="O274" s="12"/>
      <c r="P274" s="18"/>
      <c r="Q274" s="12"/>
      <c r="R274" s="12"/>
      <c r="S274" s="12"/>
      <c r="T274" s="36"/>
      <c r="U274" s="36"/>
      <c r="V274" s="12"/>
      <c r="W274" s="12"/>
      <c r="X274" s="12"/>
      <c r="Y274" s="12"/>
      <c r="Z274" s="12"/>
    </row>
    <row r="275" customFormat="false" ht="15.75" hidden="false" customHeight="false" outlineLevel="0" collapsed="false">
      <c r="A275" s="12"/>
      <c r="B275" s="34"/>
      <c r="C275" s="12"/>
      <c r="D275" s="12"/>
      <c r="E275" s="12"/>
      <c r="F275" s="12"/>
      <c r="G275" s="18"/>
      <c r="H275" s="35"/>
      <c r="I275" s="35"/>
      <c r="J275" s="12"/>
      <c r="O275" s="12"/>
      <c r="P275" s="18"/>
      <c r="Q275" s="12"/>
      <c r="R275" s="12"/>
      <c r="S275" s="12"/>
      <c r="T275" s="36"/>
      <c r="U275" s="36"/>
      <c r="V275" s="12"/>
      <c r="W275" s="12"/>
      <c r="X275" s="12"/>
      <c r="Y275" s="12"/>
      <c r="Z275" s="12"/>
    </row>
    <row r="276" customFormat="false" ht="15.75" hidden="false" customHeight="false" outlineLevel="0" collapsed="false">
      <c r="A276" s="12"/>
      <c r="B276" s="34"/>
      <c r="C276" s="12"/>
      <c r="D276" s="12"/>
      <c r="E276" s="12"/>
      <c r="F276" s="12"/>
      <c r="G276" s="18"/>
      <c r="H276" s="35"/>
      <c r="I276" s="35"/>
      <c r="J276" s="12"/>
      <c r="O276" s="12"/>
      <c r="P276" s="18"/>
      <c r="Q276" s="12"/>
      <c r="R276" s="12"/>
      <c r="S276" s="12"/>
      <c r="T276" s="36"/>
      <c r="U276" s="36"/>
      <c r="V276" s="12"/>
      <c r="W276" s="12"/>
      <c r="X276" s="12"/>
      <c r="Y276" s="12"/>
      <c r="Z276" s="12"/>
    </row>
    <row r="277" customFormat="false" ht="15.75" hidden="false" customHeight="false" outlineLevel="0" collapsed="false">
      <c r="A277" s="12"/>
      <c r="B277" s="34"/>
      <c r="C277" s="12"/>
      <c r="D277" s="12"/>
      <c r="E277" s="12"/>
      <c r="F277" s="12"/>
      <c r="G277" s="18"/>
      <c r="H277" s="35"/>
      <c r="I277" s="35"/>
      <c r="J277" s="12"/>
      <c r="O277" s="12"/>
      <c r="P277" s="18"/>
      <c r="Q277" s="12"/>
      <c r="R277" s="12"/>
      <c r="S277" s="12"/>
      <c r="T277" s="36"/>
      <c r="U277" s="36"/>
      <c r="V277" s="12"/>
      <c r="W277" s="12"/>
      <c r="X277" s="12"/>
      <c r="Y277" s="12"/>
      <c r="Z277" s="12"/>
    </row>
    <row r="278" customFormat="false" ht="15.75" hidden="false" customHeight="false" outlineLevel="0" collapsed="false">
      <c r="A278" s="12"/>
      <c r="B278" s="34"/>
      <c r="C278" s="12"/>
      <c r="D278" s="12"/>
      <c r="E278" s="12"/>
      <c r="F278" s="12"/>
      <c r="G278" s="18"/>
      <c r="H278" s="35"/>
      <c r="I278" s="35"/>
      <c r="J278" s="12"/>
      <c r="O278" s="12"/>
      <c r="P278" s="18"/>
      <c r="Q278" s="12"/>
      <c r="R278" s="12"/>
      <c r="S278" s="12"/>
      <c r="T278" s="36"/>
      <c r="U278" s="36"/>
      <c r="V278" s="12"/>
      <c r="W278" s="12"/>
      <c r="X278" s="12"/>
      <c r="Y278" s="12"/>
      <c r="Z278" s="12"/>
    </row>
    <row r="279" customFormat="false" ht="15.75" hidden="false" customHeight="false" outlineLevel="0" collapsed="false">
      <c r="A279" s="12"/>
      <c r="B279" s="34"/>
      <c r="C279" s="12"/>
      <c r="D279" s="12"/>
      <c r="E279" s="12"/>
      <c r="F279" s="12"/>
      <c r="G279" s="18"/>
      <c r="H279" s="35"/>
      <c r="I279" s="35"/>
      <c r="J279" s="12"/>
      <c r="O279" s="12"/>
      <c r="P279" s="18"/>
      <c r="Q279" s="12"/>
      <c r="R279" s="12"/>
      <c r="S279" s="12"/>
      <c r="T279" s="36"/>
      <c r="U279" s="36"/>
      <c r="V279" s="12"/>
      <c r="W279" s="12"/>
      <c r="X279" s="12"/>
      <c r="Y279" s="12"/>
      <c r="Z279" s="12"/>
    </row>
    <row r="280" customFormat="false" ht="15.75" hidden="false" customHeight="false" outlineLevel="0" collapsed="false">
      <c r="A280" s="12"/>
      <c r="B280" s="34"/>
      <c r="C280" s="12"/>
      <c r="D280" s="12"/>
      <c r="E280" s="12"/>
      <c r="F280" s="12"/>
      <c r="G280" s="18"/>
      <c r="H280" s="35"/>
      <c r="I280" s="35"/>
      <c r="J280" s="12"/>
      <c r="O280" s="12"/>
      <c r="P280" s="18"/>
      <c r="Q280" s="12"/>
      <c r="R280" s="12"/>
      <c r="S280" s="12"/>
      <c r="T280" s="36"/>
      <c r="U280" s="36"/>
      <c r="V280" s="12"/>
      <c r="W280" s="12"/>
      <c r="X280" s="12"/>
      <c r="Y280" s="12"/>
      <c r="Z280" s="12"/>
    </row>
    <row r="281" customFormat="false" ht="15.75" hidden="false" customHeight="false" outlineLevel="0" collapsed="false">
      <c r="A281" s="12"/>
      <c r="B281" s="34"/>
      <c r="C281" s="12"/>
      <c r="D281" s="12"/>
      <c r="E281" s="12"/>
      <c r="F281" s="12"/>
      <c r="G281" s="18"/>
      <c r="H281" s="35"/>
      <c r="I281" s="35"/>
      <c r="J281" s="12"/>
      <c r="O281" s="12"/>
      <c r="P281" s="18"/>
      <c r="Q281" s="12"/>
      <c r="R281" s="12"/>
      <c r="S281" s="12"/>
      <c r="T281" s="36"/>
      <c r="U281" s="36"/>
      <c r="V281" s="12"/>
      <c r="W281" s="12"/>
      <c r="X281" s="12"/>
      <c r="Y281" s="12"/>
      <c r="Z281" s="12"/>
    </row>
    <row r="282" customFormat="false" ht="15.75" hidden="false" customHeight="false" outlineLevel="0" collapsed="false">
      <c r="A282" s="12"/>
      <c r="B282" s="34"/>
      <c r="C282" s="12"/>
      <c r="D282" s="12"/>
      <c r="E282" s="12"/>
      <c r="F282" s="12"/>
      <c r="G282" s="18"/>
      <c r="H282" s="35"/>
      <c r="I282" s="35"/>
      <c r="J282" s="12"/>
      <c r="O282" s="12"/>
      <c r="P282" s="18"/>
      <c r="Q282" s="12"/>
      <c r="R282" s="12"/>
      <c r="S282" s="12"/>
      <c r="T282" s="36"/>
      <c r="U282" s="36"/>
      <c r="V282" s="12"/>
      <c r="W282" s="12"/>
      <c r="X282" s="12"/>
      <c r="Y282" s="12"/>
      <c r="Z282" s="12"/>
    </row>
    <row r="283" customFormat="false" ht="15.75" hidden="false" customHeight="false" outlineLevel="0" collapsed="false">
      <c r="A283" s="12"/>
      <c r="B283" s="34"/>
      <c r="C283" s="12"/>
      <c r="D283" s="12"/>
      <c r="E283" s="12"/>
      <c r="F283" s="12"/>
      <c r="G283" s="18"/>
      <c r="H283" s="35"/>
      <c r="I283" s="35"/>
      <c r="J283" s="12"/>
      <c r="O283" s="12"/>
      <c r="P283" s="18"/>
      <c r="Q283" s="12"/>
      <c r="R283" s="12"/>
      <c r="S283" s="12"/>
      <c r="T283" s="36"/>
      <c r="U283" s="36"/>
      <c r="V283" s="12"/>
      <c r="W283" s="12"/>
      <c r="X283" s="12"/>
      <c r="Y283" s="12"/>
      <c r="Z283" s="12"/>
    </row>
    <row r="284" customFormat="false" ht="15.75" hidden="false" customHeight="false" outlineLevel="0" collapsed="false">
      <c r="A284" s="12"/>
      <c r="B284" s="34"/>
      <c r="C284" s="12"/>
      <c r="D284" s="12"/>
      <c r="E284" s="12"/>
      <c r="F284" s="12"/>
      <c r="G284" s="18"/>
      <c r="H284" s="35"/>
      <c r="I284" s="35"/>
      <c r="J284" s="12"/>
      <c r="O284" s="12"/>
      <c r="P284" s="18"/>
      <c r="Q284" s="12"/>
      <c r="R284" s="12"/>
      <c r="S284" s="12"/>
      <c r="T284" s="36"/>
      <c r="U284" s="36"/>
      <c r="V284" s="12"/>
      <c r="W284" s="12"/>
      <c r="X284" s="12"/>
      <c r="Y284" s="12"/>
      <c r="Z284" s="12"/>
    </row>
    <row r="285" customFormat="false" ht="15.75" hidden="false" customHeight="false" outlineLevel="0" collapsed="false">
      <c r="A285" s="12"/>
      <c r="B285" s="34"/>
      <c r="C285" s="12"/>
      <c r="D285" s="12"/>
      <c r="E285" s="12"/>
      <c r="F285" s="12"/>
      <c r="G285" s="18"/>
      <c r="H285" s="35"/>
      <c r="I285" s="35"/>
      <c r="J285" s="12"/>
      <c r="O285" s="12"/>
      <c r="P285" s="18"/>
      <c r="Q285" s="12"/>
      <c r="R285" s="12"/>
      <c r="S285" s="12"/>
      <c r="T285" s="36"/>
      <c r="U285" s="36"/>
      <c r="V285" s="12"/>
      <c r="W285" s="12"/>
      <c r="X285" s="12"/>
      <c r="Y285" s="12"/>
      <c r="Z285" s="12"/>
    </row>
    <row r="286" customFormat="false" ht="15.75" hidden="false" customHeight="false" outlineLevel="0" collapsed="false">
      <c r="A286" s="12"/>
      <c r="B286" s="34"/>
      <c r="C286" s="12"/>
      <c r="D286" s="12"/>
      <c r="E286" s="12"/>
      <c r="F286" s="12"/>
      <c r="G286" s="18"/>
      <c r="H286" s="35"/>
      <c r="I286" s="35"/>
      <c r="J286" s="12"/>
      <c r="O286" s="12"/>
      <c r="P286" s="18"/>
      <c r="Q286" s="12"/>
      <c r="R286" s="12"/>
      <c r="S286" s="12"/>
      <c r="T286" s="36"/>
      <c r="U286" s="36"/>
      <c r="V286" s="12"/>
      <c r="W286" s="12"/>
      <c r="X286" s="12"/>
      <c r="Y286" s="12"/>
      <c r="Z286" s="12"/>
    </row>
    <row r="287" customFormat="false" ht="15.75" hidden="false" customHeight="false" outlineLevel="0" collapsed="false">
      <c r="A287" s="12"/>
      <c r="B287" s="34"/>
      <c r="C287" s="12"/>
      <c r="D287" s="12"/>
      <c r="E287" s="12"/>
      <c r="F287" s="12"/>
      <c r="G287" s="18"/>
      <c r="H287" s="35"/>
      <c r="I287" s="35"/>
      <c r="J287" s="12"/>
      <c r="O287" s="12"/>
      <c r="P287" s="18"/>
      <c r="Q287" s="12"/>
      <c r="R287" s="12"/>
      <c r="S287" s="12"/>
      <c r="T287" s="36"/>
      <c r="U287" s="36"/>
      <c r="V287" s="12"/>
      <c r="W287" s="12"/>
      <c r="X287" s="12"/>
      <c r="Y287" s="12"/>
      <c r="Z287" s="12"/>
    </row>
    <row r="288" customFormat="false" ht="15.75" hidden="false" customHeight="false" outlineLevel="0" collapsed="false">
      <c r="A288" s="12"/>
      <c r="B288" s="34"/>
      <c r="C288" s="12"/>
      <c r="D288" s="12"/>
      <c r="E288" s="12"/>
      <c r="F288" s="12"/>
      <c r="G288" s="18"/>
      <c r="H288" s="35"/>
      <c r="I288" s="35"/>
      <c r="J288" s="12"/>
      <c r="O288" s="12"/>
      <c r="P288" s="18"/>
      <c r="Q288" s="12"/>
      <c r="R288" s="12"/>
      <c r="S288" s="12"/>
      <c r="T288" s="36"/>
      <c r="U288" s="36"/>
      <c r="V288" s="12"/>
      <c r="W288" s="12"/>
      <c r="X288" s="12"/>
      <c r="Y288" s="12"/>
      <c r="Z288" s="12"/>
    </row>
    <row r="289" customFormat="false" ht="15.75" hidden="false" customHeight="false" outlineLevel="0" collapsed="false">
      <c r="A289" s="12"/>
      <c r="B289" s="34"/>
      <c r="C289" s="12"/>
      <c r="D289" s="12"/>
      <c r="E289" s="12"/>
      <c r="F289" s="12"/>
      <c r="G289" s="18"/>
      <c r="H289" s="35"/>
      <c r="I289" s="35"/>
      <c r="J289" s="12"/>
      <c r="O289" s="12"/>
      <c r="P289" s="18"/>
      <c r="Q289" s="12"/>
      <c r="R289" s="12"/>
      <c r="S289" s="12"/>
      <c r="T289" s="36"/>
      <c r="U289" s="36"/>
      <c r="V289" s="12"/>
      <c r="W289" s="12"/>
      <c r="X289" s="12"/>
      <c r="Y289" s="12"/>
      <c r="Z289" s="12"/>
    </row>
    <row r="290" customFormat="false" ht="15.75" hidden="false" customHeight="false" outlineLevel="0" collapsed="false">
      <c r="A290" s="12"/>
      <c r="B290" s="34"/>
      <c r="C290" s="12"/>
      <c r="D290" s="12"/>
      <c r="E290" s="12"/>
      <c r="F290" s="12"/>
      <c r="G290" s="18"/>
      <c r="H290" s="35"/>
      <c r="I290" s="35"/>
      <c r="J290" s="12"/>
      <c r="O290" s="12"/>
      <c r="P290" s="18"/>
      <c r="Q290" s="12"/>
      <c r="R290" s="12"/>
      <c r="S290" s="12"/>
      <c r="T290" s="36"/>
      <c r="U290" s="36"/>
      <c r="V290" s="12"/>
      <c r="W290" s="12"/>
      <c r="X290" s="12"/>
      <c r="Y290" s="12"/>
      <c r="Z290" s="12"/>
    </row>
    <row r="291" customFormat="false" ht="15.75" hidden="false" customHeight="false" outlineLevel="0" collapsed="false">
      <c r="A291" s="12"/>
      <c r="B291" s="34"/>
      <c r="C291" s="12"/>
      <c r="D291" s="12"/>
      <c r="E291" s="12"/>
      <c r="F291" s="12"/>
      <c r="G291" s="18"/>
      <c r="H291" s="35"/>
      <c r="I291" s="35"/>
      <c r="J291" s="12"/>
      <c r="O291" s="12"/>
      <c r="P291" s="18"/>
      <c r="Q291" s="12"/>
      <c r="R291" s="12"/>
      <c r="S291" s="12"/>
      <c r="T291" s="36"/>
      <c r="U291" s="36"/>
      <c r="V291" s="12"/>
      <c r="W291" s="12"/>
      <c r="X291" s="12"/>
      <c r="Y291" s="12"/>
      <c r="Z291" s="12"/>
    </row>
    <row r="292" customFormat="false" ht="15.75" hidden="false" customHeight="false" outlineLevel="0" collapsed="false">
      <c r="A292" s="12"/>
      <c r="B292" s="34"/>
      <c r="C292" s="12"/>
      <c r="D292" s="12"/>
      <c r="E292" s="12"/>
      <c r="F292" s="12"/>
      <c r="G292" s="18"/>
      <c r="H292" s="35"/>
      <c r="I292" s="35"/>
      <c r="J292" s="12"/>
      <c r="O292" s="12"/>
      <c r="P292" s="18"/>
      <c r="Q292" s="12"/>
      <c r="R292" s="12"/>
      <c r="S292" s="12"/>
      <c r="T292" s="36"/>
      <c r="U292" s="36"/>
      <c r="V292" s="12"/>
      <c r="W292" s="12"/>
      <c r="X292" s="12"/>
      <c r="Y292" s="12"/>
      <c r="Z292" s="12"/>
    </row>
    <row r="293" customFormat="false" ht="15.75" hidden="false" customHeight="false" outlineLevel="0" collapsed="false">
      <c r="A293" s="12"/>
      <c r="B293" s="34"/>
      <c r="C293" s="12"/>
      <c r="D293" s="12"/>
      <c r="E293" s="12"/>
      <c r="F293" s="12"/>
      <c r="G293" s="18"/>
      <c r="H293" s="35"/>
      <c r="I293" s="35"/>
      <c r="J293" s="12"/>
      <c r="O293" s="12"/>
      <c r="P293" s="18"/>
      <c r="Q293" s="12"/>
      <c r="R293" s="12"/>
      <c r="S293" s="12"/>
      <c r="T293" s="36"/>
      <c r="U293" s="36"/>
      <c r="V293" s="12"/>
      <c r="W293" s="12"/>
      <c r="X293" s="12"/>
      <c r="Y293" s="12"/>
      <c r="Z293" s="12"/>
    </row>
    <row r="294" customFormat="false" ht="15.75" hidden="false" customHeight="false" outlineLevel="0" collapsed="false">
      <c r="A294" s="12"/>
      <c r="B294" s="34"/>
      <c r="C294" s="12"/>
      <c r="D294" s="12"/>
      <c r="E294" s="12"/>
      <c r="F294" s="12"/>
      <c r="G294" s="18"/>
      <c r="H294" s="35"/>
      <c r="I294" s="35"/>
      <c r="J294" s="12"/>
      <c r="O294" s="12"/>
      <c r="P294" s="18"/>
      <c r="Q294" s="12"/>
      <c r="R294" s="12"/>
      <c r="S294" s="12"/>
      <c r="T294" s="36"/>
      <c r="U294" s="36"/>
      <c r="V294" s="12"/>
      <c r="W294" s="12"/>
      <c r="X294" s="12"/>
      <c r="Y294" s="12"/>
      <c r="Z294" s="12"/>
    </row>
    <row r="295" customFormat="false" ht="15.75" hidden="false" customHeight="false" outlineLevel="0" collapsed="false">
      <c r="A295" s="12"/>
      <c r="B295" s="34"/>
      <c r="C295" s="12"/>
      <c r="D295" s="12"/>
      <c r="E295" s="12"/>
      <c r="F295" s="12"/>
      <c r="G295" s="18"/>
      <c r="H295" s="35"/>
      <c r="I295" s="35"/>
      <c r="J295" s="12"/>
      <c r="O295" s="12"/>
      <c r="P295" s="18"/>
      <c r="Q295" s="12"/>
      <c r="R295" s="12"/>
      <c r="S295" s="12"/>
      <c r="T295" s="36"/>
      <c r="U295" s="36"/>
      <c r="V295" s="12"/>
      <c r="W295" s="12"/>
      <c r="X295" s="12"/>
      <c r="Y295" s="12"/>
      <c r="Z295" s="12"/>
    </row>
    <row r="296" customFormat="false" ht="15.75" hidden="false" customHeight="false" outlineLevel="0" collapsed="false">
      <c r="A296" s="12"/>
      <c r="B296" s="34"/>
      <c r="C296" s="12"/>
      <c r="D296" s="12"/>
      <c r="E296" s="12"/>
      <c r="F296" s="12"/>
      <c r="G296" s="18"/>
      <c r="H296" s="35"/>
      <c r="I296" s="35"/>
      <c r="J296" s="12"/>
      <c r="O296" s="12"/>
      <c r="P296" s="18"/>
      <c r="Q296" s="12"/>
      <c r="R296" s="12"/>
      <c r="S296" s="12"/>
      <c r="T296" s="36"/>
      <c r="U296" s="36"/>
      <c r="V296" s="12"/>
      <c r="W296" s="12"/>
      <c r="X296" s="12"/>
      <c r="Y296" s="12"/>
      <c r="Z296" s="12"/>
    </row>
    <row r="297" customFormat="false" ht="15.75" hidden="false" customHeight="false" outlineLevel="0" collapsed="false">
      <c r="A297" s="12"/>
      <c r="B297" s="34"/>
      <c r="C297" s="12"/>
      <c r="D297" s="12"/>
      <c r="E297" s="12"/>
      <c r="F297" s="12"/>
      <c r="G297" s="18"/>
      <c r="H297" s="35"/>
      <c r="I297" s="35"/>
      <c r="J297" s="12"/>
      <c r="O297" s="12"/>
      <c r="P297" s="18"/>
      <c r="Q297" s="12"/>
      <c r="R297" s="12"/>
      <c r="S297" s="12"/>
      <c r="T297" s="36"/>
      <c r="U297" s="36"/>
      <c r="V297" s="12"/>
      <c r="W297" s="12"/>
      <c r="X297" s="12"/>
      <c r="Y297" s="12"/>
      <c r="Z297" s="12"/>
    </row>
    <row r="298" customFormat="false" ht="15.75" hidden="false" customHeight="false" outlineLevel="0" collapsed="false">
      <c r="A298" s="12"/>
      <c r="B298" s="34"/>
      <c r="C298" s="12"/>
      <c r="D298" s="12"/>
      <c r="E298" s="12"/>
      <c r="F298" s="12"/>
      <c r="G298" s="18"/>
      <c r="H298" s="35"/>
      <c r="I298" s="35"/>
      <c r="J298" s="12"/>
      <c r="O298" s="12"/>
      <c r="P298" s="18"/>
      <c r="Q298" s="12"/>
      <c r="R298" s="12"/>
      <c r="S298" s="12"/>
      <c r="T298" s="36"/>
      <c r="U298" s="36"/>
      <c r="V298" s="12"/>
      <c r="W298" s="12"/>
      <c r="X298" s="12"/>
      <c r="Y298" s="12"/>
      <c r="Z298" s="12"/>
    </row>
    <row r="299" customFormat="false" ht="15.75" hidden="false" customHeight="false" outlineLevel="0" collapsed="false">
      <c r="A299" s="12"/>
      <c r="B299" s="34"/>
      <c r="C299" s="12"/>
      <c r="D299" s="12"/>
      <c r="E299" s="12"/>
      <c r="F299" s="12"/>
      <c r="G299" s="18"/>
      <c r="H299" s="35"/>
      <c r="I299" s="35"/>
      <c r="J299" s="12"/>
      <c r="O299" s="12"/>
      <c r="P299" s="18"/>
      <c r="Q299" s="12"/>
      <c r="R299" s="12"/>
      <c r="S299" s="12"/>
      <c r="T299" s="36"/>
      <c r="U299" s="36"/>
      <c r="V299" s="12"/>
      <c r="W299" s="12"/>
      <c r="X299" s="12"/>
      <c r="Y299" s="12"/>
      <c r="Z299" s="12"/>
    </row>
    <row r="300" customFormat="false" ht="15.75" hidden="false" customHeight="false" outlineLevel="0" collapsed="false">
      <c r="A300" s="12"/>
      <c r="B300" s="34"/>
      <c r="C300" s="12"/>
      <c r="D300" s="12"/>
      <c r="E300" s="12"/>
      <c r="F300" s="12"/>
      <c r="G300" s="18"/>
      <c r="H300" s="35"/>
      <c r="I300" s="35"/>
      <c r="J300" s="12"/>
      <c r="O300" s="12"/>
      <c r="P300" s="18"/>
      <c r="Q300" s="12"/>
      <c r="R300" s="12"/>
      <c r="S300" s="12"/>
      <c r="T300" s="36"/>
      <c r="U300" s="36"/>
      <c r="V300" s="12"/>
      <c r="W300" s="12"/>
      <c r="X300" s="12"/>
      <c r="Y300" s="12"/>
      <c r="Z300" s="12"/>
    </row>
    <row r="301" customFormat="false" ht="15.75" hidden="false" customHeight="false" outlineLevel="0" collapsed="false">
      <c r="A301" s="12"/>
      <c r="B301" s="34"/>
      <c r="C301" s="12"/>
      <c r="D301" s="12"/>
      <c r="E301" s="12"/>
      <c r="F301" s="12"/>
      <c r="G301" s="18"/>
      <c r="H301" s="35"/>
      <c r="I301" s="35"/>
      <c r="J301" s="12"/>
      <c r="O301" s="12"/>
      <c r="P301" s="18"/>
      <c r="Q301" s="12"/>
      <c r="R301" s="12"/>
      <c r="S301" s="12"/>
      <c r="T301" s="36"/>
      <c r="U301" s="36"/>
      <c r="V301" s="12"/>
      <c r="W301" s="12"/>
      <c r="X301" s="12"/>
      <c r="Y301" s="12"/>
      <c r="Z301" s="12"/>
    </row>
    <row r="302" customFormat="false" ht="15.75" hidden="false" customHeight="false" outlineLevel="0" collapsed="false">
      <c r="A302" s="12"/>
      <c r="B302" s="34"/>
      <c r="C302" s="12"/>
      <c r="D302" s="12"/>
      <c r="E302" s="12"/>
      <c r="F302" s="12"/>
      <c r="G302" s="18"/>
      <c r="H302" s="35"/>
      <c r="I302" s="35"/>
      <c r="J302" s="12"/>
      <c r="O302" s="12"/>
      <c r="P302" s="18"/>
      <c r="Q302" s="12"/>
      <c r="R302" s="12"/>
      <c r="S302" s="12"/>
      <c r="T302" s="36"/>
      <c r="U302" s="36"/>
      <c r="V302" s="12"/>
      <c r="W302" s="12"/>
      <c r="X302" s="12"/>
      <c r="Y302" s="12"/>
      <c r="Z302" s="12"/>
    </row>
    <row r="303" customFormat="false" ht="15.75" hidden="false" customHeight="false" outlineLevel="0" collapsed="false">
      <c r="A303" s="12"/>
      <c r="B303" s="34"/>
      <c r="C303" s="12"/>
      <c r="D303" s="12"/>
      <c r="E303" s="12"/>
      <c r="F303" s="12"/>
      <c r="G303" s="18"/>
      <c r="H303" s="35"/>
      <c r="I303" s="35"/>
      <c r="J303" s="12"/>
      <c r="O303" s="12"/>
      <c r="P303" s="18"/>
      <c r="Q303" s="12"/>
      <c r="R303" s="12"/>
      <c r="S303" s="12"/>
      <c r="T303" s="36"/>
      <c r="U303" s="36"/>
      <c r="V303" s="12"/>
      <c r="W303" s="12"/>
      <c r="X303" s="12"/>
      <c r="Y303" s="12"/>
      <c r="Z303" s="12"/>
    </row>
    <row r="304" customFormat="false" ht="15.75" hidden="false" customHeight="false" outlineLevel="0" collapsed="false">
      <c r="A304" s="12"/>
      <c r="B304" s="34"/>
      <c r="C304" s="12"/>
      <c r="D304" s="12"/>
      <c r="E304" s="12"/>
      <c r="F304" s="12"/>
      <c r="G304" s="18"/>
      <c r="H304" s="35"/>
      <c r="I304" s="35"/>
      <c r="J304" s="12"/>
      <c r="O304" s="12"/>
      <c r="P304" s="18"/>
      <c r="Q304" s="12"/>
      <c r="R304" s="12"/>
      <c r="S304" s="12"/>
      <c r="T304" s="36"/>
      <c r="U304" s="36"/>
      <c r="V304" s="12"/>
      <c r="W304" s="12"/>
      <c r="X304" s="12"/>
      <c r="Y304" s="12"/>
      <c r="Z304" s="12"/>
    </row>
    <row r="305" customFormat="false" ht="15.75" hidden="false" customHeight="false" outlineLevel="0" collapsed="false">
      <c r="A305" s="12"/>
      <c r="B305" s="34"/>
      <c r="C305" s="12"/>
      <c r="D305" s="12"/>
      <c r="E305" s="12"/>
      <c r="F305" s="12"/>
      <c r="G305" s="18"/>
      <c r="H305" s="35"/>
      <c r="I305" s="35"/>
      <c r="J305" s="12"/>
      <c r="O305" s="12"/>
      <c r="P305" s="18"/>
      <c r="Q305" s="12"/>
      <c r="R305" s="12"/>
      <c r="S305" s="12"/>
      <c r="T305" s="36"/>
      <c r="U305" s="36"/>
      <c r="V305" s="12"/>
      <c r="W305" s="12"/>
      <c r="X305" s="12"/>
      <c r="Y305" s="12"/>
      <c r="Z305" s="12"/>
    </row>
    <row r="306" customFormat="false" ht="15.75" hidden="false" customHeight="false" outlineLevel="0" collapsed="false">
      <c r="A306" s="12"/>
      <c r="B306" s="34"/>
      <c r="C306" s="12"/>
      <c r="D306" s="12"/>
      <c r="E306" s="12"/>
      <c r="F306" s="12"/>
      <c r="G306" s="18"/>
      <c r="H306" s="35"/>
      <c r="I306" s="35"/>
      <c r="J306" s="12"/>
      <c r="O306" s="12"/>
      <c r="P306" s="18"/>
      <c r="Q306" s="12"/>
      <c r="R306" s="12"/>
      <c r="S306" s="12"/>
      <c r="T306" s="36"/>
      <c r="U306" s="36"/>
      <c r="V306" s="12"/>
      <c r="W306" s="12"/>
      <c r="X306" s="12"/>
      <c r="Y306" s="12"/>
      <c r="Z306" s="12"/>
    </row>
    <row r="307" customFormat="false" ht="15.75" hidden="false" customHeight="false" outlineLevel="0" collapsed="false">
      <c r="A307" s="12"/>
      <c r="B307" s="34"/>
      <c r="C307" s="12"/>
      <c r="D307" s="12"/>
      <c r="E307" s="12"/>
      <c r="F307" s="12"/>
      <c r="G307" s="18"/>
      <c r="H307" s="35"/>
      <c r="I307" s="35"/>
      <c r="J307" s="12"/>
      <c r="O307" s="12"/>
      <c r="P307" s="18"/>
      <c r="Q307" s="12"/>
      <c r="R307" s="12"/>
      <c r="S307" s="12"/>
      <c r="T307" s="36"/>
      <c r="U307" s="36"/>
      <c r="V307" s="12"/>
      <c r="W307" s="12"/>
      <c r="X307" s="12"/>
      <c r="Y307" s="12"/>
      <c r="Z307" s="12"/>
    </row>
    <row r="308" customFormat="false" ht="15.75" hidden="false" customHeight="false" outlineLevel="0" collapsed="false">
      <c r="A308" s="12"/>
      <c r="B308" s="34"/>
      <c r="C308" s="12"/>
      <c r="D308" s="12"/>
      <c r="E308" s="12"/>
      <c r="F308" s="12"/>
      <c r="G308" s="18"/>
      <c r="H308" s="35"/>
      <c r="I308" s="35"/>
      <c r="J308" s="12"/>
      <c r="O308" s="12"/>
      <c r="P308" s="18"/>
      <c r="Q308" s="12"/>
      <c r="R308" s="12"/>
      <c r="S308" s="12"/>
      <c r="T308" s="36"/>
      <c r="U308" s="36"/>
      <c r="V308" s="12"/>
      <c r="W308" s="12"/>
      <c r="X308" s="12"/>
      <c r="Y308" s="12"/>
      <c r="Z308" s="12"/>
    </row>
    <row r="309" customFormat="false" ht="15.75" hidden="false" customHeight="false" outlineLevel="0" collapsed="false">
      <c r="A309" s="12"/>
      <c r="B309" s="34"/>
      <c r="C309" s="12"/>
      <c r="D309" s="12"/>
      <c r="E309" s="12"/>
      <c r="F309" s="12"/>
      <c r="G309" s="18"/>
      <c r="H309" s="35"/>
      <c r="I309" s="35"/>
      <c r="J309" s="12"/>
      <c r="O309" s="12"/>
      <c r="P309" s="18"/>
      <c r="Q309" s="12"/>
      <c r="R309" s="12"/>
      <c r="S309" s="12"/>
      <c r="T309" s="36"/>
      <c r="U309" s="36"/>
      <c r="V309" s="12"/>
      <c r="W309" s="12"/>
      <c r="X309" s="12"/>
      <c r="Y309" s="12"/>
      <c r="Z309" s="12"/>
    </row>
    <row r="310" customFormat="false" ht="15.75" hidden="false" customHeight="false" outlineLevel="0" collapsed="false">
      <c r="A310" s="12"/>
      <c r="B310" s="34"/>
      <c r="C310" s="12"/>
      <c r="D310" s="12"/>
      <c r="E310" s="12"/>
      <c r="F310" s="12"/>
      <c r="G310" s="18"/>
      <c r="H310" s="35"/>
      <c r="I310" s="35"/>
      <c r="J310" s="12"/>
      <c r="O310" s="12"/>
      <c r="P310" s="18"/>
      <c r="Q310" s="12"/>
      <c r="R310" s="12"/>
      <c r="S310" s="12"/>
      <c r="T310" s="36"/>
      <c r="U310" s="36"/>
      <c r="V310" s="12"/>
      <c r="W310" s="12"/>
      <c r="X310" s="12"/>
      <c r="Y310" s="12"/>
      <c r="Z310" s="12"/>
    </row>
    <row r="311" customFormat="false" ht="15.75" hidden="false" customHeight="false" outlineLevel="0" collapsed="false">
      <c r="A311" s="12"/>
      <c r="B311" s="34"/>
      <c r="C311" s="12"/>
      <c r="D311" s="12"/>
      <c r="E311" s="12"/>
      <c r="F311" s="12"/>
      <c r="G311" s="18"/>
      <c r="H311" s="35"/>
      <c r="I311" s="35"/>
      <c r="J311" s="12"/>
      <c r="O311" s="12"/>
      <c r="P311" s="18"/>
      <c r="Q311" s="12"/>
      <c r="R311" s="12"/>
      <c r="S311" s="12"/>
      <c r="T311" s="36"/>
      <c r="U311" s="36"/>
      <c r="V311" s="12"/>
      <c r="W311" s="12"/>
      <c r="X311" s="12"/>
      <c r="Y311" s="12"/>
      <c r="Z311" s="12"/>
    </row>
    <row r="312" customFormat="false" ht="15.75" hidden="false" customHeight="false" outlineLevel="0" collapsed="false">
      <c r="A312" s="12"/>
      <c r="B312" s="34"/>
      <c r="C312" s="12"/>
      <c r="D312" s="12"/>
      <c r="E312" s="12"/>
      <c r="F312" s="12"/>
      <c r="G312" s="18"/>
      <c r="H312" s="35"/>
      <c r="I312" s="35"/>
      <c r="J312" s="12"/>
      <c r="O312" s="12"/>
      <c r="P312" s="18"/>
      <c r="Q312" s="12"/>
      <c r="R312" s="12"/>
      <c r="S312" s="12"/>
      <c r="T312" s="36"/>
      <c r="U312" s="36"/>
      <c r="V312" s="12"/>
      <c r="W312" s="12"/>
      <c r="X312" s="12"/>
      <c r="Y312" s="12"/>
      <c r="Z312" s="12"/>
    </row>
    <row r="313" customFormat="false" ht="15.75" hidden="false" customHeight="false" outlineLevel="0" collapsed="false">
      <c r="A313" s="12"/>
      <c r="B313" s="34"/>
      <c r="C313" s="12"/>
      <c r="D313" s="12"/>
      <c r="E313" s="12"/>
      <c r="F313" s="12"/>
      <c r="G313" s="18"/>
      <c r="H313" s="35"/>
      <c r="I313" s="35"/>
      <c r="J313" s="12"/>
      <c r="O313" s="12"/>
      <c r="P313" s="18"/>
      <c r="Q313" s="12"/>
      <c r="R313" s="12"/>
      <c r="S313" s="12"/>
      <c r="T313" s="36"/>
      <c r="U313" s="36"/>
      <c r="V313" s="12"/>
      <c r="W313" s="12"/>
      <c r="X313" s="12"/>
      <c r="Y313" s="12"/>
      <c r="Z313" s="12"/>
    </row>
    <row r="314" customFormat="false" ht="15.75" hidden="false" customHeight="false" outlineLevel="0" collapsed="false">
      <c r="A314" s="12"/>
      <c r="B314" s="34"/>
      <c r="C314" s="12"/>
      <c r="D314" s="12"/>
      <c r="E314" s="12"/>
      <c r="F314" s="12"/>
      <c r="G314" s="18"/>
      <c r="H314" s="35"/>
      <c r="I314" s="35"/>
      <c r="J314" s="12"/>
      <c r="O314" s="12"/>
      <c r="P314" s="18"/>
      <c r="Q314" s="12"/>
      <c r="R314" s="12"/>
      <c r="S314" s="12"/>
      <c r="T314" s="36"/>
      <c r="U314" s="36"/>
      <c r="V314" s="12"/>
      <c r="W314" s="12"/>
      <c r="X314" s="12"/>
      <c r="Y314" s="12"/>
      <c r="Z314" s="12"/>
    </row>
    <row r="315" customFormat="false" ht="15.75" hidden="false" customHeight="false" outlineLevel="0" collapsed="false">
      <c r="A315" s="12"/>
      <c r="B315" s="34"/>
      <c r="C315" s="12"/>
      <c r="D315" s="12"/>
      <c r="E315" s="12"/>
      <c r="F315" s="12"/>
      <c r="G315" s="18"/>
      <c r="H315" s="35"/>
      <c r="I315" s="35"/>
      <c r="J315" s="12"/>
      <c r="O315" s="12"/>
      <c r="P315" s="18"/>
      <c r="Q315" s="12"/>
      <c r="R315" s="12"/>
      <c r="S315" s="12"/>
      <c r="T315" s="36"/>
      <c r="U315" s="36"/>
      <c r="V315" s="12"/>
      <c r="W315" s="12"/>
      <c r="X315" s="12"/>
      <c r="Y315" s="12"/>
      <c r="Z315" s="12"/>
    </row>
    <row r="316" customFormat="false" ht="15.75" hidden="false" customHeight="false" outlineLevel="0" collapsed="false">
      <c r="A316" s="12"/>
      <c r="B316" s="34"/>
      <c r="C316" s="12"/>
      <c r="D316" s="12"/>
      <c r="E316" s="12"/>
      <c r="F316" s="12"/>
      <c r="G316" s="18"/>
      <c r="H316" s="35"/>
      <c r="I316" s="35"/>
      <c r="J316" s="12"/>
      <c r="O316" s="12"/>
      <c r="P316" s="18"/>
      <c r="Q316" s="12"/>
      <c r="R316" s="12"/>
      <c r="S316" s="12"/>
      <c r="T316" s="36"/>
      <c r="U316" s="36"/>
      <c r="V316" s="12"/>
      <c r="W316" s="12"/>
      <c r="X316" s="12"/>
      <c r="Y316" s="12"/>
      <c r="Z316" s="12"/>
    </row>
    <row r="317" customFormat="false" ht="15.75" hidden="false" customHeight="false" outlineLevel="0" collapsed="false">
      <c r="A317" s="12"/>
      <c r="B317" s="34"/>
      <c r="C317" s="12"/>
      <c r="D317" s="12"/>
      <c r="E317" s="12"/>
      <c r="F317" s="12"/>
      <c r="G317" s="18"/>
      <c r="H317" s="35"/>
      <c r="I317" s="35"/>
      <c r="J317" s="12"/>
      <c r="O317" s="12"/>
      <c r="P317" s="18"/>
      <c r="Q317" s="12"/>
      <c r="R317" s="12"/>
      <c r="S317" s="12"/>
      <c r="T317" s="36"/>
      <c r="U317" s="36"/>
      <c r="V317" s="12"/>
      <c r="W317" s="12"/>
      <c r="X317" s="12"/>
      <c r="Y317" s="12"/>
      <c r="Z317" s="12"/>
    </row>
    <row r="318" customFormat="false" ht="15.75" hidden="false" customHeight="false" outlineLevel="0" collapsed="false">
      <c r="A318" s="12"/>
      <c r="B318" s="34"/>
      <c r="C318" s="12"/>
      <c r="D318" s="12"/>
      <c r="E318" s="12"/>
      <c r="F318" s="12"/>
      <c r="G318" s="18"/>
      <c r="H318" s="35"/>
      <c r="I318" s="35"/>
      <c r="J318" s="12"/>
      <c r="O318" s="12"/>
      <c r="P318" s="18"/>
      <c r="Q318" s="12"/>
      <c r="R318" s="12"/>
      <c r="S318" s="12"/>
      <c r="T318" s="36"/>
      <c r="U318" s="36"/>
      <c r="V318" s="12"/>
      <c r="W318" s="12"/>
      <c r="X318" s="12"/>
      <c r="Y318" s="12"/>
      <c r="Z318" s="12"/>
    </row>
    <row r="319" customFormat="false" ht="15.75" hidden="false" customHeight="false" outlineLevel="0" collapsed="false">
      <c r="A319" s="12"/>
      <c r="B319" s="34"/>
      <c r="C319" s="12"/>
      <c r="D319" s="12"/>
      <c r="E319" s="12"/>
      <c r="F319" s="12"/>
      <c r="G319" s="18"/>
      <c r="H319" s="35"/>
      <c r="I319" s="35"/>
      <c r="J319" s="12"/>
      <c r="O319" s="12"/>
      <c r="P319" s="18"/>
      <c r="Q319" s="12"/>
      <c r="R319" s="12"/>
      <c r="S319" s="12"/>
      <c r="T319" s="36"/>
      <c r="U319" s="36"/>
      <c r="V319" s="12"/>
      <c r="W319" s="12"/>
      <c r="X319" s="12"/>
      <c r="Y319" s="12"/>
      <c r="Z319" s="12"/>
    </row>
    <row r="320" customFormat="false" ht="15.75" hidden="false" customHeight="false" outlineLevel="0" collapsed="false">
      <c r="A320" s="12"/>
      <c r="B320" s="34"/>
      <c r="C320" s="12"/>
      <c r="D320" s="12"/>
      <c r="E320" s="12"/>
      <c r="F320" s="12"/>
      <c r="G320" s="18"/>
      <c r="H320" s="35"/>
      <c r="I320" s="35"/>
      <c r="J320" s="12"/>
      <c r="O320" s="12"/>
      <c r="P320" s="18"/>
      <c r="Q320" s="12"/>
      <c r="R320" s="12"/>
      <c r="S320" s="12"/>
      <c r="T320" s="36"/>
      <c r="U320" s="36"/>
      <c r="V320" s="12"/>
      <c r="W320" s="12"/>
      <c r="X320" s="12"/>
      <c r="Y320" s="12"/>
      <c r="Z320" s="12"/>
    </row>
    <row r="321" customFormat="false" ht="15.75" hidden="false" customHeight="false" outlineLevel="0" collapsed="false">
      <c r="A321" s="12"/>
      <c r="B321" s="34"/>
      <c r="C321" s="12"/>
      <c r="D321" s="12"/>
      <c r="E321" s="12"/>
      <c r="F321" s="12"/>
      <c r="G321" s="18"/>
      <c r="H321" s="35"/>
      <c r="I321" s="35"/>
      <c r="J321" s="12"/>
      <c r="O321" s="12"/>
      <c r="P321" s="18"/>
      <c r="Q321" s="12"/>
      <c r="R321" s="12"/>
      <c r="S321" s="12"/>
      <c r="T321" s="36"/>
      <c r="U321" s="36"/>
      <c r="V321" s="12"/>
      <c r="W321" s="12"/>
      <c r="X321" s="12"/>
      <c r="Y321" s="12"/>
      <c r="Z321" s="12"/>
    </row>
    <row r="322" customFormat="false" ht="15.75" hidden="false" customHeight="false" outlineLevel="0" collapsed="false">
      <c r="A322" s="12"/>
      <c r="B322" s="34"/>
      <c r="C322" s="12"/>
      <c r="D322" s="12"/>
      <c r="E322" s="12"/>
      <c r="F322" s="12"/>
      <c r="G322" s="18"/>
      <c r="H322" s="35"/>
      <c r="I322" s="35"/>
      <c r="J322" s="12"/>
      <c r="O322" s="12"/>
      <c r="P322" s="18"/>
      <c r="Q322" s="12"/>
      <c r="R322" s="12"/>
      <c r="S322" s="12"/>
      <c r="T322" s="36"/>
      <c r="U322" s="36"/>
      <c r="V322" s="12"/>
      <c r="W322" s="12"/>
      <c r="X322" s="12"/>
      <c r="Y322" s="12"/>
      <c r="Z322" s="12"/>
    </row>
    <row r="323" customFormat="false" ht="15.75" hidden="false" customHeight="false" outlineLevel="0" collapsed="false">
      <c r="A323" s="12"/>
      <c r="B323" s="34"/>
      <c r="C323" s="12"/>
      <c r="D323" s="12"/>
      <c r="E323" s="12"/>
      <c r="F323" s="12"/>
      <c r="G323" s="18"/>
      <c r="H323" s="35"/>
      <c r="I323" s="35"/>
      <c r="J323" s="12"/>
      <c r="O323" s="12"/>
      <c r="P323" s="18"/>
      <c r="Q323" s="12"/>
      <c r="R323" s="12"/>
      <c r="S323" s="12"/>
      <c r="T323" s="36"/>
      <c r="U323" s="36"/>
      <c r="V323" s="12"/>
      <c r="W323" s="12"/>
      <c r="X323" s="12"/>
      <c r="Y323" s="12"/>
      <c r="Z323" s="12"/>
    </row>
    <row r="324" customFormat="false" ht="15.75" hidden="false" customHeight="false" outlineLevel="0" collapsed="false">
      <c r="A324" s="12"/>
      <c r="B324" s="34"/>
      <c r="C324" s="12"/>
      <c r="D324" s="12"/>
      <c r="E324" s="12"/>
      <c r="F324" s="12"/>
      <c r="G324" s="18"/>
      <c r="H324" s="35"/>
      <c r="I324" s="35"/>
      <c r="J324" s="12"/>
      <c r="O324" s="12"/>
      <c r="P324" s="18"/>
      <c r="Q324" s="12"/>
      <c r="R324" s="12"/>
      <c r="S324" s="12"/>
      <c r="T324" s="36"/>
      <c r="U324" s="36"/>
      <c r="V324" s="12"/>
      <c r="W324" s="12"/>
      <c r="X324" s="12"/>
      <c r="Y324" s="12"/>
      <c r="Z324" s="12"/>
    </row>
    <row r="325" customFormat="false" ht="15.75" hidden="false" customHeight="false" outlineLevel="0" collapsed="false">
      <c r="A325" s="12"/>
      <c r="B325" s="34"/>
      <c r="C325" s="12"/>
      <c r="D325" s="12"/>
      <c r="E325" s="12"/>
      <c r="F325" s="12"/>
      <c r="G325" s="18"/>
      <c r="H325" s="35"/>
      <c r="I325" s="35"/>
      <c r="J325" s="12"/>
      <c r="O325" s="12"/>
      <c r="P325" s="18"/>
      <c r="Q325" s="12"/>
      <c r="R325" s="12"/>
      <c r="S325" s="12"/>
      <c r="T325" s="36"/>
      <c r="U325" s="36"/>
      <c r="V325" s="12"/>
      <c r="W325" s="12"/>
      <c r="X325" s="12"/>
      <c r="Y325" s="12"/>
      <c r="Z325" s="12"/>
    </row>
    <row r="326" customFormat="false" ht="15.75" hidden="false" customHeight="false" outlineLevel="0" collapsed="false">
      <c r="A326" s="12"/>
      <c r="B326" s="34"/>
      <c r="C326" s="12"/>
      <c r="D326" s="12"/>
      <c r="E326" s="12"/>
      <c r="F326" s="12"/>
      <c r="G326" s="18"/>
      <c r="H326" s="35"/>
      <c r="I326" s="35"/>
      <c r="J326" s="12"/>
      <c r="O326" s="12"/>
      <c r="P326" s="18"/>
      <c r="Q326" s="12"/>
      <c r="R326" s="12"/>
      <c r="S326" s="12"/>
      <c r="T326" s="36"/>
      <c r="U326" s="36"/>
      <c r="V326" s="12"/>
      <c r="W326" s="12"/>
      <c r="X326" s="12"/>
      <c r="Y326" s="12"/>
      <c r="Z326" s="12"/>
    </row>
    <row r="327" customFormat="false" ht="15.75" hidden="false" customHeight="false" outlineLevel="0" collapsed="false">
      <c r="A327" s="12"/>
      <c r="B327" s="34"/>
      <c r="C327" s="12"/>
      <c r="D327" s="12"/>
      <c r="E327" s="12"/>
      <c r="F327" s="12"/>
      <c r="G327" s="18"/>
      <c r="H327" s="35"/>
      <c r="I327" s="35"/>
      <c r="J327" s="12"/>
      <c r="O327" s="12"/>
      <c r="P327" s="18"/>
      <c r="Q327" s="12"/>
      <c r="R327" s="12"/>
      <c r="S327" s="12"/>
      <c r="T327" s="36"/>
      <c r="U327" s="36"/>
      <c r="V327" s="12"/>
      <c r="W327" s="12"/>
      <c r="X327" s="12"/>
      <c r="Y327" s="12"/>
      <c r="Z327" s="12"/>
    </row>
    <row r="328" customFormat="false" ht="15.75" hidden="false" customHeight="false" outlineLevel="0" collapsed="false">
      <c r="A328" s="12"/>
      <c r="B328" s="34"/>
      <c r="C328" s="12"/>
      <c r="D328" s="12"/>
      <c r="E328" s="12"/>
      <c r="F328" s="12"/>
      <c r="G328" s="18"/>
      <c r="H328" s="35"/>
      <c r="I328" s="35"/>
      <c r="J328" s="12"/>
      <c r="O328" s="12"/>
      <c r="P328" s="18"/>
      <c r="Q328" s="12"/>
      <c r="R328" s="12"/>
      <c r="S328" s="12"/>
      <c r="T328" s="36"/>
      <c r="U328" s="36"/>
      <c r="V328" s="12"/>
      <c r="W328" s="12"/>
      <c r="X328" s="12"/>
      <c r="Y328" s="12"/>
      <c r="Z328" s="12"/>
    </row>
    <row r="329" customFormat="false" ht="15.75" hidden="false" customHeight="false" outlineLevel="0" collapsed="false">
      <c r="A329" s="12"/>
      <c r="B329" s="34"/>
      <c r="C329" s="12"/>
      <c r="D329" s="12"/>
      <c r="E329" s="12"/>
      <c r="F329" s="12"/>
      <c r="G329" s="18"/>
      <c r="H329" s="35"/>
      <c r="I329" s="35"/>
      <c r="J329" s="12"/>
      <c r="O329" s="12"/>
      <c r="P329" s="18"/>
      <c r="Q329" s="12"/>
      <c r="R329" s="12"/>
      <c r="S329" s="12"/>
      <c r="T329" s="36"/>
      <c r="U329" s="36"/>
      <c r="V329" s="12"/>
      <c r="W329" s="12"/>
      <c r="X329" s="12"/>
      <c r="Y329" s="12"/>
      <c r="Z329" s="12"/>
    </row>
    <row r="330" customFormat="false" ht="15.75" hidden="false" customHeight="false" outlineLevel="0" collapsed="false">
      <c r="A330" s="12"/>
      <c r="B330" s="34"/>
      <c r="C330" s="12"/>
      <c r="D330" s="12"/>
      <c r="E330" s="12"/>
      <c r="F330" s="12"/>
      <c r="G330" s="18"/>
      <c r="H330" s="35"/>
      <c r="I330" s="35"/>
      <c r="J330" s="12"/>
      <c r="O330" s="12"/>
      <c r="P330" s="18"/>
      <c r="Q330" s="12"/>
      <c r="R330" s="12"/>
      <c r="S330" s="12"/>
      <c r="T330" s="36"/>
      <c r="U330" s="36"/>
      <c r="V330" s="12"/>
      <c r="W330" s="12"/>
      <c r="X330" s="12"/>
      <c r="Y330" s="12"/>
      <c r="Z330" s="12"/>
    </row>
    <row r="331" customFormat="false" ht="15.75" hidden="false" customHeight="false" outlineLevel="0" collapsed="false">
      <c r="A331" s="12"/>
      <c r="B331" s="34"/>
      <c r="C331" s="12"/>
      <c r="D331" s="12"/>
      <c r="E331" s="12"/>
      <c r="F331" s="12"/>
      <c r="G331" s="18"/>
      <c r="H331" s="35"/>
      <c r="I331" s="35"/>
      <c r="J331" s="12"/>
      <c r="O331" s="12"/>
      <c r="P331" s="18"/>
      <c r="Q331" s="12"/>
      <c r="R331" s="12"/>
      <c r="S331" s="12"/>
      <c r="T331" s="36"/>
      <c r="U331" s="36"/>
      <c r="V331" s="12"/>
      <c r="W331" s="12"/>
      <c r="X331" s="12"/>
      <c r="Y331" s="12"/>
      <c r="Z331" s="12"/>
    </row>
    <row r="332" customFormat="false" ht="15.75" hidden="false" customHeight="false" outlineLevel="0" collapsed="false">
      <c r="A332" s="12"/>
      <c r="B332" s="34"/>
      <c r="C332" s="12"/>
      <c r="D332" s="12"/>
      <c r="E332" s="12"/>
      <c r="F332" s="12"/>
      <c r="G332" s="18"/>
      <c r="H332" s="35"/>
      <c r="I332" s="35"/>
      <c r="J332" s="12"/>
      <c r="O332" s="12"/>
      <c r="P332" s="18"/>
      <c r="Q332" s="12"/>
      <c r="R332" s="12"/>
      <c r="S332" s="12"/>
      <c r="T332" s="36"/>
      <c r="U332" s="36"/>
      <c r="V332" s="12"/>
      <c r="W332" s="12"/>
      <c r="X332" s="12"/>
      <c r="Y332" s="12"/>
      <c r="Z332" s="12"/>
    </row>
    <row r="333" customFormat="false" ht="15.75" hidden="false" customHeight="false" outlineLevel="0" collapsed="false">
      <c r="A333" s="12"/>
      <c r="B333" s="34"/>
      <c r="C333" s="12"/>
      <c r="D333" s="12"/>
      <c r="E333" s="12"/>
      <c r="F333" s="12"/>
      <c r="G333" s="18"/>
      <c r="H333" s="35"/>
      <c r="I333" s="35"/>
      <c r="J333" s="12"/>
      <c r="O333" s="12"/>
      <c r="P333" s="18"/>
      <c r="Q333" s="12"/>
      <c r="R333" s="12"/>
      <c r="S333" s="12"/>
      <c r="T333" s="36"/>
      <c r="U333" s="36"/>
      <c r="V333" s="12"/>
      <c r="W333" s="12"/>
      <c r="X333" s="12"/>
      <c r="Y333" s="12"/>
      <c r="Z333" s="12"/>
    </row>
    <row r="334" customFormat="false" ht="15.75" hidden="false" customHeight="false" outlineLevel="0" collapsed="false">
      <c r="A334" s="12"/>
      <c r="B334" s="34"/>
      <c r="C334" s="12"/>
      <c r="D334" s="12"/>
      <c r="E334" s="12"/>
      <c r="F334" s="12"/>
      <c r="G334" s="18"/>
      <c r="H334" s="35"/>
      <c r="I334" s="35"/>
      <c r="J334" s="12"/>
      <c r="O334" s="12"/>
      <c r="P334" s="18"/>
      <c r="Q334" s="12"/>
      <c r="R334" s="12"/>
      <c r="S334" s="12"/>
      <c r="T334" s="36"/>
      <c r="U334" s="36"/>
      <c r="V334" s="12"/>
      <c r="W334" s="12"/>
      <c r="X334" s="12"/>
      <c r="Y334" s="12"/>
      <c r="Z334" s="12"/>
    </row>
    <row r="335" customFormat="false" ht="15.75" hidden="false" customHeight="false" outlineLevel="0" collapsed="false">
      <c r="A335" s="12"/>
      <c r="B335" s="34"/>
      <c r="C335" s="12"/>
      <c r="D335" s="12"/>
      <c r="E335" s="12"/>
      <c r="F335" s="12"/>
      <c r="G335" s="18"/>
      <c r="H335" s="35"/>
      <c r="I335" s="35"/>
      <c r="J335" s="12"/>
      <c r="O335" s="12"/>
      <c r="P335" s="18"/>
      <c r="Q335" s="12"/>
      <c r="R335" s="12"/>
      <c r="S335" s="12"/>
      <c r="T335" s="36"/>
      <c r="U335" s="36"/>
      <c r="V335" s="12"/>
      <c r="W335" s="12"/>
      <c r="X335" s="12"/>
      <c r="Y335" s="12"/>
      <c r="Z335" s="12"/>
    </row>
    <row r="336" customFormat="false" ht="15.75" hidden="false" customHeight="false" outlineLevel="0" collapsed="false">
      <c r="A336" s="12"/>
      <c r="B336" s="34"/>
      <c r="C336" s="12"/>
      <c r="D336" s="12"/>
      <c r="E336" s="12"/>
      <c r="F336" s="12"/>
      <c r="G336" s="18"/>
      <c r="H336" s="35"/>
      <c r="I336" s="35"/>
      <c r="J336" s="12"/>
      <c r="O336" s="12"/>
      <c r="P336" s="18"/>
      <c r="Q336" s="12"/>
      <c r="R336" s="12"/>
      <c r="S336" s="12"/>
      <c r="T336" s="36"/>
      <c r="U336" s="36"/>
      <c r="V336" s="12"/>
      <c r="W336" s="12"/>
      <c r="X336" s="12"/>
      <c r="Y336" s="12"/>
      <c r="Z336" s="12"/>
    </row>
    <row r="337" customFormat="false" ht="15.75" hidden="false" customHeight="false" outlineLevel="0" collapsed="false">
      <c r="A337" s="12"/>
      <c r="B337" s="34"/>
      <c r="C337" s="12"/>
      <c r="D337" s="12"/>
      <c r="E337" s="12"/>
      <c r="F337" s="12"/>
      <c r="G337" s="18"/>
      <c r="H337" s="35"/>
      <c r="I337" s="35"/>
      <c r="J337" s="12"/>
      <c r="O337" s="12"/>
      <c r="P337" s="18"/>
      <c r="Q337" s="12"/>
      <c r="R337" s="12"/>
      <c r="S337" s="12"/>
      <c r="T337" s="36"/>
      <c r="U337" s="36"/>
      <c r="V337" s="12"/>
      <c r="W337" s="12"/>
      <c r="X337" s="12"/>
      <c r="Y337" s="12"/>
      <c r="Z337" s="12"/>
    </row>
    <row r="338" customFormat="false" ht="15.75" hidden="false" customHeight="false" outlineLevel="0" collapsed="false">
      <c r="A338" s="12"/>
      <c r="B338" s="34"/>
      <c r="C338" s="12"/>
      <c r="D338" s="12"/>
      <c r="E338" s="12"/>
      <c r="F338" s="12"/>
      <c r="G338" s="18"/>
      <c r="H338" s="35"/>
      <c r="I338" s="35"/>
      <c r="J338" s="12"/>
      <c r="O338" s="12"/>
      <c r="P338" s="18"/>
      <c r="Q338" s="12"/>
      <c r="R338" s="12"/>
      <c r="S338" s="12"/>
      <c r="T338" s="36"/>
      <c r="U338" s="36"/>
      <c r="V338" s="12"/>
      <c r="W338" s="12"/>
      <c r="X338" s="12"/>
      <c r="Y338" s="12"/>
      <c r="Z338" s="12"/>
    </row>
    <row r="339" customFormat="false" ht="15.75" hidden="false" customHeight="false" outlineLevel="0" collapsed="false">
      <c r="A339" s="12"/>
      <c r="B339" s="34"/>
      <c r="C339" s="12"/>
      <c r="D339" s="12"/>
      <c r="E339" s="12"/>
      <c r="F339" s="12"/>
      <c r="G339" s="18"/>
      <c r="H339" s="35"/>
      <c r="I339" s="35"/>
      <c r="J339" s="12"/>
      <c r="O339" s="12"/>
      <c r="P339" s="18"/>
      <c r="Q339" s="12"/>
      <c r="R339" s="12"/>
      <c r="S339" s="12"/>
      <c r="T339" s="36"/>
      <c r="U339" s="36"/>
      <c r="V339" s="12"/>
      <c r="W339" s="12"/>
      <c r="X339" s="12"/>
      <c r="Y339" s="12"/>
      <c r="Z339" s="12"/>
    </row>
    <row r="340" customFormat="false" ht="15.75" hidden="false" customHeight="false" outlineLevel="0" collapsed="false">
      <c r="A340" s="12"/>
      <c r="B340" s="34"/>
      <c r="C340" s="12"/>
      <c r="D340" s="12"/>
      <c r="E340" s="12"/>
      <c r="F340" s="12"/>
      <c r="G340" s="18"/>
      <c r="H340" s="35"/>
      <c r="I340" s="35"/>
      <c r="J340" s="12"/>
      <c r="O340" s="12"/>
      <c r="P340" s="18"/>
      <c r="Q340" s="12"/>
      <c r="R340" s="12"/>
      <c r="S340" s="12"/>
      <c r="T340" s="36"/>
      <c r="U340" s="36"/>
      <c r="V340" s="12"/>
      <c r="W340" s="12"/>
      <c r="X340" s="12"/>
      <c r="Y340" s="12"/>
      <c r="Z340" s="12"/>
    </row>
    <row r="341" customFormat="false" ht="15.75" hidden="false" customHeight="false" outlineLevel="0" collapsed="false">
      <c r="A341" s="12"/>
      <c r="B341" s="34"/>
      <c r="C341" s="12"/>
      <c r="D341" s="12"/>
      <c r="E341" s="12"/>
      <c r="F341" s="12"/>
      <c r="G341" s="18"/>
      <c r="H341" s="35"/>
      <c r="I341" s="35"/>
      <c r="J341" s="12"/>
      <c r="O341" s="12"/>
      <c r="P341" s="18"/>
      <c r="Q341" s="12"/>
      <c r="R341" s="12"/>
      <c r="S341" s="12"/>
      <c r="T341" s="36"/>
      <c r="U341" s="36"/>
      <c r="V341" s="12"/>
      <c r="W341" s="12"/>
      <c r="X341" s="12"/>
      <c r="Y341" s="12"/>
      <c r="Z341" s="12"/>
    </row>
    <row r="342" customFormat="false" ht="15.75" hidden="false" customHeight="false" outlineLevel="0" collapsed="false">
      <c r="A342" s="12"/>
      <c r="B342" s="34"/>
      <c r="C342" s="12"/>
      <c r="D342" s="12"/>
      <c r="E342" s="12"/>
      <c r="F342" s="12"/>
      <c r="G342" s="18"/>
      <c r="H342" s="35"/>
      <c r="I342" s="35"/>
      <c r="J342" s="12"/>
      <c r="O342" s="12"/>
      <c r="P342" s="18"/>
      <c r="Q342" s="12"/>
      <c r="R342" s="12"/>
      <c r="S342" s="12"/>
      <c r="T342" s="36"/>
      <c r="U342" s="36"/>
      <c r="V342" s="12"/>
      <c r="W342" s="12"/>
      <c r="X342" s="12"/>
      <c r="Y342" s="12"/>
      <c r="Z342" s="12"/>
    </row>
    <row r="343" customFormat="false" ht="15.75" hidden="false" customHeight="false" outlineLevel="0" collapsed="false">
      <c r="A343" s="12"/>
      <c r="B343" s="34"/>
      <c r="C343" s="12"/>
      <c r="D343" s="12"/>
      <c r="E343" s="12"/>
      <c r="F343" s="12"/>
      <c r="G343" s="18"/>
      <c r="H343" s="35"/>
      <c r="I343" s="35"/>
      <c r="J343" s="12"/>
      <c r="O343" s="12"/>
      <c r="P343" s="18"/>
      <c r="Q343" s="12"/>
      <c r="R343" s="12"/>
      <c r="S343" s="12"/>
      <c r="T343" s="36"/>
      <c r="U343" s="36"/>
      <c r="V343" s="12"/>
      <c r="W343" s="12"/>
      <c r="X343" s="12"/>
      <c r="Y343" s="12"/>
      <c r="Z343" s="12"/>
    </row>
    <row r="344" customFormat="false" ht="15.75" hidden="false" customHeight="false" outlineLevel="0" collapsed="false">
      <c r="A344" s="12"/>
      <c r="B344" s="34"/>
      <c r="C344" s="12"/>
      <c r="D344" s="12"/>
      <c r="E344" s="12"/>
      <c r="F344" s="12"/>
      <c r="G344" s="18"/>
      <c r="H344" s="35"/>
      <c r="I344" s="35"/>
      <c r="J344" s="12"/>
      <c r="O344" s="12"/>
      <c r="P344" s="18"/>
      <c r="Q344" s="12"/>
      <c r="R344" s="12"/>
      <c r="S344" s="12"/>
      <c r="T344" s="36"/>
      <c r="U344" s="36"/>
      <c r="V344" s="12"/>
      <c r="W344" s="12"/>
      <c r="X344" s="12"/>
      <c r="Y344" s="12"/>
      <c r="Z344" s="12"/>
    </row>
    <row r="345" customFormat="false" ht="15.75" hidden="false" customHeight="false" outlineLevel="0" collapsed="false">
      <c r="A345" s="12"/>
      <c r="B345" s="34"/>
      <c r="C345" s="12"/>
      <c r="D345" s="12"/>
      <c r="E345" s="12"/>
      <c r="F345" s="12"/>
      <c r="G345" s="18"/>
      <c r="H345" s="35"/>
      <c r="I345" s="35"/>
      <c r="J345" s="12"/>
      <c r="O345" s="12"/>
      <c r="P345" s="18"/>
      <c r="Q345" s="12"/>
      <c r="R345" s="12"/>
      <c r="S345" s="12"/>
      <c r="T345" s="36"/>
      <c r="U345" s="36"/>
      <c r="V345" s="12"/>
      <c r="W345" s="12"/>
      <c r="X345" s="12"/>
      <c r="Y345" s="12"/>
      <c r="Z345" s="12"/>
    </row>
    <row r="346" customFormat="false" ht="15.75" hidden="false" customHeight="false" outlineLevel="0" collapsed="false">
      <c r="A346" s="12"/>
      <c r="B346" s="34"/>
      <c r="C346" s="12"/>
      <c r="D346" s="12"/>
      <c r="E346" s="12"/>
      <c r="F346" s="12"/>
      <c r="G346" s="18"/>
      <c r="H346" s="35"/>
      <c r="I346" s="35"/>
      <c r="J346" s="12"/>
      <c r="O346" s="12"/>
      <c r="P346" s="18"/>
      <c r="Q346" s="12"/>
      <c r="R346" s="12"/>
      <c r="S346" s="12"/>
      <c r="T346" s="36"/>
      <c r="U346" s="36"/>
      <c r="V346" s="12"/>
      <c r="W346" s="12"/>
      <c r="X346" s="12"/>
      <c r="Y346" s="12"/>
      <c r="Z346" s="12"/>
    </row>
    <row r="347" customFormat="false" ht="15.75" hidden="false" customHeight="false" outlineLevel="0" collapsed="false">
      <c r="A347" s="12"/>
      <c r="B347" s="34"/>
      <c r="C347" s="12"/>
      <c r="D347" s="12"/>
      <c r="E347" s="12"/>
      <c r="F347" s="12"/>
      <c r="G347" s="18"/>
      <c r="H347" s="35"/>
      <c r="I347" s="35"/>
      <c r="J347" s="12"/>
      <c r="O347" s="12"/>
      <c r="P347" s="18"/>
      <c r="Q347" s="12"/>
      <c r="R347" s="12"/>
      <c r="S347" s="12"/>
      <c r="T347" s="36"/>
      <c r="U347" s="36"/>
      <c r="V347" s="12"/>
      <c r="W347" s="12"/>
      <c r="X347" s="12"/>
      <c r="Y347" s="12"/>
      <c r="Z347" s="12"/>
    </row>
    <row r="348" customFormat="false" ht="15.75" hidden="false" customHeight="false" outlineLevel="0" collapsed="false">
      <c r="A348" s="12"/>
      <c r="B348" s="34"/>
      <c r="C348" s="12"/>
      <c r="D348" s="12"/>
      <c r="E348" s="12"/>
      <c r="F348" s="12"/>
      <c r="G348" s="18"/>
      <c r="H348" s="35"/>
      <c r="I348" s="35"/>
      <c r="J348" s="12"/>
      <c r="O348" s="12"/>
      <c r="P348" s="18"/>
      <c r="Q348" s="12"/>
      <c r="R348" s="12"/>
      <c r="S348" s="12"/>
      <c r="T348" s="36"/>
      <c r="U348" s="36"/>
      <c r="V348" s="12"/>
      <c r="W348" s="12"/>
      <c r="X348" s="12"/>
      <c r="Y348" s="12"/>
      <c r="Z348" s="12"/>
    </row>
    <row r="349" customFormat="false" ht="15.75" hidden="false" customHeight="false" outlineLevel="0" collapsed="false">
      <c r="A349" s="12"/>
      <c r="B349" s="34"/>
      <c r="C349" s="12"/>
      <c r="D349" s="12"/>
      <c r="E349" s="12"/>
      <c r="F349" s="12"/>
      <c r="G349" s="18"/>
      <c r="H349" s="35"/>
      <c r="I349" s="35"/>
      <c r="J349" s="12"/>
      <c r="O349" s="12"/>
      <c r="P349" s="18"/>
      <c r="Q349" s="12"/>
      <c r="R349" s="12"/>
      <c r="S349" s="12"/>
      <c r="T349" s="36"/>
      <c r="U349" s="36"/>
      <c r="V349" s="12"/>
      <c r="W349" s="12"/>
      <c r="X349" s="12"/>
      <c r="Y349" s="12"/>
      <c r="Z349" s="12"/>
    </row>
    <row r="350" customFormat="false" ht="15.75" hidden="false" customHeight="false" outlineLevel="0" collapsed="false">
      <c r="A350" s="12"/>
      <c r="B350" s="34"/>
      <c r="C350" s="12"/>
      <c r="D350" s="12"/>
      <c r="E350" s="12"/>
      <c r="F350" s="12"/>
      <c r="G350" s="18"/>
      <c r="H350" s="35"/>
      <c r="I350" s="35"/>
      <c r="J350" s="12"/>
      <c r="O350" s="12"/>
      <c r="P350" s="18"/>
      <c r="Q350" s="12"/>
      <c r="R350" s="12"/>
      <c r="S350" s="12"/>
      <c r="T350" s="36"/>
      <c r="U350" s="36"/>
      <c r="V350" s="12"/>
      <c r="W350" s="12"/>
      <c r="X350" s="12"/>
      <c r="Y350" s="12"/>
      <c r="Z350" s="12"/>
    </row>
    <row r="351" customFormat="false" ht="15.75" hidden="false" customHeight="false" outlineLevel="0" collapsed="false">
      <c r="A351" s="12"/>
      <c r="B351" s="34"/>
      <c r="C351" s="12"/>
      <c r="D351" s="12"/>
      <c r="E351" s="12"/>
      <c r="F351" s="12"/>
      <c r="G351" s="18"/>
      <c r="H351" s="35"/>
      <c r="I351" s="35"/>
      <c r="J351" s="12"/>
      <c r="O351" s="12"/>
      <c r="P351" s="18"/>
      <c r="Q351" s="12"/>
      <c r="R351" s="12"/>
      <c r="S351" s="12"/>
      <c r="T351" s="36"/>
      <c r="U351" s="36"/>
      <c r="V351" s="12"/>
      <c r="W351" s="12"/>
      <c r="X351" s="12"/>
      <c r="Y351" s="12"/>
      <c r="Z351" s="12"/>
    </row>
    <row r="352" customFormat="false" ht="15.75" hidden="false" customHeight="false" outlineLevel="0" collapsed="false">
      <c r="A352" s="12"/>
      <c r="B352" s="34"/>
      <c r="C352" s="12"/>
      <c r="D352" s="12"/>
      <c r="E352" s="12"/>
      <c r="F352" s="12"/>
      <c r="G352" s="18"/>
      <c r="H352" s="35"/>
      <c r="I352" s="35"/>
      <c r="J352" s="12"/>
      <c r="O352" s="12"/>
      <c r="P352" s="18"/>
      <c r="Q352" s="12"/>
      <c r="R352" s="12"/>
      <c r="S352" s="12"/>
      <c r="T352" s="36"/>
      <c r="U352" s="36"/>
      <c r="V352" s="12"/>
      <c r="W352" s="12"/>
      <c r="X352" s="12"/>
      <c r="Y352" s="12"/>
      <c r="Z352" s="12"/>
    </row>
    <row r="353" customFormat="false" ht="15.75" hidden="false" customHeight="false" outlineLevel="0" collapsed="false">
      <c r="A353" s="12"/>
      <c r="B353" s="34"/>
      <c r="C353" s="12"/>
      <c r="D353" s="12"/>
      <c r="E353" s="12"/>
      <c r="F353" s="12"/>
      <c r="G353" s="18"/>
      <c r="H353" s="35"/>
      <c r="I353" s="35"/>
      <c r="J353" s="12"/>
      <c r="O353" s="12"/>
      <c r="P353" s="18"/>
      <c r="Q353" s="12"/>
      <c r="R353" s="12"/>
      <c r="S353" s="12"/>
      <c r="T353" s="36"/>
      <c r="U353" s="36"/>
      <c r="V353" s="12"/>
      <c r="W353" s="12"/>
      <c r="X353" s="12"/>
      <c r="Y353" s="12"/>
      <c r="Z353" s="12"/>
    </row>
    <row r="354" customFormat="false" ht="15.75" hidden="false" customHeight="false" outlineLevel="0" collapsed="false">
      <c r="A354" s="12"/>
      <c r="B354" s="34"/>
      <c r="C354" s="12"/>
      <c r="D354" s="12"/>
      <c r="E354" s="12"/>
      <c r="F354" s="12"/>
      <c r="G354" s="18"/>
      <c r="H354" s="35"/>
      <c r="I354" s="35"/>
      <c r="J354" s="12"/>
      <c r="O354" s="12"/>
      <c r="P354" s="18"/>
      <c r="Q354" s="12"/>
      <c r="R354" s="12"/>
      <c r="S354" s="12"/>
      <c r="T354" s="36"/>
      <c r="U354" s="36"/>
      <c r="V354" s="12"/>
      <c r="W354" s="12"/>
      <c r="X354" s="12"/>
      <c r="Y354" s="12"/>
      <c r="Z354" s="12"/>
    </row>
    <row r="355" customFormat="false" ht="15.75" hidden="false" customHeight="false" outlineLevel="0" collapsed="false">
      <c r="A355" s="12"/>
      <c r="B355" s="34"/>
      <c r="C355" s="12"/>
      <c r="D355" s="12"/>
      <c r="E355" s="12"/>
      <c r="F355" s="12"/>
      <c r="G355" s="18"/>
      <c r="H355" s="35"/>
      <c r="I355" s="35"/>
      <c r="J355" s="12"/>
      <c r="O355" s="12"/>
      <c r="P355" s="18"/>
      <c r="Q355" s="12"/>
      <c r="R355" s="12"/>
      <c r="S355" s="12"/>
      <c r="T355" s="36"/>
      <c r="U355" s="36"/>
      <c r="V355" s="12"/>
      <c r="W355" s="12"/>
      <c r="X355" s="12"/>
      <c r="Y355" s="12"/>
      <c r="Z355" s="12"/>
    </row>
    <row r="356" customFormat="false" ht="15.75" hidden="false" customHeight="false" outlineLevel="0" collapsed="false">
      <c r="A356" s="12"/>
      <c r="B356" s="34"/>
      <c r="C356" s="12"/>
      <c r="D356" s="12"/>
      <c r="E356" s="12"/>
      <c r="F356" s="12"/>
      <c r="G356" s="18"/>
      <c r="H356" s="35"/>
      <c r="I356" s="35"/>
      <c r="J356" s="12"/>
      <c r="O356" s="12"/>
      <c r="P356" s="18"/>
      <c r="Q356" s="12"/>
      <c r="R356" s="12"/>
      <c r="S356" s="12"/>
      <c r="T356" s="36"/>
      <c r="U356" s="36"/>
      <c r="V356" s="12"/>
      <c r="W356" s="12"/>
      <c r="X356" s="12"/>
      <c r="Y356" s="12"/>
      <c r="Z356" s="12"/>
    </row>
    <row r="357" customFormat="false" ht="15.75" hidden="false" customHeight="false" outlineLevel="0" collapsed="false">
      <c r="A357" s="12"/>
      <c r="B357" s="34"/>
      <c r="C357" s="12"/>
      <c r="D357" s="12"/>
      <c r="E357" s="12"/>
      <c r="F357" s="12"/>
      <c r="G357" s="18"/>
      <c r="H357" s="35"/>
      <c r="I357" s="35"/>
      <c r="J357" s="12"/>
      <c r="O357" s="12"/>
      <c r="P357" s="18"/>
      <c r="Q357" s="12"/>
      <c r="R357" s="12"/>
      <c r="S357" s="12"/>
      <c r="T357" s="36"/>
      <c r="U357" s="36"/>
      <c r="V357" s="12"/>
      <c r="W357" s="12"/>
      <c r="X357" s="12"/>
      <c r="Y357" s="12"/>
      <c r="Z357" s="12"/>
    </row>
    <row r="358" customFormat="false" ht="15.75" hidden="false" customHeight="false" outlineLevel="0" collapsed="false">
      <c r="A358" s="12"/>
      <c r="B358" s="34"/>
      <c r="C358" s="12"/>
      <c r="D358" s="12"/>
      <c r="E358" s="12"/>
      <c r="F358" s="12"/>
      <c r="G358" s="18"/>
      <c r="H358" s="35"/>
      <c r="I358" s="35"/>
      <c r="J358" s="12"/>
      <c r="O358" s="12"/>
      <c r="P358" s="18"/>
      <c r="Q358" s="12"/>
      <c r="R358" s="12"/>
      <c r="S358" s="12"/>
      <c r="T358" s="36"/>
      <c r="U358" s="36"/>
      <c r="V358" s="12"/>
      <c r="W358" s="12"/>
      <c r="X358" s="12"/>
      <c r="Y358" s="12"/>
      <c r="Z358" s="12"/>
    </row>
    <row r="359" customFormat="false" ht="15.75" hidden="false" customHeight="false" outlineLevel="0" collapsed="false">
      <c r="A359" s="12"/>
      <c r="B359" s="34"/>
      <c r="C359" s="12"/>
      <c r="D359" s="12"/>
      <c r="E359" s="12"/>
      <c r="F359" s="12"/>
      <c r="G359" s="18"/>
      <c r="H359" s="35"/>
      <c r="I359" s="35"/>
      <c r="J359" s="12"/>
      <c r="O359" s="12"/>
      <c r="P359" s="18"/>
      <c r="Q359" s="12"/>
      <c r="R359" s="12"/>
      <c r="S359" s="12"/>
      <c r="T359" s="36"/>
      <c r="U359" s="36"/>
      <c r="V359" s="12"/>
      <c r="W359" s="12"/>
      <c r="X359" s="12"/>
      <c r="Y359" s="12"/>
      <c r="Z359" s="12"/>
    </row>
    <row r="360" customFormat="false" ht="15.75" hidden="false" customHeight="false" outlineLevel="0" collapsed="false">
      <c r="A360" s="12"/>
      <c r="B360" s="34"/>
      <c r="C360" s="12"/>
      <c r="D360" s="12"/>
      <c r="E360" s="12"/>
      <c r="F360" s="12"/>
      <c r="G360" s="18"/>
      <c r="H360" s="35"/>
      <c r="I360" s="35"/>
      <c r="J360" s="12"/>
      <c r="O360" s="12"/>
      <c r="P360" s="18"/>
      <c r="Q360" s="12"/>
      <c r="R360" s="12"/>
      <c r="S360" s="12"/>
      <c r="T360" s="36"/>
      <c r="U360" s="36"/>
      <c r="V360" s="12"/>
      <c r="W360" s="12"/>
      <c r="X360" s="12"/>
      <c r="Y360" s="12"/>
      <c r="Z360" s="12"/>
    </row>
    <row r="361" customFormat="false" ht="15.75" hidden="false" customHeight="false" outlineLevel="0" collapsed="false">
      <c r="A361" s="12"/>
      <c r="B361" s="34"/>
      <c r="C361" s="12"/>
      <c r="D361" s="12"/>
      <c r="E361" s="12"/>
      <c r="F361" s="12"/>
      <c r="G361" s="18"/>
      <c r="H361" s="35"/>
      <c r="I361" s="35"/>
      <c r="J361" s="12"/>
      <c r="O361" s="12"/>
      <c r="P361" s="18"/>
      <c r="Q361" s="12"/>
      <c r="R361" s="12"/>
      <c r="S361" s="12"/>
      <c r="T361" s="36"/>
      <c r="U361" s="36"/>
      <c r="V361" s="12"/>
      <c r="W361" s="12"/>
      <c r="X361" s="12"/>
      <c r="Y361" s="12"/>
      <c r="Z361" s="12"/>
    </row>
    <row r="362" customFormat="false" ht="15.75" hidden="false" customHeight="false" outlineLevel="0" collapsed="false">
      <c r="A362" s="12"/>
      <c r="B362" s="34"/>
      <c r="C362" s="12"/>
      <c r="D362" s="12"/>
      <c r="E362" s="12"/>
      <c r="F362" s="12"/>
      <c r="G362" s="18"/>
      <c r="H362" s="35"/>
      <c r="I362" s="35"/>
      <c r="J362" s="12"/>
      <c r="O362" s="12"/>
      <c r="P362" s="18"/>
      <c r="Q362" s="12"/>
      <c r="R362" s="12"/>
      <c r="S362" s="12"/>
      <c r="T362" s="36"/>
      <c r="U362" s="36"/>
      <c r="V362" s="12"/>
      <c r="W362" s="12"/>
      <c r="X362" s="12"/>
      <c r="Y362" s="12"/>
      <c r="Z362" s="12"/>
    </row>
    <row r="363" customFormat="false" ht="15.75" hidden="false" customHeight="false" outlineLevel="0" collapsed="false">
      <c r="A363" s="12"/>
      <c r="B363" s="34"/>
      <c r="C363" s="12"/>
      <c r="D363" s="12"/>
      <c r="E363" s="12"/>
      <c r="F363" s="12"/>
      <c r="G363" s="18"/>
      <c r="H363" s="35"/>
      <c r="I363" s="35"/>
      <c r="J363" s="12"/>
      <c r="O363" s="12"/>
      <c r="P363" s="18"/>
      <c r="Q363" s="12"/>
      <c r="R363" s="12"/>
      <c r="S363" s="12"/>
      <c r="T363" s="36"/>
      <c r="U363" s="36"/>
      <c r="V363" s="12"/>
      <c r="W363" s="12"/>
      <c r="X363" s="12"/>
      <c r="Y363" s="12"/>
      <c r="Z363" s="12"/>
    </row>
    <row r="364" customFormat="false" ht="15.75" hidden="false" customHeight="false" outlineLevel="0" collapsed="false">
      <c r="A364" s="12"/>
      <c r="B364" s="34"/>
      <c r="C364" s="12"/>
      <c r="D364" s="12"/>
      <c r="E364" s="12"/>
      <c r="F364" s="12"/>
      <c r="G364" s="18"/>
      <c r="H364" s="35"/>
      <c r="I364" s="35"/>
      <c r="J364" s="12"/>
      <c r="O364" s="12"/>
      <c r="P364" s="18"/>
      <c r="Q364" s="12"/>
      <c r="R364" s="12"/>
      <c r="S364" s="12"/>
      <c r="T364" s="36"/>
      <c r="U364" s="36"/>
      <c r="V364" s="12"/>
      <c r="W364" s="12"/>
      <c r="X364" s="12"/>
      <c r="Y364" s="12"/>
      <c r="Z364" s="12"/>
    </row>
    <row r="365" customFormat="false" ht="15.75" hidden="false" customHeight="false" outlineLevel="0" collapsed="false">
      <c r="A365" s="12"/>
      <c r="B365" s="34"/>
      <c r="C365" s="12"/>
      <c r="D365" s="12"/>
      <c r="E365" s="12"/>
      <c r="F365" s="12"/>
      <c r="G365" s="18"/>
      <c r="H365" s="35"/>
      <c r="I365" s="35"/>
      <c r="J365" s="12"/>
      <c r="O365" s="12"/>
      <c r="P365" s="18"/>
      <c r="Q365" s="12"/>
      <c r="R365" s="12"/>
      <c r="S365" s="12"/>
      <c r="T365" s="36"/>
      <c r="U365" s="36"/>
      <c r="V365" s="12"/>
      <c r="W365" s="12"/>
      <c r="X365" s="12"/>
      <c r="Y365" s="12"/>
      <c r="Z365" s="12"/>
    </row>
    <row r="366" customFormat="false" ht="15.75" hidden="false" customHeight="false" outlineLevel="0" collapsed="false">
      <c r="A366" s="12"/>
      <c r="B366" s="34"/>
      <c r="C366" s="12"/>
      <c r="D366" s="12"/>
      <c r="E366" s="12"/>
      <c r="F366" s="12"/>
      <c r="G366" s="18"/>
      <c r="H366" s="35"/>
      <c r="I366" s="35"/>
      <c r="J366" s="12"/>
      <c r="O366" s="12"/>
      <c r="P366" s="18"/>
      <c r="Q366" s="12"/>
      <c r="R366" s="12"/>
      <c r="S366" s="12"/>
      <c r="T366" s="36"/>
      <c r="U366" s="36"/>
      <c r="V366" s="12"/>
      <c r="W366" s="12"/>
      <c r="X366" s="12"/>
      <c r="Y366" s="12"/>
      <c r="Z366" s="12"/>
    </row>
    <row r="367" customFormat="false" ht="15.75" hidden="false" customHeight="false" outlineLevel="0" collapsed="false">
      <c r="A367" s="12"/>
      <c r="B367" s="34"/>
      <c r="C367" s="12"/>
      <c r="D367" s="12"/>
      <c r="E367" s="12"/>
      <c r="F367" s="12"/>
      <c r="G367" s="18"/>
      <c r="H367" s="35"/>
      <c r="I367" s="35"/>
      <c r="J367" s="12"/>
      <c r="O367" s="12"/>
      <c r="P367" s="18"/>
      <c r="Q367" s="12"/>
      <c r="R367" s="12"/>
      <c r="S367" s="12"/>
      <c r="T367" s="36"/>
      <c r="U367" s="36"/>
      <c r="V367" s="12"/>
      <c r="W367" s="12"/>
      <c r="X367" s="12"/>
      <c r="Y367" s="12"/>
      <c r="Z367" s="12"/>
    </row>
    <row r="368" customFormat="false" ht="15.75" hidden="false" customHeight="false" outlineLevel="0" collapsed="false">
      <c r="A368" s="12"/>
      <c r="B368" s="34"/>
      <c r="C368" s="12"/>
      <c r="D368" s="12"/>
      <c r="E368" s="12"/>
      <c r="F368" s="12"/>
      <c r="G368" s="18"/>
      <c r="H368" s="35"/>
      <c r="I368" s="35"/>
      <c r="J368" s="12"/>
      <c r="O368" s="12"/>
      <c r="P368" s="18"/>
      <c r="Q368" s="12"/>
      <c r="R368" s="12"/>
      <c r="S368" s="12"/>
      <c r="T368" s="36"/>
      <c r="U368" s="36"/>
      <c r="V368" s="12"/>
      <c r="W368" s="12"/>
      <c r="X368" s="12"/>
      <c r="Y368" s="12"/>
      <c r="Z368" s="12"/>
    </row>
    <row r="369" customFormat="false" ht="15.75" hidden="false" customHeight="false" outlineLevel="0" collapsed="false">
      <c r="A369" s="12"/>
      <c r="B369" s="34"/>
      <c r="C369" s="12"/>
      <c r="D369" s="12"/>
      <c r="E369" s="12"/>
      <c r="F369" s="12"/>
      <c r="G369" s="18"/>
      <c r="H369" s="35"/>
      <c r="I369" s="35"/>
      <c r="J369" s="12"/>
      <c r="O369" s="12"/>
      <c r="P369" s="18"/>
      <c r="Q369" s="12"/>
      <c r="R369" s="12"/>
      <c r="S369" s="12"/>
      <c r="T369" s="36"/>
      <c r="U369" s="36"/>
      <c r="V369" s="12"/>
      <c r="W369" s="12"/>
      <c r="X369" s="12"/>
      <c r="Y369" s="12"/>
      <c r="Z369" s="12"/>
    </row>
    <row r="370" customFormat="false" ht="15.75" hidden="false" customHeight="false" outlineLevel="0" collapsed="false">
      <c r="A370" s="12"/>
      <c r="B370" s="34"/>
      <c r="C370" s="12"/>
      <c r="D370" s="12"/>
      <c r="E370" s="12"/>
      <c r="F370" s="12"/>
      <c r="G370" s="18"/>
      <c r="H370" s="35"/>
      <c r="I370" s="35"/>
      <c r="J370" s="12"/>
      <c r="O370" s="12"/>
      <c r="P370" s="18"/>
      <c r="Q370" s="12"/>
      <c r="R370" s="12"/>
      <c r="S370" s="12"/>
      <c r="T370" s="36"/>
      <c r="U370" s="36"/>
      <c r="V370" s="12"/>
      <c r="W370" s="12"/>
      <c r="X370" s="12"/>
      <c r="Y370" s="12"/>
      <c r="Z370" s="12"/>
    </row>
    <row r="371" customFormat="false" ht="15.75" hidden="false" customHeight="false" outlineLevel="0" collapsed="false">
      <c r="A371" s="12"/>
      <c r="B371" s="34"/>
      <c r="C371" s="12"/>
      <c r="D371" s="12"/>
      <c r="E371" s="12"/>
      <c r="F371" s="12"/>
      <c r="G371" s="18"/>
      <c r="H371" s="35"/>
      <c r="I371" s="35"/>
      <c r="J371" s="12"/>
      <c r="O371" s="12"/>
      <c r="P371" s="18"/>
      <c r="Q371" s="12"/>
      <c r="R371" s="12"/>
      <c r="S371" s="12"/>
      <c r="T371" s="36"/>
      <c r="U371" s="36"/>
      <c r="V371" s="12"/>
      <c r="W371" s="12"/>
      <c r="X371" s="12"/>
      <c r="Y371" s="12"/>
      <c r="Z371" s="12"/>
    </row>
    <row r="372" customFormat="false" ht="15.75" hidden="false" customHeight="false" outlineLevel="0" collapsed="false">
      <c r="A372" s="12"/>
      <c r="B372" s="34"/>
      <c r="C372" s="12"/>
      <c r="D372" s="12"/>
      <c r="E372" s="12"/>
      <c r="F372" s="12"/>
      <c r="G372" s="18"/>
      <c r="H372" s="35"/>
      <c r="I372" s="35"/>
      <c r="J372" s="12"/>
      <c r="O372" s="12"/>
      <c r="P372" s="18"/>
      <c r="Q372" s="12"/>
      <c r="R372" s="12"/>
      <c r="S372" s="12"/>
      <c r="T372" s="36"/>
      <c r="U372" s="36"/>
      <c r="V372" s="12"/>
      <c r="W372" s="12"/>
      <c r="X372" s="12"/>
      <c r="Y372" s="12"/>
      <c r="Z372" s="12"/>
    </row>
    <row r="373" customFormat="false" ht="15.75" hidden="false" customHeight="false" outlineLevel="0" collapsed="false">
      <c r="A373" s="12"/>
      <c r="B373" s="34"/>
      <c r="C373" s="12"/>
      <c r="D373" s="12"/>
      <c r="E373" s="12"/>
      <c r="F373" s="12"/>
      <c r="G373" s="18"/>
      <c r="H373" s="35"/>
      <c r="I373" s="35"/>
      <c r="J373" s="12"/>
      <c r="O373" s="12"/>
      <c r="P373" s="18"/>
      <c r="Q373" s="12"/>
      <c r="R373" s="12"/>
      <c r="S373" s="12"/>
      <c r="T373" s="36"/>
      <c r="U373" s="36"/>
      <c r="V373" s="12"/>
      <c r="W373" s="12"/>
      <c r="X373" s="12"/>
      <c r="Y373" s="12"/>
      <c r="Z373" s="12"/>
    </row>
    <row r="374" customFormat="false" ht="15.75" hidden="false" customHeight="false" outlineLevel="0" collapsed="false">
      <c r="A374" s="12"/>
      <c r="B374" s="34"/>
      <c r="C374" s="12"/>
      <c r="D374" s="12"/>
      <c r="E374" s="12"/>
      <c r="F374" s="12"/>
      <c r="G374" s="18"/>
      <c r="H374" s="35"/>
      <c r="I374" s="35"/>
      <c r="J374" s="12"/>
      <c r="O374" s="12"/>
      <c r="P374" s="18"/>
      <c r="Q374" s="12"/>
      <c r="R374" s="12"/>
      <c r="S374" s="12"/>
      <c r="T374" s="36"/>
      <c r="U374" s="36"/>
      <c r="V374" s="12"/>
      <c r="W374" s="12"/>
      <c r="X374" s="12"/>
      <c r="Y374" s="12"/>
      <c r="Z374" s="12"/>
    </row>
    <row r="375" customFormat="false" ht="15.75" hidden="false" customHeight="false" outlineLevel="0" collapsed="false">
      <c r="A375" s="12"/>
      <c r="B375" s="34"/>
      <c r="C375" s="12"/>
      <c r="D375" s="12"/>
      <c r="E375" s="12"/>
      <c r="F375" s="12"/>
      <c r="G375" s="18"/>
      <c r="H375" s="35"/>
      <c r="I375" s="35"/>
      <c r="J375" s="12"/>
      <c r="O375" s="12"/>
      <c r="P375" s="18"/>
      <c r="Q375" s="12"/>
      <c r="R375" s="12"/>
      <c r="S375" s="12"/>
      <c r="T375" s="36"/>
      <c r="U375" s="36"/>
      <c r="V375" s="12"/>
      <c r="W375" s="12"/>
      <c r="X375" s="12"/>
      <c r="Y375" s="12"/>
      <c r="Z375" s="12"/>
    </row>
    <row r="376" customFormat="false" ht="15.75" hidden="false" customHeight="false" outlineLevel="0" collapsed="false">
      <c r="A376" s="12"/>
      <c r="B376" s="34"/>
      <c r="C376" s="12"/>
      <c r="D376" s="12"/>
      <c r="E376" s="12"/>
      <c r="F376" s="12"/>
      <c r="G376" s="18"/>
      <c r="H376" s="35"/>
      <c r="I376" s="35"/>
      <c r="J376" s="12"/>
      <c r="O376" s="12"/>
      <c r="P376" s="18"/>
      <c r="Q376" s="12"/>
      <c r="R376" s="12"/>
      <c r="S376" s="12"/>
      <c r="T376" s="36"/>
      <c r="U376" s="36"/>
      <c r="V376" s="12"/>
      <c r="W376" s="12"/>
      <c r="X376" s="12"/>
      <c r="Y376" s="12"/>
      <c r="Z376" s="12"/>
    </row>
    <row r="377" customFormat="false" ht="15.75" hidden="false" customHeight="false" outlineLevel="0" collapsed="false">
      <c r="A377" s="12"/>
      <c r="B377" s="34"/>
      <c r="C377" s="12"/>
      <c r="D377" s="12"/>
      <c r="E377" s="12"/>
      <c r="F377" s="12"/>
      <c r="G377" s="18"/>
      <c r="H377" s="35"/>
      <c r="I377" s="35"/>
      <c r="J377" s="12"/>
      <c r="O377" s="12"/>
      <c r="P377" s="18"/>
      <c r="Q377" s="12"/>
      <c r="R377" s="12"/>
      <c r="S377" s="12"/>
      <c r="T377" s="36"/>
      <c r="U377" s="36"/>
      <c r="V377" s="12"/>
      <c r="W377" s="12"/>
      <c r="X377" s="12"/>
      <c r="Y377" s="12"/>
      <c r="Z377" s="12"/>
    </row>
    <row r="378" customFormat="false" ht="15.75" hidden="false" customHeight="false" outlineLevel="0" collapsed="false">
      <c r="A378" s="12"/>
      <c r="B378" s="34"/>
      <c r="C378" s="12"/>
      <c r="D378" s="12"/>
      <c r="E378" s="12"/>
      <c r="F378" s="12"/>
      <c r="G378" s="18"/>
      <c r="H378" s="35"/>
      <c r="I378" s="35"/>
      <c r="J378" s="12"/>
      <c r="O378" s="12"/>
      <c r="P378" s="18"/>
      <c r="Q378" s="12"/>
      <c r="R378" s="12"/>
      <c r="S378" s="12"/>
      <c r="T378" s="36"/>
      <c r="U378" s="36"/>
      <c r="V378" s="12"/>
      <c r="W378" s="12"/>
      <c r="X378" s="12"/>
      <c r="Y378" s="12"/>
      <c r="Z378" s="12"/>
    </row>
    <row r="379" customFormat="false" ht="15.75" hidden="false" customHeight="false" outlineLevel="0" collapsed="false">
      <c r="A379" s="12"/>
      <c r="B379" s="34"/>
      <c r="C379" s="12"/>
      <c r="D379" s="12"/>
      <c r="E379" s="12"/>
      <c r="F379" s="12"/>
      <c r="G379" s="18"/>
      <c r="H379" s="35"/>
      <c r="I379" s="35"/>
      <c r="J379" s="12"/>
      <c r="O379" s="12"/>
      <c r="P379" s="18"/>
      <c r="Q379" s="12"/>
      <c r="R379" s="12"/>
      <c r="S379" s="12"/>
      <c r="T379" s="36"/>
      <c r="U379" s="36"/>
      <c r="V379" s="12"/>
      <c r="W379" s="12"/>
      <c r="X379" s="12"/>
      <c r="Y379" s="12"/>
      <c r="Z379" s="12"/>
    </row>
    <row r="380" customFormat="false" ht="15.75" hidden="false" customHeight="false" outlineLevel="0" collapsed="false">
      <c r="A380" s="12"/>
      <c r="B380" s="34"/>
      <c r="C380" s="12"/>
      <c r="D380" s="12"/>
      <c r="E380" s="12"/>
      <c r="F380" s="12"/>
      <c r="G380" s="18"/>
      <c r="H380" s="35"/>
      <c r="I380" s="35"/>
      <c r="J380" s="12"/>
      <c r="O380" s="12"/>
      <c r="P380" s="18"/>
      <c r="Q380" s="12"/>
      <c r="R380" s="12"/>
      <c r="S380" s="12"/>
      <c r="T380" s="36"/>
      <c r="U380" s="36"/>
      <c r="V380" s="12"/>
      <c r="W380" s="12"/>
      <c r="X380" s="12"/>
      <c r="Y380" s="12"/>
      <c r="Z380" s="12"/>
    </row>
    <row r="381" customFormat="false" ht="15.75" hidden="false" customHeight="false" outlineLevel="0" collapsed="false">
      <c r="A381" s="12"/>
      <c r="B381" s="34"/>
      <c r="C381" s="12"/>
      <c r="D381" s="12"/>
      <c r="E381" s="12"/>
      <c r="F381" s="12"/>
      <c r="G381" s="18"/>
      <c r="H381" s="35"/>
      <c r="I381" s="35"/>
      <c r="J381" s="12"/>
      <c r="O381" s="12"/>
      <c r="P381" s="18"/>
      <c r="Q381" s="12"/>
      <c r="R381" s="12"/>
      <c r="S381" s="12"/>
      <c r="T381" s="36"/>
      <c r="U381" s="36"/>
      <c r="V381" s="12"/>
      <c r="W381" s="12"/>
      <c r="X381" s="12"/>
      <c r="Y381" s="12"/>
      <c r="Z381" s="12"/>
    </row>
    <row r="382" customFormat="false" ht="15.75" hidden="false" customHeight="false" outlineLevel="0" collapsed="false">
      <c r="A382" s="12"/>
      <c r="B382" s="34"/>
      <c r="C382" s="12"/>
      <c r="D382" s="12"/>
      <c r="E382" s="12"/>
      <c r="F382" s="12"/>
      <c r="G382" s="18"/>
      <c r="H382" s="35"/>
      <c r="I382" s="35"/>
      <c r="J382" s="12"/>
      <c r="O382" s="12"/>
      <c r="P382" s="18"/>
      <c r="Q382" s="12"/>
      <c r="R382" s="12"/>
      <c r="S382" s="12"/>
      <c r="T382" s="36"/>
      <c r="U382" s="36"/>
      <c r="V382" s="12"/>
      <c r="W382" s="12"/>
      <c r="X382" s="12"/>
      <c r="Y382" s="12"/>
      <c r="Z382" s="12"/>
    </row>
    <row r="383" customFormat="false" ht="15.75" hidden="false" customHeight="false" outlineLevel="0" collapsed="false">
      <c r="A383" s="12"/>
      <c r="B383" s="34"/>
      <c r="C383" s="12"/>
      <c r="D383" s="12"/>
      <c r="E383" s="12"/>
      <c r="F383" s="12"/>
      <c r="G383" s="18"/>
      <c r="H383" s="35"/>
      <c r="I383" s="35"/>
      <c r="J383" s="12"/>
      <c r="O383" s="12"/>
      <c r="P383" s="18"/>
      <c r="Q383" s="12"/>
      <c r="R383" s="12"/>
      <c r="S383" s="12"/>
      <c r="T383" s="36"/>
      <c r="U383" s="36"/>
      <c r="V383" s="12"/>
      <c r="W383" s="12"/>
      <c r="X383" s="12"/>
      <c r="Y383" s="12"/>
      <c r="Z383" s="12"/>
    </row>
    <row r="384" customFormat="false" ht="15.75" hidden="false" customHeight="false" outlineLevel="0" collapsed="false">
      <c r="A384" s="12"/>
      <c r="B384" s="34"/>
      <c r="C384" s="12"/>
      <c r="D384" s="12"/>
      <c r="E384" s="12"/>
      <c r="F384" s="12"/>
      <c r="G384" s="18"/>
      <c r="H384" s="35"/>
      <c r="I384" s="35"/>
      <c r="J384" s="12"/>
      <c r="O384" s="12"/>
      <c r="P384" s="18"/>
      <c r="Q384" s="12"/>
      <c r="R384" s="12"/>
      <c r="S384" s="12"/>
      <c r="T384" s="36"/>
      <c r="U384" s="36"/>
      <c r="V384" s="12"/>
      <c r="W384" s="12"/>
      <c r="X384" s="12"/>
      <c r="Y384" s="12"/>
      <c r="Z384" s="12"/>
    </row>
    <row r="385" customFormat="false" ht="15.75" hidden="false" customHeight="false" outlineLevel="0" collapsed="false">
      <c r="A385" s="12"/>
      <c r="B385" s="34"/>
      <c r="C385" s="12"/>
      <c r="D385" s="12"/>
      <c r="E385" s="12"/>
      <c r="F385" s="12"/>
      <c r="G385" s="18"/>
      <c r="H385" s="35"/>
      <c r="I385" s="35"/>
      <c r="J385" s="12"/>
      <c r="O385" s="12"/>
      <c r="P385" s="18"/>
      <c r="Q385" s="12"/>
      <c r="R385" s="12"/>
      <c r="S385" s="12"/>
      <c r="T385" s="36"/>
      <c r="U385" s="36"/>
      <c r="V385" s="12"/>
      <c r="W385" s="12"/>
      <c r="X385" s="12"/>
      <c r="Y385" s="12"/>
      <c r="Z385" s="12"/>
    </row>
    <row r="386" customFormat="false" ht="15.75" hidden="false" customHeight="false" outlineLevel="0" collapsed="false">
      <c r="A386" s="12"/>
      <c r="B386" s="34"/>
      <c r="C386" s="12"/>
      <c r="D386" s="12"/>
      <c r="E386" s="12"/>
      <c r="F386" s="12"/>
      <c r="G386" s="18"/>
      <c r="H386" s="35"/>
      <c r="I386" s="35"/>
      <c r="J386" s="12"/>
      <c r="O386" s="12"/>
      <c r="P386" s="18"/>
      <c r="Q386" s="12"/>
      <c r="R386" s="12"/>
      <c r="S386" s="12"/>
      <c r="T386" s="36"/>
      <c r="U386" s="36"/>
      <c r="V386" s="12"/>
      <c r="W386" s="12"/>
      <c r="X386" s="12"/>
      <c r="Y386" s="12"/>
      <c r="Z386" s="12"/>
    </row>
    <row r="387" customFormat="false" ht="15.75" hidden="false" customHeight="false" outlineLevel="0" collapsed="false">
      <c r="A387" s="12"/>
      <c r="B387" s="34"/>
      <c r="C387" s="12"/>
      <c r="D387" s="12"/>
      <c r="E387" s="12"/>
      <c r="F387" s="12"/>
      <c r="G387" s="18"/>
      <c r="H387" s="35"/>
      <c r="I387" s="35"/>
      <c r="J387" s="12"/>
      <c r="O387" s="12"/>
      <c r="P387" s="18"/>
      <c r="Q387" s="12"/>
      <c r="R387" s="12"/>
      <c r="S387" s="12"/>
      <c r="T387" s="36"/>
      <c r="U387" s="36"/>
      <c r="V387" s="12"/>
      <c r="W387" s="12"/>
      <c r="X387" s="12"/>
      <c r="Y387" s="12"/>
      <c r="Z387" s="12"/>
    </row>
    <row r="388" customFormat="false" ht="15.75" hidden="false" customHeight="false" outlineLevel="0" collapsed="false">
      <c r="A388" s="12"/>
      <c r="B388" s="34"/>
      <c r="C388" s="12"/>
      <c r="D388" s="12"/>
      <c r="E388" s="12"/>
      <c r="F388" s="12"/>
      <c r="G388" s="18"/>
      <c r="H388" s="35"/>
      <c r="I388" s="35"/>
      <c r="J388" s="12"/>
      <c r="O388" s="12"/>
      <c r="P388" s="18"/>
      <c r="Q388" s="12"/>
      <c r="R388" s="12"/>
      <c r="S388" s="12"/>
      <c r="T388" s="36"/>
      <c r="U388" s="36"/>
      <c r="V388" s="12"/>
      <c r="W388" s="12"/>
      <c r="X388" s="12"/>
      <c r="Y388" s="12"/>
      <c r="Z388" s="12"/>
    </row>
    <row r="389" customFormat="false" ht="15.75" hidden="false" customHeight="false" outlineLevel="0" collapsed="false">
      <c r="A389" s="12"/>
      <c r="B389" s="34"/>
      <c r="C389" s="12"/>
      <c r="D389" s="12"/>
      <c r="E389" s="12"/>
      <c r="F389" s="12"/>
      <c r="G389" s="18"/>
      <c r="H389" s="35"/>
      <c r="I389" s="35"/>
      <c r="J389" s="12"/>
      <c r="O389" s="12"/>
      <c r="P389" s="18"/>
      <c r="Q389" s="12"/>
      <c r="R389" s="12"/>
      <c r="S389" s="12"/>
      <c r="T389" s="36"/>
      <c r="U389" s="36"/>
      <c r="V389" s="12"/>
      <c r="W389" s="12"/>
      <c r="X389" s="12"/>
      <c r="Y389" s="12"/>
      <c r="Z389" s="12"/>
    </row>
    <row r="390" customFormat="false" ht="15.75" hidden="false" customHeight="false" outlineLevel="0" collapsed="false">
      <c r="A390" s="12"/>
      <c r="B390" s="34"/>
      <c r="C390" s="12"/>
      <c r="D390" s="12"/>
      <c r="E390" s="12"/>
      <c r="F390" s="12"/>
      <c r="G390" s="18"/>
      <c r="H390" s="35"/>
      <c r="I390" s="35"/>
      <c r="J390" s="12"/>
      <c r="O390" s="12"/>
      <c r="P390" s="18"/>
      <c r="Q390" s="12"/>
      <c r="R390" s="12"/>
      <c r="S390" s="12"/>
      <c r="T390" s="36"/>
      <c r="U390" s="36"/>
      <c r="V390" s="12"/>
      <c r="W390" s="12"/>
      <c r="X390" s="12"/>
      <c r="Y390" s="12"/>
      <c r="Z390" s="12"/>
    </row>
    <row r="391" customFormat="false" ht="15.75" hidden="false" customHeight="false" outlineLevel="0" collapsed="false">
      <c r="A391" s="12"/>
      <c r="B391" s="34"/>
      <c r="C391" s="12"/>
      <c r="D391" s="12"/>
      <c r="E391" s="12"/>
      <c r="F391" s="12"/>
      <c r="G391" s="18"/>
      <c r="H391" s="35"/>
      <c r="I391" s="35"/>
      <c r="J391" s="12"/>
      <c r="O391" s="12"/>
      <c r="P391" s="18"/>
      <c r="Q391" s="12"/>
      <c r="R391" s="12"/>
      <c r="S391" s="12"/>
      <c r="T391" s="36"/>
      <c r="U391" s="36"/>
      <c r="V391" s="12"/>
      <c r="W391" s="12"/>
      <c r="X391" s="12"/>
      <c r="Y391" s="12"/>
      <c r="Z391" s="12"/>
    </row>
    <row r="392" customFormat="false" ht="15.75" hidden="false" customHeight="false" outlineLevel="0" collapsed="false">
      <c r="A392" s="12"/>
      <c r="B392" s="34"/>
      <c r="C392" s="12"/>
      <c r="D392" s="12"/>
      <c r="E392" s="12"/>
      <c r="F392" s="12"/>
      <c r="G392" s="18"/>
      <c r="H392" s="35"/>
      <c r="I392" s="35"/>
      <c r="J392" s="12"/>
      <c r="O392" s="12"/>
      <c r="P392" s="18"/>
      <c r="Q392" s="12"/>
      <c r="R392" s="12"/>
      <c r="S392" s="12"/>
      <c r="T392" s="36"/>
      <c r="U392" s="36"/>
      <c r="V392" s="12"/>
      <c r="W392" s="12"/>
      <c r="X392" s="12"/>
      <c r="Y392" s="12"/>
      <c r="Z392" s="12"/>
    </row>
    <row r="393" customFormat="false" ht="15.75" hidden="false" customHeight="false" outlineLevel="0" collapsed="false">
      <c r="A393" s="12"/>
      <c r="B393" s="34"/>
      <c r="C393" s="12"/>
      <c r="D393" s="12"/>
      <c r="E393" s="12"/>
      <c r="F393" s="12"/>
      <c r="G393" s="18"/>
      <c r="H393" s="35"/>
      <c r="I393" s="35"/>
      <c r="J393" s="12"/>
      <c r="O393" s="12"/>
      <c r="P393" s="18"/>
      <c r="Q393" s="12"/>
      <c r="R393" s="12"/>
      <c r="S393" s="12"/>
      <c r="T393" s="36"/>
      <c r="U393" s="36"/>
      <c r="V393" s="12"/>
      <c r="W393" s="12"/>
      <c r="X393" s="12"/>
      <c r="Y393" s="12"/>
      <c r="Z393" s="12"/>
    </row>
    <row r="394" customFormat="false" ht="15.75" hidden="false" customHeight="false" outlineLevel="0" collapsed="false">
      <c r="A394" s="12"/>
      <c r="B394" s="34"/>
      <c r="C394" s="12"/>
      <c r="D394" s="12"/>
      <c r="E394" s="12"/>
      <c r="F394" s="12"/>
      <c r="G394" s="18"/>
      <c r="H394" s="35"/>
      <c r="I394" s="35"/>
      <c r="J394" s="12"/>
      <c r="O394" s="12"/>
      <c r="P394" s="18"/>
      <c r="Q394" s="12"/>
      <c r="R394" s="12"/>
      <c r="S394" s="12"/>
      <c r="T394" s="36"/>
      <c r="U394" s="36"/>
      <c r="V394" s="12"/>
      <c r="W394" s="12"/>
      <c r="X394" s="12"/>
      <c r="Y394" s="12"/>
      <c r="Z394" s="12"/>
    </row>
    <row r="395" customFormat="false" ht="15.75" hidden="false" customHeight="false" outlineLevel="0" collapsed="false">
      <c r="A395" s="12"/>
      <c r="B395" s="34"/>
      <c r="C395" s="12"/>
      <c r="D395" s="12"/>
      <c r="E395" s="12"/>
      <c r="F395" s="12"/>
      <c r="G395" s="18"/>
      <c r="H395" s="35"/>
      <c r="I395" s="35"/>
      <c r="J395" s="12"/>
      <c r="O395" s="12"/>
      <c r="P395" s="18"/>
      <c r="Q395" s="12"/>
      <c r="R395" s="12"/>
      <c r="S395" s="12"/>
      <c r="T395" s="36"/>
      <c r="U395" s="36"/>
      <c r="V395" s="12"/>
      <c r="W395" s="12"/>
      <c r="X395" s="12"/>
      <c r="Y395" s="12"/>
      <c r="Z395" s="12"/>
    </row>
    <row r="396" customFormat="false" ht="15.75" hidden="false" customHeight="false" outlineLevel="0" collapsed="false">
      <c r="A396" s="12"/>
      <c r="B396" s="34"/>
      <c r="C396" s="12"/>
      <c r="D396" s="12"/>
      <c r="E396" s="12"/>
      <c r="F396" s="12"/>
      <c r="G396" s="18"/>
      <c r="H396" s="35"/>
      <c r="I396" s="35"/>
      <c r="J396" s="12"/>
      <c r="O396" s="12"/>
      <c r="P396" s="18"/>
      <c r="Q396" s="12"/>
      <c r="R396" s="12"/>
      <c r="S396" s="12"/>
      <c r="T396" s="36"/>
      <c r="U396" s="36"/>
      <c r="V396" s="12"/>
      <c r="W396" s="12"/>
      <c r="X396" s="12"/>
      <c r="Y396" s="12"/>
      <c r="Z396" s="12"/>
    </row>
    <row r="397" customFormat="false" ht="15.75" hidden="false" customHeight="false" outlineLevel="0" collapsed="false">
      <c r="A397" s="12"/>
      <c r="B397" s="34"/>
      <c r="C397" s="12"/>
      <c r="D397" s="12"/>
      <c r="E397" s="12"/>
      <c r="F397" s="12"/>
      <c r="G397" s="18"/>
      <c r="H397" s="35"/>
      <c r="I397" s="35"/>
      <c r="J397" s="12"/>
      <c r="O397" s="12"/>
      <c r="P397" s="18"/>
      <c r="Q397" s="12"/>
      <c r="R397" s="12"/>
      <c r="S397" s="12"/>
      <c r="T397" s="36"/>
      <c r="U397" s="36"/>
      <c r="V397" s="12"/>
      <c r="W397" s="12"/>
      <c r="X397" s="12"/>
      <c r="Y397" s="12"/>
      <c r="Z397" s="12"/>
    </row>
    <row r="398" customFormat="false" ht="15.75" hidden="false" customHeight="false" outlineLevel="0" collapsed="false">
      <c r="A398" s="12"/>
      <c r="B398" s="34"/>
      <c r="C398" s="12"/>
      <c r="D398" s="12"/>
      <c r="E398" s="12"/>
      <c r="F398" s="12"/>
      <c r="G398" s="18"/>
      <c r="H398" s="35"/>
      <c r="I398" s="35"/>
      <c r="J398" s="12"/>
      <c r="O398" s="12"/>
      <c r="P398" s="18"/>
      <c r="Q398" s="12"/>
      <c r="R398" s="12"/>
      <c r="S398" s="12"/>
      <c r="T398" s="36"/>
      <c r="U398" s="36"/>
      <c r="V398" s="12"/>
      <c r="W398" s="12"/>
      <c r="X398" s="12"/>
      <c r="Y398" s="12"/>
      <c r="Z398" s="12"/>
    </row>
    <row r="399" customFormat="false" ht="15.75" hidden="false" customHeight="false" outlineLevel="0" collapsed="false">
      <c r="A399" s="12"/>
      <c r="B399" s="34"/>
      <c r="C399" s="12"/>
      <c r="D399" s="12"/>
      <c r="E399" s="12"/>
      <c r="F399" s="12"/>
      <c r="G399" s="18"/>
      <c r="H399" s="35"/>
      <c r="I399" s="35"/>
      <c r="J399" s="12"/>
      <c r="O399" s="12"/>
      <c r="P399" s="18"/>
      <c r="Q399" s="12"/>
      <c r="R399" s="12"/>
      <c r="S399" s="12"/>
      <c r="T399" s="36"/>
      <c r="U399" s="36"/>
      <c r="V399" s="12"/>
      <c r="W399" s="12"/>
      <c r="X399" s="12"/>
      <c r="Y399" s="12"/>
      <c r="Z399" s="12"/>
    </row>
    <row r="400" customFormat="false" ht="15.75" hidden="false" customHeight="false" outlineLevel="0" collapsed="false">
      <c r="A400" s="12"/>
      <c r="B400" s="34"/>
      <c r="C400" s="12"/>
      <c r="D400" s="12"/>
      <c r="E400" s="12"/>
      <c r="F400" s="12"/>
      <c r="G400" s="18"/>
      <c r="H400" s="35"/>
      <c r="I400" s="35"/>
      <c r="J400" s="12"/>
      <c r="O400" s="12"/>
      <c r="P400" s="18"/>
      <c r="Q400" s="12"/>
      <c r="R400" s="12"/>
      <c r="S400" s="12"/>
      <c r="T400" s="36"/>
      <c r="U400" s="36"/>
      <c r="V400" s="12"/>
      <c r="W400" s="12"/>
      <c r="X400" s="12"/>
      <c r="Y400" s="12"/>
      <c r="Z400" s="12"/>
    </row>
    <row r="401" customFormat="false" ht="15.75" hidden="false" customHeight="false" outlineLevel="0" collapsed="false">
      <c r="A401" s="12"/>
      <c r="B401" s="34"/>
      <c r="C401" s="12"/>
      <c r="D401" s="12"/>
      <c r="E401" s="12"/>
      <c r="F401" s="12"/>
      <c r="G401" s="18"/>
      <c r="H401" s="35"/>
      <c r="I401" s="35"/>
      <c r="J401" s="12"/>
      <c r="O401" s="12"/>
      <c r="P401" s="18"/>
      <c r="Q401" s="12"/>
      <c r="R401" s="12"/>
      <c r="S401" s="12"/>
      <c r="T401" s="36"/>
      <c r="U401" s="36"/>
      <c r="V401" s="12"/>
      <c r="W401" s="12"/>
      <c r="X401" s="12"/>
      <c r="Y401" s="12"/>
      <c r="Z401" s="12"/>
    </row>
    <row r="402" customFormat="false" ht="15.75" hidden="false" customHeight="false" outlineLevel="0" collapsed="false">
      <c r="A402" s="12"/>
      <c r="B402" s="34"/>
      <c r="C402" s="12"/>
      <c r="D402" s="12"/>
      <c r="E402" s="12"/>
      <c r="F402" s="12"/>
      <c r="G402" s="18"/>
      <c r="H402" s="35"/>
      <c r="I402" s="35"/>
      <c r="J402" s="12"/>
      <c r="O402" s="12"/>
      <c r="P402" s="18"/>
      <c r="Q402" s="12"/>
      <c r="R402" s="12"/>
      <c r="S402" s="12"/>
      <c r="T402" s="36"/>
      <c r="U402" s="36"/>
      <c r="V402" s="12"/>
      <c r="W402" s="12"/>
      <c r="X402" s="12"/>
      <c r="Y402" s="12"/>
      <c r="Z402" s="12"/>
    </row>
    <row r="403" customFormat="false" ht="15.75" hidden="false" customHeight="false" outlineLevel="0" collapsed="false">
      <c r="A403" s="12"/>
      <c r="B403" s="34"/>
      <c r="C403" s="12"/>
      <c r="D403" s="12"/>
      <c r="E403" s="12"/>
      <c r="F403" s="12"/>
      <c r="G403" s="18"/>
      <c r="H403" s="35"/>
      <c r="I403" s="35"/>
      <c r="J403" s="12"/>
      <c r="O403" s="12"/>
      <c r="P403" s="18"/>
      <c r="Q403" s="12"/>
      <c r="R403" s="12"/>
      <c r="S403" s="12"/>
      <c r="T403" s="36"/>
      <c r="U403" s="36"/>
      <c r="V403" s="12"/>
      <c r="W403" s="12"/>
      <c r="X403" s="12"/>
      <c r="Y403" s="12"/>
      <c r="Z403" s="12"/>
    </row>
    <row r="404" customFormat="false" ht="15.75" hidden="false" customHeight="false" outlineLevel="0" collapsed="false">
      <c r="A404" s="12"/>
      <c r="B404" s="34"/>
      <c r="C404" s="12"/>
      <c r="D404" s="12"/>
      <c r="E404" s="12"/>
      <c r="F404" s="12"/>
      <c r="G404" s="18"/>
      <c r="H404" s="35"/>
      <c r="I404" s="35"/>
      <c r="J404" s="12"/>
      <c r="O404" s="12"/>
      <c r="P404" s="18"/>
      <c r="Q404" s="12"/>
      <c r="R404" s="12"/>
      <c r="S404" s="12"/>
      <c r="T404" s="36"/>
      <c r="U404" s="36"/>
      <c r="V404" s="12"/>
      <c r="W404" s="12"/>
      <c r="X404" s="12"/>
      <c r="Y404" s="12"/>
      <c r="Z404" s="12"/>
    </row>
    <row r="405" customFormat="false" ht="15.75" hidden="false" customHeight="false" outlineLevel="0" collapsed="false">
      <c r="A405" s="12"/>
      <c r="B405" s="34"/>
      <c r="C405" s="12"/>
      <c r="D405" s="12"/>
      <c r="E405" s="12"/>
      <c r="F405" s="12"/>
      <c r="G405" s="18"/>
      <c r="H405" s="35"/>
      <c r="I405" s="35"/>
      <c r="J405" s="12"/>
      <c r="O405" s="12"/>
      <c r="P405" s="18"/>
      <c r="Q405" s="12"/>
      <c r="R405" s="12"/>
      <c r="S405" s="12"/>
      <c r="T405" s="36"/>
      <c r="U405" s="36"/>
      <c r="V405" s="12"/>
      <c r="W405" s="12"/>
      <c r="X405" s="12"/>
      <c r="Y405" s="12"/>
      <c r="Z405" s="12"/>
    </row>
    <row r="406" customFormat="false" ht="15.75" hidden="false" customHeight="false" outlineLevel="0" collapsed="false">
      <c r="A406" s="12"/>
      <c r="B406" s="34"/>
      <c r="C406" s="12"/>
      <c r="D406" s="12"/>
      <c r="E406" s="12"/>
      <c r="F406" s="12"/>
      <c r="G406" s="18"/>
      <c r="H406" s="35"/>
      <c r="I406" s="35"/>
      <c r="J406" s="12"/>
      <c r="O406" s="12"/>
      <c r="P406" s="18"/>
      <c r="Q406" s="12"/>
      <c r="R406" s="12"/>
      <c r="S406" s="12"/>
      <c r="T406" s="36"/>
      <c r="U406" s="36"/>
      <c r="V406" s="12"/>
      <c r="W406" s="12"/>
      <c r="X406" s="12"/>
      <c r="Y406" s="12"/>
      <c r="Z406" s="12"/>
    </row>
    <row r="407" customFormat="false" ht="15.75" hidden="false" customHeight="false" outlineLevel="0" collapsed="false">
      <c r="A407" s="12"/>
      <c r="B407" s="34"/>
      <c r="C407" s="12"/>
      <c r="D407" s="12"/>
      <c r="E407" s="12"/>
      <c r="F407" s="12"/>
      <c r="G407" s="18"/>
      <c r="H407" s="35"/>
      <c r="I407" s="35"/>
      <c r="J407" s="12"/>
      <c r="O407" s="12"/>
      <c r="P407" s="18"/>
      <c r="Q407" s="12"/>
      <c r="R407" s="12"/>
      <c r="S407" s="12"/>
      <c r="T407" s="36"/>
      <c r="U407" s="36"/>
      <c r="V407" s="12"/>
      <c r="W407" s="12"/>
      <c r="X407" s="12"/>
      <c r="Y407" s="12"/>
      <c r="Z407" s="12"/>
    </row>
    <row r="408" customFormat="false" ht="15.75" hidden="false" customHeight="false" outlineLevel="0" collapsed="false">
      <c r="A408" s="12"/>
      <c r="B408" s="34"/>
      <c r="C408" s="12"/>
      <c r="D408" s="12"/>
      <c r="E408" s="12"/>
      <c r="F408" s="12"/>
      <c r="G408" s="18"/>
      <c r="H408" s="35"/>
      <c r="I408" s="35"/>
      <c r="J408" s="12"/>
      <c r="O408" s="12"/>
      <c r="P408" s="18"/>
      <c r="Q408" s="12"/>
      <c r="R408" s="12"/>
      <c r="S408" s="12"/>
      <c r="T408" s="36"/>
      <c r="U408" s="36"/>
      <c r="V408" s="12"/>
      <c r="W408" s="12"/>
      <c r="X408" s="12"/>
      <c r="Y408" s="12"/>
      <c r="Z408" s="12"/>
    </row>
    <row r="409" customFormat="false" ht="15.75" hidden="false" customHeight="false" outlineLevel="0" collapsed="false">
      <c r="A409" s="12"/>
      <c r="B409" s="34"/>
      <c r="C409" s="12"/>
      <c r="D409" s="12"/>
      <c r="E409" s="12"/>
      <c r="F409" s="12"/>
      <c r="G409" s="18"/>
      <c r="H409" s="35"/>
      <c r="I409" s="35"/>
      <c r="J409" s="12"/>
      <c r="O409" s="12"/>
      <c r="P409" s="18"/>
      <c r="Q409" s="12"/>
      <c r="R409" s="12"/>
      <c r="S409" s="12"/>
      <c r="T409" s="36"/>
      <c r="U409" s="36"/>
      <c r="V409" s="12"/>
      <c r="W409" s="12"/>
      <c r="X409" s="12"/>
      <c r="Y409" s="12"/>
      <c r="Z409" s="12"/>
    </row>
    <row r="410" customFormat="false" ht="15.75" hidden="false" customHeight="false" outlineLevel="0" collapsed="false">
      <c r="A410" s="12"/>
      <c r="B410" s="34"/>
      <c r="C410" s="12"/>
      <c r="D410" s="12"/>
      <c r="E410" s="12"/>
      <c r="F410" s="12"/>
      <c r="G410" s="18"/>
      <c r="H410" s="35"/>
      <c r="I410" s="35"/>
      <c r="J410" s="12"/>
      <c r="O410" s="12"/>
      <c r="P410" s="18"/>
      <c r="Q410" s="12"/>
      <c r="R410" s="12"/>
      <c r="S410" s="12"/>
      <c r="T410" s="36"/>
      <c r="U410" s="36"/>
      <c r="V410" s="12"/>
      <c r="W410" s="12"/>
      <c r="X410" s="12"/>
      <c r="Y410" s="12"/>
      <c r="Z410" s="12"/>
    </row>
    <row r="411" customFormat="false" ht="15.75" hidden="false" customHeight="false" outlineLevel="0" collapsed="false">
      <c r="A411" s="12"/>
      <c r="B411" s="34"/>
      <c r="C411" s="12"/>
      <c r="D411" s="12"/>
      <c r="E411" s="12"/>
      <c r="F411" s="12"/>
      <c r="G411" s="18"/>
      <c r="H411" s="35"/>
      <c r="I411" s="35"/>
      <c r="J411" s="12"/>
      <c r="O411" s="12"/>
      <c r="P411" s="18"/>
      <c r="Q411" s="12"/>
      <c r="R411" s="12"/>
      <c r="S411" s="12"/>
      <c r="T411" s="36"/>
      <c r="U411" s="36"/>
      <c r="V411" s="12"/>
      <c r="W411" s="12"/>
      <c r="X411" s="12"/>
      <c r="Y411" s="12"/>
      <c r="Z411" s="12"/>
    </row>
    <row r="412" customFormat="false" ht="15.75" hidden="false" customHeight="false" outlineLevel="0" collapsed="false">
      <c r="A412" s="12"/>
      <c r="B412" s="34"/>
      <c r="C412" s="12"/>
      <c r="D412" s="12"/>
      <c r="E412" s="12"/>
      <c r="F412" s="12"/>
      <c r="G412" s="18"/>
      <c r="H412" s="35"/>
      <c r="I412" s="35"/>
      <c r="J412" s="12"/>
      <c r="O412" s="12"/>
      <c r="P412" s="18"/>
      <c r="Q412" s="12"/>
      <c r="R412" s="12"/>
      <c r="S412" s="12"/>
      <c r="T412" s="36"/>
      <c r="U412" s="36"/>
      <c r="V412" s="12"/>
      <c r="W412" s="12"/>
      <c r="X412" s="12"/>
      <c r="Y412" s="12"/>
      <c r="Z412" s="12"/>
    </row>
    <row r="413" customFormat="false" ht="15.75" hidden="false" customHeight="false" outlineLevel="0" collapsed="false">
      <c r="A413" s="12"/>
      <c r="B413" s="34"/>
      <c r="C413" s="12"/>
      <c r="D413" s="12"/>
      <c r="E413" s="12"/>
      <c r="F413" s="12"/>
      <c r="G413" s="18"/>
      <c r="H413" s="35"/>
      <c r="I413" s="35"/>
      <c r="J413" s="12"/>
      <c r="O413" s="12"/>
      <c r="P413" s="18"/>
      <c r="Q413" s="12"/>
      <c r="R413" s="12"/>
      <c r="S413" s="12"/>
      <c r="T413" s="36"/>
      <c r="U413" s="36"/>
      <c r="V413" s="12"/>
      <c r="W413" s="12"/>
      <c r="X413" s="12"/>
      <c r="Y413" s="12"/>
      <c r="Z413" s="12"/>
    </row>
    <row r="414" customFormat="false" ht="15.75" hidden="false" customHeight="false" outlineLevel="0" collapsed="false">
      <c r="A414" s="12"/>
      <c r="B414" s="34"/>
      <c r="C414" s="12"/>
      <c r="D414" s="12"/>
      <c r="E414" s="12"/>
      <c r="F414" s="12"/>
      <c r="G414" s="18"/>
      <c r="H414" s="35"/>
      <c r="I414" s="35"/>
      <c r="J414" s="12"/>
      <c r="O414" s="12"/>
      <c r="P414" s="18"/>
      <c r="Q414" s="12"/>
      <c r="R414" s="12"/>
      <c r="S414" s="12"/>
      <c r="T414" s="36"/>
      <c r="U414" s="36"/>
      <c r="V414" s="12"/>
      <c r="W414" s="12"/>
      <c r="X414" s="12"/>
      <c r="Y414" s="12"/>
      <c r="Z414" s="12"/>
    </row>
    <row r="415" customFormat="false" ht="15.75" hidden="false" customHeight="false" outlineLevel="0" collapsed="false">
      <c r="A415" s="12"/>
      <c r="B415" s="34"/>
      <c r="C415" s="12"/>
      <c r="D415" s="12"/>
      <c r="E415" s="12"/>
      <c r="F415" s="12"/>
      <c r="G415" s="18"/>
      <c r="H415" s="35"/>
      <c r="I415" s="35"/>
      <c r="J415" s="12"/>
      <c r="O415" s="12"/>
      <c r="P415" s="18"/>
      <c r="Q415" s="12"/>
      <c r="R415" s="12"/>
      <c r="S415" s="12"/>
      <c r="T415" s="36"/>
      <c r="U415" s="36"/>
      <c r="V415" s="12"/>
      <c r="W415" s="12"/>
      <c r="X415" s="12"/>
      <c r="Y415" s="12"/>
      <c r="Z415" s="12"/>
    </row>
    <row r="416" customFormat="false" ht="15.75" hidden="false" customHeight="false" outlineLevel="0" collapsed="false">
      <c r="A416" s="12"/>
      <c r="B416" s="34"/>
      <c r="C416" s="12"/>
      <c r="D416" s="12"/>
      <c r="E416" s="12"/>
      <c r="F416" s="12"/>
      <c r="G416" s="18"/>
      <c r="H416" s="35"/>
      <c r="I416" s="35"/>
      <c r="J416" s="12"/>
      <c r="O416" s="12"/>
      <c r="P416" s="18"/>
      <c r="Q416" s="12"/>
      <c r="R416" s="12"/>
      <c r="S416" s="12"/>
      <c r="T416" s="36"/>
      <c r="U416" s="36"/>
      <c r="V416" s="12"/>
      <c r="W416" s="12"/>
      <c r="X416" s="12"/>
      <c r="Y416" s="12"/>
      <c r="Z416" s="12"/>
    </row>
    <row r="417" customFormat="false" ht="15.75" hidden="false" customHeight="false" outlineLevel="0" collapsed="false">
      <c r="A417" s="12"/>
      <c r="B417" s="34"/>
      <c r="C417" s="12"/>
      <c r="D417" s="12"/>
      <c r="E417" s="12"/>
      <c r="F417" s="12"/>
      <c r="G417" s="18"/>
      <c r="H417" s="35"/>
      <c r="I417" s="35"/>
      <c r="J417" s="12"/>
      <c r="O417" s="12"/>
      <c r="P417" s="18"/>
      <c r="Q417" s="12"/>
      <c r="R417" s="12"/>
      <c r="S417" s="12"/>
      <c r="T417" s="36"/>
      <c r="U417" s="36"/>
      <c r="V417" s="12"/>
      <c r="W417" s="12"/>
      <c r="X417" s="12"/>
      <c r="Y417" s="12"/>
      <c r="Z417" s="12"/>
    </row>
    <row r="418" customFormat="false" ht="15.75" hidden="false" customHeight="false" outlineLevel="0" collapsed="false">
      <c r="A418" s="12"/>
      <c r="B418" s="34"/>
      <c r="C418" s="12"/>
      <c r="D418" s="12"/>
      <c r="E418" s="12"/>
      <c r="F418" s="12"/>
      <c r="G418" s="18"/>
      <c r="H418" s="35"/>
      <c r="I418" s="35"/>
      <c r="J418" s="12"/>
      <c r="O418" s="12"/>
      <c r="P418" s="18"/>
      <c r="Q418" s="12"/>
      <c r="R418" s="12"/>
      <c r="S418" s="12"/>
      <c r="T418" s="36"/>
      <c r="U418" s="36"/>
      <c r="V418" s="12"/>
      <c r="W418" s="12"/>
      <c r="X418" s="12"/>
      <c r="Y418" s="12"/>
      <c r="Z418" s="12"/>
    </row>
    <row r="419" customFormat="false" ht="15.75" hidden="false" customHeight="false" outlineLevel="0" collapsed="false">
      <c r="A419" s="12"/>
      <c r="B419" s="34"/>
      <c r="C419" s="12"/>
      <c r="D419" s="12"/>
      <c r="E419" s="12"/>
      <c r="F419" s="12"/>
      <c r="G419" s="18"/>
      <c r="H419" s="35"/>
      <c r="I419" s="35"/>
      <c r="J419" s="12"/>
      <c r="O419" s="12"/>
      <c r="P419" s="18"/>
      <c r="Q419" s="12"/>
      <c r="R419" s="12"/>
      <c r="S419" s="12"/>
      <c r="T419" s="36"/>
      <c r="U419" s="36"/>
      <c r="V419" s="12"/>
      <c r="W419" s="12"/>
      <c r="X419" s="12"/>
      <c r="Y419" s="12"/>
      <c r="Z419" s="12"/>
    </row>
    <row r="420" customFormat="false" ht="15.75" hidden="false" customHeight="false" outlineLevel="0" collapsed="false">
      <c r="A420" s="12"/>
      <c r="B420" s="34"/>
      <c r="C420" s="12"/>
      <c r="D420" s="12"/>
      <c r="E420" s="12"/>
      <c r="F420" s="12"/>
      <c r="G420" s="18"/>
      <c r="H420" s="35"/>
      <c r="I420" s="35"/>
      <c r="J420" s="12"/>
      <c r="O420" s="12"/>
      <c r="P420" s="18"/>
      <c r="Q420" s="12"/>
      <c r="R420" s="12"/>
      <c r="S420" s="12"/>
      <c r="T420" s="36"/>
      <c r="U420" s="36"/>
      <c r="V420" s="12"/>
      <c r="W420" s="12"/>
      <c r="X420" s="12"/>
      <c r="Y420" s="12"/>
      <c r="Z420" s="12"/>
    </row>
    <row r="421" customFormat="false" ht="15.75" hidden="false" customHeight="false" outlineLevel="0" collapsed="false">
      <c r="A421" s="12"/>
      <c r="B421" s="34"/>
      <c r="C421" s="12"/>
      <c r="D421" s="12"/>
      <c r="E421" s="12"/>
      <c r="F421" s="12"/>
      <c r="G421" s="18"/>
      <c r="H421" s="35"/>
      <c r="I421" s="35"/>
      <c r="J421" s="12"/>
      <c r="O421" s="12"/>
      <c r="P421" s="18"/>
      <c r="Q421" s="12"/>
      <c r="R421" s="12"/>
      <c r="S421" s="12"/>
      <c r="T421" s="36"/>
      <c r="U421" s="36"/>
      <c r="V421" s="12"/>
      <c r="W421" s="12"/>
      <c r="X421" s="12"/>
      <c r="Y421" s="12"/>
      <c r="Z421" s="12"/>
    </row>
    <row r="422" customFormat="false" ht="15.75" hidden="false" customHeight="false" outlineLevel="0" collapsed="false">
      <c r="A422" s="12"/>
      <c r="B422" s="34"/>
      <c r="C422" s="12"/>
      <c r="D422" s="12"/>
      <c r="E422" s="12"/>
      <c r="F422" s="12"/>
      <c r="G422" s="18"/>
      <c r="H422" s="35"/>
      <c r="I422" s="35"/>
      <c r="J422" s="12"/>
      <c r="O422" s="12"/>
      <c r="P422" s="18"/>
      <c r="Q422" s="12"/>
      <c r="R422" s="12"/>
      <c r="S422" s="12"/>
      <c r="T422" s="36"/>
      <c r="U422" s="36"/>
      <c r="V422" s="12"/>
      <c r="W422" s="12"/>
      <c r="X422" s="12"/>
      <c r="Y422" s="12"/>
      <c r="Z422" s="12"/>
    </row>
    <row r="423" customFormat="false" ht="15.75" hidden="false" customHeight="false" outlineLevel="0" collapsed="false">
      <c r="A423" s="12"/>
      <c r="B423" s="34"/>
      <c r="C423" s="12"/>
      <c r="D423" s="12"/>
      <c r="E423" s="12"/>
      <c r="F423" s="12"/>
      <c r="G423" s="18"/>
      <c r="H423" s="35"/>
      <c r="I423" s="35"/>
      <c r="J423" s="12"/>
      <c r="O423" s="12"/>
      <c r="P423" s="18"/>
      <c r="Q423" s="12"/>
      <c r="R423" s="12"/>
      <c r="S423" s="12"/>
      <c r="T423" s="36"/>
      <c r="U423" s="36"/>
      <c r="V423" s="12"/>
      <c r="W423" s="12"/>
      <c r="X423" s="12"/>
      <c r="Y423" s="12"/>
      <c r="Z423" s="12"/>
    </row>
    <row r="424" customFormat="false" ht="15.75" hidden="false" customHeight="false" outlineLevel="0" collapsed="false">
      <c r="A424" s="12"/>
      <c r="B424" s="34"/>
      <c r="C424" s="12"/>
      <c r="D424" s="12"/>
      <c r="E424" s="12"/>
      <c r="F424" s="12"/>
      <c r="G424" s="18"/>
      <c r="H424" s="35"/>
      <c r="I424" s="35"/>
      <c r="J424" s="12"/>
      <c r="O424" s="12"/>
      <c r="P424" s="18"/>
      <c r="Q424" s="12"/>
      <c r="R424" s="12"/>
      <c r="S424" s="12"/>
      <c r="T424" s="36"/>
      <c r="U424" s="36"/>
      <c r="V424" s="12"/>
      <c r="W424" s="12"/>
      <c r="X424" s="12"/>
      <c r="Y424" s="12"/>
      <c r="Z424" s="12"/>
    </row>
    <row r="425" customFormat="false" ht="15.75" hidden="false" customHeight="false" outlineLevel="0" collapsed="false">
      <c r="A425" s="12"/>
      <c r="B425" s="34"/>
      <c r="C425" s="12"/>
      <c r="D425" s="12"/>
      <c r="E425" s="12"/>
      <c r="F425" s="12"/>
      <c r="G425" s="18"/>
      <c r="H425" s="35"/>
      <c r="I425" s="35"/>
      <c r="J425" s="12"/>
      <c r="O425" s="12"/>
      <c r="P425" s="18"/>
      <c r="Q425" s="12"/>
      <c r="R425" s="12"/>
      <c r="S425" s="12"/>
      <c r="T425" s="36"/>
      <c r="U425" s="36"/>
      <c r="V425" s="12"/>
      <c r="W425" s="12"/>
      <c r="X425" s="12"/>
      <c r="Y425" s="12"/>
      <c r="Z425" s="12"/>
    </row>
    <row r="426" customFormat="false" ht="15.75" hidden="false" customHeight="false" outlineLevel="0" collapsed="false">
      <c r="A426" s="12"/>
      <c r="B426" s="34"/>
      <c r="C426" s="12"/>
      <c r="D426" s="12"/>
      <c r="E426" s="12"/>
      <c r="F426" s="12"/>
      <c r="G426" s="18"/>
      <c r="H426" s="35"/>
      <c r="I426" s="35"/>
      <c r="J426" s="12"/>
      <c r="O426" s="12"/>
      <c r="P426" s="18"/>
      <c r="Q426" s="12"/>
      <c r="R426" s="12"/>
      <c r="S426" s="12"/>
      <c r="T426" s="36"/>
      <c r="U426" s="36"/>
      <c r="V426" s="12"/>
      <c r="W426" s="12"/>
      <c r="X426" s="12"/>
      <c r="Y426" s="12"/>
      <c r="Z426" s="12"/>
    </row>
    <row r="427" customFormat="false" ht="15.75" hidden="false" customHeight="false" outlineLevel="0" collapsed="false">
      <c r="A427" s="12"/>
      <c r="B427" s="34"/>
      <c r="C427" s="12"/>
      <c r="D427" s="12"/>
      <c r="E427" s="12"/>
      <c r="F427" s="12"/>
      <c r="G427" s="18"/>
      <c r="H427" s="35"/>
      <c r="I427" s="35"/>
      <c r="J427" s="12"/>
      <c r="O427" s="12"/>
      <c r="P427" s="18"/>
      <c r="Q427" s="12"/>
      <c r="R427" s="12"/>
      <c r="S427" s="12"/>
      <c r="T427" s="36"/>
      <c r="U427" s="36"/>
      <c r="V427" s="12"/>
      <c r="W427" s="12"/>
      <c r="X427" s="12"/>
      <c r="Y427" s="12"/>
      <c r="Z427" s="12"/>
    </row>
    <row r="428" customFormat="false" ht="15.75" hidden="false" customHeight="false" outlineLevel="0" collapsed="false">
      <c r="A428" s="12"/>
      <c r="B428" s="34"/>
      <c r="C428" s="12"/>
      <c r="D428" s="12"/>
      <c r="E428" s="12"/>
      <c r="F428" s="12"/>
      <c r="G428" s="18"/>
      <c r="H428" s="35"/>
      <c r="I428" s="35"/>
      <c r="J428" s="12"/>
      <c r="O428" s="12"/>
      <c r="P428" s="18"/>
      <c r="Q428" s="12"/>
      <c r="R428" s="12"/>
      <c r="S428" s="12"/>
      <c r="T428" s="36"/>
      <c r="U428" s="36"/>
      <c r="V428" s="12"/>
      <c r="W428" s="12"/>
      <c r="X428" s="12"/>
      <c r="Y428" s="12"/>
      <c r="Z428" s="12"/>
    </row>
    <row r="429" customFormat="false" ht="15.75" hidden="false" customHeight="false" outlineLevel="0" collapsed="false">
      <c r="A429" s="12"/>
      <c r="B429" s="34"/>
      <c r="C429" s="12"/>
      <c r="D429" s="12"/>
      <c r="E429" s="12"/>
      <c r="F429" s="12"/>
      <c r="G429" s="18"/>
      <c r="H429" s="35"/>
      <c r="I429" s="35"/>
      <c r="J429" s="12"/>
      <c r="O429" s="12"/>
      <c r="P429" s="18"/>
      <c r="Q429" s="12"/>
      <c r="R429" s="12"/>
      <c r="S429" s="12"/>
      <c r="T429" s="36"/>
      <c r="U429" s="36"/>
      <c r="V429" s="12"/>
      <c r="W429" s="12"/>
      <c r="X429" s="12"/>
      <c r="Y429" s="12"/>
      <c r="Z429" s="12"/>
    </row>
    <row r="430" customFormat="false" ht="15.75" hidden="false" customHeight="false" outlineLevel="0" collapsed="false">
      <c r="A430" s="12"/>
      <c r="B430" s="34"/>
      <c r="C430" s="12"/>
      <c r="D430" s="12"/>
      <c r="E430" s="12"/>
      <c r="F430" s="12"/>
      <c r="G430" s="18"/>
      <c r="H430" s="35"/>
      <c r="I430" s="35"/>
      <c r="J430" s="12"/>
      <c r="O430" s="12"/>
      <c r="P430" s="18"/>
      <c r="Q430" s="12"/>
      <c r="R430" s="12"/>
      <c r="S430" s="12"/>
      <c r="T430" s="36"/>
      <c r="U430" s="36"/>
      <c r="V430" s="12"/>
      <c r="W430" s="12"/>
      <c r="X430" s="12"/>
      <c r="Y430" s="12"/>
      <c r="Z430" s="12"/>
    </row>
    <row r="431" customFormat="false" ht="15.75" hidden="false" customHeight="false" outlineLevel="0" collapsed="false">
      <c r="A431" s="12"/>
      <c r="B431" s="34"/>
      <c r="C431" s="12"/>
      <c r="D431" s="12"/>
      <c r="E431" s="12"/>
      <c r="F431" s="12"/>
      <c r="G431" s="18"/>
      <c r="H431" s="35"/>
      <c r="I431" s="35"/>
      <c r="J431" s="12"/>
      <c r="O431" s="12"/>
      <c r="P431" s="18"/>
      <c r="Q431" s="12"/>
      <c r="R431" s="12"/>
      <c r="S431" s="12"/>
      <c r="T431" s="36"/>
      <c r="U431" s="36"/>
      <c r="V431" s="12"/>
      <c r="W431" s="12"/>
      <c r="X431" s="12"/>
      <c r="Y431" s="12"/>
      <c r="Z431" s="12"/>
    </row>
    <row r="432" customFormat="false" ht="15.75" hidden="false" customHeight="false" outlineLevel="0" collapsed="false">
      <c r="A432" s="12"/>
      <c r="B432" s="34"/>
      <c r="C432" s="12"/>
      <c r="D432" s="12"/>
      <c r="E432" s="12"/>
      <c r="F432" s="12"/>
      <c r="G432" s="18"/>
      <c r="H432" s="35"/>
      <c r="I432" s="35"/>
      <c r="J432" s="12"/>
      <c r="O432" s="12"/>
      <c r="P432" s="18"/>
      <c r="Q432" s="12"/>
      <c r="R432" s="12"/>
      <c r="S432" s="12"/>
      <c r="T432" s="36"/>
      <c r="U432" s="36"/>
      <c r="V432" s="12"/>
      <c r="W432" s="12"/>
      <c r="X432" s="12"/>
      <c r="Y432" s="12"/>
      <c r="Z432" s="12"/>
    </row>
    <row r="433" customFormat="false" ht="15.75" hidden="false" customHeight="false" outlineLevel="0" collapsed="false">
      <c r="A433" s="12"/>
      <c r="B433" s="34"/>
      <c r="C433" s="12"/>
      <c r="D433" s="12"/>
      <c r="E433" s="12"/>
      <c r="F433" s="12"/>
      <c r="G433" s="18"/>
      <c r="H433" s="35"/>
      <c r="I433" s="35"/>
      <c r="J433" s="12"/>
      <c r="O433" s="12"/>
      <c r="P433" s="18"/>
      <c r="Q433" s="12"/>
      <c r="R433" s="12"/>
      <c r="S433" s="12"/>
      <c r="T433" s="36"/>
      <c r="U433" s="36"/>
      <c r="V433" s="12"/>
      <c r="W433" s="12"/>
      <c r="X433" s="12"/>
      <c r="Y433" s="12"/>
      <c r="Z433" s="12"/>
    </row>
    <row r="434" customFormat="false" ht="15.75" hidden="false" customHeight="false" outlineLevel="0" collapsed="false">
      <c r="A434" s="12"/>
      <c r="B434" s="34"/>
      <c r="C434" s="12"/>
      <c r="D434" s="12"/>
      <c r="E434" s="12"/>
      <c r="F434" s="12"/>
      <c r="G434" s="18"/>
      <c r="H434" s="35"/>
      <c r="I434" s="35"/>
      <c r="J434" s="12"/>
      <c r="O434" s="12"/>
      <c r="P434" s="18"/>
      <c r="Q434" s="12"/>
      <c r="R434" s="12"/>
      <c r="S434" s="12"/>
      <c r="T434" s="36"/>
      <c r="U434" s="36"/>
      <c r="V434" s="12"/>
      <c r="W434" s="12"/>
      <c r="X434" s="12"/>
      <c r="Y434" s="12"/>
      <c r="Z434" s="12"/>
    </row>
    <row r="435" customFormat="false" ht="15.75" hidden="false" customHeight="false" outlineLevel="0" collapsed="false">
      <c r="A435" s="12"/>
      <c r="B435" s="34"/>
      <c r="C435" s="12"/>
      <c r="D435" s="12"/>
      <c r="E435" s="12"/>
      <c r="F435" s="12"/>
      <c r="G435" s="18"/>
      <c r="H435" s="35"/>
      <c r="I435" s="35"/>
      <c r="J435" s="12"/>
      <c r="O435" s="12"/>
      <c r="P435" s="18"/>
      <c r="Q435" s="12"/>
      <c r="R435" s="12"/>
      <c r="S435" s="12"/>
      <c r="T435" s="36"/>
      <c r="U435" s="36"/>
      <c r="V435" s="12"/>
      <c r="W435" s="12"/>
      <c r="X435" s="12"/>
      <c r="Y435" s="12"/>
      <c r="Z435" s="12"/>
    </row>
    <row r="436" customFormat="false" ht="15.75" hidden="false" customHeight="false" outlineLevel="0" collapsed="false">
      <c r="A436" s="12"/>
      <c r="B436" s="34"/>
      <c r="C436" s="12"/>
      <c r="D436" s="12"/>
      <c r="E436" s="12"/>
      <c r="F436" s="12"/>
      <c r="G436" s="18"/>
      <c r="H436" s="35"/>
      <c r="I436" s="35"/>
      <c r="J436" s="12"/>
      <c r="O436" s="12"/>
      <c r="P436" s="18"/>
      <c r="Q436" s="12"/>
      <c r="R436" s="12"/>
      <c r="S436" s="12"/>
      <c r="T436" s="36"/>
      <c r="U436" s="36"/>
      <c r="V436" s="12"/>
      <c r="W436" s="12"/>
      <c r="X436" s="12"/>
      <c r="Y436" s="12"/>
      <c r="Z436" s="12"/>
    </row>
    <row r="437" customFormat="false" ht="15.75" hidden="false" customHeight="false" outlineLevel="0" collapsed="false">
      <c r="A437" s="12"/>
      <c r="B437" s="34"/>
      <c r="C437" s="12"/>
      <c r="D437" s="12"/>
      <c r="E437" s="12"/>
      <c r="F437" s="12"/>
      <c r="G437" s="18"/>
      <c r="H437" s="35"/>
      <c r="I437" s="35"/>
      <c r="J437" s="12"/>
      <c r="O437" s="12"/>
      <c r="P437" s="18"/>
      <c r="Q437" s="12"/>
      <c r="R437" s="12"/>
      <c r="S437" s="12"/>
      <c r="T437" s="36"/>
      <c r="U437" s="36"/>
      <c r="V437" s="12"/>
      <c r="W437" s="12"/>
      <c r="X437" s="12"/>
      <c r="Y437" s="12"/>
      <c r="Z437" s="12"/>
    </row>
    <row r="438" customFormat="false" ht="15.75" hidden="false" customHeight="false" outlineLevel="0" collapsed="false">
      <c r="A438" s="12"/>
      <c r="B438" s="34"/>
      <c r="C438" s="12"/>
      <c r="D438" s="12"/>
      <c r="E438" s="12"/>
      <c r="F438" s="12"/>
      <c r="G438" s="18"/>
      <c r="H438" s="35"/>
      <c r="I438" s="35"/>
      <c r="J438" s="12"/>
      <c r="O438" s="12"/>
      <c r="P438" s="18"/>
      <c r="Q438" s="12"/>
      <c r="R438" s="12"/>
      <c r="S438" s="12"/>
      <c r="T438" s="36"/>
      <c r="U438" s="36"/>
      <c r="V438" s="12"/>
      <c r="W438" s="12"/>
      <c r="X438" s="12"/>
      <c r="Y438" s="12"/>
      <c r="Z438" s="12"/>
    </row>
    <row r="439" customFormat="false" ht="15.75" hidden="false" customHeight="false" outlineLevel="0" collapsed="false">
      <c r="A439" s="12"/>
      <c r="B439" s="34"/>
      <c r="C439" s="12"/>
      <c r="D439" s="12"/>
      <c r="E439" s="12"/>
      <c r="F439" s="12"/>
      <c r="G439" s="18"/>
      <c r="H439" s="35"/>
      <c r="I439" s="35"/>
      <c r="J439" s="12"/>
      <c r="O439" s="12"/>
      <c r="P439" s="18"/>
      <c r="Q439" s="12"/>
      <c r="R439" s="12"/>
      <c r="S439" s="12"/>
      <c r="T439" s="36"/>
      <c r="U439" s="36"/>
      <c r="V439" s="12"/>
      <c r="W439" s="12"/>
      <c r="X439" s="12"/>
      <c r="Y439" s="12"/>
      <c r="Z439" s="12"/>
    </row>
    <row r="440" customFormat="false" ht="15.75" hidden="false" customHeight="false" outlineLevel="0" collapsed="false">
      <c r="A440" s="12"/>
      <c r="B440" s="34"/>
      <c r="C440" s="12"/>
      <c r="D440" s="12"/>
      <c r="E440" s="12"/>
      <c r="F440" s="12"/>
      <c r="G440" s="18"/>
      <c r="H440" s="35"/>
      <c r="I440" s="35"/>
      <c r="J440" s="12"/>
      <c r="O440" s="12"/>
      <c r="P440" s="18"/>
      <c r="Q440" s="12"/>
      <c r="R440" s="12"/>
      <c r="S440" s="12"/>
      <c r="T440" s="36"/>
      <c r="U440" s="36"/>
      <c r="V440" s="12"/>
      <c r="W440" s="12"/>
      <c r="X440" s="12"/>
      <c r="Y440" s="12"/>
      <c r="Z440" s="12"/>
    </row>
    <row r="441" customFormat="false" ht="15.75" hidden="false" customHeight="false" outlineLevel="0" collapsed="false">
      <c r="A441" s="12"/>
      <c r="B441" s="34"/>
      <c r="C441" s="12"/>
      <c r="D441" s="12"/>
      <c r="E441" s="12"/>
      <c r="F441" s="12"/>
      <c r="G441" s="18"/>
      <c r="H441" s="35"/>
      <c r="I441" s="35"/>
      <c r="J441" s="12"/>
      <c r="O441" s="12"/>
      <c r="P441" s="18"/>
      <c r="Q441" s="12"/>
      <c r="R441" s="12"/>
      <c r="S441" s="12"/>
      <c r="T441" s="36"/>
      <c r="U441" s="36"/>
      <c r="V441" s="12"/>
      <c r="W441" s="12"/>
      <c r="X441" s="12"/>
      <c r="Y441" s="12"/>
      <c r="Z441" s="12"/>
    </row>
    <row r="442" customFormat="false" ht="15.75" hidden="false" customHeight="false" outlineLevel="0" collapsed="false">
      <c r="A442" s="12"/>
      <c r="B442" s="34"/>
      <c r="C442" s="12"/>
      <c r="D442" s="12"/>
      <c r="E442" s="12"/>
      <c r="F442" s="12"/>
      <c r="G442" s="18"/>
      <c r="H442" s="35"/>
      <c r="I442" s="35"/>
      <c r="J442" s="12"/>
      <c r="O442" s="12"/>
      <c r="P442" s="18"/>
      <c r="Q442" s="12"/>
      <c r="R442" s="12"/>
      <c r="S442" s="12"/>
      <c r="T442" s="36"/>
      <c r="U442" s="36"/>
      <c r="V442" s="12"/>
      <c r="W442" s="12"/>
      <c r="X442" s="12"/>
      <c r="Y442" s="12"/>
      <c r="Z442" s="12"/>
    </row>
    <row r="443" customFormat="false" ht="15.75" hidden="false" customHeight="false" outlineLevel="0" collapsed="false">
      <c r="A443" s="12"/>
      <c r="B443" s="34"/>
      <c r="C443" s="12"/>
      <c r="D443" s="12"/>
      <c r="E443" s="12"/>
      <c r="F443" s="12"/>
      <c r="G443" s="18"/>
      <c r="H443" s="35"/>
      <c r="I443" s="35"/>
      <c r="J443" s="12"/>
      <c r="O443" s="12"/>
      <c r="P443" s="18"/>
      <c r="Q443" s="12"/>
      <c r="R443" s="12"/>
      <c r="S443" s="12"/>
      <c r="T443" s="36"/>
      <c r="U443" s="36"/>
      <c r="V443" s="12"/>
      <c r="W443" s="12"/>
      <c r="X443" s="12"/>
      <c r="Y443" s="12"/>
      <c r="Z443" s="12"/>
    </row>
    <row r="444" customFormat="false" ht="15.75" hidden="false" customHeight="false" outlineLevel="0" collapsed="false">
      <c r="A444" s="12"/>
      <c r="B444" s="34"/>
      <c r="C444" s="12"/>
      <c r="D444" s="12"/>
      <c r="E444" s="12"/>
      <c r="F444" s="12"/>
      <c r="G444" s="18"/>
      <c r="H444" s="35"/>
      <c r="I444" s="35"/>
      <c r="J444" s="12"/>
      <c r="O444" s="12"/>
      <c r="P444" s="18"/>
      <c r="Q444" s="12"/>
      <c r="R444" s="12"/>
      <c r="S444" s="12"/>
      <c r="T444" s="36"/>
      <c r="U444" s="36"/>
      <c r="V444" s="12"/>
      <c r="W444" s="12"/>
      <c r="X444" s="12"/>
      <c r="Y444" s="12"/>
      <c r="Z444" s="12"/>
    </row>
    <row r="445" customFormat="false" ht="15.75" hidden="false" customHeight="false" outlineLevel="0" collapsed="false">
      <c r="A445" s="12"/>
      <c r="B445" s="34"/>
      <c r="C445" s="12"/>
      <c r="D445" s="12"/>
      <c r="E445" s="12"/>
      <c r="F445" s="12"/>
      <c r="G445" s="18"/>
      <c r="H445" s="35"/>
      <c r="I445" s="35"/>
      <c r="J445" s="12"/>
      <c r="O445" s="12"/>
      <c r="P445" s="18"/>
      <c r="Q445" s="12"/>
      <c r="R445" s="12"/>
      <c r="S445" s="12"/>
      <c r="T445" s="36"/>
      <c r="U445" s="36"/>
      <c r="V445" s="12"/>
      <c r="W445" s="12"/>
      <c r="X445" s="12"/>
      <c r="Y445" s="12"/>
      <c r="Z445" s="12"/>
    </row>
    <row r="446" customFormat="false" ht="15.75" hidden="false" customHeight="false" outlineLevel="0" collapsed="false">
      <c r="A446" s="12"/>
      <c r="B446" s="34"/>
      <c r="C446" s="12"/>
      <c r="D446" s="12"/>
      <c r="E446" s="12"/>
      <c r="F446" s="12"/>
      <c r="G446" s="18"/>
      <c r="H446" s="35"/>
      <c r="I446" s="35"/>
      <c r="J446" s="12"/>
      <c r="O446" s="12"/>
      <c r="P446" s="18"/>
      <c r="Q446" s="12"/>
      <c r="R446" s="12"/>
      <c r="S446" s="12"/>
      <c r="T446" s="36"/>
      <c r="U446" s="36"/>
      <c r="V446" s="12"/>
      <c r="W446" s="12"/>
      <c r="X446" s="12"/>
      <c r="Y446" s="12"/>
      <c r="Z446" s="12"/>
    </row>
    <row r="447" customFormat="false" ht="15.75" hidden="false" customHeight="false" outlineLevel="0" collapsed="false">
      <c r="A447" s="12"/>
      <c r="B447" s="34"/>
      <c r="C447" s="12"/>
      <c r="D447" s="12"/>
      <c r="E447" s="12"/>
      <c r="F447" s="12"/>
      <c r="G447" s="18"/>
      <c r="H447" s="35"/>
      <c r="I447" s="35"/>
      <c r="J447" s="12"/>
      <c r="O447" s="12"/>
      <c r="P447" s="18"/>
      <c r="Q447" s="12"/>
      <c r="R447" s="12"/>
      <c r="S447" s="12"/>
      <c r="T447" s="36"/>
      <c r="U447" s="36"/>
      <c r="V447" s="12"/>
      <c r="W447" s="12"/>
      <c r="X447" s="12"/>
      <c r="Y447" s="12"/>
      <c r="Z447" s="12"/>
    </row>
    <row r="448" customFormat="false" ht="15.75" hidden="false" customHeight="false" outlineLevel="0" collapsed="false">
      <c r="A448" s="12"/>
      <c r="B448" s="34"/>
      <c r="C448" s="12"/>
      <c r="D448" s="12"/>
      <c r="E448" s="12"/>
      <c r="F448" s="12"/>
      <c r="G448" s="18"/>
      <c r="H448" s="35"/>
      <c r="I448" s="35"/>
      <c r="J448" s="12"/>
      <c r="O448" s="12"/>
      <c r="P448" s="18"/>
      <c r="Q448" s="12"/>
      <c r="R448" s="12"/>
      <c r="S448" s="12"/>
      <c r="T448" s="36"/>
      <c r="U448" s="36"/>
      <c r="V448" s="12"/>
      <c r="W448" s="12"/>
      <c r="X448" s="12"/>
      <c r="Y448" s="12"/>
      <c r="Z448" s="12"/>
    </row>
    <row r="449" customFormat="false" ht="15.75" hidden="false" customHeight="false" outlineLevel="0" collapsed="false">
      <c r="A449" s="12"/>
      <c r="B449" s="34"/>
      <c r="C449" s="12"/>
      <c r="D449" s="12"/>
      <c r="E449" s="12"/>
      <c r="F449" s="12"/>
      <c r="G449" s="18"/>
      <c r="H449" s="35"/>
      <c r="I449" s="35"/>
      <c r="J449" s="12"/>
      <c r="O449" s="12"/>
      <c r="P449" s="18"/>
      <c r="Q449" s="12"/>
      <c r="R449" s="12"/>
      <c r="S449" s="12"/>
      <c r="T449" s="36"/>
      <c r="U449" s="36"/>
      <c r="V449" s="12"/>
      <c r="W449" s="12"/>
      <c r="X449" s="12"/>
      <c r="Y449" s="12"/>
      <c r="Z449" s="12"/>
    </row>
    <row r="450" customFormat="false" ht="15.75" hidden="false" customHeight="false" outlineLevel="0" collapsed="false">
      <c r="A450" s="12"/>
      <c r="B450" s="34"/>
      <c r="C450" s="12"/>
      <c r="D450" s="12"/>
      <c r="E450" s="12"/>
      <c r="F450" s="12"/>
      <c r="G450" s="18"/>
      <c r="H450" s="35"/>
      <c r="I450" s="35"/>
      <c r="J450" s="12"/>
      <c r="O450" s="12"/>
      <c r="P450" s="18"/>
      <c r="Q450" s="12"/>
      <c r="R450" s="12"/>
      <c r="S450" s="12"/>
      <c r="T450" s="36"/>
      <c r="U450" s="36"/>
      <c r="V450" s="12"/>
      <c r="W450" s="12"/>
      <c r="X450" s="12"/>
      <c r="Y450" s="12"/>
      <c r="Z450" s="12"/>
    </row>
    <row r="451" customFormat="false" ht="15.75" hidden="false" customHeight="false" outlineLevel="0" collapsed="false">
      <c r="A451" s="12"/>
      <c r="B451" s="34"/>
      <c r="C451" s="12"/>
      <c r="D451" s="12"/>
      <c r="E451" s="12"/>
      <c r="F451" s="12"/>
      <c r="G451" s="18"/>
      <c r="H451" s="35"/>
      <c r="I451" s="35"/>
      <c r="J451" s="12"/>
      <c r="O451" s="12"/>
      <c r="P451" s="18"/>
      <c r="Q451" s="12"/>
      <c r="R451" s="12"/>
      <c r="S451" s="12"/>
      <c r="T451" s="36"/>
      <c r="U451" s="36"/>
      <c r="V451" s="12"/>
      <c r="W451" s="12"/>
      <c r="X451" s="12"/>
      <c r="Y451" s="12"/>
      <c r="Z451" s="12"/>
    </row>
    <row r="452" customFormat="false" ht="15.75" hidden="false" customHeight="false" outlineLevel="0" collapsed="false">
      <c r="A452" s="12"/>
      <c r="B452" s="34"/>
      <c r="C452" s="12"/>
      <c r="D452" s="12"/>
      <c r="E452" s="12"/>
      <c r="F452" s="12"/>
      <c r="G452" s="18"/>
      <c r="H452" s="35"/>
      <c r="I452" s="35"/>
      <c r="J452" s="12"/>
      <c r="O452" s="12"/>
      <c r="P452" s="18"/>
      <c r="Q452" s="12"/>
      <c r="R452" s="12"/>
      <c r="S452" s="12"/>
      <c r="T452" s="36"/>
      <c r="U452" s="36"/>
      <c r="V452" s="12"/>
      <c r="W452" s="12"/>
      <c r="X452" s="12"/>
      <c r="Y452" s="12"/>
      <c r="Z452" s="12"/>
    </row>
    <row r="453" customFormat="false" ht="15.75" hidden="false" customHeight="false" outlineLevel="0" collapsed="false">
      <c r="A453" s="12"/>
      <c r="B453" s="34"/>
      <c r="C453" s="12"/>
      <c r="D453" s="12"/>
      <c r="E453" s="12"/>
      <c r="F453" s="12"/>
      <c r="G453" s="18"/>
      <c r="H453" s="35"/>
      <c r="I453" s="35"/>
      <c r="J453" s="12"/>
      <c r="O453" s="12"/>
      <c r="P453" s="18"/>
      <c r="Q453" s="12"/>
      <c r="R453" s="12"/>
      <c r="S453" s="12"/>
      <c r="T453" s="36"/>
      <c r="U453" s="36"/>
      <c r="V453" s="12"/>
      <c r="W453" s="12"/>
      <c r="X453" s="12"/>
      <c r="Y453" s="12"/>
      <c r="Z453" s="12"/>
    </row>
    <row r="454" customFormat="false" ht="15.75" hidden="false" customHeight="false" outlineLevel="0" collapsed="false">
      <c r="A454" s="12"/>
      <c r="B454" s="34"/>
      <c r="C454" s="12"/>
      <c r="D454" s="12"/>
      <c r="E454" s="12"/>
      <c r="F454" s="12"/>
      <c r="G454" s="18"/>
      <c r="H454" s="35"/>
      <c r="I454" s="35"/>
      <c r="J454" s="12"/>
      <c r="O454" s="12"/>
      <c r="P454" s="18"/>
      <c r="Q454" s="12"/>
      <c r="R454" s="12"/>
      <c r="S454" s="12"/>
      <c r="T454" s="36"/>
      <c r="U454" s="36"/>
      <c r="V454" s="12"/>
      <c r="W454" s="12"/>
      <c r="X454" s="12"/>
      <c r="Y454" s="12"/>
      <c r="Z454" s="12"/>
    </row>
    <row r="455" customFormat="false" ht="15.75" hidden="false" customHeight="false" outlineLevel="0" collapsed="false">
      <c r="A455" s="12"/>
      <c r="B455" s="34"/>
      <c r="C455" s="12"/>
      <c r="D455" s="12"/>
      <c r="E455" s="12"/>
      <c r="F455" s="12"/>
      <c r="G455" s="18"/>
      <c r="H455" s="35"/>
      <c r="I455" s="35"/>
      <c r="J455" s="12"/>
      <c r="O455" s="12"/>
      <c r="P455" s="18"/>
      <c r="Q455" s="12"/>
      <c r="R455" s="12"/>
      <c r="S455" s="12"/>
      <c r="T455" s="36"/>
      <c r="U455" s="36"/>
      <c r="V455" s="12"/>
      <c r="W455" s="12"/>
      <c r="X455" s="12"/>
      <c r="Y455" s="12"/>
      <c r="Z455" s="12"/>
    </row>
    <row r="456" customFormat="false" ht="15.75" hidden="false" customHeight="false" outlineLevel="0" collapsed="false">
      <c r="A456" s="12"/>
      <c r="B456" s="34"/>
      <c r="C456" s="12"/>
      <c r="D456" s="12"/>
      <c r="E456" s="12"/>
      <c r="F456" s="12"/>
      <c r="G456" s="18"/>
      <c r="H456" s="35"/>
      <c r="I456" s="35"/>
      <c r="J456" s="12"/>
      <c r="O456" s="12"/>
      <c r="P456" s="18"/>
      <c r="Q456" s="12"/>
      <c r="R456" s="12"/>
      <c r="S456" s="12"/>
      <c r="T456" s="36"/>
      <c r="U456" s="36"/>
      <c r="V456" s="12"/>
      <c r="W456" s="12"/>
      <c r="X456" s="12"/>
      <c r="Y456" s="12"/>
      <c r="Z456" s="12"/>
    </row>
    <row r="457" customFormat="false" ht="15.75" hidden="false" customHeight="false" outlineLevel="0" collapsed="false">
      <c r="A457" s="12"/>
      <c r="B457" s="34"/>
      <c r="C457" s="12"/>
      <c r="D457" s="12"/>
      <c r="E457" s="12"/>
      <c r="F457" s="12"/>
      <c r="G457" s="18"/>
      <c r="H457" s="35"/>
      <c r="I457" s="35"/>
      <c r="J457" s="12"/>
      <c r="O457" s="12"/>
      <c r="P457" s="18"/>
      <c r="Q457" s="12"/>
      <c r="R457" s="12"/>
      <c r="S457" s="12"/>
      <c r="T457" s="36"/>
      <c r="U457" s="36"/>
      <c r="V457" s="12"/>
      <c r="W457" s="12"/>
      <c r="X457" s="12"/>
      <c r="Y457" s="12"/>
      <c r="Z457" s="12"/>
    </row>
    <row r="458" customFormat="false" ht="15.75" hidden="false" customHeight="false" outlineLevel="0" collapsed="false">
      <c r="A458" s="12"/>
      <c r="B458" s="34"/>
      <c r="C458" s="12"/>
      <c r="D458" s="12"/>
      <c r="E458" s="12"/>
      <c r="F458" s="12"/>
      <c r="G458" s="18"/>
      <c r="H458" s="35"/>
      <c r="I458" s="35"/>
      <c r="J458" s="12"/>
      <c r="O458" s="12"/>
      <c r="P458" s="18"/>
      <c r="Q458" s="12"/>
      <c r="R458" s="12"/>
      <c r="S458" s="12"/>
      <c r="T458" s="36"/>
      <c r="U458" s="36"/>
      <c r="V458" s="12"/>
      <c r="W458" s="12"/>
      <c r="X458" s="12"/>
      <c r="Y458" s="12"/>
      <c r="Z458" s="12"/>
    </row>
    <row r="459" customFormat="false" ht="15.75" hidden="false" customHeight="false" outlineLevel="0" collapsed="false">
      <c r="A459" s="12"/>
      <c r="B459" s="34"/>
      <c r="C459" s="12"/>
      <c r="D459" s="12"/>
      <c r="E459" s="12"/>
      <c r="F459" s="12"/>
      <c r="G459" s="18"/>
      <c r="H459" s="35"/>
      <c r="I459" s="35"/>
      <c r="J459" s="12"/>
      <c r="O459" s="12"/>
      <c r="P459" s="18"/>
      <c r="Q459" s="12"/>
      <c r="R459" s="12"/>
      <c r="S459" s="12"/>
      <c r="T459" s="36"/>
      <c r="U459" s="36"/>
      <c r="V459" s="12"/>
      <c r="W459" s="12"/>
      <c r="X459" s="12"/>
      <c r="Y459" s="12"/>
      <c r="Z459" s="12"/>
    </row>
    <row r="460" customFormat="false" ht="15.75" hidden="false" customHeight="false" outlineLevel="0" collapsed="false">
      <c r="A460" s="12"/>
      <c r="B460" s="34"/>
      <c r="C460" s="12"/>
      <c r="D460" s="12"/>
      <c r="E460" s="12"/>
      <c r="F460" s="12"/>
      <c r="G460" s="18"/>
      <c r="H460" s="35"/>
      <c r="I460" s="35"/>
      <c r="J460" s="12"/>
      <c r="O460" s="12"/>
      <c r="P460" s="18"/>
      <c r="Q460" s="12"/>
      <c r="R460" s="12"/>
      <c r="S460" s="12"/>
      <c r="T460" s="36"/>
      <c r="U460" s="36"/>
      <c r="V460" s="12"/>
      <c r="W460" s="12"/>
      <c r="X460" s="12"/>
      <c r="Y460" s="12"/>
      <c r="Z460" s="12"/>
    </row>
    <row r="461" customFormat="false" ht="15.75" hidden="false" customHeight="false" outlineLevel="0" collapsed="false">
      <c r="A461" s="12"/>
      <c r="B461" s="34"/>
      <c r="C461" s="12"/>
      <c r="D461" s="12"/>
      <c r="E461" s="12"/>
      <c r="F461" s="12"/>
      <c r="G461" s="18"/>
      <c r="H461" s="35"/>
      <c r="I461" s="35"/>
      <c r="J461" s="12"/>
      <c r="O461" s="12"/>
      <c r="P461" s="18"/>
      <c r="Q461" s="12"/>
      <c r="R461" s="12"/>
      <c r="S461" s="12"/>
      <c r="T461" s="36"/>
      <c r="U461" s="36"/>
      <c r="V461" s="12"/>
      <c r="W461" s="12"/>
      <c r="X461" s="12"/>
      <c r="Y461" s="12"/>
      <c r="Z461" s="12"/>
    </row>
    <row r="462" customFormat="false" ht="15.75" hidden="false" customHeight="false" outlineLevel="0" collapsed="false">
      <c r="A462" s="12"/>
      <c r="B462" s="34"/>
      <c r="C462" s="12"/>
      <c r="D462" s="12"/>
      <c r="E462" s="12"/>
      <c r="F462" s="12"/>
      <c r="G462" s="18"/>
      <c r="H462" s="35"/>
      <c r="I462" s="35"/>
      <c r="J462" s="12"/>
      <c r="O462" s="12"/>
      <c r="P462" s="18"/>
      <c r="Q462" s="12"/>
      <c r="R462" s="12"/>
      <c r="S462" s="12"/>
      <c r="T462" s="36"/>
      <c r="U462" s="36"/>
      <c r="V462" s="12"/>
      <c r="W462" s="12"/>
      <c r="X462" s="12"/>
      <c r="Y462" s="12"/>
      <c r="Z462" s="12"/>
    </row>
    <row r="463" customFormat="false" ht="15.75" hidden="false" customHeight="false" outlineLevel="0" collapsed="false">
      <c r="A463" s="12"/>
      <c r="B463" s="34"/>
      <c r="C463" s="12"/>
      <c r="D463" s="12"/>
      <c r="E463" s="12"/>
      <c r="F463" s="12"/>
      <c r="G463" s="18"/>
      <c r="H463" s="35"/>
      <c r="I463" s="35"/>
      <c r="J463" s="12"/>
      <c r="O463" s="12"/>
      <c r="P463" s="18"/>
      <c r="Q463" s="12"/>
      <c r="R463" s="12"/>
      <c r="S463" s="12"/>
      <c r="T463" s="36"/>
      <c r="U463" s="36"/>
      <c r="V463" s="12"/>
      <c r="W463" s="12"/>
      <c r="X463" s="12"/>
      <c r="Y463" s="12"/>
      <c r="Z463" s="12"/>
    </row>
    <row r="464" customFormat="false" ht="15.75" hidden="false" customHeight="false" outlineLevel="0" collapsed="false">
      <c r="A464" s="12"/>
      <c r="B464" s="34"/>
      <c r="C464" s="12"/>
      <c r="D464" s="12"/>
      <c r="E464" s="12"/>
      <c r="F464" s="12"/>
      <c r="G464" s="18"/>
      <c r="H464" s="35"/>
      <c r="I464" s="35"/>
      <c r="J464" s="12"/>
      <c r="O464" s="12"/>
      <c r="P464" s="18"/>
      <c r="Q464" s="12"/>
      <c r="R464" s="12"/>
      <c r="S464" s="12"/>
      <c r="T464" s="36"/>
      <c r="U464" s="36"/>
      <c r="V464" s="12"/>
      <c r="W464" s="12"/>
      <c r="X464" s="12"/>
      <c r="Y464" s="12"/>
      <c r="Z464" s="12"/>
    </row>
    <row r="465" customFormat="false" ht="15.75" hidden="false" customHeight="false" outlineLevel="0" collapsed="false">
      <c r="A465" s="12"/>
      <c r="B465" s="34"/>
      <c r="C465" s="12"/>
      <c r="D465" s="12"/>
      <c r="E465" s="12"/>
      <c r="F465" s="12"/>
      <c r="G465" s="18"/>
      <c r="H465" s="35"/>
      <c r="I465" s="35"/>
      <c r="J465" s="12"/>
      <c r="O465" s="12"/>
      <c r="P465" s="18"/>
      <c r="Q465" s="12"/>
      <c r="R465" s="12"/>
      <c r="S465" s="12"/>
      <c r="T465" s="36"/>
      <c r="U465" s="36"/>
      <c r="V465" s="12"/>
      <c r="W465" s="12"/>
      <c r="X465" s="12"/>
      <c r="Y465" s="12"/>
      <c r="Z465" s="12"/>
    </row>
    <row r="466" customFormat="false" ht="15.75" hidden="false" customHeight="false" outlineLevel="0" collapsed="false">
      <c r="A466" s="12"/>
      <c r="B466" s="34"/>
      <c r="C466" s="12"/>
      <c r="D466" s="12"/>
      <c r="E466" s="12"/>
      <c r="F466" s="12"/>
      <c r="G466" s="18"/>
      <c r="H466" s="35"/>
      <c r="I466" s="35"/>
      <c r="J466" s="12"/>
      <c r="O466" s="12"/>
      <c r="P466" s="18"/>
      <c r="Q466" s="12"/>
      <c r="R466" s="12"/>
      <c r="S466" s="12"/>
      <c r="T466" s="36"/>
      <c r="U466" s="36"/>
      <c r="V466" s="12"/>
      <c r="W466" s="12"/>
      <c r="X466" s="12"/>
      <c r="Y466" s="12"/>
      <c r="Z466" s="12"/>
    </row>
    <row r="467" customFormat="false" ht="15.75" hidden="false" customHeight="false" outlineLevel="0" collapsed="false">
      <c r="A467" s="12"/>
      <c r="B467" s="34"/>
      <c r="C467" s="12"/>
      <c r="D467" s="12"/>
      <c r="E467" s="12"/>
      <c r="F467" s="12"/>
      <c r="G467" s="18"/>
      <c r="H467" s="35"/>
      <c r="I467" s="35"/>
      <c r="J467" s="12"/>
      <c r="O467" s="12"/>
      <c r="P467" s="18"/>
      <c r="Q467" s="12"/>
      <c r="R467" s="12"/>
      <c r="S467" s="12"/>
      <c r="T467" s="36"/>
      <c r="U467" s="36"/>
      <c r="V467" s="12"/>
      <c r="W467" s="12"/>
      <c r="X467" s="12"/>
      <c r="Y467" s="12"/>
      <c r="Z467" s="12"/>
    </row>
    <row r="468" customFormat="false" ht="15.75" hidden="false" customHeight="false" outlineLevel="0" collapsed="false">
      <c r="A468" s="12"/>
      <c r="B468" s="34"/>
      <c r="C468" s="12"/>
      <c r="D468" s="12"/>
      <c r="E468" s="12"/>
      <c r="F468" s="12"/>
      <c r="G468" s="18"/>
      <c r="H468" s="35"/>
      <c r="I468" s="35"/>
      <c r="J468" s="12"/>
      <c r="O468" s="12"/>
      <c r="P468" s="18"/>
      <c r="Q468" s="12"/>
      <c r="R468" s="12"/>
      <c r="S468" s="12"/>
      <c r="T468" s="36"/>
      <c r="U468" s="36"/>
      <c r="V468" s="12"/>
      <c r="W468" s="12"/>
      <c r="X468" s="12"/>
      <c r="Y468" s="12"/>
      <c r="Z468" s="12"/>
    </row>
    <row r="469" customFormat="false" ht="15.75" hidden="false" customHeight="false" outlineLevel="0" collapsed="false">
      <c r="A469" s="12"/>
      <c r="B469" s="34"/>
      <c r="C469" s="12"/>
      <c r="D469" s="12"/>
      <c r="E469" s="12"/>
      <c r="F469" s="12"/>
      <c r="G469" s="18"/>
      <c r="H469" s="35"/>
      <c r="I469" s="35"/>
      <c r="J469" s="12"/>
      <c r="O469" s="12"/>
      <c r="P469" s="18"/>
      <c r="Q469" s="12"/>
      <c r="R469" s="12"/>
      <c r="S469" s="12"/>
      <c r="T469" s="36"/>
      <c r="U469" s="36"/>
      <c r="V469" s="12"/>
      <c r="W469" s="12"/>
      <c r="X469" s="12"/>
      <c r="Y469" s="12"/>
      <c r="Z469" s="12"/>
    </row>
    <row r="470" customFormat="false" ht="15.75" hidden="false" customHeight="false" outlineLevel="0" collapsed="false">
      <c r="A470" s="12"/>
      <c r="B470" s="34"/>
      <c r="C470" s="12"/>
      <c r="D470" s="12"/>
      <c r="E470" s="12"/>
      <c r="F470" s="12"/>
      <c r="G470" s="18"/>
      <c r="H470" s="35"/>
      <c r="I470" s="35"/>
      <c r="J470" s="12"/>
      <c r="O470" s="12"/>
      <c r="P470" s="18"/>
      <c r="Q470" s="12"/>
      <c r="R470" s="12"/>
      <c r="S470" s="12"/>
      <c r="T470" s="36"/>
      <c r="U470" s="36"/>
      <c r="V470" s="12"/>
      <c r="W470" s="12"/>
      <c r="X470" s="12"/>
      <c r="Y470" s="12"/>
      <c r="Z470" s="12"/>
    </row>
    <row r="471" customFormat="false" ht="15.75" hidden="false" customHeight="false" outlineLevel="0" collapsed="false">
      <c r="A471" s="12"/>
      <c r="B471" s="34"/>
      <c r="C471" s="12"/>
      <c r="D471" s="12"/>
      <c r="E471" s="12"/>
      <c r="F471" s="12"/>
      <c r="G471" s="18"/>
      <c r="H471" s="35"/>
      <c r="I471" s="35"/>
      <c r="J471" s="12"/>
      <c r="O471" s="12"/>
      <c r="P471" s="18"/>
      <c r="Q471" s="12"/>
      <c r="R471" s="12"/>
      <c r="S471" s="12"/>
      <c r="T471" s="36"/>
      <c r="U471" s="36"/>
      <c r="V471" s="12"/>
      <c r="W471" s="12"/>
      <c r="X471" s="12"/>
      <c r="Y471" s="12"/>
      <c r="Z471" s="12"/>
    </row>
    <row r="472" customFormat="false" ht="15.75" hidden="false" customHeight="false" outlineLevel="0" collapsed="false">
      <c r="A472" s="12"/>
      <c r="B472" s="34"/>
      <c r="C472" s="12"/>
      <c r="D472" s="12"/>
      <c r="E472" s="12"/>
      <c r="F472" s="12"/>
      <c r="G472" s="18"/>
      <c r="H472" s="35"/>
      <c r="I472" s="35"/>
      <c r="J472" s="12"/>
      <c r="O472" s="12"/>
      <c r="P472" s="18"/>
      <c r="Q472" s="12"/>
      <c r="R472" s="12"/>
      <c r="S472" s="12"/>
      <c r="T472" s="36"/>
      <c r="U472" s="36"/>
      <c r="V472" s="12"/>
      <c r="W472" s="12"/>
      <c r="X472" s="12"/>
      <c r="Y472" s="12"/>
      <c r="Z472" s="12"/>
    </row>
    <row r="473" customFormat="false" ht="15.75" hidden="false" customHeight="false" outlineLevel="0" collapsed="false">
      <c r="A473" s="12"/>
      <c r="B473" s="34"/>
      <c r="C473" s="12"/>
      <c r="D473" s="12"/>
      <c r="E473" s="12"/>
      <c r="F473" s="12"/>
      <c r="G473" s="18"/>
      <c r="H473" s="35"/>
      <c r="I473" s="35"/>
      <c r="J473" s="12"/>
      <c r="O473" s="12"/>
      <c r="P473" s="18"/>
      <c r="Q473" s="12"/>
      <c r="R473" s="12"/>
      <c r="S473" s="12"/>
      <c r="T473" s="36"/>
      <c r="U473" s="36"/>
      <c r="V473" s="12"/>
      <c r="W473" s="12"/>
      <c r="X473" s="12"/>
      <c r="Y473" s="12"/>
      <c r="Z473" s="12"/>
    </row>
    <row r="474" customFormat="false" ht="15.75" hidden="false" customHeight="false" outlineLevel="0" collapsed="false">
      <c r="A474" s="12"/>
      <c r="B474" s="34"/>
      <c r="C474" s="12"/>
      <c r="D474" s="12"/>
      <c r="E474" s="12"/>
      <c r="F474" s="12"/>
      <c r="G474" s="18"/>
      <c r="H474" s="35"/>
      <c r="I474" s="35"/>
      <c r="J474" s="12"/>
      <c r="O474" s="12"/>
      <c r="P474" s="18"/>
      <c r="Q474" s="12"/>
      <c r="R474" s="12"/>
      <c r="S474" s="12"/>
      <c r="T474" s="36"/>
      <c r="U474" s="36"/>
      <c r="V474" s="12"/>
      <c r="W474" s="12"/>
      <c r="X474" s="12"/>
      <c r="Y474" s="12"/>
      <c r="Z474" s="12"/>
    </row>
    <row r="475" customFormat="false" ht="15.75" hidden="false" customHeight="false" outlineLevel="0" collapsed="false">
      <c r="A475" s="12"/>
      <c r="B475" s="34"/>
      <c r="C475" s="12"/>
      <c r="D475" s="12"/>
      <c r="E475" s="12"/>
      <c r="F475" s="12"/>
      <c r="G475" s="18"/>
      <c r="H475" s="35"/>
      <c r="I475" s="35"/>
      <c r="J475" s="12"/>
      <c r="O475" s="12"/>
      <c r="P475" s="18"/>
      <c r="Q475" s="12"/>
      <c r="R475" s="12"/>
      <c r="S475" s="12"/>
      <c r="T475" s="36"/>
      <c r="U475" s="36"/>
      <c r="V475" s="12"/>
      <c r="W475" s="12"/>
      <c r="X475" s="12"/>
      <c r="Y475" s="12"/>
      <c r="Z475" s="12"/>
    </row>
    <row r="476" customFormat="false" ht="15.75" hidden="false" customHeight="false" outlineLevel="0" collapsed="false">
      <c r="A476" s="12"/>
      <c r="B476" s="34"/>
      <c r="C476" s="12"/>
      <c r="D476" s="12"/>
      <c r="E476" s="12"/>
      <c r="F476" s="12"/>
      <c r="G476" s="18"/>
      <c r="H476" s="35"/>
      <c r="I476" s="35"/>
      <c r="J476" s="12"/>
      <c r="O476" s="12"/>
      <c r="P476" s="18"/>
      <c r="Q476" s="12"/>
      <c r="R476" s="12"/>
      <c r="S476" s="12"/>
      <c r="T476" s="36"/>
      <c r="U476" s="36"/>
      <c r="V476" s="12"/>
      <c r="W476" s="12"/>
      <c r="X476" s="12"/>
      <c r="Y476" s="12"/>
      <c r="Z476" s="12"/>
    </row>
    <row r="477" customFormat="false" ht="15.75" hidden="false" customHeight="false" outlineLevel="0" collapsed="false">
      <c r="A477" s="12"/>
      <c r="B477" s="34"/>
      <c r="C477" s="12"/>
      <c r="D477" s="12"/>
      <c r="E477" s="12"/>
      <c r="F477" s="12"/>
      <c r="G477" s="18"/>
      <c r="H477" s="35"/>
      <c r="I477" s="35"/>
      <c r="J477" s="12"/>
      <c r="O477" s="12"/>
      <c r="P477" s="18"/>
      <c r="Q477" s="12"/>
      <c r="R477" s="12"/>
      <c r="S477" s="12"/>
      <c r="T477" s="36"/>
      <c r="U477" s="36"/>
      <c r="V477" s="12"/>
      <c r="W477" s="12"/>
      <c r="X477" s="12"/>
      <c r="Y477" s="12"/>
      <c r="Z477" s="12"/>
    </row>
    <row r="478" customFormat="false" ht="15.75" hidden="false" customHeight="false" outlineLevel="0" collapsed="false">
      <c r="A478" s="12"/>
      <c r="B478" s="34"/>
      <c r="C478" s="12"/>
      <c r="D478" s="12"/>
      <c r="E478" s="12"/>
      <c r="F478" s="12"/>
      <c r="G478" s="18"/>
      <c r="H478" s="35"/>
      <c r="I478" s="35"/>
      <c r="J478" s="12"/>
      <c r="O478" s="12"/>
      <c r="P478" s="18"/>
      <c r="Q478" s="12"/>
      <c r="R478" s="12"/>
      <c r="S478" s="12"/>
      <c r="T478" s="36"/>
      <c r="U478" s="36"/>
      <c r="V478" s="12"/>
      <c r="W478" s="12"/>
      <c r="X478" s="12"/>
      <c r="Y478" s="12"/>
      <c r="Z478" s="12"/>
    </row>
    <row r="479" customFormat="false" ht="15.75" hidden="false" customHeight="false" outlineLevel="0" collapsed="false">
      <c r="A479" s="12"/>
      <c r="B479" s="34"/>
      <c r="C479" s="12"/>
      <c r="D479" s="12"/>
      <c r="E479" s="12"/>
      <c r="F479" s="12"/>
      <c r="G479" s="18"/>
      <c r="H479" s="35"/>
      <c r="I479" s="35"/>
      <c r="J479" s="12"/>
      <c r="O479" s="12"/>
      <c r="P479" s="18"/>
      <c r="Q479" s="12"/>
      <c r="R479" s="12"/>
      <c r="S479" s="12"/>
      <c r="T479" s="36"/>
      <c r="U479" s="36"/>
      <c r="V479" s="12"/>
      <c r="W479" s="12"/>
      <c r="X479" s="12"/>
      <c r="Y479" s="12"/>
      <c r="Z479" s="12"/>
    </row>
    <row r="480" customFormat="false" ht="15.75" hidden="false" customHeight="false" outlineLevel="0" collapsed="false">
      <c r="A480" s="12"/>
      <c r="B480" s="34"/>
      <c r="C480" s="12"/>
      <c r="D480" s="12"/>
      <c r="E480" s="12"/>
      <c r="F480" s="12"/>
      <c r="G480" s="18"/>
      <c r="H480" s="35"/>
      <c r="I480" s="35"/>
      <c r="J480" s="12"/>
      <c r="O480" s="12"/>
      <c r="P480" s="18"/>
      <c r="Q480" s="12"/>
      <c r="R480" s="12"/>
      <c r="S480" s="12"/>
      <c r="T480" s="36"/>
      <c r="U480" s="36"/>
      <c r="V480" s="12"/>
      <c r="W480" s="12"/>
      <c r="X480" s="12"/>
      <c r="Y480" s="12"/>
      <c r="Z480" s="12"/>
    </row>
    <row r="481" customFormat="false" ht="15.75" hidden="false" customHeight="false" outlineLevel="0" collapsed="false">
      <c r="A481" s="12"/>
      <c r="B481" s="34"/>
      <c r="C481" s="12"/>
      <c r="D481" s="12"/>
      <c r="E481" s="12"/>
      <c r="F481" s="12"/>
      <c r="G481" s="18"/>
      <c r="H481" s="35"/>
      <c r="I481" s="35"/>
      <c r="J481" s="12"/>
      <c r="O481" s="12"/>
      <c r="P481" s="18"/>
      <c r="Q481" s="12"/>
      <c r="R481" s="12"/>
      <c r="S481" s="12"/>
      <c r="T481" s="36"/>
      <c r="U481" s="36"/>
      <c r="V481" s="12"/>
      <c r="W481" s="12"/>
      <c r="X481" s="12"/>
      <c r="Y481" s="12"/>
      <c r="Z481" s="12"/>
    </row>
    <row r="482" customFormat="false" ht="15.75" hidden="false" customHeight="false" outlineLevel="0" collapsed="false">
      <c r="A482" s="12"/>
      <c r="B482" s="34"/>
      <c r="C482" s="12"/>
      <c r="D482" s="12"/>
      <c r="E482" s="12"/>
      <c r="F482" s="12"/>
      <c r="G482" s="18"/>
      <c r="H482" s="35"/>
      <c r="I482" s="35"/>
      <c r="J482" s="12"/>
      <c r="O482" s="12"/>
      <c r="P482" s="18"/>
      <c r="Q482" s="12"/>
      <c r="R482" s="12"/>
      <c r="S482" s="12"/>
      <c r="T482" s="36"/>
      <c r="U482" s="36"/>
      <c r="V482" s="12"/>
      <c r="W482" s="12"/>
      <c r="X482" s="12"/>
      <c r="Y482" s="12"/>
      <c r="Z482" s="12"/>
    </row>
    <row r="483" customFormat="false" ht="15.75" hidden="false" customHeight="false" outlineLevel="0" collapsed="false">
      <c r="A483" s="12"/>
      <c r="B483" s="34"/>
      <c r="C483" s="12"/>
      <c r="D483" s="12"/>
      <c r="E483" s="12"/>
      <c r="F483" s="12"/>
      <c r="G483" s="18"/>
      <c r="H483" s="35"/>
      <c r="I483" s="35"/>
      <c r="J483" s="12"/>
      <c r="O483" s="12"/>
      <c r="P483" s="18"/>
      <c r="Q483" s="12"/>
      <c r="R483" s="12"/>
      <c r="S483" s="12"/>
      <c r="T483" s="36"/>
      <c r="U483" s="36"/>
      <c r="V483" s="12"/>
      <c r="W483" s="12"/>
      <c r="X483" s="12"/>
      <c r="Y483" s="12"/>
      <c r="Z483" s="12"/>
    </row>
    <row r="484" customFormat="false" ht="15.75" hidden="false" customHeight="false" outlineLevel="0" collapsed="false">
      <c r="A484" s="12"/>
      <c r="B484" s="34"/>
      <c r="C484" s="12"/>
      <c r="D484" s="12"/>
      <c r="E484" s="12"/>
      <c r="F484" s="12"/>
      <c r="G484" s="18"/>
      <c r="H484" s="35"/>
      <c r="I484" s="35"/>
      <c r="J484" s="12"/>
      <c r="O484" s="12"/>
      <c r="P484" s="18"/>
      <c r="Q484" s="12"/>
      <c r="R484" s="12"/>
      <c r="S484" s="12"/>
      <c r="T484" s="36"/>
      <c r="U484" s="36"/>
      <c r="V484" s="12"/>
      <c r="W484" s="12"/>
      <c r="X484" s="12"/>
      <c r="Y484" s="12"/>
      <c r="Z484" s="12"/>
    </row>
    <row r="485" customFormat="false" ht="15.75" hidden="false" customHeight="false" outlineLevel="0" collapsed="false">
      <c r="A485" s="12"/>
      <c r="B485" s="34"/>
      <c r="C485" s="12"/>
      <c r="D485" s="12"/>
      <c r="E485" s="12"/>
      <c r="F485" s="12"/>
      <c r="G485" s="18"/>
      <c r="H485" s="35"/>
      <c r="I485" s="35"/>
      <c r="J485" s="12"/>
      <c r="O485" s="12"/>
      <c r="P485" s="18"/>
      <c r="Q485" s="12"/>
      <c r="R485" s="12"/>
      <c r="S485" s="12"/>
      <c r="T485" s="36"/>
      <c r="U485" s="36"/>
      <c r="V485" s="12"/>
      <c r="W485" s="12"/>
      <c r="X485" s="12"/>
      <c r="Y485" s="12"/>
      <c r="Z485" s="12"/>
    </row>
    <row r="486" customFormat="false" ht="15.75" hidden="false" customHeight="false" outlineLevel="0" collapsed="false">
      <c r="A486" s="12"/>
      <c r="B486" s="34"/>
      <c r="C486" s="12"/>
      <c r="D486" s="12"/>
      <c r="E486" s="12"/>
      <c r="F486" s="12"/>
      <c r="G486" s="18"/>
      <c r="H486" s="35"/>
      <c r="I486" s="35"/>
      <c r="J486" s="12"/>
      <c r="O486" s="12"/>
      <c r="P486" s="18"/>
      <c r="Q486" s="12"/>
      <c r="R486" s="12"/>
      <c r="S486" s="12"/>
      <c r="T486" s="36"/>
      <c r="U486" s="36"/>
      <c r="V486" s="12"/>
      <c r="W486" s="12"/>
      <c r="X486" s="12"/>
      <c r="Y486" s="12"/>
      <c r="Z486" s="12"/>
    </row>
    <row r="487" customFormat="false" ht="15.75" hidden="false" customHeight="false" outlineLevel="0" collapsed="false">
      <c r="A487" s="12"/>
      <c r="B487" s="34"/>
      <c r="C487" s="12"/>
      <c r="D487" s="12"/>
      <c r="E487" s="12"/>
      <c r="F487" s="12"/>
      <c r="G487" s="18"/>
      <c r="H487" s="35"/>
      <c r="I487" s="35"/>
      <c r="J487" s="12"/>
      <c r="O487" s="12"/>
      <c r="P487" s="18"/>
      <c r="Q487" s="12"/>
      <c r="R487" s="12"/>
      <c r="S487" s="12"/>
      <c r="T487" s="36"/>
      <c r="U487" s="36"/>
      <c r="V487" s="12"/>
      <c r="W487" s="12"/>
      <c r="X487" s="12"/>
      <c r="Y487" s="12"/>
      <c r="Z487" s="12"/>
    </row>
    <row r="488" customFormat="false" ht="15.75" hidden="false" customHeight="false" outlineLevel="0" collapsed="false">
      <c r="A488" s="12"/>
      <c r="B488" s="34"/>
      <c r="C488" s="12"/>
      <c r="D488" s="12"/>
      <c r="E488" s="12"/>
      <c r="F488" s="12"/>
      <c r="G488" s="18"/>
      <c r="H488" s="35"/>
      <c r="I488" s="35"/>
      <c r="J488" s="12"/>
      <c r="O488" s="12"/>
      <c r="P488" s="18"/>
      <c r="Q488" s="12"/>
      <c r="R488" s="12"/>
      <c r="S488" s="12"/>
      <c r="T488" s="36"/>
      <c r="U488" s="36"/>
      <c r="V488" s="12"/>
      <c r="W488" s="12"/>
      <c r="X488" s="12"/>
      <c r="Y488" s="12"/>
      <c r="Z488" s="12"/>
    </row>
    <row r="489" customFormat="false" ht="15.75" hidden="false" customHeight="false" outlineLevel="0" collapsed="false">
      <c r="A489" s="12"/>
      <c r="B489" s="34"/>
      <c r="C489" s="12"/>
      <c r="D489" s="12"/>
      <c r="E489" s="12"/>
      <c r="F489" s="12"/>
      <c r="G489" s="18"/>
      <c r="H489" s="35"/>
      <c r="I489" s="35"/>
      <c r="J489" s="12"/>
      <c r="O489" s="12"/>
      <c r="P489" s="18"/>
      <c r="Q489" s="12"/>
      <c r="R489" s="12"/>
      <c r="S489" s="12"/>
      <c r="T489" s="36"/>
      <c r="U489" s="36"/>
      <c r="V489" s="12"/>
      <c r="W489" s="12"/>
      <c r="X489" s="12"/>
      <c r="Y489" s="12"/>
      <c r="Z489" s="12"/>
    </row>
    <row r="490" customFormat="false" ht="15.75" hidden="false" customHeight="false" outlineLevel="0" collapsed="false">
      <c r="A490" s="12"/>
      <c r="B490" s="34"/>
      <c r="C490" s="12"/>
      <c r="D490" s="12"/>
      <c r="E490" s="12"/>
      <c r="F490" s="12"/>
      <c r="G490" s="18"/>
      <c r="H490" s="35"/>
      <c r="I490" s="35"/>
      <c r="J490" s="12"/>
      <c r="O490" s="12"/>
      <c r="P490" s="18"/>
      <c r="Q490" s="12"/>
      <c r="R490" s="12"/>
      <c r="S490" s="12"/>
      <c r="T490" s="36"/>
      <c r="U490" s="36"/>
      <c r="V490" s="12"/>
      <c r="W490" s="12"/>
      <c r="X490" s="12"/>
      <c r="Y490" s="12"/>
      <c r="Z490" s="12"/>
    </row>
    <row r="491" customFormat="false" ht="15.75" hidden="false" customHeight="false" outlineLevel="0" collapsed="false">
      <c r="A491" s="12"/>
      <c r="B491" s="34"/>
      <c r="C491" s="12"/>
      <c r="D491" s="12"/>
      <c r="E491" s="12"/>
      <c r="F491" s="12"/>
      <c r="G491" s="18"/>
      <c r="H491" s="35"/>
      <c r="I491" s="35"/>
      <c r="J491" s="12"/>
      <c r="O491" s="12"/>
      <c r="P491" s="18"/>
      <c r="Q491" s="12"/>
      <c r="R491" s="12"/>
      <c r="S491" s="12"/>
      <c r="T491" s="36"/>
      <c r="U491" s="36"/>
      <c r="V491" s="12"/>
      <c r="W491" s="12"/>
      <c r="X491" s="12"/>
      <c r="Y491" s="12"/>
      <c r="Z491" s="12"/>
    </row>
    <row r="492" customFormat="false" ht="15.75" hidden="false" customHeight="false" outlineLevel="0" collapsed="false">
      <c r="A492" s="12"/>
      <c r="B492" s="34"/>
      <c r="C492" s="12"/>
      <c r="D492" s="12"/>
      <c r="E492" s="12"/>
      <c r="F492" s="12"/>
      <c r="G492" s="18"/>
      <c r="H492" s="35"/>
      <c r="I492" s="35"/>
      <c r="J492" s="12"/>
      <c r="O492" s="12"/>
      <c r="P492" s="18"/>
      <c r="Q492" s="12"/>
      <c r="R492" s="12"/>
      <c r="S492" s="12"/>
      <c r="T492" s="36"/>
      <c r="U492" s="36"/>
      <c r="V492" s="12"/>
      <c r="W492" s="12"/>
      <c r="X492" s="12"/>
      <c r="Y492" s="12"/>
      <c r="Z492" s="12"/>
    </row>
    <row r="493" customFormat="false" ht="15.75" hidden="false" customHeight="false" outlineLevel="0" collapsed="false">
      <c r="A493" s="12"/>
      <c r="B493" s="34"/>
      <c r="C493" s="12"/>
      <c r="D493" s="12"/>
      <c r="E493" s="12"/>
      <c r="F493" s="12"/>
      <c r="G493" s="18"/>
      <c r="H493" s="35"/>
      <c r="I493" s="35"/>
      <c r="J493" s="12"/>
      <c r="O493" s="12"/>
      <c r="P493" s="18"/>
      <c r="Q493" s="12"/>
      <c r="R493" s="12"/>
      <c r="S493" s="12"/>
      <c r="T493" s="36"/>
      <c r="U493" s="36"/>
      <c r="V493" s="12"/>
      <c r="W493" s="12"/>
      <c r="X493" s="12"/>
      <c r="Y493" s="12"/>
      <c r="Z493" s="12"/>
    </row>
    <row r="494" customFormat="false" ht="15.75" hidden="false" customHeight="false" outlineLevel="0" collapsed="false">
      <c r="A494" s="12"/>
      <c r="B494" s="34"/>
      <c r="C494" s="12"/>
      <c r="D494" s="12"/>
      <c r="E494" s="12"/>
      <c r="F494" s="12"/>
      <c r="G494" s="18"/>
      <c r="H494" s="35"/>
      <c r="I494" s="35"/>
      <c r="J494" s="12"/>
      <c r="O494" s="12"/>
      <c r="P494" s="18"/>
      <c r="Q494" s="12"/>
      <c r="R494" s="12"/>
      <c r="S494" s="12"/>
      <c r="T494" s="36"/>
      <c r="U494" s="36"/>
      <c r="V494" s="12"/>
      <c r="W494" s="12"/>
      <c r="X494" s="12"/>
      <c r="Y494" s="12"/>
      <c r="Z494" s="12"/>
    </row>
    <row r="495" customFormat="false" ht="15.75" hidden="false" customHeight="false" outlineLevel="0" collapsed="false">
      <c r="A495" s="12"/>
      <c r="B495" s="34"/>
      <c r="C495" s="12"/>
      <c r="D495" s="12"/>
      <c r="E495" s="12"/>
      <c r="F495" s="12"/>
      <c r="G495" s="18"/>
      <c r="H495" s="35"/>
      <c r="I495" s="35"/>
      <c r="J495" s="12"/>
      <c r="O495" s="12"/>
      <c r="P495" s="18"/>
      <c r="Q495" s="12"/>
      <c r="R495" s="12"/>
      <c r="S495" s="12"/>
      <c r="T495" s="36"/>
      <c r="U495" s="36"/>
      <c r="V495" s="12"/>
      <c r="W495" s="12"/>
      <c r="X495" s="12"/>
      <c r="Y495" s="12"/>
      <c r="Z495" s="12"/>
    </row>
    <row r="496" customFormat="false" ht="15.75" hidden="false" customHeight="false" outlineLevel="0" collapsed="false">
      <c r="A496" s="12"/>
      <c r="B496" s="34"/>
      <c r="C496" s="12"/>
      <c r="D496" s="12"/>
      <c r="E496" s="12"/>
      <c r="F496" s="12"/>
      <c r="G496" s="18"/>
      <c r="H496" s="35"/>
      <c r="I496" s="35"/>
      <c r="J496" s="12"/>
      <c r="O496" s="12"/>
      <c r="P496" s="18"/>
      <c r="Q496" s="12"/>
      <c r="R496" s="12"/>
      <c r="S496" s="12"/>
      <c r="T496" s="36"/>
      <c r="U496" s="36"/>
      <c r="V496" s="12"/>
      <c r="W496" s="12"/>
      <c r="X496" s="12"/>
      <c r="Y496" s="12"/>
      <c r="Z496" s="12"/>
    </row>
    <row r="497" customFormat="false" ht="15.75" hidden="false" customHeight="false" outlineLevel="0" collapsed="false">
      <c r="A497" s="12"/>
      <c r="B497" s="34"/>
      <c r="C497" s="12"/>
      <c r="D497" s="12"/>
      <c r="E497" s="12"/>
      <c r="F497" s="12"/>
      <c r="G497" s="18"/>
      <c r="H497" s="35"/>
      <c r="I497" s="35"/>
      <c r="J497" s="12"/>
      <c r="O497" s="12"/>
      <c r="P497" s="18"/>
      <c r="Q497" s="12"/>
      <c r="R497" s="12"/>
      <c r="S497" s="12"/>
      <c r="T497" s="36"/>
      <c r="U497" s="36"/>
      <c r="V497" s="12"/>
      <c r="W497" s="12"/>
      <c r="X497" s="12"/>
      <c r="Y497" s="12"/>
      <c r="Z497" s="12"/>
    </row>
    <row r="498" customFormat="false" ht="15.75" hidden="false" customHeight="false" outlineLevel="0" collapsed="false">
      <c r="A498" s="12"/>
      <c r="B498" s="34"/>
      <c r="C498" s="12"/>
      <c r="D498" s="12"/>
      <c r="E498" s="12"/>
      <c r="F498" s="12"/>
      <c r="G498" s="18"/>
      <c r="H498" s="35"/>
      <c r="I498" s="35"/>
      <c r="J498" s="12"/>
      <c r="O498" s="12"/>
      <c r="P498" s="18"/>
      <c r="Q498" s="12"/>
      <c r="R498" s="12"/>
      <c r="S498" s="12"/>
      <c r="T498" s="36"/>
      <c r="U498" s="36"/>
      <c r="V498" s="12"/>
      <c r="W498" s="12"/>
      <c r="X498" s="12"/>
      <c r="Y498" s="12"/>
      <c r="Z498" s="12"/>
    </row>
    <row r="499" customFormat="false" ht="15.75" hidden="false" customHeight="false" outlineLevel="0" collapsed="false">
      <c r="A499" s="12"/>
      <c r="B499" s="34"/>
      <c r="C499" s="12"/>
      <c r="D499" s="12"/>
      <c r="E499" s="12"/>
      <c r="F499" s="12"/>
      <c r="G499" s="18"/>
      <c r="H499" s="35"/>
      <c r="I499" s="35"/>
      <c r="J499" s="12"/>
      <c r="O499" s="12"/>
      <c r="P499" s="18"/>
      <c r="Q499" s="12"/>
      <c r="R499" s="12"/>
      <c r="S499" s="12"/>
      <c r="T499" s="36"/>
      <c r="U499" s="36"/>
      <c r="V499" s="12"/>
      <c r="W499" s="12"/>
      <c r="X499" s="12"/>
      <c r="Y499" s="12"/>
      <c r="Z499" s="12"/>
    </row>
    <row r="500" customFormat="false" ht="15.75" hidden="false" customHeight="false" outlineLevel="0" collapsed="false">
      <c r="A500" s="12"/>
      <c r="B500" s="34"/>
      <c r="C500" s="12"/>
      <c r="D500" s="12"/>
      <c r="E500" s="12"/>
      <c r="F500" s="12"/>
      <c r="G500" s="18"/>
      <c r="H500" s="35"/>
      <c r="I500" s="35"/>
      <c r="J500" s="12"/>
      <c r="O500" s="12"/>
      <c r="P500" s="18"/>
      <c r="Q500" s="12"/>
      <c r="R500" s="12"/>
      <c r="S500" s="12"/>
      <c r="T500" s="36"/>
      <c r="U500" s="36"/>
      <c r="V500" s="12"/>
      <c r="W500" s="12"/>
      <c r="X500" s="12"/>
      <c r="Y500" s="12"/>
      <c r="Z500" s="12"/>
    </row>
    <row r="501" customFormat="false" ht="15.75" hidden="false" customHeight="false" outlineLevel="0" collapsed="false">
      <c r="A501" s="12"/>
      <c r="B501" s="34"/>
      <c r="C501" s="12"/>
      <c r="D501" s="12"/>
      <c r="E501" s="12"/>
      <c r="F501" s="12"/>
      <c r="G501" s="18"/>
      <c r="H501" s="35"/>
      <c r="I501" s="35"/>
      <c r="J501" s="12"/>
      <c r="O501" s="12"/>
      <c r="P501" s="18"/>
      <c r="Q501" s="12"/>
      <c r="R501" s="12"/>
      <c r="S501" s="12"/>
      <c r="T501" s="36"/>
      <c r="U501" s="36"/>
      <c r="V501" s="12"/>
      <c r="W501" s="12"/>
      <c r="X501" s="12"/>
      <c r="Y501" s="12"/>
      <c r="Z501" s="12"/>
    </row>
    <row r="502" customFormat="false" ht="15.75" hidden="false" customHeight="false" outlineLevel="0" collapsed="false">
      <c r="A502" s="12"/>
      <c r="B502" s="34"/>
      <c r="C502" s="12"/>
      <c r="D502" s="12"/>
      <c r="E502" s="12"/>
      <c r="F502" s="12"/>
      <c r="G502" s="18"/>
      <c r="H502" s="35"/>
      <c r="I502" s="35"/>
      <c r="J502" s="12"/>
      <c r="O502" s="12"/>
      <c r="P502" s="18"/>
      <c r="Q502" s="12"/>
      <c r="R502" s="12"/>
      <c r="S502" s="12"/>
      <c r="T502" s="36"/>
      <c r="U502" s="36"/>
      <c r="V502" s="12"/>
      <c r="W502" s="12"/>
      <c r="X502" s="12"/>
      <c r="Y502" s="12"/>
      <c r="Z502" s="12"/>
    </row>
    <row r="503" customFormat="false" ht="15.75" hidden="false" customHeight="false" outlineLevel="0" collapsed="false">
      <c r="A503" s="12"/>
      <c r="B503" s="34"/>
      <c r="C503" s="12"/>
      <c r="D503" s="12"/>
      <c r="E503" s="12"/>
      <c r="F503" s="12"/>
      <c r="G503" s="18"/>
      <c r="H503" s="35"/>
      <c r="I503" s="35"/>
      <c r="J503" s="12"/>
      <c r="O503" s="12"/>
      <c r="P503" s="18"/>
      <c r="Q503" s="12"/>
      <c r="R503" s="12"/>
      <c r="S503" s="12"/>
      <c r="T503" s="36"/>
      <c r="U503" s="36"/>
      <c r="V503" s="12"/>
      <c r="W503" s="12"/>
      <c r="X503" s="12"/>
      <c r="Y503" s="12"/>
      <c r="Z503" s="12"/>
    </row>
    <row r="504" customFormat="false" ht="15.75" hidden="false" customHeight="false" outlineLevel="0" collapsed="false">
      <c r="A504" s="12"/>
      <c r="B504" s="34"/>
      <c r="C504" s="12"/>
      <c r="D504" s="12"/>
      <c r="E504" s="12"/>
      <c r="F504" s="12"/>
      <c r="G504" s="18"/>
      <c r="H504" s="35"/>
      <c r="I504" s="35"/>
      <c r="J504" s="12"/>
      <c r="O504" s="12"/>
      <c r="P504" s="18"/>
      <c r="Q504" s="12"/>
      <c r="R504" s="12"/>
      <c r="S504" s="12"/>
      <c r="T504" s="36"/>
      <c r="U504" s="36"/>
      <c r="V504" s="12"/>
      <c r="W504" s="12"/>
      <c r="X504" s="12"/>
      <c r="Y504" s="12"/>
      <c r="Z504" s="12"/>
    </row>
    <row r="505" customFormat="false" ht="15.75" hidden="false" customHeight="false" outlineLevel="0" collapsed="false">
      <c r="A505" s="12"/>
      <c r="B505" s="34"/>
      <c r="C505" s="12"/>
      <c r="D505" s="12"/>
      <c r="E505" s="12"/>
      <c r="F505" s="12"/>
      <c r="G505" s="18"/>
      <c r="H505" s="35"/>
      <c r="I505" s="35"/>
      <c r="J505" s="12"/>
      <c r="O505" s="12"/>
      <c r="P505" s="18"/>
      <c r="Q505" s="12"/>
      <c r="R505" s="12"/>
      <c r="S505" s="12"/>
      <c r="T505" s="36"/>
      <c r="U505" s="36"/>
      <c r="V505" s="12"/>
      <c r="W505" s="12"/>
      <c r="X505" s="12"/>
      <c r="Y505" s="12"/>
      <c r="Z505" s="12"/>
    </row>
    <row r="506" customFormat="false" ht="15.75" hidden="false" customHeight="false" outlineLevel="0" collapsed="false">
      <c r="A506" s="12"/>
      <c r="B506" s="34"/>
      <c r="C506" s="12"/>
      <c r="D506" s="12"/>
      <c r="E506" s="12"/>
      <c r="F506" s="12"/>
      <c r="G506" s="18"/>
      <c r="H506" s="35"/>
      <c r="I506" s="35"/>
      <c r="J506" s="12"/>
      <c r="O506" s="12"/>
      <c r="P506" s="18"/>
      <c r="Q506" s="12"/>
      <c r="R506" s="12"/>
      <c r="S506" s="12"/>
      <c r="T506" s="36"/>
      <c r="U506" s="36"/>
      <c r="V506" s="12"/>
      <c r="W506" s="12"/>
      <c r="X506" s="12"/>
      <c r="Y506" s="12"/>
      <c r="Z506" s="12"/>
    </row>
    <row r="507" customFormat="false" ht="15.75" hidden="false" customHeight="false" outlineLevel="0" collapsed="false">
      <c r="A507" s="12"/>
      <c r="B507" s="34"/>
      <c r="C507" s="12"/>
      <c r="D507" s="12"/>
      <c r="E507" s="12"/>
      <c r="F507" s="12"/>
      <c r="G507" s="18"/>
      <c r="H507" s="35"/>
      <c r="I507" s="35"/>
      <c r="J507" s="12"/>
      <c r="O507" s="12"/>
      <c r="P507" s="18"/>
      <c r="Q507" s="12"/>
      <c r="R507" s="12"/>
      <c r="S507" s="12"/>
      <c r="T507" s="36"/>
      <c r="U507" s="36"/>
      <c r="V507" s="12"/>
      <c r="W507" s="12"/>
      <c r="X507" s="12"/>
      <c r="Y507" s="12"/>
      <c r="Z507" s="12"/>
    </row>
    <row r="508" customFormat="false" ht="15.75" hidden="false" customHeight="false" outlineLevel="0" collapsed="false">
      <c r="A508" s="12"/>
      <c r="B508" s="34"/>
      <c r="C508" s="12"/>
      <c r="D508" s="12"/>
      <c r="E508" s="12"/>
      <c r="F508" s="12"/>
      <c r="G508" s="18"/>
      <c r="H508" s="35"/>
      <c r="I508" s="35"/>
      <c r="J508" s="12"/>
      <c r="O508" s="12"/>
      <c r="P508" s="18"/>
      <c r="Q508" s="12"/>
      <c r="R508" s="12"/>
      <c r="S508" s="12"/>
      <c r="T508" s="36"/>
      <c r="U508" s="36"/>
      <c r="V508" s="12"/>
      <c r="W508" s="12"/>
      <c r="X508" s="12"/>
      <c r="Y508" s="12"/>
      <c r="Z508" s="12"/>
    </row>
    <row r="509" customFormat="false" ht="15.75" hidden="false" customHeight="false" outlineLevel="0" collapsed="false">
      <c r="A509" s="12"/>
      <c r="B509" s="34"/>
      <c r="C509" s="12"/>
      <c r="D509" s="12"/>
      <c r="E509" s="12"/>
      <c r="F509" s="12"/>
      <c r="G509" s="18"/>
      <c r="H509" s="35"/>
      <c r="I509" s="35"/>
      <c r="J509" s="12"/>
      <c r="O509" s="12"/>
      <c r="P509" s="18"/>
      <c r="Q509" s="12"/>
      <c r="R509" s="12"/>
      <c r="S509" s="12"/>
      <c r="T509" s="36"/>
      <c r="U509" s="36"/>
      <c r="V509" s="12"/>
      <c r="W509" s="12"/>
      <c r="X509" s="12"/>
      <c r="Y509" s="12"/>
      <c r="Z509" s="12"/>
    </row>
    <row r="510" customFormat="false" ht="15.75" hidden="false" customHeight="false" outlineLevel="0" collapsed="false">
      <c r="A510" s="12"/>
      <c r="B510" s="34"/>
      <c r="C510" s="12"/>
      <c r="D510" s="12"/>
      <c r="E510" s="12"/>
      <c r="F510" s="12"/>
      <c r="G510" s="18"/>
      <c r="H510" s="35"/>
      <c r="I510" s="35"/>
      <c r="J510" s="12"/>
      <c r="O510" s="12"/>
      <c r="P510" s="18"/>
      <c r="Q510" s="12"/>
      <c r="R510" s="12"/>
      <c r="S510" s="12"/>
      <c r="T510" s="36"/>
      <c r="U510" s="36"/>
      <c r="V510" s="12"/>
      <c r="W510" s="12"/>
      <c r="X510" s="12"/>
      <c r="Y510" s="12"/>
      <c r="Z510" s="12"/>
    </row>
    <row r="511" customFormat="false" ht="15.75" hidden="false" customHeight="false" outlineLevel="0" collapsed="false">
      <c r="A511" s="12"/>
      <c r="B511" s="34"/>
      <c r="C511" s="12"/>
      <c r="D511" s="12"/>
      <c r="E511" s="12"/>
      <c r="F511" s="12"/>
      <c r="G511" s="18"/>
      <c r="H511" s="35"/>
      <c r="I511" s="35"/>
      <c r="J511" s="12"/>
      <c r="O511" s="12"/>
      <c r="P511" s="18"/>
      <c r="Q511" s="12"/>
      <c r="R511" s="12"/>
      <c r="S511" s="12"/>
      <c r="T511" s="36"/>
      <c r="U511" s="36"/>
      <c r="V511" s="12"/>
      <c r="W511" s="12"/>
      <c r="X511" s="12"/>
      <c r="Y511" s="12"/>
      <c r="Z511" s="12"/>
    </row>
    <row r="512" customFormat="false" ht="15.75" hidden="false" customHeight="false" outlineLevel="0" collapsed="false">
      <c r="A512" s="12"/>
      <c r="B512" s="34"/>
      <c r="C512" s="12"/>
      <c r="D512" s="12"/>
      <c r="E512" s="12"/>
      <c r="F512" s="12"/>
      <c r="G512" s="18"/>
      <c r="H512" s="35"/>
      <c r="I512" s="35"/>
      <c r="J512" s="12"/>
      <c r="O512" s="12"/>
      <c r="P512" s="18"/>
      <c r="Q512" s="12"/>
      <c r="R512" s="12"/>
      <c r="S512" s="12"/>
      <c r="T512" s="36"/>
      <c r="U512" s="36"/>
      <c r="V512" s="12"/>
      <c r="W512" s="12"/>
      <c r="X512" s="12"/>
      <c r="Y512" s="12"/>
      <c r="Z512" s="12"/>
    </row>
    <row r="513" customFormat="false" ht="15.75" hidden="false" customHeight="false" outlineLevel="0" collapsed="false">
      <c r="A513" s="12"/>
      <c r="B513" s="34"/>
      <c r="C513" s="12"/>
      <c r="D513" s="12"/>
      <c r="E513" s="12"/>
      <c r="F513" s="12"/>
      <c r="G513" s="18"/>
      <c r="H513" s="35"/>
      <c r="I513" s="35"/>
      <c r="J513" s="12"/>
      <c r="O513" s="12"/>
      <c r="P513" s="18"/>
      <c r="Q513" s="12"/>
      <c r="R513" s="12"/>
      <c r="S513" s="12"/>
      <c r="T513" s="36"/>
      <c r="U513" s="36"/>
      <c r="V513" s="12"/>
      <c r="W513" s="12"/>
      <c r="X513" s="12"/>
      <c r="Y513" s="12"/>
      <c r="Z513" s="12"/>
    </row>
    <row r="514" customFormat="false" ht="15.75" hidden="false" customHeight="false" outlineLevel="0" collapsed="false">
      <c r="A514" s="12"/>
      <c r="B514" s="34"/>
      <c r="C514" s="12"/>
      <c r="D514" s="12"/>
      <c r="E514" s="12"/>
      <c r="F514" s="12"/>
      <c r="G514" s="18"/>
      <c r="H514" s="35"/>
      <c r="I514" s="35"/>
      <c r="J514" s="12"/>
      <c r="O514" s="12"/>
      <c r="P514" s="18"/>
      <c r="Q514" s="12"/>
      <c r="R514" s="12"/>
      <c r="S514" s="12"/>
      <c r="T514" s="36"/>
      <c r="U514" s="36"/>
      <c r="V514" s="12"/>
      <c r="W514" s="12"/>
      <c r="X514" s="12"/>
      <c r="Y514" s="12"/>
      <c r="Z514" s="12"/>
    </row>
    <row r="515" customFormat="false" ht="15.75" hidden="false" customHeight="false" outlineLevel="0" collapsed="false">
      <c r="A515" s="12"/>
      <c r="B515" s="34"/>
      <c r="C515" s="12"/>
      <c r="D515" s="12"/>
      <c r="E515" s="12"/>
      <c r="F515" s="12"/>
      <c r="G515" s="18"/>
      <c r="H515" s="35"/>
      <c r="I515" s="35"/>
      <c r="J515" s="12"/>
      <c r="O515" s="12"/>
      <c r="P515" s="18"/>
      <c r="Q515" s="12"/>
      <c r="R515" s="12"/>
      <c r="S515" s="12"/>
      <c r="T515" s="36"/>
      <c r="U515" s="36"/>
      <c r="V515" s="12"/>
      <c r="W515" s="12"/>
      <c r="X515" s="12"/>
      <c r="Y515" s="12"/>
      <c r="Z515" s="12"/>
    </row>
    <row r="516" customFormat="false" ht="15.75" hidden="false" customHeight="false" outlineLevel="0" collapsed="false">
      <c r="A516" s="12"/>
      <c r="B516" s="34"/>
      <c r="C516" s="12"/>
      <c r="D516" s="12"/>
      <c r="E516" s="12"/>
      <c r="F516" s="12"/>
      <c r="G516" s="18"/>
      <c r="H516" s="35"/>
      <c r="I516" s="35"/>
      <c r="J516" s="12"/>
      <c r="O516" s="12"/>
      <c r="P516" s="18"/>
      <c r="Q516" s="12"/>
      <c r="R516" s="12"/>
      <c r="S516" s="12"/>
      <c r="T516" s="36"/>
      <c r="U516" s="36"/>
      <c r="V516" s="12"/>
      <c r="W516" s="12"/>
      <c r="X516" s="12"/>
      <c r="Y516" s="12"/>
      <c r="Z516" s="12"/>
    </row>
    <row r="517" customFormat="false" ht="15.75" hidden="false" customHeight="false" outlineLevel="0" collapsed="false">
      <c r="A517" s="12"/>
      <c r="B517" s="34"/>
      <c r="C517" s="12"/>
      <c r="D517" s="12"/>
      <c r="E517" s="12"/>
      <c r="F517" s="12"/>
      <c r="G517" s="18"/>
      <c r="H517" s="35"/>
      <c r="I517" s="35"/>
      <c r="J517" s="12"/>
      <c r="O517" s="12"/>
      <c r="P517" s="18"/>
      <c r="Q517" s="12"/>
      <c r="R517" s="12"/>
      <c r="S517" s="12"/>
      <c r="T517" s="36"/>
      <c r="U517" s="36"/>
      <c r="V517" s="12"/>
      <c r="W517" s="12"/>
      <c r="X517" s="12"/>
      <c r="Y517" s="12"/>
      <c r="Z517" s="12"/>
    </row>
    <row r="518" customFormat="false" ht="15.75" hidden="false" customHeight="false" outlineLevel="0" collapsed="false">
      <c r="A518" s="12"/>
      <c r="B518" s="34"/>
      <c r="C518" s="12"/>
      <c r="D518" s="12"/>
      <c r="E518" s="12"/>
      <c r="F518" s="12"/>
      <c r="G518" s="18"/>
      <c r="H518" s="35"/>
      <c r="I518" s="35"/>
      <c r="J518" s="12"/>
      <c r="O518" s="12"/>
      <c r="P518" s="18"/>
      <c r="Q518" s="12"/>
      <c r="R518" s="12"/>
      <c r="S518" s="12"/>
      <c r="T518" s="36"/>
      <c r="U518" s="36"/>
      <c r="V518" s="12"/>
      <c r="W518" s="12"/>
      <c r="X518" s="12"/>
      <c r="Y518" s="12"/>
      <c r="Z518" s="12"/>
    </row>
    <row r="519" customFormat="false" ht="15.75" hidden="false" customHeight="false" outlineLevel="0" collapsed="false">
      <c r="A519" s="12"/>
      <c r="B519" s="34"/>
      <c r="C519" s="12"/>
      <c r="D519" s="12"/>
      <c r="E519" s="12"/>
      <c r="F519" s="12"/>
      <c r="G519" s="18"/>
      <c r="H519" s="35"/>
      <c r="I519" s="35"/>
      <c r="J519" s="12"/>
      <c r="O519" s="12"/>
      <c r="P519" s="18"/>
      <c r="Q519" s="12"/>
      <c r="R519" s="12"/>
      <c r="S519" s="12"/>
      <c r="T519" s="36"/>
      <c r="U519" s="36"/>
      <c r="V519" s="12"/>
      <c r="W519" s="12"/>
      <c r="X519" s="12"/>
      <c r="Y519" s="12"/>
      <c r="Z519" s="12"/>
    </row>
    <row r="520" customFormat="false" ht="15.75" hidden="false" customHeight="false" outlineLevel="0" collapsed="false">
      <c r="A520" s="12"/>
      <c r="B520" s="34"/>
      <c r="C520" s="12"/>
      <c r="D520" s="12"/>
      <c r="E520" s="12"/>
      <c r="F520" s="12"/>
      <c r="G520" s="18"/>
      <c r="H520" s="35"/>
      <c r="I520" s="35"/>
      <c r="J520" s="12"/>
      <c r="O520" s="12"/>
      <c r="P520" s="18"/>
      <c r="Q520" s="12"/>
      <c r="R520" s="12"/>
      <c r="S520" s="12"/>
      <c r="T520" s="36"/>
      <c r="U520" s="36"/>
      <c r="V520" s="12"/>
      <c r="W520" s="12"/>
      <c r="X520" s="12"/>
      <c r="Y520" s="12"/>
      <c r="Z520" s="12"/>
    </row>
    <row r="521" customFormat="false" ht="15.75" hidden="false" customHeight="false" outlineLevel="0" collapsed="false">
      <c r="A521" s="12"/>
      <c r="B521" s="34"/>
      <c r="C521" s="12"/>
      <c r="D521" s="12"/>
      <c r="E521" s="12"/>
      <c r="F521" s="12"/>
      <c r="G521" s="18"/>
      <c r="H521" s="35"/>
      <c r="I521" s="35"/>
      <c r="J521" s="12"/>
      <c r="O521" s="12"/>
      <c r="P521" s="18"/>
      <c r="Q521" s="12"/>
      <c r="R521" s="12"/>
      <c r="S521" s="12"/>
      <c r="T521" s="36"/>
      <c r="U521" s="36"/>
      <c r="V521" s="12"/>
      <c r="W521" s="12"/>
      <c r="X521" s="12"/>
      <c r="Y521" s="12"/>
      <c r="Z521" s="12"/>
    </row>
    <row r="522" customFormat="false" ht="15.75" hidden="false" customHeight="false" outlineLevel="0" collapsed="false">
      <c r="A522" s="12"/>
      <c r="B522" s="34"/>
      <c r="C522" s="12"/>
      <c r="D522" s="12"/>
      <c r="E522" s="12"/>
      <c r="F522" s="12"/>
      <c r="G522" s="18"/>
      <c r="H522" s="35"/>
      <c r="I522" s="35"/>
      <c r="J522" s="12"/>
      <c r="O522" s="12"/>
      <c r="P522" s="18"/>
      <c r="Q522" s="12"/>
      <c r="R522" s="12"/>
      <c r="S522" s="12"/>
      <c r="T522" s="36"/>
      <c r="U522" s="36"/>
      <c r="V522" s="12"/>
      <c r="W522" s="12"/>
      <c r="X522" s="12"/>
      <c r="Y522" s="12"/>
      <c r="Z522" s="12"/>
    </row>
    <row r="523" customFormat="false" ht="15.75" hidden="false" customHeight="false" outlineLevel="0" collapsed="false">
      <c r="A523" s="12"/>
      <c r="B523" s="34"/>
      <c r="C523" s="12"/>
      <c r="D523" s="12"/>
      <c r="E523" s="12"/>
      <c r="F523" s="12"/>
      <c r="G523" s="18"/>
      <c r="H523" s="35"/>
      <c r="I523" s="35"/>
      <c r="J523" s="12"/>
      <c r="O523" s="12"/>
      <c r="P523" s="18"/>
      <c r="Q523" s="12"/>
      <c r="R523" s="12"/>
      <c r="S523" s="12"/>
      <c r="T523" s="36"/>
      <c r="U523" s="36"/>
      <c r="V523" s="12"/>
      <c r="W523" s="12"/>
      <c r="X523" s="12"/>
      <c r="Y523" s="12"/>
      <c r="Z523" s="12"/>
    </row>
    <row r="524" customFormat="false" ht="15.75" hidden="false" customHeight="false" outlineLevel="0" collapsed="false">
      <c r="A524" s="12"/>
      <c r="B524" s="34"/>
      <c r="C524" s="12"/>
      <c r="D524" s="12"/>
      <c r="E524" s="12"/>
      <c r="F524" s="12"/>
      <c r="G524" s="18"/>
      <c r="H524" s="35"/>
      <c r="I524" s="35"/>
      <c r="J524" s="12"/>
      <c r="O524" s="12"/>
      <c r="P524" s="18"/>
      <c r="Q524" s="12"/>
      <c r="R524" s="12"/>
      <c r="S524" s="12"/>
      <c r="T524" s="36"/>
      <c r="U524" s="36"/>
      <c r="V524" s="12"/>
      <c r="W524" s="12"/>
      <c r="X524" s="12"/>
      <c r="Y524" s="12"/>
      <c r="Z524" s="12"/>
    </row>
    <row r="525" customFormat="false" ht="15.75" hidden="false" customHeight="false" outlineLevel="0" collapsed="false">
      <c r="A525" s="12"/>
      <c r="B525" s="34"/>
      <c r="C525" s="12"/>
      <c r="D525" s="12"/>
      <c r="E525" s="12"/>
      <c r="F525" s="12"/>
      <c r="G525" s="18"/>
      <c r="H525" s="35"/>
      <c r="I525" s="35"/>
      <c r="J525" s="12"/>
      <c r="O525" s="12"/>
      <c r="P525" s="18"/>
      <c r="Q525" s="12"/>
      <c r="R525" s="12"/>
      <c r="S525" s="12"/>
      <c r="T525" s="36"/>
      <c r="U525" s="36"/>
      <c r="V525" s="12"/>
      <c r="W525" s="12"/>
      <c r="X525" s="12"/>
      <c r="Y525" s="12"/>
      <c r="Z525" s="12"/>
    </row>
    <row r="526" customFormat="false" ht="15.75" hidden="false" customHeight="false" outlineLevel="0" collapsed="false">
      <c r="A526" s="12"/>
      <c r="B526" s="34"/>
      <c r="C526" s="12"/>
      <c r="D526" s="12"/>
      <c r="E526" s="12"/>
      <c r="F526" s="12"/>
      <c r="G526" s="18"/>
      <c r="H526" s="35"/>
      <c r="I526" s="35"/>
      <c r="J526" s="12"/>
      <c r="O526" s="12"/>
      <c r="P526" s="18"/>
      <c r="Q526" s="12"/>
      <c r="R526" s="12"/>
      <c r="S526" s="12"/>
      <c r="T526" s="36"/>
      <c r="U526" s="36"/>
      <c r="V526" s="12"/>
      <c r="W526" s="12"/>
      <c r="X526" s="12"/>
      <c r="Y526" s="12"/>
      <c r="Z526" s="12"/>
    </row>
    <row r="527" customFormat="false" ht="15.75" hidden="false" customHeight="false" outlineLevel="0" collapsed="false">
      <c r="A527" s="12"/>
      <c r="B527" s="34"/>
      <c r="C527" s="12"/>
      <c r="D527" s="12"/>
      <c r="E527" s="12"/>
      <c r="F527" s="12"/>
      <c r="G527" s="18"/>
      <c r="H527" s="35"/>
      <c r="I527" s="35"/>
      <c r="J527" s="12"/>
      <c r="O527" s="12"/>
      <c r="P527" s="18"/>
      <c r="Q527" s="12"/>
      <c r="R527" s="12"/>
      <c r="S527" s="12"/>
      <c r="T527" s="36"/>
      <c r="U527" s="36"/>
      <c r="V527" s="12"/>
      <c r="W527" s="12"/>
      <c r="X527" s="12"/>
      <c r="Y527" s="12"/>
      <c r="Z527" s="12"/>
    </row>
    <row r="528" customFormat="false" ht="15.75" hidden="false" customHeight="false" outlineLevel="0" collapsed="false">
      <c r="A528" s="12"/>
      <c r="B528" s="34"/>
      <c r="C528" s="12"/>
      <c r="D528" s="12"/>
      <c r="E528" s="12"/>
      <c r="F528" s="12"/>
      <c r="G528" s="18"/>
      <c r="H528" s="35"/>
      <c r="I528" s="35"/>
      <c r="J528" s="12"/>
      <c r="O528" s="12"/>
      <c r="P528" s="18"/>
      <c r="Q528" s="12"/>
      <c r="R528" s="12"/>
      <c r="S528" s="12"/>
      <c r="T528" s="36"/>
      <c r="U528" s="36"/>
      <c r="V528" s="12"/>
      <c r="W528" s="12"/>
      <c r="X528" s="12"/>
      <c r="Y528" s="12"/>
      <c r="Z528" s="12"/>
    </row>
    <row r="529" customFormat="false" ht="15.75" hidden="false" customHeight="false" outlineLevel="0" collapsed="false">
      <c r="A529" s="12"/>
      <c r="B529" s="34"/>
      <c r="C529" s="12"/>
      <c r="D529" s="12"/>
      <c r="E529" s="12"/>
      <c r="F529" s="12"/>
      <c r="G529" s="18"/>
      <c r="H529" s="35"/>
      <c r="I529" s="35"/>
      <c r="J529" s="12"/>
      <c r="O529" s="12"/>
      <c r="P529" s="18"/>
      <c r="Q529" s="12"/>
      <c r="R529" s="12"/>
      <c r="S529" s="12"/>
      <c r="T529" s="36"/>
      <c r="U529" s="36"/>
      <c r="V529" s="12"/>
      <c r="W529" s="12"/>
      <c r="X529" s="12"/>
      <c r="Y529" s="12"/>
      <c r="Z529" s="12"/>
    </row>
    <row r="530" customFormat="false" ht="15.75" hidden="false" customHeight="false" outlineLevel="0" collapsed="false">
      <c r="A530" s="12"/>
      <c r="B530" s="34"/>
      <c r="C530" s="12"/>
      <c r="D530" s="12"/>
      <c r="E530" s="12"/>
      <c r="F530" s="12"/>
      <c r="G530" s="18"/>
      <c r="H530" s="35"/>
      <c r="I530" s="35"/>
      <c r="J530" s="12"/>
      <c r="O530" s="12"/>
      <c r="P530" s="18"/>
      <c r="Q530" s="12"/>
      <c r="R530" s="12"/>
      <c r="S530" s="12"/>
      <c r="T530" s="36"/>
      <c r="U530" s="36"/>
      <c r="V530" s="12"/>
      <c r="W530" s="12"/>
      <c r="X530" s="12"/>
      <c r="Y530" s="12"/>
      <c r="Z530" s="12"/>
    </row>
    <row r="531" customFormat="false" ht="15.75" hidden="false" customHeight="false" outlineLevel="0" collapsed="false">
      <c r="A531" s="12"/>
      <c r="B531" s="34"/>
      <c r="C531" s="12"/>
      <c r="D531" s="12"/>
      <c r="E531" s="12"/>
      <c r="F531" s="12"/>
      <c r="G531" s="18"/>
      <c r="H531" s="35"/>
      <c r="I531" s="35"/>
      <c r="J531" s="12"/>
      <c r="O531" s="12"/>
      <c r="P531" s="18"/>
      <c r="Q531" s="12"/>
      <c r="R531" s="12"/>
      <c r="S531" s="12"/>
      <c r="T531" s="36"/>
      <c r="U531" s="36"/>
      <c r="V531" s="12"/>
      <c r="W531" s="12"/>
      <c r="X531" s="12"/>
      <c r="Y531" s="12"/>
      <c r="Z531" s="12"/>
    </row>
    <row r="532" customFormat="false" ht="15.75" hidden="false" customHeight="false" outlineLevel="0" collapsed="false">
      <c r="A532" s="12"/>
      <c r="B532" s="34"/>
      <c r="C532" s="12"/>
      <c r="D532" s="12"/>
      <c r="E532" s="12"/>
      <c r="F532" s="12"/>
      <c r="G532" s="18"/>
      <c r="H532" s="35"/>
      <c r="I532" s="35"/>
      <c r="J532" s="12"/>
      <c r="O532" s="12"/>
      <c r="P532" s="18"/>
      <c r="Q532" s="12"/>
      <c r="R532" s="12"/>
      <c r="S532" s="12"/>
      <c r="T532" s="36"/>
      <c r="U532" s="36"/>
      <c r="V532" s="12"/>
      <c r="W532" s="12"/>
      <c r="X532" s="12"/>
      <c r="Y532" s="12"/>
      <c r="Z532" s="12"/>
    </row>
    <row r="533" customFormat="false" ht="15.75" hidden="false" customHeight="false" outlineLevel="0" collapsed="false">
      <c r="A533" s="12"/>
      <c r="B533" s="34"/>
      <c r="C533" s="12"/>
      <c r="D533" s="12"/>
      <c r="E533" s="12"/>
      <c r="F533" s="12"/>
      <c r="G533" s="18"/>
      <c r="H533" s="35"/>
      <c r="I533" s="35"/>
      <c r="J533" s="12"/>
      <c r="O533" s="12"/>
      <c r="P533" s="18"/>
      <c r="Q533" s="12"/>
      <c r="R533" s="12"/>
      <c r="S533" s="12"/>
      <c r="T533" s="36"/>
      <c r="U533" s="36"/>
      <c r="V533" s="12"/>
      <c r="W533" s="12"/>
      <c r="X533" s="12"/>
      <c r="Y533" s="12"/>
      <c r="Z533" s="12"/>
    </row>
    <row r="534" customFormat="false" ht="15.75" hidden="false" customHeight="false" outlineLevel="0" collapsed="false">
      <c r="A534" s="12"/>
      <c r="B534" s="34"/>
      <c r="C534" s="12"/>
      <c r="D534" s="12"/>
      <c r="E534" s="12"/>
      <c r="F534" s="12"/>
      <c r="G534" s="18"/>
      <c r="H534" s="35"/>
      <c r="I534" s="35"/>
      <c r="J534" s="12"/>
      <c r="O534" s="12"/>
      <c r="P534" s="18"/>
      <c r="Q534" s="12"/>
      <c r="R534" s="12"/>
      <c r="S534" s="12"/>
      <c r="T534" s="36"/>
      <c r="U534" s="36"/>
      <c r="V534" s="12"/>
      <c r="W534" s="12"/>
      <c r="X534" s="12"/>
      <c r="Y534" s="12"/>
      <c r="Z534" s="12"/>
    </row>
    <row r="535" customFormat="false" ht="15.75" hidden="false" customHeight="false" outlineLevel="0" collapsed="false">
      <c r="A535" s="12"/>
      <c r="B535" s="34"/>
      <c r="C535" s="12"/>
      <c r="D535" s="12"/>
      <c r="E535" s="12"/>
      <c r="F535" s="12"/>
      <c r="G535" s="18"/>
      <c r="H535" s="35"/>
      <c r="I535" s="35"/>
      <c r="J535" s="12"/>
      <c r="O535" s="12"/>
      <c r="P535" s="18"/>
      <c r="Q535" s="12"/>
      <c r="R535" s="12"/>
      <c r="S535" s="12"/>
      <c r="T535" s="36"/>
      <c r="U535" s="36"/>
      <c r="V535" s="12"/>
      <c r="W535" s="12"/>
      <c r="X535" s="12"/>
      <c r="Y535" s="12"/>
      <c r="Z535" s="12"/>
    </row>
    <row r="536" customFormat="false" ht="15.75" hidden="false" customHeight="false" outlineLevel="0" collapsed="false">
      <c r="A536" s="12"/>
      <c r="B536" s="34"/>
      <c r="C536" s="12"/>
      <c r="D536" s="12"/>
      <c r="E536" s="12"/>
      <c r="F536" s="12"/>
      <c r="G536" s="18"/>
      <c r="H536" s="35"/>
      <c r="I536" s="35"/>
      <c r="J536" s="12"/>
      <c r="O536" s="12"/>
      <c r="P536" s="18"/>
      <c r="Q536" s="12"/>
      <c r="R536" s="12"/>
      <c r="S536" s="12"/>
      <c r="T536" s="36"/>
      <c r="U536" s="36"/>
      <c r="V536" s="12"/>
      <c r="W536" s="12"/>
      <c r="X536" s="12"/>
      <c r="Y536" s="12"/>
      <c r="Z536" s="12"/>
    </row>
    <row r="537" customFormat="false" ht="15.75" hidden="false" customHeight="false" outlineLevel="0" collapsed="false">
      <c r="A537" s="12"/>
      <c r="B537" s="34"/>
      <c r="C537" s="12"/>
      <c r="D537" s="12"/>
      <c r="E537" s="12"/>
      <c r="F537" s="12"/>
      <c r="G537" s="18"/>
      <c r="H537" s="35"/>
      <c r="I537" s="35"/>
      <c r="J537" s="12"/>
      <c r="O537" s="12"/>
      <c r="P537" s="18"/>
      <c r="Q537" s="12"/>
      <c r="R537" s="12"/>
      <c r="S537" s="12"/>
      <c r="T537" s="36"/>
      <c r="U537" s="36"/>
      <c r="V537" s="12"/>
      <c r="W537" s="12"/>
      <c r="X537" s="12"/>
      <c r="Y537" s="12"/>
      <c r="Z537" s="12"/>
    </row>
    <row r="538" customFormat="false" ht="15.75" hidden="false" customHeight="false" outlineLevel="0" collapsed="false">
      <c r="A538" s="12"/>
      <c r="B538" s="34"/>
      <c r="C538" s="12"/>
      <c r="D538" s="12"/>
      <c r="E538" s="12"/>
      <c r="F538" s="12"/>
      <c r="G538" s="18"/>
      <c r="H538" s="35"/>
      <c r="I538" s="35"/>
      <c r="J538" s="12"/>
      <c r="O538" s="12"/>
      <c r="P538" s="18"/>
      <c r="Q538" s="12"/>
      <c r="R538" s="12"/>
      <c r="S538" s="12"/>
      <c r="T538" s="36"/>
      <c r="U538" s="36"/>
      <c r="V538" s="12"/>
      <c r="W538" s="12"/>
      <c r="X538" s="12"/>
      <c r="Y538" s="12"/>
      <c r="Z538" s="12"/>
    </row>
    <row r="539" customFormat="false" ht="15.75" hidden="false" customHeight="false" outlineLevel="0" collapsed="false">
      <c r="A539" s="12"/>
      <c r="B539" s="34"/>
      <c r="C539" s="12"/>
      <c r="D539" s="12"/>
      <c r="E539" s="12"/>
      <c r="F539" s="12"/>
      <c r="G539" s="18"/>
      <c r="H539" s="35"/>
      <c r="I539" s="35"/>
      <c r="J539" s="12"/>
      <c r="O539" s="12"/>
      <c r="P539" s="18"/>
      <c r="Q539" s="12"/>
      <c r="R539" s="12"/>
      <c r="S539" s="12"/>
      <c r="T539" s="36"/>
      <c r="U539" s="36"/>
      <c r="V539" s="12"/>
      <c r="W539" s="12"/>
      <c r="X539" s="12"/>
      <c r="Y539" s="12"/>
      <c r="Z539" s="12"/>
    </row>
    <row r="540" customFormat="false" ht="15.75" hidden="false" customHeight="false" outlineLevel="0" collapsed="false">
      <c r="A540" s="12"/>
      <c r="B540" s="34"/>
      <c r="C540" s="12"/>
      <c r="D540" s="12"/>
      <c r="E540" s="12"/>
      <c r="F540" s="12"/>
      <c r="G540" s="18"/>
      <c r="H540" s="35"/>
      <c r="I540" s="35"/>
      <c r="J540" s="12"/>
      <c r="O540" s="12"/>
      <c r="P540" s="18"/>
      <c r="Q540" s="12"/>
      <c r="R540" s="12"/>
      <c r="S540" s="12"/>
      <c r="T540" s="36"/>
      <c r="U540" s="36"/>
      <c r="V540" s="12"/>
      <c r="W540" s="12"/>
      <c r="X540" s="12"/>
      <c r="Y540" s="12"/>
      <c r="Z540" s="12"/>
    </row>
    <row r="541" customFormat="false" ht="15.75" hidden="false" customHeight="false" outlineLevel="0" collapsed="false">
      <c r="A541" s="12"/>
      <c r="B541" s="34"/>
      <c r="C541" s="12"/>
      <c r="D541" s="12"/>
      <c r="E541" s="12"/>
      <c r="F541" s="12"/>
      <c r="G541" s="18"/>
      <c r="H541" s="35"/>
      <c r="I541" s="35"/>
      <c r="J541" s="12"/>
      <c r="O541" s="12"/>
      <c r="P541" s="18"/>
      <c r="Q541" s="12"/>
      <c r="R541" s="12"/>
      <c r="S541" s="12"/>
      <c r="T541" s="36"/>
      <c r="U541" s="36"/>
      <c r="V541" s="12"/>
      <c r="W541" s="12"/>
      <c r="X541" s="12"/>
      <c r="Y541" s="12"/>
      <c r="Z541" s="12"/>
    </row>
    <row r="542" customFormat="false" ht="15.75" hidden="false" customHeight="false" outlineLevel="0" collapsed="false">
      <c r="A542" s="12"/>
      <c r="B542" s="34"/>
      <c r="C542" s="12"/>
      <c r="D542" s="12"/>
      <c r="E542" s="12"/>
      <c r="F542" s="12"/>
      <c r="G542" s="18"/>
      <c r="H542" s="35"/>
      <c r="I542" s="35"/>
      <c r="J542" s="12"/>
      <c r="O542" s="12"/>
      <c r="P542" s="18"/>
      <c r="Q542" s="12"/>
      <c r="R542" s="12"/>
      <c r="S542" s="12"/>
      <c r="T542" s="36"/>
      <c r="U542" s="36"/>
      <c r="V542" s="12"/>
      <c r="W542" s="12"/>
      <c r="X542" s="12"/>
      <c r="Y542" s="12"/>
      <c r="Z542" s="12"/>
    </row>
    <row r="543" customFormat="false" ht="15.75" hidden="false" customHeight="false" outlineLevel="0" collapsed="false">
      <c r="A543" s="12"/>
      <c r="B543" s="34"/>
      <c r="C543" s="12"/>
      <c r="D543" s="12"/>
      <c r="E543" s="12"/>
      <c r="F543" s="12"/>
      <c r="G543" s="18"/>
      <c r="H543" s="35"/>
      <c r="I543" s="35"/>
      <c r="J543" s="12"/>
      <c r="O543" s="12"/>
      <c r="P543" s="18"/>
      <c r="Q543" s="12"/>
      <c r="R543" s="12"/>
      <c r="S543" s="12"/>
      <c r="T543" s="36"/>
      <c r="U543" s="36"/>
      <c r="V543" s="12"/>
      <c r="W543" s="12"/>
      <c r="X543" s="12"/>
      <c r="Y543" s="12"/>
      <c r="Z543" s="12"/>
    </row>
    <row r="544" customFormat="false" ht="15.75" hidden="false" customHeight="false" outlineLevel="0" collapsed="false">
      <c r="A544" s="12"/>
      <c r="B544" s="34"/>
      <c r="C544" s="12"/>
      <c r="D544" s="12"/>
      <c r="E544" s="12"/>
      <c r="F544" s="12"/>
      <c r="G544" s="18"/>
      <c r="H544" s="35"/>
      <c r="I544" s="35"/>
      <c r="J544" s="12"/>
      <c r="O544" s="12"/>
      <c r="P544" s="18"/>
      <c r="Q544" s="12"/>
      <c r="R544" s="12"/>
      <c r="S544" s="12"/>
      <c r="T544" s="36"/>
      <c r="U544" s="36"/>
      <c r="V544" s="12"/>
      <c r="W544" s="12"/>
      <c r="X544" s="12"/>
      <c r="Y544" s="12"/>
      <c r="Z544" s="12"/>
    </row>
    <row r="545" customFormat="false" ht="15.75" hidden="false" customHeight="false" outlineLevel="0" collapsed="false">
      <c r="A545" s="12"/>
      <c r="B545" s="34"/>
      <c r="C545" s="12"/>
      <c r="D545" s="12"/>
      <c r="E545" s="12"/>
      <c r="F545" s="12"/>
      <c r="G545" s="18"/>
      <c r="H545" s="35"/>
      <c r="I545" s="35"/>
      <c r="J545" s="12"/>
      <c r="O545" s="12"/>
      <c r="P545" s="18"/>
      <c r="Q545" s="12"/>
      <c r="R545" s="12"/>
      <c r="S545" s="12"/>
      <c r="T545" s="36"/>
      <c r="U545" s="36"/>
      <c r="V545" s="12"/>
      <c r="W545" s="12"/>
      <c r="X545" s="12"/>
      <c r="Y545" s="12"/>
      <c r="Z545" s="12"/>
    </row>
    <row r="546" customFormat="false" ht="15.75" hidden="false" customHeight="false" outlineLevel="0" collapsed="false">
      <c r="A546" s="12"/>
      <c r="B546" s="34"/>
      <c r="C546" s="12"/>
      <c r="D546" s="12"/>
      <c r="E546" s="12"/>
      <c r="F546" s="12"/>
      <c r="G546" s="18"/>
      <c r="H546" s="35"/>
      <c r="I546" s="35"/>
      <c r="J546" s="12"/>
      <c r="O546" s="12"/>
      <c r="P546" s="18"/>
      <c r="Q546" s="12"/>
      <c r="R546" s="12"/>
      <c r="S546" s="12"/>
      <c r="T546" s="36"/>
      <c r="U546" s="36"/>
      <c r="V546" s="12"/>
      <c r="W546" s="12"/>
      <c r="X546" s="12"/>
      <c r="Y546" s="12"/>
      <c r="Z546" s="12"/>
    </row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AH69"/>
  <conditionalFormatting sqref="T2:U546">
    <cfRule type="expression" priority="2" aboveAverage="0" equalAverage="0" bottom="0" percent="0" rank="0" text="" dxfId="0">
      <formula>LEN(TRIM(T2))&gt;0</formula>
    </cfRule>
  </conditionalFormatting>
  <conditionalFormatting sqref="S2:S546">
    <cfRule type="expression" priority="3" aboveAverage="0" equalAverage="0" bottom="0" percent="0" rank="0" text="" dxfId="0">
      <formula>LEN(TRIM(S2))&gt;0</formula>
    </cfRule>
  </conditionalFormatting>
  <conditionalFormatting sqref="G2:G546 P2:P546">
    <cfRule type="containsText" priority="4" operator="containsText" aboveAverage="0" equalAverage="0" bottom="0" percent="0" rank="0" text="x" dxfId="0">
      <formula>NOT(ISERROR(SEARCH("x",G2)))</formula>
    </cfRule>
  </conditionalFormatting>
  <conditionalFormatting sqref="Y2:Y546">
    <cfRule type="expression" priority="5" aboveAverage="0" equalAverage="0" bottom="0" percent="0" rank="0" text="" dxfId="0">
      <formula>LEN(TRIM(Y2))&gt;0</formula>
    </cfRule>
  </conditionalFormatting>
  <conditionalFormatting sqref="Z2:Z546">
    <cfRule type="cellIs" priority="6" operator="equal" aboveAverage="0" equalAverage="0" bottom="0" percent="0" rank="0" text="" dxfId="0">
      <formula>"Completo"</formula>
    </cfRule>
    <cfRule type="cellIs" priority="7" operator="equal" aboveAverage="0" equalAverage="0" bottom="0" percent="0" rank="0" text="" dxfId="1">
      <formula>"No aplica"</formula>
    </cfRule>
  </conditionalFormatting>
  <conditionalFormatting sqref="G2:J546 Q2:R546 W2:X546 Z2:Z546">
    <cfRule type="cellIs" priority="8" operator="equal" aboveAverage="0" equalAverage="0" bottom="0" percent="0" rank="0" text="" dxfId="0">
      <formula>"Completo"</formula>
    </cfRule>
    <cfRule type="cellIs" priority="9" operator="equal" aboveAverage="0" equalAverage="0" bottom="0" percent="0" rank="0" text="" dxfId="1">
      <formula>"No Aplica"</formula>
    </cfRule>
  </conditionalFormatting>
  <conditionalFormatting sqref="V2:V45">
    <cfRule type="cellIs" priority="10" operator="equal" aboveAverage="0" equalAverage="0" bottom="0" percent="0" rank="0" text="" dxfId="1">
      <formula>"No Aplica"</formula>
    </cfRule>
  </conditionalFormatting>
  <conditionalFormatting sqref="V2:V69">
    <cfRule type="containsText" priority="11" operator="containsText" aboveAverage="0" equalAverage="0" bottom="0" percent="0" rank="0" text="Fernando Heredia" dxfId="0">
      <formula>NOT(ISERROR(SEARCH("Fernando Heredia",V2)))</formula>
    </cfRule>
    <cfRule type="containsText" priority="12" operator="containsText" aboveAverage="0" equalAverage="0" bottom="0" percent="0" rank="0" text="Llampa Marcial" dxfId="0">
      <formula>NOT(ISERROR(SEARCH("Llampa Marcial",V2)))</formula>
    </cfRule>
    <cfRule type="containsText" priority="13" operator="containsText" aboveAverage="0" equalAverage="0" bottom="0" percent="0" rank="0" text="Oficina Tecnica" dxfId="13">
      <formula>NOT(ISERROR(SEARCH("Oficina Tecnica",V2)))</formula>
    </cfRule>
  </conditionalFormatting>
  <dataValidations count="6">
    <dataValidation allowBlank="true" errorStyle="stop" operator="between" showDropDown="false" showErrorMessage="true" showInputMessage="false" sqref="AA2:AA69" type="list">
      <formula1>"Aceptada,En espera,Rechazada,No aplica"</formula1>
      <formula2>0</formula2>
    </dataValidation>
    <dataValidation allowBlank="true" errorStyle="stop" operator="between" showDropDown="false" showErrorMessage="false" showInputMessage="false" sqref="T2:T546" type="list">
      <formula1>LEYENDA!$A$15:$A$21</formula1>
      <formula2>0</formula2>
    </dataValidation>
    <dataValidation allowBlank="true" errorStyle="stop" operator="between" showDropDown="false" showErrorMessage="true" showInputMessage="false" sqref="D2:D546" type="list">
      <formula1>LEYENDA!$B$2:$D$2</formula1>
      <formula2>0</formula2>
    </dataValidation>
    <dataValidation allowBlank="true" errorStyle="stop" operator="between" showDropDown="false" showErrorMessage="false" showInputMessage="false" sqref="V2:V546" type="list">
      <formula1>LEYENDA!$A$23:$A$26</formula1>
      <formula2>0</formula2>
    </dataValidation>
    <dataValidation allowBlank="true" errorStyle="stop" operator="between" showDropDown="false" showErrorMessage="true" showInputMessage="false" sqref="H2:J546 Q2:R546 W2:X546 Z2:Z546" type="list">
      <formula1>LEYENDA!$B$1:$C$1</formula1>
      <formula2>0</formula2>
    </dataValidation>
    <dataValidation allowBlank="true" errorStyle="stop" operator="between" showDropDown="false" showErrorMessage="false" showInputMessage="false" sqref="E2:E546" type="list">
      <formula1>LEYENDA!$A$8:$A$12</formula1>
      <formula2>0</formula2>
    </dataValidation>
  </dataValidations>
  <hyperlinks>
    <hyperlink ref="H2" r:id="rId1" display="Completo"/>
    <hyperlink ref="W2" r:id="rId2" display="Completo"/>
    <hyperlink ref="X2" r:id="rId3" display="Completo"/>
    <hyperlink ref="H3" r:id="rId4" display="Completo"/>
    <hyperlink ref="R3" r:id="rId5" display="Completo"/>
    <hyperlink ref="W3" r:id="rId6" display="Completo"/>
    <hyperlink ref="X3" r:id="rId7" display="Completo"/>
    <hyperlink ref="H5" r:id="rId8" display="Completo"/>
    <hyperlink ref="W5" r:id="rId9" display="Completo"/>
    <hyperlink ref="X5" r:id="rId10" display="Completo"/>
    <hyperlink ref="H7" r:id="rId11" display="Completo"/>
    <hyperlink ref="W7" r:id="rId12" display="Completo"/>
    <hyperlink ref="X7" r:id="rId13" display="Completo"/>
    <hyperlink ref="H10" r:id="rId14" display="Completo"/>
    <hyperlink ref="H11" r:id="rId15" display="Completo"/>
    <hyperlink ref="H12" r:id="rId16" display="Completo"/>
    <hyperlink ref="H15" r:id="rId17" display="Completo"/>
    <hyperlink ref="H16" r:id="rId18" display="Completo"/>
    <hyperlink ref="H17" r:id="rId19" display="Completo"/>
    <hyperlink ref="H18" r:id="rId20" display="Completo"/>
    <hyperlink ref="H19" r:id="rId21" display="Completo"/>
    <hyperlink ref="H20" r:id="rId22" display="Completo"/>
    <hyperlink ref="H21" r:id="rId23" display="Completo"/>
    <hyperlink ref="R21" r:id="rId24" display="Completo"/>
    <hyperlink ref="W21" r:id="rId25" display="Completo"/>
    <hyperlink ref="X21" r:id="rId26" display="Completo"/>
    <hyperlink ref="H22" r:id="rId27" display="Completo"/>
    <hyperlink ref="H23" r:id="rId28" display="Completo"/>
    <hyperlink ref="W23" r:id="rId29" display="Completo"/>
    <hyperlink ref="X23" r:id="rId30" display="Completo"/>
    <hyperlink ref="H24" r:id="rId31" display="Completo"/>
    <hyperlink ref="W24" r:id="rId32" display="Completo"/>
    <hyperlink ref="X24" r:id="rId33" display="Completo"/>
    <hyperlink ref="H25" r:id="rId34" display="Completo"/>
    <hyperlink ref="W25" r:id="rId35" display="Completo"/>
    <hyperlink ref="X25" r:id="rId36" display="Completo"/>
    <hyperlink ref="H26" r:id="rId37" display="Completo"/>
    <hyperlink ref="W26" r:id="rId38" display="Completo"/>
    <hyperlink ref="X26" r:id="rId39" display="Completo"/>
    <hyperlink ref="H29" r:id="rId40" display="Completo"/>
    <hyperlink ref="H30" r:id="rId41" display="Completo"/>
    <hyperlink ref="H31" r:id="rId42" display="Completo"/>
    <hyperlink ref="R31" r:id="rId43" display="Completo"/>
    <hyperlink ref="H32" r:id="rId44" display="Completo"/>
    <hyperlink ref="W32" r:id="rId45" display="Completo"/>
    <hyperlink ref="H33" r:id="rId46" display="Completo"/>
    <hyperlink ref="R33" r:id="rId47" display="Completo"/>
    <hyperlink ref="W33" r:id="rId48" display="Completo"/>
    <hyperlink ref="X33" r:id="rId49" display="Completo"/>
    <hyperlink ref="H34" r:id="rId50" display="Completo"/>
    <hyperlink ref="R34" r:id="rId51" display="Completo"/>
    <hyperlink ref="W34" r:id="rId52" display="Completo"/>
    <hyperlink ref="X34" r:id="rId53" display="Completo"/>
    <hyperlink ref="H35" r:id="rId54" display="Completo"/>
    <hyperlink ref="R35" r:id="rId55" display="Completo"/>
    <hyperlink ref="W35" r:id="rId56" display="Completo"/>
    <hyperlink ref="X35" r:id="rId57" display="Completo"/>
    <hyperlink ref="H36" r:id="rId58" display="Completo"/>
    <hyperlink ref="R36" r:id="rId59" display="Completo"/>
    <hyperlink ref="W36" r:id="rId60" display="Completo"/>
    <hyperlink ref="X36" r:id="rId61" display="Completo"/>
    <hyperlink ref="H37" r:id="rId62" display="Completo"/>
    <hyperlink ref="R37" r:id="rId63" display="Completo"/>
    <hyperlink ref="W37" r:id="rId64" display="Completo"/>
    <hyperlink ref="X37" r:id="rId65" display="Completo"/>
    <hyperlink ref="H40" r:id="rId66" display="Completo"/>
    <hyperlink ref="J40" r:id="rId67" display="Completo"/>
    <hyperlink ref="H41" r:id="rId68" display="Completo"/>
    <hyperlink ref="X41" r:id="rId69" display="Completo"/>
    <hyperlink ref="R42" r:id="rId70" display="Completo"/>
    <hyperlink ref="W42" r:id="rId71" display="Completo"/>
    <hyperlink ref="X42" r:id="rId72" display="Completo"/>
    <hyperlink ref="H43" r:id="rId73" display="Completo"/>
    <hyperlink ref="J43" r:id="rId74" display="Completo"/>
    <hyperlink ref="R43" r:id="rId75" display="Completo"/>
    <hyperlink ref="H44" r:id="rId76" display="Completo"/>
    <hyperlink ref="H45" r:id="rId77" display="Completo"/>
  </hyperlinks>
  <printOptions headings="false" gridLines="true" gridLinesSet="true" horizontalCentered="true" verticalCentered="false"/>
  <pageMargins left="0.7" right="0.7" top="0.75" bottom="0.75" header="0.511811023622047" footer="0.511811023622047"/>
  <pageSetup paperSize="9" scale="100" fitToWidth="1" fitToHeight="0" pageOrder="overThenDown" orientation="landscape" blackAndWhite="false" draft="false" cellComments="none" horizontalDpi="300" verticalDpi="300" copies="1"/>
  <headerFooter differentFirst="false" differentOddEven="false">
    <oddHeader/>
    <oddFooter/>
  </headerFooter>
  <drawing r:id="rId78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XFD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7" ySplit="3" topLeftCell="H4" activePane="bottomRight" state="frozen"/>
      <selection pane="topLeft" activeCell="A1" activeCellId="0" sqref="A1"/>
      <selection pane="topRight" activeCell="H1" activeCellId="0" sqref="H1"/>
      <selection pane="bottomLeft" activeCell="A4" activeCellId="0" sqref="A4"/>
      <selection pane="bottomRight" activeCell="H1" activeCellId="0" sqref="H1"/>
    </sheetView>
  </sheetViews>
  <sheetFormatPr defaultColWidth="12.6328125" defaultRowHeight="15.75" zeroHeight="false" outlineLevelRow="0" outlineLevelCol="0"/>
  <cols>
    <col collapsed="false" customWidth="true" hidden="false" outlineLevel="0" max="1" min="1" style="1" width="10.25"/>
    <col collapsed="false" customWidth="true" hidden="false" outlineLevel="0" max="2" min="2" style="1" width="10.38"/>
    <col collapsed="false" customWidth="true" hidden="false" outlineLevel="0" max="5" min="3" style="1" width="16.38"/>
    <col collapsed="false" customWidth="true" hidden="false" outlineLevel="0" max="6" min="6" style="1" width="31.75"/>
    <col collapsed="false" customWidth="true" hidden="false" outlineLevel="0" max="7" min="7" style="1" width="14.13"/>
    <col collapsed="false" customWidth="true" hidden="false" outlineLevel="0" max="9" min="8" style="1" width="10.13"/>
    <col collapsed="false" customWidth="true" hidden="false" outlineLevel="0" max="10" min="10" style="1" width="12.88"/>
    <col collapsed="false" customWidth="true" hidden="false" outlineLevel="0" max="12" min="11" style="1" width="12"/>
    <col collapsed="false" customWidth="true" hidden="false" outlineLevel="0" max="13" min="13" style="1" width="10"/>
    <col collapsed="false" customWidth="true" hidden="false" outlineLevel="0" max="14" min="14" style="1" width="12.25"/>
    <col collapsed="false" customWidth="true" hidden="false" outlineLevel="0" max="15" min="15" style="1" width="26.12"/>
    <col collapsed="false" customWidth="true" hidden="true" outlineLevel="0" max="16" min="16" style="1" width="18"/>
    <col collapsed="false" customWidth="true" hidden="false" outlineLevel="0" max="18" min="17" style="1" width="10.63"/>
    <col collapsed="false" customWidth="true" hidden="false" outlineLevel="0" max="19" min="19" style="1" width="8.5"/>
    <col collapsed="false" customWidth="true" hidden="false" outlineLevel="0" max="21" min="21" style="1" width="25.38"/>
    <col collapsed="false" customWidth="true" hidden="false" outlineLevel="0" max="22" min="22" style="1" width="18.13"/>
    <col collapsed="false" customWidth="true" hidden="false" outlineLevel="0" max="23" min="23" style="1" width="10.13"/>
    <col collapsed="false" customWidth="true" hidden="false" outlineLevel="0" max="24" min="24" style="1" width="11.38"/>
    <col collapsed="false" customWidth="true" hidden="false" outlineLevel="0" max="25" min="25" style="1" width="24.38"/>
    <col collapsed="false" customWidth="true" hidden="false" outlineLevel="0" max="16384" min="16384" style="1" width="11.53"/>
  </cols>
  <sheetData>
    <row r="1" customFormat="false" ht="42.5" hidden="false" customHeight="false" outlineLevel="0" collapsed="false">
      <c r="A1" s="2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/>
      <c r="J1" s="4" t="s">
        <v>8</v>
      </c>
      <c r="K1" s="2"/>
      <c r="L1" s="2" t="s">
        <v>9</v>
      </c>
      <c r="M1" s="2" t="s">
        <v>10</v>
      </c>
      <c r="N1" s="4" t="s">
        <v>11</v>
      </c>
      <c r="O1" s="3" t="s">
        <v>12</v>
      </c>
      <c r="P1" s="7" t="s">
        <v>13</v>
      </c>
      <c r="Q1" s="7" t="s">
        <v>14</v>
      </c>
      <c r="R1" s="7" t="s">
        <v>15</v>
      </c>
      <c r="S1" s="7" t="s">
        <v>16</v>
      </c>
      <c r="T1" s="7" t="s">
        <v>17</v>
      </c>
      <c r="U1" s="8" t="s">
        <v>18</v>
      </c>
      <c r="V1" s="9" t="s">
        <v>19</v>
      </c>
      <c r="W1" s="9" t="s">
        <v>20</v>
      </c>
      <c r="X1" s="10" t="s">
        <v>15</v>
      </c>
      <c r="Y1" s="11" t="s">
        <v>21</v>
      </c>
      <c r="Z1" s="11" t="s">
        <v>22</v>
      </c>
      <c r="AA1" s="12"/>
      <c r="AB1" s="12"/>
      <c r="AC1" s="12"/>
      <c r="AD1" s="12"/>
      <c r="AE1" s="12"/>
      <c r="AF1" s="12"/>
      <c r="XFD1" s="0"/>
    </row>
    <row r="2" customFormat="false" ht="15.75" hidden="false" customHeight="false" outlineLevel="0" collapsed="false">
      <c r="A2" s="19" t="n">
        <v>7878</v>
      </c>
      <c r="B2" s="14" t="n">
        <v>45385</v>
      </c>
      <c r="C2" s="21" t="s">
        <v>773</v>
      </c>
      <c r="D2" s="21" t="s">
        <v>24</v>
      </c>
      <c r="E2" s="21" t="s">
        <v>25</v>
      </c>
      <c r="F2" s="16" t="s">
        <v>774</v>
      </c>
      <c r="G2" s="16" t="s">
        <v>775</v>
      </c>
      <c r="H2" s="17" t="s">
        <v>28</v>
      </c>
      <c r="I2" s="16"/>
      <c r="J2" s="16" t="s">
        <v>28</v>
      </c>
      <c r="K2" s="16" t="s">
        <v>29</v>
      </c>
      <c r="L2" s="16" t="s">
        <v>29</v>
      </c>
      <c r="M2" s="16" t="s">
        <v>29</v>
      </c>
      <c r="N2" s="16" t="n">
        <v>8767</v>
      </c>
      <c r="O2" s="16"/>
      <c r="P2" s="16"/>
      <c r="Q2" s="16"/>
      <c r="R2" s="16"/>
      <c r="S2" s="16"/>
      <c r="T2" s="16"/>
      <c r="U2" s="16"/>
      <c r="V2" s="16" t="s">
        <v>74</v>
      </c>
      <c r="W2" s="17" t="s">
        <v>28</v>
      </c>
      <c r="X2" s="17" t="s">
        <v>28</v>
      </c>
      <c r="Y2" s="16" t="s">
        <v>36</v>
      </c>
      <c r="Z2" s="16" t="s">
        <v>28</v>
      </c>
      <c r="AA2" s="12" t="s">
        <v>32</v>
      </c>
    </row>
    <row r="3" customFormat="false" ht="15.75" hidden="false" customHeight="false" outlineLevel="0" collapsed="false">
      <c r="A3" s="19" t="n">
        <v>7879</v>
      </c>
      <c r="B3" s="14" t="n">
        <v>45385</v>
      </c>
      <c r="C3" s="21" t="s">
        <v>776</v>
      </c>
      <c r="D3" s="21" t="s">
        <v>24</v>
      </c>
      <c r="E3" s="21" t="s">
        <v>34</v>
      </c>
      <c r="F3" s="16" t="s">
        <v>777</v>
      </c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 t="s">
        <v>37</v>
      </c>
      <c r="AA3" s="12" t="s">
        <v>40</v>
      </c>
    </row>
    <row r="4" customFormat="false" ht="15.75" hidden="false" customHeight="false" outlineLevel="0" collapsed="false">
      <c r="A4" s="19" t="n">
        <v>7880</v>
      </c>
      <c r="B4" s="14" t="n">
        <v>45385</v>
      </c>
      <c r="C4" s="16" t="s">
        <v>776</v>
      </c>
      <c r="D4" s="16" t="s">
        <v>24</v>
      </c>
      <c r="E4" s="16" t="s">
        <v>34</v>
      </c>
      <c r="F4" s="16" t="s">
        <v>777</v>
      </c>
      <c r="G4" s="16"/>
      <c r="H4" s="16"/>
      <c r="I4" s="16"/>
      <c r="J4" s="16"/>
      <c r="K4" s="16"/>
      <c r="L4" s="16"/>
      <c r="M4" s="16"/>
      <c r="N4" s="23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 t="s">
        <v>37</v>
      </c>
      <c r="AA4" s="12" t="s">
        <v>40</v>
      </c>
    </row>
    <row r="5" customFormat="false" ht="15.75" hidden="false" customHeight="false" outlineLevel="0" collapsed="false">
      <c r="A5" s="19" t="n">
        <v>7881</v>
      </c>
      <c r="B5" s="14" t="n">
        <v>45385</v>
      </c>
      <c r="C5" s="16" t="s">
        <v>778</v>
      </c>
      <c r="D5" s="16" t="s">
        <v>24</v>
      </c>
      <c r="E5" s="16" t="s">
        <v>34</v>
      </c>
      <c r="F5" s="16" t="s">
        <v>779</v>
      </c>
      <c r="G5" s="16"/>
      <c r="H5" s="16" t="s">
        <v>37</v>
      </c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 t="s">
        <v>28</v>
      </c>
      <c r="AA5" s="12" t="s">
        <v>32</v>
      </c>
    </row>
    <row r="6" customFormat="false" ht="15.75" hidden="false" customHeight="false" outlineLevel="0" collapsed="false">
      <c r="A6" s="19" t="n">
        <v>7882</v>
      </c>
      <c r="B6" s="14" t="n">
        <v>45385</v>
      </c>
      <c r="C6" s="21" t="s">
        <v>776</v>
      </c>
      <c r="D6" s="21" t="s">
        <v>24</v>
      </c>
      <c r="E6" s="21" t="s">
        <v>34</v>
      </c>
      <c r="F6" s="16" t="s">
        <v>780</v>
      </c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 t="s">
        <v>37</v>
      </c>
      <c r="AA6" s="12" t="s">
        <v>40</v>
      </c>
    </row>
    <row r="7" customFormat="false" ht="15.75" hidden="false" customHeight="false" outlineLevel="0" collapsed="false">
      <c r="A7" s="19" t="n">
        <v>7883</v>
      </c>
      <c r="B7" s="14" t="n">
        <v>45385</v>
      </c>
      <c r="C7" s="16" t="s">
        <v>719</v>
      </c>
      <c r="D7" s="16" t="s">
        <v>24</v>
      </c>
      <c r="E7" s="16" t="s">
        <v>25</v>
      </c>
      <c r="F7" s="16" t="s">
        <v>781</v>
      </c>
      <c r="G7" s="16"/>
      <c r="H7" s="17" t="s">
        <v>28</v>
      </c>
      <c r="I7" s="16"/>
      <c r="J7" s="16" t="s">
        <v>28</v>
      </c>
      <c r="K7" s="16" t="s">
        <v>29</v>
      </c>
      <c r="L7" s="16" t="s">
        <v>29</v>
      </c>
      <c r="M7" s="16" t="s">
        <v>29</v>
      </c>
      <c r="N7" s="16" t="n">
        <v>12475</v>
      </c>
      <c r="O7" s="16"/>
      <c r="P7" s="16"/>
      <c r="Q7" s="16" t="s">
        <v>28</v>
      </c>
      <c r="R7" s="17" t="s">
        <v>28</v>
      </c>
      <c r="S7" s="16"/>
      <c r="T7" s="16" t="s">
        <v>30</v>
      </c>
      <c r="U7" s="16"/>
      <c r="V7" s="16"/>
      <c r="W7" s="16"/>
      <c r="X7" s="16"/>
      <c r="Y7" s="16"/>
      <c r="Z7" s="16" t="s">
        <v>28</v>
      </c>
      <c r="AA7" s="12" t="s">
        <v>32</v>
      </c>
    </row>
    <row r="8" customFormat="false" ht="15.75" hidden="false" customHeight="false" outlineLevel="0" collapsed="false">
      <c r="A8" s="19" t="n">
        <v>7884</v>
      </c>
      <c r="B8" s="14" t="n">
        <v>45387</v>
      </c>
      <c r="C8" s="16" t="s">
        <v>773</v>
      </c>
      <c r="D8" s="16" t="s">
        <v>24</v>
      </c>
      <c r="E8" s="16" t="s">
        <v>25</v>
      </c>
      <c r="F8" s="16" t="s">
        <v>782</v>
      </c>
      <c r="G8" s="16" t="s">
        <v>783</v>
      </c>
      <c r="H8" s="17" t="s">
        <v>28</v>
      </c>
      <c r="I8" s="16"/>
      <c r="J8" s="16" t="s">
        <v>28</v>
      </c>
      <c r="K8" s="16" t="s">
        <v>29</v>
      </c>
      <c r="L8" s="16" t="s">
        <v>29</v>
      </c>
      <c r="M8" s="16" t="s">
        <v>29</v>
      </c>
      <c r="N8" s="16" t="n">
        <v>8769</v>
      </c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 t="s">
        <v>28</v>
      </c>
      <c r="AA8" s="12" t="s">
        <v>32</v>
      </c>
    </row>
    <row r="9" customFormat="false" ht="15.75" hidden="false" customHeight="false" outlineLevel="0" collapsed="false">
      <c r="A9" s="19" t="n">
        <v>7885</v>
      </c>
      <c r="B9" s="14" t="n">
        <v>45387</v>
      </c>
      <c r="C9" s="16" t="s">
        <v>773</v>
      </c>
      <c r="D9" s="16" t="s">
        <v>24</v>
      </c>
      <c r="E9" s="16" t="s">
        <v>25</v>
      </c>
      <c r="F9" s="16" t="s">
        <v>784</v>
      </c>
      <c r="G9" s="16" t="s">
        <v>785</v>
      </c>
      <c r="H9" s="17" t="s">
        <v>28</v>
      </c>
      <c r="I9" s="16"/>
      <c r="J9" s="16" t="s">
        <v>28</v>
      </c>
      <c r="K9" s="16" t="s">
        <v>29</v>
      </c>
      <c r="L9" s="16" t="s">
        <v>29</v>
      </c>
      <c r="M9" s="16" t="s">
        <v>29</v>
      </c>
      <c r="N9" s="16" t="n">
        <v>8770</v>
      </c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 t="s">
        <v>28</v>
      </c>
      <c r="AA9" s="12" t="s">
        <v>32</v>
      </c>
    </row>
    <row r="10" customFormat="false" ht="15.75" hidden="false" customHeight="false" outlineLevel="0" collapsed="false">
      <c r="A10" s="19" t="n">
        <v>7886</v>
      </c>
      <c r="B10" s="14" t="n">
        <v>45387</v>
      </c>
      <c r="C10" s="16" t="s">
        <v>412</v>
      </c>
      <c r="D10" s="16" t="s">
        <v>24</v>
      </c>
      <c r="E10" s="16" t="s">
        <v>25</v>
      </c>
      <c r="F10" s="16" t="s">
        <v>786</v>
      </c>
      <c r="G10" s="16" t="s">
        <v>787</v>
      </c>
      <c r="H10" s="17" t="s">
        <v>28</v>
      </c>
      <c r="I10" s="16"/>
      <c r="J10" s="16" t="s">
        <v>28</v>
      </c>
      <c r="K10" s="16" t="s">
        <v>29</v>
      </c>
      <c r="L10" s="16" t="s">
        <v>29</v>
      </c>
      <c r="M10" s="16" t="s">
        <v>29</v>
      </c>
      <c r="N10" s="16" t="s">
        <v>788</v>
      </c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 t="s">
        <v>28</v>
      </c>
      <c r="AA10" s="12" t="s">
        <v>32</v>
      </c>
    </row>
    <row r="11" customFormat="false" ht="15.75" hidden="false" customHeight="false" outlineLevel="0" collapsed="false">
      <c r="A11" s="19" t="n">
        <v>7887</v>
      </c>
      <c r="B11" s="14" t="n">
        <v>45390</v>
      </c>
      <c r="C11" s="16" t="s">
        <v>789</v>
      </c>
      <c r="D11" s="16" t="s">
        <v>24</v>
      </c>
      <c r="E11" s="16" t="s">
        <v>25</v>
      </c>
      <c r="F11" s="16" t="s">
        <v>790</v>
      </c>
      <c r="G11" s="16" t="s">
        <v>791</v>
      </c>
      <c r="H11" s="17" t="s">
        <v>28</v>
      </c>
      <c r="I11" s="16"/>
      <c r="J11" s="16" t="s">
        <v>28</v>
      </c>
      <c r="K11" s="16" t="s">
        <v>29</v>
      </c>
      <c r="L11" s="16" t="s">
        <v>29</v>
      </c>
      <c r="M11" s="16" t="s">
        <v>29</v>
      </c>
      <c r="N11" s="16" t="s">
        <v>792</v>
      </c>
      <c r="O11" s="16"/>
      <c r="P11" s="16"/>
      <c r="Q11" s="16"/>
      <c r="R11" s="16"/>
      <c r="S11" s="16"/>
      <c r="T11" s="16"/>
      <c r="U11" s="16"/>
      <c r="V11" s="16" t="s">
        <v>74</v>
      </c>
      <c r="W11" s="17" t="s">
        <v>28</v>
      </c>
      <c r="X11" s="17" t="s">
        <v>28</v>
      </c>
      <c r="Y11" s="16" t="s">
        <v>36</v>
      </c>
      <c r="Z11" s="16" t="s">
        <v>28</v>
      </c>
      <c r="AA11" s="12" t="s">
        <v>32</v>
      </c>
    </row>
    <row r="12" customFormat="false" ht="15.75" hidden="false" customHeight="false" outlineLevel="0" collapsed="false">
      <c r="A12" s="19" t="n">
        <v>7888</v>
      </c>
      <c r="B12" s="14" t="n">
        <v>45390</v>
      </c>
      <c r="C12" s="16" t="s">
        <v>789</v>
      </c>
      <c r="D12" s="16" t="s">
        <v>24</v>
      </c>
      <c r="E12" s="16" t="s">
        <v>25</v>
      </c>
      <c r="F12" s="16" t="s">
        <v>793</v>
      </c>
      <c r="G12" s="16" t="s">
        <v>794</v>
      </c>
      <c r="H12" s="17" t="s">
        <v>28</v>
      </c>
      <c r="I12" s="16"/>
      <c r="J12" s="16"/>
      <c r="K12" s="16"/>
      <c r="L12" s="16"/>
      <c r="M12" s="16"/>
      <c r="N12" s="16"/>
      <c r="O12" s="16"/>
      <c r="P12" s="16"/>
      <c r="Q12" s="16"/>
      <c r="R12" s="17" t="s">
        <v>28</v>
      </c>
      <c r="S12" s="16"/>
      <c r="T12" s="16"/>
      <c r="U12" s="16"/>
      <c r="V12" s="16" t="s">
        <v>58</v>
      </c>
      <c r="W12" s="17" t="s">
        <v>28</v>
      </c>
      <c r="X12" s="16" t="s">
        <v>28</v>
      </c>
      <c r="Y12" s="16"/>
      <c r="Z12" s="16" t="s">
        <v>28</v>
      </c>
      <c r="AA12" s="12" t="s">
        <v>32</v>
      </c>
    </row>
    <row r="13" customFormat="false" ht="15.75" hidden="false" customHeight="false" outlineLevel="0" collapsed="false">
      <c r="A13" s="19" t="n">
        <v>7889</v>
      </c>
      <c r="B13" s="14" t="n">
        <v>45391</v>
      </c>
      <c r="C13" s="16" t="s">
        <v>773</v>
      </c>
      <c r="D13" s="16" t="s">
        <v>24</v>
      </c>
      <c r="E13" s="21" t="s">
        <v>34</v>
      </c>
      <c r="F13" s="16" t="s">
        <v>795</v>
      </c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 t="s">
        <v>28</v>
      </c>
      <c r="AA13" s="12" t="s">
        <v>32</v>
      </c>
    </row>
    <row r="14" customFormat="false" ht="15.75" hidden="false" customHeight="false" outlineLevel="0" collapsed="false">
      <c r="A14" s="19" t="n">
        <v>7890</v>
      </c>
      <c r="B14" s="14" t="n">
        <v>45391</v>
      </c>
      <c r="C14" s="16" t="s">
        <v>796</v>
      </c>
      <c r="D14" s="16" t="s">
        <v>24</v>
      </c>
      <c r="E14" s="16" t="s">
        <v>25</v>
      </c>
      <c r="F14" s="16" t="s">
        <v>797</v>
      </c>
      <c r="G14" s="16"/>
      <c r="H14" s="17" t="s">
        <v>28</v>
      </c>
      <c r="I14" s="16"/>
      <c r="J14" s="16" t="s">
        <v>28</v>
      </c>
      <c r="K14" s="16" t="s">
        <v>29</v>
      </c>
      <c r="L14" s="16" t="s">
        <v>29</v>
      </c>
      <c r="M14" s="16" t="s">
        <v>29</v>
      </c>
      <c r="N14" s="16" t="n">
        <v>5204</v>
      </c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 t="s">
        <v>37</v>
      </c>
      <c r="AA14" s="12" t="s">
        <v>40</v>
      </c>
    </row>
    <row r="15" customFormat="false" ht="15.75" hidden="false" customHeight="false" outlineLevel="0" collapsed="false">
      <c r="A15" s="19" t="n">
        <v>7891</v>
      </c>
      <c r="B15" s="14" t="n">
        <v>45391</v>
      </c>
      <c r="C15" s="16" t="s">
        <v>91</v>
      </c>
      <c r="D15" s="16" t="s">
        <v>24</v>
      </c>
      <c r="E15" s="16" t="s">
        <v>34</v>
      </c>
      <c r="F15" s="24" t="s">
        <v>798</v>
      </c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 t="s">
        <v>28</v>
      </c>
      <c r="AA15" s="12" t="s">
        <v>32</v>
      </c>
    </row>
    <row r="16" customFormat="false" ht="15.75" hidden="false" customHeight="false" outlineLevel="0" collapsed="false">
      <c r="A16" s="19" t="n">
        <v>7892</v>
      </c>
      <c r="B16" s="14" t="n">
        <v>45391</v>
      </c>
      <c r="C16" s="16" t="s">
        <v>91</v>
      </c>
      <c r="D16" s="16" t="s">
        <v>24</v>
      </c>
      <c r="E16" s="16" t="s">
        <v>34</v>
      </c>
      <c r="F16" s="19" t="s">
        <v>799</v>
      </c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 t="s">
        <v>28</v>
      </c>
      <c r="AA16" s="12" t="s">
        <v>32</v>
      </c>
    </row>
    <row r="17" customFormat="false" ht="15.75" hidden="false" customHeight="false" outlineLevel="0" collapsed="false">
      <c r="A17" s="19" t="n">
        <v>7893</v>
      </c>
      <c r="B17" s="14" t="n">
        <v>45392</v>
      </c>
      <c r="C17" s="16" t="s">
        <v>465</v>
      </c>
      <c r="D17" s="16" t="s">
        <v>24</v>
      </c>
      <c r="E17" s="16" t="s">
        <v>25</v>
      </c>
      <c r="F17" s="16" t="s">
        <v>800</v>
      </c>
      <c r="G17" s="16"/>
      <c r="H17" s="16" t="s">
        <v>28</v>
      </c>
      <c r="I17" s="16"/>
      <c r="J17" s="16" t="s">
        <v>28</v>
      </c>
      <c r="K17" s="16" t="s">
        <v>29</v>
      </c>
      <c r="L17" s="16" t="s">
        <v>29</v>
      </c>
      <c r="M17" s="16" t="s">
        <v>29</v>
      </c>
      <c r="N17" s="16" t="s">
        <v>29</v>
      </c>
      <c r="O17" s="16" t="s">
        <v>801</v>
      </c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 t="s">
        <v>37</v>
      </c>
      <c r="AA17" s="12" t="s">
        <v>40</v>
      </c>
    </row>
    <row r="18" customFormat="false" ht="15.75" hidden="false" customHeight="false" outlineLevel="0" collapsed="false">
      <c r="A18" s="19" t="n">
        <v>7894</v>
      </c>
      <c r="B18" s="14" t="n">
        <v>45392</v>
      </c>
      <c r="C18" s="16" t="s">
        <v>773</v>
      </c>
      <c r="D18" s="16" t="s">
        <v>24</v>
      </c>
      <c r="E18" s="16" t="s">
        <v>34</v>
      </c>
      <c r="F18" s="16" t="s">
        <v>802</v>
      </c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 t="s">
        <v>28</v>
      </c>
      <c r="AA18" s="12" t="s">
        <v>32</v>
      </c>
    </row>
    <row r="19" customFormat="false" ht="15.75" hidden="false" customHeight="false" outlineLevel="0" collapsed="false">
      <c r="A19" s="19" t="n">
        <v>7895</v>
      </c>
      <c r="B19" s="14" t="n">
        <v>45393</v>
      </c>
      <c r="C19" s="16" t="s">
        <v>91</v>
      </c>
      <c r="D19" s="16" t="s">
        <v>24</v>
      </c>
      <c r="E19" s="16" t="s">
        <v>34</v>
      </c>
      <c r="F19" s="16" t="s">
        <v>803</v>
      </c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 t="s">
        <v>28</v>
      </c>
      <c r="AA19" s="12" t="s">
        <v>32</v>
      </c>
    </row>
    <row r="20" customFormat="false" ht="15.75" hidden="false" customHeight="false" outlineLevel="0" collapsed="false">
      <c r="A20" s="24" t="n">
        <v>7896</v>
      </c>
      <c r="B20" s="14" t="n">
        <v>45394</v>
      </c>
      <c r="C20" s="25" t="s">
        <v>120</v>
      </c>
      <c r="D20" s="25" t="s">
        <v>24</v>
      </c>
      <c r="E20" s="25" t="s">
        <v>25</v>
      </c>
      <c r="F20" s="25" t="s">
        <v>804</v>
      </c>
      <c r="G20" s="25" t="s">
        <v>805</v>
      </c>
      <c r="H20" s="26" t="s">
        <v>28</v>
      </c>
      <c r="I20" s="25"/>
      <c r="J20" s="25" t="s">
        <v>28</v>
      </c>
      <c r="K20" s="25" t="s">
        <v>29</v>
      </c>
      <c r="L20" s="25" t="s">
        <v>29</v>
      </c>
      <c r="M20" s="25" t="s">
        <v>29</v>
      </c>
      <c r="N20" s="25" t="n">
        <v>4887</v>
      </c>
      <c r="O20" s="25"/>
      <c r="P20" s="25"/>
      <c r="Q20" s="25" t="s">
        <v>28</v>
      </c>
      <c r="R20" s="26" t="s">
        <v>28</v>
      </c>
      <c r="S20" s="25"/>
      <c r="T20" s="25" t="s">
        <v>186</v>
      </c>
      <c r="U20" s="25" t="s">
        <v>806</v>
      </c>
      <c r="V20" s="25" t="s">
        <v>58</v>
      </c>
      <c r="W20" s="26" t="s">
        <v>28</v>
      </c>
      <c r="X20" s="26" t="s">
        <v>28</v>
      </c>
      <c r="Y20" s="25" t="s">
        <v>36</v>
      </c>
      <c r="Z20" s="25" t="s">
        <v>28</v>
      </c>
      <c r="AA20" s="12" t="s">
        <v>32</v>
      </c>
    </row>
    <row r="21" customFormat="false" ht="15.75" hidden="false" customHeight="false" outlineLevel="0" collapsed="false">
      <c r="A21" s="19" t="n">
        <v>7897</v>
      </c>
      <c r="B21" s="14" t="n">
        <v>45394</v>
      </c>
      <c r="C21" s="16" t="s">
        <v>120</v>
      </c>
      <c r="D21" s="16" t="s">
        <v>24</v>
      </c>
      <c r="E21" s="16" t="s">
        <v>25</v>
      </c>
      <c r="F21" s="16" t="s">
        <v>807</v>
      </c>
      <c r="G21" s="16" t="s">
        <v>805</v>
      </c>
      <c r="H21" s="17" t="s">
        <v>28</v>
      </c>
      <c r="I21" s="16"/>
      <c r="J21" s="16" t="s">
        <v>28</v>
      </c>
      <c r="K21" s="16" t="s">
        <v>29</v>
      </c>
      <c r="L21" s="16" t="s">
        <v>29</v>
      </c>
      <c r="M21" s="16" t="s">
        <v>29</v>
      </c>
      <c r="N21" s="16" t="n">
        <v>4852</v>
      </c>
      <c r="O21" s="16"/>
      <c r="P21" s="16"/>
      <c r="Q21" s="16" t="s">
        <v>28</v>
      </c>
      <c r="R21" s="17" t="s">
        <v>28</v>
      </c>
      <c r="S21" s="16"/>
      <c r="T21" s="16" t="s">
        <v>186</v>
      </c>
      <c r="U21" s="25" t="s">
        <v>806</v>
      </c>
      <c r="V21" s="16" t="s">
        <v>58</v>
      </c>
      <c r="W21" s="17" t="s">
        <v>28</v>
      </c>
      <c r="X21" s="17" t="s">
        <v>28</v>
      </c>
      <c r="Y21" s="16" t="s">
        <v>36</v>
      </c>
      <c r="Z21" s="16" t="s">
        <v>28</v>
      </c>
      <c r="AA21" s="12" t="s">
        <v>32</v>
      </c>
    </row>
    <row r="22" customFormat="false" ht="15.75" hidden="false" customHeight="false" outlineLevel="0" collapsed="false">
      <c r="A22" s="19" t="n">
        <v>7898</v>
      </c>
      <c r="B22" s="14" t="n">
        <v>45397</v>
      </c>
      <c r="C22" s="16" t="s">
        <v>571</v>
      </c>
      <c r="D22" s="16" t="s">
        <v>24</v>
      </c>
      <c r="E22" s="16" t="s">
        <v>25</v>
      </c>
      <c r="F22" s="16" t="s">
        <v>767</v>
      </c>
      <c r="G22" s="16"/>
      <c r="H22" s="17" t="s">
        <v>28</v>
      </c>
      <c r="I22" s="16"/>
      <c r="J22" s="16" t="s">
        <v>28</v>
      </c>
      <c r="K22" s="16" t="s">
        <v>29</v>
      </c>
      <c r="L22" s="16" t="s">
        <v>29</v>
      </c>
      <c r="M22" s="16" t="s">
        <v>29</v>
      </c>
      <c r="N22" s="16" t="n">
        <v>4324</v>
      </c>
      <c r="O22" s="16" t="s">
        <v>808</v>
      </c>
      <c r="P22" s="16"/>
      <c r="Q22" s="16" t="s">
        <v>28</v>
      </c>
      <c r="R22" s="17" t="s">
        <v>28</v>
      </c>
      <c r="S22" s="16" t="s">
        <v>809</v>
      </c>
      <c r="T22" s="16" t="s">
        <v>222</v>
      </c>
      <c r="U22" s="16"/>
      <c r="V22" s="16" t="s">
        <v>58</v>
      </c>
      <c r="W22" s="17" t="s">
        <v>28</v>
      </c>
      <c r="X22" s="17" t="s">
        <v>28</v>
      </c>
      <c r="Y22" s="16" t="s">
        <v>36</v>
      </c>
      <c r="Z22" s="16" t="s">
        <v>28</v>
      </c>
      <c r="AA22" s="12" t="s">
        <v>32</v>
      </c>
    </row>
    <row r="23" customFormat="false" ht="15.75" hidden="false" customHeight="false" outlineLevel="0" collapsed="false">
      <c r="A23" s="19" t="n">
        <v>7899</v>
      </c>
      <c r="B23" s="14" t="n">
        <v>45397</v>
      </c>
      <c r="C23" s="16" t="s">
        <v>571</v>
      </c>
      <c r="D23" s="16" t="s">
        <v>24</v>
      </c>
      <c r="E23" s="16" t="s">
        <v>25</v>
      </c>
      <c r="F23" s="16" t="s">
        <v>767</v>
      </c>
      <c r="G23" s="16"/>
      <c r="H23" s="17" t="s">
        <v>28</v>
      </c>
      <c r="I23" s="16"/>
      <c r="J23" s="16" t="s">
        <v>28</v>
      </c>
      <c r="K23" s="16" t="s">
        <v>29</v>
      </c>
      <c r="L23" s="16" t="s">
        <v>29</v>
      </c>
      <c r="M23" s="16" t="s">
        <v>29</v>
      </c>
      <c r="N23" s="16" t="n">
        <v>4324</v>
      </c>
      <c r="O23" s="16" t="s">
        <v>810</v>
      </c>
      <c r="P23" s="16"/>
      <c r="Q23" s="16" t="s">
        <v>28</v>
      </c>
      <c r="R23" s="17" t="s">
        <v>28</v>
      </c>
      <c r="S23" s="16"/>
      <c r="T23" s="16" t="s">
        <v>30</v>
      </c>
      <c r="U23" s="16"/>
      <c r="V23" s="16" t="s">
        <v>58</v>
      </c>
      <c r="W23" s="17" t="s">
        <v>28</v>
      </c>
      <c r="X23" s="17" t="s">
        <v>28</v>
      </c>
      <c r="Y23" s="16" t="s">
        <v>36</v>
      </c>
      <c r="Z23" s="16" t="s">
        <v>28</v>
      </c>
      <c r="AA23" s="12" t="s">
        <v>32</v>
      </c>
    </row>
    <row r="24" customFormat="false" ht="15.75" hidden="false" customHeight="false" outlineLevel="0" collapsed="false">
      <c r="A24" s="13" t="n">
        <v>7900</v>
      </c>
      <c r="B24" s="14" t="n">
        <v>45397</v>
      </c>
      <c r="C24" s="16" t="s">
        <v>571</v>
      </c>
      <c r="D24" s="16" t="s">
        <v>24</v>
      </c>
      <c r="E24" s="16" t="s">
        <v>25</v>
      </c>
      <c r="F24" s="16" t="s">
        <v>767</v>
      </c>
      <c r="G24" s="16"/>
      <c r="H24" s="17" t="s">
        <v>28</v>
      </c>
      <c r="I24" s="16"/>
      <c r="J24" s="16" t="s">
        <v>28</v>
      </c>
      <c r="K24" s="16" t="s">
        <v>29</v>
      </c>
      <c r="L24" s="16" t="s">
        <v>29</v>
      </c>
      <c r="M24" s="16" t="s">
        <v>29</v>
      </c>
      <c r="N24" s="16" t="n">
        <v>4324</v>
      </c>
      <c r="O24" s="16" t="s">
        <v>811</v>
      </c>
      <c r="P24" s="16"/>
      <c r="Q24" s="16" t="s">
        <v>28</v>
      </c>
      <c r="R24" s="17" t="s">
        <v>28</v>
      </c>
      <c r="S24" s="16"/>
      <c r="T24" s="16" t="s">
        <v>30</v>
      </c>
      <c r="U24" s="16"/>
      <c r="V24" s="16" t="s">
        <v>30</v>
      </c>
      <c r="W24" s="17" t="s">
        <v>28</v>
      </c>
      <c r="X24" s="17" t="s">
        <v>28</v>
      </c>
      <c r="Y24" s="16" t="s">
        <v>36</v>
      </c>
      <c r="Z24" s="16" t="s">
        <v>28</v>
      </c>
      <c r="AA24" s="12" t="s">
        <v>32</v>
      </c>
    </row>
    <row r="25" customFormat="false" ht="15.75" hidden="false" customHeight="false" outlineLevel="0" collapsed="false">
      <c r="A25" s="13" t="n">
        <v>7901</v>
      </c>
      <c r="B25" s="14" t="n">
        <v>45398</v>
      </c>
      <c r="C25" s="16" t="s">
        <v>465</v>
      </c>
      <c r="D25" s="16" t="s">
        <v>24</v>
      </c>
      <c r="E25" s="16" t="s">
        <v>25</v>
      </c>
      <c r="F25" s="16" t="s">
        <v>812</v>
      </c>
      <c r="G25" s="16" t="s">
        <v>813</v>
      </c>
      <c r="H25" s="17" t="s">
        <v>28</v>
      </c>
      <c r="I25" s="16"/>
      <c r="J25" s="16" t="s">
        <v>28</v>
      </c>
      <c r="K25" s="16" t="s">
        <v>29</v>
      </c>
      <c r="L25" s="16" t="s">
        <v>29</v>
      </c>
      <c r="M25" s="16" t="s">
        <v>29</v>
      </c>
      <c r="N25" s="16" t="s">
        <v>29</v>
      </c>
      <c r="O25" s="16"/>
      <c r="P25" s="16"/>
      <c r="Q25" s="16" t="s">
        <v>28</v>
      </c>
      <c r="R25" s="17" t="s">
        <v>28</v>
      </c>
      <c r="S25" s="16"/>
      <c r="T25" s="16" t="s">
        <v>222</v>
      </c>
      <c r="U25" s="16"/>
      <c r="V25" s="16"/>
      <c r="W25" s="16"/>
      <c r="X25" s="16"/>
      <c r="Y25" s="16"/>
      <c r="Z25" s="16" t="s">
        <v>28</v>
      </c>
      <c r="AA25" s="12" t="s">
        <v>32</v>
      </c>
    </row>
    <row r="26" customFormat="false" ht="15.75" hidden="false" customHeight="false" outlineLevel="0" collapsed="false">
      <c r="A26" s="24" t="n">
        <v>7902</v>
      </c>
      <c r="B26" s="14" t="n">
        <v>45398</v>
      </c>
      <c r="C26" s="25" t="s">
        <v>814</v>
      </c>
      <c r="D26" s="16" t="s">
        <v>24</v>
      </c>
      <c r="E26" s="25" t="s">
        <v>34</v>
      </c>
      <c r="F26" s="25" t="s">
        <v>815</v>
      </c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 t="s">
        <v>28</v>
      </c>
      <c r="R26" s="17" t="s">
        <v>28</v>
      </c>
      <c r="S26" s="16"/>
      <c r="T26" s="16" t="s">
        <v>30</v>
      </c>
      <c r="U26" s="16"/>
      <c r="V26" s="16"/>
      <c r="W26" s="16"/>
      <c r="X26" s="16"/>
      <c r="Y26" s="16"/>
      <c r="Z26" s="16" t="s">
        <v>37</v>
      </c>
      <c r="AA26" s="12" t="s">
        <v>40</v>
      </c>
    </row>
    <row r="27" customFormat="false" ht="15.75" hidden="false" customHeight="false" outlineLevel="0" collapsed="false">
      <c r="A27" s="13" t="n">
        <v>7903</v>
      </c>
      <c r="B27" s="14" t="n">
        <v>45398</v>
      </c>
      <c r="C27" s="16" t="s">
        <v>814</v>
      </c>
      <c r="D27" s="16" t="s">
        <v>24</v>
      </c>
      <c r="E27" s="25" t="s">
        <v>34</v>
      </c>
      <c r="F27" s="16" t="s">
        <v>816</v>
      </c>
      <c r="G27" s="16"/>
      <c r="H27" s="16"/>
      <c r="I27" s="16"/>
      <c r="J27" s="16" t="s">
        <v>28</v>
      </c>
      <c r="K27" s="16"/>
      <c r="L27" s="16"/>
      <c r="M27" s="16"/>
      <c r="N27" s="16"/>
      <c r="O27" s="16"/>
      <c r="P27" s="16"/>
      <c r="Q27" s="16" t="s">
        <v>28</v>
      </c>
      <c r="R27" s="17" t="s">
        <v>28</v>
      </c>
      <c r="S27" s="16"/>
      <c r="T27" s="16" t="s">
        <v>30</v>
      </c>
      <c r="U27" s="16"/>
      <c r="V27" s="16"/>
      <c r="W27" s="16"/>
      <c r="X27" s="16"/>
      <c r="Y27" s="16"/>
      <c r="Z27" s="16" t="s">
        <v>28</v>
      </c>
      <c r="AA27" s="12" t="s">
        <v>156</v>
      </c>
    </row>
    <row r="28" customFormat="false" ht="15.75" hidden="false" customHeight="false" outlineLevel="0" collapsed="false">
      <c r="A28" s="13" t="n">
        <v>7904</v>
      </c>
      <c r="B28" s="14" t="n">
        <v>45400</v>
      </c>
      <c r="C28" s="16" t="s">
        <v>796</v>
      </c>
      <c r="D28" s="16" t="s">
        <v>24</v>
      </c>
      <c r="E28" s="16" t="s">
        <v>25</v>
      </c>
      <c r="F28" s="16" t="s">
        <v>817</v>
      </c>
      <c r="G28" s="16" t="s">
        <v>818</v>
      </c>
      <c r="H28" s="17" t="s">
        <v>28</v>
      </c>
      <c r="I28" s="16"/>
      <c r="J28" s="16" t="s">
        <v>28</v>
      </c>
      <c r="K28" s="16" t="s">
        <v>29</v>
      </c>
      <c r="L28" s="16" t="s">
        <v>29</v>
      </c>
      <c r="M28" s="16" t="s">
        <v>29</v>
      </c>
      <c r="N28" s="16" t="s">
        <v>29</v>
      </c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 t="s">
        <v>37</v>
      </c>
      <c r="AA28" s="12" t="s">
        <v>40</v>
      </c>
    </row>
    <row r="29" customFormat="false" ht="15.75" hidden="false" customHeight="false" outlineLevel="0" collapsed="false">
      <c r="A29" s="13" t="n">
        <v>7905</v>
      </c>
      <c r="B29" s="14" t="n">
        <v>45400</v>
      </c>
      <c r="C29" s="16" t="s">
        <v>819</v>
      </c>
      <c r="D29" s="16" t="s">
        <v>24</v>
      </c>
      <c r="E29" s="16" t="s">
        <v>25</v>
      </c>
      <c r="F29" s="16" t="s">
        <v>820</v>
      </c>
      <c r="G29" s="16"/>
      <c r="H29" s="17" t="s">
        <v>28</v>
      </c>
      <c r="I29" s="16"/>
      <c r="J29" s="16" t="s">
        <v>28</v>
      </c>
      <c r="K29" s="16" t="s">
        <v>29</v>
      </c>
      <c r="L29" s="16" t="s">
        <v>29</v>
      </c>
      <c r="M29" s="16" t="s">
        <v>29</v>
      </c>
      <c r="N29" s="16" t="s">
        <v>29</v>
      </c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 t="s">
        <v>37</v>
      </c>
      <c r="AA29" s="12" t="s">
        <v>40</v>
      </c>
    </row>
    <row r="30" customFormat="false" ht="15.75" hidden="false" customHeight="false" outlineLevel="0" collapsed="false">
      <c r="A30" s="13" t="n">
        <v>7906</v>
      </c>
      <c r="B30" s="14" t="n">
        <v>45400</v>
      </c>
      <c r="C30" s="16" t="s">
        <v>821</v>
      </c>
      <c r="D30" s="16" t="s">
        <v>24</v>
      </c>
      <c r="E30" s="16" t="s">
        <v>25</v>
      </c>
      <c r="F30" s="16" t="s">
        <v>822</v>
      </c>
      <c r="G30" s="16" t="s">
        <v>823</v>
      </c>
      <c r="H30" s="17" t="s">
        <v>28</v>
      </c>
      <c r="I30" s="16"/>
      <c r="J30" s="16" t="s">
        <v>28</v>
      </c>
      <c r="K30" s="16" t="s">
        <v>29</v>
      </c>
      <c r="L30" s="16" t="s">
        <v>29</v>
      </c>
      <c r="M30" s="16" t="s">
        <v>29</v>
      </c>
      <c r="N30" s="16" t="s">
        <v>29</v>
      </c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 t="s">
        <v>28</v>
      </c>
      <c r="AA30" s="12" t="s">
        <v>32</v>
      </c>
    </row>
    <row r="31" customFormat="false" ht="15.75" hidden="false" customHeight="false" outlineLevel="0" collapsed="false">
      <c r="A31" s="13" t="n">
        <v>7907</v>
      </c>
      <c r="B31" s="14" t="n">
        <v>45400</v>
      </c>
      <c r="C31" s="16" t="s">
        <v>705</v>
      </c>
      <c r="D31" s="16" t="s">
        <v>24</v>
      </c>
      <c r="E31" s="16" t="s">
        <v>34</v>
      </c>
      <c r="F31" s="16" t="s">
        <v>824</v>
      </c>
      <c r="G31" s="16" t="s">
        <v>825</v>
      </c>
      <c r="H31" s="17" t="s">
        <v>28</v>
      </c>
      <c r="I31" s="16"/>
      <c r="J31" s="16" t="s">
        <v>28</v>
      </c>
      <c r="K31" s="16" t="s">
        <v>29</v>
      </c>
      <c r="L31" s="16" t="s">
        <v>29</v>
      </c>
      <c r="M31" s="16" t="s">
        <v>29</v>
      </c>
      <c r="N31" s="16" t="n">
        <v>8776</v>
      </c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 t="s">
        <v>28</v>
      </c>
      <c r="AA31" s="12" t="s">
        <v>32</v>
      </c>
    </row>
    <row r="32" customFormat="false" ht="15.75" hidden="false" customHeight="false" outlineLevel="0" collapsed="false">
      <c r="A32" s="13" t="n">
        <v>7908</v>
      </c>
      <c r="B32" s="14" t="n">
        <v>45400</v>
      </c>
      <c r="C32" s="16" t="s">
        <v>773</v>
      </c>
      <c r="D32" s="16" t="s">
        <v>24</v>
      </c>
      <c r="E32" s="16" t="s">
        <v>34</v>
      </c>
      <c r="F32" s="16" t="s">
        <v>826</v>
      </c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 t="s">
        <v>28</v>
      </c>
      <c r="AA32" s="12" t="s">
        <v>32</v>
      </c>
    </row>
    <row r="33" customFormat="false" ht="15.75" hidden="false" customHeight="false" outlineLevel="0" collapsed="false">
      <c r="A33" s="13" t="n">
        <v>7909</v>
      </c>
      <c r="B33" s="14" t="n">
        <v>45401</v>
      </c>
      <c r="C33" s="16" t="s">
        <v>120</v>
      </c>
      <c r="D33" s="16" t="s">
        <v>24</v>
      </c>
      <c r="E33" s="16" t="s">
        <v>34</v>
      </c>
      <c r="F33" s="16" t="s">
        <v>827</v>
      </c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 t="s">
        <v>28</v>
      </c>
      <c r="AA33" s="12" t="s">
        <v>32</v>
      </c>
    </row>
    <row r="34" customFormat="false" ht="15.75" hidden="false" customHeight="false" outlineLevel="0" collapsed="false">
      <c r="A34" s="13" t="n">
        <v>7910</v>
      </c>
      <c r="B34" s="14" t="n">
        <v>45401</v>
      </c>
      <c r="C34" s="16" t="s">
        <v>773</v>
      </c>
      <c r="D34" s="16" t="s">
        <v>24</v>
      </c>
      <c r="E34" s="16" t="s">
        <v>34</v>
      </c>
      <c r="F34" s="16" t="s">
        <v>828</v>
      </c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 t="s">
        <v>37</v>
      </c>
      <c r="AA34" s="12" t="s">
        <v>40</v>
      </c>
    </row>
    <row r="35" customFormat="false" ht="15.75" hidden="false" customHeight="false" outlineLevel="0" collapsed="false">
      <c r="A35" s="13" t="n">
        <v>7911</v>
      </c>
      <c r="B35" s="14" t="n">
        <v>45401</v>
      </c>
      <c r="C35" s="16" t="s">
        <v>789</v>
      </c>
      <c r="D35" s="16"/>
      <c r="E35" s="16" t="s">
        <v>34</v>
      </c>
      <c r="F35" s="16" t="s">
        <v>829</v>
      </c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 t="s">
        <v>28</v>
      </c>
      <c r="AA35" s="12" t="s">
        <v>32</v>
      </c>
    </row>
    <row r="36" customFormat="false" ht="15.75" hidden="false" customHeight="false" outlineLevel="0" collapsed="false">
      <c r="A36" s="13" t="n">
        <v>7912</v>
      </c>
      <c r="B36" s="14" t="n">
        <v>45401</v>
      </c>
      <c r="C36" s="20" t="s">
        <v>499</v>
      </c>
      <c r="D36" s="16"/>
      <c r="E36" s="16" t="s">
        <v>34</v>
      </c>
      <c r="F36" s="16" t="s">
        <v>830</v>
      </c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 t="s">
        <v>28</v>
      </c>
      <c r="AA36" s="12" t="s">
        <v>32</v>
      </c>
    </row>
    <row r="37" customFormat="false" ht="15.75" hidden="false" customHeight="false" outlineLevel="0" collapsed="false">
      <c r="A37" s="13" t="n">
        <v>7913</v>
      </c>
      <c r="B37" s="14" t="n">
        <v>45401</v>
      </c>
      <c r="C37" s="15" t="s">
        <v>499</v>
      </c>
      <c r="D37" s="16"/>
      <c r="E37" s="16" t="s">
        <v>34</v>
      </c>
      <c r="F37" s="16" t="s">
        <v>831</v>
      </c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 t="s">
        <v>28</v>
      </c>
      <c r="AA37" s="12" t="s">
        <v>32</v>
      </c>
    </row>
    <row r="38" customFormat="false" ht="15.75" hidden="false" customHeight="false" outlineLevel="0" collapsed="false">
      <c r="A38" s="13" t="n">
        <v>7914</v>
      </c>
      <c r="B38" s="14" t="n">
        <v>45401</v>
      </c>
      <c r="C38" s="15" t="s">
        <v>571</v>
      </c>
      <c r="D38" s="16" t="s">
        <v>24</v>
      </c>
      <c r="E38" s="16" t="s">
        <v>832</v>
      </c>
      <c r="F38" s="16" t="s">
        <v>833</v>
      </c>
      <c r="G38" s="16" t="s">
        <v>834</v>
      </c>
      <c r="H38" s="17" t="s">
        <v>28</v>
      </c>
      <c r="I38" s="16"/>
      <c r="J38" s="16" t="s">
        <v>28</v>
      </c>
      <c r="K38" s="16"/>
      <c r="L38" s="16"/>
      <c r="M38" s="16"/>
      <c r="N38" s="16" t="n">
        <v>4472</v>
      </c>
      <c r="O38" s="16"/>
      <c r="P38" s="18"/>
      <c r="Q38" s="16"/>
      <c r="R38" s="16"/>
      <c r="S38" s="16"/>
      <c r="T38" s="16"/>
      <c r="U38" s="16"/>
      <c r="V38" s="16" t="s">
        <v>58</v>
      </c>
      <c r="W38" s="17" t="s">
        <v>28</v>
      </c>
      <c r="X38" s="17" t="s">
        <v>28</v>
      </c>
      <c r="Y38" s="16" t="s">
        <v>36</v>
      </c>
      <c r="Z38" s="16" t="s">
        <v>28</v>
      </c>
      <c r="AA38" s="12" t="s">
        <v>32</v>
      </c>
    </row>
    <row r="39" customFormat="false" ht="15.75" hidden="false" customHeight="false" outlineLevel="0" collapsed="false">
      <c r="A39" s="13" t="n">
        <v>7915</v>
      </c>
      <c r="B39" s="14" t="n">
        <v>45401</v>
      </c>
      <c r="C39" s="21" t="s">
        <v>571</v>
      </c>
      <c r="D39" s="16" t="s">
        <v>24</v>
      </c>
      <c r="E39" s="16" t="s">
        <v>835</v>
      </c>
      <c r="F39" s="16" t="s">
        <v>804</v>
      </c>
      <c r="G39" s="16" t="s">
        <v>836</v>
      </c>
      <c r="H39" s="17" t="s">
        <v>28</v>
      </c>
      <c r="I39" s="16"/>
      <c r="J39" s="16" t="s">
        <v>28</v>
      </c>
      <c r="K39" s="16"/>
      <c r="L39" s="16"/>
      <c r="M39" s="16"/>
      <c r="N39" s="16" t="n">
        <v>4472</v>
      </c>
      <c r="O39" s="16"/>
      <c r="P39" s="18"/>
      <c r="Q39" s="16"/>
      <c r="R39" s="16"/>
      <c r="S39" s="16"/>
      <c r="T39" s="16"/>
      <c r="U39" s="16"/>
      <c r="V39" s="16" t="s">
        <v>74</v>
      </c>
      <c r="W39" s="17" t="s">
        <v>28</v>
      </c>
      <c r="X39" s="17" t="s">
        <v>28</v>
      </c>
      <c r="Y39" s="16" t="s">
        <v>36</v>
      </c>
      <c r="Z39" s="16" t="s">
        <v>28</v>
      </c>
      <c r="AA39" s="12" t="s">
        <v>32</v>
      </c>
    </row>
    <row r="40" customFormat="false" ht="15.75" hidden="false" customHeight="false" outlineLevel="0" collapsed="false">
      <c r="A40" s="13" t="n">
        <v>7916</v>
      </c>
      <c r="B40" s="22" t="n">
        <v>45404</v>
      </c>
      <c r="C40" s="16" t="s">
        <v>773</v>
      </c>
      <c r="D40" s="16" t="s">
        <v>24</v>
      </c>
      <c r="E40" s="16" t="s">
        <v>34</v>
      </c>
      <c r="F40" s="16" t="s">
        <v>837</v>
      </c>
      <c r="G40" s="16"/>
      <c r="H40" s="16"/>
      <c r="I40" s="16"/>
      <c r="J40" s="16"/>
      <c r="K40" s="16"/>
      <c r="L40" s="16"/>
      <c r="M40" s="16"/>
      <c r="N40" s="16"/>
      <c r="O40" s="16"/>
      <c r="P40" s="18"/>
      <c r="Q40" s="16"/>
      <c r="R40" s="16"/>
      <c r="S40" s="16"/>
      <c r="T40" s="16"/>
      <c r="U40" s="16"/>
      <c r="V40" s="16"/>
      <c r="W40" s="16"/>
      <c r="X40" s="16"/>
      <c r="Y40" s="16"/>
      <c r="Z40" s="16" t="s">
        <v>28</v>
      </c>
      <c r="AA40" s="12" t="s">
        <v>48</v>
      </c>
    </row>
    <row r="41" customFormat="false" ht="15.75" hidden="false" customHeight="false" outlineLevel="0" collapsed="false">
      <c r="A41" s="13" t="n">
        <v>7917</v>
      </c>
      <c r="B41" s="14" t="n">
        <v>45405</v>
      </c>
      <c r="C41" s="16" t="s">
        <v>776</v>
      </c>
      <c r="D41" s="16" t="s">
        <v>24</v>
      </c>
      <c r="E41" s="16" t="s">
        <v>34</v>
      </c>
      <c r="F41" s="16" t="s">
        <v>838</v>
      </c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 t="s">
        <v>37</v>
      </c>
      <c r="AA41" s="12" t="s">
        <v>40</v>
      </c>
    </row>
    <row r="42" customFormat="false" ht="15.75" hidden="false" customHeight="false" outlineLevel="0" collapsed="false">
      <c r="A42" s="13" t="n">
        <v>7918</v>
      </c>
      <c r="B42" s="14" t="n">
        <v>45406</v>
      </c>
      <c r="C42" s="21" t="s">
        <v>357</v>
      </c>
      <c r="D42" s="16" t="s">
        <v>24</v>
      </c>
      <c r="E42" s="16" t="s">
        <v>34</v>
      </c>
      <c r="F42" s="16" t="s">
        <v>839</v>
      </c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 t="s">
        <v>28</v>
      </c>
      <c r="AA42" s="12" t="s">
        <v>32</v>
      </c>
    </row>
    <row r="43" customFormat="false" ht="15.75" hidden="false" customHeight="false" outlineLevel="0" collapsed="false">
      <c r="A43" s="13" t="n">
        <v>7919</v>
      </c>
      <c r="B43" s="14" t="n">
        <v>45406</v>
      </c>
      <c r="C43" s="15" t="s">
        <v>357</v>
      </c>
      <c r="D43" s="16" t="s">
        <v>24</v>
      </c>
      <c r="E43" s="16" t="s">
        <v>34</v>
      </c>
      <c r="F43" s="16" t="s">
        <v>840</v>
      </c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 t="s">
        <v>28</v>
      </c>
      <c r="AA43" s="12" t="s">
        <v>32</v>
      </c>
    </row>
    <row r="44" customFormat="false" ht="15.75" hidden="false" customHeight="false" outlineLevel="0" collapsed="false">
      <c r="A44" s="13" t="n">
        <v>7920</v>
      </c>
      <c r="B44" s="14" t="n">
        <v>45406</v>
      </c>
      <c r="C44" s="15" t="s">
        <v>841</v>
      </c>
      <c r="D44" s="16" t="s">
        <v>24</v>
      </c>
      <c r="E44" s="16" t="s">
        <v>34</v>
      </c>
      <c r="F44" s="16" t="s">
        <v>842</v>
      </c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 t="s">
        <v>28</v>
      </c>
      <c r="AA44" s="12" t="s">
        <v>32</v>
      </c>
    </row>
    <row r="45" customFormat="false" ht="15.75" hidden="false" customHeight="false" outlineLevel="0" collapsed="false">
      <c r="A45" s="13" t="n">
        <v>7921</v>
      </c>
      <c r="B45" s="14" t="n">
        <v>45406</v>
      </c>
      <c r="C45" s="15" t="s">
        <v>841</v>
      </c>
      <c r="D45" s="16" t="s">
        <v>24</v>
      </c>
      <c r="E45" s="16" t="s">
        <v>34</v>
      </c>
      <c r="F45" s="16" t="s">
        <v>843</v>
      </c>
      <c r="G45" s="16"/>
      <c r="H45" s="16"/>
      <c r="I45" s="16"/>
      <c r="J45" s="16"/>
      <c r="K45" s="16"/>
      <c r="L45" s="16"/>
      <c r="M45" s="16"/>
      <c r="N45" s="16"/>
      <c r="O45" s="16"/>
      <c r="P45" s="18"/>
      <c r="Q45" s="16"/>
      <c r="R45" s="16"/>
      <c r="S45" s="16"/>
      <c r="T45" s="16"/>
      <c r="U45" s="16"/>
      <c r="V45" s="16"/>
      <c r="W45" s="16"/>
      <c r="X45" s="16"/>
      <c r="Y45" s="16"/>
      <c r="Z45" s="16" t="s">
        <v>28</v>
      </c>
      <c r="AA45" s="12" t="s">
        <v>32</v>
      </c>
    </row>
    <row r="46" customFormat="false" ht="15.75" hidden="false" customHeight="false" outlineLevel="0" collapsed="false">
      <c r="A46" s="13" t="n">
        <v>7922</v>
      </c>
      <c r="B46" s="14" t="n">
        <v>45406</v>
      </c>
      <c r="C46" s="15" t="s">
        <v>841</v>
      </c>
      <c r="D46" s="16" t="s">
        <v>24</v>
      </c>
      <c r="E46" s="16" t="s">
        <v>34</v>
      </c>
      <c r="F46" s="16" t="s">
        <v>844</v>
      </c>
      <c r="G46" s="16"/>
      <c r="H46" s="16"/>
      <c r="I46" s="16"/>
      <c r="J46" s="16"/>
      <c r="K46" s="16"/>
      <c r="L46" s="16"/>
      <c r="M46" s="16"/>
      <c r="N46" s="16"/>
      <c r="O46" s="16"/>
      <c r="P46" s="18"/>
      <c r="Q46" s="16"/>
      <c r="R46" s="16"/>
      <c r="S46" s="16"/>
      <c r="T46" s="16"/>
      <c r="U46" s="16"/>
      <c r="V46" s="16"/>
      <c r="W46" s="16"/>
      <c r="X46" s="16"/>
      <c r="Y46" s="16"/>
      <c r="Z46" s="16" t="s">
        <v>28</v>
      </c>
      <c r="AA46" s="12" t="s">
        <v>32</v>
      </c>
    </row>
    <row r="47" customFormat="false" ht="15.75" hidden="false" customHeight="false" outlineLevel="0" collapsed="false">
      <c r="A47" s="13" t="n">
        <v>7923</v>
      </c>
      <c r="B47" s="14" t="n">
        <v>45406</v>
      </c>
      <c r="C47" s="15" t="s">
        <v>841</v>
      </c>
      <c r="D47" s="16" t="s">
        <v>24</v>
      </c>
      <c r="E47" s="16" t="s">
        <v>34</v>
      </c>
      <c r="F47" s="16" t="s">
        <v>845</v>
      </c>
      <c r="G47" s="16"/>
      <c r="H47" s="16"/>
      <c r="I47" s="16"/>
      <c r="J47" s="16"/>
      <c r="K47" s="16"/>
      <c r="L47" s="16"/>
      <c r="M47" s="16"/>
      <c r="N47" s="16"/>
      <c r="O47" s="16"/>
      <c r="P47" s="18"/>
      <c r="Q47" s="16"/>
      <c r="R47" s="16"/>
      <c r="S47" s="16"/>
      <c r="T47" s="16"/>
      <c r="U47" s="16"/>
      <c r="V47" s="16"/>
      <c r="W47" s="16"/>
      <c r="X47" s="16"/>
      <c r="Y47" s="16"/>
      <c r="Z47" s="16" t="s">
        <v>28</v>
      </c>
      <c r="AA47" s="12" t="s">
        <v>32</v>
      </c>
    </row>
    <row r="48" customFormat="false" ht="15.75" hidden="false" customHeight="false" outlineLevel="0" collapsed="false">
      <c r="A48" s="13" t="n">
        <v>7924</v>
      </c>
      <c r="B48" s="14" t="n">
        <v>45406</v>
      </c>
      <c r="C48" s="15" t="s">
        <v>841</v>
      </c>
      <c r="D48" s="16" t="s">
        <v>24</v>
      </c>
      <c r="E48" s="16" t="s">
        <v>34</v>
      </c>
      <c r="F48" s="16" t="s">
        <v>846</v>
      </c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 t="s">
        <v>28</v>
      </c>
      <c r="AA48" s="12" t="s">
        <v>32</v>
      </c>
    </row>
    <row r="49" customFormat="false" ht="15.75" hidden="false" customHeight="false" outlineLevel="0" collapsed="false">
      <c r="A49" s="13" t="n">
        <v>7925</v>
      </c>
      <c r="B49" s="14" t="n">
        <v>45406</v>
      </c>
      <c r="C49" s="15" t="s">
        <v>841</v>
      </c>
      <c r="D49" s="16" t="s">
        <v>24</v>
      </c>
      <c r="E49" s="16" t="s">
        <v>34</v>
      </c>
      <c r="F49" s="16" t="s">
        <v>847</v>
      </c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 t="s">
        <v>28</v>
      </c>
      <c r="AA49" s="12" t="s">
        <v>32</v>
      </c>
    </row>
    <row r="50" customFormat="false" ht="15.75" hidden="false" customHeight="false" outlineLevel="0" collapsed="false">
      <c r="A50" s="13" t="n">
        <v>7926</v>
      </c>
      <c r="B50" s="14" t="n">
        <v>45406</v>
      </c>
      <c r="C50" s="15" t="s">
        <v>841</v>
      </c>
      <c r="D50" s="16" t="s">
        <v>24</v>
      </c>
      <c r="E50" s="16" t="s">
        <v>34</v>
      </c>
      <c r="F50" s="16" t="s">
        <v>848</v>
      </c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 t="s">
        <v>28</v>
      </c>
      <c r="AA50" s="12" t="s">
        <v>32</v>
      </c>
    </row>
    <row r="51" customFormat="false" ht="15.75" hidden="false" customHeight="false" outlineLevel="0" collapsed="false">
      <c r="A51" s="13" t="n">
        <v>7927</v>
      </c>
      <c r="B51" s="14" t="n">
        <v>45406</v>
      </c>
      <c r="C51" s="15" t="s">
        <v>841</v>
      </c>
      <c r="D51" s="16" t="s">
        <v>24</v>
      </c>
      <c r="E51" s="16" t="s">
        <v>34</v>
      </c>
      <c r="F51" s="16" t="s">
        <v>849</v>
      </c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 t="s">
        <v>28</v>
      </c>
      <c r="AA51" s="12" t="s">
        <v>32</v>
      </c>
    </row>
    <row r="52" customFormat="false" ht="15.75" hidden="false" customHeight="false" outlineLevel="0" collapsed="false">
      <c r="A52" s="13" t="n">
        <v>7928</v>
      </c>
      <c r="B52" s="14" t="n">
        <v>45406</v>
      </c>
      <c r="C52" s="15" t="s">
        <v>841</v>
      </c>
      <c r="D52" s="16" t="s">
        <v>24</v>
      </c>
      <c r="E52" s="16" t="s">
        <v>34</v>
      </c>
      <c r="F52" s="16" t="s">
        <v>850</v>
      </c>
      <c r="G52" s="16"/>
      <c r="H52" s="16"/>
      <c r="I52" s="16"/>
      <c r="J52" s="16"/>
      <c r="K52" s="16"/>
      <c r="L52" s="16"/>
      <c r="M52" s="16"/>
      <c r="N52" s="16"/>
      <c r="O52" s="16"/>
      <c r="P52" s="18"/>
      <c r="Q52" s="16"/>
      <c r="R52" s="16"/>
      <c r="S52" s="16"/>
      <c r="T52" s="16"/>
      <c r="U52" s="16"/>
      <c r="V52" s="16"/>
      <c r="W52" s="16"/>
      <c r="X52" s="16"/>
      <c r="Y52" s="16"/>
      <c r="Z52" s="16" t="s">
        <v>28</v>
      </c>
      <c r="AA52" s="12" t="s">
        <v>32</v>
      </c>
    </row>
    <row r="53" customFormat="false" ht="15.75" hidden="false" customHeight="false" outlineLevel="0" collapsed="false">
      <c r="A53" s="13" t="n">
        <v>7929</v>
      </c>
      <c r="B53" s="14" t="n">
        <v>45406</v>
      </c>
      <c r="C53" s="15" t="s">
        <v>841</v>
      </c>
      <c r="D53" s="16" t="s">
        <v>24</v>
      </c>
      <c r="E53" s="16" t="s">
        <v>34</v>
      </c>
      <c r="F53" s="16" t="s">
        <v>851</v>
      </c>
      <c r="G53" s="16"/>
      <c r="H53" s="16"/>
      <c r="I53" s="16"/>
      <c r="J53" s="16"/>
      <c r="K53" s="16"/>
      <c r="L53" s="16"/>
      <c r="M53" s="16"/>
      <c r="N53" s="16"/>
      <c r="O53" s="16"/>
      <c r="P53" s="18"/>
      <c r="Q53" s="16"/>
      <c r="R53" s="16"/>
      <c r="S53" s="16"/>
      <c r="T53" s="16"/>
      <c r="U53" s="16"/>
      <c r="V53" s="16"/>
      <c r="W53" s="16"/>
      <c r="X53" s="16"/>
      <c r="Y53" s="16"/>
      <c r="Z53" s="16" t="s">
        <v>28</v>
      </c>
      <c r="AA53" s="12" t="s">
        <v>32</v>
      </c>
    </row>
    <row r="54" customFormat="false" ht="15.75" hidden="false" customHeight="false" outlineLevel="0" collapsed="false">
      <c r="A54" s="13" t="n">
        <v>7930</v>
      </c>
      <c r="B54" s="14" t="n">
        <v>45407</v>
      </c>
      <c r="C54" s="15" t="s">
        <v>91</v>
      </c>
      <c r="D54" s="16" t="s">
        <v>24</v>
      </c>
      <c r="E54" s="16" t="s">
        <v>25</v>
      </c>
      <c r="F54" s="16" t="s">
        <v>852</v>
      </c>
      <c r="G54" s="16" t="s">
        <v>853</v>
      </c>
      <c r="H54" s="17" t="s">
        <v>28</v>
      </c>
      <c r="I54" s="16"/>
      <c r="J54" s="16" t="s">
        <v>28</v>
      </c>
      <c r="K54" s="16" t="s">
        <v>29</v>
      </c>
      <c r="L54" s="16" t="s">
        <v>29</v>
      </c>
      <c r="M54" s="16" t="s">
        <v>29</v>
      </c>
      <c r="N54" s="16" t="s">
        <v>29</v>
      </c>
      <c r="O54" s="16"/>
      <c r="P54" s="18"/>
      <c r="Q54" s="16"/>
      <c r="R54" s="16"/>
      <c r="S54" s="16"/>
      <c r="T54" s="16"/>
      <c r="U54" s="16"/>
      <c r="V54" s="16"/>
      <c r="W54" s="16"/>
      <c r="X54" s="16"/>
      <c r="Y54" s="16"/>
      <c r="Z54" s="16" t="s">
        <v>28</v>
      </c>
      <c r="AA54" s="12" t="s">
        <v>32</v>
      </c>
    </row>
    <row r="55" customFormat="false" ht="15.75" hidden="false" customHeight="false" outlineLevel="0" collapsed="false">
      <c r="A55" s="13" t="n">
        <v>7931</v>
      </c>
      <c r="B55" s="14" t="n">
        <v>45407</v>
      </c>
      <c r="C55" s="16" t="s">
        <v>91</v>
      </c>
      <c r="D55" s="16" t="s">
        <v>24</v>
      </c>
      <c r="E55" s="16" t="s">
        <v>25</v>
      </c>
      <c r="F55" s="16" t="s">
        <v>854</v>
      </c>
      <c r="G55" s="16" t="s">
        <v>853</v>
      </c>
      <c r="H55" s="17" t="s">
        <v>28</v>
      </c>
      <c r="I55" s="16"/>
      <c r="J55" s="16" t="s">
        <v>28</v>
      </c>
      <c r="K55" s="16" t="s">
        <v>29</v>
      </c>
      <c r="L55" s="16" t="s">
        <v>29</v>
      </c>
      <c r="M55" s="16" t="s">
        <v>29</v>
      </c>
      <c r="N55" s="16" t="s">
        <v>29</v>
      </c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 t="s">
        <v>28</v>
      </c>
      <c r="AA55" s="12" t="s">
        <v>32</v>
      </c>
    </row>
    <row r="56" customFormat="false" ht="15.75" hidden="false" customHeight="false" outlineLevel="0" collapsed="false">
      <c r="A56" s="13" t="n">
        <v>7932</v>
      </c>
      <c r="B56" s="14" t="n">
        <v>45407</v>
      </c>
      <c r="C56" s="21" t="s">
        <v>465</v>
      </c>
      <c r="D56" s="16" t="s">
        <v>24</v>
      </c>
      <c r="E56" s="16" t="s">
        <v>34</v>
      </c>
      <c r="F56" s="16" t="s">
        <v>855</v>
      </c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 t="s">
        <v>28</v>
      </c>
      <c r="AA56" s="12" t="s">
        <v>32</v>
      </c>
    </row>
    <row r="57" customFormat="false" ht="15.75" hidden="false" customHeight="false" outlineLevel="0" collapsed="false">
      <c r="A57" s="13" t="n">
        <v>7933</v>
      </c>
      <c r="B57" s="14" t="n">
        <v>45406</v>
      </c>
      <c r="C57" s="15" t="s">
        <v>841</v>
      </c>
      <c r="D57" s="16" t="s">
        <v>24</v>
      </c>
      <c r="E57" s="16" t="s">
        <v>34</v>
      </c>
      <c r="F57" s="16" t="s">
        <v>856</v>
      </c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 t="s">
        <v>28</v>
      </c>
      <c r="AA57" s="12" t="s">
        <v>32</v>
      </c>
    </row>
    <row r="58" customFormat="false" ht="15.75" hidden="false" customHeight="false" outlineLevel="0" collapsed="false">
      <c r="A58" s="13" t="n">
        <v>7934</v>
      </c>
      <c r="B58" s="14" t="n">
        <v>45406</v>
      </c>
      <c r="C58" s="15" t="s">
        <v>841</v>
      </c>
      <c r="D58" s="16" t="s">
        <v>24</v>
      </c>
      <c r="E58" s="16" t="s">
        <v>34</v>
      </c>
      <c r="F58" s="16" t="s">
        <v>856</v>
      </c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 t="s">
        <v>28</v>
      </c>
      <c r="AA58" s="12" t="s">
        <v>32</v>
      </c>
    </row>
    <row r="59" customFormat="false" ht="15.75" hidden="false" customHeight="false" outlineLevel="0" collapsed="false">
      <c r="A59" s="44" t="n">
        <v>1296279</v>
      </c>
      <c r="B59" s="14" t="n">
        <v>45407</v>
      </c>
      <c r="C59" s="15" t="s">
        <v>412</v>
      </c>
      <c r="D59" s="16" t="s">
        <v>290</v>
      </c>
      <c r="E59" s="16" t="s">
        <v>222</v>
      </c>
      <c r="F59" s="16" t="s">
        <v>857</v>
      </c>
      <c r="G59" s="16" t="s">
        <v>858</v>
      </c>
      <c r="H59" s="17" t="s">
        <v>28</v>
      </c>
      <c r="I59" s="16"/>
      <c r="J59" s="16"/>
      <c r="K59" s="16" t="s">
        <v>29</v>
      </c>
      <c r="L59" s="16" t="s">
        <v>29</v>
      </c>
      <c r="M59" s="16"/>
      <c r="N59" s="16"/>
      <c r="O59" s="16"/>
      <c r="P59" s="18"/>
      <c r="Q59" s="16"/>
      <c r="R59" s="16"/>
      <c r="S59" s="16"/>
      <c r="T59" s="16"/>
      <c r="U59" s="16"/>
      <c r="V59" s="16" t="s">
        <v>58</v>
      </c>
      <c r="W59" s="17" t="s">
        <v>28</v>
      </c>
      <c r="X59" s="17" t="s">
        <v>28</v>
      </c>
      <c r="Y59" s="16" t="s">
        <v>36</v>
      </c>
      <c r="Z59" s="16" t="s">
        <v>28</v>
      </c>
      <c r="AA59" s="12" t="s">
        <v>32</v>
      </c>
    </row>
    <row r="60" customFormat="false" ht="15.75" hidden="false" customHeight="false" outlineLevel="0" collapsed="false">
      <c r="A60" s="13" t="n">
        <v>7935</v>
      </c>
      <c r="B60" s="14" t="n">
        <v>45407</v>
      </c>
      <c r="C60" s="16" t="s">
        <v>412</v>
      </c>
      <c r="D60" s="16" t="s">
        <v>24</v>
      </c>
      <c r="E60" s="16" t="s">
        <v>222</v>
      </c>
      <c r="F60" s="16" t="s">
        <v>857</v>
      </c>
      <c r="G60" s="16" t="s">
        <v>858</v>
      </c>
      <c r="H60" s="17" t="s">
        <v>28</v>
      </c>
      <c r="I60" s="16"/>
      <c r="J60" s="16"/>
      <c r="K60" s="16" t="s">
        <v>29</v>
      </c>
      <c r="L60" s="16" t="s">
        <v>29</v>
      </c>
      <c r="M60" s="16"/>
      <c r="N60" s="16"/>
      <c r="O60" s="16"/>
      <c r="P60" s="18"/>
      <c r="Q60" s="16" t="s">
        <v>28</v>
      </c>
      <c r="R60" s="17" t="s">
        <v>28</v>
      </c>
      <c r="S60" s="16" t="s">
        <v>73</v>
      </c>
      <c r="T60" s="16" t="s">
        <v>74</v>
      </c>
      <c r="U60" s="16" t="s">
        <v>36</v>
      </c>
      <c r="V60" s="16" t="s">
        <v>74</v>
      </c>
      <c r="W60" s="17" t="s">
        <v>28</v>
      </c>
      <c r="X60" s="17" t="s">
        <v>28</v>
      </c>
      <c r="Y60" s="16" t="s">
        <v>36</v>
      </c>
      <c r="Z60" s="16" t="s">
        <v>28</v>
      </c>
      <c r="AA60" s="12" t="s">
        <v>32</v>
      </c>
    </row>
    <row r="61" customFormat="false" ht="15.75" hidden="false" customHeight="false" outlineLevel="0" collapsed="false">
      <c r="A61" s="13" t="n">
        <v>7936</v>
      </c>
      <c r="B61" s="14" t="n">
        <v>45407</v>
      </c>
      <c r="C61" s="16" t="s">
        <v>412</v>
      </c>
      <c r="D61" s="16" t="s">
        <v>24</v>
      </c>
      <c r="E61" s="16" t="s">
        <v>222</v>
      </c>
      <c r="F61" s="16" t="s">
        <v>857</v>
      </c>
      <c r="G61" s="16" t="s">
        <v>858</v>
      </c>
      <c r="H61" s="17" t="s">
        <v>28</v>
      </c>
      <c r="I61" s="16"/>
      <c r="J61" s="16"/>
      <c r="K61" s="16" t="s">
        <v>29</v>
      </c>
      <c r="L61" s="16" t="s">
        <v>29</v>
      </c>
      <c r="M61" s="16"/>
      <c r="N61" s="16"/>
      <c r="O61" s="16"/>
      <c r="P61" s="18"/>
      <c r="Q61" s="16" t="s">
        <v>28</v>
      </c>
      <c r="R61" s="16" t="s">
        <v>28</v>
      </c>
      <c r="S61" s="16" t="s">
        <v>73</v>
      </c>
      <c r="T61" s="16" t="s">
        <v>58</v>
      </c>
      <c r="U61" s="16" t="s">
        <v>36</v>
      </c>
      <c r="V61" s="16" t="s">
        <v>74</v>
      </c>
      <c r="W61" s="17" t="s">
        <v>28</v>
      </c>
      <c r="X61" s="17" t="s">
        <v>28</v>
      </c>
      <c r="Y61" s="16" t="s">
        <v>36</v>
      </c>
      <c r="Z61" s="16" t="s">
        <v>28</v>
      </c>
      <c r="AA61" s="12" t="s">
        <v>32</v>
      </c>
    </row>
    <row r="62" customFormat="false" ht="15.75" hidden="false" customHeight="false" outlineLevel="0" collapsed="false">
      <c r="A62" s="21" t="n">
        <v>7937</v>
      </c>
      <c r="B62" s="29" t="n">
        <v>45407</v>
      </c>
      <c r="C62" s="21" t="s">
        <v>412</v>
      </c>
      <c r="D62" s="21" t="s">
        <v>24</v>
      </c>
      <c r="E62" s="21" t="s">
        <v>25</v>
      </c>
      <c r="F62" s="21" t="s">
        <v>859</v>
      </c>
      <c r="G62" s="30"/>
      <c r="H62" s="45" t="s">
        <v>28</v>
      </c>
      <c r="I62" s="31"/>
      <c r="J62" s="21" t="s">
        <v>28</v>
      </c>
      <c r="K62" s="21" t="s">
        <v>29</v>
      </c>
      <c r="L62" s="21" t="s">
        <v>29</v>
      </c>
      <c r="M62" s="21"/>
      <c r="N62" s="21"/>
      <c r="O62" s="21"/>
      <c r="P62" s="30"/>
      <c r="Q62" s="21"/>
      <c r="R62" s="21"/>
      <c r="S62" s="21"/>
      <c r="T62" s="32"/>
      <c r="U62" s="32"/>
      <c r="V62" s="21"/>
      <c r="W62" s="21"/>
      <c r="X62" s="21"/>
      <c r="Y62" s="21"/>
      <c r="Z62" s="21" t="s">
        <v>28</v>
      </c>
      <c r="AA62" s="12" t="s">
        <v>32</v>
      </c>
    </row>
    <row r="63" customFormat="false" ht="15.75" hidden="false" customHeight="false" outlineLevel="0" collapsed="false">
      <c r="A63" s="47" t="n">
        <v>1716277</v>
      </c>
      <c r="B63" s="29" t="n">
        <v>45408</v>
      </c>
      <c r="C63" s="21" t="s">
        <v>412</v>
      </c>
      <c r="D63" s="21" t="s">
        <v>290</v>
      </c>
      <c r="E63" s="21" t="s">
        <v>222</v>
      </c>
      <c r="F63" s="21" t="s">
        <v>857</v>
      </c>
      <c r="G63" s="30" t="s">
        <v>858</v>
      </c>
      <c r="H63" s="45" t="s">
        <v>28</v>
      </c>
      <c r="I63" s="31"/>
      <c r="J63" s="21"/>
      <c r="K63" s="21"/>
      <c r="L63" s="21"/>
      <c r="M63" s="21"/>
      <c r="N63" s="21"/>
      <c r="O63" s="21"/>
      <c r="P63" s="30"/>
      <c r="Q63" s="21" t="s">
        <v>28</v>
      </c>
      <c r="R63" s="21" t="s">
        <v>28</v>
      </c>
      <c r="S63" s="21" t="s">
        <v>73</v>
      </c>
      <c r="T63" s="32" t="s">
        <v>58</v>
      </c>
      <c r="U63" s="32" t="s">
        <v>36</v>
      </c>
      <c r="V63" s="21" t="s">
        <v>58</v>
      </c>
      <c r="W63" s="46" t="s">
        <v>28</v>
      </c>
      <c r="X63" s="46" t="s">
        <v>28</v>
      </c>
      <c r="Y63" s="21" t="s">
        <v>36</v>
      </c>
      <c r="Z63" s="21" t="s">
        <v>28</v>
      </c>
      <c r="AA63" s="12" t="s">
        <v>32</v>
      </c>
    </row>
    <row r="64" customFormat="false" ht="15.75" hidden="false" customHeight="false" outlineLevel="0" collapsed="false">
      <c r="A64" s="21" t="n">
        <v>7938</v>
      </c>
      <c r="B64" s="29" t="n">
        <v>45408</v>
      </c>
      <c r="C64" s="21" t="s">
        <v>75</v>
      </c>
      <c r="D64" s="21" t="s">
        <v>24</v>
      </c>
      <c r="E64" s="21" t="s">
        <v>25</v>
      </c>
      <c r="F64" s="21" t="s">
        <v>860</v>
      </c>
      <c r="G64" s="30" t="s">
        <v>861</v>
      </c>
      <c r="H64" s="45" t="s">
        <v>28</v>
      </c>
      <c r="I64" s="31"/>
      <c r="J64" s="21" t="s">
        <v>28</v>
      </c>
      <c r="K64" s="21" t="s">
        <v>29</v>
      </c>
      <c r="L64" s="21" t="s">
        <v>29</v>
      </c>
      <c r="M64" s="21" t="s">
        <v>29</v>
      </c>
      <c r="N64" s="21" t="s">
        <v>862</v>
      </c>
      <c r="O64" s="21"/>
      <c r="P64" s="30"/>
      <c r="Q64" s="21" t="s">
        <v>28</v>
      </c>
      <c r="R64" s="46" t="s">
        <v>28</v>
      </c>
      <c r="S64" s="21" t="s">
        <v>73</v>
      </c>
      <c r="T64" s="32" t="s">
        <v>30</v>
      </c>
      <c r="U64" s="32"/>
      <c r="V64" s="21" t="s">
        <v>31</v>
      </c>
      <c r="W64" s="46" t="s">
        <v>28</v>
      </c>
      <c r="X64" s="46" t="s">
        <v>28</v>
      </c>
      <c r="Y64" s="21" t="s">
        <v>29</v>
      </c>
      <c r="Z64" s="21" t="s">
        <v>28</v>
      </c>
      <c r="AA64" s="12" t="s">
        <v>32</v>
      </c>
    </row>
    <row r="65" customFormat="false" ht="15.75" hidden="false" customHeight="false" outlineLevel="0" collapsed="false">
      <c r="A65" s="47" t="n">
        <v>1324767</v>
      </c>
      <c r="B65" s="29" t="n">
        <v>45408</v>
      </c>
      <c r="C65" s="21" t="s">
        <v>120</v>
      </c>
      <c r="D65" s="21" t="s">
        <v>290</v>
      </c>
      <c r="E65" s="21" t="s">
        <v>25</v>
      </c>
      <c r="F65" s="21" t="s">
        <v>863</v>
      </c>
      <c r="G65" s="30"/>
      <c r="H65" s="45" t="s">
        <v>28</v>
      </c>
      <c r="I65" s="31"/>
      <c r="J65" s="21" t="s">
        <v>28</v>
      </c>
      <c r="K65" s="21"/>
      <c r="L65" s="21"/>
      <c r="M65" s="21"/>
      <c r="N65" s="21"/>
      <c r="O65" s="21"/>
      <c r="P65" s="30"/>
      <c r="Q65" s="21" t="s">
        <v>28</v>
      </c>
      <c r="R65" s="46" t="s">
        <v>28</v>
      </c>
      <c r="S65" s="21" t="s">
        <v>73</v>
      </c>
      <c r="T65" s="32" t="s">
        <v>30</v>
      </c>
      <c r="U65" s="32"/>
      <c r="V65" s="21" t="s">
        <v>74</v>
      </c>
      <c r="W65" s="46" t="s">
        <v>28</v>
      </c>
      <c r="X65" s="46" t="s">
        <v>28</v>
      </c>
      <c r="Y65" s="21" t="s">
        <v>36</v>
      </c>
      <c r="Z65" s="21" t="s">
        <v>28</v>
      </c>
      <c r="AA65" s="12" t="s">
        <v>32</v>
      </c>
    </row>
    <row r="66" customFormat="false" ht="15.75" hidden="false" customHeight="false" outlineLevel="0" collapsed="false">
      <c r="A66" s="47" t="n">
        <v>1490557</v>
      </c>
      <c r="B66" s="29" t="n">
        <v>45408</v>
      </c>
      <c r="C66" s="21" t="s">
        <v>120</v>
      </c>
      <c r="D66" s="21" t="s">
        <v>290</v>
      </c>
      <c r="E66" s="21" t="s">
        <v>25</v>
      </c>
      <c r="F66" s="21" t="s">
        <v>864</v>
      </c>
      <c r="G66" s="30"/>
      <c r="H66" s="45" t="s">
        <v>28</v>
      </c>
      <c r="I66" s="31"/>
      <c r="J66" s="21" t="s">
        <v>28</v>
      </c>
      <c r="K66" s="21"/>
      <c r="L66" s="21"/>
      <c r="M66" s="21"/>
      <c r="N66" s="21" t="s">
        <v>862</v>
      </c>
      <c r="O66" s="21"/>
      <c r="P66" s="30"/>
      <c r="Q66" s="21" t="s">
        <v>28</v>
      </c>
      <c r="R66" s="46" t="s">
        <v>28</v>
      </c>
      <c r="S66" s="21" t="s">
        <v>73</v>
      </c>
      <c r="T66" s="32" t="s">
        <v>30</v>
      </c>
      <c r="U66" s="32"/>
      <c r="V66" s="21" t="s">
        <v>74</v>
      </c>
      <c r="W66" s="46" t="s">
        <v>28</v>
      </c>
      <c r="X66" s="46" t="s">
        <v>28</v>
      </c>
      <c r="Y66" s="21" t="s">
        <v>36</v>
      </c>
      <c r="Z66" s="21" t="s">
        <v>28</v>
      </c>
      <c r="AA66" s="12" t="s">
        <v>32</v>
      </c>
    </row>
    <row r="67" customFormat="false" ht="15.75" hidden="false" customHeight="false" outlineLevel="0" collapsed="false">
      <c r="A67" s="21" t="n">
        <v>7939</v>
      </c>
      <c r="B67" s="33" t="n">
        <v>45411</v>
      </c>
      <c r="C67" s="21" t="s">
        <v>465</v>
      </c>
      <c r="D67" s="21" t="s">
        <v>24</v>
      </c>
      <c r="E67" s="21" t="s">
        <v>25</v>
      </c>
      <c r="F67" s="21" t="s">
        <v>865</v>
      </c>
      <c r="G67" s="30"/>
      <c r="H67" s="31"/>
      <c r="I67" s="31"/>
      <c r="J67" s="21"/>
      <c r="K67" s="21"/>
      <c r="L67" s="21"/>
      <c r="M67" s="21"/>
      <c r="N67" s="21"/>
      <c r="O67" s="21"/>
      <c r="P67" s="30"/>
      <c r="Q67" s="21"/>
      <c r="R67" s="21"/>
      <c r="S67" s="21"/>
      <c r="T67" s="32"/>
      <c r="U67" s="32"/>
      <c r="V67" s="21"/>
      <c r="W67" s="21"/>
      <c r="X67" s="21"/>
      <c r="Y67" s="21"/>
      <c r="Z67" s="21" t="s">
        <v>37</v>
      </c>
      <c r="AA67" s="12" t="s">
        <v>40</v>
      </c>
    </row>
    <row r="68" customFormat="false" ht="15.75" hidden="false" customHeight="false" outlineLevel="0" collapsed="false">
      <c r="A68" s="21" t="n">
        <v>7940</v>
      </c>
      <c r="B68" s="29" t="n">
        <v>45412</v>
      </c>
      <c r="C68" s="21" t="s">
        <v>866</v>
      </c>
      <c r="D68" s="21" t="s">
        <v>24</v>
      </c>
      <c r="E68" s="21" t="s">
        <v>160</v>
      </c>
      <c r="F68" s="21" t="s">
        <v>138</v>
      </c>
      <c r="G68" s="30"/>
      <c r="H68" s="31" t="s">
        <v>37</v>
      </c>
      <c r="I68" s="31"/>
      <c r="J68" s="21" t="s">
        <v>37</v>
      </c>
      <c r="K68" s="21"/>
      <c r="L68" s="21"/>
      <c r="M68" s="21"/>
      <c r="N68" s="21"/>
      <c r="O68" s="21"/>
      <c r="P68" s="30"/>
      <c r="Q68" s="21" t="s">
        <v>37</v>
      </c>
      <c r="R68" s="21" t="s">
        <v>37</v>
      </c>
      <c r="S68" s="21"/>
      <c r="T68" s="32"/>
      <c r="U68" s="32"/>
      <c r="V68" s="21"/>
      <c r="W68" s="21"/>
      <c r="X68" s="21"/>
      <c r="Y68" s="21"/>
      <c r="Z68" s="21" t="s">
        <v>28</v>
      </c>
      <c r="AA68" s="12" t="s">
        <v>32</v>
      </c>
    </row>
    <row r="69" customFormat="false" ht="15.75" hidden="false" customHeight="false" outlineLevel="0" collapsed="false">
      <c r="A69" s="21" t="n">
        <v>7941</v>
      </c>
      <c r="B69" s="29" t="n">
        <v>45412</v>
      </c>
      <c r="C69" s="21" t="s">
        <v>867</v>
      </c>
      <c r="D69" s="21" t="s">
        <v>24</v>
      </c>
      <c r="E69" s="21" t="s">
        <v>25</v>
      </c>
      <c r="F69" s="21" t="s">
        <v>868</v>
      </c>
      <c r="G69" s="30"/>
      <c r="H69" s="45" t="s">
        <v>28</v>
      </c>
      <c r="I69" s="31"/>
      <c r="J69" s="21" t="s">
        <v>28</v>
      </c>
      <c r="K69" s="21" t="s">
        <v>29</v>
      </c>
      <c r="L69" s="21" t="s">
        <v>29</v>
      </c>
      <c r="M69" s="21" t="s">
        <v>29</v>
      </c>
      <c r="N69" s="21" t="s">
        <v>29</v>
      </c>
      <c r="O69" s="21"/>
      <c r="P69" s="30"/>
      <c r="Q69" s="21"/>
      <c r="R69" s="21"/>
      <c r="S69" s="21"/>
      <c r="T69" s="32"/>
      <c r="U69" s="32"/>
      <c r="V69" s="21"/>
      <c r="W69" s="21"/>
      <c r="X69" s="21"/>
      <c r="Y69" s="21"/>
      <c r="Z69" s="21" t="s">
        <v>28</v>
      </c>
      <c r="AA69" s="12" t="s">
        <v>32</v>
      </c>
    </row>
    <row r="70" customFormat="false" ht="15.75" hidden="false" customHeight="false" outlineLevel="0" collapsed="false">
      <c r="A70" s="21" t="n">
        <v>7942</v>
      </c>
      <c r="B70" s="29" t="n">
        <v>45412</v>
      </c>
      <c r="C70" s="21" t="s">
        <v>760</v>
      </c>
      <c r="D70" s="21" t="s">
        <v>24</v>
      </c>
      <c r="E70" s="21" t="s">
        <v>160</v>
      </c>
      <c r="F70" s="21" t="s">
        <v>869</v>
      </c>
      <c r="G70" s="30"/>
      <c r="H70" s="31" t="s">
        <v>37</v>
      </c>
      <c r="I70" s="31"/>
      <c r="J70" s="21" t="s">
        <v>37</v>
      </c>
      <c r="K70" s="21"/>
      <c r="L70" s="21"/>
      <c r="M70" s="21"/>
      <c r="N70" s="21"/>
      <c r="O70" s="21"/>
      <c r="P70" s="30"/>
      <c r="Q70" s="21"/>
      <c r="R70" s="21"/>
      <c r="S70" s="21"/>
      <c r="T70" s="32"/>
      <c r="U70" s="32"/>
      <c r="V70" s="21"/>
      <c r="W70" s="21"/>
      <c r="X70" s="21"/>
      <c r="Y70" s="21"/>
      <c r="Z70" s="21" t="s">
        <v>28</v>
      </c>
      <c r="AA70" s="12" t="s">
        <v>32</v>
      </c>
    </row>
    <row r="71" customFormat="false" ht="15.75" hidden="false" customHeight="false" outlineLevel="0" collapsed="false">
      <c r="A71" s="12"/>
      <c r="B71" s="34"/>
      <c r="C71" s="12"/>
      <c r="D71" s="12"/>
      <c r="E71" s="12"/>
      <c r="F71" s="12"/>
      <c r="G71" s="18"/>
      <c r="H71" s="35"/>
      <c r="I71" s="35"/>
      <c r="J71" s="12"/>
      <c r="O71" s="12"/>
      <c r="P71" s="18"/>
      <c r="Q71" s="12"/>
      <c r="R71" s="12"/>
      <c r="S71" s="12"/>
      <c r="T71" s="36"/>
      <c r="U71" s="36"/>
      <c r="V71" s="12"/>
      <c r="W71" s="12"/>
      <c r="X71" s="12"/>
      <c r="Y71" s="12"/>
      <c r="Z71" s="12"/>
    </row>
    <row r="72" customFormat="false" ht="15.75" hidden="false" customHeight="false" outlineLevel="0" collapsed="false">
      <c r="A72" s="12"/>
      <c r="B72" s="34"/>
      <c r="C72" s="12"/>
      <c r="D72" s="12"/>
      <c r="E72" s="12"/>
      <c r="F72" s="12"/>
      <c r="G72" s="18"/>
      <c r="H72" s="35"/>
      <c r="I72" s="35"/>
      <c r="J72" s="12"/>
      <c r="O72" s="12"/>
      <c r="P72" s="18"/>
      <c r="Q72" s="12"/>
      <c r="R72" s="12"/>
      <c r="S72" s="12"/>
      <c r="T72" s="36"/>
      <c r="U72" s="36"/>
      <c r="V72" s="12"/>
      <c r="W72" s="12"/>
      <c r="X72" s="12"/>
      <c r="Y72" s="12"/>
      <c r="Z72" s="12"/>
    </row>
    <row r="73" customFormat="false" ht="15.75" hidden="false" customHeight="false" outlineLevel="0" collapsed="false">
      <c r="A73" s="12"/>
      <c r="B73" s="34"/>
      <c r="C73" s="12"/>
      <c r="D73" s="12"/>
      <c r="E73" s="12"/>
      <c r="F73" s="12"/>
      <c r="G73" s="18"/>
      <c r="H73" s="35"/>
      <c r="I73" s="35"/>
      <c r="J73" s="12"/>
      <c r="O73" s="12"/>
      <c r="P73" s="18"/>
      <c r="Q73" s="12"/>
      <c r="R73" s="12"/>
      <c r="S73" s="12"/>
      <c r="T73" s="36"/>
      <c r="U73" s="36"/>
      <c r="V73" s="12"/>
      <c r="W73" s="12"/>
      <c r="X73" s="12"/>
      <c r="Y73" s="12"/>
      <c r="Z73" s="12"/>
    </row>
    <row r="74" customFormat="false" ht="15.75" hidden="false" customHeight="false" outlineLevel="0" collapsed="false">
      <c r="A74" s="12"/>
      <c r="B74" s="34"/>
      <c r="C74" s="12"/>
      <c r="D74" s="12"/>
      <c r="E74" s="12"/>
      <c r="F74" s="12"/>
      <c r="G74" s="18"/>
      <c r="H74" s="35"/>
      <c r="I74" s="35"/>
      <c r="J74" s="12"/>
      <c r="O74" s="12"/>
      <c r="P74" s="18"/>
      <c r="Q74" s="12"/>
      <c r="R74" s="12"/>
      <c r="S74" s="12"/>
      <c r="T74" s="36"/>
      <c r="U74" s="36"/>
      <c r="V74" s="12"/>
      <c r="W74" s="12"/>
      <c r="X74" s="12"/>
      <c r="Y74" s="12"/>
      <c r="Z74" s="12"/>
    </row>
    <row r="75" customFormat="false" ht="15.75" hidden="false" customHeight="false" outlineLevel="0" collapsed="false">
      <c r="A75" s="12"/>
      <c r="B75" s="34"/>
      <c r="C75" s="12"/>
      <c r="D75" s="12"/>
      <c r="E75" s="12"/>
      <c r="F75" s="12"/>
      <c r="G75" s="18"/>
      <c r="H75" s="35"/>
      <c r="I75" s="35"/>
      <c r="J75" s="12"/>
      <c r="O75" s="12"/>
      <c r="P75" s="18"/>
      <c r="Q75" s="12"/>
      <c r="R75" s="12"/>
      <c r="S75" s="12"/>
      <c r="T75" s="36"/>
      <c r="U75" s="36"/>
      <c r="V75" s="12"/>
      <c r="W75" s="12"/>
      <c r="X75" s="12"/>
      <c r="Y75" s="12"/>
      <c r="Z75" s="12"/>
    </row>
    <row r="76" customFormat="false" ht="15.75" hidden="false" customHeight="false" outlineLevel="0" collapsed="false">
      <c r="A76" s="12"/>
      <c r="B76" s="34"/>
      <c r="C76" s="12"/>
      <c r="D76" s="12"/>
      <c r="E76" s="12"/>
      <c r="F76" s="12"/>
      <c r="G76" s="18"/>
      <c r="H76" s="35"/>
      <c r="I76" s="35"/>
      <c r="J76" s="12"/>
      <c r="O76" s="12"/>
      <c r="P76" s="18"/>
      <c r="Q76" s="12"/>
      <c r="R76" s="12"/>
      <c r="S76" s="12"/>
      <c r="T76" s="36"/>
      <c r="U76" s="36"/>
      <c r="V76" s="12"/>
      <c r="W76" s="12"/>
      <c r="X76" s="12"/>
      <c r="Y76" s="12"/>
      <c r="Z76" s="12"/>
    </row>
    <row r="77" customFormat="false" ht="15.75" hidden="false" customHeight="false" outlineLevel="0" collapsed="false">
      <c r="A77" s="12"/>
      <c r="B77" s="34"/>
      <c r="C77" s="12"/>
      <c r="D77" s="12"/>
      <c r="E77" s="12"/>
      <c r="F77" s="12"/>
      <c r="G77" s="18"/>
      <c r="H77" s="35"/>
      <c r="I77" s="35"/>
      <c r="J77" s="12"/>
      <c r="O77" s="12"/>
      <c r="P77" s="18"/>
      <c r="Q77" s="12"/>
      <c r="R77" s="12"/>
      <c r="S77" s="12"/>
      <c r="T77" s="36"/>
      <c r="U77" s="36"/>
      <c r="V77" s="12"/>
      <c r="W77" s="12"/>
      <c r="X77" s="12"/>
      <c r="Y77" s="12"/>
      <c r="Z77" s="12"/>
    </row>
    <row r="78" customFormat="false" ht="15.75" hidden="false" customHeight="false" outlineLevel="0" collapsed="false">
      <c r="A78" s="12"/>
      <c r="B78" s="34"/>
      <c r="C78" s="12"/>
      <c r="D78" s="12"/>
      <c r="E78" s="12"/>
      <c r="F78" s="12"/>
      <c r="G78" s="18"/>
      <c r="H78" s="35"/>
      <c r="I78" s="35"/>
      <c r="J78" s="12"/>
      <c r="O78" s="12"/>
      <c r="P78" s="18"/>
      <c r="Q78" s="12"/>
      <c r="R78" s="12"/>
      <c r="S78" s="12"/>
      <c r="T78" s="36"/>
      <c r="U78" s="36"/>
      <c r="V78" s="12"/>
      <c r="W78" s="12"/>
      <c r="X78" s="12"/>
      <c r="Y78" s="12"/>
      <c r="Z78" s="12"/>
    </row>
    <row r="79" customFormat="false" ht="15.75" hidden="false" customHeight="false" outlineLevel="0" collapsed="false">
      <c r="A79" s="12"/>
      <c r="B79" s="34"/>
      <c r="C79" s="12"/>
      <c r="D79" s="12"/>
      <c r="E79" s="12"/>
      <c r="F79" s="12"/>
      <c r="G79" s="18"/>
      <c r="H79" s="35"/>
      <c r="I79" s="35"/>
      <c r="J79" s="12"/>
      <c r="O79" s="12"/>
      <c r="P79" s="18"/>
      <c r="Q79" s="12"/>
      <c r="R79" s="12"/>
      <c r="S79" s="12"/>
      <c r="T79" s="36"/>
      <c r="U79" s="36"/>
      <c r="V79" s="12"/>
      <c r="W79" s="12"/>
      <c r="X79" s="12"/>
      <c r="Y79" s="12"/>
      <c r="Z79" s="12"/>
    </row>
    <row r="80" customFormat="false" ht="15.75" hidden="false" customHeight="false" outlineLevel="0" collapsed="false">
      <c r="A80" s="12"/>
      <c r="B80" s="34"/>
      <c r="C80" s="12"/>
      <c r="D80" s="12"/>
      <c r="E80" s="12"/>
      <c r="F80" s="12"/>
      <c r="G80" s="18"/>
      <c r="H80" s="35"/>
      <c r="I80" s="35"/>
      <c r="J80" s="12"/>
      <c r="O80" s="12"/>
      <c r="P80" s="18"/>
      <c r="Q80" s="12"/>
      <c r="R80" s="12"/>
      <c r="S80" s="12"/>
      <c r="T80" s="36"/>
      <c r="U80" s="36"/>
      <c r="V80" s="12"/>
      <c r="W80" s="12"/>
      <c r="X80" s="12"/>
      <c r="Y80" s="12"/>
      <c r="Z80" s="12"/>
    </row>
    <row r="81" customFormat="false" ht="15.75" hidden="false" customHeight="false" outlineLevel="0" collapsed="false">
      <c r="A81" s="12"/>
      <c r="B81" s="34"/>
      <c r="C81" s="12"/>
      <c r="D81" s="12"/>
      <c r="E81" s="12"/>
      <c r="F81" s="12"/>
      <c r="G81" s="18"/>
      <c r="H81" s="35"/>
      <c r="I81" s="35"/>
      <c r="J81" s="12"/>
      <c r="O81" s="12"/>
      <c r="P81" s="18"/>
      <c r="Q81" s="12"/>
      <c r="R81" s="12"/>
      <c r="S81" s="12"/>
      <c r="T81" s="36"/>
      <c r="U81" s="36"/>
      <c r="V81" s="12"/>
      <c r="W81" s="12"/>
      <c r="X81" s="12"/>
      <c r="Y81" s="12"/>
      <c r="Z81" s="12"/>
    </row>
    <row r="82" customFormat="false" ht="15.75" hidden="false" customHeight="false" outlineLevel="0" collapsed="false">
      <c r="A82" s="12"/>
      <c r="B82" s="34"/>
      <c r="C82" s="12"/>
      <c r="D82" s="12"/>
      <c r="E82" s="12"/>
      <c r="F82" s="12"/>
      <c r="G82" s="18"/>
      <c r="H82" s="35"/>
      <c r="I82" s="35"/>
      <c r="J82" s="12"/>
      <c r="O82" s="12"/>
      <c r="P82" s="18"/>
      <c r="Q82" s="12"/>
      <c r="R82" s="12"/>
      <c r="S82" s="12"/>
      <c r="T82" s="36"/>
      <c r="U82" s="36"/>
      <c r="V82" s="12"/>
      <c r="W82" s="12"/>
      <c r="X82" s="12"/>
      <c r="Y82" s="12"/>
      <c r="Z82" s="12"/>
    </row>
    <row r="83" customFormat="false" ht="15.75" hidden="false" customHeight="false" outlineLevel="0" collapsed="false">
      <c r="A83" s="12"/>
      <c r="B83" s="34"/>
      <c r="C83" s="12"/>
      <c r="D83" s="12"/>
      <c r="E83" s="12"/>
      <c r="F83" s="12"/>
      <c r="G83" s="18"/>
      <c r="H83" s="35"/>
      <c r="I83" s="35"/>
      <c r="J83" s="12"/>
      <c r="O83" s="12"/>
      <c r="P83" s="18"/>
      <c r="Q83" s="12"/>
      <c r="R83" s="12"/>
      <c r="S83" s="12"/>
      <c r="T83" s="36"/>
      <c r="U83" s="36"/>
      <c r="V83" s="12"/>
      <c r="W83" s="12"/>
      <c r="X83" s="12"/>
      <c r="Y83" s="12"/>
      <c r="Z83" s="12"/>
    </row>
    <row r="84" customFormat="false" ht="15.75" hidden="false" customHeight="false" outlineLevel="0" collapsed="false">
      <c r="A84" s="12"/>
      <c r="B84" s="34"/>
      <c r="C84" s="12"/>
      <c r="D84" s="12"/>
      <c r="E84" s="12"/>
      <c r="F84" s="12"/>
      <c r="G84" s="18"/>
      <c r="H84" s="35"/>
      <c r="I84" s="35"/>
      <c r="J84" s="12"/>
      <c r="O84" s="12"/>
      <c r="P84" s="18"/>
      <c r="Q84" s="12"/>
      <c r="R84" s="12"/>
      <c r="S84" s="12"/>
      <c r="T84" s="36"/>
      <c r="U84" s="36"/>
      <c r="V84" s="12"/>
      <c r="W84" s="12"/>
      <c r="X84" s="12"/>
      <c r="Y84" s="12"/>
      <c r="Z84" s="12"/>
    </row>
    <row r="85" customFormat="false" ht="15.75" hidden="false" customHeight="false" outlineLevel="0" collapsed="false">
      <c r="A85" s="12"/>
      <c r="B85" s="34"/>
      <c r="C85" s="12"/>
      <c r="D85" s="12"/>
      <c r="E85" s="12"/>
      <c r="F85" s="12"/>
      <c r="G85" s="18"/>
      <c r="H85" s="35"/>
      <c r="I85" s="35"/>
      <c r="J85" s="12"/>
      <c r="O85" s="12"/>
      <c r="P85" s="18"/>
      <c r="Q85" s="12"/>
      <c r="R85" s="12"/>
      <c r="S85" s="12"/>
      <c r="T85" s="36"/>
      <c r="U85" s="36"/>
      <c r="V85" s="12"/>
      <c r="W85" s="12"/>
      <c r="X85" s="12"/>
      <c r="Y85" s="12"/>
      <c r="Z85" s="12"/>
    </row>
    <row r="86" customFormat="false" ht="15.75" hidden="false" customHeight="false" outlineLevel="0" collapsed="false">
      <c r="A86" s="12"/>
      <c r="B86" s="34"/>
      <c r="C86" s="12"/>
      <c r="D86" s="12"/>
      <c r="E86" s="12"/>
      <c r="F86" s="12"/>
      <c r="G86" s="18"/>
      <c r="H86" s="35"/>
      <c r="I86" s="35"/>
      <c r="J86" s="12"/>
      <c r="O86" s="12"/>
      <c r="P86" s="18"/>
      <c r="Q86" s="12"/>
      <c r="R86" s="12"/>
      <c r="S86" s="12"/>
      <c r="T86" s="36"/>
      <c r="U86" s="36"/>
      <c r="V86" s="12"/>
      <c r="W86" s="12"/>
      <c r="X86" s="12"/>
      <c r="Y86" s="12"/>
      <c r="Z86" s="12"/>
    </row>
    <row r="87" customFormat="false" ht="15.75" hidden="false" customHeight="false" outlineLevel="0" collapsed="false">
      <c r="A87" s="12"/>
      <c r="B87" s="34"/>
      <c r="C87" s="12"/>
      <c r="D87" s="12"/>
      <c r="E87" s="12"/>
      <c r="F87" s="12"/>
      <c r="G87" s="18"/>
      <c r="H87" s="35"/>
      <c r="I87" s="35"/>
      <c r="J87" s="12"/>
      <c r="O87" s="12"/>
      <c r="P87" s="18"/>
      <c r="Q87" s="12"/>
      <c r="R87" s="12"/>
      <c r="S87" s="12"/>
      <c r="T87" s="36"/>
      <c r="U87" s="36"/>
      <c r="V87" s="12"/>
      <c r="W87" s="12"/>
      <c r="X87" s="12"/>
      <c r="Y87" s="12"/>
      <c r="Z87" s="12"/>
    </row>
    <row r="88" customFormat="false" ht="15.75" hidden="false" customHeight="false" outlineLevel="0" collapsed="false">
      <c r="A88" s="12"/>
      <c r="B88" s="34"/>
      <c r="C88" s="12"/>
      <c r="D88" s="12"/>
      <c r="E88" s="12"/>
      <c r="F88" s="12"/>
      <c r="G88" s="18"/>
      <c r="H88" s="35"/>
      <c r="I88" s="35"/>
      <c r="J88" s="12"/>
      <c r="O88" s="12"/>
      <c r="P88" s="18"/>
      <c r="Q88" s="12"/>
      <c r="R88" s="12"/>
      <c r="S88" s="12"/>
      <c r="T88" s="36"/>
      <c r="U88" s="36"/>
      <c r="V88" s="12"/>
      <c r="W88" s="12"/>
      <c r="X88" s="12"/>
      <c r="Y88" s="12"/>
      <c r="Z88" s="12"/>
    </row>
    <row r="89" customFormat="false" ht="15.75" hidden="false" customHeight="false" outlineLevel="0" collapsed="false">
      <c r="A89" s="12"/>
      <c r="B89" s="34"/>
      <c r="C89" s="12"/>
      <c r="D89" s="12"/>
      <c r="E89" s="12"/>
      <c r="F89" s="12"/>
      <c r="G89" s="18"/>
      <c r="H89" s="35"/>
      <c r="I89" s="35"/>
      <c r="J89" s="12"/>
      <c r="O89" s="12"/>
      <c r="P89" s="18"/>
      <c r="Q89" s="12"/>
      <c r="R89" s="12"/>
      <c r="S89" s="12"/>
      <c r="T89" s="36"/>
      <c r="U89" s="36"/>
      <c r="V89" s="12"/>
      <c r="W89" s="12"/>
      <c r="X89" s="12"/>
      <c r="Y89" s="12"/>
      <c r="Z89" s="12"/>
    </row>
    <row r="90" customFormat="false" ht="15.75" hidden="false" customHeight="false" outlineLevel="0" collapsed="false">
      <c r="A90" s="12"/>
      <c r="B90" s="34"/>
      <c r="C90" s="12"/>
      <c r="D90" s="12"/>
      <c r="E90" s="12"/>
      <c r="F90" s="12"/>
      <c r="G90" s="18"/>
      <c r="H90" s="35"/>
      <c r="I90" s="35"/>
      <c r="J90" s="12"/>
      <c r="O90" s="12"/>
      <c r="P90" s="18"/>
      <c r="Q90" s="12"/>
      <c r="R90" s="12"/>
      <c r="S90" s="12"/>
      <c r="T90" s="36"/>
      <c r="U90" s="36"/>
      <c r="V90" s="12"/>
      <c r="W90" s="12"/>
      <c r="X90" s="12"/>
      <c r="Y90" s="12"/>
      <c r="Z90" s="12"/>
    </row>
    <row r="91" customFormat="false" ht="15.75" hidden="false" customHeight="false" outlineLevel="0" collapsed="false">
      <c r="A91" s="12"/>
      <c r="B91" s="34"/>
      <c r="C91" s="12"/>
      <c r="D91" s="12"/>
      <c r="E91" s="12"/>
      <c r="F91" s="12"/>
      <c r="G91" s="18"/>
      <c r="H91" s="35"/>
      <c r="I91" s="35"/>
      <c r="J91" s="12"/>
      <c r="O91" s="12"/>
      <c r="P91" s="18"/>
      <c r="Q91" s="12"/>
      <c r="R91" s="12"/>
      <c r="S91" s="12"/>
      <c r="T91" s="36"/>
      <c r="U91" s="36"/>
      <c r="V91" s="12"/>
      <c r="W91" s="12"/>
      <c r="X91" s="12"/>
      <c r="Y91" s="12"/>
      <c r="Z91" s="12"/>
    </row>
    <row r="92" customFormat="false" ht="15.75" hidden="false" customHeight="false" outlineLevel="0" collapsed="false">
      <c r="A92" s="12"/>
      <c r="B92" s="34"/>
      <c r="C92" s="12"/>
      <c r="D92" s="12"/>
      <c r="E92" s="12"/>
      <c r="F92" s="12"/>
      <c r="G92" s="18"/>
      <c r="H92" s="35"/>
      <c r="I92" s="35"/>
      <c r="J92" s="12"/>
      <c r="O92" s="12"/>
      <c r="P92" s="18"/>
      <c r="Q92" s="12"/>
      <c r="R92" s="12"/>
      <c r="S92" s="12"/>
      <c r="T92" s="36"/>
      <c r="U92" s="36"/>
      <c r="V92" s="12"/>
      <c r="W92" s="12"/>
      <c r="X92" s="12"/>
      <c r="Y92" s="12"/>
      <c r="Z92" s="12"/>
    </row>
    <row r="93" customFormat="false" ht="15.75" hidden="false" customHeight="false" outlineLevel="0" collapsed="false">
      <c r="A93" s="12"/>
      <c r="B93" s="34"/>
      <c r="C93" s="12"/>
      <c r="D93" s="12"/>
      <c r="E93" s="12"/>
      <c r="F93" s="12"/>
      <c r="G93" s="18"/>
      <c r="H93" s="35"/>
      <c r="I93" s="35"/>
      <c r="J93" s="12"/>
      <c r="O93" s="12"/>
      <c r="P93" s="18"/>
      <c r="Q93" s="12"/>
      <c r="R93" s="12"/>
      <c r="S93" s="12"/>
      <c r="T93" s="36"/>
      <c r="U93" s="36"/>
      <c r="V93" s="12"/>
      <c r="W93" s="12"/>
      <c r="X93" s="12"/>
      <c r="Y93" s="12"/>
      <c r="Z93" s="12"/>
    </row>
    <row r="94" customFormat="false" ht="15.75" hidden="false" customHeight="false" outlineLevel="0" collapsed="false">
      <c r="A94" s="12"/>
      <c r="B94" s="34"/>
      <c r="C94" s="12"/>
      <c r="D94" s="12"/>
      <c r="E94" s="12"/>
      <c r="F94" s="12"/>
      <c r="G94" s="18"/>
      <c r="H94" s="35"/>
      <c r="I94" s="35"/>
      <c r="J94" s="12"/>
      <c r="O94" s="12"/>
      <c r="P94" s="18"/>
      <c r="Q94" s="12"/>
      <c r="R94" s="12"/>
      <c r="S94" s="12"/>
      <c r="T94" s="36"/>
      <c r="U94" s="36"/>
      <c r="V94" s="12"/>
      <c r="W94" s="12"/>
      <c r="X94" s="12"/>
      <c r="Y94" s="12"/>
      <c r="Z94" s="12"/>
    </row>
    <row r="95" customFormat="false" ht="15.75" hidden="false" customHeight="false" outlineLevel="0" collapsed="false">
      <c r="A95" s="12"/>
      <c r="B95" s="34"/>
      <c r="C95" s="12"/>
      <c r="D95" s="12"/>
      <c r="E95" s="12"/>
      <c r="F95" s="12"/>
      <c r="G95" s="18"/>
      <c r="H95" s="35"/>
      <c r="I95" s="35"/>
      <c r="J95" s="12"/>
      <c r="O95" s="12"/>
      <c r="P95" s="18"/>
      <c r="Q95" s="12"/>
      <c r="R95" s="12"/>
      <c r="S95" s="12"/>
      <c r="T95" s="36"/>
      <c r="U95" s="36"/>
      <c r="V95" s="12"/>
      <c r="W95" s="12"/>
      <c r="X95" s="12"/>
      <c r="Y95" s="12"/>
      <c r="Z95" s="12"/>
    </row>
    <row r="96" customFormat="false" ht="15.75" hidden="false" customHeight="false" outlineLevel="0" collapsed="false">
      <c r="A96" s="12"/>
      <c r="B96" s="34"/>
      <c r="C96" s="12"/>
      <c r="D96" s="12"/>
      <c r="E96" s="12"/>
      <c r="F96" s="12"/>
      <c r="G96" s="18"/>
      <c r="H96" s="35"/>
      <c r="I96" s="35"/>
      <c r="J96" s="12"/>
      <c r="O96" s="12"/>
      <c r="P96" s="18"/>
      <c r="Q96" s="12"/>
      <c r="R96" s="12"/>
      <c r="S96" s="12"/>
      <c r="T96" s="36"/>
      <c r="U96" s="36"/>
      <c r="V96" s="12"/>
      <c r="W96" s="12"/>
      <c r="X96" s="12"/>
      <c r="Y96" s="12"/>
      <c r="Z96" s="12"/>
    </row>
    <row r="97" customFormat="false" ht="15.75" hidden="false" customHeight="false" outlineLevel="0" collapsed="false">
      <c r="A97" s="12"/>
      <c r="B97" s="34"/>
      <c r="C97" s="12"/>
      <c r="D97" s="12"/>
      <c r="E97" s="12"/>
      <c r="F97" s="12"/>
      <c r="G97" s="18"/>
      <c r="H97" s="35"/>
      <c r="I97" s="35"/>
      <c r="J97" s="12"/>
      <c r="O97" s="12"/>
      <c r="P97" s="18"/>
      <c r="Q97" s="12"/>
      <c r="R97" s="12"/>
      <c r="S97" s="12"/>
      <c r="T97" s="36"/>
      <c r="U97" s="36"/>
      <c r="V97" s="12"/>
      <c r="W97" s="12"/>
      <c r="X97" s="12"/>
      <c r="Y97" s="12"/>
      <c r="Z97" s="12"/>
    </row>
    <row r="98" customFormat="false" ht="15.75" hidden="false" customHeight="false" outlineLevel="0" collapsed="false">
      <c r="A98" s="12"/>
      <c r="B98" s="34"/>
      <c r="C98" s="12"/>
      <c r="D98" s="12"/>
      <c r="E98" s="12"/>
      <c r="F98" s="12"/>
      <c r="G98" s="18"/>
      <c r="H98" s="35"/>
      <c r="I98" s="35"/>
      <c r="J98" s="12"/>
      <c r="O98" s="12"/>
      <c r="P98" s="18"/>
      <c r="Q98" s="12"/>
      <c r="R98" s="12"/>
      <c r="S98" s="12"/>
      <c r="T98" s="36"/>
      <c r="U98" s="36"/>
      <c r="V98" s="12"/>
      <c r="W98" s="12"/>
      <c r="X98" s="12"/>
      <c r="Y98" s="12"/>
      <c r="Z98" s="12"/>
    </row>
    <row r="99" customFormat="false" ht="15.75" hidden="false" customHeight="false" outlineLevel="0" collapsed="false">
      <c r="A99" s="12"/>
      <c r="B99" s="34"/>
      <c r="C99" s="12"/>
      <c r="D99" s="12"/>
      <c r="E99" s="12"/>
      <c r="F99" s="12"/>
      <c r="G99" s="18"/>
      <c r="H99" s="35"/>
      <c r="I99" s="35"/>
      <c r="J99" s="12"/>
      <c r="O99" s="12"/>
      <c r="P99" s="18"/>
      <c r="Q99" s="12"/>
      <c r="R99" s="12"/>
      <c r="S99" s="12"/>
      <c r="T99" s="36"/>
      <c r="U99" s="36"/>
      <c r="V99" s="12"/>
      <c r="W99" s="12"/>
      <c r="X99" s="12"/>
      <c r="Y99" s="12"/>
      <c r="Z99" s="12"/>
    </row>
    <row r="100" customFormat="false" ht="15.75" hidden="false" customHeight="false" outlineLevel="0" collapsed="false">
      <c r="A100" s="12"/>
      <c r="B100" s="34"/>
      <c r="C100" s="12"/>
      <c r="D100" s="12"/>
      <c r="E100" s="12"/>
      <c r="F100" s="12"/>
      <c r="G100" s="18"/>
      <c r="H100" s="35"/>
      <c r="I100" s="35"/>
      <c r="J100" s="12"/>
      <c r="O100" s="12"/>
      <c r="P100" s="18"/>
      <c r="Q100" s="12"/>
      <c r="R100" s="12"/>
      <c r="S100" s="12"/>
      <c r="T100" s="36"/>
      <c r="U100" s="36"/>
      <c r="V100" s="12"/>
      <c r="W100" s="12"/>
      <c r="X100" s="12"/>
      <c r="Y100" s="12"/>
      <c r="Z100" s="12"/>
    </row>
    <row r="101" customFormat="false" ht="15.75" hidden="false" customHeight="false" outlineLevel="0" collapsed="false">
      <c r="A101" s="12"/>
      <c r="B101" s="34"/>
      <c r="C101" s="12"/>
      <c r="D101" s="12"/>
      <c r="E101" s="12"/>
      <c r="F101" s="12"/>
      <c r="G101" s="18"/>
      <c r="H101" s="35"/>
      <c r="I101" s="35"/>
      <c r="J101" s="12"/>
      <c r="O101" s="12"/>
      <c r="P101" s="18"/>
      <c r="Q101" s="12"/>
      <c r="R101" s="12"/>
      <c r="S101" s="12"/>
      <c r="T101" s="36"/>
      <c r="U101" s="36"/>
      <c r="V101" s="12"/>
      <c r="W101" s="12"/>
      <c r="X101" s="12"/>
      <c r="Y101" s="12"/>
      <c r="Z101" s="12"/>
    </row>
    <row r="102" customFormat="false" ht="15.75" hidden="false" customHeight="false" outlineLevel="0" collapsed="false">
      <c r="A102" s="12"/>
      <c r="B102" s="34"/>
      <c r="C102" s="12"/>
      <c r="D102" s="12"/>
      <c r="E102" s="12"/>
      <c r="F102" s="12"/>
      <c r="G102" s="18"/>
      <c r="H102" s="35"/>
      <c r="I102" s="35"/>
      <c r="J102" s="12"/>
      <c r="O102" s="12"/>
      <c r="P102" s="18"/>
      <c r="Q102" s="12"/>
      <c r="R102" s="12"/>
      <c r="S102" s="12"/>
      <c r="T102" s="36"/>
      <c r="U102" s="36"/>
      <c r="V102" s="12"/>
      <c r="W102" s="12"/>
      <c r="X102" s="12"/>
      <c r="Y102" s="12"/>
      <c r="Z102" s="12"/>
    </row>
    <row r="103" customFormat="false" ht="15.75" hidden="false" customHeight="false" outlineLevel="0" collapsed="false">
      <c r="A103" s="12"/>
      <c r="B103" s="34"/>
      <c r="C103" s="12"/>
      <c r="D103" s="12"/>
      <c r="E103" s="12"/>
      <c r="F103" s="12"/>
      <c r="G103" s="18"/>
      <c r="H103" s="35"/>
      <c r="I103" s="35"/>
      <c r="J103" s="12"/>
      <c r="O103" s="12"/>
      <c r="P103" s="18"/>
      <c r="Q103" s="12"/>
      <c r="R103" s="12"/>
      <c r="S103" s="12"/>
      <c r="T103" s="36"/>
      <c r="U103" s="36"/>
      <c r="V103" s="12"/>
      <c r="W103" s="12"/>
      <c r="X103" s="12"/>
      <c r="Y103" s="12"/>
      <c r="Z103" s="12"/>
    </row>
    <row r="104" customFormat="false" ht="15.75" hidden="false" customHeight="false" outlineLevel="0" collapsed="false">
      <c r="A104" s="12"/>
      <c r="B104" s="34"/>
      <c r="C104" s="12"/>
      <c r="D104" s="12"/>
      <c r="E104" s="12"/>
      <c r="F104" s="12"/>
      <c r="G104" s="18"/>
      <c r="H104" s="35"/>
      <c r="I104" s="35"/>
      <c r="J104" s="12"/>
      <c r="O104" s="12"/>
      <c r="P104" s="18"/>
      <c r="Q104" s="12"/>
      <c r="R104" s="12"/>
      <c r="S104" s="12"/>
      <c r="T104" s="36"/>
      <c r="U104" s="36"/>
      <c r="V104" s="12"/>
      <c r="W104" s="12"/>
      <c r="X104" s="12"/>
      <c r="Y104" s="12"/>
      <c r="Z104" s="12"/>
    </row>
    <row r="105" customFormat="false" ht="15.75" hidden="false" customHeight="false" outlineLevel="0" collapsed="false">
      <c r="A105" s="12"/>
      <c r="B105" s="34"/>
      <c r="C105" s="12"/>
      <c r="D105" s="12"/>
      <c r="E105" s="12"/>
      <c r="F105" s="12"/>
      <c r="G105" s="18"/>
      <c r="H105" s="35"/>
      <c r="I105" s="35"/>
      <c r="J105" s="12"/>
      <c r="O105" s="12"/>
      <c r="P105" s="18"/>
      <c r="Q105" s="12"/>
      <c r="R105" s="12"/>
      <c r="S105" s="12"/>
      <c r="T105" s="36"/>
      <c r="U105" s="36"/>
      <c r="V105" s="12"/>
      <c r="W105" s="12"/>
      <c r="X105" s="12"/>
      <c r="Y105" s="12"/>
      <c r="Z105" s="12"/>
    </row>
    <row r="106" customFormat="false" ht="15.75" hidden="false" customHeight="false" outlineLevel="0" collapsed="false">
      <c r="A106" s="12"/>
      <c r="B106" s="34"/>
      <c r="C106" s="12"/>
      <c r="D106" s="12"/>
      <c r="E106" s="12"/>
      <c r="F106" s="12"/>
      <c r="G106" s="18"/>
      <c r="H106" s="35"/>
      <c r="I106" s="35"/>
      <c r="J106" s="12"/>
      <c r="O106" s="12"/>
      <c r="P106" s="18"/>
      <c r="Q106" s="12"/>
      <c r="R106" s="12"/>
      <c r="S106" s="12"/>
      <c r="T106" s="36"/>
      <c r="U106" s="36"/>
      <c r="V106" s="12"/>
      <c r="W106" s="12"/>
      <c r="X106" s="12"/>
      <c r="Y106" s="12"/>
      <c r="Z106" s="12"/>
    </row>
    <row r="107" customFormat="false" ht="15.75" hidden="false" customHeight="false" outlineLevel="0" collapsed="false">
      <c r="A107" s="12"/>
      <c r="B107" s="34"/>
      <c r="C107" s="12"/>
      <c r="D107" s="12"/>
      <c r="E107" s="12"/>
      <c r="F107" s="12"/>
      <c r="G107" s="18"/>
      <c r="H107" s="35"/>
      <c r="I107" s="35"/>
      <c r="J107" s="12"/>
      <c r="O107" s="12"/>
      <c r="P107" s="18"/>
      <c r="Q107" s="12"/>
      <c r="R107" s="12"/>
      <c r="S107" s="12"/>
      <c r="T107" s="36"/>
      <c r="U107" s="36"/>
      <c r="V107" s="12"/>
      <c r="W107" s="12"/>
      <c r="X107" s="12"/>
      <c r="Y107" s="12"/>
      <c r="Z107" s="12"/>
    </row>
    <row r="108" customFormat="false" ht="15.75" hidden="false" customHeight="false" outlineLevel="0" collapsed="false">
      <c r="A108" s="12"/>
      <c r="B108" s="34"/>
      <c r="C108" s="12"/>
      <c r="D108" s="12"/>
      <c r="E108" s="12"/>
      <c r="F108" s="12"/>
      <c r="G108" s="18"/>
      <c r="H108" s="35"/>
      <c r="I108" s="35"/>
      <c r="J108" s="12"/>
      <c r="O108" s="12"/>
      <c r="P108" s="18"/>
      <c r="Q108" s="12"/>
      <c r="R108" s="12"/>
      <c r="S108" s="12"/>
      <c r="T108" s="36"/>
      <c r="U108" s="36"/>
      <c r="V108" s="12"/>
      <c r="W108" s="12"/>
      <c r="X108" s="12"/>
      <c r="Y108" s="12"/>
      <c r="Z108" s="12"/>
    </row>
    <row r="109" customFormat="false" ht="15.75" hidden="false" customHeight="false" outlineLevel="0" collapsed="false">
      <c r="A109" s="12"/>
      <c r="B109" s="34"/>
      <c r="C109" s="12"/>
      <c r="D109" s="12"/>
      <c r="E109" s="12"/>
      <c r="F109" s="12"/>
      <c r="G109" s="18"/>
      <c r="H109" s="35"/>
      <c r="I109" s="35"/>
      <c r="J109" s="12"/>
      <c r="O109" s="12"/>
      <c r="P109" s="18"/>
      <c r="Q109" s="12"/>
      <c r="R109" s="12"/>
      <c r="S109" s="12"/>
      <c r="T109" s="36"/>
      <c r="U109" s="36"/>
      <c r="V109" s="12"/>
      <c r="W109" s="12"/>
      <c r="X109" s="12"/>
      <c r="Y109" s="12"/>
      <c r="Z109" s="12"/>
    </row>
    <row r="110" customFormat="false" ht="15.75" hidden="false" customHeight="false" outlineLevel="0" collapsed="false">
      <c r="A110" s="12"/>
      <c r="B110" s="34"/>
      <c r="C110" s="12"/>
      <c r="D110" s="12"/>
      <c r="E110" s="12"/>
      <c r="F110" s="12"/>
      <c r="G110" s="18"/>
      <c r="H110" s="35"/>
      <c r="I110" s="35"/>
      <c r="J110" s="12"/>
      <c r="O110" s="12"/>
      <c r="P110" s="18"/>
      <c r="Q110" s="12"/>
      <c r="R110" s="12"/>
      <c r="S110" s="12"/>
      <c r="T110" s="36"/>
      <c r="U110" s="36"/>
      <c r="V110" s="12"/>
      <c r="W110" s="12"/>
      <c r="X110" s="12"/>
      <c r="Y110" s="12"/>
      <c r="Z110" s="12"/>
    </row>
    <row r="111" customFormat="false" ht="15.75" hidden="false" customHeight="false" outlineLevel="0" collapsed="false">
      <c r="A111" s="12"/>
      <c r="B111" s="34"/>
      <c r="C111" s="12"/>
      <c r="D111" s="12"/>
      <c r="E111" s="12"/>
      <c r="F111" s="12"/>
      <c r="G111" s="18"/>
      <c r="H111" s="35"/>
      <c r="I111" s="35"/>
      <c r="J111" s="12"/>
      <c r="O111" s="12"/>
      <c r="P111" s="18"/>
      <c r="Q111" s="12"/>
      <c r="R111" s="12"/>
      <c r="S111" s="12"/>
      <c r="T111" s="36"/>
      <c r="U111" s="36"/>
      <c r="V111" s="12"/>
      <c r="W111" s="12"/>
      <c r="X111" s="12"/>
      <c r="Y111" s="12"/>
      <c r="Z111" s="12"/>
    </row>
    <row r="112" customFormat="false" ht="15.75" hidden="false" customHeight="false" outlineLevel="0" collapsed="false">
      <c r="A112" s="12"/>
      <c r="B112" s="34"/>
      <c r="C112" s="12"/>
      <c r="D112" s="12"/>
      <c r="E112" s="12"/>
      <c r="F112" s="12"/>
      <c r="G112" s="18"/>
      <c r="H112" s="35"/>
      <c r="I112" s="35"/>
      <c r="J112" s="12"/>
      <c r="O112" s="12"/>
      <c r="P112" s="18"/>
      <c r="Q112" s="12"/>
      <c r="R112" s="12"/>
      <c r="S112" s="12"/>
      <c r="T112" s="36"/>
      <c r="U112" s="36"/>
      <c r="V112" s="12"/>
      <c r="W112" s="12"/>
      <c r="X112" s="12"/>
      <c r="Y112" s="12"/>
      <c r="Z112" s="12"/>
    </row>
    <row r="113" customFormat="false" ht="15.75" hidden="false" customHeight="false" outlineLevel="0" collapsed="false">
      <c r="A113" s="12"/>
      <c r="B113" s="34"/>
      <c r="C113" s="12"/>
      <c r="D113" s="12"/>
      <c r="E113" s="12"/>
      <c r="F113" s="12"/>
      <c r="G113" s="18"/>
      <c r="H113" s="35"/>
      <c r="I113" s="35"/>
      <c r="J113" s="12"/>
      <c r="O113" s="12"/>
      <c r="P113" s="18"/>
      <c r="Q113" s="12"/>
      <c r="R113" s="12"/>
      <c r="S113" s="12"/>
      <c r="T113" s="36"/>
      <c r="U113" s="36"/>
      <c r="V113" s="12"/>
      <c r="W113" s="12"/>
      <c r="X113" s="12"/>
      <c r="Y113" s="12"/>
      <c r="Z113" s="12"/>
    </row>
    <row r="114" customFormat="false" ht="15.75" hidden="false" customHeight="false" outlineLevel="0" collapsed="false">
      <c r="A114" s="12"/>
      <c r="B114" s="34"/>
      <c r="C114" s="12"/>
      <c r="D114" s="12"/>
      <c r="E114" s="12"/>
      <c r="F114" s="12"/>
      <c r="G114" s="18"/>
      <c r="H114" s="35"/>
      <c r="I114" s="35"/>
      <c r="J114" s="12"/>
      <c r="O114" s="12"/>
      <c r="P114" s="18"/>
      <c r="Q114" s="12"/>
      <c r="R114" s="12"/>
      <c r="S114" s="12"/>
      <c r="T114" s="36"/>
      <c r="U114" s="36"/>
      <c r="V114" s="12"/>
      <c r="W114" s="12"/>
      <c r="X114" s="12"/>
      <c r="Y114" s="12"/>
      <c r="Z114" s="12"/>
    </row>
    <row r="115" customFormat="false" ht="15.75" hidden="false" customHeight="false" outlineLevel="0" collapsed="false">
      <c r="A115" s="12"/>
      <c r="B115" s="34"/>
      <c r="C115" s="12"/>
      <c r="D115" s="12"/>
      <c r="E115" s="12"/>
      <c r="F115" s="12"/>
      <c r="G115" s="18"/>
      <c r="H115" s="35"/>
      <c r="I115" s="35"/>
      <c r="J115" s="12"/>
      <c r="O115" s="12"/>
      <c r="P115" s="18"/>
      <c r="Q115" s="12"/>
      <c r="R115" s="12"/>
      <c r="S115" s="12"/>
      <c r="T115" s="36"/>
      <c r="U115" s="36"/>
      <c r="V115" s="12"/>
      <c r="W115" s="12"/>
      <c r="X115" s="12"/>
      <c r="Y115" s="12"/>
      <c r="Z115" s="12"/>
    </row>
    <row r="116" customFormat="false" ht="15.75" hidden="false" customHeight="false" outlineLevel="0" collapsed="false">
      <c r="A116" s="12"/>
      <c r="B116" s="34"/>
      <c r="C116" s="12"/>
      <c r="D116" s="12"/>
      <c r="E116" s="12"/>
      <c r="F116" s="12"/>
      <c r="G116" s="18"/>
      <c r="H116" s="35"/>
      <c r="I116" s="35"/>
      <c r="J116" s="12"/>
      <c r="O116" s="12"/>
      <c r="P116" s="18"/>
      <c r="Q116" s="12"/>
      <c r="R116" s="12"/>
      <c r="S116" s="12"/>
      <c r="T116" s="36"/>
      <c r="U116" s="36"/>
      <c r="V116" s="12"/>
      <c r="W116" s="12"/>
      <c r="X116" s="12"/>
      <c r="Y116" s="12"/>
      <c r="Z116" s="12"/>
    </row>
    <row r="117" customFormat="false" ht="15.75" hidden="false" customHeight="false" outlineLevel="0" collapsed="false">
      <c r="A117" s="12"/>
      <c r="B117" s="34"/>
      <c r="C117" s="12"/>
      <c r="D117" s="12"/>
      <c r="E117" s="12"/>
      <c r="F117" s="12"/>
      <c r="G117" s="18"/>
      <c r="H117" s="35"/>
      <c r="I117" s="35"/>
      <c r="J117" s="12"/>
      <c r="O117" s="12"/>
      <c r="P117" s="18"/>
      <c r="Q117" s="12"/>
      <c r="R117" s="12"/>
      <c r="S117" s="12"/>
      <c r="T117" s="36"/>
      <c r="U117" s="36"/>
      <c r="V117" s="12"/>
      <c r="W117" s="12"/>
      <c r="X117" s="12"/>
      <c r="Y117" s="12"/>
      <c r="Z117" s="12"/>
    </row>
    <row r="118" customFormat="false" ht="15.75" hidden="false" customHeight="false" outlineLevel="0" collapsed="false">
      <c r="A118" s="12"/>
      <c r="B118" s="34"/>
      <c r="C118" s="12"/>
      <c r="D118" s="12"/>
      <c r="E118" s="12"/>
      <c r="F118" s="12"/>
      <c r="G118" s="18"/>
      <c r="H118" s="35"/>
      <c r="I118" s="35"/>
      <c r="J118" s="12"/>
      <c r="O118" s="12"/>
      <c r="P118" s="18"/>
      <c r="Q118" s="12"/>
      <c r="R118" s="12"/>
      <c r="S118" s="12"/>
      <c r="T118" s="36"/>
      <c r="U118" s="36"/>
      <c r="V118" s="12"/>
      <c r="W118" s="12"/>
      <c r="X118" s="12"/>
      <c r="Y118" s="12"/>
      <c r="Z118" s="12"/>
    </row>
    <row r="119" customFormat="false" ht="15.75" hidden="false" customHeight="false" outlineLevel="0" collapsed="false">
      <c r="A119" s="12"/>
      <c r="B119" s="34"/>
      <c r="C119" s="12"/>
      <c r="D119" s="12"/>
      <c r="E119" s="12"/>
      <c r="F119" s="12"/>
      <c r="G119" s="18"/>
      <c r="H119" s="35"/>
      <c r="I119" s="35"/>
      <c r="J119" s="12"/>
      <c r="O119" s="12"/>
      <c r="P119" s="18"/>
      <c r="Q119" s="12"/>
      <c r="R119" s="12"/>
      <c r="S119" s="12"/>
      <c r="T119" s="36"/>
      <c r="U119" s="36"/>
      <c r="V119" s="12"/>
      <c r="W119" s="12"/>
      <c r="X119" s="12"/>
      <c r="Y119" s="12"/>
      <c r="Z119" s="12"/>
    </row>
    <row r="120" customFormat="false" ht="15.75" hidden="false" customHeight="false" outlineLevel="0" collapsed="false">
      <c r="A120" s="12"/>
      <c r="B120" s="34"/>
      <c r="C120" s="12"/>
      <c r="D120" s="12"/>
      <c r="E120" s="12"/>
      <c r="F120" s="12"/>
      <c r="G120" s="18"/>
      <c r="H120" s="35"/>
      <c r="I120" s="35"/>
      <c r="J120" s="12"/>
      <c r="O120" s="12"/>
      <c r="P120" s="18"/>
      <c r="Q120" s="12"/>
      <c r="R120" s="12"/>
      <c r="S120" s="12"/>
      <c r="T120" s="36"/>
      <c r="U120" s="36"/>
      <c r="V120" s="12"/>
      <c r="W120" s="12"/>
      <c r="X120" s="12"/>
      <c r="Y120" s="12"/>
      <c r="Z120" s="12"/>
    </row>
    <row r="121" customFormat="false" ht="15.75" hidden="false" customHeight="false" outlineLevel="0" collapsed="false">
      <c r="A121" s="12"/>
      <c r="B121" s="34"/>
      <c r="C121" s="12"/>
      <c r="D121" s="12"/>
      <c r="E121" s="12"/>
      <c r="F121" s="12"/>
      <c r="G121" s="18"/>
      <c r="H121" s="35"/>
      <c r="I121" s="35"/>
      <c r="J121" s="12"/>
      <c r="O121" s="12"/>
      <c r="P121" s="18"/>
      <c r="Q121" s="12"/>
      <c r="R121" s="12"/>
      <c r="S121" s="12"/>
      <c r="T121" s="36"/>
      <c r="U121" s="36"/>
      <c r="V121" s="12"/>
      <c r="W121" s="12"/>
      <c r="X121" s="12"/>
      <c r="Y121" s="12"/>
      <c r="Z121" s="12"/>
    </row>
    <row r="122" customFormat="false" ht="15.75" hidden="false" customHeight="false" outlineLevel="0" collapsed="false">
      <c r="A122" s="12"/>
      <c r="B122" s="34"/>
      <c r="C122" s="12"/>
      <c r="D122" s="12"/>
      <c r="E122" s="12"/>
      <c r="F122" s="12"/>
      <c r="G122" s="18"/>
      <c r="H122" s="35"/>
      <c r="I122" s="35"/>
      <c r="J122" s="12"/>
      <c r="O122" s="12"/>
      <c r="P122" s="18"/>
      <c r="Q122" s="12"/>
      <c r="R122" s="12"/>
      <c r="S122" s="12"/>
      <c r="T122" s="36"/>
      <c r="U122" s="36"/>
      <c r="V122" s="12"/>
      <c r="W122" s="12"/>
      <c r="X122" s="12"/>
      <c r="Y122" s="12"/>
      <c r="Z122" s="12"/>
    </row>
    <row r="123" customFormat="false" ht="15.75" hidden="false" customHeight="false" outlineLevel="0" collapsed="false">
      <c r="A123" s="12"/>
      <c r="B123" s="34"/>
      <c r="C123" s="12"/>
      <c r="D123" s="12"/>
      <c r="E123" s="12"/>
      <c r="F123" s="12"/>
      <c r="G123" s="18"/>
      <c r="H123" s="35"/>
      <c r="I123" s="35"/>
      <c r="J123" s="12"/>
      <c r="O123" s="12"/>
      <c r="P123" s="18"/>
      <c r="Q123" s="12"/>
      <c r="R123" s="12"/>
      <c r="S123" s="12"/>
      <c r="T123" s="36"/>
      <c r="U123" s="36"/>
      <c r="V123" s="12"/>
      <c r="W123" s="12"/>
      <c r="X123" s="12"/>
      <c r="Y123" s="12"/>
      <c r="Z123" s="12"/>
    </row>
    <row r="124" customFormat="false" ht="15.75" hidden="false" customHeight="false" outlineLevel="0" collapsed="false">
      <c r="A124" s="12"/>
      <c r="B124" s="34"/>
      <c r="C124" s="12"/>
      <c r="D124" s="12"/>
      <c r="E124" s="12"/>
      <c r="F124" s="12"/>
      <c r="G124" s="18"/>
      <c r="H124" s="35"/>
      <c r="I124" s="35"/>
      <c r="J124" s="12"/>
      <c r="O124" s="12"/>
      <c r="P124" s="18"/>
      <c r="Q124" s="12"/>
      <c r="R124" s="12"/>
      <c r="S124" s="12"/>
      <c r="T124" s="36"/>
      <c r="U124" s="36"/>
      <c r="V124" s="12"/>
      <c r="W124" s="12"/>
      <c r="X124" s="12"/>
      <c r="Y124" s="12"/>
      <c r="Z124" s="12"/>
    </row>
    <row r="125" customFormat="false" ht="15.75" hidden="false" customHeight="false" outlineLevel="0" collapsed="false">
      <c r="A125" s="12"/>
      <c r="B125" s="34"/>
      <c r="C125" s="12"/>
      <c r="D125" s="12"/>
      <c r="E125" s="12"/>
      <c r="F125" s="12"/>
      <c r="G125" s="18"/>
      <c r="H125" s="35"/>
      <c r="I125" s="35"/>
      <c r="J125" s="12"/>
      <c r="O125" s="12"/>
      <c r="P125" s="18"/>
      <c r="Q125" s="12"/>
      <c r="R125" s="12"/>
      <c r="S125" s="12"/>
      <c r="T125" s="36"/>
      <c r="U125" s="36"/>
      <c r="V125" s="12"/>
      <c r="W125" s="12"/>
      <c r="X125" s="12"/>
      <c r="Y125" s="12"/>
      <c r="Z125" s="12"/>
    </row>
    <row r="126" customFormat="false" ht="15.75" hidden="false" customHeight="false" outlineLevel="0" collapsed="false">
      <c r="A126" s="12"/>
      <c r="B126" s="34"/>
      <c r="C126" s="12"/>
      <c r="D126" s="12"/>
      <c r="E126" s="12"/>
      <c r="F126" s="12"/>
      <c r="G126" s="18"/>
      <c r="H126" s="35"/>
      <c r="I126" s="35"/>
      <c r="J126" s="12"/>
      <c r="O126" s="12"/>
      <c r="P126" s="18"/>
      <c r="Q126" s="12"/>
      <c r="R126" s="12"/>
      <c r="S126" s="12"/>
      <c r="T126" s="36"/>
      <c r="U126" s="36"/>
      <c r="V126" s="12"/>
      <c r="W126" s="12"/>
      <c r="X126" s="12"/>
      <c r="Y126" s="12"/>
      <c r="Z126" s="12"/>
    </row>
    <row r="127" customFormat="false" ht="15.75" hidden="false" customHeight="false" outlineLevel="0" collapsed="false">
      <c r="A127" s="12"/>
      <c r="B127" s="34"/>
      <c r="C127" s="12"/>
      <c r="D127" s="12"/>
      <c r="E127" s="12"/>
      <c r="F127" s="12"/>
      <c r="G127" s="18"/>
      <c r="H127" s="35"/>
      <c r="I127" s="35"/>
      <c r="J127" s="12"/>
      <c r="O127" s="12"/>
      <c r="P127" s="18"/>
      <c r="Q127" s="12"/>
      <c r="R127" s="12"/>
      <c r="S127" s="12"/>
      <c r="T127" s="36"/>
      <c r="U127" s="36"/>
      <c r="V127" s="12"/>
      <c r="W127" s="12"/>
      <c r="X127" s="12"/>
      <c r="Y127" s="12"/>
      <c r="Z127" s="12"/>
    </row>
    <row r="128" customFormat="false" ht="15.75" hidden="false" customHeight="false" outlineLevel="0" collapsed="false">
      <c r="A128" s="12"/>
      <c r="B128" s="34"/>
      <c r="C128" s="12"/>
      <c r="D128" s="12"/>
      <c r="E128" s="12"/>
      <c r="F128" s="12"/>
      <c r="G128" s="18"/>
      <c r="H128" s="35"/>
      <c r="I128" s="35"/>
      <c r="J128" s="12"/>
      <c r="O128" s="12"/>
      <c r="P128" s="18"/>
      <c r="Q128" s="12"/>
      <c r="R128" s="12"/>
      <c r="S128" s="12"/>
      <c r="T128" s="36"/>
      <c r="U128" s="36"/>
      <c r="V128" s="12"/>
      <c r="W128" s="12"/>
      <c r="X128" s="12"/>
      <c r="Y128" s="12"/>
      <c r="Z128" s="12"/>
    </row>
    <row r="129" customFormat="false" ht="15.75" hidden="false" customHeight="false" outlineLevel="0" collapsed="false">
      <c r="A129" s="12"/>
      <c r="B129" s="34"/>
      <c r="C129" s="12"/>
      <c r="D129" s="12"/>
      <c r="E129" s="12"/>
      <c r="F129" s="12"/>
      <c r="G129" s="18"/>
      <c r="H129" s="35"/>
      <c r="I129" s="35"/>
      <c r="J129" s="12"/>
      <c r="O129" s="12"/>
      <c r="P129" s="18"/>
      <c r="Q129" s="12"/>
      <c r="R129" s="12"/>
      <c r="S129" s="12"/>
      <c r="T129" s="36"/>
      <c r="U129" s="36"/>
      <c r="V129" s="12"/>
      <c r="W129" s="12"/>
      <c r="X129" s="12"/>
      <c r="Y129" s="12"/>
      <c r="Z129" s="12"/>
    </row>
    <row r="130" customFormat="false" ht="15.75" hidden="false" customHeight="false" outlineLevel="0" collapsed="false">
      <c r="A130" s="12"/>
      <c r="B130" s="34"/>
      <c r="C130" s="12"/>
      <c r="D130" s="12"/>
      <c r="E130" s="12"/>
      <c r="F130" s="12"/>
      <c r="G130" s="18"/>
      <c r="H130" s="35"/>
      <c r="I130" s="35"/>
      <c r="J130" s="12"/>
      <c r="O130" s="12"/>
      <c r="P130" s="18"/>
      <c r="Q130" s="12"/>
      <c r="R130" s="12"/>
      <c r="S130" s="12"/>
      <c r="T130" s="36"/>
      <c r="U130" s="36"/>
      <c r="V130" s="12"/>
      <c r="W130" s="12"/>
      <c r="X130" s="12"/>
      <c r="Y130" s="12"/>
      <c r="Z130" s="12"/>
    </row>
    <row r="131" customFormat="false" ht="15.75" hidden="false" customHeight="false" outlineLevel="0" collapsed="false">
      <c r="A131" s="12"/>
      <c r="B131" s="34"/>
      <c r="C131" s="12"/>
      <c r="D131" s="12"/>
      <c r="E131" s="12"/>
      <c r="F131" s="12"/>
      <c r="G131" s="18"/>
      <c r="H131" s="35"/>
      <c r="I131" s="35"/>
      <c r="J131" s="12"/>
      <c r="O131" s="12"/>
      <c r="P131" s="18"/>
      <c r="Q131" s="12"/>
      <c r="R131" s="12"/>
      <c r="S131" s="12"/>
      <c r="T131" s="36"/>
      <c r="U131" s="36"/>
      <c r="V131" s="12"/>
      <c r="W131" s="12"/>
      <c r="X131" s="12"/>
      <c r="Y131" s="12"/>
      <c r="Z131" s="12"/>
    </row>
    <row r="132" customFormat="false" ht="15.75" hidden="false" customHeight="false" outlineLevel="0" collapsed="false">
      <c r="A132" s="12"/>
      <c r="B132" s="34"/>
      <c r="C132" s="12"/>
      <c r="D132" s="12"/>
      <c r="E132" s="12"/>
      <c r="F132" s="12"/>
      <c r="G132" s="18"/>
      <c r="H132" s="35"/>
      <c r="I132" s="35"/>
      <c r="J132" s="12"/>
      <c r="O132" s="12"/>
      <c r="P132" s="18"/>
      <c r="Q132" s="12"/>
      <c r="R132" s="12"/>
      <c r="S132" s="12"/>
      <c r="T132" s="36"/>
      <c r="U132" s="36"/>
      <c r="V132" s="12"/>
      <c r="W132" s="12"/>
      <c r="X132" s="12"/>
      <c r="Y132" s="12"/>
      <c r="Z132" s="12"/>
    </row>
    <row r="133" customFormat="false" ht="15.75" hidden="false" customHeight="false" outlineLevel="0" collapsed="false">
      <c r="A133" s="12"/>
      <c r="B133" s="34"/>
      <c r="C133" s="12"/>
      <c r="D133" s="12"/>
      <c r="E133" s="12"/>
      <c r="F133" s="12"/>
      <c r="G133" s="18"/>
      <c r="H133" s="35"/>
      <c r="I133" s="35"/>
      <c r="J133" s="12"/>
      <c r="O133" s="12"/>
      <c r="P133" s="18"/>
      <c r="Q133" s="12"/>
      <c r="R133" s="12"/>
      <c r="S133" s="12"/>
      <c r="T133" s="36"/>
      <c r="U133" s="36"/>
      <c r="V133" s="12"/>
      <c r="W133" s="12"/>
      <c r="X133" s="12"/>
      <c r="Y133" s="12"/>
      <c r="Z133" s="12"/>
    </row>
    <row r="134" customFormat="false" ht="15.75" hidden="false" customHeight="false" outlineLevel="0" collapsed="false">
      <c r="A134" s="12"/>
      <c r="B134" s="34"/>
      <c r="C134" s="12"/>
      <c r="D134" s="12"/>
      <c r="E134" s="12"/>
      <c r="F134" s="12"/>
      <c r="G134" s="18"/>
      <c r="H134" s="35"/>
      <c r="I134" s="35"/>
      <c r="J134" s="12"/>
      <c r="O134" s="12"/>
      <c r="P134" s="18"/>
      <c r="Q134" s="12"/>
      <c r="R134" s="12"/>
      <c r="S134" s="12"/>
      <c r="T134" s="36"/>
      <c r="U134" s="36"/>
      <c r="V134" s="12"/>
      <c r="W134" s="12"/>
      <c r="X134" s="12"/>
      <c r="Y134" s="12"/>
      <c r="Z134" s="12"/>
    </row>
    <row r="135" customFormat="false" ht="15.75" hidden="false" customHeight="false" outlineLevel="0" collapsed="false">
      <c r="A135" s="12"/>
      <c r="B135" s="34"/>
      <c r="C135" s="12"/>
      <c r="D135" s="12"/>
      <c r="E135" s="12"/>
      <c r="F135" s="12"/>
      <c r="G135" s="18"/>
      <c r="H135" s="35"/>
      <c r="I135" s="35"/>
      <c r="J135" s="12"/>
      <c r="O135" s="12"/>
      <c r="P135" s="18"/>
      <c r="Q135" s="12"/>
      <c r="R135" s="12"/>
      <c r="S135" s="12"/>
      <c r="T135" s="36"/>
      <c r="U135" s="36"/>
      <c r="V135" s="12"/>
      <c r="W135" s="12"/>
      <c r="X135" s="12"/>
      <c r="Y135" s="12"/>
      <c r="Z135" s="12"/>
    </row>
    <row r="136" customFormat="false" ht="15.75" hidden="false" customHeight="false" outlineLevel="0" collapsed="false">
      <c r="A136" s="12"/>
      <c r="B136" s="34"/>
      <c r="C136" s="12"/>
      <c r="D136" s="12"/>
      <c r="E136" s="12"/>
      <c r="F136" s="12"/>
      <c r="G136" s="18"/>
      <c r="H136" s="35"/>
      <c r="I136" s="35"/>
      <c r="J136" s="12"/>
      <c r="O136" s="12"/>
      <c r="P136" s="18"/>
      <c r="Q136" s="12"/>
      <c r="R136" s="12"/>
      <c r="S136" s="12"/>
      <c r="T136" s="36"/>
      <c r="U136" s="36"/>
      <c r="V136" s="12"/>
      <c r="W136" s="12"/>
      <c r="X136" s="12"/>
      <c r="Y136" s="12"/>
      <c r="Z136" s="12"/>
    </row>
    <row r="137" customFormat="false" ht="15.75" hidden="false" customHeight="false" outlineLevel="0" collapsed="false">
      <c r="A137" s="12"/>
      <c r="B137" s="34"/>
      <c r="C137" s="12"/>
      <c r="D137" s="12"/>
      <c r="E137" s="12"/>
      <c r="F137" s="12"/>
      <c r="G137" s="18"/>
      <c r="H137" s="35"/>
      <c r="I137" s="35"/>
      <c r="J137" s="12"/>
      <c r="O137" s="12"/>
      <c r="P137" s="18"/>
      <c r="Q137" s="12"/>
      <c r="R137" s="12"/>
      <c r="S137" s="12"/>
      <c r="T137" s="36"/>
      <c r="U137" s="36"/>
      <c r="V137" s="12"/>
      <c r="W137" s="12"/>
      <c r="X137" s="12"/>
      <c r="Y137" s="12"/>
      <c r="Z137" s="12"/>
    </row>
    <row r="138" customFormat="false" ht="15.75" hidden="false" customHeight="false" outlineLevel="0" collapsed="false">
      <c r="A138" s="12"/>
      <c r="B138" s="34"/>
      <c r="C138" s="12"/>
      <c r="D138" s="12"/>
      <c r="E138" s="12"/>
      <c r="F138" s="12"/>
      <c r="G138" s="18"/>
      <c r="H138" s="35"/>
      <c r="I138" s="35"/>
      <c r="J138" s="12"/>
      <c r="O138" s="12"/>
      <c r="P138" s="18"/>
      <c r="Q138" s="12"/>
      <c r="R138" s="12"/>
      <c r="S138" s="12"/>
      <c r="T138" s="36"/>
      <c r="U138" s="36"/>
      <c r="V138" s="12"/>
      <c r="W138" s="12"/>
      <c r="X138" s="12"/>
      <c r="Y138" s="12"/>
      <c r="Z138" s="12"/>
    </row>
    <row r="139" customFormat="false" ht="15.75" hidden="false" customHeight="false" outlineLevel="0" collapsed="false">
      <c r="A139" s="12"/>
      <c r="B139" s="34"/>
      <c r="C139" s="12"/>
      <c r="D139" s="12"/>
      <c r="E139" s="12"/>
      <c r="F139" s="12"/>
      <c r="G139" s="18"/>
      <c r="H139" s="35"/>
      <c r="I139" s="35"/>
      <c r="J139" s="12"/>
      <c r="O139" s="12"/>
      <c r="P139" s="18"/>
      <c r="Q139" s="12"/>
      <c r="R139" s="12"/>
      <c r="S139" s="12"/>
      <c r="T139" s="36"/>
      <c r="U139" s="36"/>
      <c r="V139" s="12"/>
      <c r="W139" s="12"/>
      <c r="X139" s="12"/>
      <c r="Y139" s="12"/>
      <c r="Z139" s="12"/>
    </row>
    <row r="140" customFormat="false" ht="15.75" hidden="false" customHeight="false" outlineLevel="0" collapsed="false">
      <c r="A140" s="12"/>
      <c r="B140" s="34"/>
      <c r="C140" s="12"/>
      <c r="D140" s="12"/>
      <c r="E140" s="12"/>
      <c r="F140" s="12"/>
      <c r="G140" s="18"/>
      <c r="H140" s="35"/>
      <c r="I140" s="35"/>
      <c r="J140" s="12"/>
      <c r="O140" s="12"/>
      <c r="P140" s="18"/>
      <c r="Q140" s="12"/>
      <c r="R140" s="12"/>
      <c r="S140" s="12"/>
      <c r="T140" s="36"/>
      <c r="U140" s="36"/>
      <c r="V140" s="12"/>
      <c r="W140" s="12"/>
      <c r="X140" s="12"/>
      <c r="Y140" s="12"/>
      <c r="Z140" s="12"/>
    </row>
    <row r="141" customFormat="false" ht="15.75" hidden="false" customHeight="false" outlineLevel="0" collapsed="false">
      <c r="A141" s="12"/>
      <c r="B141" s="34"/>
      <c r="C141" s="12"/>
      <c r="D141" s="12"/>
      <c r="E141" s="12"/>
      <c r="F141" s="12"/>
      <c r="G141" s="18"/>
      <c r="H141" s="35"/>
      <c r="I141" s="35"/>
      <c r="J141" s="12"/>
      <c r="O141" s="12"/>
      <c r="P141" s="18"/>
      <c r="Q141" s="12"/>
      <c r="R141" s="12"/>
      <c r="S141" s="12"/>
      <c r="T141" s="36"/>
      <c r="U141" s="36"/>
      <c r="V141" s="12"/>
      <c r="W141" s="12"/>
      <c r="X141" s="12"/>
      <c r="Y141" s="12"/>
      <c r="Z141" s="12"/>
    </row>
    <row r="142" customFormat="false" ht="15.75" hidden="false" customHeight="false" outlineLevel="0" collapsed="false">
      <c r="A142" s="12"/>
      <c r="B142" s="34"/>
      <c r="C142" s="12"/>
      <c r="D142" s="12"/>
      <c r="E142" s="12"/>
      <c r="F142" s="12"/>
      <c r="G142" s="18"/>
      <c r="H142" s="35"/>
      <c r="I142" s="35"/>
      <c r="J142" s="12"/>
      <c r="O142" s="12"/>
      <c r="P142" s="18"/>
      <c r="Q142" s="12"/>
      <c r="R142" s="12"/>
      <c r="S142" s="12"/>
      <c r="T142" s="36"/>
      <c r="U142" s="36"/>
      <c r="V142" s="12"/>
      <c r="W142" s="12"/>
      <c r="X142" s="12"/>
      <c r="Y142" s="12"/>
      <c r="Z142" s="12"/>
    </row>
    <row r="143" customFormat="false" ht="15.75" hidden="false" customHeight="false" outlineLevel="0" collapsed="false">
      <c r="A143" s="12"/>
      <c r="B143" s="34"/>
      <c r="C143" s="12"/>
      <c r="D143" s="12"/>
      <c r="E143" s="12"/>
      <c r="F143" s="12"/>
      <c r="G143" s="18"/>
      <c r="H143" s="35"/>
      <c r="I143" s="35"/>
      <c r="J143" s="12"/>
      <c r="O143" s="12"/>
      <c r="P143" s="18"/>
      <c r="Q143" s="12"/>
      <c r="R143" s="12"/>
      <c r="S143" s="12"/>
      <c r="T143" s="36"/>
      <c r="U143" s="36"/>
      <c r="V143" s="12"/>
      <c r="W143" s="12"/>
      <c r="X143" s="12"/>
      <c r="Y143" s="12"/>
      <c r="Z143" s="12"/>
    </row>
    <row r="144" customFormat="false" ht="15.75" hidden="false" customHeight="false" outlineLevel="0" collapsed="false">
      <c r="A144" s="12"/>
      <c r="B144" s="34"/>
      <c r="C144" s="12"/>
      <c r="D144" s="12"/>
      <c r="E144" s="12"/>
      <c r="F144" s="12"/>
      <c r="G144" s="18"/>
      <c r="H144" s="35"/>
      <c r="I144" s="35"/>
      <c r="J144" s="12"/>
      <c r="O144" s="12"/>
      <c r="P144" s="18"/>
      <c r="Q144" s="12"/>
      <c r="R144" s="12"/>
      <c r="S144" s="12"/>
      <c r="T144" s="36"/>
      <c r="U144" s="36"/>
      <c r="V144" s="12"/>
      <c r="W144" s="12"/>
      <c r="X144" s="12"/>
      <c r="Y144" s="12"/>
      <c r="Z144" s="12"/>
    </row>
    <row r="145" customFormat="false" ht="15.75" hidden="false" customHeight="false" outlineLevel="0" collapsed="false">
      <c r="A145" s="12"/>
      <c r="B145" s="34"/>
      <c r="C145" s="12"/>
      <c r="D145" s="12"/>
      <c r="E145" s="12"/>
      <c r="F145" s="12"/>
      <c r="G145" s="18"/>
      <c r="H145" s="35"/>
      <c r="I145" s="35"/>
      <c r="J145" s="12"/>
      <c r="O145" s="12"/>
      <c r="P145" s="18"/>
      <c r="Q145" s="12"/>
      <c r="R145" s="12"/>
      <c r="S145" s="12"/>
      <c r="T145" s="36"/>
      <c r="U145" s="36"/>
      <c r="V145" s="12"/>
      <c r="W145" s="12"/>
      <c r="X145" s="12"/>
      <c r="Y145" s="12"/>
      <c r="Z145" s="12"/>
    </row>
    <row r="146" customFormat="false" ht="15.75" hidden="false" customHeight="false" outlineLevel="0" collapsed="false">
      <c r="A146" s="12"/>
      <c r="B146" s="34"/>
      <c r="C146" s="12"/>
      <c r="D146" s="12"/>
      <c r="E146" s="12"/>
      <c r="F146" s="12"/>
      <c r="G146" s="18"/>
      <c r="H146" s="35"/>
      <c r="I146" s="35"/>
      <c r="J146" s="12"/>
      <c r="O146" s="12"/>
      <c r="P146" s="18"/>
      <c r="Q146" s="12"/>
      <c r="R146" s="12"/>
      <c r="S146" s="12"/>
      <c r="T146" s="36"/>
      <c r="U146" s="36"/>
      <c r="V146" s="12"/>
      <c r="W146" s="12"/>
      <c r="X146" s="12"/>
      <c r="Y146" s="12"/>
      <c r="Z146" s="12"/>
    </row>
    <row r="147" customFormat="false" ht="15.75" hidden="false" customHeight="false" outlineLevel="0" collapsed="false">
      <c r="A147" s="12"/>
      <c r="B147" s="34"/>
      <c r="C147" s="12"/>
      <c r="D147" s="12"/>
      <c r="E147" s="12"/>
      <c r="F147" s="12"/>
      <c r="G147" s="18"/>
      <c r="H147" s="35"/>
      <c r="I147" s="35"/>
      <c r="J147" s="12"/>
      <c r="O147" s="12"/>
      <c r="P147" s="18"/>
      <c r="Q147" s="12"/>
      <c r="R147" s="12"/>
      <c r="S147" s="12"/>
      <c r="T147" s="36"/>
      <c r="U147" s="36"/>
      <c r="V147" s="12"/>
      <c r="W147" s="12"/>
      <c r="X147" s="12"/>
      <c r="Y147" s="12"/>
      <c r="Z147" s="12"/>
    </row>
    <row r="148" customFormat="false" ht="15.75" hidden="false" customHeight="false" outlineLevel="0" collapsed="false">
      <c r="A148" s="12"/>
      <c r="B148" s="34"/>
      <c r="C148" s="12"/>
      <c r="D148" s="12"/>
      <c r="E148" s="12"/>
      <c r="F148" s="12"/>
      <c r="G148" s="18"/>
      <c r="H148" s="35"/>
      <c r="I148" s="35"/>
      <c r="J148" s="12"/>
      <c r="O148" s="12"/>
      <c r="P148" s="18"/>
      <c r="Q148" s="12"/>
      <c r="R148" s="12"/>
      <c r="S148" s="12"/>
      <c r="T148" s="36"/>
      <c r="U148" s="36"/>
      <c r="V148" s="12"/>
      <c r="W148" s="12"/>
      <c r="X148" s="12"/>
      <c r="Y148" s="12"/>
      <c r="Z148" s="12"/>
    </row>
    <row r="149" customFormat="false" ht="15.75" hidden="false" customHeight="false" outlineLevel="0" collapsed="false">
      <c r="A149" s="12"/>
      <c r="B149" s="34"/>
      <c r="C149" s="12"/>
      <c r="D149" s="12"/>
      <c r="E149" s="12"/>
      <c r="F149" s="12"/>
      <c r="G149" s="18"/>
      <c r="H149" s="35"/>
      <c r="I149" s="35"/>
      <c r="J149" s="12"/>
      <c r="O149" s="12"/>
      <c r="P149" s="18"/>
      <c r="Q149" s="12"/>
      <c r="R149" s="12"/>
      <c r="S149" s="12"/>
      <c r="T149" s="36"/>
      <c r="U149" s="36"/>
      <c r="V149" s="12"/>
      <c r="W149" s="12"/>
      <c r="X149" s="12"/>
      <c r="Y149" s="12"/>
      <c r="Z149" s="12"/>
    </row>
    <row r="150" customFormat="false" ht="15.75" hidden="false" customHeight="false" outlineLevel="0" collapsed="false">
      <c r="A150" s="12"/>
      <c r="B150" s="34"/>
      <c r="C150" s="12"/>
      <c r="D150" s="12"/>
      <c r="E150" s="12"/>
      <c r="F150" s="12"/>
      <c r="G150" s="18"/>
      <c r="H150" s="35"/>
      <c r="I150" s="35"/>
      <c r="J150" s="12"/>
      <c r="O150" s="12"/>
      <c r="P150" s="18"/>
      <c r="Q150" s="12"/>
      <c r="R150" s="12"/>
      <c r="S150" s="12"/>
      <c r="T150" s="36"/>
      <c r="U150" s="36"/>
      <c r="V150" s="12"/>
      <c r="W150" s="12"/>
      <c r="X150" s="12"/>
      <c r="Y150" s="12"/>
      <c r="Z150" s="12"/>
    </row>
    <row r="151" customFormat="false" ht="15.75" hidden="false" customHeight="false" outlineLevel="0" collapsed="false">
      <c r="A151" s="12"/>
      <c r="B151" s="34"/>
      <c r="C151" s="12"/>
      <c r="D151" s="12"/>
      <c r="E151" s="12"/>
      <c r="F151" s="12"/>
      <c r="G151" s="18"/>
      <c r="H151" s="35"/>
      <c r="I151" s="35"/>
      <c r="J151" s="12"/>
      <c r="O151" s="12"/>
      <c r="P151" s="18"/>
      <c r="Q151" s="12"/>
      <c r="R151" s="12"/>
      <c r="S151" s="12"/>
      <c r="T151" s="36"/>
      <c r="U151" s="36"/>
      <c r="V151" s="12"/>
      <c r="W151" s="12"/>
      <c r="X151" s="12"/>
      <c r="Y151" s="12"/>
      <c r="Z151" s="12"/>
    </row>
    <row r="152" customFormat="false" ht="15.75" hidden="false" customHeight="false" outlineLevel="0" collapsed="false">
      <c r="A152" s="12"/>
      <c r="B152" s="34"/>
      <c r="C152" s="12"/>
      <c r="D152" s="12"/>
      <c r="E152" s="12"/>
      <c r="F152" s="12"/>
      <c r="G152" s="18"/>
      <c r="H152" s="35"/>
      <c r="I152" s="35"/>
      <c r="J152" s="12"/>
      <c r="O152" s="12"/>
      <c r="P152" s="18"/>
      <c r="Q152" s="12"/>
      <c r="R152" s="12"/>
      <c r="S152" s="12"/>
      <c r="T152" s="36"/>
      <c r="U152" s="36"/>
      <c r="V152" s="12"/>
      <c r="W152" s="12"/>
      <c r="X152" s="12"/>
      <c r="Y152" s="12"/>
      <c r="Z152" s="12"/>
    </row>
    <row r="153" customFormat="false" ht="15.75" hidden="false" customHeight="false" outlineLevel="0" collapsed="false">
      <c r="A153" s="12"/>
      <c r="B153" s="34"/>
      <c r="C153" s="12"/>
      <c r="D153" s="12"/>
      <c r="E153" s="12"/>
      <c r="F153" s="12"/>
      <c r="G153" s="18"/>
      <c r="H153" s="35"/>
      <c r="I153" s="35"/>
      <c r="J153" s="12"/>
      <c r="O153" s="12"/>
      <c r="P153" s="18"/>
      <c r="Q153" s="12"/>
      <c r="R153" s="12"/>
      <c r="S153" s="12"/>
      <c r="T153" s="36"/>
      <c r="U153" s="36"/>
      <c r="V153" s="12"/>
      <c r="W153" s="12"/>
      <c r="X153" s="12"/>
      <c r="Y153" s="12"/>
      <c r="Z153" s="12"/>
    </row>
    <row r="154" customFormat="false" ht="15.75" hidden="false" customHeight="false" outlineLevel="0" collapsed="false">
      <c r="A154" s="12"/>
      <c r="B154" s="34"/>
      <c r="C154" s="12"/>
      <c r="D154" s="12"/>
      <c r="E154" s="12"/>
      <c r="F154" s="12"/>
      <c r="G154" s="18"/>
      <c r="H154" s="35"/>
      <c r="I154" s="35"/>
      <c r="J154" s="12"/>
      <c r="O154" s="12"/>
      <c r="P154" s="18"/>
      <c r="Q154" s="12"/>
      <c r="R154" s="12"/>
      <c r="S154" s="12"/>
      <c r="T154" s="36"/>
      <c r="U154" s="36"/>
      <c r="V154" s="12"/>
      <c r="W154" s="12"/>
      <c r="X154" s="12"/>
      <c r="Y154" s="12"/>
      <c r="Z154" s="12"/>
    </row>
    <row r="155" customFormat="false" ht="15.75" hidden="false" customHeight="false" outlineLevel="0" collapsed="false">
      <c r="A155" s="12"/>
      <c r="B155" s="34"/>
      <c r="C155" s="12"/>
      <c r="D155" s="12"/>
      <c r="E155" s="12"/>
      <c r="F155" s="12"/>
      <c r="G155" s="18"/>
      <c r="H155" s="35"/>
      <c r="I155" s="35"/>
      <c r="J155" s="12"/>
      <c r="O155" s="12"/>
      <c r="P155" s="18"/>
      <c r="Q155" s="12"/>
      <c r="R155" s="12"/>
      <c r="S155" s="12"/>
      <c r="T155" s="36"/>
      <c r="U155" s="36"/>
      <c r="V155" s="12"/>
      <c r="W155" s="12"/>
      <c r="X155" s="12"/>
      <c r="Y155" s="12"/>
      <c r="Z155" s="12"/>
    </row>
    <row r="156" customFormat="false" ht="15.75" hidden="false" customHeight="false" outlineLevel="0" collapsed="false">
      <c r="A156" s="12"/>
      <c r="B156" s="34"/>
      <c r="C156" s="12"/>
      <c r="D156" s="12"/>
      <c r="E156" s="12"/>
      <c r="F156" s="12"/>
      <c r="G156" s="18"/>
      <c r="H156" s="35"/>
      <c r="I156" s="35"/>
      <c r="J156" s="12"/>
      <c r="O156" s="12"/>
      <c r="P156" s="18"/>
      <c r="Q156" s="12"/>
      <c r="R156" s="12"/>
      <c r="S156" s="12"/>
      <c r="T156" s="36"/>
      <c r="U156" s="36"/>
      <c r="V156" s="12"/>
      <c r="W156" s="12"/>
      <c r="X156" s="12"/>
      <c r="Y156" s="12"/>
      <c r="Z156" s="12"/>
    </row>
    <row r="157" customFormat="false" ht="15.75" hidden="false" customHeight="false" outlineLevel="0" collapsed="false">
      <c r="A157" s="12"/>
      <c r="B157" s="34"/>
      <c r="C157" s="12"/>
      <c r="D157" s="12"/>
      <c r="E157" s="12"/>
      <c r="F157" s="12"/>
      <c r="G157" s="18"/>
      <c r="H157" s="35"/>
      <c r="I157" s="35"/>
      <c r="J157" s="12"/>
      <c r="O157" s="12"/>
      <c r="P157" s="18"/>
      <c r="Q157" s="12"/>
      <c r="R157" s="12"/>
      <c r="S157" s="12"/>
      <c r="T157" s="36"/>
      <c r="U157" s="36"/>
      <c r="V157" s="12"/>
      <c r="W157" s="12"/>
      <c r="X157" s="12"/>
      <c r="Y157" s="12"/>
      <c r="Z157" s="12"/>
    </row>
    <row r="158" customFormat="false" ht="15.75" hidden="false" customHeight="false" outlineLevel="0" collapsed="false">
      <c r="A158" s="12"/>
      <c r="B158" s="34"/>
      <c r="C158" s="12"/>
      <c r="D158" s="12"/>
      <c r="E158" s="12"/>
      <c r="F158" s="12"/>
      <c r="G158" s="18"/>
      <c r="H158" s="35"/>
      <c r="I158" s="35"/>
      <c r="J158" s="12"/>
      <c r="O158" s="12"/>
      <c r="P158" s="18"/>
      <c r="Q158" s="12"/>
      <c r="R158" s="12"/>
      <c r="S158" s="12"/>
      <c r="T158" s="36"/>
      <c r="U158" s="36"/>
      <c r="V158" s="12"/>
      <c r="W158" s="12"/>
      <c r="X158" s="12"/>
      <c r="Y158" s="12"/>
      <c r="Z158" s="12"/>
    </row>
    <row r="159" customFormat="false" ht="15.75" hidden="false" customHeight="false" outlineLevel="0" collapsed="false">
      <c r="A159" s="12"/>
      <c r="B159" s="34"/>
      <c r="C159" s="12"/>
      <c r="D159" s="12"/>
      <c r="E159" s="12"/>
      <c r="F159" s="12"/>
      <c r="G159" s="18"/>
      <c r="H159" s="35"/>
      <c r="I159" s="35"/>
      <c r="J159" s="12"/>
      <c r="O159" s="12"/>
      <c r="P159" s="18"/>
      <c r="Q159" s="12"/>
      <c r="R159" s="12"/>
      <c r="S159" s="12"/>
      <c r="T159" s="36"/>
      <c r="U159" s="36"/>
      <c r="V159" s="12"/>
      <c r="W159" s="12"/>
      <c r="X159" s="12"/>
      <c r="Y159" s="12"/>
      <c r="Z159" s="12"/>
    </row>
    <row r="160" customFormat="false" ht="15.75" hidden="false" customHeight="false" outlineLevel="0" collapsed="false">
      <c r="A160" s="12"/>
      <c r="B160" s="34"/>
      <c r="C160" s="12"/>
      <c r="D160" s="12"/>
      <c r="E160" s="12"/>
      <c r="F160" s="12"/>
      <c r="G160" s="18"/>
      <c r="H160" s="35"/>
      <c r="I160" s="35"/>
      <c r="J160" s="12"/>
      <c r="O160" s="12"/>
      <c r="P160" s="18"/>
      <c r="Q160" s="12"/>
      <c r="R160" s="12"/>
      <c r="S160" s="12"/>
      <c r="T160" s="36"/>
      <c r="U160" s="36"/>
      <c r="V160" s="12"/>
      <c r="W160" s="12"/>
      <c r="X160" s="12"/>
      <c r="Y160" s="12"/>
      <c r="Z160" s="12"/>
    </row>
    <row r="161" customFormat="false" ht="15.75" hidden="false" customHeight="false" outlineLevel="0" collapsed="false">
      <c r="A161" s="12"/>
      <c r="B161" s="34"/>
      <c r="C161" s="12"/>
      <c r="D161" s="12"/>
      <c r="E161" s="12"/>
      <c r="F161" s="12"/>
      <c r="G161" s="18"/>
      <c r="H161" s="35"/>
      <c r="I161" s="35"/>
      <c r="J161" s="12"/>
      <c r="O161" s="12"/>
      <c r="P161" s="18"/>
      <c r="Q161" s="12"/>
      <c r="R161" s="12"/>
      <c r="S161" s="12"/>
      <c r="T161" s="36"/>
      <c r="U161" s="36"/>
      <c r="V161" s="12"/>
      <c r="W161" s="12"/>
      <c r="X161" s="12"/>
      <c r="Y161" s="12"/>
      <c r="Z161" s="12"/>
    </row>
    <row r="162" customFormat="false" ht="15.75" hidden="false" customHeight="false" outlineLevel="0" collapsed="false">
      <c r="A162" s="12"/>
      <c r="B162" s="34"/>
      <c r="C162" s="12"/>
      <c r="D162" s="12"/>
      <c r="E162" s="12"/>
      <c r="F162" s="12"/>
      <c r="G162" s="18"/>
      <c r="H162" s="35"/>
      <c r="I162" s="35"/>
      <c r="J162" s="12"/>
      <c r="O162" s="12"/>
      <c r="P162" s="18"/>
      <c r="Q162" s="12"/>
      <c r="R162" s="12"/>
      <c r="S162" s="12"/>
      <c r="T162" s="36"/>
      <c r="U162" s="36"/>
      <c r="V162" s="12"/>
      <c r="W162" s="12"/>
      <c r="X162" s="12"/>
      <c r="Y162" s="12"/>
      <c r="Z162" s="12"/>
    </row>
    <row r="163" customFormat="false" ht="15.75" hidden="false" customHeight="false" outlineLevel="0" collapsed="false">
      <c r="A163" s="12"/>
      <c r="B163" s="34"/>
      <c r="C163" s="12"/>
      <c r="D163" s="12"/>
      <c r="E163" s="12"/>
      <c r="F163" s="12"/>
      <c r="G163" s="18"/>
      <c r="H163" s="35"/>
      <c r="I163" s="35"/>
      <c r="J163" s="12"/>
      <c r="O163" s="12"/>
      <c r="P163" s="18"/>
      <c r="Q163" s="12"/>
      <c r="R163" s="12"/>
      <c r="S163" s="12"/>
      <c r="T163" s="36"/>
      <c r="U163" s="36"/>
      <c r="V163" s="12"/>
      <c r="W163" s="12"/>
      <c r="X163" s="12"/>
      <c r="Y163" s="12"/>
      <c r="Z163" s="12"/>
    </row>
    <row r="164" customFormat="false" ht="15.75" hidden="false" customHeight="false" outlineLevel="0" collapsed="false">
      <c r="A164" s="12"/>
      <c r="B164" s="34"/>
      <c r="C164" s="12"/>
      <c r="D164" s="12"/>
      <c r="E164" s="12"/>
      <c r="F164" s="12"/>
      <c r="G164" s="18"/>
      <c r="H164" s="35"/>
      <c r="I164" s="35"/>
      <c r="J164" s="12"/>
      <c r="O164" s="12"/>
      <c r="P164" s="18"/>
      <c r="Q164" s="12"/>
      <c r="R164" s="12"/>
      <c r="S164" s="12"/>
      <c r="T164" s="36"/>
      <c r="U164" s="36"/>
      <c r="V164" s="12"/>
      <c r="W164" s="12"/>
      <c r="X164" s="12"/>
      <c r="Y164" s="12"/>
      <c r="Z164" s="12"/>
    </row>
    <row r="165" customFormat="false" ht="15.75" hidden="false" customHeight="false" outlineLevel="0" collapsed="false">
      <c r="A165" s="12"/>
      <c r="B165" s="34"/>
      <c r="C165" s="12"/>
      <c r="D165" s="12"/>
      <c r="E165" s="12"/>
      <c r="F165" s="12"/>
      <c r="G165" s="18"/>
      <c r="H165" s="35"/>
      <c r="I165" s="35"/>
      <c r="J165" s="12"/>
      <c r="O165" s="12"/>
      <c r="P165" s="18"/>
      <c r="Q165" s="12"/>
      <c r="R165" s="12"/>
      <c r="S165" s="12"/>
      <c r="T165" s="36"/>
      <c r="U165" s="36"/>
      <c r="V165" s="12"/>
      <c r="W165" s="12"/>
      <c r="X165" s="12"/>
      <c r="Y165" s="12"/>
      <c r="Z165" s="12"/>
    </row>
    <row r="166" customFormat="false" ht="15.75" hidden="false" customHeight="false" outlineLevel="0" collapsed="false">
      <c r="A166" s="12"/>
      <c r="B166" s="34"/>
      <c r="C166" s="12"/>
      <c r="D166" s="12"/>
      <c r="E166" s="12"/>
      <c r="F166" s="12"/>
      <c r="G166" s="18"/>
      <c r="H166" s="35"/>
      <c r="I166" s="35"/>
      <c r="J166" s="12"/>
      <c r="O166" s="12"/>
      <c r="P166" s="18"/>
      <c r="Q166" s="12"/>
      <c r="R166" s="12"/>
      <c r="S166" s="12"/>
      <c r="T166" s="36"/>
      <c r="U166" s="36"/>
      <c r="V166" s="12"/>
      <c r="W166" s="12"/>
      <c r="X166" s="12"/>
      <c r="Y166" s="12"/>
      <c r="Z166" s="12"/>
    </row>
    <row r="167" customFormat="false" ht="15.75" hidden="false" customHeight="false" outlineLevel="0" collapsed="false">
      <c r="A167" s="12"/>
      <c r="B167" s="34"/>
      <c r="C167" s="12"/>
      <c r="D167" s="12"/>
      <c r="E167" s="12"/>
      <c r="F167" s="12"/>
      <c r="G167" s="18"/>
      <c r="H167" s="35"/>
      <c r="I167" s="35"/>
      <c r="J167" s="12"/>
      <c r="O167" s="12"/>
      <c r="P167" s="18"/>
      <c r="Q167" s="12"/>
      <c r="R167" s="12"/>
      <c r="S167" s="12"/>
      <c r="T167" s="36"/>
      <c r="U167" s="36"/>
      <c r="V167" s="12"/>
      <c r="W167" s="12"/>
      <c r="X167" s="12"/>
      <c r="Y167" s="12"/>
      <c r="Z167" s="12"/>
    </row>
    <row r="168" customFormat="false" ht="15.75" hidden="false" customHeight="false" outlineLevel="0" collapsed="false">
      <c r="A168" s="12"/>
      <c r="B168" s="34"/>
      <c r="C168" s="12"/>
      <c r="D168" s="12"/>
      <c r="E168" s="12"/>
      <c r="F168" s="12"/>
      <c r="G168" s="18"/>
      <c r="H168" s="35"/>
      <c r="I168" s="35"/>
      <c r="J168" s="12"/>
      <c r="O168" s="12"/>
      <c r="P168" s="18"/>
      <c r="Q168" s="12"/>
      <c r="R168" s="12"/>
      <c r="S168" s="12"/>
      <c r="T168" s="36"/>
      <c r="U168" s="36"/>
      <c r="V168" s="12"/>
      <c r="W168" s="12"/>
      <c r="X168" s="12"/>
      <c r="Y168" s="12"/>
      <c r="Z168" s="12"/>
    </row>
    <row r="169" customFormat="false" ht="15.75" hidden="false" customHeight="false" outlineLevel="0" collapsed="false">
      <c r="A169" s="12"/>
      <c r="B169" s="34"/>
      <c r="C169" s="12"/>
      <c r="D169" s="12"/>
      <c r="E169" s="12"/>
      <c r="F169" s="12"/>
      <c r="G169" s="18"/>
      <c r="H169" s="35"/>
      <c r="I169" s="35"/>
      <c r="J169" s="12"/>
      <c r="O169" s="12"/>
      <c r="P169" s="18"/>
      <c r="Q169" s="12"/>
      <c r="R169" s="12"/>
      <c r="S169" s="12"/>
      <c r="T169" s="36"/>
      <c r="U169" s="36"/>
      <c r="V169" s="12"/>
      <c r="W169" s="12"/>
      <c r="X169" s="12"/>
      <c r="Y169" s="12"/>
      <c r="Z169" s="12"/>
    </row>
    <row r="170" customFormat="false" ht="15.75" hidden="false" customHeight="false" outlineLevel="0" collapsed="false">
      <c r="A170" s="12"/>
      <c r="B170" s="34"/>
      <c r="C170" s="12"/>
      <c r="D170" s="12"/>
      <c r="E170" s="12"/>
      <c r="F170" s="12"/>
      <c r="G170" s="18"/>
      <c r="H170" s="35"/>
      <c r="I170" s="35"/>
      <c r="J170" s="12"/>
      <c r="O170" s="12"/>
      <c r="P170" s="18"/>
      <c r="Q170" s="12"/>
      <c r="R170" s="12"/>
      <c r="S170" s="12"/>
      <c r="T170" s="36"/>
      <c r="U170" s="36"/>
      <c r="V170" s="12"/>
      <c r="W170" s="12"/>
      <c r="X170" s="12"/>
      <c r="Y170" s="12"/>
      <c r="Z170" s="12"/>
    </row>
    <row r="171" customFormat="false" ht="15.75" hidden="false" customHeight="false" outlineLevel="0" collapsed="false">
      <c r="A171" s="12"/>
      <c r="B171" s="34"/>
      <c r="C171" s="12"/>
      <c r="D171" s="12"/>
      <c r="E171" s="12"/>
      <c r="F171" s="12"/>
      <c r="G171" s="18"/>
      <c r="H171" s="35"/>
      <c r="I171" s="35"/>
      <c r="J171" s="12"/>
      <c r="O171" s="12"/>
      <c r="P171" s="18"/>
      <c r="Q171" s="12"/>
      <c r="R171" s="12"/>
      <c r="S171" s="12"/>
      <c r="T171" s="36"/>
      <c r="U171" s="36"/>
      <c r="V171" s="12"/>
      <c r="W171" s="12"/>
      <c r="X171" s="12"/>
      <c r="Y171" s="12"/>
      <c r="Z171" s="12"/>
    </row>
    <row r="172" customFormat="false" ht="15.75" hidden="false" customHeight="false" outlineLevel="0" collapsed="false">
      <c r="A172" s="12"/>
      <c r="B172" s="34"/>
      <c r="C172" s="12"/>
      <c r="D172" s="12"/>
      <c r="E172" s="12"/>
      <c r="F172" s="12"/>
      <c r="G172" s="18"/>
      <c r="H172" s="35"/>
      <c r="I172" s="35"/>
      <c r="J172" s="12"/>
      <c r="O172" s="12"/>
      <c r="P172" s="18"/>
      <c r="Q172" s="12"/>
      <c r="R172" s="12"/>
      <c r="S172" s="12"/>
      <c r="T172" s="36"/>
      <c r="U172" s="36"/>
      <c r="V172" s="12"/>
      <c r="W172" s="12"/>
      <c r="X172" s="12"/>
      <c r="Y172" s="12"/>
      <c r="Z172" s="12"/>
    </row>
    <row r="173" customFormat="false" ht="15.75" hidden="false" customHeight="false" outlineLevel="0" collapsed="false">
      <c r="A173" s="12"/>
      <c r="B173" s="34"/>
      <c r="C173" s="12"/>
      <c r="D173" s="12"/>
      <c r="E173" s="12"/>
      <c r="F173" s="12"/>
      <c r="G173" s="18"/>
      <c r="H173" s="35"/>
      <c r="I173" s="35"/>
      <c r="J173" s="12"/>
      <c r="O173" s="12"/>
      <c r="P173" s="18"/>
      <c r="Q173" s="12"/>
      <c r="R173" s="12"/>
      <c r="S173" s="12"/>
      <c r="T173" s="36"/>
      <c r="U173" s="36"/>
      <c r="V173" s="12"/>
      <c r="W173" s="12"/>
      <c r="X173" s="12"/>
      <c r="Y173" s="12"/>
      <c r="Z173" s="12"/>
    </row>
    <row r="174" customFormat="false" ht="15.75" hidden="false" customHeight="false" outlineLevel="0" collapsed="false">
      <c r="A174" s="12"/>
      <c r="B174" s="34"/>
      <c r="C174" s="12"/>
      <c r="D174" s="12"/>
      <c r="E174" s="12"/>
      <c r="F174" s="12"/>
      <c r="G174" s="18"/>
      <c r="H174" s="35"/>
      <c r="I174" s="35"/>
      <c r="J174" s="12"/>
      <c r="O174" s="12"/>
      <c r="P174" s="18"/>
      <c r="Q174" s="12"/>
      <c r="R174" s="12"/>
      <c r="S174" s="12"/>
      <c r="T174" s="36"/>
      <c r="U174" s="36"/>
      <c r="V174" s="12"/>
      <c r="W174" s="12"/>
      <c r="X174" s="12"/>
      <c r="Y174" s="12"/>
      <c r="Z174" s="12"/>
    </row>
    <row r="175" customFormat="false" ht="15.75" hidden="false" customHeight="false" outlineLevel="0" collapsed="false">
      <c r="A175" s="12"/>
      <c r="B175" s="34"/>
      <c r="C175" s="12"/>
      <c r="D175" s="12"/>
      <c r="E175" s="12"/>
      <c r="F175" s="12"/>
      <c r="G175" s="18"/>
      <c r="H175" s="35"/>
      <c r="I175" s="35"/>
      <c r="J175" s="12"/>
      <c r="O175" s="12"/>
      <c r="P175" s="18"/>
      <c r="Q175" s="12"/>
      <c r="R175" s="12"/>
      <c r="S175" s="12"/>
      <c r="T175" s="36"/>
      <c r="U175" s="36"/>
      <c r="V175" s="12"/>
      <c r="W175" s="12"/>
      <c r="X175" s="12"/>
      <c r="Y175" s="12"/>
      <c r="Z175" s="12"/>
    </row>
    <row r="176" customFormat="false" ht="15.75" hidden="false" customHeight="false" outlineLevel="0" collapsed="false">
      <c r="A176" s="12"/>
      <c r="B176" s="34"/>
      <c r="C176" s="12"/>
      <c r="D176" s="12"/>
      <c r="E176" s="12"/>
      <c r="F176" s="12"/>
      <c r="G176" s="18"/>
      <c r="H176" s="35"/>
      <c r="I176" s="35"/>
      <c r="J176" s="12"/>
      <c r="O176" s="12"/>
      <c r="P176" s="18"/>
      <c r="Q176" s="12"/>
      <c r="R176" s="12"/>
      <c r="S176" s="12"/>
      <c r="T176" s="36"/>
      <c r="U176" s="36"/>
      <c r="V176" s="12"/>
      <c r="W176" s="12"/>
      <c r="X176" s="12"/>
      <c r="Y176" s="12"/>
      <c r="Z176" s="12"/>
    </row>
    <row r="177" customFormat="false" ht="15.75" hidden="false" customHeight="false" outlineLevel="0" collapsed="false">
      <c r="A177" s="12"/>
      <c r="B177" s="34"/>
      <c r="C177" s="12"/>
      <c r="D177" s="12"/>
      <c r="E177" s="12"/>
      <c r="F177" s="12"/>
      <c r="G177" s="18"/>
      <c r="H177" s="35"/>
      <c r="I177" s="35"/>
      <c r="J177" s="12"/>
      <c r="O177" s="12"/>
      <c r="P177" s="18"/>
      <c r="Q177" s="12"/>
      <c r="R177" s="12"/>
      <c r="S177" s="12"/>
      <c r="T177" s="36"/>
      <c r="U177" s="36"/>
      <c r="V177" s="12"/>
      <c r="W177" s="12"/>
      <c r="X177" s="12"/>
      <c r="Y177" s="12"/>
      <c r="Z177" s="12"/>
    </row>
    <row r="178" customFormat="false" ht="15.75" hidden="false" customHeight="false" outlineLevel="0" collapsed="false">
      <c r="A178" s="12"/>
      <c r="B178" s="34"/>
      <c r="C178" s="12"/>
      <c r="D178" s="12"/>
      <c r="E178" s="12"/>
      <c r="F178" s="12"/>
      <c r="G178" s="18"/>
      <c r="H178" s="35"/>
      <c r="I178" s="35"/>
      <c r="J178" s="12"/>
      <c r="O178" s="12"/>
      <c r="P178" s="18"/>
      <c r="Q178" s="12"/>
      <c r="R178" s="12"/>
      <c r="S178" s="12"/>
      <c r="T178" s="36"/>
      <c r="U178" s="36"/>
      <c r="V178" s="12"/>
      <c r="W178" s="12"/>
      <c r="X178" s="12"/>
      <c r="Y178" s="12"/>
      <c r="Z178" s="12"/>
    </row>
    <row r="179" customFormat="false" ht="15.75" hidden="false" customHeight="false" outlineLevel="0" collapsed="false">
      <c r="A179" s="12"/>
      <c r="B179" s="34"/>
      <c r="C179" s="12"/>
      <c r="D179" s="12"/>
      <c r="E179" s="12"/>
      <c r="F179" s="12"/>
      <c r="G179" s="18"/>
      <c r="H179" s="35"/>
      <c r="I179" s="35"/>
      <c r="J179" s="12"/>
      <c r="O179" s="12"/>
      <c r="P179" s="18"/>
      <c r="Q179" s="12"/>
      <c r="R179" s="12"/>
      <c r="S179" s="12"/>
      <c r="T179" s="36"/>
      <c r="U179" s="36"/>
      <c r="V179" s="12"/>
      <c r="W179" s="12"/>
      <c r="X179" s="12"/>
      <c r="Y179" s="12"/>
      <c r="Z179" s="12"/>
    </row>
    <row r="180" customFormat="false" ht="15.75" hidden="false" customHeight="false" outlineLevel="0" collapsed="false">
      <c r="A180" s="12"/>
      <c r="B180" s="34"/>
      <c r="C180" s="12"/>
      <c r="D180" s="12"/>
      <c r="E180" s="12"/>
      <c r="F180" s="12"/>
      <c r="G180" s="18"/>
      <c r="H180" s="35"/>
      <c r="I180" s="35"/>
      <c r="J180" s="12"/>
      <c r="O180" s="12"/>
      <c r="P180" s="18"/>
      <c r="Q180" s="12"/>
      <c r="R180" s="12"/>
      <c r="S180" s="12"/>
      <c r="T180" s="36"/>
      <c r="U180" s="36"/>
      <c r="V180" s="12"/>
      <c r="W180" s="12"/>
      <c r="X180" s="12"/>
      <c r="Y180" s="12"/>
      <c r="Z180" s="12"/>
    </row>
    <row r="181" customFormat="false" ht="15.75" hidden="false" customHeight="false" outlineLevel="0" collapsed="false">
      <c r="A181" s="12"/>
      <c r="B181" s="34"/>
      <c r="C181" s="12"/>
      <c r="D181" s="12"/>
      <c r="E181" s="12"/>
      <c r="F181" s="12"/>
      <c r="G181" s="18"/>
      <c r="H181" s="35"/>
      <c r="I181" s="35"/>
      <c r="J181" s="12"/>
      <c r="O181" s="12"/>
      <c r="P181" s="18"/>
      <c r="Q181" s="12"/>
      <c r="R181" s="12"/>
      <c r="S181" s="12"/>
      <c r="T181" s="36"/>
      <c r="U181" s="36"/>
      <c r="V181" s="12"/>
      <c r="W181" s="12"/>
      <c r="X181" s="12"/>
      <c r="Y181" s="12"/>
      <c r="Z181" s="12"/>
    </row>
    <row r="182" customFormat="false" ht="15.75" hidden="false" customHeight="false" outlineLevel="0" collapsed="false">
      <c r="A182" s="12"/>
      <c r="B182" s="34"/>
      <c r="C182" s="12"/>
      <c r="D182" s="12"/>
      <c r="E182" s="12"/>
      <c r="F182" s="12"/>
      <c r="G182" s="18"/>
      <c r="H182" s="35"/>
      <c r="I182" s="35"/>
      <c r="J182" s="12"/>
      <c r="O182" s="12"/>
      <c r="P182" s="18"/>
      <c r="Q182" s="12"/>
      <c r="R182" s="12"/>
      <c r="S182" s="12"/>
      <c r="T182" s="36"/>
      <c r="U182" s="36"/>
      <c r="V182" s="12"/>
      <c r="W182" s="12"/>
      <c r="X182" s="12"/>
      <c r="Y182" s="12"/>
      <c r="Z182" s="12"/>
    </row>
    <row r="183" customFormat="false" ht="15.75" hidden="false" customHeight="false" outlineLevel="0" collapsed="false">
      <c r="A183" s="12"/>
      <c r="B183" s="34"/>
      <c r="C183" s="12"/>
      <c r="D183" s="12"/>
      <c r="E183" s="12"/>
      <c r="F183" s="12"/>
      <c r="G183" s="18"/>
      <c r="H183" s="35"/>
      <c r="I183" s="35"/>
      <c r="J183" s="12"/>
      <c r="O183" s="12"/>
      <c r="P183" s="18"/>
      <c r="Q183" s="12"/>
      <c r="R183" s="12"/>
      <c r="S183" s="12"/>
      <c r="T183" s="36"/>
      <c r="U183" s="36"/>
      <c r="V183" s="12"/>
      <c r="W183" s="12"/>
      <c r="X183" s="12"/>
      <c r="Y183" s="12"/>
      <c r="Z183" s="12"/>
    </row>
    <row r="184" customFormat="false" ht="15.75" hidden="false" customHeight="false" outlineLevel="0" collapsed="false">
      <c r="A184" s="12"/>
      <c r="B184" s="34"/>
      <c r="C184" s="12"/>
      <c r="D184" s="12"/>
      <c r="E184" s="12"/>
      <c r="F184" s="12"/>
      <c r="G184" s="18"/>
      <c r="H184" s="35"/>
      <c r="I184" s="35"/>
      <c r="J184" s="12"/>
      <c r="O184" s="12"/>
      <c r="P184" s="18"/>
      <c r="Q184" s="12"/>
      <c r="R184" s="12"/>
      <c r="S184" s="12"/>
      <c r="T184" s="36"/>
      <c r="U184" s="36"/>
      <c r="V184" s="12"/>
      <c r="W184" s="12"/>
      <c r="X184" s="12"/>
      <c r="Y184" s="12"/>
      <c r="Z184" s="12"/>
    </row>
    <row r="185" customFormat="false" ht="15.75" hidden="false" customHeight="false" outlineLevel="0" collapsed="false">
      <c r="A185" s="12"/>
      <c r="B185" s="34"/>
      <c r="C185" s="12"/>
      <c r="D185" s="12"/>
      <c r="E185" s="12"/>
      <c r="F185" s="12"/>
      <c r="G185" s="18"/>
      <c r="H185" s="35"/>
      <c r="I185" s="35"/>
      <c r="J185" s="12"/>
      <c r="O185" s="12"/>
      <c r="P185" s="18"/>
      <c r="Q185" s="12"/>
      <c r="R185" s="12"/>
      <c r="S185" s="12"/>
      <c r="T185" s="36"/>
      <c r="U185" s="36"/>
      <c r="V185" s="12"/>
      <c r="W185" s="12"/>
      <c r="X185" s="12"/>
      <c r="Y185" s="12"/>
      <c r="Z185" s="12"/>
    </row>
    <row r="186" customFormat="false" ht="15.75" hidden="false" customHeight="false" outlineLevel="0" collapsed="false">
      <c r="A186" s="12"/>
      <c r="B186" s="34"/>
      <c r="C186" s="12"/>
      <c r="D186" s="12"/>
      <c r="E186" s="12"/>
      <c r="F186" s="12"/>
      <c r="G186" s="18"/>
      <c r="H186" s="35"/>
      <c r="I186" s="35"/>
      <c r="J186" s="12"/>
      <c r="O186" s="12"/>
      <c r="P186" s="18"/>
      <c r="Q186" s="12"/>
      <c r="R186" s="12"/>
      <c r="S186" s="12"/>
      <c r="T186" s="36"/>
      <c r="U186" s="36"/>
      <c r="V186" s="12"/>
      <c r="W186" s="12"/>
      <c r="X186" s="12"/>
      <c r="Y186" s="12"/>
      <c r="Z186" s="12"/>
    </row>
    <row r="187" customFormat="false" ht="15.75" hidden="false" customHeight="false" outlineLevel="0" collapsed="false">
      <c r="A187" s="12"/>
      <c r="B187" s="34"/>
      <c r="C187" s="12"/>
      <c r="D187" s="12"/>
      <c r="E187" s="12"/>
      <c r="F187" s="12"/>
      <c r="G187" s="18"/>
      <c r="H187" s="35"/>
      <c r="I187" s="35"/>
      <c r="J187" s="12"/>
      <c r="O187" s="12"/>
      <c r="P187" s="18"/>
      <c r="Q187" s="12"/>
      <c r="R187" s="12"/>
      <c r="S187" s="12"/>
      <c r="T187" s="36"/>
      <c r="U187" s="36"/>
      <c r="V187" s="12"/>
      <c r="W187" s="12"/>
      <c r="X187" s="12"/>
      <c r="Y187" s="12"/>
      <c r="Z187" s="12"/>
    </row>
    <row r="188" customFormat="false" ht="15.75" hidden="false" customHeight="false" outlineLevel="0" collapsed="false">
      <c r="A188" s="12"/>
      <c r="B188" s="34"/>
      <c r="C188" s="12"/>
      <c r="D188" s="12"/>
      <c r="E188" s="12"/>
      <c r="F188" s="12"/>
      <c r="G188" s="18"/>
      <c r="H188" s="35"/>
      <c r="I188" s="35"/>
      <c r="J188" s="12"/>
      <c r="O188" s="12"/>
      <c r="P188" s="18"/>
      <c r="Q188" s="12"/>
      <c r="R188" s="12"/>
      <c r="S188" s="12"/>
      <c r="T188" s="36"/>
      <c r="U188" s="36"/>
      <c r="V188" s="12"/>
      <c r="W188" s="12"/>
      <c r="X188" s="12"/>
      <c r="Y188" s="12"/>
      <c r="Z188" s="12"/>
    </row>
    <row r="189" customFormat="false" ht="15.75" hidden="false" customHeight="false" outlineLevel="0" collapsed="false">
      <c r="A189" s="12"/>
      <c r="B189" s="34"/>
      <c r="C189" s="12"/>
      <c r="D189" s="12"/>
      <c r="E189" s="12"/>
      <c r="F189" s="12"/>
      <c r="G189" s="18"/>
      <c r="H189" s="35"/>
      <c r="I189" s="35"/>
      <c r="J189" s="12"/>
      <c r="O189" s="12"/>
      <c r="P189" s="18"/>
      <c r="Q189" s="12"/>
      <c r="R189" s="12"/>
      <c r="S189" s="12"/>
      <c r="T189" s="36"/>
      <c r="U189" s="36"/>
      <c r="V189" s="12"/>
      <c r="W189" s="12"/>
      <c r="X189" s="12"/>
      <c r="Y189" s="12"/>
      <c r="Z189" s="12"/>
    </row>
    <row r="190" customFormat="false" ht="15.75" hidden="false" customHeight="false" outlineLevel="0" collapsed="false">
      <c r="A190" s="12"/>
      <c r="B190" s="34"/>
      <c r="C190" s="12"/>
      <c r="D190" s="12"/>
      <c r="E190" s="12"/>
      <c r="F190" s="12"/>
      <c r="G190" s="18"/>
      <c r="H190" s="35"/>
      <c r="I190" s="35"/>
      <c r="J190" s="12"/>
      <c r="O190" s="12"/>
      <c r="P190" s="18"/>
      <c r="Q190" s="12"/>
      <c r="R190" s="12"/>
      <c r="S190" s="12"/>
      <c r="T190" s="36"/>
      <c r="U190" s="36"/>
      <c r="V190" s="12"/>
      <c r="W190" s="12"/>
      <c r="X190" s="12"/>
      <c r="Y190" s="12"/>
      <c r="Z190" s="12"/>
    </row>
    <row r="191" customFormat="false" ht="15.75" hidden="false" customHeight="false" outlineLevel="0" collapsed="false">
      <c r="A191" s="12"/>
      <c r="B191" s="34"/>
      <c r="C191" s="12"/>
      <c r="D191" s="12"/>
      <c r="E191" s="12"/>
      <c r="F191" s="12"/>
      <c r="G191" s="18"/>
      <c r="H191" s="35"/>
      <c r="I191" s="35"/>
      <c r="J191" s="12"/>
      <c r="O191" s="12"/>
      <c r="P191" s="18"/>
      <c r="Q191" s="12"/>
      <c r="R191" s="12"/>
      <c r="S191" s="12"/>
      <c r="T191" s="36"/>
      <c r="U191" s="36"/>
      <c r="V191" s="12"/>
      <c r="W191" s="12"/>
      <c r="X191" s="12"/>
      <c r="Y191" s="12"/>
      <c r="Z191" s="12"/>
    </row>
    <row r="192" customFormat="false" ht="15.75" hidden="false" customHeight="false" outlineLevel="0" collapsed="false">
      <c r="A192" s="12"/>
      <c r="B192" s="34"/>
      <c r="C192" s="12"/>
      <c r="D192" s="12"/>
      <c r="E192" s="12"/>
      <c r="F192" s="12"/>
      <c r="G192" s="18"/>
      <c r="H192" s="35"/>
      <c r="I192" s="35"/>
      <c r="J192" s="12"/>
      <c r="O192" s="12"/>
      <c r="P192" s="18"/>
      <c r="Q192" s="12"/>
      <c r="R192" s="12"/>
      <c r="S192" s="12"/>
      <c r="T192" s="36"/>
      <c r="U192" s="36"/>
      <c r="V192" s="12"/>
      <c r="W192" s="12"/>
      <c r="X192" s="12"/>
      <c r="Y192" s="12"/>
      <c r="Z192" s="12"/>
    </row>
    <row r="193" customFormat="false" ht="15.75" hidden="false" customHeight="false" outlineLevel="0" collapsed="false">
      <c r="A193" s="12"/>
      <c r="B193" s="34"/>
      <c r="C193" s="12"/>
      <c r="D193" s="12"/>
      <c r="E193" s="12"/>
      <c r="F193" s="12"/>
      <c r="G193" s="18"/>
      <c r="H193" s="35"/>
      <c r="I193" s="35"/>
      <c r="J193" s="12"/>
      <c r="O193" s="12"/>
      <c r="P193" s="18"/>
      <c r="Q193" s="12"/>
      <c r="R193" s="12"/>
      <c r="S193" s="12"/>
      <c r="T193" s="36"/>
      <c r="U193" s="36"/>
      <c r="V193" s="12"/>
      <c r="W193" s="12"/>
      <c r="X193" s="12"/>
      <c r="Y193" s="12"/>
      <c r="Z193" s="12"/>
    </row>
    <row r="194" customFormat="false" ht="15.75" hidden="false" customHeight="false" outlineLevel="0" collapsed="false">
      <c r="A194" s="12"/>
      <c r="B194" s="34"/>
      <c r="C194" s="12"/>
      <c r="D194" s="12"/>
      <c r="E194" s="12"/>
      <c r="F194" s="12"/>
      <c r="G194" s="18"/>
      <c r="H194" s="35"/>
      <c r="I194" s="35"/>
      <c r="J194" s="12"/>
      <c r="O194" s="12"/>
      <c r="P194" s="18"/>
      <c r="Q194" s="12"/>
      <c r="R194" s="12"/>
      <c r="S194" s="12"/>
      <c r="T194" s="36"/>
      <c r="U194" s="36"/>
      <c r="V194" s="12"/>
      <c r="W194" s="12"/>
      <c r="X194" s="12"/>
      <c r="Y194" s="12"/>
      <c r="Z194" s="12"/>
    </row>
    <row r="195" customFormat="false" ht="15.75" hidden="false" customHeight="false" outlineLevel="0" collapsed="false">
      <c r="A195" s="12"/>
      <c r="B195" s="34"/>
      <c r="C195" s="12"/>
      <c r="D195" s="12"/>
      <c r="E195" s="12"/>
      <c r="F195" s="12"/>
      <c r="G195" s="18"/>
      <c r="H195" s="35"/>
      <c r="I195" s="35"/>
      <c r="J195" s="12"/>
      <c r="O195" s="12"/>
      <c r="P195" s="18"/>
      <c r="Q195" s="12"/>
      <c r="R195" s="12"/>
      <c r="S195" s="12"/>
      <c r="T195" s="36"/>
      <c r="U195" s="36"/>
      <c r="V195" s="12"/>
      <c r="W195" s="12"/>
      <c r="X195" s="12"/>
      <c r="Y195" s="12"/>
      <c r="Z195" s="12"/>
    </row>
    <row r="196" customFormat="false" ht="15.75" hidden="false" customHeight="false" outlineLevel="0" collapsed="false">
      <c r="A196" s="12"/>
      <c r="B196" s="34"/>
      <c r="C196" s="12"/>
      <c r="D196" s="12"/>
      <c r="E196" s="12"/>
      <c r="F196" s="12"/>
      <c r="G196" s="18"/>
      <c r="H196" s="35"/>
      <c r="I196" s="35"/>
      <c r="J196" s="12"/>
      <c r="O196" s="12"/>
      <c r="P196" s="18"/>
      <c r="Q196" s="12"/>
      <c r="R196" s="12"/>
      <c r="S196" s="12"/>
      <c r="T196" s="36"/>
      <c r="U196" s="36"/>
      <c r="V196" s="12"/>
      <c r="W196" s="12"/>
      <c r="X196" s="12"/>
      <c r="Y196" s="12"/>
      <c r="Z196" s="12"/>
    </row>
    <row r="197" customFormat="false" ht="15.75" hidden="false" customHeight="false" outlineLevel="0" collapsed="false">
      <c r="A197" s="12"/>
      <c r="B197" s="34"/>
      <c r="C197" s="12"/>
      <c r="D197" s="12"/>
      <c r="E197" s="12"/>
      <c r="F197" s="12"/>
      <c r="G197" s="18"/>
      <c r="H197" s="35"/>
      <c r="I197" s="35"/>
      <c r="J197" s="12"/>
      <c r="O197" s="12"/>
      <c r="P197" s="18"/>
      <c r="Q197" s="12"/>
      <c r="R197" s="12"/>
      <c r="S197" s="12"/>
      <c r="T197" s="36"/>
      <c r="U197" s="36"/>
      <c r="V197" s="12"/>
      <c r="W197" s="12"/>
      <c r="X197" s="12"/>
      <c r="Y197" s="12"/>
      <c r="Z197" s="12"/>
    </row>
    <row r="198" customFormat="false" ht="15.75" hidden="false" customHeight="false" outlineLevel="0" collapsed="false">
      <c r="A198" s="12"/>
      <c r="B198" s="34"/>
      <c r="C198" s="12"/>
      <c r="D198" s="12"/>
      <c r="E198" s="12"/>
      <c r="F198" s="12"/>
      <c r="G198" s="18"/>
      <c r="H198" s="35"/>
      <c r="I198" s="35"/>
      <c r="J198" s="12"/>
      <c r="O198" s="12"/>
      <c r="P198" s="18"/>
      <c r="Q198" s="12"/>
      <c r="R198" s="12"/>
      <c r="S198" s="12"/>
      <c r="T198" s="36"/>
      <c r="U198" s="36"/>
      <c r="V198" s="12"/>
      <c r="W198" s="12"/>
      <c r="X198" s="12"/>
      <c r="Y198" s="12"/>
      <c r="Z198" s="12"/>
    </row>
    <row r="199" customFormat="false" ht="15.75" hidden="false" customHeight="false" outlineLevel="0" collapsed="false">
      <c r="A199" s="12"/>
      <c r="B199" s="34"/>
      <c r="C199" s="12"/>
      <c r="D199" s="12"/>
      <c r="E199" s="12"/>
      <c r="F199" s="12"/>
      <c r="G199" s="18"/>
      <c r="H199" s="35"/>
      <c r="I199" s="35"/>
      <c r="J199" s="12"/>
      <c r="O199" s="12"/>
      <c r="P199" s="18"/>
      <c r="Q199" s="12"/>
      <c r="R199" s="12"/>
      <c r="S199" s="12"/>
      <c r="T199" s="36"/>
      <c r="U199" s="36"/>
      <c r="V199" s="12"/>
      <c r="W199" s="12"/>
      <c r="X199" s="12"/>
      <c r="Y199" s="12"/>
      <c r="Z199" s="12"/>
    </row>
    <row r="200" customFormat="false" ht="15.75" hidden="false" customHeight="false" outlineLevel="0" collapsed="false">
      <c r="A200" s="12"/>
      <c r="B200" s="34"/>
      <c r="C200" s="12"/>
      <c r="D200" s="12"/>
      <c r="E200" s="12"/>
      <c r="F200" s="12"/>
      <c r="G200" s="18"/>
      <c r="H200" s="35"/>
      <c r="I200" s="35"/>
      <c r="J200" s="12"/>
      <c r="O200" s="12"/>
      <c r="P200" s="18"/>
      <c r="Q200" s="12"/>
      <c r="R200" s="12"/>
      <c r="S200" s="12"/>
      <c r="T200" s="36"/>
      <c r="U200" s="36"/>
      <c r="V200" s="12"/>
      <c r="W200" s="12"/>
      <c r="X200" s="12"/>
      <c r="Y200" s="12"/>
      <c r="Z200" s="12"/>
    </row>
    <row r="201" customFormat="false" ht="15.75" hidden="false" customHeight="false" outlineLevel="0" collapsed="false">
      <c r="A201" s="12"/>
      <c r="B201" s="34"/>
      <c r="C201" s="12"/>
      <c r="D201" s="12"/>
      <c r="E201" s="12"/>
      <c r="F201" s="12"/>
      <c r="G201" s="18"/>
      <c r="H201" s="35"/>
      <c r="I201" s="35"/>
      <c r="J201" s="12"/>
      <c r="O201" s="12"/>
      <c r="P201" s="18"/>
      <c r="Q201" s="12"/>
      <c r="R201" s="12"/>
      <c r="S201" s="12"/>
      <c r="T201" s="36"/>
      <c r="U201" s="36"/>
      <c r="V201" s="12"/>
      <c r="W201" s="12"/>
      <c r="X201" s="12"/>
      <c r="Y201" s="12"/>
      <c r="Z201" s="12"/>
    </row>
    <row r="202" customFormat="false" ht="15.75" hidden="false" customHeight="false" outlineLevel="0" collapsed="false">
      <c r="A202" s="12"/>
      <c r="B202" s="34"/>
      <c r="C202" s="12"/>
      <c r="D202" s="12"/>
      <c r="E202" s="12"/>
      <c r="F202" s="12"/>
      <c r="G202" s="18"/>
      <c r="H202" s="35"/>
      <c r="I202" s="35"/>
      <c r="J202" s="12"/>
      <c r="O202" s="12"/>
      <c r="P202" s="18"/>
      <c r="Q202" s="12"/>
      <c r="R202" s="12"/>
      <c r="S202" s="12"/>
      <c r="T202" s="36"/>
      <c r="U202" s="36"/>
      <c r="V202" s="12"/>
      <c r="W202" s="12"/>
      <c r="X202" s="12"/>
      <c r="Y202" s="12"/>
      <c r="Z202" s="12"/>
    </row>
    <row r="203" customFormat="false" ht="15.75" hidden="false" customHeight="false" outlineLevel="0" collapsed="false">
      <c r="A203" s="12"/>
      <c r="B203" s="34"/>
      <c r="C203" s="12"/>
      <c r="D203" s="12"/>
      <c r="E203" s="12"/>
      <c r="F203" s="12"/>
      <c r="G203" s="18"/>
      <c r="H203" s="35"/>
      <c r="I203" s="35"/>
      <c r="J203" s="12"/>
      <c r="O203" s="12"/>
      <c r="P203" s="18"/>
      <c r="Q203" s="12"/>
      <c r="R203" s="12"/>
      <c r="S203" s="12"/>
      <c r="T203" s="36"/>
      <c r="U203" s="36"/>
      <c r="V203" s="12"/>
      <c r="W203" s="12"/>
      <c r="X203" s="12"/>
      <c r="Y203" s="12"/>
      <c r="Z203" s="12"/>
    </row>
    <row r="204" customFormat="false" ht="15.75" hidden="false" customHeight="false" outlineLevel="0" collapsed="false">
      <c r="A204" s="12"/>
      <c r="B204" s="34"/>
      <c r="C204" s="12"/>
      <c r="D204" s="12"/>
      <c r="E204" s="12"/>
      <c r="F204" s="12"/>
      <c r="G204" s="18"/>
      <c r="H204" s="35"/>
      <c r="I204" s="35"/>
      <c r="J204" s="12"/>
      <c r="O204" s="12"/>
      <c r="P204" s="18"/>
      <c r="Q204" s="12"/>
      <c r="R204" s="12"/>
      <c r="S204" s="12"/>
      <c r="T204" s="36"/>
      <c r="U204" s="36"/>
      <c r="V204" s="12"/>
      <c r="W204" s="12"/>
      <c r="X204" s="12"/>
      <c r="Y204" s="12"/>
      <c r="Z204" s="12"/>
    </row>
    <row r="205" customFormat="false" ht="15.75" hidden="false" customHeight="false" outlineLevel="0" collapsed="false">
      <c r="A205" s="12"/>
      <c r="B205" s="34"/>
      <c r="C205" s="12"/>
      <c r="D205" s="12"/>
      <c r="E205" s="12"/>
      <c r="F205" s="12"/>
      <c r="G205" s="18"/>
      <c r="H205" s="35"/>
      <c r="I205" s="35"/>
      <c r="J205" s="12"/>
      <c r="O205" s="12"/>
      <c r="P205" s="18"/>
      <c r="Q205" s="12"/>
      <c r="R205" s="12"/>
      <c r="S205" s="12"/>
      <c r="T205" s="36"/>
      <c r="U205" s="36"/>
      <c r="V205" s="12"/>
      <c r="W205" s="12"/>
      <c r="X205" s="12"/>
      <c r="Y205" s="12"/>
      <c r="Z205" s="12"/>
    </row>
    <row r="206" customFormat="false" ht="15.75" hidden="false" customHeight="false" outlineLevel="0" collapsed="false">
      <c r="A206" s="12"/>
      <c r="B206" s="34"/>
      <c r="C206" s="12"/>
      <c r="D206" s="12"/>
      <c r="E206" s="12"/>
      <c r="F206" s="12"/>
      <c r="G206" s="18"/>
      <c r="H206" s="35"/>
      <c r="I206" s="35"/>
      <c r="J206" s="12"/>
      <c r="O206" s="12"/>
      <c r="P206" s="18"/>
      <c r="Q206" s="12"/>
      <c r="R206" s="12"/>
      <c r="S206" s="12"/>
      <c r="T206" s="36"/>
      <c r="U206" s="36"/>
      <c r="V206" s="12"/>
      <c r="W206" s="12"/>
      <c r="X206" s="12"/>
      <c r="Y206" s="12"/>
      <c r="Z206" s="12"/>
    </row>
    <row r="207" customFormat="false" ht="15.75" hidden="false" customHeight="false" outlineLevel="0" collapsed="false">
      <c r="A207" s="12"/>
      <c r="B207" s="34"/>
      <c r="C207" s="12"/>
      <c r="D207" s="12"/>
      <c r="E207" s="12"/>
      <c r="F207" s="12"/>
      <c r="G207" s="18"/>
      <c r="H207" s="35"/>
      <c r="I207" s="35"/>
      <c r="J207" s="12"/>
      <c r="O207" s="12"/>
      <c r="P207" s="18"/>
      <c r="Q207" s="12"/>
      <c r="R207" s="12"/>
      <c r="S207" s="12"/>
      <c r="T207" s="36"/>
      <c r="U207" s="36"/>
      <c r="V207" s="12"/>
      <c r="W207" s="12"/>
      <c r="X207" s="12"/>
      <c r="Y207" s="12"/>
      <c r="Z207" s="12"/>
    </row>
    <row r="208" customFormat="false" ht="15.75" hidden="false" customHeight="false" outlineLevel="0" collapsed="false">
      <c r="A208" s="12"/>
      <c r="B208" s="34"/>
      <c r="C208" s="12"/>
      <c r="D208" s="12"/>
      <c r="E208" s="12"/>
      <c r="F208" s="12"/>
      <c r="G208" s="18"/>
      <c r="H208" s="35"/>
      <c r="I208" s="35"/>
      <c r="J208" s="12"/>
      <c r="O208" s="12"/>
      <c r="P208" s="18"/>
      <c r="Q208" s="12"/>
      <c r="R208" s="12"/>
      <c r="S208" s="12"/>
      <c r="T208" s="36"/>
      <c r="U208" s="36"/>
      <c r="V208" s="12"/>
      <c r="W208" s="12"/>
      <c r="X208" s="12"/>
      <c r="Y208" s="12"/>
      <c r="Z208" s="12"/>
    </row>
    <row r="209" customFormat="false" ht="15.75" hidden="false" customHeight="false" outlineLevel="0" collapsed="false">
      <c r="A209" s="12"/>
      <c r="B209" s="34"/>
      <c r="C209" s="12"/>
      <c r="D209" s="12"/>
      <c r="E209" s="12"/>
      <c r="F209" s="12"/>
      <c r="G209" s="18"/>
      <c r="H209" s="35"/>
      <c r="I209" s="35"/>
      <c r="J209" s="12"/>
      <c r="O209" s="12"/>
      <c r="P209" s="18"/>
      <c r="Q209" s="12"/>
      <c r="R209" s="12"/>
      <c r="S209" s="12"/>
      <c r="T209" s="36"/>
      <c r="U209" s="36"/>
      <c r="V209" s="12"/>
      <c r="W209" s="12"/>
      <c r="X209" s="12"/>
      <c r="Y209" s="12"/>
      <c r="Z209" s="12"/>
    </row>
    <row r="210" customFormat="false" ht="15.75" hidden="false" customHeight="false" outlineLevel="0" collapsed="false">
      <c r="A210" s="12"/>
      <c r="B210" s="34"/>
      <c r="C210" s="12"/>
      <c r="D210" s="12"/>
      <c r="E210" s="12"/>
      <c r="F210" s="12"/>
      <c r="G210" s="18"/>
      <c r="H210" s="35"/>
      <c r="I210" s="35"/>
      <c r="J210" s="12"/>
      <c r="O210" s="12"/>
      <c r="P210" s="18"/>
      <c r="Q210" s="12"/>
      <c r="R210" s="12"/>
      <c r="S210" s="12"/>
      <c r="T210" s="36"/>
      <c r="U210" s="36"/>
      <c r="V210" s="12"/>
      <c r="W210" s="12"/>
      <c r="X210" s="12"/>
      <c r="Y210" s="12"/>
      <c r="Z210" s="12"/>
    </row>
    <row r="211" customFormat="false" ht="15.75" hidden="false" customHeight="false" outlineLevel="0" collapsed="false">
      <c r="A211" s="12"/>
      <c r="B211" s="34"/>
      <c r="C211" s="12"/>
      <c r="D211" s="12"/>
      <c r="E211" s="12"/>
      <c r="F211" s="12"/>
      <c r="G211" s="18"/>
      <c r="H211" s="35"/>
      <c r="I211" s="35"/>
      <c r="J211" s="12"/>
      <c r="O211" s="12"/>
      <c r="P211" s="18"/>
      <c r="Q211" s="12"/>
      <c r="R211" s="12"/>
      <c r="S211" s="12"/>
      <c r="T211" s="36"/>
      <c r="U211" s="36"/>
      <c r="V211" s="12"/>
      <c r="W211" s="12"/>
      <c r="X211" s="12"/>
      <c r="Y211" s="12"/>
      <c r="Z211" s="12"/>
    </row>
    <row r="212" customFormat="false" ht="15.75" hidden="false" customHeight="false" outlineLevel="0" collapsed="false">
      <c r="A212" s="12"/>
      <c r="B212" s="34"/>
      <c r="C212" s="12"/>
      <c r="D212" s="12"/>
      <c r="E212" s="12"/>
      <c r="F212" s="12"/>
      <c r="G212" s="18"/>
      <c r="H212" s="35"/>
      <c r="I212" s="35"/>
      <c r="J212" s="12"/>
      <c r="O212" s="12"/>
      <c r="P212" s="18"/>
      <c r="Q212" s="12"/>
      <c r="R212" s="12"/>
      <c r="S212" s="12"/>
      <c r="T212" s="36"/>
      <c r="U212" s="36"/>
      <c r="V212" s="12"/>
      <c r="W212" s="12"/>
      <c r="X212" s="12"/>
      <c r="Y212" s="12"/>
      <c r="Z212" s="12"/>
    </row>
    <row r="213" customFormat="false" ht="15.75" hidden="false" customHeight="false" outlineLevel="0" collapsed="false">
      <c r="A213" s="12"/>
      <c r="B213" s="34"/>
      <c r="C213" s="12"/>
      <c r="D213" s="12"/>
      <c r="E213" s="12"/>
      <c r="F213" s="12"/>
      <c r="G213" s="18"/>
      <c r="H213" s="35"/>
      <c r="I213" s="35"/>
      <c r="J213" s="12"/>
      <c r="O213" s="12"/>
      <c r="P213" s="18"/>
      <c r="Q213" s="12"/>
      <c r="R213" s="12"/>
      <c r="S213" s="12"/>
      <c r="T213" s="36"/>
      <c r="U213" s="36"/>
      <c r="V213" s="12"/>
      <c r="W213" s="12"/>
      <c r="X213" s="12"/>
      <c r="Y213" s="12"/>
      <c r="Z213" s="12"/>
    </row>
    <row r="214" customFormat="false" ht="15.75" hidden="false" customHeight="false" outlineLevel="0" collapsed="false">
      <c r="A214" s="12"/>
      <c r="B214" s="34"/>
      <c r="C214" s="12"/>
      <c r="D214" s="12"/>
      <c r="E214" s="12"/>
      <c r="F214" s="12"/>
      <c r="G214" s="18"/>
      <c r="H214" s="35"/>
      <c r="I214" s="35"/>
      <c r="J214" s="12"/>
      <c r="O214" s="12"/>
      <c r="P214" s="18"/>
      <c r="Q214" s="12"/>
      <c r="R214" s="12"/>
      <c r="S214" s="12"/>
      <c r="T214" s="36"/>
      <c r="U214" s="36"/>
      <c r="V214" s="12"/>
      <c r="W214" s="12"/>
      <c r="X214" s="12"/>
      <c r="Y214" s="12"/>
      <c r="Z214" s="12"/>
    </row>
    <row r="215" customFormat="false" ht="15.75" hidden="false" customHeight="false" outlineLevel="0" collapsed="false">
      <c r="A215" s="12"/>
      <c r="B215" s="34"/>
      <c r="C215" s="12"/>
      <c r="D215" s="12"/>
      <c r="E215" s="12"/>
      <c r="F215" s="12"/>
      <c r="G215" s="18"/>
      <c r="H215" s="35"/>
      <c r="I215" s="35"/>
      <c r="J215" s="12"/>
      <c r="O215" s="12"/>
      <c r="P215" s="18"/>
      <c r="Q215" s="12"/>
      <c r="R215" s="12"/>
      <c r="S215" s="12"/>
      <c r="T215" s="36"/>
      <c r="U215" s="36"/>
      <c r="V215" s="12"/>
      <c r="W215" s="12"/>
      <c r="X215" s="12"/>
      <c r="Y215" s="12"/>
      <c r="Z215" s="12"/>
    </row>
    <row r="216" customFormat="false" ht="15.75" hidden="false" customHeight="false" outlineLevel="0" collapsed="false">
      <c r="A216" s="12"/>
      <c r="B216" s="34"/>
      <c r="C216" s="12"/>
      <c r="D216" s="12"/>
      <c r="E216" s="12"/>
      <c r="F216" s="12"/>
      <c r="G216" s="18"/>
      <c r="H216" s="35"/>
      <c r="I216" s="35"/>
      <c r="J216" s="12"/>
      <c r="O216" s="12"/>
      <c r="P216" s="18"/>
      <c r="Q216" s="12"/>
      <c r="R216" s="12"/>
      <c r="S216" s="12"/>
      <c r="T216" s="36"/>
      <c r="U216" s="36"/>
      <c r="V216" s="12"/>
      <c r="W216" s="12"/>
      <c r="X216" s="12"/>
      <c r="Y216" s="12"/>
      <c r="Z216" s="12"/>
    </row>
    <row r="217" customFormat="false" ht="15.75" hidden="false" customHeight="false" outlineLevel="0" collapsed="false">
      <c r="A217" s="12"/>
      <c r="B217" s="34"/>
      <c r="C217" s="12"/>
      <c r="D217" s="12"/>
      <c r="E217" s="12"/>
      <c r="F217" s="12"/>
      <c r="G217" s="18"/>
      <c r="H217" s="35"/>
      <c r="I217" s="35"/>
      <c r="J217" s="12"/>
      <c r="O217" s="12"/>
      <c r="P217" s="18"/>
      <c r="Q217" s="12"/>
      <c r="R217" s="12"/>
      <c r="S217" s="12"/>
      <c r="T217" s="36"/>
      <c r="U217" s="36"/>
      <c r="V217" s="12"/>
      <c r="W217" s="12"/>
      <c r="X217" s="12"/>
      <c r="Y217" s="12"/>
      <c r="Z217" s="12"/>
    </row>
    <row r="218" customFormat="false" ht="15.75" hidden="false" customHeight="false" outlineLevel="0" collapsed="false">
      <c r="A218" s="12"/>
      <c r="B218" s="34"/>
      <c r="C218" s="12"/>
      <c r="D218" s="12"/>
      <c r="E218" s="12"/>
      <c r="F218" s="12"/>
      <c r="G218" s="18"/>
      <c r="H218" s="35"/>
      <c r="I218" s="35"/>
      <c r="J218" s="12"/>
      <c r="O218" s="12"/>
      <c r="P218" s="18"/>
      <c r="Q218" s="12"/>
      <c r="R218" s="12"/>
      <c r="S218" s="12"/>
      <c r="T218" s="36"/>
      <c r="U218" s="36"/>
      <c r="V218" s="12"/>
      <c r="W218" s="12"/>
      <c r="X218" s="12"/>
      <c r="Y218" s="12"/>
      <c r="Z218" s="12"/>
    </row>
    <row r="219" customFormat="false" ht="15.75" hidden="false" customHeight="false" outlineLevel="0" collapsed="false">
      <c r="A219" s="12"/>
      <c r="B219" s="34"/>
      <c r="C219" s="12"/>
      <c r="D219" s="12"/>
      <c r="E219" s="12"/>
      <c r="F219" s="12"/>
      <c r="G219" s="18"/>
      <c r="H219" s="35"/>
      <c r="I219" s="35"/>
      <c r="J219" s="12"/>
      <c r="O219" s="12"/>
      <c r="P219" s="18"/>
      <c r="Q219" s="12"/>
      <c r="R219" s="12"/>
      <c r="S219" s="12"/>
      <c r="T219" s="36"/>
      <c r="U219" s="36"/>
      <c r="V219" s="12"/>
      <c r="W219" s="12"/>
      <c r="X219" s="12"/>
      <c r="Y219" s="12"/>
      <c r="Z219" s="12"/>
    </row>
    <row r="220" customFormat="false" ht="15.75" hidden="false" customHeight="false" outlineLevel="0" collapsed="false">
      <c r="A220" s="12"/>
      <c r="B220" s="34"/>
      <c r="C220" s="12"/>
      <c r="D220" s="12"/>
      <c r="E220" s="12"/>
      <c r="F220" s="12"/>
      <c r="G220" s="18"/>
      <c r="H220" s="35"/>
      <c r="I220" s="35"/>
      <c r="J220" s="12"/>
      <c r="O220" s="12"/>
      <c r="P220" s="18"/>
      <c r="Q220" s="12"/>
      <c r="R220" s="12"/>
      <c r="S220" s="12"/>
      <c r="T220" s="36"/>
      <c r="U220" s="36"/>
      <c r="V220" s="12"/>
      <c r="W220" s="12"/>
      <c r="X220" s="12"/>
      <c r="Y220" s="12"/>
      <c r="Z220" s="12"/>
    </row>
    <row r="221" customFormat="false" ht="15.75" hidden="false" customHeight="false" outlineLevel="0" collapsed="false">
      <c r="A221" s="12"/>
      <c r="B221" s="34"/>
      <c r="C221" s="12"/>
      <c r="D221" s="12"/>
      <c r="E221" s="12"/>
      <c r="F221" s="12"/>
      <c r="G221" s="18"/>
      <c r="H221" s="35"/>
      <c r="I221" s="35"/>
      <c r="J221" s="12"/>
      <c r="O221" s="12"/>
      <c r="P221" s="18"/>
      <c r="Q221" s="12"/>
      <c r="R221" s="12"/>
      <c r="S221" s="12"/>
      <c r="T221" s="36"/>
      <c r="U221" s="36"/>
      <c r="V221" s="12"/>
      <c r="W221" s="12"/>
      <c r="X221" s="12"/>
      <c r="Y221" s="12"/>
      <c r="Z221" s="12"/>
    </row>
    <row r="222" customFormat="false" ht="15.75" hidden="false" customHeight="false" outlineLevel="0" collapsed="false">
      <c r="A222" s="12"/>
      <c r="B222" s="34"/>
      <c r="C222" s="12"/>
      <c r="D222" s="12"/>
      <c r="E222" s="12"/>
      <c r="F222" s="12"/>
      <c r="G222" s="18"/>
      <c r="H222" s="35"/>
      <c r="I222" s="35"/>
      <c r="J222" s="12"/>
      <c r="O222" s="12"/>
      <c r="P222" s="18"/>
      <c r="Q222" s="12"/>
      <c r="R222" s="12"/>
      <c r="S222" s="12"/>
      <c r="T222" s="36"/>
      <c r="U222" s="36"/>
      <c r="V222" s="12"/>
      <c r="W222" s="12"/>
      <c r="X222" s="12"/>
      <c r="Y222" s="12"/>
      <c r="Z222" s="12"/>
    </row>
    <row r="223" customFormat="false" ht="15.75" hidden="false" customHeight="false" outlineLevel="0" collapsed="false">
      <c r="A223" s="12"/>
      <c r="B223" s="34"/>
      <c r="C223" s="12"/>
      <c r="D223" s="12"/>
      <c r="E223" s="12"/>
      <c r="F223" s="12"/>
      <c r="G223" s="18"/>
      <c r="H223" s="35"/>
      <c r="I223" s="35"/>
      <c r="J223" s="12"/>
      <c r="O223" s="12"/>
      <c r="P223" s="18"/>
      <c r="Q223" s="12"/>
      <c r="R223" s="12"/>
      <c r="S223" s="12"/>
      <c r="T223" s="36"/>
      <c r="U223" s="36"/>
      <c r="V223" s="12"/>
      <c r="W223" s="12"/>
      <c r="X223" s="12"/>
      <c r="Y223" s="12"/>
      <c r="Z223" s="12"/>
    </row>
    <row r="224" customFormat="false" ht="15.75" hidden="false" customHeight="false" outlineLevel="0" collapsed="false">
      <c r="A224" s="12"/>
      <c r="B224" s="34"/>
      <c r="C224" s="12"/>
      <c r="D224" s="12"/>
      <c r="E224" s="12"/>
      <c r="F224" s="12"/>
      <c r="G224" s="18"/>
      <c r="H224" s="35"/>
      <c r="I224" s="35"/>
      <c r="J224" s="12"/>
      <c r="O224" s="12"/>
      <c r="P224" s="18"/>
      <c r="Q224" s="12"/>
      <c r="R224" s="12"/>
      <c r="S224" s="12"/>
      <c r="T224" s="36"/>
      <c r="U224" s="36"/>
      <c r="V224" s="12"/>
      <c r="W224" s="12"/>
      <c r="X224" s="12"/>
      <c r="Y224" s="12"/>
      <c r="Z224" s="12"/>
    </row>
    <row r="225" customFormat="false" ht="15.75" hidden="false" customHeight="false" outlineLevel="0" collapsed="false">
      <c r="A225" s="12"/>
      <c r="B225" s="34"/>
      <c r="C225" s="12"/>
      <c r="D225" s="12"/>
      <c r="E225" s="12"/>
      <c r="F225" s="12"/>
      <c r="G225" s="18"/>
      <c r="H225" s="35"/>
      <c r="I225" s="35"/>
      <c r="J225" s="12"/>
      <c r="O225" s="12"/>
      <c r="P225" s="18"/>
      <c r="Q225" s="12"/>
      <c r="R225" s="12"/>
      <c r="S225" s="12"/>
      <c r="T225" s="36"/>
      <c r="U225" s="36"/>
      <c r="V225" s="12"/>
      <c r="W225" s="12"/>
      <c r="X225" s="12"/>
      <c r="Y225" s="12"/>
      <c r="Z225" s="12"/>
    </row>
    <row r="226" customFormat="false" ht="15.75" hidden="false" customHeight="false" outlineLevel="0" collapsed="false">
      <c r="A226" s="12"/>
      <c r="B226" s="34"/>
      <c r="C226" s="12"/>
      <c r="D226" s="12"/>
      <c r="E226" s="12"/>
      <c r="F226" s="12"/>
      <c r="G226" s="18"/>
      <c r="H226" s="35"/>
      <c r="I226" s="35"/>
      <c r="J226" s="12"/>
      <c r="O226" s="12"/>
      <c r="P226" s="18"/>
      <c r="Q226" s="12"/>
      <c r="R226" s="12"/>
      <c r="S226" s="12"/>
      <c r="T226" s="36"/>
      <c r="U226" s="36"/>
      <c r="V226" s="12"/>
      <c r="W226" s="12"/>
      <c r="X226" s="12"/>
      <c r="Y226" s="12"/>
      <c r="Z226" s="12"/>
    </row>
    <row r="227" customFormat="false" ht="15.75" hidden="false" customHeight="false" outlineLevel="0" collapsed="false">
      <c r="A227" s="12"/>
      <c r="B227" s="34"/>
      <c r="C227" s="12"/>
      <c r="D227" s="12"/>
      <c r="E227" s="12"/>
      <c r="F227" s="12"/>
      <c r="G227" s="18"/>
      <c r="H227" s="35"/>
      <c r="I227" s="35"/>
      <c r="J227" s="12"/>
      <c r="O227" s="12"/>
      <c r="P227" s="18"/>
      <c r="Q227" s="12"/>
      <c r="R227" s="12"/>
      <c r="S227" s="12"/>
      <c r="T227" s="36"/>
      <c r="U227" s="36"/>
      <c r="V227" s="12"/>
      <c r="W227" s="12"/>
      <c r="X227" s="12"/>
      <c r="Y227" s="12"/>
      <c r="Z227" s="12"/>
    </row>
    <row r="228" customFormat="false" ht="15.75" hidden="false" customHeight="false" outlineLevel="0" collapsed="false">
      <c r="A228" s="12"/>
      <c r="B228" s="34"/>
      <c r="C228" s="12"/>
      <c r="D228" s="12"/>
      <c r="E228" s="12"/>
      <c r="F228" s="12"/>
      <c r="G228" s="18"/>
      <c r="H228" s="35"/>
      <c r="I228" s="35"/>
      <c r="J228" s="12"/>
      <c r="O228" s="12"/>
      <c r="P228" s="18"/>
      <c r="Q228" s="12"/>
      <c r="R228" s="12"/>
      <c r="S228" s="12"/>
      <c r="T228" s="36"/>
      <c r="U228" s="36"/>
      <c r="V228" s="12"/>
      <c r="W228" s="12"/>
      <c r="X228" s="12"/>
      <c r="Y228" s="12"/>
      <c r="Z228" s="12"/>
    </row>
    <row r="229" customFormat="false" ht="15.75" hidden="false" customHeight="false" outlineLevel="0" collapsed="false">
      <c r="A229" s="12"/>
      <c r="B229" s="34"/>
      <c r="C229" s="12"/>
      <c r="D229" s="12"/>
      <c r="E229" s="12"/>
      <c r="F229" s="12"/>
      <c r="G229" s="18"/>
      <c r="H229" s="35"/>
      <c r="I229" s="35"/>
      <c r="J229" s="12"/>
      <c r="O229" s="12"/>
      <c r="P229" s="18"/>
      <c r="Q229" s="12"/>
      <c r="R229" s="12"/>
      <c r="S229" s="12"/>
      <c r="T229" s="36"/>
      <c r="U229" s="36"/>
      <c r="V229" s="12"/>
      <c r="W229" s="12"/>
      <c r="X229" s="12"/>
      <c r="Y229" s="12"/>
      <c r="Z229" s="12"/>
    </row>
    <row r="230" customFormat="false" ht="15.75" hidden="false" customHeight="false" outlineLevel="0" collapsed="false">
      <c r="A230" s="12"/>
      <c r="B230" s="34"/>
      <c r="C230" s="12"/>
      <c r="D230" s="12"/>
      <c r="E230" s="12"/>
      <c r="F230" s="12"/>
      <c r="G230" s="18"/>
      <c r="H230" s="35"/>
      <c r="I230" s="35"/>
      <c r="J230" s="12"/>
      <c r="O230" s="12"/>
      <c r="P230" s="18"/>
      <c r="Q230" s="12"/>
      <c r="R230" s="12"/>
      <c r="S230" s="12"/>
      <c r="T230" s="36"/>
      <c r="U230" s="36"/>
      <c r="V230" s="12"/>
      <c r="W230" s="12"/>
      <c r="X230" s="12"/>
      <c r="Y230" s="12"/>
      <c r="Z230" s="12"/>
    </row>
    <row r="231" customFormat="false" ht="15.75" hidden="false" customHeight="false" outlineLevel="0" collapsed="false">
      <c r="A231" s="12"/>
      <c r="B231" s="34"/>
      <c r="C231" s="12"/>
      <c r="D231" s="12"/>
      <c r="E231" s="12"/>
      <c r="F231" s="12"/>
      <c r="G231" s="18"/>
      <c r="H231" s="35"/>
      <c r="I231" s="35"/>
      <c r="J231" s="12"/>
      <c r="O231" s="12"/>
      <c r="P231" s="18"/>
      <c r="Q231" s="12"/>
      <c r="R231" s="12"/>
      <c r="S231" s="12"/>
      <c r="T231" s="36"/>
      <c r="U231" s="36"/>
      <c r="V231" s="12"/>
      <c r="W231" s="12"/>
      <c r="X231" s="12"/>
      <c r="Y231" s="12"/>
      <c r="Z231" s="12"/>
    </row>
    <row r="232" customFormat="false" ht="15.75" hidden="false" customHeight="false" outlineLevel="0" collapsed="false">
      <c r="A232" s="12"/>
      <c r="B232" s="34"/>
      <c r="C232" s="12"/>
      <c r="D232" s="12"/>
      <c r="E232" s="12"/>
      <c r="F232" s="12"/>
      <c r="G232" s="18"/>
      <c r="H232" s="35"/>
      <c r="I232" s="35"/>
      <c r="J232" s="12"/>
      <c r="O232" s="12"/>
      <c r="P232" s="18"/>
      <c r="Q232" s="12"/>
      <c r="R232" s="12"/>
      <c r="S232" s="12"/>
      <c r="T232" s="36"/>
      <c r="U232" s="36"/>
      <c r="V232" s="12"/>
      <c r="W232" s="12"/>
      <c r="X232" s="12"/>
      <c r="Y232" s="12"/>
      <c r="Z232" s="12"/>
    </row>
    <row r="233" customFormat="false" ht="15.75" hidden="false" customHeight="false" outlineLevel="0" collapsed="false">
      <c r="A233" s="12"/>
      <c r="B233" s="34"/>
      <c r="C233" s="12"/>
      <c r="D233" s="12"/>
      <c r="E233" s="12"/>
      <c r="F233" s="12"/>
      <c r="G233" s="18"/>
      <c r="H233" s="35"/>
      <c r="I233" s="35"/>
      <c r="J233" s="12"/>
      <c r="O233" s="12"/>
      <c r="P233" s="18"/>
      <c r="Q233" s="12"/>
      <c r="R233" s="12"/>
      <c r="S233" s="12"/>
      <c r="T233" s="36"/>
      <c r="U233" s="36"/>
      <c r="V233" s="12"/>
      <c r="W233" s="12"/>
      <c r="X233" s="12"/>
      <c r="Y233" s="12"/>
      <c r="Z233" s="12"/>
    </row>
    <row r="234" customFormat="false" ht="15.75" hidden="false" customHeight="false" outlineLevel="0" collapsed="false">
      <c r="A234" s="12"/>
      <c r="B234" s="34"/>
      <c r="C234" s="12"/>
      <c r="D234" s="12"/>
      <c r="E234" s="12"/>
      <c r="F234" s="12"/>
      <c r="G234" s="18"/>
      <c r="H234" s="35"/>
      <c r="I234" s="35"/>
      <c r="J234" s="12"/>
      <c r="O234" s="12"/>
      <c r="P234" s="18"/>
      <c r="Q234" s="12"/>
      <c r="R234" s="12"/>
      <c r="S234" s="12"/>
      <c r="T234" s="36"/>
      <c r="U234" s="36"/>
      <c r="V234" s="12"/>
      <c r="W234" s="12"/>
      <c r="X234" s="12"/>
      <c r="Y234" s="12"/>
      <c r="Z234" s="12"/>
    </row>
    <row r="235" customFormat="false" ht="15.75" hidden="false" customHeight="false" outlineLevel="0" collapsed="false">
      <c r="A235" s="12"/>
      <c r="B235" s="34"/>
      <c r="C235" s="12"/>
      <c r="D235" s="12"/>
      <c r="E235" s="12"/>
      <c r="F235" s="12"/>
      <c r="G235" s="18"/>
      <c r="H235" s="35"/>
      <c r="I235" s="35"/>
      <c r="J235" s="12"/>
      <c r="O235" s="12"/>
      <c r="P235" s="18"/>
      <c r="Q235" s="12"/>
      <c r="R235" s="12"/>
      <c r="S235" s="12"/>
      <c r="T235" s="36"/>
      <c r="U235" s="36"/>
      <c r="V235" s="12"/>
      <c r="W235" s="12"/>
      <c r="X235" s="12"/>
      <c r="Y235" s="12"/>
      <c r="Z235" s="12"/>
    </row>
    <row r="236" customFormat="false" ht="15.75" hidden="false" customHeight="false" outlineLevel="0" collapsed="false">
      <c r="A236" s="12"/>
      <c r="B236" s="34"/>
      <c r="C236" s="12"/>
      <c r="D236" s="12"/>
      <c r="E236" s="12"/>
      <c r="F236" s="12"/>
      <c r="G236" s="18"/>
      <c r="H236" s="35"/>
      <c r="I236" s="35"/>
      <c r="J236" s="12"/>
      <c r="O236" s="12"/>
      <c r="P236" s="18"/>
      <c r="Q236" s="12"/>
      <c r="R236" s="12"/>
      <c r="S236" s="12"/>
      <c r="T236" s="36"/>
      <c r="U236" s="36"/>
      <c r="V236" s="12"/>
      <c r="W236" s="12"/>
      <c r="X236" s="12"/>
      <c r="Y236" s="12"/>
      <c r="Z236" s="12"/>
    </row>
    <row r="237" customFormat="false" ht="15.75" hidden="false" customHeight="false" outlineLevel="0" collapsed="false">
      <c r="A237" s="12"/>
      <c r="B237" s="34"/>
      <c r="C237" s="12"/>
      <c r="D237" s="12"/>
      <c r="E237" s="12"/>
      <c r="F237" s="12"/>
      <c r="G237" s="18"/>
      <c r="H237" s="35"/>
      <c r="I237" s="35"/>
      <c r="J237" s="12"/>
      <c r="O237" s="12"/>
      <c r="P237" s="18"/>
      <c r="Q237" s="12"/>
      <c r="R237" s="12"/>
      <c r="S237" s="12"/>
      <c r="T237" s="36"/>
      <c r="U237" s="36"/>
      <c r="V237" s="12"/>
      <c r="W237" s="12"/>
      <c r="X237" s="12"/>
      <c r="Y237" s="12"/>
      <c r="Z237" s="12"/>
    </row>
    <row r="238" customFormat="false" ht="15.75" hidden="false" customHeight="false" outlineLevel="0" collapsed="false">
      <c r="A238" s="12"/>
      <c r="B238" s="34"/>
      <c r="C238" s="12"/>
      <c r="D238" s="12"/>
      <c r="E238" s="12"/>
      <c r="F238" s="12"/>
      <c r="G238" s="18"/>
      <c r="H238" s="35"/>
      <c r="I238" s="35"/>
      <c r="J238" s="12"/>
      <c r="O238" s="12"/>
      <c r="P238" s="18"/>
      <c r="Q238" s="12"/>
      <c r="R238" s="12"/>
      <c r="S238" s="12"/>
      <c r="T238" s="36"/>
      <c r="U238" s="36"/>
      <c r="V238" s="12"/>
      <c r="W238" s="12"/>
      <c r="X238" s="12"/>
      <c r="Y238" s="12"/>
      <c r="Z238" s="12"/>
    </row>
    <row r="239" customFormat="false" ht="15.75" hidden="false" customHeight="false" outlineLevel="0" collapsed="false">
      <c r="A239" s="12"/>
      <c r="B239" s="34"/>
      <c r="C239" s="12"/>
      <c r="D239" s="12"/>
      <c r="E239" s="12"/>
      <c r="F239" s="12"/>
      <c r="G239" s="18"/>
      <c r="H239" s="35"/>
      <c r="I239" s="35"/>
      <c r="J239" s="12"/>
      <c r="O239" s="12"/>
      <c r="P239" s="18"/>
      <c r="Q239" s="12"/>
      <c r="R239" s="12"/>
      <c r="S239" s="12"/>
      <c r="T239" s="36"/>
      <c r="U239" s="36"/>
      <c r="V239" s="12"/>
      <c r="W239" s="12"/>
      <c r="X239" s="12"/>
      <c r="Y239" s="12"/>
      <c r="Z239" s="12"/>
    </row>
    <row r="240" customFormat="false" ht="15.75" hidden="false" customHeight="false" outlineLevel="0" collapsed="false">
      <c r="A240" s="12"/>
      <c r="B240" s="34"/>
      <c r="C240" s="12"/>
      <c r="D240" s="12"/>
      <c r="E240" s="12"/>
      <c r="F240" s="12"/>
      <c r="G240" s="18"/>
      <c r="H240" s="35"/>
      <c r="I240" s="35"/>
      <c r="J240" s="12"/>
      <c r="O240" s="12"/>
      <c r="P240" s="18"/>
      <c r="Q240" s="12"/>
      <c r="R240" s="12"/>
      <c r="S240" s="12"/>
      <c r="T240" s="36"/>
      <c r="U240" s="36"/>
      <c r="V240" s="12"/>
      <c r="W240" s="12"/>
      <c r="X240" s="12"/>
      <c r="Y240" s="12"/>
      <c r="Z240" s="12"/>
    </row>
    <row r="241" customFormat="false" ht="15.75" hidden="false" customHeight="false" outlineLevel="0" collapsed="false">
      <c r="A241" s="12"/>
      <c r="B241" s="34"/>
      <c r="C241" s="12"/>
      <c r="D241" s="12"/>
      <c r="E241" s="12"/>
      <c r="F241" s="12"/>
      <c r="G241" s="18"/>
      <c r="H241" s="35"/>
      <c r="I241" s="35"/>
      <c r="J241" s="12"/>
      <c r="O241" s="12"/>
      <c r="P241" s="18"/>
      <c r="Q241" s="12"/>
      <c r="R241" s="12"/>
      <c r="S241" s="12"/>
      <c r="T241" s="36"/>
      <c r="U241" s="36"/>
      <c r="V241" s="12"/>
      <c r="W241" s="12"/>
      <c r="X241" s="12"/>
      <c r="Y241" s="12"/>
      <c r="Z241" s="12"/>
    </row>
    <row r="242" customFormat="false" ht="15.75" hidden="false" customHeight="false" outlineLevel="0" collapsed="false">
      <c r="A242" s="12"/>
      <c r="B242" s="34"/>
      <c r="C242" s="12"/>
      <c r="D242" s="12"/>
      <c r="E242" s="12"/>
      <c r="F242" s="12"/>
      <c r="G242" s="18"/>
      <c r="H242" s="35"/>
      <c r="I242" s="35"/>
      <c r="J242" s="12"/>
      <c r="O242" s="12"/>
      <c r="P242" s="18"/>
      <c r="Q242" s="12"/>
      <c r="R242" s="12"/>
      <c r="S242" s="12"/>
      <c r="T242" s="36"/>
      <c r="U242" s="36"/>
      <c r="V242" s="12"/>
      <c r="W242" s="12"/>
      <c r="X242" s="12"/>
      <c r="Y242" s="12"/>
      <c r="Z242" s="12"/>
    </row>
    <row r="243" customFormat="false" ht="15.75" hidden="false" customHeight="false" outlineLevel="0" collapsed="false">
      <c r="A243" s="12"/>
      <c r="B243" s="34"/>
      <c r="C243" s="12"/>
      <c r="D243" s="12"/>
      <c r="E243" s="12"/>
      <c r="F243" s="12"/>
      <c r="G243" s="18"/>
      <c r="H243" s="35"/>
      <c r="I243" s="35"/>
      <c r="J243" s="12"/>
      <c r="O243" s="12"/>
      <c r="P243" s="18"/>
      <c r="Q243" s="12"/>
      <c r="R243" s="12"/>
      <c r="S243" s="12"/>
      <c r="T243" s="36"/>
      <c r="U243" s="36"/>
      <c r="V243" s="12"/>
      <c r="W243" s="12"/>
      <c r="X243" s="12"/>
      <c r="Y243" s="12"/>
      <c r="Z243" s="12"/>
    </row>
    <row r="244" customFormat="false" ht="15.75" hidden="false" customHeight="false" outlineLevel="0" collapsed="false">
      <c r="A244" s="12"/>
      <c r="B244" s="34"/>
      <c r="C244" s="12"/>
      <c r="D244" s="12"/>
      <c r="E244" s="12"/>
      <c r="F244" s="12"/>
      <c r="G244" s="18"/>
      <c r="H244" s="35"/>
      <c r="I244" s="35"/>
      <c r="J244" s="12"/>
      <c r="O244" s="12"/>
      <c r="P244" s="18"/>
      <c r="Q244" s="12"/>
      <c r="R244" s="12"/>
      <c r="S244" s="12"/>
      <c r="T244" s="36"/>
      <c r="U244" s="36"/>
      <c r="V244" s="12"/>
      <c r="W244" s="12"/>
      <c r="X244" s="12"/>
      <c r="Y244" s="12"/>
      <c r="Z244" s="12"/>
    </row>
    <row r="245" customFormat="false" ht="15.75" hidden="false" customHeight="false" outlineLevel="0" collapsed="false">
      <c r="A245" s="12"/>
      <c r="B245" s="34"/>
      <c r="C245" s="12"/>
      <c r="D245" s="12"/>
      <c r="E245" s="12"/>
      <c r="F245" s="12"/>
      <c r="G245" s="18"/>
      <c r="H245" s="35"/>
      <c r="I245" s="35"/>
      <c r="J245" s="12"/>
      <c r="O245" s="12"/>
      <c r="P245" s="18"/>
      <c r="Q245" s="12"/>
      <c r="R245" s="12"/>
      <c r="S245" s="12"/>
      <c r="T245" s="36"/>
      <c r="U245" s="36"/>
      <c r="V245" s="12"/>
      <c r="W245" s="12"/>
      <c r="X245" s="12"/>
      <c r="Y245" s="12"/>
      <c r="Z245" s="12"/>
    </row>
    <row r="246" customFormat="false" ht="15.75" hidden="false" customHeight="false" outlineLevel="0" collapsed="false">
      <c r="A246" s="12"/>
      <c r="B246" s="34"/>
      <c r="C246" s="12"/>
      <c r="D246" s="12"/>
      <c r="E246" s="12"/>
      <c r="F246" s="12"/>
      <c r="G246" s="18"/>
      <c r="H246" s="35"/>
      <c r="I246" s="35"/>
      <c r="J246" s="12"/>
      <c r="O246" s="12"/>
      <c r="P246" s="18"/>
      <c r="Q246" s="12"/>
      <c r="R246" s="12"/>
      <c r="S246" s="12"/>
      <c r="T246" s="36"/>
      <c r="U246" s="36"/>
      <c r="V246" s="12"/>
      <c r="W246" s="12"/>
      <c r="X246" s="12"/>
      <c r="Y246" s="12"/>
      <c r="Z246" s="12"/>
    </row>
    <row r="247" customFormat="false" ht="15.75" hidden="false" customHeight="false" outlineLevel="0" collapsed="false">
      <c r="A247" s="12"/>
      <c r="B247" s="34"/>
      <c r="C247" s="12"/>
      <c r="D247" s="12"/>
      <c r="E247" s="12"/>
      <c r="F247" s="12"/>
      <c r="G247" s="18"/>
      <c r="H247" s="35"/>
      <c r="I247" s="35"/>
      <c r="J247" s="12"/>
      <c r="O247" s="12"/>
      <c r="P247" s="18"/>
      <c r="Q247" s="12"/>
      <c r="R247" s="12"/>
      <c r="S247" s="12"/>
      <c r="T247" s="36"/>
      <c r="U247" s="36"/>
      <c r="V247" s="12"/>
      <c r="W247" s="12"/>
      <c r="X247" s="12"/>
      <c r="Y247" s="12"/>
      <c r="Z247" s="12"/>
    </row>
    <row r="248" customFormat="false" ht="15.75" hidden="false" customHeight="false" outlineLevel="0" collapsed="false">
      <c r="A248" s="12"/>
      <c r="B248" s="34"/>
      <c r="C248" s="12"/>
      <c r="D248" s="12"/>
      <c r="E248" s="12"/>
      <c r="F248" s="12"/>
      <c r="G248" s="18"/>
      <c r="H248" s="35"/>
      <c r="I248" s="35"/>
      <c r="J248" s="12"/>
      <c r="O248" s="12"/>
      <c r="P248" s="18"/>
      <c r="Q248" s="12"/>
      <c r="R248" s="12"/>
      <c r="S248" s="12"/>
      <c r="T248" s="36"/>
      <c r="U248" s="36"/>
      <c r="V248" s="12"/>
      <c r="W248" s="12"/>
      <c r="X248" s="12"/>
      <c r="Y248" s="12"/>
      <c r="Z248" s="12"/>
    </row>
    <row r="249" customFormat="false" ht="15.75" hidden="false" customHeight="false" outlineLevel="0" collapsed="false">
      <c r="A249" s="12"/>
      <c r="B249" s="34"/>
      <c r="C249" s="12"/>
      <c r="D249" s="12"/>
      <c r="E249" s="12"/>
      <c r="F249" s="12"/>
      <c r="G249" s="18"/>
      <c r="H249" s="35"/>
      <c r="I249" s="35"/>
      <c r="J249" s="12"/>
      <c r="O249" s="12"/>
      <c r="P249" s="18"/>
      <c r="Q249" s="12"/>
      <c r="R249" s="12"/>
      <c r="S249" s="12"/>
      <c r="T249" s="36"/>
      <c r="U249" s="36"/>
      <c r="V249" s="12"/>
      <c r="W249" s="12"/>
      <c r="X249" s="12"/>
      <c r="Y249" s="12"/>
      <c r="Z249" s="12"/>
    </row>
    <row r="250" customFormat="false" ht="15.75" hidden="false" customHeight="false" outlineLevel="0" collapsed="false">
      <c r="A250" s="12"/>
      <c r="B250" s="34"/>
      <c r="C250" s="12"/>
      <c r="D250" s="12"/>
      <c r="E250" s="12"/>
      <c r="F250" s="12"/>
      <c r="G250" s="18"/>
      <c r="H250" s="35"/>
      <c r="I250" s="35"/>
      <c r="J250" s="12"/>
      <c r="O250" s="12"/>
      <c r="P250" s="18"/>
      <c r="Q250" s="12"/>
      <c r="R250" s="12"/>
      <c r="S250" s="12"/>
      <c r="T250" s="36"/>
      <c r="U250" s="36"/>
      <c r="V250" s="12"/>
      <c r="W250" s="12"/>
      <c r="X250" s="12"/>
      <c r="Y250" s="12"/>
      <c r="Z250" s="12"/>
    </row>
    <row r="251" customFormat="false" ht="15.75" hidden="false" customHeight="false" outlineLevel="0" collapsed="false">
      <c r="A251" s="12"/>
      <c r="B251" s="34"/>
      <c r="C251" s="12"/>
      <c r="D251" s="12"/>
      <c r="E251" s="12"/>
      <c r="F251" s="12"/>
      <c r="G251" s="18"/>
      <c r="H251" s="35"/>
      <c r="I251" s="35"/>
      <c r="J251" s="12"/>
      <c r="O251" s="12"/>
      <c r="P251" s="18"/>
      <c r="Q251" s="12"/>
      <c r="R251" s="12"/>
      <c r="S251" s="12"/>
      <c r="T251" s="36"/>
      <c r="U251" s="36"/>
      <c r="V251" s="12"/>
      <c r="W251" s="12"/>
      <c r="X251" s="12"/>
      <c r="Y251" s="12"/>
      <c r="Z251" s="12"/>
    </row>
    <row r="252" customFormat="false" ht="15.75" hidden="false" customHeight="false" outlineLevel="0" collapsed="false">
      <c r="A252" s="12"/>
      <c r="B252" s="34"/>
      <c r="C252" s="12"/>
      <c r="D252" s="12"/>
      <c r="E252" s="12"/>
      <c r="F252" s="12"/>
      <c r="G252" s="18"/>
      <c r="H252" s="35"/>
      <c r="I252" s="35"/>
      <c r="J252" s="12"/>
      <c r="O252" s="12"/>
      <c r="P252" s="18"/>
      <c r="Q252" s="12"/>
      <c r="R252" s="12"/>
      <c r="S252" s="12"/>
      <c r="T252" s="36"/>
      <c r="U252" s="36"/>
      <c r="V252" s="12"/>
      <c r="W252" s="12"/>
      <c r="X252" s="12"/>
      <c r="Y252" s="12"/>
      <c r="Z252" s="12"/>
    </row>
    <row r="253" customFormat="false" ht="15.75" hidden="false" customHeight="false" outlineLevel="0" collapsed="false">
      <c r="A253" s="12"/>
      <c r="B253" s="34"/>
      <c r="C253" s="12"/>
      <c r="D253" s="12"/>
      <c r="E253" s="12"/>
      <c r="F253" s="12"/>
      <c r="G253" s="18"/>
      <c r="H253" s="35"/>
      <c r="I253" s="35"/>
      <c r="J253" s="12"/>
      <c r="O253" s="12"/>
      <c r="P253" s="18"/>
      <c r="Q253" s="12"/>
      <c r="R253" s="12"/>
      <c r="S253" s="12"/>
      <c r="T253" s="36"/>
      <c r="U253" s="36"/>
      <c r="V253" s="12"/>
      <c r="W253" s="12"/>
      <c r="X253" s="12"/>
      <c r="Y253" s="12"/>
      <c r="Z253" s="12"/>
    </row>
    <row r="254" customFormat="false" ht="15.75" hidden="false" customHeight="false" outlineLevel="0" collapsed="false">
      <c r="A254" s="12"/>
      <c r="B254" s="34"/>
      <c r="C254" s="12"/>
      <c r="D254" s="12"/>
      <c r="E254" s="12"/>
      <c r="F254" s="12"/>
      <c r="G254" s="18"/>
      <c r="H254" s="35"/>
      <c r="I254" s="35"/>
      <c r="J254" s="12"/>
      <c r="O254" s="12"/>
      <c r="P254" s="18"/>
      <c r="Q254" s="12"/>
      <c r="R254" s="12"/>
      <c r="S254" s="12"/>
      <c r="T254" s="36"/>
      <c r="U254" s="36"/>
      <c r="V254" s="12"/>
      <c r="W254" s="12"/>
      <c r="X254" s="12"/>
      <c r="Y254" s="12"/>
      <c r="Z254" s="12"/>
    </row>
    <row r="255" customFormat="false" ht="15.75" hidden="false" customHeight="false" outlineLevel="0" collapsed="false">
      <c r="A255" s="12"/>
      <c r="B255" s="34"/>
      <c r="C255" s="12"/>
      <c r="D255" s="12"/>
      <c r="E255" s="12"/>
      <c r="F255" s="12"/>
      <c r="G255" s="18"/>
      <c r="H255" s="35"/>
      <c r="I255" s="35"/>
      <c r="J255" s="12"/>
      <c r="O255" s="12"/>
      <c r="P255" s="18"/>
      <c r="Q255" s="12"/>
      <c r="R255" s="12"/>
      <c r="S255" s="12"/>
      <c r="T255" s="36"/>
      <c r="U255" s="36"/>
      <c r="V255" s="12"/>
      <c r="W255" s="12"/>
      <c r="X255" s="12"/>
      <c r="Y255" s="12"/>
      <c r="Z255" s="12"/>
    </row>
    <row r="256" customFormat="false" ht="15.75" hidden="false" customHeight="false" outlineLevel="0" collapsed="false">
      <c r="A256" s="12"/>
      <c r="B256" s="34"/>
      <c r="C256" s="12"/>
      <c r="D256" s="12"/>
      <c r="E256" s="12"/>
      <c r="F256" s="12"/>
      <c r="G256" s="18"/>
      <c r="H256" s="35"/>
      <c r="I256" s="35"/>
      <c r="J256" s="12"/>
      <c r="O256" s="12"/>
      <c r="P256" s="18"/>
      <c r="Q256" s="12"/>
      <c r="R256" s="12"/>
      <c r="S256" s="12"/>
      <c r="T256" s="36"/>
      <c r="U256" s="36"/>
      <c r="V256" s="12"/>
      <c r="W256" s="12"/>
      <c r="X256" s="12"/>
      <c r="Y256" s="12"/>
      <c r="Z256" s="12"/>
    </row>
    <row r="257" customFormat="false" ht="15.75" hidden="false" customHeight="false" outlineLevel="0" collapsed="false">
      <c r="A257" s="12"/>
      <c r="B257" s="34"/>
      <c r="C257" s="12"/>
      <c r="D257" s="12"/>
      <c r="E257" s="12"/>
      <c r="F257" s="12"/>
      <c r="G257" s="18"/>
      <c r="H257" s="35"/>
      <c r="I257" s="35"/>
      <c r="J257" s="12"/>
      <c r="O257" s="12"/>
      <c r="P257" s="18"/>
      <c r="Q257" s="12"/>
      <c r="R257" s="12"/>
      <c r="S257" s="12"/>
      <c r="T257" s="36"/>
      <c r="U257" s="36"/>
      <c r="V257" s="12"/>
      <c r="W257" s="12"/>
      <c r="X257" s="12"/>
      <c r="Y257" s="12"/>
      <c r="Z257" s="12"/>
    </row>
    <row r="258" customFormat="false" ht="15.75" hidden="false" customHeight="false" outlineLevel="0" collapsed="false">
      <c r="A258" s="12"/>
      <c r="B258" s="34"/>
      <c r="C258" s="12"/>
      <c r="D258" s="12"/>
      <c r="E258" s="12"/>
      <c r="F258" s="12"/>
      <c r="G258" s="18"/>
      <c r="H258" s="35"/>
      <c r="I258" s="35"/>
      <c r="J258" s="12"/>
      <c r="O258" s="12"/>
      <c r="P258" s="18"/>
      <c r="Q258" s="12"/>
      <c r="R258" s="12"/>
      <c r="S258" s="12"/>
      <c r="T258" s="36"/>
      <c r="U258" s="36"/>
      <c r="V258" s="12"/>
      <c r="W258" s="12"/>
      <c r="X258" s="12"/>
      <c r="Y258" s="12"/>
      <c r="Z258" s="12"/>
    </row>
    <row r="259" customFormat="false" ht="15.75" hidden="false" customHeight="false" outlineLevel="0" collapsed="false">
      <c r="A259" s="12"/>
      <c r="B259" s="34"/>
      <c r="C259" s="12"/>
      <c r="D259" s="12"/>
      <c r="E259" s="12"/>
      <c r="F259" s="12"/>
      <c r="G259" s="18"/>
      <c r="H259" s="35"/>
      <c r="I259" s="35"/>
      <c r="J259" s="12"/>
      <c r="O259" s="12"/>
      <c r="P259" s="18"/>
      <c r="Q259" s="12"/>
      <c r="R259" s="12"/>
      <c r="S259" s="12"/>
      <c r="T259" s="36"/>
      <c r="U259" s="36"/>
      <c r="V259" s="12"/>
      <c r="W259" s="12"/>
      <c r="X259" s="12"/>
      <c r="Y259" s="12"/>
      <c r="Z259" s="12"/>
    </row>
    <row r="260" customFormat="false" ht="15.75" hidden="false" customHeight="false" outlineLevel="0" collapsed="false">
      <c r="A260" s="12"/>
      <c r="B260" s="34"/>
      <c r="C260" s="12"/>
      <c r="D260" s="12"/>
      <c r="E260" s="12"/>
      <c r="F260" s="12"/>
      <c r="G260" s="18"/>
      <c r="H260" s="35"/>
      <c r="I260" s="35"/>
      <c r="J260" s="12"/>
      <c r="O260" s="12"/>
      <c r="P260" s="18"/>
      <c r="Q260" s="12"/>
      <c r="R260" s="12"/>
      <c r="S260" s="12"/>
      <c r="T260" s="36"/>
      <c r="U260" s="36"/>
      <c r="V260" s="12"/>
      <c r="W260" s="12"/>
      <c r="X260" s="12"/>
      <c r="Y260" s="12"/>
      <c r="Z260" s="12"/>
    </row>
    <row r="261" customFormat="false" ht="15.75" hidden="false" customHeight="false" outlineLevel="0" collapsed="false">
      <c r="A261" s="12"/>
      <c r="B261" s="34"/>
      <c r="C261" s="12"/>
      <c r="D261" s="12"/>
      <c r="E261" s="12"/>
      <c r="F261" s="12"/>
      <c r="G261" s="18"/>
      <c r="H261" s="35"/>
      <c r="I261" s="35"/>
      <c r="J261" s="12"/>
      <c r="O261" s="12"/>
      <c r="P261" s="18"/>
      <c r="Q261" s="12"/>
      <c r="R261" s="12"/>
      <c r="S261" s="12"/>
      <c r="T261" s="36"/>
      <c r="U261" s="36"/>
      <c r="V261" s="12"/>
      <c r="W261" s="12"/>
      <c r="X261" s="12"/>
      <c r="Y261" s="12"/>
      <c r="Z261" s="12"/>
    </row>
    <row r="262" customFormat="false" ht="15.75" hidden="false" customHeight="false" outlineLevel="0" collapsed="false">
      <c r="A262" s="12"/>
      <c r="B262" s="34"/>
      <c r="C262" s="12"/>
      <c r="D262" s="12"/>
      <c r="E262" s="12"/>
      <c r="F262" s="12"/>
      <c r="G262" s="18"/>
      <c r="H262" s="35"/>
      <c r="I262" s="35"/>
      <c r="J262" s="12"/>
      <c r="O262" s="12"/>
      <c r="P262" s="18"/>
      <c r="Q262" s="12"/>
      <c r="R262" s="12"/>
      <c r="S262" s="12"/>
      <c r="T262" s="36"/>
      <c r="U262" s="36"/>
      <c r="V262" s="12"/>
      <c r="W262" s="12"/>
      <c r="X262" s="12"/>
      <c r="Y262" s="12"/>
      <c r="Z262" s="12"/>
    </row>
    <row r="263" customFormat="false" ht="15.75" hidden="false" customHeight="false" outlineLevel="0" collapsed="false">
      <c r="A263" s="12"/>
      <c r="B263" s="34"/>
      <c r="C263" s="12"/>
      <c r="D263" s="12"/>
      <c r="E263" s="12"/>
      <c r="F263" s="12"/>
      <c r="G263" s="18"/>
      <c r="H263" s="35"/>
      <c r="I263" s="35"/>
      <c r="J263" s="12"/>
      <c r="O263" s="12"/>
      <c r="P263" s="18"/>
      <c r="Q263" s="12"/>
      <c r="R263" s="12"/>
      <c r="S263" s="12"/>
      <c r="T263" s="36"/>
      <c r="U263" s="36"/>
      <c r="V263" s="12"/>
      <c r="W263" s="12"/>
      <c r="X263" s="12"/>
      <c r="Y263" s="12"/>
      <c r="Z263" s="12"/>
    </row>
    <row r="264" customFormat="false" ht="15.75" hidden="false" customHeight="false" outlineLevel="0" collapsed="false">
      <c r="A264" s="12"/>
      <c r="B264" s="34"/>
      <c r="C264" s="12"/>
      <c r="D264" s="12"/>
      <c r="E264" s="12"/>
      <c r="F264" s="12"/>
      <c r="G264" s="18"/>
      <c r="H264" s="35"/>
      <c r="I264" s="35"/>
      <c r="J264" s="12"/>
      <c r="O264" s="12"/>
      <c r="P264" s="18"/>
      <c r="Q264" s="12"/>
      <c r="R264" s="12"/>
      <c r="S264" s="12"/>
      <c r="T264" s="36"/>
      <c r="U264" s="36"/>
      <c r="V264" s="12"/>
      <c r="W264" s="12"/>
      <c r="X264" s="12"/>
      <c r="Y264" s="12"/>
      <c r="Z264" s="12"/>
    </row>
    <row r="265" customFormat="false" ht="15.75" hidden="false" customHeight="false" outlineLevel="0" collapsed="false">
      <c r="A265" s="12"/>
      <c r="B265" s="34"/>
      <c r="C265" s="12"/>
      <c r="D265" s="12"/>
      <c r="E265" s="12"/>
      <c r="F265" s="12"/>
      <c r="G265" s="18"/>
      <c r="H265" s="35"/>
      <c r="I265" s="35"/>
      <c r="J265" s="12"/>
      <c r="O265" s="12"/>
      <c r="P265" s="18"/>
      <c r="Q265" s="12"/>
      <c r="R265" s="12"/>
      <c r="S265" s="12"/>
      <c r="T265" s="36"/>
      <c r="U265" s="36"/>
      <c r="V265" s="12"/>
      <c r="W265" s="12"/>
      <c r="X265" s="12"/>
      <c r="Y265" s="12"/>
      <c r="Z265" s="12"/>
    </row>
    <row r="266" customFormat="false" ht="15.75" hidden="false" customHeight="false" outlineLevel="0" collapsed="false">
      <c r="A266" s="12"/>
      <c r="B266" s="34"/>
      <c r="C266" s="12"/>
      <c r="D266" s="12"/>
      <c r="E266" s="12"/>
      <c r="F266" s="12"/>
      <c r="G266" s="18"/>
      <c r="H266" s="35"/>
      <c r="I266" s="35"/>
      <c r="J266" s="12"/>
      <c r="O266" s="12"/>
      <c r="P266" s="18"/>
      <c r="Q266" s="12"/>
      <c r="R266" s="12"/>
      <c r="S266" s="12"/>
      <c r="T266" s="36"/>
      <c r="U266" s="36"/>
      <c r="V266" s="12"/>
      <c r="W266" s="12"/>
      <c r="X266" s="12"/>
      <c r="Y266" s="12"/>
      <c r="Z266" s="12"/>
    </row>
    <row r="267" customFormat="false" ht="15.75" hidden="false" customHeight="false" outlineLevel="0" collapsed="false">
      <c r="A267" s="12"/>
      <c r="B267" s="34"/>
      <c r="C267" s="12"/>
      <c r="D267" s="12"/>
      <c r="E267" s="12"/>
      <c r="F267" s="12"/>
      <c r="G267" s="18"/>
      <c r="H267" s="35"/>
      <c r="I267" s="35"/>
      <c r="J267" s="12"/>
      <c r="O267" s="12"/>
      <c r="P267" s="18"/>
      <c r="Q267" s="12"/>
      <c r="R267" s="12"/>
      <c r="S267" s="12"/>
      <c r="T267" s="36"/>
      <c r="U267" s="36"/>
      <c r="V267" s="12"/>
      <c r="W267" s="12"/>
      <c r="X267" s="12"/>
      <c r="Y267" s="12"/>
      <c r="Z267" s="12"/>
    </row>
    <row r="268" customFormat="false" ht="15.75" hidden="false" customHeight="false" outlineLevel="0" collapsed="false">
      <c r="A268" s="12"/>
      <c r="B268" s="34"/>
      <c r="C268" s="12"/>
      <c r="D268" s="12"/>
      <c r="E268" s="12"/>
      <c r="F268" s="12"/>
      <c r="G268" s="18"/>
      <c r="H268" s="35"/>
      <c r="I268" s="35"/>
      <c r="J268" s="12"/>
      <c r="O268" s="12"/>
      <c r="P268" s="18"/>
      <c r="Q268" s="12"/>
      <c r="R268" s="12"/>
      <c r="S268" s="12"/>
      <c r="T268" s="36"/>
      <c r="U268" s="36"/>
      <c r="V268" s="12"/>
      <c r="W268" s="12"/>
      <c r="X268" s="12"/>
      <c r="Y268" s="12"/>
      <c r="Z268" s="12"/>
    </row>
    <row r="269" customFormat="false" ht="15.75" hidden="false" customHeight="false" outlineLevel="0" collapsed="false">
      <c r="A269" s="12"/>
      <c r="B269" s="34"/>
      <c r="C269" s="12"/>
      <c r="D269" s="12"/>
      <c r="E269" s="12"/>
      <c r="F269" s="12"/>
      <c r="G269" s="18"/>
      <c r="H269" s="35"/>
      <c r="I269" s="35"/>
      <c r="J269" s="12"/>
      <c r="O269" s="12"/>
      <c r="P269" s="18"/>
      <c r="Q269" s="12"/>
      <c r="R269" s="12"/>
      <c r="S269" s="12"/>
      <c r="T269" s="36"/>
      <c r="U269" s="36"/>
      <c r="V269" s="12"/>
      <c r="W269" s="12"/>
      <c r="X269" s="12"/>
      <c r="Y269" s="12"/>
      <c r="Z269" s="12"/>
    </row>
    <row r="270" customFormat="false" ht="15.75" hidden="false" customHeight="false" outlineLevel="0" collapsed="false">
      <c r="A270" s="12"/>
      <c r="B270" s="34"/>
      <c r="C270" s="12"/>
      <c r="D270" s="12"/>
      <c r="E270" s="12"/>
      <c r="F270" s="12"/>
      <c r="G270" s="18"/>
      <c r="H270" s="35"/>
      <c r="I270" s="35"/>
      <c r="J270" s="12"/>
      <c r="O270" s="12"/>
      <c r="P270" s="18"/>
      <c r="Q270" s="12"/>
      <c r="R270" s="12"/>
      <c r="S270" s="12"/>
      <c r="T270" s="36"/>
      <c r="U270" s="36"/>
      <c r="V270" s="12"/>
      <c r="W270" s="12"/>
      <c r="X270" s="12"/>
      <c r="Y270" s="12"/>
      <c r="Z270" s="12"/>
    </row>
    <row r="271" customFormat="false" ht="15.75" hidden="false" customHeight="false" outlineLevel="0" collapsed="false">
      <c r="A271" s="12"/>
      <c r="B271" s="34"/>
      <c r="C271" s="12"/>
      <c r="D271" s="12"/>
      <c r="E271" s="12"/>
      <c r="F271" s="12"/>
      <c r="G271" s="18"/>
      <c r="H271" s="35"/>
      <c r="I271" s="35"/>
      <c r="J271" s="12"/>
      <c r="O271" s="12"/>
      <c r="P271" s="18"/>
      <c r="Q271" s="12"/>
      <c r="R271" s="12"/>
      <c r="S271" s="12"/>
      <c r="T271" s="36"/>
      <c r="U271" s="36"/>
      <c r="V271" s="12"/>
      <c r="W271" s="12"/>
      <c r="X271" s="12"/>
      <c r="Y271" s="12"/>
      <c r="Z271" s="12"/>
    </row>
    <row r="272" customFormat="false" ht="15.75" hidden="false" customHeight="false" outlineLevel="0" collapsed="false">
      <c r="A272" s="12"/>
      <c r="B272" s="34"/>
      <c r="C272" s="12"/>
      <c r="D272" s="12"/>
      <c r="E272" s="12"/>
      <c r="F272" s="12"/>
      <c r="G272" s="18"/>
      <c r="H272" s="35"/>
      <c r="I272" s="35"/>
      <c r="J272" s="12"/>
      <c r="O272" s="12"/>
      <c r="P272" s="18"/>
      <c r="Q272" s="12"/>
      <c r="R272" s="12"/>
      <c r="S272" s="12"/>
      <c r="T272" s="36"/>
      <c r="U272" s="36"/>
      <c r="V272" s="12"/>
      <c r="W272" s="12"/>
      <c r="X272" s="12"/>
      <c r="Y272" s="12"/>
      <c r="Z272" s="12"/>
    </row>
    <row r="273" customFormat="false" ht="15.75" hidden="false" customHeight="false" outlineLevel="0" collapsed="false">
      <c r="A273" s="12"/>
      <c r="B273" s="34"/>
      <c r="C273" s="12"/>
      <c r="D273" s="12"/>
      <c r="E273" s="12"/>
      <c r="F273" s="12"/>
      <c r="G273" s="18"/>
      <c r="H273" s="35"/>
      <c r="I273" s="35"/>
      <c r="J273" s="12"/>
      <c r="O273" s="12"/>
      <c r="P273" s="18"/>
      <c r="Q273" s="12"/>
      <c r="R273" s="12"/>
      <c r="S273" s="12"/>
      <c r="T273" s="36"/>
      <c r="U273" s="36"/>
      <c r="V273" s="12"/>
      <c r="W273" s="12"/>
      <c r="X273" s="12"/>
      <c r="Y273" s="12"/>
      <c r="Z273" s="12"/>
    </row>
    <row r="274" customFormat="false" ht="15.75" hidden="false" customHeight="false" outlineLevel="0" collapsed="false">
      <c r="A274" s="12"/>
      <c r="B274" s="34"/>
      <c r="C274" s="12"/>
      <c r="D274" s="12"/>
      <c r="E274" s="12"/>
      <c r="F274" s="12"/>
      <c r="G274" s="18"/>
      <c r="H274" s="35"/>
      <c r="I274" s="35"/>
      <c r="J274" s="12"/>
      <c r="O274" s="12"/>
      <c r="P274" s="18"/>
      <c r="Q274" s="12"/>
      <c r="R274" s="12"/>
      <c r="S274" s="12"/>
      <c r="T274" s="36"/>
      <c r="U274" s="36"/>
      <c r="V274" s="12"/>
      <c r="W274" s="12"/>
      <c r="X274" s="12"/>
      <c r="Y274" s="12"/>
      <c r="Z274" s="12"/>
    </row>
    <row r="275" customFormat="false" ht="15.75" hidden="false" customHeight="false" outlineLevel="0" collapsed="false">
      <c r="A275" s="12"/>
      <c r="B275" s="34"/>
      <c r="C275" s="12"/>
      <c r="D275" s="12"/>
      <c r="E275" s="12"/>
      <c r="F275" s="12"/>
      <c r="G275" s="18"/>
      <c r="H275" s="35"/>
      <c r="I275" s="35"/>
      <c r="J275" s="12"/>
      <c r="O275" s="12"/>
      <c r="P275" s="18"/>
      <c r="Q275" s="12"/>
      <c r="R275" s="12"/>
      <c r="S275" s="12"/>
      <c r="T275" s="36"/>
      <c r="U275" s="36"/>
      <c r="V275" s="12"/>
      <c r="W275" s="12"/>
      <c r="X275" s="12"/>
      <c r="Y275" s="12"/>
      <c r="Z275" s="12"/>
    </row>
    <row r="276" customFormat="false" ht="15.75" hidden="false" customHeight="false" outlineLevel="0" collapsed="false">
      <c r="A276" s="12"/>
      <c r="B276" s="34"/>
      <c r="C276" s="12"/>
      <c r="D276" s="12"/>
      <c r="E276" s="12"/>
      <c r="F276" s="12"/>
      <c r="G276" s="18"/>
      <c r="H276" s="35"/>
      <c r="I276" s="35"/>
      <c r="J276" s="12"/>
      <c r="O276" s="12"/>
      <c r="P276" s="18"/>
      <c r="Q276" s="12"/>
      <c r="R276" s="12"/>
      <c r="S276" s="12"/>
      <c r="T276" s="36"/>
      <c r="U276" s="36"/>
      <c r="V276" s="12"/>
      <c r="W276" s="12"/>
      <c r="X276" s="12"/>
      <c r="Y276" s="12"/>
      <c r="Z276" s="12"/>
    </row>
    <row r="277" customFormat="false" ht="15.75" hidden="false" customHeight="false" outlineLevel="0" collapsed="false">
      <c r="A277" s="12"/>
      <c r="B277" s="34"/>
      <c r="C277" s="12"/>
      <c r="D277" s="12"/>
      <c r="E277" s="12"/>
      <c r="F277" s="12"/>
      <c r="G277" s="18"/>
      <c r="H277" s="35"/>
      <c r="I277" s="35"/>
      <c r="J277" s="12"/>
      <c r="O277" s="12"/>
      <c r="P277" s="18"/>
      <c r="Q277" s="12"/>
      <c r="R277" s="12"/>
      <c r="S277" s="12"/>
      <c r="T277" s="36"/>
      <c r="U277" s="36"/>
      <c r="V277" s="12"/>
      <c r="W277" s="12"/>
      <c r="X277" s="12"/>
      <c r="Y277" s="12"/>
      <c r="Z277" s="12"/>
    </row>
    <row r="278" customFormat="false" ht="15.75" hidden="false" customHeight="false" outlineLevel="0" collapsed="false">
      <c r="A278" s="12"/>
      <c r="B278" s="34"/>
      <c r="C278" s="12"/>
      <c r="D278" s="12"/>
      <c r="E278" s="12"/>
      <c r="F278" s="12"/>
      <c r="G278" s="18"/>
      <c r="H278" s="35"/>
      <c r="I278" s="35"/>
      <c r="J278" s="12"/>
      <c r="O278" s="12"/>
      <c r="P278" s="18"/>
      <c r="Q278" s="12"/>
      <c r="R278" s="12"/>
      <c r="S278" s="12"/>
      <c r="T278" s="36"/>
      <c r="U278" s="36"/>
      <c r="V278" s="12"/>
      <c r="W278" s="12"/>
      <c r="X278" s="12"/>
      <c r="Y278" s="12"/>
      <c r="Z278" s="12"/>
    </row>
    <row r="279" customFormat="false" ht="15.75" hidden="false" customHeight="false" outlineLevel="0" collapsed="false">
      <c r="A279" s="12"/>
      <c r="B279" s="34"/>
      <c r="C279" s="12"/>
      <c r="D279" s="12"/>
      <c r="E279" s="12"/>
      <c r="F279" s="12"/>
      <c r="G279" s="18"/>
      <c r="H279" s="35"/>
      <c r="I279" s="35"/>
      <c r="J279" s="12"/>
      <c r="O279" s="12"/>
      <c r="P279" s="18"/>
      <c r="Q279" s="12"/>
      <c r="R279" s="12"/>
      <c r="S279" s="12"/>
      <c r="T279" s="36"/>
      <c r="U279" s="36"/>
      <c r="V279" s="12"/>
      <c r="W279" s="12"/>
      <c r="X279" s="12"/>
      <c r="Y279" s="12"/>
      <c r="Z279" s="12"/>
    </row>
    <row r="280" customFormat="false" ht="15.75" hidden="false" customHeight="false" outlineLevel="0" collapsed="false">
      <c r="A280" s="12"/>
      <c r="B280" s="34"/>
      <c r="C280" s="12"/>
      <c r="D280" s="12"/>
      <c r="E280" s="12"/>
      <c r="F280" s="12"/>
      <c r="G280" s="18"/>
      <c r="H280" s="35"/>
      <c r="I280" s="35"/>
      <c r="J280" s="12"/>
      <c r="O280" s="12"/>
      <c r="P280" s="18"/>
      <c r="Q280" s="12"/>
      <c r="R280" s="12"/>
      <c r="S280" s="12"/>
      <c r="T280" s="36"/>
      <c r="U280" s="36"/>
      <c r="V280" s="12"/>
      <c r="W280" s="12"/>
      <c r="X280" s="12"/>
      <c r="Y280" s="12"/>
      <c r="Z280" s="12"/>
    </row>
    <row r="281" customFormat="false" ht="15.75" hidden="false" customHeight="false" outlineLevel="0" collapsed="false">
      <c r="A281" s="12"/>
      <c r="B281" s="34"/>
      <c r="C281" s="12"/>
      <c r="D281" s="12"/>
      <c r="E281" s="12"/>
      <c r="F281" s="12"/>
      <c r="G281" s="18"/>
      <c r="H281" s="35"/>
      <c r="I281" s="35"/>
      <c r="J281" s="12"/>
      <c r="O281" s="12"/>
      <c r="P281" s="18"/>
      <c r="Q281" s="12"/>
      <c r="R281" s="12"/>
      <c r="S281" s="12"/>
      <c r="T281" s="36"/>
      <c r="U281" s="36"/>
      <c r="V281" s="12"/>
      <c r="W281" s="12"/>
      <c r="X281" s="12"/>
      <c r="Y281" s="12"/>
      <c r="Z281" s="12"/>
    </row>
    <row r="282" customFormat="false" ht="15.75" hidden="false" customHeight="false" outlineLevel="0" collapsed="false">
      <c r="A282" s="12"/>
      <c r="B282" s="34"/>
      <c r="C282" s="12"/>
      <c r="D282" s="12"/>
      <c r="E282" s="12"/>
      <c r="F282" s="12"/>
      <c r="G282" s="18"/>
      <c r="H282" s="35"/>
      <c r="I282" s="35"/>
      <c r="J282" s="12"/>
      <c r="O282" s="12"/>
      <c r="P282" s="18"/>
      <c r="Q282" s="12"/>
      <c r="R282" s="12"/>
      <c r="S282" s="12"/>
      <c r="T282" s="36"/>
      <c r="U282" s="36"/>
      <c r="V282" s="12"/>
      <c r="W282" s="12"/>
      <c r="X282" s="12"/>
      <c r="Y282" s="12"/>
      <c r="Z282" s="12"/>
    </row>
    <row r="283" customFormat="false" ht="15.75" hidden="false" customHeight="false" outlineLevel="0" collapsed="false">
      <c r="A283" s="12"/>
      <c r="B283" s="34"/>
      <c r="C283" s="12"/>
      <c r="D283" s="12"/>
      <c r="E283" s="12"/>
      <c r="F283" s="12"/>
      <c r="G283" s="18"/>
      <c r="H283" s="35"/>
      <c r="I283" s="35"/>
      <c r="J283" s="12"/>
      <c r="O283" s="12"/>
      <c r="P283" s="18"/>
      <c r="Q283" s="12"/>
      <c r="R283" s="12"/>
      <c r="S283" s="12"/>
      <c r="T283" s="36"/>
      <c r="U283" s="36"/>
      <c r="V283" s="12"/>
      <c r="W283" s="12"/>
      <c r="X283" s="12"/>
      <c r="Y283" s="12"/>
      <c r="Z283" s="12"/>
    </row>
    <row r="284" customFormat="false" ht="15.75" hidden="false" customHeight="false" outlineLevel="0" collapsed="false">
      <c r="A284" s="12"/>
      <c r="B284" s="34"/>
      <c r="C284" s="12"/>
      <c r="D284" s="12"/>
      <c r="E284" s="12"/>
      <c r="F284" s="12"/>
      <c r="G284" s="18"/>
      <c r="H284" s="35"/>
      <c r="I284" s="35"/>
      <c r="J284" s="12"/>
      <c r="O284" s="12"/>
      <c r="P284" s="18"/>
      <c r="Q284" s="12"/>
      <c r="R284" s="12"/>
      <c r="S284" s="12"/>
      <c r="T284" s="36"/>
      <c r="U284" s="36"/>
      <c r="V284" s="12"/>
      <c r="W284" s="12"/>
      <c r="X284" s="12"/>
      <c r="Y284" s="12"/>
      <c r="Z284" s="12"/>
    </row>
    <row r="285" customFormat="false" ht="15.75" hidden="false" customHeight="false" outlineLevel="0" collapsed="false">
      <c r="A285" s="12"/>
      <c r="B285" s="34"/>
      <c r="C285" s="12"/>
      <c r="D285" s="12"/>
      <c r="E285" s="12"/>
      <c r="F285" s="12"/>
      <c r="G285" s="18"/>
      <c r="H285" s="35"/>
      <c r="I285" s="35"/>
      <c r="J285" s="12"/>
      <c r="O285" s="12"/>
      <c r="P285" s="18"/>
      <c r="Q285" s="12"/>
      <c r="R285" s="12"/>
      <c r="S285" s="12"/>
      <c r="T285" s="36"/>
      <c r="U285" s="36"/>
      <c r="V285" s="12"/>
      <c r="W285" s="12"/>
      <c r="X285" s="12"/>
      <c r="Y285" s="12"/>
      <c r="Z285" s="12"/>
    </row>
    <row r="286" customFormat="false" ht="15.75" hidden="false" customHeight="false" outlineLevel="0" collapsed="false">
      <c r="A286" s="12"/>
      <c r="B286" s="34"/>
      <c r="C286" s="12"/>
      <c r="D286" s="12"/>
      <c r="E286" s="12"/>
      <c r="F286" s="12"/>
      <c r="G286" s="18"/>
      <c r="H286" s="35"/>
      <c r="I286" s="35"/>
      <c r="J286" s="12"/>
      <c r="O286" s="12"/>
      <c r="P286" s="18"/>
      <c r="Q286" s="12"/>
      <c r="R286" s="12"/>
      <c r="S286" s="12"/>
      <c r="T286" s="36"/>
      <c r="U286" s="36"/>
      <c r="V286" s="12"/>
      <c r="W286" s="12"/>
      <c r="X286" s="12"/>
      <c r="Y286" s="12"/>
      <c r="Z286" s="12"/>
    </row>
    <row r="287" customFormat="false" ht="15.75" hidden="false" customHeight="false" outlineLevel="0" collapsed="false">
      <c r="A287" s="12"/>
      <c r="B287" s="34"/>
      <c r="C287" s="12"/>
      <c r="D287" s="12"/>
      <c r="E287" s="12"/>
      <c r="F287" s="12"/>
      <c r="G287" s="18"/>
      <c r="H287" s="35"/>
      <c r="I287" s="35"/>
      <c r="J287" s="12"/>
      <c r="O287" s="12"/>
      <c r="P287" s="18"/>
      <c r="Q287" s="12"/>
      <c r="R287" s="12"/>
      <c r="S287" s="12"/>
      <c r="T287" s="36"/>
      <c r="U287" s="36"/>
      <c r="V287" s="12"/>
      <c r="W287" s="12"/>
      <c r="X287" s="12"/>
      <c r="Y287" s="12"/>
      <c r="Z287" s="12"/>
    </row>
    <row r="288" customFormat="false" ht="15.75" hidden="false" customHeight="false" outlineLevel="0" collapsed="false">
      <c r="A288" s="12"/>
      <c r="B288" s="34"/>
      <c r="C288" s="12"/>
      <c r="D288" s="12"/>
      <c r="E288" s="12"/>
      <c r="F288" s="12"/>
      <c r="G288" s="18"/>
      <c r="H288" s="35"/>
      <c r="I288" s="35"/>
      <c r="J288" s="12"/>
      <c r="O288" s="12"/>
      <c r="P288" s="18"/>
      <c r="Q288" s="12"/>
      <c r="R288" s="12"/>
      <c r="S288" s="12"/>
      <c r="T288" s="36"/>
      <c r="U288" s="36"/>
      <c r="V288" s="12"/>
      <c r="W288" s="12"/>
      <c r="X288" s="12"/>
      <c r="Y288" s="12"/>
      <c r="Z288" s="12"/>
    </row>
    <row r="289" customFormat="false" ht="15.75" hidden="false" customHeight="false" outlineLevel="0" collapsed="false">
      <c r="A289" s="12"/>
      <c r="B289" s="34"/>
      <c r="C289" s="12"/>
      <c r="D289" s="12"/>
      <c r="E289" s="12"/>
      <c r="F289" s="12"/>
      <c r="G289" s="18"/>
      <c r="H289" s="35"/>
      <c r="I289" s="35"/>
      <c r="J289" s="12"/>
      <c r="O289" s="12"/>
      <c r="P289" s="18"/>
      <c r="Q289" s="12"/>
      <c r="R289" s="12"/>
      <c r="S289" s="12"/>
      <c r="T289" s="36"/>
      <c r="U289" s="36"/>
      <c r="V289" s="12"/>
      <c r="W289" s="12"/>
      <c r="X289" s="12"/>
      <c r="Y289" s="12"/>
      <c r="Z289" s="12"/>
    </row>
    <row r="290" customFormat="false" ht="15.75" hidden="false" customHeight="false" outlineLevel="0" collapsed="false">
      <c r="A290" s="12"/>
      <c r="B290" s="34"/>
      <c r="C290" s="12"/>
      <c r="D290" s="12"/>
      <c r="E290" s="12"/>
      <c r="F290" s="12"/>
      <c r="G290" s="18"/>
      <c r="H290" s="35"/>
      <c r="I290" s="35"/>
      <c r="J290" s="12"/>
      <c r="O290" s="12"/>
      <c r="P290" s="18"/>
      <c r="Q290" s="12"/>
      <c r="R290" s="12"/>
      <c r="S290" s="12"/>
      <c r="T290" s="36"/>
      <c r="U290" s="36"/>
      <c r="V290" s="12"/>
      <c r="W290" s="12"/>
      <c r="X290" s="12"/>
      <c r="Y290" s="12"/>
      <c r="Z290" s="12"/>
    </row>
    <row r="291" customFormat="false" ht="15.75" hidden="false" customHeight="false" outlineLevel="0" collapsed="false">
      <c r="A291" s="12"/>
      <c r="B291" s="34"/>
      <c r="C291" s="12"/>
      <c r="D291" s="12"/>
      <c r="E291" s="12"/>
      <c r="F291" s="12"/>
      <c r="G291" s="18"/>
      <c r="H291" s="35"/>
      <c r="I291" s="35"/>
      <c r="J291" s="12"/>
      <c r="O291" s="12"/>
      <c r="P291" s="18"/>
      <c r="Q291" s="12"/>
      <c r="R291" s="12"/>
      <c r="S291" s="12"/>
      <c r="T291" s="36"/>
      <c r="U291" s="36"/>
      <c r="V291" s="12"/>
      <c r="W291" s="12"/>
      <c r="X291" s="12"/>
      <c r="Y291" s="12"/>
      <c r="Z291" s="12"/>
    </row>
    <row r="292" customFormat="false" ht="15.75" hidden="false" customHeight="false" outlineLevel="0" collapsed="false">
      <c r="A292" s="12"/>
      <c r="B292" s="34"/>
      <c r="C292" s="12"/>
      <c r="D292" s="12"/>
      <c r="E292" s="12"/>
      <c r="F292" s="12"/>
      <c r="G292" s="18"/>
      <c r="H292" s="35"/>
      <c r="I292" s="35"/>
      <c r="J292" s="12"/>
      <c r="O292" s="12"/>
      <c r="P292" s="18"/>
      <c r="Q292" s="12"/>
      <c r="R292" s="12"/>
      <c r="S292" s="12"/>
      <c r="T292" s="36"/>
      <c r="U292" s="36"/>
      <c r="V292" s="12"/>
      <c r="W292" s="12"/>
      <c r="X292" s="12"/>
      <c r="Y292" s="12"/>
      <c r="Z292" s="12"/>
    </row>
    <row r="293" customFormat="false" ht="15.75" hidden="false" customHeight="false" outlineLevel="0" collapsed="false">
      <c r="A293" s="12"/>
      <c r="B293" s="34"/>
      <c r="C293" s="12"/>
      <c r="D293" s="12"/>
      <c r="E293" s="12"/>
      <c r="F293" s="12"/>
      <c r="G293" s="18"/>
      <c r="H293" s="35"/>
      <c r="I293" s="35"/>
      <c r="J293" s="12"/>
      <c r="O293" s="12"/>
      <c r="P293" s="18"/>
      <c r="Q293" s="12"/>
      <c r="R293" s="12"/>
      <c r="S293" s="12"/>
      <c r="T293" s="36"/>
      <c r="U293" s="36"/>
      <c r="V293" s="12"/>
      <c r="W293" s="12"/>
      <c r="X293" s="12"/>
      <c r="Y293" s="12"/>
      <c r="Z293" s="12"/>
    </row>
    <row r="294" customFormat="false" ht="15.75" hidden="false" customHeight="false" outlineLevel="0" collapsed="false">
      <c r="A294" s="12"/>
      <c r="B294" s="34"/>
      <c r="C294" s="12"/>
      <c r="D294" s="12"/>
      <c r="E294" s="12"/>
      <c r="F294" s="12"/>
      <c r="G294" s="18"/>
      <c r="H294" s="35"/>
      <c r="I294" s="35"/>
      <c r="J294" s="12"/>
      <c r="O294" s="12"/>
      <c r="P294" s="18"/>
      <c r="Q294" s="12"/>
      <c r="R294" s="12"/>
      <c r="S294" s="12"/>
      <c r="T294" s="36"/>
      <c r="U294" s="36"/>
      <c r="V294" s="12"/>
      <c r="W294" s="12"/>
      <c r="X294" s="12"/>
      <c r="Y294" s="12"/>
      <c r="Z294" s="12"/>
    </row>
    <row r="295" customFormat="false" ht="15.75" hidden="false" customHeight="false" outlineLevel="0" collapsed="false">
      <c r="A295" s="12"/>
      <c r="B295" s="34"/>
      <c r="C295" s="12"/>
      <c r="D295" s="12"/>
      <c r="E295" s="12"/>
      <c r="F295" s="12"/>
      <c r="G295" s="18"/>
      <c r="H295" s="35"/>
      <c r="I295" s="35"/>
      <c r="J295" s="12"/>
      <c r="O295" s="12"/>
      <c r="P295" s="18"/>
      <c r="Q295" s="12"/>
      <c r="R295" s="12"/>
      <c r="S295" s="12"/>
      <c r="T295" s="36"/>
      <c r="U295" s="36"/>
      <c r="V295" s="12"/>
      <c r="W295" s="12"/>
      <c r="X295" s="12"/>
      <c r="Y295" s="12"/>
      <c r="Z295" s="12"/>
    </row>
    <row r="296" customFormat="false" ht="15.75" hidden="false" customHeight="false" outlineLevel="0" collapsed="false">
      <c r="A296" s="12"/>
      <c r="B296" s="34"/>
      <c r="C296" s="12"/>
      <c r="D296" s="12"/>
      <c r="E296" s="12"/>
      <c r="F296" s="12"/>
      <c r="G296" s="18"/>
      <c r="H296" s="35"/>
      <c r="I296" s="35"/>
      <c r="J296" s="12"/>
      <c r="O296" s="12"/>
      <c r="P296" s="18"/>
      <c r="Q296" s="12"/>
      <c r="R296" s="12"/>
      <c r="S296" s="12"/>
      <c r="T296" s="36"/>
      <c r="U296" s="36"/>
      <c r="V296" s="12"/>
      <c r="W296" s="12"/>
      <c r="X296" s="12"/>
      <c r="Y296" s="12"/>
      <c r="Z296" s="12"/>
    </row>
    <row r="297" customFormat="false" ht="15.75" hidden="false" customHeight="false" outlineLevel="0" collapsed="false">
      <c r="A297" s="12"/>
      <c r="B297" s="34"/>
      <c r="C297" s="12"/>
      <c r="D297" s="12"/>
      <c r="E297" s="12"/>
      <c r="F297" s="12"/>
      <c r="G297" s="18"/>
      <c r="H297" s="35"/>
      <c r="I297" s="35"/>
      <c r="J297" s="12"/>
      <c r="O297" s="12"/>
      <c r="P297" s="18"/>
      <c r="Q297" s="12"/>
      <c r="R297" s="12"/>
      <c r="S297" s="12"/>
      <c r="T297" s="36"/>
      <c r="U297" s="36"/>
      <c r="V297" s="12"/>
      <c r="W297" s="12"/>
      <c r="X297" s="12"/>
      <c r="Y297" s="12"/>
      <c r="Z297" s="12"/>
    </row>
    <row r="298" customFormat="false" ht="15.75" hidden="false" customHeight="false" outlineLevel="0" collapsed="false">
      <c r="A298" s="12"/>
      <c r="B298" s="34"/>
      <c r="C298" s="12"/>
      <c r="D298" s="12"/>
      <c r="E298" s="12"/>
      <c r="F298" s="12"/>
      <c r="G298" s="18"/>
      <c r="H298" s="35"/>
      <c r="I298" s="35"/>
      <c r="J298" s="12"/>
      <c r="O298" s="12"/>
      <c r="P298" s="18"/>
      <c r="Q298" s="12"/>
      <c r="R298" s="12"/>
      <c r="S298" s="12"/>
      <c r="T298" s="36"/>
      <c r="U298" s="36"/>
      <c r="V298" s="12"/>
      <c r="W298" s="12"/>
      <c r="X298" s="12"/>
      <c r="Y298" s="12"/>
      <c r="Z298" s="12"/>
    </row>
    <row r="299" customFormat="false" ht="15.75" hidden="false" customHeight="false" outlineLevel="0" collapsed="false">
      <c r="A299" s="12"/>
      <c r="B299" s="34"/>
      <c r="C299" s="12"/>
      <c r="D299" s="12"/>
      <c r="E299" s="12"/>
      <c r="F299" s="12"/>
      <c r="G299" s="18"/>
      <c r="H299" s="35"/>
      <c r="I299" s="35"/>
      <c r="J299" s="12"/>
      <c r="O299" s="12"/>
      <c r="P299" s="18"/>
      <c r="Q299" s="12"/>
      <c r="R299" s="12"/>
      <c r="S299" s="12"/>
      <c r="T299" s="36"/>
      <c r="U299" s="36"/>
      <c r="V299" s="12"/>
      <c r="W299" s="12"/>
      <c r="X299" s="12"/>
      <c r="Y299" s="12"/>
      <c r="Z299" s="12"/>
    </row>
    <row r="300" customFormat="false" ht="15.75" hidden="false" customHeight="false" outlineLevel="0" collapsed="false">
      <c r="A300" s="12"/>
      <c r="B300" s="34"/>
      <c r="C300" s="12"/>
      <c r="D300" s="12"/>
      <c r="E300" s="12"/>
      <c r="F300" s="12"/>
      <c r="G300" s="18"/>
      <c r="H300" s="35"/>
      <c r="I300" s="35"/>
      <c r="J300" s="12"/>
      <c r="O300" s="12"/>
      <c r="P300" s="18"/>
      <c r="Q300" s="12"/>
      <c r="R300" s="12"/>
      <c r="S300" s="12"/>
      <c r="T300" s="36"/>
      <c r="U300" s="36"/>
      <c r="V300" s="12"/>
      <c r="W300" s="12"/>
      <c r="X300" s="12"/>
      <c r="Y300" s="12"/>
      <c r="Z300" s="12"/>
    </row>
    <row r="301" customFormat="false" ht="15.75" hidden="false" customHeight="false" outlineLevel="0" collapsed="false">
      <c r="A301" s="12"/>
      <c r="B301" s="34"/>
      <c r="C301" s="12"/>
      <c r="D301" s="12"/>
      <c r="E301" s="12"/>
      <c r="F301" s="12"/>
      <c r="G301" s="18"/>
      <c r="H301" s="35"/>
      <c r="I301" s="35"/>
      <c r="J301" s="12"/>
      <c r="O301" s="12"/>
      <c r="P301" s="18"/>
      <c r="Q301" s="12"/>
      <c r="R301" s="12"/>
      <c r="S301" s="12"/>
      <c r="T301" s="36"/>
      <c r="U301" s="36"/>
      <c r="V301" s="12"/>
      <c r="W301" s="12"/>
      <c r="X301" s="12"/>
      <c r="Y301" s="12"/>
      <c r="Z301" s="12"/>
    </row>
    <row r="302" customFormat="false" ht="15.75" hidden="false" customHeight="false" outlineLevel="0" collapsed="false">
      <c r="A302" s="12"/>
      <c r="B302" s="34"/>
      <c r="C302" s="12"/>
      <c r="D302" s="12"/>
      <c r="E302" s="12"/>
      <c r="F302" s="12"/>
      <c r="G302" s="18"/>
      <c r="H302" s="35"/>
      <c r="I302" s="35"/>
      <c r="J302" s="12"/>
      <c r="O302" s="12"/>
      <c r="P302" s="18"/>
      <c r="Q302" s="12"/>
      <c r="R302" s="12"/>
      <c r="S302" s="12"/>
      <c r="T302" s="36"/>
      <c r="U302" s="36"/>
      <c r="V302" s="12"/>
      <c r="W302" s="12"/>
      <c r="X302" s="12"/>
      <c r="Y302" s="12"/>
      <c r="Z302" s="12"/>
    </row>
    <row r="303" customFormat="false" ht="15.75" hidden="false" customHeight="false" outlineLevel="0" collapsed="false">
      <c r="A303" s="12"/>
      <c r="B303" s="34"/>
      <c r="C303" s="12"/>
      <c r="D303" s="12"/>
      <c r="E303" s="12"/>
      <c r="F303" s="12"/>
      <c r="G303" s="18"/>
      <c r="H303" s="35"/>
      <c r="I303" s="35"/>
      <c r="J303" s="12"/>
      <c r="O303" s="12"/>
      <c r="P303" s="18"/>
      <c r="Q303" s="12"/>
      <c r="R303" s="12"/>
      <c r="S303" s="12"/>
      <c r="T303" s="36"/>
      <c r="U303" s="36"/>
      <c r="V303" s="12"/>
      <c r="W303" s="12"/>
      <c r="X303" s="12"/>
      <c r="Y303" s="12"/>
      <c r="Z303" s="12"/>
    </row>
    <row r="304" customFormat="false" ht="15.75" hidden="false" customHeight="false" outlineLevel="0" collapsed="false">
      <c r="A304" s="12"/>
      <c r="B304" s="34"/>
      <c r="C304" s="12"/>
      <c r="D304" s="12"/>
      <c r="E304" s="12"/>
      <c r="F304" s="12"/>
      <c r="G304" s="18"/>
      <c r="H304" s="35"/>
      <c r="I304" s="35"/>
      <c r="J304" s="12"/>
      <c r="O304" s="12"/>
      <c r="P304" s="18"/>
      <c r="Q304" s="12"/>
      <c r="R304" s="12"/>
      <c r="S304" s="12"/>
      <c r="T304" s="36"/>
      <c r="U304" s="36"/>
      <c r="V304" s="12"/>
      <c r="W304" s="12"/>
      <c r="X304" s="12"/>
      <c r="Y304" s="12"/>
      <c r="Z304" s="12"/>
    </row>
    <row r="305" customFormat="false" ht="15.75" hidden="false" customHeight="false" outlineLevel="0" collapsed="false">
      <c r="A305" s="12"/>
      <c r="B305" s="34"/>
      <c r="C305" s="12"/>
      <c r="D305" s="12"/>
      <c r="E305" s="12"/>
      <c r="F305" s="12"/>
      <c r="G305" s="18"/>
      <c r="H305" s="35"/>
      <c r="I305" s="35"/>
      <c r="J305" s="12"/>
      <c r="O305" s="12"/>
      <c r="P305" s="18"/>
      <c r="Q305" s="12"/>
      <c r="R305" s="12"/>
      <c r="S305" s="12"/>
      <c r="T305" s="36"/>
      <c r="U305" s="36"/>
      <c r="V305" s="12"/>
      <c r="W305" s="12"/>
      <c r="X305" s="12"/>
      <c r="Y305" s="12"/>
      <c r="Z305" s="12"/>
    </row>
    <row r="306" customFormat="false" ht="15.75" hidden="false" customHeight="false" outlineLevel="0" collapsed="false">
      <c r="A306" s="12"/>
      <c r="B306" s="34"/>
      <c r="C306" s="12"/>
      <c r="D306" s="12"/>
      <c r="E306" s="12"/>
      <c r="F306" s="12"/>
      <c r="G306" s="18"/>
      <c r="H306" s="35"/>
      <c r="I306" s="35"/>
      <c r="J306" s="12"/>
      <c r="O306" s="12"/>
      <c r="P306" s="18"/>
      <c r="Q306" s="12"/>
      <c r="R306" s="12"/>
      <c r="S306" s="12"/>
      <c r="T306" s="36"/>
      <c r="U306" s="36"/>
      <c r="V306" s="12"/>
      <c r="W306" s="12"/>
      <c r="X306" s="12"/>
      <c r="Y306" s="12"/>
      <c r="Z306" s="12"/>
    </row>
    <row r="307" customFormat="false" ht="15.75" hidden="false" customHeight="false" outlineLevel="0" collapsed="false">
      <c r="A307" s="12"/>
      <c r="B307" s="34"/>
      <c r="C307" s="12"/>
      <c r="D307" s="12"/>
      <c r="E307" s="12"/>
      <c r="F307" s="12"/>
      <c r="G307" s="18"/>
      <c r="H307" s="35"/>
      <c r="I307" s="35"/>
      <c r="J307" s="12"/>
      <c r="O307" s="12"/>
      <c r="P307" s="18"/>
      <c r="Q307" s="12"/>
      <c r="R307" s="12"/>
      <c r="S307" s="12"/>
      <c r="T307" s="36"/>
      <c r="U307" s="36"/>
      <c r="V307" s="12"/>
      <c r="W307" s="12"/>
      <c r="X307" s="12"/>
      <c r="Y307" s="12"/>
      <c r="Z307" s="12"/>
    </row>
    <row r="308" customFormat="false" ht="15.75" hidden="false" customHeight="false" outlineLevel="0" collapsed="false">
      <c r="A308" s="12"/>
      <c r="B308" s="34"/>
      <c r="C308" s="12"/>
      <c r="D308" s="12"/>
      <c r="E308" s="12"/>
      <c r="F308" s="12"/>
      <c r="G308" s="18"/>
      <c r="H308" s="35"/>
      <c r="I308" s="35"/>
      <c r="J308" s="12"/>
      <c r="O308" s="12"/>
      <c r="P308" s="18"/>
      <c r="Q308" s="12"/>
      <c r="R308" s="12"/>
      <c r="S308" s="12"/>
      <c r="T308" s="36"/>
      <c r="U308" s="36"/>
      <c r="V308" s="12"/>
      <c r="W308" s="12"/>
      <c r="X308" s="12"/>
      <c r="Y308" s="12"/>
      <c r="Z308" s="12"/>
    </row>
    <row r="309" customFormat="false" ht="15.75" hidden="false" customHeight="false" outlineLevel="0" collapsed="false">
      <c r="A309" s="12"/>
      <c r="B309" s="34"/>
      <c r="C309" s="12"/>
      <c r="D309" s="12"/>
      <c r="E309" s="12"/>
      <c r="F309" s="12"/>
      <c r="G309" s="18"/>
      <c r="H309" s="35"/>
      <c r="I309" s="35"/>
      <c r="J309" s="12"/>
      <c r="O309" s="12"/>
      <c r="P309" s="18"/>
      <c r="Q309" s="12"/>
      <c r="R309" s="12"/>
      <c r="S309" s="12"/>
      <c r="T309" s="36"/>
      <c r="U309" s="36"/>
      <c r="V309" s="12"/>
      <c r="W309" s="12"/>
      <c r="X309" s="12"/>
      <c r="Y309" s="12"/>
      <c r="Z309" s="12"/>
    </row>
    <row r="310" customFormat="false" ht="15.75" hidden="false" customHeight="false" outlineLevel="0" collapsed="false">
      <c r="A310" s="12"/>
      <c r="B310" s="34"/>
      <c r="C310" s="12"/>
      <c r="D310" s="12"/>
      <c r="E310" s="12"/>
      <c r="F310" s="12"/>
      <c r="G310" s="18"/>
      <c r="H310" s="35"/>
      <c r="I310" s="35"/>
      <c r="J310" s="12"/>
      <c r="O310" s="12"/>
      <c r="P310" s="18"/>
      <c r="Q310" s="12"/>
      <c r="R310" s="12"/>
      <c r="S310" s="12"/>
      <c r="T310" s="36"/>
      <c r="U310" s="36"/>
      <c r="V310" s="12"/>
      <c r="W310" s="12"/>
      <c r="X310" s="12"/>
      <c r="Y310" s="12"/>
      <c r="Z310" s="12"/>
    </row>
    <row r="311" customFormat="false" ht="15.75" hidden="false" customHeight="false" outlineLevel="0" collapsed="false">
      <c r="A311" s="12"/>
      <c r="B311" s="34"/>
      <c r="C311" s="12"/>
      <c r="D311" s="12"/>
      <c r="E311" s="12"/>
      <c r="F311" s="12"/>
      <c r="G311" s="18"/>
      <c r="H311" s="35"/>
      <c r="I311" s="35"/>
      <c r="J311" s="12"/>
      <c r="O311" s="12"/>
      <c r="P311" s="18"/>
      <c r="Q311" s="12"/>
      <c r="R311" s="12"/>
      <c r="S311" s="12"/>
      <c r="T311" s="36"/>
      <c r="U311" s="36"/>
      <c r="V311" s="12"/>
      <c r="W311" s="12"/>
      <c r="X311" s="12"/>
      <c r="Y311" s="12"/>
      <c r="Z311" s="12"/>
    </row>
    <row r="312" customFormat="false" ht="15.75" hidden="false" customHeight="false" outlineLevel="0" collapsed="false">
      <c r="A312" s="12"/>
      <c r="B312" s="34"/>
      <c r="C312" s="12"/>
      <c r="D312" s="12"/>
      <c r="E312" s="12"/>
      <c r="F312" s="12"/>
      <c r="G312" s="18"/>
      <c r="H312" s="35"/>
      <c r="I312" s="35"/>
      <c r="J312" s="12"/>
      <c r="O312" s="12"/>
      <c r="P312" s="18"/>
      <c r="Q312" s="12"/>
      <c r="R312" s="12"/>
      <c r="S312" s="12"/>
      <c r="T312" s="36"/>
      <c r="U312" s="36"/>
      <c r="V312" s="12"/>
      <c r="W312" s="12"/>
      <c r="X312" s="12"/>
      <c r="Y312" s="12"/>
      <c r="Z312" s="12"/>
    </row>
    <row r="313" customFormat="false" ht="15.75" hidden="false" customHeight="false" outlineLevel="0" collapsed="false">
      <c r="A313" s="12"/>
      <c r="B313" s="34"/>
      <c r="C313" s="12"/>
      <c r="D313" s="12"/>
      <c r="E313" s="12"/>
      <c r="F313" s="12"/>
      <c r="G313" s="18"/>
      <c r="H313" s="35"/>
      <c r="I313" s="35"/>
      <c r="J313" s="12"/>
      <c r="O313" s="12"/>
      <c r="P313" s="18"/>
      <c r="Q313" s="12"/>
      <c r="R313" s="12"/>
      <c r="S313" s="12"/>
      <c r="T313" s="36"/>
      <c r="U313" s="36"/>
      <c r="V313" s="12"/>
      <c r="W313" s="12"/>
      <c r="X313" s="12"/>
      <c r="Y313" s="12"/>
      <c r="Z313" s="12"/>
    </row>
    <row r="314" customFormat="false" ht="15.75" hidden="false" customHeight="false" outlineLevel="0" collapsed="false">
      <c r="A314" s="12"/>
      <c r="B314" s="34"/>
      <c r="C314" s="12"/>
      <c r="D314" s="12"/>
      <c r="E314" s="12"/>
      <c r="F314" s="12"/>
      <c r="G314" s="18"/>
      <c r="H314" s="35"/>
      <c r="I314" s="35"/>
      <c r="J314" s="12"/>
      <c r="O314" s="12"/>
      <c r="P314" s="18"/>
      <c r="Q314" s="12"/>
      <c r="R314" s="12"/>
      <c r="S314" s="12"/>
      <c r="T314" s="36"/>
      <c r="U314" s="36"/>
      <c r="V314" s="12"/>
      <c r="W314" s="12"/>
      <c r="X314" s="12"/>
      <c r="Y314" s="12"/>
      <c r="Z314" s="12"/>
    </row>
    <row r="315" customFormat="false" ht="15.75" hidden="false" customHeight="false" outlineLevel="0" collapsed="false">
      <c r="A315" s="12"/>
      <c r="B315" s="34"/>
      <c r="C315" s="12"/>
      <c r="D315" s="12"/>
      <c r="E315" s="12"/>
      <c r="F315" s="12"/>
      <c r="G315" s="18"/>
      <c r="H315" s="35"/>
      <c r="I315" s="35"/>
      <c r="J315" s="12"/>
      <c r="O315" s="12"/>
      <c r="P315" s="18"/>
      <c r="Q315" s="12"/>
      <c r="R315" s="12"/>
      <c r="S315" s="12"/>
      <c r="T315" s="36"/>
      <c r="U315" s="36"/>
      <c r="V315" s="12"/>
      <c r="W315" s="12"/>
      <c r="X315" s="12"/>
      <c r="Y315" s="12"/>
      <c r="Z315" s="12"/>
    </row>
    <row r="316" customFormat="false" ht="15.75" hidden="false" customHeight="false" outlineLevel="0" collapsed="false">
      <c r="A316" s="12"/>
      <c r="B316" s="34"/>
      <c r="C316" s="12"/>
      <c r="D316" s="12"/>
      <c r="E316" s="12"/>
      <c r="F316" s="12"/>
      <c r="G316" s="18"/>
      <c r="H316" s="35"/>
      <c r="I316" s="35"/>
      <c r="J316" s="12"/>
      <c r="O316" s="12"/>
      <c r="P316" s="18"/>
      <c r="Q316" s="12"/>
      <c r="R316" s="12"/>
      <c r="S316" s="12"/>
      <c r="T316" s="36"/>
      <c r="U316" s="36"/>
      <c r="V316" s="12"/>
      <c r="W316" s="12"/>
      <c r="X316" s="12"/>
      <c r="Y316" s="12"/>
      <c r="Z316" s="12"/>
    </row>
    <row r="317" customFormat="false" ht="15.75" hidden="false" customHeight="false" outlineLevel="0" collapsed="false">
      <c r="A317" s="12"/>
      <c r="B317" s="34"/>
      <c r="C317" s="12"/>
      <c r="D317" s="12"/>
      <c r="E317" s="12"/>
      <c r="F317" s="12"/>
      <c r="G317" s="18"/>
      <c r="H317" s="35"/>
      <c r="I317" s="35"/>
      <c r="J317" s="12"/>
      <c r="O317" s="12"/>
      <c r="P317" s="18"/>
      <c r="Q317" s="12"/>
      <c r="R317" s="12"/>
      <c r="S317" s="12"/>
      <c r="T317" s="36"/>
      <c r="U317" s="36"/>
      <c r="V317" s="12"/>
      <c r="W317" s="12"/>
      <c r="X317" s="12"/>
      <c r="Y317" s="12"/>
      <c r="Z317" s="12"/>
    </row>
    <row r="318" customFormat="false" ht="15.75" hidden="false" customHeight="false" outlineLevel="0" collapsed="false">
      <c r="A318" s="12"/>
      <c r="B318" s="34"/>
      <c r="C318" s="12"/>
      <c r="D318" s="12"/>
      <c r="E318" s="12"/>
      <c r="F318" s="12"/>
      <c r="G318" s="18"/>
      <c r="H318" s="35"/>
      <c r="I318" s="35"/>
      <c r="J318" s="12"/>
      <c r="O318" s="12"/>
      <c r="P318" s="18"/>
      <c r="Q318" s="12"/>
      <c r="R318" s="12"/>
      <c r="S318" s="12"/>
      <c r="T318" s="36"/>
      <c r="U318" s="36"/>
      <c r="V318" s="12"/>
      <c r="W318" s="12"/>
      <c r="X318" s="12"/>
      <c r="Y318" s="12"/>
      <c r="Z318" s="12"/>
    </row>
    <row r="319" customFormat="false" ht="15.75" hidden="false" customHeight="false" outlineLevel="0" collapsed="false">
      <c r="A319" s="12"/>
      <c r="B319" s="34"/>
      <c r="C319" s="12"/>
      <c r="D319" s="12"/>
      <c r="E319" s="12"/>
      <c r="F319" s="12"/>
      <c r="G319" s="18"/>
      <c r="H319" s="35"/>
      <c r="I319" s="35"/>
      <c r="J319" s="12"/>
      <c r="O319" s="12"/>
      <c r="P319" s="18"/>
      <c r="Q319" s="12"/>
      <c r="R319" s="12"/>
      <c r="S319" s="12"/>
      <c r="T319" s="36"/>
      <c r="U319" s="36"/>
      <c r="V319" s="12"/>
      <c r="W319" s="12"/>
      <c r="X319" s="12"/>
      <c r="Y319" s="12"/>
      <c r="Z319" s="12"/>
    </row>
    <row r="320" customFormat="false" ht="15.75" hidden="false" customHeight="false" outlineLevel="0" collapsed="false">
      <c r="A320" s="12"/>
      <c r="B320" s="34"/>
      <c r="C320" s="12"/>
      <c r="D320" s="12"/>
      <c r="E320" s="12"/>
      <c r="F320" s="12"/>
      <c r="G320" s="18"/>
      <c r="H320" s="35"/>
      <c r="I320" s="35"/>
      <c r="J320" s="12"/>
      <c r="O320" s="12"/>
      <c r="P320" s="18"/>
      <c r="Q320" s="12"/>
      <c r="R320" s="12"/>
      <c r="S320" s="12"/>
      <c r="T320" s="36"/>
      <c r="U320" s="36"/>
      <c r="V320" s="12"/>
      <c r="W320" s="12"/>
      <c r="X320" s="12"/>
      <c r="Y320" s="12"/>
      <c r="Z320" s="12"/>
    </row>
    <row r="321" customFormat="false" ht="15.75" hidden="false" customHeight="false" outlineLevel="0" collapsed="false">
      <c r="A321" s="12"/>
      <c r="B321" s="34"/>
      <c r="C321" s="12"/>
      <c r="D321" s="12"/>
      <c r="E321" s="12"/>
      <c r="F321" s="12"/>
      <c r="G321" s="18"/>
      <c r="H321" s="35"/>
      <c r="I321" s="35"/>
      <c r="J321" s="12"/>
      <c r="O321" s="12"/>
      <c r="P321" s="18"/>
      <c r="Q321" s="12"/>
      <c r="R321" s="12"/>
      <c r="S321" s="12"/>
      <c r="T321" s="36"/>
      <c r="U321" s="36"/>
      <c r="V321" s="12"/>
      <c r="W321" s="12"/>
      <c r="X321" s="12"/>
      <c r="Y321" s="12"/>
      <c r="Z321" s="12"/>
    </row>
    <row r="322" customFormat="false" ht="15.75" hidden="false" customHeight="false" outlineLevel="0" collapsed="false">
      <c r="A322" s="12"/>
      <c r="B322" s="34"/>
      <c r="C322" s="12"/>
      <c r="D322" s="12"/>
      <c r="E322" s="12"/>
      <c r="F322" s="12"/>
      <c r="G322" s="18"/>
      <c r="H322" s="35"/>
      <c r="I322" s="35"/>
      <c r="J322" s="12"/>
      <c r="O322" s="12"/>
      <c r="P322" s="18"/>
      <c r="Q322" s="12"/>
      <c r="R322" s="12"/>
      <c r="S322" s="12"/>
      <c r="T322" s="36"/>
      <c r="U322" s="36"/>
      <c r="V322" s="12"/>
      <c r="W322" s="12"/>
      <c r="X322" s="12"/>
      <c r="Y322" s="12"/>
      <c r="Z322" s="12"/>
    </row>
    <row r="323" customFormat="false" ht="15.75" hidden="false" customHeight="false" outlineLevel="0" collapsed="false">
      <c r="A323" s="12"/>
      <c r="B323" s="34"/>
      <c r="C323" s="12"/>
      <c r="D323" s="12"/>
      <c r="E323" s="12"/>
      <c r="F323" s="12"/>
      <c r="G323" s="18"/>
      <c r="H323" s="35"/>
      <c r="I323" s="35"/>
      <c r="J323" s="12"/>
      <c r="O323" s="12"/>
      <c r="P323" s="18"/>
      <c r="Q323" s="12"/>
      <c r="R323" s="12"/>
      <c r="S323" s="12"/>
      <c r="T323" s="36"/>
      <c r="U323" s="36"/>
      <c r="V323" s="12"/>
      <c r="W323" s="12"/>
      <c r="X323" s="12"/>
      <c r="Y323" s="12"/>
      <c r="Z323" s="12"/>
    </row>
    <row r="324" customFormat="false" ht="15.75" hidden="false" customHeight="false" outlineLevel="0" collapsed="false">
      <c r="A324" s="12"/>
      <c r="B324" s="34"/>
      <c r="C324" s="12"/>
      <c r="D324" s="12"/>
      <c r="E324" s="12"/>
      <c r="F324" s="12"/>
      <c r="G324" s="18"/>
      <c r="H324" s="35"/>
      <c r="I324" s="35"/>
      <c r="J324" s="12"/>
      <c r="O324" s="12"/>
      <c r="P324" s="18"/>
      <c r="Q324" s="12"/>
      <c r="R324" s="12"/>
      <c r="S324" s="12"/>
      <c r="T324" s="36"/>
      <c r="U324" s="36"/>
      <c r="V324" s="12"/>
      <c r="W324" s="12"/>
      <c r="X324" s="12"/>
      <c r="Y324" s="12"/>
      <c r="Z324" s="12"/>
    </row>
    <row r="325" customFormat="false" ht="15.75" hidden="false" customHeight="false" outlineLevel="0" collapsed="false">
      <c r="A325" s="12"/>
      <c r="B325" s="34"/>
      <c r="C325" s="12"/>
      <c r="D325" s="12"/>
      <c r="E325" s="12"/>
      <c r="F325" s="12"/>
      <c r="G325" s="18"/>
      <c r="H325" s="35"/>
      <c r="I325" s="35"/>
      <c r="J325" s="12"/>
      <c r="O325" s="12"/>
      <c r="P325" s="18"/>
      <c r="Q325" s="12"/>
      <c r="R325" s="12"/>
      <c r="S325" s="12"/>
      <c r="T325" s="36"/>
      <c r="U325" s="36"/>
      <c r="V325" s="12"/>
      <c r="W325" s="12"/>
      <c r="X325" s="12"/>
      <c r="Y325" s="12"/>
      <c r="Z325" s="12"/>
    </row>
    <row r="326" customFormat="false" ht="15.75" hidden="false" customHeight="false" outlineLevel="0" collapsed="false">
      <c r="A326" s="12"/>
      <c r="B326" s="34"/>
      <c r="C326" s="12"/>
      <c r="D326" s="12"/>
      <c r="E326" s="12"/>
      <c r="F326" s="12"/>
      <c r="G326" s="18"/>
      <c r="H326" s="35"/>
      <c r="I326" s="35"/>
      <c r="J326" s="12"/>
      <c r="O326" s="12"/>
      <c r="P326" s="18"/>
      <c r="Q326" s="12"/>
      <c r="R326" s="12"/>
      <c r="S326" s="12"/>
      <c r="T326" s="36"/>
      <c r="U326" s="36"/>
      <c r="V326" s="12"/>
      <c r="W326" s="12"/>
      <c r="X326" s="12"/>
      <c r="Y326" s="12"/>
      <c r="Z326" s="12"/>
    </row>
    <row r="327" customFormat="false" ht="15.75" hidden="false" customHeight="false" outlineLevel="0" collapsed="false">
      <c r="A327" s="12"/>
      <c r="B327" s="34"/>
      <c r="C327" s="12"/>
      <c r="D327" s="12"/>
      <c r="E327" s="12"/>
      <c r="F327" s="12"/>
      <c r="G327" s="18"/>
      <c r="H327" s="35"/>
      <c r="I327" s="35"/>
      <c r="J327" s="12"/>
      <c r="O327" s="12"/>
      <c r="P327" s="18"/>
      <c r="Q327" s="12"/>
      <c r="R327" s="12"/>
      <c r="S327" s="12"/>
      <c r="T327" s="36"/>
      <c r="U327" s="36"/>
      <c r="V327" s="12"/>
      <c r="W327" s="12"/>
      <c r="X327" s="12"/>
      <c r="Y327" s="12"/>
      <c r="Z327" s="12"/>
    </row>
    <row r="328" customFormat="false" ht="15.75" hidden="false" customHeight="false" outlineLevel="0" collapsed="false">
      <c r="A328" s="12"/>
      <c r="B328" s="34"/>
      <c r="C328" s="12"/>
      <c r="D328" s="12"/>
      <c r="E328" s="12"/>
      <c r="F328" s="12"/>
      <c r="G328" s="18"/>
      <c r="H328" s="35"/>
      <c r="I328" s="35"/>
      <c r="J328" s="12"/>
      <c r="O328" s="12"/>
      <c r="P328" s="18"/>
      <c r="Q328" s="12"/>
      <c r="R328" s="12"/>
      <c r="S328" s="12"/>
      <c r="T328" s="36"/>
      <c r="U328" s="36"/>
      <c r="V328" s="12"/>
      <c r="W328" s="12"/>
      <c r="X328" s="12"/>
      <c r="Y328" s="12"/>
      <c r="Z328" s="12"/>
    </row>
    <row r="329" customFormat="false" ht="15.75" hidden="false" customHeight="false" outlineLevel="0" collapsed="false">
      <c r="A329" s="12"/>
      <c r="B329" s="34"/>
      <c r="C329" s="12"/>
      <c r="D329" s="12"/>
      <c r="E329" s="12"/>
      <c r="F329" s="12"/>
      <c r="G329" s="18"/>
      <c r="H329" s="35"/>
      <c r="I329" s="35"/>
      <c r="J329" s="12"/>
      <c r="O329" s="12"/>
      <c r="P329" s="18"/>
      <c r="Q329" s="12"/>
      <c r="R329" s="12"/>
      <c r="S329" s="12"/>
      <c r="T329" s="36"/>
      <c r="U329" s="36"/>
      <c r="V329" s="12"/>
      <c r="W329" s="12"/>
      <c r="X329" s="12"/>
      <c r="Y329" s="12"/>
      <c r="Z329" s="12"/>
    </row>
    <row r="330" customFormat="false" ht="15.75" hidden="false" customHeight="false" outlineLevel="0" collapsed="false">
      <c r="A330" s="12"/>
      <c r="B330" s="34"/>
      <c r="C330" s="12"/>
      <c r="D330" s="12"/>
      <c r="E330" s="12"/>
      <c r="F330" s="12"/>
      <c r="G330" s="18"/>
      <c r="H330" s="35"/>
      <c r="I330" s="35"/>
      <c r="J330" s="12"/>
      <c r="O330" s="12"/>
      <c r="P330" s="18"/>
      <c r="Q330" s="12"/>
      <c r="R330" s="12"/>
      <c r="S330" s="12"/>
      <c r="T330" s="36"/>
      <c r="U330" s="36"/>
      <c r="V330" s="12"/>
      <c r="W330" s="12"/>
      <c r="X330" s="12"/>
      <c r="Y330" s="12"/>
      <c r="Z330" s="12"/>
    </row>
    <row r="331" customFormat="false" ht="15.75" hidden="false" customHeight="false" outlineLevel="0" collapsed="false">
      <c r="A331" s="12"/>
      <c r="B331" s="34"/>
      <c r="C331" s="12"/>
      <c r="D331" s="12"/>
      <c r="E331" s="12"/>
      <c r="F331" s="12"/>
      <c r="G331" s="18"/>
      <c r="H331" s="35"/>
      <c r="I331" s="35"/>
      <c r="J331" s="12"/>
      <c r="O331" s="12"/>
      <c r="P331" s="18"/>
      <c r="Q331" s="12"/>
      <c r="R331" s="12"/>
      <c r="S331" s="12"/>
      <c r="T331" s="36"/>
      <c r="U331" s="36"/>
      <c r="V331" s="12"/>
      <c r="W331" s="12"/>
      <c r="X331" s="12"/>
      <c r="Y331" s="12"/>
      <c r="Z331" s="12"/>
    </row>
    <row r="332" customFormat="false" ht="15.75" hidden="false" customHeight="false" outlineLevel="0" collapsed="false">
      <c r="A332" s="12"/>
      <c r="B332" s="34"/>
      <c r="C332" s="12"/>
      <c r="D332" s="12"/>
      <c r="E332" s="12"/>
      <c r="F332" s="12"/>
      <c r="G332" s="18"/>
      <c r="H332" s="35"/>
      <c r="I332" s="35"/>
      <c r="J332" s="12"/>
      <c r="O332" s="12"/>
      <c r="P332" s="18"/>
      <c r="Q332" s="12"/>
      <c r="R332" s="12"/>
      <c r="S332" s="12"/>
      <c r="T332" s="36"/>
      <c r="U332" s="36"/>
      <c r="V332" s="12"/>
      <c r="W332" s="12"/>
      <c r="X332" s="12"/>
      <c r="Y332" s="12"/>
      <c r="Z332" s="12"/>
    </row>
    <row r="333" customFormat="false" ht="15.75" hidden="false" customHeight="false" outlineLevel="0" collapsed="false">
      <c r="A333" s="12"/>
      <c r="B333" s="34"/>
      <c r="C333" s="12"/>
      <c r="D333" s="12"/>
      <c r="E333" s="12"/>
      <c r="F333" s="12"/>
      <c r="G333" s="18"/>
      <c r="H333" s="35"/>
      <c r="I333" s="35"/>
      <c r="J333" s="12"/>
      <c r="O333" s="12"/>
      <c r="P333" s="18"/>
      <c r="Q333" s="12"/>
      <c r="R333" s="12"/>
      <c r="S333" s="12"/>
      <c r="T333" s="36"/>
      <c r="U333" s="36"/>
      <c r="V333" s="12"/>
      <c r="W333" s="12"/>
      <c r="X333" s="12"/>
      <c r="Y333" s="12"/>
      <c r="Z333" s="12"/>
    </row>
    <row r="334" customFormat="false" ht="15.75" hidden="false" customHeight="false" outlineLevel="0" collapsed="false">
      <c r="A334" s="12"/>
      <c r="B334" s="34"/>
      <c r="C334" s="12"/>
      <c r="D334" s="12"/>
      <c r="E334" s="12"/>
      <c r="F334" s="12"/>
      <c r="G334" s="18"/>
      <c r="H334" s="35"/>
      <c r="I334" s="35"/>
      <c r="J334" s="12"/>
      <c r="O334" s="12"/>
      <c r="P334" s="18"/>
      <c r="Q334" s="12"/>
      <c r="R334" s="12"/>
      <c r="S334" s="12"/>
      <c r="T334" s="36"/>
      <c r="U334" s="36"/>
      <c r="V334" s="12"/>
      <c r="W334" s="12"/>
      <c r="X334" s="12"/>
      <c r="Y334" s="12"/>
      <c r="Z334" s="12"/>
    </row>
    <row r="335" customFormat="false" ht="15.75" hidden="false" customHeight="false" outlineLevel="0" collapsed="false">
      <c r="A335" s="12"/>
      <c r="B335" s="34"/>
      <c r="C335" s="12"/>
      <c r="D335" s="12"/>
      <c r="E335" s="12"/>
      <c r="F335" s="12"/>
      <c r="G335" s="18"/>
      <c r="H335" s="35"/>
      <c r="I335" s="35"/>
      <c r="J335" s="12"/>
      <c r="O335" s="12"/>
      <c r="P335" s="18"/>
      <c r="Q335" s="12"/>
      <c r="R335" s="12"/>
      <c r="S335" s="12"/>
      <c r="T335" s="36"/>
      <c r="U335" s="36"/>
      <c r="V335" s="12"/>
      <c r="W335" s="12"/>
      <c r="X335" s="12"/>
      <c r="Y335" s="12"/>
      <c r="Z335" s="12"/>
    </row>
    <row r="336" customFormat="false" ht="15.75" hidden="false" customHeight="false" outlineLevel="0" collapsed="false">
      <c r="A336" s="12"/>
      <c r="B336" s="34"/>
      <c r="C336" s="12"/>
      <c r="D336" s="12"/>
      <c r="E336" s="12"/>
      <c r="F336" s="12"/>
      <c r="G336" s="18"/>
      <c r="H336" s="35"/>
      <c r="I336" s="35"/>
      <c r="J336" s="12"/>
      <c r="O336" s="12"/>
      <c r="P336" s="18"/>
      <c r="Q336" s="12"/>
      <c r="R336" s="12"/>
      <c r="S336" s="12"/>
      <c r="T336" s="36"/>
      <c r="U336" s="36"/>
      <c r="V336" s="12"/>
      <c r="W336" s="12"/>
      <c r="X336" s="12"/>
      <c r="Y336" s="12"/>
      <c r="Z336" s="12"/>
    </row>
    <row r="337" customFormat="false" ht="15.75" hidden="false" customHeight="false" outlineLevel="0" collapsed="false">
      <c r="A337" s="12"/>
      <c r="B337" s="34"/>
      <c r="C337" s="12"/>
      <c r="D337" s="12"/>
      <c r="E337" s="12"/>
      <c r="F337" s="12"/>
      <c r="G337" s="18"/>
      <c r="H337" s="35"/>
      <c r="I337" s="35"/>
      <c r="J337" s="12"/>
      <c r="O337" s="12"/>
      <c r="P337" s="18"/>
      <c r="Q337" s="12"/>
      <c r="R337" s="12"/>
      <c r="S337" s="12"/>
      <c r="T337" s="36"/>
      <c r="U337" s="36"/>
      <c r="V337" s="12"/>
      <c r="W337" s="12"/>
      <c r="X337" s="12"/>
      <c r="Y337" s="12"/>
      <c r="Z337" s="12"/>
    </row>
    <row r="338" customFormat="false" ht="15.75" hidden="false" customHeight="false" outlineLevel="0" collapsed="false">
      <c r="A338" s="12"/>
      <c r="B338" s="34"/>
      <c r="C338" s="12"/>
      <c r="D338" s="12"/>
      <c r="E338" s="12"/>
      <c r="F338" s="12"/>
      <c r="G338" s="18"/>
      <c r="H338" s="35"/>
      <c r="I338" s="35"/>
      <c r="J338" s="12"/>
      <c r="O338" s="12"/>
      <c r="P338" s="18"/>
      <c r="Q338" s="12"/>
      <c r="R338" s="12"/>
      <c r="S338" s="12"/>
      <c r="T338" s="36"/>
      <c r="U338" s="36"/>
      <c r="V338" s="12"/>
      <c r="W338" s="12"/>
      <c r="X338" s="12"/>
      <c r="Y338" s="12"/>
      <c r="Z338" s="12"/>
    </row>
    <row r="339" customFormat="false" ht="15.75" hidden="false" customHeight="false" outlineLevel="0" collapsed="false">
      <c r="A339" s="12"/>
      <c r="B339" s="34"/>
      <c r="C339" s="12"/>
      <c r="D339" s="12"/>
      <c r="E339" s="12"/>
      <c r="F339" s="12"/>
      <c r="G339" s="18"/>
      <c r="H339" s="35"/>
      <c r="I339" s="35"/>
      <c r="J339" s="12"/>
      <c r="O339" s="12"/>
      <c r="P339" s="18"/>
      <c r="Q339" s="12"/>
      <c r="R339" s="12"/>
      <c r="S339" s="12"/>
      <c r="T339" s="36"/>
      <c r="U339" s="36"/>
      <c r="V339" s="12"/>
      <c r="W339" s="12"/>
      <c r="X339" s="12"/>
      <c r="Y339" s="12"/>
      <c r="Z339" s="12"/>
    </row>
    <row r="340" customFormat="false" ht="15.75" hidden="false" customHeight="false" outlineLevel="0" collapsed="false">
      <c r="A340" s="12"/>
      <c r="B340" s="34"/>
      <c r="C340" s="12"/>
      <c r="D340" s="12"/>
      <c r="E340" s="12"/>
      <c r="F340" s="12"/>
      <c r="G340" s="18"/>
      <c r="H340" s="35"/>
      <c r="I340" s="35"/>
      <c r="J340" s="12"/>
      <c r="O340" s="12"/>
      <c r="P340" s="18"/>
      <c r="Q340" s="12"/>
      <c r="R340" s="12"/>
      <c r="S340" s="12"/>
      <c r="T340" s="36"/>
      <c r="U340" s="36"/>
      <c r="V340" s="12"/>
      <c r="W340" s="12"/>
      <c r="X340" s="12"/>
      <c r="Y340" s="12"/>
      <c r="Z340" s="12"/>
    </row>
    <row r="341" customFormat="false" ht="15.75" hidden="false" customHeight="false" outlineLevel="0" collapsed="false">
      <c r="A341" s="12"/>
      <c r="B341" s="34"/>
      <c r="C341" s="12"/>
      <c r="D341" s="12"/>
      <c r="E341" s="12"/>
      <c r="F341" s="12"/>
      <c r="G341" s="18"/>
      <c r="H341" s="35"/>
      <c r="I341" s="35"/>
      <c r="J341" s="12"/>
      <c r="O341" s="12"/>
      <c r="P341" s="18"/>
      <c r="Q341" s="12"/>
      <c r="R341" s="12"/>
      <c r="S341" s="12"/>
      <c r="T341" s="36"/>
      <c r="U341" s="36"/>
      <c r="V341" s="12"/>
      <c r="W341" s="12"/>
      <c r="X341" s="12"/>
      <c r="Y341" s="12"/>
      <c r="Z341" s="12"/>
    </row>
    <row r="342" customFormat="false" ht="15.75" hidden="false" customHeight="false" outlineLevel="0" collapsed="false">
      <c r="A342" s="12"/>
      <c r="B342" s="34"/>
      <c r="C342" s="12"/>
      <c r="D342" s="12"/>
      <c r="E342" s="12"/>
      <c r="F342" s="12"/>
      <c r="G342" s="18"/>
      <c r="H342" s="35"/>
      <c r="I342" s="35"/>
      <c r="J342" s="12"/>
      <c r="O342" s="12"/>
      <c r="P342" s="18"/>
      <c r="Q342" s="12"/>
      <c r="R342" s="12"/>
      <c r="S342" s="12"/>
      <c r="T342" s="36"/>
      <c r="U342" s="36"/>
      <c r="V342" s="12"/>
      <c r="W342" s="12"/>
      <c r="X342" s="12"/>
      <c r="Y342" s="12"/>
      <c r="Z342" s="12"/>
    </row>
    <row r="343" customFormat="false" ht="15.75" hidden="false" customHeight="false" outlineLevel="0" collapsed="false">
      <c r="A343" s="12"/>
      <c r="B343" s="34"/>
      <c r="C343" s="12"/>
      <c r="D343" s="12"/>
      <c r="E343" s="12"/>
      <c r="F343" s="12"/>
      <c r="G343" s="18"/>
      <c r="H343" s="35"/>
      <c r="I343" s="35"/>
      <c r="J343" s="12"/>
      <c r="O343" s="12"/>
      <c r="P343" s="18"/>
      <c r="Q343" s="12"/>
      <c r="R343" s="12"/>
      <c r="S343" s="12"/>
      <c r="T343" s="36"/>
      <c r="U343" s="36"/>
      <c r="V343" s="12"/>
      <c r="W343" s="12"/>
      <c r="X343" s="12"/>
      <c r="Y343" s="12"/>
      <c r="Z343" s="12"/>
    </row>
    <row r="344" customFormat="false" ht="15.75" hidden="false" customHeight="false" outlineLevel="0" collapsed="false">
      <c r="A344" s="12"/>
      <c r="B344" s="34"/>
      <c r="C344" s="12"/>
      <c r="D344" s="12"/>
      <c r="E344" s="12"/>
      <c r="F344" s="12"/>
      <c r="G344" s="18"/>
      <c r="H344" s="35"/>
      <c r="I344" s="35"/>
      <c r="J344" s="12"/>
      <c r="O344" s="12"/>
      <c r="P344" s="18"/>
      <c r="Q344" s="12"/>
      <c r="R344" s="12"/>
      <c r="S344" s="12"/>
      <c r="T344" s="36"/>
      <c r="U344" s="36"/>
      <c r="V344" s="12"/>
      <c r="W344" s="12"/>
      <c r="X344" s="12"/>
      <c r="Y344" s="12"/>
      <c r="Z344" s="12"/>
    </row>
    <row r="345" customFormat="false" ht="15.75" hidden="false" customHeight="false" outlineLevel="0" collapsed="false">
      <c r="A345" s="12"/>
      <c r="B345" s="34"/>
      <c r="C345" s="12"/>
      <c r="D345" s="12"/>
      <c r="E345" s="12"/>
      <c r="F345" s="12"/>
      <c r="G345" s="18"/>
      <c r="H345" s="35"/>
      <c r="I345" s="35"/>
      <c r="J345" s="12"/>
      <c r="O345" s="12"/>
      <c r="P345" s="18"/>
      <c r="Q345" s="12"/>
      <c r="R345" s="12"/>
      <c r="S345" s="12"/>
      <c r="T345" s="36"/>
      <c r="U345" s="36"/>
      <c r="V345" s="12"/>
      <c r="W345" s="12"/>
      <c r="X345" s="12"/>
      <c r="Y345" s="12"/>
      <c r="Z345" s="12"/>
    </row>
    <row r="346" customFormat="false" ht="15.75" hidden="false" customHeight="false" outlineLevel="0" collapsed="false">
      <c r="A346" s="12"/>
      <c r="B346" s="34"/>
      <c r="C346" s="12"/>
      <c r="D346" s="12"/>
      <c r="E346" s="12"/>
      <c r="F346" s="12"/>
      <c r="G346" s="18"/>
      <c r="H346" s="35"/>
      <c r="I346" s="35"/>
      <c r="J346" s="12"/>
      <c r="O346" s="12"/>
      <c r="P346" s="18"/>
      <c r="Q346" s="12"/>
      <c r="R346" s="12"/>
      <c r="S346" s="12"/>
      <c r="T346" s="36"/>
      <c r="U346" s="36"/>
      <c r="V346" s="12"/>
      <c r="W346" s="12"/>
      <c r="X346" s="12"/>
      <c r="Y346" s="12"/>
      <c r="Z346" s="12"/>
    </row>
    <row r="347" customFormat="false" ht="15.75" hidden="false" customHeight="false" outlineLevel="0" collapsed="false">
      <c r="A347" s="12"/>
      <c r="B347" s="34"/>
      <c r="C347" s="12"/>
      <c r="D347" s="12"/>
      <c r="E347" s="12"/>
      <c r="F347" s="12"/>
      <c r="G347" s="18"/>
      <c r="H347" s="35"/>
      <c r="I347" s="35"/>
      <c r="J347" s="12"/>
      <c r="O347" s="12"/>
      <c r="P347" s="18"/>
      <c r="Q347" s="12"/>
      <c r="R347" s="12"/>
      <c r="S347" s="12"/>
      <c r="T347" s="36"/>
      <c r="U347" s="36"/>
      <c r="V347" s="12"/>
      <c r="W347" s="12"/>
      <c r="X347" s="12"/>
      <c r="Y347" s="12"/>
      <c r="Z347" s="12"/>
    </row>
    <row r="348" customFormat="false" ht="15.75" hidden="false" customHeight="false" outlineLevel="0" collapsed="false">
      <c r="A348" s="12"/>
      <c r="B348" s="34"/>
      <c r="C348" s="12"/>
      <c r="D348" s="12"/>
      <c r="E348" s="12"/>
      <c r="F348" s="12"/>
      <c r="G348" s="18"/>
      <c r="H348" s="35"/>
      <c r="I348" s="35"/>
      <c r="J348" s="12"/>
      <c r="O348" s="12"/>
      <c r="P348" s="18"/>
      <c r="Q348" s="12"/>
      <c r="R348" s="12"/>
      <c r="S348" s="12"/>
      <c r="T348" s="36"/>
      <c r="U348" s="36"/>
      <c r="V348" s="12"/>
      <c r="W348" s="12"/>
      <c r="X348" s="12"/>
      <c r="Y348" s="12"/>
      <c r="Z348" s="12"/>
    </row>
    <row r="349" customFormat="false" ht="15.75" hidden="false" customHeight="false" outlineLevel="0" collapsed="false">
      <c r="A349" s="12"/>
      <c r="B349" s="34"/>
      <c r="C349" s="12"/>
      <c r="D349" s="12"/>
      <c r="E349" s="12"/>
      <c r="F349" s="12"/>
      <c r="G349" s="18"/>
      <c r="H349" s="35"/>
      <c r="I349" s="35"/>
      <c r="J349" s="12"/>
      <c r="O349" s="12"/>
      <c r="P349" s="18"/>
      <c r="Q349" s="12"/>
      <c r="R349" s="12"/>
      <c r="S349" s="12"/>
      <c r="T349" s="36"/>
      <c r="U349" s="36"/>
      <c r="V349" s="12"/>
      <c r="W349" s="12"/>
      <c r="X349" s="12"/>
      <c r="Y349" s="12"/>
      <c r="Z349" s="12"/>
    </row>
    <row r="350" customFormat="false" ht="15.75" hidden="false" customHeight="false" outlineLevel="0" collapsed="false">
      <c r="A350" s="12"/>
      <c r="B350" s="34"/>
      <c r="C350" s="12"/>
      <c r="D350" s="12"/>
      <c r="E350" s="12"/>
      <c r="F350" s="12"/>
      <c r="G350" s="18"/>
      <c r="H350" s="35"/>
      <c r="I350" s="35"/>
      <c r="J350" s="12"/>
      <c r="O350" s="12"/>
      <c r="P350" s="18"/>
      <c r="Q350" s="12"/>
      <c r="R350" s="12"/>
      <c r="S350" s="12"/>
      <c r="T350" s="36"/>
      <c r="U350" s="36"/>
      <c r="V350" s="12"/>
      <c r="W350" s="12"/>
      <c r="X350" s="12"/>
      <c r="Y350" s="12"/>
      <c r="Z350" s="12"/>
    </row>
    <row r="351" customFormat="false" ht="15.75" hidden="false" customHeight="false" outlineLevel="0" collapsed="false">
      <c r="A351" s="12"/>
      <c r="B351" s="34"/>
      <c r="C351" s="12"/>
      <c r="D351" s="12"/>
      <c r="E351" s="12"/>
      <c r="F351" s="12"/>
      <c r="G351" s="18"/>
      <c r="H351" s="35"/>
      <c r="I351" s="35"/>
      <c r="J351" s="12"/>
      <c r="O351" s="12"/>
      <c r="P351" s="18"/>
      <c r="Q351" s="12"/>
      <c r="R351" s="12"/>
      <c r="S351" s="12"/>
      <c r="T351" s="36"/>
      <c r="U351" s="36"/>
      <c r="V351" s="12"/>
      <c r="W351" s="12"/>
      <c r="X351" s="12"/>
      <c r="Y351" s="12"/>
      <c r="Z351" s="12"/>
    </row>
    <row r="352" customFormat="false" ht="15.75" hidden="false" customHeight="false" outlineLevel="0" collapsed="false">
      <c r="A352" s="12"/>
      <c r="B352" s="34"/>
      <c r="C352" s="12"/>
      <c r="D352" s="12"/>
      <c r="E352" s="12"/>
      <c r="F352" s="12"/>
      <c r="G352" s="18"/>
      <c r="H352" s="35"/>
      <c r="I352" s="35"/>
      <c r="J352" s="12"/>
      <c r="O352" s="12"/>
      <c r="P352" s="18"/>
      <c r="Q352" s="12"/>
      <c r="R352" s="12"/>
      <c r="S352" s="12"/>
      <c r="T352" s="36"/>
      <c r="U352" s="36"/>
      <c r="V352" s="12"/>
      <c r="W352" s="12"/>
      <c r="X352" s="12"/>
      <c r="Y352" s="12"/>
      <c r="Z352" s="12"/>
    </row>
    <row r="353" customFormat="false" ht="15.75" hidden="false" customHeight="false" outlineLevel="0" collapsed="false">
      <c r="A353" s="12"/>
      <c r="B353" s="34"/>
      <c r="C353" s="12"/>
      <c r="D353" s="12"/>
      <c r="E353" s="12"/>
      <c r="F353" s="12"/>
      <c r="G353" s="18"/>
      <c r="H353" s="35"/>
      <c r="I353" s="35"/>
      <c r="J353" s="12"/>
      <c r="O353" s="12"/>
      <c r="P353" s="18"/>
      <c r="Q353" s="12"/>
      <c r="R353" s="12"/>
      <c r="S353" s="12"/>
      <c r="T353" s="36"/>
      <c r="U353" s="36"/>
      <c r="V353" s="12"/>
      <c r="W353" s="12"/>
      <c r="X353" s="12"/>
      <c r="Y353" s="12"/>
      <c r="Z353" s="12"/>
    </row>
    <row r="354" customFormat="false" ht="15.75" hidden="false" customHeight="false" outlineLevel="0" collapsed="false">
      <c r="A354" s="12"/>
      <c r="B354" s="34"/>
      <c r="C354" s="12"/>
      <c r="D354" s="12"/>
      <c r="E354" s="12"/>
      <c r="F354" s="12"/>
      <c r="G354" s="18"/>
      <c r="H354" s="35"/>
      <c r="I354" s="35"/>
      <c r="J354" s="12"/>
      <c r="O354" s="12"/>
      <c r="P354" s="18"/>
      <c r="Q354" s="12"/>
      <c r="R354" s="12"/>
      <c r="S354" s="12"/>
      <c r="T354" s="36"/>
      <c r="U354" s="36"/>
      <c r="V354" s="12"/>
      <c r="W354" s="12"/>
      <c r="X354" s="12"/>
      <c r="Y354" s="12"/>
      <c r="Z354" s="12"/>
    </row>
    <row r="355" customFormat="false" ht="15.75" hidden="false" customHeight="false" outlineLevel="0" collapsed="false">
      <c r="A355" s="12"/>
      <c r="B355" s="34"/>
      <c r="C355" s="12"/>
      <c r="D355" s="12"/>
      <c r="E355" s="12"/>
      <c r="F355" s="12"/>
      <c r="G355" s="18"/>
      <c r="H355" s="35"/>
      <c r="I355" s="35"/>
      <c r="J355" s="12"/>
      <c r="O355" s="12"/>
      <c r="P355" s="18"/>
      <c r="Q355" s="12"/>
      <c r="R355" s="12"/>
      <c r="S355" s="12"/>
      <c r="T355" s="36"/>
      <c r="U355" s="36"/>
      <c r="V355" s="12"/>
      <c r="W355" s="12"/>
      <c r="X355" s="12"/>
      <c r="Y355" s="12"/>
      <c r="Z355" s="12"/>
    </row>
    <row r="356" customFormat="false" ht="15.75" hidden="false" customHeight="false" outlineLevel="0" collapsed="false">
      <c r="A356" s="12"/>
      <c r="B356" s="34"/>
      <c r="C356" s="12"/>
      <c r="D356" s="12"/>
      <c r="E356" s="12"/>
      <c r="F356" s="12"/>
      <c r="G356" s="18"/>
      <c r="H356" s="35"/>
      <c r="I356" s="35"/>
      <c r="J356" s="12"/>
      <c r="O356" s="12"/>
      <c r="P356" s="18"/>
      <c r="Q356" s="12"/>
      <c r="R356" s="12"/>
      <c r="S356" s="12"/>
      <c r="T356" s="36"/>
      <c r="U356" s="36"/>
      <c r="V356" s="12"/>
      <c r="W356" s="12"/>
      <c r="X356" s="12"/>
      <c r="Y356" s="12"/>
      <c r="Z356" s="12"/>
    </row>
    <row r="357" customFormat="false" ht="15.75" hidden="false" customHeight="false" outlineLevel="0" collapsed="false">
      <c r="A357" s="12"/>
      <c r="B357" s="34"/>
      <c r="C357" s="12"/>
      <c r="D357" s="12"/>
      <c r="E357" s="12"/>
      <c r="F357" s="12"/>
      <c r="G357" s="18"/>
      <c r="H357" s="35"/>
      <c r="I357" s="35"/>
      <c r="J357" s="12"/>
      <c r="O357" s="12"/>
      <c r="P357" s="18"/>
      <c r="Q357" s="12"/>
      <c r="R357" s="12"/>
      <c r="S357" s="12"/>
      <c r="T357" s="36"/>
      <c r="U357" s="36"/>
      <c r="V357" s="12"/>
      <c r="W357" s="12"/>
      <c r="X357" s="12"/>
      <c r="Y357" s="12"/>
      <c r="Z357" s="12"/>
    </row>
    <row r="358" customFormat="false" ht="15.75" hidden="false" customHeight="false" outlineLevel="0" collapsed="false">
      <c r="A358" s="12"/>
      <c r="B358" s="34"/>
      <c r="C358" s="12"/>
      <c r="D358" s="12"/>
      <c r="E358" s="12"/>
      <c r="F358" s="12"/>
      <c r="G358" s="18"/>
      <c r="H358" s="35"/>
      <c r="I358" s="35"/>
      <c r="J358" s="12"/>
      <c r="O358" s="12"/>
      <c r="P358" s="18"/>
      <c r="Q358" s="12"/>
      <c r="R358" s="12"/>
      <c r="S358" s="12"/>
      <c r="T358" s="36"/>
      <c r="U358" s="36"/>
      <c r="V358" s="12"/>
      <c r="W358" s="12"/>
      <c r="X358" s="12"/>
      <c r="Y358" s="12"/>
      <c r="Z358" s="12"/>
    </row>
    <row r="359" customFormat="false" ht="15.75" hidden="false" customHeight="false" outlineLevel="0" collapsed="false">
      <c r="A359" s="12"/>
      <c r="B359" s="34"/>
      <c r="C359" s="12"/>
      <c r="D359" s="12"/>
      <c r="E359" s="12"/>
      <c r="F359" s="12"/>
      <c r="G359" s="18"/>
      <c r="H359" s="35"/>
      <c r="I359" s="35"/>
      <c r="J359" s="12"/>
      <c r="O359" s="12"/>
      <c r="P359" s="18"/>
      <c r="Q359" s="12"/>
      <c r="R359" s="12"/>
      <c r="S359" s="12"/>
      <c r="T359" s="36"/>
      <c r="U359" s="36"/>
      <c r="V359" s="12"/>
      <c r="W359" s="12"/>
      <c r="X359" s="12"/>
      <c r="Y359" s="12"/>
      <c r="Z359" s="12"/>
    </row>
    <row r="360" customFormat="false" ht="15.75" hidden="false" customHeight="false" outlineLevel="0" collapsed="false">
      <c r="A360" s="12"/>
      <c r="B360" s="34"/>
      <c r="C360" s="12"/>
      <c r="D360" s="12"/>
      <c r="E360" s="12"/>
      <c r="F360" s="12"/>
      <c r="G360" s="18"/>
      <c r="H360" s="35"/>
      <c r="I360" s="35"/>
      <c r="J360" s="12"/>
      <c r="O360" s="12"/>
      <c r="P360" s="18"/>
      <c r="Q360" s="12"/>
      <c r="R360" s="12"/>
      <c r="S360" s="12"/>
      <c r="T360" s="36"/>
      <c r="U360" s="36"/>
      <c r="V360" s="12"/>
      <c r="W360" s="12"/>
      <c r="X360" s="12"/>
      <c r="Y360" s="12"/>
      <c r="Z360" s="12"/>
    </row>
    <row r="361" customFormat="false" ht="15.75" hidden="false" customHeight="false" outlineLevel="0" collapsed="false">
      <c r="A361" s="12"/>
      <c r="B361" s="34"/>
      <c r="C361" s="12"/>
      <c r="D361" s="12"/>
      <c r="E361" s="12"/>
      <c r="F361" s="12"/>
      <c r="G361" s="18"/>
      <c r="H361" s="35"/>
      <c r="I361" s="35"/>
      <c r="J361" s="12"/>
      <c r="O361" s="12"/>
      <c r="P361" s="18"/>
      <c r="Q361" s="12"/>
      <c r="R361" s="12"/>
      <c r="S361" s="12"/>
      <c r="T361" s="36"/>
      <c r="U361" s="36"/>
      <c r="V361" s="12"/>
      <c r="W361" s="12"/>
      <c r="X361" s="12"/>
      <c r="Y361" s="12"/>
      <c r="Z361" s="12"/>
    </row>
    <row r="362" customFormat="false" ht="15.75" hidden="false" customHeight="false" outlineLevel="0" collapsed="false">
      <c r="A362" s="12"/>
      <c r="B362" s="34"/>
      <c r="C362" s="12"/>
      <c r="D362" s="12"/>
      <c r="E362" s="12"/>
      <c r="F362" s="12"/>
      <c r="G362" s="18"/>
      <c r="H362" s="35"/>
      <c r="I362" s="35"/>
      <c r="J362" s="12"/>
      <c r="O362" s="12"/>
      <c r="P362" s="18"/>
      <c r="Q362" s="12"/>
      <c r="R362" s="12"/>
      <c r="S362" s="12"/>
      <c r="T362" s="36"/>
      <c r="U362" s="36"/>
      <c r="V362" s="12"/>
      <c r="W362" s="12"/>
      <c r="X362" s="12"/>
      <c r="Y362" s="12"/>
      <c r="Z362" s="12"/>
    </row>
    <row r="363" customFormat="false" ht="15.75" hidden="false" customHeight="false" outlineLevel="0" collapsed="false">
      <c r="A363" s="12"/>
      <c r="B363" s="34"/>
      <c r="C363" s="12"/>
      <c r="D363" s="12"/>
      <c r="E363" s="12"/>
      <c r="F363" s="12"/>
      <c r="G363" s="18"/>
      <c r="H363" s="35"/>
      <c r="I363" s="35"/>
      <c r="J363" s="12"/>
      <c r="O363" s="12"/>
      <c r="P363" s="18"/>
      <c r="Q363" s="12"/>
      <c r="R363" s="12"/>
      <c r="S363" s="12"/>
      <c r="T363" s="36"/>
      <c r="U363" s="36"/>
      <c r="V363" s="12"/>
      <c r="W363" s="12"/>
      <c r="X363" s="12"/>
      <c r="Y363" s="12"/>
      <c r="Z363" s="12"/>
    </row>
    <row r="364" customFormat="false" ht="15.75" hidden="false" customHeight="false" outlineLevel="0" collapsed="false">
      <c r="A364" s="12"/>
      <c r="B364" s="34"/>
      <c r="C364" s="12"/>
      <c r="D364" s="12"/>
      <c r="E364" s="12"/>
      <c r="F364" s="12"/>
      <c r="G364" s="18"/>
      <c r="H364" s="35"/>
      <c r="I364" s="35"/>
      <c r="J364" s="12"/>
      <c r="O364" s="12"/>
      <c r="P364" s="18"/>
      <c r="Q364" s="12"/>
      <c r="R364" s="12"/>
      <c r="S364" s="12"/>
      <c r="T364" s="36"/>
      <c r="U364" s="36"/>
      <c r="V364" s="12"/>
      <c r="W364" s="12"/>
      <c r="X364" s="12"/>
      <c r="Y364" s="12"/>
      <c r="Z364" s="12"/>
    </row>
    <row r="365" customFormat="false" ht="15.75" hidden="false" customHeight="false" outlineLevel="0" collapsed="false">
      <c r="A365" s="12"/>
      <c r="B365" s="34"/>
      <c r="C365" s="12"/>
      <c r="D365" s="12"/>
      <c r="E365" s="12"/>
      <c r="F365" s="12"/>
      <c r="G365" s="18"/>
      <c r="H365" s="35"/>
      <c r="I365" s="35"/>
      <c r="J365" s="12"/>
      <c r="O365" s="12"/>
      <c r="P365" s="18"/>
      <c r="Q365" s="12"/>
      <c r="R365" s="12"/>
      <c r="S365" s="12"/>
      <c r="T365" s="36"/>
      <c r="U365" s="36"/>
      <c r="V365" s="12"/>
      <c r="W365" s="12"/>
      <c r="X365" s="12"/>
      <c r="Y365" s="12"/>
      <c r="Z365" s="12"/>
    </row>
    <row r="366" customFormat="false" ht="15.75" hidden="false" customHeight="false" outlineLevel="0" collapsed="false">
      <c r="A366" s="12"/>
      <c r="B366" s="34"/>
      <c r="C366" s="12"/>
      <c r="D366" s="12"/>
      <c r="E366" s="12"/>
      <c r="F366" s="12"/>
      <c r="G366" s="18"/>
      <c r="H366" s="35"/>
      <c r="I366" s="35"/>
      <c r="J366" s="12"/>
      <c r="O366" s="12"/>
      <c r="P366" s="18"/>
      <c r="Q366" s="12"/>
      <c r="R366" s="12"/>
      <c r="S366" s="12"/>
      <c r="T366" s="36"/>
      <c r="U366" s="36"/>
      <c r="V366" s="12"/>
      <c r="W366" s="12"/>
      <c r="X366" s="12"/>
      <c r="Y366" s="12"/>
      <c r="Z366" s="12"/>
    </row>
    <row r="367" customFormat="false" ht="15.75" hidden="false" customHeight="false" outlineLevel="0" collapsed="false">
      <c r="A367" s="12"/>
      <c r="B367" s="34"/>
      <c r="C367" s="12"/>
      <c r="D367" s="12"/>
      <c r="E367" s="12"/>
      <c r="F367" s="12"/>
      <c r="G367" s="18"/>
      <c r="H367" s="35"/>
      <c r="I367" s="35"/>
      <c r="J367" s="12"/>
      <c r="O367" s="12"/>
      <c r="P367" s="18"/>
      <c r="Q367" s="12"/>
      <c r="R367" s="12"/>
      <c r="S367" s="12"/>
      <c r="T367" s="36"/>
      <c r="U367" s="36"/>
      <c r="V367" s="12"/>
      <c r="W367" s="12"/>
      <c r="X367" s="12"/>
      <c r="Y367" s="12"/>
      <c r="Z367" s="12"/>
    </row>
    <row r="368" customFormat="false" ht="15.75" hidden="false" customHeight="false" outlineLevel="0" collapsed="false">
      <c r="A368" s="12"/>
      <c r="B368" s="34"/>
      <c r="C368" s="12"/>
      <c r="D368" s="12"/>
      <c r="E368" s="12"/>
      <c r="F368" s="12"/>
      <c r="G368" s="18"/>
      <c r="H368" s="35"/>
      <c r="I368" s="35"/>
      <c r="J368" s="12"/>
      <c r="O368" s="12"/>
      <c r="P368" s="18"/>
      <c r="Q368" s="12"/>
      <c r="R368" s="12"/>
      <c r="S368" s="12"/>
      <c r="T368" s="36"/>
      <c r="U368" s="36"/>
      <c r="V368" s="12"/>
      <c r="W368" s="12"/>
      <c r="X368" s="12"/>
      <c r="Y368" s="12"/>
      <c r="Z368" s="12"/>
    </row>
    <row r="369" customFormat="false" ht="15.75" hidden="false" customHeight="false" outlineLevel="0" collapsed="false">
      <c r="A369" s="12"/>
      <c r="B369" s="34"/>
      <c r="C369" s="12"/>
      <c r="D369" s="12"/>
      <c r="E369" s="12"/>
      <c r="F369" s="12"/>
      <c r="G369" s="18"/>
      <c r="H369" s="35"/>
      <c r="I369" s="35"/>
      <c r="J369" s="12"/>
      <c r="O369" s="12"/>
      <c r="P369" s="18"/>
      <c r="Q369" s="12"/>
      <c r="R369" s="12"/>
      <c r="S369" s="12"/>
      <c r="T369" s="36"/>
      <c r="U369" s="36"/>
      <c r="V369" s="12"/>
      <c r="W369" s="12"/>
      <c r="X369" s="12"/>
      <c r="Y369" s="12"/>
      <c r="Z369" s="12"/>
    </row>
    <row r="370" customFormat="false" ht="15.75" hidden="false" customHeight="false" outlineLevel="0" collapsed="false">
      <c r="A370" s="12"/>
      <c r="B370" s="34"/>
      <c r="C370" s="12"/>
      <c r="D370" s="12"/>
      <c r="E370" s="12"/>
      <c r="F370" s="12"/>
      <c r="G370" s="18"/>
      <c r="H370" s="35"/>
      <c r="I370" s="35"/>
      <c r="J370" s="12"/>
      <c r="O370" s="12"/>
      <c r="P370" s="18"/>
      <c r="Q370" s="12"/>
      <c r="R370" s="12"/>
      <c r="S370" s="12"/>
      <c r="T370" s="36"/>
      <c r="U370" s="36"/>
      <c r="V370" s="12"/>
      <c r="W370" s="12"/>
      <c r="X370" s="12"/>
      <c r="Y370" s="12"/>
      <c r="Z370" s="12"/>
    </row>
    <row r="371" customFormat="false" ht="15.75" hidden="false" customHeight="false" outlineLevel="0" collapsed="false">
      <c r="A371" s="12"/>
      <c r="B371" s="34"/>
      <c r="C371" s="12"/>
      <c r="D371" s="12"/>
      <c r="E371" s="12"/>
      <c r="F371" s="12"/>
      <c r="G371" s="18"/>
      <c r="H371" s="35"/>
      <c r="I371" s="35"/>
      <c r="J371" s="12"/>
      <c r="O371" s="12"/>
      <c r="P371" s="18"/>
      <c r="Q371" s="12"/>
      <c r="R371" s="12"/>
      <c r="S371" s="12"/>
      <c r="T371" s="36"/>
      <c r="U371" s="36"/>
      <c r="V371" s="12"/>
      <c r="W371" s="12"/>
      <c r="X371" s="12"/>
      <c r="Y371" s="12"/>
      <c r="Z371" s="12"/>
    </row>
    <row r="372" customFormat="false" ht="15.75" hidden="false" customHeight="false" outlineLevel="0" collapsed="false">
      <c r="A372" s="12"/>
      <c r="B372" s="34"/>
      <c r="C372" s="12"/>
      <c r="D372" s="12"/>
      <c r="E372" s="12"/>
      <c r="F372" s="12"/>
      <c r="G372" s="18"/>
      <c r="H372" s="35"/>
      <c r="I372" s="35"/>
      <c r="J372" s="12"/>
      <c r="O372" s="12"/>
      <c r="P372" s="18"/>
      <c r="Q372" s="12"/>
      <c r="R372" s="12"/>
      <c r="S372" s="12"/>
      <c r="T372" s="36"/>
      <c r="U372" s="36"/>
      <c r="V372" s="12"/>
      <c r="W372" s="12"/>
      <c r="X372" s="12"/>
      <c r="Y372" s="12"/>
      <c r="Z372" s="12"/>
    </row>
    <row r="373" customFormat="false" ht="15.75" hidden="false" customHeight="false" outlineLevel="0" collapsed="false">
      <c r="A373" s="12"/>
      <c r="B373" s="34"/>
      <c r="C373" s="12"/>
      <c r="D373" s="12"/>
      <c r="E373" s="12"/>
      <c r="F373" s="12"/>
      <c r="G373" s="18"/>
      <c r="H373" s="35"/>
      <c r="I373" s="35"/>
      <c r="J373" s="12"/>
      <c r="O373" s="12"/>
      <c r="P373" s="18"/>
      <c r="Q373" s="12"/>
      <c r="R373" s="12"/>
      <c r="S373" s="12"/>
      <c r="T373" s="36"/>
      <c r="U373" s="36"/>
      <c r="V373" s="12"/>
      <c r="W373" s="12"/>
      <c r="X373" s="12"/>
      <c r="Y373" s="12"/>
      <c r="Z373" s="12"/>
    </row>
    <row r="374" customFormat="false" ht="15.75" hidden="false" customHeight="false" outlineLevel="0" collapsed="false">
      <c r="A374" s="12"/>
      <c r="B374" s="34"/>
      <c r="C374" s="12"/>
      <c r="D374" s="12"/>
      <c r="E374" s="12"/>
      <c r="F374" s="12"/>
      <c r="G374" s="18"/>
      <c r="H374" s="35"/>
      <c r="I374" s="35"/>
      <c r="J374" s="12"/>
      <c r="O374" s="12"/>
      <c r="P374" s="18"/>
      <c r="Q374" s="12"/>
      <c r="R374" s="12"/>
      <c r="S374" s="12"/>
      <c r="T374" s="36"/>
      <c r="U374" s="36"/>
      <c r="V374" s="12"/>
      <c r="W374" s="12"/>
      <c r="X374" s="12"/>
      <c r="Y374" s="12"/>
      <c r="Z374" s="12"/>
    </row>
    <row r="375" customFormat="false" ht="15.75" hidden="false" customHeight="false" outlineLevel="0" collapsed="false">
      <c r="A375" s="12"/>
      <c r="B375" s="34"/>
      <c r="C375" s="12"/>
      <c r="D375" s="12"/>
      <c r="E375" s="12"/>
      <c r="F375" s="12"/>
      <c r="G375" s="18"/>
      <c r="H375" s="35"/>
      <c r="I375" s="35"/>
      <c r="J375" s="12"/>
      <c r="O375" s="12"/>
      <c r="P375" s="18"/>
      <c r="Q375" s="12"/>
      <c r="R375" s="12"/>
      <c r="S375" s="12"/>
      <c r="T375" s="36"/>
      <c r="U375" s="36"/>
      <c r="V375" s="12"/>
      <c r="W375" s="12"/>
      <c r="X375" s="12"/>
      <c r="Y375" s="12"/>
      <c r="Z375" s="12"/>
    </row>
    <row r="376" customFormat="false" ht="15.75" hidden="false" customHeight="false" outlineLevel="0" collapsed="false">
      <c r="A376" s="12"/>
      <c r="B376" s="34"/>
      <c r="C376" s="12"/>
      <c r="D376" s="12"/>
      <c r="E376" s="12"/>
      <c r="F376" s="12"/>
      <c r="G376" s="18"/>
      <c r="H376" s="35"/>
      <c r="I376" s="35"/>
      <c r="J376" s="12"/>
      <c r="O376" s="12"/>
      <c r="P376" s="18"/>
      <c r="Q376" s="12"/>
      <c r="R376" s="12"/>
      <c r="S376" s="12"/>
      <c r="T376" s="36"/>
      <c r="U376" s="36"/>
      <c r="V376" s="12"/>
      <c r="W376" s="12"/>
      <c r="X376" s="12"/>
      <c r="Y376" s="12"/>
      <c r="Z376" s="12"/>
    </row>
    <row r="377" customFormat="false" ht="15.75" hidden="false" customHeight="false" outlineLevel="0" collapsed="false">
      <c r="A377" s="12"/>
      <c r="B377" s="34"/>
      <c r="C377" s="12"/>
      <c r="D377" s="12"/>
      <c r="E377" s="12"/>
      <c r="F377" s="12"/>
      <c r="G377" s="18"/>
      <c r="H377" s="35"/>
      <c r="I377" s="35"/>
      <c r="J377" s="12"/>
      <c r="O377" s="12"/>
      <c r="P377" s="18"/>
      <c r="Q377" s="12"/>
      <c r="R377" s="12"/>
      <c r="S377" s="12"/>
      <c r="T377" s="36"/>
      <c r="U377" s="36"/>
      <c r="V377" s="12"/>
      <c r="W377" s="12"/>
      <c r="X377" s="12"/>
      <c r="Y377" s="12"/>
      <c r="Z377" s="12"/>
    </row>
    <row r="378" customFormat="false" ht="15.75" hidden="false" customHeight="false" outlineLevel="0" collapsed="false">
      <c r="A378" s="12"/>
      <c r="B378" s="34"/>
      <c r="C378" s="12"/>
      <c r="D378" s="12"/>
      <c r="E378" s="12"/>
      <c r="F378" s="12"/>
      <c r="G378" s="18"/>
      <c r="H378" s="35"/>
      <c r="I378" s="35"/>
      <c r="J378" s="12"/>
      <c r="O378" s="12"/>
      <c r="P378" s="18"/>
      <c r="Q378" s="12"/>
      <c r="R378" s="12"/>
      <c r="S378" s="12"/>
      <c r="T378" s="36"/>
      <c r="U378" s="36"/>
      <c r="V378" s="12"/>
      <c r="W378" s="12"/>
      <c r="X378" s="12"/>
      <c r="Y378" s="12"/>
      <c r="Z378" s="12"/>
    </row>
    <row r="379" customFormat="false" ht="15.75" hidden="false" customHeight="false" outlineLevel="0" collapsed="false">
      <c r="A379" s="12"/>
      <c r="B379" s="34"/>
      <c r="C379" s="12"/>
      <c r="D379" s="12"/>
      <c r="E379" s="12"/>
      <c r="F379" s="12"/>
      <c r="G379" s="18"/>
      <c r="H379" s="35"/>
      <c r="I379" s="35"/>
      <c r="J379" s="12"/>
      <c r="O379" s="12"/>
      <c r="P379" s="18"/>
      <c r="Q379" s="12"/>
      <c r="R379" s="12"/>
      <c r="S379" s="12"/>
      <c r="T379" s="36"/>
      <c r="U379" s="36"/>
      <c r="V379" s="12"/>
      <c r="W379" s="12"/>
      <c r="X379" s="12"/>
      <c r="Y379" s="12"/>
      <c r="Z379" s="12"/>
    </row>
    <row r="380" customFormat="false" ht="15.75" hidden="false" customHeight="false" outlineLevel="0" collapsed="false">
      <c r="A380" s="12"/>
      <c r="B380" s="34"/>
      <c r="C380" s="12"/>
      <c r="D380" s="12"/>
      <c r="E380" s="12"/>
      <c r="F380" s="12"/>
      <c r="G380" s="18"/>
      <c r="H380" s="35"/>
      <c r="I380" s="35"/>
      <c r="J380" s="12"/>
      <c r="O380" s="12"/>
      <c r="P380" s="18"/>
      <c r="Q380" s="12"/>
      <c r="R380" s="12"/>
      <c r="S380" s="12"/>
      <c r="T380" s="36"/>
      <c r="U380" s="36"/>
      <c r="V380" s="12"/>
      <c r="W380" s="12"/>
      <c r="X380" s="12"/>
      <c r="Y380" s="12"/>
      <c r="Z380" s="12"/>
    </row>
    <row r="381" customFormat="false" ht="15.75" hidden="false" customHeight="false" outlineLevel="0" collapsed="false">
      <c r="A381" s="12"/>
      <c r="B381" s="34"/>
      <c r="C381" s="12"/>
      <c r="D381" s="12"/>
      <c r="E381" s="12"/>
      <c r="F381" s="12"/>
      <c r="G381" s="18"/>
      <c r="H381" s="35"/>
      <c r="I381" s="35"/>
      <c r="J381" s="12"/>
      <c r="O381" s="12"/>
      <c r="P381" s="18"/>
      <c r="Q381" s="12"/>
      <c r="R381" s="12"/>
      <c r="S381" s="12"/>
      <c r="T381" s="36"/>
      <c r="U381" s="36"/>
      <c r="V381" s="12"/>
      <c r="W381" s="12"/>
      <c r="X381" s="12"/>
      <c r="Y381" s="12"/>
      <c r="Z381" s="12"/>
    </row>
    <row r="382" customFormat="false" ht="15.75" hidden="false" customHeight="false" outlineLevel="0" collapsed="false">
      <c r="A382" s="12"/>
      <c r="B382" s="34"/>
      <c r="C382" s="12"/>
      <c r="D382" s="12"/>
      <c r="E382" s="12"/>
      <c r="F382" s="12"/>
      <c r="G382" s="18"/>
      <c r="H382" s="35"/>
      <c r="I382" s="35"/>
      <c r="J382" s="12"/>
      <c r="O382" s="12"/>
      <c r="P382" s="18"/>
      <c r="Q382" s="12"/>
      <c r="R382" s="12"/>
      <c r="S382" s="12"/>
      <c r="T382" s="36"/>
      <c r="U382" s="36"/>
      <c r="V382" s="12"/>
      <c r="W382" s="12"/>
      <c r="X382" s="12"/>
      <c r="Y382" s="12"/>
      <c r="Z382" s="12"/>
    </row>
    <row r="383" customFormat="false" ht="15.75" hidden="false" customHeight="false" outlineLevel="0" collapsed="false">
      <c r="A383" s="12"/>
      <c r="B383" s="34"/>
      <c r="C383" s="12"/>
      <c r="D383" s="12"/>
      <c r="E383" s="12"/>
      <c r="F383" s="12"/>
      <c r="G383" s="18"/>
      <c r="H383" s="35"/>
      <c r="I383" s="35"/>
      <c r="J383" s="12"/>
      <c r="O383" s="12"/>
      <c r="P383" s="18"/>
      <c r="Q383" s="12"/>
      <c r="R383" s="12"/>
      <c r="S383" s="12"/>
      <c r="T383" s="36"/>
      <c r="U383" s="36"/>
      <c r="V383" s="12"/>
      <c r="W383" s="12"/>
      <c r="X383" s="12"/>
      <c r="Y383" s="12"/>
      <c r="Z383" s="12"/>
    </row>
    <row r="384" customFormat="false" ht="15.75" hidden="false" customHeight="false" outlineLevel="0" collapsed="false">
      <c r="A384" s="12"/>
      <c r="B384" s="34"/>
      <c r="C384" s="12"/>
      <c r="D384" s="12"/>
      <c r="E384" s="12"/>
      <c r="F384" s="12"/>
      <c r="G384" s="18"/>
      <c r="H384" s="35"/>
      <c r="I384" s="35"/>
      <c r="J384" s="12"/>
      <c r="O384" s="12"/>
      <c r="P384" s="18"/>
      <c r="Q384" s="12"/>
      <c r="R384" s="12"/>
      <c r="S384" s="12"/>
      <c r="T384" s="36"/>
      <c r="U384" s="36"/>
      <c r="V384" s="12"/>
      <c r="W384" s="12"/>
      <c r="X384" s="12"/>
      <c r="Y384" s="12"/>
      <c r="Z384" s="12"/>
    </row>
    <row r="385" customFormat="false" ht="15.75" hidden="false" customHeight="false" outlineLevel="0" collapsed="false">
      <c r="A385" s="12"/>
      <c r="B385" s="34"/>
      <c r="C385" s="12"/>
      <c r="D385" s="12"/>
      <c r="E385" s="12"/>
      <c r="F385" s="12"/>
      <c r="G385" s="18"/>
      <c r="H385" s="35"/>
      <c r="I385" s="35"/>
      <c r="J385" s="12"/>
      <c r="O385" s="12"/>
      <c r="P385" s="18"/>
      <c r="Q385" s="12"/>
      <c r="R385" s="12"/>
      <c r="S385" s="12"/>
      <c r="T385" s="36"/>
      <c r="U385" s="36"/>
      <c r="V385" s="12"/>
      <c r="W385" s="12"/>
      <c r="X385" s="12"/>
      <c r="Y385" s="12"/>
      <c r="Z385" s="12"/>
    </row>
    <row r="386" customFormat="false" ht="15.75" hidden="false" customHeight="false" outlineLevel="0" collapsed="false">
      <c r="A386" s="12"/>
      <c r="B386" s="34"/>
      <c r="C386" s="12"/>
      <c r="D386" s="12"/>
      <c r="E386" s="12"/>
      <c r="F386" s="12"/>
      <c r="G386" s="18"/>
      <c r="H386" s="35"/>
      <c r="I386" s="35"/>
      <c r="J386" s="12"/>
      <c r="O386" s="12"/>
      <c r="P386" s="18"/>
      <c r="Q386" s="12"/>
      <c r="R386" s="12"/>
      <c r="S386" s="12"/>
      <c r="T386" s="36"/>
      <c r="U386" s="36"/>
      <c r="V386" s="12"/>
      <c r="W386" s="12"/>
      <c r="X386" s="12"/>
      <c r="Y386" s="12"/>
      <c r="Z386" s="12"/>
    </row>
    <row r="387" customFormat="false" ht="15.75" hidden="false" customHeight="false" outlineLevel="0" collapsed="false">
      <c r="A387" s="12"/>
      <c r="B387" s="34"/>
      <c r="C387" s="12"/>
      <c r="D387" s="12"/>
      <c r="E387" s="12"/>
      <c r="F387" s="12"/>
      <c r="G387" s="18"/>
      <c r="H387" s="35"/>
      <c r="I387" s="35"/>
      <c r="J387" s="12"/>
      <c r="O387" s="12"/>
      <c r="P387" s="18"/>
      <c r="Q387" s="12"/>
      <c r="R387" s="12"/>
      <c r="S387" s="12"/>
      <c r="T387" s="36"/>
      <c r="U387" s="36"/>
      <c r="V387" s="12"/>
      <c r="W387" s="12"/>
      <c r="X387" s="12"/>
      <c r="Y387" s="12"/>
      <c r="Z387" s="12"/>
    </row>
    <row r="388" customFormat="false" ht="15.75" hidden="false" customHeight="false" outlineLevel="0" collapsed="false">
      <c r="A388" s="12"/>
      <c r="B388" s="34"/>
      <c r="C388" s="12"/>
      <c r="D388" s="12"/>
      <c r="E388" s="12"/>
      <c r="F388" s="12"/>
      <c r="G388" s="18"/>
      <c r="H388" s="35"/>
      <c r="I388" s="35"/>
      <c r="J388" s="12"/>
      <c r="O388" s="12"/>
      <c r="P388" s="18"/>
      <c r="Q388" s="12"/>
      <c r="R388" s="12"/>
      <c r="S388" s="12"/>
      <c r="T388" s="36"/>
      <c r="U388" s="36"/>
      <c r="V388" s="12"/>
      <c r="W388" s="12"/>
      <c r="X388" s="12"/>
      <c r="Y388" s="12"/>
      <c r="Z388" s="12"/>
    </row>
    <row r="389" customFormat="false" ht="15.75" hidden="false" customHeight="false" outlineLevel="0" collapsed="false">
      <c r="A389" s="12"/>
      <c r="B389" s="34"/>
      <c r="C389" s="12"/>
      <c r="D389" s="12"/>
      <c r="E389" s="12"/>
      <c r="F389" s="12"/>
      <c r="G389" s="18"/>
      <c r="H389" s="35"/>
      <c r="I389" s="35"/>
      <c r="J389" s="12"/>
      <c r="O389" s="12"/>
      <c r="P389" s="18"/>
      <c r="Q389" s="12"/>
      <c r="R389" s="12"/>
      <c r="S389" s="12"/>
      <c r="T389" s="36"/>
      <c r="U389" s="36"/>
      <c r="V389" s="12"/>
      <c r="W389" s="12"/>
      <c r="X389" s="12"/>
      <c r="Y389" s="12"/>
      <c r="Z389" s="12"/>
    </row>
    <row r="390" customFormat="false" ht="15.75" hidden="false" customHeight="false" outlineLevel="0" collapsed="false">
      <c r="A390" s="12"/>
      <c r="B390" s="34"/>
      <c r="C390" s="12"/>
      <c r="D390" s="12"/>
      <c r="E390" s="12"/>
      <c r="F390" s="12"/>
      <c r="G390" s="18"/>
      <c r="H390" s="35"/>
      <c r="I390" s="35"/>
      <c r="J390" s="12"/>
      <c r="O390" s="12"/>
      <c r="P390" s="18"/>
      <c r="Q390" s="12"/>
      <c r="R390" s="12"/>
      <c r="S390" s="12"/>
      <c r="T390" s="36"/>
      <c r="U390" s="36"/>
      <c r="V390" s="12"/>
      <c r="W390" s="12"/>
      <c r="X390" s="12"/>
      <c r="Y390" s="12"/>
      <c r="Z390" s="12"/>
    </row>
    <row r="391" customFormat="false" ht="15.75" hidden="false" customHeight="false" outlineLevel="0" collapsed="false">
      <c r="A391" s="12"/>
      <c r="B391" s="34"/>
      <c r="C391" s="12"/>
      <c r="D391" s="12"/>
      <c r="E391" s="12"/>
      <c r="F391" s="12"/>
      <c r="G391" s="18"/>
      <c r="H391" s="35"/>
      <c r="I391" s="35"/>
      <c r="J391" s="12"/>
      <c r="O391" s="12"/>
      <c r="P391" s="18"/>
      <c r="Q391" s="12"/>
      <c r="R391" s="12"/>
      <c r="S391" s="12"/>
      <c r="T391" s="36"/>
      <c r="U391" s="36"/>
      <c r="V391" s="12"/>
      <c r="W391" s="12"/>
      <c r="X391" s="12"/>
      <c r="Y391" s="12"/>
      <c r="Z391" s="12"/>
    </row>
    <row r="392" customFormat="false" ht="15.75" hidden="false" customHeight="false" outlineLevel="0" collapsed="false">
      <c r="A392" s="12"/>
      <c r="B392" s="34"/>
      <c r="C392" s="12"/>
      <c r="D392" s="12"/>
      <c r="E392" s="12"/>
      <c r="F392" s="12"/>
      <c r="G392" s="18"/>
      <c r="H392" s="35"/>
      <c r="I392" s="35"/>
      <c r="J392" s="12"/>
      <c r="O392" s="12"/>
      <c r="P392" s="18"/>
      <c r="Q392" s="12"/>
      <c r="R392" s="12"/>
      <c r="S392" s="12"/>
      <c r="T392" s="36"/>
      <c r="U392" s="36"/>
      <c r="V392" s="12"/>
      <c r="W392" s="12"/>
      <c r="X392" s="12"/>
      <c r="Y392" s="12"/>
      <c r="Z392" s="12"/>
    </row>
    <row r="393" customFormat="false" ht="15.75" hidden="false" customHeight="false" outlineLevel="0" collapsed="false">
      <c r="A393" s="12"/>
      <c r="B393" s="34"/>
      <c r="C393" s="12"/>
      <c r="D393" s="12"/>
      <c r="E393" s="12"/>
      <c r="F393" s="12"/>
      <c r="G393" s="18"/>
      <c r="H393" s="35"/>
      <c r="I393" s="35"/>
      <c r="J393" s="12"/>
      <c r="O393" s="12"/>
      <c r="P393" s="18"/>
      <c r="Q393" s="12"/>
      <c r="R393" s="12"/>
      <c r="S393" s="12"/>
      <c r="T393" s="36"/>
      <c r="U393" s="36"/>
      <c r="V393" s="12"/>
      <c r="W393" s="12"/>
      <c r="X393" s="12"/>
      <c r="Y393" s="12"/>
      <c r="Z393" s="12"/>
    </row>
    <row r="394" customFormat="false" ht="15.75" hidden="false" customHeight="false" outlineLevel="0" collapsed="false">
      <c r="A394" s="12"/>
      <c r="B394" s="34"/>
      <c r="C394" s="12"/>
      <c r="D394" s="12"/>
      <c r="E394" s="12"/>
      <c r="F394" s="12"/>
      <c r="G394" s="18"/>
      <c r="H394" s="35"/>
      <c r="I394" s="35"/>
      <c r="J394" s="12"/>
      <c r="O394" s="12"/>
      <c r="P394" s="18"/>
      <c r="Q394" s="12"/>
      <c r="R394" s="12"/>
      <c r="S394" s="12"/>
      <c r="T394" s="36"/>
      <c r="U394" s="36"/>
      <c r="V394" s="12"/>
      <c r="W394" s="12"/>
      <c r="X394" s="12"/>
      <c r="Y394" s="12"/>
      <c r="Z394" s="12"/>
    </row>
    <row r="395" customFormat="false" ht="15.75" hidden="false" customHeight="false" outlineLevel="0" collapsed="false">
      <c r="A395" s="12"/>
      <c r="B395" s="34"/>
      <c r="C395" s="12"/>
      <c r="D395" s="12"/>
      <c r="E395" s="12"/>
      <c r="F395" s="12"/>
      <c r="G395" s="18"/>
      <c r="H395" s="35"/>
      <c r="I395" s="35"/>
      <c r="J395" s="12"/>
      <c r="O395" s="12"/>
      <c r="P395" s="18"/>
      <c r="Q395" s="12"/>
      <c r="R395" s="12"/>
      <c r="S395" s="12"/>
      <c r="T395" s="36"/>
      <c r="U395" s="36"/>
      <c r="V395" s="12"/>
      <c r="W395" s="12"/>
      <c r="X395" s="12"/>
      <c r="Y395" s="12"/>
      <c r="Z395" s="12"/>
    </row>
    <row r="396" customFormat="false" ht="15.75" hidden="false" customHeight="false" outlineLevel="0" collapsed="false">
      <c r="A396" s="12"/>
      <c r="B396" s="34"/>
      <c r="C396" s="12"/>
      <c r="D396" s="12"/>
      <c r="E396" s="12"/>
      <c r="F396" s="12"/>
      <c r="G396" s="18"/>
      <c r="H396" s="35"/>
      <c r="I396" s="35"/>
      <c r="J396" s="12"/>
      <c r="O396" s="12"/>
      <c r="P396" s="18"/>
      <c r="Q396" s="12"/>
      <c r="R396" s="12"/>
      <c r="S396" s="12"/>
      <c r="T396" s="36"/>
      <c r="U396" s="36"/>
      <c r="V396" s="12"/>
      <c r="W396" s="12"/>
      <c r="X396" s="12"/>
      <c r="Y396" s="12"/>
      <c r="Z396" s="12"/>
    </row>
    <row r="397" customFormat="false" ht="15.75" hidden="false" customHeight="false" outlineLevel="0" collapsed="false">
      <c r="A397" s="12"/>
      <c r="B397" s="34"/>
      <c r="C397" s="12"/>
      <c r="D397" s="12"/>
      <c r="E397" s="12"/>
      <c r="F397" s="12"/>
      <c r="G397" s="18"/>
      <c r="H397" s="35"/>
      <c r="I397" s="35"/>
      <c r="J397" s="12"/>
      <c r="O397" s="12"/>
      <c r="P397" s="18"/>
      <c r="Q397" s="12"/>
      <c r="R397" s="12"/>
      <c r="S397" s="12"/>
      <c r="T397" s="36"/>
      <c r="U397" s="36"/>
      <c r="V397" s="12"/>
      <c r="W397" s="12"/>
      <c r="X397" s="12"/>
      <c r="Y397" s="12"/>
      <c r="Z397" s="12"/>
    </row>
    <row r="398" customFormat="false" ht="15.75" hidden="false" customHeight="false" outlineLevel="0" collapsed="false">
      <c r="A398" s="12"/>
      <c r="B398" s="34"/>
      <c r="C398" s="12"/>
      <c r="D398" s="12"/>
      <c r="E398" s="12"/>
      <c r="F398" s="12"/>
      <c r="G398" s="18"/>
      <c r="H398" s="35"/>
      <c r="I398" s="35"/>
      <c r="J398" s="12"/>
      <c r="O398" s="12"/>
      <c r="P398" s="18"/>
      <c r="Q398" s="12"/>
      <c r="R398" s="12"/>
      <c r="S398" s="12"/>
      <c r="T398" s="36"/>
      <c r="U398" s="36"/>
      <c r="V398" s="12"/>
      <c r="W398" s="12"/>
      <c r="X398" s="12"/>
      <c r="Y398" s="12"/>
      <c r="Z398" s="12"/>
    </row>
    <row r="399" customFormat="false" ht="15.75" hidden="false" customHeight="false" outlineLevel="0" collapsed="false">
      <c r="A399" s="12"/>
      <c r="B399" s="34"/>
      <c r="C399" s="12"/>
      <c r="D399" s="12"/>
      <c r="E399" s="12"/>
      <c r="F399" s="12"/>
      <c r="G399" s="18"/>
      <c r="H399" s="35"/>
      <c r="I399" s="35"/>
      <c r="J399" s="12"/>
      <c r="O399" s="12"/>
      <c r="P399" s="18"/>
      <c r="Q399" s="12"/>
      <c r="R399" s="12"/>
      <c r="S399" s="12"/>
      <c r="T399" s="36"/>
      <c r="U399" s="36"/>
      <c r="V399" s="12"/>
      <c r="W399" s="12"/>
      <c r="X399" s="12"/>
      <c r="Y399" s="12"/>
      <c r="Z399" s="12"/>
    </row>
    <row r="400" customFormat="false" ht="15.75" hidden="false" customHeight="false" outlineLevel="0" collapsed="false">
      <c r="A400" s="12"/>
      <c r="B400" s="34"/>
      <c r="C400" s="12"/>
      <c r="D400" s="12"/>
      <c r="E400" s="12"/>
      <c r="F400" s="12"/>
      <c r="G400" s="18"/>
      <c r="H400" s="35"/>
      <c r="I400" s="35"/>
      <c r="J400" s="12"/>
      <c r="O400" s="12"/>
      <c r="P400" s="18"/>
      <c r="Q400" s="12"/>
      <c r="R400" s="12"/>
      <c r="S400" s="12"/>
      <c r="T400" s="36"/>
      <c r="U400" s="36"/>
      <c r="V400" s="12"/>
      <c r="W400" s="12"/>
      <c r="X400" s="12"/>
      <c r="Y400" s="12"/>
      <c r="Z400" s="12"/>
    </row>
    <row r="401" customFormat="false" ht="15.75" hidden="false" customHeight="false" outlineLevel="0" collapsed="false">
      <c r="A401" s="12"/>
      <c r="B401" s="34"/>
      <c r="C401" s="12"/>
      <c r="D401" s="12"/>
      <c r="E401" s="12"/>
      <c r="F401" s="12"/>
      <c r="G401" s="18"/>
      <c r="H401" s="35"/>
      <c r="I401" s="35"/>
      <c r="J401" s="12"/>
      <c r="O401" s="12"/>
      <c r="P401" s="18"/>
      <c r="Q401" s="12"/>
      <c r="R401" s="12"/>
      <c r="S401" s="12"/>
      <c r="T401" s="36"/>
      <c r="U401" s="36"/>
      <c r="V401" s="12"/>
      <c r="W401" s="12"/>
      <c r="X401" s="12"/>
      <c r="Y401" s="12"/>
      <c r="Z401" s="12"/>
    </row>
    <row r="402" customFormat="false" ht="15.75" hidden="false" customHeight="false" outlineLevel="0" collapsed="false">
      <c r="A402" s="12"/>
      <c r="B402" s="34"/>
      <c r="C402" s="12"/>
      <c r="D402" s="12"/>
      <c r="E402" s="12"/>
      <c r="F402" s="12"/>
      <c r="G402" s="18"/>
      <c r="H402" s="35"/>
      <c r="I402" s="35"/>
      <c r="J402" s="12"/>
      <c r="O402" s="12"/>
      <c r="P402" s="18"/>
      <c r="Q402" s="12"/>
      <c r="R402" s="12"/>
      <c r="S402" s="12"/>
      <c r="T402" s="36"/>
      <c r="U402" s="36"/>
      <c r="V402" s="12"/>
      <c r="W402" s="12"/>
      <c r="X402" s="12"/>
      <c r="Y402" s="12"/>
      <c r="Z402" s="12"/>
    </row>
    <row r="403" customFormat="false" ht="15.75" hidden="false" customHeight="false" outlineLevel="0" collapsed="false">
      <c r="A403" s="12"/>
      <c r="B403" s="34"/>
      <c r="C403" s="12"/>
      <c r="D403" s="12"/>
      <c r="E403" s="12"/>
      <c r="F403" s="12"/>
      <c r="G403" s="18"/>
      <c r="H403" s="35"/>
      <c r="I403" s="35"/>
      <c r="J403" s="12"/>
      <c r="O403" s="12"/>
      <c r="P403" s="18"/>
      <c r="Q403" s="12"/>
      <c r="R403" s="12"/>
      <c r="S403" s="12"/>
      <c r="T403" s="36"/>
      <c r="U403" s="36"/>
      <c r="V403" s="12"/>
      <c r="W403" s="12"/>
      <c r="X403" s="12"/>
      <c r="Y403" s="12"/>
      <c r="Z403" s="12"/>
    </row>
    <row r="404" customFormat="false" ht="15.75" hidden="false" customHeight="false" outlineLevel="0" collapsed="false">
      <c r="A404" s="12"/>
      <c r="B404" s="34"/>
      <c r="C404" s="12"/>
      <c r="D404" s="12"/>
      <c r="E404" s="12"/>
      <c r="F404" s="12"/>
      <c r="G404" s="18"/>
      <c r="H404" s="35"/>
      <c r="I404" s="35"/>
      <c r="J404" s="12"/>
      <c r="O404" s="12"/>
      <c r="P404" s="18"/>
      <c r="Q404" s="12"/>
      <c r="R404" s="12"/>
      <c r="S404" s="12"/>
      <c r="T404" s="36"/>
      <c r="U404" s="36"/>
      <c r="V404" s="12"/>
      <c r="W404" s="12"/>
      <c r="X404" s="12"/>
      <c r="Y404" s="12"/>
      <c r="Z404" s="12"/>
    </row>
    <row r="405" customFormat="false" ht="15.75" hidden="false" customHeight="false" outlineLevel="0" collapsed="false">
      <c r="A405" s="12"/>
      <c r="B405" s="34"/>
      <c r="C405" s="12"/>
      <c r="D405" s="12"/>
      <c r="E405" s="12"/>
      <c r="F405" s="12"/>
      <c r="G405" s="18"/>
      <c r="H405" s="35"/>
      <c r="I405" s="35"/>
      <c r="J405" s="12"/>
      <c r="O405" s="12"/>
      <c r="P405" s="18"/>
      <c r="Q405" s="12"/>
      <c r="R405" s="12"/>
      <c r="S405" s="12"/>
      <c r="T405" s="36"/>
      <c r="U405" s="36"/>
      <c r="V405" s="12"/>
      <c r="W405" s="12"/>
      <c r="X405" s="12"/>
      <c r="Y405" s="12"/>
      <c r="Z405" s="12"/>
    </row>
    <row r="406" customFormat="false" ht="15.75" hidden="false" customHeight="false" outlineLevel="0" collapsed="false">
      <c r="A406" s="12"/>
      <c r="B406" s="34"/>
      <c r="C406" s="12"/>
      <c r="D406" s="12"/>
      <c r="E406" s="12"/>
      <c r="F406" s="12"/>
      <c r="G406" s="18"/>
      <c r="H406" s="35"/>
      <c r="I406" s="35"/>
      <c r="J406" s="12"/>
      <c r="O406" s="12"/>
      <c r="P406" s="18"/>
      <c r="Q406" s="12"/>
      <c r="R406" s="12"/>
      <c r="S406" s="12"/>
      <c r="T406" s="36"/>
      <c r="U406" s="36"/>
      <c r="V406" s="12"/>
      <c r="W406" s="12"/>
      <c r="X406" s="12"/>
      <c r="Y406" s="12"/>
      <c r="Z406" s="12"/>
    </row>
    <row r="407" customFormat="false" ht="15.75" hidden="false" customHeight="false" outlineLevel="0" collapsed="false">
      <c r="A407" s="12"/>
      <c r="B407" s="34"/>
      <c r="C407" s="12"/>
      <c r="D407" s="12"/>
      <c r="E407" s="12"/>
      <c r="F407" s="12"/>
      <c r="G407" s="18"/>
      <c r="H407" s="35"/>
      <c r="I407" s="35"/>
      <c r="J407" s="12"/>
      <c r="O407" s="12"/>
      <c r="P407" s="18"/>
      <c r="Q407" s="12"/>
      <c r="R407" s="12"/>
      <c r="S407" s="12"/>
      <c r="T407" s="36"/>
      <c r="U407" s="36"/>
      <c r="V407" s="12"/>
      <c r="W407" s="12"/>
      <c r="X407" s="12"/>
      <c r="Y407" s="12"/>
      <c r="Z407" s="12"/>
    </row>
    <row r="408" customFormat="false" ht="15.75" hidden="false" customHeight="false" outlineLevel="0" collapsed="false">
      <c r="A408" s="12"/>
      <c r="B408" s="34"/>
      <c r="C408" s="12"/>
      <c r="D408" s="12"/>
      <c r="E408" s="12"/>
      <c r="F408" s="12"/>
      <c r="G408" s="18"/>
      <c r="H408" s="35"/>
      <c r="I408" s="35"/>
      <c r="J408" s="12"/>
      <c r="O408" s="12"/>
      <c r="P408" s="18"/>
      <c r="Q408" s="12"/>
      <c r="R408" s="12"/>
      <c r="S408" s="12"/>
      <c r="T408" s="36"/>
      <c r="U408" s="36"/>
      <c r="V408" s="12"/>
      <c r="W408" s="12"/>
      <c r="X408" s="12"/>
      <c r="Y408" s="12"/>
      <c r="Z408" s="12"/>
    </row>
    <row r="409" customFormat="false" ht="15.75" hidden="false" customHeight="false" outlineLevel="0" collapsed="false">
      <c r="A409" s="12"/>
      <c r="B409" s="34"/>
      <c r="C409" s="12"/>
      <c r="D409" s="12"/>
      <c r="E409" s="12"/>
      <c r="F409" s="12"/>
      <c r="G409" s="18"/>
      <c r="H409" s="35"/>
      <c r="I409" s="35"/>
      <c r="J409" s="12"/>
      <c r="O409" s="12"/>
      <c r="P409" s="18"/>
      <c r="Q409" s="12"/>
      <c r="R409" s="12"/>
      <c r="S409" s="12"/>
      <c r="T409" s="36"/>
      <c r="U409" s="36"/>
      <c r="V409" s="12"/>
      <c r="W409" s="12"/>
      <c r="X409" s="12"/>
      <c r="Y409" s="12"/>
      <c r="Z409" s="12"/>
    </row>
    <row r="410" customFormat="false" ht="15.75" hidden="false" customHeight="false" outlineLevel="0" collapsed="false">
      <c r="A410" s="12"/>
      <c r="B410" s="34"/>
      <c r="C410" s="12"/>
      <c r="D410" s="12"/>
      <c r="E410" s="12"/>
      <c r="F410" s="12"/>
      <c r="G410" s="18"/>
      <c r="H410" s="35"/>
      <c r="I410" s="35"/>
      <c r="J410" s="12"/>
      <c r="O410" s="12"/>
      <c r="P410" s="18"/>
      <c r="Q410" s="12"/>
      <c r="R410" s="12"/>
      <c r="S410" s="12"/>
      <c r="T410" s="36"/>
      <c r="U410" s="36"/>
      <c r="V410" s="12"/>
      <c r="W410" s="12"/>
      <c r="X410" s="12"/>
      <c r="Y410" s="12"/>
      <c r="Z410" s="12"/>
    </row>
    <row r="411" customFormat="false" ht="15.75" hidden="false" customHeight="false" outlineLevel="0" collapsed="false">
      <c r="A411" s="12"/>
      <c r="B411" s="34"/>
      <c r="C411" s="12"/>
      <c r="D411" s="12"/>
      <c r="E411" s="12"/>
      <c r="F411" s="12"/>
      <c r="G411" s="18"/>
      <c r="H411" s="35"/>
      <c r="I411" s="35"/>
      <c r="J411" s="12"/>
      <c r="O411" s="12"/>
      <c r="P411" s="18"/>
      <c r="Q411" s="12"/>
      <c r="R411" s="12"/>
      <c r="S411" s="12"/>
      <c r="T411" s="36"/>
      <c r="U411" s="36"/>
      <c r="V411" s="12"/>
      <c r="W411" s="12"/>
      <c r="X411" s="12"/>
      <c r="Y411" s="12"/>
      <c r="Z411" s="12"/>
    </row>
    <row r="412" customFormat="false" ht="15.75" hidden="false" customHeight="false" outlineLevel="0" collapsed="false">
      <c r="A412" s="12"/>
      <c r="B412" s="34"/>
      <c r="C412" s="12"/>
      <c r="D412" s="12"/>
      <c r="E412" s="12"/>
      <c r="F412" s="12"/>
      <c r="G412" s="18"/>
      <c r="H412" s="35"/>
      <c r="I412" s="35"/>
      <c r="J412" s="12"/>
      <c r="O412" s="12"/>
      <c r="P412" s="18"/>
      <c r="Q412" s="12"/>
      <c r="R412" s="12"/>
      <c r="S412" s="12"/>
      <c r="T412" s="36"/>
      <c r="U412" s="36"/>
      <c r="V412" s="12"/>
      <c r="W412" s="12"/>
      <c r="X412" s="12"/>
      <c r="Y412" s="12"/>
      <c r="Z412" s="12"/>
    </row>
    <row r="413" customFormat="false" ht="15.75" hidden="false" customHeight="false" outlineLevel="0" collapsed="false">
      <c r="A413" s="12"/>
      <c r="B413" s="34"/>
      <c r="C413" s="12"/>
      <c r="D413" s="12"/>
      <c r="E413" s="12"/>
      <c r="F413" s="12"/>
      <c r="G413" s="18"/>
      <c r="H413" s="35"/>
      <c r="I413" s="35"/>
      <c r="J413" s="12"/>
      <c r="O413" s="12"/>
      <c r="P413" s="18"/>
      <c r="Q413" s="12"/>
      <c r="R413" s="12"/>
      <c r="S413" s="12"/>
      <c r="T413" s="36"/>
      <c r="U413" s="36"/>
      <c r="V413" s="12"/>
      <c r="W413" s="12"/>
      <c r="X413" s="12"/>
      <c r="Y413" s="12"/>
      <c r="Z413" s="12"/>
    </row>
    <row r="414" customFormat="false" ht="15.75" hidden="false" customHeight="false" outlineLevel="0" collapsed="false">
      <c r="A414" s="12"/>
      <c r="B414" s="34"/>
      <c r="C414" s="12"/>
      <c r="D414" s="12"/>
      <c r="E414" s="12"/>
      <c r="F414" s="12"/>
      <c r="G414" s="18"/>
      <c r="H414" s="35"/>
      <c r="I414" s="35"/>
      <c r="J414" s="12"/>
      <c r="O414" s="12"/>
      <c r="P414" s="18"/>
      <c r="Q414" s="12"/>
      <c r="R414" s="12"/>
      <c r="S414" s="12"/>
      <c r="T414" s="36"/>
      <c r="U414" s="36"/>
      <c r="V414" s="12"/>
      <c r="W414" s="12"/>
      <c r="X414" s="12"/>
      <c r="Y414" s="12"/>
      <c r="Z414" s="12"/>
    </row>
    <row r="415" customFormat="false" ht="15.75" hidden="false" customHeight="false" outlineLevel="0" collapsed="false">
      <c r="A415" s="12"/>
      <c r="B415" s="34"/>
      <c r="C415" s="12"/>
      <c r="D415" s="12"/>
      <c r="E415" s="12"/>
      <c r="F415" s="12"/>
      <c r="G415" s="18"/>
      <c r="H415" s="35"/>
      <c r="I415" s="35"/>
      <c r="J415" s="12"/>
      <c r="O415" s="12"/>
      <c r="P415" s="18"/>
      <c r="Q415" s="12"/>
      <c r="R415" s="12"/>
      <c r="S415" s="12"/>
      <c r="T415" s="36"/>
      <c r="U415" s="36"/>
      <c r="V415" s="12"/>
      <c r="W415" s="12"/>
      <c r="X415" s="12"/>
      <c r="Y415" s="12"/>
      <c r="Z415" s="12"/>
    </row>
    <row r="416" customFormat="false" ht="15.75" hidden="false" customHeight="false" outlineLevel="0" collapsed="false">
      <c r="A416" s="12"/>
      <c r="B416" s="34"/>
      <c r="C416" s="12"/>
      <c r="D416" s="12"/>
      <c r="E416" s="12"/>
      <c r="F416" s="12"/>
      <c r="G416" s="18"/>
      <c r="H416" s="35"/>
      <c r="I416" s="35"/>
      <c r="J416" s="12"/>
      <c r="O416" s="12"/>
      <c r="P416" s="18"/>
      <c r="Q416" s="12"/>
      <c r="R416" s="12"/>
      <c r="S416" s="12"/>
      <c r="T416" s="36"/>
      <c r="U416" s="36"/>
      <c r="V416" s="12"/>
      <c r="W416" s="12"/>
      <c r="X416" s="12"/>
      <c r="Y416" s="12"/>
      <c r="Z416" s="12"/>
    </row>
    <row r="417" customFormat="false" ht="15.75" hidden="false" customHeight="false" outlineLevel="0" collapsed="false">
      <c r="A417" s="12"/>
      <c r="B417" s="34"/>
      <c r="C417" s="12"/>
      <c r="D417" s="12"/>
      <c r="E417" s="12"/>
      <c r="F417" s="12"/>
      <c r="G417" s="18"/>
      <c r="H417" s="35"/>
      <c r="I417" s="35"/>
      <c r="J417" s="12"/>
      <c r="O417" s="12"/>
      <c r="P417" s="18"/>
      <c r="Q417" s="12"/>
      <c r="R417" s="12"/>
      <c r="S417" s="12"/>
      <c r="T417" s="36"/>
      <c r="U417" s="36"/>
      <c r="V417" s="12"/>
      <c r="W417" s="12"/>
      <c r="X417" s="12"/>
      <c r="Y417" s="12"/>
      <c r="Z417" s="12"/>
    </row>
    <row r="418" customFormat="false" ht="15.75" hidden="false" customHeight="false" outlineLevel="0" collapsed="false">
      <c r="A418" s="12"/>
      <c r="B418" s="34"/>
      <c r="C418" s="12"/>
      <c r="D418" s="12"/>
      <c r="E418" s="12"/>
      <c r="F418" s="12"/>
      <c r="G418" s="18"/>
      <c r="H418" s="35"/>
      <c r="I418" s="35"/>
      <c r="J418" s="12"/>
      <c r="O418" s="12"/>
      <c r="P418" s="18"/>
      <c r="Q418" s="12"/>
      <c r="R418" s="12"/>
      <c r="S418" s="12"/>
      <c r="T418" s="36"/>
      <c r="U418" s="36"/>
      <c r="V418" s="12"/>
      <c r="W418" s="12"/>
      <c r="X418" s="12"/>
      <c r="Y418" s="12"/>
      <c r="Z418" s="12"/>
    </row>
    <row r="419" customFormat="false" ht="15.75" hidden="false" customHeight="false" outlineLevel="0" collapsed="false">
      <c r="A419" s="12"/>
      <c r="B419" s="34"/>
      <c r="C419" s="12"/>
      <c r="D419" s="12"/>
      <c r="E419" s="12"/>
      <c r="F419" s="12"/>
      <c r="G419" s="18"/>
      <c r="H419" s="35"/>
      <c r="I419" s="35"/>
      <c r="J419" s="12"/>
      <c r="O419" s="12"/>
      <c r="P419" s="18"/>
      <c r="Q419" s="12"/>
      <c r="R419" s="12"/>
      <c r="S419" s="12"/>
      <c r="T419" s="36"/>
      <c r="U419" s="36"/>
      <c r="V419" s="12"/>
      <c r="W419" s="12"/>
      <c r="X419" s="12"/>
      <c r="Y419" s="12"/>
      <c r="Z419" s="12"/>
    </row>
    <row r="420" customFormat="false" ht="15.75" hidden="false" customHeight="false" outlineLevel="0" collapsed="false">
      <c r="A420" s="12"/>
      <c r="B420" s="34"/>
      <c r="C420" s="12"/>
      <c r="D420" s="12"/>
      <c r="E420" s="12"/>
      <c r="F420" s="12"/>
      <c r="G420" s="18"/>
      <c r="H420" s="35"/>
      <c r="I420" s="35"/>
      <c r="J420" s="12"/>
      <c r="O420" s="12"/>
      <c r="P420" s="18"/>
      <c r="Q420" s="12"/>
      <c r="R420" s="12"/>
      <c r="S420" s="12"/>
      <c r="T420" s="36"/>
      <c r="U420" s="36"/>
      <c r="V420" s="12"/>
      <c r="W420" s="12"/>
      <c r="X420" s="12"/>
      <c r="Y420" s="12"/>
      <c r="Z420" s="12"/>
    </row>
    <row r="421" customFormat="false" ht="15.75" hidden="false" customHeight="false" outlineLevel="0" collapsed="false">
      <c r="A421" s="12"/>
      <c r="B421" s="34"/>
      <c r="C421" s="12"/>
      <c r="D421" s="12"/>
      <c r="E421" s="12"/>
      <c r="F421" s="12"/>
      <c r="G421" s="18"/>
      <c r="H421" s="35"/>
      <c r="I421" s="35"/>
      <c r="J421" s="12"/>
      <c r="O421" s="12"/>
      <c r="P421" s="18"/>
      <c r="Q421" s="12"/>
      <c r="R421" s="12"/>
      <c r="S421" s="12"/>
      <c r="T421" s="36"/>
      <c r="U421" s="36"/>
      <c r="V421" s="12"/>
      <c r="W421" s="12"/>
      <c r="X421" s="12"/>
      <c r="Y421" s="12"/>
      <c r="Z421" s="12"/>
    </row>
    <row r="422" customFormat="false" ht="15.75" hidden="false" customHeight="false" outlineLevel="0" collapsed="false">
      <c r="A422" s="12"/>
      <c r="B422" s="34"/>
      <c r="C422" s="12"/>
      <c r="D422" s="12"/>
      <c r="E422" s="12"/>
      <c r="F422" s="12"/>
      <c r="G422" s="18"/>
      <c r="H422" s="35"/>
      <c r="I422" s="35"/>
      <c r="J422" s="12"/>
      <c r="O422" s="12"/>
      <c r="P422" s="18"/>
      <c r="Q422" s="12"/>
      <c r="R422" s="12"/>
      <c r="S422" s="12"/>
      <c r="T422" s="36"/>
      <c r="U422" s="36"/>
      <c r="V422" s="12"/>
      <c r="W422" s="12"/>
      <c r="X422" s="12"/>
      <c r="Y422" s="12"/>
      <c r="Z422" s="12"/>
    </row>
    <row r="423" customFormat="false" ht="15.75" hidden="false" customHeight="false" outlineLevel="0" collapsed="false">
      <c r="A423" s="12"/>
      <c r="B423" s="34"/>
      <c r="C423" s="12"/>
      <c r="D423" s="12"/>
      <c r="E423" s="12"/>
      <c r="F423" s="12"/>
      <c r="G423" s="18"/>
      <c r="H423" s="35"/>
      <c r="I423" s="35"/>
      <c r="J423" s="12"/>
      <c r="O423" s="12"/>
      <c r="P423" s="18"/>
      <c r="Q423" s="12"/>
      <c r="R423" s="12"/>
      <c r="S423" s="12"/>
      <c r="T423" s="36"/>
      <c r="U423" s="36"/>
      <c r="V423" s="12"/>
      <c r="W423" s="12"/>
      <c r="X423" s="12"/>
      <c r="Y423" s="12"/>
      <c r="Z423" s="12"/>
    </row>
    <row r="424" customFormat="false" ht="15.75" hidden="false" customHeight="false" outlineLevel="0" collapsed="false">
      <c r="A424" s="12"/>
      <c r="B424" s="34"/>
      <c r="C424" s="12"/>
      <c r="D424" s="12"/>
      <c r="E424" s="12"/>
      <c r="F424" s="12"/>
      <c r="G424" s="18"/>
      <c r="H424" s="35"/>
      <c r="I424" s="35"/>
      <c r="J424" s="12"/>
      <c r="O424" s="12"/>
      <c r="P424" s="18"/>
      <c r="Q424" s="12"/>
      <c r="R424" s="12"/>
      <c r="S424" s="12"/>
      <c r="T424" s="36"/>
      <c r="U424" s="36"/>
      <c r="V424" s="12"/>
      <c r="W424" s="12"/>
      <c r="X424" s="12"/>
      <c r="Y424" s="12"/>
      <c r="Z424" s="12"/>
    </row>
    <row r="425" customFormat="false" ht="15.75" hidden="false" customHeight="false" outlineLevel="0" collapsed="false">
      <c r="A425" s="12"/>
      <c r="B425" s="34"/>
      <c r="C425" s="12"/>
      <c r="D425" s="12"/>
      <c r="E425" s="12"/>
      <c r="F425" s="12"/>
      <c r="G425" s="18"/>
      <c r="H425" s="35"/>
      <c r="I425" s="35"/>
      <c r="J425" s="12"/>
      <c r="O425" s="12"/>
      <c r="P425" s="18"/>
      <c r="Q425" s="12"/>
      <c r="R425" s="12"/>
      <c r="S425" s="12"/>
      <c r="T425" s="36"/>
      <c r="U425" s="36"/>
      <c r="V425" s="12"/>
      <c r="W425" s="12"/>
      <c r="X425" s="12"/>
      <c r="Y425" s="12"/>
      <c r="Z425" s="12"/>
    </row>
    <row r="426" customFormat="false" ht="15.75" hidden="false" customHeight="false" outlineLevel="0" collapsed="false">
      <c r="A426" s="12"/>
      <c r="B426" s="34"/>
      <c r="C426" s="12"/>
      <c r="D426" s="12"/>
      <c r="E426" s="12"/>
      <c r="F426" s="12"/>
      <c r="G426" s="18"/>
      <c r="H426" s="35"/>
      <c r="I426" s="35"/>
      <c r="J426" s="12"/>
      <c r="O426" s="12"/>
      <c r="P426" s="18"/>
      <c r="Q426" s="12"/>
      <c r="R426" s="12"/>
      <c r="S426" s="12"/>
      <c r="T426" s="36"/>
      <c r="U426" s="36"/>
      <c r="V426" s="12"/>
      <c r="W426" s="12"/>
      <c r="X426" s="12"/>
      <c r="Y426" s="12"/>
      <c r="Z426" s="12"/>
    </row>
    <row r="427" customFormat="false" ht="15.75" hidden="false" customHeight="false" outlineLevel="0" collapsed="false">
      <c r="A427" s="12"/>
      <c r="B427" s="34"/>
      <c r="C427" s="12"/>
      <c r="D427" s="12"/>
      <c r="E427" s="12"/>
      <c r="F427" s="12"/>
      <c r="G427" s="18"/>
      <c r="H427" s="35"/>
      <c r="I427" s="35"/>
      <c r="J427" s="12"/>
      <c r="O427" s="12"/>
      <c r="P427" s="18"/>
      <c r="Q427" s="12"/>
      <c r="R427" s="12"/>
      <c r="S427" s="12"/>
      <c r="T427" s="36"/>
      <c r="U427" s="36"/>
      <c r="V427" s="12"/>
      <c r="W427" s="12"/>
      <c r="X427" s="12"/>
      <c r="Y427" s="12"/>
      <c r="Z427" s="12"/>
    </row>
    <row r="428" customFormat="false" ht="15.75" hidden="false" customHeight="false" outlineLevel="0" collapsed="false">
      <c r="A428" s="12"/>
      <c r="B428" s="34"/>
      <c r="C428" s="12"/>
      <c r="D428" s="12"/>
      <c r="E428" s="12"/>
      <c r="F428" s="12"/>
      <c r="G428" s="18"/>
      <c r="H428" s="35"/>
      <c r="I428" s="35"/>
      <c r="J428" s="12"/>
      <c r="O428" s="12"/>
      <c r="P428" s="18"/>
      <c r="Q428" s="12"/>
      <c r="R428" s="12"/>
      <c r="S428" s="12"/>
      <c r="T428" s="36"/>
      <c r="U428" s="36"/>
      <c r="V428" s="12"/>
      <c r="W428" s="12"/>
      <c r="X428" s="12"/>
      <c r="Y428" s="12"/>
      <c r="Z428" s="12"/>
    </row>
    <row r="429" customFormat="false" ht="15.75" hidden="false" customHeight="false" outlineLevel="0" collapsed="false">
      <c r="A429" s="12"/>
      <c r="B429" s="34"/>
      <c r="C429" s="12"/>
      <c r="D429" s="12"/>
      <c r="E429" s="12"/>
      <c r="F429" s="12"/>
      <c r="G429" s="18"/>
      <c r="H429" s="35"/>
      <c r="I429" s="35"/>
      <c r="J429" s="12"/>
      <c r="O429" s="12"/>
      <c r="P429" s="18"/>
      <c r="Q429" s="12"/>
      <c r="R429" s="12"/>
      <c r="S429" s="12"/>
      <c r="T429" s="36"/>
      <c r="U429" s="36"/>
      <c r="V429" s="12"/>
      <c r="W429" s="12"/>
      <c r="X429" s="12"/>
      <c r="Y429" s="12"/>
      <c r="Z429" s="12"/>
    </row>
    <row r="430" customFormat="false" ht="15.75" hidden="false" customHeight="false" outlineLevel="0" collapsed="false">
      <c r="A430" s="12"/>
      <c r="B430" s="34"/>
      <c r="C430" s="12"/>
      <c r="D430" s="12"/>
      <c r="E430" s="12"/>
      <c r="F430" s="12"/>
      <c r="G430" s="18"/>
      <c r="H430" s="35"/>
      <c r="I430" s="35"/>
      <c r="J430" s="12"/>
      <c r="O430" s="12"/>
      <c r="P430" s="18"/>
      <c r="Q430" s="12"/>
      <c r="R430" s="12"/>
      <c r="S430" s="12"/>
      <c r="T430" s="36"/>
      <c r="U430" s="36"/>
      <c r="V430" s="12"/>
      <c r="W430" s="12"/>
      <c r="X430" s="12"/>
      <c r="Y430" s="12"/>
      <c r="Z430" s="12"/>
    </row>
    <row r="431" customFormat="false" ht="15.75" hidden="false" customHeight="false" outlineLevel="0" collapsed="false">
      <c r="A431" s="12"/>
      <c r="B431" s="34"/>
      <c r="C431" s="12"/>
      <c r="D431" s="12"/>
      <c r="E431" s="12"/>
      <c r="F431" s="12"/>
      <c r="G431" s="18"/>
      <c r="H431" s="35"/>
      <c r="I431" s="35"/>
      <c r="J431" s="12"/>
      <c r="O431" s="12"/>
      <c r="P431" s="18"/>
      <c r="Q431" s="12"/>
      <c r="R431" s="12"/>
      <c r="S431" s="12"/>
      <c r="T431" s="36"/>
      <c r="U431" s="36"/>
      <c r="V431" s="12"/>
      <c r="W431" s="12"/>
      <c r="X431" s="12"/>
      <c r="Y431" s="12"/>
      <c r="Z431" s="12"/>
    </row>
    <row r="432" customFormat="false" ht="15.75" hidden="false" customHeight="false" outlineLevel="0" collapsed="false">
      <c r="A432" s="12"/>
      <c r="B432" s="34"/>
      <c r="C432" s="12"/>
      <c r="D432" s="12"/>
      <c r="E432" s="12"/>
      <c r="F432" s="12"/>
      <c r="G432" s="18"/>
      <c r="H432" s="35"/>
      <c r="I432" s="35"/>
      <c r="J432" s="12"/>
      <c r="O432" s="12"/>
      <c r="P432" s="18"/>
      <c r="Q432" s="12"/>
      <c r="R432" s="12"/>
      <c r="S432" s="12"/>
      <c r="T432" s="36"/>
      <c r="U432" s="36"/>
      <c r="V432" s="12"/>
      <c r="W432" s="12"/>
      <c r="X432" s="12"/>
      <c r="Y432" s="12"/>
      <c r="Z432" s="12"/>
    </row>
    <row r="433" customFormat="false" ht="15.75" hidden="false" customHeight="false" outlineLevel="0" collapsed="false">
      <c r="A433" s="12"/>
      <c r="B433" s="34"/>
      <c r="C433" s="12"/>
      <c r="D433" s="12"/>
      <c r="E433" s="12"/>
      <c r="F433" s="12"/>
      <c r="G433" s="18"/>
      <c r="H433" s="35"/>
      <c r="I433" s="35"/>
      <c r="J433" s="12"/>
      <c r="O433" s="12"/>
      <c r="P433" s="18"/>
      <c r="Q433" s="12"/>
      <c r="R433" s="12"/>
      <c r="S433" s="12"/>
      <c r="T433" s="36"/>
      <c r="U433" s="36"/>
      <c r="V433" s="12"/>
      <c r="W433" s="12"/>
      <c r="X433" s="12"/>
      <c r="Y433" s="12"/>
      <c r="Z433" s="12"/>
    </row>
    <row r="434" customFormat="false" ht="15.75" hidden="false" customHeight="false" outlineLevel="0" collapsed="false">
      <c r="A434" s="12"/>
      <c r="B434" s="34"/>
      <c r="C434" s="12"/>
      <c r="D434" s="12"/>
      <c r="E434" s="12"/>
      <c r="F434" s="12"/>
      <c r="G434" s="18"/>
      <c r="H434" s="35"/>
      <c r="I434" s="35"/>
      <c r="J434" s="12"/>
      <c r="O434" s="12"/>
      <c r="P434" s="18"/>
      <c r="Q434" s="12"/>
      <c r="R434" s="12"/>
      <c r="S434" s="12"/>
      <c r="T434" s="36"/>
      <c r="U434" s="36"/>
      <c r="V434" s="12"/>
      <c r="W434" s="12"/>
      <c r="X434" s="12"/>
      <c r="Y434" s="12"/>
      <c r="Z434" s="12"/>
    </row>
    <row r="435" customFormat="false" ht="15.75" hidden="false" customHeight="false" outlineLevel="0" collapsed="false">
      <c r="A435" s="12"/>
      <c r="B435" s="34"/>
      <c r="C435" s="12"/>
      <c r="D435" s="12"/>
      <c r="E435" s="12"/>
      <c r="F435" s="12"/>
      <c r="G435" s="18"/>
      <c r="H435" s="35"/>
      <c r="I435" s="35"/>
      <c r="J435" s="12"/>
      <c r="O435" s="12"/>
      <c r="P435" s="18"/>
      <c r="Q435" s="12"/>
      <c r="R435" s="12"/>
      <c r="S435" s="12"/>
      <c r="T435" s="36"/>
      <c r="U435" s="36"/>
      <c r="V435" s="12"/>
      <c r="W435" s="12"/>
      <c r="X435" s="12"/>
      <c r="Y435" s="12"/>
      <c r="Z435" s="12"/>
    </row>
    <row r="436" customFormat="false" ht="15.75" hidden="false" customHeight="false" outlineLevel="0" collapsed="false">
      <c r="A436" s="12"/>
      <c r="B436" s="34"/>
      <c r="C436" s="12"/>
      <c r="D436" s="12"/>
      <c r="E436" s="12"/>
      <c r="F436" s="12"/>
      <c r="G436" s="18"/>
      <c r="H436" s="35"/>
      <c r="I436" s="35"/>
      <c r="J436" s="12"/>
      <c r="O436" s="12"/>
      <c r="P436" s="18"/>
      <c r="Q436" s="12"/>
      <c r="R436" s="12"/>
      <c r="S436" s="12"/>
      <c r="T436" s="36"/>
      <c r="U436" s="36"/>
      <c r="V436" s="12"/>
      <c r="W436" s="12"/>
      <c r="X436" s="12"/>
      <c r="Y436" s="12"/>
      <c r="Z436" s="12"/>
    </row>
    <row r="437" customFormat="false" ht="15.75" hidden="false" customHeight="false" outlineLevel="0" collapsed="false">
      <c r="A437" s="12"/>
      <c r="B437" s="34"/>
      <c r="C437" s="12"/>
      <c r="D437" s="12"/>
      <c r="E437" s="12"/>
      <c r="F437" s="12"/>
      <c r="G437" s="18"/>
      <c r="H437" s="35"/>
      <c r="I437" s="35"/>
      <c r="J437" s="12"/>
      <c r="O437" s="12"/>
      <c r="P437" s="18"/>
      <c r="Q437" s="12"/>
      <c r="R437" s="12"/>
      <c r="S437" s="12"/>
      <c r="T437" s="36"/>
      <c r="U437" s="36"/>
      <c r="V437" s="12"/>
      <c r="W437" s="12"/>
      <c r="X437" s="12"/>
      <c r="Y437" s="12"/>
      <c r="Z437" s="12"/>
    </row>
    <row r="438" customFormat="false" ht="15.75" hidden="false" customHeight="false" outlineLevel="0" collapsed="false">
      <c r="A438" s="12"/>
      <c r="B438" s="34"/>
      <c r="C438" s="12"/>
      <c r="D438" s="12"/>
      <c r="E438" s="12"/>
      <c r="F438" s="12"/>
      <c r="G438" s="18"/>
      <c r="H438" s="35"/>
      <c r="I438" s="35"/>
      <c r="J438" s="12"/>
      <c r="O438" s="12"/>
      <c r="P438" s="18"/>
      <c r="Q438" s="12"/>
      <c r="R438" s="12"/>
      <c r="S438" s="12"/>
      <c r="T438" s="36"/>
      <c r="U438" s="36"/>
      <c r="V438" s="12"/>
      <c r="W438" s="12"/>
      <c r="X438" s="12"/>
      <c r="Y438" s="12"/>
      <c r="Z438" s="12"/>
    </row>
    <row r="439" customFormat="false" ht="15.75" hidden="false" customHeight="false" outlineLevel="0" collapsed="false">
      <c r="A439" s="12"/>
      <c r="B439" s="34"/>
      <c r="C439" s="12"/>
      <c r="D439" s="12"/>
      <c r="E439" s="12"/>
      <c r="F439" s="12"/>
      <c r="G439" s="18"/>
      <c r="H439" s="35"/>
      <c r="I439" s="35"/>
      <c r="J439" s="12"/>
      <c r="O439" s="12"/>
      <c r="P439" s="18"/>
      <c r="Q439" s="12"/>
      <c r="R439" s="12"/>
      <c r="S439" s="12"/>
      <c r="T439" s="36"/>
      <c r="U439" s="36"/>
      <c r="V439" s="12"/>
      <c r="W439" s="12"/>
      <c r="X439" s="12"/>
      <c r="Y439" s="12"/>
      <c r="Z439" s="12"/>
    </row>
    <row r="440" customFormat="false" ht="15.75" hidden="false" customHeight="false" outlineLevel="0" collapsed="false">
      <c r="A440" s="12"/>
      <c r="B440" s="34"/>
      <c r="C440" s="12"/>
      <c r="D440" s="12"/>
      <c r="E440" s="12"/>
      <c r="F440" s="12"/>
      <c r="G440" s="18"/>
      <c r="H440" s="35"/>
      <c r="I440" s="35"/>
      <c r="J440" s="12"/>
      <c r="O440" s="12"/>
      <c r="P440" s="18"/>
      <c r="Q440" s="12"/>
      <c r="R440" s="12"/>
      <c r="S440" s="12"/>
      <c r="T440" s="36"/>
      <c r="U440" s="36"/>
      <c r="V440" s="12"/>
      <c r="W440" s="12"/>
      <c r="X440" s="12"/>
      <c r="Y440" s="12"/>
      <c r="Z440" s="12"/>
    </row>
    <row r="441" customFormat="false" ht="15.75" hidden="false" customHeight="false" outlineLevel="0" collapsed="false">
      <c r="A441" s="12"/>
      <c r="B441" s="34"/>
      <c r="C441" s="12"/>
      <c r="D441" s="12"/>
      <c r="E441" s="12"/>
      <c r="F441" s="12"/>
      <c r="G441" s="18"/>
      <c r="H441" s="35"/>
      <c r="I441" s="35"/>
      <c r="J441" s="12"/>
      <c r="O441" s="12"/>
      <c r="P441" s="18"/>
      <c r="Q441" s="12"/>
      <c r="R441" s="12"/>
      <c r="S441" s="12"/>
      <c r="T441" s="36"/>
      <c r="U441" s="36"/>
      <c r="V441" s="12"/>
      <c r="W441" s="12"/>
      <c r="X441" s="12"/>
      <c r="Y441" s="12"/>
      <c r="Z441" s="12"/>
    </row>
    <row r="442" customFormat="false" ht="15.75" hidden="false" customHeight="false" outlineLevel="0" collapsed="false">
      <c r="A442" s="12"/>
      <c r="B442" s="34"/>
      <c r="C442" s="12"/>
      <c r="D442" s="12"/>
      <c r="E442" s="12"/>
      <c r="F442" s="12"/>
      <c r="G442" s="18"/>
      <c r="H442" s="35"/>
      <c r="I442" s="35"/>
      <c r="J442" s="12"/>
      <c r="O442" s="12"/>
      <c r="P442" s="18"/>
      <c r="Q442" s="12"/>
      <c r="R442" s="12"/>
      <c r="S442" s="12"/>
      <c r="T442" s="36"/>
      <c r="U442" s="36"/>
      <c r="V442" s="12"/>
      <c r="W442" s="12"/>
      <c r="X442" s="12"/>
      <c r="Y442" s="12"/>
      <c r="Z442" s="12"/>
    </row>
    <row r="443" customFormat="false" ht="15.75" hidden="false" customHeight="false" outlineLevel="0" collapsed="false">
      <c r="A443" s="12"/>
      <c r="B443" s="34"/>
      <c r="C443" s="12"/>
      <c r="D443" s="12"/>
      <c r="E443" s="12"/>
      <c r="F443" s="12"/>
      <c r="G443" s="18"/>
      <c r="H443" s="35"/>
      <c r="I443" s="35"/>
      <c r="J443" s="12"/>
      <c r="O443" s="12"/>
      <c r="P443" s="18"/>
      <c r="Q443" s="12"/>
      <c r="R443" s="12"/>
      <c r="S443" s="12"/>
      <c r="T443" s="36"/>
      <c r="U443" s="36"/>
      <c r="V443" s="12"/>
      <c r="W443" s="12"/>
      <c r="X443" s="12"/>
      <c r="Y443" s="12"/>
      <c r="Z443" s="12"/>
    </row>
    <row r="444" customFormat="false" ht="15.75" hidden="false" customHeight="false" outlineLevel="0" collapsed="false">
      <c r="A444" s="12"/>
      <c r="B444" s="34"/>
      <c r="C444" s="12"/>
      <c r="D444" s="12"/>
      <c r="E444" s="12"/>
      <c r="F444" s="12"/>
      <c r="G444" s="18"/>
      <c r="H444" s="35"/>
      <c r="I444" s="35"/>
      <c r="J444" s="12"/>
      <c r="O444" s="12"/>
      <c r="P444" s="18"/>
      <c r="Q444" s="12"/>
      <c r="R444" s="12"/>
      <c r="S444" s="12"/>
      <c r="T444" s="36"/>
      <c r="U444" s="36"/>
      <c r="V444" s="12"/>
      <c r="W444" s="12"/>
      <c r="X444" s="12"/>
      <c r="Y444" s="12"/>
      <c r="Z444" s="12"/>
    </row>
    <row r="445" customFormat="false" ht="15.75" hidden="false" customHeight="false" outlineLevel="0" collapsed="false">
      <c r="A445" s="12"/>
      <c r="B445" s="34"/>
      <c r="C445" s="12"/>
      <c r="D445" s="12"/>
      <c r="E445" s="12"/>
      <c r="F445" s="12"/>
      <c r="G445" s="18"/>
      <c r="H445" s="35"/>
      <c r="I445" s="35"/>
      <c r="J445" s="12"/>
      <c r="O445" s="12"/>
      <c r="P445" s="18"/>
      <c r="Q445" s="12"/>
      <c r="R445" s="12"/>
      <c r="S445" s="12"/>
      <c r="T445" s="36"/>
      <c r="U445" s="36"/>
      <c r="V445" s="12"/>
      <c r="W445" s="12"/>
      <c r="X445" s="12"/>
      <c r="Y445" s="12"/>
      <c r="Z445" s="12"/>
    </row>
    <row r="446" customFormat="false" ht="15.75" hidden="false" customHeight="false" outlineLevel="0" collapsed="false">
      <c r="A446" s="12"/>
      <c r="B446" s="34"/>
      <c r="C446" s="12"/>
      <c r="D446" s="12"/>
      <c r="E446" s="12"/>
      <c r="F446" s="12"/>
      <c r="G446" s="18"/>
      <c r="H446" s="35"/>
      <c r="I446" s="35"/>
      <c r="J446" s="12"/>
      <c r="O446" s="12"/>
      <c r="P446" s="18"/>
      <c r="Q446" s="12"/>
      <c r="R446" s="12"/>
      <c r="S446" s="12"/>
      <c r="T446" s="36"/>
      <c r="U446" s="36"/>
      <c r="V446" s="12"/>
      <c r="W446" s="12"/>
      <c r="X446" s="12"/>
      <c r="Y446" s="12"/>
      <c r="Z446" s="12"/>
    </row>
    <row r="447" customFormat="false" ht="15.75" hidden="false" customHeight="false" outlineLevel="0" collapsed="false">
      <c r="A447" s="12"/>
      <c r="B447" s="34"/>
      <c r="C447" s="12"/>
      <c r="D447" s="12"/>
      <c r="E447" s="12"/>
      <c r="F447" s="12"/>
      <c r="G447" s="18"/>
      <c r="H447" s="35"/>
      <c r="I447" s="35"/>
      <c r="J447" s="12"/>
      <c r="O447" s="12"/>
      <c r="P447" s="18"/>
      <c r="Q447" s="12"/>
      <c r="R447" s="12"/>
      <c r="S447" s="12"/>
      <c r="T447" s="36"/>
      <c r="U447" s="36"/>
      <c r="V447" s="12"/>
      <c r="W447" s="12"/>
      <c r="X447" s="12"/>
      <c r="Y447" s="12"/>
      <c r="Z447" s="12"/>
    </row>
    <row r="448" customFormat="false" ht="15.75" hidden="false" customHeight="false" outlineLevel="0" collapsed="false">
      <c r="A448" s="12"/>
      <c r="B448" s="34"/>
      <c r="C448" s="12"/>
      <c r="D448" s="12"/>
      <c r="E448" s="12"/>
      <c r="F448" s="12"/>
      <c r="G448" s="18"/>
      <c r="H448" s="35"/>
      <c r="I448" s="35"/>
      <c r="J448" s="12"/>
      <c r="O448" s="12"/>
      <c r="P448" s="18"/>
      <c r="Q448" s="12"/>
      <c r="R448" s="12"/>
      <c r="S448" s="12"/>
      <c r="T448" s="36"/>
      <c r="U448" s="36"/>
      <c r="V448" s="12"/>
      <c r="W448" s="12"/>
      <c r="X448" s="12"/>
      <c r="Y448" s="12"/>
      <c r="Z448" s="12"/>
    </row>
    <row r="449" customFormat="false" ht="15.75" hidden="false" customHeight="false" outlineLevel="0" collapsed="false">
      <c r="A449" s="12"/>
      <c r="B449" s="34"/>
      <c r="C449" s="12"/>
      <c r="D449" s="12"/>
      <c r="E449" s="12"/>
      <c r="F449" s="12"/>
      <c r="G449" s="18"/>
      <c r="H449" s="35"/>
      <c r="I449" s="35"/>
      <c r="J449" s="12"/>
      <c r="O449" s="12"/>
      <c r="P449" s="18"/>
      <c r="Q449" s="12"/>
      <c r="R449" s="12"/>
      <c r="S449" s="12"/>
      <c r="T449" s="36"/>
      <c r="U449" s="36"/>
      <c r="V449" s="12"/>
      <c r="W449" s="12"/>
      <c r="X449" s="12"/>
      <c r="Y449" s="12"/>
      <c r="Z449" s="12"/>
    </row>
    <row r="450" customFormat="false" ht="15.75" hidden="false" customHeight="false" outlineLevel="0" collapsed="false">
      <c r="A450" s="12"/>
      <c r="B450" s="34"/>
      <c r="C450" s="12"/>
      <c r="D450" s="12"/>
      <c r="E450" s="12"/>
      <c r="F450" s="12"/>
      <c r="G450" s="18"/>
      <c r="H450" s="35"/>
      <c r="I450" s="35"/>
      <c r="J450" s="12"/>
      <c r="O450" s="12"/>
      <c r="P450" s="18"/>
      <c r="Q450" s="12"/>
      <c r="R450" s="12"/>
      <c r="S450" s="12"/>
      <c r="T450" s="36"/>
      <c r="U450" s="36"/>
      <c r="V450" s="12"/>
      <c r="W450" s="12"/>
      <c r="X450" s="12"/>
      <c r="Y450" s="12"/>
      <c r="Z450" s="12"/>
    </row>
    <row r="451" customFormat="false" ht="15.75" hidden="false" customHeight="false" outlineLevel="0" collapsed="false">
      <c r="A451" s="12"/>
      <c r="B451" s="34"/>
      <c r="C451" s="12"/>
      <c r="D451" s="12"/>
      <c r="E451" s="12"/>
      <c r="F451" s="12"/>
      <c r="G451" s="18"/>
      <c r="H451" s="35"/>
      <c r="I451" s="35"/>
      <c r="J451" s="12"/>
      <c r="O451" s="12"/>
      <c r="P451" s="18"/>
      <c r="Q451" s="12"/>
      <c r="R451" s="12"/>
      <c r="S451" s="12"/>
      <c r="T451" s="36"/>
      <c r="U451" s="36"/>
      <c r="V451" s="12"/>
      <c r="W451" s="12"/>
      <c r="X451" s="12"/>
      <c r="Y451" s="12"/>
      <c r="Z451" s="12"/>
    </row>
    <row r="452" customFormat="false" ht="15.75" hidden="false" customHeight="false" outlineLevel="0" collapsed="false">
      <c r="A452" s="12"/>
      <c r="B452" s="34"/>
      <c r="C452" s="12"/>
      <c r="D452" s="12"/>
      <c r="E452" s="12"/>
      <c r="F452" s="12"/>
      <c r="G452" s="18"/>
      <c r="H452" s="35"/>
      <c r="I452" s="35"/>
      <c r="J452" s="12"/>
      <c r="O452" s="12"/>
      <c r="P452" s="18"/>
      <c r="Q452" s="12"/>
      <c r="R452" s="12"/>
      <c r="S452" s="12"/>
      <c r="T452" s="36"/>
      <c r="U452" s="36"/>
      <c r="V452" s="12"/>
      <c r="W452" s="12"/>
      <c r="X452" s="12"/>
      <c r="Y452" s="12"/>
      <c r="Z452" s="12"/>
    </row>
    <row r="453" customFormat="false" ht="15.75" hidden="false" customHeight="false" outlineLevel="0" collapsed="false">
      <c r="A453" s="12"/>
      <c r="B453" s="34"/>
      <c r="C453" s="12"/>
      <c r="D453" s="12"/>
      <c r="E453" s="12"/>
      <c r="F453" s="12"/>
      <c r="G453" s="18"/>
      <c r="H453" s="35"/>
      <c r="I453" s="35"/>
      <c r="J453" s="12"/>
      <c r="O453" s="12"/>
      <c r="P453" s="18"/>
      <c r="Q453" s="12"/>
      <c r="R453" s="12"/>
      <c r="S453" s="12"/>
      <c r="T453" s="36"/>
      <c r="U453" s="36"/>
      <c r="V453" s="12"/>
      <c r="W453" s="12"/>
      <c r="X453" s="12"/>
      <c r="Y453" s="12"/>
      <c r="Z453" s="12"/>
    </row>
    <row r="454" customFormat="false" ht="15.75" hidden="false" customHeight="false" outlineLevel="0" collapsed="false">
      <c r="A454" s="12"/>
      <c r="B454" s="34"/>
      <c r="C454" s="12"/>
      <c r="D454" s="12"/>
      <c r="E454" s="12"/>
      <c r="F454" s="12"/>
      <c r="G454" s="18"/>
      <c r="H454" s="35"/>
      <c r="I454" s="35"/>
      <c r="J454" s="12"/>
      <c r="O454" s="12"/>
      <c r="P454" s="18"/>
      <c r="Q454" s="12"/>
      <c r="R454" s="12"/>
      <c r="S454" s="12"/>
      <c r="T454" s="36"/>
      <c r="U454" s="36"/>
      <c r="V454" s="12"/>
      <c r="W454" s="12"/>
      <c r="X454" s="12"/>
      <c r="Y454" s="12"/>
      <c r="Z454" s="12"/>
    </row>
    <row r="455" customFormat="false" ht="15.75" hidden="false" customHeight="false" outlineLevel="0" collapsed="false">
      <c r="A455" s="12"/>
      <c r="B455" s="34"/>
      <c r="C455" s="12"/>
      <c r="D455" s="12"/>
      <c r="E455" s="12"/>
      <c r="F455" s="12"/>
      <c r="G455" s="18"/>
      <c r="H455" s="35"/>
      <c r="I455" s="35"/>
      <c r="J455" s="12"/>
      <c r="O455" s="12"/>
      <c r="P455" s="18"/>
      <c r="Q455" s="12"/>
      <c r="R455" s="12"/>
      <c r="S455" s="12"/>
      <c r="T455" s="36"/>
      <c r="U455" s="36"/>
      <c r="V455" s="12"/>
      <c r="W455" s="12"/>
      <c r="X455" s="12"/>
      <c r="Y455" s="12"/>
      <c r="Z455" s="12"/>
    </row>
    <row r="456" customFormat="false" ht="15.75" hidden="false" customHeight="false" outlineLevel="0" collapsed="false">
      <c r="A456" s="12"/>
      <c r="B456" s="34"/>
      <c r="C456" s="12"/>
      <c r="D456" s="12"/>
      <c r="E456" s="12"/>
      <c r="F456" s="12"/>
      <c r="G456" s="18"/>
      <c r="H456" s="35"/>
      <c r="I456" s="35"/>
      <c r="J456" s="12"/>
      <c r="O456" s="12"/>
      <c r="P456" s="18"/>
      <c r="Q456" s="12"/>
      <c r="R456" s="12"/>
      <c r="S456" s="12"/>
      <c r="T456" s="36"/>
      <c r="U456" s="36"/>
      <c r="V456" s="12"/>
      <c r="W456" s="12"/>
      <c r="X456" s="12"/>
      <c r="Y456" s="12"/>
      <c r="Z456" s="12"/>
    </row>
    <row r="457" customFormat="false" ht="15.75" hidden="false" customHeight="false" outlineLevel="0" collapsed="false">
      <c r="A457" s="12"/>
      <c r="B457" s="34"/>
      <c r="C457" s="12"/>
      <c r="D457" s="12"/>
      <c r="E457" s="12"/>
      <c r="F457" s="12"/>
      <c r="G457" s="18"/>
      <c r="H457" s="35"/>
      <c r="I457" s="35"/>
      <c r="J457" s="12"/>
      <c r="O457" s="12"/>
      <c r="P457" s="18"/>
      <c r="Q457" s="12"/>
      <c r="R457" s="12"/>
      <c r="S457" s="12"/>
      <c r="T457" s="36"/>
      <c r="U457" s="36"/>
      <c r="V457" s="12"/>
      <c r="W457" s="12"/>
      <c r="X457" s="12"/>
      <c r="Y457" s="12"/>
      <c r="Z457" s="12"/>
    </row>
    <row r="458" customFormat="false" ht="15.75" hidden="false" customHeight="false" outlineLevel="0" collapsed="false">
      <c r="A458" s="12"/>
      <c r="B458" s="34"/>
      <c r="C458" s="12"/>
      <c r="D458" s="12"/>
      <c r="E458" s="12"/>
      <c r="F458" s="12"/>
      <c r="G458" s="18"/>
      <c r="H458" s="35"/>
      <c r="I458" s="35"/>
      <c r="J458" s="12"/>
      <c r="O458" s="12"/>
      <c r="P458" s="18"/>
      <c r="Q458" s="12"/>
      <c r="R458" s="12"/>
      <c r="S458" s="12"/>
      <c r="T458" s="36"/>
      <c r="U458" s="36"/>
      <c r="V458" s="12"/>
      <c r="W458" s="12"/>
      <c r="X458" s="12"/>
      <c r="Y458" s="12"/>
      <c r="Z458" s="12"/>
    </row>
    <row r="459" customFormat="false" ht="15.75" hidden="false" customHeight="false" outlineLevel="0" collapsed="false">
      <c r="A459" s="12"/>
      <c r="B459" s="34"/>
      <c r="C459" s="12"/>
      <c r="D459" s="12"/>
      <c r="E459" s="12"/>
      <c r="F459" s="12"/>
      <c r="G459" s="18"/>
      <c r="H459" s="35"/>
      <c r="I459" s="35"/>
      <c r="J459" s="12"/>
      <c r="O459" s="12"/>
      <c r="P459" s="18"/>
      <c r="Q459" s="12"/>
      <c r="R459" s="12"/>
      <c r="S459" s="12"/>
      <c r="T459" s="36"/>
      <c r="U459" s="36"/>
      <c r="V459" s="12"/>
      <c r="W459" s="12"/>
      <c r="X459" s="12"/>
      <c r="Y459" s="12"/>
      <c r="Z459" s="12"/>
    </row>
    <row r="460" customFormat="false" ht="15.75" hidden="false" customHeight="false" outlineLevel="0" collapsed="false">
      <c r="A460" s="12"/>
      <c r="B460" s="34"/>
      <c r="C460" s="12"/>
      <c r="D460" s="12"/>
      <c r="E460" s="12"/>
      <c r="F460" s="12"/>
      <c r="G460" s="18"/>
      <c r="H460" s="35"/>
      <c r="I460" s="35"/>
      <c r="J460" s="12"/>
      <c r="O460" s="12"/>
      <c r="P460" s="18"/>
      <c r="Q460" s="12"/>
      <c r="R460" s="12"/>
      <c r="S460" s="12"/>
      <c r="T460" s="36"/>
      <c r="U460" s="36"/>
      <c r="V460" s="12"/>
      <c r="W460" s="12"/>
      <c r="X460" s="12"/>
      <c r="Y460" s="12"/>
      <c r="Z460" s="12"/>
    </row>
    <row r="461" customFormat="false" ht="15.75" hidden="false" customHeight="false" outlineLevel="0" collapsed="false">
      <c r="A461" s="12"/>
      <c r="B461" s="34"/>
      <c r="C461" s="12"/>
      <c r="D461" s="12"/>
      <c r="E461" s="12"/>
      <c r="F461" s="12"/>
      <c r="G461" s="18"/>
      <c r="H461" s="35"/>
      <c r="I461" s="35"/>
      <c r="J461" s="12"/>
      <c r="O461" s="12"/>
      <c r="P461" s="18"/>
      <c r="Q461" s="12"/>
      <c r="R461" s="12"/>
      <c r="S461" s="12"/>
      <c r="T461" s="36"/>
      <c r="U461" s="36"/>
      <c r="V461" s="12"/>
      <c r="W461" s="12"/>
      <c r="X461" s="12"/>
      <c r="Y461" s="12"/>
      <c r="Z461" s="12"/>
    </row>
    <row r="462" customFormat="false" ht="15.75" hidden="false" customHeight="false" outlineLevel="0" collapsed="false">
      <c r="A462" s="12"/>
      <c r="B462" s="34"/>
      <c r="C462" s="12"/>
      <c r="D462" s="12"/>
      <c r="E462" s="12"/>
      <c r="F462" s="12"/>
      <c r="G462" s="18"/>
      <c r="H462" s="35"/>
      <c r="I462" s="35"/>
      <c r="J462" s="12"/>
      <c r="O462" s="12"/>
      <c r="P462" s="18"/>
      <c r="Q462" s="12"/>
      <c r="R462" s="12"/>
      <c r="S462" s="12"/>
      <c r="T462" s="36"/>
      <c r="U462" s="36"/>
      <c r="V462" s="12"/>
      <c r="W462" s="12"/>
      <c r="X462" s="12"/>
      <c r="Y462" s="12"/>
      <c r="Z462" s="12"/>
    </row>
    <row r="463" customFormat="false" ht="15.75" hidden="false" customHeight="false" outlineLevel="0" collapsed="false">
      <c r="A463" s="12"/>
      <c r="B463" s="34"/>
      <c r="C463" s="12"/>
      <c r="D463" s="12"/>
      <c r="E463" s="12"/>
      <c r="F463" s="12"/>
      <c r="G463" s="18"/>
      <c r="H463" s="35"/>
      <c r="I463" s="35"/>
      <c r="J463" s="12"/>
      <c r="O463" s="12"/>
      <c r="P463" s="18"/>
      <c r="Q463" s="12"/>
      <c r="R463" s="12"/>
      <c r="S463" s="12"/>
      <c r="T463" s="36"/>
      <c r="U463" s="36"/>
      <c r="V463" s="12"/>
      <c r="W463" s="12"/>
      <c r="X463" s="12"/>
      <c r="Y463" s="12"/>
      <c r="Z463" s="12"/>
    </row>
    <row r="464" customFormat="false" ht="15.75" hidden="false" customHeight="false" outlineLevel="0" collapsed="false">
      <c r="A464" s="12"/>
      <c r="B464" s="34"/>
      <c r="C464" s="12"/>
      <c r="D464" s="12"/>
      <c r="E464" s="12"/>
      <c r="F464" s="12"/>
      <c r="G464" s="18"/>
      <c r="H464" s="35"/>
      <c r="I464" s="35"/>
      <c r="J464" s="12"/>
      <c r="O464" s="12"/>
      <c r="P464" s="18"/>
      <c r="Q464" s="12"/>
      <c r="R464" s="12"/>
      <c r="S464" s="12"/>
      <c r="T464" s="36"/>
      <c r="U464" s="36"/>
      <c r="V464" s="12"/>
      <c r="W464" s="12"/>
      <c r="X464" s="12"/>
      <c r="Y464" s="12"/>
      <c r="Z464" s="12"/>
    </row>
    <row r="465" customFormat="false" ht="15.75" hidden="false" customHeight="false" outlineLevel="0" collapsed="false">
      <c r="A465" s="12"/>
      <c r="B465" s="34"/>
      <c r="C465" s="12"/>
      <c r="D465" s="12"/>
      <c r="E465" s="12"/>
      <c r="F465" s="12"/>
      <c r="G465" s="18"/>
      <c r="H465" s="35"/>
      <c r="I465" s="35"/>
      <c r="J465" s="12"/>
      <c r="O465" s="12"/>
      <c r="P465" s="18"/>
      <c r="Q465" s="12"/>
      <c r="R465" s="12"/>
      <c r="S465" s="12"/>
      <c r="T465" s="36"/>
      <c r="U465" s="36"/>
      <c r="V465" s="12"/>
      <c r="W465" s="12"/>
      <c r="X465" s="12"/>
      <c r="Y465" s="12"/>
      <c r="Z465" s="12"/>
    </row>
    <row r="466" customFormat="false" ht="15.75" hidden="false" customHeight="false" outlineLevel="0" collapsed="false">
      <c r="A466" s="12"/>
      <c r="B466" s="34"/>
      <c r="C466" s="12"/>
      <c r="D466" s="12"/>
      <c r="E466" s="12"/>
      <c r="F466" s="12"/>
      <c r="G466" s="18"/>
      <c r="H466" s="35"/>
      <c r="I466" s="35"/>
      <c r="J466" s="12"/>
      <c r="O466" s="12"/>
      <c r="P466" s="18"/>
      <c r="Q466" s="12"/>
      <c r="R466" s="12"/>
      <c r="S466" s="12"/>
      <c r="T466" s="36"/>
      <c r="U466" s="36"/>
      <c r="V466" s="12"/>
      <c r="W466" s="12"/>
      <c r="X466" s="12"/>
      <c r="Y466" s="12"/>
      <c r="Z466" s="12"/>
    </row>
    <row r="467" customFormat="false" ht="15.75" hidden="false" customHeight="false" outlineLevel="0" collapsed="false">
      <c r="A467" s="12"/>
      <c r="B467" s="34"/>
      <c r="C467" s="12"/>
      <c r="D467" s="12"/>
      <c r="E467" s="12"/>
      <c r="F467" s="12"/>
      <c r="G467" s="18"/>
      <c r="H467" s="35"/>
      <c r="I467" s="35"/>
      <c r="J467" s="12"/>
      <c r="O467" s="12"/>
      <c r="P467" s="18"/>
      <c r="Q467" s="12"/>
      <c r="R467" s="12"/>
      <c r="S467" s="12"/>
      <c r="T467" s="36"/>
      <c r="U467" s="36"/>
      <c r="V467" s="12"/>
      <c r="W467" s="12"/>
      <c r="X467" s="12"/>
      <c r="Y467" s="12"/>
      <c r="Z467" s="12"/>
    </row>
    <row r="468" customFormat="false" ht="15.75" hidden="false" customHeight="false" outlineLevel="0" collapsed="false">
      <c r="A468" s="12"/>
      <c r="B468" s="34"/>
      <c r="C468" s="12"/>
      <c r="D468" s="12"/>
      <c r="E468" s="12"/>
      <c r="F468" s="12"/>
      <c r="G468" s="18"/>
      <c r="H468" s="35"/>
      <c r="I468" s="35"/>
      <c r="J468" s="12"/>
      <c r="O468" s="12"/>
      <c r="P468" s="18"/>
      <c r="Q468" s="12"/>
      <c r="R468" s="12"/>
      <c r="S468" s="12"/>
      <c r="T468" s="36"/>
      <c r="U468" s="36"/>
      <c r="V468" s="12"/>
      <c r="W468" s="12"/>
      <c r="X468" s="12"/>
      <c r="Y468" s="12"/>
      <c r="Z468" s="12"/>
    </row>
    <row r="469" customFormat="false" ht="15.75" hidden="false" customHeight="false" outlineLevel="0" collapsed="false">
      <c r="A469" s="12"/>
      <c r="B469" s="34"/>
      <c r="C469" s="12"/>
      <c r="D469" s="12"/>
      <c r="E469" s="12"/>
      <c r="F469" s="12"/>
      <c r="G469" s="18"/>
      <c r="H469" s="35"/>
      <c r="I469" s="35"/>
      <c r="J469" s="12"/>
      <c r="O469" s="12"/>
      <c r="P469" s="18"/>
      <c r="Q469" s="12"/>
      <c r="R469" s="12"/>
      <c r="S469" s="12"/>
      <c r="T469" s="36"/>
      <c r="U469" s="36"/>
      <c r="V469" s="12"/>
      <c r="W469" s="12"/>
      <c r="X469" s="12"/>
      <c r="Y469" s="12"/>
      <c r="Z469" s="12"/>
    </row>
    <row r="470" customFormat="false" ht="15.75" hidden="false" customHeight="false" outlineLevel="0" collapsed="false">
      <c r="A470" s="12"/>
      <c r="B470" s="34"/>
      <c r="C470" s="12"/>
      <c r="D470" s="12"/>
      <c r="E470" s="12"/>
      <c r="F470" s="12"/>
      <c r="G470" s="18"/>
      <c r="H470" s="35"/>
      <c r="I470" s="35"/>
      <c r="J470" s="12"/>
      <c r="O470" s="12"/>
      <c r="P470" s="18"/>
      <c r="Q470" s="12"/>
      <c r="R470" s="12"/>
      <c r="S470" s="12"/>
      <c r="T470" s="36"/>
      <c r="U470" s="36"/>
      <c r="V470" s="12"/>
      <c r="W470" s="12"/>
      <c r="X470" s="12"/>
      <c r="Y470" s="12"/>
      <c r="Z470" s="12"/>
    </row>
    <row r="471" customFormat="false" ht="15.75" hidden="false" customHeight="false" outlineLevel="0" collapsed="false">
      <c r="A471" s="12"/>
      <c r="B471" s="34"/>
      <c r="C471" s="12"/>
      <c r="D471" s="12"/>
      <c r="E471" s="12"/>
      <c r="F471" s="12"/>
      <c r="G471" s="18"/>
      <c r="H471" s="35"/>
      <c r="I471" s="35"/>
      <c r="J471" s="12"/>
      <c r="O471" s="12"/>
      <c r="P471" s="18"/>
      <c r="Q471" s="12"/>
      <c r="R471" s="12"/>
      <c r="S471" s="12"/>
      <c r="T471" s="36"/>
      <c r="U471" s="36"/>
      <c r="V471" s="12"/>
      <c r="W471" s="12"/>
      <c r="X471" s="12"/>
      <c r="Y471" s="12"/>
      <c r="Z471" s="12"/>
    </row>
    <row r="472" customFormat="false" ht="15.75" hidden="false" customHeight="false" outlineLevel="0" collapsed="false">
      <c r="A472" s="12"/>
      <c r="B472" s="34"/>
      <c r="C472" s="12"/>
      <c r="D472" s="12"/>
      <c r="E472" s="12"/>
      <c r="F472" s="12"/>
      <c r="G472" s="18"/>
      <c r="H472" s="35"/>
      <c r="I472" s="35"/>
      <c r="J472" s="12"/>
      <c r="O472" s="12"/>
      <c r="P472" s="18"/>
      <c r="Q472" s="12"/>
      <c r="R472" s="12"/>
      <c r="S472" s="12"/>
      <c r="T472" s="36"/>
      <c r="U472" s="36"/>
      <c r="V472" s="12"/>
      <c r="W472" s="12"/>
      <c r="X472" s="12"/>
      <c r="Y472" s="12"/>
      <c r="Z472" s="12"/>
    </row>
    <row r="473" customFormat="false" ht="15.75" hidden="false" customHeight="false" outlineLevel="0" collapsed="false">
      <c r="A473" s="12"/>
      <c r="B473" s="34"/>
      <c r="C473" s="12"/>
      <c r="D473" s="12"/>
      <c r="E473" s="12"/>
      <c r="F473" s="12"/>
      <c r="G473" s="18"/>
      <c r="H473" s="35"/>
      <c r="I473" s="35"/>
      <c r="J473" s="12"/>
      <c r="O473" s="12"/>
      <c r="P473" s="18"/>
      <c r="Q473" s="12"/>
      <c r="R473" s="12"/>
      <c r="S473" s="12"/>
      <c r="T473" s="36"/>
      <c r="U473" s="36"/>
      <c r="V473" s="12"/>
      <c r="W473" s="12"/>
      <c r="X473" s="12"/>
      <c r="Y473" s="12"/>
      <c r="Z473" s="12"/>
    </row>
    <row r="474" customFormat="false" ht="15.75" hidden="false" customHeight="false" outlineLevel="0" collapsed="false">
      <c r="A474" s="12"/>
      <c r="B474" s="34"/>
      <c r="C474" s="12"/>
      <c r="D474" s="12"/>
      <c r="E474" s="12"/>
      <c r="F474" s="12"/>
      <c r="G474" s="18"/>
      <c r="H474" s="35"/>
      <c r="I474" s="35"/>
      <c r="J474" s="12"/>
      <c r="O474" s="12"/>
      <c r="P474" s="18"/>
      <c r="Q474" s="12"/>
      <c r="R474" s="12"/>
      <c r="S474" s="12"/>
      <c r="T474" s="36"/>
      <c r="U474" s="36"/>
      <c r="V474" s="12"/>
      <c r="W474" s="12"/>
      <c r="X474" s="12"/>
      <c r="Y474" s="12"/>
      <c r="Z474" s="12"/>
    </row>
    <row r="475" customFormat="false" ht="15.75" hidden="false" customHeight="false" outlineLevel="0" collapsed="false">
      <c r="A475" s="12"/>
      <c r="B475" s="34"/>
      <c r="C475" s="12"/>
      <c r="D475" s="12"/>
      <c r="E475" s="12"/>
      <c r="F475" s="12"/>
      <c r="G475" s="18"/>
      <c r="H475" s="35"/>
      <c r="I475" s="35"/>
      <c r="J475" s="12"/>
      <c r="O475" s="12"/>
      <c r="P475" s="18"/>
      <c r="Q475" s="12"/>
      <c r="R475" s="12"/>
      <c r="S475" s="12"/>
      <c r="T475" s="36"/>
      <c r="U475" s="36"/>
      <c r="V475" s="12"/>
      <c r="W475" s="12"/>
      <c r="X475" s="12"/>
      <c r="Y475" s="12"/>
      <c r="Z475" s="12"/>
    </row>
    <row r="476" customFormat="false" ht="15.75" hidden="false" customHeight="false" outlineLevel="0" collapsed="false">
      <c r="A476" s="12"/>
      <c r="B476" s="34"/>
      <c r="C476" s="12"/>
      <c r="D476" s="12"/>
      <c r="E476" s="12"/>
      <c r="F476" s="12"/>
      <c r="G476" s="18"/>
      <c r="H476" s="35"/>
      <c r="I476" s="35"/>
      <c r="J476" s="12"/>
      <c r="O476" s="12"/>
      <c r="P476" s="18"/>
      <c r="Q476" s="12"/>
      <c r="R476" s="12"/>
      <c r="S476" s="12"/>
      <c r="T476" s="36"/>
      <c r="U476" s="36"/>
      <c r="V476" s="12"/>
      <c r="W476" s="12"/>
      <c r="X476" s="12"/>
      <c r="Y476" s="12"/>
      <c r="Z476" s="12"/>
    </row>
    <row r="477" customFormat="false" ht="15.75" hidden="false" customHeight="false" outlineLevel="0" collapsed="false">
      <c r="A477" s="12"/>
      <c r="B477" s="34"/>
      <c r="C477" s="12"/>
      <c r="D477" s="12"/>
      <c r="E477" s="12"/>
      <c r="F477" s="12"/>
      <c r="G477" s="18"/>
      <c r="H477" s="35"/>
      <c r="I477" s="35"/>
      <c r="J477" s="12"/>
      <c r="O477" s="12"/>
      <c r="P477" s="18"/>
      <c r="Q477" s="12"/>
      <c r="R477" s="12"/>
      <c r="S477" s="12"/>
      <c r="T477" s="36"/>
      <c r="U477" s="36"/>
      <c r="V477" s="12"/>
      <c r="W477" s="12"/>
      <c r="X477" s="12"/>
      <c r="Y477" s="12"/>
      <c r="Z477" s="12"/>
    </row>
    <row r="478" customFormat="false" ht="15.75" hidden="false" customHeight="false" outlineLevel="0" collapsed="false">
      <c r="A478" s="12"/>
      <c r="B478" s="34"/>
      <c r="C478" s="12"/>
      <c r="D478" s="12"/>
      <c r="E478" s="12"/>
      <c r="F478" s="12"/>
      <c r="G478" s="18"/>
      <c r="H478" s="35"/>
      <c r="I478" s="35"/>
      <c r="J478" s="12"/>
      <c r="O478" s="12"/>
      <c r="P478" s="18"/>
      <c r="Q478" s="12"/>
      <c r="R478" s="12"/>
      <c r="S478" s="12"/>
      <c r="T478" s="36"/>
      <c r="U478" s="36"/>
      <c r="V478" s="12"/>
      <c r="W478" s="12"/>
      <c r="X478" s="12"/>
      <c r="Y478" s="12"/>
      <c r="Z478" s="12"/>
    </row>
    <row r="479" customFormat="false" ht="15.75" hidden="false" customHeight="false" outlineLevel="0" collapsed="false">
      <c r="A479" s="12"/>
      <c r="B479" s="34"/>
      <c r="C479" s="12"/>
      <c r="D479" s="12"/>
      <c r="E479" s="12"/>
      <c r="F479" s="12"/>
      <c r="G479" s="18"/>
      <c r="H479" s="35"/>
      <c r="I479" s="35"/>
      <c r="J479" s="12"/>
      <c r="O479" s="12"/>
      <c r="P479" s="18"/>
      <c r="Q479" s="12"/>
      <c r="R479" s="12"/>
      <c r="S479" s="12"/>
      <c r="T479" s="36"/>
      <c r="U479" s="36"/>
      <c r="V479" s="12"/>
      <c r="W479" s="12"/>
      <c r="X479" s="12"/>
      <c r="Y479" s="12"/>
      <c r="Z479" s="12"/>
    </row>
    <row r="480" customFormat="false" ht="15.75" hidden="false" customHeight="false" outlineLevel="0" collapsed="false">
      <c r="A480" s="12"/>
      <c r="B480" s="34"/>
      <c r="C480" s="12"/>
      <c r="D480" s="12"/>
      <c r="E480" s="12"/>
      <c r="F480" s="12"/>
      <c r="G480" s="18"/>
      <c r="H480" s="35"/>
      <c r="I480" s="35"/>
      <c r="J480" s="12"/>
      <c r="O480" s="12"/>
      <c r="P480" s="18"/>
      <c r="Q480" s="12"/>
      <c r="R480" s="12"/>
      <c r="S480" s="12"/>
      <c r="T480" s="36"/>
      <c r="U480" s="36"/>
      <c r="V480" s="12"/>
      <c r="W480" s="12"/>
      <c r="X480" s="12"/>
      <c r="Y480" s="12"/>
      <c r="Z480" s="12"/>
    </row>
    <row r="481" customFormat="false" ht="15.75" hidden="false" customHeight="false" outlineLevel="0" collapsed="false">
      <c r="A481" s="12"/>
      <c r="B481" s="34"/>
      <c r="C481" s="12"/>
      <c r="D481" s="12"/>
      <c r="E481" s="12"/>
      <c r="F481" s="12"/>
      <c r="G481" s="18"/>
      <c r="H481" s="35"/>
      <c r="I481" s="35"/>
      <c r="J481" s="12"/>
      <c r="O481" s="12"/>
      <c r="P481" s="18"/>
      <c r="Q481" s="12"/>
      <c r="R481" s="12"/>
      <c r="S481" s="12"/>
      <c r="T481" s="36"/>
      <c r="U481" s="36"/>
      <c r="V481" s="12"/>
      <c r="W481" s="12"/>
      <c r="X481" s="12"/>
      <c r="Y481" s="12"/>
      <c r="Z481" s="12"/>
    </row>
    <row r="482" customFormat="false" ht="15.75" hidden="false" customHeight="false" outlineLevel="0" collapsed="false">
      <c r="A482" s="12"/>
      <c r="B482" s="34"/>
      <c r="C482" s="12"/>
      <c r="D482" s="12"/>
      <c r="E482" s="12"/>
      <c r="F482" s="12"/>
      <c r="G482" s="18"/>
      <c r="H482" s="35"/>
      <c r="I482" s="35"/>
      <c r="J482" s="12"/>
      <c r="O482" s="12"/>
      <c r="P482" s="18"/>
      <c r="Q482" s="12"/>
      <c r="R482" s="12"/>
      <c r="S482" s="12"/>
      <c r="T482" s="36"/>
      <c r="U482" s="36"/>
      <c r="V482" s="12"/>
      <c r="W482" s="12"/>
      <c r="X482" s="12"/>
      <c r="Y482" s="12"/>
      <c r="Z482" s="12"/>
    </row>
    <row r="483" customFormat="false" ht="15.75" hidden="false" customHeight="false" outlineLevel="0" collapsed="false">
      <c r="A483" s="12"/>
      <c r="B483" s="34"/>
      <c r="C483" s="12"/>
      <c r="D483" s="12"/>
      <c r="E483" s="12"/>
      <c r="F483" s="12"/>
      <c r="G483" s="18"/>
      <c r="H483" s="35"/>
      <c r="I483" s="35"/>
      <c r="J483" s="12"/>
      <c r="O483" s="12"/>
      <c r="P483" s="18"/>
      <c r="Q483" s="12"/>
      <c r="R483" s="12"/>
      <c r="S483" s="12"/>
      <c r="T483" s="36"/>
      <c r="U483" s="36"/>
      <c r="V483" s="12"/>
      <c r="W483" s="12"/>
      <c r="X483" s="12"/>
      <c r="Y483" s="12"/>
      <c r="Z483" s="12"/>
    </row>
    <row r="484" customFormat="false" ht="15.75" hidden="false" customHeight="false" outlineLevel="0" collapsed="false">
      <c r="A484" s="12"/>
      <c r="B484" s="34"/>
      <c r="C484" s="12"/>
      <c r="D484" s="12"/>
      <c r="E484" s="12"/>
      <c r="F484" s="12"/>
      <c r="G484" s="18"/>
      <c r="H484" s="35"/>
      <c r="I484" s="35"/>
      <c r="J484" s="12"/>
      <c r="O484" s="12"/>
      <c r="P484" s="18"/>
      <c r="Q484" s="12"/>
      <c r="R484" s="12"/>
      <c r="S484" s="12"/>
      <c r="T484" s="36"/>
      <c r="U484" s="36"/>
      <c r="V484" s="12"/>
      <c r="W484" s="12"/>
      <c r="X484" s="12"/>
      <c r="Y484" s="12"/>
      <c r="Z484" s="12"/>
    </row>
    <row r="485" customFormat="false" ht="15.75" hidden="false" customHeight="false" outlineLevel="0" collapsed="false">
      <c r="A485" s="12"/>
      <c r="B485" s="34"/>
      <c r="C485" s="12"/>
      <c r="D485" s="12"/>
      <c r="E485" s="12"/>
      <c r="F485" s="12"/>
      <c r="G485" s="18"/>
      <c r="H485" s="35"/>
      <c r="I485" s="35"/>
      <c r="J485" s="12"/>
      <c r="O485" s="12"/>
      <c r="P485" s="18"/>
      <c r="Q485" s="12"/>
      <c r="R485" s="12"/>
      <c r="S485" s="12"/>
      <c r="T485" s="36"/>
      <c r="U485" s="36"/>
      <c r="V485" s="12"/>
      <c r="W485" s="12"/>
      <c r="X485" s="12"/>
      <c r="Y485" s="12"/>
      <c r="Z485" s="12"/>
    </row>
    <row r="486" customFormat="false" ht="15.75" hidden="false" customHeight="false" outlineLevel="0" collapsed="false">
      <c r="A486" s="12"/>
      <c r="B486" s="34"/>
      <c r="C486" s="12"/>
      <c r="D486" s="12"/>
      <c r="E486" s="12"/>
      <c r="F486" s="12"/>
      <c r="G486" s="18"/>
      <c r="H486" s="35"/>
      <c r="I486" s="35"/>
      <c r="J486" s="12"/>
      <c r="O486" s="12"/>
      <c r="P486" s="18"/>
      <c r="Q486" s="12"/>
      <c r="R486" s="12"/>
      <c r="S486" s="12"/>
      <c r="T486" s="36"/>
      <c r="U486" s="36"/>
      <c r="V486" s="12"/>
      <c r="W486" s="12"/>
      <c r="X486" s="12"/>
      <c r="Y486" s="12"/>
      <c r="Z486" s="12"/>
    </row>
    <row r="487" customFormat="false" ht="15.75" hidden="false" customHeight="false" outlineLevel="0" collapsed="false">
      <c r="A487" s="12"/>
      <c r="B487" s="34"/>
      <c r="C487" s="12"/>
      <c r="D487" s="12"/>
      <c r="E487" s="12"/>
      <c r="F487" s="12"/>
      <c r="G487" s="18"/>
      <c r="H487" s="35"/>
      <c r="I487" s="35"/>
      <c r="J487" s="12"/>
      <c r="O487" s="12"/>
      <c r="P487" s="18"/>
      <c r="Q487" s="12"/>
      <c r="R487" s="12"/>
      <c r="S487" s="12"/>
      <c r="T487" s="36"/>
      <c r="U487" s="36"/>
      <c r="V487" s="12"/>
      <c r="W487" s="12"/>
      <c r="X487" s="12"/>
      <c r="Y487" s="12"/>
      <c r="Z487" s="12"/>
    </row>
    <row r="488" customFormat="false" ht="15.75" hidden="false" customHeight="false" outlineLevel="0" collapsed="false">
      <c r="A488" s="12"/>
      <c r="B488" s="34"/>
      <c r="C488" s="12"/>
      <c r="D488" s="12"/>
      <c r="E488" s="12"/>
      <c r="F488" s="12"/>
      <c r="G488" s="18"/>
      <c r="H488" s="35"/>
      <c r="I488" s="35"/>
      <c r="J488" s="12"/>
      <c r="O488" s="12"/>
      <c r="P488" s="18"/>
      <c r="Q488" s="12"/>
      <c r="R488" s="12"/>
      <c r="S488" s="12"/>
      <c r="T488" s="36"/>
      <c r="U488" s="36"/>
      <c r="V488" s="12"/>
      <c r="W488" s="12"/>
      <c r="X488" s="12"/>
      <c r="Y488" s="12"/>
      <c r="Z488" s="12"/>
    </row>
    <row r="489" customFormat="false" ht="15.75" hidden="false" customHeight="false" outlineLevel="0" collapsed="false">
      <c r="A489" s="12"/>
      <c r="B489" s="34"/>
      <c r="C489" s="12"/>
      <c r="D489" s="12"/>
      <c r="E489" s="12"/>
      <c r="F489" s="12"/>
      <c r="G489" s="18"/>
      <c r="H489" s="35"/>
      <c r="I489" s="35"/>
      <c r="J489" s="12"/>
      <c r="O489" s="12"/>
      <c r="P489" s="18"/>
      <c r="Q489" s="12"/>
      <c r="R489" s="12"/>
      <c r="S489" s="12"/>
      <c r="T489" s="36"/>
      <c r="U489" s="36"/>
      <c r="V489" s="12"/>
      <c r="W489" s="12"/>
      <c r="X489" s="12"/>
      <c r="Y489" s="12"/>
      <c r="Z489" s="12"/>
    </row>
    <row r="490" customFormat="false" ht="15.75" hidden="false" customHeight="false" outlineLevel="0" collapsed="false">
      <c r="A490" s="12"/>
      <c r="B490" s="34"/>
      <c r="C490" s="12"/>
      <c r="D490" s="12"/>
      <c r="E490" s="12"/>
      <c r="F490" s="12"/>
      <c r="G490" s="18"/>
      <c r="H490" s="35"/>
      <c r="I490" s="35"/>
      <c r="J490" s="12"/>
      <c r="O490" s="12"/>
      <c r="P490" s="18"/>
      <c r="Q490" s="12"/>
      <c r="R490" s="12"/>
      <c r="S490" s="12"/>
      <c r="T490" s="36"/>
      <c r="U490" s="36"/>
      <c r="V490" s="12"/>
      <c r="W490" s="12"/>
      <c r="X490" s="12"/>
      <c r="Y490" s="12"/>
      <c r="Z490" s="12"/>
    </row>
    <row r="491" customFormat="false" ht="15.75" hidden="false" customHeight="false" outlineLevel="0" collapsed="false">
      <c r="A491" s="12"/>
      <c r="B491" s="34"/>
      <c r="C491" s="12"/>
      <c r="D491" s="12"/>
      <c r="E491" s="12"/>
      <c r="F491" s="12"/>
      <c r="G491" s="18"/>
      <c r="H491" s="35"/>
      <c r="I491" s="35"/>
      <c r="J491" s="12"/>
      <c r="O491" s="12"/>
      <c r="P491" s="18"/>
      <c r="Q491" s="12"/>
      <c r="R491" s="12"/>
      <c r="S491" s="12"/>
      <c r="T491" s="36"/>
      <c r="U491" s="36"/>
      <c r="V491" s="12"/>
      <c r="W491" s="12"/>
      <c r="X491" s="12"/>
      <c r="Y491" s="12"/>
      <c r="Z491" s="12"/>
    </row>
    <row r="492" customFormat="false" ht="15.75" hidden="false" customHeight="false" outlineLevel="0" collapsed="false">
      <c r="A492" s="12"/>
      <c r="B492" s="34"/>
      <c r="C492" s="12"/>
      <c r="D492" s="12"/>
      <c r="E492" s="12"/>
      <c r="F492" s="12"/>
      <c r="G492" s="18"/>
      <c r="H492" s="35"/>
      <c r="I492" s="35"/>
      <c r="J492" s="12"/>
      <c r="O492" s="12"/>
      <c r="P492" s="18"/>
      <c r="Q492" s="12"/>
      <c r="R492" s="12"/>
      <c r="S492" s="12"/>
      <c r="T492" s="36"/>
      <c r="U492" s="36"/>
      <c r="V492" s="12"/>
      <c r="W492" s="12"/>
      <c r="X492" s="12"/>
      <c r="Y492" s="12"/>
      <c r="Z492" s="12"/>
    </row>
    <row r="493" customFormat="false" ht="15.75" hidden="false" customHeight="false" outlineLevel="0" collapsed="false">
      <c r="A493" s="12"/>
      <c r="B493" s="34"/>
      <c r="C493" s="12"/>
      <c r="D493" s="12"/>
      <c r="E493" s="12"/>
      <c r="F493" s="12"/>
      <c r="G493" s="18"/>
      <c r="H493" s="35"/>
      <c r="I493" s="35"/>
      <c r="J493" s="12"/>
      <c r="O493" s="12"/>
      <c r="P493" s="18"/>
      <c r="Q493" s="12"/>
      <c r="R493" s="12"/>
      <c r="S493" s="12"/>
      <c r="T493" s="36"/>
      <c r="U493" s="36"/>
      <c r="V493" s="12"/>
      <c r="W493" s="12"/>
      <c r="X493" s="12"/>
      <c r="Y493" s="12"/>
      <c r="Z493" s="12"/>
    </row>
    <row r="494" customFormat="false" ht="15.75" hidden="false" customHeight="false" outlineLevel="0" collapsed="false">
      <c r="A494" s="12"/>
      <c r="B494" s="34"/>
      <c r="C494" s="12"/>
      <c r="D494" s="12"/>
      <c r="E494" s="12"/>
      <c r="F494" s="12"/>
      <c r="G494" s="18"/>
      <c r="H494" s="35"/>
      <c r="I494" s="35"/>
      <c r="J494" s="12"/>
      <c r="O494" s="12"/>
      <c r="P494" s="18"/>
      <c r="Q494" s="12"/>
      <c r="R494" s="12"/>
      <c r="S494" s="12"/>
      <c r="T494" s="36"/>
      <c r="U494" s="36"/>
      <c r="V494" s="12"/>
      <c r="W494" s="12"/>
      <c r="X494" s="12"/>
      <c r="Y494" s="12"/>
      <c r="Z494" s="12"/>
    </row>
    <row r="495" customFormat="false" ht="15.75" hidden="false" customHeight="false" outlineLevel="0" collapsed="false">
      <c r="A495" s="12"/>
      <c r="B495" s="34"/>
      <c r="C495" s="12"/>
      <c r="D495" s="12"/>
      <c r="E495" s="12"/>
      <c r="F495" s="12"/>
      <c r="G495" s="18"/>
      <c r="H495" s="35"/>
      <c r="I495" s="35"/>
      <c r="J495" s="12"/>
      <c r="O495" s="12"/>
      <c r="P495" s="18"/>
      <c r="Q495" s="12"/>
      <c r="R495" s="12"/>
      <c r="S495" s="12"/>
      <c r="T495" s="36"/>
      <c r="U495" s="36"/>
      <c r="V495" s="12"/>
      <c r="W495" s="12"/>
      <c r="X495" s="12"/>
      <c r="Y495" s="12"/>
      <c r="Z495" s="12"/>
    </row>
    <row r="496" customFormat="false" ht="15.75" hidden="false" customHeight="false" outlineLevel="0" collapsed="false">
      <c r="A496" s="12"/>
      <c r="B496" s="34"/>
      <c r="C496" s="12"/>
      <c r="D496" s="12"/>
      <c r="E496" s="12"/>
      <c r="F496" s="12"/>
      <c r="G496" s="18"/>
      <c r="H496" s="35"/>
      <c r="I496" s="35"/>
      <c r="J496" s="12"/>
      <c r="O496" s="12"/>
      <c r="P496" s="18"/>
      <c r="Q496" s="12"/>
      <c r="R496" s="12"/>
      <c r="S496" s="12"/>
      <c r="T496" s="36"/>
      <c r="U496" s="36"/>
      <c r="V496" s="12"/>
      <c r="W496" s="12"/>
      <c r="X496" s="12"/>
      <c r="Y496" s="12"/>
      <c r="Z496" s="12"/>
    </row>
    <row r="497" customFormat="false" ht="15.75" hidden="false" customHeight="false" outlineLevel="0" collapsed="false">
      <c r="A497" s="12"/>
      <c r="B497" s="34"/>
      <c r="C497" s="12"/>
      <c r="D497" s="12"/>
      <c r="E497" s="12"/>
      <c r="F497" s="12"/>
      <c r="G497" s="18"/>
      <c r="H497" s="35"/>
      <c r="I497" s="35"/>
      <c r="J497" s="12"/>
      <c r="O497" s="12"/>
      <c r="P497" s="18"/>
      <c r="Q497" s="12"/>
      <c r="R497" s="12"/>
      <c r="S497" s="12"/>
      <c r="T497" s="36"/>
      <c r="U497" s="36"/>
      <c r="V497" s="12"/>
      <c r="W497" s="12"/>
      <c r="X497" s="12"/>
      <c r="Y497" s="12"/>
      <c r="Z497" s="12"/>
    </row>
    <row r="498" customFormat="false" ht="15.75" hidden="false" customHeight="false" outlineLevel="0" collapsed="false">
      <c r="A498" s="12"/>
      <c r="B498" s="34"/>
      <c r="C498" s="12"/>
      <c r="D498" s="12"/>
      <c r="E498" s="12"/>
      <c r="F498" s="12"/>
      <c r="G498" s="18"/>
      <c r="H498" s="35"/>
      <c r="I498" s="35"/>
      <c r="J498" s="12"/>
      <c r="O498" s="12"/>
      <c r="P498" s="18"/>
      <c r="Q498" s="12"/>
      <c r="R498" s="12"/>
      <c r="S498" s="12"/>
      <c r="T498" s="36"/>
      <c r="U498" s="36"/>
      <c r="V498" s="12"/>
      <c r="W498" s="12"/>
      <c r="X498" s="12"/>
      <c r="Y498" s="12"/>
      <c r="Z498" s="12"/>
    </row>
    <row r="499" customFormat="false" ht="15.75" hidden="false" customHeight="false" outlineLevel="0" collapsed="false">
      <c r="A499" s="12"/>
      <c r="B499" s="34"/>
      <c r="C499" s="12"/>
      <c r="D499" s="12"/>
      <c r="E499" s="12"/>
      <c r="F499" s="12"/>
      <c r="G499" s="18"/>
      <c r="H499" s="35"/>
      <c r="I499" s="35"/>
      <c r="J499" s="12"/>
      <c r="O499" s="12"/>
      <c r="P499" s="18"/>
      <c r="Q499" s="12"/>
      <c r="R499" s="12"/>
      <c r="S499" s="12"/>
      <c r="T499" s="36"/>
      <c r="U499" s="36"/>
      <c r="V499" s="12"/>
      <c r="W499" s="12"/>
      <c r="X499" s="12"/>
      <c r="Y499" s="12"/>
      <c r="Z499" s="12"/>
    </row>
    <row r="500" customFormat="false" ht="15.75" hidden="false" customHeight="false" outlineLevel="0" collapsed="false">
      <c r="A500" s="12"/>
      <c r="B500" s="34"/>
      <c r="C500" s="12"/>
      <c r="D500" s="12"/>
      <c r="E500" s="12"/>
      <c r="F500" s="12"/>
      <c r="G500" s="18"/>
      <c r="H500" s="35"/>
      <c r="I500" s="35"/>
      <c r="J500" s="12"/>
      <c r="O500" s="12"/>
      <c r="P500" s="18"/>
      <c r="Q500" s="12"/>
      <c r="R500" s="12"/>
      <c r="S500" s="12"/>
      <c r="T500" s="36"/>
      <c r="U500" s="36"/>
      <c r="V500" s="12"/>
      <c r="W500" s="12"/>
      <c r="X500" s="12"/>
      <c r="Y500" s="12"/>
      <c r="Z500" s="12"/>
    </row>
    <row r="501" customFormat="false" ht="15.75" hidden="false" customHeight="false" outlineLevel="0" collapsed="false">
      <c r="A501" s="12"/>
      <c r="B501" s="34"/>
      <c r="C501" s="12"/>
      <c r="D501" s="12"/>
      <c r="E501" s="12"/>
      <c r="F501" s="12"/>
      <c r="G501" s="18"/>
      <c r="H501" s="35"/>
      <c r="I501" s="35"/>
      <c r="J501" s="12"/>
      <c r="O501" s="12"/>
      <c r="P501" s="18"/>
      <c r="Q501" s="12"/>
      <c r="R501" s="12"/>
      <c r="S501" s="12"/>
      <c r="T501" s="36"/>
      <c r="U501" s="36"/>
      <c r="V501" s="12"/>
      <c r="W501" s="12"/>
      <c r="X501" s="12"/>
      <c r="Y501" s="12"/>
      <c r="Z501" s="12"/>
    </row>
    <row r="502" customFormat="false" ht="15.75" hidden="false" customHeight="false" outlineLevel="0" collapsed="false">
      <c r="A502" s="12"/>
      <c r="B502" s="34"/>
      <c r="C502" s="12"/>
      <c r="D502" s="12"/>
      <c r="E502" s="12"/>
      <c r="F502" s="12"/>
      <c r="G502" s="18"/>
      <c r="H502" s="35"/>
      <c r="I502" s="35"/>
      <c r="J502" s="12"/>
      <c r="O502" s="12"/>
      <c r="P502" s="18"/>
      <c r="Q502" s="12"/>
      <c r="R502" s="12"/>
      <c r="S502" s="12"/>
      <c r="T502" s="36"/>
      <c r="U502" s="36"/>
      <c r="V502" s="12"/>
      <c r="W502" s="12"/>
      <c r="X502" s="12"/>
      <c r="Y502" s="12"/>
      <c r="Z502" s="12"/>
    </row>
    <row r="503" customFormat="false" ht="15.75" hidden="false" customHeight="false" outlineLevel="0" collapsed="false">
      <c r="A503" s="12"/>
      <c r="B503" s="34"/>
      <c r="C503" s="12"/>
      <c r="D503" s="12"/>
      <c r="E503" s="12"/>
      <c r="F503" s="12"/>
      <c r="G503" s="18"/>
      <c r="H503" s="35"/>
      <c r="I503" s="35"/>
      <c r="J503" s="12"/>
      <c r="O503" s="12"/>
      <c r="P503" s="18"/>
      <c r="Q503" s="12"/>
      <c r="R503" s="12"/>
      <c r="S503" s="12"/>
      <c r="T503" s="36"/>
      <c r="U503" s="36"/>
      <c r="V503" s="12"/>
      <c r="W503" s="12"/>
      <c r="X503" s="12"/>
      <c r="Y503" s="12"/>
      <c r="Z503" s="12"/>
    </row>
    <row r="504" customFormat="false" ht="15.75" hidden="false" customHeight="false" outlineLevel="0" collapsed="false">
      <c r="A504" s="12"/>
      <c r="B504" s="34"/>
      <c r="C504" s="12"/>
      <c r="D504" s="12"/>
      <c r="E504" s="12"/>
      <c r="F504" s="12"/>
      <c r="G504" s="18"/>
      <c r="H504" s="35"/>
      <c r="I504" s="35"/>
      <c r="J504" s="12"/>
      <c r="O504" s="12"/>
      <c r="P504" s="18"/>
      <c r="Q504" s="12"/>
      <c r="R504" s="12"/>
      <c r="S504" s="12"/>
      <c r="T504" s="36"/>
      <c r="U504" s="36"/>
      <c r="V504" s="12"/>
      <c r="W504" s="12"/>
      <c r="X504" s="12"/>
      <c r="Y504" s="12"/>
      <c r="Z504" s="12"/>
    </row>
    <row r="505" customFormat="false" ht="15.75" hidden="false" customHeight="false" outlineLevel="0" collapsed="false">
      <c r="A505" s="12"/>
      <c r="B505" s="34"/>
      <c r="C505" s="12"/>
      <c r="D505" s="12"/>
      <c r="E505" s="12"/>
      <c r="F505" s="12"/>
      <c r="G505" s="18"/>
      <c r="H505" s="35"/>
      <c r="I505" s="35"/>
      <c r="J505" s="12"/>
      <c r="O505" s="12"/>
      <c r="P505" s="18"/>
      <c r="Q505" s="12"/>
      <c r="R505" s="12"/>
      <c r="S505" s="12"/>
      <c r="T505" s="36"/>
      <c r="U505" s="36"/>
      <c r="V505" s="12"/>
      <c r="W505" s="12"/>
      <c r="X505" s="12"/>
      <c r="Y505" s="12"/>
      <c r="Z505" s="12"/>
    </row>
    <row r="506" customFormat="false" ht="15.75" hidden="false" customHeight="false" outlineLevel="0" collapsed="false">
      <c r="A506" s="12"/>
      <c r="B506" s="34"/>
      <c r="C506" s="12"/>
      <c r="D506" s="12"/>
      <c r="E506" s="12"/>
      <c r="F506" s="12"/>
      <c r="G506" s="18"/>
      <c r="H506" s="35"/>
      <c r="I506" s="35"/>
      <c r="J506" s="12"/>
      <c r="O506" s="12"/>
      <c r="P506" s="18"/>
      <c r="Q506" s="12"/>
      <c r="R506" s="12"/>
      <c r="S506" s="12"/>
      <c r="T506" s="36"/>
      <c r="U506" s="36"/>
      <c r="V506" s="12"/>
      <c r="W506" s="12"/>
      <c r="X506" s="12"/>
      <c r="Y506" s="12"/>
      <c r="Z506" s="12"/>
    </row>
    <row r="507" customFormat="false" ht="15.75" hidden="false" customHeight="false" outlineLevel="0" collapsed="false">
      <c r="A507" s="12"/>
      <c r="B507" s="34"/>
      <c r="C507" s="12"/>
      <c r="D507" s="12"/>
      <c r="E507" s="12"/>
      <c r="F507" s="12"/>
      <c r="G507" s="18"/>
      <c r="H507" s="35"/>
      <c r="I507" s="35"/>
      <c r="J507" s="12"/>
      <c r="O507" s="12"/>
      <c r="P507" s="18"/>
      <c r="Q507" s="12"/>
      <c r="R507" s="12"/>
      <c r="S507" s="12"/>
      <c r="T507" s="36"/>
      <c r="U507" s="36"/>
      <c r="V507" s="12"/>
      <c r="W507" s="12"/>
      <c r="X507" s="12"/>
      <c r="Y507" s="12"/>
      <c r="Z507" s="12"/>
    </row>
    <row r="508" customFormat="false" ht="15.75" hidden="false" customHeight="false" outlineLevel="0" collapsed="false">
      <c r="A508" s="12"/>
      <c r="B508" s="34"/>
      <c r="C508" s="12"/>
      <c r="D508" s="12"/>
      <c r="E508" s="12"/>
      <c r="F508" s="12"/>
      <c r="G508" s="18"/>
      <c r="H508" s="35"/>
      <c r="I508" s="35"/>
      <c r="J508" s="12"/>
      <c r="O508" s="12"/>
      <c r="P508" s="18"/>
      <c r="Q508" s="12"/>
      <c r="R508" s="12"/>
      <c r="S508" s="12"/>
      <c r="T508" s="36"/>
      <c r="U508" s="36"/>
      <c r="V508" s="12"/>
      <c r="W508" s="12"/>
      <c r="X508" s="12"/>
      <c r="Y508" s="12"/>
      <c r="Z508" s="12"/>
    </row>
    <row r="509" customFormat="false" ht="15.75" hidden="false" customHeight="false" outlineLevel="0" collapsed="false">
      <c r="A509" s="12"/>
      <c r="B509" s="34"/>
      <c r="C509" s="12"/>
      <c r="D509" s="12"/>
      <c r="E509" s="12"/>
      <c r="F509" s="12"/>
      <c r="G509" s="18"/>
      <c r="H509" s="35"/>
      <c r="I509" s="35"/>
      <c r="J509" s="12"/>
      <c r="O509" s="12"/>
      <c r="P509" s="18"/>
      <c r="Q509" s="12"/>
      <c r="R509" s="12"/>
      <c r="S509" s="12"/>
      <c r="T509" s="36"/>
      <c r="U509" s="36"/>
      <c r="V509" s="12"/>
      <c r="W509" s="12"/>
      <c r="X509" s="12"/>
      <c r="Y509" s="12"/>
      <c r="Z509" s="12"/>
    </row>
    <row r="510" customFormat="false" ht="15.75" hidden="false" customHeight="false" outlineLevel="0" collapsed="false">
      <c r="A510" s="12"/>
      <c r="B510" s="34"/>
      <c r="C510" s="12"/>
      <c r="D510" s="12"/>
      <c r="E510" s="12"/>
      <c r="F510" s="12"/>
      <c r="G510" s="18"/>
      <c r="H510" s="35"/>
      <c r="I510" s="35"/>
      <c r="J510" s="12"/>
      <c r="O510" s="12"/>
      <c r="P510" s="18"/>
      <c r="Q510" s="12"/>
      <c r="R510" s="12"/>
      <c r="S510" s="12"/>
      <c r="T510" s="36"/>
      <c r="U510" s="36"/>
      <c r="V510" s="12"/>
      <c r="W510" s="12"/>
      <c r="X510" s="12"/>
      <c r="Y510" s="12"/>
      <c r="Z510" s="12"/>
    </row>
    <row r="511" customFormat="false" ht="15.75" hidden="false" customHeight="false" outlineLevel="0" collapsed="false">
      <c r="A511" s="12"/>
      <c r="B511" s="34"/>
      <c r="C511" s="12"/>
      <c r="D511" s="12"/>
      <c r="E511" s="12"/>
      <c r="F511" s="12"/>
      <c r="G511" s="18"/>
      <c r="H511" s="35"/>
      <c r="I511" s="35"/>
      <c r="J511" s="12"/>
      <c r="O511" s="12"/>
      <c r="P511" s="18"/>
      <c r="Q511" s="12"/>
      <c r="R511" s="12"/>
      <c r="S511" s="12"/>
      <c r="T511" s="36"/>
      <c r="U511" s="36"/>
      <c r="V511" s="12"/>
      <c r="W511" s="12"/>
      <c r="X511" s="12"/>
      <c r="Y511" s="12"/>
      <c r="Z511" s="12"/>
    </row>
    <row r="512" customFormat="false" ht="15.75" hidden="false" customHeight="false" outlineLevel="0" collapsed="false">
      <c r="A512" s="12"/>
      <c r="B512" s="34"/>
      <c r="C512" s="12"/>
      <c r="D512" s="12"/>
      <c r="E512" s="12"/>
      <c r="F512" s="12"/>
      <c r="G512" s="18"/>
      <c r="H512" s="35"/>
      <c r="I512" s="35"/>
      <c r="J512" s="12"/>
      <c r="O512" s="12"/>
      <c r="P512" s="18"/>
      <c r="Q512" s="12"/>
      <c r="R512" s="12"/>
      <c r="S512" s="12"/>
      <c r="T512" s="36"/>
      <c r="U512" s="36"/>
      <c r="V512" s="12"/>
      <c r="W512" s="12"/>
      <c r="X512" s="12"/>
      <c r="Y512" s="12"/>
      <c r="Z512" s="12"/>
    </row>
    <row r="513" customFormat="false" ht="15.75" hidden="false" customHeight="false" outlineLevel="0" collapsed="false">
      <c r="A513" s="12"/>
      <c r="B513" s="34"/>
      <c r="C513" s="12"/>
      <c r="D513" s="12"/>
      <c r="E513" s="12"/>
      <c r="F513" s="12"/>
      <c r="G513" s="18"/>
      <c r="H513" s="35"/>
      <c r="I513" s="35"/>
      <c r="J513" s="12"/>
      <c r="O513" s="12"/>
      <c r="P513" s="18"/>
      <c r="Q513" s="12"/>
      <c r="R513" s="12"/>
      <c r="S513" s="12"/>
      <c r="T513" s="36"/>
      <c r="U513" s="36"/>
      <c r="V513" s="12"/>
      <c r="W513" s="12"/>
      <c r="X513" s="12"/>
      <c r="Y513" s="12"/>
      <c r="Z513" s="12"/>
    </row>
    <row r="514" customFormat="false" ht="15.75" hidden="false" customHeight="false" outlineLevel="0" collapsed="false">
      <c r="A514" s="12"/>
      <c r="B514" s="34"/>
      <c r="C514" s="12"/>
      <c r="D514" s="12"/>
      <c r="E514" s="12"/>
      <c r="F514" s="12"/>
      <c r="G514" s="18"/>
      <c r="H514" s="35"/>
      <c r="I514" s="35"/>
      <c r="J514" s="12"/>
      <c r="O514" s="12"/>
      <c r="P514" s="18"/>
      <c r="Q514" s="12"/>
      <c r="R514" s="12"/>
      <c r="S514" s="12"/>
      <c r="T514" s="36"/>
      <c r="U514" s="36"/>
      <c r="V514" s="12"/>
      <c r="W514" s="12"/>
      <c r="X514" s="12"/>
      <c r="Y514" s="12"/>
      <c r="Z514" s="12"/>
    </row>
    <row r="515" customFormat="false" ht="15.75" hidden="false" customHeight="false" outlineLevel="0" collapsed="false">
      <c r="A515" s="12"/>
      <c r="B515" s="34"/>
      <c r="C515" s="12"/>
      <c r="D515" s="12"/>
      <c r="E515" s="12"/>
      <c r="F515" s="12"/>
      <c r="G515" s="18"/>
      <c r="H515" s="35"/>
      <c r="I515" s="35"/>
      <c r="J515" s="12"/>
      <c r="O515" s="12"/>
      <c r="P515" s="18"/>
      <c r="Q515" s="12"/>
      <c r="R515" s="12"/>
      <c r="S515" s="12"/>
      <c r="T515" s="36"/>
      <c r="U515" s="36"/>
      <c r="V515" s="12"/>
      <c r="W515" s="12"/>
      <c r="X515" s="12"/>
      <c r="Y515" s="12"/>
      <c r="Z515" s="12"/>
    </row>
    <row r="516" customFormat="false" ht="15.75" hidden="false" customHeight="false" outlineLevel="0" collapsed="false">
      <c r="A516" s="12"/>
      <c r="B516" s="34"/>
      <c r="C516" s="12"/>
      <c r="D516" s="12"/>
      <c r="E516" s="12"/>
      <c r="F516" s="12"/>
      <c r="G516" s="18"/>
      <c r="H516" s="35"/>
      <c r="I516" s="35"/>
      <c r="J516" s="12"/>
      <c r="O516" s="12"/>
      <c r="P516" s="18"/>
      <c r="Q516" s="12"/>
      <c r="R516" s="12"/>
      <c r="S516" s="12"/>
      <c r="T516" s="36"/>
      <c r="U516" s="36"/>
      <c r="V516" s="12"/>
      <c r="W516" s="12"/>
      <c r="X516" s="12"/>
      <c r="Y516" s="12"/>
      <c r="Z516" s="12"/>
    </row>
    <row r="517" customFormat="false" ht="15.75" hidden="false" customHeight="false" outlineLevel="0" collapsed="false">
      <c r="A517" s="12"/>
      <c r="B517" s="34"/>
      <c r="C517" s="12"/>
      <c r="D517" s="12"/>
      <c r="E517" s="12"/>
      <c r="F517" s="12"/>
      <c r="G517" s="18"/>
      <c r="H517" s="35"/>
      <c r="I517" s="35"/>
      <c r="J517" s="12"/>
      <c r="O517" s="12"/>
      <c r="P517" s="18"/>
      <c r="Q517" s="12"/>
      <c r="R517" s="12"/>
      <c r="S517" s="12"/>
      <c r="T517" s="36"/>
      <c r="U517" s="36"/>
      <c r="V517" s="12"/>
      <c r="W517" s="12"/>
      <c r="X517" s="12"/>
      <c r="Y517" s="12"/>
      <c r="Z517" s="12"/>
    </row>
    <row r="518" customFormat="false" ht="15.75" hidden="false" customHeight="false" outlineLevel="0" collapsed="false">
      <c r="A518" s="12"/>
      <c r="B518" s="34"/>
      <c r="C518" s="12"/>
      <c r="D518" s="12"/>
      <c r="E518" s="12"/>
      <c r="F518" s="12"/>
      <c r="G518" s="18"/>
      <c r="H518" s="35"/>
      <c r="I518" s="35"/>
      <c r="J518" s="12"/>
      <c r="O518" s="12"/>
      <c r="P518" s="18"/>
      <c r="Q518" s="12"/>
      <c r="R518" s="12"/>
      <c r="S518" s="12"/>
      <c r="T518" s="36"/>
      <c r="U518" s="36"/>
      <c r="V518" s="12"/>
      <c r="W518" s="12"/>
      <c r="X518" s="12"/>
      <c r="Y518" s="12"/>
      <c r="Z518" s="12"/>
    </row>
    <row r="519" customFormat="false" ht="15.75" hidden="false" customHeight="false" outlineLevel="0" collapsed="false">
      <c r="A519" s="12"/>
      <c r="B519" s="34"/>
      <c r="C519" s="12"/>
      <c r="D519" s="12"/>
      <c r="E519" s="12"/>
      <c r="F519" s="12"/>
      <c r="G519" s="18"/>
      <c r="H519" s="35"/>
      <c r="I519" s="35"/>
      <c r="J519" s="12"/>
      <c r="O519" s="12"/>
      <c r="P519" s="18"/>
      <c r="Q519" s="12"/>
      <c r="R519" s="12"/>
      <c r="S519" s="12"/>
      <c r="T519" s="36"/>
      <c r="U519" s="36"/>
      <c r="V519" s="12"/>
      <c r="W519" s="12"/>
      <c r="X519" s="12"/>
      <c r="Y519" s="12"/>
      <c r="Z519" s="12"/>
    </row>
    <row r="520" customFormat="false" ht="15.75" hidden="false" customHeight="false" outlineLevel="0" collapsed="false">
      <c r="A520" s="12"/>
      <c r="B520" s="34"/>
      <c r="C520" s="12"/>
      <c r="D520" s="12"/>
      <c r="E520" s="12"/>
      <c r="F520" s="12"/>
      <c r="G520" s="18"/>
      <c r="H520" s="35"/>
      <c r="I520" s="35"/>
      <c r="J520" s="12"/>
      <c r="O520" s="12"/>
      <c r="P520" s="18"/>
      <c r="Q520" s="12"/>
      <c r="R520" s="12"/>
      <c r="S520" s="12"/>
      <c r="T520" s="36"/>
      <c r="U520" s="36"/>
      <c r="V520" s="12"/>
      <c r="W520" s="12"/>
      <c r="X520" s="12"/>
      <c r="Y520" s="12"/>
      <c r="Z520" s="12"/>
    </row>
    <row r="521" customFormat="false" ht="15.75" hidden="false" customHeight="false" outlineLevel="0" collapsed="false">
      <c r="A521" s="12"/>
      <c r="B521" s="34"/>
      <c r="C521" s="12"/>
      <c r="D521" s="12"/>
      <c r="E521" s="12"/>
      <c r="F521" s="12"/>
      <c r="G521" s="18"/>
      <c r="H521" s="35"/>
      <c r="I521" s="35"/>
      <c r="J521" s="12"/>
      <c r="O521" s="12"/>
      <c r="P521" s="18"/>
      <c r="Q521" s="12"/>
      <c r="R521" s="12"/>
      <c r="S521" s="12"/>
      <c r="T521" s="36"/>
      <c r="U521" s="36"/>
      <c r="V521" s="12"/>
      <c r="W521" s="12"/>
      <c r="X521" s="12"/>
      <c r="Y521" s="12"/>
      <c r="Z521" s="12"/>
    </row>
    <row r="522" customFormat="false" ht="15.75" hidden="false" customHeight="false" outlineLevel="0" collapsed="false">
      <c r="A522" s="12"/>
      <c r="B522" s="34"/>
      <c r="C522" s="12"/>
      <c r="D522" s="12"/>
      <c r="E522" s="12"/>
      <c r="F522" s="12"/>
      <c r="G522" s="18"/>
      <c r="H522" s="35"/>
      <c r="I522" s="35"/>
      <c r="J522" s="12"/>
      <c r="O522" s="12"/>
      <c r="P522" s="18"/>
      <c r="Q522" s="12"/>
      <c r="R522" s="12"/>
      <c r="S522" s="12"/>
      <c r="T522" s="36"/>
      <c r="U522" s="36"/>
      <c r="V522" s="12"/>
      <c r="W522" s="12"/>
      <c r="X522" s="12"/>
      <c r="Y522" s="12"/>
      <c r="Z522" s="12"/>
    </row>
    <row r="523" customFormat="false" ht="15.75" hidden="false" customHeight="false" outlineLevel="0" collapsed="false">
      <c r="A523" s="12"/>
      <c r="B523" s="34"/>
      <c r="C523" s="12"/>
      <c r="D523" s="12"/>
      <c r="E523" s="12"/>
      <c r="F523" s="12"/>
      <c r="G523" s="18"/>
      <c r="H523" s="35"/>
      <c r="I523" s="35"/>
      <c r="J523" s="12"/>
      <c r="O523" s="12"/>
      <c r="P523" s="18"/>
      <c r="Q523" s="12"/>
      <c r="R523" s="12"/>
      <c r="S523" s="12"/>
      <c r="T523" s="36"/>
      <c r="U523" s="36"/>
      <c r="V523" s="12"/>
      <c r="W523" s="12"/>
      <c r="X523" s="12"/>
      <c r="Y523" s="12"/>
      <c r="Z523" s="12"/>
    </row>
    <row r="524" customFormat="false" ht="15.75" hidden="false" customHeight="false" outlineLevel="0" collapsed="false">
      <c r="A524" s="12"/>
      <c r="B524" s="34"/>
      <c r="C524" s="12"/>
      <c r="D524" s="12"/>
      <c r="E524" s="12"/>
      <c r="F524" s="12"/>
      <c r="G524" s="18"/>
      <c r="H524" s="35"/>
      <c r="I524" s="35"/>
      <c r="J524" s="12"/>
      <c r="O524" s="12"/>
      <c r="P524" s="18"/>
      <c r="Q524" s="12"/>
      <c r="R524" s="12"/>
      <c r="S524" s="12"/>
      <c r="T524" s="36"/>
      <c r="U524" s="36"/>
      <c r="V524" s="12"/>
      <c r="W524" s="12"/>
      <c r="X524" s="12"/>
      <c r="Y524" s="12"/>
      <c r="Z524" s="12"/>
    </row>
    <row r="525" customFormat="false" ht="15.75" hidden="false" customHeight="false" outlineLevel="0" collapsed="false">
      <c r="A525" s="12"/>
      <c r="B525" s="34"/>
      <c r="C525" s="12"/>
      <c r="D525" s="12"/>
      <c r="E525" s="12"/>
      <c r="F525" s="12"/>
      <c r="G525" s="18"/>
      <c r="H525" s="35"/>
      <c r="I525" s="35"/>
      <c r="J525" s="12"/>
      <c r="O525" s="12"/>
      <c r="P525" s="18"/>
      <c r="Q525" s="12"/>
      <c r="R525" s="12"/>
      <c r="S525" s="12"/>
      <c r="T525" s="36"/>
      <c r="U525" s="36"/>
      <c r="V525" s="12"/>
      <c r="W525" s="12"/>
      <c r="X525" s="12"/>
      <c r="Y525" s="12"/>
      <c r="Z525" s="12"/>
    </row>
    <row r="526" customFormat="false" ht="15.75" hidden="false" customHeight="false" outlineLevel="0" collapsed="false">
      <c r="A526" s="12"/>
      <c r="B526" s="34"/>
      <c r="C526" s="12"/>
      <c r="D526" s="12"/>
      <c r="E526" s="12"/>
      <c r="F526" s="12"/>
      <c r="G526" s="18"/>
      <c r="H526" s="35"/>
      <c r="I526" s="35"/>
      <c r="J526" s="12"/>
      <c r="O526" s="12"/>
      <c r="P526" s="18"/>
      <c r="Q526" s="12"/>
      <c r="R526" s="12"/>
      <c r="S526" s="12"/>
      <c r="T526" s="36"/>
      <c r="U526" s="36"/>
      <c r="V526" s="12"/>
      <c r="W526" s="12"/>
      <c r="X526" s="12"/>
      <c r="Y526" s="12"/>
      <c r="Z526" s="12"/>
    </row>
    <row r="527" customFormat="false" ht="15.75" hidden="false" customHeight="false" outlineLevel="0" collapsed="false">
      <c r="A527" s="12"/>
      <c r="B527" s="34"/>
      <c r="C527" s="12"/>
      <c r="D527" s="12"/>
      <c r="E527" s="12"/>
      <c r="F527" s="12"/>
      <c r="G527" s="18"/>
      <c r="H527" s="35"/>
      <c r="I527" s="35"/>
      <c r="J527" s="12"/>
      <c r="O527" s="12"/>
      <c r="P527" s="18"/>
      <c r="Q527" s="12"/>
      <c r="R527" s="12"/>
      <c r="S527" s="12"/>
      <c r="T527" s="36"/>
      <c r="U527" s="36"/>
      <c r="V527" s="12"/>
      <c r="W527" s="12"/>
      <c r="X527" s="12"/>
      <c r="Y527" s="12"/>
      <c r="Z527" s="12"/>
    </row>
    <row r="528" customFormat="false" ht="15.75" hidden="false" customHeight="false" outlineLevel="0" collapsed="false">
      <c r="A528" s="12"/>
      <c r="B528" s="34"/>
      <c r="C528" s="12"/>
      <c r="D528" s="12"/>
      <c r="E528" s="12"/>
      <c r="F528" s="12"/>
      <c r="G528" s="18"/>
      <c r="H528" s="35"/>
      <c r="I528" s="35"/>
      <c r="J528" s="12"/>
      <c r="O528" s="12"/>
      <c r="P528" s="18"/>
      <c r="Q528" s="12"/>
      <c r="R528" s="12"/>
      <c r="S528" s="12"/>
      <c r="T528" s="36"/>
      <c r="U528" s="36"/>
      <c r="V528" s="12"/>
      <c r="W528" s="12"/>
      <c r="X528" s="12"/>
      <c r="Y528" s="12"/>
      <c r="Z528" s="12"/>
    </row>
    <row r="529" customFormat="false" ht="15.75" hidden="false" customHeight="false" outlineLevel="0" collapsed="false">
      <c r="A529" s="12"/>
      <c r="B529" s="34"/>
      <c r="C529" s="12"/>
      <c r="D529" s="12"/>
      <c r="E529" s="12"/>
      <c r="F529" s="12"/>
      <c r="G529" s="18"/>
      <c r="H529" s="35"/>
      <c r="I529" s="35"/>
      <c r="J529" s="12"/>
      <c r="O529" s="12"/>
      <c r="P529" s="18"/>
      <c r="Q529" s="12"/>
      <c r="R529" s="12"/>
      <c r="S529" s="12"/>
      <c r="T529" s="36"/>
      <c r="U529" s="36"/>
      <c r="V529" s="12"/>
      <c r="W529" s="12"/>
      <c r="X529" s="12"/>
      <c r="Y529" s="12"/>
      <c r="Z529" s="12"/>
    </row>
    <row r="530" customFormat="false" ht="15.75" hidden="false" customHeight="false" outlineLevel="0" collapsed="false">
      <c r="A530" s="12"/>
      <c r="B530" s="34"/>
      <c r="C530" s="12"/>
      <c r="D530" s="12"/>
      <c r="E530" s="12"/>
      <c r="F530" s="12"/>
      <c r="G530" s="18"/>
      <c r="H530" s="35"/>
      <c r="I530" s="35"/>
      <c r="J530" s="12"/>
      <c r="O530" s="12"/>
      <c r="P530" s="18"/>
      <c r="Q530" s="12"/>
      <c r="R530" s="12"/>
      <c r="S530" s="12"/>
      <c r="T530" s="36"/>
      <c r="U530" s="36"/>
      <c r="V530" s="12"/>
      <c r="W530" s="12"/>
      <c r="X530" s="12"/>
      <c r="Y530" s="12"/>
      <c r="Z530" s="12"/>
    </row>
    <row r="531" customFormat="false" ht="15.75" hidden="false" customHeight="false" outlineLevel="0" collapsed="false">
      <c r="A531" s="12"/>
      <c r="B531" s="34"/>
      <c r="C531" s="12"/>
      <c r="D531" s="12"/>
      <c r="E531" s="12"/>
      <c r="F531" s="12"/>
      <c r="G531" s="18"/>
      <c r="H531" s="35"/>
      <c r="I531" s="35"/>
      <c r="J531" s="12"/>
      <c r="O531" s="12"/>
      <c r="P531" s="18"/>
      <c r="Q531" s="12"/>
      <c r="R531" s="12"/>
      <c r="S531" s="12"/>
      <c r="T531" s="36"/>
      <c r="U531" s="36"/>
      <c r="V531" s="12"/>
      <c r="W531" s="12"/>
      <c r="X531" s="12"/>
      <c r="Y531" s="12"/>
      <c r="Z531" s="12"/>
    </row>
    <row r="532" customFormat="false" ht="15.75" hidden="false" customHeight="false" outlineLevel="0" collapsed="false">
      <c r="A532" s="12"/>
      <c r="B532" s="34"/>
      <c r="C532" s="12"/>
      <c r="D532" s="12"/>
      <c r="E532" s="12"/>
      <c r="F532" s="12"/>
      <c r="G532" s="18"/>
      <c r="H532" s="35"/>
      <c r="I532" s="35"/>
      <c r="J532" s="12"/>
      <c r="O532" s="12"/>
      <c r="P532" s="18"/>
      <c r="Q532" s="12"/>
      <c r="R532" s="12"/>
      <c r="S532" s="12"/>
      <c r="T532" s="36"/>
      <c r="U532" s="36"/>
      <c r="V532" s="12"/>
      <c r="W532" s="12"/>
      <c r="X532" s="12"/>
      <c r="Y532" s="12"/>
      <c r="Z532" s="12"/>
    </row>
    <row r="533" customFormat="false" ht="15.75" hidden="false" customHeight="false" outlineLevel="0" collapsed="false">
      <c r="A533" s="12"/>
      <c r="B533" s="34"/>
      <c r="C533" s="12"/>
      <c r="D533" s="12"/>
      <c r="E533" s="12"/>
      <c r="F533" s="12"/>
      <c r="G533" s="18"/>
      <c r="H533" s="35"/>
      <c r="I533" s="35"/>
      <c r="J533" s="12"/>
      <c r="O533" s="12"/>
      <c r="P533" s="18"/>
      <c r="Q533" s="12"/>
      <c r="R533" s="12"/>
      <c r="S533" s="12"/>
      <c r="T533" s="36"/>
      <c r="U533" s="36"/>
      <c r="V533" s="12"/>
      <c r="W533" s="12"/>
      <c r="X533" s="12"/>
      <c r="Y533" s="12"/>
      <c r="Z533" s="12"/>
    </row>
    <row r="534" customFormat="false" ht="15.75" hidden="false" customHeight="false" outlineLevel="0" collapsed="false">
      <c r="A534" s="12"/>
      <c r="B534" s="34"/>
      <c r="C534" s="12"/>
      <c r="D534" s="12"/>
      <c r="E534" s="12"/>
      <c r="F534" s="12"/>
      <c r="G534" s="18"/>
      <c r="H534" s="35"/>
      <c r="I534" s="35"/>
      <c r="J534" s="12"/>
      <c r="O534" s="12"/>
      <c r="P534" s="18"/>
      <c r="Q534" s="12"/>
      <c r="R534" s="12"/>
      <c r="S534" s="12"/>
      <c r="T534" s="36"/>
      <c r="U534" s="36"/>
      <c r="V534" s="12"/>
      <c r="W534" s="12"/>
      <c r="X534" s="12"/>
      <c r="Y534" s="12"/>
      <c r="Z534" s="12"/>
    </row>
    <row r="535" customFormat="false" ht="15.75" hidden="false" customHeight="false" outlineLevel="0" collapsed="false">
      <c r="A535" s="12"/>
      <c r="B535" s="34"/>
      <c r="C535" s="12"/>
      <c r="D535" s="12"/>
      <c r="E535" s="12"/>
      <c r="F535" s="12"/>
      <c r="G535" s="18"/>
      <c r="H535" s="35"/>
      <c r="I535" s="35"/>
      <c r="J535" s="12"/>
      <c r="O535" s="12"/>
      <c r="P535" s="18"/>
      <c r="Q535" s="12"/>
      <c r="R535" s="12"/>
      <c r="S535" s="12"/>
      <c r="T535" s="36"/>
      <c r="U535" s="36"/>
      <c r="V535" s="12"/>
      <c r="W535" s="12"/>
      <c r="X535" s="12"/>
      <c r="Y535" s="12"/>
      <c r="Z535" s="12"/>
    </row>
    <row r="536" customFormat="false" ht="15.75" hidden="false" customHeight="false" outlineLevel="0" collapsed="false">
      <c r="A536" s="12"/>
      <c r="B536" s="34"/>
      <c r="C536" s="12"/>
      <c r="D536" s="12"/>
      <c r="E536" s="12"/>
      <c r="F536" s="12"/>
      <c r="G536" s="18"/>
      <c r="H536" s="35"/>
      <c r="I536" s="35"/>
      <c r="J536" s="12"/>
      <c r="O536" s="12"/>
      <c r="P536" s="18"/>
      <c r="Q536" s="12"/>
      <c r="R536" s="12"/>
      <c r="S536" s="12"/>
      <c r="T536" s="36"/>
      <c r="U536" s="36"/>
      <c r="V536" s="12"/>
      <c r="W536" s="12"/>
      <c r="X536" s="12"/>
      <c r="Y536" s="12"/>
      <c r="Z536" s="12"/>
    </row>
    <row r="537" customFormat="false" ht="15.75" hidden="false" customHeight="false" outlineLevel="0" collapsed="false">
      <c r="A537" s="12"/>
      <c r="B537" s="34"/>
      <c r="C537" s="12"/>
      <c r="D537" s="12"/>
      <c r="E537" s="12"/>
      <c r="F537" s="12"/>
      <c r="G537" s="18"/>
      <c r="H537" s="35"/>
      <c r="I537" s="35"/>
      <c r="J537" s="12"/>
      <c r="O537" s="12"/>
      <c r="P537" s="18"/>
      <c r="Q537" s="12"/>
      <c r="R537" s="12"/>
      <c r="S537" s="12"/>
      <c r="T537" s="36"/>
      <c r="U537" s="36"/>
      <c r="V537" s="12"/>
      <c r="W537" s="12"/>
      <c r="X537" s="12"/>
      <c r="Y537" s="12"/>
      <c r="Z537" s="12"/>
    </row>
    <row r="538" customFormat="false" ht="15.75" hidden="false" customHeight="false" outlineLevel="0" collapsed="false">
      <c r="A538" s="12"/>
      <c r="B538" s="34"/>
      <c r="C538" s="12"/>
      <c r="D538" s="12"/>
      <c r="E538" s="12"/>
      <c r="F538" s="12"/>
      <c r="G538" s="18"/>
      <c r="H538" s="35"/>
      <c r="I538" s="35"/>
      <c r="J538" s="12"/>
      <c r="O538" s="12"/>
      <c r="P538" s="18"/>
      <c r="Q538" s="12"/>
      <c r="R538" s="12"/>
      <c r="S538" s="12"/>
      <c r="T538" s="36"/>
      <c r="U538" s="36"/>
      <c r="V538" s="12"/>
      <c r="W538" s="12"/>
      <c r="X538" s="12"/>
      <c r="Y538" s="12"/>
      <c r="Z538" s="12"/>
    </row>
    <row r="539" customFormat="false" ht="15.75" hidden="false" customHeight="false" outlineLevel="0" collapsed="false">
      <c r="A539" s="12"/>
      <c r="B539" s="34"/>
      <c r="C539" s="12"/>
      <c r="D539" s="12"/>
      <c r="E539" s="12"/>
      <c r="F539" s="12"/>
      <c r="G539" s="18"/>
      <c r="H539" s="35"/>
      <c r="I539" s="35"/>
      <c r="J539" s="12"/>
      <c r="O539" s="12"/>
      <c r="P539" s="18"/>
      <c r="Q539" s="12"/>
      <c r="R539" s="12"/>
      <c r="S539" s="12"/>
      <c r="T539" s="36"/>
      <c r="U539" s="36"/>
      <c r="V539" s="12"/>
      <c r="W539" s="12"/>
      <c r="X539" s="12"/>
      <c r="Y539" s="12"/>
      <c r="Z539" s="12"/>
    </row>
    <row r="540" customFormat="false" ht="15.75" hidden="false" customHeight="false" outlineLevel="0" collapsed="false">
      <c r="A540" s="12"/>
      <c r="B540" s="34"/>
      <c r="C540" s="12"/>
      <c r="D540" s="12"/>
      <c r="E540" s="12"/>
      <c r="F540" s="12"/>
      <c r="G540" s="18"/>
      <c r="H540" s="35"/>
      <c r="I540" s="35"/>
      <c r="J540" s="12"/>
      <c r="O540" s="12"/>
      <c r="P540" s="18"/>
      <c r="Q540" s="12"/>
      <c r="R540" s="12"/>
      <c r="S540" s="12"/>
      <c r="T540" s="36"/>
      <c r="U540" s="36"/>
      <c r="V540" s="12"/>
      <c r="W540" s="12"/>
      <c r="X540" s="12"/>
      <c r="Y540" s="12"/>
      <c r="Z540" s="12"/>
    </row>
    <row r="541" customFormat="false" ht="15.75" hidden="false" customHeight="false" outlineLevel="0" collapsed="false">
      <c r="A541" s="12"/>
      <c r="B541" s="34"/>
      <c r="C541" s="12"/>
      <c r="D541" s="12"/>
      <c r="E541" s="12"/>
      <c r="F541" s="12"/>
      <c r="G541" s="18"/>
      <c r="H541" s="35"/>
      <c r="I541" s="35"/>
      <c r="J541" s="12"/>
      <c r="O541" s="12"/>
      <c r="P541" s="18"/>
      <c r="Q541" s="12"/>
      <c r="R541" s="12"/>
      <c r="S541" s="12"/>
      <c r="T541" s="36"/>
      <c r="U541" s="36"/>
      <c r="V541" s="12"/>
      <c r="W541" s="12"/>
      <c r="X541" s="12"/>
      <c r="Y541" s="12"/>
      <c r="Z541" s="12"/>
    </row>
    <row r="542" customFormat="false" ht="15.75" hidden="false" customHeight="false" outlineLevel="0" collapsed="false">
      <c r="A542" s="12"/>
      <c r="B542" s="34"/>
      <c r="C542" s="12"/>
      <c r="D542" s="12"/>
      <c r="E542" s="12"/>
      <c r="F542" s="12"/>
      <c r="G542" s="18"/>
      <c r="H542" s="35"/>
      <c r="I542" s="35"/>
      <c r="J542" s="12"/>
      <c r="O542" s="12"/>
      <c r="P542" s="18"/>
      <c r="Q542" s="12"/>
      <c r="R542" s="12"/>
      <c r="S542" s="12"/>
      <c r="T542" s="36"/>
      <c r="U542" s="36"/>
      <c r="V542" s="12"/>
      <c r="W542" s="12"/>
      <c r="X542" s="12"/>
      <c r="Y542" s="12"/>
      <c r="Z542" s="12"/>
    </row>
    <row r="543" customFormat="false" ht="15.75" hidden="false" customHeight="false" outlineLevel="0" collapsed="false">
      <c r="A543" s="12"/>
      <c r="B543" s="34"/>
      <c r="C543" s="12"/>
      <c r="D543" s="12"/>
      <c r="E543" s="12"/>
      <c r="F543" s="12"/>
      <c r="G543" s="18"/>
      <c r="H543" s="35"/>
      <c r="I543" s="35"/>
      <c r="J543" s="12"/>
      <c r="O543" s="12"/>
      <c r="P543" s="18"/>
      <c r="Q543" s="12"/>
      <c r="R543" s="12"/>
      <c r="S543" s="12"/>
      <c r="T543" s="36"/>
      <c r="U543" s="36"/>
      <c r="V543" s="12"/>
      <c r="W543" s="12"/>
      <c r="X543" s="12"/>
      <c r="Y543" s="12"/>
      <c r="Z543" s="12"/>
    </row>
    <row r="544" customFormat="false" ht="15.75" hidden="false" customHeight="false" outlineLevel="0" collapsed="false">
      <c r="A544" s="12"/>
      <c r="B544" s="34"/>
      <c r="C544" s="12"/>
      <c r="D544" s="12"/>
      <c r="E544" s="12"/>
      <c r="F544" s="12"/>
      <c r="G544" s="18"/>
      <c r="H544" s="35"/>
      <c r="I544" s="35"/>
      <c r="J544" s="12"/>
      <c r="O544" s="12"/>
      <c r="P544" s="18"/>
      <c r="Q544" s="12"/>
      <c r="R544" s="12"/>
      <c r="S544" s="12"/>
      <c r="T544" s="36"/>
      <c r="U544" s="36"/>
      <c r="V544" s="12"/>
      <c r="W544" s="12"/>
      <c r="X544" s="12"/>
      <c r="Y544" s="12"/>
      <c r="Z544" s="12"/>
    </row>
    <row r="545" customFormat="false" ht="15.75" hidden="false" customHeight="false" outlineLevel="0" collapsed="false">
      <c r="A545" s="12"/>
      <c r="B545" s="34"/>
      <c r="C545" s="12"/>
      <c r="D545" s="12"/>
      <c r="E545" s="12"/>
      <c r="F545" s="12"/>
      <c r="G545" s="18"/>
      <c r="H545" s="35"/>
      <c r="I545" s="35"/>
      <c r="J545" s="12"/>
      <c r="O545" s="12"/>
      <c r="P545" s="18"/>
      <c r="Q545" s="12"/>
      <c r="R545" s="12"/>
      <c r="S545" s="12"/>
      <c r="T545" s="36"/>
      <c r="U545" s="36"/>
      <c r="V545" s="12"/>
      <c r="W545" s="12"/>
      <c r="X545" s="12"/>
      <c r="Y545" s="12"/>
      <c r="Z545" s="12"/>
    </row>
    <row r="546" customFormat="false" ht="15.75" hidden="false" customHeight="false" outlineLevel="0" collapsed="false">
      <c r="A546" s="12"/>
      <c r="B546" s="34"/>
      <c r="C546" s="12"/>
      <c r="D546" s="12"/>
      <c r="E546" s="12"/>
      <c r="F546" s="12"/>
      <c r="G546" s="18"/>
      <c r="H546" s="35"/>
      <c r="I546" s="35"/>
      <c r="J546" s="12"/>
      <c r="O546" s="12"/>
      <c r="P546" s="18"/>
      <c r="Q546" s="12"/>
      <c r="R546" s="12"/>
      <c r="S546" s="12"/>
      <c r="T546" s="36"/>
      <c r="U546" s="36"/>
      <c r="V546" s="12"/>
      <c r="W546" s="12"/>
      <c r="X546" s="12"/>
      <c r="Y546" s="12"/>
      <c r="Z546" s="12"/>
    </row>
    <row r="547" customFormat="false" ht="15.75" hidden="false" customHeight="false" outlineLevel="0" collapsed="false">
      <c r="A547" s="12"/>
      <c r="B547" s="34"/>
      <c r="C547" s="12"/>
      <c r="D547" s="12"/>
      <c r="E547" s="12"/>
      <c r="F547" s="12"/>
      <c r="G547" s="18"/>
      <c r="H547" s="35"/>
      <c r="I547" s="35"/>
      <c r="J547" s="12"/>
      <c r="O547" s="12"/>
      <c r="P547" s="18"/>
      <c r="Q547" s="12"/>
      <c r="R547" s="12"/>
      <c r="S547" s="12"/>
      <c r="T547" s="36"/>
      <c r="U547" s="36"/>
      <c r="V547" s="12"/>
      <c r="W547" s="12"/>
      <c r="X547" s="12"/>
      <c r="Y547" s="12"/>
      <c r="Z547" s="12"/>
    </row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AH70"/>
  <conditionalFormatting sqref="T2:U547">
    <cfRule type="expression" priority="2" aboveAverage="0" equalAverage="0" bottom="0" percent="0" rank="0" text="" dxfId="0">
      <formula>LEN(TRIM(T2))&gt;0</formula>
    </cfRule>
  </conditionalFormatting>
  <conditionalFormatting sqref="S2:S547">
    <cfRule type="expression" priority="3" aboveAverage="0" equalAverage="0" bottom="0" percent="0" rank="0" text="" dxfId="0">
      <formula>LEN(TRIM(S2))&gt;0</formula>
    </cfRule>
  </conditionalFormatting>
  <conditionalFormatting sqref="G2:G547 P2:P547">
    <cfRule type="containsText" priority="4" operator="containsText" aboveAverage="0" equalAverage="0" bottom="0" percent="0" rank="0" text="x" dxfId="0">
      <formula>NOT(ISERROR(SEARCH("x",G2)))</formula>
    </cfRule>
  </conditionalFormatting>
  <conditionalFormatting sqref="V2:V547">
    <cfRule type="expression" priority="5" aboveAverage="0" equalAverage="0" bottom="0" percent="0" rank="0" text="" dxfId="0">
      <formula>LEN(TRIM(V2))&gt;0</formula>
    </cfRule>
  </conditionalFormatting>
  <conditionalFormatting sqref="Y2:Y547">
    <cfRule type="expression" priority="6" aboveAverage="0" equalAverage="0" bottom="0" percent="0" rank="0" text="" dxfId="0">
      <formula>LEN(TRIM(Y2))&gt;0</formula>
    </cfRule>
  </conditionalFormatting>
  <conditionalFormatting sqref="Z2:Z547">
    <cfRule type="cellIs" priority="7" operator="equal" aboveAverage="0" equalAverage="0" bottom="0" percent="0" rank="0" text="" dxfId="0">
      <formula>"Completo"</formula>
    </cfRule>
    <cfRule type="cellIs" priority="8" operator="equal" aboveAverage="0" equalAverage="0" bottom="0" percent="0" rank="0" text="" dxfId="1">
      <formula>"No aplica"</formula>
    </cfRule>
  </conditionalFormatting>
  <conditionalFormatting sqref="G2:J547 Q2:R547 W2:X547 Z2:Z547">
    <cfRule type="cellIs" priority="9" operator="equal" aboveAverage="0" equalAverage="0" bottom="0" percent="0" rank="0" text="" dxfId="0">
      <formula>"Completo"</formula>
    </cfRule>
    <cfRule type="cellIs" priority="10" operator="equal" aboveAverage="0" equalAverage="0" bottom="0" percent="0" rank="0" text="" dxfId="1">
      <formula>"No Aplica"</formula>
    </cfRule>
  </conditionalFormatting>
  <dataValidations count="6">
    <dataValidation allowBlank="true" errorStyle="stop" operator="between" showDropDown="false" showErrorMessage="true" showInputMessage="false" sqref="AA2:AA70" type="list">
      <formula1>"Aceptada,En espera,Rechazada,No aplica"</formula1>
      <formula2>0</formula2>
    </dataValidation>
    <dataValidation allowBlank="true" errorStyle="stop" operator="between" showDropDown="false" showErrorMessage="false" showInputMessage="false" sqref="V2:V547" type="list">
      <formula1>LEYENDA!$A$23:$A$24</formula1>
      <formula2>0</formula2>
    </dataValidation>
    <dataValidation allowBlank="true" errorStyle="stop" operator="between" showDropDown="false" showErrorMessage="false" showInputMessage="false" sqref="T2:T547" type="list">
      <formula1>LEYENDA!$A$15:$A$21</formula1>
      <formula2>0</formula2>
    </dataValidation>
    <dataValidation allowBlank="true" errorStyle="stop" operator="between" showDropDown="false" showErrorMessage="true" showInputMessage="false" sqref="D2:D547" type="list">
      <formula1>LEYENDA!$B$2:$D$2</formula1>
      <formula2>0</formula2>
    </dataValidation>
    <dataValidation allowBlank="true" errorStyle="stop" operator="between" showDropDown="false" showErrorMessage="true" showInputMessage="false" sqref="H2:J547 Q2:R547 W2:X547 Z2:Z547" type="list">
      <formula1>LEYENDA!$B$1:$C$1</formula1>
      <formula2>0</formula2>
    </dataValidation>
    <dataValidation allowBlank="true" errorStyle="stop" operator="between" showDropDown="false" showErrorMessage="false" showInputMessage="false" sqref="E2:E547" type="list">
      <formula1>LEYENDA!$A$8:$A$12</formula1>
      <formula2>0</formula2>
    </dataValidation>
  </dataValidations>
  <hyperlinks>
    <hyperlink ref="H2" r:id="rId1" display="Completo"/>
    <hyperlink ref="W2" r:id="rId2" display="Completo"/>
    <hyperlink ref="X2" r:id="rId3" display="Completo"/>
    <hyperlink ref="H7" r:id="rId4" display="Completo"/>
    <hyperlink ref="R7" r:id="rId5" display="Completo"/>
    <hyperlink ref="H8" r:id="rId6" display="Completo"/>
    <hyperlink ref="H9" r:id="rId7" display="Completo"/>
    <hyperlink ref="H10" r:id="rId8" display="Completo"/>
    <hyperlink ref="H11" r:id="rId9" display="Completo"/>
    <hyperlink ref="W11" r:id="rId10" display="Completo"/>
    <hyperlink ref="X11" r:id="rId11" display="Completo"/>
    <hyperlink ref="H12" r:id="rId12" display="Completo"/>
    <hyperlink ref="R12" r:id="rId13" display="Completo"/>
    <hyperlink ref="W12" r:id="rId14" display="Completo"/>
    <hyperlink ref="H14" r:id="rId15" display="Completo"/>
    <hyperlink ref="H20" r:id="rId16" display="Completo"/>
    <hyperlink ref="R20" r:id="rId17" display="Completo"/>
    <hyperlink ref="W20" r:id="rId18" display="Completo"/>
    <hyperlink ref="X20" r:id="rId19" display="Completo"/>
    <hyperlink ref="H21" r:id="rId20" display="Completo"/>
    <hyperlink ref="R21" r:id="rId21" display="Completo"/>
    <hyperlink ref="W21" r:id="rId22" display="Completo"/>
    <hyperlink ref="X21" r:id="rId23" display="Completo"/>
    <hyperlink ref="H22" r:id="rId24" display="Completo"/>
    <hyperlink ref="R22" r:id="rId25" display="Completo"/>
    <hyperlink ref="W22" r:id="rId26" display="Completo"/>
    <hyperlink ref="X22" r:id="rId27" display="Completo"/>
    <hyperlink ref="H23" r:id="rId28" display="Completo"/>
    <hyperlink ref="R23" r:id="rId29" display="Completo"/>
    <hyperlink ref="W23" r:id="rId30" display="Completo"/>
    <hyperlink ref="X23" r:id="rId31" display="Completo"/>
    <hyperlink ref="H24" r:id="rId32" display="Completo"/>
    <hyperlink ref="R24" r:id="rId33" display="Completo"/>
    <hyperlink ref="W24" r:id="rId34" display="Completo"/>
    <hyperlink ref="X24" r:id="rId35" display="Completo"/>
    <hyperlink ref="H25" r:id="rId36" display="Completo"/>
    <hyperlink ref="R25" r:id="rId37" display="Completo"/>
    <hyperlink ref="R26" r:id="rId38" display="Completo"/>
    <hyperlink ref="R27" r:id="rId39" display="Completo"/>
    <hyperlink ref="H28" r:id="rId40" display="Completo"/>
    <hyperlink ref="H29" r:id="rId41" display="Completo"/>
    <hyperlink ref="H30" r:id="rId42" display="Completo"/>
    <hyperlink ref="H31" r:id="rId43" display="Completo"/>
    <hyperlink ref="H38" r:id="rId44" display="Completo"/>
    <hyperlink ref="W38" r:id="rId45" display="Completo"/>
    <hyperlink ref="X38" r:id="rId46" display="Completo"/>
    <hyperlink ref="H39" r:id="rId47" display="Completo"/>
    <hyperlink ref="W39" r:id="rId48" display="Completo"/>
    <hyperlink ref="X39" r:id="rId49" display="Completo"/>
    <hyperlink ref="H54" r:id="rId50" display="Completo"/>
    <hyperlink ref="H55" r:id="rId51" display="Completo"/>
    <hyperlink ref="H59" r:id="rId52" display="Completo"/>
    <hyperlink ref="W59" r:id="rId53" display="Completo"/>
    <hyperlink ref="X59" r:id="rId54" display="Completo"/>
    <hyperlink ref="H60" r:id="rId55" display="Completo"/>
    <hyperlink ref="R60" r:id="rId56" display="Completo"/>
    <hyperlink ref="W60" r:id="rId57" display="Completo"/>
    <hyperlink ref="X60" r:id="rId58" display="Completo"/>
    <hyperlink ref="H61" r:id="rId59" display="Completo"/>
    <hyperlink ref="W61" r:id="rId60" display="Completo"/>
    <hyperlink ref="X61" r:id="rId61" display="Completo"/>
    <hyperlink ref="H62" r:id="rId62" display="Completo"/>
    <hyperlink ref="H63" r:id="rId63" display="Completo"/>
    <hyperlink ref="W63" r:id="rId64" display="Completo"/>
    <hyperlink ref="X63" r:id="rId65" display="Completo"/>
    <hyperlink ref="H64" r:id="rId66" display="Completo"/>
    <hyperlink ref="R64" r:id="rId67" display="Completo"/>
    <hyperlink ref="W64" r:id="rId68" display="Completo"/>
    <hyperlink ref="X64" r:id="rId69" display="Completo"/>
    <hyperlink ref="H65" r:id="rId70" display="Completo"/>
    <hyperlink ref="R65" r:id="rId71" display="Completo"/>
    <hyperlink ref="W65" r:id="rId72" display="Completo"/>
    <hyperlink ref="X65" r:id="rId73" display="Completo"/>
    <hyperlink ref="H66" r:id="rId74" display="Completo"/>
    <hyperlink ref="R66" r:id="rId75" display="Completo"/>
    <hyperlink ref="W66" r:id="rId76" display="Completo"/>
    <hyperlink ref="X66" r:id="rId77" display="Completo"/>
    <hyperlink ref="H69" r:id="rId78" display="Completo"/>
  </hyperlinks>
  <printOptions headings="false" gridLines="true" gridLinesSet="true" horizontalCentered="true" verticalCentered="false"/>
  <pageMargins left="0.7" right="0.7" top="0.75" bottom="0.75" header="0.511811023622047" footer="0.511811023622047"/>
  <pageSetup paperSize="9" scale="100" fitToWidth="1" fitToHeight="0" pageOrder="overThenDown" orientation="landscape" blackAndWhite="false" draft="false" cellComments="none" horizontalDpi="300" verticalDpi="300" copies="1"/>
  <headerFooter differentFirst="false" differentOddEven="false">
    <oddHeader/>
    <oddFooter/>
  </headerFooter>
  <drawing r:id="rId79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XFD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8" ySplit="0" topLeftCell="I1" activePane="topRight" state="frozen"/>
      <selection pane="topLeft" activeCell="A1" activeCellId="0" sqref="A1"/>
      <selection pane="topRight" activeCell="E12" activeCellId="0" sqref="E12"/>
    </sheetView>
  </sheetViews>
  <sheetFormatPr defaultColWidth="12.6328125" defaultRowHeight="15.75" zeroHeight="false" outlineLevelRow="0" outlineLevelCol="0"/>
  <cols>
    <col collapsed="false" customWidth="true" hidden="false" outlineLevel="0" max="1" min="1" style="1" width="10.25"/>
    <col collapsed="false" customWidth="true" hidden="false" outlineLevel="0" max="2" min="2" style="1" width="10.38"/>
    <col collapsed="false" customWidth="true" hidden="false" outlineLevel="0" max="5" min="3" style="1" width="16.38"/>
    <col collapsed="false" customWidth="true" hidden="false" outlineLevel="0" max="6" min="6" style="1" width="29.38"/>
    <col collapsed="false" customWidth="true" hidden="false" outlineLevel="0" max="7" min="7" style="1" width="14.13"/>
    <col collapsed="false" customWidth="true" hidden="false" outlineLevel="0" max="9" min="8" style="1" width="10.13"/>
    <col collapsed="false" customWidth="true" hidden="false" outlineLevel="0" max="10" min="10" style="1" width="12.88"/>
    <col collapsed="false" customWidth="true" hidden="false" outlineLevel="0" max="12" min="11" style="1" width="12"/>
    <col collapsed="false" customWidth="true" hidden="false" outlineLevel="0" max="13" min="13" style="1" width="10"/>
    <col collapsed="false" customWidth="true" hidden="false" outlineLevel="0" max="14" min="14" style="1" width="12.25"/>
    <col collapsed="false" customWidth="true" hidden="false" outlineLevel="0" max="15" min="15" style="1" width="26.12"/>
    <col collapsed="false" customWidth="true" hidden="true" outlineLevel="0" max="16" min="16" style="1" width="18"/>
    <col collapsed="false" customWidth="true" hidden="false" outlineLevel="0" max="18" min="17" style="1" width="10.63"/>
    <col collapsed="false" customWidth="true" hidden="false" outlineLevel="0" max="19" min="19" style="1" width="8.5"/>
    <col collapsed="false" customWidth="true" hidden="false" outlineLevel="0" max="21" min="21" style="1" width="25.38"/>
    <col collapsed="false" customWidth="true" hidden="false" outlineLevel="0" max="22" min="22" style="1" width="18.13"/>
    <col collapsed="false" customWidth="true" hidden="false" outlineLevel="0" max="23" min="23" style="1" width="10.13"/>
    <col collapsed="false" customWidth="true" hidden="false" outlineLevel="0" max="24" min="24" style="1" width="11.38"/>
    <col collapsed="false" customWidth="true" hidden="false" outlineLevel="0" max="25" min="25" style="1" width="24.38"/>
    <col collapsed="false" customWidth="true" hidden="false" outlineLevel="0" max="16384" min="16383" style="1" width="11.53"/>
  </cols>
  <sheetData>
    <row r="1" customFormat="false" ht="42.5" hidden="false" customHeight="false" outlineLevel="0" collapsed="false">
      <c r="A1" s="2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/>
      <c r="J1" s="4" t="s">
        <v>8</v>
      </c>
      <c r="K1" s="2"/>
      <c r="L1" s="2" t="s">
        <v>9</v>
      </c>
      <c r="M1" s="2" t="s">
        <v>10</v>
      </c>
      <c r="N1" s="4" t="s">
        <v>11</v>
      </c>
      <c r="O1" s="3" t="s">
        <v>12</v>
      </c>
      <c r="P1" s="7" t="s">
        <v>13</v>
      </c>
      <c r="Q1" s="7" t="s">
        <v>14</v>
      </c>
      <c r="R1" s="7" t="s">
        <v>15</v>
      </c>
      <c r="S1" s="7" t="s">
        <v>16</v>
      </c>
      <c r="T1" s="7" t="s">
        <v>17</v>
      </c>
      <c r="U1" s="8" t="s">
        <v>18</v>
      </c>
      <c r="V1" s="9" t="s">
        <v>19</v>
      </c>
      <c r="W1" s="9" t="s">
        <v>20</v>
      </c>
      <c r="X1" s="10" t="s">
        <v>15</v>
      </c>
      <c r="Y1" s="11" t="s">
        <v>21</v>
      </c>
      <c r="Z1" s="11" t="s">
        <v>22</v>
      </c>
      <c r="AA1" s="12"/>
      <c r="AB1" s="12"/>
      <c r="AC1" s="12"/>
      <c r="AD1" s="12"/>
      <c r="AE1" s="12"/>
      <c r="AF1" s="12"/>
      <c r="XFC1" s="0"/>
      <c r="XFD1" s="0"/>
    </row>
    <row r="2" customFormat="false" ht="15.75" hidden="false" customHeight="false" outlineLevel="0" collapsed="false">
      <c r="A2" s="19" t="s">
        <v>870</v>
      </c>
      <c r="B2" s="14" t="n">
        <v>45352</v>
      </c>
      <c r="C2" s="21" t="s">
        <v>188</v>
      </c>
      <c r="D2" s="21" t="s">
        <v>24</v>
      </c>
      <c r="E2" s="21"/>
      <c r="F2" s="16" t="s">
        <v>871</v>
      </c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 t="s">
        <v>37</v>
      </c>
      <c r="AA2" s="12" t="s">
        <v>40</v>
      </c>
    </row>
    <row r="3" customFormat="false" ht="15.75" hidden="false" customHeight="false" outlineLevel="0" collapsed="false">
      <c r="A3" s="19" t="n">
        <v>7824</v>
      </c>
      <c r="B3" s="14" t="n">
        <v>45355</v>
      </c>
      <c r="C3" s="21" t="s">
        <v>872</v>
      </c>
      <c r="D3" s="21" t="s">
        <v>24</v>
      </c>
      <c r="E3" s="21" t="s">
        <v>34</v>
      </c>
      <c r="F3" s="16" t="s">
        <v>873</v>
      </c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 t="s">
        <v>28</v>
      </c>
      <c r="AA3" s="12" t="s">
        <v>32</v>
      </c>
    </row>
    <row r="4" customFormat="false" ht="15.75" hidden="false" customHeight="false" outlineLevel="0" collapsed="false">
      <c r="A4" s="19" t="n">
        <v>7825</v>
      </c>
      <c r="B4" s="14" t="n">
        <v>45355</v>
      </c>
      <c r="C4" s="21" t="s">
        <v>649</v>
      </c>
      <c r="D4" s="21" t="s">
        <v>24</v>
      </c>
      <c r="E4" s="21" t="s">
        <v>34</v>
      </c>
      <c r="F4" s="16" t="s">
        <v>874</v>
      </c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 t="s">
        <v>28</v>
      </c>
      <c r="AA4" s="12" t="s">
        <v>32</v>
      </c>
    </row>
    <row r="5" customFormat="false" ht="15.75" hidden="false" customHeight="false" outlineLevel="0" collapsed="false">
      <c r="A5" s="19" t="n">
        <v>7826</v>
      </c>
      <c r="B5" s="14" t="n">
        <v>45355</v>
      </c>
      <c r="C5" s="16" t="s">
        <v>649</v>
      </c>
      <c r="D5" s="21" t="s">
        <v>24</v>
      </c>
      <c r="E5" s="21" t="s">
        <v>34</v>
      </c>
      <c r="F5" s="16" t="s">
        <v>874</v>
      </c>
      <c r="G5" s="16"/>
      <c r="H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 t="s">
        <v>28</v>
      </c>
      <c r="AA5" s="12" t="s">
        <v>32</v>
      </c>
    </row>
    <row r="6" customFormat="false" ht="15.75" hidden="false" customHeight="false" outlineLevel="0" collapsed="false">
      <c r="A6" s="19" t="n">
        <v>7827</v>
      </c>
      <c r="B6" s="14" t="n">
        <v>45355</v>
      </c>
      <c r="C6" s="21" t="s">
        <v>649</v>
      </c>
      <c r="D6" s="21" t="s">
        <v>24</v>
      </c>
      <c r="E6" s="21" t="s">
        <v>34</v>
      </c>
      <c r="F6" s="16" t="s">
        <v>875</v>
      </c>
      <c r="G6" s="16"/>
      <c r="H6" s="16"/>
      <c r="I6" s="16"/>
      <c r="J6" s="16"/>
      <c r="K6" s="16"/>
      <c r="L6" s="20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 t="s">
        <v>28</v>
      </c>
      <c r="AA6" s="12" t="s">
        <v>32</v>
      </c>
    </row>
    <row r="7" customFormat="false" ht="15.75" hidden="false" customHeight="false" outlineLevel="0" collapsed="false">
      <c r="A7" s="19" t="n">
        <v>7828</v>
      </c>
      <c r="B7" s="14" t="n">
        <v>45355</v>
      </c>
      <c r="C7" s="21" t="s">
        <v>649</v>
      </c>
      <c r="D7" s="21" t="s">
        <v>24</v>
      </c>
      <c r="E7" s="21" t="s">
        <v>34</v>
      </c>
      <c r="F7" s="16" t="s">
        <v>875</v>
      </c>
      <c r="G7" s="16"/>
      <c r="H7" s="16"/>
      <c r="I7" s="16"/>
      <c r="J7" s="16"/>
      <c r="K7" s="16"/>
      <c r="L7" s="20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 t="s">
        <v>28</v>
      </c>
      <c r="AA7" s="12" t="s">
        <v>32</v>
      </c>
    </row>
    <row r="8" customFormat="false" ht="15.75" hidden="false" customHeight="false" outlineLevel="0" collapsed="false">
      <c r="A8" s="19" t="n">
        <v>7829</v>
      </c>
      <c r="B8" s="14" t="n">
        <v>45355</v>
      </c>
      <c r="C8" s="16" t="s">
        <v>872</v>
      </c>
      <c r="D8" s="16" t="s">
        <v>24</v>
      </c>
      <c r="E8" s="16" t="s">
        <v>25</v>
      </c>
      <c r="F8" s="16" t="s">
        <v>876</v>
      </c>
      <c r="G8" s="16"/>
      <c r="H8" s="17" t="s">
        <v>28</v>
      </c>
      <c r="I8" s="16"/>
      <c r="J8" s="16" t="s">
        <v>28</v>
      </c>
      <c r="K8" s="16"/>
      <c r="L8" s="20"/>
      <c r="M8" s="16"/>
      <c r="N8" s="16" t="n">
        <v>9446</v>
      </c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2" t="s">
        <v>156</v>
      </c>
    </row>
    <row r="9" customFormat="false" ht="15.75" hidden="false" customHeight="false" outlineLevel="0" collapsed="false">
      <c r="A9" s="19" t="n">
        <v>7830</v>
      </c>
      <c r="B9" s="14" t="n">
        <v>45356</v>
      </c>
      <c r="C9" s="16" t="s">
        <v>877</v>
      </c>
      <c r="D9" s="16" t="s">
        <v>24</v>
      </c>
      <c r="E9" s="16" t="s">
        <v>25</v>
      </c>
      <c r="F9" s="16" t="s">
        <v>223</v>
      </c>
      <c r="G9" s="16" t="s">
        <v>878</v>
      </c>
      <c r="H9" s="17" t="s">
        <v>28</v>
      </c>
      <c r="I9" s="16"/>
      <c r="J9" s="16" t="s">
        <v>28</v>
      </c>
      <c r="K9" s="16" t="n">
        <v>30715371819</v>
      </c>
      <c r="L9" s="16" t="n">
        <v>4750770</v>
      </c>
      <c r="M9" s="16" t="s">
        <v>879</v>
      </c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 t="s">
        <v>28</v>
      </c>
      <c r="AA9" s="12" t="s">
        <v>156</v>
      </c>
    </row>
    <row r="10" customFormat="false" ht="15.75" hidden="false" customHeight="false" outlineLevel="0" collapsed="false">
      <c r="A10" s="24" t="n">
        <v>7831</v>
      </c>
      <c r="B10" s="49" t="n">
        <v>45356</v>
      </c>
      <c r="C10" s="16" t="s">
        <v>877</v>
      </c>
      <c r="D10" s="25" t="s">
        <v>24</v>
      </c>
      <c r="E10" s="25" t="s">
        <v>25</v>
      </c>
      <c r="F10" s="16" t="s">
        <v>223</v>
      </c>
      <c r="G10" s="25" t="s">
        <v>878</v>
      </c>
      <c r="H10" s="26" t="s">
        <v>28</v>
      </c>
      <c r="I10" s="25"/>
      <c r="J10" s="25" t="s">
        <v>28</v>
      </c>
      <c r="K10" s="16" t="n">
        <v>30715371819</v>
      </c>
      <c r="L10" s="16" t="n">
        <v>4750770</v>
      </c>
      <c r="M10" s="25" t="s">
        <v>879</v>
      </c>
      <c r="N10" s="25"/>
      <c r="O10" s="25"/>
      <c r="P10" s="25"/>
      <c r="Q10" s="25"/>
      <c r="R10" s="25"/>
      <c r="T10" s="25"/>
      <c r="U10" s="25"/>
      <c r="V10" s="25"/>
      <c r="W10" s="25"/>
      <c r="X10" s="25"/>
      <c r="Y10" s="25"/>
      <c r="Z10" s="25" t="s">
        <v>28</v>
      </c>
      <c r="AA10" s="12" t="s">
        <v>156</v>
      </c>
    </row>
    <row r="11" customFormat="false" ht="15.75" hidden="false" customHeight="false" outlineLevel="0" collapsed="false">
      <c r="A11" s="19" t="n">
        <v>7832</v>
      </c>
      <c r="B11" s="14" t="n">
        <v>45356</v>
      </c>
      <c r="C11" s="16" t="s">
        <v>877</v>
      </c>
      <c r="D11" s="16" t="s">
        <v>24</v>
      </c>
      <c r="E11" s="16" t="s">
        <v>25</v>
      </c>
      <c r="F11" s="16" t="s">
        <v>223</v>
      </c>
      <c r="G11" s="16" t="s">
        <v>880</v>
      </c>
      <c r="H11" s="17" t="s">
        <v>28</v>
      </c>
      <c r="I11" s="16"/>
      <c r="J11" s="16" t="s">
        <v>28</v>
      </c>
      <c r="K11" s="16" t="n">
        <v>30715371819</v>
      </c>
      <c r="L11" s="16" t="n">
        <v>4750770</v>
      </c>
      <c r="M11" s="16" t="s">
        <v>879</v>
      </c>
      <c r="N11" s="16"/>
      <c r="O11" s="16"/>
      <c r="P11" s="16"/>
      <c r="Q11" s="16"/>
      <c r="R11" s="16"/>
      <c r="T11" s="16"/>
      <c r="U11" s="16"/>
      <c r="V11" s="16"/>
      <c r="W11" s="16"/>
      <c r="X11" s="16"/>
      <c r="Y11" s="16"/>
      <c r="Z11" s="16" t="s">
        <v>28</v>
      </c>
      <c r="AA11" s="12" t="s">
        <v>156</v>
      </c>
    </row>
    <row r="12" customFormat="false" ht="15.75" hidden="false" customHeight="false" outlineLevel="0" collapsed="false">
      <c r="A12" s="19" t="n">
        <v>7833</v>
      </c>
      <c r="B12" s="14" t="n">
        <v>45357</v>
      </c>
      <c r="C12" s="16" t="s">
        <v>872</v>
      </c>
      <c r="D12" s="16" t="s">
        <v>24</v>
      </c>
      <c r="E12" s="16" t="s">
        <v>34</v>
      </c>
      <c r="F12" s="16" t="s">
        <v>881</v>
      </c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 t="s">
        <v>28</v>
      </c>
      <c r="AA12" s="12" t="s">
        <v>32</v>
      </c>
    </row>
    <row r="13" customFormat="false" ht="15.75" hidden="false" customHeight="false" outlineLevel="0" collapsed="false">
      <c r="A13" s="19" t="n">
        <v>7834</v>
      </c>
      <c r="B13" s="14" t="n">
        <v>45358</v>
      </c>
      <c r="C13" s="16" t="s">
        <v>882</v>
      </c>
      <c r="D13" s="16" t="s">
        <v>24</v>
      </c>
      <c r="E13" s="16" t="s">
        <v>25</v>
      </c>
      <c r="F13" s="16" t="s">
        <v>883</v>
      </c>
      <c r="G13" s="16"/>
      <c r="H13" s="17" t="s">
        <v>28</v>
      </c>
      <c r="I13" s="16"/>
      <c r="J13" s="16" t="s">
        <v>28</v>
      </c>
      <c r="K13" s="16"/>
      <c r="L13" s="16" t="n">
        <v>3516297144</v>
      </c>
      <c r="M13" s="16" t="s">
        <v>884</v>
      </c>
      <c r="N13" s="16"/>
      <c r="O13" s="16"/>
      <c r="P13" s="16"/>
      <c r="Q13" s="16" t="s">
        <v>28</v>
      </c>
      <c r="R13" s="17" t="s">
        <v>28</v>
      </c>
      <c r="S13" s="16" t="s">
        <v>885</v>
      </c>
      <c r="T13" s="16" t="s">
        <v>30</v>
      </c>
      <c r="U13" s="16"/>
      <c r="V13" s="16"/>
      <c r="W13" s="16"/>
      <c r="X13" s="16"/>
      <c r="Y13" s="16"/>
      <c r="Z13" s="16" t="s">
        <v>28</v>
      </c>
      <c r="AA13" s="12" t="s">
        <v>32</v>
      </c>
    </row>
    <row r="14" customFormat="false" ht="15.75" hidden="false" customHeight="false" outlineLevel="0" collapsed="false">
      <c r="A14" s="19" t="n">
        <v>7835</v>
      </c>
      <c r="B14" s="14" t="n">
        <v>45358</v>
      </c>
      <c r="C14" s="16" t="s">
        <v>773</v>
      </c>
      <c r="D14" s="16" t="s">
        <v>24</v>
      </c>
      <c r="E14" s="16" t="s">
        <v>25</v>
      </c>
      <c r="F14" s="16" t="s">
        <v>886</v>
      </c>
      <c r="G14" s="16"/>
      <c r="H14" s="17" t="s">
        <v>28</v>
      </c>
      <c r="I14" s="16"/>
      <c r="J14" s="16" t="s">
        <v>28</v>
      </c>
      <c r="K14" s="16"/>
      <c r="L14" s="16"/>
      <c r="M14" s="16"/>
      <c r="N14" s="16" t="n">
        <v>8751</v>
      </c>
      <c r="O14" s="16"/>
      <c r="P14" s="16"/>
      <c r="Q14" s="16"/>
      <c r="R14" s="16"/>
      <c r="S14" s="16"/>
      <c r="T14" s="16"/>
      <c r="U14" s="16"/>
      <c r="V14" s="16" t="s">
        <v>74</v>
      </c>
      <c r="W14" s="17" t="s">
        <v>28</v>
      </c>
      <c r="X14" s="17" t="s">
        <v>28</v>
      </c>
      <c r="Y14" s="16" t="s">
        <v>36</v>
      </c>
      <c r="Z14" s="16" t="s">
        <v>28</v>
      </c>
      <c r="AA14" s="12" t="s">
        <v>32</v>
      </c>
    </row>
    <row r="15" customFormat="false" ht="15.75" hidden="false" customHeight="false" outlineLevel="0" collapsed="false">
      <c r="A15" s="19" t="n">
        <v>7836</v>
      </c>
      <c r="B15" s="14" t="n">
        <v>45358</v>
      </c>
      <c r="C15" s="16" t="s">
        <v>773</v>
      </c>
      <c r="D15" s="16" t="s">
        <v>24</v>
      </c>
      <c r="E15" s="16" t="s">
        <v>25</v>
      </c>
      <c r="F15" s="16" t="s">
        <v>886</v>
      </c>
      <c r="G15" s="16"/>
      <c r="H15" s="17" t="s">
        <v>28</v>
      </c>
      <c r="I15" s="16"/>
      <c r="J15" s="16" t="s">
        <v>28</v>
      </c>
      <c r="K15" s="16"/>
      <c r="L15" s="16"/>
      <c r="M15" s="16"/>
      <c r="N15" s="16" t="n">
        <v>8751</v>
      </c>
      <c r="O15" s="16"/>
      <c r="P15" s="16"/>
      <c r="Q15" s="16"/>
      <c r="R15" s="16"/>
      <c r="S15" s="16"/>
      <c r="T15" s="16"/>
      <c r="U15" s="16"/>
      <c r="V15" s="16" t="s">
        <v>74</v>
      </c>
      <c r="W15" s="17" t="s">
        <v>28</v>
      </c>
      <c r="X15" s="17" t="s">
        <v>28</v>
      </c>
      <c r="Y15" s="16" t="s">
        <v>36</v>
      </c>
      <c r="Z15" s="16" t="s">
        <v>28</v>
      </c>
      <c r="AA15" s="12" t="s">
        <v>32</v>
      </c>
    </row>
    <row r="16" customFormat="false" ht="15.75" hidden="false" customHeight="false" outlineLevel="0" collapsed="false">
      <c r="A16" s="19" t="n">
        <v>7837</v>
      </c>
      <c r="B16" s="14" t="n">
        <v>45358</v>
      </c>
      <c r="C16" s="16" t="s">
        <v>762</v>
      </c>
      <c r="D16" s="16" t="s">
        <v>24</v>
      </c>
      <c r="E16" s="16" t="s">
        <v>34</v>
      </c>
      <c r="F16" s="16" t="s">
        <v>887</v>
      </c>
      <c r="G16" s="16"/>
      <c r="H16" s="17" t="s">
        <v>28</v>
      </c>
      <c r="I16" s="16"/>
      <c r="J16" s="16" t="s">
        <v>28</v>
      </c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 t="s">
        <v>74</v>
      </c>
      <c r="W16" s="17" t="s">
        <v>28</v>
      </c>
      <c r="X16" s="17" t="s">
        <v>28</v>
      </c>
      <c r="Y16" s="16" t="s">
        <v>36</v>
      </c>
      <c r="Z16" s="16" t="s">
        <v>28</v>
      </c>
      <c r="AA16" s="12" t="s">
        <v>32</v>
      </c>
    </row>
    <row r="17" customFormat="false" ht="15.75" hidden="false" customHeight="false" outlineLevel="0" collapsed="false">
      <c r="A17" s="19" t="n">
        <v>7838</v>
      </c>
      <c r="B17" s="14" t="n">
        <v>45359</v>
      </c>
      <c r="C17" s="16" t="s">
        <v>412</v>
      </c>
      <c r="D17" s="16" t="s">
        <v>24</v>
      </c>
      <c r="E17" s="16" t="s">
        <v>25</v>
      </c>
      <c r="F17" s="16" t="s">
        <v>888</v>
      </c>
      <c r="G17" s="16"/>
      <c r="H17" s="17" t="s">
        <v>28</v>
      </c>
      <c r="I17" s="16"/>
      <c r="J17" s="16" t="s">
        <v>28</v>
      </c>
      <c r="K17" s="16" t="s">
        <v>29</v>
      </c>
      <c r="L17" s="16" t="s">
        <v>29</v>
      </c>
      <c r="M17" s="16" t="s">
        <v>29</v>
      </c>
      <c r="N17" s="16" t="n">
        <v>17565</v>
      </c>
      <c r="O17" s="16"/>
      <c r="P17" s="16"/>
      <c r="Q17" s="16" t="s">
        <v>28</v>
      </c>
      <c r="R17" s="17" t="s">
        <v>28</v>
      </c>
      <c r="S17" s="16" t="s">
        <v>889</v>
      </c>
      <c r="T17" s="16" t="s">
        <v>30</v>
      </c>
      <c r="U17" s="16"/>
      <c r="V17" s="16" t="s">
        <v>74</v>
      </c>
      <c r="W17" s="17" t="s">
        <v>28</v>
      </c>
      <c r="X17" s="17" t="s">
        <v>28</v>
      </c>
      <c r="Y17" s="16" t="s">
        <v>36</v>
      </c>
      <c r="Z17" s="16" t="s">
        <v>28</v>
      </c>
      <c r="AA17" s="12" t="s">
        <v>32</v>
      </c>
    </row>
    <row r="18" customFormat="false" ht="15.75" hidden="false" customHeight="false" outlineLevel="0" collapsed="false">
      <c r="A18" s="19" t="n">
        <v>7839</v>
      </c>
      <c r="B18" s="14" t="n">
        <v>45359</v>
      </c>
      <c r="C18" s="16" t="s">
        <v>412</v>
      </c>
      <c r="D18" s="16" t="s">
        <v>24</v>
      </c>
      <c r="E18" s="16" t="s">
        <v>25</v>
      </c>
      <c r="F18" s="16" t="s">
        <v>890</v>
      </c>
      <c r="G18" s="16"/>
      <c r="H18" s="17" t="s">
        <v>28</v>
      </c>
      <c r="I18" s="16"/>
      <c r="J18" s="16" t="s">
        <v>28</v>
      </c>
      <c r="K18" s="16" t="s">
        <v>29</v>
      </c>
      <c r="L18" s="16" t="s">
        <v>29</v>
      </c>
      <c r="M18" s="16" t="s">
        <v>29</v>
      </c>
      <c r="N18" s="16" t="n">
        <v>17565</v>
      </c>
      <c r="O18" s="16"/>
      <c r="P18" s="16"/>
      <c r="Q18" s="16"/>
      <c r="R18" s="16"/>
      <c r="S18" s="16"/>
      <c r="T18" s="16"/>
      <c r="U18" s="16"/>
      <c r="V18" s="16" t="s">
        <v>74</v>
      </c>
      <c r="W18" s="17" t="s">
        <v>28</v>
      </c>
      <c r="X18" s="17" t="s">
        <v>28</v>
      </c>
      <c r="Y18" s="16" t="s">
        <v>36</v>
      </c>
      <c r="Z18" s="16" t="s">
        <v>28</v>
      </c>
      <c r="AA18" s="12" t="s">
        <v>32</v>
      </c>
    </row>
    <row r="19" customFormat="false" ht="15.75" hidden="false" customHeight="false" outlineLevel="0" collapsed="false">
      <c r="A19" s="19" t="n">
        <v>7840</v>
      </c>
      <c r="B19" s="14" t="n">
        <v>45362</v>
      </c>
      <c r="C19" s="16" t="s">
        <v>112</v>
      </c>
      <c r="D19" s="16" t="s">
        <v>24</v>
      </c>
      <c r="E19" s="16" t="s">
        <v>34</v>
      </c>
      <c r="F19" s="16" t="s">
        <v>891</v>
      </c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 t="s">
        <v>28</v>
      </c>
      <c r="AA19" s="12" t="s">
        <v>32</v>
      </c>
    </row>
    <row r="20" customFormat="false" ht="15.75" hidden="false" customHeight="false" outlineLevel="0" collapsed="false">
      <c r="A20" s="24" t="n">
        <v>7841</v>
      </c>
      <c r="B20" s="14" t="n">
        <v>45362</v>
      </c>
      <c r="C20" s="16" t="s">
        <v>296</v>
      </c>
      <c r="D20" s="16" t="s">
        <v>24</v>
      </c>
      <c r="E20" s="16" t="s">
        <v>25</v>
      </c>
      <c r="F20" s="16" t="s">
        <v>892</v>
      </c>
      <c r="G20" s="16"/>
      <c r="H20" s="17" t="s">
        <v>28</v>
      </c>
      <c r="I20" s="16"/>
      <c r="J20" s="16" t="s">
        <v>28</v>
      </c>
      <c r="K20" s="16" t="s">
        <v>29</v>
      </c>
      <c r="L20" s="16" t="s">
        <v>29</v>
      </c>
      <c r="M20" s="16" t="s">
        <v>29</v>
      </c>
      <c r="N20" s="16" t="s">
        <v>29</v>
      </c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 t="s">
        <v>28</v>
      </c>
      <c r="AA20" s="12" t="s">
        <v>32</v>
      </c>
    </row>
    <row r="21" customFormat="false" ht="15.75" hidden="false" customHeight="false" outlineLevel="0" collapsed="false">
      <c r="A21" s="19" t="n">
        <v>7842</v>
      </c>
      <c r="B21" s="14" t="n">
        <v>45362</v>
      </c>
      <c r="C21" s="16" t="s">
        <v>893</v>
      </c>
      <c r="D21" s="16" t="s">
        <v>24</v>
      </c>
      <c r="E21" s="16" t="s">
        <v>34</v>
      </c>
      <c r="F21" s="16" t="s">
        <v>894</v>
      </c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 t="s">
        <v>28</v>
      </c>
      <c r="AA21" s="12" t="s">
        <v>32</v>
      </c>
    </row>
    <row r="22" customFormat="false" ht="15.75" hidden="false" customHeight="false" outlineLevel="0" collapsed="false">
      <c r="A22" s="19" t="n">
        <v>7843</v>
      </c>
      <c r="B22" s="14" t="n">
        <v>45362</v>
      </c>
      <c r="C22" s="16" t="s">
        <v>120</v>
      </c>
      <c r="D22" s="16" t="s">
        <v>24</v>
      </c>
      <c r="E22" s="16" t="s">
        <v>25</v>
      </c>
      <c r="F22" s="16" t="s">
        <v>895</v>
      </c>
      <c r="G22" s="16"/>
      <c r="H22" s="17" t="s">
        <v>28</v>
      </c>
      <c r="I22" s="16"/>
      <c r="J22" s="16" t="s">
        <v>28</v>
      </c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 t="s">
        <v>28</v>
      </c>
      <c r="AA22" s="12" t="s">
        <v>32</v>
      </c>
    </row>
    <row r="23" customFormat="false" ht="15.75" hidden="false" customHeight="false" outlineLevel="0" collapsed="false">
      <c r="A23" s="42" t="n">
        <v>628219</v>
      </c>
      <c r="B23" s="14" t="n">
        <v>45362</v>
      </c>
      <c r="C23" s="16" t="s">
        <v>896</v>
      </c>
      <c r="D23" s="16" t="s">
        <v>290</v>
      </c>
      <c r="E23" s="16" t="s">
        <v>25</v>
      </c>
      <c r="F23" s="16" t="s">
        <v>897</v>
      </c>
      <c r="G23" s="16"/>
      <c r="H23" s="17" t="s">
        <v>28</v>
      </c>
      <c r="I23" s="16"/>
      <c r="J23" s="16" t="s">
        <v>28</v>
      </c>
      <c r="K23" s="16" t="s">
        <v>29</v>
      </c>
      <c r="L23" s="16" t="s">
        <v>29</v>
      </c>
      <c r="M23" s="16" t="s">
        <v>29</v>
      </c>
      <c r="N23" s="16" t="s">
        <v>29</v>
      </c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 t="s">
        <v>28</v>
      </c>
      <c r="AA23" s="12" t="s">
        <v>32</v>
      </c>
    </row>
    <row r="24" customFormat="false" ht="15.75" hidden="false" customHeight="false" outlineLevel="0" collapsed="false">
      <c r="A24" s="19" t="s">
        <v>898</v>
      </c>
      <c r="B24" s="14" t="n">
        <v>45362</v>
      </c>
      <c r="C24" s="16" t="s">
        <v>75</v>
      </c>
      <c r="D24" s="16" t="s">
        <v>578</v>
      </c>
      <c r="E24" s="16" t="s">
        <v>34</v>
      </c>
      <c r="F24" s="16" t="s">
        <v>899</v>
      </c>
      <c r="G24" s="16"/>
      <c r="H24" s="17" t="s">
        <v>28</v>
      </c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U24" s="16"/>
      <c r="V24" s="16"/>
      <c r="W24" s="16"/>
      <c r="X24" s="16"/>
      <c r="Y24" s="16"/>
      <c r="Z24" s="16" t="s">
        <v>37</v>
      </c>
      <c r="AA24" s="12" t="s">
        <v>40</v>
      </c>
    </row>
    <row r="25" customFormat="false" ht="15.75" hidden="false" customHeight="false" outlineLevel="0" collapsed="false">
      <c r="A25" s="19" t="s">
        <v>900</v>
      </c>
      <c r="B25" s="14" t="n">
        <v>45362</v>
      </c>
      <c r="C25" s="16" t="s">
        <v>188</v>
      </c>
      <c r="D25" s="16" t="s">
        <v>578</v>
      </c>
      <c r="E25" s="16" t="s">
        <v>34</v>
      </c>
      <c r="F25" s="16" t="s">
        <v>901</v>
      </c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 t="s">
        <v>37</v>
      </c>
      <c r="AA25" s="12" t="s">
        <v>40</v>
      </c>
    </row>
    <row r="26" customFormat="false" ht="15.75" hidden="false" customHeight="false" outlineLevel="0" collapsed="false">
      <c r="A26" s="19" t="n">
        <v>7844</v>
      </c>
      <c r="B26" s="14" t="n">
        <v>45362</v>
      </c>
      <c r="C26" s="16" t="s">
        <v>394</v>
      </c>
      <c r="D26" s="16" t="s">
        <v>24</v>
      </c>
      <c r="E26" s="16" t="s">
        <v>34</v>
      </c>
      <c r="F26" s="16" t="s">
        <v>902</v>
      </c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 t="s">
        <v>37</v>
      </c>
      <c r="AA26" s="12" t="s">
        <v>40</v>
      </c>
    </row>
    <row r="27" customFormat="false" ht="15.75" hidden="false" customHeight="false" outlineLevel="0" collapsed="false">
      <c r="A27" s="24" t="n">
        <v>7845</v>
      </c>
      <c r="B27" s="49" t="n">
        <v>45362</v>
      </c>
      <c r="C27" s="25" t="s">
        <v>394</v>
      </c>
      <c r="D27" s="16" t="s">
        <v>24</v>
      </c>
      <c r="E27" s="16" t="s">
        <v>34</v>
      </c>
      <c r="F27" s="25" t="s">
        <v>902</v>
      </c>
      <c r="G27" s="25"/>
      <c r="H27" s="25"/>
      <c r="I27" s="25"/>
      <c r="J27" s="25"/>
      <c r="K27" s="25"/>
      <c r="L27" s="25"/>
      <c r="M27" s="25"/>
      <c r="N27" s="50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 t="s">
        <v>37</v>
      </c>
      <c r="AA27" s="12" t="s">
        <v>40</v>
      </c>
    </row>
    <row r="28" customFormat="false" ht="15.75" hidden="false" customHeight="false" outlineLevel="0" collapsed="false">
      <c r="A28" s="19" t="n">
        <v>7846</v>
      </c>
      <c r="B28" s="14" t="n">
        <v>45362</v>
      </c>
      <c r="C28" s="16" t="s">
        <v>394</v>
      </c>
      <c r="D28" s="16" t="s">
        <v>24</v>
      </c>
      <c r="E28" s="16" t="s">
        <v>34</v>
      </c>
      <c r="F28" s="16" t="s">
        <v>903</v>
      </c>
      <c r="G28" s="16"/>
      <c r="H28" s="16"/>
      <c r="I28" s="16"/>
      <c r="J28" s="16"/>
      <c r="K28" s="16"/>
      <c r="L28" s="16"/>
      <c r="M28" s="16"/>
      <c r="N28" s="23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 t="s">
        <v>37</v>
      </c>
      <c r="AA28" s="12" t="s">
        <v>40</v>
      </c>
    </row>
    <row r="29" customFormat="false" ht="15.75" hidden="false" customHeight="false" outlineLevel="0" collapsed="false">
      <c r="A29" s="19" t="n">
        <v>7847</v>
      </c>
      <c r="B29" s="14" t="n">
        <v>45362</v>
      </c>
      <c r="C29" s="16" t="s">
        <v>394</v>
      </c>
      <c r="D29" s="16" t="s">
        <v>24</v>
      </c>
      <c r="E29" s="16" t="s">
        <v>34</v>
      </c>
      <c r="F29" s="16" t="s">
        <v>903</v>
      </c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 t="s">
        <v>37</v>
      </c>
      <c r="AA29" s="12" t="s">
        <v>40</v>
      </c>
    </row>
    <row r="30" customFormat="false" ht="15.75" hidden="false" customHeight="false" outlineLevel="0" collapsed="false">
      <c r="A30" s="19" t="n">
        <v>7848</v>
      </c>
      <c r="B30" s="14" t="n">
        <v>45362</v>
      </c>
      <c r="C30" s="16" t="s">
        <v>904</v>
      </c>
      <c r="D30" s="16" t="s">
        <v>24</v>
      </c>
      <c r="E30" s="16" t="s">
        <v>25</v>
      </c>
      <c r="F30" s="16" t="s">
        <v>905</v>
      </c>
      <c r="G30" s="16"/>
      <c r="H30" s="17" t="s">
        <v>28</v>
      </c>
      <c r="I30" s="16"/>
      <c r="J30" s="16" t="s">
        <v>28</v>
      </c>
      <c r="K30" s="16" t="s">
        <v>29</v>
      </c>
      <c r="L30" s="16" t="s">
        <v>29</v>
      </c>
      <c r="M30" s="16" t="s">
        <v>29</v>
      </c>
      <c r="N30" s="16" t="n">
        <v>4214</v>
      </c>
      <c r="O30" s="16"/>
      <c r="P30" s="16"/>
      <c r="Q30" s="16"/>
      <c r="R30" s="16"/>
      <c r="S30" s="16"/>
      <c r="T30" s="16"/>
      <c r="U30" s="16"/>
      <c r="V30" s="16" t="s">
        <v>74</v>
      </c>
      <c r="W30" s="17" t="s">
        <v>28</v>
      </c>
      <c r="X30" s="17" t="s">
        <v>28</v>
      </c>
      <c r="Y30" s="16" t="s">
        <v>36</v>
      </c>
      <c r="Z30" s="16" t="s">
        <v>28</v>
      </c>
      <c r="AA30" s="12" t="s">
        <v>32</v>
      </c>
    </row>
    <row r="31" customFormat="false" ht="15.75" hidden="false" customHeight="false" outlineLevel="0" collapsed="false">
      <c r="A31" s="19" t="n">
        <v>7849</v>
      </c>
      <c r="B31" s="14" t="n">
        <v>45362</v>
      </c>
      <c r="C31" s="16" t="s">
        <v>904</v>
      </c>
      <c r="D31" s="16" t="s">
        <v>24</v>
      </c>
      <c r="E31" s="16" t="s">
        <v>25</v>
      </c>
      <c r="F31" s="16" t="s">
        <v>906</v>
      </c>
      <c r="G31" s="16"/>
      <c r="H31" s="17" t="s">
        <v>28</v>
      </c>
      <c r="I31" s="16"/>
      <c r="J31" s="16" t="s">
        <v>28</v>
      </c>
      <c r="K31" s="16" t="s">
        <v>29</v>
      </c>
      <c r="L31" s="16" t="s">
        <v>29</v>
      </c>
      <c r="M31" s="16" t="s">
        <v>29</v>
      </c>
      <c r="N31" s="16" t="n">
        <v>4214</v>
      </c>
      <c r="O31" s="16"/>
      <c r="P31" s="16"/>
      <c r="Q31" s="16" t="s">
        <v>28</v>
      </c>
      <c r="R31" s="17" t="s">
        <v>28</v>
      </c>
      <c r="S31" s="16"/>
      <c r="T31" s="16" t="s">
        <v>25</v>
      </c>
      <c r="U31" s="16"/>
      <c r="V31" s="16" t="s">
        <v>74</v>
      </c>
      <c r="W31" s="17" t="s">
        <v>28</v>
      </c>
      <c r="X31" s="17" t="s">
        <v>28</v>
      </c>
      <c r="Y31" s="16" t="s">
        <v>36</v>
      </c>
      <c r="Z31" s="16" t="s">
        <v>28</v>
      </c>
      <c r="AA31" s="12" t="s">
        <v>32</v>
      </c>
    </row>
    <row r="32" customFormat="false" ht="15.75" hidden="false" customHeight="false" outlineLevel="0" collapsed="false">
      <c r="A32" s="19" t="n">
        <v>7850</v>
      </c>
      <c r="B32" s="14" t="n">
        <v>45362</v>
      </c>
      <c r="C32" s="16" t="s">
        <v>571</v>
      </c>
      <c r="D32" s="16" t="s">
        <v>24</v>
      </c>
      <c r="E32" s="16" t="s">
        <v>25</v>
      </c>
      <c r="F32" s="16" t="s">
        <v>907</v>
      </c>
      <c r="G32" s="16"/>
      <c r="H32" s="17" t="s">
        <v>28</v>
      </c>
      <c r="I32" s="16"/>
      <c r="J32" s="16" t="s">
        <v>28</v>
      </c>
      <c r="K32" s="16" t="s">
        <v>29</v>
      </c>
      <c r="L32" s="16" t="s">
        <v>29</v>
      </c>
      <c r="M32" s="16" t="s">
        <v>29</v>
      </c>
      <c r="N32" s="16" t="n">
        <v>4214</v>
      </c>
      <c r="O32" s="16"/>
      <c r="P32" s="16"/>
      <c r="Q32" s="16" t="s">
        <v>28</v>
      </c>
      <c r="R32" s="17" t="s">
        <v>28</v>
      </c>
      <c r="S32" s="16"/>
      <c r="T32" s="16" t="s">
        <v>30</v>
      </c>
      <c r="U32" s="16"/>
      <c r="V32" s="16" t="s">
        <v>74</v>
      </c>
      <c r="W32" s="17" t="s">
        <v>28</v>
      </c>
      <c r="X32" s="17" t="s">
        <v>28</v>
      </c>
      <c r="Y32" s="16" t="s">
        <v>36</v>
      </c>
      <c r="Z32" s="16" t="s">
        <v>28</v>
      </c>
      <c r="AA32" s="12" t="s">
        <v>32</v>
      </c>
    </row>
    <row r="33" customFormat="false" ht="15.75" hidden="false" customHeight="false" outlineLevel="0" collapsed="false">
      <c r="A33" s="19" t="n">
        <v>7851</v>
      </c>
      <c r="B33" s="14" t="n">
        <v>45363</v>
      </c>
      <c r="C33" s="16" t="s">
        <v>188</v>
      </c>
      <c r="D33" s="16" t="s">
        <v>24</v>
      </c>
      <c r="E33" s="16" t="s">
        <v>34</v>
      </c>
      <c r="F33" s="16" t="s">
        <v>908</v>
      </c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 t="s">
        <v>28</v>
      </c>
      <c r="AA33" s="12" t="s">
        <v>32</v>
      </c>
    </row>
    <row r="34" customFormat="false" ht="15.75" hidden="false" customHeight="false" outlineLevel="0" collapsed="false">
      <c r="A34" s="19" t="n">
        <v>7852</v>
      </c>
      <c r="B34" s="14" t="n">
        <v>45363</v>
      </c>
      <c r="C34" s="16" t="s">
        <v>909</v>
      </c>
      <c r="D34" s="16" t="s">
        <v>24</v>
      </c>
      <c r="E34" s="16" t="s">
        <v>25</v>
      </c>
      <c r="F34" s="16" t="s">
        <v>910</v>
      </c>
      <c r="G34" s="16" t="s">
        <v>911</v>
      </c>
      <c r="H34" s="17" t="s">
        <v>28</v>
      </c>
      <c r="I34" s="16"/>
      <c r="J34" s="16" t="s">
        <v>28</v>
      </c>
      <c r="K34" s="16" t="s">
        <v>29</v>
      </c>
      <c r="L34" s="16" t="s">
        <v>29</v>
      </c>
      <c r="M34" s="16" t="s">
        <v>29</v>
      </c>
      <c r="N34" s="16" t="n">
        <v>276</v>
      </c>
      <c r="O34" s="16"/>
      <c r="P34" s="16"/>
      <c r="Q34" s="16"/>
      <c r="R34" s="16"/>
      <c r="S34" s="16"/>
      <c r="T34" s="16"/>
      <c r="U34" s="16"/>
      <c r="V34" s="16" t="s">
        <v>58</v>
      </c>
      <c r="W34" s="16" t="s">
        <v>28</v>
      </c>
      <c r="X34" s="17" t="s">
        <v>28</v>
      </c>
      <c r="Y34" s="16" t="s">
        <v>36</v>
      </c>
      <c r="Z34" s="16" t="s">
        <v>28</v>
      </c>
      <c r="AA34" s="12" t="s">
        <v>48</v>
      </c>
    </row>
    <row r="35" customFormat="false" ht="15.75" hidden="false" customHeight="false" outlineLevel="0" collapsed="false">
      <c r="A35" s="19" t="n">
        <v>7853</v>
      </c>
      <c r="B35" s="14" t="n">
        <v>45363</v>
      </c>
      <c r="C35" s="16" t="s">
        <v>909</v>
      </c>
      <c r="D35" s="16" t="s">
        <v>24</v>
      </c>
      <c r="E35" s="16" t="s">
        <v>25</v>
      </c>
      <c r="F35" s="16" t="s">
        <v>910</v>
      </c>
      <c r="G35" s="16" t="s">
        <v>911</v>
      </c>
      <c r="H35" s="17" t="s">
        <v>28</v>
      </c>
      <c r="I35" s="16"/>
      <c r="J35" s="16" t="s">
        <v>28</v>
      </c>
      <c r="K35" s="16" t="s">
        <v>29</v>
      </c>
      <c r="L35" s="16" t="s">
        <v>29</v>
      </c>
      <c r="M35" s="16" t="s">
        <v>29</v>
      </c>
      <c r="N35" s="16" t="n">
        <v>276</v>
      </c>
      <c r="O35" s="16"/>
      <c r="P35" s="16"/>
      <c r="Q35" s="16"/>
      <c r="R35" s="16"/>
      <c r="S35" s="16"/>
      <c r="T35" s="16"/>
      <c r="U35" s="16"/>
      <c r="V35" s="16" t="s">
        <v>74</v>
      </c>
      <c r="W35" s="17" t="s">
        <v>28</v>
      </c>
      <c r="X35" s="17" t="s">
        <v>28</v>
      </c>
      <c r="Y35" s="16" t="s">
        <v>36</v>
      </c>
      <c r="Z35" s="16" t="s">
        <v>28</v>
      </c>
      <c r="AA35" s="12" t="s">
        <v>48</v>
      </c>
    </row>
    <row r="36" customFormat="false" ht="15.75" hidden="false" customHeight="false" outlineLevel="0" collapsed="false">
      <c r="A36" s="19" t="n">
        <v>7854</v>
      </c>
      <c r="B36" s="14" t="n">
        <v>45365</v>
      </c>
      <c r="C36" s="16" t="s">
        <v>912</v>
      </c>
      <c r="D36" s="16" t="s">
        <v>24</v>
      </c>
      <c r="E36" s="16" t="s">
        <v>25</v>
      </c>
      <c r="F36" s="16" t="s">
        <v>913</v>
      </c>
      <c r="G36" s="16" t="s">
        <v>914</v>
      </c>
      <c r="H36" s="17" t="s">
        <v>915</v>
      </c>
      <c r="I36" s="16"/>
      <c r="J36" s="16" t="s">
        <v>28</v>
      </c>
      <c r="K36" s="16" t="s">
        <v>916</v>
      </c>
      <c r="L36" s="16" t="n">
        <v>1143237000</v>
      </c>
      <c r="M36" s="16"/>
      <c r="N36" s="16" t="n">
        <v>490</v>
      </c>
      <c r="O36" s="16"/>
      <c r="P36" s="16"/>
      <c r="Q36" s="16"/>
      <c r="R36" s="16"/>
      <c r="S36" s="16"/>
      <c r="T36" s="16"/>
      <c r="U36" s="16"/>
      <c r="V36" s="16" t="s">
        <v>74</v>
      </c>
      <c r="W36" s="17" t="s">
        <v>28</v>
      </c>
      <c r="X36" s="17" t="s">
        <v>28</v>
      </c>
      <c r="Y36" s="16" t="s">
        <v>36</v>
      </c>
      <c r="Z36" s="16" t="s">
        <v>28</v>
      </c>
      <c r="AA36" s="12" t="s">
        <v>48</v>
      </c>
    </row>
    <row r="37" customFormat="false" ht="15.75" hidden="false" customHeight="false" outlineLevel="0" collapsed="false">
      <c r="A37" s="19" t="n">
        <v>7855</v>
      </c>
      <c r="B37" s="14" t="n">
        <v>45365</v>
      </c>
      <c r="C37" s="16" t="s">
        <v>912</v>
      </c>
      <c r="D37" s="16" t="s">
        <v>24</v>
      </c>
      <c r="E37" s="16" t="s">
        <v>25</v>
      </c>
      <c r="F37" s="16" t="s">
        <v>913</v>
      </c>
      <c r="G37" s="16" t="s">
        <v>914</v>
      </c>
      <c r="H37" s="17" t="s">
        <v>28</v>
      </c>
      <c r="I37" s="16"/>
      <c r="J37" s="16"/>
      <c r="K37" s="16" t="s">
        <v>916</v>
      </c>
      <c r="L37" s="16" t="n">
        <v>1143237000</v>
      </c>
      <c r="M37" s="16"/>
      <c r="N37" s="16" t="n">
        <v>490</v>
      </c>
      <c r="O37" s="16"/>
      <c r="P37" s="16"/>
      <c r="Q37" s="16"/>
      <c r="R37" s="16"/>
      <c r="S37" s="16"/>
      <c r="T37" s="16"/>
      <c r="U37" s="16"/>
      <c r="V37" s="16" t="s">
        <v>74</v>
      </c>
      <c r="W37" s="17" t="s">
        <v>28</v>
      </c>
      <c r="X37" s="17" t="s">
        <v>28</v>
      </c>
      <c r="Y37" s="16" t="s">
        <v>36</v>
      </c>
      <c r="Z37" s="16" t="s">
        <v>28</v>
      </c>
      <c r="AA37" s="12" t="s">
        <v>48</v>
      </c>
    </row>
    <row r="38" customFormat="false" ht="15.75" hidden="false" customHeight="false" outlineLevel="0" collapsed="false">
      <c r="A38" s="19" t="n">
        <v>7856</v>
      </c>
      <c r="B38" s="14" t="n">
        <v>45365</v>
      </c>
      <c r="C38" s="16" t="s">
        <v>917</v>
      </c>
      <c r="D38" s="16" t="s">
        <v>24</v>
      </c>
      <c r="E38" s="16" t="s">
        <v>25</v>
      </c>
      <c r="F38" s="16" t="s">
        <v>913</v>
      </c>
      <c r="G38" s="16" t="s">
        <v>914</v>
      </c>
      <c r="H38" s="17" t="s">
        <v>28</v>
      </c>
      <c r="I38" s="16"/>
      <c r="J38" s="16"/>
      <c r="K38" s="16" t="s">
        <v>916</v>
      </c>
      <c r="L38" s="16" t="n">
        <v>1143237000</v>
      </c>
      <c r="M38" s="16"/>
      <c r="N38" s="16" t="n">
        <v>490</v>
      </c>
      <c r="O38" s="16"/>
      <c r="P38" s="16"/>
      <c r="Q38" s="16"/>
      <c r="R38" s="16"/>
      <c r="S38" s="16"/>
      <c r="T38" s="16"/>
      <c r="U38" s="16"/>
      <c r="V38" s="16" t="s">
        <v>74</v>
      </c>
      <c r="W38" s="17" t="s">
        <v>28</v>
      </c>
      <c r="X38" s="17" t="s">
        <v>28</v>
      </c>
      <c r="Y38" s="16" t="s">
        <v>36</v>
      </c>
      <c r="Z38" s="16" t="s">
        <v>28</v>
      </c>
      <c r="AA38" s="12" t="s">
        <v>48</v>
      </c>
    </row>
    <row r="39" customFormat="false" ht="15.75" hidden="false" customHeight="false" outlineLevel="0" collapsed="false">
      <c r="A39" s="19" t="n">
        <v>7857</v>
      </c>
      <c r="B39" s="14" t="n">
        <v>45365</v>
      </c>
      <c r="C39" s="16" t="s">
        <v>917</v>
      </c>
      <c r="D39" s="16" t="s">
        <v>24</v>
      </c>
      <c r="E39" s="16" t="s">
        <v>25</v>
      </c>
      <c r="F39" s="16" t="s">
        <v>913</v>
      </c>
      <c r="G39" s="16" t="s">
        <v>914</v>
      </c>
      <c r="H39" s="17" t="s">
        <v>28</v>
      </c>
      <c r="I39" s="16"/>
      <c r="J39" s="16"/>
      <c r="K39" s="16" t="s">
        <v>916</v>
      </c>
      <c r="L39" s="16" t="n">
        <v>1143237000</v>
      </c>
      <c r="M39" s="16"/>
      <c r="N39" s="16" t="n">
        <v>490</v>
      </c>
      <c r="O39" s="16"/>
      <c r="P39" s="16"/>
      <c r="Q39" s="16"/>
      <c r="R39" s="16"/>
      <c r="S39" s="16"/>
      <c r="T39" s="16"/>
      <c r="U39" s="16"/>
      <c r="V39" s="16" t="s">
        <v>74</v>
      </c>
      <c r="W39" s="17" t="s">
        <v>28</v>
      </c>
      <c r="X39" s="17" t="s">
        <v>28</v>
      </c>
      <c r="Y39" s="16" t="s">
        <v>36</v>
      </c>
      <c r="Z39" s="16" t="s">
        <v>28</v>
      </c>
      <c r="AA39" s="12" t="s">
        <v>48</v>
      </c>
    </row>
    <row r="40" customFormat="false" ht="15.75" hidden="false" customHeight="false" outlineLevel="0" collapsed="false">
      <c r="A40" s="42" t="n">
        <v>975565</v>
      </c>
      <c r="B40" s="14" t="n">
        <v>45365</v>
      </c>
      <c r="C40" s="16" t="s">
        <v>917</v>
      </c>
      <c r="D40" s="16" t="s">
        <v>290</v>
      </c>
      <c r="E40" s="16" t="s">
        <v>25</v>
      </c>
      <c r="F40" s="16" t="s">
        <v>913</v>
      </c>
      <c r="G40" s="16" t="s">
        <v>914</v>
      </c>
      <c r="H40" s="17" t="s">
        <v>28</v>
      </c>
      <c r="I40" s="16"/>
      <c r="J40" s="16"/>
      <c r="K40" s="16" t="s">
        <v>916</v>
      </c>
      <c r="L40" s="16" t="n">
        <v>1143237000</v>
      </c>
      <c r="M40" s="16"/>
      <c r="N40" s="16" t="n">
        <v>490</v>
      </c>
      <c r="O40" s="16"/>
      <c r="P40" s="16"/>
      <c r="Q40" s="16"/>
      <c r="R40" s="16"/>
      <c r="S40" s="16"/>
      <c r="T40" s="16"/>
      <c r="U40" s="16"/>
      <c r="V40" s="16" t="s">
        <v>74</v>
      </c>
      <c r="W40" s="17" t="s">
        <v>28</v>
      </c>
      <c r="X40" s="17" t="s">
        <v>28</v>
      </c>
      <c r="Y40" s="16" t="s">
        <v>36</v>
      </c>
      <c r="Z40" s="16" t="s">
        <v>28</v>
      </c>
      <c r="AA40" s="12" t="s">
        <v>48</v>
      </c>
    </row>
    <row r="41" customFormat="false" ht="15.75" hidden="false" customHeight="false" outlineLevel="0" collapsed="false">
      <c r="A41" s="19" t="n">
        <v>7858</v>
      </c>
      <c r="B41" s="14" t="n">
        <v>45365</v>
      </c>
      <c r="C41" s="16" t="s">
        <v>571</v>
      </c>
      <c r="D41" s="16" t="s">
        <v>24</v>
      </c>
      <c r="E41" s="16" t="s">
        <v>25</v>
      </c>
      <c r="F41" s="16" t="s">
        <v>918</v>
      </c>
      <c r="G41" s="16" t="s">
        <v>919</v>
      </c>
      <c r="H41" s="17" t="s">
        <v>28</v>
      </c>
      <c r="I41" s="16"/>
      <c r="J41" s="16" t="s">
        <v>28</v>
      </c>
      <c r="K41" s="16" t="s">
        <v>29</v>
      </c>
      <c r="L41" s="16" t="s">
        <v>29</v>
      </c>
      <c r="M41" s="16" t="s">
        <v>29</v>
      </c>
      <c r="N41" s="16" t="n">
        <v>4214</v>
      </c>
      <c r="O41" s="16"/>
      <c r="P41" s="16"/>
      <c r="Q41" s="16"/>
      <c r="R41" s="16"/>
      <c r="S41" s="16"/>
      <c r="T41" s="16"/>
      <c r="U41" s="16"/>
      <c r="V41" s="16" t="s">
        <v>74</v>
      </c>
      <c r="W41" s="17" t="s">
        <v>28</v>
      </c>
      <c r="X41" s="17" t="s">
        <v>28</v>
      </c>
      <c r="Y41" s="16" t="s">
        <v>36</v>
      </c>
      <c r="Z41" s="16" t="s">
        <v>28</v>
      </c>
      <c r="AA41" s="12" t="s">
        <v>32</v>
      </c>
    </row>
    <row r="42" customFormat="false" ht="15.75" hidden="false" customHeight="false" outlineLevel="0" collapsed="false">
      <c r="A42" s="19" t="n">
        <v>7859</v>
      </c>
      <c r="B42" s="14" t="n">
        <v>45365</v>
      </c>
      <c r="C42" s="16" t="s">
        <v>571</v>
      </c>
      <c r="D42" s="16" t="s">
        <v>24</v>
      </c>
      <c r="E42" s="16" t="s">
        <v>25</v>
      </c>
      <c r="F42" s="16" t="s">
        <v>920</v>
      </c>
      <c r="G42" s="16" t="s">
        <v>919</v>
      </c>
      <c r="H42" s="17" t="s">
        <v>28</v>
      </c>
      <c r="I42" s="16"/>
      <c r="J42" s="16" t="s">
        <v>28</v>
      </c>
      <c r="K42" s="16" t="s">
        <v>29</v>
      </c>
      <c r="L42" s="16" t="s">
        <v>29</v>
      </c>
      <c r="M42" s="16" t="s">
        <v>29</v>
      </c>
      <c r="N42" s="16" t="n">
        <v>4214</v>
      </c>
      <c r="O42" s="16"/>
      <c r="P42" s="16"/>
      <c r="Q42" s="16"/>
      <c r="R42" s="16"/>
      <c r="S42" s="16"/>
      <c r="T42" s="16"/>
      <c r="U42" s="16"/>
      <c r="V42" s="16" t="s">
        <v>74</v>
      </c>
      <c r="W42" s="17" t="s">
        <v>28</v>
      </c>
      <c r="X42" s="16" t="s">
        <v>28</v>
      </c>
      <c r="Y42" s="16" t="s">
        <v>36</v>
      </c>
      <c r="Z42" s="16" t="s">
        <v>28</v>
      </c>
      <c r="AA42" s="12" t="s">
        <v>32</v>
      </c>
    </row>
    <row r="43" customFormat="false" ht="15.75" hidden="false" customHeight="false" outlineLevel="0" collapsed="false">
      <c r="A43" s="19" t="n">
        <v>7860</v>
      </c>
      <c r="B43" s="14" t="n">
        <v>45366</v>
      </c>
      <c r="C43" s="16" t="s">
        <v>776</v>
      </c>
      <c r="D43" s="16" t="s">
        <v>24</v>
      </c>
      <c r="E43" s="16" t="s">
        <v>34</v>
      </c>
      <c r="F43" s="16" t="s">
        <v>921</v>
      </c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 t="s">
        <v>28</v>
      </c>
      <c r="AA43" s="12" t="s">
        <v>32</v>
      </c>
    </row>
    <row r="44" customFormat="false" ht="15.75" hidden="false" customHeight="false" outlineLevel="0" collapsed="false">
      <c r="A44" s="24" t="n">
        <v>7861</v>
      </c>
      <c r="B44" s="14" t="n">
        <v>45369</v>
      </c>
      <c r="C44" s="25" t="s">
        <v>773</v>
      </c>
      <c r="D44" s="25" t="s">
        <v>24</v>
      </c>
      <c r="E44" s="25" t="s">
        <v>25</v>
      </c>
      <c r="F44" s="25" t="s">
        <v>922</v>
      </c>
      <c r="G44" s="25" t="s">
        <v>923</v>
      </c>
      <c r="H44" s="26" t="s">
        <v>28</v>
      </c>
      <c r="I44" s="25"/>
      <c r="J44" s="25" t="s">
        <v>28</v>
      </c>
      <c r="K44" s="25" t="s">
        <v>29</v>
      </c>
      <c r="L44" s="25" t="s">
        <v>29</v>
      </c>
      <c r="M44" s="25" t="s">
        <v>29</v>
      </c>
      <c r="N44" s="25" t="n">
        <v>8764</v>
      </c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 t="s">
        <v>28</v>
      </c>
      <c r="AA44" s="12" t="s">
        <v>32</v>
      </c>
    </row>
    <row r="45" customFormat="false" ht="15.75" hidden="false" customHeight="false" outlineLevel="0" collapsed="false">
      <c r="A45" s="19" t="n">
        <v>7862</v>
      </c>
      <c r="B45" s="14" t="n">
        <v>45369</v>
      </c>
      <c r="C45" s="16" t="s">
        <v>773</v>
      </c>
      <c r="D45" s="16" t="s">
        <v>24</v>
      </c>
      <c r="E45" s="16" t="s">
        <v>25</v>
      </c>
      <c r="F45" s="16" t="s">
        <v>924</v>
      </c>
      <c r="G45" s="16" t="s">
        <v>925</v>
      </c>
      <c r="H45" s="17" t="s">
        <v>28</v>
      </c>
      <c r="I45" s="16"/>
      <c r="J45" s="16" t="s">
        <v>28</v>
      </c>
      <c r="K45" s="16" t="s">
        <v>29</v>
      </c>
      <c r="L45" s="16" t="s">
        <v>29</v>
      </c>
      <c r="M45" s="16" t="s">
        <v>29</v>
      </c>
      <c r="N45" s="16" t="n">
        <v>8764</v>
      </c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 t="s">
        <v>28</v>
      </c>
      <c r="AA45" s="12" t="s">
        <v>32</v>
      </c>
    </row>
    <row r="46" customFormat="false" ht="15.75" hidden="false" customHeight="false" outlineLevel="0" collapsed="false">
      <c r="A46" s="19" t="n">
        <v>7863</v>
      </c>
      <c r="B46" s="14" t="n">
        <v>45369</v>
      </c>
      <c r="C46" s="16" t="s">
        <v>926</v>
      </c>
      <c r="D46" s="16" t="s">
        <v>24</v>
      </c>
      <c r="E46" s="16" t="s">
        <v>34</v>
      </c>
      <c r="F46" s="16" t="s">
        <v>927</v>
      </c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 t="s">
        <v>28</v>
      </c>
      <c r="AA46" s="12" t="s">
        <v>32</v>
      </c>
    </row>
    <row r="47" customFormat="false" ht="15.75" hidden="false" customHeight="false" outlineLevel="0" collapsed="false">
      <c r="A47" s="19" t="n">
        <v>7864</v>
      </c>
      <c r="B47" s="14" t="n">
        <v>45369</v>
      </c>
      <c r="C47" s="16" t="s">
        <v>926</v>
      </c>
      <c r="D47" s="16" t="s">
        <v>24</v>
      </c>
      <c r="E47" s="16" t="s">
        <v>34</v>
      </c>
      <c r="F47" s="16" t="s">
        <v>927</v>
      </c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 t="s">
        <v>28</v>
      </c>
      <c r="AA47" s="12" t="s">
        <v>32</v>
      </c>
    </row>
    <row r="48" customFormat="false" ht="15.75" hidden="false" customHeight="false" outlineLevel="0" collapsed="false">
      <c r="A48" s="13" t="n">
        <v>7865</v>
      </c>
      <c r="B48" s="14" t="n">
        <v>45369</v>
      </c>
      <c r="C48" s="16" t="s">
        <v>926</v>
      </c>
      <c r="D48" s="16" t="s">
        <v>24</v>
      </c>
      <c r="E48" s="16" t="s">
        <v>34</v>
      </c>
      <c r="F48" s="16" t="s">
        <v>927</v>
      </c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 t="s">
        <v>28</v>
      </c>
      <c r="AA48" s="12" t="s">
        <v>32</v>
      </c>
    </row>
    <row r="49" customFormat="false" ht="15.75" hidden="false" customHeight="false" outlineLevel="0" collapsed="false">
      <c r="A49" s="13" t="n">
        <v>7866</v>
      </c>
      <c r="B49" s="14" t="n">
        <v>45369</v>
      </c>
      <c r="C49" s="16" t="s">
        <v>926</v>
      </c>
      <c r="D49" s="16" t="s">
        <v>24</v>
      </c>
      <c r="E49" s="16" t="s">
        <v>34</v>
      </c>
      <c r="F49" s="16" t="s">
        <v>927</v>
      </c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 t="s">
        <v>28</v>
      </c>
      <c r="AA49" s="12" t="s">
        <v>32</v>
      </c>
    </row>
    <row r="50" customFormat="false" ht="15.75" hidden="false" customHeight="false" outlineLevel="0" collapsed="false">
      <c r="A50" s="24" t="n">
        <v>7867</v>
      </c>
      <c r="B50" s="14" t="n">
        <v>45369</v>
      </c>
      <c r="C50" s="25" t="s">
        <v>773</v>
      </c>
      <c r="D50" s="25" t="s">
        <v>24</v>
      </c>
      <c r="E50" s="25" t="s">
        <v>34</v>
      </c>
      <c r="F50" s="25" t="s">
        <v>928</v>
      </c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 t="s">
        <v>28</v>
      </c>
      <c r="AA50" s="12" t="s">
        <v>32</v>
      </c>
    </row>
    <row r="51" customFormat="false" ht="15.75" hidden="false" customHeight="false" outlineLevel="0" collapsed="false">
      <c r="A51" s="13" t="s">
        <v>929</v>
      </c>
      <c r="B51" s="14" t="n">
        <v>45371</v>
      </c>
      <c r="C51" s="16" t="s">
        <v>930</v>
      </c>
      <c r="D51" s="16" t="s">
        <v>578</v>
      </c>
      <c r="E51" s="16" t="s">
        <v>25</v>
      </c>
      <c r="F51" s="16" t="s">
        <v>931</v>
      </c>
      <c r="G51" s="16"/>
      <c r="H51" s="17" t="s">
        <v>28</v>
      </c>
      <c r="I51" s="16" t="s">
        <v>28</v>
      </c>
      <c r="J51" s="16" t="s">
        <v>28</v>
      </c>
      <c r="K51" s="16" t="s">
        <v>29</v>
      </c>
      <c r="L51" s="16" t="s">
        <v>29</v>
      </c>
      <c r="M51" s="16" t="s">
        <v>29</v>
      </c>
      <c r="N51" s="16" t="s">
        <v>932</v>
      </c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 t="s">
        <v>37</v>
      </c>
      <c r="AA51" s="12" t="s">
        <v>40</v>
      </c>
    </row>
    <row r="52" customFormat="false" ht="15.75" hidden="false" customHeight="false" outlineLevel="0" collapsed="false">
      <c r="A52" s="13" t="n">
        <v>7868</v>
      </c>
      <c r="B52" s="14" t="n">
        <v>45376</v>
      </c>
      <c r="C52" s="16" t="s">
        <v>82</v>
      </c>
      <c r="D52" s="16" t="s">
        <v>24</v>
      </c>
      <c r="E52" s="16" t="s">
        <v>34</v>
      </c>
      <c r="F52" s="16" t="s">
        <v>933</v>
      </c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 t="s">
        <v>28</v>
      </c>
      <c r="AA52" s="12" t="s">
        <v>32</v>
      </c>
    </row>
    <row r="53" customFormat="false" ht="15.75" hidden="false" customHeight="false" outlineLevel="0" collapsed="false">
      <c r="A53" s="13" t="n">
        <v>7869</v>
      </c>
      <c r="B53" s="14" t="n">
        <v>45376</v>
      </c>
      <c r="C53" s="16" t="s">
        <v>776</v>
      </c>
      <c r="D53" s="16" t="s">
        <v>24</v>
      </c>
      <c r="E53" s="16" t="s">
        <v>34</v>
      </c>
      <c r="F53" s="16" t="s">
        <v>934</v>
      </c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 t="s">
        <v>28</v>
      </c>
      <c r="AA53" s="12" t="s">
        <v>32</v>
      </c>
    </row>
    <row r="54" customFormat="false" ht="15.75" hidden="false" customHeight="false" outlineLevel="0" collapsed="false">
      <c r="A54" s="13" t="n">
        <v>7870</v>
      </c>
      <c r="B54" s="14" t="n">
        <v>45373</v>
      </c>
      <c r="C54" s="16" t="s">
        <v>389</v>
      </c>
      <c r="D54" s="16" t="s">
        <v>24</v>
      </c>
      <c r="E54" s="16" t="s">
        <v>34</v>
      </c>
      <c r="F54" s="16" t="s">
        <v>935</v>
      </c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 t="s">
        <v>28</v>
      </c>
      <c r="AA54" s="12" t="s">
        <v>32</v>
      </c>
    </row>
    <row r="55" customFormat="false" ht="15.75" hidden="false" customHeight="false" outlineLevel="0" collapsed="false">
      <c r="A55" s="13" t="n">
        <v>7871</v>
      </c>
      <c r="B55" s="14" t="n">
        <v>45373</v>
      </c>
      <c r="C55" s="16" t="s">
        <v>394</v>
      </c>
      <c r="D55" s="16" t="s">
        <v>24</v>
      </c>
      <c r="E55" s="16" t="s">
        <v>34</v>
      </c>
      <c r="F55" s="16" t="s">
        <v>936</v>
      </c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 t="s">
        <v>37</v>
      </c>
      <c r="AA55" s="12" t="s">
        <v>40</v>
      </c>
    </row>
    <row r="56" customFormat="false" ht="15.75" hidden="false" customHeight="false" outlineLevel="0" collapsed="false">
      <c r="A56" s="13" t="n">
        <v>7872</v>
      </c>
      <c r="B56" s="14" t="n">
        <v>45373</v>
      </c>
      <c r="C56" s="16" t="s">
        <v>776</v>
      </c>
      <c r="D56" s="16" t="s">
        <v>24</v>
      </c>
      <c r="E56" s="16" t="s">
        <v>34</v>
      </c>
      <c r="F56" s="16" t="s">
        <v>937</v>
      </c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 t="s">
        <v>28</v>
      </c>
      <c r="AA56" s="12" t="s">
        <v>32</v>
      </c>
    </row>
    <row r="57" customFormat="false" ht="15.75" hidden="false" customHeight="false" outlineLevel="0" collapsed="false">
      <c r="A57" s="13" t="n">
        <v>7873</v>
      </c>
      <c r="B57" s="14" t="n">
        <v>45373</v>
      </c>
      <c r="C57" s="16" t="s">
        <v>938</v>
      </c>
      <c r="D57" s="16" t="s">
        <v>24</v>
      </c>
      <c r="E57" s="16" t="s">
        <v>34</v>
      </c>
      <c r="F57" s="16" t="s">
        <v>939</v>
      </c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 t="s">
        <v>28</v>
      </c>
      <c r="AA57" s="12" t="s">
        <v>32</v>
      </c>
    </row>
    <row r="58" customFormat="false" ht="15.75" hidden="false" customHeight="false" outlineLevel="0" collapsed="false">
      <c r="A58" s="13" t="n">
        <v>7874</v>
      </c>
      <c r="B58" s="14" t="n">
        <v>45376</v>
      </c>
      <c r="C58" s="16" t="s">
        <v>938</v>
      </c>
      <c r="D58" s="16" t="s">
        <v>24</v>
      </c>
      <c r="E58" s="16" t="s">
        <v>34</v>
      </c>
      <c r="F58" s="16" t="s">
        <v>940</v>
      </c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 t="s">
        <v>28</v>
      </c>
      <c r="AA58" s="12" t="s">
        <v>32</v>
      </c>
    </row>
    <row r="59" customFormat="false" ht="15.75" hidden="false" customHeight="false" outlineLevel="0" collapsed="false">
      <c r="A59" s="13" t="n">
        <v>7875</v>
      </c>
      <c r="B59" s="14" t="n">
        <v>45378</v>
      </c>
      <c r="C59" s="16" t="s">
        <v>930</v>
      </c>
      <c r="D59" s="16" t="s">
        <v>24</v>
      </c>
      <c r="E59" s="16" t="s">
        <v>25</v>
      </c>
      <c r="F59" s="16" t="s">
        <v>941</v>
      </c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 t="s">
        <v>28</v>
      </c>
      <c r="AA59" s="12" t="s">
        <v>156</v>
      </c>
    </row>
    <row r="60" customFormat="false" ht="15.75" hidden="false" customHeight="false" outlineLevel="0" collapsed="false">
      <c r="A60" s="13" t="n">
        <v>7876</v>
      </c>
      <c r="B60" s="14" t="n">
        <v>45378</v>
      </c>
      <c r="C60" s="16" t="s">
        <v>773</v>
      </c>
      <c r="D60" s="16" t="s">
        <v>24</v>
      </c>
      <c r="E60" s="16" t="s">
        <v>25</v>
      </c>
      <c r="F60" s="16" t="s">
        <v>942</v>
      </c>
      <c r="G60" s="16" t="s">
        <v>943</v>
      </c>
      <c r="H60" s="17" t="s">
        <v>28</v>
      </c>
      <c r="I60" s="16"/>
      <c r="J60" s="16" t="s">
        <v>28</v>
      </c>
      <c r="K60" s="16" t="s">
        <v>29</v>
      </c>
      <c r="L60" s="16" t="s">
        <v>29</v>
      </c>
      <c r="M60" s="16" t="s">
        <v>29</v>
      </c>
      <c r="N60" s="16" t="n">
        <v>8766</v>
      </c>
      <c r="O60" s="16"/>
      <c r="P60" s="16"/>
      <c r="Q60" s="16"/>
      <c r="R60" s="16"/>
      <c r="S60" s="16"/>
      <c r="T60" s="16"/>
      <c r="U60" s="16"/>
      <c r="V60" s="16" t="s">
        <v>74</v>
      </c>
      <c r="W60" s="17" t="s">
        <v>28</v>
      </c>
      <c r="X60" s="17" t="s">
        <v>28</v>
      </c>
      <c r="Y60" s="16" t="s">
        <v>36</v>
      </c>
      <c r="Z60" s="16" t="s">
        <v>28</v>
      </c>
      <c r="AA60" s="12" t="s">
        <v>32</v>
      </c>
    </row>
    <row r="61" customFormat="false" ht="15.75" hidden="false" customHeight="false" outlineLevel="0" collapsed="false">
      <c r="A61" s="12" t="n">
        <v>7877</v>
      </c>
      <c r="B61" s="34" t="n">
        <v>45378</v>
      </c>
      <c r="C61" s="12" t="s">
        <v>773</v>
      </c>
      <c r="D61" s="12" t="s">
        <v>24</v>
      </c>
      <c r="E61" s="12" t="s">
        <v>25</v>
      </c>
      <c r="F61" s="12" t="s">
        <v>942</v>
      </c>
      <c r="G61" s="18" t="s">
        <v>943</v>
      </c>
      <c r="H61" s="51" t="s">
        <v>28</v>
      </c>
      <c r="I61" s="35"/>
      <c r="J61" s="12" t="s">
        <v>28</v>
      </c>
      <c r="K61" s="12" t="s">
        <v>29</v>
      </c>
      <c r="L61" s="12" t="s">
        <v>29</v>
      </c>
      <c r="M61" s="12" t="s">
        <v>29</v>
      </c>
      <c r="N61" s="12" t="n">
        <v>8766</v>
      </c>
      <c r="P61" s="18"/>
      <c r="Q61" s="12"/>
      <c r="R61" s="12"/>
      <c r="S61" s="12"/>
      <c r="T61" s="36"/>
      <c r="U61" s="36"/>
      <c r="V61" s="12" t="s">
        <v>74</v>
      </c>
      <c r="W61" s="52" t="s">
        <v>28</v>
      </c>
      <c r="X61" s="52" t="s">
        <v>28</v>
      </c>
      <c r="Y61" s="12" t="s">
        <v>36</v>
      </c>
      <c r="Z61" s="12" t="s">
        <v>28</v>
      </c>
      <c r="AA61" s="12" t="s">
        <v>32</v>
      </c>
    </row>
    <row r="62" customFormat="false" ht="15.75" hidden="false" customHeight="false" outlineLevel="0" collapsed="false">
      <c r="A62" s="12"/>
      <c r="B62" s="34"/>
      <c r="C62" s="12"/>
      <c r="D62" s="12"/>
      <c r="E62" s="12"/>
      <c r="F62" s="12"/>
      <c r="G62" s="18"/>
      <c r="H62" s="35"/>
      <c r="I62" s="35"/>
      <c r="J62" s="12"/>
      <c r="P62" s="18"/>
      <c r="Q62" s="12"/>
      <c r="R62" s="12"/>
      <c r="S62" s="12"/>
      <c r="T62" s="36"/>
      <c r="U62" s="36"/>
      <c r="V62" s="12"/>
      <c r="W62" s="12"/>
      <c r="X62" s="12"/>
      <c r="Y62" s="12"/>
      <c r="Z62" s="12"/>
    </row>
    <row r="63" customFormat="false" ht="15.75" hidden="false" customHeight="false" outlineLevel="0" collapsed="false">
      <c r="A63" s="12"/>
      <c r="B63" s="34"/>
      <c r="C63" s="12"/>
      <c r="D63" s="12"/>
      <c r="E63" s="12"/>
      <c r="F63" s="12"/>
      <c r="G63" s="18"/>
      <c r="H63" s="35"/>
      <c r="I63" s="35"/>
      <c r="J63" s="12"/>
      <c r="P63" s="18"/>
      <c r="Q63" s="12"/>
      <c r="R63" s="12"/>
      <c r="S63" s="12"/>
      <c r="T63" s="36"/>
      <c r="U63" s="36"/>
      <c r="V63" s="12"/>
      <c r="W63" s="12"/>
      <c r="X63" s="12"/>
      <c r="Y63" s="12"/>
      <c r="Z63" s="12"/>
    </row>
    <row r="64" customFormat="false" ht="15.75" hidden="false" customHeight="false" outlineLevel="0" collapsed="false">
      <c r="A64" s="12"/>
      <c r="B64" s="34"/>
      <c r="C64" s="12"/>
      <c r="D64" s="12"/>
      <c r="E64" s="12"/>
      <c r="F64" s="12"/>
      <c r="G64" s="18"/>
      <c r="H64" s="35"/>
      <c r="I64" s="35"/>
      <c r="J64" s="12"/>
      <c r="P64" s="18"/>
      <c r="Q64" s="12"/>
      <c r="R64" s="12"/>
      <c r="S64" s="12"/>
      <c r="T64" s="36"/>
      <c r="U64" s="36"/>
      <c r="V64" s="12"/>
      <c r="W64" s="12"/>
      <c r="X64" s="12"/>
      <c r="Y64" s="12"/>
      <c r="Z64" s="12"/>
    </row>
    <row r="65" customFormat="false" ht="15.75" hidden="false" customHeight="false" outlineLevel="0" collapsed="false">
      <c r="A65" s="12"/>
      <c r="B65" s="34"/>
      <c r="C65" s="12"/>
      <c r="D65" s="12"/>
      <c r="E65" s="12"/>
      <c r="F65" s="12"/>
      <c r="G65" s="18"/>
      <c r="H65" s="35"/>
      <c r="I65" s="35"/>
      <c r="J65" s="12"/>
      <c r="P65" s="18"/>
      <c r="Q65" s="12"/>
      <c r="R65" s="12"/>
      <c r="S65" s="12"/>
      <c r="T65" s="36"/>
      <c r="U65" s="36"/>
      <c r="V65" s="12"/>
      <c r="W65" s="12"/>
      <c r="X65" s="12"/>
      <c r="Y65" s="12"/>
      <c r="Z65" s="12"/>
    </row>
    <row r="66" customFormat="false" ht="15.75" hidden="false" customHeight="false" outlineLevel="0" collapsed="false">
      <c r="A66" s="12"/>
      <c r="B66" s="34"/>
      <c r="C66" s="12"/>
      <c r="D66" s="12"/>
      <c r="E66" s="12"/>
      <c r="F66" s="12"/>
      <c r="G66" s="18"/>
      <c r="H66" s="35"/>
      <c r="I66" s="35"/>
      <c r="J66" s="12"/>
      <c r="P66" s="18"/>
      <c r="Q66" s="12"/>
      <c r="R66" s="12"/>
      <c r="S66" s="12"/>
      <c r="T66" s="36"/>
      <c r="U66" s="36"/>
      <c r="V66" s="12"/>
      <c r="W66" s="12"/>
      <c r="X66" s="12"/>
      <c r="Y66" s="12"/>
      <c r="Z66" s="12"/>
    </row>
    <row r="67" customFormat="false" ht="15.75" hidden="false" customHeight="false" outlineLevel="0" collapsed="false">
      <c r="A67" s="12"/>
      <c r="B67" s="34"/>
      <c r="C67" s="12"/>
      <c r="D67" s="12"/>
      <c r="E67" s="12"/>
      <c r="F67" s="12"/>
      <c r="G67" s="18"/>
      <c r="H67" s="35"/>
      <c r="I67" s="35"/>
      <c r="J67" s="12"/>
      <c r="P67" s="18"/>
      <c r="Q67" s="12"/>
      <c r="R67" s="12"/>
      <c r="S67" s="12"/>
      <c r="T67" s="36"/>
      <c r="U67" s="36"/>
      <c r="V67" s="12"/>
      <c r="W67" s="12"/>
      <c r="X67" s="12"/>
      <c r="Y67" s="12"/>
      <c r="Z67" s="12"/>
    </row>
    <row r="68" customFormat="false" ht="15.75" hidden="false" customHeight="false" outlineLevel="0" collapsed="false">
      <c r="A68" s="12"/>
      <c r="B68" s="34"/>
      <c r="C68" s="12"/>
      <c r="D68" s="12"/>
      <c r="E68" s="12"/>
      <c r="F68" s="12"/>
      <c r="G68" s="18"/>
      <c r="H68" s="35"/>
      <c r="I68" s="35"/>
      <c r="J68" s="12"/>
      <c r="P68" s="18"/>
      <c r="Q68" s="12"/>
      <c r="R68" s="12"/>
      <c r="S68" s="12"/>
      <c r="T68" s="36"/>
      <c r="U68" s="36"/>
      <c r="V68" s="12"/>
      <c r="W68" s="12"/>
      <c r="X68" s="12"/>
      <c r="Y68" s="12"/>
      <c r="Z68" s="12"/>
    </row>
    <row r="69" customFormat="false" ht="15.75" hidden="false" customHeight="false" outlineLevel="0" collapsed="false">
      <c r="A69" s="12"/>
      <c r="B69" s="34"/>
      <c r="C69" s="12"/>
      <c r="D69" s="12"/>
      <c r="E69" s="12"/>
      <c r="F69" s="12"/>
      <c r="G69" s="18"/>
      <c r="H69" s="35"/>
      <c r="I69" s="35"/>
      <c r="J69" s="12"/>
      <c r="P69" s="18"/>
      <c r="Q69" s="12"/>
      <c r="R69" s="12"/>
      <c r="S69" s="12"/>
      <c r="T69" s="36"/>
      <c r="U69" s="36"/>
      <c r="V69" s="12"/>
      <c r="W69" s="12"/>
      <c r="X69" s="12"/>
      <c r="Y69" s="12"/>
      <c r="Z69" s="12"/>
    </row>
    <row r="70" customFormat="false" ht="15.75" hidden="false" customHeight="false" outlineLevel="0" collapsed="false">
      <c r="A70" s="12"/>
      <c r="B70" s="34"/>
      <c r="C70" s="12"/>
      <c r="D70" s="12"/>
      <c r="E70" s="12"/>
      <c r="F70" s="12"/>
      <c r="G70" s="18"/>
      <c r="H70" s="35"/>
      <c r="I70" s="35"/>
      <c r="J70" s="12"/>
      <c r="P70" s="18"/>
      <c r="Q70" s="12"/>
      <c r="R70" s="12"/>
      <c r="S70" s="12"/>
      <c r="T70" s="36"/>
      <c r="U70" s="36"/>
      <c r="V70" s="12"/>
      <c r="W70" s="12"/>
      <c r="X70" s="12"/>
      <c r="Y70" s="12"/>
      <c r="Z70" s="12"/>
    </row>
    <row r="71" customFormat="false" ht="15.75" hidden="false" customHeight="false" outlineLevel="0" collapsed="false">
      <c r="A71" s="12"/>
      <c r="B71" s="34"/>
      <c r="C71" s="12"/>
      <c r="D71" s="12"/>
      <c r="E71" s="12"/>
      <c r="F71" s="12"/>
      <c r="G71" s="18"/>
      <c r="H71" s="35"/>
      <c r="I71" s="35"/>
      <c r="J71" s="12"/>
      <c r="P71" s="18"/>
      <c r="Q71" s="12"/>
      <c r="R71" s="12"/>
      <c r="S71" s="12"/>
      <c r="T71" s="36"/>
      <c r="U71" s="36"/>
      <c r="V71" s="12"/>
      <c r="W71" s="12"/>
      <c r="X71" s="12"/>
      <c r="Y71" s="12"/>
      <c r="Z71" s="12"/>
    </row>
    <row r="72" customFormat="false" ht="15.75" hidden="false" customHeight="false" outlineLevel="0" collapsed="false">
      <c r="A72" s="12"/>
      <c r="B72" s="34"/>
      <c r="C72" s="12"/>
      <c r="D72" s="12"/>
      <c r="E72" s="12"/>
      <c r="F72" s="12"/>
      <c r="G72" s="18"/>
      <c r="H72" s="35"/>
      <c r="I72" s="35"/>
      <c r="J72" s="12"/>
      <c r="P72" s="18"/>
      <c r="Q72" s="12"/>
      <c r="R72" s="12"/>
      <c r="S72" s="12"/>
      <c r="T72" s="36"/>
      <c r="U72" s="36"/>
      <c r="V72" s="12"/>
      <c r="W72" s="12"/>
      <c r="X72" s="12"/>
      <c r="Y72" s="12"/>
      <c r="Z72" s="12"/>
    </row>
    <row r="73" customFormat="false" ht="15.75" hidden="false" customHeight="false" outlineLevel="0" collapsed="false">
      <c r="A73" s="12"/>
      <c r="B73" s="34"/>
      <c r="C73" s="12"/>
      <c r="D73" s="12"/>
      <c r="E73" s="12"/>
      <c r="F73" s="12"/>
      <c r="G73" s="18"/>
      <c r="H73" s="35"/>
      <c r="I73" s="35"/>
      <c r="J73" s="12"/>
      <c r="P73" s="18"/>
      <c r="Q73" s="12"/>
      <c r="R73" s="12"/>
      <c r="S73" s="12"/>
      <c r="T73" s="36"/>
      <c r="U73" s="36"/>
      <c r="V73" s="12"/>
      <c r="W73" s="12"/>
      <c r="X73" s="12"/>
      <c r="Y73" s="12"/>
      <c r="Z73" s="12"/>
    </row>
    <row r="74" customFormat="false" ht="15.75" hidden="false" customHeight="false" outlineLevel="0" collapsed="false">
      <c r="A74" s="12"/>
      <c r="B74" s="34"/>
      <c r="C74" s="12"/>
      <c r="D74" s="12"/>
      <c r="E74" s="12"/>
      <c r="F74" s="12"/>
      <c r="G74" s="18"/>
      <c r="H74" s="35"/>
      <c r="I74" s="35"/>
      <c r="J74" s="12"/>
      <c r="P74" s="18"/>
      <c r="Q74" s="12"/>
      <c r="R74" s="12"/>
      <c r="S74" s="12"/>
      <c r="T74" s="36"/>
      <c r="U74" s="36"/>
      <c r="V74" s="12"/>
      <c r="W74" s="12"/>
      <c r="X74" s="12"/>
      <c r="Y74" s="12"/>
      <c r="Z74" s="12"/>
    </row>
    <row r="75" customFormat="false" ht="15.75" hidden="false" customHeight="false" outlineLevel="0" collapsed="false">
      <c r="A75" s="12"/>
      <c r="B75" s="34"/>
      <c r="C75" s="12"/>
      <c r="D75" s="12"/>
      <c r="E75" s="12"/>
      <c r="F75" s="12"/>
      <c r="G75" s="18"/>
      <c r="H75" s="35"/>
      <c r="I75" s="35"/>
      <c r="J75" s="12"/>
      <c r="P75" s="18"/>
      <c r="Q75" s="12"/>
      <c r="R75" s="12"/>
      <c r="S75" s="12"/>
      <c r="T75" s="36"/>
      <c r="U75" s="36"/>
      <c r="V75" s="12"/>
      <c r="W75" s="12"/>
      <c r="X75" s="12"/>
      <c r="Y75" s="12"/>
      <c r="Z75" s="12"/>
    </row>
    <row r="76" customFormat="false" ht="15.75" hidden="false" customHeight="false" outlineLevel="0" collapsed="false">
      <c r="A76" s="12"/>
      <c r="B76" s="34"/>
      <c r="C76" s="12"/>
      <c r="D76" s="12"/>
      <c r="E76" s="12"/>
      <c r="F76" s="12"/>
      <c r="G76" s="18"/>
      <c r="H76" s="35"/>
      <c r="I76" s="35"/>
      <c r="J76" s="12"/>
      <c r="P76" s="18"/>
      <c r="Q76" s="12"/>
      <c r="R76" s="12"/>
      <c r="S76" s="12"/>
      <c r="T76" s="36"/>
      <c r="U76" s="36"/>
      <c r="V76" s="12"/>
      <c r="W76" s="12"/>
      <c r="X76" s="12"/>
      <c r="Y76" s="12"/>
      <c r="Z76" s="12"/>
    </row>
    <row r="77" customFormat="false" ht="15.75" hidden="false" customHeight="false" outlineLevel="0" collapsed="false">
      <c r="A77" s="12"/>
      <c r="B77" s="34"/>
      <c r="C77" s="12"/>
      <c r="D77" s="12"/>
      <c r="E77" s="12"/>
      <c r="F77" s="12"/>
      <c r="G77" s="18"/>
      <c r="H77" s="35"/>
      <c r="I77" s="35"/>
      <c r="J77" s="12"/>
      <c r="O77" s="12"/>
      <c r="P77" s="18"/>
      <c r="Q77" s="12"/>
      <c r="R77" s="12"/>
      <c r="S77" s="12"/>
      <c r="T77" s="36"/>
      <c r="U77" s="36"/>
      <c r="V77" s="12"/>
      <c r="W77" s="12"/>
      <c r="X77" s="12"/>
      <c r="Y77" s="12"/>
      <c r="Z77" s="12"/>
    </row>
    <row r="78" customFormat="false" ht="15.75" hidden="false" customHeight="false" outlineLevel="0" collapsed="false">
      <c r="A78" s="12"/>
      <c r="B78" s="34"/>
      <c r="C78" s="12"/>
      <c r="D78" s="12"/>
      <c r="E78" s="12"/>
      <c r="F78" s="12"/>
      <c r="G78" s="18"/>
      <c r="H78" s="35"/>
      <c r="I78" s="35"/>
      <c r="J78" s="12"/>
      <c r="O78" s="12"/>
      <c r="P78" s="18"/>
      <c r="Q78" s="12"/>
      <c r="R78" s="12"/>
      <c r="S78" s="12"/>
      <c r="T78" s="36"/>
      <c r="U78" s="36"/>
      <c r="V78" s="12"/>
      <c r="W78" s="12"/>
      <c r="X78" s="12"/>
      <c r="Y78" s="12"/>
      <c r="Z78" s="12"/>
    </row>
    <row r="79" customFormat="false" ht="15.75" hidden="false" customHeight="false" outlineLevel="0" collapsed="false">
      <c r="A79" s="12"/>
      <c r="B79" s="34"/>
      <c r="C79" s="12"/>
      <c r="D79" s="12"/>
      <c r="E79" s="12"/>
      <c r="F79" s="12"/>
      <c r="G79" s="18"/>
      <c r="H79" s="35"/>
      <c r="I79" s="35"/>
      <c r="J79" s="12"/>
      <c r="O79" s="12"/>
      <c r="P79" s="18"/>
      <c r="Q79" s="12"/>
      <c r="R79" s="12"/>
      <c r="S79" s="12"/>
      <c r="T79" s="36"/>
      <c r="U79" s="36"/>
      <c r="V79" s="12"/>
      <c r="W79" s="12"/>
      <c r="X79" s="12"/>
      <c r="Y79" s="12"/>
      <c r="Z79" s="12"/>
    </row>
    <row r="80" customFormat="false" ht="15.75" hidden="false" customHeight="false" outlineLevel="0" collapsed="false">
      <c r="A80" s="12"/>
      <c r="B80" s="34"/>
      <c r="C80" s="12"/>
      <c r="D80" s="12"/>
      <c r="E80" s="12"/>
      <c r="F80" s="12"/>
      <c r="G80" s="18"/>
      <c r="H80" s="35"/>
      <c r="I80" s="35"/>
      <c r="J80" s="12"/>
      <c r="O80" s="12"/>
      <c r="P80" s="18"/>
      <c r="Q80" s="12"/>
      <c r="R80" s="12"/>
      <c r="S80" s="12"/>
      <c r="T80" s="36"/>
      <c r="U80" s="36"/>
      <c r="V80" s="12"/>
      <c r="W80" s="12"/>
      <c r="X80" s="12"/>
      <c r="Y80" s="12"/>
      <c r="Z80" s="12"/>
    </row>
    <row r="81" customFormat="false" ht="15.75" hidden="false" customHeight="false" outlineLevel="0" collapsed="false">
      <c r="A81" s="12"/>
      <c r="B81" s="34"/>
      <c r="C81" s="12"/>
      <c r="D81" s="12"/>
      <c r="E81" s="12"/>
      <c r="F81" s="12"/>
      <c r="G81" s="18"/>
      <c r="H81" s="35"/>
      <c r="I81" s="35"/>
      <c r="J81" s="12"/>
      <c r="O81" s="12"/>
      <c r="P81" s="18"/>
      <c r="Q81" s="12"/>
      <c r="R81" s="12"/>
      <c r="S81" s="12"/>
      <c r="T81" s="36"/>
      <c r="U81" s="36"/>
      <c r="V81" s="12"/>
      <c r="W81" s="12"/>
      <c r="X81" s="12"/>
      <c r="Y81" s="12"/>
      <c r="Z81" s="12"/>
    </row>
    <row r="82" customFormat="false" ht="15.75" hidden="false" customHeight="false" outlineLevel="0" collapsed="false">
      <c r="A82" s="12"/>
      <c r="B82" s="34"/>
      <c r="C82" s="12"/>
      <c r="D82" s="12"/>
      <c r="E82" s="12"/>
      <c r="F82" s="12"/>
      <c r="G82" s="18"/>
      <c r="H82" s="35"/>
      <c r="I82" s="35"/>
      <c r="J82" s="12"/>
      <c r="O82" s="12"/>
      <c r="P82" s="18"/>
      <c r="Q82" s="12"/>
      <c r="R82" s="12"/>
      <c r="S82" s="12"/>
      <c r="T82" s="36"/>
      <c r="U82" s="36"/>
      <c r="V82" s="12"/>
      <c r="W82" s="12"/>
      <c r="X82" s="12"/>
      <c r="Y82" s="12"/>
      <c r="Z82" s="12"/>
    </row>
    <row r="83" customFormat="false" ht="15.75" hidden="false" customHeight="false" outlineLevel="0" collapsed="false">
      <c r="A83" s="12"/>
      <c r="B83" s="34"/>
      <c r="C83" s="12"/>
      <c r="D83" s="12"/>
      <c r="E83" s="12"/>
      <c r="F83" s="12"/>
      <c r="G83" s="18"/>
      <c r="H83" s="35"/>
      <c r="I83" s="35"/>
      <c r="J83" s="12"/>
      <c r="O83" s="12"/>
      <c r="P83" s="18"/>
      <c r="Q83" s="12"/>
      <c r="R83" s="12"/>
      <c r="S83" s="12"/>
      <c r="T83" s="36"/>
      <c r="U83" s="36"/>
      <c r="V83" s="12"/>
      <c r="W83" s="12"/>
      <c r="X83" s="12"/>
      <c r="Y83" s="12"/>
      <c r="Z83" s="12"/>
    </row>
    <row r="84" customFormat="false" ht="15.75" hidden="false" customHeight="false" outlineLevel="0" collapsed="false">
      <c r="A84" s="12"/>
      <c r="B84" s="34"/>
      <c r="C84" s="12"/>
      <c r="D84" s="12"/>
      <c r="E84" s="12"/>
      <c r="F84" s="12"/>
      <c r="G84" s="18"/>
      <c r="H84" s="35"/>
      <c r="I84" s="35"/>
      <c r="J84" s="12"/>
      <c r="O84" s="12"/>
      <c r="P84" s="18"/>
      <c r="Q84" s="12"/>
      <c r="R84" s="12"/>
      <c r="S84" s="12"/>
      <c r="T84" s="36"/>
      <c r="U84" s="36"/>
      <c r="V84" s="12"/>
      <c r="W84" s="12"/>
      <c r="X84" s="12"/>
      <c r="Y84" s="12"/>
      <c r="Z84" s="12"/>
    </row>
    <row r="85" customFormat="false" ht="15.75" hidden="false" customHeight="false" outlineLevel="0" collapsed="false">
      <c r="A85" s="12"/>
      <c r="B85" s="34"/>
      <c r="C85" s="12"/>
      <c r="D85" s="12"/>
      <c r="E85" s="12"/>
      <c r="F85" s="12"/>
      <c r="G85" s="18"/>
      <c r="H85" s="35"/>
      <c r="I85" s="35"/>
      <c r="J85" s="12"/>
      <c r="O85" s="12"/>
      <c r="P85" s="18"/>
      <c r="Q85" s="12"/>
      <c r="R85" s="12"/>
      <c r="S85" s="12"/>
      <c r="T85" s="36"/>
      <c r="U85" s="36"/>
      <c r="V85" s="12"/>
      <c r="W85" s="12"/>
      <c r="X85" s="12"/>
      <c r="Y85" s="12"/>
      <c r="Z85" s="12"/>
    </row>
    <row r="86" customFormat="false" ht="15.75" hidden="false" customHeight="false" outlineLevel="0" collapsed="false">
      <c r="A86" s="12"/>
      <c r="B86" s="34"/>
      <c r="C86" s="12"/>
      <c r="D86" s="12"/>
      <c r="E86" s="12"/>
      <c r="F86" s="12"/>
      <c r="G86" s="18"/>
      <c r="H86" s="35"/>
      <c r="I86" s="35"/>
      <c r="J86" s="12"/>
      <c r="O86" s="12"/>
      <c r="P86" s="18"/>
      <c r="Q86" s="12"/>
      <c r="R86" s="12"/>
      <c r="S86" s="12"/>
      <c r="T86" s="36"/>
      <c r="U86" s="36"/>
      <c r="V86" s="12"/>
      <c r="W86" s="12"/>
      <c r="X86" s="12"/>
      <c r="Y86" s="12"/>
      <c r="Z86" s="12"/>
    </row>
    <row r="87" customFormat="false" ht="15.75" hidden="false" customHeight="false" outlineLevel="0" collapsed="false">
      <c r="A87" s="12"/>
      <c r="B87" s="34"/>
      <c r="C87" s="12"/>
      <c r="D87" s="12"/>
      <c r="E87" s="12"/>
      <c r="F87" s="12"/>
      <c r="G87" s="18"/>
      <c r="H87" s="35"/>
      <c r="I87" s="35"/>
      <c r="J87" s="12"/>
      <c r="O87" s="12"/>
      <c r="P87" s="18"/>
      <c r="Q87" s="12"/>
      <c r="R87" s="12"/>
      <c r="S87" s="12"/>
      <c r="T87" s="36"/>
      <c r="U87" s="36"/>
      <c r="V87" s="12"/>
      <c r="W87" s="12"/>
      <c r="X87" s="12"/>
      <c r="Y87" s="12"/>
      <c r="Z87" s="12"/>
    </row>
    <row r="88" customFormat="false" ht="15.75" hidden="false" customHeight="false" outlineLevel="0" collapsed="false">
      <c r="A88" s="12"/>
      <c r="B88" s="34"/>
      <c r="C88" s="12"/>
      <c r="D88" s="12"/>
      <c r="E88" s="12"/>
      <c r="F88" s="12"/>
      <c r="G88" s="18"/>
      <c r="H88" s="35"/>
      <c r="I88" s="35"/>
      <c r="J88" s="12"/>
      <c r="O88" s="12"/>
      <c r="P88" s="18"/>
      <c r="Q88" s="12"/>
      <c r="R88" s="12"/>
      <c r="S88" s="12"/>
      <c r="T88" s="36"/>
      <c r="U88" s="36"/>
      <c r="V88" s="12"/>
      <c r="W88" s="12"/>
      <c r="X88" s="12"/>
      <c r="Y88" s="12"/>
      <c r="Z88" s="12"/>
    </row>
    <row r="89" customFormat="false" ht="15.75" hidden="false" customHeight="false" outlineLevel="0" collapsed="false">
      <c r="A89" s="12"/>
      <c r="B89" s="34"/>
      <c r="C89" s="12"/>
      <c r="D89" s="12"/>
      <c r="E89" s="12"/>
      <c r="F89" s="12"/>
      <c r="G89" s="18"/>
      <c r="H89" s="35"/>
      <c r="I89" s="35"/>
      <c r="J89" s="12"/>
      <c r="O89" s="12"/>
      <c r="P89" s="18"/>
      <c r="Q89" s="12"/>
      <c r="R89" s="12"/>
      <c r="S89" s="12"/>
      <c r="T89" s="36"/>
      <c r="U89" s="36"/>
      <c r="V89" s="12"/>
      <c r="W89" s="12"/>
      <c r="X89" s="12"/>
      <c r="Y89" s="12"/>
      <c r="Z89" s="12"/>
    </row>
    <row r="90" customFormat="false" ht="15.75" hidden="false" customHeight="false" outlineLevel="0" collapsed="false">
      <c r="A90" s="12"/>
      <c r="B90" s="34"/>
      <c r="C90" s="12"/>
      <c r="D90" s="12"/>
      <c r="E90" s="12"/>
      <c r="F90" s="12"/>
      <c r="G90" s="18"/>
      <c r="H90" s="35"/>
      <c r="I90" s="35"/>
      <c r="J90" s="12"/>
      <c r="O90" s="12"/>
      <c r="P90" s="18"/>
      <c r="Q90" s="12"/>
      <c r="R90" s="12"/>
      <c r="S90" s="12"/>
      <c r="T90" s="36"/>
      <c r="U90" s="36"/>
      <c r="V90" s="12"/>
      <c r="W90" s="12"/>
      <c r="X90" s="12"/>
      <c r="Y90" s="12"/>
      <c r="Z90" s="12"/>
    </row>
    <row r="91" customFormat="false" ht="15.75" hidden="false" customHeight="false" outlineLevel="0" collapsed="false">
      <c r="A91" s="12"/>
      <c r="B91" s="34"/>
      <c r="C91" s="12"/>
      <c r="D91" s="12"/>
      <c r="E91" s="12"/>
      <c r="F91" s="12"/>
      <c r="G91" s="18"/>
      <c r="H91" s="35"/>
      <c r="I91" s="35"/>
      <c r="J91" s="12"/>
      <c r="O91" s="12"/>
      <c r="P91" s="18"/>
      <c r="Q91" s="12"/>
      <c r="R91" s="12"/>
      <c r="S91" s="12"/>
      <c r="T91" s="36"/>
      <c r="U91" s="36"/>
      <c r="V91" s="12"/>
      <c r="W91" s="12"/>
      <c r="X91" s="12"/>
      <c r="Y91" s="12"/>
      <c r="Z91" s="12"/>
    </row>
    <row r="92" customFormat="false" ht="15.75" hidden="false" customHeight="false" outlineLevel="0" collapsed="false">
      <c r="A92" s="12"/>
      <c r="B92" s="34"/>
      <c r="C92" s="12"/>
      <c r="D92" s="12"/>
      <c r="E92" s="12"/>
      <c r="F92" s="12"/>
      <c r="G92" s="18"/>
      <c r="H92" s="35"/>
      <c r="I92" s="35"/>
      <c r="J92" s="12"/>
      <c r="O92" s="12"/>
      <c r="P92" s="18"/>
      <c r="Q92" s="12"/>
      <c r="R92" s="12"/>
      <c r="S92" s="12"/>
      <c r="T92" s="36"/>
      <c r="U92" s="36"/>
      <c r="V92" s="12"/>
      <c r="W92" s="12"/>
      <c r="X92" s="12"/>
      <c r="Y92" s="12"/>
      <c r="Z92" s="12"/>
    </row>
    <row r="93" customFormat="false" ht="15.75" hidden="false" customHeight="false" outlineLevel="0" collapsed="false">
      <c r="A93" s="12"/>
      <c r="B93" s="34"/>
      <c r="C93" s="12"/>
      <c r="D93" s="12"/>
      <c r="E93" s="12"/>
      <c r="F93" s="12"/>
      <c r="G93" s="18"/>
      <c r="H93" s="35"/>
      <c r="I93" s="35"/>
      <c r="J93" s="12"/>
      <c r="O93" s="12"/>
      <c r="P93" s="18"/>
      <c r="Q93" s="12"/>
      <c r="R93" s="12"/>
      <c r="S93" s="12"/>
      <c r="T93" s="36"/>
      <c r="U93" s="36"/>
      <c r="V93" s="12"/>
      <c r="W93" s="12"/>
      <c r="X93" s="12"/>
      <c r="Y93" s="12"/>
      <c r="Z93" s="12"/>
    </row>
    <row r="94" customFormat="false" ht="15.75" hidden="false" customHeight="false" outlineLevel="0" collapsed="false">
      <c r="A94" s="12"/>
      <c r="B94" s="34"/>
      <c r="C94" s="12"/>
      <c r="D94" s="12"/>
      <c r="E94" s="12"/>
      <c r="F94" s="12"/>
      <c r="G94" s="18"/>
      <c r="H94" s="35"/>
      <c r="I94" s="35"/>
      <c r="J94" s="12"/>
      <c r="O94" s="12"/>
      <c r="P94" s="18"/>
      <c r="Q94" s="12"/>
      <c r="R94" s="12"/>
      <c r="S94" s="12"/>
      <c r="T94" s="36"/>
      <c r="U94" s="36"/>
      <c r="V94" s="12"/>
      <c r="W94" s="12"/>
      <c r="X94" s="12"/>
      <c r="Y94" s="12"/>
      <c r="Z94" s="12"/>
    </row>
    <row r="95" customFormat="false" ht="15.75" hidden="false" customHeight="false" outlineLevel="0" collapsed="false">
      <c r="A95" s="12"/>
      <c r="B95" s="34"/>
      <c r="C95" s="12"/>
      <c r="D95" s="12"/>
      <c r="E95" s="12"/>
      <c r="F95" s="12"/>
      <c r="G95" s="18"/>
      <c r="H95" s="35"/>
      <c r="I95" s="35"/>
      <c r="J95" s="12"/>
      <c r="O95" s="12"/>
      <c r="P95" s="18"/>
      <c r="Q95" s="12"/>
      <c r="R95" s="12"/>
      <c r="S95" s="12"/>
      <c r="T95" s="36"/>
      <c r="U95" s="36"/>
      <c r="V95" s="12"/>
      <c r="W95" s="12"/>
      <c r="X95" s="12"/>
      <c r="Y95" s="12"/>
      <c r="Z95" s="12"/>
    </row>
    <row r="96" customFormat="false" ht="15.75" hidden="false" customHeight="false" outlineLevel="0" collapsed="false">
      <c r="A96" s="12"/>
      <c r="B96" s="34"/>
      <c r="C96" s="12"/>
      <c r="D96" s="12"/>
      <c r="E96" s="12"/>
      <c r="F96" s="12"/>
      <c r="G96" s="18"/>
      <c r="H96" s="35"/>
      <c r="I96" s="35"/>
      <c r="J96" s="12"/>
      <c r="O96" s="12"/>
      <c r="P96" s="18"/>
      <c r="Q96" s="12"/>
      <c r="R96" s="12"/>
      <c r="S96" s="12"/>
      <c r="T96" s="36"/>
      <c r="U96" s="36"/>
      <c r="V96" s="12"/>
      <c r="W96" s="12"/>
      <c r="X96" s="12"/>
      <c r="Y96" s="12"/>
      <c r="Z96" s="12"/>
    </row>
    <row r="97" customFormat="false" ht="15.75" hidden="false" customHeight="false" outlineLevel="0" collapsed="false">
      <c r="A97" s="12"/>
      <c r="B97" s="34"/>
      <c r="C97" s="12"/>
      <c r="D97" s="12"/>
      <c r="E97" s="12"/>
      <c r="F97" s="12"/>
      <c r="G97" s="18"/>
      <c r="H97" s="35"/>
      <c r="I97" s="35"/>
      <c r="J97" s="12"/>
      <c r="O97" s="12"/>
      <c r="P97" s="18"/>
      <c r="Q97" s="12"/>
      <c r="R97" s="12"/>
      <c r="S97" s="12"/>
      <c r="T97" s="36"/>
      <c r="U97" s="36"/>
      <c r="V97" s="12"/>
      <c r="W97" s="12"/>
      <c r="X97" s="12"/>
      <c r="Y97" s="12"/>
      <c r="Z97" s="12"/>
    </row>
    <row r="98" customFormat="false" ht="15.75" hidden="false" customHeight="false" outlineLevel="0" collapsed="false">
      <c r="A98" s="12"/>
      <c r="B98" s="34"/>
      <c r="C98" s="12"/>
      <c r="D98" s="12"/>
      <c r="E98" s="12"/>
      <c r="F98" s="12"/>
      <c r="G98" s="18"/>
      <c r="H98" s="35"/>
      <c r="I98" s="35"/>
      <c r="J98" s="12"/>
      <c r="O98" s="12"/>
      <c r="P98" s="18"/>
      <c r="Q98" s="12"/>
      <c r="R98" s="12"/>
      <c r="S98" s="12"/>
      <c r="T98" s="36"/>
      <c r="U98" s="36"/>
      <c r="V98" s="12"/>
      <c r="W98" s="12"/>
      <c r="X98" s="12"/>
      <c r="Y98" s="12"/>
      <c r="Z98" s="12"/>
    </row>
    <row r="99" customFormat="false" ht="15.75" hidden="false" customHeight="false" outlineLevel="0" collapsed="false">
      <c r="A99" s="12"/>
      <c r="B99" s="34"/>
      <c r="C99" s="12"/>
      <c r="D99" s="12"/>
      <c r="E99" s="12"/>
      <c r="F99" s="12"/>
      <c r="G99" s="18"/>
      <c r="H99" s="35"/>
      <c r="I99" s="35"/>
      <c r="J99" s="12"/>
      <c r="O99" s="12"/>
      <c r="P99" s="18"/>
      <c r="Q99" s="12"/>
      <c r="R99" s="12"/>
      <c r="S99" s="12"/>
      <c r="T99" s="36"/>
      <c r="U99" s="36"/>
      <c r="V99" s="12"/>
      <c r="W99" s="12"/>
      <c r="X99" s="12"/>
      <c r="Y99" s="12"/>
      <c r="Z99" s="12"/>
    </row>
    <row r="100" customFormat="false" ht="15.75" hidden="false" customHeight="false" outlineLevel="0" collapsed="false">
      <c r="A100" s="12"/>
      <c r="B100" s="34"/>
      <c r="C100" s="12"/>
      <c r="D100" s="12"/>
      <c r="E100" s="12"/>
      <c r="F100" s="12"/>
      <c r="G100" s="18"/>
      <c r="H100" s="35"/>
      <c r="I100" s="35"/>
      <c r="J100" s="12"/>
      <c r="O100" s="12"/>
      <c r="P100" s="18"/>
      <c r="Q100" s="12"/>
      <c r="R100" s="12"/>
      <c r="S100" s="12"/>
      <c r="T100" s="36"/>
      <c r="U100" s="36"/>
      <c r="V100" s="12"/>
      <c r="W100" s="12"/>
      <c r="X100" s="12"/>
      <c r="Y100" s="12"/>
      <c r="Z100" s="12"/>
    </row>
    <row r="101" customFormat="false" ht="15.75" hidden="false" customHeight="false" outlineLevel="0" collapsed="false">
      <c r="A101" s="12"/>
      <c r="B101" s="34"/>
      <c r="C101" s="12"/>
      <c r="D101" s="12"/>
      <c r="E101" s="12"/>
      <c r="F101" s="12"/>
      <c r="G101" s="18"/>
      <c r="H101" s="35"/>
      <c r="I101" s="35"/>
      <c r="J101" s="12"/>
      <c r="O101" s="12"/>
      <c r="P101" s="18"/>
      <c r="Q101" s="12"/>
      <c r="R101" s="12"/>
      <c r="S101" s="12"/>
      <c r="T101" s="36"/>
      <c r="U101" s="36"/>
      <c r="V101" s="12"/>
      <c r="W101" s="12"/>
      <c r="X101" s="12"/>
      <c r="Y101" s="12"/>
      <c r="Z101" s="12"/>
    </row>
    <row r="102" customFormat="false" ht="15.75" hidden="false" customHeight="false" outlineLevel="0" collapsed="false">
      <c r="A102" s="12"/>
      <c r="B102" s="34"/>
      <c r="C102" s="12"/>
      <c r="D102" s="12"/>
      <c r="E102" s="12"/>
      <c r="F102" s="12"/>
      <c r="G102" s="18"/>
      <c r="H102" s="35"/>
      <c r="I102" s="35"/>
      <c r="J102" s="12"/>
      <c r="O102" s="12"/>
      <c r="P102" s="18"/>
      <c r="Q102" s="12"/>
      <c r="R102" s="12"/>
      <c r="S102" s="12"/>
      <c r="T102" s="36"/>
      <c r="U102" s="36"/>
      <c r="V102" s="12"/>
      <c r="W102" s="12"/>
      <c r="X102" s="12"/>
      <c r="Y102" s="12"/>
      <c r="Z102" s="12"/>
    </row>
    <row r="103" customFormat="false" ht="15.75" hidden="false" customHeight="false" outlineLevel="0" collapsed="false">
      <c r="A103" s="12"/>
      <c r="B103" s="34"/>
      <c r="C103" s="12"/>
      <c r="D103" s="12"/>
      <c r="E103" s="12"/>
      <c r="F103" s="12"/>
      <c r="G103" s="18"/>
      <c r="H103" s="35"/>
      <c r="I103" s="35"/>
      <c r="J103" s="12"/>
      <c r="O103" s="12"/>
      <c r="P103" s="18"/>
      <c r="Q103" s="12"/>
      <c r="R103" s="12"/>
      <c r="S103" s="12"/>
      <c r="T103" s="36"/>
      <c r="U103" s="36"/>
      <c r="V103" s="12"/>
      <c r="W103" s="12"/>
      <c r="X103" s="12"/>
      <c r="Y103" s="12"/>
      <c r="Z103" s="12"/>
    </row>
    <row r="104" customFormat="false" ht="15.75" hidden="false" customHeight="false" outlineLevel="0" collapsed="false">
      <c r="A104" s="12"/>
      <c r="B104" s="34"/>
      <c r="C104" s="12"/>
      <c r="D104" s="12"/>
      <c r="E104" s="12"/>
      <c r="F104" s="12"/>
      <c r="G104" s="18"/>
      <c r="H104" s="35"/>
      <c r="I104" s="35"/>
      <c r="J104" s="12"/>
      <c r="O104" s="12"/>
      <c r="P104" s="18"/>
      <c r="Q104" s="12"/>
      <c r="R104" s="12"/>
      <c r="S104" s="12"/>
      <c r="T104" s="36"/>
      <c r="U104" s="36"/>
      <c r="V104" s="12"/>
      <c r="W104" s="12"/>
      <c r="X104" s="12"/>
      <c r="Y104" s="12"/>
      <c r="Z104" s="12"/>
    </row>
    <row r="105" customFormat="false" ht="15.75" hidden="false" customHeight="false" outlineLevel="0" collapsed="false">
      <c r="A105" s="12"/>
      <c r="B105" s="34"/>
      <c r="C105" s="12"/>
      <c r="D105" s="12"/>
      <c r="E105" s="12"/>
      <c r="F105" s="12"/>
      <c r="G105" s="18"/>
      <c r="H105" s="35"/>
      <c r="I105" s="35"/>
      <c r="J105" s="12"/>
      <c r="O105" s="12"/>
      <c r="P105" s="18"/>
      <c r="Q105" s="12"/>
      <c r="R105" s="12"/>
      <c r="S105" s="12"/>
      <c r="T105" s="36"/>
      <c r="U105" s="36"/>
      <c r="V105" s="12"/>
      <c r="W105" s="12"/>
      <c r="X105" s="12"/>
      <c r="Y105" s="12"/>
      <c r="Z105" s="12"/>
    </row>
    <row r="106" customFormat="false" ht="15.75" hidden="false" customHeight="false" outlineLevel="0" collapsed="false">
      <c r="A106" s="12"/>
      <c r="B106" s="34"/>
      <c r="C106" s="12"/>
      <c r="D106" s="12"/>
      <c r="E106" s="12"/>
      <c r="F106" s="12"/>
      <c r="G106" s="18"/>
      <c r="H106" s="35"/>
      <c r="I106" s="35"/>
      <c r="J106" s="12"/>
      <c r="O106" s="12"/>
      <c r="P106" s="18"/>
      <c r="Q106" s="12"/>
      <c r="R106" s="12"/>
      <c r="S106" s="12"/>
      <c r="T106" s="36"/>
      <c r="U106" s="36"/>
      <c r="V106" s="12"/>
      <c r="W106" s="12"/>
      <c r="X106" s="12"/>
      <c r="Y106" s="12"/>
      <c r="Z106" s="12"/>
    </row>
    <row r="107" customFormat="false" ht="15.75" hidden="false" customHeight="false" outlineLevel="0" collapsed="false">
      <c r="A107" s="12"/>
      <c r="B107" s="34"/>
      <c r="C107" s="12"/>
      <c r="D107" s="12"/>
      <c r="E107" s="12"/>
      <c r="F107" s="12"/>
      <c r="G107" s="18"/>
      <c r="H107" s="35"/>
      <c r="I107" s="35"/>
      <c r="J107" s="12"/>
      <c r="O107" s="12"/>
      <c r="P107" s="18"/>
      <c r="Q107" s="12"/>
      <c r="R107" s="12"/>
      <c r="S107" s="12"/>
      <c r="T107" s="36"/>
      <c r="U107" s="36"/>
      <c r="V107" s="12"/>
      <c r="W107" s="12"/>
      <c r="X107" s="12"/>
      <c r="Y107" s="12"/>
      <c r="Z107" s="12"/>
    </row>
    <row r="108" customFormat="false" ht="15.75" hidden="false" customHeight="false" outlineLevel="0" collapsed="false">
      <c r="A108" s="12"/>
      <c r="B108" s="34"/>
      <c r="C108" s="12"/>
      <c r="D108" s="12"/>
      <c r="E108" s="12"/>
      <c r="F108" s="12"/>
      <c r="G108" s="18"/>
      <c r="H108" s="35"/>
      <c r="I108" s="35"/>
      <c r="J108" s="12"/>
      <c r="O108" s="12"/>
      <c r="P108" s="18"/>
      <c r="Q108" s="12"/>
      <c r="R108" s="12"/>
      <c r="S108" s="12"/>
      <c r="T108" s="36"/>
      <c r="U108" s="36"/>
      <c r="V108" s="12"/>
      <c r="W108" s="12"/>
      <c r="X108" s="12"/>
      <c r="Y108" s="12"/>
      <c r="Z108" s="12"/>
    </row>
    <row r="109" customFormat="false" ht="15.75" hidden="false" customHeight="false" outlineLevel="0" collapsed="false">
      <c r="A109" s="12"/>
      <c r="B109" s="34"/>
      <c r="C109" s="12"/>
      <c r="D109" s="12"/>
      <c r="E109" s="12"/>
      <c r="F109" s="12"/>
      <c r="G109" s="18"/>
      <c r="H109" s="35"/>
      <c r="I109" s="35"/>
      <c r="J109" s="12"/>
      <c r="O109" s="12"/>
      <c r="P109" s="18"/>
      <c r="Q109" s="12"/>
      <c r="R109" s="12"/>
      <c r="S109" s="12"/>
      <c r="T109" s="36"/>
      <c r="U109" s="36"/>
      <c r="V109" s="12"/>
      <c r="W109" s="12"/>
      <c r="X109" s="12"/>
      <c r="Y109" s="12"/>
      <c r="Z109" s="12"/>
    </row>
    <row r="110" customFormat="false" ht="15.75" hidden="false" customHeight="false" outlineLevel="0" collapsed="false">
      <c r="A110" s="12"/>
      <c r="B110" s="34"/>
      <c r="C110" s="12"/>
      <c r="D110" s="12"/>
      <c r="E110" s="12"/>
      <c r="F110" s="12"/>
      <c r="G110" s="18"/>
      <c r="H110" s="35"/>
      <c r="I110" s="35"/>
      <c r="J110" s="12"/>
      <c r="O110" s="12"/>
      <c r="P110" s="18"/>
      <c r="Q110" s="12"/>
      <c r="R110" s="12"/>
      <c r="S110" s="12"/>
      <c r="T110" s="36"/>
      <c r="U110" s="36"/>
      <c r="V110" s="12"/>
      <c r="W110" s="12"/>
      <c r="X110" s="12"/>
      <c r="Y110" s="12"/>
      <c r="Z110" s="12"/>
    </row>
    <row r="111" customFormat="false" ht="15.75" hidden="false" customHeight="false" outlineLevel="0" collapsed="false">
      <c r="A111" s="12"/>
      <c r="B111" s="34"/>
      <c r="C111" s="12"/>
      <c r="D111" s="12"/>
      <c r="E111" s="12"/>
      <c r="F111" s="12"/>
      <c r="G111" s="18"/>
      <c r="H111" s="35"/>
      <c r="I111" s="35"/>
      <c r="J111" s="12"/>
      <c r="O111" s="12"/>
      <c r="P111" s="18"/>
      <c r="Q111" s="12"/>
      <c r="R111" s="12"/>
      <c r="S111" s="12"/>
      <c r="T111" s="36"/>
      <c r="U111" s="36"/>
      <c r="V111" s="12"/>
      <c r="W111" s="12"/>
      <c r="X111" s="12"/>
      <c r="Y111" s="12"/>
      <c r="Z111" s="12"/>
    </row>
    <row r="112" customFormat="false" ht="15.75" hidden="false" customHeight="false" outlineLevel="0" collapsed="false">
      <c r="A112" s="12"/>
      <c r="B112" s="34"/>
      <c r="C112" s="12"/>
      <c r="D112" s="12"/>
      <c r="E112" s="12"/>
      <c r="F112" s="12"/>
      <c r="G112" s="18"/>
      <c r="H112" s="35"/>
      <c r="I112" s="35"/>
      <c r="J112" s="12"/>
      <c r="O112" s="12"/>
      <c r="P112" s="18"/>
      <c r="Q112" s="12"/>
      <c r="R112" s="12"/>
      <c r="S112" s="12"/>
      <c r="T112" s="36"/>
      <c r="U112" s="36"/>
      <c r="V112" s="12"/>
      <c r="W112" s="12"/>
      <c r="X112" s="12"/>
      <c r="Y112" s="12"/>
      <c r="Z112" s="12"/>
    </row>
    <row r="113" customFormat="false" ht="15.75" hidden="false" customHeight="false" outlineLevel="0" collapsed="false">
      <c r="A113" s="12"/>
      <c r="B113" s="34"/>
      <c r="C113" s="12"/>
      <c r="D113" s="12"/>
      <c r="E113" s="12"/>
      <c r="F113" s="12"/>
      <c r="G113" s="18"/>
      <c r="H113" s="35"/>
      <c r="I113" s="35"/>
      <c r="J113" s="12"/>
      <c r="O113" s="12"/>
      <c r="P113" s="18"/>
      <c r="Q113" s="12"/>
      <c r="R113" s="12"/>
      <c r="S113" s="12"/>
      <c r="T113" s="36"/>
      <c r="U113" s="36"/>
      <c r="V113" s="12"/>
      <c r="W113" s="12"/>
      <c r="X113" s="12"/>
      <c r="Y113" s="12"/>
      <c r="Z113" s="12"/>
    </row>
    <row r="114" customFormat="false" ht="15.75" hidden="false" customHeight="false" outlineLevel="0" collapsed="false">
      <c r="A114" s="12"/>
      <c r="B114" s="34"/>
      <c r="C114" s="12"/>
      <c r="D114" s="12"/>
      <c r="E114" s="12"/>
      <c r="F114" s="12"/>
      <c r="G114" s="18"/>
      <c r="H114" s="35"/>
      <c r="I114" s="35"/>
      <c r="J114" s="12"/>
      <c r="O114" s="12"/>
      <c r="P114" s="18"/>
      <c r="Q114" s="12"/>
      <c r="R114" s="12"/>
      <c r="S114" s="12"/>
      <c r="T114" s="36"/>
      <c r="U114" s="36"/>
      <c r="V114" s="12"/>
      <c r="W114" s="12"/>
      <c r="X114" s="12"/>
      <c r="Y114" s="12"/>
      <c r="Z114" s="12"/>
    </row>
    <row r="115" customFormat="false" ht="15.75" hidden="false" customHeight="false" outlineLevel="0" collapsed="false">
      <c r="A115" s="12"/>
      <c r="B115" s="34"/>
      <c r="C115" s="12"/>
      <c r="D115" s="12"/>
      <c r="E115" s="12"/>
      <c r="F115" s="12"/>
      <c r="G115" s="18"/>
      <c r="H115" s="35"/>
      <c r="I115" s="35"/>
      <c r="J115" s="12"/>
      <c r="O115" s="12"/>
      <c r="P115" s="18"/>
      <c r="Q115" s="12"/>
      <c r="R115" s="12"/>
      <c r="S115" s="12"/>
      <c r="T115" s="36"/>
      <c r="U115" s="36"/>
      <c r="V115" s="12"/>
      <c r="W115" s="12"/>
      <c r="X115" s="12"/>
      <c r="Y115" s="12"/>
      <c r="Z115" s="12"/>
    </row>
    <row r="116" customFormat="false" ht="15.75" hidden="false" customHeight="false" outlineLevel="0" collapsed="false">
      <c r="A116" s="12"/>
      <c r="B116" s="34"/>
      <c r="C116" s="12"/>
      <c r="D116" s="12"/>
      <c r="E116" s="12"/>
      <c r="F116" s="12"/>
      <c r="G116" s="18"/>
      <c r="H116" s="35"/>
      <c r="I116" s="35"/>
      <c r="J116" s="12"/>
      <c r="O116" s="12"/>
      <c r="P116" s="18"/>
      <c r="Q116" s="12"/>
      <c r="R116" s="12"/>
      <c r="S116" s="12"/>
      <c r="T116" s="36"/>
      <c r="U116" s="36"/>
      <c r="V116" s="12"/>
      <c r="W116" s="12"/>
      <c r="X116" s="12"/>
      <c r="Y116" s="12"/>
      <c r="Z116" s="12"/>
    </row>
    <row r="117" customFormat="false" ht="15.75" hidden="false" customHeight="false" outlineLevel="0" collapsed="false">
      <c r="A117" s="12"/>
      <c r="B117" s="34"/>
      <c r="C117" s="12"/>
      <c r="D117" s="12"/>
      <c r="E117" s="12"/>
      <c r="F117" s="12"/>
      <c r="G117" s="18"/>
      <c r="H117" s="35"/>
      <c r="I117" s="35"/>
      <c r="J117" s="12"/>
      <c r="O117" s="12"/>
      <c r="P117" s="18"/>
      <c r="Q117" s="12"/>
      <c r="R117" s="12"/>
      <c r="S117" s="12"/>
      <c r="T117" s="36"/>
      <c r="U117" s="36"/>
      <c r="V117" s="12"/>
      <c r="W117" s="12"/>
      <c r="X117" s="12"/>
      <c r="Y117" s="12"/>
      <c r="Z117" s="12"/>
    </row>
    <row r="118" customFormat="false" ht="15.75" hidden="false" customHeight="false" outlineLevel="0" collapsed="false">
      <c r="A118" s="12"/>
      <c r="B118" s="34"/>
      <c r="C118" s="12"/>
      <c r="D118" s="12"/>
      <c r="E118" s="12"/>
      <c r="F118" s="12"/>
      <c r="G118" s="18"/>
      <c r="H118" s="35"/>
      <c r="I118" s="35"/>
      <c r="J118" s="12"/>
      <c r="O118" s="12"/>
      <c r="P118" s="18"/>
      <c r="Q118" s="12"/>
      <c r="R118" s="12"/>
      <c r="S118" s="12"/>
      <c r="T118" s="36"/>
      <c r="U118" s="36"/>
      <c r="V118" s="12"/>
      <c r="W118" s="12"/>
      <c r="X118" s="12"/>
      <c r="Y118" s="12"/>
      <c r="Z118" s="12"/>
    </row>
    <row r="119" customFormat="false" ht="15.75" hidden="false" customHeight="false" outlineLevel="0" collapsed="false">
      <c r="A119" s="12"/>
      <c r="B119" s="34"/>
      <c r="C119" s="12"/>
      <c r="D119" s="12"/>
      <c r="E119" s="12"/>
      <c r="F119" s="12"/>
      <c r="G119" s="18"/>
      <c r="H119" s="35"/>
      <c r="I119" s="35"/>
      <c r="J119" s="12"/>
      <c r="O119" s="12"/>
      <c r="P119" s="18"/>
      <c r="Q119" s="12"/>
      <c r="R119" s="12"/>
      <c r="S119" s="12"/>
      <c r="T119" s="36"/>
      <c r="U119" s="36"/>
      <c r="V119" s="12"/>
      <c r="W119" s="12"/>
      <c r="X119" s="12"/>
      <c r="Y119" s="12"/>
      <c r="Z119" s="12"/>
    </row>
    <row r="120" customFormat="false" ht="15.75" hidden="false" customHeight="false" outlineLevel="0" collapsed="false">
      <c r="A120" s="12"/>
      <c r="B120" s="34"/>
      <c r="C120" s="12"/>
      <c r="D120" s="12"/>
      <c r="E120" s="12"/>
      <c r="F120" s="12"/>
      <c r="G120" s="18"/>
      <c r="H120" s="35"/>
      <c r="I120" s="35"/>
      <c r="J120" s="12"/>
      <c r="O120" s="12"/>
      <c r="P120" s="18"/>
      <c r="Q120" s="12"/>
      <c r="R120" s="12"/>
      <c r="S120" s="12"/>
      <c r="T120" s="36"/>
      <c r="U120" s="36"/>
      <c r="V120" s="12"/>
      <c r="W120" s="12"/>
      <c r="X120" s="12"/>
      <c r="Y120" s="12"/>
      <c r="Z120" s="12"/>
    </row>
    <row r="121" customFormat="false" ht="15.75" hidden="false" customHeight="false" outlineLevel="0" collapsed="false">
      <c r="A121" s="12"/>
      <c r="B121" s="34"/>
      <c r="C121" s="12"/>
      <c r="D121" s="12"/>
      <c r="E121" s="12"/>
      <c r="F121" s="12"/>
      <c r="G121" s="18"/>
      <c r="H121" s="35"/>
      <c r="I121" s="35"/>
      <c r="J121" s="12"/>
      <c r="O121" s="12"/>
      <c r="P121" s="18"/>
      <c r="Q121" s="12"/>
      <c r="R121" s="12"/>
      <c r="S121" s="12"/>
      <c r="T121" s="36"/>
      <c r="U121" s="36"/>
      <c r="V121" s="12"/>
      <c r="W121" s="12"/>
      <c r="X121" s="12"/>
      <c r="Y121" s="12"/>
      <c r="Z121" s="12"/>
    </row>
    <row r="122" customFormat="false" ht="15.75" hidden="false" customHeight="false" outlineLevel="0" collapsed="false">
      <c r="A122" s="12"/>
      <c r="B122" s="34"/>
      <c r="C122" s="12"/>
      <c r="D122" s="12"/>
      <c r="E122" s="12"/>
      <c r="F122" s="12"/>
      <c r="G122" s="18"/>
      <c r="H122" s="35"/>
      <c r="I122" s="35"/>
      <c r="J122" s="12"/>
      <c r="O122" s="12"/>
      <c r="P122" s="18"/>
      <c r="Q122" s="12"/>
      <c r="R122" s="12"/>
      <c r="S122" s="12"/>
      <c r="T122" s="36"/>
      <c r="U122" s="36"/>
      <c r="V122" s="12"/>
      <c r="W122" s="12"/>
      <c r="X122" s="12"/>
      <c r="Y122" s="12"/>
      <c r="Z122" s="12"/>
    </row>
    <row r="123" customFormat="false" ht="15.75" hidden="false" customHeight="false" outlineLevel="0" collapsed="false">
      <c r="A123" s="12"/>
      <c r="B123" s="34"/>
      <c r="C123" s="12"/>
      <c r="D123" s="12"/>
      <c r="E123" s="12"/>
      <c r="F123" s="12"/>
      <c r="G123" s="18"/>
      <c r="H123" s="35"/>
      <c r="I123" s="35"/>
      <c r="J123" s="12"/>
      <c r="O123" s="12"/>
      <c r="P123" s="18"/>
      <c r="Q123" s="12"/>
      <c r="R123" s="12"/>
      <c r="S123" s="12"/>
      <c r="T123" s="36"/>
      <c r="U123" s="36"/>
      <c r="V123" s="12"/>
      <c r="W123" s="12"/>
      <c r="X123" s="12"/>
      <c r="Y123" s="12"/>
      <c r="Z123" s="12"/>
    </row>
    <row r="124" customFormat="false" ht="15.75" hidden="false" customHeight="false" outlineLevel="0" collapsed="false">
      <c r="A124" s="12"/>
      <c r="B124" s="34"/>
      <c r="C124" s="12"/>
      <c r="D124" s="12"/>
      <c r="E124" s="12"/>
      <c r="F124" s="12"/>
      <c r="G124" s="18"/>
      <c r="H124" s="35"/>
      <c r="I124" s="35"/>
      <c r="J124" s="12"/>
      <c r="O124" s="12"/>
      <c r="P124" s="18"/>
      <c r="Q124" s="12"/>
      <c r="R124" s="12"/>
      <c r="S124" s="12"/>
      <c r="T124" s="36"/>
      <c r="U124" s="36"/>
      <c r="V124" s="12"/>
      <c r="W124" s="12"/>
      <c r="X124" s="12"/>
      <c r="Y124" s="12"/>
      <c r="Z124" s="12"/>
    </row>
    <row r="125" customFormat="false" ht="15.75" hidden="false" customHeight="false" outlineLevel="0" collapsed="false">
      <c r="A125" s="12"/>
      <c r="B125" s="34"/>
      <c r="C125" s="12"/>
      <c r="D125" s="12"/>
      <c r="E125" s="12"/>
      <c r="F125" s="12"/>
      <c r="G125" s="18"/>
      <c r="H125" s="35"/>
      <c r="I125" s="35"/>
      <c r="J125" s="12"/>
      <c r="O125" s="12"/>
      <c r="P125" s="18"/>
      <c r="Q125" s="12"/>
      <c r="R125" s="12"/>
      <c r="S125" s="12"/>
      <c r="T125" s="36"/>
      <c r="U125" s="36"/>
      <c r="V125" s="12"/>
      <c r="W125" s="12"/>
      <c r="X125" s="12"/>
      <c r="Y125" s="12"/>
      <c r="Z125" s="12"/>
    </row>
    <row r="126" customFormat="false" ht="15.75" hidden="false" customHeight="false" outlineLevel="0" collapsed="false">
      <c r="A126" s="12"/>
      <c r="B126" s="34"/>
      <c r="C126" s="12"/>
      <c r="D126" s="12"/>
      <c r="E126" s="12"/>
      <c r="F126" s="12"/>
      <c r="G126" s="18"/>
      <c r="H126" s="35"/>
      <c r="I126" s="35"/>
      <c r="J126" s="12"/>
      <c r="O126" s="12"/>
      <c r="P126" s="18"/>
      <c r="Q126" s="12"/>
      <c r="R126" s="12"/>
      <c r="S126" s="12"/>
      <c r="T126" s="36"/>
      <c r="U126" s="36"/>
      <c r="V126" s="12"/>
      <c r="W126" s="12"/>
      <c r="X126" s="12"/>
      <c r="Y126" s="12"/>
      <c r="Z126" s="12"/>
    </row>
    <row r="127" customFormat="false" ht="15.75" hidden="false" customHeight="false" outlineLevel="0" collapsed="false">
      <c r="A127" s="12"/>
      <c r="B127" s="34"/>
      <c r="C127" s="12"/>
      <c r="D127" s="12"/>
      <c r="E127" s="12"/>
      <c r="F127" s="12"/>
      <c r="G127" s="18"/>
      <c r="H127" s="35"/>
      <c r="I127" s="35"/>
      <c r="J127" s="12"/>
      <c r="O127" s="12"/>
      <c r="P127" s="18"/>
      <c r="Q127" s="12"/>
      <c r="R127" s="12"/>
      <c r="S127" s="12"/>
      <c r="T127" s="36"/>
      <c r="U127" s="36"/>
      <c r="V127" s="12"/>
      <c r="W127" s="12"/>
      <c r="X127" s="12"/>
      <c r="Y127" s="12"/>
      <c r="Z127" s="12"/>
    </row>
    <row r="128" customFormat="false" ht="15.75" hidden="false" customHeight="false" outlineLevel="0" collapsed="false">
      <c r="A128" s="12"/>
      <c r="B128" s="34"/>
      <c r="C128" s="12"/>
      <c r="D128" s="12"/>
      <c r="E128" s="12"/>
      <c r="F128" s="12"/>
      <c r="G128" s="18"/>
      <c r="H128" s="35"/>
      <c r="I128" s="35"/>
      <c r="J128" s="12"/>
      <c r="O128" s="12"/>
      <c r="P128" s="18"/>
      <c r="Q128" s="12"/>
      <c r="R128" s="12"/>
      <c r="S128" s="12"/>
      <c r="T128" s="36"/>
      <c r="U128" s="36"/>
      <c r="V128" s="12"/>
      <c r="W128" s="12"/>
      <c r="X128" s="12"/>
      <c r="Y128" s="12"/>
      <c r="Z128" s="12"/>
    </row>
    <row r="129" customFormat="false" ht="15.75" hidden="false" customHeight="false" outlineLevel="0" collapsed="false">
      <c r="A129" s="12"/>
      <c r="B129" s="34"/>
      <c r="C129" s="12"/>
      <c r="D129" s="12"/>
      <c r="E129" s="12"/>
      <c r="F129" s="12"/>
      <c r="G129" s="18"/>
      <c r="H129" s="35"/>
      <c r="I129" s="35"/>
      <c r="J129" s="12"/>
      <c r="O129" s="12"/>
      <c r="P129" s="18"/>
      <c r="Q129" s="12"/>
      <c r="R129" s="12"/>
      <c r="S129" s="12"/>
      <c r="T129" s="36"/>
      <c r="U129" s="36"/>
      <c r="V129" s="12"/>
      <c r="W129" s="12"/>
      <c r="X129" s="12"/>
      <c r="Y129" s="12"/>
      <c r="Z129" s="12"/>
    </row>
    <row r="130" customFormat="false" ht="15.75" hidden="false" customHeight="false" outlineLevel="0" collapsed="false">
      <c r="A130" s="12"/>
      <c r="B130" s="34"/>
      <c r="C130" s="12"/>
      <c r="D130" s="12"/>
      <c r="E130" s="12"/>
      <c r="F130" s="12"/>
      <c r="G130" s="18"/>
      <c r="H130" s="35"/>
      <c r="I130" s="35"/>
      <c r="J130" s="12"/>
      <c r="O130" s="12"/>
      <c r="P130" s="18"/>
      <c r="Q130" s="12"/>
      <c r="R130" s="12"/>
      <c r="S130" s="12"/>
      <c r="T130" s="36"/>
      <c r="U130" s="36"/>
      <c r="V130" s="12"/>
      <c r="W130" s="12"/>
      <c r="X130" s="12"/>
      <c r="Y130" s="12"/>
      <c r="Z130" s="12"/>
    </row>
    <row r="131" customFormat="false" ht="15.75" hidden="false" customHeight="false" outlineLevel="0" collapsed="false">
      <c r="A131" s="12"/>
      <c r="B131" s="34"/>
      <c r="C131" s="12"/>
      <c r="D131" s="12"/>
      <c r="E131" s="12"/>
      <c r="F131" s="12"/>
      <c r="G131" s="18"/>
      <c r="H131" s="35"/>
      <c r="I131" s="35"/>
      <c r="J131" s="12"/>
      <c r="O131" s="12"/>
      <c r="P131" s="18"/>
      <c r="Q131" s="12"/>
      <c r="R131" s="12"/>
      <c r="S131" s="12"/>
      <c r="T131" s="36"/>
      <c r="U131" s="36"/>
      <c r="V131" s="12"/>
      <c r="W131" s="12"/>
      <c r="X131" s="12"/>
      <c r="Y131" s="12"/>
      <c r="Z131" s="12"/>
    </row>
    <row r="132" customFormat="false" ht="15.75" hidden="false" customHeight="false" outlineLevel="0" collapsed="false">
      <c r="A132" s="12"/>
      <c r="B132" s="34"/>
      <c r="C132" s="12"/>
      <c r="D132" s="12"/>
      <c r="E132" s="12"/>
      <c r="F132" s="12"/>
      <c r="G132" s="18"/>
      <c r="H132" s="35"/>
      <c r="I132" s="35"/>
      <c r="J132" s="12"/>
      <c r="O132" s="12"/>
      <c r="P132" s="18"/>
      <c r="Q132" s="12"/>
      <c r="R132" s="12"/>
      <c r="S132" s="12"/>
      <c r="T132" s="36"/>
      <c r="U132" s="36"/>
      <c r="V132" s="12"/>
      <c r="W132" s="12"/>
      <c r="X132" s="12"/>
      <c r="Y132" s="12"/>
      <c r="Z132" s="12"/>
    </row>
    <row r="133" customFormat="false" ht="15.75" hidden="false" customHeight="false" outlineLevel="0" collapsed="false">
      <c r="A133" s="12"/>
      <c r="B133" s="34"/>
      <c r="C133" s="12"/>
      <c r="D133" s="12"/>
      <c r="E133" s="12"/>
      <c r="F133" s="12"/>
      <c r="G133" s="18"/>
      <c r="H133" s="35"/>
      <c r="I133" s="35"/>
      <c r="J133" s="12"/>
      <c r="O133" s="12"/>
      <c r="P133" s="18"/>
      <c r="Q133" s="12"/>
      <c r="R133" s="12"/>
      <c r="S133" s="12"/>
      <c r="T133" s="36"/>
      <c r="U133" s="36"/>
      <c r="V133" s="12"/>
      <c r="W133" s="12"/>
      <c r="X133" s="12"/>
      <c r="Y133" s="12"/>
      <c r="Z133" s="12"/>
    </row>
    <row r="134" customFormat="false" ht="15.75" hidden="false" customHeight="false" outlineLevel="0" collapsed="false">
      <c r="A134" s="12"/>
      <c r="B134" s="34"/>
      <c r="C134" s="12"/>
      <c r="D134" s="12"/>
      <c r="E134" s="12"/>
      <c r="F134" s="12"/>
      <c r="G134" s="18"/>
      <c r="H134" s="35"/>
      <c r="I134" s="35"/>
      <c r="J134" s="12"/>
      <c r="O134" s="12"/>
      <c r="P134" s="18"/>
      <c r="Q134" s="12"/>
      <c r="R134" s="12"/>
      <c r="S134" s="12"/>
      <c r="T134" s="36"/>
      <c r="U134" s="36"/>
      <c r="V134" s="12"/>
      <c r="W134" s="12"/>
      <c r="X134" s="12"/>
      <c r="Y134" s="12"/>
      <c r="Z134" s="12"/>
    </row>
    <row r="135" customFormat="false" ht="15.75" hidden="false" customHeight="false" outlineLevel="0" collapsed="false">
      <c r="A135" s="12"/>
      <c r="B135" s="34"/>
      <c r="C135" s="12"/>
      <c r="D135" s="12"/>
      <c r="E135" s="12"/>
      <c r="F135" s="12"/>
      <c r="G135" s="18"/>
      <c r="H135" s="35"/>
      <c r="I135" s="35"/>
      <c r="J135" s="12"/>
      <c r="O135" s="12"/>
      <c r="P135" s="18"/>
      <c r="Q135" s="12"/>
      <c r="R135" s="12"/>
      <c r="S135" s="12"/>
      <c r="T135" s="36"/>
      <c r="U135" s="36"/>
      <c r="V135" s="12"/>
      <c r="W135" s="12"/>
      <c r="X135" s="12"/>
      <c r="Y135" s="12"/>
      <c r="Z135" s="12"/>
    </row>
    <row r="136" customFormat="false" ht="15.75" hidden="false" customHeight="false" outlineLevel="0" collapsed="false">
      <c r="A136" s="12"/>
      <c r="B136" s="34"/>
      <c r="C136" s="12"/>
      <c r="D136" s="12"/>
      <c r="E136" s="12"/>
      <c r="F136" s="12"/>
      <c r="G136" s="18"/>
      <c r="H136" s="35"/>
      <c r="I136" s="35"/>
      <c r="J136" s="12"/>
      <c r="O136" s="12"/>
      <c r="P136" s="18"/>
      <c r="Q136" s="12"/>
      <c r="R136" s="12"/>
      <c r="S136" s="12"/>
      <c r="T136" s="36"/>
      <c r="U136" s="36"/>
      <c r="V136" s="12"/>
      <c r="W136" s="12"/>
      <c r="X136" s="12"/>
      <c r="Y136" s="12"/>
      <c r="Z136" s="12"/>
    </row>
    <row r="137" customFormat="false" ht="15.75" hidden="false" customHeight="false" outlineLevel="0" collapsed="false">
      <c r="A137" s="12"/>
      <c r="B137" s="34"/>
      <c r="C137" s="12"/>
      <c r="D137" s="12"/>
      <c r="E137" s="12"/>
      <c r="F137" s="12"/>
      <c r="G137" s="18"/>
      <c r="H137" s="35"/>
      <c r="I137" s="35"/>
      <c r="J137" s="12"/>
      <c r="O137" s="12"/>
      <c r="P137" s="18"/>
      <c r="Q137" s="12"/>
      <c r="R137" s="12"/>
      <c r="S137" s="12"/>
      <c r="T137" s="36"/>
      <c r="U137" s="36"/>
      <c r="V137" s="12"/>
      <c r="W137" s="12"/>
      <c r="X137" s="12"/>
      <c r="Y137" s="12"/>
      <c r="Z137" s="12"/>
    </row>
    <row r="138" customFormat="false" ht="15.75" hidden="false" customHeight="false" outlineLevel="0" collapsed="false">
      <c r="A138" s="12"/>
      <c r="B138" s="34"/>
      <c r="C138" s="12"/>
      <c r="D138" s="12"/>
      <c r="E138" s="12"/>
      <c r="F138" s="12"/>
      <c r="G138" s="18"/>
      <c r="H138" s="35"/>
      <c r="I138" s="35"/>
      <c r="J138" s="12"/>
      <c r="O138" s="12"/>
      <c r="P138" s="18"/>
      <c r="Q138" s="12"/>
      <c r="R138" s="12"/>
      <c r="S138" s="12"/>
      <c r="T138" s="36"/>
      <c r="U138" s="36"/>
      <c r="V138" s="12"/>
      <c r="W138" s="12"/>
      <c r="X138" s="12"/>
      <c r="Y138" s="12"/>
      <c r="Z138" s="12"/>
    </row>
    <row r="139" customFormat="false" ht="15.75" hidden="false" customHeight="false" outlineLevel="0" collapsed="false">
      <c r="A139" s="12"/>
      <c r="B139" s="34"/>
      <c r="C139" s="12"/>
      <c r="D139" s="12"/>
      <c r="E139" s="12"/>
      <c r="F139" s="12"/>
      <c r="G139" s="18"/>
      <c r="H139" s="35"/>
      <c r="I139" s="35"/>
      <c r="J139" s="12"/>
      <c r="O139" s="12"/>
      <c r="P139" s="18"/>
      <c r="Q139" s="12"/>
      <c r="R139" s="12"/>
      <c r="S139" s="12"/>
      <c r="T139" s="36"/>
      <c r="U139" s="36"/>
      <c r="V139" s="12"/>
      <c r="W139" s="12"/>
      <c r="X139" s="12"/>
      <c r="Y139" s="12"/>
      <c r="Z139" s="12"/>
    </row>
    <row r="140" customFormat="false" ht="15.75" hidden="false" customHeight="false" outlineLevel="0" collapsed="false">
      <c r="A140" s="12"/>
      <c r="B140" s="34"/>
      <c r="C140" s="12"/>
      <c r="D140" s="12"/>
      <c r="E140" s="12"/>
      <c r="F140" s="12"/>
      <c r="G140" s="18"/>
      <c r="H140" s="35"/>
      <c r="I140" s="35"/>
      <c r="J140" s="12"/>
      <c r="O140" s="12"/>
      <c r="P140" s="18"/>
      <c r="Q140" s="12"/>
      <c r="R140" s="12"/>
      <c r="S140" s="12"/>
      <c r="T140" s="36"/>
      <c r="U140" s="36"/>
      <c r="V140" s="12"/>
      <c r="W140" s="12"/>
      <c r="X140" s="12"/>
      <c r="Y140" s="12"/>
      <c r="Z140" s="12"/>
    </row>
    <row r="141" customFormat="false" ht="15.75" hidden="false" customHeight="false" outlineLevel="0" collapsed="false">
      <c r="A141" s="12"/>
      <c r="B141" s="34"/>
      <c r="C141" s="12"/>
      <c r="D141" s="12"/>
      <c r="E141" s="12"/>
      <c r="F141" s="12"/>
      <c r="G141" s="18"/>
      <c r="H141" s="35"/>
      <c r="I141" s="35"/>
      <c r="J141" s="12"/>
      <c r="O141" s="12"/>
      <c r="P141" s="18"/>
      <c r="Q141" s="12"/>
      <c r="R141" s="12"/>
      <c r="S141" s="12"/>
      <c r="T141" s="36"/>
      <c r="U141" s="36"/>
      <c r="V141" s="12"/>
      <c r="W141" s="12"/>
      <c r="X141" s="12"/>
      <c r="Y141" s="12"/>
      <c r="Z141" s="12"/>
    </row>
    <row r="142" customFormat="false" ht="15.75" hidden="false" customHeight="false" outlineLevel="0" collapsed="false">
      <c r="A142" s="12"/>
      <c r="B142" s="34"/>
      <c r="C142" s="12"/>
      <c r="D142" s="12"/>
      <c r="E142" s="12"/>
      <c r="F142" s="12"/>
      <c r="G142" s="18"/>
      <c r="H142" s="35"/>
      <c r="I142" s="35"/>
      <c r="J142" s="12"/>
      <c r="O142" s="12"/>
      <c r="P142" s="18"/>
      <c r="Q142" s="12"/>
      <c r="R142" s="12"/>
      <c r="S142" s="12"/>
      <c r="T142" s="36"/>
      <c r="U142" s="36"/>
      <c r="V142" s="12"/>
      <c r="W142" s="12"/>
      <c r="X142" s="12"/>
      <c r="Y142" s="12"/>
      <c r="Z142" s="12"/>
    </row>
    <row r="143" customFormat="false" ht="15.75" hidden="false" customHeight="false" outlineLevel="0" collapsed="false">
      <c r="A143" s="12"/>
      <c r="B143" s="34"/>
      <c r="C143" s="12"/>
      <c r="D143" s="12"/>
      <c r="E143" s="12"/>
      <c r="F143" s="12"/>
      <c r="G143" s="18"/>
      <c r="H143" s="35"/>
      <c r="I143" s="35"/>
      <c r="J143" s="12"/>
      <c r="O143" s="12"/>
      <c r="P143" s="18"/>
      <c r="Q143" s="12"/>
      <c r="R143" s="12"/>
      <c r="S143" s="12"/>
      <c r="T143" s="36"/>
      <c r="U143" s="36"/>
      <c r="V143" s="12"/>
      <c r="W143" s="12"/>
      <c r="X143" s="12"/>
      <c r="Y143" s="12"/>
      <c r="Z143" s="12"/>
    </row>
    <row r="144" customFormat="false" ht="15.75" hidden="false" customHeight="false" outlineLevel="0" collapsed="false">
      <c r="A144" s="12"/>
      <c r="B144" s="34"/>
      <c r="C144" s="12"/>
      <c r="D144" s="12"/>
      <c r="E144" s="12"/>
      <c r="F144" s="12"/>
      <c r="G144" s="18"/>
      <c r="H144" s="35"/>
      <c r="I144" s="35"/>
      <c r="J144" s="12"/>
      <c r="O144" s="12"/>
      <c r="P144" s="18"/>
      <c r="Q144" s="12"/>
      <c r="R144" s="12"/>
      <c r="S144" s="12"/>
      <c r="T144" s="36"/>
      <c r="U144" s="36"/>
      <c r="V144" s="12"/>
      <c r="W144" s="12"/>
      <c r="X144" s="12"/>
      <c r="Y144" s="12"/>
      <c r="Z144" s="12"/>
    </row>
    <row r="145" customFormat="false" ht="15.75" hidden="false" customHeight="false" outlineLevel="0" collapsed="false">
      <c r="A145" s="12"/>
      <c r="B145" s="34"/>
      <c r="C145" s="12"/>
      <c r="D145" s="12"/>
      <c r="E145" s="12"/>
      <c r="F145" s="12"/>
      <c r="G145" s="18"/>
      <c r="H145" s="35"/>
      <c r="I145" s="35"/>
      <c r="J145" s="12"/>
      <c r="O145" s="12"/>
      <c r="P145" s="18"/>
      <c r="Q145" s="12"/>
      <c r="R145" s="12"/>
      <c r="S145" s="12"/>
      <c r="T145" s="36"/>
      <c r="U145" s="36"/>
      <c r="V145" s="12"/>
      <c r="W145" s="12"/>
      <c r="X145" s="12"/>
      <c r="Y145" s="12"/>
      <c r="Z145" s="12"/>
    </row>
    <row r="146" customFormat="false" ht="15.75" hidden="false" customHeight="false" outlineLevel="0" collapsed="false">
      <c r="A146" s="12"/>
      <c r="B146" s="34"/>
      <c r="C146" s="12"/>
      <c r="D146" s="12"/>
      <c r="E146" s="12"/>
      <c r="F146" s="12"/>
      <c r="G146" s="18"/>
      <c r="H146" s="35"/>
      <c r="I146" s="35"/>
      <c r="J146" s="12"/>
      <c r="O146" s="12"/>
      <c r="P146" s="18"/>
      <c r="Q146" s="12"/>
      <c r="R146" s="12"/>
      <c r="S146" s="12"/>
      <c r="T146" s="36"/>
      <c r="U146" s="36"/>
      <c r="V146" s="12"/>
      <c r="W146" s="12"/>
      <c r="X146" s="12"/>
      <c r="Y146" s="12"/>
      <c r="Z146" s="12"/>
    </row>
    <row r="147" customFormat="false" ht="15.75" hidden="false" customHeight="false" outlineLevel="0" collapsed="false">
      <c r="A147" s="12"/>
      <c r="B147" s="34"/>
      <c r="C147" s="12"/>
      <c r="D147" s="12"/>
      <c r="E147" s="12"/>
      <c r="F147" s="12"/>
      <c r="G147" s="18"/>
      <c r="H147" s="35"/>
      <c r="I147" s="35"/>
      <c r="J147" s="12"/>
      <c r="O147" s="12"/>
      <c r="P147" s="18"/>
      <c r="Q147" s="12"/>
      <c r="R147" s="12"/>
      <c r="S147" s="12"/>
      <c r="T147" s="36"/>
      <c r="U147" s="36"/>
      <c r="V147" s="12"/>
      <c r="W147" s="12"/>
      <c r="X147" s="12"/>
      <c r="Y147" s="12"/>
      <c r="Z147" s="12"/>
    </row>
    <row r="148" customFormat="false" ht="15.75" hidden="false" customHeight="false" outlineLevel="0" collapsed="false">
      <c r="A148" s="12"/>
      <c r="B148" s="34"/>
      <c r="C148" s="12"/>
      <c r="D148" s="12"/>
      <c r="E148" s="12"/>
      <c r="F148" s="12"/>
      <c r="G148" s="18"/>
      <c r="H148" s="35"/>
      <c r="I148" s="35"/>
      <c r="J148" s="12"/>
      <c r="O148" s="12"/>
      <c r="P148" s="18"/>
      <c r="Q148" s="12"/>
      <c r="R148" s="12"/>
      <c r="S148" s="12"/>
      <c r="T148" s="36"/>
      <c r="U148" s="36"/>
      <c r="V148" s="12"/>
      <c r="W148" s="12"/>
      <c r="X148" s="12"/>
      <c r="Y148" s="12"/>
      <c r="Z148" s="12"/>
    </row>
    <row r="149" customFormat="false" ht="15.75" hidden="false" customHeight="false" outlineLevel="0" collapsed="false">
      <c r="A149" s="12"/>
      <c r="B149" s="34"/>
      <c r="C149" s="12"/>
      <c r="D149" s="12"/>
      <c r="E149" s="12"/>
      <c r="F149" s="12"/>
      <c r="G149" s="18"/>
      <c r="H149" s="35"/>
      <c r="I149" s="35"/>
      <c r="J149" s="12"/>
      <c r="O149" s="12"/>
      <c r="P149" s="18"/>
      <c r="Q149" s="12"/>
      <c r="R149" s="12"/>
      <c r="S149" s="12"/>
      <c r="T149" s="36"/>
      <c r="U149" s="36"/>
      <c r="V149" s="12"/>
      <c r="W149" s="12"/>
      <c r="X149" s="12"/>
      <c r="Y149" s="12"/>
      <c r="Z149" s="12"/>
    </row>
    <row r="150" customFormat="false" ht="15.75" hidden="false" customHeight="false" outlineLevel="0" collapsed="false">
      <c r="A150" s="12"/>
      <c r="B150" s="34"/>
      <c r="C150" s="12"/>
      <c r="D150" s="12"/>
      <c r="E150" s="12"/>
      <c r="F150" s="12"/>
      <c r="G150" s="18"/>
      <c r="H150" s="35"/>
      <c r="I150" s="35"/>
      <c r="J150" s="12"/>
      <c r="O150" s="12"/>
      <c r="P150" s="18"/>
      <c r="Q150" s="12"/>
      <c r="R150" s="12"/>
      <c r="S150" s="12"/>
      <c r="T150" s="36"/>
      <c r="U150" s="36"/>
      <c r="V150" s="12"/>
      <c r="W150" s="12"/>
      <c r="X150" s="12"/>
      <c r="Y150" s="12"/>
      <c r="Z150" s="12"/>
    </row>
    <row r="151" customFormat="false" ht="15.75" hidden="false" customHeight="false" outlineLevel="0" collapsed="false">
      <c r="A151" s="12"/>
      <c r="B151" s="34"/>
      <c r="C151" s="12"/>
      <c r="D151" s="12"/>
      <c r="E151" s="12"/>
      <c r="F151" s="12"/>
      <c r="G151" s="18"/>
      <c r="H151" s="35"/>
      <c r="I151" s="35"/>
      <c r="J151" s="12"/>
      <c r="O151" s="12"/>
      <c r="P151" s="18"/>
      <c r="Q151" s="12"/>
      <c r="R151" s="12"/>
      <c r="S151" s="12"/>
      <c r="T151" s="36"/>
      <c r="U151" s="36"/>
      <c r="V151" s="12"/>
      <c r="W151" s="12"/>
      <c r="X151" s="12"/>
      <c r="Y151" s="12"/>
      <c r="Z151" s="12"/>
    </row>
    <row r="152" customFormat="false" ht="15.75" hidden="false" customHeight="false" outlineLevel="0" collapsed="false">
      <c r="A152" s="12"/>
      <c r="B152" s="34"/>
      <c r="C152" s="12"/>
      <c r="D152" s="12"/>
      <c r="E152" s="12"/>
      <c r="F152" s="12"/>
      <c r="G152" s="18"/>
      <c r="H152" s="35"/>
      <c r="I152" s="35"/>
      <c r="J152" s="12"/>
      <c r="O152" s="12"/>
      <c r="P152" s="18"/>
      <c r="Q152" s="12"/>
      <c r="R152" s="12"/>
      <c r="S152" s="12"/>
      <c r="T152" s="36"/>
      <c r="U152" s="36"/>
      <c r="V152" s="12"/>
      <c r="W152" s="12"/>
      <c r="X152" s="12"/>
      <c r="Y152" s="12"/>
      <c r="Z152" s="12"/>
    </row>
    <row r="153" customFormat="false" ht="15.75" hidden="false" customHeight="false" outlineLevel="0" collapsed="false">
      <c r="A153" s="12"/>
      <c r="B153" s="34"/>
      <c r="C153" s="12"/>
      <c r="D153" s="12"/>
      <c r="E153" s="12"/>
      <c r="F153" s="12"/>
      <c r="G153" s="18"/>
      <c r="H153" s="35"/>
      <c r="I153" s="35"/>
      <c r="J153" s="12"/>
      <c r="O153" s="12"/>
      <c r="P153" s="18"/>
      <c r="Q153" s="12"/>
      <c r="R153" s="12"/>
      <c r="S153" s="12"/>
      <c r="T153" s="36"/>
      <c r="U153" s="36"/>
      <c r="V153" s="12"/>
      <c r="W153" s="12"/>
      <c r="X153" s="12"/>
      <c r="Y153" s="12"/>
      <c r="Z153" s="12"/>
    </row>
    <row r="154" customFormat="false" ht="15.75" hidden="false" customHeight="false" outlineLevel="0" collapsed="false">
      <c r="A154" s="12"/>
      <c r="B154" s="34"/>
      <c r="C154" s="12"/>
      <c r="D154" s="12"/>
      <c r="E154" s="12"/>
      <c r="F154" s="12"/>
      <c r="G154" s="18"/>
      <c r="H154" s="35"/>
      <c r="I154" s="35"/>
      <c r="J154" s="12"/>
      <c r="O154" s="12"/>
      <c r="P154" s="18"/>
      <c r="Q154" s="12"/>
      <c r="R154" s="12"/>
      <c r="S154" s="12"/>
      <c r="T154" s="36"/>
      <c r="U154" s="36"/>
      <c r="V154" s="12"/>
      <c r="W154" s="12"/>
      <c r="X154" s="12"/>
      <c r="Y154" s="12"/>
      <c r="Z154" s="12"/>
    </row>
    <row r="155" customFormat="false" ht="15.75" hidden="false" customHeight="false" outlineLevel="0" collapsed="false">
      <c r="A155" s="12"/>
      <c r="B155" s="34"/>
      <c r="C155" s="12"/>
      <c r="D155" s="12"/>
      <c r="E155" s="12"/>
      <c r="F155" s="12"/>
      <c r="G155" s="18"/>
      <c r="H155" s="35"/>
      <c r="I155" s="35"/>
      <c r="J155" s="12"/>
      <c r="O155" s="12"/>
      <c r="P155" s="18"/>
      <c r="Q155" s="12"/>
      <c r="R155" s="12"/>
      <c r="S155" s="12"/>
      <c r="T155" s="36"/>
      <c r="U155" s="36"/>
      <c r="V155" s="12"/>
      <c r="W155" s="12"/>
      <c r="X155" s="12"/>
      <c r="Y155" s="12"/>
      <c r="Z155" s="12"/>
    </row>
    <row r="156" customFormat="false" ht="15.75" hidden="false" customHeight="false" outlineLevel="0" collapsed="false">
      <c r="A156" s="12"/>
      <c r="B156" s="34"/>
      <c r="C156" s="12"/>
      <c r="D156" s="12"/>
      <c r="E156" s="12"/>
      <c r="F156" s="12"/>
      <c r="G156" s="18"/>
      <c r="H156" s="35"/>
      <c r="I156" s="35"/>
      <c r="J156" s="12"/>
      <c r="O156" s="12"/>
      <c r="P156" s="18"/>
      <c r="Q156" s="12"/>
      <c r="R156" s="12"/>
      <c r="S156" s="12"/>
      <c r="T156" s="36"/>
      <c r="U156" s="36"/>
      <c r="V156" s="12"/>
      <c r="W156" s="12"/>
      <c r="X156" s="12"/>
      <c r="Y156" s="12"/>
      <c r="Z156" s="12"/>
    </row>
    <row r="157" customFormat="false" ht="15.75" hidden="false" customHeight="false" outlineLevel="0" collapsed="false">
      <c r="A157" s="12"/>
      <c r="B157" s="34"/>
      <c r="C157" s="12"/>
      <c r="D157" s="12"/>
      <c r="E157" s="12"/>
      <c r="F157" s="12"/>
      <c r="G157" s="18"/>
      <c r="H157" s="35"/>
      <c r="I157" s="35"/>
      <c r="J157" s="12"/>
      <c r="O157" s="12"/>
      <c r="P157" s="18"/>
      <c r="Q157" s="12"/>
      <c r="R157" s="12"/>
      <c r="S157" s="12"/>
      <c r="T157" s="36"/>
      <c r="U157" s="36"/>
      <c r="V157" s="12"/>
      <c r="W157" s="12"/>
      <c r="X157" s="12"/>
      <c r="Y157" s="12"/>
      <c r="Z157" s="12"/>
    </row>
    <row r="158" customFormat="false" ht="15.75" hidden="false" customHeight="false" outlineLevel="0" collapsed="false">
      <c r="A158" s="12"/>
      <c r="B158" s="34"/>
      <c r="C158" s="12"/>
      <c r="D158" s="12"/>
      <c r="E158" s="12"/>
      <c r="F158" s="12"/>
      <c r="G158" s="18"/>
      <c r="H158" s="35"/>
      <c r="I158" s="35"/>
      <c r="J158" s="12"/>
      <c r="O158" s="12"/>
      <c r="P158" s="18"/>
      <c r="Q158" s="12"/>
      <c r="R158" s="12"/>
      <c r="S158" s="12"/>
      <c r="T158" s="36"/>
      <c r="U158" s="36"/>
      <c r="V158" s="12"/>
      <c r="W158" s="12"/>
      <c r="X158" s="12"/>
      <c r="Y158" s="12"/>
      <c r="Z158" s="12"/>
    </row>
    <row r="159" customFormat="false" ht="15.75" hidden="false" customHeight="false" outlineLevel="0" collapsed="false">
      <c r="A159" s="12"/>
      <c r="B159" s="34"/>
      <c r="C159" s="12"/>
      <c r="D159" s="12"/>
      <c r="E159" s="12"/>
      <c r="F159" s="12"/>
      <c r="G159" s="18"/>
      <c r="H159" s="35"/>
      <c r="I159" s="35"/>
      <c r="J159" s="12"/>
      <c r="O159" s="12"/>
      <c r="P159" s="18"/>
      <c r="Q159" s="12"/>
      <c r="R159" s="12"/>
      <c r="S159" s="12"/>
      <c r="T159" s="36"/>
      <c r="U159" s="36"/>
      <c r="V159" s="12"/>
      <c r="W159" s="12"/>
      <c r="X159" s="12"/>
      <c r="Y159" s="12"/>
      <c r="Z159" s="12"/>
    </row>
    <row r="160" customFormat="false" ht="15.75" hidden="false" customHeight="false" outlineLevel="0" collapsed="false">
      <c r="A160" s="12"/>
      <c r="B160" s="34"/>
      <c r="C160" s="12"/>
      <c r="D160" s="12"/>
      <c r="E160" s="12"/>
      <c r="F160" s="12"/>
      <c r="G160" s="18"/>
      <c r="H160" s="35"/>
      <c r="I160" s="35"/>
      <c r="J160" s="12"/>
      <c r="O160" s="12"/>
      <c r="P160" s="18"/>
      <c r="Q160" s="12"/>
      <c r="R160" s="12"/>
      <c r="S160" s="12"/>
      <c r="T160" s="36"/>
      <c r="U160" s="36"/>
      <c r="V160" s="12"/>
      <c r="W160" s="12"/>
      <c r="X160" s="12"/>
      <c r="Y160" s="12"/>
      <c r="Z160" s="12"/>
    </row>
    <row r="161" customFormat="false" ht="15.75" hidden="false" customHeight="false" outlineLevel="0" collapsed="false">
      <c r="A161" s="12"/>
      <c r="B161" s="34"/>
      <c r="C161" s="12"/>
      <c r="D161" s="12"/>
      <c r="E161" s="12"/>
      <c r="F161" s="12"/>
      <c r="G161" s="18"/>
      <c r="H161" s="35"/>
      <c r="I161" s="35"/>
      <c r="J161" s="12"/>
      <c r="O161" s="12"/>
      <c r="P161" s="18"/>
      <c r="Q161" s="12"/>
      <c r="R161" s="12"/>
      <c r="S161" s="12"/>
      <c r="T161" s="36"/>
      <c r="U161" s="36"/>
      <c r="V161" s="12"/>
      <c r="W161" s="12"/>
      <c r="X161" s="12"/>
      <c r="Y161" s="12"/>
      <c r="Z161" s="12"/>
    </row>
    <row r="162" customFormat="false" ht="15.75" hidden="false" customHeight="false" outlineLevel="0" collapsed="false">
      <c r="A162" s="12"/>
      <c r="B162" s="34"/>
      <c r="C162" s="12"/>
      <c r="D162" s="12"/>
      <c r="E162" s="12"/>
      <c r="F162" s="12"/>
      <c r="G162" s="18"/>
      <c r="H162" s="35"/>
      <c r="I162" s="35"/>
      <c r="J162" s="12"/>
      <c r="O162" s="12"/>
      <c r="P162" s="18"/>
      <c r="Q162" s="12"/>
      <c r="R162" s="12"/>
      <c r="S162" s="12"/>
      <c r="T162" s="36"/>
      <c r="U162" s="36"/>
      <c r="V162" s="12"/>
      <c r="W162" s="12"/>
      <c r="X162" s="12"/>
      <c r="Y162" s="12"/>
      <c r="Z162" s="12"/>
    </row>
    <row r="163" customFormat="false" ht="15.75" hidden="false" customHeight="false" outlineLevel="0" collapsed="false">
      <c r="A163" s="12"/>
      <c r="B163" s="34"/>
      <c r="C163" s="12"/>
      <c r="D163" s="12"/>
      <c r="E163" s="12"/>
      <c r="F163" s="12"/>
      <c r="G163" s="18"/>
      <c r="H163" s="35"/>
      <c r="I163" s="35"/>
      <c r="J163" s="12"/>
      <c r="O163" s="12"/>
      <c r="P163" s="18"/>
      <c r="Q163" s="12"/>
      <c r="R163" s="12"/>
      <c r="S163" s="12"/>
      <c r="T163" s="36"/>
      <c r="U163" s="36"/>
      <c r="V163" s="12"/>
      <c r="W163" s="12"/>
      <c r="X163" s="12"/>
      <c r="Y163" s="12"/>
      <c r="Z163" s="12"/>
    </row>
    <row r="164" customFormat="false" ht="15.75" hidden="false" customHeight="false" outlineLevel="0" collapsed="false">
      <c r="A164" s="12"/>
      <c r="B164" s="34"/>
      <c r="C164" s="12"/>
      <c r="D164" s="12"/>
      <c r="E164" s="12"/>
      <c r="F164" s="12"/>
      <c r="G164" s="18"/>
      <c r="H164" s="35"/>
      <c r="I164" s="35"/>
      <c r="J164" s="12"/>
      <c r="O164" s="12"/>
      <c r="P164" s="18"/>
      <c r="Q164" s="12"/>
      <c r="R164" s="12"/>
      <c r="S164" s="12"/>
      <c r="T164" s="36"/>
      <c r="U164" s="36"/>
      <c r="V164" s="12"/>
      <c r="W164" s="12"/>
      <c r="X164" s="12"/>
      <c r="Y164" s="12"/>
      <c r="Z164" s="12"/>
    </row>
    <row r="165" customFormat="false" ht="15.75" hidden="false" customHeight="false" outlineLevel="0" collapsed="false">
      <c r="A165" s="12"/>
      <c r="B165" s="34"/>
      <c r="C165" s="12"/>
      <c r="D165" s="12"/>
      <c r="E165" s="12"/>
      <c r="F165" s="12"/>
      <c r="G165" s="18"/>
      <c r="H165" s="35"/>
      <c r="I165" s="35"/>
      <c r="J165" s="12"/>
      <c r="O165" s="12"/>
      <c r="P165" s="18"/>
      <c r="Q165" s="12"/>
      <c r="R165" s="12"/>
      <c r="S165" s="12"/>
      <c r="T165" s="36"/>
      <c r="U165" s="36"/>
      <c r="V165" s="12"/>
      <c r="W165" s="12"/>
      <c r="X165" s="12"/>
      <c r="Y165" s="12"/>
      <c r="Z165" s="12"/>
    </row>
    <row r="166" customFormat="false" ht="15.75" hidden="false" customHeight="false" outlineLevel="0" collapsed="false">
      <c r="A166" s="12"/>
      <c r="B166" s="34"/>
      <c r="C166" s="12"/>
      <c r="D166" s="12"/>
      <c r="E166" s="12"/>
      <c r="F166" s="12"/>
      <c r="G166" s="18"/>
      <c r="H166" s="35"/>
      <c r="I166" s="35"/>
      <c r="J166" s="12"/>
      <c r="O166" s="12"/>
      <c r="P166" s="18"/>
      <c r="Q166" s="12"/>
      <c r="R166" s="12"/>
      <c r="S166" s="12"/>
      <c r="T166" s="36"/>
      <c r="U166" s="36"/>
      <c r="V166" s="12"/>
      <c r="W166" s="12"/>
      <c r="X166" s="12"/>
      <c r="Y166" s="12"/>
      <c r="Z166" s="12"/>
    </row>
    <row r="167" customFormat="false" ht="15.75" hidden="false" customHeight="false" outlineLevel="0" collapsed="false">
      <c r="A167" s="12"/>
      <c r="B167" s="34"/>
      <c r="C167" s="12"/>
      <c r="D167" s="12"/>
      <c r="E167" s="12"/>
      <c r="F167" s="12"/>
      <c r="G167" s="18"/>
      <c r="H167" s="35"/>
      <c r="I167" s="35"/>
      <c r="J167" s="12"/>
      <c r="O167" s="12"/>
      <c r="P167" s="18"/>
      <c r="Q167" s="12"/>
      <c r="R167" s="12"/>
      <c r="S167" s="12"/>
      <c r="T167" s="36"/>
      <c r="U167" s="36"/>
      <c r="V167" s="12"/>
      <c r="W167" s="12"/>
      <c r="X167" s="12"/>
      <c r="Y167" s="12"/>
      <c r="Z167" s="12"/>
    </row>
    <row r="168" customFormat="false" ht="15.75" hidden="false" customHeight="false" outlineLevel="0" collapsed="false">
      <c r="A168" s="12"/>
      <c r="B168" s="34"/>
      <c r="C168" s="12"/>
      <c r="D168" s="12"/>
      <c r="E168" s="12"/>
      <c r="F168" s="12"/>
      <c r="G168" s="18"/>
      <c r="H168" s="35"/>
      <c r="I168" s="35"/>
      <c r="J168" s="12"/>
      <c r="O168" s="12"/>
      <c r="P168" s="18"/>
      <c r="Q168" s="12"/>
      <c r="R168" s="12"/>
      <c r="S168" s="12"/>
      <c r="T168" s="36"/>
      <c r="U168" s="36"/>
      <c r="V168" s="12"/>
      <c r="W168" s="12"/>
      <c r="X168" s="12"/>
      <c r="Y168" s="12"/>
      <c r="Z168" s="12"/>
    </row>
    <row r="169" customFormat="false" ht="15.75" hidden="false" customHeight="false" outlineLevel="0" collapsed="false">
      <c r="A169" s="12"/>
      <c r="B169" s="34"/>
      <c r="C169" s="12"/>
      <c r="D169" s="12"/>
      <c r="E169" s="12"/>
      <c r="F169" s="12"/>
      <c r="G169" s="18"/>
      <c r="H169" s="35"/>
      <c r="I169" s="35"/>
      <c r="J169" s="12"/>
      <c r="O169" s="12"/>
      <c r="P169" s="18"/>
      <c r="Q169" s="12"/>
      <c r="R169" s="12"/>
      <c r="S169" s="12"/>
      <c r="T169" s="36"/>
      <c r="U169" s="36"/>
      <c r="V169" s="12"/>
      <c r="W169" s="12"/>
      <c r="X169" s="12"/>
      <c r="Y169" s="12"/>
      <c r="Z169" s="12"/>
    </row>
    <row r="170" customFormat="false" ht="15.75" hidden="false" customHeight="false" outlineLevel="0" collapsed="false">
      <c r="A170" s="12"/>
      <c r="B170" s="34"/>
      <c r="C170" s="12"/>
      <c r="D170" s="12"/>
      <c r="E170" s="12"/>
      <c r="F170" s="12"/>
      <c r="G170" s="18"/>
      <c r="H170" s="35"/>
      <c r="I170" s="35"/>
      <c r="J170" s="12"/>
      <c r="O170" s="12"/>
      <c r="P170" s="18"/>
      <c r="Q170" s="12"/>
      <c r="R170" s="12"/>
      <c r="S170" s="12"/>
      <c r="T170" s="36"/>
      <c r="U170" s="36"/>
      <c r="V170" s="12"/>
      <c r="W170" s="12"/>
      <c r="X170" s="12"/>
      <c r="Y170" s="12"/>
      <c r="Z170" s="12"/>
    </row>
    <row r="171" customFormat="false" ht="15.75" hidden="false" customHeight="false" outlineLevel="0" collapsed="false">
      <c r="A171" s="12"/>
      <c r="B171" s="34"/>
      <c r="C171" s="12"/>
      <c r="D171" s="12"/>
      <c r="E171" s="12"/>
      <c r="F171" s="12"/>
      <c r="G171" s="18"/>
      <c r="H171" s="35"/>
      <c r="I171" s="35"/>
      <c r="J171" s="12"/>
      <c r="O171" s="12"/>
      <c r="P171" s="18"/>
      <c r="Q171" s="12"/>
      <c r="R171" s="12"/>
      <c r="S171" s="12"/>
      <c r="T171" s="36"/>
      <c r="U171" s="36"/>
      <c r="V171" s="12"/>
      <c r="W171" s="12"/>
      <c r="X171" s="12"/>
      <c r="Y171" s="12"/>
      <c r="Z171" s="12"/>
    </row>
    <row r="172" customFormat="false" ht="15.75" hidden="false" customHeight="false" outlineLevel="0" collapsed="false">
      <c r="A172" s="12"/>
      <c r="B172" s="34"/>
      <c r="C172" s="12"/>
      <c r="D172" s="12"/>
      <c r="E172" s="12"/>
      <c r="F172" s="12"/>
      <c r="G172" s="18"/>
      <c r="H172" s="35"/>
      <c r="I172" s="35"/>
      <c r="J172" s="12"/>
      <c r="O172" s="12"/>
      <c r="P172" s="18"/>
      <c r="Q172" s="12"/>
      <c r="R172" s="12"/>
      <c r="S172" s="12"/>
      <c r="T172" s="36"/>
      <c r="U172" s="36"/>
      <c r="V172" s="12"/>
      <c r="W172" s="12"/>
      <c r="X172" s="12"/>
      <c r="Y172" s="12"/>
      <c r="Z172" s="12"/>
    </row>
    <row r="173" customFormat="false" ht="15.75" hidden="false" customHeight="false" outlineLevel="0" collapsed="false">
      <c r="A173" s="12"/>
      <c r="B173" s="34"/>
      <c r="C173" s="12"/>
      <c r="D173" s="12"/>
      <c r="E173" s="12"/>
      <c r="F173" s="12"/>
      <c r="G173" s="18"/>
      <c r="H173" s="35"/>
      <c r="I173" s="35"/>
      <c r="J173" s="12"/>
      <c r="O173" s="12"/>
      <c r="P173" s="18"/>
      <c r="Q173" s="12"/>
      <c r="R173" s="12"/>
      <c r="S173" s="12"/>
      <c r="T173" s="36"/>
      <c r="U173" s="36"/>
      <c r="V173" s="12"/>
      <c r="W173" s="12"/>
      <c r="X173" s="12"/>
      <c r="Y173" s="12"/>
      <c r="Z173" s="12"/>
    </row>
    <row r="174" customFormat="false" ht="15.75" hidden="false" customHeight="false" outlineLevel="0" collapsed="false">
      <c r="A174" s="12"/>
      <c r="B174" s="34"/>
      <c r="C174" s="12"/>
      <c r="D174" s="12"/>
      <c r="E174" s="12"/>
      <c r="F174" s="12"/>
      <c r="G174" s="18"/>
      <c r="H174" s="35"/>
      <c r="I174" s="35"/>
      <c r="J174" s="12"/>
      <c r="O174" s="12"/>
      <c r="P174" s="18"/>
      <c r="Q174" s="12"/>
      <c r="R174" s="12"/>
      <c r="S174" s="12"/>
      <c r="T174" s="36"/>
      <c r="U174" s="36"/>
      <c r="V174" s="12"/>
      <c r="W174" s="12"/>
      <c r="X174" s="12"/>
      <c r="Y174" s="12"/>
      <c r="Z174" s="12"/>
    </row>
    <row r="175" customFormat="false" ht="15.75" hidden="false" customHeight="false" outlineLevel="0" collapsed="false">
      <c r="A175" s="12"/>
      <c r="B175" s="34"/>
      <c r="C175" s="12"/>
      <c r="D175" s="12"/>
      <c r="E175" s="12"/>
      <c r="F175" s="12"/>
      <c r="G175" s="18"/>
      <c r="H175" s="35"/>
      <c r="I175" s="35"/>
      <c r="J175" s="12"/>
      <c r="O175" s="12"/>
      <c r="P175" s="18"/>
      <c r="Q175" s="12"/>
      <c r="R175" s="12"/>
      <c r="S175" s="12"/>
      <c r="T175" s="36"/>
      <c r="U175" s="36"/>
      <c r="V175" s="12"/>
      <c r="W175" s="12"/>
      <c r="X175" s="12"/>
      <c r="Y175" s="12"/>
      <c r="Z175" s="12"/>
    </row>
    <row r="176" customFormat="false" ht="15.75" hidden="false" customHeight="false" outlineLevel="0" collapsed="false">
      <c r="A176" s="12"/>
      <c r="B176" s="34"/>
      <c r="C176" s="12"/>
      <c r="D176" s="12"/>
      <c r="E176" s="12"/>
      <c r="F176" s="12"/>
      <c r="G176" s="18"/>
      <c r="H176" s="35"/>
      <c r="I176" s="35"/>
      <c r="J176" s="12"/>
      <c r="O176" s="12"/>
      <c r="P176" s="18"/>
      <c r="Q176" s="12"/>
      <c r="R176" s="12"/>
      <c r="S176" s="12"/>
      <c r="T176" s="36"/>
      <c r="U176" s="36"/>
      <c r="V176" s="12"/>
      <c r="W176" s="12"/>
      <c r="X176" s="12"/>
      <c r="Y176" s="12"/>
      <c r="Z176" s="12"/>
    </row>
    <row r="177" customFormat="false" ht="15.75" hidden="false" customHeight="false" outlineLevel="0" collapsed="false">
      <c r="A177" s="12"/>
      <c r="B177" s="34"/>
      <c r="C177" s="12"/>
      <c r="D177" s="12"/>
      <c r="E177" s="12"/>
      <c r="F177" s="12"/>
      <c r="G177" s="18"/>
      <c r="H177" s="35"/>
      <c r="I177" s="35"/>
      <c r="J177" s="12"/>
      <c r="O177" s="12"/>
      <c r="P177" s="18"/>
      <c r="Q177" s="12"/>
      <c r="R177" s="12"/>
      <c r="S177" s="12"/>
      <c r="T177" s="36"/>
      <c r="U177" s="36"/>
      <c r="V177" s="12"/>
      <c r="W177" s="12"/>
      <c r="X177" s="12"/>
      <c r="Y177" s="12"/>
      <c r="Z177" s="12"/>
    </row>
    <row r="178" customFormat="false" ht="15.75" hidden="false" customHeight="false" outlineLevel="0" collapsed="false">
      <c r="A178" s="12"/>
      <c r="B178" s="34"/>
      <c r="C178" s="12"/>
      <c r="D178" s="12"/>
      <c r="E178" s="12"/>
      <c r="F178" s="12"/>
      <c r="G178" s="18"/>
      <c r="H178" s="35"/>
      <c r="I178" s="35"/>
      <c r="J178" s="12"/>
      <c r="O178" s="12"/>
      <c r="P178" s="18"/>
      <c r="Q178" s="12"/>
      <c r="R178" s="12"/>
      <c r="S178" s="12"/>
      <c r="T178" s="36"/>
      <c r="U178" s="36"/>
      <c r="V178" s="12"/>
      <c r="W178" s="12"/>
      <c r="X178" s="12"/>
      <c r="Y178" s="12"/>
      <c r="Z178" s="12"/>
    </row>
    <row r="179" customFormat="false" ht="15.75" hidden="false" customHeight="false" outlineLevel="0" collapsed="false">
      <c r="A179" s="12"/>
      <c r="B179" s="34"/>
      <c r="C179" s="12"/>
      <c r="D179" s="12"/>
      <c r="E179" s="12"/>
      <c r="F179" s="12"/>
      <c r="G179" s="18"/>
      <c r="H179" s="35"/>
      <c r="I179" s="35"/>
      <c r="J179" s="12"/>
      <c r="O179" s="12"/>
      <c r="P179" s="18"/>
      <c r="Q179" s="12"/>
      <c r="R179" s="12"/>
      <c r="S179" s="12"/>
      <c r="T179" s="36"/>
      <c r="U179" s="36"/>
      <c r="V179" s="12"/>
      <c r="W179" s="12"/>
      <c r="X179" s="12"/>
      <c r="Y179" s="12"/>
      <c r="Z179" s="12"/>
    </row>
    <row r="180" customFormat="false" ht="15.75" hidden="false" customHeight="false" outlineLevel="0" collapsed="false">
      <c r="A180" s="12"/>
      <c r="B180" s="34"/>
      <c r="C180" s="12"/>
      <c r="D180" s="12"/>
      <c r="E180" s="12"/>
      <c r="F180" s="12"/>
      <c r="G180" s="18"/>
      <c r="H180" s="35"/>
      <c r="I180" s="35"/>
      <c r="J180" s="12"/>
      <c r="O180" s="12"/>
      <c r="P180" s="18"/>
      <c r="Q180" s="12"/>
      <c r="R180" s="12"/>
      <c r="S180" s="12"/>
      <c r="T180" s="36"/>
      <c r="U180" s="36"/>
      <c r="V180" s="12"/>
      <c r="W180" s="12"/>
      <c r="X180" s="12"/>
      <c r="Y180" s="12"/>
      <c r="Z180" s="12"/>
    </row>
    <row r="181" customFormat="false" ht="15.75" hidden="false" customHeight="false" outlineLevel="0" collapsed="false">
      <c r="A181" s="12"/>
      <c r="B181" s="34"/>
      <c r="C181" s="12"/>
      <c r="D181" s="12"/>
      <c r="E181" s="12"/>
      <c r="F181" s="12"/>
      <c r="G181" s="18"/>
      <c r="H181" s="35"/>
      <c r="I181" s="35"/>
      <c r="J181" s="12"/>
      <c r="O181" s="12"/>
      <c r="P181" s="18"/>
      <c r="Q181" s="12"/>
      <c r="R181" s="12"/>
      <c r="S181" s="12"/>
      <c r="T181" s="36"/>
      <c r="U181" s="36"/>
      <c r="V181" s="12"/>
      <c r="W181" s="12"/>
      <c r="X181" s="12"/>
      <c r="Y181" s="12"/>
      <c r="Z181" s="12"/>
    </row>
    <row r="182" customFormat="false" ht="15.75" hidden="false" customHeight="false" outlineLevel="0" collapsed="false">
      <c r="A182" s="12"/>
      <c r="B182" s="34"/>
      <c r="C182" s="12"/>
      <c r="D182" s="12"/>
      <c r="E182" s="12"/>
      <c r="F182" s="12"/>
      <c r="G182" s="18"/>
      <c r="H182" s="35"/>
      <c r="I182" s="35"/>
      <c r="J182" s="12"/>
      <c r="O182" s="12"/>
      <c r="P182" s="18"/>
      <c r="Q182" s="12"/>
      <c r="R182" s="12"/>
      <c r="S182" s="12"/>
      <c r="T182" s="36"/>
      <c r="U182" s="36"/>
      <c r="V182" s="12"/>
      <c r="W182" s="12"/>
      <c r="X182" s="12"/>
      <c r="Y182" s="12"/>
      <c r="Z182" s="12"/>
    </row>
    <row r="183" customFormat="false" ht="15.75" hidden="false" customHeight="false" outlineLevel="0" collapsed="false">
      <c r="A183" s="12"/>
      <c r="B183" s="34"/>
      <c r="C183" s="12"/>
      <c r="D183" s="12"/>
      <c r="E183" s="12"/>
      <c r="F183" s="12"/>
      <c r="G183" s="18"/>
      <c r="H183" s="35"/>
      <c r="I183" s="35"/>
      <c r="J183" s="12"/>
      <c r="O183" s="12"/>
      <c r="P183" s="18"/>
      <c r="Q183" s="12"/>
      <c r="R183" s="12"/>
      <c r="S183" s="12"/>
      <c r="T183" s="36"/>
      <c r="U183" s="36"/>
      <c r="V183" s="12"/>
      <c r="W183" s="12"/>
      <c r="X183" s="12"/>
      <c r="Y183" s="12"/>
      <c r="Z183" s="12"/>
    </row>
    <row r="184" customFormat="false" ht="15.75" hidden="false" customHeight="false" outlineLevel="0" collapsed="false">
      <c r="A184" s="12"/>
      <c r="B184" s="34"/>
      <c r="C184" s="12"/>
      <c r="D184" s="12"/>
      <c r="E184" s="12"/>
      <c r="F184" s="12"/>
      <c r="G184" s="18"/>
      <c r="H184" s="35"/>
      <c r="I184" s="35"/>
      <c r="J184" s="12"/>
      <c r="O184" s="12"/>
      <c r="P184" s="18"/>
      <c r="Q184" s="12"/>
      <c r="R184" s="12"/>
      <c r="S184" s="12"/>
      <c r="T184" s="36"/>
      <c r="U184" s="36"/>
      <c r="V184" s="12"/>
      <c r="W184" s="12"/>
      <c r="X184" s="12"/>
      <c r="Y184" s="12"/>
      <c r="Z184" s="12"/>
    </row>
    <row r="185" customFormat="false" ht="15.75" hidden="false" customHeight="false" outlineLevel="0" collapsed="false">
      <c r="A185" s="12"/>
      <c r="B185" s="34"/>
      <c r="C185" s="12"/>
      <c r="D185" s="12"/>
      <c r="E185" s="12"/>
      <c r="F185" s="12"/>
      <c r="G185" s="18"/>
      <c r="H185" s="35"/>
      <c r="I185" s="35"/>
      <c r="J185" s="12"/>
      <c r="O185" s="12"/>
      <c r="P185" s="18"/>
      <c r="Q185" s="12"/>
      <c r="R185" s="12"/>
      <c r="S185" s="12"/>
      <c r="T185" s="36"/>
      <c r="U185" s="36"/>
      <c r="V185" s="12"/>
      <c r="W185" s="12"/>
      <c r="X185" s="12"/>
      <c r="Y185" s="12"/>
      <c r="Z185" s="12"/>
    </row>
    <row r="186" customFormat="false" ht="15.75" hidden="false" customHeight="false" outlineLevel="0" collapsed="false">
      <c r="A186" s="12"/>
      <c r="B186" s="34"/>
      <c r="C186" s="12"/>
      <c r="D186" s="12"/>
      <c r="E186" s="12"/>
      <c r="F186" s="12"/>
      <c r="G186" s="18"/>
      <c r="H186" s="35"/>
      <c r="I186" s="35"/>
      <c r="J186" s="12"/>
      <c r="O186" s="12"/>
      <c r="P186" s="18"/>
      <c r="Q186" s="12"/>
      <c r="R186" s="12"/>
      <c r="S186" s="12"/>
      <c r="T186" s="36"/>
      <c r="U186" s="36"/>
      <c r="V186" s="12"/>
      <c r="W186" s="12"/>
      <c r="X186" s="12"/>
      <c r="Y186" s="12"/>
      <c r="Z186" s="12"/>
    </row>
    <row r="187" customFormat="false" ht="15.75" hidden="false" customHeight="false" outlineLevel="0" collapsed="false">
      <c r="A187" s="12"/>
      <c r="B187" s="34"/>
      <c r="C187" s="12"/>
      <c r="D187" s="12"/>
      <c r="E187" s="12"/>
      <c r="F187" s="12"/>
      <c r="G187" s="18"/>
      <c r="H187" s="35"/>
      <c r="I187" s="35"/>
      <c r="J187" s="12"/>
      <c r="O187" s="12"/>
      <c r="P187" s="18"/>
      <c r="Q187" s="12"/>
      <c r="R187" s="12"/>
      <c r="S187" s="12"/>
      <c r="T187" s="36"/>
      <c r="U187" s="36"/>
      <c r="V187" s="12"/>
      <c r="W187" s="12"/>
      <c r="X187" s="12"/>
      <c r="Y187" s="12"/>
      <c r="Z187" s="12"/>
    </row>
    <row r="188" customFormat="false" ht="15.75" hidden="false" customHeight="false" outlineLevel="0" collapsed="false">
      <c r="A188" s="12"/>
      <c r="B188" s="34"/>
      <c r="C188" s="12"/>
      <c r="D188" s="12"/>
      <c r="E188" s="12"/>
      <c r="F188" s="12"/>
      <c r="G188" s="18"/>
      <c r="H188" s="35"/>
      <c r="I188" s="35"/>
      <c r="J188" s="12"/>
      <c r="O188" s="12"/>
      <c r="P188" s="18"/>
      <c r="Q188" s="12"/>
      <c r="R188" s="12"/>
      <c r="S188" s="12"/>
      <c r="T188" s="36"/>
      <c r="U188" s="36"/>
      <c r="V188" s="12"/>
      <c r="W188" s="12"/>
      <c r="X188" s="12"/>
      <c r="Y188" s="12"/>
      <c r="Z188" s="12"/>
    </row>
    <row r="189" customFormat="false" ht="15.75" hidden="false" customHeight="false" outlineLevel="0" collapsed="false">
      <c r="A189" s="12"/>
      <c r="B189" s="34"/>
      <c r="C189" s="12"/>
      <c r="D189" s="12"/>
      <c r="E189" s="12"/>
      <c r="F189" s="12"/>
      <c r="G189" s="18"/>
      <c r="H189" s="35"/>
      <c r="I189" s="35"/>
      <c r="J189" s="12"/>
      <c r="O189" s="12"/>
      <c r="P189" s="18"/>
      <c r="Q189" s="12"/>
      <c r="R189" s="12"/>
      <c r="S189" s="12"/>
      <c r="T189" s="36"/>
      <c r="U189" s="36"/>
      <c r="V189" s="12"/>
      <c r="W189" s="12"/>
      <c r="X189" s="12"/>
      <c r="Y189" s="12"/>
      <c r="Z189" s="12"/>
    </row>
    <row r="190" customFormat="false" ht="15.75" hidden="false" customHeight="false" outlineLevel="0" collapsed="false">
      <c r="A190" s="12"/>
      <c r="B190" s="34"/>
      <c r="C190" s="12"/>
      <c r="D190" s="12"/>
      <c r="E190" s="12"/>
      <c r="F190" s="12"/>
      <c r="G190" s="18"/>
      <c r="H190" s="35"/>
      <c r="I190" s="35"/>
      <c r="J190" s="12"/>
      <c r="O190" s="12"/>
      <c r="P190" s="18"/>
      <c r="Q190" s="12"/>
      <c r="R190" s="12"/>
      <c r="S190" s="12"/>
      <c r="T190" s="36"/>
      <c r="U190" s="36"/>
      <c r="V190" s="12"/>
      <c r="W190" s="12"/>
      <c r="X190" s="12"/>
      <c r="Y190" s="12"/>
      <c r="Z190" s="12"/>
    </row>
    <row r="191" customFormat="false" ht="15.75" hidden="false" customHeight="false" outlineLevel="0" collapsed="false">
      <c r="A191" s="12"/>
      <c r="B191" s="34"/>
      <c r="C191" s="12"/>
      <c r="D191" s="12"/>
      <c r="E191" s="12"/>
      <c r="F191" s="12"/>
      <c r="G191" s="18"/>
      <c r="H191" s="35"/>
      <c r="I191" s="35"/>
      <c r="J191" s="12"/>
      <c r="O191" s="12"/>
      <c r="P191" s="18"/>
      <c r="Q191" s="12"/>
      <c r="R191" s="12"/>
      <c r="S191" s="12"/>
      <c r="T191" s="36"/>
      <c r="U191" s="36"/>
      <c r="V191" s="12"/>
      <c r="W191" s="12"/>
      <c r="X191" s="12"/>
      <c r="Y191" s="12"/>
      <c r="Z191" s="12"/>
    </row>
    <row r="192" customFormat="false" ht="15.75" hidden="false" customHeight="false" outlineLevel="0" collapsed="false">
      <c r="A192" s="12"/>
      <c r="B192" s="34"/>
      <c r="C192" s="12"/>
      <c r="D192" s="12"/>
      <c r="E192" s="12"/>
      <c r="F192" s="12"/>
      <c r="G192" s="18"/>
      <c r="H192" s="35"/>
      <c r="I192" s="35"/>
      <c r="J192" s="12"/>
      <c r="O192" s="12"/>
      <c r="P192" s="18"/>
      <c r="Q192" s="12"/>
      <c r="R192" s="12"/>
      <c r="S192" s="12"/>
      <c r="T192" s="36"/>
      <c r="U192" s="36"/>
      <c r="V192" s="12"/>
      <c r="W192" s="12"/>
      <c r="X192" s="12"/>
      <c r="Y192" s="12"/>
      <c r="Z192" s="12"/>
    </row>
    <row r="193" customFormat="false" ht="15.75" hidden="false" customHeight="false" outlineLevel="0" collapsed="false">
      <c r="A193" s="12"/>
      <c r="B193" s="34"/>
      <c r="C193" s="12"/>
      <c r="D193" s="12"/>
      <c r="E193" s="12"/>
      <c r="F193" s="12"/>
      <c r="G193" s="18"/>
      <c r="H193" s="35"/>
      <c r="I193" s="35"/>
      <c r="J193" s="12"/>
      <c r="O193" s="12"/>
      <c r="P193" s="18"/>
      <c r="Q193" s="12"/>
      <c r="R193" s="12"/>
      <c r="S193" s="12"/>
      <c r="T193" s="36"/>
      <c r="U193" s="36"/>
      <c r="V193" s="12"/>
      <c r="W193" s="12"/>
      <c r="X193" s="12"/>
      <c r="Y193" s="12"/>
      <c r="Z193" s="12"/>
    </row>
    <row r="194" customFormat="false" ht="15.75" hidden="false" customHeight="false" outlineLevel="0" collapsed="false">
      <c r="A194" s="12"/>
      <c r="B194" s="34"/>
      <c r="C194" s="12"/>
      <c r="D194" s="12"/>
      <c r="E194" s="12"/>
      <c r="F194" s="12"/>
      <c r="G194" s="18"/>
      <c r="H194" s="35"/>
      <c r="I194" s="35"/>
      <c r="J194" s="12"/>
      <c r="O194" s="12"/>
      <c r="P194" s="18"/>
      <c r="Q194" s="12"/>
      <c r="R194" s="12"/>
      <c r="S194" s="12"/>
      <c r="T194" s="36"/>
      <c r="U194" s="36"/>
      <c r="V194" s="12"/>
      <c r="W194" s="12"/>
      <c r="X194" s="12"/>
      <c r="Y194" s="12"/>
      <c r="Z194" s="12"/>
    </row>
    <row r="195" customFormat="false" ht="15.75" hidden="false" customHeight="false" outlineLevel="0" collapsed="false">
      <c r="A195" s="12"/>
      <c r="B195" s="34"/>
      <c r="C195" s="12"/>
      <c r="D195" s="12"/>
      <c r="E195" s="12"/>
      <c r="F195" s="12"/>
      <c r="G195" s="18"/>
      <c r="H195" s="35"/>
      <c r="I195" s="35"/>
      <c r="J195" s="12"/>
      <c r="O195" s="12"/>
      <c r="P195" s="18"/>
      <c r="Q195" s="12"/>
      <c r="R195" s="12"/>
      <c r="S195" s="12"/>
      <c r="T195" s="36"/>
      <c r="U195" s="36"/>
      <c r="V195" s="12"/>
      <c r="W195" s="12"/>
      <c r="X195" s="12"/>
      <c r="Y195" s="12"/>
      <c r="Z195" s="12"/>
    </row>
    <row r="196" customFormat="false" ht="15.75" hidden="false" customHeight="false" outlineLevel="0" collapsed="false">
      <c r="A196" s="12"/>
      <c r="B196" s="34"/>
      <c r="C196" s="12"/>
      <c r="D196" s="12"/>
      <c r="E196" s="12"/>
      <c r="F196" s="12"/>
      <c r="G196" s="18"/>
      <c r="H196" s="35"/>
      <c r="I196" s="35"/>
      <c r="J196" s="12"/>
      <c r="O196" s="12"/>
      <c r="P196" s="18"/>
      <c r="Q196" s="12"/>
      <c r="R196" s="12"/>
      <c r="S196" s="12"/>
      <c r="T196" s="36"/>
      <c r="U196" s="36"/>
      <c r="V196" s="12"/>
      <c r="W196" s="12"/>
      <c r="X196" s="12"/>
      <c r="Y196" s="12"/>
      <c r="Z196" s="12"/>
    </row>
    <row r="197" customFormat="false" ht="15.75" hidden="false" customHeight="false" outlineLevel="0" collapsed="false">
      <c r="A197" s="12"/>
      <c r="B197" s="34"/>
      <c r="C197" s="12"/>
      <c r="D197" s="12"/>
      <c r="E197" s="12"/>
      <c r="F197" s="12"/>
      <c r="G197" s="18"/>
      <c r="H197" s="35"/>
      <c r="I197" s="35"/>
      <c r="J197" s="12"/>
      <c r="O197" s="12"/>
      <c r="P197" s="18"/>
      <c r="Q197" s="12"/>
      <c r="R197" s="12"/>
      <c r="S197" s="12"/>
      <c r="T197" s="36"/>
      <c r="U197" s="36"/>
      <c r="V197" s="12"/>
      <c r="W197" s="12"/>
      <c r="X197" s="12"/>
      <c r="Y197" s="12"/>
      <c r="Z197" s="12"/>
    </row>
    <row r="198" customFormat="false" ht="15.75" hidden="false" customHeight="false" outlineLevel="0" collapsed="false">
      <c r="A198" s="12"/>
      <c r="B198" s="34"/>
      <c r="C198" s="12"/>
      <c r="D198" s="12"/>
      <c r="E198" s="12"/>
      <c r="F198" s="12"/>
      <c r="G198" s="18"/>
      <c r="H198" s="35"/>
      <c r="I198" s="35"/>
      <c r="J198" s="12"/>
      <c r="O198" s="12"/>
      <c r="P198" s="18"/>
      <c r="Q198" s="12"/>
      <c r="R198" s="12"/>
      <c r="S198" s="12"/>
      <c r="T198" s="36"/>
      <c r="U198" s="36"/>
      <c r="V198" s="12"/>
      <c r="W198" s="12"/>
      <c r="X198" s="12"/>
      <c r="Y198" s="12"/>
      <c r="Z198" s="12"/>
    </row>
    <row r="199" customFormat="false" ht="15.75" hidden="false" customHeight="false" outlineLevel="0" collapsed="false">
      <c r="A199" s="12"/>
      <c r="B199" s="34"/>
      <c r="C199" s="12"/>
      <c r="D199" s="12"/>
      <c r="E199" s="12"/>
      <c r="F199" s="12"/>
      <c r="G199" s="18"/>
      <c r="H199" s="35"/>
      <c r="I199" s="35"/>
      <c r="J199" s="12"/>
      <c r="O199" s="12"/>
      <c r="P199" s="18"/>
      <c r="Q199" s="12"/>
      <c r="R199" s="12"/>
      <c r="S199" s="12"/>
      <c r="T199" s="36"/>
      <c r="U199" s="36"/>
      <c r="V199" s="12"/>
      <c r="W199" s="12"/>
      <c r="X199" s="12"/>
      <c r="Y199" s="12"/>
      <c r="Z199" s="12"/>
    </row>
    <row r="200" customFormat="false" ht="15.75" hidden="false" customHeight="false" outlineLevel="0" collapsed="false">
      <c r="A200" s="12"/>
      <c r="B200" s="34"/>
      <c r="C200" s="12"/>
      <c r="D200" s="12"/>
      <c r="E200" s="12"/>
      <c r="F200" s="12"/>
      <c r="G200" s="18"/>
      <c r="H200" s="35"/>
      <c r="I200" s="35"/>
      <c r="J200" s="12"/>
      <c r="O200" s="12"/>
      <c r="P200" s="18"/>
      <c r="Q200" s="12"/>
      <c r="R200" s="12"/>
      <c r="S200" s="12"/>
      <c r="T200" s="36"/>
      <c r="U200" s="36"/>
      <c r="V200" s="12"/>
      <c r="W200" s="12"/>
      <c r="X200" s="12"/>
      <c r="Y200" s="12"/>
      <c r="Z200" s="12"/>
    </row>
    <row r="201" customFormat="false" ht="15.75" hidden="false" customHeight="false" outlineLevel="0" collapsed="false">
      <c r="A201" s="12"/>
      <c r="B201" s="34"/>
      <c r="C201" s="12"/>
      <c r="D201" s="12"/>
      <c r="E201" s="12"/>
      <c r="F201" s="12"/>
      <c r="G201" s="18"/>
      <c r="H201" s="35"/>
      <c r="I201" s="35"/>
      <c r="J201" s="12"/>
      <c r="O201" s="12"/>
      <c r="P201" s="18"/>
      <c r="Q201" s="12"/>
      <c r="R201" s="12"/>
      <c r="S201" s="12"/>
      <c r="T201" s="36"/>
      <c r="U201" s="36"/>
      <c r="V201" s="12"/>
      <c r="W201" s="12"/>
      <c r="X201" s="12"/>
      <c r="Y201" s="12"/>
      <c r="Z201" s="12"/>
    </row>
    <row r="202" customFormat="false" ht="15.75" hidden="false" customHeight="false" outlineLevel="0" collapsed="false">
      <c r="A202" s="12"/>
      <c r="B202" s="34"/>
      <c r="C202" s="12"/>
      <c r="D202" s="12"/>
      <c r="E202" s="12"/>
      <c r="F202" s="12"/>
      <c r="G202" s="18"/>
      <c r="H202" s="35"/>
      <c r="I202" s="35"/>
      <c r="J202" s="12"/>
      <c r="O202" s="12"/>
      <c r="P202" s="18"/>
      <c r="Q202" s="12"/>
      <c r="R202" s="12"/>
      <c r="S202" s="12"/>
      <c r="T202" s="36"/>
      <c r="U202" s="36"/>
      <c r="V202" s="12"/>
      <c r="W202" s="12"/>
      <c r="X202" s="12"/>
      <c r="Y202" s="12"/>
      <c r="Z202" s="12"/>
    </row>
    <row r="203" customFormat="false" ht="15.75" hidden="false" customHeight="false" outlineLevel="0" collapsed="false">
      <c r="A203" s="12"/>
      <c r="B203" s="34"/>
      <c r="C203" s="12"/>
      <c r="D203" s="12"/>
      <c r="E203" s="12"/>
      <c r="F203" s="12"/>
      <c r="G203" s="18"/>
      <c r="H203" s="35"/>
      <c r="I203" s="35"/>
      <c r="J203" s="12"/>
      <c r="O203" s="12"/>
      <c r="P203" s="18"/>
      <c r="Q203" s="12"/>
      <c r="R203" s="12"/>
      <c r="S203" s="12"/>
      <c r="T203" s="36"/>
      <c r="U203" s="36"/>
      <c r="V203" s="12"/>
      <c r="W203" s="12"/>
      <c r="X203" s="12"/>
      <c r="Y203" s="12"/>
      <c r="Z203" s="12"/>
    </row>
    <row r="204" customFormat="false" ht="15.75" hidden="false" customHeight="false" outlineLevel="0" collapsed="false">
      <c r="A204" s="12"/>
      <c r="B204" s="34"/>
      <c r="C204" s="12"/>
      <c r="D204" s="12"/>
      <c r="E204" s="12"/>
      <c r="F204" s="12"/>
      <c r="G204" s="18"/>
      <c r="H204" s="35"/>
      <c r="I204" s="35"/>
      <c r="J204" s="12"/>
      <c r="O204" s="12"/>
      <c r="P204" s="18"/>
      <c r="Q204" s="12"/>
      <c r="R204" s="12"/>
      <c r="S204" s="12"/>
      <c r="T204" s="36"/>
      <c r="U204" s="36"/>
      <c r="V204" s="12"/>
      <c r="W204" s="12"/>
      <c r="X204" s="12"/>
      <c r="Y204" s="12"/>
      <c r="Z204" s="12"/>
    </row>
    <row r="205" customFormat="false" ht="15.75" hidden="false" customHeight="false" outlineLevel="0" collapsed="false">
      <c r="A205" s="12"/>
      <c r="B205" s="34"/>
      <c r="C205" s="12"/>
      <c r="D205" s="12"/>
      <c r="E205" s="12"/>
      <c r="F205" s="12"/>
      <c r="G205" s="18"/>
      <c r="H205" s="35"/>
      <c r="I205" s="35"/>
      <c r="J205" s="12"/>
      <c r="O205" s="12"/>
      <c r="P205" s="18"/>
      <c r="Q205" s="12"/>
      <c r="R205" s="12"/>
      <c r="S205" s="12"/>
      <c r="T205" s="36"/>
      <c r="U205" s="36"/>
      <c r="V205" s="12"/>
      <c r="W205" s="12"/>
      <c r="X205" s="12"/>
      <c r="Y205" s="12"/>
      <c r="Z205" s="12"/>
    </row>
    <row r="206" customFormat="false" ht="15.75" hidden="false" customHeight="false" outlineLevel="0" collapsed="false">
      <c r="A206" s="12"/>
      <c r="B206" s="34"/>
      <c r="C206" s="12"/>
      <c r="D206" s="12"/>
      <c r="E206" s="12"/>
      <c r="F206" s="12"/>
      <c r="G206" s="18"/>
      <c r="H206" s="35"/>
      <c r="I206" s="35"/>
      <c r="J206" s="12"/>
      <c r="O206" s="12"/>
      <c r="P206" s="18"/>
      <c r="Q206" s="12"/>
      <c r="R206" s="12"/>
      <c r="S206" s="12"/>
      <c r="T206" s="36"/>
      <c r="U206" s="36"/>
      <c r="V206" s="12"/>
      <c r="W206" s="12"/>
      <c r="X206" s="12"/>
      <c r="Y206" s="12"/>
      <c r="Z206" s="12"/>
    </row>
    <row r="207" customFormat="false" ht="15.75" hidden="false" customHeight="false" outlineLevel="0" collapsed="false">
      <c r="A207" s="12"/>
      <c r="B207" s="34"/>
      <c r="C207" s="12"/>
      <c r="D207" s="12"/>
      <c r="E207" s="12"/>
      <c r="F207" s="12"/>
      <c r="G207" s="18"/>
      <c r="H207" s="35"/>
      <c r="I207" s="35"/>
      <c r="J207" s="12"/>
      <c r="O207" s="12"/>
      <c r="P207" s="18"/>
      <c r="Q207" s="12"/>
      <c r="R207" s="12"/>
      <c r="S207" s="12"/>
      <c r="T207" s="36"/>
      <c r="U207" s="36"/>
      <c r="V207" s="12"/>
      <c r="W207" s="12"/>
      <c r="X207" s="12"/>
      <c r="Y207" s="12"/>
      <c r="Z207" s="12"/>
    </row>
    <row r="208" customFormat="false" ht="15.75" hidden="false" customHeight="false" outlineLevel="0" collapsed="false">
      <c r="A208" s="12"/>
      <c r="B208" s="34"/>
      <c r="C208" s="12"/>
      <c r="D208" s="12"/>
      <c r="E208" s="12"/>
      <c r="F208" s="12"/>
      <c r="G208" s="18"/>
      <c r="H208" s="35"/>
      <c r="I208" s="35"/>
      <c r="J208" s="12"/>
      <c r="O208" s="12"/>
      <c r="P208" s="18"/>
      <c r="Q208" s="12"/>
      <c r="R208" s="12"/>
      <c r="S208" s="12"/>
      <c r="T208" s="36"/>
      <c r="U208" s="36"/>
      <c r="V208" s="12"/>
      <c r="W208" s="12"/>
      <c r="X208" s="12"/>
      <c r="Y208" s="12"/>
      <c r="Z208" s="12"/>
    </row>
    <row r="209" customFormat="false" ht="15.75" hidden="false" customHeight="false" outlineLevel="0" collapsed="false">
      <c r="A209" s="12"/>
      <c r="B209" s="34"/>
      <c r="C209" s="12"/>
      <c r="D209" s="12"/>
      <c r="E209" s="12"/>
      <c r="F209" s="12"/>
      <c r="G209" s="18"/>
      <c r="H209" s="35"/>
      <c r="I209" s="35"/>
      <c r="J209" s="12"/>
      <c r="O209" s="12"/>
      <c r="P209" s="18"/>
      <c r="Q209" s="12"/>
      <c r="R209" s="12"/>
      <c r="S209" s="12"/>
      <c r="T209" s="36"/>
      <c r="U209" s="36"/>
      <c r="V209" s="12"/>
      <c r="W209" s="12"/>
      <c r="X209" s="12"/>
      <c r="Y209" s="12"/>
      <c r="Z209" s="12"/>
    </row>
    <row r="210" customFormat="false" ht="15.75" hidden="false" customHeight="false" outlineLevel="0" collapsed="false">
      <c r="A210" s="12"/>
      <c r="B210" s="34"/>
      <c r="C210" s="12"/>
      <c r="D210" s="12"/>
      <c r="E210" s="12"/>
      <c r="F210" s="12"/>
      <c r="G210" s="18"/>
      <c r="H210" s="35"/>
      <c r="I210" s="35"/>
      <c r="J210" s="12"/>
      <c r="O210" s="12"/>
      <c r="P210" s="18"/>
      <c r="Q210" s="12"/>
      <c r="R210" s="12"/>
      <c r="S210" s="12"/>
      <c r="T210" s="36"/>
      <c r="U210" s="36"/>
      <c r="V210" s="12"/>
      <c r="W210" s="12"/>
      <c r="X210" s="12"/>
      <c r="Y210" s="12"/>
      <c r="Z210" s="12"/>
    </row>
    <row r="211" customFormat="false" ht="15.75" hidden="false" customHeight="false" outlineLevel="0" collapsed="false">
      <c r="A211" s="12"/>
      <c r="B211" s="34"/>
      <c r="C211" s="12"/>
      <c r="D211" s="12"/>
      <c r="E211" s="12"/>
      <c r="F211" s="12"/>
      <c r="G211" s="18"/>
      <c r="H211" s="35"/>
      <c r="I211" s="35"/>
      <c r="J211" s="12"/>
      <c r="O211" s="12"/>
      <c r="P211" s="18"/>
      <c r="Q211" s="12"/>
      <c r="R211" s="12"/>
      <c r="S211" s="12"/>
      <c r="T211" s="36"/>
      <c r="U211" s="36"/>
      <c r="V211" s="12"/>
      <c r="W211" s="12"/>
      <c r="X211" s="12"/>
      <c r="Y211" s="12"/>
      <c r="Z211" s="12"/>
    </row>
    <row r="212" customFormat="false" ht="15.75" hidden="false" customHeight="false" outlineLevel="0" collapsed="false">
      <c r="A212" s="12"/>
      <c r="B212" s="34"/>
      <c r="C212" s="12"/>
      <c r="D212" s="12"/>
      <c r="E212" s="12"/>
      <c r="F212" s="12"/>
      <c r="G212" s="18"/>
      <c r="H212" s="35"/>
      <c r="I212" s="35"/>
      <c r="J212" s="12"/>
      <c r="O212" s="12"/>
      <c r="P212" s="18"/>
      <c r="Q212" s="12"/>
      <c r="R212" s="12"/>
      <c r="S212" s="12"/>
      <c r="T212" s="36"/>
      <c r="U212" s="36"/>
      <c r="V212" s="12"/>
      <c r="W212" s="12"/>
      <c r="X212" s="12"/>
      <c r="Y212" s="12"/>
      <c r="Z212" s="12"/>
    </row>
    <row r="213" customFormat="false" ht="15.75" hidden="false" customHeight="false" outlineLevel="0" collapsed="false">
      <c r="A213" s="12"/>
      <c r="B213" s="34"/>
      <c r="C213" s="12"/>
      <c r="D213" s="12"/>
      <c r="E213" s="12"/>
      <c r="F213" s="12"/>
      <c r="G213" s="18"/>
      <c r="H213" s="35"/>
      <c r="I213" s="35"/>
      <c r="J213" s="12"/>
      <c r="O213" s="12"/>
      <c r="P213" s="18"/>
      <c r="Q213" s="12"/>
      <c r="R213" s="12"/>
      <c r="S213" s="12"/>
      <c r="T213" s="36"/>
      <c r="U213" s="36"/>
      <c r="V213" s="12"/>
      <c r="W213" s="12"/>
      <c r="X213" s="12"/>
      <c r="Y213" s="12"/>
      <c r="Z213" s="12"/>
    </row>
    <row r="214" customFormat="false" ht="15.75" hidden="false" customHeight="false" outlineLevel="0" collapsed="false">
      <c r="A214" s="12"/>
      <c r="B214" s="34"/>
      <c r="C214" s="12"/>
      <c r="D214" s="12"/>
      <c r="E214" s="12"/>
      <c r="F214" s="12"/>
      <c r="G214" s="18"/>
      <c r="H214" s="35"/>
      <c r="I214" s="35"/>
      <c r="J214" s="12"/>
      <c r="O214" s="12"/>
      <c r="P214" s="18"/>
      <c r="Q214" s="12"/>
      <c r="R214" s="12"/>
      <c r="S214" s="12"/>
      <c r="T214" s="36"/>
      <c r="U214" s="36"/>
      <c r="V214" s="12"/>
      <c r="W214" s="12"/>
      <c r="X214" s="12"/>
      <c r="Y214" s="12"/>
      <c r="Z214" s="12"/>
    </row>
    <row r="215" customFormat="false" ht="15.75" hidden="false" customHeight="false" outlineLevel="0" collapsed="false">
      <c r="A215" s="12"/>
      <c r="B215" s="34"/>
      <c r="C215" s="12"/>
      <c r="D215" s="12"/>
      <c r="E215" s="12"/>
      <c r="F215" s="12"/>
      <c r="G215" s="18"/>
      <c r="H215" s="35"/>
      <c r="I215" s="35"/>
      <c r="J215" s="12"/>
      <c r="O215" s="12"/>
      <c r="P215" s="18"/>
      <c r="Q215" s="12"/>
      <c r="R215" s="12"/>
      <c r="S215" s="12"/>
      <c r="T215" s="36"/>
      <c r="U215" s="36"/>
      <c r="V215" s="12"/>
      <c r="W215" s="12"/>
      <c r="X215" s="12"/>
      <c r="Y215" s="12"/>
      <c r="Z215" s="12"/>
    </row>
    <row r="216" customFormat="false" ht="15.75" hidden="false" customHeight="false" outlineLevel="0" collapsed="false">
      <c r="A216" s="12"/>
      <c r="B216" s="34"/>
      <c r="C216" s="12"/>
      <c r="D216" s="12"/>
      <c r="E216" s="12"/>
      <c r="F216" s="12"/>
      <c r="G216" s="18"/>
      <c r="H216" s="35"/>
      <c r="I216" s="35"/>
      <c r="J216" s="12"/>
      <c r="O216" s="12"/>
      <c r="P216" s="18"/>
      <c r="Q216" s="12"/>
      <c r="R216" s="12"/>
      <c r="S216" s="12"/>
      <c r="T216" s="36"/>
      <c r="U216" s="36"/>
      <c r="V216" s="12"/>
      <c r="W216" s="12"/>
      <c r="X216" s="12"/>
      <c r="Y216" s="12"/>
      <c r="Z216" s="12"/>
    </row>
    <row r="217" customFormat="false" ht="15.75" hidden="false" customHeight="false" outlineLevel="0" collapsed="false">
      <c r="A217" s="12"/>
      <c r="B217" s="34"/>
      <c r="C217" s="12"/>
      <c r="D217" s="12"/>
      <c r="E217" s="12"/>
      <c r="F217" s="12"/>
      <c r="G217" s="18"/>
      <c r="H217" s="35"/>
      <c r="I217" s="35"/>
      <c r="J217" s="12"/>
      <c r="O217" s="12"/>
      <c r="P217" s="18"/>
      <c r="Q217" s="12"/>
      <c r="R217" s="12"/>
      <c r="S217" s="12"/>
      <c r="T217" s="36"/>
      <c r="U217" s="36"/>
      <c r="V217" s="12"/>
      <c r="W217" s="12"/>
      <c r="X217" s="12"/>
      <c r="Y217" s="12"/>
      <c r="Z217" s="12"/>
    </row>
    <row r="218" customFormat="false" ht="15.75" hidden="false" customHeight="false" outlineLevel="0" collapsed="false">
      <c r="A218" s="12"/>
      <c r="B218" s="34"/>
      <c r="C218" s="12"/>
      <c r="D218" s="12"/>
      <c r="E218" s="12"/>
      <c r="F218" s="12"/>
      <c r="G218" s="18"/>
      <c r="H218" s="35"/>
      <c r="I218" s="35"/>
      <c r="J218" s="12"/>
      <c r="O218" s="12"/>
      <c r="P218" s="18"/>
      <c r="Q218" s="12"/>
      <c r="R218" s="12"/>
      <c r="S218" s="12"/>
      <c r="T218" s="36"/>
      <c r="U218" s="36"/>
      <c r="V218" s="12"/>
      <c r="W218" s="12"/>
      <c r="X218" s="12"/>
      <c r="Y218" s="12"/>
      <c r="Z218" s="12"/>
    </row>
    <row r="219" customFormat="false" ht="15.75" hidden="false" customHeight="false" outlineLevel="0" collapsed="false">
      <c r="A219" s="12"/>
      <c r="B219" s="34"/>
      <c r="C219" s="12"/>
      <c r="D219" s="12"/>
      <c r="E219" s="12"/>
      <c r="F219" s="12"/>
      <c r="G219" s="18"/>
      <c r="H219" s="35"/>
      <c r="I219" s="35"/>
      <c r="J219" s="12"/>
      <c r="O219" s="12"/>
      <c r="P219" s="18"/>
      <c r="Q219" s="12"/>
      <c r="R219" s="12"/>
      <c r="S219" s="12"/>
      <c r="T219" s="36"/>
      <c r="U219" s="36"/>
      <c r="V219" s="12"/>
      <c r="W219" s="12"/>
      <c r="X219" s="12"/>
      <c r="Y219" s="12"/>
      <c r="Z219" s="12"/>
    </row>
    <row r="220" customFormat="false" ht="15.75" hidden="false" customHeight="false" outlineLevel="0" collapsed="false">
      <c r="A220" s="12"/>
      <c r="B220" s="34"/>
      <c r="C220" s="12"/>
      <c r="D220" s="12"/>
      <c r="E220" s="12"/>
      <c r="F220" s="12"/>
      <c r="G220" s="18"/>
      <c r="H220" s="35"/>
      <c r="I220" s="35"/>
      <c r="J220" s="12"/>
      <c r="O220" s="12"/>
      <c r="P220" s="18"/>
      <c r="Q220" s="12"/>
      <c r="R220" s="12"/>
      <c r="S220" s="12"/>
      <c r="T220" s="36"/>
      <c r="U220" s="36"/>
      <c r="V220" s="12"/>
      <c r="W220" s="12"/>
      <c r="X220" s="12"/>
      <c r="Y220" s="12"/>
      <c r="Z220" s="12"/>
    </row>
    <row r="221" customFormat="false" ht="15.75" hidden="false" customHeight="false" outlineLevel="0" collapsed="false">
      <c r="A221" s="12"/>
      <c r="B221" s="34"/>
      <c r="C221" s="12"/>
      <c r="D221" s="12"/>
      <c r="E221" s="12"/>
      <c r="F221" s="12"/>
      <c r="G221" s="18"/>
      <c r="H221" s="35"/>
      <c r="I221" s="35"/>
      <c r="J221" s="12"/>
      <c r="O221" s="12"/>
      <c r="P221" s="18"/>
      <c r="Q221" s="12"/>
      <c r="R221" s="12"/>
      <c r="S221" s="12"/>
      <c r="T221" s="36"/>
      <c r="U221" s="36"/>
      <c r="V221" s="12"/>
      <c r="W221" s="12"/>
      <c r="X221" s="12"/>
      <c r="Y221" s="12"/>
      <c r="Z221" s="12"/>
    </row>
    <row r="222" customFormat="false" ht="15.75" hidden="false" customHeight="false" outlineLevel="0" collapsed="false">
      <c r="A222" s="12"/>
      <c r="B222" s="34"/>
      <c r="C222" s="12"/>
      <c r="D222" s="12"/>
      <c r="E222" s="12"/>
      <c r="F222" s="12"/>
      <c r="G222" s="18"/>
      <c r="H222" s="35"/>
      <c r="I222" s="35"/>
      <c r="J222" s="12"/>
      <c r="O222" s="12"/>
      <c r="P222" s="18"/>
      <c r="Q222" s="12"/>
      <c r="R222" s="12"/>
      <c r="S222" s="12"/>
      <c r="T222" s="36"/>
      <c r="U222" s="36"/>
      <c r="V222" s="12"/>
      <c r="W222" s="12"/>
      <c r="X222" s="12"/>
      <c r="Y222" s="12"/>
      <c r="Z222" s="12"/>
    </row>
    <row r="223" customFormat="false" ht="15.75" hidden="false" customHeight="false" outlineLevel="0" collapsed="false">
      <c r="A223" s="12"/>
      <c r="B223" s="34"/>
      <c r="C223" s="12"/>
      <c r="D223" s="12"/>
      <c r="E223" s="12"/>
      <c r="F223" s="12"/>
      <c r="G223" s="18"/>
      <c r="H223" s="35"/>
      <c r="I223" s="35"/>
      <c r="J223" s="12"/>
      <c r="O223" s="12"/>
      <c r="P223" s="18"/>
      <c r="Q223" s="12"/>
      <c r="R223" s="12"/>
      <c r="S223" s="12"/>
      <c r="T223" s="36"/>
      <c r="U223" s="36"/>
      <c r="V223" s="12"/>
      <c r="W223" s="12"/>
      <c r="X223" s="12"/>
      <c r="Y223" s="12"/>
      <c r="Z223" s="12"/>
    </row>
    <row r="224" customFormat="false" ht="15.75" hidden="false" customHeight="false" outlineLevel="0" collapsed="false">
      <c r="A224" s="12"/>
      <c r="B224" s="34"/>
      <c r="C224" s="12"/>
      <c r="D224" s="12"/>
      <c r="E224" s="12"/>
      <c r="F224" s="12"/>
      <c r="G224" s="18"/>
      <c r="H224" s="35"/>
      <c r="I224" s="35"/>
      <c r="J224" s="12"/>
      <c r="O224" s="12"/>
      <c r="P224" s="18"/>
      <c r="Q224" s="12"/>
      <c r="R224" s="12"/>
      <c r="S224" s="12"/>
      <c r="T224" s="36"/>
      <c r="U224" s="36"/>
      <c r="V224" s="12"/>
      <c r="W224" s="12"/>
      <c r="X224" s="12"/>
      <c r="Y224" s="12"/>
      <c r="Z224" s="12"/>
    </row>
    <row r="225" customFormat="false" ht="15.75" hidden="false" customHeight="false" outlineLevel="0" collapsed="false">
      <c r="A225" s="12"/>
      <c r="B225" s="34"/>
      <c r="C225" s="12"/>
      <c r="D225" s="12"/>
      <c r="E225" s="12"/>
      <c r="F225" s="12"/>
      <c r="G225" s="18"/>
      <c r="H225" s="35"/>
      <c r="I225" s="35"/>
      <c r="J225" s="12"/>
      <c r="O225" s="12"/>
      <c r="P225" s="18"/>
      <c r="Q225" s="12"/>
      <c r="R225" s="12"/>
      <c r="S225" s="12"/>
      <c r="T225" s="36"/>
      <c r="U225" s="36"/>
      <c r="V225" s="12"/>
      <c r="W225" s="12"/>
      <c r="X225" s="12"/>
      <c r="Y225" s="12"/>
      <c r="Z225" s="12"/>
    </row>
    <row r="226" customFormat="false" ht="15.75" hidden="false" customHeight="false" outlineLevel="0" collapsed="false">
      <c r="A226" s="12"/>
      <c r="B226" s="34"/>
      <c r="C226" s="12"/>
      <c r="D226" s="12"/>
      <c r="E226" s="12"/>
      <c r="F226" s="12"/>
      <c r="G226" s="18"/>
      <c r="H226" s="35"/>
      <c r="I226" s="35"/>
      <c r="J226" s="12"/>
      <c r="O226" s="12"/>
      <c r="P226" s="18"/>
      <c r="Q226" s="12"/>
      <c r="R226" s="12"/>
      <c r="S226" s="12"/>
      <c r="T226" s="36"/>
      <c r="U226" s="36"/>
      <c r="V226" s="12"/>
      <c r="W226" s="12"/>
      <c r="X226" s="12"/>
      <c r="Y226" s="12"/>
      <c r="Z226" s="12"/>
    </row>
    <row r="227" customFormat="false" ht="15.75" hidden="false" customHeight="false" outlineLevel="0" collapsed="false">
      <c r="A227" s="12"/>
      <c r="B227" s="34"/>
      <c r="C227" s="12"/>
      <c r="D227" s="12"/>
      <c r="E227" s="12"/>
      <c r="F227" s="12"/>
      <c r="G227" s="18"/>
      <c r="H227" s="35"/>
      <c r="I227" s="35"/>
      <c r="J227" s="12"/>
      <c r="O227" s="12"/>
      <c r="P227" s="18"/>
      <c r="Q227" s="12"/>
      <c r="R227" s="12"/>
      <c r="S227" s="12"/>
      <c r="T227" s="36"/>
      <c r="U227" s="36"/>
      <c r="V227" s="12"/>
      <c r="W227" s="12"/>
      <c r="X227" s="12"/>
      <c r="Y227" s="12"/>
      <c r="Z227" s="12"/>
    </row>
    <row r="228" customFormat="false" ht="15.75" hidden="false" customHeight="false" outlineLevel="0" collapsed="false">
      <c r="A228" s="12"/>
      <c r="B228" s="34"/>
      <c r="C228" s="12"/>
      <c r="D228" s="12"/>
      <c r="E228" s="12"/>
      <c r="F228" s="12"/>
      <c r="G228" s="18"/>
      <c r="H228" s="35"/>
      <c r="I228" s="35"/>
      <c r="J228" s="12"/>
      <c r="O228" s="12"/>
      <c r="P228" s="18"/>
      <c r="Q228" s="12"/>
      <c r="R228" s="12"/>
      <c r="S228" s="12"/>
      <c r="T228" s="36"/>
      <c r="U228" s="36"/>
      <c r="V228" s="12"/>
      <c r="W228" s="12"/>
      <c r="X228" s="12"/>
      <c r="Y228" s="12"/>
      <c r="Z228" s="12"/>
    </row>
    <row r="229" customFormat="false" ht="15.75" hidden="false" customHeight="false" outlineLevel="0" collapsed="false">
      <c r="A229" s="12"/>
      <c r="B229" s="34"/>
      <c r="C229" s="12"/>
      <c r="D229" s="12"/>
      <c r="E229" s="12"/>
      <c r="F229" s="12"/>
      <c r="G229" s="18"/>
      <c r="H229" s="35"/>
      <c r="I229" s="35"/>
      <c r="J229" s="12"/>
      <c r="O229" s="12"/>
      <c r="P229" s="18"/>
      <c r="Q229" s="12"/>
      <c r="R229" s="12"/>
      <c r="S229" s="12"/>
      <c r="T229" s="36"/>
      <c r="U229" s="36"/>
      <c r="V229" s="12"/>
      <c r="W229" s="12"/>
      <c r="X229" s="12"/>
      <c r="Y229" s="12"/>
      <c r="Z229" s="12"/>
    </row>
    <row r="230" customFormat="false" ht="15.75" hidden="false" customHeight="false" outlineLevel="0" collapsed="false">
      <c r="A230" s="12"/>
      <c r="B230" s="34"/>
      <c r="C230" s="12"/>
      <c r="D230" s="12"/>
      <c r="E230" s="12"/>
      <c r="F230" s="12"/>
      <c r="G230" s="18"/>
      <c r="H230" s="35"/>
      <c r="I230" s="35"/>
      <c r="J230" s="12"/>
      <c r="O230" s="12"/>
      <c r="P230" s="18"/>
      <c r="Q230" s="12"/>
      <c r="R230" s="12"/>
      <c r="S230" s="12"/>
      <c r="T230" s="36"/>
      <c r="U230" s="36"/>
      <c r="V230" s="12"/>
      <c r="W230" s="12"/>
      <c r="X230" s="12"/>
      <c r="Y230" s="12"/>
      <c r="Z230" s="12"/>
    </row>
    <row r="231" customFormat="false" ht="15.75" hidden="false" customHeight="false" outlineLevel="0" collapsed="false">
      <c r="A231" s="12"/>
      <c r="B231" s="34"/>
      <c r="C231" s="12"/>
      <c r="D231" s="12"/>
      <c r="E231" s="12"/>
      <c r="F231" s="12"/>
      <c r="G231" s="18"/>
      <c r="H231" s="35"/>
      <c r="I231" s="35"/>
      <c r="J231" s="12"/>
      <c r="O231" s="12"/>
      <c r="P231" s="18"/>
      <c r="Q231" s="12"/>
      <c r="R231" s="12"/>
      <c r="S231" s="12"/>
      <c r="T231" s="36"/>
      <c r="U231" s="36"/>
      <c r="V231" s="12"/>
      <c r="W231" s="12"/>
      <c r="X231" s="12"/>
      <c r="Y231" s="12"/>
      <c r="Z231" s="12"/>
    </row>
    <row r="232" customFormat="false" ht="15.75" hidden="false" customHeight="false" outlineLevel="0" collapsed="false">
      <c r="A232" s="12"/>
      <c r="B232" s="34"/>
      <c r="C232" s="12"/>
      <c r="D232" s="12"/>
      <c r="E232" s="12"/>
      <c r="F232" s="12"/>
      <c r="G232" s="18"/>
      <c r="H232" s="35"/>
      <c r="I232" s="35"/>
      <c r="J232" s="12"/>
      <c r="O232" s="12"/>
      <c r="P232" s="18"/>
      <c r="Q232" s="12"/>
      <c r="R232" s="12"/>
      <c r="S232" s="12"/>
      <c r="T232" s="36"/>
      <c r="U232" s="36"/>
      <c r="V232" s="12"/>
      <c r="W232" s="12"/>
      <c r="X232" s="12"/>
      <c r="Y232" s="12"/>
      <c r="Z232" s="12"/>
    </row>
    <row r="233" customFormat="false" ht="15.75" hidden="false" customHeight="false" outlineLevel="0" collapsed="false">
      <c r="A233" s="12"/>
      <c r="B233" s="34"/>
      <c r="C233" s="12"/>
      <c r="D233" s="12"/>
      <c r="E233" s="12"/>
      <c r="F233" s="12"/>
      <c r="G233" s="18"/>
      <c r="H233" s="35"/>
      <c r="I233" s="35"/>
      <c r="J233" s="12"/>
      <c r="O233" s="12"/>
      <c r="P233" s="18"/>
      <c r="Q233" s="12"/>
      <c r="R233" s="12"/>
      <c r="S233" s="12"/>
      <c r="T233" s="36"/>
      <c r="U233" s="36"/>
      <c r="V233" s="12"/>
      <c r="W233" s="12"/>
      <c r="X233" s="12"/>
      <c r="Y233" s="12"/>
      <c r="Z233" s="12"/>
    </row>
    <row r="234" customFormat="false" ht="15.75" hidden="false" customHeight="false" outlineLevel="0" collapsed="false">
      <c r="A234" s="12"/>
      <c r="B234" s="34"/>
      <c r="C234" s="12"/>
      <c r="D234" s="12"/>
      <c r="E234" s="12"/>
      <c r="F234" s="12"/>
      <c r="G234" s="18"/>
      <c r="H234" s="35"/>
      <c r="I234" s="35"/>
      <c r="J234" s="12"/>
      <c r="O234" s="12"/>
      <c r="P234" s="18"/>
      <c r="Q234" s="12"/>
      <c r="R234" s="12"/>
      <c r="S234" s="12"/>
      <c r="T234" s="36"/>
      <c r="U234" s="36"/>
      <c r="V234" s="12"/>
      <c r="W234" s="12"/>
      <c r="X234" s="12"/>
      <c r="Y234" s="12"/>
      <c r="Z234" s="12"/>
    </row>
    <row r="235" customFormat="false" ht="15.75" hidden="false" customHeight="false" outlineLevel="0" collapsed="false">
      <c r="A235" s="12"/>
      <c r="B235" s="34"/>
      <c r="C235" s="12"/>
      <c r="D235" s="12"/>
      <c r="E235" s="12"/>
      <c r="F235" s="12"/>
      <c r="G235" s="18"/>
      <c r="H235" s="35"/>
      <c r="I235" s="35"/>
      <c r="J235" s="12"/>
      <c r="O235" s="12"/>
      <c r="P235" s="18"/>
      <c r="Q235" s="12"/>
      <c r="R235" s="12"/>
      <c r="S235" s="12"/>
      <c r="T235" s="36"/>
      <c r="U235" s="36"/>
      <c r="V235" s="12"/>
      <c r="W235" s="12"/>
      <c r="X235" s="12"/>
      <c r="Y235" s="12"/>
      <c r="Z235" s="12"/>
    </row>
    <row r="236" customFormat="false" ht="15.75" hidden="false" customHeight="false" outlineLevel="0" collapsed="false">
      <c r="A236" s="12"/>
      <c r="B236" s="34"/>
      <c r="C236" s="12"/>
      <c r="D236" s="12"/>
      <c r="E236" s="12"/>
      <c r="F236" s="12"/>
      <c r="G236" s="18"/>
      <c r="H236" s="35"/>
      <c r="I236" s="35"/>
      <c r="J236" s="12"/>
      <c r="O236" s="12"/>
      <c r="P236" s="18"/>
      <c r="Q236" s="12"/>
      <c r="R236" s="12"/>
      <c r="S236" s="12"/>
      <c r="T236" s="36"/>
      <c r="U236" s="36"/>
      <c r="V236" s="12"/>
      <c r="W236" s="12"/>
      <c r="X236" s="12"/>
      <c r="Y236" s="12"/>
      <c r="Z236" s="12"/>
    </row>
    <row r="237" customFormat="false" ht="15.75" hidden="false" customHeight="false" outlineLevel="0" collapsed="false">
      <c r="A237" s="12"/>
      <c r="B237" s="34"/>
      <c r="C237" s="12"/>
      <c r="D237" s="12"/>
      <c r="E237" s="12"/>
      <c r="F237" s="12"/>
      <c r="G237" s="18"/>
      <c r="H237" s="35"/>
      <c r="I237" s="35"/>
      <c r="J237" s="12"/>
      <c r="O237" s="12"/>
      <c r="P237" s="18"/>
      <c r="Q237" s="12"/>
      <c r="R237" s="12"/>
      <c r="S237" s="12"/>
      <c r="T237" s="36"/>
      <c r="U237" s="36"/>
      <c r="V237" s="12"/>
      <c r="W237" s="12"/>
      <c r="X237" s="12"/>
      <c r="Y237" s="12"/>
      <c r="Z237" s="12"/>
    </row>
    <row r="238" customFormat="false" ht="15.75" hidden="false" customHeight="false" outlineLevel="0" collapsed="false">
      <c r="A238" s="12"/>
      <c r="B238" s="34"/>
      <c r="C238" s="12"/>
      <c r="D238" s="12"/>
      <c r="E238" s="12"/>
      <c r="F238" s="12"/>
      <c r="G238" s="18"/>
      <c r="H238" s="35"/>
      <c r="I238" s="35"/>
      <c r="J238" s="12"/>
      <c r="O238" s="12"/>
      <c r="P238" s="18"/>
      <c r="Q238" s="12"/>
      <c r="R238" s="12"/>
      <c r="S238" s="12"/>
      <c r="T238" s="36"/>
      <c r="U238" s="36"/>
      <c r="V238" s="12"/>
      <c r="W238" s="12"/>
      <c r="X238" s="12"/>
      <c r="Y238" s="12"/>
      <c r="Z238" s="12"/>
    </row>
    <row r="239" customFormat="false" ht="15.75" hidden="false" customHeight="false" outlineLevel="0" collapsed="false">
      <c r="A239" s="12"/>
      <c r="B239" s="34"/>
      <c r="C239" s="12"/>
      <c r="D239" s="12"/>
      <c r="E239" s="12"/>
      <c r="F239" s="12"/>
      <c r="G239" s="18"/>
      <c r="H239" s="35"/>
      <c r="I239" s="35"/>
      <c r="J239" s="12"/>
      <c r="O239" s="12"/>
      <c r="P239" s="18"/>
      <c r="Q239" s="12"/>
      <c r="R239" s="12"/>
      <c r="S239" s="12"/>
      <c r="T239" s="36"/>
      <c r="U239" s="36"/>
      <c r="V239" s="12"/>
      <c r="W239" s="12"/>
      <c r="X239" s="12"/>
      <c r="Y239" s="12"/>
      <c r="Z239" s="12"/>
    </row>
    <row r="240" customFormat="false" ht="15.75" hidden="false" customHeight="false" outlineLevel="0" collapsed="false">
      <c r="A240" s="12"/>
      <c r="B240" s="34"/>
      <c r="C240" s="12"/>
      <c r="D240" s="12"/>
      <c r="E240" s="12"/>
      <c r="F240" s="12"/>
      <c r="G240" s="18"/>
      <c r="H240" s="35"/>
      <c r="I240" s="35"/>
      <c r="J240" s="12"/>
      <c r="O240" s="12"/>
      <c r="P240" s="18"/>
      <c r="Q240" s="12"/>
      <c r="R240" s="12"/>
      <c r="S240" s="12"/>
      <c r="T240" s="36"/>
      <c r="U240" s="36"/>
      <c r="V240" s="12"/>
      <c r="W240" s="12"/>
      <c r="X240" s="12"/>
      <c r="Y240" s="12"/>
      <c r="Z240" s="12"/>
    </row>
    <row r="241" customFormat="false" ht="15.75" hidden="false" customHeight="false" outlineLevel="0" collapsed="false">
      <c r="A241" s="12"/>
      <c r="B241" s="34"/>
      <c r="C241" s="12"/>
      <c r="D241" s="12"/>
      <c r="E241" s="12"/>
      <c r="F241" s="12"/>
      <c r="G241" s="18"/>
      <c r="H241" s="35"/>
      <c r="I241" s="35"/>
      <c r="J241" s="12"/>
      <c r="O241" s="12"/>
      <c r="P241" s="18"/>
      <c r="Q241" s="12"/>
      <c r="R241" s="12"/>
      <c r="S241" s="12"/>
      <c r="T241" s="36"/>
      <c r="U241" s="36"/>
      <c r="V241" s="12"/>
      <c r="W241" s="12"/>
      <c r="X241" s="12"/>
      <c r="Y241" s="12"/>
      <c r="Z241" s="12"/>
    </row>
    <row r="242" customFormat="false" ht="15.75" hidden="false" customHeight="false" outlineLevel="0" collapsed="false">
      <c r="A242" s="12"/>
      <c r="B242" s="34"/>
      <c r="C242" s="12"/>
      <c r="D242" s="12"/>
      <c r="E242" s="12"/>
      <c r="F242" s="12"/>
      <c r="G242" s="18"/>
      <c r="H242" s="35"/>
      <c r="I242" s="35"/>
      <c r="J242" s="12"/>
      <c r="O242" s="12"/>
      <c r="P242" s="18"/>
      <c r="Q242" s="12"/>
      <c r="R242" s="12"/>
      <c r="S242" s="12"/>
      <c r="T242" s="36"/>
      <c r="U242" s="36"/>
      <c r="V242" s="12"/>
      <c r="W242" s="12"/>
      <c r="X242" s="12"/>
      <c r="Y242" s="12"/>
      <c r="Z242" s="12"/>
    </row>
    <row r="243" customFormat="false" ht="15.75" hidden="false" customHeight="false" outlineLevel="0" collapsed="false">
      <c r="A243" s="12"/>
      <c r="B243" s="34"/>
      <c r="C243" s="12"/>
      <c r="D243" s="12"/>
      <c r="E243" s="12"/>
      <c r="F243" s="12"/>
      <c r="G243" s="18"/>
      <c r="H243" s="35"/>
      <c r="I243" s="35"/>
      <c r="J243" s="12"/>
      <c r="O243" s="12"/>
      <c r="P243" s="18"/>
      <c r="Q243" s="12"/>
      <c r="R243" s="12"/>
      <c r="S243" s="12"/>
      <c r="T243" s="36"/>
      <c r="U243" s="36"/>
      <c r="V243" s="12"/>
      <c r="W243" s="12"/>
      <c r="X243" s="12"/>
      <c r="Y243" s="12"/>
      <c r="Z243" s="12"/>
    </row>
    <row r="244" customFormat="false" ht="15.75" hidden="false" customHeight="false" outlineLevel="0" collapsed="false">
      <c r="A244" s="12"/>
      <c r="B244" s="34"/>
      <c r="C244" s="12"/>
      <c r="D244" s="12"/>
      <c r="E244" s="12"/>
      <c r="F244" s="12"/>
      <c r="G244" s="18"/>
      <c r="H244" s="35"/>
      <c r="I244" s="35"/>
      <c r="J244" s="12"/>
      <c r="O244" s="12"/>
      <c r="P244" s="18"/>
      <c r="Q244" s="12"/>
      <c r="R244" s="12"/>
      <c r="S244" s="12"/>
      <c r="T244" s="36"/>
      <c r="U244" s="36"/>
      <c r="V244" s="12"/>
      <c r="W244" s="12"/>
      <c r="X244" s="12"/>
      <c r="Y244" s="12"/>
      <c r="Z244" s="12"/>
    </row>
    <row r="245" customFormat="false" ht="15.75" hidden="false" customHeight="false" outlineLevel="0" collapsed="false">
      <c r="A245" s="12"/>
      <c r="B245" s="34"/>
      <c r="C245" s="12"/>
      <c r="D245" s="12"/>
      <c r="E245" s="12"/>
      <c r="F245" s="12"/>
      <c r="G245" s="18"/>
      <c r="H245" s="35"/>
      <c r="I245" s="35"/>
      <c r="J245" s="12"/>
      <c r="O245" s="12"/>
      <c r="P245" s="18"/>
      <c r="Q245" s="12"/>
      <c r="R245" s="12"/>
      <c r="S245" s="12"/>
      <c r="T245" s="36"/>
      <c r="U245" s="36"/>
      <c r="V245" s="12"/>
      <c r="W245" s="12"/>
      <c r="X245" s="12"/>
      <c r="Y245" s="12"/>
      <c r="Z245" s="12"/>
    </row>
    <row r="246" customFormat="false" ht="15.75" hidden="false" customHeight="false" outlineLevel="0" collapsed="false">
      <c r="A246" s="12"/>
      <c r="B246" s="34"/>
      <c r="C246" s="12"/>
      <c r="D246" s="12"/>
      <c r="E246" s="12"/>
      <c r="F246" s="12"/>
      <c r="G246" s="18"/>
      <c r="H246" s="35"/>
      <c r="I246" s="35"/>
      <c r="J246" s="12"/>
      <c r="O246" s="12"/>
      <c r="P246" s="18"/>
      <c r="Q246" s="12"/>
      <c r="R246" s="12"/>
      <c r="S246" s="12"/>
      <c r="T246" s="36"/>
      <c r="U246" s="36"/>
      <c r="V246" s="12"/>
      <c r="W246" s="12"/>
      <c r="X246" s="12"/>
      <c r="Y246" s="12"/>
      <c r="Z246" s="12"/>
    </row>
    <row r="247" customFormat="false" ht="15.75" hidden="false" customHeight="false" outlineLevel="0" collapsed="false">
      <c r="A247" s="12"/>
      <c r="B247" s="34"/>
      <c r="C247" s="12"/>
      <c r="D247" s="12"/>
      <c r="E247" s="12"/>
      <c r="F247" s="12"/>
      <c r="G247" s="18"/>
      <c r="H247" s="35"/>
      <c r="I247" s="35"/>
      <c r="J247" s="12"/>
      <c r="O247" s="12"/>
      <c r="P247" s="18"/>
      <c r="Q247" s="12"/>
      <c r="R247" s="12"/>
      <c r="S247" s="12"/>
      <c r="T247" s="36"/>
      <c r="U247" s="36"/>
      <c r="V247" s="12"/>
      <c r="W247" s="12"/>
      <c r="X247" s="12"/>
      <c r="Y247" s="12"/>
      <c r="Z247" s="12"/>
    </row>
    <row r="248" customFormat="false" ht="15.75" hidden="false" customHeight="false" outlineLevel="0" collapsed="false">
      <c r="A248" s="12"/>
      <c r="B248" s="34"/>
      <c r="C248" s="12"/>
      <c r="D248" s="12"/>
      <c r="E248" s="12"/>
      <c r="F248" s="12"/>
      <c r="G248" s="18"/>
      <c r="H248" s="35"/>
      <c r="I248" s="35"/>
      <c r="J248" s="12"/>
      <c r="O248" s="12"/>
      <c r="P248" s="18"/>
      <c r="Q248" s="12"/>
      <c r="R248" s="12"/>
      <c r="S248" s="12"/>
      <c r="T248" s="36"/>
      <c r="U248" s="36"/>
      <c r="V248" s="12"/>
      <c r="W248" s="12"/>
      <c r="X248" s="12"/>
      <c r="Y248" s="12"/>
      <c r="Z248" s="12"/>
    </row>
    <row r="249" customFormat="false" ht="15.75" hidden="false" customHeight="false" outlineLevel="0" collapsed="false">
      <c r="A249" s="12"/>
      <c r="B249" s="34"/>
      <c r="C249" s="12"/>
      <c r="D249" s="12"/>
      <c r="E249" s="12"/>
      <c r="F249" s="12"/>
      <c r="G249" s="18"/>
      <c r="H249" s="35"/>
      <c r="I249" s="35"/>
      <c r="J249" s="12"/>
      <c r="O249" s="12"/>
      <c r="P249" s="18"/>
      <c r="Q249" s="12"/>
      <c r="R249" s="12"/>
      <c r="S249" s="12"/>
      <c r="T249" s="36"/>
      <c r="U249" s="36"/>
      <c r="V249" s="12"/>
      <c r="W249" s="12"/>
      <c r="X249" s="12"/>
      <c r="Y249" s="12"/>
      <c r="Z249" s="12"/>
    </row>
    <row r="250" customFormat="false" ht="15.75" hidden="false" customHeight="false" outlineLevel="0" collapsed="false">
      <c r="A250" s="12"/>
      <c r="B250" s="34"/>
      <c r="C250" s="12"/>
      <c r="D250" s="12"/>
      <c r="E250" s="12"/>
      <c r="F250" s="12"/>
      <c r="G250" s="18"/>
      <c r="H250" s="35"/>
      <c r="I250" s="35"/>
      <c r="J250" s="12"/>
      <c r="O250" s="12"/>
      <c r="P250" s="18"/>
      <c r="Q250" s="12"/>
      <c r="R250" s="12"/>
      <c r="S250" s="12"/>
      <c r="T250" s="36"/>
      <c r="U250" s="36"/>
      <c r="V250" s="12"/>
      <c r="W250" s="12"/>
      <c r="X250" s="12"/>
      <c r="Y250" s="12"/>
      <c r="Z250" s="12"/>
    </row>
    <row r="251" customFormat="false" ht="15.75" hidden="false" customHeight="false" outlineLevel="0" collapsed="false">
      <c r="A251" s="12"/>
      <c r="B251" s="34"/>
      <c r="C251" s="12"/>
      <c r="D251" s="12"/>
      <c r="E251" s="12"/>
      <c r="F251" s="12"/>
      <c r="G251" s="18"/>
      <c r="H251" s="35"/>
      <c r="I251" s="35"/>
      <c r="J251" s="12"/>
      <c r="O251" s="12"/>
      <c r="P251" s="18"/>
      <c r="Q251" s="12"/>
      <c r="R251" s="12"/>
      <c r="S251" s="12"/>
      <c r="T251" s="36"/>
      <c r="U251" s="36"/>
      <c r="V251" s="12"/>
      <c r="W251" s="12"/>
      <c r="X251" s="12"/>
      <c r="Y251" s="12"/>
      <c r="Z251" s="12"/>
    </row>
    <row r="252" customFormat="false" ht="15.75" hidden="false" customHeight="false" outlineLevel="0" collapsed="false">
      <c r="A252" s="12"/>
      <c r="B252" s="34"/>
      <c r="C252" s="12"/>
      <c r="D252" s="12"/>
      <c r="E252" s="12"/>
      <c r="F252" s="12"/>
      <c r="G252" s="18"/>
      <c r="H252" s="35"/>
      <c r="I252" s="35"/>
      <c r="J252" s="12"/>
      <c r="O252" s="12"/>
      <c r="P252" s="18"/>
      <c r="Q252" s="12"/>
      <c r="R252" s="12"/>
      <c r="S252" s="12"/>
      <c r="T252" s="36"/>
      <c r="U252" s="36"/>
      <c r="V252" s="12"/>
      <c r="W252" s="12"/>
      <c r="X252" s="12"/>
      <c r="Y252" s="12"/>
      <c r="Z252" s="12"/>
    </row>
    <row r="253" customFormat="false" ht="15.75" hidden="false" customHeight="false" outlineLevel="0" collapsed="false">
      <c r="A253" s="12"/>
      <c r="B253" s="34"/>
      <c r="C253" s="12"/>
      <c r="D253" s="12"/>
      <c r="E253" s="12"/>
      <c r="F253" s="12"/>
      <c r="G253" s="18"/>
      <c r="H253" s="35"/>
      <c r="I253" s="35"/>
      <c r="J253" s="12"/>
      <c r="O253" s="12"/>
      <c r="P253" s="18"/>
      <c r="Q253" s="12"/>
      <c r="R253" s="12"/>
      <c r="S253" s="12"/>
      <c r="T253" s="36"/>
      <c r="U253" s="36"/>
      <c r="V253" s="12"/>
      <c r="W253" s="12"/>
      <c r="X253" s="12"/>
      <c r="Y253" s="12"/>
      <c r="Z253" s="12"/>
    </row>
    <row r="254" customFormat="false" ht="15.75" hidden="false" customHeight="false" outlineLevel="0" collapsed="false">
      <c r="A254" s="12"/>
      <c r="B254" s="34"/>
      <c r="C254" s="12"/>
      <c r="D254" s="12"/>
      <c r="E254" s="12"/>
      <c r="F254" s="12"/>
      <c r="G254" s="18"/>
      <c r="H254" s="35"/>
      <c r="I254" s="35"/>
      <c r="J254" s="12"/>
      <c r="O254" s="12"/>
      <c r="P254" s="18"/>
      <c r="Q254" s="12"/>
      <c r="R254" s="12"/>
      <c r="S254" s="12"/>
      <c r="T254" s="36"/>
      <c r="U254" s="36"/>
      <c r="V254" s="12"/>
      <c r="W254" s="12"/>
      <c r="X254" s="12"/>
      <c r="Y254" s="12"/>
      <c r="Z254" s="12"/>
    </row>
    <row r="255" customFormat="false" ht="15.75" hidden="false" customHeight="false" outlineLevel="0" collapsed="false">
      <c r="A255" s="12"/>
      <c r="B255" s="34"/>
      <c r="C255" s="12"/>
      <c r="D255" s="12"/>
      <c r="E255" s="12"/>
      <c r="F255" s="12"/>
      <c r="G255" s="18"/>
      <c r="H255" s="35"/>
      <c r="I255" s="35"/>
      <c r="J255" s="12"/>
      <c r="O255" s="12"/>
      <c r="P255" s="18"/>
      <c r="Q255" s="12"/>
      <c r="R255" s="12"/>
      <c r="S255" s="12"/>
      <c r="T255" s="36"/>
      <c r="U255" s="36"/>
      <c r="V255" s="12"/>
      <c r="W255" s="12"/>
      <c r="X255" s="12"/>
      <c r="Y255" s="12"/>
      <c r="Z255" s="12"/>
    </row>
    <row r="256" customFormat="false" ht="15.75" hidden="false" customHeight="false" outlineLevel="0" collapsed="false">
      <c r="A256" s="12"/>
      <c r="B256" s="34"/>
      <c r="C256" s="12"/>
      <c r="D256" s="12"/>
      <c r="E256" s="12"/>
      <c r="F256" s="12"/>
      <c r="G256" s="18"/>
      <c r="H256" s="35"/>
      <c r="I256" s="35"/>
      <c r="J256" s="12"/>
      <c r="O256" s="12"/>
      <c r="P256" s="18"/>
      <c r="Q256" s="12"/>
      <c r="R256" s="12"/>
      <c r="S256" s="12"/>
      <c r="T256" s="36"/>
      <c r="U256" s="36"/>
      <c r="V256" s="12"/>
      <c r="W256" s="12"/>
      <c r="X256" s="12"/>
      <c r="Y256" s="12"/>
      <c r="Z256" s="12"/>
    </row>
    <row r="257" customFormat="false" ht="15.75" hidden="false" customHeight="false" outlineLevel="0" collapsed="false">
      <c r="A257" s="12"/>
      <c r="B257" s="34"/>
      <c r="C257" s="12"/>
      <c r="D257" s="12"/>
      <c r="E257" s="12"/>
      <c r="F257" s="12"/>
      <c r="G257" s="18"/>
      <c r="H257" s="35"/>
      <c r="I257" s="35"/>
      <c r="J257" s="12"/>
      <c r="O257" s="12"/>
      <c r="P257" s="18"/>
      <c r="Q257" s="12"/>
      <c r="R257" s="12"/>
      <c r="S257" s="12"/>
      <c r="T257" s="36"/>
      <c r="U257" s="36"/>
      <c r="V257" s="12"/>
      <c r="W257" s="12"/>
      <c r="X257" s="12"/>
      <c r="Y257" s="12"/>
      <c r="Z257" s="12"/>
    </row>
    <row r="258" customFormat="false" ht="15.75" hidden="false" customHeight="false" outlineLevel="0" collapsed="false">
      <c r="A258" s="12"/>
      <c r="B258" s="34"/>
      <c r="C258" s="12"/>
      <c r="D258" s="12"/>
      <c r="E258" s="12"/>
      <c r="F258" s="12"/>
      <c r="G258" s="18"/>
      <c r="H258" s="35"/>
      <c r="I258" s="35"/>
      <c r="J258" s="12"/>
      <c r="O258" s="12"/>
      <c r="P258" s="18"/>
      <c r="Q258" s="12"/>
      <c r="R258" s="12"/>
      <c r="S258" s="12"/>
      <c r="T258" s="36"/>
      <c r="U258" s="36"/>
      <c r="V258" s="12"/>
      <c r="W258" s="12"/>
      <c r="X258" s="12"/>
      <c r="Y258" s="12"/>
      <c r="Z258" s="12"/>
    </row>
    <row r="259" customFormat="false" ht="15.75" hidden="false" customHeight="false" outlineLevel="0" collapsed="false">
      <c r="A259" s="12"/>
      <c r="B259" s="34"/>
      <c r="C259" s="12"/>
      <c r="D259" s="12"/>
      <c r="E259" s="12"/>
      <c r="F259" s="12"/>
      <c r="G259" s="18"/>
      <c r="H259" s="35"/>
      <c r="I259" s="35"/>
      <c r="J259" s="12"/>
      <c r="O259" s="12"/>
      <c r="P259" s="18"/>
      <c r="Q259" s="12"/>
      <c r="R259" s="12"/>
      <c r="S259" s="12"/>
      <c r="T259" s="36"/>
      <c r="U259" s="36"/>
      <c r="V259" s="12"/>
      <c r="W259" s="12"/>
      <c r="X259" s="12"/>
      <c r="Y259" s="12"/>
      <c r="Z259" s="12"/>
    </row>
    <row r="260" customFormat="false" ht="15.75" hidden="false" customHeight="false" outlineLevel="0" collapsed="false">
      <c r="A260" s="12"/>
      <c r="B260" s="34"/>
      <c r="C260" s="12"/>
      <c r="D260" s="12"/>
      <c r="E260" s="12"/>
      <c r="F260" s="12"/>
      <c r="G260" s="18"/>
      <c r="H260" s="35"/>
      <c r="I260" s="35"/>
      <c r="J260" s="12"/>
      <c r="O260" s="12"/>
      <c r="P260" s="18"/>
      <c r="Q260" s="12"/>
      <c r="R260" s="12"/>
      <c r="S260" s="12"/>
      <c r="T260" s="36"/>
      <c r="U260" s="36"/>
      <c r="V260" s="12"/>
      <c r="W260" s="12"/>
      <c r="X260" s="12"/>
      <c r="Y260" s="12"/>
      <c r="Z260" s="12"/>
    </row>
    <row r="261" customFormat="false" ht="15.75" hidden="false" customHeight="false" outlineLevel="0" collapsed="false">
      <c r="A261" s="12"/>
      <c r="B261" s="34"/>
      <c r="C261" s="12"/>
      <c r="D261" s="12"/>
      <c r="E261" s="12"/>
      <c r="F261" s="12"/>
      <c r="G261" s="18"/>
      <c r="H261" s="35"/>
      <c r="I261" s="35"/>
      <c r="J261" s="12"/>
      <c r="O261" s="12"/>
      <c r="P261" s="18"/>
      <c r="Q261" s="12"/>
      <c r="R261" s="12"/>
      <c r="S261" s="12"/>
      <c r="T261" s="36"/>
      <c r="U261" s="36"/>
      <c r="V261" s="12"/>
      <c r="W261" s="12"/>
      <c r="X261" s="12"/>
      <c r="Y261" s="12"/>
      <c r="Z261" s="12"/>
    </row>
    <row r="262" customFormat="false" ht="15.75" hidden="false" customHeight="false" outlineLevel="0" collapsed="false">
      <c r="A262" s="12"/>
      <c r="B262" s="34"/>
      <c r="C262" s="12"/>
      <c r="D262" s="12"/>
      <c r="E262" s="12"/>
      <c r="F262" s="12"/>
      <c r="G262" s="18"/>
      <c r="H262" s="35"/>
      <c r="I262" s="35"/>
      <c r="J262" s="12"/>
      <c r="O262" s="12"/>
      <c r="P262" s="18"/>
      <c r="Q262" s="12"/>
      <c r="R262" s="12"/>
      <c r="S262" s="12"/>
      <c r="T262" s="36"/>
      <c r="U262" s="36"/>
      <c r="V262" s="12"/>
      <c r="W262" s="12"/>
      <c r="X262" s="12"/>
      <c r="Y262" s="12"/>
      <c r="Z262" s="12"/>
    </row>
    <row r="263" customFormat="false" ht="15.75" hidden="false" customHeight="false" outlineLevel="0" collapsed="false">
      <c r="A263" s="12"/>
      <c r="B263" s="34"/>
      <c r="C263" s="12"/>
      <c r="D263" s="12"/>
      <c r="E263" s="12"/>
      <c r="F263" s="12"/>
      <c r="G263" s="18"/>
      <c r="H263" s="35"/>
      <c r="I263" s="35"/>
      <c r="J263" s="12"/>
      <c r="O263" s="12"/>
      <c r="P263" s="18"/>
      <c r="Q263" s="12"/>
      <c r="R263" s="12"/>
      <c r="S263" s="12"/>
      <c r="T263" s="36"/>
      <c r="U263" s="36"/>
      <c r="V263" s="12"/>
      <c r="W263" s="12"/>
      <c r="X263" s="12"/>
      <c r="Y263" s="12"/>
      <c r="Z263" s="12"/>
    </row>
    <row r="264" customFormat="false" ht="15.75" hidden="false" customHeight="false" outlineLevel="0" collapsed="false">
      <c r="A264" s="12"/>
      <c r="B264" s="34"/>
      <c r="C264" s="12"/>
      <c r="D264" s="12"/>
      <c r="E264" s="12"/>
      <c r="F264" s="12"/>
      <c r="G264" s="18"/>
      <c r="H264" s="35"/>
      <c r="I264" s="35"/>
      <c r="J264" s="12"/>
      <c r="O264" s="12"/>
      <c r="P264" s="18"/>
      <c r="Q264" s="12"/>
      <c r="R264" s="12"/>
      <c r="S264" s="12"/>
      <c r="T264" s="36"/>
      <c r="U264" s="36"/>
      <c r="V264" s="12"/>
      <c r="W264" s="12"/>
      <c r="X264" s="12"/>
      <c r="Y264" s="12"/>
      <c r="Z264" s="12"/>
    </row>
    <row r="265" customFormat="false" ht="15.75" hidden="false" customHeight="false" outlineLevel="0" collapsed="false">
      <c r="A265" s="12"/>
      <c r="B265" s="34"/>
      <c r="C265" s="12"/>
      <c r="D265" s="12"/>
      <c r="E265" s="12"/>
      <c r="F265" s="12"/>
      <c r="G265" s="18"/>
      <c r="H265" s="35"/>
      <c r="I265" s="35"/>
      <c r="J265" s="12"/>
      <c r="O265" s="12"/>
      <c r="P265" s="18"/>
      <c r="Q265" s="12"/>
      <c r="R265" s="12"/>
      <c r="S265" s="12"/>
      <c r="T265" s="36"/>
      <c r="U265" s="36"/>
      <c r="V265" s="12"/>
      <c r="W265" s="12"/>
      <c r="X265" s="12"/>
      <c r="Y265" s="12"/>
      <c r="Z265" s="12"/>
    </row>
    <row r="266" customFormat="false" ht="15.75" hidden="false" customHeight="false" outlineLevel="0" collapsed="false">
      <c r="A266" s="12"/>
      <c r="B266" s="34"/>
      <c r="C266" s="12"/>
      <c r="D266" s="12"/>
      <c r="E266" s="12"/>
      <c r="F266" s="12"/>
      <c r="G266" s="18"/>
      <c r="H266" s="35"/>
      <c r="I266" s="35"/>
      <c r="J266" s="12"/>
      <c r="O266" s="12"/>
      <c r="P266" s="18"/>
      <c r="Q266" s="12"/>
      <c r="R266" s="12"/>
      <c r="S266" s="12"/>
      <c r="T266" s="36"/>
      <c r="U266" s="36"/>
      <c r="V266" s="12"/>
      <c r="W266" s="12"/>
      <c r="X266" s="12"/>
      <c r="Y266" s="12"/>
      <c r="Z266" s="12"/>
    </row>
    <row r="267" customFormat="false" ht="15.75" hidden="false" customHeight="false" outlineLevel="0" collapsed="false">
      <c r="A267" s="12"/>
      <c r="B267" s="34"/>
      <c r="C267" s="12"/>
      <c r="D267" s="12"/>
      <c r="E267" s="12"/>
      <c r="F267" s="12"/>
      <c r="G267" s="18"/>
      <c r="H267" s="35"/>
      <c r="I267" s="35"/>
      <c r="J267" s="12"/>
      <c r="O267" s="12"/>
      <c r="P267" s="18"/>
      <c r="Q267" s="12"/>
      <c r="R267" s="12"/>
      <c r="S267" s="12"/>
      <c r="T267" s="36"/>
      <c r="U267" s="36"/>
      <c r="V267" s="12"/>
      <c r="W267" s="12"/>
      <c r="X267" s="12"/>
      <c r="Y267" s="12"/>
      <c r="Z267" s="12"/>
    </row>
    <row r="268" customFormat="false" ht="15.75" hidden="false" customHeight="false" outlineLevel="0" collapsed="false">
      <c r="A268" s="12"/>
      <c r="B268" s="34"/>
      <c r="C268" s="12"/>
      <c r="D268" s="12"/>
      <c r="E268" s="12"/>
      <c r="F268" s="12"/>
      <c r="G268" s="18"/>
      <c r="H268" s="35"/>
      <c r="I268" s="35"/>
      <c r="J268" s="12"/>
      <c r="O268" s="12"/>
      <c r="P268" s="18"/>
      <c r="Q268" s="12"/>
      <c r="R268" s="12"/>
      <c r="S268" s="12"/>
      <c r="T268" s="36"/>
      <c r="U268" s="36"/>
      <c r="V268" s="12"/>
      <c r="W268" s="12"/>
      <c r="X268" s="12"/>
      <c r="Y268" s="12"/>
      <c r="Z268" s="12"/>
    </row>
    <row r="269" customFormat="false" ht="15.75" hidden="false" customHeight="false" outlineLevel="0" collapsed="false">
      <c r="A269" s="12"/>
      <c r="B269" s="34"/>
      <c r="C269" s="12"/>
      <c r="D269" s="12"/>
      <c r="E269" s="12"/>
      <c r="F269" s="12"/>
      <c r="G269" s="18"/>
      <c r="H269" s="35"/>
      <c r="I269" s="35"/>
      <c r="J269" s="12"/>
      <c r="O269" s="12"/>
      <c r="P269" s="18"/>
      <c r="Q269" s="12"/>
      <c r="R269" s="12"/>
      <c r="S269" s="12"/>
      <c r="T269" s="36"/>
      <c r="U269" s="36"/>
      <c r="V269" s="12"/>
      <c r="W269" s="12"/>
      <c r="X269" s="12"/>
      <c r="Y269" s="12"/>
      <c r="Z269" s="12"/>
    </row>
    <row r="270" customFormat="false" ht="15.75" hidden="false" customHeight="false" outlineLevel="0" collapsed="false">
      <c r="A270" s="12"/>
      <c r="B270" s="34"/>
      <c r="C270" s="12"/>
      <c r="D270" s="12"/>
      <c r="E270" s="12"/>
      <c r="F270" s="12"/>
      <c r="G270" s="18"/>
      <c r="H270" s="35"/>
      <c r="I270" s="35"/>
      <c r="J270" s="12"/>
      <c r="O270" s="12"/>
      <c r="P270" s="18"/>
      <c r="Q270" s="12"/>
      <c r="R270" s="12"/>
      <c r="S270" s="12"/>
      <c r="T270" s="36"/>
      <c r="U270" s="36"/>
      <c r="V270" s="12"/>
      <c r="W270" s="12"/>
      <c r="X270" s="12"/>
      <c r="Y270" s="12"/>
      <c r="Z270" s="12"/>
    </row>
    <row r="271" customFormat="false" ht="15.75" hidden="false" customHeight="false" outlineLevel="0" collapsed="false">
      <c r="A271" s="12"/>
      <c r="B271" s="34"/>
      <c r="C271" s="12"/>
      <c r="D271" s="12"/>
      <c r="E271" s="12"/>
      <c r="F271" s="12"/>
      <c r="G271" s="18"/>
      <c r="H271" s="35"/>
      <c r="I271" s="35"/>
      <c r="J271" s="12"/>
      <c r="O271" s="12"/>
      <c r="P271" s="18"/>
      <c r="Q271" s="12"/>
      <c r="R271" s="12"/>
      <c r="S271" s="12"/>
      <c r="T271" s="36"/>
      <c r="U271" s="36"/>
      <c r="V271" s="12"/>
      <c r="W271" s="12"/>
      <c r="X271" s="12"/>
      <c r="Y271" s="12"/>
      <c r="Z271" s="12"/>
    </row>
    <row r="272" customFormat="false" ht="15.75" hidden="false" customHeight="false" outlineLevel="0" collapsed="false">
      <c r="A272" s="12"/>
      <c r="B272" s="34"/>
      <c r="C272" s="12"/>
      <c r="D272" s="12"/>
      <c r="E272" s="12"/>
      <c r="F272" s="12"/>
      <c r="G272" s="18"/>
      <c r="H272" s="35"/>
      <c r="I272" s="35"/>
      <c r="J272" s="12"/>
      <c r="O272" s="12"/>
      <c r="P272" s="18"/>
      <c r="Q272" s="12"/>
      <c r="R272" s="12"/>
      <c r="S272" s="12"/>
      <c r="T272" s="36"/>
      <c r="U272" s="36"/>
      <c r="V272" s="12"/>
      <c r="W272" s="12"/>
      <c r="X272" s="12"/>
      <c r="Y272" s="12"/>
      <c r="Z272" s="12"/>
    </row>
    <row r="273" customFormat="false" ht="15.75" hidden="false" customHeight="false" outlineLevel="0" collapsed="false">
      <c r="A273" s="12"/>
      <c r="B273" s="34"/>
      <c r="C273" s="12"/>
      <c r="D273" s="12"/>
      <c r="E273" s="12"/>
      <c r="F273" s="12"/>
      <c r="G273" s="18"/>
      <c r="H273" s="35"/>
      <c r="I273" s="35"/>
      <c r="J273" s="12"/>
      <c r="O273" s="12"/>
      <c r="P273" s="18"/>
      <c r="Q273" s="12"/>
      <c r="R273" s="12"/>
      <c r="S273" s="12"/>
      <c r="T273" s="36"/>
      <c r="U273" s="36"/>
      <c r="V273" s="12"/>
      <c r="W273" s="12"/>
      <c r="X273" s="12"/>
      <c r="Y273" s="12"/>
      <c r="Z273" s="12"/>
    </row>
    <row r="274" customFormat="false" ht="15.75" hidden="false" customHeight="false" outlineLevel="0" collapsed="false">
      <c r="A274" s="12"/>
      <c r="B274" s="34"/>
      <c r="C274" s="12"/>
      <c r="D274" s="12"/>
      <c r="E274" s="12"/>
      <c r="F274" s="12"/>
      <c r="G274" s="18"/>
      <c r="H274" s="35"/>
      <c r="I274" s="35"/>
      <c r="J274" s="12"/>
      <c r="O274" s="12"/>
      <c r="P274" s="18"/>
      <c r="Q274" s="12"/>
      <c r="R274" s="12"/>
      <c r="S274" s="12"/>
      <c r="T274" s="36"/>
      <c r="U274" s="36"/>
      <c r="V274" s="12"/>
      <c r="W274" s="12"/>
      <c r="X274" s="12"/>
      <c r="Y274" s="12"/>
      <c r="Z274" s="12"/>
    </row>
    <row r="275" customFormat="false" ht="15.75" hidden="false" customHeight="false" outlineLevel="0" collapsed="false">
      <c r="A275" s="12"/>
      <c r="B275" s="34"/>
      <c r="C275" s="12"/>
      <c r="D275" s="12"/>
      <c r="E275" s="12"/>
      <c r="F275" s="12"/>
      <c r="G275" s="18"/>
      <c r="H275" s="35"/>
      <c r="I275" s="35"/>
      <c r="J275" s="12"/>
      <c r="O275" s="12"/>
      <c r="P275" s="18"/>
      <c r="Q275" s="12"/>
      <c r="R275" s="12"/>
      <c r="S275" s="12"/>
      <c r="T275" s="36"/>
      <c r="U275" s="36"/>
      <c r="V275" s="12"/>
      <c r="W275" s="12"/>
      <c r="X275" s="12"/>
      <c r="Y275" s="12"/>
      <c r="Z275" s="12"/>
    </row>
    <row r="276" customFormat="false" ht="15.75" hidden="false" customHeight="false" outlineLevel="0" collapsed="false">
      <c r="A276" s="12"/>
      <c r="B276" s="34"/>
      <c r="C276" s="12"/>
      <c r="D276" s="12"/>
      <c r="E276" s="12"/>
      <c r="F276" s="12"/>
      <c r="G276" s="18"/>
      <c r="H276" s="35"/>
      <c r="I276" s="35"/>
      <c r="J276" s="12"/>
      <c r="O276" s="12"/>
      <c r="P276" s="18"/>
      <c r="Q276" s="12"/>
      <c r="R276" s="12"/>
      <c r="S276" s="12"/>
      <c r="T276" s="36"/>
      <c r="U276" s="36"/>
      <c r="V276" s="12"/>
      <c r="W276" s="12"/>
      <c r="X276" s="12"/>
      <c r="Y276" s="12"/>
      <c r="Z276" s="12"/>
    </row>
    <row r="277" customFormat="false" ht="15.75" hidden="false" customHeight="false" outlineLevel="0" collapsed="false">
      <c r="A277" s="12"/>
      <c r="B277" s="34"/>
      <c r="C277" s="12"/>
      <c r="D277" s="12"/>
      <c r="E277" s="12"/>
      <c r="F277" s="12"/>
      <c r="G277" s="18"/>
      <c r="H277" s="35"/>
      <c r="I277" s="35"/>
      <c r="J277" s="12"/>
      <c r="O277" s="12"/>
      <c r="P277" s="18"/>
      <c r="Q277" s="12"/>
      <c r="R277" s="12"/>
      <c r="S277" s="12"/>
      <c r="T277" s="36"/>
      <c r="U277" s="36"/>
      <c r="V277" s="12"/>
      <c r="W277" s="12"/>
      <c r="X277" s="12"/>
      <c r="Y277" s="12"/>
      <c r="Z277" s="12"/>
    </row>
    <row r="278" customFormat="false" ht="15.75" hidden="false" customHeight="false" outlineLevel="0" collapsed="false">
      <c r="A278" s="12"/>
      <c r="B278" s="34"/>
      <c r="C278" s="12"/>
      <c r="D278" s="12"/>
      <c r="E278" s="12"/>
      <c r="F278" s="12"/>
      <c r="G278" s="18"/>
      <c r="H278" s="35"/>
      <c r="I278" s="35"/>
      <c r="J278" s="12"/>
      <c r="O278" s="12"/>
      <c r="P278" s="18"/>
      <c r="Q278" s="12"/>
      <c r="R278" s="12"/>
      <c r="S278" s="12"/>
      <c r="T278" s="36"/>
      <c r="U278" s="36"/>
      <c r="V278" s="12"/>
      <c r="W278" s="12"/>
      <c r="X278" s="12"/>
      <c r="Y278" s="12"/>
      <c r="Z278" s="12"/>
    </row>
    <row r="279" customFormat="false" ht="15.75" hidden="false" customHeight="false" outlineLevel="0" collapsed="false">
      <c r="A279" s="12"/>
      <c r="B279" s="34"/>
      <c r="C279" s="12"/>
      <c r="D279" s="12"/>
      <c r="E279" s="12"/>
      <c r="F279" s="12"/>
      <c r="G279" s="18"/>
      <c r="H279" s="35"/>
      <c r="I279" s="35"/>
      <c r="J279" s="12"/>
      <c r="O279" s="12"/>
      <c r="P279" s="18"/>
      <c r="Q279" s="12"/>
      <c r="R279" s="12"/>
      <c r="S279" s="12"/>
      <c r="T279" s="36"/>
      <c r="U279" s="36"/>
      <c r="V279" s="12"/>
      <c r="W279" s="12"/>
      <c r="X279" s="12"/>
      <c r="Y279" s="12"/>
      <c r="Z279" s="12"/>
    </row>
    <row r="280" customFormat="false" ht="15.75" hidden="false" customHeight="false" outlineLevel="0" collapsed="false">
      <c r="A280" s="12"/>
      <c r="B280" s="34"/>
      <c r="C280" s="12"/>
      <c r="D280" s="12"/>
      <c r="E280" s="12"/>
      <c r="F280" s="12"/>
      <c r="G280" s="18"/>
      <c r="H280" s="35"/>
      <c r="I280" s="35"/>
      <c r="J280" s="12"/>
      <c r="O280" s="12"/>
      <c r="P280" s="18"/>
      <c r="Q280" s="12"/>
      <c r="R280" s="12"/>
      <c r="S280" s="12"/>
      <c r="T280" s="36"/>
      <c r="U280" s="36"/>
      <c r="V280" s="12"/>
      <c r="W280" s="12"/>
      <c r="X280" s="12"/>
      <c r="Y280" s="12"/>
      <c r="Z280" s="12"/>
    </row>
    <row r="281" customFormat="false" ht="15.75" hidden="false" customHeight="false" outlineLevel="0" collapsed="false">
      <c r="A281" s="12"/>
      <c r="B281" s="34"/>
      <c r="C281" s="12"/>
      <c r="D281" s="12"/>
      <c r="E281" s="12"/>
      <c r="F281" s="12"/>
      <c r="G281" s="18"/>
      <c r="H281" s="35"/>
      <c r="I281" s="35"/>
      <c r="J281" s="12"/>
      <c r="O281" s="12"/>
      <c r="P281" s="18"/>
      <c r="Q281" s="12"/>
      <c r="R281" s="12"/>
      <c r="S281" s="12"/>
      <c r="T281" s="36"/>
      <c r="U281" s="36"/>
      <c r="V281" s="12"/>
      <c r="W281" s="12"/>
      <c r="X281" s="12"/>
      <c r="Y281" s="12"/>
      <c r="Z281" s="12"/>
    </row>
    <row r="282" customFormat="false" ht="15.75" hidden="false" customHeight="false" outlineLevel="0" collapsed="false">
      <c r="A282" s="12"/>
      <c r="B282" s="34"/>
      <c r="C282" s="12"/>
      <c r="D282" s="12"/>
      <c r="E282" s="12"/>
      <c r="F282" s="12"/>
      <c r="G282" s="18"/>
      <c r="H282" s="35"/>
      <c r="I282" s="35"/>
      <c r="J282" s="12"/>
      <c r="O282" s="12"/>
      <c r="P282" s="18"/>
      <c r="Q282" s="12"/>
      <c r="R282" s="12"/>
      <c r="S282" s="12"/>
      <c r="T282" s="36"/>
      <c r="U282" s="36"/>
      <c r="V282" s="12"/>
      <c r="W282" s="12"/>
      <c r="X282" s="12"/>
      <c r="Y282" s="12"/>
      <c r="Z282" s="12"/>
    </row>
    <row r="283" customFormat="false" ht="15.75" hidden="false" customHeight="false" outlineLevel="0" collapsed="false">
      <c r="A283" s="12"/>
      <c r="B283" s="34"/>
      <c r="C283" s="12"/>
      <c r="D283" s="12"/>
      <c r="E283" s="12"/>
      <c r="F283" s="12"/>
      <c r="G283" s="18"/>
      <c r="H283" s="35"/>
      <c r="I283" s="35"/>
      <c r="J283" s="12"/>
      <c r="O283" s="12"/>
      <c r="P283" s="18"/>
      <c r="Q283" s="12"/>
      <c r="R283" s="12"/>
      <c r="S283" s="12"/>
      <c r="T283" s="36"/>
      <c r="U283" s="36"/>
      <c r="V283" s="12"/>
      <c r="W283" s="12"/>
      <c r="X283" s="12"/>
      <c r="Y283" s="12"/>
      <c r="Z283" s="12"/>
    </row>
    <row r="284" customFormat="false" ht="15.75" hidden="false" customHeight="false" outlineLevel="0" collapsed="false">
      <c r="A284" s="12"/>
      <c r="B284" s="34"/>
      <c r="C284" s="12"/>
      <c r="D284" s="12"/>
      <c r="E284" s="12"/>
      <c r="F284" s="12"/>
      <c r="G284" s="18"/>
      <c r="H284" s="35"/>
      <c r="I284" s="35"/>
      <c r="J284" s="12"/>
      <c r="O284" s="12"/>
      <c r="P284" s="18"/>
      <c r="Q284" s="12"/>
      <c r="R284" s="12"/>
      <c r="S284" s="12"/>
      <c r="T284" s="36"/>
      <c r="U284" s="36"/>
      <c r="V284" s="12"/>
      <c r="W284" s="12"/>
      <c r="X284" s="12"/>
      <c r="Y284" s="12"/>
      <c r="Z284" s="12"/>
    </row>
    <row r="285" customFormat="false" ht="15.75" hidden="false" customHeight="false" outlineLevel="0" collapsed="false">
      <c r="A285" s="12"/>
      <c r="B285" s="34"/>
      <c r="C285" s="12"/>
      <c r="D285" s="12"/>
      <c r="E285" s="12"/>
      <c r="F285" s="12"/>
      <c r="G285" s="18"/>
      <c r="H285" s="35"/>
      <c r="I285" s="35"/>
      <c r="J285" s="12"/>
      <c r="O285" s="12"/>
      <c r="P285" s="18"/>
      <c r="Q285" s="12"/>
      <c r="R285" s="12"/>
      <c r="S285" s="12"/>
      <c r="T285" s="36"/>
      <c r="U285" s="36"/>
      <c r="V285" s="12"/>
      <c r="W285" s="12"/>
      <c r="X285" s="12"/>
      <c r="Y285" s="12"/>
      <c r="Z285" s="12"/>
    </row>
    <row r="286" customFormat="false" ht="15.75" hidden="false" customHeight="false" outlineLevel="0" collapsed="false">
      <c r="A286" s="12"/>
      <c r="B286" s="34"/>
      <c r="C286" s="12"/>
      <c r="D286" s="12"/>
      <c r="E286" s="12"/>
      <c r="F286" s="12"/>
      <c r="G286" s="18"/>
      <c r="H286" s="35"/>
      <c r="I286" s="35"/>
      <c r="J286" s="12"/>
      <c r="O286" s="12"/>
      <c r="P286" s="18"/>
      <c r="Q286" s="12"/>
      <c r="R286" s="12"/>
      <c r="S286" s="12"/>
      <c r="T286" s="36"/>
      <c r="U286" s="36"/>
      <c r="V286" s="12"/>
      <c r="W286" s="12"/>
      <c r="X286" s="12"/>
      <c r="Y286" s="12"/>
      <c r="Z286" s="12"/>
    </row>
    <row r="287" customFormat="false" ht="15.75" hidden="false" customHeight="false" outlineLevel="0" collapsed="false">
      <c r="A287" s="12"/>
      <c r="B287" s="34"/>
      <c r="C287" s="12"/>
      <c r="D287" s="12"/>
      <c r="E287" s="12"/>
      <c r="F287" s="12"/>
      <c r="G287" s="18"/>
      <c r="H287" s="35"/>
      <c r="I287" s="35"/>
      <c r="J287" s="12"/>
      <c r="O287" s="12"/>
      <c r="P287" s="18"/>
      <c r="Q287" s="12"/>
      <c r="R287" s="12"/>
      <c r="S287" s="12"/>
      <c r="T287" s="36"/>
      <c r="U287" s="36"/>
      <c r="V287" s="12"/>
      <c r="W287" s="12"/>
      <c r="X287" s="12"/>
      <c r="Y287" s="12"/>
      <c r="Z287" s="12"/>
    </row>
    <row r="288" customFormat="false" ht="15.75" hidden="false" customHeight="false" outlineLevel="0" collapsed="false">
      <c r="A288" s="12"/>
      <c r="B288" s="34"/>
      <c r="C288" s="12"/>
      <c r="D288" s="12"/>
      <c r="E288" s="12"/>
      <c r="F288" s="12"/>
      <c r="G288" s="18"/>
      <c r="H288" s="35"/>
      <c r="I288" s="35"/>
      <c r="J288" s="12"/>
      <c r="O288" s="12"/>
      <c r="P288" s="18"/>
      <c r="Q288" s="12"/>
      <c r="R288" s="12"/>
      <c r="S288" s="12"/>
      <c r="T288" s="36"/>
      <c r="U288" s="36"/>
      <c r="V288" s="12"/>
      <c r="W288" s="12"/>
      <c r="X288" s="12"/>
      <c r="Y288" s="12"/>
      <c r="Z288" s="12"/>
    </row>
    <row r="289" customFormat="false" ht="15.75" hidden="false" customHeight="false" outlineLevel="0" collapsed="false">
      <c r="A289" s="12"/>
      <c r="B289" s="34"/>
      <c r="C289" s="12"/>
      <c r="D289" s="12"/>
      <c r="E289" s="12"/>
      <c r="F289" s="12"/>
      <c r="G289" s="18"/>
      <c r="H289" s="35"/>
      <c r="I289" s="35"/>
      <c r="J289" s="12"/>
      <c r="O289" s="12"/>
      <c r="P289" s="18"/>
      <c r="Q289" s="12"/>
      <c r="R289" s="12"/>
      <c r="S289" s="12"/>
      <c r="T289" s="36"/>
      <c r="U289" s="36"/>
      <c r="V289" s="12"/>
      <c r="W289" s="12"/>
      <c r="X289" s="12"/>
      <c r="Y289" s="12"/>
      <c r="Z289" s="12"/>
    </row>
    <row r="290" customFormat="false" ht="15.75" hidden="false" customHeight="false" outlineLevel="0" collapsed="false">
      <c r="A290" s="12"/>
      <c r="B290" s="34"/>
      <c r="C290" s="12"/>
      <c r="D290" s="12"/>
      <c r="E290" s="12"/>
      <c r="F290" s="12"/>
      <c r="G290" s="18"/>
      <c r="H290" s="35"/>
      <c r="I290" s="35"/>
      <c r="J290" s="12"/>
      <c r="O290" s="12"/>
      <c r="P290" s="18"/>
      <c r="Q290" s="12"/>
      <c r="R290" s="12"/>
      <c r="S290" s="12"/>
      <c r="T290" s="36"/>
      <c r="U290" s="36"/>
      <c r="V290" s="12"/>
      <c r="W290" s="12"/>
      <c r="X290" s="12"/>
      <c r="Y290" s="12"/>
      <c r="Z290" s="12"/>
    </row>
    <row r="291" customFormat="false" ht="15.75" hidden="false" customHeight="false" outlineLevel="0" collapsed="false">
      <c r="A291" s="12"/>
      <c r="B291" s="34"/>
      <c r="C291" s="12"/>
      <c r="D291" s="12"/>
      <c r="E291" s="12"/>
      <c r="F291" s="12"/>
      <c r="G291" s="18"/>
      <c r="H291" s="35"/>
      <c r="I291" s="35"/>
      <c r="J291" s="12"/>
      <c r="O291" s="12"/>
      <c r="P291" s="18"/>
      <c r="Q291" s="12"/>
      <c r="R291" s="12"/>
      <c r="S291" s="12"/>
      <c r="T291" s="36"/>
      <c r="U291" s="36"/>
      <c r="V291" s="12"/>
      <c r="W291" s="12"/>
      <c r="X291" s="12"/>
      <c r="Y291" s="12"/>
      <c r="Z291" s="12"/>
    </row>
    <row r="292" customFormat="false" ht="15.75" hidden="false" customHeight="false" outlineLevel="0" collapsed="false">
      <c r="A292" s="12"/>
      <c r="B292" s="34"/>
      <c r="C292" s="12"/>
      <c r="D292" s="12"/>
      <c r="E292" s="12"/>
      <c r="F292" s="12"/>
      <c r="G292" s="18"/>
      <c r="H292" s="35"/>
      <c r="I292" s="35"/>
      <c r="J292" s="12"/>
      <c r="O292" s="12"/>
      <c r="P292" s="18"/>
      <c r="Q292" s="12"/>
      <c r="R292" s="12"/>
      <c r="S292" s="12"/>
      <c r="T292" s="36"/>
      <c r="U292" s="36"/>
      <c r="V292" s="12"/>
      <c r="W292" s="12"/>
      <c r="X292" s="12"/>
      <c r="Y292" s="12"/>
      <c r="Z292" s="12"/>
    </row>
    <row r="293" customFormat="false" ht="15.75" hidden="false" customHeight="false" outlineLevel="0" collapsed="false">
      <c r="A293" s="12"/>
      <c r="B293" s="34"/>
      <c r="C293" s="12"/>
      <c r="D293" s="12"/>
      <c r="E293" s="12"/>
      <c r="F293" s="12"/>
      <c r="G293" s="18"/>
      <c r="H293" s="35"/>
      <c r="I293" s="35"/>
      <c r="J293" s="12"/>
      <c r="O293" s="12"/>
      <c r="P293" s="18"/>
      <c r="Q293" s="12"/>
      <c r="R293" s="12"/>
      <c r="S293" s="12"/>
      <c r="T293" s="36"/>
      <c r="U293" s="36"/>
      <c r="V293" s="12"/>
      <c r="W293" s="12"/>
      <c r="X293" s="12"/>
      <c r="Y293" s="12"/>
      <c r="Z293" s="12"/>
    </row>
    <row r="294" customFormat="false" ht="15.75" hidden="false" customHeight="false" outlineLevel="0" collapsed="false">
      <c r="A294" s="12"/>
      <c r="B294" s="34"/>
      <c r="C294" s="12"/>
      <c r="D294" s="12"/>
      <c r="E294" s="12"/>
      <c r="F294" s="12"/>
      <c r="G294" s="18"/>
      <c r="H294" s="35"/>
      <c r="I294" s="35"/>
      <c r="J294" s="12"/>
      <c r="O294" s="12"/>
      <c r="P294" s="18"/>
      <c r="Q294" s="12"/>
      <c r="R294" s="12"/>
      <c r="S294" s="12"/>
      <c r="T294" s="36"/>
      <c r="U294" s="36"/>
      <c r="V294" s="12"/>
      <c r="W294" s="12"/>
      <c r="X294" s="12"/>
      <c r="Y294" s="12"/>
      <c r="Z294" s="12"/>
    </row>
    <row r="295" customFormat="false" ht="15.75" hidden="false" customHeight="false" outlineLevel="0" collapsed="false">
      <c r="A295" s="12"/>
      <c r="B295" s="34"/>
      <c r="C295" s="12"/>
      <c r="D295" s="12"/>
      <c r="E295" s="12"/>
      <c r="F295" s="12"/>
      <c r="G295" s="18"/>
      <c r="H295" s="35"/>
      <c r="I295" s="35"/>
      <c r="J295" s="12"/>
      <c r="O295" s="12"/>
      <c r="P295" s="18"/>
      <c r="Q295" s="12"/>
      <c r="R295" s="12"/>
      <c r="S295" s="12"/>
      <c r="T295" s="36"/>
      <c r="U295" s="36"/>
      <c r="V295" s="12"/>
      <c r="W295" s="12"/>
      <c r="X295" s="12"/>
      <c r="Y295" s="12"/>
      <c r="Z295" s="12"/>
    </row>
    <row r="296" customFormat="false" ht="15.75" hidden="false" customHeight="false" outlineLevel="0" collapsed="false">
      <c r="A296" s="12"/>
      <c r="B296" s="34"/>
      <c r="C296" s="12"/>
      <c r="D296" s="12"/>
      <c r="E296" s="12"/>
      <c r="F296" s="12"/>
      <c r="G296" s="18"/>
      <c r="H296" s="35"/>
      <c r="I296" s="35"/>
      <c r="J296" s="12"/>
      <c r="O296" s="12"/>
      <c r="P296" s="18"/>
      <c r="Q296" s="12"/>
      <c r="R296" s="12"/>
      <c r="S296" s="12"/>
      <c r="T296" s="36"/>
      <c r="U296" s="36"/>
      <c r="V296" s="12"/>
      <c r="W296" s="12"/>
      <c r="X296" s="12"/>
      <c r="Y296" s="12"/>
      <c r="Z296" s="12"/>
    </row>
    <row r="297" customFormat="false" ht="15.75" hidden="false" customHeight="false" outlineLevel="0" collapsed="false">
      <c r="A297" s="12"/>
      <c r="B297" s="34"/>
      <c r="C297" s="12"/>
      <c r="D297" s="12"/>
      <c r="E297" s="12"/>
      <c r="F297" s="12"/>
      <c r="G297" s="18"/>
      <c r="H297" s="35"/>
      <c r="I297" s="35"/>
      <c r="J297" s="12"/>
      <c r="O297" s="12"/>
      <c r="P297" s="18"/>
      <c r="Q297" s="12"/>
      <c r="R297" s="12"/>
      <c r="S297" s="12"/>
      <c r="T297" s="36"/>
      <c r="U297" s="36"/>
      <c r="V297" s="12"/>
      <c r="W297" s="12"/>
      <c r="X297" s="12"/>
      <c r="Y297" s="12"/>
      <c r="Z297" s="12"/>
    </row>
    <row r="298" customFormat="false" ht="15.75" hidden="false" customHeight="false" outlineLevel="0" collapsed="false">
      <c r="A298" s="12"/>
      <c r="B298" s="34"/>
      <c r="C298" s="12"/>
      <c r="D298" s="12"/>
      <c r="E298" s="12"/>
      <c r="F298" s="12"/>
      <c r="G298" s="18"/>
      <c r="H298" s="35"/>
      <c r="I298" s="35"/>
      <c r="J298" s="12"/>
      <c r="O298" s="12"/>
      <c r="P298" s="18"/>
      <c r="Q298" s="12"/>
      <c r="R298" s="12"/>
      <c r="S298" s="12"/>
      <c r="T298" s="36"/>
      <c r="U298" s="36"/>
      <c r="V298" s="12"/>
      <c r="W298" s="12"/>
      <c r="X298" s="12"/>
      <c r="Y298" s="12"/>
      <c r="Z298" s="12"/>
    </row>
    <row r="299" customFormat="false" ht="15.75" hidden="false" customHeight="false" outlineLevel="0" collapsed="false">
      <c r="A299" s="12"/>
      <c r="B299" s="34"/>
      <c r="C299" s="12"/>
      <c r="D299" s="12"/>
      <c r="E299" s="12"/>
      <c r="F299" s="12"/>
      <c r="G299" s="18"/>
      <c r="H299" s="35"/>
      <c r="I299" s="35"/>
      <c r="J299" s="12"/>
      <c r="O299" s="12"/>
      <c r="P299" s="18"/>
      <c r="Q299" s="12"/>
      <c r="R299" s="12"/>
      <c r="S299" s="12"/>
      <c r="T299" s="36"/>
      <c r="U299" s="36"/>
      <c r="V299" s="12"/>
      <c r="W299" s="12"/>
      <c r="X299" s="12"/>
      <c r="Y299" s="12"/>
      <c r="Z299" s="12"/>
    </row>
    <row r="300" customFormat="false" ht="15.75" hidden="false" customHeight="false" outlineLevel="0" collapsed="false">
      <c r="A300" s="12"/>
      <c r="B300" s="34"/>
      <c r="C300" s="12"/>
      <c r="D300" s="12"/>
      <c r="E300" s="12"/>
      <c r="F300" s="12"/>
      <c r="G300" s="18"/>
      <c r="H300" s="35"/>
      <c r="I300" s="35"/>
      <c r="J300" s="12"/>
      <c r="O300" s="12"/>
      <c r="P300" s="18"/>
      <c r="Q300" s="12"/>
      <c r="R300" s="12"/>
      <c r="S300" s="12"/>
      <c r="T300" s="36"/>
      <c r="U300" s="36"/>
      <c r="V300" s="12"/>
      <c r="W300" s="12"/>
      <c r="X300" s="12"/>
      <c r="Y300" s="12"/>
      <c r="Z300" s="12"/>
    </row>
    <row r="301" customFormat="false" ht="15.75" hidden="false" customHeight="false" outlineLevel="0" collapsed="false">
      <c r="A301" s="12"/>
      <c r="B301" s="34"/>
      <c r="C301" s="12"/>
      <c r="D301" s="12"/>
      <c r="E301" s="12"/>
      <c r="F301" s="12"/>
      <c r="G301" s="18"/>
      <c r="H301" s="35"/>
      <c r="I301" s="35"/>
      <c r="J301" s="12"/>
      <c r="O301" s="12"/>
      <c r="P301" s="18"/>
      <c r="Q301" s="12"/>
      <c r="R301" s="12"/>
      <c r="S301" s="12"/>
      <c r="T301" s="36"/>
      <c r="U301" s="36"/>
      <c r="V301" s="12"/>
      <c r="W301" s="12"/>
      <c r="X301" s="12"/>
      <c r="Y301" s="12"/>
      <c r="Z301" s="12"/>
    </row>
    <row r="302" customFormat="false" ht="15.75" hidden="false" customHeight="false" outlineLevel="0" collapsed="false">
      <c r="A302" s="12"/>
      <c r="B302" s="34"/>
      <c r="C302" s="12"/>
      <c r="D302" s="12"/>
      <c r="E302" s="12"/>
      <c r="F302" s="12"/>
      <c r="G302" s="18"/>
      <c r="H302" s="35"/>
      <c r="I302" s="35"/>
      <c r="J302" s="12"/>
      <c r="O302" s="12"/>
      <c r="P302" s="18"/>
      <c r="Q302" s="12"/>
      <c r="R302" s="12"/>
      <c r="S302" s="12"/>
      <c r="T302" s="36"/>
      <c r="U302" s="36"/>
      <c r="V302" s="12"/>
      <c r="W302" s="12"/>
      <c r="X302" s="12"/>
      <c r="Y302" s="12"/>
      <c r="Z302" s="12"/>
    </row>
    <row r="303" customFormat="false" ht="15.75" hidden="false" customHeight="false" outlineLevel="0" collapsed="false">
      <c r="A303" s="12"/>
      <c r="B303" s="34"/>
      <c r="C303" s="12"/>
      <c r="D303" s="12"/>
      <c r="E303" s="12"/>
      <c r="F303" s="12"/>
      <c r="G303" s="18"/>
      <c r="H303" s="35"/>
      <c r="I303" s="35"/>
      <c r="J303" s="12"/>
      <c r="O303" s="12"/>
      <c r="P303" s="18"/>
      <c r="Q303" s="12"/>
      <c r="R303" s="12"/>
      <c r="S303" s="12"/>
      <c r="T303" s="36"/>
      <c r="U303" s="36"/>
      <c r="V303" s="12"/>
      <c r="W303" s="12"/>
      <c r="X303" s="12"/>
      <c r="Y303" s="12"/>
      <c r="Z303" s="12"/>
    </row>
    <row r="304" customFormat="false" ht="15.75" hidden="false" customHeight="false" outlineLevel="0" collapsed="false">
      <c r="A304" s="12"/>
      <c r="B304" s="34"/>
      <c r="C304" s="12"/>
      <c r="D304" s="12"/>
      <c r="E304" s="12"/>
      <c r="F304" s="12"/>
      <c r="G304" s="18"/>
      <c r="H304" s="35"/>
      <c r="I304" s="35"/>
      <c r="J304" s="12"/>
      <c r="O304" s="12"/>
      <c r="P304" s="18"/>
      <c r="Q304" s="12"/>
      <c r="R304" s="12"/>
      <c r="S304" s="12"/>
      <c r="T304" s="36"/>
      <c r="U304" s="36"/>
      <c r="V304" s="12"/>
      <c r="W304" s="12"/>
      <c r="X304" s="12"/>
      <c r="Y304" s="12"/>
      <c r="Z304" s="12"/>
    </row>
    <row r="305" customFormat="false" ht="15.75" hidden="false" customHeight="false" outlineLevel="0" collapsed="false">
      <c r="A305" s="12"/>
      <c r="B305" s="34"/>
      <c r="C305" s="12"/>
      <c r="D305" s="12"/>
      <c r="E305" s="12"/>
      <c r="F305" s="12"/>
      <c r="G305" s="18"/>
      <c r="H305" s="35"/>
      <c r="I305" s="35"/>
      <c r="J305" s="12"/>
      <c r="O305" s="12"/>
      <c r="P305" s="18"/>
      <c r="Q305" s="12"/>
      <c r="R305" s="12"/>
      <c r="S305" s="12"/>
      <c r="T305" s="36"/>
      <c r="U305" s="36"/>
      <c r="V305" s="12"/>
      <c r="W305" s="12"/>
      <c r="X305" s="12"/>
      <c r="Y305" s="12"/>
      <c r="Z305" s="12"/>
    </row>
    <row r="306" customFormat="false" ht="15.75" hidden="false" customHeight="false" outlineLevel="0" collapsed="false">
      <c r="A306" s="12"/>
      <c r="B306" s="34"/>
      <c r="C306" s="12"/>
      <c r="D306" s="12"/>
      <c r="E306" s="12"/>
      <c r="F306" s="12"/>
      <c r="G306" s="18"/>
      <c r="H306" s="35"/>
      <c r="I306" s="35"/>
      <c r="J306" s="12"/>
      <c r="O306" s="12"/>
      <c r="P306" s="18"/>
      <c r="Q306" s="12"/>
      <c r="R306" s="12"/>
      <c r="S306" s="12"/>
      <c r="T306" s="36"/>
      <c r="U306" s="36"/>
      <c r="V306" s="12"/>
      <c r="W306" s="12"/>
      <c r="X306" s="12"/>
      <c r="Y306" s="12"/>
      <c r="Z306" s="12"/>
    </row>
    <row r="307" customFormat="false" ht="15.75" hidden="false" customHeight="false" outlineLevel="0" collapsed="false">
      <c r="A307" s="12"/>
      <c r="B307" s="34"/>
      <c r="C307" s="12"/>
      <c r="D307" s="12"/>
      <c r="E307" s="12"/>
      <c r="F307" s="12"/>
      <c r="G307" s="18"/>
      <c r="H307" s="35"/>
      <c r="I307" s="35"/>
      <c r="J307" s="12"/>
      <c r="O307" s="12"/>
      <c r="P307" s="18"/>
      <c r="Q307" s="12"/>
      <c r="R307" s="12"/>
      <c r="S307" s="12"/>
      <c r="T307" s="36"/>
      <c r="U307" s="36"/>
      <c r="V307" s="12"/>
      <c r="W307" s="12"/>
      <c r="X307" s="12"/>
      <c r="Y307" s="12"/>
      <c r="Z307" s="12"/>
    </row>
    <row r="308" customFormat="false" ht="15.75" hidden="false" customHeight="false" outlineLevel="0" collapsed="false">
      <c r="A308" s="12"/>
      <c r="B308" s="34"/>
      <c r="C308" s="12"/>
      <c r="D308" s="12"/>
      <c r="E308" s="12"/>
      <c r="F308" s="12"/>
      <c r="G308" s="18"/>
      <c r="H308" s="35"/>
      <c r="I308" s="35"/>
      <c r="J308" s="12"/>
      <c r="O308" s="12"/>
      <c r="P308" s="18"/>
      <c r="Q308" s="12"/>
      <c r="R308" s="12"/>
      <c r="S308" s="12"/>
      <c r="T308" s="36"/>
      <c r="U308" s="36"/>
      <c r="V308" s="12"/>
      <c r="W308" s="12"/>
      <c r="X308" s="12"/>
      <c r="Y308" s="12"/>
      <c r="Z308" s="12"/>
    </row>
    <row r="309" customFormat="false" ht="15.75" hidden="false" customHeight="false" outlineLevel="0" collapsed="false">
      <c r="A309" s="12"/>
      <c r="B309" s="34"/>
      <c r="C309" s="12"/>
      <c r="D309" s="12"/>
      <c r="E309" s="12"/>
      <c r="F309" s="12"/>
      <c r="G309" s="18"/>
      <c r="H309" s="35"/>
      <c r="I309" s="35"/>
      <c r="J309" s="12"/>
      <c r="O309" s="12"/>
      <c r="P309" s="18"/>
      <c r="Q309" s="12"/>
      <c r="R309" s="12"/>
      <c r="S309" s="12"/>
      <c r="T309" s="36"/>
      <c r="U309" s="36"/>
      <c r="V309" s="12"/>
      <c r="W309" s="12"/>
      <c r="X309" s="12"/>
      <c r="Y309" s="12"/>
      <c r="Z309" s="12"/>
    </row>
    <row r="310" customFormat="false" ht="15.75" hidden="false" customHeight="false" outlineLevel="0" collapsed="false">
      <c r="A310" s="12"/>
      <c r="B310" s="34"/>
      <c r="C310" s="12"/>
      <c r="D310" s="12"/>
      <c r="E310" s="12"/>
      <c r="F310" s="12"/>
      <c r="G310" s="18"/>
      <c r="H310" s="35"/>
      <c r="I310" s="35"/>
      <c r="J310" s="12"/>
      <c r="O310" s="12"/>
      <c r="P310" s="18"/>
      <c r="Q310" s="12"/>
      <c r="R310" s="12"/>
      <c r="S310" s="12"/>
      <c r="T310" s="36"/>
      <c r="U310" s="36"/>
      <c r="V310" s="12"/>
      <c r="W310" s="12"/>
      <c r="X310" s="12"/>
      <c r="Y310" s="12"/>
      <c r="Z310" s="12"/>
    </row>
    <row r="311" customFormat="false" ht="15.75" hidden="false" customHeight="false" outlineLevel="0" collapsed="false">
      <c r="A311" s="12"/>
      <c r="B311" s="34"/>
      <c r="C311" s="12"/>
      <c r="D311" s="12"/>
      <c r="E311" s="12"/>
      <c r="F311" s="12"/>
      <c r="G311" s="18"/>
      <c r="H311" s="35"/>
      <c r="I311" s="35"/>
      <c r="J311" s="12"/>
      <c r="O311" s="12"/>
      <c r="P311" s="18"/>
      <c r="Q311" s="12"/>
      <c r="R311" s="12"/>
      <c r="S311" s="12"/>
      <c r="T311" s="36"/>
      <c r="U311" s="36"/>
      <c r="V311" s="12"/>
      <c r="W311" s="12"/>
      <c r="X311" s="12"/>
      <c r="Y311" s="12"/>
      <c r="Z311" s="12"/>
    </row>
    <row r="312" customFormat="false" ht="15.75" hidden="false" customHeight="false" outlineLevel="0" collapsed="false">
      <c r="A312" s="12"/>
      <c r="B312" s="34"/>
      <c r="C312" s="12"/>
      <c r="D312" s="12"/>
      <c r="E312" s="12"/>
      <c r="F312" s="12"/>
      <c r="G312" s="18"/>
      <c r="H312" s="35"/>
      <c r="I312" s="35"/>
      <c r="J312" s="12"/>
      <c r="O312" s="12"/>
      <c r="P312" s="18"/>
      <c r="Q312" s="12"/>
      <c r="R312" s="12"/>
      <c r="S312" s="12"/>
      <c r="T312" s="36"/>
      <c r="U312" s="36"/>
      <c r="V312" s="12"/>
      <c r="W312" s="12"/>
      <c r="X312" s="12"/>
      <c r="Y312" s="12"/>
      <c r="Z312" s="12"/>
    </row>
    <row r="313" customFormat="false" ht="15.75" hidden="false" customHeight="false" outlineLevel="0" collapsed="false">
      <c r="A313" s="12"/>
      <c r="B313" s="34"/>
      <c r="C313" s="12"/>
      <c r="D313" s="12"/>
      <c r="E313" s="12"/>
      <c r="F313" s="12"/>
      <c r="G313" s="18"/>
      <c r="H313" s="35"/>
      <c r="I313" s="35"/>
      <c r="J313" s="12"/>
      <c r="O313" s="12"/>
      <c r="P313" s="18"/>
      <c r="Q313" s="12"/>
      <c r="R313" s="12"/>
      <c r="S313" s="12"/>
      <c r="T313" s="36"/>
      <c r="U313" s="36"/>
      <c r="V313" s="12"/>
      <c r="W313" s="12"/>
      <c r="X313" s="12"/>
      <c r="Y313" s="12"/>
      <c r="Z313" s="12"/>
    </row>
    <row r="314" customFormat="false" ht="15.75" hidden="false" customHeight="false" outlineLevel="0" collapsed="false">
      <c r="A314" s="12"/>
      <c r="B314" s="34"/>
      <c r="C314" s="12"/>
      <c r="D314" s="12"/>
      <c r="E314" s="12"/>
      <c r="F314" s="12"/>
      <c r="G314" s="18"/>
      <c r="H314" s="35"/>
      <c r="I314" s="35"/>
      <c r="J314" s="12"/>
      <c r="O314" s="12"/>
      <c r="P314" s="18"/>
      <c r="Q314" s="12"/>
      <c r="R314" s="12"/>
      <c r="S314" s="12"/>
      <c r="T314" s="36"/>
      <c r="U314" s="36"/>
      <c r="V314" s="12"/>
      <c r="W314" s="12"/>
      <c r="X314" s="12"/>
      <c r="Y314" s="12"/>
      <c r="Z314" s="12"/>
    </row>
    <row r="315" customFormat="false" ht="15.75" hidden="false" customHeight="false" outlineLevel="0" collapsed="false">
      <c r="A315" s="12"/>
      <c r="B315" s="34"/>
      <c r="C315" s="12"/>
      <c r="D315" s="12"/>
      <c r="E315" s="12"/>
      <c r="F315" s="12"/>
      <c r="G315" s="18"/>
      <c r="H315" s="35"/>
      <c r="I315" s="35"/>
      <c r="J315" s="12"/>
      <c r="O315" s="12"/>
      <c r="P315" s="18"/>
      <c r="Q315" s="12"/>
      <c r="R315" s="12"/>
      <c r="S315" s="12"/>
      <c r="T315" s="36"/>
      <c r="U315" s="36"/>
      <c r="V315" s="12"/>
      <c r="W315" s="12"/>
      <c r="X315" s="12"/>
      <c r="Y315" s="12"/>
      <c r="Z315" s="12"/>
    </row>
    <row r="316" customFormat="false" ht="15.75" hidden="false" customHeight="false" outlineLevel="0" collapsed="false">
      <c r="A316" s="12"/>
      <c r="B316" s="34"/>
      <c r="C316" s="12"/>
      <c r="D316" s="12"/>
      <c r="E316" s="12"/>
      <c r="F316" s="12"/>
      <c r="G316" s="18"/>
      <c r="H316" s="35"/>
      <c r="I316" s="35"/>
      <c r="J316" s="12"/>
      <c r="O316" s="12"/>
      <c r="P316" s="18"/>
      <c r="Q316" s="12"/>
      <c r="R316" s="12"/>
      <c r="S316" s="12"/>
      <c r="T316" s="36"/>
      <c r="U316" s="36"/>
      <c r="V316" s="12"/>
      <c r="W316" s="12"/>
      <c r="X316" s="12"/>
      <c r="Y316" s="12"/>
      <c r="Z316" s="12"/>
    </row>
    <row r="317" customFormat="false" ht="15.75" hidden="false" customHeight="false" outlineLevel="0" collapsed="false">
      <c r="A317" s="12"/>
      <c r="B317" s="34"/>
      <c r="C317" s="12"/>
      <c r="D317" s="12"/>
      <c r="E317" s="12"/>
      <c r="F317" s="12"/>
      <c r="G317" s="18"/>
      <c r="H317" s="35"/>
      <c r="I317" s="35"/>
      <c r="J317" s="12"/>
      <c r="O317" s="12"/>
      <c r="P317" s="18"/>
      <c r="Q317" s="12"/>
      <c r="R317" s="12"/>
      <c r="S317" s="12"/>
      <c r="T317" s="36"/>
      <c r="U317" s="36"/>
      <c r="V317" s="12"/>
      <c r="W317" s="12"/>
      <c r="X317" s="12"/>
      <c r="Y317" s="12"/>
      <c r="Z317" s="12"/>
    </row>
    <row r="318" customFormat="false" ht="15.75" hidden="false" customHeight="false" outlineLevel="0" collapsed="false">
      <c r="A318" s="12"/>
      <c r="B318" s="34"/>
      <c r="C318" s="12"/>
      <c r="D318" s="12"/>
      <c r="E318" s="12"/>
      <c r="F318" s="12"/>
      <c r="G318" s="18"/>
      <c r="H318" s="35"/>
      <c r="I318" s="35"/>
      <c r="J318" s="12"/>
      <c r="O318" s="12"/>
      <c r="P318" s="18"/>
      <c r="Q318" s="12"/>
      <c r="R318" s="12"/>
      <c r="S318" s="12"/>
      <c r="T318" s="36"/>
      <c r="U318" s="36"/>
      <c r="V318" s="12"/>
      <c r="W318" s="12"/>
      <c r="X318" s="12"/>
      <c r="Y318" s="12"/>
      <c r="Z318" s="12"/>
    </row>
    <row r="319" customFormat="false" ht="15.75" hidden="false" customHeight="false" outlineLevel="0" collapsed="false">
      <c r="A319" s="12"/>
      <c r="B319" s="34"/>
      <c r="C319" s="12"/>
      <c r="D319" s="12"/>
      <c r="E319" s="12"/>
      <c r="F319" s="12"/>
      <c r="G319" s="18"/>
      <c r="H319" s="35"/>
      <c r="I319" s="35"/>
      <c r="J319" s="12"/>
      <c r="O319" s="12"/>
      <c r="P319" s="18"/>
      <c r="Q319" s="12"/>
      <c r="R319" s="12"/>
      <c r="S319" s="12"/>
      <c r="T319" s="36"/>
      <c r="U319" s="36"/>
      <c r="V319" s="12"/>
      <c r="W319" s="12"/>
      <c r="X319" s="12"/>
      <c r="Y319" s="12"/>
      <c r="Z319" s="12"/>
    </row>
    <row r="320" customFormat="false" ht="15.75" hidden="false" customHeight="false" outlineLevel="0" collapsed="false">
      <c r="A320" s="12"/>
      <c r="B320" s="34"/>
      <c r="C320" s="12"/>
      <c r="D320" s="12"/>
      <c r="E320" s="12"/>
      <c r="F320" s="12"/>
      <c r="G320" s="18"/>
      <c r="H320" s="35"/>
      <c r="I320" s="35"/>
      <c r="J320" s="12"/>
      <c r="O320" s="12"/>
      <c r="P320" s="18"/>
      <c r="Q320" s="12"/>
      <c r="R320" s="12"/>
      <c r="S320" s="12"/>
      <c r="T320" s="36"/>
      <c r="U320" s="36"/>
      <c r="V320" s="12"/>
      <c r="W320" s="12"/>
      <c r="X320" s="12"/>
      <c r="Y320" s="12"/>
      <c r="Z320" s="12"/>
    </row>
    <row r="321" customFormat="false" ht="15.75" hidden="false" customHeight="false" outlineLevel="0" collapsed="false">
      <c r="A321" s="12"/>
      <c r="B321" s="34"/>
      <c r="C321" s="12"/>
      <c r="D321" s="12"/>
      <c r="E321" s="12"/>
      <c r="F321" s="12"/>
      <c r="G321" s="18"/>
      <c r="H321" s="35"/>
      <c r="I321" s="35"/>
      <c r="J321" s="12"/>
      <c r="O321" s="12"/>
      <c r="P321" s="18"/>
      <c r="Q321" s="12"/>
      <c r="R321" s="12"/>
      <c r="S321" s="12"/>
      <c r="T321" s="36"/>
      <c r="U321" s="36"/>
      <c r="V321" s="12"/>
      <c r="W321" s="12"/>
      <c r="X321" s="12"/>
      <c r="Y321" s="12"/>
      <c r="Z321" s="12"/>
    </row>
    <row r="322" customFormat="false" ht="15.75" hidden="false" customHeight="false" outlineLevel="0" collapsed="false">
      <c r="A322" s="12"/>
      <c r="B322" s="34"/>
      <c r="C322" s="12"/>
      <c r="D322" s="12"/>
      <c r="E322" s="12"/>
      <c r="F322" s="12"/>
      <c r="G322" s="18"/>
      <c r="H322" s="35"/>
      <c r="I322" s="35"/>
      <c r="J322" s="12"/>
      <c r="O322" s="12"/>
      <c r="P322" s="18"/>
      <c r="Q322" s="12"/>
      <c r="R322" s="12"/>
      <c r="S322" s="12"/>
      <c r="T322" s="36"/>
      <c r="U322" s="36"/>
      <c r="V322" s="12"/>
      <c r="W322" s="12"/>
      <c r="X322" s="12"/>
      <c r="Y322" s="12"/>
      <c r="Z322" s="12"/>
    </row>
    <row r="323" customFormat="false" ht="15.75" hidden="false" customHeight="false" outlineLevel="0" collapsed="false">
      <c r="A323" s="12"/>
      <c r="B323" s="34"/>
      <c r="C323" s="12"/>
      <c r="D323" s="12"/>
      <c r="E323" s="12"/>
      <c r="F323" s="12"/>
      <c r="G323" s="18"/>
      <c r="H323" s="35"/>
      <c r="I323" s="35"/>
      <c r="J323" s="12"/>
      <c r="O323" s="12"/>
      <c r="P323" s="18"/>
      <c r="Q323" s="12"/>
      <c r="R323" s="12"/>
      <c r="S323" s="12"/>
      <c r="T323" s="36"/>
      <c r="U323" s="36"/>
      <c r="V323" s="12"/>
      <c r="W323" s="12"/>
      <c r="X323" s="12"/>
      <c r="Y323" s="12"/>
      <c r="Z323" s="12"/>
    </row>
    <row r="324" customFormat="false" ht="15.75" hidden="false" customHeight="false" outlineLevel="0" collapsed="false">
      <c r="A324" s="12"/>
      <c r="B324" s="34"/>
      <c r="C324" s="12"/>
      <c r="D324" s="12"/>
      <c r="E324" s="12"/>
      <c r="F324" s="12"/>
      <c r="G324" s="18"/>
      <c r="H324" s="35"/>
      <c r="I324" s="35"/>
      <c r="J324" s="12"/>
      <c r="O324" s="12"/>
      <c r="P324" s="18"/>
      <c r="Q324" s="12"/>
      <c r="R324" s="12"/>
      <c r="S324" s="12"/>
      <c r="T324" s="36"/>
      <c r="U324" s="36"/>
      <c r="V324" s="12"/>
      <c r="W324" s="12"/>
      <c r="X324" s="12"/>
      <c r="Y324" s="12"/>
      <c r="Z324" s="12"/>
    </row>
    <row r="325" customFormat="false" ht="15.75" hidden="false" customHeight="false" outlineLevel="0" collapsed="false">
      <c r="A325" s="12"/>
      <c r="B325" s="34"/>
      <c r="C325" s="12"/>
      <c r="D325" s="12"/>
      <c r="E325" s="12"/>
      <c r="F325" s="12"/>
      <c r="G325" s="18"/>
      <c r="H325" s="35"/>
      <c r="I325" s="35"/>
      <c r="J325" s="12"/>
      <c r="O325" s="12"/>
      <c r="P325" s="18"/>
      <c r="Q325" s="12"/>
      <c r="R325" s="12"/>
      <c r="S325" s="12"/>
      <c r="T325" s="36"/>
      <c r="U325" s="36"/>
      <c r="V325" s="12"/>
      <c r="W325" s="12"/>
      <c r="X325" s="12"/>
      <c r="Y325" s="12"/>
      <c r="Z325" s="12"/>
    </row>
    <row r="326" customFormat="false" ht="15.75" hidden="false" customHeight="false" outlineLevel="0" collapsed="false">
      <c r="A326" s="12"/>
      <c r="B326" s="34"/>
      <c r="C326" s="12"/>
      <c r="D326" s="12"/>
      <c r="E326" s="12"/>
      <c r="F326" s="12"/>
      <c r="G326" s="18"/>
      <c r="H326" s="35"/>
      <c r="I326" s="35"/>
      <c r="J326" s="12"/>
      <c r="O326" s="12"/>
      <c r="P326" s="18"/>
      <c r="Q326" s="12"/>
      <c r="R326" s="12"/>
      <c r="S326" s="12"/>
      <c r="T326" s="36"/>
      <c r="U326" s="36"/>
      <c r="V326" s="12"/>
      <c r="W326" s="12"/>
      <c r="X326" s="12"/>
      <c r="Y326" s="12"/>
      <c r="Z326" s="12"/>
    </row>
    <row r="327" customFormat="false" ht="15.75" hidden="false" customHeight="false" outlineLevel="0" collapsed="false">
      <c r="A327" s="12"/>
      <c r="B327" s="34"/>
      <c r="C327" s="12"/>
      <c r="D327" s="12"/>
      <c r="E327" s="12"/>
      <c r="F327" s="12"/>
      <c r="G327" s="18"/>
      <c r="H327" s="35"/>
      <c r="I327" s="35"/>
      <c r="J327" s="12"/>
      <c r="O327" s="12"/>
      <c r="P327" s="18"/>
      <c r="Q327" s="12"/>
      <c r="R327" s="12"/>
      <c r="S327" s="12"/>
      <c r="T327" s="36"/>
      <c r="U327" s="36"/>
      <c r="V327" s="12"/>
      <c r="W327" s="12"/>
      <c r="X327" s="12"/>
      <c r="Y327" s="12"/>
      <c r="Z327" s="12"/>
    </row>
    <row r="328" customFormat="false" ht="15.75" hidden="false" customHeight="false" outlineLevel="0" collapsed="false">
      <c r="A328" s="12"/>
      <c r="B328" s="34"/>
      <c r="C328" s="12"/>
      <c r="D328" s="12"/>
      <c r="E328" s="12"/>
      <c r="F328" s="12"/>
      <c r="G328" s="18"/>
      <c r="H328" s="35"/>
      <c r="I328" s="35"/>
      <c r="J328" s="12"/>
      <c r="O328" s="12"/>
      <c r="P328" s="18"/>
      <c r="Q328" s="12"/>
      <c r="R328" s="12"/>
      <c r="S328" s="12"/>
      <c r="T328" s="36"/>
      <c r="U328" s="36"/>
      <c r="V328" s="12"/>
      <c r="W328" s="12"/>
      <c r="X328" s="12"/>
      <c r="Y328" s="12"/>
      <c r="Z328" s="12"/>
    </row>
    <row r="329" customFormat="false" ht="15.75" hidden="false" customHeight="false" outlineLevel="0" collapsed="false">
      <c r="A329" s="12"/>
      <c r="B329" s="34"/>
      <c r="C329" s="12"/>
      <c r="D329" s="12"/>
      <c r="E329" s="12"/>
      <c r="F329" s="12"/>
      <c r="G329" s="18"/>
      <c r="H329" s="35"/>
      <c r="I329" s="35"/>
      <c r="J329" s="12"/>
      <c r="O329" s="12"/>
      <c r="P329" s="18"/>
      <c r="Q329" s="12"/>
      <c r="R329" s="12"/>
      <c r="S329" s="12"/>
      <c r="T329" s="36"/>
      <c r="U329" s="36"/>
      <c r="V329" s="12"/>
      <c r="W329" s="12"/>
      <c r="X329" s="12"/>
      <c r="Y329" s="12"/>
      <c r="Z329" s="12"/>
    </row>
    <row r="330" customFormat="false" ht="15.75" hidden="false" customHeight="false" outlineLevel="0" collapsed="false">
      <c r="A330" s="12"/>
      <c r="B330" s="34"/>
      <c r="C330" s="12"/>
      <c r="D330" s="12"/>
      <c r="E330" s="12"/>
      <c r="F330" s="12"/>
      <c r="G330" s="18"/>
      <c r="H330" s="35"/>
      <c r="I330" s="35"/>
      <c r="J330" s="12"/>
      <c r="O330" s="12"/>
      <c r="P330" s="18"/>
      <c r="Q330" s="12"/>
      <c r="R330" s="12"/>
      <c r="S330" s="12"/>
      <c r="T330" s="36"/>
      <c r="U330" s="36"/>
      <c r="V330" s="12"/>
      <c r="W330" s="12"/>
      <c r="X330" s="12"/>
      <c r="Y330" s="12"/>
      <c r="Z330" s="12"/>
    </row>
    <row r="331" customFormat="false" ht="15.75" hidden="false" customHeight="false" outlineLevel="0" collapsed="false">
      <c r="A331" s="12"/>
      <c r="B331" s="34"/>
      <c r="C331" s="12"/>
      <c r="D331" s="12"/>
      <c r="E331" s="12"/>
      <c r="F331" s="12"/>
      <c r="G331" s="18"/>
      <c r="H331" s="35"/>
      <c r="I331" s="35"/>
      <c r="J331" s="12"/>
      <c r="O331" s="12"/>
      <c r="P331" s="18"/>
      <c r="Q331" s="12"/>
      <c r="R331" s="12"/>
      <c r="S331" s="12"/>
      <c r="T331" s="36"/>
      <c r="U331" s="36"/>
      <c r="V331" s="12"/>
      <c r="W331" s="12"/>
      <c r="X331" s="12"/>
      <c r="Y331" s="12"/>
      <c r="Z331" s="12"/>
    </row>
    <row r="332" customFormat="false" ht="15.75" hidden="false" customHeight="false" outlineLevel="0" collapsed="false">
      <c r="A332" s="12"/>
      <c r="B332" s="34"/>
      <c r="C332" s="12"/>
      <c r="D332" s="12"/>
      <c r="E332" s="12"/>
      <c r="F332" s="12"/>
      <c r="G332" s="18"/>
      <c r="H332" s="35"/>
      <c r="I332" s="35"/>
      <c r="J332" s="12"/>
      <c r="O332" s="12"/>
      <c r="P332" s="18"/>
      <c r="Q332" s="12"/>
      <c r="R332" s="12"/>
      <c r="S332" s="12"/>
      <c r="T332" s="36"/>
      <c r="U332" s="36"/>
      <c r="V332" s="12"/>
      <c r="W332" s="12"/>
      <c r="X332" s="12"/>
      <c r="Y332" s="12"/>
      <c r="Z332" s="12"/>
    </row>
    <row r="333" customFormat="false" ht="15.75" hidden="false" customHeight="false" outlineLevel="0" collapsed="false">
      <c r="A333" s="12"/>
      <c r="B333" s="34"/>
      <c r="C333" s="12"/>
      <c r="D333" s="12"/>
      <c r="E333" s="12"/>
      <c r="F333" s="12"/>
      <c r="G333" s="18"/>
      <c r="H333" s="35"/>
      <c r="I333" s="35"/>
      <c r="J333" s="12"/>
      <c r="O333" s="12"/>
      <c r="P333" s="18"/>
      <c r="Q333" s="12"/>
      <c r="R333" s="12"/>
      <c r="S333" s="12"/>
      <c r="T333" s="36"/>
      <c r="U333" s="36"/>
      <c r="V333" s="12"/>
      <c r="W333" s="12"/>
      <c r="X333" s="12"/>
      <c r="Y333" s="12"/>
      <c r="Z333" s="12"/>
    </row>
    <row r="334" customFormat="false" ht="15.75" hidden="false" customHeight="false" outlineLevel="0" collapsed="false">
      <c r="A334" s="12"/>
      <c r="B334" s="34"/>
      <c r="C334" s="12"/>
      <c r="D334" s="12"/>
      <c r="E334" s="12"/>
      <c r="F334" s="12"/>
      <c r="G334" s="18"/>
      <c r="H334" s="35"/>
      <c r="I334" s="35"/>
      <c r="J334" s="12"/>
      <c r="O334" s="12"/>
      <c r="P334" s="18"/>
      <c r="Q334" s="12"/>
      <c r="R334" s="12"/>
      <c r="S334" s="12"/>
      <c r="T334" s="36"/>
      <c r="U334" s="36"/>
      <c r="V334" s="12"/>
      <c r="W334" s="12"/>
      <c r="X334" s="12"/>
      <c r="Y334" s="12"/>
      <c r="Z334" s="12"/>
    </row>
    <row r="335" customFormat="false" ht="15.75" hidden="false" customHeight="false" outlineLevel="0" collapsed="false">
      <c r="A335" s="12"/>
      <c r="B335" s="34"/>
      <c r="C335" s="12"/>
      <c r="D335" s="12"/>
      <c r="E335" s="12"/>
      <c r="F335" s="12"/>
      <c r="G335" s="18"/>
      <c r="H335" s="35"/>
      <c r="I335" s="35"/>
      <c r="J335" s="12"/>
      <c r="O335" s="12"/>
      <c r="P335" s="18"/>
      <c r="Q335" s="12"/>
      <c r="R335" s="12"/>
      <c r="S335" s="12"/>
      <c r="T335" s="36"/>
      <c r="U335" s="36"/>
      <c r="V335" s="12"/>
      <c r="W335" s="12"/>
      <c r="X335" s="12"/>
      <c r="Y335" s="12"/>
      <c r="Z335" s="12"/>
    </row>
    <row r="336" customFormat="false" ht="15.75" hidden="false" customHeight="false" outlineLevel="0" collapsed="false">
      <c r="A336" s="12"/>
      <c r="B336" s="34"/>
      <c r="C336" s="12"/>
      <c r="D336" s="12"/>
      <c r="E336" s="12"/>
      <c r="F336" s="12"/>
      <c r="G336" s="18"/>
      <c r="H336" s="35"/>
      <c r="I336" s="35"/>
      <c r="J336" s="12"/>
      <c r="O336" s="12"/>
      <c r="P336" s="18"/>
      <c r="Q336" s="12"/>
      <c r="R336" s="12"/>
      <c r="S336" s="12"/>
      <c r="T336" s="36"/>
      <c r="U336" s="36"/>
      <c r="V336" s="12"/>
      <c r="W336" s="12"/>
      <c r="X336" s="12"/>
      <c r="Y336" s="12"/>
      <c r="Z336" s="12"/>
    </row>
    <row r="337" customFormat="false" ht="15.75" hidden="false" customHeight="false" outlineLevel="0" collapsed="false">
      <c r="A337" s="12"/>
      <c r="B337" s="34"/>
      <c r="C337" s="12"/>
      <c r="D337" s="12"/>
      <c r="E337" s="12"/>
      <c r="F337" s="12"/>
      <c r="G337" s="18"/>
      <c r="H337" s="35"/>
      <c r="I337" s="35"/>
      <c r="J337" s="12"/>
      <c r="O337" s="12"/>
      <c r="P337" s="18"/>
      <c r="Q337" s="12"/>
      <c r="R337" s="12"/>
      <c r="S337" s="12"/>
      <c r="T337" s="36"/>
      <c r="U337" s="36"/>
      <c r="V337" s="12"/>
      <c r="W337" s="12"/>
      <c r="X337" s="12"/>
      <c r="Y337" s="12"/>
      <c r="Z337" s="12"/>
    </row>
    <row r="338" customFormat="false" ht="15.75" hidden="false" customHeight="false" outlineLevel="0" collapsed="false">
      <c r="A338" s="12"/>
      <c r="B338" s="34"/>
      <c r="C338" s="12"/>
      <c r="D338" s="12"/>
      <c r="E338" s="12"/>
      <c r="F338" s="12"/>
      <c r="G338" s="18"/>
      <c r="H338" s="35"/>
      <c r="I338" s="35"/>
      <c r="J338" s="12"/>
      <c r="O338" s="12"/>
      <c r="P338" s="18"/>
      <c r="Q338" s="12"/>
      <c r="R338" s="12"/>
      <c r="S338" s="12"/>
      <c r="T338" s="36"/>
      <c r="U338" s="36"/>
      <c r="V338" s="12"/>
      <c r="W338" s="12"/>
      <c r="X338" s="12"/>
      <c r="Y338" s="12"/>
      <c r="Z338" s="12"/>
    </row>
    <row r="339" customFormat="false" ht="15.75" hidden="false" customHeight="false" outlineLevel="0" collapsed="false">
      <c r="A339" s="12"/>
      <c r="B339" s="34"/>
      <c r="C339" s="12"/>
      <c r="D339" s="12"/>
      <c r="E339" s="12"/>
      <c r="F339" s="12"/>
      <c r="G339" s="18"/>
      <c r="H339" s="35"/>
      <c r="I339" s="35"/>
      <c r="J339" s="12"/>
      <c r="O339" s="12"/>
      <c r="P339" s="18"/>
      <c r="Q339" s="12"/>
      <c r="R339" s="12"/>
      <c r="S339" s="12"/>
      <c r="T339" s="36"/>
      <c r="U339" s="36"/>
      <c r="V339" s="12"/>
      <c r="W339" s="12"/>
      <c r="X339" s="12"/>
      <c r="Y339" s="12"/>
      <c r="Z339" s="12"/>
    </row>
    <row r="340" customFormat="false" ht="15.75" hidden="false" customHeight="false" outlineLevel="0" collapsed="false">
      <c r="A340" s="12"/>
      <c r="B340" s="34"/>
      <c r="C340" s="12"/>
      <c r="D340" s="12"/>
      <c r="E340" s="12"/>
      <c r="F340" s="12"/>
      <c r="G340" s="18"/>
      <c r="H340" s="35"/>
      <c r="I340" s="35"/>
      <c r="J340" s="12"/>
      <c r="O340" s="12"/>
      <c r="P340" s="18"/>
      <c r="Q340" s="12"/>
      <c r="R340" s="12"/>
      <c r="S340" s="12"/>
      <c r="T340" s="36"/>
      <c r="U340" s="36"/>
      <c r="V340" s="12"/>
      <c r="W340" s="12"/>
      <c r="X340" s="12"/>
      <c r="Y340" s="12"/>
      <c r="Z340" s="12"/>
    </row>
    <row r="341" customFormat="false" ht="15.75" hidden="false" customHeight="false" outlineLevel="0" collapsed="false">
      <c r="A341" s="12"/>
      <c r="B341" s="34"/>
      <c r="C341" s="12"/>
      <c r="D341" s="12"/>
      <c r="E341" s="12"/>
      <c r="F341" s="12"/>
      <c r="G341" s="18"/>
      <c r="H341" s="35"/>
      <c r="I341" s="35"/>
      <c r="J341" s="12"/>
      <c r="O341" s="12"/>
      <c r="P341" s="18"/>
      <c r="Q341" s="12"/>
      <c r="R341" s="12"/>
      <c r="S341" s="12"/>
      <c r="T341" s="36"/>
      <c r="U341" s="36"/>
      <c r="V341" s="12"/>
      <c r="W341" s="12"/>
      <c r="X341" s="12"/>
      <c r="Y341" s="12"/>
      <c r="Z341" s="12"/>
    </row>
    <row r="342" customFormat="false" ht="15.75" hidden="false" customHeight="false" outlineLevel="0" collapsed="false">
      <c r="A342" s="12"/>
      <c r="B342" s="34"/>
      <c r="C342" s="12"/>
      <c r="D342" s="12"/>
      <c r="E342" s="12"/>
      <c r="F342" s="12"/>
      <c r="G342" s="18"/>
      <c r="H342" s="35"/>
      <c r="I342" s="35"/>
      <c r="J342" s="12"/>
      <c r="O342" s="12"/>
      <c r="P342" s="18"/>
      <c r="Q342" s="12"/>
      <c r="R342" s="12"/>
      <c r="S342" s="12"/>
      <c r="T342" s="36"/>
      <c r="U342" s="36"/>
      <c r="V342" s="12"/>
      <c r="W342" s="12"/>
      <c r="X342" s="12"/>
      <c r="Y342" s="12"/>
      <c r="Z342" s="12"/>
    </row>
    <row r="343" customFormat="false" ht="15.75" hidden="false" customHeight="false" outlineLevel="0" collapsed="false">
      <c r="A343" s="12"/>
      <c r="B343" s="34"/>
      <c r="C343" s="12"/>
      <c r="D343" s="12"/>
      <c r="E343" s="12"/>
      <c r="F343" s="12"/>
      <c r="G343" s="18"/>
      <c r="H343" s="35"/>
      <c r="I343" s="35"/>
      <c r="J343" s="12"/>
      <c r="O343" s="12"/>
      <c r="P343" s="18"/>
      <c r="Q343" s="12"/>
      <c r="R343" s="12"/>
      <c r="S343" s="12"/>
      <c r="T343" s="36"/>
      <c r="U343" s="36"/>
      <c r="V343" s="12"/>
      <c r="W343" s="12"/>
      <c r="X343" s="12"/>
      <c r="Y343" s="12"/>
      <c r="Z343" s="12"/>
    </row>
    <row r="344" customFormat="false" ht="15.75" hidden="false" customHeight="false" outlineLevel="0" collapsed="false">
      <c r="A344" s="12"/>
      <c r="B344" s="34"/>
      <c r="C344" s="12"/>
      <c r="D344" s="12"/>
      <c r="E344" s="12"/>
      <c r="F344" s="12"/>
      <c r="G344" s="18"/>
      <c r="H344" s="35"/>
      <c r="I344" s="35"/>
      <c r="J344" s="12"/>
      <c r="O344" s="12"/>
      <c r="P344" s="18"/>
      <c r="Q344" s="12"/>
      <c r="R344" s="12"/>
      <c r="S344" s="12"/>
      <c r="T344" s="36"/>
      <c r="U344" s="36"/>
      <c r="V344" s="12"/>
      <c r="W344" s="12"/>
      <c r="X344" s="12"/>
      <c r="Y344" s="12"/>
      <c r="Z344" s="12"/>
    </row>
    <row r="345" customFormat="false" ht="15.75" hidden="false" customHeight="false" outlineLevel="0" collapsed="false">
      <c r="A345" s="12"/>
      <c r="B345" s="34"/>
      <c r="C345" s="12"/>
      <c r="D345" s="12"/>
      <c r="E345" s="12"/>
      <c r="F345" s="12"/>
      <c r="G345" s="18"/>
      <c r="H345" s="35"/>
      <c r="I345" s="35"/>
      <c r="J345" s="12"/>
      <c r="O345" s="12"/>
      <c r="P345" s="18"/>
      <c r="Q345" s="12"/>
      <c r="R345" s="12"/>
      <c r="S345" s="12"/>
      <c r="T345" s="36"/>
      <c r="U345" s="36"/>
      <c r="V345" s="12"/>
      <c r="W345" s="12"/>
      <c r="X345" s="12"/>
      <c r="Y345" s="12"/>
      <c r="Z345" s="12"/>
    </row>
    <row r="346" customFormat="false" ht="15.75" hidden="false" customHeight="false" outlineLevel="0" collapsed="false">
      <c r="A346" s="12"/>
      <c r="B346" s="34"/>
      <c r="C346" s="12"/>
      <c r="D346" s="12"/>
      <c r="E346" s="12"/>
      <c r="F346" s="12"/>
      <c r="G346" s="18"/>
      <c r="H346" s="35"/>
      <c r="I346" s="35"/>
      <c r="J346" s="12"/>
      <c r="O346" s="12"/>
      <c r="P346" s="18"/>
      <c r="Q346" s="12"/>
      <c r="R346" s="12"/>
      <c r="S346" s="12"/>
      <c r="T346" s="36"/>
      <c r="U346" s="36"/>
      <c r="V346" s="12"/>
      <c r="W346" s="12"/>
      <c r="X346" s="12"/>
      <c r="Y346" s="12"/>
      <c r="Z346" s="12"/>
    </row>
    <row r="347" customFormat="false" ht="15.75" hidden="false" customHeight="false" outlineLevel="0" collapsed="false">
      <c r="A347" s="12"/>
      <c r="B347" s="34"/>
      <c r="C347" s="12"/>
      <c r="D347" s="12"/>
      <c r="E347" s="12"/>
      <c r="F347" s="12"/>
      <c r="G347" s="18"/>
      <c r="H347" s="35"/>
      <c r="I347" s="35"/>
      <c r="J347" s="12"/>
      <c r="O347" s="12"/>
      <c r="P347" s="18"/>
      <c r="Q347" s="12"/>
      <c r="R347" s="12"/>
      <c r="S347" s="12"/>
      <c r="T347" s="36"/>
      <c r="U347" s="36"/>
      <c r="V347" s="12"/>
      <c r="W347" s="12"/>
      <c r="X347" s="12"/>
      <c r="Y347" s="12"/>
      <c r="Z347" s="12"/>
    </row>
    <row r="348" customFormat="false" ht="15.75" hidden="false" customHeight="false" outlineLevel="0" collapsed="false">
      <c r="A348" s="12"/>
      <c r="B348" s="34"/>
      <c r="C348" s="12"/>
      <c r="D348" s="12"/>
      <c r="E348" s="12"/>
      <c r="F348" s="12"/>
      <c r="G348" s="18"/>
      <c r="H348" s="35"/>
      <c r="I348" s="35"/>
      <c r="J348" s="12"/>
      <c r="O348" s="12"/>
      <c r="P348" s="18"/>
      <c r="Q348" s="12"/>
      <c r="R348" s="12"/>
      <c r="S348" s="12"/>
      <c r="T348" s="36"/>
      <c r="U348" s="36"/>
      <c r="V348" s="12"/>
      <c r="W348" s="12"/>
      <c r="X348" s="12"/>
      <c r="Y348" s="12"/>
      <c r="Z348" s="12"/>
    </row>
    <row r="349" customFormat="false" ht="15.75" hidden="false" customHeight="false" outlineLevel="0" collapsed="false">
      <c r="A349" s="12"/>
      <c r="B349" s="34"/>
      <c r="C349" s="12"/>
      <c r="D349" s="12"/>
      <c r="E349" s="12"/>
      <c r="F349" s="12"/>
      <c r="G349" s="18"/>
      <c r="H349" s="35"/>
      <c r="I349" s="35"/>
      <c r="J349" s="12"/>
      <c r="O349" s="12"/>
      <c r="P349" s="18"/>
      <c r="Q349" s="12"/>
      <c r="R349" s="12"/>
      <c r="S349" s="12"/>
      <c r="T349" s="36"/>
      <c r="U349" s="36"/>
      <c r="V349" s="12"/>
      <c r="W349" s="12"/>
      <c r="X349" s="12"/>
      <c r="Y349" s="12"/>
      <c r="Z349" s="12"/>
    </row>
    <row r="350" customFormat="false" ht="15.75" hidden="false" customHeight="false" outlineLevel="0" collapsed="false">
      <c r="A350" s="12"/>
      <c r="B350" s="34"/>
      <c r="C350" s="12"/>
      <c r="D350" s="12"/>
      <c r="E350" s="12"/>
      <c r="F350" s="12"/>
      <c r="G350" s="18"/>
      <c r="H350" s="35"/>
      <c r="I350" s="35"/>
      <c r="J350" s="12"/>
      <c r="O350" s="12"/>
      <c r="P350" s="18"/>
      <c r="Q350" s="12"/>
      <c r="R350" s="12"/>
      <c r="S350" s="12"/>
      <c r="T350" s="36"/>
      <c r="U350" s="36"/>
      <c r="V350" s="12"/>
      <c r="W350" s="12"/>
      <c r="X350" s="12"/>
      <c r="Y350" s="12"/>
      <c r="Z350" s="12"/>
    </row>
    <row r="351" customFormat="false" ht="15.75" hidden="false" customHeight="false" outlineLevel="0" collapsed="false">
      <c r="A351" s="12"/>
      <c r="B351" s="34"/>
      <c r="C351" s="12"/>
      <c r="D351" s="12"/>
      <c r="E351" s="12"/>
      <c r="F351" s="12"/>
      <c r="G351" s="18"/>
      <c r="H351" s="35"/>
      <c r="I351" s="35"/>
      <c r="J351" s="12"/>
      <c r="O351" s="12"/>
      <c r="P351" s="18"/>
      <c r="Q351" s="12"/>
      <c r="R351" s="12"/>
      <c r="S351" s="12"/>
      <c r="T351" s="36"/>
      <c r="U351" s="36"/>
      <c r="V351" s="12"/>
      <c r="W351" s="12"/>
      <c r="X351" s="12"/>
      <c r="Y351" s="12"/>
      <c r="Z351" s="12"/>
    </row>
    <row r="352" customFormat="false" ht="15.75" hidden="false" customHeight="false" outlineLevel="0" collapsed="false">
      <c r="A352" s="12"/>
      <c r="B352" s="34"/>
      <c r="C352" s="12"/>
      <c r="D352" s="12"/>
      <c r="E352" s="12"/>
      <c r="F352" s="12"/>
      <c r="G352" s="18"/>
      <c r="H352" s="35"/>
      <c r="I352" s="35"/>
      <c r="J352" s="12"/>
      <c r="O352" s="12"/>
      <c r="P352" s="18"/>
      <c r="Q352" s="12"/>
      <c r="R352" s="12"/>
      <c r="S352" s="12"/>
      <c r="T352" s="36"/>
      <c r="U352" s="36"/>
      <c r="V352" s="12"/>
      <c r="W352" s="12"/>
      <c r="X352" s="12"/>
      <c r="Y352" s="12"/>
      <c r="Z352" s="12"/>
    </row>
    <row r="353" customFormat="false" ht="15.75" hidden="false" customHeight="false" outlineLevel="0" collapsed="false">
      <c r="A353" s="12"/>
      <c r="B353" s="34"/>
      <c r="C353" s="12"/>
      <c r="D353" s="12"/>
      <c r="E353" s="12"/>
      <c r="F353" s="12"/>
      <c r="G353" s="18"/>
      <c r="H353" s="35"/>
      <c r="I353" s="35"/>
      <c r="J353" s="12"/>
      <c r="O353" s="12"/>
      <c r="P353" s="18"/>
      <c r="Q353" s="12"/>
      <c r="R353" s="12"/>
      <c r="S353" s="12"/>
      <c r="T353" s="36"/>
      <c r="U353" s="36"/>
      <c r="V353" s="12"/>
      <c r="W353" s="12"/>
      <c r="X353" s="12"/>
      <c r="Y353" s="12"/>
      <c r="Z353" s="12"/>
    </row>
    <row r="354" customFormat="false" ht="15.75" hidden="false" customHeight="false" outlineLevel="0" collapsed="false">
      <c r="A354" s="12"/>
      <c r="B354" s="34"/>
      <c r="C354" s="12"/>
      <c r="D354" s="12"/>
      <c r="E354" s="12"/>
      <c r="F354" s="12"/>
      <c r="G354" s="18"/>
      <c r="H354" s="35"/>
      <c r="I354" s="35"/>
      <c r="J354" s="12"/>
      <c r="O354" s="12"/>
      <c r="P354" s="18"/>
      <c r="Q354" s="12"/>
      <c r="R354" s="12"/>
      <c r="S354" s="12"/>
      <c r="T354" s="36"/>
      <c r="U354" s="36"/>
      <c r="V354" s="12"/>
      <c r="W354" s="12"/>
      <c r="X354" s="12"/>
      <c r="Y354" s="12"/>
      <c r="Z354" s="12"/>
    </row>
    <row r="355" customFormat="false" ht="15.75" hidden="false" customHeight="false" outlineLevel="0" collapsed="false">
      <c r="A355" s="12"/>
      <c r="B355" s="34"/>
      <c r="C355" s="12"/>
      <c r="D355" s="12"/>
      <c r="E355" s="12"/>
      <c r="F355" s="12"/>
      <c r="G355" s="18"/>
      <c r="H355" s="35"/>
      <c r="I355" s="35"/>
      <c r="J355" s="12"/>
      <c r="O355" s="12"/>
      <c r="P355" s="18"/>
      <c r="Q355" s="12"/>
      <c r="R355" s="12"/>
      <c r="S355" s="12"/>
      <c r="T355" s="36"/>
      <c r="U355" s="36"/>
      <c r="V355" s="12"/>
      <c r="W355" s="12"/>
      <c r="X355" s="12"/>
      <c r="Y355" s="12"/>
      <c r="Z355" s="12"/>
    </row>
    <row r="356" customFormat="false" ht="15.75" hidden="false" customHeight="false" outlineLevel="0" collapsed="false">
      <c r="A356" s="12"/>
      <c r="B356" s="34"/>
      <c r="C356" s="12"/>
      <c r="D356" s="12"/>
      <c r="E356" s="12"/>
      <c r="F356" s="12"/>
      <c r="G356" s="18"/>
      <c r="H356" s="35"/>
      <c r="I356" s="35"/>
      <c r="J356" s="12"/>
      <c r="O356" s="12"/>
      <c r="P356" s="18"/>
      <c r="Q356" s="12"/>
      <c r="R356" s="12"/>
      <c r="S356" s="12"/>
      <c r="T356" s="36"/>
      <c r="U356" s="36"/>
      <c r="V356" s="12"/>
      <c r="W356" s="12"/>
      <c r="X356" s="12"/>
      <c r="Y356" s="12"/>
      <c r="Z356" s="12"/>
    </row>
    <row r="357" customFormat="false" ht="15.75" hidden="false" customHeight="false" outlineLevel="0" collapsed="false">
      <c r="A357" s="12"/>
      <c r="B357" s="34"/>
      <c r="C357" s="12"/>
      <c r="D357" s="12"/>
      <c r="E357" s="12"/>
      <c r="F357" s="12"/>
      <c r="G357" s="18"/>
      <c r="H357" s="35"/>
      <c r="I357" s="35"/>
      <c r="J357" s="12"/>
      <c r="O357" s="12"/>
      <c r="P357" s="18"/>
      <c r="Q357" s="12"/>
      <c r="R357" s="12"/>
      <c r="S357" s="12"/>
      <c r="T357" s="36"/>
      <c r="U357" s="36"/>
      <c r="V357" s="12"/>
      <c r="W357" s="12"/>
      <c r="X357" s="12"/>
      <c r="Y357" s="12"/>
      <c r="Z357" s="12"/>
    </row>
    <row r="358" customFormat="false" ht="15.75" hidden="false" customHeight="false" outlineLevel="0" collapsed="false">
      <c r="A358" s="12"/>
      <c r="B358" s="34"/>
      <c r="C358" s="12"/>
      <c r="D358" s="12"/>
      <c r="E358" s="12"/>
      <c r="F358" s="12"/>
      <c r="G358" s="18"/>
      <c r="H358" s="35"/>
      <c r="I358" s="35"/>
      <c r="J358" s="12"/>
      <c r="O358" s="12"/>
      <c r="P358" s="18"/>
      <c r="Q358" s="12"/>
      <c r="R358" s="12"/>
      <c r="S358" s="12"/>
      <c r="T358" s="36"/>
      <c r="U358" s="36"/>
      <c r="V358" s="12"/>
      <c r="W358" s="12"/>
      <c r="X358" s="12"/>
      <c r="Y358" s="12"/>
      <c r="Z358" s="12"/>
    </row>
    <row r="359" customFormat="false" ht="15.75" hidden="false" customHeight="false" outlineLevel="0" collapsed="false">
      <c r="A359" s="12"/>
      <c r="B359" s="34"/>
      <c r="C359" s="12"/>
      <c r="D359" s="12"/>
      <c r="E359" s="12"/>
      <c r="F359" s="12"/>
      <c r="G359" s="18"/>
      <c r="H359" s="35"/>
      <c r="I359" s="35"/>
      <c r="J359" s="12"/>
      <c r="O359" s="12"/>
      <c r="P359" s="18"/>
      <c r="Q359" s="12"/>
      <c r="R359" s="12"/>
      <c r="S359" s="12"/>
      <c r="T359" s="36"/>
      <c r="U359" s="36"/>
      <c r="V359" s="12"/>
      <c r="W359" s="12"/>
      <c r="X359" s="12"/>
      <c r="Y359" s="12"/>
      <c r="Z359" s="12"/>
    </row>
    <row r="360" customFormat="false" ht="15.75" hidden="false" customHeight="false" outlineLevel="0" collapsed="false">
      <c r="A360" s="12"/>
      <c r="B360" s="34"/>
      <c r="C360" s="12"/>
      <c r="D360" s="12"/>
      <c r="E360" s="12"/>
      <c r="F360" s="12"/>
      <c r="G360" s="18"/>
      <c r="H360" s="35"/>
      <c r="I360" s="35"/>
      <c r="J360" s="12"/>
      <c r="O360" s="12"/>
      <c r="P360" s="18"/>
      <c r="Q360" s="12"/>
      <c r="R360" s="12"/>
      <c r="S360" s="12"/>
      <c r="T360" s="36"/>
      <c r="U360" s="36"/>
      <c r="V360" s="12"/>
      <c r="W360" s="12"/>
      <c r="X360" s="12"/>
      <c r="Y360" s="12"/>
      <c r="Z360" s="12"/>
    </row>
    <row r="361" customFormat="false" ht="15.75" hidden="false" customHeight="false" outlineLevel="0" collapsed="false">
      <c r="A361" s="12"/>
      <c r="B361" s="34"/>
      <c r="C361" s="12"/>
      <c r="D361" s="12"/>
      <c r="E361" s="12"/>
      <c r="F361" s="12"/>
      <c r="G361" s="18"/>
      <c r="H361" s="35"/>
      <c r="I361" s="35"/>
      <c r="J361" s="12"/>
      <c r="O361" s="12"/>
      <c r="P361" s="18"/>
      <c r="Q361" s="12"/>
      <c r="R361" s="12"/>
      <c r="S361" s="12"/>
      <c r="T361" s="36"/>
      <c r="U361" s="36"/>
      <c r="V361" s="12"/>
      <c r="W361" s="12"/>
      <c r="X361" s="12"/>
      <c r="Y361" s="12"/>
      <c r="Z361" s="12"/>
    </row>
    <row r="362" customFormat="false" ht="15.75" hidden="false" customHeight="false" outlineLevel="0" collapsed="false">
      <c r="A362" s="12"/>
      <c r="B362" s="34"/>
      <c r="C362" s="12"/>
      <c r="D362" s="12"/>
      <c r="E362" s="12"/>
      <c r="F362" s="12"/>
      <c r="G362" s="18"/>
      <c r="H362" s="35"/>
      <c r="I362" s="35"/>
      <c r="J362" s="12"/>
      <c r="O362" s="12"/>
      <c r="P362" s="18"/>
      <c r="Q362" s="12"/>
      <c r="R362" s="12"/>
      <c r="S362" s="12"/>
      <c r="T362" s="36"/>
      <c r="U362" s="36"/>
      <c r="V362" s="12"/>
      <c r="W362" s="12"/>
      <c r="X362" s="12"/>
      <c r="Y362" s="12"/>
      <c r="Z362" s="12"/>
    </row>
    <row r="363" customFormat="false" ht="15.75" hidden="false" customHeight="false" outlineLevel="0" collapsed="false">
      <c r="A363" s="12"/>
      <c r="B363" s="34"/>
      <c r="C363" s="12"/>
      <c r="D363" s="12"/>
      <c r="E363" s="12"/>
      <c r="F363" s="12"/>
      <c r="G363" s="18"/>
      <c r="H363" s="35"/>
      <c r="I363" s="35"/>
      <c r="J363" s="12"/>
      <c r="O363" s="12"/>
      <c r="P363" s="18"/>
      <c r="Q363" s="12"/>
      <c r="R363" s="12"/>
      <c r="S363" s="12"/>
      <c r="T363" s="36"/>
      <c r="U363" s="36"/>
      <c r="V363" s="12"/>
      <c r="W363" s="12"/>
      <c r="X363" s="12"/>
      <c r="Y363" s="12"/>
      <c r="Z363" s="12"/>
    </row>
    <row r="364" customFormat="false" ht="15.75" hidden="false" customHeight="false" outlineLevel="0" collapsed="false">
      <c r="A364" s="12"/>
      <c r="B364" s="34"/>
      <c r="C364" s="12"/>
      <c r="D364" s="12"/>
      <c r="E364" s="12"/>
      <c r="F364" s="12"/>
      <c r="G364" s="18"/>
      <c r="H364" s="35"/>
      <c r="I364" s="35"/>
      <c r="J364" s="12"/>
      <c r="O364" s="12"/>
      <c r="P364" s="18"/>
      <c r="Q364" s="12"/>
      <c r="R364" s="12"/>
      <c r="S364" s="12"/>
      <c r="T364" s="36"/>
      <c r="U364" s="36"/>
      <c r="V364" s="12"/>
      <c r="W364" s="12"/>
      <c r="X364" s="12"/>
      <c r="Y364" s="12"/>
      <c r="Z364" s="12"/>
    </row>
    <row r="365" customFormat="false" ht="15.75" hidden="false" customHeight="false" outlineLevel="0" collapsed="false">
      <c r="A365" s="12"/>
      <c r="B365" s="34"/>
      <c r="C365" s="12"/>
      <c r="D365" s="12"/>
      <c r="E365" s="12"/>
      <c r="F365" s="12"/>
      <c r="G365" s="18"/>
      <c r="H365" s="35"/>
      <c r="I365" s="35"/>
      <c r="J365" s="12"/>
      <c r="O365" s="12"/>
      <c r="P365" s="18"/>
      <c r="Q365" s="12"/>
      <c r="R365" s="12"/>
      <c r="S365" s="12"/>
      <c r="T365" s="36"/>
      <c r="U365" s="36"/>
      <c r="V365" s="12"/>
      <c r="W365" s="12"/>
      <c r="X365" s="12"/>
      <c r="Y365" s="12"/>
      <c r="Z365" s="12"/>
    </row>
    <row r="366" customFormat="false" ht="15.75" hidden="false" customHeight="false" outlineLevel="0" collapsed="false">
      <c r="A366" s="12"/>
      <c r="B366" s="34"/>
      <c r="C366" s="12"/>
      <c r="D366" s="12"/>
      <c r="E366" s="12"/>
      <c r="F366" s="12"/>
      <c r="G366" s="18"/>
      <c r="H366" s="35"/>
      <c r="I366" s="35"/>
      <c r="J366" s="12"/>
      <c r="O366" s="12"/>
      <c r="P366" s="18"/>
      <c r="Q366" s="12"/>
      <c r="R366" s="12"/>
      <c r="S366" s="12"/>
      <c r="T366" s="36"/>
      <c r="U366" s="36"/>
      <c r="V366" s="12"/>
      <c r="W366" s="12"/>
      <c r="X366" s="12"/>
      <c r="Y366" s="12"/>
      <c r="Z366" s="12"/>
    </row>
    <row r="367" customFormat="false" ht="15.75" hidden="false" customHeight="false" outlineLevel="0" collapsed="false">
      <c r="A367" s="12"/>
      <c r="B367" s="34"/>
      <c r="C367" s="12"/>
      <c r="D367" s="12"/>
      <c r="E367" s="12"/>
      <c r="F367" s="12"/>
      <c r="G367" s="18"/>
      <c r="H367" s="35"/>
      <c r="I367" s="35"/>
      <c r="J367" s="12"/>
      <c r="O367" s="12"/>
      <c r="P367" s="18"/>
      <c r="Q367" s="12"/>
      <c r="R367" s="12"/>
      <c r="S367" s="12"/>
      <c r="T367" s="36"/>
      <c r="U367" s="36"/>
      <c r="V367" s="12"/>
      <c r="W367" s="12"/>
      <c r="X367" s="12"/>
      <c r="Y367" s="12"/>
      <c r="Z367" s="12"/>
    </row>
    <row r="368" customFormat="false" ht="15.75" hidden="false" customHeight="false" outlineLevel="0" collapsed="false">
      <c r="A368" s="12"/>
      <c r="B368" s="34"/>
      <c r="C368" s="12"/>
      <c r="D368" s="12"/>
      <c r="E368" s="12"/>
      <c r="F368" s="12"/>
      <c r="G368" s="18"/>
      <c r="H368" s="35"/>
      <c r="I368" s="35"/>
      <c r="J368" s="12"/>
      <c r="O368" s="12"/>
      <c r="P368" s="18"/>
      <c r="Q368" s="12"/>
      <c r="R368" s="12"/>
      <c r="S368" s="12"/>
      <c r="T368" s="36"/>
      <c r="U368" s="36"/>
      <c r="V368" s="12"/>
      <c r="W368" s="12"/>
      <c r="X368" s="12"/>
      <c r="Y368" s="12"/>
      <c r="Z368" s="12"/>
    </row>
    <row r="369" customFormat="false" ht="15.75" hidden="false" customHeight="false" outlineLevel="0" collapsed="false">
      <c r="A369" s="12"/>
      <c r="B369" s="34"/>
      <c r="C369" s="12"/>
      <c r="D369" s="12"/>
      <c r="E369" s="12"/>
      <c r="F369" s="12"/>
      <c r="G369" s="18"/>
      <c r="H369" s="35"/>
      <c r="I369" s="35"/>
      <c r="J369" s="12"/>
      <c r="O369" s="12"/>
      <c r="P369" s="18"/>
      <c r="Q369" s="12"/>
      <c r="R369" s="12"/>
      <c r="S369" s="12"/>
      <c r="T369" s="36"/>
      <c r="U369" s="36"/>
      <c r="V369" s="12"/>
      <c r="W369" s="12"/>
      <c r="X369" s="12"/>
      <c r="Y369" s="12"/>
      <c r="Z369" s="12"/>
    </row>
    <row r="370" customFormat="false" ht="15.75" hidden="false" customHeight="false" outlineLevel="0" collapsed="false">
      <c r="A370" s="12"/>
      <c r="B370" s="34"/>
      <c r="C370" s="12"/>
      <c r="D370" s="12"/>
      <c r="E370" s="12"/>
      <c r="F370" s="12"/>
      <c r="G370" s="18"/>
      <c r="H370" s="35"/>
      <c r="I370" s="35"/>
      <c r="J370" s="12"/>
      <c r="O370" s="12"/>
      <c r="P370" s="18"/>
      <c r="Q370" s="12"/>
      <c r="R370" s="12"/>
      <c r="S370" s="12"/>
      <c r="T370" s="36"/>
      <c r="U370" s="36"/>
      <c r="V370" s="12"/>
      <c r="W370" s="12"/>
      <c r="X370" s="12"/>
      <c r="Y370" s="12"/>
      <c r="Z370" s="12"/>
    </row>
    <row r="371" customFormat="false" ht="15.75" hidden="false" customHeight="false" outlineLevel="0" collapsed="false">
      <c r="A371" s="12"/>
      <c r="B371" s="34"/>
      <c r="C371" s="12"/>
      <c r="D371" s="12"/>
      <c r="E371" s="12"/>
      <c r="F371" s="12"/>
      <c r="G371" s="18"/>
      <c r="H371" s="35"/>
      <c r="I371" s="35"/>
      <c r="J371" s="12"/>
      <c r="O371" s="12"/>
      <c r="P371" s="18"/>
      <c r="Q371" s="12"/>
      <c r="R371" s="12"/>
      <c r="S371" s="12"/>
      <c r="T371" s="36"/>
      <c r="U371" s="36"/>
      <c r="V371" s="12"/>
      <c r="W371" s="12"/>
      <c r="X371" s="12"/>
      <c r="Y371" s="12"/>
      <c r="Z371" s="12"/>
    </row>
    <row r="372" customFormat="false" ht="15.75" hidden="false" customHeight="false" outlineLevel="0" collapsed="false">
      <c r="A372" s="12"/>
      <c r="B372" s="34"/>
      <c r="C372" s="12"/>
      <c r="D372" s="12"/>
      <c r="E372" s="12"/>
      <c r="F372" s="12"/>
      <c r="G372" s="18"/>
      <c r="H372" s="35"/>
      <c r="I372" s="35"/>
      <c r="J372" s="12"/>
      <c r="O372" s="12"/>
      <c r="P372" s="18"/>
      <c r="Q372" s="12"/>
      <c r="R372" s="12"/>
      <c r="S372" s="12"/>
      <c r="T372" s="36"/>
      <c r="U372" s="36"/>
      <c r="V372" s="12"/>
      <c r="W372" s="12"/>
      <c r="X372" s="12"/>
      <c r="Y372" s="12"/>
      <c r="Z372" s="12"/>
    </row>
    <row r="373" customFormat="false" ht="15.75" hidden="false" customHeight="false" outlineLevel="0" collapsed="false">
      <c r="A373" s="12"/>
      <c r="B373" s="34"/>
      <c r="C373" s="12"/>
      <c r="D373" s="12"/>
      <c r="E373" s="12"/>
      <c r="F373" s="12"/>
      <c r="G373" s="18"/>
      <c r="H373" s="35"/>
      <c r="I373" s="35"/>
      <c r="J373" s="12"/>
      <c r="O373" s="12"/>
      <c r="P373" s="18"/>
      <c r="Q373" s="12"/>
      <c r="R373" s="12"/>
      <c r="S373" s="12"/>
      <c r="T373" s="36"/>
      <c r="U373" s="36"/>
      <c r="V373" s="12"/>
      <c r="W373" s="12"/>
      <c r="X373" s="12"/>
      <c r="Y373" s="12"/>
      <c r="Z373" s="12"/>
    </row>
    <row r="374" customFormat="false" ht="15.75" hidden="false" customHeight="false" outlineLevel="0" collapsed="false">
      <c r="A374" s="12"/>
      <c r="B374" s="34"/>
      <c r="C374" s="12"/>
      <c r="D374" s="12"/>
      <c r="E374" s="12"/>
      <c r="F374" s="12"/>
      <c r="G374" s="18"/>
      <c r="H374" s="35"/>
      <c r="I374" s="35"/>
      <c r="J374" s="12"/>
      <c r="O374" s="12"/>
      <c r="P374" s="18"/>
      <c r="Q374" s="12"/>
      <c r="R374" s="12"/>
      <c r="S374" s="12"/>
      <c r="T374" s="36"/>
      <c r="U374" s="36"/>
      <c r="V374" s="12"/>
      <c r="W374" s="12"/>
      <c r="X374" s="12"/>
      <c r="Y374" s="12"/>
      <c r="Z374" s="12"/>
    </row>
    <row r="375" customFormat="false" ht="15.75" hidden="false" customHeight="false" outlineLevel="0" collapsed="false">
      <c r="A375" s="12"/>
      <c r="B375" s="34"/>
      <c r="C375" s="12"/>
      <c r="D375" s="12"/>
      <c r="E375" s="12"/>
      <c r="F375" s="12"/>
      <c r="G375" s="18"/>
      <c r="H375" s="35"/>
      <c r="I375" s="35"/>
      <c r="J375" s="12"/>
      <c r="O375" s="12"/>
      <c r="P375" s="18"/>
      <c r="Q375" s="12"/>
      <c r="R375" s="12"/>
      <c r="S375" s="12"/>
      <c r="T375" s="36"/>
      <c r="U375" s="36"/>
      <c r="V375" s="12"/>
      <c r="W375" s="12"/>
      <c r="X375" s="12"/>
      <c r="Y375" s="12"/>
      <c r="Z375" s="12"/>
    </row>
    <row r="376" customFormat="false" ht="15.75" hidden="false" customHeight="false" outlineLevel="0" collapsed="false">
      <c r="A376" s="12"/>
      <c r="B376" s="34"/>
      <c r="C376" s="12"/>
      <c r="D376" s="12"/>
      <c r="E376" s="12"/>
      <c r="F376" s="12"/>
      <c r="G376" s="18"/>
      <c r="H376" s="35"/>
      <c r="I376" s="35"/>
      <c r="J376" s="12"/>
      <c r="O376" s="12"/>
      <c r="P376" s="18"/>
      <c r="Q376" s="12"/>
      <c r="R376" s="12"/>
      <c r="S376" s="12"/>
      <c r="T376" s="36"/>
      <c r="U376" s="36"/>
      <c r="V376" s="12"/>
      <c r="W376" s="12"/>
      <c r="X376" s="12"/>
      <c r="Y376" s="12"/>
      <c r="Z376" s="12"/>
    </row>
    <row r="377" customFormat="false" ht="15.75" hidden="false" customHeight="false" outlineLevel="0" collapsed="false">
      <c r="A377" s="12"/>
      <c r="B377" s="34"/>
      <c r="C377" s="12"/>
      <c r="D377" s="12"/>
      <c r="E377" s="12"/>
      <c r="F377" s="12"/>
      <c r="G377" s="18"/>
      <c r="H377" s="35"/>
      <c r="I377" s="35"/>
      <c r="J377" s="12"/>
      <c r="O377" s="12"/>
      <c r="P377" s="18"/>
      <c r="Q377" s="12"/>
      <c r="R377" s="12"/>
      <c r="S377" s="12"/>
      <c r="T377" s="36"/>
      <c r="U377" s="36"/>
      <c r="V377" s="12"/>
      <c r="W377" s="12"/>
      <c r="X377" s="12"/>
      <c r="Y377" s="12"/>
      <c r="Z377" s="12"/>
    </row>
    <row r="378" customFormat="false" ht="15.75" hidden="false" customHeight="false" outlineLevel="0" collapsed="false">
      <c r="A378" s="12"/>
      <c r="B378" s="34"/>
      <c r="C378" s="12"/>
      <c r="D378" s="12"/>
      <c r="E378" s="12"/>
      <c r="F378" s="12"/>
      <c r="G378" s="18"/>
      <c r="H378" s="35"/>
      <c r="I378" s="35"/>
      <c r="J378" s="12"/>
      <c r="O378" s="12"/>
      <c r="P378" s="18"/>
      <c r="Q378" s="12"/>
      <c r="R378" s="12"/>
      <c r="S378" s="12"/>
      <c r="T378" s="36"/>
      <c r="U378" s="36"/>
      <c r="V378" s="12"/>
      <c r="W378" s="12"/>
      <c r="X378" s="12"/>
      <c r="Y378" s="12"/>
      <c r="Z378" s="12"/>
    </row>
    <row r="379" customFormat="false" ht="15.75" hidden="false" customHeight="false" outlineLevel="0" collapsed="false">
      <c r="A379" s="12"/>
      <c r="B379" s="34"/>
      <c r="C379" s="12"/>
      <c r="D379" s="12"/>
      <c r="E379" s="12"/>
      <c r="F379" s="12"/>
      <c r="G379" s="18"/>
      <c r="H379" s="35"/>
      <c r="I379" s="35"/>
      <c r="J379" s="12"/>
      <c r="O379" s="12"/>
      <c r="P379" s="18"/>
      <c r="Q379" s="12"/>
      <c r="R379" s="12"/>
      <c r="S379" s="12"/>
      <c r="T379" s="36"/>
      <c r="U379" s="36"/>
      <c r="V379" s="12"/>
      <c r="W379" s="12"/>
      <c r="X379" s="12"/>
      <c r="Y379" s="12"/>
      <c r="Z379" s="12"/>
    </row>
    <row r="380" customFormat="false" ht="15.75" hidden="false" customHeight="false" outlineLevel="0" collapsed="false">
      <c r="A380" s="12"/>
      <c r="B380" s="34"/>
      <c r="C380" s="12"/>
      <c r="D380" s="12"/>
      <c r="E380" s="12"/>
      <c r="F380" s="12"/>
      <c r="G380" s="18"/>
      <c r="H380" s="35"/>
      <c r="I380" s="35"/>
      <c r="J380" s="12"/>
      <c r="O380" s="12"/>
      <c r="P380" s="18"/>
      <c r="Q380" s="12"/>
      <c r="R380" s="12"/>
      <c r="S380" s="12"/>
      <c r="T380" s="36"/>
      <c r="U380" s="36"/>
      <c r="V380" s="12"/>
      <c r="W380" s="12"/>
      <c r="X380" s="12"/>
      <c r="Y380" s="12"/>
      <c r="Z380" s="12"/>
    </row>
    <row r="381" customFormat="false" ht="15.75" hidden="false" customHeight="false" outlineLevel="0" collapsed="false">
      <c r="A381" s="12"/>
      <c r="B381" s="34"/>
      <c r="C381" s="12"/>
      <c r="D381" s="12"/>
      <c r="E381" s="12"/>
      <c r="F381" s="12"/>
      <c r="G381" s="18"/>
      <c r="H381" s="35"/>
      <c r="I381" s="35"/>
      <c r="J381" s="12"/>
      <c r="O381" s="12"/>
      <c r="P381" s="18"/>
      <c r="Q381" s="12"/>
      <c r="R381" s="12"/>
      <c r="S381" s="12"/>
      <c r="T381" s="36"/>
      <c r="U381" s="36"/>
      <c r="V381" s="12"/>
      <c r="W381" s="12"/>
      <c r="X381" s="12"/>
      <c r="Y381" s="12"/>
      <c r="Z381" s="12"/>
    </row>
    <row r="382" customFormat="false" ht="15.75" hidden="false" customHeight="false" outlineLevel="0" collapsed="false">
      <c r="A382" s="12"/>
      <c r="B382" s="34"/>
      <c r="C382" s="12"/>
      <c r="D382" s="12"/>
      <c r="E382" s="12"/>
      <c r="F382" s="12"/>
      <c r="G382" s="18"/>
      <c r="H382" s="35"/>
      <c r="I382" s="35"/>
      <c r="J382" s="12"/>
      <c r="O382" s="12"/>
      <c r="P382" s="18"/>
      <c r="Q382" s="12"/>
      <c r="R382" s="12"/>
      <c r="S382" s="12"/>
      <c r="T382" s="36"/>
      <c r="U382" s="36"/>
      <c r="V382" s="12"/>
      <c r="W382" s="12"/>
      <c r="X382" s="12"/>
      <c r="Y382" s="12"/>
      <c r="Z382" s="12"/>
    </row>
    <row r="383" customFormat="false" ht="15.75" hidden="false" customHeight="false" outlineLevel="0" collapsed="false">
      <c r="A383" s="12"/>
      <c r="B383" s="34"/>
      <c r="C383" s="12"/>
      <c r="D383" s="12"/>
      <c r="E383" s="12"/>
      <c r="F383" s="12"/>
      <c r="G383" s="18"/>
      <c r="H383" s="35"/>
      <c r="I383" s="35"/>
      <c r="J383" s="12"/>
      <c r="O383" s="12"/>
      <c r="P383" s="18"/>
      <c r="Q383" s="12"/>
      <c r="R383" s="12"/>
      <c r="S383" s="12"/>
      <c r="T383" s="36"/>
      <c r="U383" s="36"/>
      <c r="V383" s="12"/>
      <c r="W383" s="12"/>
      <c r="X383" s="12"/>
      <c r="Y383" s="12"/>
      <c r="Z383" s="12"/>
    </row>
    <row r="384" customFormat="false" ht="15.75" hidden="false" customHeight="false" outlineLevel="0" collapsed="false">
      <c r="A384" s="12"/>
      <c r="B384" s="34"/>
      <c r="C384" s="12"/>
      <c r="D384" s="12"/>
      <c r="E384" s="12"/>
      <c r="F384" s="12"/>
      <c r="G384" s="18"/>
      <c r="H384" s="35"/>
      <c r="I384" s="35"/>
      <c r="J384" s="12"/>
      <c r="O384" s="12"/>
      <c r="P384" s="18"/>
      <c r="Q384" s="12"/>
      <c r="R384" s="12"/>
      <c r="S384" s="12"/>
      <c r="T384" s="36"/>
      <c r="U384" s="36"/>
      <c r="V384" s="12"/>
      <c r="W384" s="12"/>
      <c r="X384" s="12"/>
      <c r="Y384" s="12"/>
      <c r="Z384" s="12"/>
    </row>
    <row r="385" customFormat="false" ht="15.75" hidden="false" customHeight="false" outlineLevel="0" collapsed="false">
      <c r="A385" s="12"/>
      <c r="B385" s="34"/>
      <c r="C385" s="12"/>
      <c r="D385" s="12"/>
      <c r="E385" s="12"/>
      <c r="F385" s="12"/>
      <c r="G385" s="18"/>
      <c r="H385" s="35"/>
      <c r="I385" s="35"/>
      <c r="J385" s="12"/>
      <c r="O385" s="12"/>
      <c r="P385" s="18"/>
      <c r="Q385" s="12"/>
      <c r="R385" s="12"/>
      <c r="S385" s="12"/>
      <c r="T385" s="36"/>
      <c r="U385" s="36"/>
      <c r="V385" s="12"/>
      <c r="W385" s="12"/>
      <c r="X385" s="12"/>
      <c r="Y385" s="12"/>
      <c r="Z385" s="12"/>
    </row>
    <row r="386" customFormat="false" ht="15.75" hidden="false" customHeight="false" outlineLevel="0" collapsed="false">
      <c r="A386" s="12"/>
      <c r="B386" s="34"/>
      <c r="C386" s="12"/>
      <c r="D386" s="12"/>
      <c r="E386" s="12"/>
      <c r="F386" s="12"/>
      <c r="G386" s="18"/>
      <c r="H386" s="35"/>
      <c r="I386" s="35"/>
      <c r="J386" s="12"/>
      <c r="O386" s="12"/>
      <c r="P386" s="18"/>
      <c r="Q386" s="12"/>
      <c r="R386" s="12"/>
      <c r="S386" s="12"/>
      <c r="T386" s="36"/>
      <c r="U386" s="36"/>
      <c r="V386" s="12"/>
      <c r="W386" s="12"/>
      <c r="X386" s="12"/>
      <c r="Y386" s="12"/>
      <c r="Z386" s="12"/>
    </row>
    <row r="387" customFormat="false" ht="15.75" hidden="false" customHeight="false" outlineLevel="0" collapsed="false">
      <c r="A387" s="12"/>
      <c r="B387" s="34"/>
      <c r="C387" s="12"/>
      <c r="D387" s="12"/>
      <c r="E387" s="12"/>
      <c r="F387" s="12"/>
      <c r="G387" s="18"/>
      <c r="H387" s="35"/>
      <c r="I387" s="35"/>
      <c r="J387" s="12"/>
      <c r="O387" s="12"/>
      <c r="P387" s="18"/>
      <c r="Q387" s="12"/>
      <c r="R387" s="12"/>
      <c r="S387" s="12"/>
      <c r="T387" s="36"/>
      <c r="U387" s="36"/>
      <c r="V387" s="12"/>
      <c r="W387" s="12"/>
      <c r="X387" s="12"/>
      <c r="Y387" s="12"/>
      <c r="Z387" s="12"/>
    </row>
    <row r="388" customFormat="false" ht="15.75" hidden="false" customHeight="false" outlineLevel="0" collapsed="false">
      <c r="A388" s="12"/>
      <c r="B388" s="34"/>
      <c r="C388" s="12"/>
      <c r="D388" s="12"/>
      <c r="E388" s="12"/>
      <c r="F388" s="12"/>
      <c r="G388" s="18"/>
      <c r="H388" s="35"/>
      <c r="I388" s="35"/>
      <c r="J388" s="12"/>
      <c r="O388" s="12"/>
      <c r="P388" s="18"/>
      <c r="Q388" s="12"/>
      <c r="R388" s="12"/>
      <c r="S388" s="12"/>
      <c r="T388" s="36"/>
      <c r="U388" s="36"/>
      <c r="V388" s="12"/>
      <c r="W388" s="12"/>
      <c r="X388" s="12"/>
      <c r="Y388" s="12"/>
      <c r="Z388" s="12"/>
    </row>
    <row r="389" customFormat="false" ht="15.75" hidden="false" customHeight="false" outlineLevel="0" collapsed="false">
      <c r="A389" s="12"/>
      <c r="B389" s="34"/>
      <c r="C389" s="12"/>
      <c r="D389" s="12"/>
      <c r="E389" s="12"/>
      <c r="F389" s="12"/>
      <c r="G389" s="18"/>
      <c r="H389" s="35"/>
      <c r="I389" s="35"/>
      <c r="J389" s="12"/>
      <c r="O389" s="12"/>
      <c r="P389" s="18"/>
      <c r="Q389" s="12"/>
      <c r="R389" s="12"/>
      <c r="S389" s="12"/>
      <c r="T389" s="36"/>
      <c r="U389" s="36"/>
      <c r="V389" s="12"/>
      <c r="W389" s="12"/>
      <c r="X389" s="12"/>
      <c r="Y389" s="12"/>
      <c r="Z389" s="12"/>
    </row>
    <row r="390" customFormat="false" ht="15.75" hidden="false" customHeight="false" outlineLevel="0" collapsed="false">
      <c r="A390" s="12"/>
      <c r="B390" s="34"/>
      <c r="C390" s="12"/>
      <c r="D390" s="12"/>
      <c r="E390" s="12"/>
      <c r="F390" s="12"/>
      <c r="G390" s="18"/>
      <c r="H390" s="35"/>
      <c r="I390" s="35"/>
      <c r="J390" s="12"/>
      <c r="O390" s="12"/>
      <c r="P390" s="18"/>
      <c r="Q390" s="12"/>
      <c r="R390" s="12"/>
      <c r="S390" s="12"/>
      <c r="T390" s="36"/>
      <c r="U390" s="36"/>
      <c r="V390" s="12"/>
      <c r="W390" s="12"/>
      <c r="X390" s="12"/>
      <c r="Y390" s="12"/>
      <c r="Z390" s="12"/>
    </row>
    <row r="391" customFormat="false" ht="15.75" hidden="false" customHeight="false" outlineLevel="0" collapsed="false">
      <c r="A391" s="12"/>
      <c r="B391" s="34"/>
      <c r="C391" s="12"/>
      <c r="D391" s="12"/>
      <c r="E391" s="12"/>
      <c r="F391" s="12"/>
      <c r="G391" s="18"/>
      <c r="H391" s="35"/>
      <c r="I391" s="35"/>
      <c r="J391" s="12"/>
      <c r="O391" s="12"/>
      <c r="P391" s="18"/>
      <c r="Q391" s="12"/>
      <c r="R391" s="12"/>
      <c r="S391" s="12"/>
      <c r="T391" s="36"/>
      <c r="U391" s="36"/>
      <c r="V391" s="12"/>
      <c r="W391" s="12"/>
      <c r="X391" s="12"/>
      <c r="Y391" s="12"/>
      <c r="Z391" s="12"/>
    </row>
    <row r="392" customFormat="false" ht="15.75" hidden="false" customHeight="false" outlineLevel="0" collapsed="false">
      <c r="A392" s="12"/>
      <c r="B392" s="34"/>
      <c r="C392" s="12"/>
      <c r="D392" s="12"/>
      <c r="E392" s="12"/>
      <c r="F392" s="12"/>
      <c r="G392" s="18"/>
      <c r="H392" s="35"/>
      <c r="I392" s="35"/>
      <c r="J392" s="12"/>
      <c r="O392" s="12"/>
      <c r="P392" s="18"/>
      <c r="Q392" s="12"/>
      <c r="R392" s="12"/>
      <c r="S392" s="12"/>
      <c r="T392" s="36"/>
      <c r="U392" s="36"/>
      <c r="V392" s="12"/>
      <c r="W392" s="12"/>
      <c r="X392" s="12"/>
      <c r="Y392" s="12"/>
      <c r="Z392" s="12"/>
    </row>
    <row r="393" customFormat="false" ht="15.75" hidden="false" customHeight="false" outlineLevel="0" collapsed="false">
      <c r="A393" s="12"/>
      <c r="B393" s="34"/>
      <c r="C393" s="12"/>
      <c r="D393" s="12"/>
      <c r="E393" s="12"/>
      <c r="F393" s="12"/>
      <c r="G393" s="18"/>
      <c r="H393" s="35"/>
      <c r="I393" s="35"/>
      <c r="J393" s="12"/>
      <c r="O393" s="12"/>
      <c r="P393" s="18"/>
      <c r="Q393" s="12"/>
      <c r="R393" s="12"/>
      <c r="S393" s="12"/>
      <c r="T393" s="36"/>
      <c r="U393" s="36"/>
      <c r="V393" s="12"/>
      <c r="W393" s="12"/>
      <c r="X393" s="12"/>
      <c r="Y393" s="12"/>
      <c r="Z393" s="12"/>
    </row>
    <row r="394" customFormat="false" ht="15.75" hidden="false" customHeight="false" outlineLevel="0" collapsed="false">
      <c r="A394" s="12"/>
      <c r="B394" s="34"/>
      <c r="C394" s="12"/>
      <c r="D394" s="12"/>
      <c r="E394" s="12"/>
      <c r="F394" s="12"/>
      <c r="G394" s="18"/>
      <c r="H394" s="35"/>
      <c r="I394" s="35"/>
      <c r="J394" s="12"/>
      <c r="O394" s="12"/>
      <c r="P394" s="18"/>
      <c r="Q394" s="12"/>
      <c r="R394" s="12"/>
      <c r="S394" s="12"/>
      <c r="T394" s="36"/>
      <c r="U394" s="36"/>
      <c r="V394" s="12"/>
      <c r="W394" s="12"/>
      <c r="X394" s="12"/>
      <c r="Y394" s="12"/>
      <c r="Z394" s="12"/>
    </row>
    <row r="395" customFormat="false" ht="15.75" hidden="false" customHeight="false" outlineLevel="0" collapsed="false">
      <c r="A395" s="12"/>
      <c r="B395" s="34"/>
      <c r="C395" s="12"/>
      <c r="D395" s="12"/>
      <c r="E395" s="12"/>
      <c r="F395" s="12"/>
      <c r="G395" s="18"/>
      <c r="H395" s="35"/>
      <c r="I395" s="35"/>
      <c r="J395" s="12"/>
      <c r="O395" s="12"/>
      <c r="P395" s="18"/>
      <c r="Q395" s="12"/>
      <c r="R395" s="12"/>
      <c r="S395" s="12"/>
      <c r="T395" s="36"/>
      <c r="U395" s="36"/>
      <c r="V395" s="12"/>
      <c r="W395" s="12"/>
      <c r="X395" s="12"/>
      <c r="Y395" s="12"/>
      <c r="Z395" s="12"/>
    </row>
    <row r="396" customFormat="false" ht="15.75" hidden="false" customHeight="false" outlineLevel="0" collapsed="false">
      <c r="A396" s="12"/>
      <c r="B396" s="34"/>
      <c r="C396" s="12"/>
      <c r="D396" s="12"/>
      <c r="E396" s="12"/>
      <c r="F396" s="12"/>
      <c r="G396" s="18"/>
      <c r="H396" s="35"/>
      <c r="I396" s="35"/>
      <c r="J396" s="12"/>
      <c r="O396" s="12"/>
      <c r="P396" s="18"/>
      <c r="Q396" s="12"/>
      <c r="R396" s="12"/>
      <c r="S396" s="12"/>
      <c r="T396" s="36"/>
      <c r="U396" s="36"/>
      <c r="V396" s="12"/>
      <c r="W396" s="12"/>
      <c r="X396" s="12"/>
      <c r="Y396" s="12"/>
      <c r="Z396" s="12"/>
    </row>
    <row r="397" customFormat="false" ht="15.75" hidden="false" customHeight="false" outlineLevel="0" collapsed="false">
      <c r="A397" s="12"/>
      <c r="B397" s="34"/>
      <c r="C397" s="12"/>
      <c r="D397" s="12"/>
      <c r="E397" s="12"/>
      <c r="F397" s="12"/>
      <c r="G397" s="18"/>
      <c r="H397" s="35"/>
      <c r="I397" s="35"/>
      <c r="J397" s="12"/>
      <c r="O397" s="12"/>
      <c r="P397" s="18"/>
      <c r="Q397" s="12"/>
      <c r="R397" s="12"/>
      <c r="S397" s="12"/>
      <c r="T397" s="36"/>
      <c r="U397" s="36"/>
      <c r="V397" s="12"/>
      <c r="W397" s="12"/>
      <c r="X397" s="12"/>
      <c r="Y397" s="12"/>
      <c r="Z397" s="12"/>
    </row>
    <row r="398" customFormat="false" ht="15.75" hidden="false" customHeight="false" outlineLevel="0" collapsed="false">
      <c r="A398" s="12"/>
      <c r="B398" s="34"/>
      <c r="C398" s="12"/>
      <c r="D398" s="12"/>
      <c r="E398" s="12"/>
      <c r="F398" s="12"/>
      <c r="G398" s="18"/>
      <c r="H398" s="35"/>
      <c r="I398" s="35"/>
      <c r="J398" s="12"/>
      <c r="O398" s="12"/>
      <c r="P398" s="18"/>
      <c r="Q398" s="12"/>
      <c r="R398" s="12"/>
      <c r="S398" s="12"/>
      <c r="T398" s="36"/>
      <c r="U398" s="36"/>
      <c r="V398" s="12"/>
      <c r="W398" s="12"/>
      <c r="X398" s="12"/>
      <c r="Y398" s="12"/>
      <c r="Z398" s="12"/>
    </row>
    <row r="399" customFormat="false" ht="15.75" hidden="false" customHeight="false" outlineLevel="0" collapsed="false">
      <c r="A399" s="12"/>
      <c r="B399" s="34"/>
      <c r="C399" s="12"/>
      <c r="D399" s="12"/>
      <c r="E399" s="12"/>
      <c r="F399" s="12"/>
      <c r="G399" s="18"/>
      <c r="H399" s="35"/>
      <c r="I399" s="35"/>
      <c r="J399" s="12"/>
      <c r="O399" s="12"/>
      <c r="P399" s="18"/>
      <c r="Q399" s="12"/>
      <c r="R399" s="12"/>
      <c r="S399" s="12"/>
      <c r="T399" s="36"/>
      <c r="U399" s="36"/>
      <c r="V399" s="12"/>
      <c r="W399" s="12"/>
      <c r="X399" s="12"/>
      <c r="Y399" s="12"/>
      <c r="Z399" s="12"/>
    </row>
    <row r="400" customFormat="false" ht="15.75" hidden="false" customHeight="false" outlineLevel="0" collapsed="false">
      <c r="A400" s="12"/>
      <c r="B400" s="34"/>
      <c r="C400" s="12"/>
      <c r="D400" s="12"/>
      <c r="E400" s="12"/>
      <c r="F400" s="12"/>
      <c r="G400" s="18"/>
      <c r="H400" s="35"/>
      <c r="I400" s="35"/>
      <c r="J400" s="12"/>
      <c r="O400" s="12"/>
      <c r="P400" s="18"/>
      <c r="Q400" s="12"/>
      <c r="R400" s="12"/>
      <c r="S400" s="12"/>
      <c r="T400" s="36"/>
      <c r="U400" s="36"/>
      <c r="V400" s="12"/>
      <c r="W400" s="12"/>
      <c r="X400" s="12"/>
      <c r="Y400" s="12"/>
      <c r="Z400" s="12"/>
    </row>
    <row r="401" customFormat="false" ht="15.75" hidden="false" customHeight="false" outlineLevel="0" collapsed="false">
      <c r="A401" s="12"/>
      <c r="B401" s="34"/>
      <c r="C401" s="12"/>
      <c r="D401" s="12"/>
      <c r="E401" s="12"/>
      <c r="F401" s="12"/>
      <c r="G401" s="18"/>
      <c r="H401" s="35"/>
      <c r="I401" s="35"/>
      <c r="J401" s="12"/>
      <c r="O401" s="12"/>
      <c r="P401" s="18"/>
      <c r="Q401" s="12"/>
      <c r="R401" s="12"/>
      <c r="S401" s="12"/>
      <c r="T401" s="36"/>
      <c r="U401" s="36"/>
      <c r="V401" s="12"/>
      <c r="W401" s="12"/>
      <c r="X401" s="12"/>
      <c r="Y401" s="12"/>
      <c r="Z401" s="12"/>
    </row>
    <row r="402" customFormat="false" ht="15.75" hidden="false" customHeight="false" outlineLevel="0" collapsed="false">
      <c r="A402" s="12"/>
      <c r="B402" s="34"/>
      <c r="C402" s="12"/>
      <c r="D402" s="12"/>
      <c r="E402" s="12"/>
      <c r="F402" s="12"/>
      <c r="G402" s="18"/>
      <c r="H402" s="35"/>
      <c r="I402" s="35"/>
      <c r="J402" s="12"/>
      <c r="O402" s="12"/>
      <c r="P402" s="18"/>
      <c r="Q402" s="12"/>
      <c r="R402" s="12"/>
      <c r="S402" s="12"/>
      <c r="T402" s="36"/>
      <c r="U402" s="36"/>
      <c r="V402" s="12"/>
      <c r="W402" s="12"/>
      <c r="X402" s="12"/>
      <c r="Y402" s="12"/>
      <c r="Z402" s="12"/>
    </row>
    <row r="403" customFormat="false" ht="15.75" hidden="false" customHeight="false" outlineLevel="0" collapsed="false">
      <c r="A403" s="12"/>
      <c r="B403" s="34"/>
      <c r="C403" s="12"/>
      <c r="D403" s="12"/>
      <c r="E403" s="12"/>
      <c r="F403" s="12"/>
      <c r="G403" s="18"/>
      <c r="H403" s="35"/>
      <c r="I403" s="35"/>
      <c r="J403" s="12"/>
      <c r="O403" s="12"/>
      <c r="P403" s="18"/>
      <c r="Q403" s="12"/>
      <c r="R403" s="12"/>
      <c r="S403" s="12"/>
      <c r="T403" s="36"/>
      <c r="U403" s="36"/>
      <c r="V403" s="12"/>
      <c r="W403" s="12"/>
      <c r="X403" s="12"/>
      <c r="Y403" s="12"/>
      <c r="Z403" s="12"/>
    </row>
    <row r="404" customFormat="false" ht="15.75" hidden="false" customHeight="false" outlineLevel="0" collapsed="false">
      <c r="A404" s="12"/>
      <c r="B404" s="34"/>
      <c r="C404" s="12"/>
      <c r="D404" s="12"/>
      <c r="E404" s="12"/>
      <c r="F404" s="12"/>
      <c r="G404" s="18"/>
      <c r="H404" s="35"/>
      <c r="I404" s="35"/>
      <c r="J404" s="12"/>
      <c r="O404" s="12"/>
      <c r="P404" s="18"/>
      <c r="Q404" s="12"/>
      <c r="R404" s="12"/>
      <c r="S404" s="12"/>
      <c r="T404" s="36"/>
      <c r="U404" s="36"/>
      <c r="V404" s="12"/>
      <c r="W404" s="12"/>
      <c r="X404" s="12"/>
      <c r="Y404" s="12"/>
      <c r="Z404" s="12"/>
    </row>
    <row r="405" customFormat="false" ht="15.75" hidden="false" customHeight="false" outlineLevel="0" collapsed="false">
      <c r="A405" s="12"/>
      <c r="B405" s="34"/>
      <c r="C405" s="12"/>
      <c r="D405" s="12"/>
      <c r="E405" s="12"/>
      <c r="F405" s="12"/>
      <c r="G405" s="18"/>
      <c r="H405" s="35"/>
      <c r="I405" s="35"/>
      <c r="J405" s="12"/>
      <c r="O405" s="12"/>
      <c r="P405" s="18"/>
      <c r="Q405" s="12"/>
      <c r="R405" s="12"/>
      <c r="S405" s="12"/>
      <c r="T405" s="36"/>
      <c r="U405" s="36"/>
      <c r="V405" s="12"/>
      <c r="W405" s="12"/>
      <c r="X405" s="12"/>
      <c r="Y405" s="12"/>
      <c r="Z405" s="12"/>
    </row>
    <row r="406" customFormat="false" ht="15.75" hidden="false" customHeight="false" outlineLevel="0" collapsed="false">
      <c r="A406" s="12"/>
      <c r="B406" s="34"/>
      <c r="C406" s="12"/>
      <c r="D406" s="12"/>
      <c r="E406" s="12"/>
      <c r="F406" s="12"/>
      <c r="G406" s="18"/>
      <c r="H406" s="35"/>
      <c r="I406" s="35"/>
      <c r="J406" s="12"/>
      <c r="O406" s="12"/>
      <c r="P406" s="18"/>
      <c r="Q406" s="12"/>
      <c r="R406" s="12"/>
      <c r="S406" s="12"/>
      <c r="T406" s="36"/>
      <c r="U406" s="36"/>
      <c r="V406" s="12"/>
      <c r="W406" s="12"/>
      <c r="X406" s="12"/>
      <c r="Y406" s="12"/>
      <c r="Z406" s="12"/>
    </row>
    <row r="407" customFormat="false" ht="15.75" hidden="false" customHeight="false" outlineLevel="0" collapsed="false">
      <c r="A407" s="12"/>
      <c r="B407" s="34"/>
      <c r="C407" s="12"/>
      <c r="D407" s="12"/>
      <c r="E407" s="12"/>
      <c r="F407" s="12"/>
      <c r="G407" s="18"/>
      <c r="H407" s="35"/>
      <c r="I407" s="35"/>
      <c r="J407" s="12"/>
      <c r="O407" s="12"/>
      <c r="P407" s="18"/>
      <c r="Q407" s="12"/>
      <c r="R407" s="12"/>
      <c r="S407" s="12"/>
      <c r="T407" s="36"/>
      <c r="U407" s="36"/>
      <c r="V407" s="12"/>
      <c r="W407" s="12"/>
      <c r="X407" s="12"/>
      <c r="Y407" s="12"/>
      <c r="Z407" s="12"/>
    </row>
    <row r="408" customFormat="false" ht="15.75" hidden="false" customHeight="false" outlineLevel="0" collapsed="false">
      <c r="A408" s="12"/>
      <c r="B408" s="34"/>
      <c r="C408" s="12"/>
      <c r="D408" s="12"/>
      <c r="E408" s="12"/>
      <c r="F408" s="12"/>
      <c r="G408" s="18"/>
      <c r="H408" s="35"/>
      <c r="I408" s="35"/>
      <c r="J408" s="12"/>
      <c r="O408" s="12"/>
      <c r="P408" s="18"/>
      <c r="Q408" s="12"/>
      <c r="R408" s="12"/>
      <c r="S408" s="12"/>
      <c r="T408" s="36"/>
      <c r="U408" s="36"/>
      <c r="V408" s="12"/>
      <c r="W408" s="12"/>
      <c r="X408" s="12"/>
      <c r="Y408" s="12"/>
      <c r="Z408" s="12"/>
    </row>
    <row r="409" customFormat="false" ht="15.75" hidden="false" customHeight="false" outlineLevel="0" collapsed="false">
      <c r="A409" s="12"/>
      <c r="B409" s="34"/>
      <c r="C409" s="12"/>
      <c r="D409" s="12"/>
      <c r="E409" s="12"/>
      <c r="F409" s="12"/>
      <c r="G409" s="18"/>
      <c r="H409" s="35"/>
      <c r="I409" s="35"/>
      <c r="J409" s="12"/>
      <c r="O409" s="12"/>
      <c r="P409" s="18"/>
      <c r="Q409" s="12"/>
      <c r="R409" s="12"/>
      <c r="S409" s="12"/>
      <c r="T409" s="36"/>
      <c r="U409" s="36"/>
      <c r="V409" s="12"/>
      <c r="W409" s="12"/>
      <c r="X409" s="12"/>
      <c r="Y409" s="12"/>
      <c r="Z409" s="12"/>
    </row>
    <row r="410" customFormat="false" ht="15.75" hidden="false" customHeight="false" outlineLevel="0" collapsed="false">
      <c r="A410" s="12"/>
      <c r="B410" s="34"/>
      <c r="C410" s="12"/>
      <c r="D410" s="12"/>
      <c r="E410" s="12"/>
      <c r="F410" s="12"/>
      <c r="G410" s="18"/>
      <c r="H410" s="35"/>
      <c r="I410" s="35"/>
      <c r="J410" s="12"/>
      <c r="O410" s="12"/>
      <c r="P410" s="18"/>
      <c r="Q410" s="12"/>
      <c r="R410" s="12"/>
      <c r="S410" s="12"/>
      <c r="T410" s="36"/>
      <c r="U410" s="36"/>
      <c r="V410" s="12"/>
      <c r="W410" s="12"/>
      <c r="X410" s="12"/>
      <c r="Y410" s="12"/>
      <c r="Z410" s="12"/>
    </row>
    <row r="411" customFormat="false" ht="15.75" hidden="false" customHeight="false" outlineLevel="0" collapsed="false">
      <c r="A411" s="12"/>
      <c r="B411" s="34"/>
      <c r="C411" s="12"/>
      <c r="D411" s="12"/>
      <c r="E411" s="12"/>
      <c r="F411" s="12"/>
      <c r="G411" s="18"/>
      <c r="H411" s="35"/>
      <c r="I411" s="35"/>
      <c r="J411" s="12"/>
      <c r="O411" s="12"/>
      <c r="P411" s="18"/>
      <c r="Q411" s="12"/>
      <c r="R411" s="12"/>
      <c r="S411" s="12"/>
      <c r="T411" s="36"/>
      <c r="U411" s="36"/>
      <c r="V411" s="12"/>
      <c r="W411" s="12"/>
      <c r="X411" s="12"/>
      <c r="Y411" s="12"/>
      <c r="Z411" s="12"/>
    </row>
    <row r="412" customFormat="false" ht="15.75" hidden="false" customHeight="false" outlineLevel="0" collapsed="false">
      <c r="A412" s="12"/>
      <c r="B412" s="34"/>
      <c r="C412" s="12"/>
      <c r="D412" s="12"/>
      <c r="E412" s="12"/>
      <c r="F412" s="12"/>
      <c r="G412" s="18"/>
      <c r="H412" s="35"/>
      <c r="I412" s="35"/>
      <c r="J412" s="12"/>
      <c r="O412" s="12"/>
      <c r="P412" s="18"/>
      <c r="Q412" s="12"/>
      <c r="R412" s="12"/>
      <c r="S412" s="12"/>
      <c r="T412" s="36"/>
      <c r="U412" s="36"/>
      <c r="V412" s="12"/>
      <c r="W412" s="12"/>
      <c r="X412" s="12"/>
      <c r="Y412" s="12"/>
      <c r="Z412" s="12"/>
    </row>
    <row r="413" customFormat="false" ht="15.75" hidden="false" customHeight="false" outlineLevel="0" collapsed="false">
      <c r="A413" s="12"/>
      <c r="B413" s="34"/>
      <c r="C413" s="12"/>
      <c r="D413" s="12"/>
      <c r="E413" s="12"/>
      <c r="F413" s="12"/>
      <c r="G413" s="18"/>
      <c r="H413" s="35"/>
      <c r="I413" s="35"/>
      <c r="J413" s="12"/>
      <c r="O413" s="12"/>
      <c r="P413" s="18"/>
      <c r="Q413" s="12"/>
      <c r="R413" s="12"/>
      <c r="S413" s="12"/>
      <c r="T413" s="36"/>
      <c r="U413" s="36"/>
      <c r="V413" s="12"/>
      <c r="W413" s="12"/>
      <c r="X413" s="12"/>
      <c r="Y413" s="12"/>
      <c r="Z413" s="12"/>
    </row>
    <row r="414" customFormat="false" ht="15.75" hidden="false" customHeight="false" outlineLevel="0" collapsed="false">
      <c r="A414" s="12"/>
      <c r="B414" s="34"/>
      <c r="C414" s="12"/>
      <c r="D414" s="12"/>
      <c r="E414" s="12"/>
      <c r="F414" s="12"/>
      <c r="G414" s="18"/>
      <c r="H414" s="35"/>
      <c r="I414" s="35"/>
      <c r="J414" s="12"/>
      <c r="O414" s="12"/>
      <c r="P414" s="18"/>
      <c r="Q414" s="12"/>
      <c r="R414" s="12"/>
      <c r="S414" s="12"/>
      <c r="T414" s="36"/>
      <c r="U414" s="36"/>
      <c r="V414" s="12"/>
      <c r="W414" s="12"/>
      <c r="X414" s="12"/>
      <c r="Y414" s="12"/>
      <c r="Z414" s="12"/>
    </row>
    <row r="415" customFormat="false" ht="15.75" hidden="false" customHeight="false" outlineLevel="0" collapsed="false">
      <c r="A415" s="12"/>
      <c r="B415" s="34"/>
      <c r="C415" s="12"/>
      <c r="D415" s="12"/>
      <c r="E415" s="12"/>
      <c r="F415" s="12"/>
      <c r="G415" s="18"/>
      <c r="H415" s="35"/>
      <c r="I415" s="35"/>
      <c r="J415" s="12"/>
      <c r="O415" s="12"/>
      <c r="P415" s="18"/>
      <c r="Q415" s="12"/>
      <c r="R415" s="12"/>
      <c r="S415" s="12"/>
      <c r="T415" s="36"/>
      <c r="U415" s="36"/>
      <c r="V415" s="12"/>
      <c r="W415" s="12"/>
      <c r="X415" s="12"/>
      <c r="Y415" s="12"/>
      <c r="Z415" s="12"/>
    </row>
    <row r="416" customFormat="false" ht="15.75" hidden="false" customHeight="false" outlineLevel="0" collapsed="false">
      <c r="A416" s="12"/>
      <c r="B416" s="34"/>
      <c r="C416" s="12"/>
      <c r="D416" s="12"/>
      <c r="E416" s="12"/>
      <c r="F416" s="12"/>
      <c r="G416" s="18"/>
      <c r="H416" s="35"/>
      <c r="I416" s="35"/>
      <c r="J416" s="12"/>
      <c r="O416" s="12"/>
      <c r="P416" s="18"/>
      <c r="Q416" s="12"/>
      <c r="R416" s="12"/>
      <c r="S416" s="12"/>
      <c r="T416" s="36"/>
      <c r="U416" s="36"/>
      <c r="V416" s="12"/>
      <c r="W416" s="12"/>
      <c r="X416" s="12"/>
      <c r="Y416" s="12"/>
      <c r="Z416" s="12"/>
    </row>
    <row r="417" customFormat="false" ht="15.75" hidden="false" customHeight="false" outlineLevel="0" collapsed="false">
      <c r="A417" s="12"/>
      <c r="B417" s="34"/>
      <c r="C417" s="12"/>
      <c r="D417" s="12"/>
      <c r="E417" s="12"/>
      <c r="F417" s="12"/>
      <c r="G417" s="18"/>
      <c r="H417" s="35"/>
      <c r="I417" s="35"/>
      <c r="J417" s="12"/>
      <c r="O417" s="12"/>
      <c r="P417" s="18"/>
      <c r="Q417" s="12"/>
      <c r="R417" s="12"/>
      <c r="S417" s="12"/>
      <c r="T417" s="36"/>
      <c r="U417" s="36"/>
      <c r="V417" s="12"/>
      <c r="W417" s="12"/>
      <c r="X417" s="12"/>
      <c r="Y417" s="12"/>
      <c r="Z417" s="12"/>
    </row>
    <row r="418" customFormat="false" ht="15.75" hidden="false" customHeight="false" outlineLevel="0" collapsed="false">
      <c r="A418" s="12"/>
      <c r="B418" s="34"/>
      <c r="C418" s="12"/>
      <c r="D418" s="12"/>
      <c r="E418" s="12"/>
      <c r="F418" s="12"/>
      <c r="G418" s="18"/>
      <c r="H418" s="35"/>
      <c r="I418" s="35"/>
      <c r="J418" s="12"/>
      <c r="O418" s="12"/>
      <c r="P418" s="18"/>
      <c r="Q418" s="12"/>
      <c r="R418" s="12"/>
      <c r="S418" s="12"/>
      <c r="T418" s="36"/>
      <c r="U418" s="36"/>
      <c r="V418" s="12"/>
      <c r="W418" s="12"/>
      <c r="X418" s="12"/>
      <c r="Y418" s="12"/>
      <c r="Z418" s="12"/>
    </row>
    <row r="419" customFormat="false" ht="15.75" hidden="false" customHeight="false" outlineLevel="0" collapsed="false">
      <c r="A419" s="12"/>
      <c r="B419" s="34"/>
      <c r="C419" s="12"/>
      <c r="D419" s="12"/>
      <c r="E419" s="12"/>
      <c r="F419" s="12"/>
      <c r="G419" s="18"/>
      <c r="H419" s="35"/>
      <c r="I419" s="35"/>
      <c r="J419" s="12"/>
      <c r="O419" s="12"/>
      <c r="P419" s="18"/>
      <c r="Q419" s="12"/>
      <c r="R419" s="12"/>
      <c r="S419" s="12"/>
      <c r="T419" s="36"/>
      <c r="U419" s="36"/>
      <c r="V419" s="12"/>
      <c r="W419" s="12"/>
      <c r="X419" s="12"/>
      <c r="Y419" s="12"/>
      <c r="Z419" s="12"/>
    </row>
    <row r="420" customFormat="false" ht="15.75" hidden="false" customHeight="false" outlineLevel="0" collapsed="false">
      <c r="A420" s="12"/>
      <c r="B420" s="34"/>
      <c r="C420" s="12"/>
      <c r="D420" s="12"/>
      <c r="E420" s="12"/>
      <c r="F420" s="12"/>
      <c r="G420" s="18"/>
      <c r="H420" s="35"/>
      <c r="I420" s="35"/>
      <c r="J420" s="12"/>
      <c r="O420" s="12"/>
      <c r="P420" s="18"/>
      <c r="Q420" s="12"/>
      <c r="R420" s="12"/>
      <c r="S420" s="12"/>
      <c r="T420" s="36"/>
      <c r="U420" s="36"/>
      <c r="V420" s="12"/>
      <c r="W420" s="12"/>
      <c r="X420" s="12"/>
      <c r="Y420" s="12"/>
      <c r="Z420" s="12"/>
    </row>
    <row r="421" customFormat="false" ht="15.75" hidden="false" customHeight="false" outlineLevel="0" collapsed="false">
      <c r="A421" s="12"/>
      <c r="B421" s="34"/>
      <c r="C421" s="12"/>
      <c r="D421" s="12"/>
      <c r="E421" s="12"/>
      <c r="F421" s="12"/>
      <c r="G421" s="18"/>
      <c r="H421" s="35"/>
      <c r="I421" s="35"/>
      <c r="J421" s="12"/>
      <c r="O421" s="12"/>
      <c r="P421" s="18"/>
      <c r="Q421" s="12"/>
      <c r="R421" s="12"/>
      <c r="S421" s="12"/>
      <c r="T421" s="36"/>
      <c r="U421" s="36"/>
      <c r="V421" s="12"/>
      <c r="W421" s="12"/>
      <c r="X421" s="12"/>
      <c r="Y421" s="12"/>
      <c r="Z421" s="12"/>
    </row>
    <row r="422" customFormat="false" ht="15.75" hidden="false" customHeight="false" outlineLevel="0" collapsed="false">
      <c r="A422" s="12"/>
      <c r="B422" s="34"/>
      <c r="C422" s="12"/>
      <c r="D422" s="12"/>
      <c r="E422" s="12"/>
      <c r="F422" s="12"/>
      <c r="G422" s="18"/>
      <c r="H422" s="35"/>
      <c r="I422" s="35"/>
      <c r="J422" s="12"/>
      <c r="O422" s="12"/>
      <c r="P422" s="18"/>
      <c r="Q422" s="12"/>
      <c r="R422" s="12"/>
      <c r="S422" s="12"/>
      <c r="T422" s="36"/>
      <c r="U422" s="36"/>
      <c r="V422" s="12"/>
      <c r="W422" s="12"/>
      <c r="X422" s="12"/>
      <c r="Y422" s="12"/>
      <c r="Z422" s="12"/>
    </row>
    <row r="423" customFormat="false" ht="15.75" hidden="false" customHeight="false" outlineLevel="0" collapsed="false">
      <c r="A423" s="12"/>
      <c r="B423" s="34"/>
      <c r="C423" s="12"/>
      <c r="D423" s="12"/>
      <c r="E423" s="12"/>
      <c r="F423" s="12"/>
      <c r="G423" s="18"/>
      <c r="H423" s="35"/>
      <c r="I423" s="35"/>
      <c r="J423" s="12"/>
      <c r="O423" s="12"/>
      <c r="P423" s="18"/>
      <c r="Q423" s="12"/>
      <c r="R423" s="12"/>
      <c r="S423" s="12"/>
      <c r="T423" s="36"/>
      <c r="U423" s="36"/>
      <c r="V423" s="12"/>
      <c r="W423" s="12"/>
      <c r="X423" s="12"/>
      <c r="Y423" s="12"/>
      <c r="Z423" s="12"/>
    </row>
    <row r="424" customFormat="false" ht="15.75" hidden="false" customHeight="false" outlineLevel="0" collapsed="false">
      <c r="A424" s="12"/>
      <c r="B424" s="34"/>
      <c r="C424" s="12"/>
      <c r="D424" s="12"/>
      <c r="E424" s="12"/>
      <c r="F424" s="12"/>
      <c r="G424" s="18"/>
      <c r="H424" s="35"/>
      <c r="I424" s="35"/>
      <c r="J424" s="12"/>
      <c r="O424" s="12"/>
      <c r="P424" s="18"/>
      <c r="Q424" s="12"/>
      <c r="R424" s="12"/>
      <c r="S424" s="12"/>
      <c r="T424" s="36"/>
      <c r="U424" s="36"/>
      <c r="V424" s="12"/>
      <c r="W424" s="12"/>
      <c r="X424" s="12"/>
      <c r="Y424" s="12"/>
      <c r="Z424" s="12"/>
    </row>
    <row r="425" customFormat="false" ht="15.75" hidden="false" customHeight="false" outlineLevel="0" collapsed="false">
      <c r="A425" s="12"/>
      <c r="B425" s="34"/>
      <c r="C425" s="12"/>
      <c r="D425" s="12"/>
      <c r="E425" s="12"/>
      <c r="F425" s="12"/>
      <c r="G425" s="18"/>
      <c r="H425" s="35"/>
      <c r="I425" s="35"/>
      <c r="J425" s="12"/>
      <c r="O425" s="12"/>
      <c r="P425" s="18"/>
      <c r="Q425" s="12"/>
      <c r="R425" s="12"/>
      <c r="S425" s="12"/>
      <c r="T425" s="36"/>
      <c r="U425" s="36"/>
      <c r="V425" s="12"/>
      <c r="W425" s="12"/>
      <c r="X425" s="12"/>
      <c r="Y425" s="12"/>
      <c r="Z425" s="12"/>
    </row>
    <row r="426" customFormat="false" ht="15.75" hidden="false" customHeight="false" outlineLevel="0" collapsed="false">
      <c r="A426" s="12"/>
      <c r="B426" s="34"/>
      <c r="C426" s="12"/>
      <c r="D426" s="12"/>
      <c r="E426" s="12"/>
      <c r="F426" s="12"/>
      <c r="G426" s="18"/>
      <c r="H426" s="35"/>
      <c r="I426" s="35"/>
      <c r="J426" s="12"/>
      <c r="O426" s="12"/>
      <c r="P426" s="18"/>
      <c r="Q426" s="12"/>
      <c r="R426" s="12"/>
      <c r="S426" s="12"/>
      <c r="T426" s="36"/>
      <c r="U426" s="36"/>
      <c r="V426" s="12"/>
      <c r="W426" s="12"/>
      <c r="X426" s="12"/>
      <c r="Y426" s="12"/>
      <c r="Z426" s="12"/>
    </row>
    <row r="427" customFormat="false" ht="15.75" hidden="false" customHeight="false" outlineLevel="0" collapsed="false">
      <c r="A427" s="12"/>
      <c r="B427" s="34"/>
      <c r="C427" s="12"/>
      <c r="D427" s="12"/>
      <c r="E427" s="12"/>
      <c r="F427" s="12"/>
      <c r="G427" s="18"/>
      <c r="H427" s="35"/>
      <c r="I427" s="35"/>
      <c r="J427" s="12"/>
      <c r="O427" s="12"/>
      <c r="P427" s="18"/>
      <c r="Q427" s="12"/>
      <c r="R427" s="12"/>
      <c r="S427" s="12"/>
      <c r="T427" s="36"/>
      <c r="U427" s="36"/>
      <c r="V427" s="12"/>
      <c r="W427" s="12"/>
      <c r="X427" s="12"/>
      <c r="Y427" s="12"/>
      <c r="Z427" s="12"/>
    </row>
    <row r="428" customFormat="false" ht="15.75" hidden="false" customHeight="false" outlineLevel="0" collapsed="false">
      <c r="A428" s="12"/>
      <c r="B428" s="34"/>
      <c r="C428" s="12"/>
      <c r="D428" s="12"/>
      <c r="E428" s="12"/>
      <c r="F428" s="12"/>
      <c r="G428" s="18"/>
      <c r="H428" s="35"/>
      <c r="I428" s="35"/>
      <c r="J428" s="12"/>
      <c r="O428" s="12"/>
      <c r="P428" s="18"/>
      <c r="Q428" s="12"/>
      <c r="R428" s="12"/>
      <c r="S428" s="12"/>
      <c r="T428" s="36"/>
      <c r="U428" s="36"/>
      <c r="V428" s="12"/>
      <c r="W428" s="12"/>
      <c r="X428" s="12"/>
      <c r="Y428" s="12"/>
      <c r="Z428" s="12"/>
    </row>
    <row r="429" customFormat="false" ht="15.75" hidden="false" customHeight="false" outlineLevel="0" collapsed="false">
      <c r="A429" s="12"/>
      <c r="B429" s="34"/>
      <c r="C429" s="12"/>
      <c r="D429" s="12"/>
      <c r="E429" s="12"/>
      <c r="F429" s="12"/>
      <c r="G429" s="18"/>
      <c r="H429" s="35"/>
      <c r="I429" s="35"/>
      <c r="J429" s="12"/>
      <c r="O429" s="12"/>
      <c r="P429" s="18"/>
      <c r="Q429" s="12"/>
      <c r="R429" s="12"/>
      <c r="S429" s="12"/>
      <c r="T429" s="36"/>
      <c r="U429" s="36"/>
      <c r="V429" s="12"/>
      <c r="W429" s="12"/>
      <c r="X429" s="12"/>
      <c r="Y429" s="12"/>
      <c r="Z429" s="12"/>
    </row>
    <row r="430" customFormat="false" ht="15.75" hidden="false" customHeight="false" outlineLevel="0" collapsed="false">
      <c r="A430" s="12"/>
      <c r="B430" s="34"/>
      <c r="C430" s="12"/>
      <c r="D430" s="12"/>
      <c r="E430" s="12"/>
      <c r="F430" s="12"/>
      <c r="G430" s="18"/>
      <c r="H430" s="35"/>
      <c r="I430" s="35"/>
      <c r="J430" s="12"/>
      <c r="O430" s="12"/>
      <c r="P430" s="18"/>
      <c r="Q430" s="12"/>
      <c r="R430" s="12"/>
      <c r="S430" s="12"/>
      <c r="T430" s="36"/>
      <c r="U430" s="36"/>
      <c r="V430" s="12"/>
      <c r="W430" s="12"/>
      <c r="X430" s="12"/>
      <c r="Y430" s="12"/>
      <c r="Z430" s="12"/>
    </row>
    <row r="431" customFormat="false" ht="15.75" hidden="false" customHeight="false" outlineLevel="0" collapsed="false">
      <c r="A431" s="12"/>
      <c r="B431" s="34"/>
      <c r="C431" s="12"/>
      <c r="D431" s="12"/>
      <c r="E431" s="12"/>
      <c r="F431" s="12"/>
      <c r="G431" s="18"/>
      <c r="H431" s="35"/>
      <c r="I431" s="35"/>
      <c r="J431" s="12"/>
      <c r="O431" s="12"/>
      <c r="P431" s="18"/>
      <c r="Q431" s="12"/>
      <c r="R431" s="12"/>
      <c r="S431" s="12"/>
      <c r="T431" s="36"/>
      <c r="U431" s="36"/>
      <c r="V431" s="12"/>
      <c r="W431" s="12"/>
      <c r="X431" s="12"/>
      <c r="Y431" s="12"/>
      <c r="Z431" s="12"/>
    </row>
    <row r="432" customFormat="false" ht="15.75" hidden="false" customHeight="false" outlineLevel="0" collapsed="false">
      <c r="A432" s="12"/>
      <c r="B432" s="34"/>
      <c r="C432" s="12"/>
      <c r="D432" s="12"/>
      <c r="E432" s="12"/>
      <c r="F432" s="12"/>
      <c r="G432" s="18"/>
      <c r="H432" s="35"/>
      <c r="I432" s="35"/>
      <c r="J432" s="12"/>
      <c r="O432" s="12"/>
      <c r="P432" s="18"/>
      <c r="Q432" s="12"/>
      <c r="R432" s="12"/>
      <c r="S432" s="12"/>
      <c r="T432" s="36"/>
      <c r="U432" s="36"/>
      <c r="V432" s="12"/>
      <c r="W432" s="12"/>
      <c r="X432" s="12"/>
      <c r="Y432" s="12"/>
      <c r="Z432" s="12"/>
    </row>
    <row r="433" customFormat="false" ht="15.75" hidden="false" customHeight="false" outlineLevel="0" collapsed="false">
      <c r="A433" s="12"/>
      <c r="B433" s="34"/>
      <c r="C433" s="12"/>
      <c r="D433" s="12"/>
      <c r="E433" s="12"/>
      <c r="F433" s="12"/>
      <c r="G433" s="18"/>
      <c r="H433" s="35"/>
      <c r="I433" s="35"/>
      <c r="J433" s="12"/>
      <c r="O433" s="12"/>
      <c r="P433" s="18"/>
      <c r="Q433" s="12"/>
      <c r="R433" s="12"/>
      <c r="S433" s="12"/>
      <c r="T433" s="36"/>
      <c r="U433" s="36"/>
      <c r="V433" s="12"/>
      <c r="W433" s="12"/>
      <c r="X433" s="12"/>
      <c r="Y433" s="12"/>
      <c r="Z433" s="12"/>
    </row>
    <row r="434" customFormat="false" ht="15.75" hidden="false" customHeight="false" outlineLevel="0" collapsed="false">
      <c r="A434" s="12"/>
      <c r="B434" s="34"/>
      <c r="C434" s="12"/>
      <c r="D434" s="12"/>
      <c r="E434" s="12"/>
      <c r="F434" s="12"/>
      <c r="G434" s="18"/>
      <c r="H434" s="35"/>
      <c r="I434" s="35"/>
      <c r="J434" s="12"/>
      <c r="O434" s="12"/>
      <c r="P434" s="18"/>
      <c r="Q434" s="12"/>
      <c r="R434" s="12"/>
      <c r="S434" s="12"/>
      <c r="T434" s="36"/>
      <c r="U434" s="36"/>
      <c r="V434" s="12"/>
      <c r="W434" s="12"/>
      <c r="X434" s="12"/>
      <c r="Y434" s="12"/>
      <c r="Z434" s="12"/>
    </row>
    <row r="435" customFormat="false" ht="15.75" hidden="false" customHeight="false" outlineLevel="0" collapsed="false">
      <c r="A435" s="12"/>
      <c r="B435" s="34"/>
      <c r="C435" s="12"/>
      <c r="D435" s="12"/>
      <c r="E435" s="12"/>
      <c r="F435" s="12"/>
      <c r="G435" s="18"/>
      <c r="H435" s="35"/>
      <c r="I435" s="35"/>
      <c r="J435" s="12"/>
      <c r="O435" s="12"/>
      <c r="P435" s="18"/>
      <c r="Q435" s="12"/>
      <c r="R435" s="12"/>
      <c r="S435" s="12"/>
      <c r="T435" s="36"/>
      <c r="U435" s="36"/>
      <c r="V435" s="12"/>
      <c r="W435" s="12"/>
      <c r="X435" s="12"/>
      <c r="Y435" s="12"/>
      <c r="Z435" s="12"/>
    </row>
    <row r="436" customFormat="false" ht="15.75" hidden="false" customHeight="false" outlineLevel="0" collapsed="false">
      <c r="A436" s="12"/>
      <c r="B436" s="34"/>
      <c r="C436" s="12"/>
      <c r="D436" s="12"/>
      <c r="E436" s="12"/>
      <c r="F436" s="12"/>
      <c r="G436" s="18"/>
      <c r="H436" s="35"/>
      <c r="I436" s="35"/>
      <c r="J436" s="12"/>
      <c r="O436" s="12"/>
      <c r="P436" s="18"/>
      <c r="Q436" s="12"/>
      <c r="R436" s="12"/>
      <c r="S436" s="12"/>
      <c r="T436" s="36"/>
      <c r="U436" s="36"/>
      <c r="V436" s="12"/>
      <c r="W436" s="12"/>
      <c r="X436" s="12"/>
      <c r="Y436" s="12"/>
      <c r="Z436" s="12"/>
    </row>
    <row r="437" customFormat="false" ht="15.75" hidden="false" customHeight="false" outlineLevel="0" collapsed="false">
      <c r="A437" s="12"/>
      <c r="B437" s="34"/>
      <c r="C437" s="12"/>
      <c r="D437" s="12"/>
      <c r="E437" s="12"/>
      <c r="F437" s="12"/>
      <c r="G437" s="18"/>
      <c r="H437" s="35"/>
      <c r="I437" s="35"/>
      <c r="J437" s="12"/>
      <c r="O437" s="12"/>
      <c r="P437" s="18"/>
      <c r="Q437" s="12"/>
      <c r="R437" s="12"/>
      <c r="S437" s="12"/>
      <c r="T437" s="36"/>
      <c r="U437" s="36"/>
      <c r="V437" s="12"/>
      <c r="W437" s="12"/>
      <c r="X437" s="12"/>
      <c r="Y437" s="12"/>
      <c r="Z437" s="12"/>
    </row>
    <row r="438" customFormat="false" ht="15.75" hidden="false" customHeight="false" outlineLevel="0" collapsed="false">
      <c r="A438" s="12"/>
      <c r="B438" s="34"/>
      <c r="C438" s="12"/>
      <c r="D438" s="12"/>
      <c r="E438" s="12"/>
      <c r="F438" s="12"/>
      <c r="G438" s="18"/>
      <c r="H438" s="35"/>
      <c r="I438" s="35"/>
      <c r="J438" s="12"/>
      <c r="O438" s="12"/>
      <c r="P438" s="18"/>
      <c r="Q438" s="12"/>
      <c r="R438" s="12"/>
      <c r="S438" s="12"/>
      <c r="T438" s="36"/>
      <c r="U438" s="36"/>
      <c r="V438" s="12"/>
      <c r="W438" s="12"/>
      <c r="X438" s="12"/>
      <c r="Y438" s="12"/>
      <c r="Z438" s="12"/>
    </row>
    <row r="439" customFormat="false" ht="15.75" hidden="false" customHeight="false" outlineLevel="0" collapsed="false">
      <c r="A439" s="12"/>
      <c r="B439" s="34"/>
      <c r="C439" s="12"/>
      <c r="D439" s="12"/>
      <c r="E439" s="12"/>
      <c r="F439" s="12"/>
      <c r="G439" s="18"/>
      <c r="H439" s="35"/>
      <c r="I439" s="35"/>
      <c r="J439" s="12"/>
      <c r="O439" s="12"/>
      <c r="P439" s="18"/>
      <c r="Q439" s="12"/>
      <c r="R439" s="12"/>
      <c r="S439" s="12"/>
      <c r="T439" s="36"/>
      <c r="U439" s="36"/>
      <c r="V439" s="12"/>
      <c r="W439" s="12"/>
      <c r="X439" s="12"/>
      <c r="Y439" s="12"/>
      <c r="Z439" s="12"/>
    </row>
    <row r="440" customFormat="false" ht="15.75" hidden="false" customHeight="false" outlineLevel="0" collapsed="false">
      <c r="A440" s="12"/>
      <c r="B440" s="34"/>
      <c r="C440" s="12"/>
      <c r="D440" s="12"/>
      <c r="E440" s="12"/>
      <c r="F440" s="12"/>
      <c r="G440" s="18"/>
      <c r="H440" s="35"/>
      <c r="I440" s="35"/>
      <c r="J440" s="12"/>
      <c r="O440" s="12"/>
      <c r="P440" s="18"/>
      <c r="Q440" s="12"/>
      <c r="R440" s="12"/>
      <c r="S440" s="12"/>
      <c r="T440" s="36"/>
      <c r="U440" s="36"/>
      <c r="V440" s="12"/>
      <c r="W440" s="12"/>
      <c r="X440" s="12"/>
      <c r="Y440" s="12"/>
      <c r="Z440" s="12"/>
    </row>
    <row r="441" customFormat="false" ht="15.75" hidden="false" customHeight="false" outlineLevel="0" collapsed="false">
      <c r="A441" s="12"/>
      <c r="B441" s="34"/>
      <c r="C441" s="12"/>
      <c r="D441" s="12"/>
      <c r="E441" s="12"/>
      <c r="F441" s="12"/>
      <c r="G441" s="18"/>
      <c r="H441" s="35"/>
      <c r="I441" s="35"/>
      <c r="J441" s="12"/>
      <c r="O441" s="12"/>
      <c r="P441" s="18"/>
      <c r="Q441" s="12"/>
      <c r="R441" s="12"/>
      <c r="S441" s="12"/>
      <c r="T441" s="36"/>
      <c r="U441" s="36"/>
      <c r="V441" s="12"/>
      <c r="W441" s="12"/>
      <c r="X441" s="12"/>
      <c r="Y441" s="12"/>
      <c r="Z441" s="12"/>
    </row>
    <row r="442" customFormat="false" ht="15.75" hidden="false" customHeight="false" outlineLevel="0" collapsed="false">
      <c r="A442" s="12"/>
      <c r="B442" s="34"/>
      <c r="C442" s="12"/>
      <c r="D442" s="12"/>
      <c r="E442" s="12"/>
      <c r="F442" s="12"/>
      <c r="G442" s="18"/>
      <c r="H442" s="35"/>
      <c r="I442" s="35"/>
      <c r="J442" s="12"/>
      <c r="O442" s="12"/>
      <c r="P442" s="18"/>
      <c r="Q442" s="12"/>
      <c r="R442" s="12"/>
      <c r="S442" s="12"/>
      <c r="T442" s="36"/>
      <c r="U442" s="36"/>
      <c r="V442" s="12"/>
      <c r="W442" s="12"/>
      <c r="X442" s="12"/>
      <c r="Y442" s="12"/>
      <c r="Z442" s="12"/>
    </row>
    <row r="443" customFormat="false" ht="15.75" hidden="false" customHeight="false" outlineLevel="0" collapsed="false">
      <c r="A443" s="12"/>
      <c r="B443" s="34"/>
      <c r="C443" s="12"/>
      <c r="D443" s="12"/>
      <c r="E443" s="12"/>
      <c r="F443" s="12"/>
      <c r="G443" s="18"/>
      <c r="H443" s="35"/>
      <c r="I443" s="35"/>
      <c r="J443" s="12"/>
      <c r="O443" s="12"/>
      <c r="P443" s="18"/>
      <c r="Q443" s="12"/>
      <c r="R443" s="12"/>
      <c r="S443" s="12"/>
      <c r="T443" s="36"/>
      <c r="U443" s="36"/>
      <c r="V443" s="12"/>
      <c r="W443" s="12"/>
      <c r="X443" s="12"/>
      <c r="Y443" s="12"/>
      <c r="Z443" s="12"/>
    </row>
    <row r="444" customFormat="false" ht="15.75" hidden="false" customHeight="false" outlineLevel="0" collapsed="false">
      <c r="A444" s="12"/>
      <c r="B444" s="34"/>
      <c r="C444" s="12"/>
      <c r="D444" s="12"/>
      <c r="E444" s="12"/>
      <c r="F444" s="12"/>
      <c r="G444" s="18"/>
      <c r="H444" s="35"/>
      <c r="I444" s="35"/>
      <c r="J444" s="12"/>
      <c r="O444" s="12"/>
      <c r="P444" s="18"/>
      <c r="Q444" s="12"/>
      <c r="R444" s="12"/>
      <c r="S444" s="12"/>
      <c r="T444" s="36"/>
      <c r="U444" s="36"/>
      <c r="V444" s="12"/>
      <c r="W444" s="12"/>
      <c r="X444" s="12"/>
      <c r="Y444" s="12"/>
      <c r="Z444" s="12"/>
    </row>
    <row r="445" customFormat="false" ht="15.75" hidden="false" customHeight="false" outlineLevel="0" collapsed="false">
      <c r="A445" s="12"/>
      <c r="B445" s="34"/>
      <c r="C445" s="12"/>
      <c r="D445" s="12"/>
      <c r="E445" s="12"/>
      <c r="F445" s="12"/>
      <c r="G445" s="18"/>
      <c r="H445" s="35"/>
      <c r="I445" s="35"/>
      <c r="J445" s="12"/>
      <c r="O445" s="12"/>
      <c r="P445" s="18"/>
      <c r="Q445" s="12"/>
      <c r="R445" s="12"/>
      <c r="S445" s="12"/>
      <c r="T445" s="36"/>
      <c r="U445" s="36"/>
      <c r="V445" s="12"/>
      <c r="W445" s="12"/>
      <c r="X445" s="12"/>
      <c r="Y445" s="12"/>
      <c r="Z445" s="12"/>
    </row>
    <row r="446" customFormat="false" ht="15.75" hidden="false" customHeight="false" outlineLevel="0" collapsed="false">
      <c r="A446" s="12"/>
      <c r="B446" s="34"/>
      <c r="C446" s="12"/>
      <c r="D446" s="12"/>
      <c r="E446" s="12"/>
      <c r="F446" s="12"/>
      <c r="G446" s="18"/>
      <c r="H446" s="35"/>
      <c r="I446" s="35"/>
      <c r="J446" s="12"/>
      <c r="O446" s="12"/>
      <c r="P446" s="18"/>
      <c r="Q446" s="12"/>
      <c r="R446" s="12"/>
      <c r="S446" s="12"/>
      <c r="T446" s="36"/>
      <c r="U446" s="36"/>
      <c r="V446" s="12"/>
      <c r="W446" s="12"/>
      <c r="X446" s="12"/>
      <c r="Y446" s="12"/>
      <c r="Z446" s="12"/>
    </row>
    <row r="447" customFormat="false" ht="15.75" hidden="false" customHeight="false" outlineLevel="0" collapsed="false">
      <c r="A447" s="12"/>
      <c r="B447" s="34"/>
      <c r="C447" s="12"/>
      <c r="D447" s="12"/>
      <c r="E447" s="12"/>
      <c r="F447" s="12"/>
      <c r="G447" s="18"/>
      <c r="H447" s="35"/>
      <c r="I447" s="35"/>
      <c r="J447" s="12"/>
      <c r="O447" s="12"/>
      <c r="P447" s="18"/>
      <c r="Q447" s="12"/>
      <c r="R447" s="12"/>
      <c r="S447" s="12"/>
      <c r="T447" s="36"/>
      <c r="U447" s="36"/>
      <c r="V447" s="12"/>
      <c r="W447" s="12"/>
      <c r="X447" s="12"/>
      <c r="Y447" s="12"/>
      <c r="Z447" s="12"/>
    </row>
    <row r="448" customFormat="false" ht="15.75" hidden="false" customHeight="false" outlineLevel="0" collapsed="false">
      <c r="A448" s="12"/>
      <c r="B448" s="34"/>
      <c r="C448" s="12"/>
      <c r="D448" s="12"/>
      <c r="E448" s="12"/>
      <c r="F448" s="12"/>
      <c r="G448" s="18"/>
      <c r="H448" s="35"/>
      <c r="I448" s="35"/>
      <c r="J448" s="12"/>
      <c r="O448" s="12"/>
      <c r="P448" s="18"/>
      <c r="Q448" s="12"/>
      <c r="R448" s="12"/>
      <c r="S448" s="12"/>
      <c r="T448" s="36"/>
      <c r="U448" s="36"/>
      <c r="V448" s="12"/>
      <c r="W448" s="12"/>
      <c r="X448" s="12"/>
      <c r="Y448" s="12"/>
      <c r="Z448" s="12"/>
    </row>
    <row r="449" customFormat="false" ht="15.75" hidden="false" customHeight="false" outlineLevel="0" collapsed="false">
      <c r="A449" s="12"/>
      <c r="B449" s="34"/>
      <c r="C449" s="12"/>
      <c r="D449" s="12"/>
      <c r="E449" s="12"/>
      <c r="F449" s="12"/>
      <c r="G449" s="18"/>
      <c r="H449" s="35"/>
      <c r="I449" s="35"/>
      <c r="J449" s="12"/>
      <c r="O449" s="12"/>
      <c r="P449" s="18"/>
      <c r="Q449" s="12"/>
      <c r="R449" s="12"/>
      <c r="S449" s="12"/>
      <c r="T449" s="36"/>
      <c r="U449" s="36"/>
      <c r="V449" s="12"/>
      <c r="W449" s="12"/>
      <c r="X449" s="12"/>
      <c r="Y449" s="12"/>
      <c r="Z449" s="12"/>
    </row>
    <row r="450" customFormat="false" ht="15.75" hidden="false" customHeight="false" outlineLevel="0" collapsed="false">
      <c r="A450" s="12"/>
      <c r="B450" s="34"/>
      <c r="C450" s="12"/>
      <c r="D450" s="12"/>
      <c r="E450" s="12"/>
      <c r="F450" s="12"/>
      <c r="G450" s="18"/>
      <c r="H450" s="35"/>
      <c r="I450" s="35"/>
      <c r="J450" s="12"/>
      <c r="O450" s="12"/>
      <c r="P450" s="18"/>
      <c r="Q450" s="12"/>
      <c r="R450" s="12"/>
      <c r="S450" s="12"/>
      <c r="T450" s="36"/>
      <c r="U450" s="36"/>
      <c r="V450" s="12"/>
      <c r="W450" s="12"/>
      <c r="X450" s="12"/>
      <c r="Y450" s="12"/>
      <c r="Z450" s="12"/>
    </row>
    <row r="451" customFormat="false" ht="15.75" hidden="false" customHeight="false" outlineLevel="0" collapsed="false">
      <c r="A451" s="12"/>
      <c r="B451" s="34"/>
      <c r="C451" s="12"/>
      <c r="D451" s="12"/>
      <c r="E451" s="12"/>
      <c r="F451" s="12"/>
      <c r="G451" s="18"/>
      <c r="H451" s="35"/>
      <c r="I451" s="35"/>
      <c r="J451" s="12"/>
      <c r="O451" s="12"/>
      <c r="P451" s="18"/>
      <c r="Q451" s="12"/>
      <c r="R451" s="12"/>
      <c r="S451" s="12"/>
      <c r="T451" s="36"/>
      <c r="U451" s="36"/>
      <c r="V451" s="12"/>
      <c r="W451" s="12"/>
      <c r="X451" s="12"/>
      <c r="Y451" s="12"/>
      <c r="Z451" s="12"/>
    </row>
    <row r="452" customFormat="false" ht="15.75" hidden="false" customHeight="false" outlineLevel="0" collapsed="false">
      <c r="A452" s="12"/>
      <c r="B452" s="34"/>
      <c r="C452" s="12"/>
      <c r="D452" s="12"/>
      <c r="E452" s="12"/>
      <c r="F452" s="12"/>
      <c r="G452" s="18"/>
      <c r="H452" s="35"/>
      <c r="I452" s="35"/>
      <c r="J452" s="12"/>
      <c r="O452" s="12"/>
      <c r="P452" s="18"/>
      <c r="Q452" s="12"/>
      <c r="R452" s="12"/>
      <c r="S452" s="12"/>
      <c r="T452" s="36"/>
      <c r="U452" s="36"/>
      <c r="V452" s="12"/>
      <c r="W452" s="12"/>
      <c r="X452" s="12"/>
      <c r="Y452" s="12"/>
      <c r="Z452" s="12"/>
    </row>
    <row r="453" customFormat="false" ht="15.75" hidden="false" customHeight="false" outlineLevel="0" collapsed="false">
      <c r="A453" s="12"/>
      <c r="B453" s="34"/>
      <c r="C453" s="12"/>
      <c r="D453" s="12"/>
      <c r="E453" s="12"/>
      <c r="F453" s="12"/>
      <c r="G453" s="18"/>
      <c r="H453" s="35"/>
      <c r="I453" s="35"/>
      <c r="J453" s="12"/>
      <c r="O453" s="12"/>
      <c r="P453" s="18"/>
      <c r="Q453" s="12"/>
      <c r="R453" s="12"/>
      <c r="S453" s="12"/>
      <c r="T453" s="36"/>
      <c r="U453" s="36"/>
      <c r="V453" s="12"/>
      <c r="W453" s="12"/>
      <c r="X453" s="12"/>
      <c r="Y453" s="12"/>
      <c r="Z453" s="12"/>
    </row>
    <row r="454" customFormat="false" ht="15.75" hidden="false" customHeight="false" outlineLevel="0" collapsed="false">
      <c r="A454" s="12"/>
      <c r="B454" s="34"/>
      <c r="C454" s="12"/>
      <c r="D454" s="12"/>
      <c r="E454" s="12"/>
      <c r="F454" s="12"/>
      <c r="G454" s="18"/>
      <c r="H454" s="35"/>
      <c r="I454" s="35"/>
      <c r="J454" s="12"/>
      <c r="O454" s="12"/>
      <c r="P454" s="18"/>
      <c r="Q454" s="12"/>
      <c r="R454" s="12"/>
      <c r="S454" s="12"/>
      <c r="T454" s="36"/>
      <c r="U454" s="36"/>
      <c r="V454" s="12"/>
      <c r="W454" s="12"/>
      <c r="X454" s="12"/>
      <c r="Y454" s="12"/>
      <c r="Z454" s="12"/>
    </row>
    <row r="455" customFormat="false" ht="15.75" hidden="false" customHeight="false" outlineLevel="0" collapsed="false">
      <c r="A455" s="12"/>
      <c r="B455" s="34"/>
      <c r="C455" s="12"/>
      <c r="D455" s="12"/>
      <c r="E455" s="12"/>
      <c r="F455" s="12"/>
      <c r="G455" s="18"/>
      <c r="H455" s="35"/>
      <c r="I455" s="35"/>
      <c r="J455" s="12"/>
      <c r="O455" s="12"/>
      <c r="P455" s="18"/>
      <c r="Q455" s="12"/>
      <c r="R455" s="12"/>
      <c r="S455" s="12"/>
      <c r="T455" s="36"/>
      <c r="U455" s="36"/>
      <c r="V455" s="12"/>
      <c r="W455" s="12"/>
      <c r="X455" s="12"/>
      <c r="Y455" s="12"/>
      <c r="Z455" s="12"/>
    </row>
    <row r="456" customFormat="false" ht="15.75" hidden="false" customHeight="false" outlineLevel="0" collapsed="false">
      <c r="A456" s="12"/>
      <c r="B456" s="34"/>
      <c r="C456" s="12"/>
      <c r="D456" s="12"/>
      <c r="E456" s="12"/>
      <c r="F456" s="12"/>
      <c r="G456" s="18"/>
      <c r="H456" s="35"/>
      <c r="I456" s="35"/>
      <c r="J456" s="12"/>
      <c r="O456" s="12"/>
      <c r="P456" s="18"/>
      <c r="Q456" s="12"/>
      <c r="R456" s="12"/>
      <c r="S456" s="12"/>
      <c r="T456" s="36"/>
      <c r="U456" s="36"/>
      <c r="V456" s="12"/>
      <c r="W456" s="12"/>
      <c r="X456" s="12"/>
      <c r="Y456" s="12"/>
      <c r="Z456" s="12"/>
    </row>
    <row r="457" customFormat="false" ht="15.75" hidden="false" customHeight="false" outlineLevel="0" collapsed="false">
      <c r="A457" s="12"/>
      <c r="B457" s="34"/>
      <c r="C457" s="12"/>
      <c r="D457" s="12"/>
      <c r="E457" s="12"/>
      <c r="F457" s="12"/>
      <c r="G457" s="18"/>
      <c r="H457" s="35"/>
      <c r="I457" s="35"/>
      <c r="J457" s="12"/>
      <c r="O457" s="12"/>
      <c r="P457" s="18"/>
      <c r="Q457" s="12"/>
      <c r="R457" s="12"/>
      <c r="S457" s="12"/>
      <c r="T457" s="36"/>
      <c r="U457" s="36"/>
      <c r="V457" s="12"/>
      <c r="W457" s="12"/>
      <c r="X457" s="12"/>
      <c r="Y457" s="12"/>
      <c r="Z457" s="12"/>
    </row>
    <row r="458" customFormat="false" ht="15.75" hidden="false" customHeight="false" outlineLevel="0" collapsed="false">
      <c r="A458" s="12"/>
      <c r="B458" s="34"/>
      <c r="C458" s="12"/>
      <c r="D458" s="12"/>
      <c r="E458" s="12"/>
      <c r="F458" s="12"/>
      <c r="G458" s="18"/>
      <c r="H458" s="35"/>
      <c r="I458" s="35"/>
      <c r="J458" s="12"/>
      <c r="O458" s="12"/>
      <c r="P458" s="18"/>
      <c r="Q458" s="12"/>
      <c r="R458" s="12"/>
      <c r="S458" s="12"/>
      <c r="T458" s="36"/>
      <c r="U458" s="36"/>
      <c r="V458" s="12"/>
      <c r="W458" s="12"/>
      <c r="X458" s="12"/>
      <c r="Y458" s="12"/>
      <c r="Z458" s="12"/>
    </row>
    <row r="459" customFormat="false" ht="15.75" hidden="false" customHeight="false" outlineLevel="0" collapsed="false">
      <c r="A459" s="12"/>
      <c r="B459" s="34"/>
      <c r="C459" s="12"/>
      <c r="D459" s="12"/>
      <c r="E459" s="12"/>
      <c r="F459" s="12"/>
      <c r="G459" s="18"/>
      <c r="H459" s="35"/>
      <c r="I459" s="35"/>
      <c r="J459" s="12"/>
      <c r="O459" s="12"/>
      <c r="P459" s="18"/>
      <c r="Q459" s="12"/>
      <c r="R459" s="12"/>
      <c r="S459" s="12"/>
      <c r="T459" s="36"/>
      <c r="U459" s="36"/>
      <c r="V459" s="12"/>
      <c r="W459" s="12"/>
      <c r="X459" s="12"/>
      <c r="Y459" s="12"/>
      <c r="Z459" s="12"/>
    </row>
    <row r="460" customFormat="false" ht="15.75" hidden="false" customHeight="false" outlineLevel="0" collapsed="false">
      <c r="A460" s="12"/>
      <c r="B460" s="34"/>
      <c r="C460" s="12"/>
      <c r="D460" s="12"/>
      <c r="E460" s="12"/>
      <c r="F460" s="12"/>
      <c r="G460" s="18"/>
      <c r="H460" s="35"/>
      <c r="I460" s="35"/>
      <c r="J460" s="12"/>
      <c r="O460" s="12"/>
      <c r="P460" s="18"/>
      <c r="Q460" s="12"/>
      <c r="R460" s="12"/>
      <c r="S460" s="12"/>
      <c r="T460" s="36"/>
      <c r="U460" s="36"/>
      <c r="V460" s="12"/>
      <c r="W460" s="12"/>
      <c r="X460" s="12"/>
      <c r="Y460" s="12"/>
      <c r="Z460" s="12"/>
    </row>
    <row r="461" customFormat="false" ht="15.75" hidden="false" customHeight="false" outlineLevel="0" collapsed="false">
      <c r="A461" s="12"/>
      <c r="B461" s="34"/>
      <c r="C461" s="12"/>
      <c r="D461" s="12"/>
      <c r="E461" s="12"/>
      <c r="F461" s="12"/>
      <c r="G461" s="18"/>
      <c r="H461" s="35"/>
      <c r="I461" s="35"/>
      <c r="J461" s="12"/>
      <c r="O461" s="12"/>
      <c r="P461" s="18"/>
      <c r="Q461" s="12"/>
      <c r="R461" s="12"/>
      <c r="S461" s="12"/>
      <c r="T461" s="36"/>
      <c r="U461" s="36"/>
      <c r="V461" s="12"/>
      <c r="W461" s="12"/>
      <c r="X461" s="12"/>
      <c r="Y461" s="12"/>
      <c r="Z461" s="12"/>
    </row>
    <row r="462" customFormat="false" ht="15.75" hidden="false" customHeight="false" outlineLevel="0" collapsed="false">
      <c r="A462" s="12"/>
      <c r="B462" s="34"/>
      <c r="C462" s="12"/>
      <c r="D462" s="12"/>
      <c r="E462" s="12"/>
      <c r="F462" s="12"/>
      <c r="G462" s="18"/>
      <c r="H462" s="35"/>
      <c r="I462" s="35"/>
      <c r="J462" s="12"/>
      <c r="O462" s="12"/>
      <c r="P462" s="18"/>
      <c r="Q462" s="12"/>
      <c r="R462" s="12"/>
      <c r="S462" s="12"/>
      <c r="T462" s="36"/>
      <c r="U462" s="36"/>
      <c r="V462" s="12"/>
      <c r="W462" s="12"/>
      <c r="X462" s="12"/>
      <c r="Y462" s="12"/>
      <c r="Z462" s="12"/>
    </row>
    <row r="463" customFormat="false" ht="15.75" hidden="false" customHeight="false" outlineLevel="0" collapsed="false">
      <c r="A463" s="12"/>
      <c r="B463" s="34"/>
      <c r="C463" s="12"/>
      <c r="D463" s="12"/>
      <c r="E463" s="12"/>
      <c r="F463" s="12"/>
      <c r="G463" s="18"/>
      <c r="H463" s="35"/>
      <c r="I463" s="35"/>
      <c r="J463" s="12"/>
      <c r="O463" s="12"/>
      <c r="P463" s="18"/>
      <c r="Q463" s="12"/>
      <c r="R463" s="12"/>
      <c r="S463" s="12"/>
      <c r="T463" s="36"/>
      <c r="U463" s="36"/>
      <c r="V463" s="12"/>
      <c r="W463" s="12"/>
      <c r="X463" s="12"/>
      <c r="Y463" s="12"/>
      <c r="Z463" s="12"/>
    </row>
    <row r="464" customFormat="false" ht="15.75" hidden="false" customHeight="false" outlineLevel="0" collapsed="false">
      <c r="A464" s="12"/>
      <c r="B464" s="34"/>
      <c r="C464" s="12"/>
      <c r="D464" s="12"/>
      <c r="E464" s="12"/>
      <c r="F464" s="12"/>
      <c r="G464" s="18"/>
      <c r="H464" s="35"/>
      <c r="I464" s="35"/>
      <c r="J464" s="12"/>
      <c r="O464" s="12"/>
      <c r="P464" s="18"/>
      <c r="Q464" s="12"/>
      <c r="R464" s="12"/>
      <c r="S464" s="12"/>
      <c r="T464" s="36"/>
      <c r="U464" s="36"/>
      <c r="V464" s="12"/>
      <c r="W464" s="12"/>
      <c r="X464" s="12"/>
      <c r="Y464" s="12"/>
      <c r="Z464" s="12"/>
    </row>
    <row r="465" customFormat="false" ht="15.75" hidden="false" customHeight="false" outlineLevel="0" collapsed="false">
      <c r="A465" s="12"/>
      <c r="B465" s="34"/>
      <c r="C465" s="12"/>
      <c r="D465" s="12"/>
      <c r="E465" s="12"/>
      <c r="F465" s="12"/>
      <c r="G465" s="18"/>
      <c r="H465" s="35"/>
      <c r="I465" s="35"/>
      <c r="J465" s="12"/>
      <c r="O465" s="12"/>
      <c r="P465" s="18"/>
      <c r="Q465" s="12"/>
      <c r="R465" s="12"/>
      <c r="S465" s="12"/>
      <c r="T465" s="36"/>
      <c r="U465" s="36"/>
      <c r="V465" s="12"/>
      <c r="W465" s="12"/>
      <c r="X465" s="12"/>
      <c r="Y465" s="12"/>
      <c r="Z465" s="12"/>
    </row>
    <row r="466" customFormat="false" ht="15.75" hidden="false" customHeight="false" outlineLevel="0" collapsed="false">
      <c r="A466" s="12"/>
      <c r="B466" s="34"/>
      <c r="C466" s="12"/>
      <c r="D466" s="12"/>
      <c r="E466" s="12"/>
      <c r="F466" s="12"/>
      <c r="G466" s="18"/>
      <c r="H466" s="35"/>
      <c r="I466" s="35"/>
      <c r="J466" s="12"/>
      <c r="O466" s="12"/>
      <c r="P466" s="18"/>
      <c r="Q466" s="12"/>
      <c r="R466" s="12"/>
      <c r="S466" s="12"/>
      <c r="T466" s="36"/>
      <c r="U466" s="36"/>
      <c r="V466" s="12"/>
      <c r="W466" s="12"/>
      <c r="X466" s="12"/>
      <c r="Y466" s="12"/>
      <c r="Z466" s="12"/>
    </row>
    <row r="467" customFormat="false" ht="15.75" hidden="false" customHeight="false" outlineLevel="0" collapsed="false">
      <c r="A467" s="12"/>
      <c r="B467" s="34"/>
      <c r="C467" s="12"/>
      <c r="D467" s="12"/>
      <c r="E467" s="12"/>
      <c r="F467" s="12"/>
      <c r="G467" s="18"/>
      <c r="H467" s="35"/>
      <c r="I467" s="35"/>
      <c r="J467" s="12"/>
      <c r="O467" s="12"/>
      <c r="P467" s="18"/>
      <c r="Q467" s="12"/>
      <c r="R467" s="12"/>
      <c r="S467" s="12"/>
      <c r="T467" s="36"/>
      <c r="U467" s="36"/>
      <c r="V467" s="12"/>
      <c r="W467" s="12"/>
      <c r="X467" s="12"/>
      <c r="Y467" s="12"/>
      <c r="Z467" s="12"/>
    </row>
    <row r="468" customFormat="false" ht="15.75" hidden="false" customHeight="false" outlineLevel="0" collapsed="false">
      <c r="A468" s="12"/>
      <c r="B468" s="34"/>
      <c r="C468" s="12"/>
      <c r="D468" s="12"/>
      <c r="E468" s="12"/>
      <c r="F468" s="12"/>
      <c r="G468" s="18"/>
      <c r="H468" s="35"/>
      <c r="I468" s="35"/>
      <c r="J468" s="12"/>
      <c r="O468" s="12"/>
      <c r="P468" s="18"/>
      <c r="Q468" s="12"/>
      <c r="R468" s="12"/>
      <c r="S468" s="12"/>
      <c r="T468" s="36"/>
      <c r="U468" s="36"/>
      <c r="V468" s="12"/>
      <c r="W468" s="12"/>
      <c r="X468" s="12"/>
      <c r="Y468" s="12"/>
      <c r="Z468" s="12"/>
    </row>
    <row r="469" customFormat="false" ht="15.75" hidden="false" customHeight="false" outlineLevel="0" collapsed="false">
      <c r="A469" s="12"/>
      <c r="B469" s="34"/>
      <c r="C469" s="12"/>
      <c r="D469" s="12"/>
      <c r="E469" s="12"/>
      <c r="F469" s="12"/>
      <c r="G469" s="18"/>
      <c r="H469" s="35"/>
      <c r="I469" s="35"/>
      <c r="J469" s="12"/>
      <c r="O469" s="12"/>
      <c r="P469" s="18"/>
      <c r="Q469" s="12"/>
      <c r="R469" s="12"/>
      <c r="S469" s="12"/>
      <c r="T469" s="36"/>
      <c r="U469" s="36"/>
      <c r="V469" s="12"/>
      <c r="W469" s="12"/>
      <c r="X469" s="12"/>
      <c r="Y469" s="12"/>
      <c r="Z469" s="12"/>
    </row>
    <row r="470" customFormat="false" ht="15.75" hidden="false" customHeight="false" outlineLevel="0" collapsed="false">
      <c r="A470" s="12"/>
      <c r="B470" s="34"/>
      <c r="C470" s="12"/>
      <c r="D470" s="12"/>
      <c r="E470" s="12"/>
      <c r="F470" s="12"/>
      <c r="G470" s="18"/>
      <c r="H470" s="35"/>
      <c r="I470" s="35"/>
      <c r="J470" s="12"/>
      <c r="O470" s="12"/>
      <c r="P470" s="18"/>
      <c r="Q470" s="12"/>
      <c r="R470" s="12"/>
      <c r="S470" s="12"/>
      <c r="T470" s="36"/>
      <c r="U470" s="36"/>
      <c r="V470" s="12"/>
      <c r="W470" s="12"/>
      <c r="X470" s="12"/>
      <c r="Y470" s="12"/>
      <c r="Z470" s="12"/>
    </row>
    <row r="471" customFormat="false" ht="15.75" hidden="false" customHeight="false" outlineLevel="0" collapsed="false">
      <c r="A471" s="12"/>
      <c r="B471" s="34"/>
      <c r="C471" s="12"/>
      <c r="D471" s="12"/>
      <c r="E471" s="12"/>
      <c r="F471" s="12"/>
      <c r="G471" s="18"/>
      <c r="H471" s="35"/>
      <c r="I471" s="35"/>
      <c r="J471" s="12"/>
      <c r="O471" s="12"/>
      <c r="P471" s="18"/>
      <c r="Q471" s="12"/>
      <c r="R471" s="12"/>
      <c r="S471" s="12"/>
      <c r="T471" s="36"/>
      <c r="U471" s="36"/>
      <c r="V471" s="12"/>
      <c r="W471" s="12"/>
      <c r="X471" s="12"/>
      <c r="Y471" s="12"/>
      <c r="Z471" s="12"/>
    </row>
    <row r="472" customFormat="false" ht="15.75" hidden="false" customHeight="false" outlineLevel="0" collapsed="false">
      <c r="A472" s="12"/>
      <c r="B472" s="34"/>
      <c r="C472" s="12"/>
      <c r="D472" s="12"/>
      <c r="E472" s="12"/>
      <c r="F472" s="12"/>
      <c r="G472" s="18"/>
      <c r="H472" s="35"/>
      <c r="I472" s="35"/>
      <c r="J472" s="12"/>
      <c r="O472" s="12"/>
      <c r="P472" s="18"/>
      <c r="Q472" s="12"/>
      <c r="R472" s="12"/>
      <c r="S472" s="12"/>
      <c r="T472" s="36"/>
      <c r="U472" s="36"/>
      <c r="V472" s="12"/>
      <c r="W472" s="12"/>
      <c r="X472" s="12"/>
      <c r="Y472" s="12"/>
      <c r="Z472" s="12"/>
    </row>
    <row r="473" customFormat="false" ht="15.75" hidden="false" customHeight="false" outlineLevel="0" collapsed="false">
      <c r="A473" s="12"/>
      <c r="B473" s="34"/>
      <c r="C473" s="12"/>
      <c r="D473" s="12"/>
      <c r="E473" s="12"/>
      <c r="F473" s="12"/>
      <c r="G473" s="18"/>
      <c r="H473" s="35"/>
      <c r="I473" s="35"/>
      <c r="J473" s="12"/>
      <c r="O473" s="12"/>
      <c r="P473" s="18"/>
      <c r="Q473" s="12"/>
      <c r="R473" s="12"/>
      <c r="S473" s="12"/>
      <c r="T473" s="36"/>
      <c r="U473" s="36"/>
      <c r="V473" s="12"/>
      <c r="W473" s="12"/>
      <c r="X473" s="12"/>
      <c r="Y473" s="12"/>
      <c r="Z473" s="12"/>
    </row>
    <row r="474" customFormat="false" ht="15.75" hidden="false" customHeight="false" outlineLevel="0" collapsed="false">
      <c r="A474" s="12"/>
      <c r="B474" s="34"/>
      <c r="C474" s="12"/>
      <c r="D474" s="12"/>
      <c r="E474" s="12"/>
      <c r="F474" s="12"/>
      <c r="G474" s="18"/>
      <c r="H474" s="35"/>
      <c r="I474" s="35"/>
      <c r="J474" s="12"/>
      <c r="O474" s="12"/>
      <c r="P474" s="18"/>
      <c r="Q474" s="12"/>
      <c r="R474" s="12"/>
      <c r="S474" s="12"/>
      <c r="T474" s="36"/>
      <c r="U474" s="36"/>
      <c r="V474" s="12"/>
      <c r="W474" s="12"/>
      <c r="X474" s="12"/>
      <c r="Y474" s="12"/>
      <c r="Z474" s="12"/>
    </row>
    <row r="475" customFormat="false" ht="15.75" hidden="false" customHeight="false" outlineLevel="0" collapsed="false">
      <c r="A475" s="12"/>
      <c r="B475" s="34"/>
      <c r="C475" s="12"/>
      <c r="D475" s="12"/>
      <c r="E475" s="12"/>
      <c r="F475" s="12"/>
      <c r="G475" s="18"/>
      <c r="H475" s="35"/>
      <c r="I475" s="35"/>
      <c r="J475" s="12"/>
      <c r="O475" s="12"/>
      <c r="P475" s="18"/>
      <c r="Q475" s="12"/>
      <c r="R475" s="12"/>
      <c r="S475" s="12"/>
      <c r="T475" s="36"/>
      <c r="U475" s="36"/>
      <c r="V475" s="12"/>
      <c r="W475" s="12"/>
      <c r="X475" s="12"/>
      <c r="Y475" s="12"/>
      <c r="Z475" s="12"/>
    </row>
    <row r="476" customFormat="false" ht="15.75" hidden="false" customHeight="false" outlineLevel="0" collapsed="false">
      <c r="A476" s="12"/>
      <c r="B476" s="34"/>
      <c r="C476" s="12"/>
      <c r="D476" s="12"/>
      <c r="E476" s="12"/>
      <c r="F476" s="12"/>
      <c r="G476" s="18"/>
      <c r="H476" s="35"/>
      <c r="I476" s="35"/>
      <c r="J476" s="12"/>
      <c r="O476" s="12"/>
      <c r="P476" s="18"/>
      <c r="Q476" s="12"/>
      <c r="R476" s="12"/>
      <c r="S476" s="12"/>
      <c r="T476" s="36"/>
      <c r="U476" s="36"/>
      <c r="V476" s="12"/>
      <c r="W476" s="12"/>
      <c r="X476" s="12"/>
      <c r="Y476" s="12"/>
      <c r="Z476" s="12"/>
    </row>
    <row r="477" customFormat="false" ht="15.75" hidden="false" customHeight="false" outlineLevel="0" collapsed="false">
      <c r="A477" s="12"/>
      <c r="B477" s="34"/>
      <c r="C477" s="12"/>
      <c r="D477" s="12"/>
      <c r="E477" s="12"/>
      <c r="F477" s="12"/>
      <c r="G477" s="18"/>
      <c r="H477" s="35"/>
      <c r="I477" s="35"/>
      <c r="J477" s="12"/>
      <c r="O477" s="12"/>
      <c r="P477" s="18"/>
      <c r="Q477" s="12"/>
      <c r="R477" s="12"/>
      <c r="S477" s="12"/>
      <c r="T477" s="36"/>
      <c r="U477" s="36"/>
      <c r="V477" s="12"/>
      <c r="W477" s="12"/>
      <c r="X477" s="12"/>
      <c r="Y477" s="12"/>
      <c r="Z477" s="12"/>
    </row>
    <row r="478" customFormat="false" ht="15.75" hidden="false" customHeight="false" outlineLevel="0" collapsed="false">
      <c r="A478" s="12"/>
      <c r="B478" s="34"/>
      <c r="C478" s="12"/>
      <c r="D478" s="12"/>
      <c r="E478" s="12"/>
      <c r="F478" s="12"/>
      <c r="G478" s="18"/>
      <c r="H478" s="35"/>
      <c r="I478" s="35"/>
      <c r="J478" s="12"/>
      <c r="O478" s="12"/>
      <c r="P478" s="18"/>
      <c r="Q478" s="12"/>
      <c r="R478" s="12"/>
      <c r="S478" s="12"/>
      <c r="T478" s="36"/>
      <c r="U478" s="36"/>
      <c r="V478" s="12"/>
      <c r="W478" s="12"/>
      <c r="X478" s="12"/>
      <c r="Y478" s="12"/>
      <c r="Z478" s="12"/>
    </row>
    <row r="479" customFormat="false" ht="15.75" hidden="false" customHeight="false" outlineLevel="0" collapsed="false">
      <c r="A479" s="12"/>
      <c r="B479" s="34"/>
      <c r="C479" s="12"/>
      <c r="D479" s="12"/>
      <c r="E479" s="12"/>
      <c r="F479" s="12"/>
      <c r="G479" s="18"/>
      <c r="H479" s="35"/>
      <c r="I479" s="35"/>
      <c r="J479" s="12"/>
      <c r="O479" s="12"/>
      <c r="P479" s="18"/>
      <c r="Q479" s="12"/>
      <c r="R479" s="12"/>
      <c r="S479" s="12"/>
      <c r="T479" s="36"/>
      <c r="U479" s="36"/>
      <c r="V479" s="12"/>
      <c r="W479" s="12"/>
      <c r="X479" s="12"/>
      <c r="Y479" s="12"/>
      <c r="Z479" s="12"/>
    </row>
    <row r="480" customFormat="false" ht="15.75" hidden="false" customHeight="false" outlineLevel="0" collapsed="false">
      <c r="A480" s="12"/>
      <c r="B480" s="34"/>
      <c r="C480" s="12"/>
      <c r="D480" s="12"/>
      <c r="E480" s="12"/>
      <c r="F480" s="12"/>
      <c r="G480" s="18"/>
      <c r="H480" s="35"/>
      <c r="I480" s="35"/>
      <c r="J480" s="12"/>
      <c r="O480" s="12"/>
      <c r="P480" s="18"/>
      <c r="Q480" s="12"/>
      <c r="R480" s="12"/>
      <c r="S480" s="12"/>
      <c r="T480" s="36"/>
      <c r="U480" s="36"/>
      <c r="V480" s="12"/>
      <c r="W480" s="12"/>
      <c r="X480" s="12"/>
      <c r="Y480" s="12"/>
      <c r="Z480" s="12"/>
    </row>
    <row r="481" customFormat="false" ht="15.75" hidden="false" customHeight="false" outlineLevel="0" collapsed="false">
      <c r="A481" s="12"/>
      <c r="B481" s="34"/>
      <c r="C481" s="12"/>
      <c r="D481" s="12"/>
      <c r="E481" s="12"/>
      <c r="F481" s="12"/>
      <c r="G481" s="18"/>
      <c r="H481" s="35"/>
      <c r="I481" s="35"/>
      <c r="J481" s="12"/>
      <c r="O481" s="12"/>
      <c r="P481" s="18"/>
      <c r="Q481" s="12"/>
      <c r="R481" s="12"/>
      <c r="S481" s="12"/>
      <c r="T481" s="36"/>
      <c r="U481" s="36"/>
      <c r="V481" s="12"/>
      <c r="W481" s="12"/>
      <c r="X481" s="12"/>
      <c r="Y481" s="12"/>
      <c r="Z481" s="12"/>
    </row>
    <row r="482" customFormat="false" ht="15.75" hidden="false" customHeight="false" outlineLevel="0" collapsed="false">
      <c r="A482" s="12"/>
      <c r="B482" s="34"/>
      <c r="C482" s="12"/>
      <c r="D482" s="12"/>
      <c r="E482" s="12"/>
      <c r="F482" s="12"/>
      <c r="G482" s="18"/>
      <c r="H482" s="35"/>
      <c r="I482" s="35"/>
      <c r="J482" s="12"/>
      <c r="O482" s="12"/>
      <c r="P482" s="18"/>
      <c r="Q482" s="12"/>
      <c r="R482" s="12"/>
      <c r="S482" s="12"/>
      <c r="T482" s="36"/>
      <c r="U482" s="36"/>
      <c r="V482" s="12"/>
      <c r="W482" s="12"/>
      <c r="X482" s="12"/>
      <c r="Y482" s="12"/>
      <c r="Z482" s="12"/>
    </row>
    <row r="483" customFormat="false" ht="15.75" hidden="false" customHeight="false" outlineLevel="0" collapsed="false">
      <c r="A483" s="12"/>
      <c r="B483" s="34"/>
      <c r="C483" s="12"/>
      <c r="D483" s="12"/>
      <c r="E483" s="12"/>
      <c r="F483" s="12"/>
      <c r="G483" s="18"/>
      <c r="H483" s="35"/>
      <c r="I483" s="35"/>
      <c r="J483" s="12"/>
      <c r="O483" s="12"/>
      <c r="P483" s="18"/>
      <c r="Q483" s="12"/>
      <c r="R483" s="12"/>
      <c r="S483" s="12"/>
      <c r="T483" s="36"/>
      <c r="U483" s="36"/>
      <c r="V483" s="12"/>
      <c r="W483" s="12"/>
      <c r="X483" s="12"/>
      <c r="Y483" s="12"/>
      <c r="Z483" s="12"/>
    </row>
    <row r="484" customFormat="false" ht="15.75" hidden="false" customHeight="false" outlineLevel="0" collapsed="false">
      <c r="A484" s="12"/>
      <c r="B484" s="34"/>
      <c r="C484" s="12"/>
      <c r="D484" s="12"/>
      <c r="E484" s="12"/>
      <c r="F484" s="12"/>
      <c r="G484" s="18"/>
      <c r="H484" s="35"/>
      <c r="I484" s="35"/>
      <c r="J484" s="12"/>
      <c r="O484" s="12"/>
      <c r="P484" s="18"/>
      <c r="Q484" s="12"/>
      <c r="R484" s="12"/>
      <c r="S484" s="12"/>
      <c r="T484" s="36"/>
      <c r="U484" s="36"/>
      <c r="V484" s="12"/>
      <c r="W484" s="12"/>
      <c r="X484" s="12"/>
      <c r="Y484" s="12"/>
      <c r="Z484" s="12"/>
    </row>
    <row r="485" customFormat="false" ht="15.75" hidden="false" customHeight="false" outlineLevel="0" collapsed="false">
      <c r="A485" s="12"/>
      <c r="B485" s="34"/>
      <c r="C485" s="12"/>
      <c r="D485" s="12"/>
      <c r="E485" s="12"/>
      <c r="F485" s="12"/>
      <c r="G485" s="18"/>
      <c r="H485" s="35"/>
      <c r="I485" s="35"/>
      <c r="J485" s="12"/>
      <c r="O485" s="12"/>
      <c r="P485" s="18"/>
      <c r="Q485" s="12"/>
      <c r="R485" s="12"/>
      <c r="S485" s="12"/>
      <c r="T485" s="36"/>
      <c r="U485" s="36"/>
      <c r="V485" s="12"/>
      <c r="W485" s="12"/>
      <c r="X485" s="12"/>
      <c r="Y485" s="12"/>
      <c r="Z485" s="12"/>
    </row>
    <row r="486" customFormat="false" ht="15.75" hidden="false" customHeight="false" outlineLevel="0" collapsed="false">
      <c r="A486" s="12"/>
      <c r="B486" s="34"/>
      <c r="C486" s="12"/>
      <c r="D486" s="12"/>
      <c r="E486" s="12"/>
      <c r="F486" s="12"/>
      <c r="G486" s="18"/>
      <c r="H486" s="35"/>
      <c r="I486" s="35"/>
      <c r="J486" s="12"/>
      <c r="O486" s="12"/>
      <c r="P486" s="18"/>
      <c r="Q486" s="12"/>
      <c r="R486" s="12"/>
      <c r="S486" s="12"/>
      <c r="T486" s="36"/>
      <c r="U486" s="36"/>
      <c r="V486" s="12"/>
      <c r="W486" s="12"/>
      <c r="X486" s="12"/>
      <c r="Y486" s="12"/>
      <c r="Z486" s="12"/>
    </row>
    <row r="487" customFormat="false" ht="15.75" hidden="false" customHeight="false" outlineLevel="0" collapsed="false">
      <c r="A487" s="12"/>
      <c r="B487" s="34"/>
      <c r="C487" s="12"/>
      <c r="D487" s="12"/>
      <c r="E487" s="12"/>
      <c r="F487" s="12"/>
      <c r="G487" s="18"/>
      <c r="H487" s="35"/>
      <c r="I487" s="35"/>
      <c r="J487" s="12"/>
      <c r="O487" s="12"/>
      <c r="P487" s="18"/>
      <c r="Q487" s="12"/>
      <c r="R487" s="12"/>
      <c r="S487" s="12"/>
      <c r="T487" s="36"/>
      <c r="U487" s="36"/>
      <c r="V487" s="12"/>
      <c r="W487" s="12"/>
      <c r="X487" s="12"/>
      <c r="Y487" s="12"/>
      <c r="Z487" s="12"/>
    </row>
    <row r="488" customFormat="false" ht="15.75" hidden="false" customHeight="false" outlineLevel="0" collapsed="false">
      <c r="A488" s="12"/>
      <c r="B488" s="34"/>
      <c r="C488" s="12"/>
      <c r="D488" s="12"/>
      <c r="E488" s="12"/>
      <c r="F488" s="12"/>
      <c r="G488" s="18"/>
      <c r="H488" s="35"/>
      <c r="I488" s="35"/>
      <c r="J488" s="12"/>
      <c r="O488" s="12"/>
      <c r="P488" s="18"/>
      <c r="Q488" s="12"/>
      <c r="R488" s="12"/>
      <c r="S488" s="12"/>
      <c r="T488" s="36"/>
      <c r="U488" s="36"/>
      <c r="V488" s="12"/>
      <c r="W488" s="12"/>
      <c r="X488" s="12"/>
      <c r="Y488" s="12"/>
      <c r="Z488" s="12"/>
    </row>
    <row r="489" customFormat="false" ht="15.75" hidden="false" customHeight="false" outlineLevel="0" collapsed="false">
      <c r="A489" s="12"/>
      <c r="B489" s="34"/>
      <c r="C489" s="12"/>
      <c r="D489" s="12"/>
      <c r="E489" s="12"/>
      <c r="F489" s="12"/>
      <c r="G489" s="18"/>
      <c r="H489" s="35"/>
      <c r="I489" s="35"/>
      <c r="J489" s="12"/>
      <c r="O489" s="12"/>
      <c r="P489" s="18"/>
      <c r="Q489" s="12"/>
      <c r="R489" s="12"/>
      <c r="S489" s="12"/>
      <c r="T489" s="36"/>
      <c r="U489" s="36"/>
      <c r="V489" s="12"/>
      <c r="W489" s="12"/>
      <c r="X489" s="12"/>
      <c r="Y489" s="12"/>
      <c r="Z489" s="12"/>
    </row>
    <row r="490" customFormat="false" ht="15.75" hidden="false" customHeight="false" outlineLevel="0" collapsed="false">
      <c r="A490" s="12"/>
      <c r="B490" s="34"/>
      <c r="C490" s="12"/>
      <c r="D490" s="12"/>
      <c r="E490" s="12"/>
      <c r="F490" s="12"/>
      <c r="G490" s="18"/>
      <c r="H490" s="35"/>
      <c r="I490" s="35"/>
      <c r="J490" s="12"/>
      <c r="O490" s="12"/>
      <c r="P490" s="18"/>
      <c r="Q490" s="12"/>
      <c r="R490" s="12"/>
      <c r="S490" s="12"/>
      <c r="T490" s="36"/>
      <c r="U490" s="36"/>
      <c r="V490" s="12"/>
      <c r="W490" s="12"/>
      <c r="X490" s="12"/>
      <c r="Y490" s="12"/>
      <c r="Z490" s="12"/>
    </row>
    <row r="491" customFormat="false" ht="15.75" hidden="false" customHeight="false" outlineLevel="0" collapsed="false">
      <c r="A491" s="12"/>
      <c r="B491" s="34"/>
      <c r="C491" s="12"/>
      <c r="D491" s="12"/>
      <c r="E491" s="12"/>
      <c r="F491" s="12"/>
      <c r="G491" s="18"/>
      <c r="H491" s="35"/>
      <c r="I491" s="35"/>
      <c r="J491" s="12"/>
      <c r="O491" s="12"/>
      <c r="P491" s="18"/>
      <c r="Q491" s="12"/>
      <c r="R491" s="12"/>
      <c r="S491" s="12"/>
      <c r="T491" s="36"/>
      <c r="U491" s="36"/>
      <c r="V491" s="12"/>
      <c r="W491" s="12"/>
      <c r="X491" s="12"/>
      <c r="Y491" s="12"/>
      <c r="Z491" s="12"/>
    </row>
    <row r="492" customFormat="false" ht="15.75" hidden="false" customHeight="false" outlineLevel="0" collapsed="false">
      <c r="A492" s="12"/>
      <c r="B492" s="34"/>
      <c r="C492" s="12"/>
      <c r="D492" s="12"/>
      <c r="E492" s="12"/>
      <c r="F492" s="12"/>
      <c r="G492" s="18"/>
      <c r="H492" s="35"/>
      <c r="I492" s="35"/>
      <c r="J492" s="12"/>
      <c r="O492" s="12"/>
      <c r="P492" s="18"/>
      <c r="Q492" s="12"/>
      <c r="R492" s="12"/>
      <c r="S492" s="12"/>
      <c r="T492" s="36"/>
      <c r="U492" s="36"/>
      <c r="V492" s="12"/>
      <c r="W492" s="12"/>
      <c r="X492" s="12"/>
      <c r="Y492" s="12"/>
      <c r="Z492" s="12"/>
    </row>
    <row r="493" customFormat="false" ht="15.75" hidden="false" customHeight="false" outlineLevel="0" collapsed="false">
      <c r="A493" s="12"/>
      <c r="B493" s="34"/>
      <c r="C493" s="12"/>
      <c r="D493" s="12"/>
      <c r="E493" s="12"/>
      <c r="F493" s="12"/>
      <c r="G493" s="18"/>
      <c r="H493" s="35"/>
      <c r="I493" s="35"/>
      <c r="J493" s="12"/>
      <c r="O493" s="12"/>
      <c r="P493" s="18"/>
      <c r="Q493" s="12"/>
      <c r="R493" s="12"/>
      <c r="S493" s="12"/>
      <c r="T493" s="36"/>
      <c r="U493" s="36"/>
      <c r="V493" s="12"/>
      <c r="W493" s="12"/>
      <c r="X493" s="12"/>
      <c r="Y493" s="12"/>
      <c r="Z493" s="12"/>
    </row>
    <row r="494" customFormat="false" ht="15.75" hidden="false" customHeight="false" outlineLevel="0" collapsed="false">
      <c r="A494" s="12"/>
      <c r="B494" s="34"/>
      <c r="C494" s="12"/>
      <c r="D494" s="12"/>
      <c r="E494" s="12"/>
      <c r="F494" s="12"/>
      <c r="G494" s="18"/>
      <c r="H494" s="35"/>
      <c r="I494" s="35"/>
      <c r="J494" s="12"/>
      <c r="O494" s="12"/>
      <c r="P494" s="18"/>
      <c r="Q494" s="12"/>
      <c r="R494" s="12"/>
      <c r="S494" s="12"/>
      <c r="T494" s="36"/>
      <c r="U494" s="36"/>
      <c r="V494" s="12"/>
      <c r="W494" s="12"/>
      <c r="X494" s="12"/>
      <c r="Y494" s="12"/>
      <c r="Z494" s="12"/>
    </row>
    <row r="495" customFormat="false" ht="15.75" hidden="false" customHeight="false" outlineLevel="0" collapsed="false">
      <c r="A495" s="12"/>
      <c r="B495" s="34"/>
      <c r="C495" s="12"/>
      <c r="D495" s="12"/>
      <c r="E495" s="12"/>
      <c r="F495" s="12"/>
      <c r="G495" s="18"/>
      <c r="H495" s="35"/>
      <c r="I495" s="35"/>
      <c r="J495" s="12"/>
      <c r="O495" s="12"/>
      <c r="P495" s="18"/>
      <c r="Q495" s="12"/>
      <c r="R495" s="12"/>
      <c r="S495" s="12"/>
      <c r="T495" s="36"/>
      <c r="U495" s="36"/>
      <c r="V495" s="12"/>
      <c r="W495" s="12"/>
      <c r="X495" s="12"/>
      <c r="Y495" s="12"/>
      <c r="Z495" s="12"/>
    </row>
    <row r="496" customFormat="false" ht="15.75" hidden="false" customHeight="false" outlineLevel="0" collapsed="false">
      <c r="A496" s="12"/>
      <c r="B496" s="34"/>
      <c r="C496" s="12"/>
      <c r="D496" s="12"/>
      <c r="E496" s="12"/>
      <c r="F496" s="12"/>
      <c r="G496" s="18"/>
      <c r="H496" s="35"/>
      <c r="I496" s="35"/>
      <c r="J496" s="12"/>
      <c r="O496" s="12"/>
      <c r="P496" s="18"/>
      <c r="Q496" s="12"/>
      <c r="R496" s="12"/>
      <c r="S496" s="12"/>
      <c r="T496" s="36"/>
      <c r="U496" s="36"/>
      <c r="V496" s="12"/>
      <c r="W496" s="12"/>
      <c r="X496" s="12"/>
      <c r="Y496" s="12"/>
      <c r="Z496" s="12"/>
    </row>
    <row r="497" customFormat="false" ht="15.75" hidden="false" customHeight="false" outlineLevel="0" collapsed="false">
      <c r="A497" s="12"/>
      <c r="B497" s="34"/>
      <c r="C497" s="12"/>
      <c r="D497" s="12"/>
      <c r="E497" s="12"/>
      <c r="F497" s="12"/>
      <c r="G497" s="18"/>
      <c r="H497" s="35"/>
      <c r="I497" s="35"/>
      <c r="J497" s="12"/>
      <c r="O497" s="12"/>
      <c r="P497" s="18"/>
      <c r="Q497" s="12"/>
      <c r="R497" s="12"/>
      <c r="S497" s="12"/>
      <c r="T497" s="36"/>
      <c r="U497" s="36"/>
      <c r="V497" s="12"/>
      <c r="W497" s="12"/>
      <c r="X497" s="12"/>
      <c r="Y497" s="12"/>
      <c r="Z497" s="12"/>
    </row>
    <row r="498" customFormat="false" ht="15.75" hidden="false" customHeight="false" outlineLevel="0" collapsed="false">
      <c r="A498" s="12"/>
      <c r="B498" s="34"/>
      <c r="C498" s="12"/>
      <c r="D498" s="12"/>
      <c r="E498" s="12"/>
      <c r="F498" s="12"/>
      <c r="G498" s="18"/>
      <c r="H498" s="35"/>
      <c r="I498" s="35"/>
      <c r="J498" s="12"/>
      <c r="O498" s="12"/>
      <c r="P498" s="18"/>
      <c r="Q498" s="12"/>
      <c r="R498" s="12"/>
      <c r="S498" s="12"/>
      <c r="T498" s="36"/>
      <c r="U498" s="36"/>
      <c r="V498" s="12"/>
      <c r="W498" s="12"/>
      <c r="X498" s="12"/>
      <c r="Y498" s="12"/>
      <c r="Z498" s="12"/>
    </row>
    <row r="499" customFormat="false" ht="15.75" hidden="false" customHeight="false" outlineLevel="0" collapsed="false">
      <c r="A499" s="12"/>
      <c r="B499" s="34"/>
      <c r="C499" s="12"/>
      <c r="D499" s="12"/>
      <c r="E499" s="12"/>
      <c r="F499" s="12"/>
      <c r="G499" s="18"/>
      <c r="H499" s="35"/>
      <c r="I499" s="35"/>
      <c r="J499" s="12"/>
      <c r="O499" s="12"/>
      <c r="P499" s="18"/>
      <c r="Q499" s="12"/>
      <c r="R499" s="12"/>
      <c r="S499" s="12"/>
      <c r="T499" s="36"/>
      <c r="U499" s="36"/>
      <c r="V499" s="12"/>
      <c r="W499" s="12"/>
      <c r="X499" s="12"/>
      <c r="Y499" s="12"/>
      <c r="Z499" s="12"/>
    </row>
    <row r="500" customFormat="false" ht="15.75" hidden="false" customHeight="false" outlineLevel="0" collapsed="false">
      <c r="A500" s="12"/>
      <c r="B500" s="34"/>
      <c r="C500" s="12"/>
      <c r="D500" s="12"/>
      <c r="E500" s="12"/>
      <c r="F500" s="12"/>
      <c r="G500" s="18"/>
      <c r="H500" s="35"/>
      <c r="I500" s="35"/>
      <c r="J500" s="12"/>
      <c r="O500" s="12"/>
      <c r="P500" s="18"/>
      <c r="Q500" s="12"/>
      <c r="R500" s="12"/>
      <c r="S500" s="12"/>
      <c r="T500" s="36"/>
      <c r="U500" s="36"/>
      <c r="V500" s="12"/>
      <c r="W500" s="12"/>
      <c r="X500" s="12"/>
      <c r="Y500" s="12"/>
      <c r="Z500" s="12"/>
    </row>
    <row r="501" customFormat="false" ht="15.75" hidden="false" customHeight="false" outlineLevel="0" collapsed="false">
      <c r="A501" s="12"/>
      <c r="B501" s="34"/>
      <c r="C501" s="12"/>
      <c r="D501" s="12"/>
      <c r="E501" s="12"/>
      <c r="F501" s="12"/>
      <c r="G501" s="18"/>
      <c r="H501" s="35"/>
      <c r="I501" s="35"/>
      <c r="J501" s="12"/>
      <c r="O501" s="12"/>
      <c r="P501" s="18"/>
      <c r="Q501" s="12"/>
      <c r="R501" s="12"/>
      <c r="S501" s="12"/>
      <c r="T501" s="36"/>
      <c r="U501" s="36"/>
      <c r="V501" s="12"/>
      <c r="W501" s="12"/>
      <c r="X501" s="12"/>
      <c r="Y501" s="12"/>
      <c r="Z501" s="12"/>
    </row>
    <row r="502" customFormat="false" ht="15.75" hidden="false" customHeight="false" outlineLevel="0" collapsed="false">
      <c r="A502" s="12"/>
      <c r="B502" s="34"/>
      <c r="C502" s="12"/>
      <c r="D502" s="12"/>
      <c r="E502" s="12"/>
      <c r="F502" s="12"/>
      <c r="G502" s="18"/>
      <c r="H502" s="35"/>
      <c r="I502" s="35"/>
      <c r="J502" s="12"/>
      <c r="O502" s="12"/>
      <c r="P502" s="18"/>
      <c r="Q502" s="12"/>
      <c r="R502" s="12"/>
      <c r="S502" s="12"/>
      <c r="T502" s="36"/>
      <c r="U502" s="36"/>
      <c r="V502" s="12"/>
      <c r="W502" s="12"/>
      <c r="X502" s="12"/>
      <c r="Y502" s="12"/>
      <c r="Z502" s="12"/>
    </row>
    <row r="503" customFormat="false" ht="15.75" hidden="false" customHeight="false" outlineLevel="0" collapsed="false">
      <c r="A503" s="12"/>
      <c r="B503" s="34"/>
      <c r="C503" s="12"/>
      <c r="D503" s="12"/>
      <c r="E503" s="12"/>
      <c r="F503" s="12"/>
      <c r="G503" s="18"/>
      <c r="H503" s="35"/>
      <c r="I503" s="35"/>
      <c r="J503" s="12"/>
      <c r="O503" s="12"/>
      <c r="P503" s="18"/>
      <c r="Q503" s="12"/>
      <c r="R503" s="12"/>
      <c r="S503" s="12"/>
      <c r="T503" s="36"/>
      <c r="U503" s="36"/>
      <c r="V503" s="12"/>
      <c r="W503" s="12"/>
      <c r="X503" s="12"/>
      <c r="Y503" s="12"/>
      <c r="Z503" s="12"/>
    </row>
    <row r="504" customFormat="false" ht="15.75" hidden="false" customHeight="false" outlineLevel="0" collapsed="false">
      <c r="A504" s="12"/>
      <c r="B504" s="34"/>
      <c r="C504" s="12"/>
      <c r="D504" s="12"/>
      <c r="E504" s="12"/>
      <c r="F504" s="12"/>
      <c r="G504" s="18"/>
      <c r="H504" s="35"/>
      <c r="I504" s="35"/>
      <c r="J504" s="12"/>
      <c r="O504" s="12"/>
      <c r="P504" s="18"/>
      <c r="Q504" s="12"/>
      <c r="R504" s="12"/>
      <c r="S504" s="12"/>
      <c r="T504" s="36"/>
      <c r="U504" s="36"/>
      <c r="V504" s="12"/>
      <c r="W504" s="12"/>
      <c r="X504" s="12"/>
      <c r="Y504" s="12"/>
      <c r="Z504" s="12"/>
    </row>
    <row r="505" customFormat="false" ht="15.75" hidden="false" customHeight="false" outlineLevel="0" collapsed="false">
      <c r="A505" s="12"/>
      <c r="B505" s="34"/>
      <c r="C505" s="12"/>
      <c r="D505" s="12"/>
      <c r="E505" s="12"/>
      <c r="F505" s="12"/>
      <c r="G505" s="18"/>
      <c r="H505" s="35"/>
      <c r="I505" s="35"/>
      <c r="J505" s="12"/>
      <c r="O505" s="12"/>
      <c r="P505" s="18"/>
      <c r="Q505" s="12"/>
      <c r="R505" s="12"/>
      <c r="S505" s="12"/>
      <c r="T505" s="36"/>
      <c r="U505" s="36"/>
      <c r="V505" s="12"/>
      <c r="W505" s="12"/>
      <c r="X505" s="12"/>
      <c r="Y505" s="12"/>
      <c r="Z505" s="12"/>
    </row>
    <row r="506" customFormat="false" ht="15.75" hidden="false" customHeight="false" outlineLevel="0" collapsed="false">
      <c r="A506" s="12"/>
      <c r="B506" s="34"/>
      <c r="C506" s="12"/>
      <c r="D506" s="12"/>
      <c r="E506" s="12"/>
      <c r="F506" s="12"/>
      <c r="G506" s="18"/>
      <c r="H506" s="35"/>
      <c r="I506" s="35"/>
      <c r="J506" s="12"/>
      <c r="O506" s="12"/>
      <c r="P506" s="18"/>
      <c r="Q506" s="12"/>
      <c r="R506" s="12"/>
      <c r="S506" s="12"/>
      <c r="T506" s="36"/>
      <c r="U506" s="36"/>
      <c r="V506" s="12"/>
      <c r="W506" s="12"/>
      <c r="X506" s="12"/>
      <c r="Y506" s="12"/>
      <c r="Z506" s="12"/>
    </row>
    <row r="507" customFormat="false" ht="15.75" hidden="false" customHeight="false" outlineLevel="0" collapsed="false">
      <c r="A507" s="12"/>
      <c r="B507" s="34"/>
      <c r="C507" s="12"/>
      <c r="D507" s="12"/>
      <c r="E507" s="12"/>
      <c r="F507" s="12"/>
      <c r="G507" s="18"/>
      <c r="H507" s="35"/>
      <c r="I507" s="35"/>
      <c r="J507" s="12"/>
      <c r="O507" s="12"/>
      <c r="P507" s="18"/>
      <c r="Q507" s="12"/>
      <c r="R507" s="12"/>
      <c r="S507" s="12"/>
      <c r="T507" s="36"/>
      <c r="U507" s="36"/>
      <c r="V507" s="12"/>
      <c r="W507" s="12"/>
      <c r="X507" s="12"/>
      <c r="Y507" s="12"/>
      <c r="Z507" s="12"/>
    </row>
    <row r="508" customFormat="false" ht="15.75" hidden="false" customHeight="false" outlineLevel="0" collapsed="false">
      <c r="A508" s="12"/>
      <c r="B508" s="34"/>
      <c r="C508" s="12"/>
      <c r="D508" s="12"/>
      <c r="E508" s="12"/>
      <c r="F508" s="12"/>
      <c r="G508" s="18"/>
      <c r="H508" s="35"/>
      <c r="I508" s="35"/>
      <c r="J508" s="12"/>
      <c r="O508" s="12"/>
      <c r="P508" s="18"/>
      <c r="Q508" s="12"/>
      <c r="R508" s="12"/>
      <c r="S508" s="12"/>
      <c r="T508" s="36"/>
      <c r="U508" s="36"/>
      <c r="V508" s="12"/>
      <c r="W508" s="12"/>
      <c r="X508" s="12"/>
      <c r="Y508" s="12"/>
      <c r="Z508" s="12"/>
    </row>
    <row r="509" customFormat="false" ht="15.75" hidden="false" customHeight="false" outlineLevel="0" collapsed="false">
      <c r="A509" s="12"/>
      <c r="B509" s="34"/>
      <c r="C509" s="12"/>
      <c r="D509" s="12"/>
      <c r="E509" s="12"/>
      <c r="F509" s="12"/>
      <c r="G509" s="18"/>
      <c r="H509" s="35"/>
      <c r="I509" s="35"/>
      <c r="J509" s="12"/>
      <c r="O509" s="12"/>
      <c r="P509" s="18"/>
      <c r="Q509" s="12"/>
      <c r="R509" s="12"/>
      <c r="S509" s="12"/>
      <c r="T509" s="36"/>
      <c r="U509" s="36"/>
      <c r="V509" s="12"/>
      <c r="W509" s="12"/>
      <c r="X509" s="12"/>
      <c r="Y509" s="12"/>
      <c r="Z509" s="12"/>
    </row>
    <row r="510" customFormat="false" ht="15.75" hidden="false" customHeight="false" outlineLevel="0" collapsed="false">
      <c r="A510" s="12"/>
      <c r="B510" s="34"/>
      <c r="C510" s="12"/>
      <c r="D510" s="12"/>
      <c r="E510" s="12"/>
      <c r="F510" s="12"/>
      <c r="G510" s="18"/>
      <c r="H510" s="35"/>
      <c r="I510" s="35"/>
      <c r="J510" s="12"/>
      <c r="O510" s="12"/>
      <c r="P510" s="18"/>
      <c r="Q510" s="12"/>
      <c r="R510" s="12"/>
      <c r="S510" s="12"/>
      <c r="T510" s="36"/>
      <c r="U510" s="36"/>
      <c r="V510" s="12"/>
      <c r="W510" s="12"/>
      <c r="X510" s="12"/>
      <c r="Y510" s="12"/>
      <c r="Z510" s="12"/>
    </row>
    <row r="511" customFormat="false" ht="15.75" hidden="false" customHeight="false" outlineLevel="0" collapsed="false">
      <c r="A511" s="12"/>
      <c r="B511" s="34"/>
      <c r="C511" s="12"/>
      <c r="D511" s="12"/>
      <c r="E511" s="12"/>
      <c r="F511" s="12"/>
      <c r="G511" s="18"/>
      <c r="H511" s="35"/>
      <c r="I511" s="35"/>
      <c r="J511" s="12"/>
      <c r="O511" s="12"/>
      <c r="P511" s="18"/>
      <c r="Q511" s="12"/>
      <c r="R511" s="12"/>
      <c r="S511" s="12"/>
      <c r="T511" s="36"/>
      <c r="U511" s="36"/>
      <c r="V511" s="12"/>
      <c r="W511" s="12"/>
      <c r="X511" s="12"/>
      <c r="Y511" s="12"/>
      <c r="Z511" s="12"/>
    </row>
    <row r="512" customFormat="false" ht="15.75" hidden="false" customHeight="false" outlineLevel="0" collapsed="false">
      <c r="A512" s="12"/>
      <c r="B512" s="34"/>
      <c r="C512" s="12"/>
      <c r="D512" s="12"/>
      <c r="E512" s="12"/>
      <c r="F512" s="12"/>
      <c r="G512" s="18"/>
      <c r="H512" s="35"/>
      <c r="I512" s="35"/>
      <c r="J512" s="12"/>
      <c r="O512" s="12"/>
      <c r="P512" s="18"/>
      <c r="Q512" s="12"/>
      <c r="R512" s="12"/>
      <c r="S512" s="12"/>
      <c r="T512" s="36"/>
      <c r="U512" s="36"/>
      <c r="V512" s="12"/>
      <c r="W512" s="12"/>
      <c r="X512" s="12"/>
      <c r="Y512" s="12"/>
      <c r="Z512" s="12"/>
    </row>
    <row r="513" customFormat="false" ht="15.75" hidden="false" customHeight="false" outlineLevel="0" collapsed="false">
      <c r="A513" s="12"/>
      <c r="B513" s="34"/>
      <c r="C513" s="12"/>
      <c r="D513" s="12"/>
      <c r="E513" s="12"/>
      <c r="F513" s="12"/>
      <c r="G513" s="18"/>
      <c r="H513" s="35"/>
      <c r="I513" s="35"/>
      <c r="J513" s="12"/>
      <c r="O513" s="12"/>
      <c r="P513" s="18"/>
      <c r="Q513" s="12"/>
      <c r="R513" s="12"/>
      <c r="S513" s="12"/>
      <c r="T513" s="36"/>
      <c r="U513" s="36"/>
      <c r="V513" s="12"/>
      <c r="W513" s="12"/>
      <c r="X513" s="12"/>
      <c r="Y513" s="12"/>
      <c r="Z513" s="12"/>
    </row>
    <row r="514" customFormat="false" ht="15.75" hidden="false" customHeight="false" outlineLevel="0" collapsed="false">
      <c r="A514" s="12"/>
      <c r="B514" s="34"/>
      <c r="C514" s="12"/>
      <c r="D514" s="12"/>
      <c r="E514" s="12"/>
      <c r="F514" s="12"/>
      <c r="G514" s="18"/>
      <c r="H514" s="35"/>
      <c r="I514" s="35"/>
      <c r="J514" s="12"/>
      <c r="O514" s="12"/>
      <c r="P514" s="18"/>
      <c r="Q514" s="12"/>
      <c r="R514" s="12"/>
      <c r="S514" s="12"/>
      <c r="T514" s="36"/>
      <c r="U514" s="36"/>
      <c r="V514" s="12"/>
      <c r="W514" s="12"/>
      <c r="X514" s="12"/>
      <c r="Y514" s="12"/>
      <c r="Z514" s="12"/>
    </row>
    <row r="515" customFormat="false" ht="15.75" hidden="false" customHeight="false" outlineLevel="0" collapsed="false">
      <c r="A515" s="12"/>
      <c r="B515" s="34"/>
      <c r="C515" s="12"/>
      <c r="D515" s="12"/>
      <c r="E515" s="12"/>
      <c r="F515" s="12"/>
      <c r="G515" s="18"/>
      <c r="H515" s="35"/>
      <c r="I515" s="35"/>
      <c r="J515" s="12"/>
      <c r="O515" s="12"/>
      <c r="P515" s="18"/>
      <c r="Q515" s="12"/>
      <c r="R515" s="12"/>
      <c r="S515" s="12"/>
      <c r="T515" s="36"/>
      <c r="U515" s="36"/>
      <c r="V515" s="12"/>
      <c r="W515" s="12"/>
      <c r="X515" s="12"/>
      <c r="Y515" s="12"/>
      <c r="Z515" s="12"/>
    </row>
    <row r="516" customFormat="false" ht="15.75" hidden="false" customHeight="false" outlineLevel="0" collapsed="false">
      <c r="A516" s="12"/>
      <c r="B516" s="34"/>
      <c r="C516" s="12"/>
      <c r="D516" s="12"/>
      <c r="E516" s="12"/>
      <c r="F516" s="12"/>
      <c r="G516" s="18"/>
      <c r="H516" s="35"/>
      <c r="I516" s="35"/>
      <c r="J516" s="12"/>
      <c r="O516" s="12"/>
      <c r="P516" s="18"/>
      <c r="Q516" s="12"/>
      <c r="R516" s="12"/>
      <c r="S516" s="12"/>
      <c r="T516" s="36"/>
      <c r="U516" s="36"/>
      <c r="V516" s="12"/>
      <c r="W516" s="12"/>
      <c r="X516" s="12"/>
      <c r="Y516" s="12"/>
      <c r="Z516" s="12"/>
    </row>
    <row r="517" customFormat="false" ht="15.75" hidden="false" customHeight="false" outlineLevel="0" collapsed="false">
      <c r="A517" s="12"/>
      <c r="B517" s="34"/>
      <c r="C517" s="12"/>
      <c r="D517" s="12"/>
      <c r="E517" s="12"/>
      <c r="F517" s="12"/>
      <c r="G517" s="18"/>
      <c r="H517" s="35"/>
      <c r="I517" s="35"/>
      <c r="J517" s="12"/>
      <c r="O517" s="12"/>
      <c r="P517" s="18"/>
      <c r="Q517" s="12"/>
      <c r="R517" s="12"/>
      <c r="S517" s="12"/>
      <c r="T517" s="36"/>
      <c r="U517" s="36"/>
      <c r="V517" s="12"/>
      <c r="W517" s="12"/>
      <c r="X517" s="12"/>
      <c r="Y517" s="12"/>
      <c r="Z517" s="12"/>
    </row>
    <row r="518" customFormat="false" ht="15.75" hidden="false" customHeight="false" outlineLevel="0" collapsed="false">
      <c r="A518" s="12"/>
      <c r="B518" s="34"/>
      <c r="C518" s="12"/>
      <c r="D518" s="12"/>
      <c r="E518" s="12"/>
      <c r="F518" s="12"/>
      <c r="G518" s="18"/>
      <c r="H518" s="35"/>
      <c r="I518" s="35"/>
      <c r="J518" s="12"/>
      <c r="O518" s="12"/>
      <c r="P518" s="18"/>
      <c r="Q518" s="12"/>
      <c r="R518" s="12"/>
      <c r="S518" s="12"/>
      <c r="T518" s="36"/>
      <c r="U518" s="36"/>
      <c r="V518" s="12"/>
      <c r="W518" s="12"/>
      <c r="X518" s="12"/>
      <c r="Y518" s="12"/>
      <c r="Z518" s="12"/>
    </row>
    <row r="519" customFormat="false" ht="15.75" hidden="false" customHeight="false" outlineLevel="0" collapsed="false">
      <c r="A519" s="12"/>
      <c r="B519" s="34"/>
      <c r="C519" s="12"/>
      <c r="D519" s="12"/>
      <c r="E519" s="12"/>
      <c r="F519" s="12"/>
      <c r="G519" s="18"/>
      <c r="H519" s="35"/>
      <c r="I519" s="35"/>
      <c r="J519" s="12"/>
      <c r="O519" s="12"/>
      <c r="P519" s="18"/>
      <c r="Q519" s="12"/>
      <c r="R519" s="12"/>
      <c r="S519" s="12"/>
      <c r="T519" s="36"/>
      <c r="U519" s="36"/>
      <c r="V519" s="12"/>
      <c r="W519" s="12"/>
      <c r="X519" s="12"/>
      <c r="Y519" s="12"/>
      <c r="Z519" s="12"/>
    </row>
    <row r="520" customFormat="false" ht="15.75" hidden="false" customHeight="false" outlineLevel="0" collapsed="false">
      <c r="A520" s="12"/>
      <c r="B520" s="34"/>
      <c r="C520" s="12"/>
      <c r="D520" s="12"/>
      <c r="E520" s="12"/>
      <c r="F520" s="12"/>
      <c r="G520" s="18"/>
      <c r="H520" s="35"/>
      <c r="I520" s="35"/>
      <c r="J520" s="12"/>
      <c r="O520" s="12"/>
      <c r="P520" s="18"/>
      <c r="Q520" s="12"/>
      <c r="R520" s="12"/>
      <c r="S520" s="12"/>
      <c r="T520" s="36"/>
      <c r="U520" s="36"/>
      <c r="V520" s="12"/>
      <c r="W520" s="12"/>
      <c r="X520" s="12"/>
      <c r="Y520" s="12"/>
      <c r="Z520" s="12"/>
    </row>
    <row r="521" customFormat="false" ht="15.75" hidden="false" customHeight="false" outlineLevel="0" collapsed="false">
      <c r="A521" s="12"/>
      <c r="B521" s="34"/>
      <c r="C521" s="12"/>
      <c r="D521" s="12"/>
      <c r="E521" s="12"/>
      <c r="F521" s="12"/>
      <c r="G521" s="18"/>
      <c r="H521" s="35"/>
      <c r="I521" s="35"/>
      <c r="J521" s="12"/>
      <c r="O521" s="12"/>
      <c r="P521" s="18"/>
      <c r="Q521" s="12"/>
      <c r="R521" s="12"/>
      <c r="S521" s="12"/>
      <c r="T521" s="36"/>
      <c r="U521" s="36"/>
      <c r="V521" s="12"/>
      <c r="W521" s="12"/>
      <c r="X521" s="12"/>
      <c r="Y521" s="12"/>
      <c r="Z521" s="12"/>
    </row>
    <row r="522" customFormat="false" ht="15.75" hidden="false" customHeight="false" outlineLevel="0" collapsed="false">
      <c r="A522" s="12"/>
      <c r="B522" s="34"/>
      <c r="C522" s="12"/>
      <c r="D522" s="12"/>
      <c r="E522" s="12"/>
      <c r="F522" s="12"/>
      <c r="G522" s="18"/>
      <c r="H522" s="35"/>
      <c r="I522" s="35"/>
      <c r="J522" s="12"/>
      <c r="O522" s="12"/>
      <c r="P522" s="18"/>
      <c r="Q522" s="12"/>
      <c r="R522" s="12"/>
      <c r="S522" s="12"/>
      <c r="T522" s="36"/>
      <c r="U522" s="36"/>
      <c r="V522" s="12"/>
      <c r="W522" s="12"/>
      <c r="X522" s="12"/>
      <c r="Y522" s="12"/>
      <c r="Z522" s="12"/>
    </row>
    <row r="523" customFormat="false" ht="15.75" hidden="false" customHeight="false" outlineLevel="0" collapsed="false">
      <c r="A523" s="12"/>
      <c r="B523" s="34"/>
      <c r="C523" s="12"/>
      <c r="D523" s="12"/>
      <c r="E523" s="12"/>
      <c r="F523" s="12"/>
      <c r="G523" s="18"/>
      <c r="H523" s="35"/>
      <c r="I523" s="35"/>
      <c r="J523" s="12"/>
      <c r="O523" s="12"/>
      <c r="P523" s="18"/>
      <c r="Q523" s="12"/>
      <c r="R523" s="12"/>
      <c r="S523" s="12"/>
      <c r="T523" s="36"/>
      <c r="U523" s="36"/>
      <c r="V523" s="12"/>
      <c r="W523" s="12"/>
      <c r="X523" s="12"/>
      <c r="Y523" s="12"/>
      <c r="Z523" s="12"/>
    </row>
    <row r="524" customFormat="false" ht="15.75" hidden="false" customHeight="false" outlineLevel="0" collapsed="false">
      <c r="A524" s="12"/>
      <c r="B524" s="34"/>
      <c r="C524" s="12"/>
      <c r="D524" s="12"/>
      <c r="E524" s="12"/>
      <c r="F524" s="12"/>
      <c r="G524" s="18"/>
      <c r="H524" s="35"/>
      <c r="I524" s="35"/>
      <c r="J524" s="12"/>
      <c r="O524" s="12"/>
      <c r="P524" s="18"/>
      <c r="Q524" s="12"/>
      <c r="R524" s="12"/>
      <c r="S524" s="12"/>
      <c r="T524" s="36"/>
      <c r="U524" s="36"/>
      <c r="V524" s="12"/>
      <c r="W524" s="12"/>
      <c r="X524" s="12"/>
      <c r="Y524" s="12"/>
      <c r="Z524" s="12"/>
    </row>
    <row r="525" customFormat="false" ht="15.75" hidden="false" customHeight="false" outlineLevel="0" collapsed="false">
      <c r="A525" s="12"/>
      <c r="B525" s="34"/>
      <c r="C525" s="12"/>
      <c r="D525" s="12"/>
      <c r="E525" s="12"/>
      <c r="F525" s="12"/>
      <c r="G525" s="18"/>
      <c r="H525" s="35"/>
      <c r="I525" s="35"/>
      <c r="J525" s="12"/>
      <c r="O525" s="12"/>
      <c r="P525" s="18"/>
      <c r="Q525" s="12"/>
      <c r="R525" s="12"/>
      <c r="S525" s="12"/>
      <c r="T525" s="36"/>
      <c r="U525" s="36"/>
      <c r="V525" s="12"/>
      <c r="W525" s="12"/>
      <c r="X525" s="12"/>
      <c r="Y525" s="12"/>
      <c r="Z525" s="12"/>
    </row>
    <row r="526" customFormat="false" ht="15.75" hidden="false" customHeight="false" outlineLevel="0" collapsed="false">
      <c r="A526" s="12"/>
      <c r="B526" s="34"/>
      <c r="C526" s="12"/>
      <c r="D526" s="12"/>
      <c r="E526" s="12"/>
      <c r="F526" s="12"/>
      <c r="G526" s="18"/>
      <c r="H526" s="35"/>
      <c r="I526" s="35"/>
      <c r="J526" s="12"/>
      <c r="O526" s="12"/>
      <c r="P526" s="18"/>
      <c r="Q526" s="12"/>
      <c r="R526" s="12"/>
      <c r="S526" s="12"/>
      <c r="T526" s="36"/>
      <c r="U526" s="36"/>
      <c r="V526" s="12"/>
      <c r="W526" s="12"/>
      <c r="X526" s="12"/>
      <c r="Y526" s="12"/>
      <c r="Z526" s="12"/>
    </row>
    <row r="527" customFormat="false" ht="15.75" hidden="false" customHeight="false" outlineLevel="0" collapsed="false">
      <c r="A527" s="12"/>
      <c r="B527" s="34"/>
      <c r="C527" s="12"/>
      <c r="D527" s="12"/>
      <c r="E527" s="12"/>
      <c r="F527" s="12"/>
      <c r="G527" s="18"/>
      <c r="H527" s="35"/>
      <c r="I527" s="35"/>
      <c r="J527" s="12"/>
      <c r="O527" s="12"/>
      <c r="P527" s="18"/>
      <c r="Q527" s="12"/>
      <c r="R527" s="12"/>
      <c r="S527" s="12"/>
      <c r="T527" s="36"/>
      <c r="U527" s="36"/>
      <c r="V527" s="12"/>
      <c r="W527" s="12"/>
      <c r="X527" s="12"/>
      <c r="Y527" s="12"/>
      <c r="Z527" s="12"/>
    </row>
    <row r="528" customFormat="false" ht="15.75" hidden="false" customHeight="false" outlineLevel="0" collapsed="false">
      <c r="A528" s="12"/>
      <c r="B528" s="34"/>
      <c r="C528" s="12"/>
      <c r="D528" s="12"/>
      <c r="E528" s="12"/>
      <c r="F528" s="12"/>
      <c r="G528" s="18"/>
      <c r="H528" s="35"/>
      <c r="I528" s="35"/>
      <c r="J528" s="12"/>
      <c r="O528" s="12"/>
      <c r="P528" s="18"/>
      <c r="Q528" s="12"/>
      <c r="R528" s="12"/>
      <c r="S528" s="12"/>
      <c r="T528" s="36"/>
      <c r="U528" s="36"/>
      <c r="V528" s="12"/>
      <c r="W528" s="12"/>
      <c r="X528" s="12"/>
      <c r="Y528" s="12"/>
      <c r="Z528" s="12"/>
    </row>
    <row r="529" customFormat="false" ht="15.75" hidden="false" customHeight="false" outlineLevel="0" collapsed="false">
      <c r="A529" s="12"/>
      <c r="B529" s="34"/>
      <c r="C529" s="12"/>
      <c r="D529" s="12"/>
      <c r="E529" s="12"/>
      <c r="F529" s="12"/>
      <c r="G529" s="18"/>
      <c r="H529" s="35"/>
      <c r="I529" s="35"/>
      <c r="J529" s="12"/>
      <c r="O529" s="12"/>
      <c r="P529" s="18"/>
      <c r="Q529" s="12"/>
      <c r="R529" s="12"/>
      <c r="S529" s="12"/>
      <c r="T529" s="36"/>
      <c r="U529" s="36"/>
      <c r="V529" s="12"/>
      <c r="W529" s="12"/>
      <c r="X529" s="12"/>
      <c r="Y529" s="12"/>
      <c r="Z529" s="12"/>
    </row>
    <row r="530" customFormat="false" ht="15.75" hidden="false" customHeight="false" outlineLevel="0" collapsed="false">
      <c r="A530" s="12"/>
      <c r="B530" s="34"/>
      <c r="C530" s="12"/>
      <c r="D530" s="12"/>
      <c r="E530" s="12"/>
      <c r="F530" s="12"/>
      <c r="G530" s="18"/>
      <c r="H530" s="35"/>
      <c r="I530" s="35"/>
      <c r="J530" s="12"/>
      <c r="O530" s="12"/>
      <c r="P530" s="18"/>
      <c r="Q530" s="12"/>
      <c r="R530" s="12"/>
      <c r="S530" s="12"/>
      <c r="T530" s="36"/>
      <c r="U530" s="36"/>
      <c r="V530" s="12"/>
      <c r="W530" s="12"/>
      <c r="X530" s="12"/>
      <c r="Y530" s="12"/>
      <c r="Z530" s="12"/>
    </row>
    <row r="531" customFormat="false" ht="15.75" hidden="false" customHeight="false" outlineLevel="0" collapsed="false">
      <c r="A531" s="12"/>
      <c r="B531" s="34"/>
      <c r="C531" s="12"/>
      <c r="D531" s="12"/>
      <c r="E531" s="12"/>
      <c r="F531" s="12"/>
      <c r="G531" s="18"/>
      <c r="H531" s="35"/>
      <c r="I531" s="35"/>
      <c r="J531" s="12"/>
      <c r="O531" s="12"/>
      <c r="P531" s="18"/>
      <c r="Q531" s="12"/>
      <c r="R531" s="12"/>
      <c r="S531" s="12"/>
      <c r="T531" s="36"/>
      <c r="U531" s="36"/>
      <c r="V531" s="12"/>
      <c r="W531" s="12"/>
      <c r="X531" s="12"/>
      <c r="Y531" s="12"/>
      <c r="Z531" s="12"/>
    </row>
    <row r="532" customFormat="false" ht="15.75" hidden="false" customHeight="false" outlineLevel="0" collapsed="false">
      <c r="A532" s="12"/>
      <c r="B532" s="34"/>
      <c r="C532" s="12"/>
      <c r="D532" s="12"/>
      <c r="E532" s="12"/>
      <c r="F532" s="12"/>
      <c r="G532" s="18"/>
      <c r="H532" s="35"/>
      <c r="I532" s="35"/>
      <c r="J532" s="12"/>
      <c r="O532" s="12"/>
      <c r="P532" s="18"/>
      <c r="Q532" s="12"/>
      <c r="R532" s="12"/>
      <c r="S532" s="12"/>
      <c r="T532" s="36"/>
      <c r="U532" s="36"/>
      <c r="V532" s="12"/>
      <c r="W532" s="12"/>
      <c r="X532" s="12"/>
      <c r="Y532" s="12"/>
      <c r="Z532" s="12"/>
    </row>
    <row r="533" customFormat="false" ht="15.75" hidden="false" customHeight="false" outlineLevel="0" collapsed="false">
      <c r="A533" s="12"/>
      <c r="B533" s="34"/>
      <c r="C533" s="12"/>
      <c r="D533" s="12"/>
      <c r="E533" s="12"/>
      <c r="F533" s="12"/>
      <c r="G533" s="18"/>
      <c r="H533" s="35"/>
      <c r="I533" s="35"/>
      <c r="J533" s="12"/>
      <c r="O533" s="12"/>
      <c r="P533" s="18"/>
      <c r="Q533" s="12"/>
      <c r="R533" s="12"/>
      <c r="S533" s="12"/>
      <c r="T533" s="36"/>
      <c r="U533" s="36"/>
      <c r="V533" s="12"/>
      <c r="W533" s="12"/>
      <c r="X533" s="12"/>
      <c r="Y533" s="12"/>
      <c r="Z533" s="12"/>
    </row>
    <row r="534" customFormat="false" ht="15.75" hidden="false" customHeight="false" outlineLevel="0" collapsed="false">
      <c r="A534" s="12"/>
      <c r="B534" s="34"/>
      <c r="C534" s="12"/>
      <c r="D534" s="12"/>
      <c r="E534" s="12"/>
      <c r="F534" s="12"/>
      <c r="G534" s="18"/>
      <c r="H534" s="35"/>
      <c r="I534" s="35"/>
      <c r="J534" s="12"/>
      <c r="O534" s="12"/>
      <c r="P534" s="18"/>
      <c r="Q534" s="12"/>
      <c r="R534" s="12"/>
      <c r="S534" s="12"/>
      <c r="T534" s="36"/>
      <c r="U534" s="36"/>
      <c r="V534" s="12"/>
      <c r="W534" s="12"/>
      <c r="X534" s="12"/>
      <c r="Y534" s="12"/>
      <c r="Z534" s="12"/>
    </row>
    <row r="535" customFormat="false" ht="15.75" hidden="false" customHeight="false" outlineLevel="0" collapsed="false">
      <c r="A535" s="12"/>
      <c r="B535" s="34"/>
      <c r="C535" s="12"/>
      <c r="D535" s="12"/>
      <c r="E535" s="12"/>
      <c r="F535" s="12"/>
      <c r="G535" s="18"/>
      <c r="H535" s="35"/>
      <c r="I535" s="35"/>
      <c r="J535" s="12"/>
      <c r="O535" s="12"/>
      <c r="P535" s="18"/>
      <c r="Q535" s="12"/>
      <c r="R535" s="12"/>
      <c r="S535" s="12"/>
      <c r="T535" s="36"/>
      <c r="U535" s="36"/>
      <c r="V535" s="12"/>
      <c r="W535" s="12"/>
      <c r="X535" s="12"/>
      <c r="Y535" s="12"/>
      <c r="Z535" s="12"/>
    </row>
    <row r="536" customFormat="false" ht="15.75" hidden="false" customHeight="false" outlineLevel="0" collapsed="false">
      <c r="A536" s="12"/>
      <c r="B536" s="34"/>
      <c r="C536" s="12"/>
      <c r="D536" s="12"/>
      <c r="E536" s="12"/>
      <c r="F536" s="12"/>
      <c r="G536" s="18"/>
      <c r="H536" s="35"/>
      <c r="I536" s="35"/>
      <c r="J536" s="12"/>
      <c r="O536" s="12"/>
      <c r="P536" s="18"/>
      <c r="Q536" s="12"/>
      <c r="R536" s="12"/>
      <c r="S536" s="12"/>
      <c r="T536" s="36"/>
      <c r="U536" s="36"/>
      <c r="V536" s="12"/>
      <c r="W536" s="12"/>
      <c r="X536" s="12"/>
      <c r="Y536" s="12"/>
      <c r="Z536" s="12"/>
    </row>
    <row r="537" customFormat="false" ht="15.75" hidden="false" customHeight="false" outlineLevel="0" collapsed="false">
      <c r="A537" s="12"/>
      <c r="B537" s="34"/>
      <c r="C537" s="12"/>
      <c r="D537" s="12"/>
      <c r="E537" s="12"/>
      <c r="F537" s="12"/>
      <c r="G537" s="18"/>
      <c r="H537" s="35"/>
      <c r="I537" s="35"/>
      <c r="J537" s="12"/>
      <c r="O537" s="12"/>
      <c r="P537" s="18"/>
      <c r="Q537" s="12"/>
      <c r="R537" s="12"/>
      <c r="S537" s="12"/>
      <c r="T537" s="36"/>
      <c r="U537" s="36"/>
      <c r="V537" s="12"/>
      <c r="W537" s="12"/>
      <c r="X537" s="12"/>
      <c r="Y537" s="12"/>
      <c r="Z537" s="12"/>
    </row>
    <row r="538" customFormat="false" ht="15.75" hidden="false" customHeight="false" outlineLevel="0" collapsed="false">
      <c r="A538" s="12"/>
      <c r="B538" s="34"/>
      <c r="C538" s="12"/>
      <c r="D538" s="12"/>
      <c r="E538" s="12"/>
      <c r="F538" s="12"/>
      <c r="G538" s="18"/>
      <c r="H538" s="35"/>
      <c r="I538" s="35"/>
      <c r="J538" s="12"/>
      <c r="O538" s="12"/>
      <c r="P538" s="18"/>
      <c r="Q538" s="12"/>
      <c r="R538" s="12"/>
      <c r="S538" s="12"/>
      <c r="T538" s="36"/>
      <c r="U538" s="36"/>
      <c r="V538" s="12"/>
      <c r="W538" s="12"/>
      <c r="X538" s="12"/>
      <c r="Y538" s="12"/>
      <c r="Z538" s="12"/>
    </row>
    <row r="539" customFormat="false" ht="15.75" hidden="false" customHeight="false" outlineLevel="0" collapsed="false">
      <c r="A539" s="12"/>
      <c r="B539" s="34"/>
      <c r="C539" s="12"/>
      <c r="D539" s="12"/>
      <c r="E539" s="12"/>
      <c r="F539" s="12"/>
      <c r="G539" s="18"/>
      <c r="H539" s="35"/>
      <c r="I539" s="35"/>
      <c r="J539" s="12"/>
      <c r="O539" s="12"/>
      <c r="P539" s="18"/>
      <c r="Q539" s="12"/>
      <c r="R539" s="12"/>
      <c r="S539" s="12"/>
      <c r="T539" s="36"/>
      <c r="U539" s="36"/>
      <c r="V539" s="12"/>
      <c r="W539" s="12"/>
      <c r="X539" s="12"/>
      <c r="Y539" s="12"/>
      <c r="Z539" s="12"/>
    </row>
    <row r="540" customFormat="false" ht="15.75" hidden="false" customHeight="false" outlineLevel="0" collapsed="false">
      <c r="A540" s="12"/>
      <c r="B540" s="34"/>
      <c r="C540" s="12"/>
      <c r="D540" s="12"/>
      <c r="E540" s="12"/>
      <c r="F540" s="12"/>
      <c r="G540" s="18"/>
      <c r="H540" s="35"/>
      <c r="I540" s="35"/>
      <c r="J540" s="12"/>
      <c r="O540" s="12"/>
      <c r="P540" s="18"/>
      <c r="Q540" s="12"/>
      <c r="R540" s="12"/>
      <c r="S540" s="12"/>
      <c r="T540" s="36"/>
      <c r="U540" s="36"/>
      <c r="V540" s="12"/>
      <c r="W540" s="12"/>
      <c r="X540" s="12"/>
      <c r="Y540" s="12"/>
      <c r="Z540" s="12"/>
    </row>
    <row r="541" customFormat="false" ht="15.75" hidden="false" customHeight="false" outlineLevel="0" collapsed="false">
      <c r="A541" s="12"/>
      <c r="B541" s="34"/>
      <c r="C541" s="12"/>
      <c r="D541" s="12"/>
      <c r="E541" s="12"/>
      <c r="F541" s="12"/>
      <c r="G541" s="18"/>
      <c r="H541" s="35"/>
      <c r="I541" s="35"/>
      <c r="J541" s="12"/>
      <c r="O541" s="12"/>
      <c r="P541" s="18"/>
      <c r="Q541" s="12"/>
      <c r="R541" s="12"/>
      <c r="S541" s="12"/>
      <c r="T541" s="36"/>
      <c r="U541" s="36"/>
      <c r="V541" s="12"/>
      <c r="W541" s="12"/>
      <c r="X541" s="12"/>
      <c r="Y541" s="12"/>
      <c r="Z541" s="12"/>
    </row>
    <row r="542" customFormat="false" ht="15.75" hidden="false" customHeight="false" outlineLevel="0" collapsed="false">
      <c r="A542" s="12"/>
      <c r="B542" s="34"/>
      <c r="C542" s="12"/>
      <c r="D542" s="12"/>
      <c r="E542" s="12"/>
      <c r="F542" s="12"/>
      <c r="G542" s="18"/>
      <c r="H542" s="35"/>
      <c r="I542" s="35"/>
      <c r="J542" s="12"/>
      <c r="O542" s="12"/>
      <c r="P542" s="18"/>
      <c r="Q542" s="12"/>
      <c r="R542" s="12"/>
      <c r="S542" s="12"/>
      <c r="T542" s="36"/>
      <c r="U542" s="36"/>
      <c r="V542" s="12"/>
      <c r="W542" s="12"/>
      <c r="X542" s="12"/>
      <c r="Y542" s="12"/>
      <c r="Z542" s="12"/>
    </row>
    <row r="543" customFormat="false" ht="15.75" hidden="false" customHeight="false" outlineLevel="0" collapsed="false">
      <c r="A543" s="12"/>
      <c r="B543" s="34"/>
      <c r="C543" s="12"/>
      <c r="D543" s="12"/>
      <c r="E543" s="12"/>
      <c r="F543" s="12"/>
      <c r="G543" s="18"/>
      <c r="H543" s="35"/>
      <c r="I543" s="35"/>
      <c r="J543" s="12"/>
      <c r="O543" s="12"/>
      <c r="P543" s="18"/>
      <c r="Q543" s="12"/>
      <c r="R543" s="12"/>
      <c r="S543" s="12"/>
      <c r="T543" s="36"/>
      <c r="U543" s="36"/>
      <c r="V543" s="12"/>
      <c r="W543" s="12"/>
      <c r="X543" s="12"/>
      <c r="Y543" s="12"/>
      <c r="Z543" s="12"/>
    </row>
    <row r="544" customFormat="false" ht="15.75" hidden="false" customHeight="false" outlineLevel="0" collapsed="false">
      <c r="A544" s="12"/>
      <c r="B544" s="34"/>
      <c r="C544" s="12"/>
      <c r="D544" s="12"/>
      <c r="E544" s="12"/>
      <c r="F544" s="12"/>
      <c r="G544" s="18"/>
      <c r="H544" s="35"/>
      <c r="I544" s="35"/>
      <c r="J544" s="12"/>
      <c r="O544" s="12"/>
      <c r="P544" s="18"/>
      <c r="Q544" s="12"/>
      <c r="R544" s="12"/>
      <c r="S544" s="12"/>
      <c r="T544" s="36"/>
      <c r="U544" s="36"/>
      <c r="V544" s="12"/>
      <c r="W544" s="12"/>
      <c r="X544" s="12"/>
      <c r="Y544" s="12"/>
      <c r="Z544" s="12"/>
    </row>
    <row r="545" customFormat="false" ht="15.75" hidden="false" customHeight="false" outlineLevel="0" collapsed="false">
      <c r="A545" s="12"/>
      <c r="B545" s="34"/>
      <c r="C545" s="12"/>
      <c r="D545" s="12"/>
      <c r="E545" s="12"/>
      <c r="F545" s="12"/>
      <c r="G545" s="18"/>
      <c r="H545" s="35"/>
      <c r="I545" s="35"/>
      <c r="J545" s="12"/>
      <c r="O545" s="12"/>
      <c r="P545" s="18"/>
      <c r="Q545" s="12"/>
      <c r="R545" s="12"/>
      <c r="S545" s="12"/>
      <c r="T545" s="36"/>
      <c r="U545" s="36"/>
      <c r="V545" s="12"/>
      <c r="W545" s="12"/>
      <c r="X545" s="12"/>
      <c r="Y545" s="12"/>
      <c r="Z545" s="12"/>
    </row>
    <row r="546" customFormat="false" ht="15.75" hidden="false" customHeight="false" outlineLevel="0" collapsed="false">
      <c r="A546" s="12"/>
      <c r="B546" s="34"/>
      <c r="C546" s="12"/>
      <c r="D546" s="12"/>
      <c r="E546" s="12"/>
      <c r="F546" s="12"/>
      <c r="G546" s="18"/>
      <c r="H546" s="35"/>
      <c r="I546" s="35"/>
      <c r="J546" s="12"/>
      <c r="O546" s="12"/>
      <c r="P546" s="18"/>
      <c r="Q546" s="12"/>
      <c r="R546" s="12"/>
      <c r="S546" s="12"/>
      <c r="T546" s="36"/>
      <c r="U546" s="36"/>
      <c r="V546" s="12"/>
      <c r="W546" s="12"/>
      <c r="X546" s="12"/>
      <c r="Y546" s="12"/>
      <c r="Z546" s="12"/>
    </row>
    <row r="547" customFormat="false" ht="15.75" hidden="false" customHeight="false" outlineLevel="0" collapsed="false">
      <c r="A547" s="12"/>
      <c r="B547" s="34"/>
      <c r="C547" s="12"/>
      <c r="D547" s="12"/>
      <c r="E547" s="12"/>
      <c r="F547" s="12"/>
      <c r="G547" s="18"/>
      <c r="H547" s="35"/>
      <c r="I547" s="35"/>
      <c r="J547" s="12"/>
      <c r="O547" s="12"/>
      <c r="P547" s="18"/>
      <c r="Q547" s="12"/>
      <c r="R547" s="12"/>
      <c r="S547" s="12"/>
      <c r="T547" s="36"/>
      <c r="U547" s="36"/>
      <c r="V547" s="12"/>
      <c r="W547" s="12"/>
      <c r="X547" s="12"/>
      <c r="Y547" s="12"/>
      <c r="Z547" s="12"/>
    </row>
    <row r="548" customFormat="false" ht="15.75" hidden="false" customHeight="false" outlineLevel="0" collapsed="false">
      <c r="A548" s="12"/>
      <c r="B548" s="34"/>
      <c r="C548" s="12"/>
      <c r="D548" s="12"/>
      <c r="E548" s="12"/>
      <c r="F548" s="12"/>
      <c r="G548" s="18"/>
      <c r="H548" s="35"/>
      <c r="I548" s="35"/>
      <c r="J548" s="12"/>
      <c r="O548" s="12"/>
      <c r="P548" s="18"/>
      <c r="Q548" s="12"/>
      <c r="R548" s="12"/>
      <c r="S548" s="12"/>
      <c r="T548" s="36"/>
      <c r="U548" s="36"/>
      <c r="V548" s="12"/>
      <c r="W548" s="12"/>
      <c r="X548" s="12"/>
      <c r="Y548" s="12"/>
      <c r="Z548" s="12"/>
    </row>
    <row r="549" customFormat="false" ht="15.75" hidden="false" customHeight="false" outlineLevel="0" collapsed="false">
      <c r="A549" s="12"/>
      <c r="B549" s="34"/>
      <c r="C549" s="12"/>
      <c r="D549" s="12"/>
      <c r="E549" s="12"/>
      <c r="F549" s="12"/>
      <c r="G549" s="18"/>
      <c r="H549" s="35"/>
      <c r="I549" s="35"/>
      <c r="J549" s="12"/>
      <c r="O549" s="12"/>
      <c r="P549" s="18"/>
      <c r="Q549" s="12"/>
      <c r="R549" s="12"/>
      <c r="S549" s="12"/>
      <c r="T549" s="36"/>
      <c r="U549" s="36"/>
      <c r="V549" s="12"/>
      <c r="W549" s="12"/>
      <c r="X549" s="12"/>
      <c r="Y549" s="12"/>
      <c r="Z549" s="12"/>
    </row>
    <row r="550" customFormat="false" ht="15.75" hidden="false" customHeight="false" outlineLevel="0" collapsed="false">
      <c r="A550" s="12"/>
      <c r="B550" s="34"/>
      <c r="C550" s="12"/>
      <c r="D550" s="12"/>
      <c r="E550" s="12"/>
      <c r="F550" s="12"/>
      <c r="G550" s="18"/>
      <c r="H550" s="35"/>
      <c r="I550" s="35"/>
      <c r="J550" s="12"/>
      <c r="O550" s="12"/>
      <c r="P550" s="18"/>
      <c r="Q550" s="12"/>
      <c r="R550" s="12"/>
      <c r="S550" s="12"/>
      <c r="T550" s="36"/>
      <c r="U550" s="36"/>
      <c r="V550" s="12"/>
      <c r="W550" s="12"/>
      <c r="X550" s="12"/>
      <c r="Y550" s="12"/>
      <c r="Z550" s="12"/>
    </row>
    <row r="551" customFormat="false" ht="15.75" hidden="false" customHeight="false" outlineLevel="0" collapsed="false">
      <c r="A551" s="12"/>
      <c r="B551" s="34"/>
      <c r="C551" s="12"/>
      <c r="D551" s="12"/>
      <c r="E551" s="12"/>
      <c r="F551" s="12"/>
      <c r="G551" s="18"/>
      <c r="H551" s="35"/>
      <c r="I551" s="35"/>
      <c r="J551" s="12"/>
      <c r="O551" s="12"/>
      <c r="P551" s="18"/>
      <c r="Q551" s="12"/>
      <c r="R551" s="12"/>
      <c r="S551" s="12"/>
      <c r="T551" s="36"/>
      <c r="U551" s="36"/>
      <c r="V551" s="12"/>
      <c r="W551" s="12"/>
      <c r="X551" s="12"/>
      <c r="Y551" s="12"/>
      <c r="Z551" s="12"/>
    </row>
    <row r="552" customFormat="false" ht="15.75" hidden="false" customHeight="false" outlineLevel="0" collapsed="false">
      <c r="A552" s="12"/>
      <c r="B552" s="34"/>
      <c r="C552" s="12"/>
      <c r="D552" s="12"/>
      <c r="E552" s="12"/>
      <c r="F552" s="12"/>
      <c r="G552" s="18"/>
      <c r="H552" s="35"/>
      <c r="I552" s="35"/>
      <c r="J552" s="12"/>
      <c r="O552" s="12"/>
      <c r="P552" s="18"/>
      <c r="Q552" s="12"/>
      <c r="R552" s="12"/>
      <c r="S552" s="12"/>
      <c r="T552" s="36"/>
      <c r="U552" s="36"/>
      <c r="V552" s="12"/>
      <c r="W552" s="12"/>
      <c r="X552" s="12"/>
      <c r="Y552" s="12"/>
      <c r="Z552" s="12"/>
    </row>
    <row r="553" customFormat="false" ht="15.75" hidden="false" customHeight="false" outlineLevel="0" collapsed="false">
      <c r="A553" s="12"/>
      <c r="B553" s="34"/>
      <c r="C553" s="12"/>
      <c r="D553" s="12"/>
      <c r="E553" s="12"/>
      <c r="F553" s="12"/>
      <c r="G553" s="18"/>
      <c r="H553" s="35"/>
      <c r="I553" s="35"/>
      <c r="J553" s="12"/>
      <c r="O553" s="12"/>
      <c r="P553" s="18"/>
      <c r="Q553" s="12"/>
      <c r="R553" s="12"/>
      <c r="S553" s="12"/>
      <c r="T553" s="36"/>
      <c r="U553" s="36"/>
      <c r="V553" s="12"/>
      <c r="W553" s="12"/>
      <c r="X553" s="12"/>
      <c r="Y553" s="12"/>
      <c r="Z553" s="12"/>
    </row>
    <row r="554" customFormat="false" ht="15.75" hidden="false" customHeight="false" outlineLevel="0" collapsed="false">
      <c r="A554" s="12"/>
      <c r="B554" s="34"/>
      <c r="C554" s="12"/>
      <c r="D554" s="12"/>
      <c r="E554" s="12"/>
      <c r="F554" s="12"/>
      <c r="G554" s="18"/>
      <c r="H554" s="35"/>
      <c r="I554" s="35"/>
      <c r="J554" s="12"/>
      <c r="O554" s="12"/>
      <c r="P554" s="18"/>
      <c r="Q554" s="12"/>
      <c r="R554" s="12"/>
      <c r="S554" s="12"/>
      <c r="T554" s="36"/>
      <c r="U554" s="36"/>
      <c r="V554" s="12"/>
      <c r="W554" s="12"/>
      <c r="X554" s="12"/>
      <c r="Y554" s="12"/>
      <c r="Z554" s="12"/>
    </row>
    <row r="555" customFormat="false" ht="15.75" hidden="false" customHeight="false" outlineLevel="0" collapsed="false">
      <c r="A555" s="12"/>
      <c r="B555" s="34"/>
      <c r="C555" s="12"/>
      <c r="D555" s="12"/>
      <c r="E555" s="12"/>
      <c r="F555" s="12"/>
      <c r="G555" s="18"/>
      <c r="H555" s="35"/>
      <c r="I555" s="35"/>
      <c r="J555" s="12"/>
      <c r="O555" s="12"/>
      <c r="P555" s="18"/>
      <c r="Q555" s="12"/>
      <c r="R555" s="12"/>
      <c r="S555" s="12"/>
      <c r="T555" s="36"/>
      <c r="U555" s="36"/>
      <c r="V555" s="12"/>
      <c r="W555" s="12"/>
      <c r="X555" s="12"/>
      <c r="Y555" s="12"/>
      <c r="Z555" s="12"/>
    </row>
    <row r="556" customFormat="false" ht="15.75" hidden="false" customHeight="false" outlineLevel="0" collapsed="false">
      <c r="A556" s="12"/>
      <c r="B556" s="34"/>
      <c r="C556" s="12"/>
      <c r="D556" s="12"/>
      <c r="E556" s="12"/>
      <c r="F556" s="12"/>
      <c r="G556" s="18"/>
      <c r="H556" s="35"/>
      <c r="I556" s="35"/>
      <c r="J556" s="12"/>
      <c r="O556" s="12"/>
      <c r="P556" s="18"/>
      <c r="Q556" s="12"/>
      <c r="R556" s="12"/>
      <c r="S556" s="12"/>
      <c r="T556" s="36"/>
      <c r="U556" s="36"/>
      <c r="V556" s="12"/>
      <c r="W556" s="12"/>
      <c r="X556" s="12"/>
      <c r="Y556" s="12"/>
      <c r="Z556" s="12"/>
    </row>
    <row r="557" customFormat="false" ht="15.75" hidden="false" customHeight="false" outlineLevel="0" collapsed="false">
      <c r="A557" s="12"/>
      <c r="B557" s="34"/>
      <c r="C557" s="12"/>
      <c r="D557" s="12"/>
      <c r="E557" s="12"/>
      <c r="F557" s="12"/>
      <c r="G557" s="18"/>
      <c r="H557" s="35"/>
      <c r="I557" s="35"/>
      <c r="J557" s="12"/>
      <c r="O557" s="12"/>
      <c r="P557" s="18"/>
      <c r="Q557" s="12"/>
      <c r="R557" s="12"/>
      <c r="S557" s="12"/>
      <c r="T557" s="36"/>
      <c r="U557" s="36"/>
      <c r="V557" s="12"/>
      <c r="W557" s="12"/>
      <c r="X557" s="12"/>
      <c r="Y557" s="12"/>
      <c r="Z557" s="12"/>
    </row>
    <row r="558" customFormat="false" ht="15.75" hidden="false" customHeight="false" outlineLevel="0" collapsed="false">
      <c r="A558" s="12"/>
      <c r="B558" s="34"/>
      <c r="C558" s="12"/>
      <c r="D558" s="12"/>
      <c r="E558" s="12"/>
      <c r="F558" s="12"/>
      <c r="G558" s="18"/>
      <c r="H558" s="35"/>
      <c r="I558" s="35"/>
      <c r="J558" s="12"/>
      <c r="O558" s="12"/>
      <c r="P558" s="18"/>
      <c r="Q558" s="12"/>
      <c r="R558" s="12"/>
      <c r="S558" s="12"/>
      <c r="T558" s="36"/>
      <c r="U558" s="36"/>
      <c r="V558" s="12"/>
      <c r="W558" s="12"/>
      <c r="X558" s="12"/>
      <c r="Y558" s="12"/>
      <c r="Z558" s="12"/>
    </row>
    <row r="559" customFormat="false" ht="15.75" hidden="false" customHeight="false" outlineLevel="0" collapsed="false">
      <c r="A559" s="12"/>
      <c r="B559" s="34"/>
      <c r="C559" s="12"/>
      <c r="D559" s="12"/>
      <c r="E559" s="12"/>
      <c r="F559" s="12"/>
      <c r="G559" s="18"/>
      <c r="H559" s="35"/>
      <c r="I559" s="35"/>
      <c r="J559" s="12"/>
      <c r="O559" s="12"/>
      <c r="P559" s="18"/>
      <c r="Q559" s="12"/>
      <c r="R559" s="12"/>
      <c r="S559" s="12"/>
      <c r="T559" s="36"/>
      <c r="U559" s="36"/>
      <c r="V559" s="12"/>
      <c r="W559" s="12"/>
      <c r="X559" s="12"/>
      <c r="Y559" s="12"/>
      <c r="Z559" s="12"/>
    </row>
    <row r="560" customFormat="false" ht="15.75" hidden="false" customHeight="false" outlineLevel="0" collapsed="false">
      <c r="A560" s="12"/>
      <c r="B560" s="34"/>
      <c r="C560" s="12"/>
      <c r="D560" s="12"/>
      <c r="E560" s="12"/>
      <c r="F560" s="12"/>
      <c r="G560" s="18"/>
      <c r="H560" s="35"/>
      <c r="I560" s="35"/>
      <c r="J560" s="12"/>
      <c r="O560" s="12"/>
      <c r="P560" s="18"/>
      <c r="Q560" s="12"/>
      <c r="R560" s="12"/>
      <c r="S560" s="12"/>
      <c r="T560" s="36"/>
      <c r="U560" s="36"/>
      <c r="V560" s="12"/>
      <c r="W560" s="12"/>
      <c r="X560" s="12"/>
      <c r="Y560" s="12"/>
      <c r="Z560" s="12"/>
    </row>
    <row r="561" customFormat="false" ht="15.75" hidden="false" customHeight="false" outlineLevel="0" collapsed="false">
      <c r="A561" s="12"/>
      <c r="B561" s="34"/>
      <c r="C561" s="12"/>
      <c r="D561" s="12"/>
      <c r="E561" s="12"/>
      <c r="F561" s="12"/>
      <c r="G561" s="18"/>
      <c r="H561" s="35"/>
      <c r="I561" s="35"/>
      <c r="J561" s="12"/>
      <c r="O561" s="12"/>
      <c r="P561" s="18"/>
      <c r="Q561" s="12"/>
      <c r="R561" s="12"/>
      <c r="S561" s="12"/>
      <c r="T561" s="36"/>
      <c r="U561" s="36"/>
      <c r="V561" s="12"/>
      <c r="W561" s="12"/>
      <c r="X561" s="12"/>
      <c r="Y561" s="12"/>
      <c r="Z561" s="12"/>
    </row>
    <row r="562" customFormat="false" ht="15.75" hidden="false" customHeight="false" outlineLevel="0" collapsed="false">
      <c r="A562" s="12"/>
      <c r="B562" s="34"/>
      <c r="C562" s="12"/>
      <c r="D562" s="12"/>
      <c r="E562" s="12"/>
      <c r="F562" s="12"/>
      <c r="G562" s="18"/>
      <c r="H562" s="35"/>
      <c r="I562" s="35"/>
      <c r="J562" s="12"/>
      <c r="O562" s="12"/>
      <c r="P562" s="18"/>
      <c r="Q562" s="12"/>
      <c r="R562" s="12"/>
      <c r="S562" s="12"/>
      <c r="T562" s="36"/>
      <c r="U562" s="36"/>
      <c r="V562" s="12"/>
      <c r="W562" s="12"/>
      <c r="X562" s="12"/>
      <c r="Y562" s="12"/>
      <c r="Z562" s="12"/>
    </row>
    <row r="563" customFormat="false" ht="15.75" hidden="false" customHeight="false" outlineLevel="0" collapsed="false">
      <c r="A563" s="12"/>
      <c r="B563" s="34"/>
      <c r="C563" s="12"/>
      <c r="D563" s="12"/>
      <c r="E563" s="12"/>
      <c r="F563" s="12"/>
      <c r="G563" s="18"/>
      <c r="H563" s="35"/>
      <c r="I563" s="35"/>
      <c r="J563" s="12"/>
      <c r="O563" s="12"/>
      <c r="P563" s="18"/>
      <c r="Q563" s="12"/>
      <c r="R563" s="12"/>
      <c r="S563" s="12"/>
      <c r="T563" s="36"/>
      <c r="U563" s="36"/>
      <c r="V563" s="12"/>
      <c r="W563" s="12"/>
      <c r="X563" s="12"/>
      <c r="Y563" s="12"/>
      <c r="Z563" s="12"/>
    </row>
    <row r="564" customFormat="false" ht="15.75" hidden="false" customHeight="false" outlineLevel="0" collapsed="false">
      <c r="A564" s="12"/>
      <c r="B564" s="34"/>
      <c r="C564" s="12"/>
      <c r="D564" s="12"/>
      <c r="E564" s="12"/>
      <c r="F564" s="12"/>
      <c r="G564" s="18"/>
      <c r="H564" s="35"/>
      <c r="I564" s="35"/>
      <c r="J564" s="12"/>
      <c r="O564" s="12"/>
      <c r="P564" s="18"/>
      <c r="Q564" s="12"/>
      <c r="R564" s="12"/>
      <c r="S564" s="12"/>
      <c r="T564" s="36"/>
      <c r="U564" s="36"/>
      <c r="V564" s="12"/>
      <c r="W564" s="12"/>
      <c r="X564" s="12"/>
      <c r="Y564" s="12"/>
      <c r="Z564" s="12"/>
    </row>
    <row r="565" customFormat="false" ht="15.75" hidden="false" customHeight="false" outlineLevel="0" collapsed="false">
      <c r="A565" s="12"/>
      <c r="B565" s="34"/>
      <c r="C565" s="12"/>
      <c r="D565" s="12"/>
      <c r="E565" s="12"/>
      <c r="F565" s="12"/>
      <c r="G565" s="18"/>
      <c r="H565" s="35"/>
      <c r="I565" s="35"/>
      <c r="J565" s="12"/>
      <c r="O565" s="12"/>
      <c r="P565" s="18"/>
      <c r="Q565" s="12"/>
      <c r="R565" s="12"/>
      <c r="S565" s="12"/>
      <c r="T565" s="36"/>
      <c r="U565" s="36"/>
      <c r="V565" s="12"/>
      <c r="W565" s="12"/>
      <c r="X565" s="12"/>
      <c r="Y565" s="12"/>
      <c r="Z565" s="12"/>
    </row>
    <row r="566" customFormat="false" ht="15.75" hidden="false" customHeight="false" outlineLevel="0" collapsed="false">
      <c r="A566" s="12"/>
      <c r="B566" s="34"/>
      <c r="C566" s="12"/>
      <c r="D566" s="12"/>
      <c r="E566" s="12"/>
      <c r="F566" s="12"/>
      <c r="G566" s="18"/>
      <c r="H566" s="35"/>
      <c r="I566" s="35"/>
      <c r="J566" s="12"/>
      <c r="O566" s="12"/>
      <c r="P566" s="18"/>
      <c r="Q566" s="12"/>
      <c r="R566" s="12"/>
      <c r="S566" s="12"/>
      <c r="T566" s="36"/>
      <c r="U566" s="36"/>
      <c r="V566" s="12"/>
      <c r="W566" s="12"/>
      <c r="X566" s="12"/>
      <c r="Y566" s="12"/>
      <c r="Z566" s="12"/>
    </row>
    <row r="567" customFormat="false" ht="15.75" hidden="false" customHeight="false" outlineLevel="0" collapsed="false">
      <c r="A567" s="12"/>
      <c r="B567" s="34"/>
      <c r="C567" s="12"/>
      <c r="D567" s="12"/>
      <c r="E567" s="12"/>
      <c r="F567" s="12"/>
      <c r="G567" s="18"/>
      <c r="H567" s="35"/>
      <c r="I567" s="35"/>
      <c r="J567" s="12"/>
      <c r="O567" s="12"/>
      <c r="P567" s="18"/>
      <c r="Q567" s="12"/>
      <c r="R567" s="12"/>
      <c r="S567" s="12"/>
      <c r="T567" s="36"/>
      <c r="U567" s="36"/>
      <c r="V567" s="12"/>
      <c r="W567" s="12"/>
      <c r="X567" s="12"/>
      <c r="Y567" s="12"/>
      <c r="Z567" s="12"/>
    </row>
    <row r="568" customFormat="false" ht="15.75" hidden="false" customHeight="false" outlineLevel="0" collapsed="false">
      <c r="A568" s="12"/>
      <c r="B568" s="34"/>
      <c r="C568" s="12"/>
      <c r="D568" s="12"/>
      <c r="E568" s="12"/>
      <c r="F568" s="12"/>
      <c r="G568" s="18"/>
      <c r="H568" s="35"/>
      <c r="I568" s="35"/>
      <c r="J568" s="12"/>
      <c r="O568" s="12"/>
      <c r="P568" s="18"/>
      <c r="Q568" s="12"/>
      <c r="R568" s="12"/>
      <c r="S568" s="12"/>
      <c r="T568" s="36"/>
      <c r="U568" s="36"/>
      <c r="V568" s="12"/>
      <c r="W568" s="12"/>
      <c r="X568" s="12"/>
      <c r="Y568" s="12"/>
      <c r="Z568" s="12"/>
    </row>
    <row r="569" customFormat="false" ht="15.75" hidden="false" customHeight="false" outlineLevel="0" collapsed="false">
      <c r="A569" s="12"/>
      <c r="B569" s="34"/>
      <c r="C569" s="12"/>
      <c r="D569" s="12"/>
      <c r="E569" s="12"/>
      <c r="F569" s="12"/>
      <c r="G569" s="18"/>
      <c r="H569" s="35"/>
      <c r="I569" s="35"/>
      <c r="J569" s="12"/>
      <c r="O569" s="12"/>
      <c r="P569" s="18"/>
      <c r="Q569" s="12"/>
      <c r="R569" s="12"/>
      <c r="S569" s="12"/>
      <c r="T569" s="36"/>
      <c r="U569" s="36"/>
      <c r="V569" s="12"/>
      <c r="W569" s="12"/>
      <c r="X569" s="12"/>
      <c r="Y569" s="12"/>
      <c r="Z569" s="12"/>
    </row>
    <row r="570" customFormat="false" ht="15.75" hidden="false" customHeight="false" outlineLevel="0" collapsed="false">
      <c r="A570" s="12"/>
      <c r="B570" s="34"/>
      <c r="C570" s="12"/>
      <c r="D570" s="12"/>
      <c r="E570" s="12"/>
      <c r="F570" s="12"/>
      <c r="G570" s="18"/>
      <c r="H570" s="35"/>
      <c r="I570" s="35"/>
      <c r="J570" s="12"/>
      <c r="O570" s="12"/>
      <c r="P570" s="18"/>
      <c r="Q570" s="12"/>
      <c r="R570" s="12"/>
      <c r="S570" s="12"/>
      <c r="T570" s="36"/>
      <c r="U570" s="36"/>
      <c r="V570" s="12"/>
      <c r="W570" s="12"/>
      <c r="X570" s="12"/>
      <c r="Y570" s="12"/>
      <c r="Z570" s="12"/>
    </row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AH61"/>
  <conditionalFormatting sqref="T2:T23 U2:U570 R24 T25:T570">
    <cfRule type="expression" priority="2" aboveAverage="0" equalAverage="0" bottom="0" percent="0" rank="0" text="" dxfId="0">
      <formula>LEN(TRIM(#ref!))&gt;0</formula>
    </cfRule>
  </conditionalFormatting>
  <conditionalFormatting sqref="S2:S9 S12:S570">
    <cfRule type="expression" priority="3" aboveAverage="0" equalAverage="0" bottom="0" percent="0" rank="0" text="" dxfId="0">
      <formula>LEN(TRIM(S2))&gt;0</formula>
    </cfRule>
  </conditionalFormatting>
  <conditionalFormatting sqref="G2:G570 P2:P570">
    <cfRule type="containsText" priority="4" operator="containsText" aboveAverage="0" equalAverage="0" bottom="0" percent="0" rank="0" text="x" dxfId="0">
      <formula>NOT(ISERROR(SEARCH("x",G2)))</formula>
    </cfRule>
  </conditionalFormatting>
  <conditionalFormatting sqref="V2:V570">
    <cfRule type="expression" priority="5" aboveAverage="0" equalAverage="0" bottom="0" percent="0" rank="0" text="" dxfId="0">
      <formula>LEN(TRIM(V2))&gt;0</formula>
    </cfRule>
  </conditionalFormatting>
  <conditionalFormatting sqref="Y2:Y570">
    <cfRule type="expression" priority="6" aboveAverage="0" equalAverage="0" bottom="0" percent="0" rank="0" text="" dxfId="0">
      <formula>LEN(TRIM(Y2))&gt;0</formula>
    </cfRule>
  </conditionalFormatting>
  <conditionalFormatting sqref="Z2:Z570">
    <cfRule type="cellIs" priority="7" operator="equal" aboveAverage="0" equalAverage="0" bottom="0" percent="0" rank="0" text="" dxfId="0">
      <formula>"Completo"</formula>
    </cfRule>
    <cfRule type="cellIs" priority="8" operator="equal" aboveAverage="0" equalAverage="0" bottom="0" percent="0" rank="0" text="" dxfId="1">
      <formula>"No aplica"</formula>
    </cfRule>
  </conditionalFormatting>
  <conditionalFormatting sqref="G2:J570 Q2:Q570 R2:R23 W2:X570 Z2:Z570 R25:R570">
    <cfRule type="cellIs" priority="9" operator="equal" aboveAverage="0" equalAverage="0" bottom="0" percent="0" rank="0" text="" dxfId="0">
      <formula>"Completo"</formula>
    </cfRule>
    <cfRule type="cellIs" priority="10" operator="equal" aboveAverage="0" equalAverage="0" bottom="0" percent="0" rank="0" text="" dxfId="1">
      <formula>"No Aplica"</formula>
    </cfRule>
  </conditionalFormatting>
  <dataValidations count="6">
    <dataValidation allowBlank="true" errorStyle="stop" operator="between" showDropDown="false" showErrorMessage="true" showInputMessage="false" sqref="AA2:AA61" type="list">
      <formula1>"Aceptada,En espera,Rechazada,No aplica"</formula1>
      <formula2>0</formula2>
    </dataValidation>
    <dataValidation allowBlank="true" errorStyle="stop" operator="between" showDropDown="false" showErrorMessage="false" showInputMessage="false" sqref="V2:V570" type="list">
      <formula1>LEYENDA!$A$23:$A$24</formula1>
      <formula2>0</formula2>
    </dataValidation>
    <dataValidation allowBlank="true" errorStyle="stop" operator="between" showDropDown="false" showErrorMessage="false" showInputMessage="false" sqref="T2:T23 R24 T25:T570" type="list">
      <formula1>LEYENDA!$A$15:$A$21</formula1>
      <formula2>0</formula2>
    </dataValidation>
    <dataValidation allowBlank="true" errorStyle="stop" operator="between" showDropDown="false" showErrorMessage="true" showInputMessage="false" sqref="D2:D570" type="list">
      <formula1>LEYENDA!$B$2:$D$2</formula1>
      <formula2>0</formula2>
    </dataValidation>
    <dataValidation allowBlank="true" errorStyle="stop" operator="between" showDropDown="false" showErrorMessage="true" showInputMessage="false" sqref="H2:J4 Q2:R23 W2:X570 Z2:Z570 H5 H6:J570 Q24 Q25:R570" type="list">
      <formula1>LEYENDA!$B$1:$C$1</formula1>
      <formula2>0</formula2>
    </dataValidation>
    <dataValidation allowBlank="true" errorStyle="stop" operator="between" showDropDown="false" showErrorMessage="false" showInputMessage="false" sqref="E2:E570" type="list">
      <formula1>LEYENDA!$A$8:$A$12</formula1>
      <formula2>0</formula2>
    </dataValidation>
  </dataValidations>
  <hyperlinks>
    <hyperlink ref="H8" r:id="rId1" display="Completo"/>
    <hyperlink ref="H9" r:id="rId2" display="Completo"/>
    <hyperlink ref="H10" r:id="rId3" display="Completo"/>
    <hyperlink ref="H11" r:id="rId4" display="Completo"/>
    <hyperlink ref="H13" r:id="rId5" display="Completo"/>
    <hyperlink ref="R13" r:id="rId6" display="Completo"/>
    <hyperlink ref="H14" r:id="rId7" display="Completo"/>
    <hyperlink ref="W14" r:id="rId8" display="Completo"/>
    <hyperlink ref="X14" r:id="rId9" display="Completo"/>
    <hyperlink ref="H15" r:id="rId10" display="Completo"/>
    <hyperlink ref="W15" r:id="rId11" display="Completo"/>
    <hyperlink ref="X15" r:id="rId12" display="Completo"/>
    <hyperlink ref="H16" r:id="rId13" display="Completo"/>
    <hyperlink ref="W16" r:id="rId14" display="Completo"/>
    <hyperlink ref="X16" r:id="rId15" display="Completo"/>
    <hyperlink ref="H17" r:id="rId16" display="Completo"/>
    <hyperlink ref="R17" r:id="rId17" display="Completo"/>
    <hyperlink ref="W17" r:id="rId18" display="Completo"/>
    <hyperlink ref="X17" r:id="rId19" display="Completo"/>
    <hyperlink ref="H18" r:id="rId20" display="Completo"/>
    <hyperlink ref="W18" r:id="rId21" display="Completo"/>
    <hyperlink ref="X18" r:id="rId22" display="Completo"/>
    <hyperlink ref="H20" r:id="rId23" display="Completo"/>
    <hyperlink ref="H22" r:id="rId24" display="Completo"/>
    <hyperlink ref="H23" r:id="rId25" display="Completo"/>
    <hyperlink ref="H24" r:id="rId26" display="Completo"/>
    <hyperlink ref="H30" r:id="rId27" display="Completo"/>
    <hyperlink ref="W30" r:id="rId28" display="Completo"/>
    <hyperlink ref="X30" r:id="rId29" display="Completo"/>
    <hyperlink ref="H31" r:id="rId30" display="Completo"/>
    <hyperlink ref="R31" r:id="rId31" display="Completo"/>
    <hyperlink ref="W31" r:id="rId32" display="Completo"/>
    <hyperlink ref="X31" r:id="rId33" display="Completo"/>
    <hyperlink ref="H32" r:id="rId34" display="Completo"/>
    <hyperlink ref="R32" r:id="rId35" display="Completo"/>
    <hyperlink ref="W32" r:id="rId36" display="Completo"/>
    <hyperlink ref="X32" r:id="rId37" display="Completo"/>
    <hyperlink ref="H34" r:id="rId38" display="Completo"/>
    <hyperlink ref="X34" r:id="rId39" display="Completo"/>
    <hyperlink ref="H35" r:id="rId40" display="Completo"/>
    <hyperlink ref="W35" r:id="rId41" display="Completo"/>
    <hyperlink ref="X35" r:id="rId42" display="Completo"/>
    <hyperlink ref="H36" r:id="rId43" display="completo"/>
    <hyperlink ref="W36" r:id="rId44" display="Completo"/>
    <hyperlink ref="X36" r:id="rId45" display="Completo"/>
    <hyperlink ref="H37" r:id="rId46" display="Completo"/>
    <hyperlink ref="W37" r:id="rId47" display="Completo"/>
    <hyperlink ref="X37" r:id="rId48" display="Completo"/>
    <hyperlink ref="H38" r:id="rId49" display="Completo"/>
    <hyperlink ref="W38" r:id="rId50" display="Completo"/>
    <hyperlink ref="X38" r:id="rId51" display="Completo"/>
    <hyperlink ref="H39" r:id="rId52" display="Completo"/>
    <hyperlink ref="W39" r:id="rId53" display="Completo"/>
    <hyperlink ref="X39" r:id="rId54" display="Completo"/>
    <hyperlink ref="H40" r:id="rId55" display="Completo"/>
    <hyperlink ref="W40" r:id="rId56" display="Completo"/>
    <hyperlink ref="X40" r:id="rId57" display="Completo"/>
    <hyperlink ref="H41" r:id="rId58" display="Completo"/>
    <hyperlink ref="W41" r:id="rId59" display="Completo"/>
    <hyperlink ref="X41" r:id="rId60" display="Completo"/>
    <hyperlink ref="H42" r:id="rId61" display="Completo"/>
    <hyperlink ref="W42" r:id="rId62" display="Completo"/>
    <hyperlink ref="H44" r:id="rId63" display="Completo"/>
    <hyperlink ref="H45" r:id="rId64" display="Completo"/>
    <hyperlink ref="H51" r:id="rId65" display="Completo"/>
    <hyperlink ref="H60" r:id="rId66" display="Completo"/>
    <hyperlink ref="W60" r:id="rId67" display="Completo"/>
    <hyperlink ref="X60" r:id="rId68" display="Completo"/>
    <hyperlink ref="H61" r:id="rId69" display="Completo"/>
    <hyperlink ref="W61" r:id="rId70" display="Completo"/>
    <hyperlink ref="X61" r:id="rId71" display="Completo"/>
  </hyperlinks>
  <printOptions headings="false" gridLines="true" gridLinesSet="true" horizontalCentered="true" verticalCentered="false"/>
  <pageMargins left="0.7" right="0.7" top="0.75" bottom="0.75" header="0.511811023622047" footer="0.511811023622047"/>
  <pageSetup paperSize="9" scale="100" fitToWidth="1" fitToHeight="0" pageOrder="overThenDown" orientation="landscape" blackAndWhite="false" draft="false" cellComments="none" horizontalDpi="300" verticalDpi="300" copies="1"/>
  <headerFooter differentFirst="false" differentOddEven="false">
    <oddHeader/>
    <oddFooter/>
  </headerFooter>
  <drawing r:id="rId7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XFD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8" ySplit="3" topLeftCell="I46" activePane="bottomRight" state="frozen"/>
      <selection pane="topLeft" activeCell="A1" activeCellId="0" sqref="A1"/>
      <selection pane="topRight" activeCell="I1" activeCellId="0" sqref="I1"/>
      <selection pane="bottomLeft" activeCell="A46" activeCellId="0" sqref="A46"/>
      <selection pane="bottomRight" activeCell="D7" activeCellId="0" sqref="D7"/>
    </sheetView>
  </sheetViews>
  <sheetFormatPr defaultColWidth="12.6328125" defaultRowHeight="15.75" zeroHeight="false" outlineLevelRow="0" outlineLevelCol="0"/>
  <cols>
    <col collapsed="false" customWidth="true" hidden="false" outlineLevel="0" max="1" min="1" style="1" width="10.25"/>
    <col collapsed="false" customWidth="true" hidden="false" outlineLevel="0" max="2" min="2" style="1" width="10.38"/>
    <col collapsed="false" customWidth="true" hidden="false" outlineLevel="0" max="5" min="3" style="1" width="16.38"/>
    <col collapsed="false" customWidth="true" hidden="false" outlineLevel="0" max="6" min="6" style="1" width="22.75"/>
    <col collapsed="false" customWidth="true" hidden="false" outlineLevel="0" max="7" min="7" style="1" width="14.13"/>
    <col collapsed="false" customWidth="true" hidden="false" outlineLevel="0" max="9" min="8" style="1" width="10.13"/>
    <col collapsed="false" customWidth="true" hidden="false" outlineLevel="0" max="10" min="10" style="1" width="12.88"/>
    <col collapsed="false" customWidth="true" hidden="false" outlineLevel="0" max="12" min="11" style="1" width="12"/>
    <col collapsed="false" customWidth="true" hidden="false" outlineLevel="0" max="13" min="13" style="1" width="10"/>
    <col collapsed="false" customWidth="true" hidden="false" outlineLevel="0" max="14" min="14" style="1" width="12.25"/>
    <col collapsed="false" customWidth="true" hidden="false" outlineLevel="0" max="15" min="15" style="1" width="26.12"/>
    <col collapsed="false" customWidth="true" hidden="true" outlineLevel="0" max="16" min="16" style="1" width="18"/>
    <col collapsed="false" customWidth="true" hidden="false" outlineLevel="0" max="18" min="17" style="1" width="10.63"/>
    <col collapsed="false" customWidth="true" hidden="false" outlineLevel="0" max="19" min="19" style="1" width="8.5"/>
    <col collapsed="false" customWidth="true" hidden="false" outlineLevel="0" max="21" min="21" style="1" width="25.38"/>
    <col collapsed="false" customWidth="true" hidden="false" outlineLevel="0" max="22" min="22" style="1" width="18.13"/>
    <col collapsed="false" customWidth="true" hidden="false" outlineLevel="0" max="23" min="23" style="1" width="10.13"/>
    <col collapsed="false" customWidth="true" hidden="false" outlineLevel="0" max="24" min="24" style="1" width="11.38"/>
    <col collapsed="false" customWidth="true" hidden="false" outlineLevel="0" max="25" min="25" style="1" width="24.38"/>
    <col collapsed="false" customWidth="true" hidden="false" outlineLevel="0" max="16384" min="16383" style="1" width="11.53"/>
  </cols>
  <sheetData>
    <row r="1" customFormat="false" ht="42.5" hidden="false" customHeight="false" outlineLevel="0" collapsed="false">
      <c r="A1" s="2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/>
      <c r="J1" s="4" t="s">
        <v>8</v>
      </c>
      <c r="K1" s="2"/>
      <c r="L1" s="2" t="s">
        <v>9</v>
      </c>
      <c r="M1" s="2" t="s">
        <v>10</v>
      </c>
      <c r="N1" s="4" t="s">
        <v>11</v>
      </c>
      <c r="O1" s="3" t="s">
        <v>12</v>
      </c>
      <c r="P1" s="7" t="s">
        <v>13</v>
      </c>
      <c r="Q1" s="7" t="s">
        <v>14</v>
      </c>
      <c r="R1" s="7" t="s">
        <v>15</v>
      </c>
      <c r="S1" s="7" t="s">
        <v>16</v>
      </c>
      <c r="T1" s="7" t="s">
        <v>17</v>
      </c>
      <c r="U1" s="8" t="s">
        <v>18</v>
      </c>
      <c r="V1" s="9" t="s">
        <v>19</v>
      </c>
      <c r="W1" s="9" t="s">
        <v>20</v>
      </c>
      <c r="X1" s="10" t="s">
        <v>15</v>
      </c>
      <c r="Y1" s="11" t="s">
        <v>21</v>
      </c>
      <c r="Z1" s="11" t="s">
        <v>22</v>
      </c>
      <c r="AA1" s="12"/>
      <c r="AB1" s="12"/>
      <c r="AC1" s="12"/>
      <c r="AD1" s="12"/>
      <c r="AE1" s="12"/>
      <c r="AF1" s="12"/>
      <c r="XFC1" s="0"/>
      <c r="XFD1" s="0"/>
    </row>
    <row r="2" customFormat="false" ht="15.75" hidden="false" customHeight="false" outlineLevel="0" collapsed="false">
      <c r="A2" s="19" t="n">
        <v>7785</v>
      </c>
      <c r="B2" s="14" t="n">
        <v>45323</v>
      </c>
      <c r="C2" s="16" t="s">
        <v>944</v>
      </c>
      <c r="D2" s="30" t="s">
        <v>24</v>
      </c>
      <c r="E2" s="21" t="s">
        <v>34</v>
      </c>
      <c r="F2" s="21" t="s">
        <v>945</v>
      </c>
      <c r="G2" s="30"/>
      <c r="H2" s="31"/>
      <c r="I2" s="31"/>
      <c r="J2" s="21"/>
      <c r="K2" s="21"/>
      <c r="L2" s="21"/>
      <c r="M2" s="21"/>
      <c r="N2" s="21"/>
      <c r="O2" s="21"/>
      <c r="P2" s="30"/>
      <c r="Q2" s="21"/>
      <c r="R2" s="21"/>
      <c r="S2" s="21"/>
      <c r="T2" s="32"/>
      <c r="U2" s="20"/>
      <c r="V2" s="21"/>
      <c r="W2" s="21"/>
      <c r="X2" s="21"/>
      <c r="Y2" s="21"/>
      <c r="Z2" s="21" t="s">
        <v>28</v>
      </c>
      <c r="AA2" s="12" t="s">
        <v>156</v>
      </c>
    </row>
    <row r="3" customFormat="false" ht="15.75" hidden="false" customHeight="false" outlineLevel="0" collapsed="false">
      <c r="A3" s="21" t="n">
        <v>7786</v>
      </c>
      <c r="B3" s="29" t="n">
        <v>45323</v>
      </c>
      <c r="C3" s="21" t="s">
        <v>946</v>
      </c>
      <c r="D3" s="30" t="s">
        <v>24</v>
      </c>
      <c r="E3" s="21" t="s">
        <v>34</v>
      </c>
      <c r="F3" s="21" t="s">
        <v>947</v>
      </c>
      <c r="G3" s="30"/>
      <c r="H3" s="31"/>
      <c r="I3" s="31"/>
      <c r="J3" s="21"/>
      <c r="K3" s="21"/>
      <c r="L3" s="21" t="s">
        <v>948</v>
      </c>
      <c r="M3" s="21" t="s">
        <v>949</v>
      </c>
      <c r="N3" s="21"/>
      <c r="O3" s="21" t="s">
        <v>950</v>
      </c>
      <c r="P3" s="30"/>
      <c r="Q3" s="21"/>
      <c r="R3" s="21"/>
      <c r="S3" s="21"/>
      <c r="T3" s="32"/>
      <c r="U3" s="20"/>
      <c r="V3" s="21"/>
      <c r="W3" s="21"/>
      <c r="X3" s="21"/>
      <c r="Y3" s="21"/>
      <c r="Z3" s="21" t="s">
        <v>28</v>
      </c>
      <c r="AA3" s="12" t="s">
        <v>156</v>
      </c>
    </row>
    <row r="4" customFormat="false" ht="15.75" hidden="false" customHeight="false" outlineLevel="0" collapsed="false">
      <c r="A4" s="24" t="n">
        <v>7787</v>
      </c>
      <c r="B4" s="29" t="n">
        <v>45325</v>
      </c>
      <c r="C4" s="21" t="s">
        <v>205</v>
      </c>
      <c r="D4" s="21" t="s">
        <v>24</v>
      </c>
      <c r="E4" s="21" t="s">
        <v>34</v>
      </c>
      <c r="F4" s="21" t="s">
        <v>951</v>
      </c>
      <c r="G4" s="30"/>
      <c r="H4" s="31"/>
      <c r="I4" s="31"/>
      <c r="J4" s="21"/>
      <c r="K4" s="21"/>
      <c r="L4" s="21"/>
      <c r="M4" s="21"/>
      <c r="N4" s="21"/>
      <c r="O4" s="21"/>
      <c r="P4" s="30"/>
      <c r="Q4" s="21"/>
      <c r="R4" s="21"/>
      <c r="T4" s="32"/>
      <c r="U4" s="20"/>
      <c r="V4" s="21"/>
      <c r="W4" s="21"/>
      <c r="X4" s="21"/>
      <c r="Y4" s="21"/>
      <c r="Z4" s="21" t="s">
        <v>28</v>
      </c>
      <c r="AA4" s="12" t="s">
        <v>32</v>
      </c>
    </row>
    <row r="5" customFormat="false" ht="15.75" hidden="false" customHeight="false" outlineLevel="0" collapsed="false">
      <c r="A5" s="24" t="n">
        <v>7788</v>
      </c>
      <c r="B5" s="29" t="n">
        <v>45327</v>
      </c>
      <c r="C5" s="21" t="s">
        <v>188</v>
      </c>
      <c r="D5" s="30" t="s">
        <v>24</v>
      </c>
      <c r="E5" s="21" t="s">
        <v>34</v>
      </c>
      <c r="F5" s="21" t="s">
        <v>952</v>
      </c>
      <c r="G5" s="30"/>
      <c r="H5" s="31"/>
      <c r="I5" s="31"/>
      <c r="J5" s="21"/>
      <c r="K5" s="21"/>
      <c r="L5" s="21"/>
      <c r="N5" s="21"/>
      <c r="O5" s="21"/>
      <c r="P5" s="30"/>
      <c r="Q5" s="21"/>
      <c r="R5" s="21"/>
      <c r="S5" s="21"/>
      <c r="T5" s="32"/>
      <c r="U5" s="32"/>
      <c r="V5" s="21"/>
      <c r="W5" s="21"/>
      <c r="X5" s="21"/>
      <c r="Y5" s="21"/>
      <c r="Z5" s="21" t="s">
        <v>28</v>
      </c>
      <c r="AA5" s="12" t="s">
        <v>32</v>
      </c>
    </row>
    <row r="6" customFormat="false" ht="15.75" hidden="false" customHeight="false" outlineLevel="0" collapsed="false">
      <c r="A6" s="24" t="n">
        <v>7789</v>
      </c>
      <c r="B6" s="29" t="n">
        <v>45327</v>
      </c>
      <c r="C6" s="21" t="s">
        <v>112</v>
      </c>
      <c r="D6" s="21" t="s">
        <v>24</v>
      </c>
      <c r="E6" s="21" t="s">
        <v>34</v>
      </c>
      <c r="F6" s="21" t="s">
        <v>953</v>
      </c>
      <c r="G6" s="30"/>
      <c r="H6" s="31"/>
      <c r="I6" s="31"/>
      <c r="J6" s="21"/>
      <c r="K6" s="21"/>
      <c r="L6" s="21"/>
      <c r="M6" s="21"/>
      <c r="N6" s="21"/>
      <c r="O6" s="21"/>
      <c r="P6" s="30"/>
      <c r="Q6" s="21"/>
      <c r="R6" s="21"/>
      <c r="S6" s="21"/>
      <c r="T6" s="32"/>
      <c r="U6" s="32"/>
      <c r="V6" s="21"/>
      <c r="W6" s="21"/>
      <c r="X6" s="21"/>
      <c r="Y6" s="21"/>
      <c r="Z6" s="21" t="s">
        <v>28</v>
      </c>
      <c r="AA6" s="12" t="s">
        <v>32</v>
      </c>
    </row>
    <row r="7" customFormat="false" ht="15.75" hidden="false" customHeight="false" outlineLevel="0" collapsed="false">
      <c r="A7" s="53" t="n">
        <v>628219</v>
      </c>
      <c r="B7" s="29" t="n">
        <v>45328</v>
      </c>
      <c r="C7" s="21" t="s">
        <v>954</v>
      </c>
      <c r="D7" s="21" t="s">
        <v>290</v>
      </c>
      <c r="E7" s="21" t="s">
        <v>955</v>
      </c>
      <c r="F7" s="21" t="s">
        <v>956</v>
      </c>
      <c r="G7" s="30" t="s">
        <v>957</v>
      </c>
      <c r="H7" s="31" t="s">
        <v>28</v>
      </c>
      <c r="I7" s="31"/>
      <c r="J7" s="21" t="s">
        <v>28</v>
      </c>
      <c r="K7" s="21"/>
      <c r="L7" s="21"/>
      <c r="M7" s="21"/>
      <c r="N7" s="21"/>
      <c r="O7" s="21"/>
      <c r="P7" s="30"/>
      <c r="Q7" s="21"/>
      <c r="R7" s="21"/>
      <c r="S7" s="21"/>
      <c r="T7" s="32"/>
      <c r="U7" s="32"/>
      <c r="V7" s="21"/>
      <c r="W7" s="21"/>
      <c r="X7" s="21"/>
      <c r="Y7" s="21"/>
      <c r="Z7" s="21" t="s">
        <v>37</v>
      </c>
      <c r="AA7" s="12" t="s">
        <v>40</v>
      </c>
    </row>
    <row r="8" customFormat="false" ht="15.75" hidden="false" customHeight="false" outlineLevel="0" collapsed="false">
      <c r="A8" s="53" t="n">
        <v>1350669</v>
      </c>
      <c r="B8" s="29" t="n">
        <v>45328</v>
      </c>
      <c r="C8" s="21" t="s">
        <v>958</v>
      </c>
      <c r="D8" s="21" t="s">
        <v>290</v>
      </c>
      <c r="E8" s="21" t="s">
        <v>955</v>
      </c>
      <c r="F8" s="21" t="s">
        <v>959</v>
      </c>
      <c r="G8" s="30" t="s">
        <v>960</v>
      </c>
      <c r="H8" s="45" t="s">
        <v>28</v>
      </c>
      <c r="I8" s="31"/>
      <c r="J8" s="21" t="s">
        <v>28</v>
      </c>
      <c r="K8" s="21"/>
      <c r="L8" s="21"/>
      <c r="M8" s="21"/>
      <c r="N8" s="21"/>
      <c r="O8" s="21"/>
      <c r="P8" s="30"/>
      <c r="Q8" s="21"/>
      <c r="R8" s="21"/>
      <c r="S8" s="21"/>
      <c r="T8" s="32"/>
      <c r="U8" s="32"/>
      <c r="V8" s="21" t="s">
        <v>74</v>
      </c>
      <c r="W8" s="46" t="s">
        <v>28</v>
      </c>
      <c r="X8" s="46" t="s">
        <v>28</v>
      </c>
      <c r="Y8" s="21" t="s">
        <v>36</v>
      </c>
      <c r="Z8" s="21" t="s">
        <v>28</v>
      </c>
      <c r="AA8" s="12" t="s">
        <v>32</v>
      </c>
    </row>
    <row r="9" customFormat="false" ht="15.75" hidden="false" customHeight="false" outlineLevel="0" collapsed="false">
      <c r="A9" s="24" t="n">
        <v>7790</v>
      </c>
      <c r="B9" s="29" t="n">
        <v>45330</v>
      </c>
      <c r="C9" s="21" t="s">
        <v>961</v>
      </c>
      <c r="D9" s="21" t="s">
        <v>24</v>
      </c>
      <c r="E9" s="21" t="s">
        <v>955</v>
      </c>
      <c r="F9" s="21" t="s">
        <v>962</v>
      </c>
      <c r="G9" s="30" t="s">
        <v>963</v>
      </c>
      <c r="H9" s="31" t="s">
        <v>28</v>
      </c>
      <c r="I9" s="31"/>
      <c r="J9" s="21"/>
      <c r="K9" s="21"/>
      <c r="L9" s="21"/>
      <c r="M9" s="21"/>
      <c r="N9" s="21"/>
      <c r="O9" s="21"/>
      <c r="P9" s="30"/>
      <c r="Q9" s="21"/>
      <c r="R9" s="21"/>
      <c r="S9" s="21"/>
      <c r="T9" s="32"/>
      <c r="U9" s="32"/>
      <c r="V9" s="21"/>
      <c r="W9" s="21"/>
      <c r="X9" s="21"/>
      <c r="Y9" s="21"/>
      <c r="Z9" s="21" t="s">
        <v>28</v>
      </c>
      <c r="AA9" s="12" t="s">
        <v>32</v>
      </c>
    </row>
    <row r="10" customFormat="false" ht="15.75" hidden="false" customHeight="false" outlineLevel="0" collapsed="false">
      <c r="A10" s="24" t="n">
        <v>7791</v>
      </c>
      <c r="B10" s="29" t="n">
        <v>45330</v>
      </c>
      <c r="C10" s="21" t="s">
        <v>964</v>
      </c>
      <c r="D10" s="21" t="s">
        <v>24</v>
      </c>
      <c r="E10" s="21" t="s">
        <v>955</v>
      </c>
      <c r="F10" s="21" t="s">
        <v>965</v>
      </c>
      <c r="G10" s="30" t="s">
        <v>966</v>
      </c>
      <c r="H10" s="31" t="s">
        <v>28</v>
      </c>
      <c r="I10" s="31"/>
      <c r="J10" s="21"/>
      <c r="K10" s="21"/>
      <c r="L10" s="21"/>
      <c r="M10" s="21"/>
      <c r="N10" s="21"/>
      <c r="O10" s="21"/>
      <c r="P10" s="30"/>
      <c r="Q10" s="21"/>
      <c r="R10" s="21"/>
      <c r="S10" s="21"/>
      <c r="T10" s="32"/>
      <c r="U10" s="32"/>
      <c r="V10" s="21" t="s">
        <v>74</v>
      </c>
      <c r="W10" s="46" t="s">
        <v>28</v>
      </c>
      <c r="X10" s="46" t="s">
        <v>28</v>
      </c>
      <c r="Y10" s="21" t="s">
        <v>36</v>
      </c>
      <c r="Z10" s="21" t="s">
        <v>28</v>
      </c>
      <c r="AA10" s="12" t="s">
        <v>32</v>
      </c>
    </row>
    <row r="11" customFormat="false" ht="15.75" hidden="false" customHeight="false" outlineLevel="0" collapsed="false">
      <c r="A11" s="24" t="n">
        <v>7792</v>
      </c>
      <c r="B11" s="29" t="n">
        <v>45330</v>
      </c>
      <c r="C11" s="21" t="s">
        <v>967</v>
      </c>
      <c r="D11" s="21" t="s">
        <v>24</v>
      </c>
      <c r="E11" s="21" t="s">
        <v>968</v>
      </c>
      <c r="F11" s="21" t="s">
        <v>965</v>
      </c>
      <c r="G11" s="30" t="s">
        <v>966</v>
      </c>
      <c r="H11" s="31" t="s">
        <v>28</v>
      </c>
      <c r="I11" s="31"/>
      <c r="J11" s="21"/>
      <c r="K11" s="21"/>
      <c r="L11" s="21"/>
      <c r="M11" s="21"/>
      <c r="N11" s="21"/>
      <c r="O11" s="21"/>
      <c r="P11" s="30"/>
      <c r="Q11" s="21"/>
      <c r="R11" s="21"/>
      <c r="S11" s="21"/>
      <c r="T11" s="32"/>
      <c r="U11" s="32"/>
      <c r="V11" s="21" t="s">
        <v>74</v>
      </c>
      <c r="W11" s="46" t="s">
        <v>28</v>
      </c>
      <c r="X11" s="46" t="s">
        <v>28</v>
      </c>
      <c r="Y11" s="21" t="s">
        <v>36</v>
      </c>
      <c r="Z11" s="21" t="s">
        <v>28</v>
      </c>
      <c r="AA11" s="12" t="s">
        <v>32</v>
      </c>
    </row>
    <row r="12" customFormat="false" ht="15.75" hidden="false" customHeight="false" outlineLevel="0" collapsed="false">
      <c r="A12" s="24" t="n">
        <v>7793</v>
      </c>
      <c r="B12" s="29" t="n">
        <v>45336</v>
      </c>
      <c r="C12" s="21" t="s">
        <v>465</v>
      </c>
      <c r="D12" s="21" t="s">
        <v>24</v>
      </c>
      <c r="E12" s="21" t="s">
        <v>25</v>
      </c>
      <c r="F12" s="21" t="s">
        <v>969</v>
      </c>
      <c r="G12" s="30" t="s">
        <v>970</v>
      </c>
      <c r="H12" s="45" t="s">
        <v>28</v>
      </c>
      <c r="I12" s="31"/>
      <c r="J12" s="21" t="s">
        <v>37</v>
      </c>
      <c r="K12" s="21"/>
      <c r="L12" s="21"/>
      <c r="M12" s="21"/>
      <c r="N12" s="21"/>
      <c r="O12" s="21"/>
      <c r="P12" s="30"/>
      <c r="Q12" s="21"/>
      <c r="R12" s="21"/>
      <c r="S12" s="21"/>
      <c r="T12" s="32"/>
      <c r="U12" s="32"/>
      <c r="V12" s="21"/>
      <c r="W12" s="21"/>
      <c r="X12" s="21"/>
      <c r="Y12" s="21"/>
      <c r="Z12" s="21" t="s">
        <v>28</v>
      </c>
      <c r="AA12" s="12" t="s">
        <v>32</v>
      </c>
    </row>
    <row r="13" customFormat="false" ht="15.75" hidden="false" customHeight="false" outlineLevel="0" collapsed="false">
      <c r="A13" s="24" t="n">
        <v>7794</v>
      </c>
      <c r="B13" s="29" t="n">
        <v>45337</v>
      </c>
      <c r="C13" s="21" t="s">
        <v>357</v>
      </c>
      <c r="D13" s="21" t="s">
        <v>24</v>
      </c>
      <c r="E13" s="21" t="s">
        <v>34</v>
      </c>
      <c r="F13" s="21" t="s">
        <v>971</v>
      </c>
      <c r="G13" s="30" t="s">
        <v>36</v>
      </c>
      <c r="H13" s="31"/>
      <c r="I13" s="31"/>
      <c r="J13" s="21"/>
      <c r="K13" s="21"/>
      <c r="L13" s="21"/>
      <c r="M13" s="21"/>
      <c r="N13" s="21"/>
      <c r="O13" s="21"/>
      <c r="P13" s="30"/>
      <c r="Q13" s="21"/>
      <c r="R13" s="21"/>
      <c r="S13" s="21"/>
      <c r="T13" s="32"/>
      <c r="U13" s="32"/>
      <c r="V13" s="21"/>
      <c r="W13" s="21"/>
      <c r="X13" s="21"/>
      <c r="Y13" s="21"/>
      <c r="Z13" s="21" t="s">
        <v>28</v>
      </c>
      <c r="AA13" s="12" t="s">
        <v>156</v>
      </c>
    </row>
    <row r="14" customFormat="false" ht="15.75" hidden="false" customHeight="false" outlineLevel="0" collapsed="false">
      <c r="A14" s="24" t="n">
        <v>7795</v>
      </c>
      <c r="B14" s="29" t="n">
        <v>45337</v>
      </c>
      <c r="C14" s="21" t="s">
        <v>776</v>
      </c>
      <c r="D14" s="21" t="s">
        <v>24</v>
      </c>
      <c r="E14" s="21" t="s">
        <v>34</v>
      </c>
      <c r="F14" s="21" t="s">
        <v>972</v>
      </c>
      <c r="G14" s="30" t="s">
        <v>36</v>
      </c>
      <c r="H14" s="31" t="s">
        <v>37</v>
      </c>
      <c r="I14" s="31"/>
      <c r="J14" s="21"/>
      <c r="K14" s="21"/>
      <c r="L14" s="21"/>
      <c r="M14" s="21"/>
      <c r="N14" s="21"/>
      <c r="O14" s="21"/>
      <c r="P14" s="30"/>
      <c r="Q14" s="21"/>
      <c r="R14" s="21"/>
      <c r="S14" s="21"/>
      <c r="T14" s="32"/>
      <c r="U14" s="32"/>
      <c r="V14" s="21"/>
      <c r="W14" s="21"/>
      <c r="X14" s="21"/>
      <c r="Y14" s="21"/>
      <c r="Z14" s="21" t="s">
        <v>28</v>
      </c>
      <c r="AA14" s="12" t="s">
        <v>32</v>
      </c>
    </row>
    <row r="15" customFormat="false" ht="15.75" hidden="false" customHeight="false" outlineLevel="0" collapsed="false">
      <c r="A15" s="24" t="n">
        <v>7796</v>
      </c>
      <c r="B15" s="29" t="n">
        <v>45337</v>
      </c>
      <c r="C15" s="21" t="s">
        <v>776</v>
      </c>
      <c r="D15" s="21" t="s">
        <v>24</v>
      </c>
      <c r="E15" s="21" t="s">
        <v>34</v>
      </c>
      <c r="F15" s="21" t="s">
        <v>972</v>
      </c>
      <c r="G15" s="30" t="s">
        <v>36</v>
      </c>
      <c r="H15" s="31" t="s">
        <v>37</v>
      </c>
      <c r="I15" s="31"/>
      <c r="J15" s="21"/>
      <c r="K15" s="21"/>
      <c r="L15" s="21"/>
      <c r="M15" s="21"/>
      <c r="N15" s="21"/>
      <c r="O15" s="21"/>
      <c r="P15" s="30"/>
      <c r="Q15" s="21"/>
      <c r="R15" s="21"/>
      <c r="S15" s="21"/>
      <c r="T15" s="32"/>
      <c r="U15" s="32"/>
      <c r="V15" s="21"/>
      <c r="W15" s="21"/>
      <c r="X15" s="21"/>
      <c r="Y15" s="21"/>
      <c r="Z15" s="21" t="s">
        <v>28</v>
      </c>
      <c r="AA15" s="12" t="s">
        <v>32</v>
      </c>
    </row>
    <row r="16" customFormat="false" ht="15.75" hidden="false" customHeight="false" outlineLevel="0" collapsed="false">
      <c r="A16" s="24" t="n">
        <v>7797</v>
      </c>
      <c r="B16" s="29" t="n">
        <v>45337</v>
      </c>
      <c r="C16" s="21" t="s">
        <v>776</v>
      </c>
      <c r="D16" s="21" t="s">
        <v>24</v>
      </c>
      <c r="E16" s="21" t="s">
        <v>34</v>
      </c>
      <c r="F16" s="21" t="s">
        <v>973</v>
      </c>
      <c r="G16" s="30" t="s">
        <v>36</v>
      </c>
      <c r="H16" s="31" t="s">
        <v>37</v>
      </c>
      <c r="I16" s="31"/>
      <c r="J16" s="21"/>
      <c r="K16" s="21"/>
      <c r="L16" s="21"/>
      <c r="M16" s="21"/>
      <c r="N16" s="21"/>
      <c r="O16" s="21"/>
      <c r="P16" s="30"/>
      <c r="Q16" s="21"/>
      <c r="R16" s="21"/>
      <c r="S16" s="21"/>
      <c r="T16" s="32"/>
      <c r="U16" s="32"/>
      <c r="V16" s="21"/>
      <c r="W16" s="21"/>
      <c r="X16" s="21"/>
      <c r="Y16" s="21"/>
      <c r="Z16" s="21" t="s">
        <v>28</v>
      </c>
      <c r="AA16" s="12" t="s">
        <v>32</v>
      </c>
    </row>
    <row r="17" customFormat="false" ht="15.75" hidden="false" customHeight="false" outlineLevel="0" collapsed="false">
      <c r="A17" s="24" t="n">
        <v>7798</v>
      </c>
      <c r="B17" s="29" t="n">
        <v>45337</v>
      </c>
      <c r="C17" s="21" t="s">
        <v>776</v>
      </c>
      <c r="D17" s="21" t="s">
        <v>24</v>
      </c>
      <c r="E17" s="21" t="s">
        <v>34</v>
      </c>
      <c r="F17" s="21" t="s">
        <v>974</v>
      </c>
      <c r="G17" s="30" t="s">
        <v>36</v>
      </c>
      <c r="H17" s="31" t="s">
        <v>37</v>
      </c>
      <c r="I17" s="31"/>
      <c r="J17" s="21"/>
      <c r="K17" s="21"/>
      <c r="L17" s="21"/>
      <c r="M17" s="21"/>
      <c r="N17" s="21"/>
      <c r="O17" s="21"/>
      <c r="P17" s="30"/>
      <c r="Q17" s="21"/>
      <c r="R17" s="21"/>
      <c r="S17" s="21"/>
      <c r="T17" s="32"/>
      <c r="U17" s="32"/>
      <c r="V17" s="21"/>
      <c r="W17" s="21"/>
      <c r="X17" s="21"/>
      <c r="Y17" s="21"/>
      <c r="Z17" s="21" t="s">
        <v>28</v>
      </c>
      <c r="AA17" s="12" t="s">
        <v>32</v>
      </c>
    </row>
    <row r="18" customFormat="false" ht="15.75" hidden="false" customHeight="false" outlineLevel="0" collapsed="false">
      <c r="A18" s="24" t="n">
        <v>7799</v>
      </c>
      <c r="B18" s="29" t="n">
        <v>45338</v>
      </c>
      <c r="C18" s="21" t="s">
        <v>975</v>
      </c>
      <c r="D18" s="21" t="s">
        <v>24</v>
      </c>
      <c r="E18" s="21" t="s">
        <v>25</v>
      </c>
      <c r="F18" s="21" t="s">
        <v>976</v>
      </c>
      <c r="G18" s="30" t="s">
        <v>977</v>
      </c>
      <c r="H18" s="45" t="s">
        <v>28</v>
      </c>
      <c r="I18" s="31"/>
      <c r="J18" s="21" t="s">
        <v>28</v>
      </c>
      <c r="K18" s="21" t="s">
        <v>978</v>
      </c>
      <c r="L18" s="21" t="n">
        <v>3541641149</v>
      </c>
      <c r="M18" s="21" t="s">
        <v>979</v>
      </c>
      <c r="N18" s="21"/>
      <c r="O18" s="21"/>
      <c r="P18" s="30"/>
      <c r="Q18" s="21"/>
      <c r="R18" s="21"/>
      <c r="S18" s="21"/>
      <c r="T18" s="32"/>
      <c r="U18" s="32"/>
      <c r="V18" s="21"/>
      <c r="W18" s="21"/>
      <c r="X18" s="21"/>
      <c r="Y18" s="21"/>
      <c r="Z18" s="21" t="s">
        <v>28</v>
      </c>
      <c r="AA18" s="12" t="s">
        <v>32</v>
      </c>
    </row>
    <row r="19" customFormat="false" ht="15.75" hidden="false" customHeight="false" outlineLevel="0" collapsed="false">
      <c r="A19" s="24" t="n">
        <v>7800</v>
      </c>
      <c r="B19" s="54" t="n">
        <v>45341</v>
      </c>
      <c r="C19" s="21" t="s">
        <v>980</v>
      </c>
      <c r="D19" s="21" t="s">
        <v>24</v>
      </c>
      <c r="E19" s="21" t="s">
        <v>25</v>
      </c>
      <c r="F19" s="21" t="s">
        <v>981</v>
      </c>
      <c r="G19" s="30"/>
      <c r="H19" s="31"/>
      <c r="I19" s="31"/>
      <c r="J19" s="21"/>
      <c r="K19" s="21"/>
      <c r="L19" s="21"/>
      <c r="M19" s="21"/>
      <c r="N19" s="21"/>
      <c r="O19" s="21"/>
      <c r="P19" s="30"/>
      <c r="Q19" s="21"/>
      <c r="R19" s="21"/>
      <c r="S19" s="21"/>
      <c r="T19" s="32"/>
      <c r="U19" s="32"/>
      <c r="V19" s="21"/>
      <c r="W19" s="21"/>
      <c r="X19" s="21"/>
      <c r="Y19" s="21"/>
      <c r="Z19" s="21" t="s">
        <v>28</v>
      </c>
      <c r="AA19" s="12" t="s">
        <v>32</v>
      </c>
    </row>
    <row r="20" customFormat="false" ht="15.75" hidden="false" customHeight="false" outlineLevel="0" collapsed="false">
      <c r="A20" s="24" t="n">
        <v>7801</v>
      </c>
      <c r="B20" s="29" t="n">
        <v>45343</v>
      </c>
      <c r="C20" s="21" t="s">
        <v>593</v>
      </c>
      <c r="D20" s="21" t="s">
        <v>24</v>
      </c>
      <c r="E20" s="21" t="s">
        <v>25</v>
      </c>
      <c r="F20" s="21" t="s">
        <v>817</v>
      </c>
      <c r="G20" s="30" t="s">
        <v>982</v>
      </c>
      <c r="H20" s="45" t="s">
        <v>28</v>
      </c>
      <c r="I20" s="31"/>
      <c r="J20" s="21" t="s">
        <v>28</v>
      </c>
      <c r="K20" s="21" t="s">
        <v>29</v>
      </c>
      <c r="L20" s="21" t="s">
        <v>29</v>
      </c>
      <c r="M20" s="21" t="s">
        <v>29</v>
      </c>
      <c r="N20" s="21" t="s">
        <v>29</v>
      </c>
      <c r="O20" s="21"/>
      <c r="P20" s="30"/>
      <c r="Q20" s="21"/>
      <c r="R20" s="21"/>
      <c r="S20" s="21"/>
      <c r="T20" s="32"/>
      <c r="U20" s="32"/>
      <c r="V20" s="21"/>
      <c r="W20" s="21"/>
      <c r="X20" s="21"/>
      <c r="Y20" s="21"/>
      <c r="Z20" s="21" t="s">
        <v>37</v>
      </c>
      <c r="AA20" s="12" t="s">
        <v>40</v>
      </c>
    </row>
    <row r="21" customFormat="false" ht="15.75" hidden="false" customHeight="false" outlineLevel="0" collapsed="false">
      <c r="A21" s="24" t="n">
        <v>7802</v>
      </c>
      <c r="B21" s="29" t="n">
        <v>45344</v>
      </c>
      <c r="C21" s="20" t="s">
        <v>499</v>
      </c>
      <c r="D21" s="21" t="s">
        <v>24</v>
      </c>
      <c r="E21" s="21" t="s">
        <v>25</v>
      </c>
      <c r="F21" s="21" t="s">
        <v>983</v>
      </c>
      <c r="G21" s="30" t="s">
        <v>984</v>
      </c>
      <c r="H21" s="45" t="s">
        <v>28</v>
      </c>
      <c r="I21" s="31"/>
      <c r="J21" s="21" t="s">
        <v>28</v>
      </c>
      <c r="K21" s="21" t="n">
        <v>30695542476</v>
      </c>
      <c r="L21" s="21" t="s">
        <v>29</v>
      </c>
      <c r="M21" s="21" t="s">
        <v>29</v>
      </c>
      <c r="N21" s="21" t="s">
        <v>985</v>
      </c>
      <c r="O21" s="21"/>
      <c r="P21" s="30"/>
      <c r="Q21" s="21"/>
      <c r="R21" s="21"/>
      <c r="S21" s="21"/>
      <c r="T21" s="32"/>
      <c r="U21" s="32"/>
      <c r="V21" s="21" t="s">
        <v>74</v>
      </c>
      <c r="W21" s="46" t="s">
        <v>28</v>
      </c>
      <c r="X21" s="46" t="s">
        <v>28</v>
      </c>
      <c r="Y21" s="21" t="s">
        <v>36</v>
      </c>
      <c r="Z21" s="21" t="s">
        <v>28</v>
      </c>
      <c r="AA21" s="12" t="s">
        <v>32</v>
      </c>
    </row>
    <row r="22" customFormat="false" ht="15.75" hidden="false" customHeight="false" outlineLevel="0" collapsed="false">
      <c r="A22" s="24" t="n">
        <v>7803</v>
      </c>
      <c r="B22" s="29" t="n">
        <v>45344</v>
      </c>
      <c r="C22" s="21" t="s">
        <v>499</v>
      </c>
      <c r="D22" s="21" t="s">
        <v>24</v>
      </c>
      <c r="E22" s="21" t="s">
        <v>25</v>
      </c>
      <c r="F22" s="21" t="s">
        <v>986</v>
      </c>
      <c r="G22" s="30" t="s">
        <v>987</v>
      </c>
      <c r="H22" s="45" t="s">
        <v>28</v>
      </c>
      <c r="I22" s="31"/>
      <c r="J22" s="21" t="s">
        <v>28</v>
      </c>
      <c r="K22" s="21" t="n">
        <v>30695542476</v>
      </c>
      <c r="L22" s="21" t="s">
        <v>29</v>
      </c>
      <c r="M22" s="21" t="s">
        <v>29</v>
      </c>
      <c r="N22" s="21" t="s">
        <v>985</v>
      </c>
      <c r="O22" s="21"/>
      <c r="P22" s="30"/>
      <c r="Q22" s="21"/>
      <c r="R22" s="21"/>
      <c r="S22" s="21"/>
      <c r="T22" s="32"/>
      <c r="U22" s="32"/>
      <c r="V22" s="21" t="s">
        <v>74</v>
      </c>
      <c r="W22" s="46" t="s">
        <v>28</v>
      </c>
      <c r="X22" s="46" t="s">
        <v>28</v>
      </c>
      <c r="Y22" s="21" t="s">
        <v>36</v>
      </c>
      <c r="Z22" s="21" t="s">
        <v>28</v>
      </c>
      <c r="AA22" s="12" t="s">
        <v>32</v>
      </c>
    </row>
    <row r="23" customFormat="false" ht="15.75" hidden="false" customHeight="false" outlineLevel="0" collapsed="false">
      <c r="A23" s="24" t="n">
        <v>7804</v>
      </c>
      <c r="B23" s="29" t="n">
        <v>45344</v>
      </c>
      <c r="C23" s="21" t="s">
        <v>789</v>
      </c>
      <c r="D23" s="21" t="s">
        <v>24</v>
      </c>
      <c r="E23" s="21" t="s">
        <v>25</v>
      </c>
      <c r="F23" s="21" t="s">
        <v>988</v>
      </c>
      <c r="G23" s="30" t="s">
        <v>989</v>
      </c>
      <c r="H23" s="45" t="s">
        <v>28</v>
      </c>
      <c r="I23" s="31"/>
      <c r="J23" s="21" t="s">
        <v>28</v>
      </c>
      <c r="K23" s="21" t="n">
        <v>30695542476</v>
      </c>
      <c r="L23" s="21" t="s">
        <v>29</v>
      </c>
      <c r="M23" s="21" t="s">
        <v>29</v>
      </c>
      <c r="N23" s="21" t="s">
        <v>985</v>
      </c>
      <c r="O23" s="21"/>
      <c r="P23" s="30"/>
      <c r="Q23" s="21"/>
      <c r="R23" s="21"/>
      <c r="S23" s="21"/>
      <c r="T23" s="32"/>
      <c r="U23" s="32"/>
      <c r="V23" s="21" t="s">
        <v>74</v>
      </c>
      <c r="W23" s="46" t="s">
        <v>28</v>
      </c>
      <c r="X23" s="46" t="s">
        <v>28</v>
      </c>
      <c r="Y23" s="21" t="s">
        <v>36</v>
      </c>
      <c r="Z23" s="21" t="s">
        <v>28</v>
      </c>
      <c r="AA23" s="12" t="s">
        <v>32</v>
      </c>
    </row>
    <row r="24" customFormat="false" ht="15.75" hidden="false" customHeight="false" outlineLevel="0" collapsed="false">
      <c r="A24" s="24" t="n">
        <v>7805</v>
      </c>
      <c r="B24" s="29" t="n">
        <v>45344</v>
      </c>
      <c r="C24" s="21" t="s">
        <v>789</v>
      </c>
      <c r="D24" s="21" t="s">
        <v>24</v>
      </c>
      <c r="E24" s="21" t="s">
        <v>25</v>
      </c>
      <c r="F24" s="21" t="s">
        <v>635</v>
      </c>
      <c r="G24" s="30" t="s">
        <v>990</v>
      </c>
      <c r="H24" s="45" t="s">
        <v>28</v>
      </c>
      <c r="I24" s="31"/>
      <c r="J24" s="21" t="s">
        <v>28</v>
      </c>
      <c r="K24" s="21" t="n">
        <v>30695542476</v>
      </c>
      <c r="L24" s="21" t="s">
        <v>29</v>
      </c>
      <c r="M24" s="21" t="s">
        <v>29</v>
      </c>
      <c r="N24" s="21" t="s">
        <v>985</v>
      </c>
      <c r="O24" s="21"/>
      <c r="P24" s="30"/>
      <c r="Q24" s="21"/>
      <c r="R24" s="21"/>
      <c r="S24" s="21"/>
      <c r="T24" s="32"/>
      <c r="U24" s="32"/>
      <c r="V24" s="21" t="s">
        <v>74</v>
      </c>
      <c r="W24" s="46" t="s">
        <v>28</v>
      </c>
      <c r="X24" s="46" t="s">
        <v>28</v>
      </c>
      <c r="Y24" s="21" t="s">
        <v>36</v>
      </c>
      <c r="Z24" s="21" t="s">
        <v>28</v>
      </c>
      <c r="AA24" s="12" t="s">
        <v>32</v>
      </c>
    </row>
    <row r="25" customFormat="false" ht="15.75" hidden="false" customHeight="false" outlineLevel="0" collapsed="false">
      <c r="A25" s="24" t="n">
        <v>7806</v>
      </c>
      <c r="B25" s="29" t="n">
        <v>45344</v>
      </c>
      <c r="C25" s="21" t="s">
        <v>571</v>
      </c>
      <c r="D25" s="21" t="s">
        <v>24</v>
      </c>
      <c r="E25" s="21" t="s">
        <v>25</v>
      </c>
      <c r="F25" s="21" t="s">
        <v>767</v>
      </c>
      <c r="G25" s="30" t="s">
        <v>991</v>
      </c>
      <c r="H25" s="45" t="s">
        <v>28</v>
      </c>
      <c r="I25" s="31"/>
      <c r="J25" s="21" t="s">
        <v>28</v>
      </c>
      <c r="K25" s="21" t="s">
        <v>29</v>
      </c>
      <c r="L25" s="21" t="s">
        <v>29</v>
      </c>
      <c r="M25" s="21" t="s">
        <v>29</v>
      </c>
      <c r="N25" s="21" t="n">
        <v>22047</v>
      </c>
      <c r="O25" s="21"/>
      <c r="P25" s="30"/>
      <c r="Q25" s="21"/>
      <c r="R25" s="21"/>
      <c r="S25" s="21"/>
      <c r="T25" s="32"/>
      <c r="U25" s="32"/>
      <c r="V25" s="21" t="s">
        <v>74</v>
      </c>
      <c r="W25" s="46" t="s">
        <v>28</v>
      </c>
      <c r="X25" s="46" t="s">
        <v>28</v>
      </c>
      <c r="Y25" s="21" t="s">
        <v>36</v>
      </c>
      <c r="Z25" s="21" t="s">
        <v>28</v>
      </c>
      <c r="AA25" s="12" t="s">
        <v>32</v>
      </c>
    </row>
    <row r="26" customFormat="false" ht="15.75" hidden="false" customHeight="false" outlineLevel="0" collapsed="false">
      <c r="A26" s="24" t="n">
        <v>7807</v>
      </c>
      <c r="B26" s="29" t="n">
        <v>45344</v>
      </c>
      <c r="C26" s="21" t="s">
        <v>571</v>
      </c>
      <c r="D26" s="21" t="s">
        <v>24</v>
      </c>
      <c r="E26" s="21" t="s">
        <v>25</v>
      </c>
      <c r="F26" s="21" t="s">
        <v>804</v>
      </c>
      <c r="G26" s="30" t="s">
        <v>992</v>
      </c>
      <c r="H26" s="45" t="s">
        <v>28</v>
      </c>
      <c r="I26" s="31"/>
      <c r="J26" s="21" t="s">
        <v>28</v>
      </c>
      <c r="K26" s="21" t="s">
        <v>29</v>
      </c>
      <c r="L26" s="21" t="s">
        <v>29</v>
      </c>
      <c r="M26" s="21" t="s">
        <v>29</v>
      </c>
      <c r="N26" s="21" t="n">
        <v>22047</v>
      </c>
      <c r="O26" s="21"/>
      <c r="P26" s="30"/>
      <c r="Q26" s="21"/>
      <c r="R26" s="21"/>
      <c r="S26" s="21"/>
      <c r="T26" s="32"/>
      <c r="U26" s="32"/>
      <c r="V26" s="21" t="s">
        <v>74</v>
      </c>
      <c r="W26" s="46" t="s">
        <v>28</v>
      </c>
      <c r="X26" s="46" t="s">
        <v>28</v>
      </c>
      <c r="Y26" s="21" t="s">
        <v>36</v>
      </c>
      <c r="Z26" s="21" t="s">
        <v>28</v>
      </c>
      <c r="AA26" s="12" t="s">
        <v>32</v>
      </c>
    </row>
    <row r="27" customFormat="false" ht="15.75" hidden="false" customHeight="false" outlineLevel="0" collapsed="false">
      <c r="A27" s="53" t="n">
        <v>546830</v>
      </c>
      <c r="B27" s="29" t="n">
        <v>45344</v>
      </c>
      <c r="C27" s="21" t="s">
        <v>38</v>
      </c>
      <c r="D27" s="21" t="s">
        <v>290</v>
      </c>
      <c r="E27" s="21" t="s">
        <v>34</v>
      </c>
      <c r="F27" s="21" t="s">
        <v>993</v>
      </c>
      <c r="G27" s="30"/>
      <c r="H27" s="31"/>
      <c r="I27" s="31"/>
      <c r="J27" s="21"/>
      <c r="K27" s="21"/>
      <c r="L27" s="21"/>
      <c r="M27" s="21"/>
      <c r="N27" s="21"/>
      <c r="O27" s="21"/>
      <c r="P27" s="30"/>
      <c r="Q27" s="21"/>
      <c r="R27" s="21"/>
      <c r="S27" s="21"/>
      <c r="T27" s="32"/>
      <c r="U27" s="20"/>
      <c r="V27" s="21"/>
      <c r="W27" s="21"/>
      <c r="X27" s="21"/>
      <c r="Y27" s="21"/>
      <c r="Z27" s="21" t="s">
        <v>28</v>
      </c>
      <c r="AA27" s="12" t="s">
        <v>32</v>
      </c>
    </row>
    <row r="28" customFormat="false" ht="15.75" hidden="false" customHeight="false" outlineLevel="0" collapsed="false">
      <c r="A28" s="24" t="n">
        <v>7808</v>
      </c>
      <c r="B28" s="54" t="n">
        <v>45345</v>
      </c>
      <c r="C28" s="12" t="s">
        <v>776</v>
      </c>
      <c r="D28" s="21" t="s">
        <v>24</v>
      </c>
      <c r="E28" s="21" t="s">
        <v>25</v>
      </c>
      <c r="F28" s="21" t="s">
        <v>994</v>
      </c>
      <c r="G28" s="30"/>
      <c r="H28" s="45" t="s">
        <v>28</v>
      </c>
      <c r="I28" s="31"/>
      <c r="J28" s="21" t="s">
        <v>28</v>
      </c>
      <c r="K28" s="21" t="s">
        <v>29</v>
      </c>
      <c r="L28" s="21" t="s">
        <v>29</v>
      </c>
      <c r="M28" s="21" t="s">
        <v>29</v>
      </c>
      <c r="N28" s="21"/>
      <c r="O28" s="21"/>
      <c r="P28" s="30"/>
      <c r="Q28" s="21"/>
      <c r="R28" s="21"/>
      <c r="S28" s="21"/>
      <c r="T28" s="32"/>
      <c r="U28" s="32"/>
      <c r="V28" s="21"/>
      <c r="W28" s="21"/>
      <c r="X28" s="21"/>
      <c r="Y28" s="21"/>
      <c r="Z28" s="21" t="s">
        <v>28</v>
      </c>
      <c r="AA28" s="12" t="s">
        <v>32</v>
      </c>
    </row>
    <row r="29" customFormat="false" ht="15.75" hidden="false" customHeight="false" outlineLevel="0" collapsed="false">
      <c r="A29" s="24" t="n">
        <v>7809</v>
      </c>
      <c r="B29" s="54" t="n">
        <v>45345</v>
      </c>
      <c r="C29" s="21" t="s">
        <v>465</v>
      </c>
      <c r="D29" s="21" t="s">
        <v>24</v>
      </c>
      <c r="E29" s="21" t="s">
        <v>25</v>
      </c>
      <c r="F29" s="21" t="s">
        <v>995</v>
      </c>
      <c r="G29" s="30"/>
      <c r="H29" s="45" t="s">
        <v>28</v>
      </c>
      <c r="I29" s="31"/>
      <c r="J29" s="21" t="s">
        <v>28</v>
      </c>
      <c r="K29" s="21" t="s">
        <v>29</v>
      </c>
      <c r="L29" s="21" t="s">
        <v>29</v>
      </c>
      <c r="M29" s="21" t="s">
        <v>29</v>
      </c>
      <c r="N29" s="21"/>
      <c r="O29" s="21"/>
      <c r="P29" s="30"/>
      <c r="Q29" s="21"/>
      <c r="R29" s="21"/>
      <c r="S29" s="21"/>
      <c r="T29" s="32"/>
      <c r="U29" s="32"/>
      <c r="V29" s="21"/>
      <c r="W29" s="21"/>
      <c r="X29" s="21"/>
      <c r="Y29" s="21"/>
      <c r="Z29" s="21" t="s">
        <v>28</v>
      </c>
      <c r="AA29" s="12" t="s">
        <v>32</v>
      </c>
    </row>
    <row r="30" customFormat="false" ht="15.75" hidden="false" customHeight="false" outlineLevel="0" collapsed="false">
      <c r="A30" s="24" t="n">
        <v>7810</v>
      </c>
      <c r="B30" s="29" t="n">
        <v>45348</v>
      </c>
      <c r="C30" s="21" t="s">
        <v>773</v>
      </c>
      <c r="D30" s="21" t="s">
        <v>24</v>
      </c>
      <c r="E30" s="21" t="s">
        <v>25</v>
      </c>
      <c r="F30" s="21" t="s">
        <v>996</v>
      </c>
      <c r="G30" s="30"/>
      <c r="H30" s="45" t="s">
        <v>28</v>
      </c>
      <c r="I30" s="31"/>
      <c r="J30" s="21" t="s">
        <v>28</v>
      </c>
      <c r="K30" s="21"/>
      <c r="L30" s="21"/>
      <c r="M30" s="21"/>
      <c r="N30" s="21" t="n">
        <v>7346</v>
      </c>
      <c r="O30" s="21"/>
      <c r="P30" s="30"/>
      <c r="Q30" s="21"/>
      <c r="R30" s="21"/>
      <c r="S30" s="21"/>
      <c r="T30" s="32"/>
      <c r="U30" s="32"/>
      <c r="V30" s="21"/>
      <c r="W30" s="21"/>
      <c r="X30" s="21"/>
      <c r="Y30" s="21"/>
      <c r="Z30" s="21" t="s">
        <v>28</v>
      </c>
      <c r="AA30" s="12" t="s">
        <v>32</v>
      </c>
    </row>
    <row r="31" customFormat="false" ht="15.75" hidden="false" customHeight="false" outlineLevel="0" collapsed="false">
      <c r="A31" s="24" t="n">
        <v>7811</v>
      </c>
      <c r="B31" s="29" t="n">
        <v>45348</v>
      </c>
      <c r="C31" s="21" t="s">
        <v>773</v>
      </c>
      <c r="D31" s="21" t="s">
        <v>24</v>
      </c>
      <c r="E31" s="21" t="s">
        <v>25</v>
      </c>
      <c r="F31" s="21" t="s">
        <v>996</v>
      </c>
      <c r="G31" s="30"/>
      <c r="H31" s="45" t="s">
        <v>28</v>
      </c>
      <c r="I31" s="31"/>
      <c r="J31" s="21" t="s">
        <v>28</v>
      </c>
      <c r="K31" s="21"/>
      <c r="L31" s="21"/>
      <c r="M31" s="21"/>
      <c r="N31" s="21" t="n">
        <v>7346</v>
      </c>
      <c r="O31" s="21"/>
      <c r="P31" s="30"/>
      <c r="Q31" s="21"/>
      <c r="R31" s="21"/>
      <c r="S31" s="21"/>
      <c r="T31" s="32"/>
      <c r="U31" s="32"/>
      <c r="V31" s="21"/>
      <c r="W31" s="21"/>
      <c r="X31" s="21"/>
      <c r="Y31" s="21"/>
      <c r="Z31" s="21" t="s">
        <v>28</v>
      </c>
      <c r="AA31" s="12" t="s">
        <v>32</v>
      </c>
    </row>
    <row r="32" customFormat="false" ht="15.75" hidden="false" customHeight="false" outlineLevel="0" collapsed="false">
      <c r="A32" s="24" t="n">
        <v>7812</v>
      </c>
      <c r="B32" s="29" t="n">
        <v>45348</v>
      </c>
      <c r="C32" s="21" t="s">
        <v>773</v>
      </c>
      <c r="D32" s="21" t="s">
        <v>24</v>
      </c>
      <c r="E32" s="21" t="s">
        <v>25</v>
      </c>
      <c r="F32" s="21" t="s">
        <v>996</v>
      </c>
      <c r="G32" s="30"/>
      <c r="H32" s="45" t="s">
        <v>28</v>
      </c>
      <c r="I32" s="31"/>
      <c r="J32" s="21" t="s">
        <v>28</v>
      </c>
      <c r="K32" s="21"/>
      <c r="L32" s="21"/>
      <c r="M32" s="21"/>
      <c r="N32" s="21" t="n">
        <v>7346</v>
      </c>
      <c r="O32" s="21"/>
      <c r="P32" s="30"/>
      <c r="Q32" s="21"/>
      <c r="R32" s="21"/>
      <c r="S32" s="21"/>
      <c r="T32" s="32" t="s">
        <v>30</v>
      </c>
      <c r="U32" s="32"/>
      <c r="V32" s="21"/>
      <c r="W32" s="21"/>
      <c r="X32" s="21"/>
      <c r="Y32" s="21"/>
      <c r="Z32" s="21" t="s">
        <v>28</v>
      </c>
      <c r="AA32" s="12" t="s">
        <v>32</v>
      </c>
    </row>
    <row r="33" customFormat="false" ht="15.75" hidden="false" customHeight="false" outlineLevel="0" collapsed="false">
      <c r="A33" s="24" t="n">
        <v>7813</v>
      </c>
      <c r="B33" s="29" t="n">
        <v>45348</v>
      </c>
      <c r="C33" s="21" t="s">
        <v>773</v>
      </c>
      <c r="D33" s="21" t="s">
        <v>24</v>
      </c>
      <c r="E33" s="21" t="s">
        <v>25</v>
      </c>
      <c r="F33" s="21" t="s">
        <v>996</v>
      </c>
      <c r="G33" s="30"/>
      <c r="H33" s="45" t="s">
        <v>28</v>
      </c>
      <c r="I33" s="31"/>
      <c r="J33" s="21" t="s">
        <v>28</v>
      </c>
      <c r="K33" s="21"/>
      <c r="L33" s="21"/>
      <c r="M33" s="21"/>
      <c r="N33" s="21" t="n">
        <v>7346</v>
      </c>
      <c r="O33" s="21"/>
      <c r="P33" s="30"/>
      <c r="Q33" s="21"/>
      <c r="R33" s="21"/>
      <c r="S33" s="21"/>
      <c r="T33" s="32" t="s">
        <v>30</v>
      </c>
      <c r="U33" s="32"/>
      <c r="V33" s="21"/>
      <c r="W33" s="21"/>
      <c r="X33" s="21"/>
      <c r="Y33" s="21"/>
      <c r="Z33" s="21" t="s">
        <v>28</v>
      </c>
      <c r="AA33" s="12" t="s">
        <v>32</v>
      </c>
    </row>
    <row r="34" customFormat="false" ht="15.75" hidden="false" customHeight="false" outlineLevel="0" collapsed="false">
      <c r="A34" s="24" t="n">
        <v>7814</v>
      </c>
      <c r="B34" s="29" t="n">
        <v>45348</v>
      </c>
      <c r="C34" s="21" t="s">
        <v>773</v>
      </c>
      <c r="D34" s="21" t="s">
        <v>24</v>
      </c>
      <c r="E34" s="21" t="s">
        <v>25</v>
      </c>
      <c r="F34" s="21" t="s">
        <v>996</v>
      </c>
      <c r="G34" s="30"/>
      <c r="H34" s="45" t="s">
        <v>28</v>
      </c>
      <c r="I34" s="31"/>
      <c r="J34" s="21" t="s">
        <v>28</v>
      </c>
      <c r="K34" s="21"/>
      <c r="L34" s="21"/>
      <c r="M34" s="21"/>
      <c r="N34" s="21" t="n">
        <v>7346</v>
      </c>
      <c r="O34" s="21"/>
      <c r="P34" s="30"/>
      <c r="Q34" s="21"/>
      <c r="R34" s="21"/>
      <c r="S34" s="21"/>
      <c r="T34" s="32" t="s">
        <v>30</v>
      </c>
      <c r="U34" s="32"/>
      <c r="V34" s="21"/>
      <c r="W34" s="21"/>
      <c r="X34" s="21"/>
      <c r="Y34" s="21"/>
      <c r="Z34" s="21" t="s">
        <v>28</v>
      </c>
      <c r="AA34" s="12" t="s">
        <v>32</v>
      </c>
    </row>
    <row r="35" customFormat="false" ht="15.75" hidden="false" customHeight="false" outlineLevel="0" collapsed="false">
      <c r="A35" s="24" t="n">
        <v>7815</v>
      </c>
      <c r="B35" s="29" t="n">
        <v>45348</v>
      </c>
      <c r="C35" s="21" t="s">
        <v>773</v>
      </c>
      <c r="D35" s="21" t="s">
        <v>24</v>
      </c>
      <c r="E35" s="21" t="s">
        <v>25</v>
      </c>
      <c r="F35" s="21" t="s">
        <v>996</v>
      </c>
      <c r="G35" s="30"/>
      <c r="H35" s="45" t="s">
        <v>28</v>
      </c>
      <c r="I35" s="31"/>
      <c r="J35" s="21" t="s">
        <v>28</v>
      </c>
      <c r="K35" s="21"/>
      <c r="L35" s="21"/>
      <c r="M35" s="21"/>
      <c r="N35" s="21" t="n">
        <v>7346</v>
      </c>
      <c r="O35" s="21"/>
      <c r="P35" s="30"/>
      <c r="Q35" s="21"/>
      <c r="R35" s="21"/>
      <c r="S35" s="21"/>
      <c r="T35" s="32" t="s">
        <v>30</v>
      </c>
      <c r="U35" s="32" t="s">
        <v>997</v>
      </c>
      <c r="V35" s="21"/>
      <c r="W35" s="21"/>
      <c r="X35" s="21"/>
      <c r="Y35" s="21"/>
      <c r="Z35" s="21" t="s">
        <v>28</v>
      </c>
      <c r="AA35" s="12" t="s">
        <v>32</v>
      </c>
    </row>
    <row r="36" customFormat="false" ht="15.75" hidden="false" customHeight="false" outlineLevel="0" collapsed="false">
      <c r="A36" s="24" t="n">
        <v>7816</v>
      </c>
      <c r="B36" s="29" t="n">
        <v>44984</v>
      </c>
      <c r="C36" s="21" t="s">
        <v>773</v>
      </c>
      <c r="D36" s="21" t="s">
        <v>24</v>
      </c>
      <c r="E36" s="21" t="s">
        <v>25</v>
      </c>
      <c r="F36" s="21" t="s">
        <v>998</v>
      </c>
      <c r="G36" s="30"/>
      <c r="H36" s="45" t="s">
        <v>28</v>
      </c>
      <c r="I36" s="31"/>
      <c r="J36" s="21" t="s">
        <v>28</v>
      </c>
      <c r="K36" s="21"/>
      <c r="L36" s="21"/>
      <c r="M36" s="21"/>
      <c r="N36" s="21"/>
      <c r="O36" s="21"/>
      <c r="P36" s="30"/>
      <c r="Q36" s="21"/>
      <c r="R36" s="21"/>
      <c r="S36" s="21"/>
      <c r="T36" s="32"/>
      <c r="U36" s="32"/>
      <c r="V36" s="21"/>
      <c r="W36" s="21"/>
      <c r="X36" s="21"/>
      <c r="Y36" s="21"/>
      <c r="Z36" s="21" t="s">
        <v>28</v>
      </c>
      <c r="AA36" s="12" t="s">
        <v>32</v>
      </c>
    </row>
    <row r="37" customFormat="false" ht="15.75" hidden="false" customHeight="false" outlineLevel="0" collapsed="false">
      <c r="A37" s="24" t="n">
        <v>7817</v>
      </c>
      <c r="B37" s="29" t="n">
        <v>45349</v>
      </c>
      <c r="C37" s="21" t="s">
        <v>773</v>
      </c>
      <c r="D37" s="21" t="s">
        <v>24</v>
      </c>
      <c r="E37" s="21" t="s">
        <v>25</v>
      </c>
      <c r="F37" s="21" t="s">
        <v>998</v>
      </c>
      <c r="G37" s="30"/>
      <c r="H37" s="45" t="s">
        <v>28</v>
      </c>
      <c r="I37" s="31"/>
      <c r="J37" s="21" t="s">
        <v>28</v>
      </c>
      <c r="K37" s="21"/>
      <c r="L37" s="21"/>
      <c r="M37" s="21"/>
      <c r="N37" s="21"/>
      <c r="O37" s="21"/>
      <c r="P37" s="30"/>
      <c r="Q37" s="21"/>
      <c r="R37" s="21"/>
      <c r="S37" s="21"/>
      <c r="T37" s="32"/>
      <c r="U37" s="32"/>
      <c r="V37" s="21"/>
      <c r="W37" s="21"/>
      <c r="X37" s="21"/>
      <c r="Y37" s="21"/>
      <c r="Z37" s="21" t="s">
        <v>28</v>
      </c>
      <c r="AA37" s="12" t="s">
        <v>32</v>
      </c>
    </row>
    <row r="38" customFormat="false" ht="15.75" hidden="false" customHeight="false" outlineLevel="0" collapsed="false">
      <c r="A38" s="24" t="n">
        <v>7818</v>
      </c>
      <c r="B38" s="29" t="n">
        <v>45349</v>
      </c>
      <c r="C38" s="21" t="s">
        <v>999</v>
      </c>
      <c r="D38" s="21" t="s">
        <v>24</v>
      </c>
      <c r="E38" s="21" t="s">
        <v>25</v>
      </c>
      <c r="F38" s="21" t="s">
        <v>1000</v>
      </c>
      <c r="G38" s="30" t="s">
        <v>1001</v>
      </c>
      <c r="H38" s="45" t="s">
        <v>28</v>
      </c>
      <c r="I38" s="31"/>
      <c r="J38" s="21" t="s">
        <v>28</v>
      </c>
      <c r="K38" s="21" t="s">
        <v>29</v>
      </c>
      <c r="L38" s="21" t="s">
        <v>29</v>
      </c>
      <c r="M38" s="21" t="s">
        <v>29</v>
      </c>
      <c r="N38" s="21" t="s">
        <v>1002</v>
      </c>
      <c r="O38" s="21"/>
      <c r="P38" s="30"/>
      <c r="Q38" s="21" t="s">
        <v>28</v>
      </c>
      <c r="R38" s="46" t="s">
        <v>28</v>
      </c>
      <c r="S38" s="21"/>
      <c r="T38" s="32" t="s">
        <v>30</v>
      </c>
      <c r="U38" s="32"/>
      <c r="V38" s="21" t="s">
        <v>74</v>
      </c>
      <c r="W38" s="46" t="s">
        <v>28</v>
      </c>
      <c r="X38" s="46" t="s">
        <v>28</v>
      </c>
      <c r="Y38" s="21" t="s">
        <v>36</v>
      </c>
      <c r="Z38" s="21" t="s">
        <v>28</v>
      </c>
      <c r="AA38" s="12" t="s">
        <v>32</v>
      </c>
    </row>
    <row r="39" customFormat="false" ht="15.75" hidden="false" customHeight="false" outlineLevel="0" collapsed="false">
      <c r="A39" s="24" t="n">
        <v>7819</v>
      </c>
      <c r="B39" s="29" t="n">
        <v>45349</v>
      </c>
      <c r="C39" s="21" t="s">
        <v>999</v>
      </c>
      <c r="D39" s="55" t="s">
        <v>24</v>
      </c>
      <c r="E39" s="21" t="s">
        <v>25</v>
      </c>
      <c r="F39" s="21" t="s">
        <v>1000</v>
      </c>
      <c r="G39" s="25" t="s">
        <v>1001</v>
      </c>
      <c r="H39" s="26" t="s">
        <v>28</v>
      </c>
      <c r="I39" s="25"/>
      <c r="J39" s="25" t="s">
        <v>28</v>
      </c>
      <c r="K39" s="25" t="s">
        <v>29</v>
      </c>
      <c r="L39" s="25" t="s">
        <v>29</v>
      </c>
      <c r="M39" s="25" t="s">
        <v>29</v>
      </c>
      <c r="N39" s="25" t="s">
        <v>1002</v>
      </c>
      <c r="O39" s="25"/>
      <c r="P39" s="25"/>
      <c r="Q39" s="25" t="s">
        <v>28</v>
      </c>
      <c r="R39" s="26" t="s">
        <v>28</v>
      </c>
      <c r="S39" s="25"/>
      <c r="T39" s="25" t="s">
        <v>30</v>
      </c>
      <c r="U39" s="25"/>
      <c r="V39" s="25" t="s">
        <v>74</v>
      </c>
      <c r="W39" s="26" t="s">
        <v>28</v>
      </c>
      <c r="X39" s="26" t="s">
        <v>28</v>
      </c>
      <c r="Y39" s="25" t="s">
        <v>36</v>
      </c>
      <c r="Z39" s="25" t="s">
        <v>28</v>
      </c>
      <c r="AA39" s="12" t="s">
        <v>32</v>
      </c>
    </row>
    <row r="40" customFormat="false" ht="15.75" hidden="false" customHeight="false" outlineLevel="0" collapsed="false">
      <c r="A40" s="19" t="n">
        <v>7820</v>
      </c>
      <c r="B40" s="29" t="n">
        <v>45349</v>
      </c>
      <c r="C40" s="21" t="s">
        <v>1003</v>
      </c>
      <c r="D40" s="21" t="s">
        <v>24</v>
      </c>
      <c r="E40" s="21" t="s">
        <v>25</v>
      </c>
      <c r="F40" s="25" t="s">
        <v>1004</v>
      </c>
      <c r="G40" s="16" t="s">
        <v>1005</v>
      </c>
      <c r="H40" s="17" t="s">
        <v>28</v>
      </c>
      <c r="I40" s="16"/>
      <c r="J40" s="16" t="s">
        <v>28</v>
      </c>
      <c r="K40" s="16" t="n">
        <v>23007667744</v>
      </c>
      <c r="L40" s="16" t="n">
        <v>3516662378</v>
      </c>
      <c r="M40" s="16" t="s">
        <v>1006</v>
      </c>
      <c r="N40" s="16"/>
      <c r="O40" s="16"/>
      <c r="P40" s="16"/>
      <c r="Q40" s="16" t="s">
        <v>28</v>
      </c>
      <c r="R40" s="17" t="s">
        <v>28</v>
      </c>
      <c r="S40" s="16"/>
      <c r="T40" s="16" t="s">
        <v>30</v>
      </c>
      <c r="U40" s="16"/>
      <c r="V40" s="16"/>
      <c r="W40" s="16"/>
      <c r="X40" s="16"/>
      <c r="Y40" s="16"/>
      <c r="Z40" s="16" t="s">
        <v>37</v>
      </c>
      <c r="AA40" s="12" t="s">
        <v>40</v>
      </c>
    </row>
    <row r="41" customFormat="false" ht="15.75" hidden="false" customHeight="false" outlineLevel="0" collapsed="false">
      <c r="A41" s="19" t="n">
        <v>7821</v>
      </c>
      <c r="B41" s="29" t="n">
        <v>44984</v>
      </c>
      <c r="C41" s="21" t="s">
        <v>347</v>
      </c>
      <c r="D41" s="21" t="s">
        <v>24</v>
      </c>
      <c r="E41" s="21" t="s">
        <v>25</v>
      </c>
      <c r="F41" s="12" t="s">
        <v>1007</v>
      </c>
      <c r="G41" s="16" t="s">
        <v>1008</v>
      </c>
      <c r="H41" s="17" t="s">
        <v>28</v>
      </c>
      <c r="I41" s="16"/>
      <c r="J41" s="16" t="s">
        <v>28</v>
      </c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 t="s">
        <v>28</v>
      </c>
      <c r="AA41" s="12" t="s">
        <v>32</v>
      </c>
    </row>
    <row r="42" customFormat="false" ht="15.75" hidden="false" customHeight="false" outlineLevel="0" collapsed="false">
      <c r="A42" s="42" t="n">
        <v>1842651</v>
      </c>
      <c r="B42" s="29" t="n">
        <v>45349</v>
      </c>
      <c r="C42" s="21" t="s">
        <v>613</v>
      </c>
      <c r="D42" s="21" t="s">
        <v>24</v>
      </c>
      <c r="E42" s="21" t="s">
        <v>25</v>
      </c>
      <c r="F42" s="16" t="s">
        <v>76</v>
      </c>
      <c r="G42" s="16" t="s">
        <v>1009</v>
      </c>
      <c r="H42" s="17" t="s">
        <v>28</v>
      </c>
      <c r="I42" s="16"/>
      <c r="J42" s="16" t="s">
        <v>28</v>
      </c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 t="s">
        <v>74</v>
      </c>
      <c r="W42" s="17" t="s">
        <v>28</v>
      </c>
      <c r="X42" s="17" t="s">
        <v>28</v>
      </c>
      <c r="Y42" s="16" t="s">
        <v>36</v>
      </c>
      <c r="Z42" s="16" t="s">
        <v>28</v>
      </c>
      <c r="AA42" s="12" t="s">
        <v>32</v>
      </c>
    </row>
    <row r="43" customFormat="false" ht="15.75" hidden="false" customHeight="false" outlineLevel="0" collapsed="false">
      <c r="A43" s="42" t="n">
        <v>1616930</v>
      </c>
      <c r="B43" s="29" t="n">
        <v>45351</v>
      </c>
      <c r="C43" s="21" t="s">
        <v>1010</v>
      </c>
      <c r="D43" s="21" t="s">
        <v>290</v>
      </c>
      <c r="E43" s="21" t="s">
        <v>25</v>
      </c>
      <c r="F43" s="16" t="s">
        <v>1011</v>
      </c>
      <c r="G43" s="16" t="s">
        <v>1012</v>
      </c>
      <c r="H43" s="17" t="s">
        <v>28</v>
      </c>
      <c r="I43" s="16"/>
      <c r="J43" s="16" t="s">
        <v>28</v>
      </c>
      <c r="K43" s="16" t="s">
        <v>29</v>
      </c>
      <c r="L43" s="16" t="s">
        <v>29</v>
      </c>
      <c r="M43" s="16" t="s">
        <v>29</v>
      </c>
      <c r="N43" s="16" t="s">
        <v>29</v>
      </c>
      <c r="O43" s="16"/>
      <c r="P43" s="16"/>
      <c r="Q43" s="16"/>
      <c r="R43" s="16"/>
      <c r="S43" s="16"/>
      <c r="T43" s="16"/>
      <c r="U43" s="16"/>
      <c r="V43" s="16" t="s">
        <v>74</v>
      </c>
      <c r="W43" s="17" t="s">
        <v>28</v>
      </c>
      <c r="X43" s="17" t="s">
        <v>28</v>
      </c>
      <c r="Y43" s="16" t="s">
        <v>36</v>
      </c>
      <c r="Z43" s="16" t="s">
        <v>28</v>
      </c>
      <c r="AA43" s="12" t="s">
        <v>32</v>
      </c>
    </row>
    <row r="44" customFormat="false" ht="15.75" hidden="false" customHeight="false" outlineLevel="0" collapsed="false">
      <c r="A44" s="42" t="n">
        <v>492349</v>
      </c>
      <c r="B44" s="29" t="n">
        <v>45351</v>
      </c>
      <c r="C44" s="21" t="s">
        <v>1013</v>
      </c>
      <c r="D44" s="21" t="s">
        <v>290</v>
      </c>
      <c r="E44" s="21" t="s">
        <v>25</v>
      </c>
      <c r="F44" s="16" t="s">
        <v>1014</v>
      </c>
      <c r="G44" s="16" t="s">
        <v>1012</v>
      </c>
      <c r="H44" s="17" t="s">
        <v>28</v>
      </c>
      <c r="I44" s="16"/>
      <c r="J44" s="16" t="s">
        <v>28</v>
      </c>
      <c r="K44" s="16" t="s">
        <v>29</v>
      </c>
      <c r="L44" s="16" t="s">
        <v>29</v>
      </c>
      <c r="M44" s="16" t="s">
        <v>29</v>
      </c>
      <c r="N44" s="16" t="s">
        <v>29</v>
      </c>
      <c r="O44" s="16"/>
      <c r="P44" s="16"/>
      <c r="Q44" s="16"/>
      <c r="R44" s="16"/>
      <c r="S44" s="16"/>
      <c r="T44" s="16"/>
      <c r="U44" s="16"/>
      <c r="V44" s="16" t="s">
        <v>74</v>
      </c>
      <c r="W44" s="17" t="s">
        <v>28</v>
      </c>
      <c r="X44" s="17" t="s">
        <v>28</v>
      </c>
      <c r="Y44" s="16" t="s">
        <v>36</v>
      </c>
      <c r="Z44" s="16" t="s">
        <v>28</v>
      </c>
      <c r="AA44" s="12" t="s">
        <v>32</v>
      </c>
    </row>
    <row r="45" customFormat="false" ht="15.75" hidden="false" customHeight="false" outlineLevel="0" collapsed="false">
      <c r="A45" s="42" t="n">
        <v>446328</v>
      </c>
      <c r="B45" s="29" t="n">
        <v>45351</v>
      </c>
      <c r="C45" s="21" t="s">
        <v>1013</v>
      </c>
      <c r="D45" s="21" t="s">
        <v>290</v>
      </c>
      <c r="E45" s="21" t="s">
        <v>25</v>
      </c>
      <c r="F45" s="16" t="s">
        <v>1014</v>
      </c>
      <c r="G45" s="16" t="s">
        <v>1012</v>
      </c>
      <c r="H45" s="17" t="s">
        <v>28</v>
      </c>
      <c r="I45" s="16"/>
      <c r="J45" s="16" t="s">
        <v>28</v>
      </c>
      <c r="K45" s="16" t="s">
        <v>29</v>
      </c>
      <c r="L45" s="16" t="s">
        <v>29</v>
      </c>
      <c r="M45" s="16" t="s">
        <v>29</v>
      </c>
      <c r="N45" s="16" t="s">
        <v>29</v>
      </c>
      <c r="O45" s="16"/>
      <c r="P45" s="16"/>
      <c r="Q45" s="16"/>
      <c r="R45" s="16"/>
      <c r="S45" s="16"/>
      <c r="T45" s="16"/>
      <c r="U45" s="16"/>
      <c r="V45" s="16" t="s">
        <v>74</v>
      </c>
      <c r="W45" s="17" t="s">
        <v>28</v>
      </c>
      <c r="X45" s="17" t="s">
        <v>28</v>
      </c>
      <c r="Y45" s="16" t="s">
        <v>36</v>
      </c>
      <c r="Z45" s="16" t="s">
        <v>28</v>
      </c>
      <c r="AA45" s="12" t="s">
        <v>32</v>
      </c>
    </row>
    <row r="46" customFormat="false" ht="15.75" hidden="false" customHeight="false" outlineLevel="0" collapsed="false">
      <c r="A46" s="19" t="n">
        <v>7822</v>
      </c>
      <c r="B46" s="29" t="n">
        <v>45351</v>
      </c>
      <c r="C46" s="21" t="s">
        <v>1013</v>
      </c>
      <c r="D46" s="21" t="s">
        <v>24</v>
      </c>
      <c r="E46" s="21" t="s">
        <v>25</v>
      </c>
      <c r="F46" s="16" t="s">
        <v>1014</v>
      </c>
      <c r="G46" s="16" t="s">
        <v>1012</v>
      </c>
      <c r="H46" s="27" t="s">
        <v>28</v>
      </c>
      <c r="I46" s="16"/>
      <c r="J46" s="16" t="s">
        <v>28</v>
      </c>
      <c r="K46" s="16" t="s">
        <v>29</v>
      </c>
      <c r="L46" s="16" t="s">
        <v>29</v>
      </c>
      <c r="M46" s="16" t="s">
        <v>29</v>
      </c>
      <c r="N46" s="16" t="s">
        <v>29</v>
      </c>
      <c r="O46" s="16"/>
      <c r="P46" s="16"/>
      <c r="Q46" s="16"/>
      <c r="R46" s="16"/>
      <c r="S46" s="16"/>
      <c r="T46" s="16"/>
      <c r="U46" s="16"/>
      <c r="V46" s="16" t="s">
        <v>74</v>
      </c>
      <c r="W46" s="17" t="s">
        <v>28</v>
      </c>
      <c r="X46" s="17" t="s">
        <v>28</v>
      </c>
      <c r="Y46" s="16" t="s">
        <v>36</v>
      </c>
      <c r="Z46" s="16" t="s">
        <v>28</v>
      </c>
      <c r="AA46" s="12" t="s">
        <v>32</v>
      </c>
    </row>
    <row r="47" customFormat="false" ht="15.75" hidden="false" customHeight="false" outlineLevel="0" collapsed="false">
      <c r="A47" s="19" t="n">
        <v>7823</v>
      </c>
      <c r="B47" s="14" t="n">
        <v>45351</v>
      </c>
      <c r="C47" s="21" t="s">
        <v>1015</v>
      </c>
      <c r="D47" s="21" t="s">
        <v>24</v>
      </c>
      <c r="E47" s="21" t="s">
        <v>25</v>
      </c>
      <c r="F47" s="16" t="s">
        <v>223</v>
      </c>
      <c r="G47" s="16"/>
      <c r="H47" s="17" t="s">
        <v>28</v>
      </c>
      <c r="I47" s="16"/>
      <c r="J47" s="16" t="s">
        <v>28</v>
      </c>
      <c r="K47" s="16" t="n">
        <v>306983514090</v>
      </c>
      <c r="L47" s="16" t="n">
        <v>3512735990</v>
      </c>
      <c r="M47" s="16" t="s">
        <v>1016</v>
      </c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 t="s">
        <v>28</v>
      </c>
      <c r="AA47" s="12" t="s">
        <v>156</v>
      </c>
    </row>
    <row r="48" customFormat="false" ht="15.75" hidden="false" customHeight="false" outlineLevel="0" collapsed="false">
      <c r="A48" s="19"/>
      <c r="B48" s="14"/>
      <c r="C48" s="21"/>
      <c r="D48" s="21"/>
      <c r="E48" s="21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</row>
    <row r="49" customFormat="false" ht="15.75" hidden="false" customHeight="false" outlineLevel="0" collapsed="false">
      <c r="A49" s="19"/>
      <c r="B49" s="14"/>
      <c r="C49" s="21"/>
      <c r="D49" s="21"/>
      <c r="E49" s="21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</row>
    <row r="50" customFormat="false" ht="15.75" hidden="false" customHeight="false" outlineLevel="0" collapsed="false">
      <c r="A50" s="19"/>
      <c r="B50" s="14"/>
      <c r="C50" s="21"/>
      <c r="D50" s="21"/>
      <c r="E50" s="21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</row>
    <row r="51" customFormat="false" ht="15.75" hidden="false" customHeight="false" outlineLevel="0" collapsed="false">
      <c r="A51" s="19"/>
      <c r="B51" s="14"/>
      <c r="C51" s="16"/>
      <c r="D51" s="16"/>
      <c r="E51" s="16"/>
      <c r="F51" s="16"/>
      <c r="G51" s="16"/>
      <c r="H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</row>
    <row r="52" customFormat="false" ht="15.75" hidden="false" customHeight="false" outlineLevel="0" collapsed="false">
      <c r="A52" s="19"/>
      <c r="B52" s="14"/>
      <c r="C52" s="16"/>
      <c r="D52" s="16"/>
      <c r="E52" s="16"/>
      <c r="F52" s="16"/>
      <c r="G52" s="16"/>
      <c r="H52" s="16"/>
      <c r="I52" s="16"/>
      <c r="J52" s="16"/>
      <c r="K52" s="16"/>
      <c r="L52" s="20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</row>
    <row r="53" customFormat="false" ht="15.75" hidden="false" customHeight="false" outlineLevel="0" collapsed="false">
      <c r="A53" s="19"/>
      <c r="B53" s="14"/>
      <c r="C53" s="16"/>
      <c r="D53" s="16"/>
      <c r="E53" s="16"/>
      <c r="F53" s="16"/>
      <c r="G53" s="16"/>
      <c r="H53" s="16"/>
      <c r="I53" s="16"/>
      <c r="J53" s="16"/>
      <c r="K53" s="16"/>
      <c r="L53" s="20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</row>
    <row r="54" customFormat="false" ht="15.75" hidden="false" customHeight="false" outlineLevel="0" collapsed="false">
      <c r="A54" s="19"/>
      <c r="B54" s="14"/>
      <c r="C54" s="16"/>
      <c r="D54" s="16"/>
      <c r="E54" s="16"/>
      <c r="F54" s="16"/>
      <c r="G54" s="16"/>
      <c r="H54" s="16"/>
      <c r="I54" s="16"/>
      <c r="J54" s="16"/>
      <c r="K54" s="16"/>
      <c r="L54" s="20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</row>
    <row r="55" customFormat="false" ht="15.75" hidden="false" customHeight="false" outlineLevel="0" collapsed="false">
      <c r="A55" s="19"/>
      <c r="B55" s="14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</row>
    <row r="56" customFormat="false" ht="15.75" hidden="false" customHeight="false" outlineLevel="0" collapsed="false">
      <c r="A56" s="24"/>
      <c r="B56" s="49"/>
      <c r="C56" s="25"/>
      <c r="D56" s="25"/>
      <c r="E56" s="25"/>
      <c r="F56" s="16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T56" s="25"/>
      <c r="U56" s="25"/>
      <c r="V56" s="25"/>
      <c r="W56" s="25"/>
      <c r="X56" s="25"/>
      <c r="Y56" s="25"/>
      <c r="Z56" s="25"/>
    </row>
    <row r="57" customFormat="false" ht="15.75" hidden="false" customHeight="false" outlineLevel="0" collapsed="false">
      <c r="A57" s="19"/>
      <c r="B57" s="14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T57" s="16"/>
      <c r="U57" s="16"/>
      <c r="V57" s="16"/>
      <c r="W57" s="16"/>
      <c r="X57" s="16"/>
      <c r="Y57" s="16"/>
      <c r="Z57" s="16"/>
    </row>
    <row r="58" customFormat="false" ht="15.75" hidden="false" customHeight="false" outlineLevel="0" collapsed="false">
      <c r="A58" s="19"/>
      <c r="B58" s="14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</row>
    <row r="59" customFormat="false" ht="15.75" hidden="false" customHeight="false" outlineLevel="0" collapsed="false">
      <c r="A59" s="19"/>
      <c r="B59" s="14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</row>
    <row r="60" customFormat="false" ht="15.75" hidden="false" customHeight="false" outlineLevel="0" collapsed="false">
      <c r="A60" s="19"/>
      <c r="B60" s="14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</row>
    <row r="61" customFormat="false" ht="15.75" hidden="false" customHeight="false" outlineLevel="0" collapsed="false">
      <c r="A61" s="42"/>
      <c r="B61" s="14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</row>
    <row r="62" customFormat="false" ht="15.75" hidden="false" customHeight="false" outlineLevel="0" collapsed="false">
      <c r="A62" s="19"/>
      <c r="B62" s="14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</row>
    <row r="63" customFormat="false" ht="15.75" hidden="false" customHeight="false" outlineLevel="0" collapsed="false">
      <c r="A63" s="19"/>
      <c r="B63" s="14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</row>
    <row r="64" customFormat="false" ht="15.75" hidden="false" customHeight="false" outlineLevel="0" collapsed="false">
      <c r="A64" s="19"/>
      <c r="B64" s="14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</row>
    <row r="65" customFormat="false" ht="15.75" hidden="false" customHeight="false" outlineLevel="0" collapsed="false">
      <c r="A65" s="19"/>
      <c r="B65" s="14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</row>
    <row r="66" customFormat="false" ht="15.75" hidden="false" customHeight="false" outlineLevel="0" collapsed="false">
      <c r="A66" s="24"/>
      <c r="B66" s="14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</row>
    <row r="67" customFormat="false" ht="15.75" hidden="false" customHeight="false" outlineLevel="0" collapsed="false">
      <c r="A67" s="19"/>
      <c r="B67" s="14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</row>
    <row r="68" customFormat="false" ht="15.75" hidden="false" customHeight="false" outlineLevel="0" collapsed="false">
      <c r="A68" s="19"/>
      <c r="B68" s="14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</row>
    <row r="69" customFormat="false" ht="15.75" hidden="false" customHeight="false" outlineLevel="0" collapsed="false">
      <c r="A69" s="19"/>
      <c r="B69" s="14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</row>
    <row r="70" customFormat="false" ht="15.75" hidden="false" customHeight="false" outlineLevel="0" collapsed="false">
      <c r="A70" s="19"/>
      <c r="B70" s="14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U70" s="16"/>
      <c r="V70" s="16"/>
      <c r="W70" s="16"/>
      <c r="X70" s="16"/>
      <c r="Y70" s="16"/>
      <c r="Z70" s="16"/>
    </row>
    <row r="71" customFormat="false" ht="15.75" hidden="false" customHeight="false" outlineLevel="0" collapsed="false">
      <c r="A71" s="19"/>
      <c r="B71" s="14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</row>
    <row r="72" customFormat="false" ht="15.75" hidden="false" customHeight="false" outlineLevel="0" collapsed="false">
      <c r="A72" s="19"/>
      <c r="B72" s="14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</row>
    <row r="73" customFormat="false" ht="15.75" hidden="false" customHeight="false" outlineLevel="0" collapsed="false">
      <c r="A73" s="24"/>
      <c r="B73" s="49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50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</row>
    <row r="74" customFormat="false" ht="15.75" hidden="false" customHeight="false" outlineLevel="0" collapsed="false">
      <c r="A74" s="19"/>
      <c r="B74" s="14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23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</row>
    <row r="75" customFormat="false" ht="15.75" hidden="false" customHeight="false" outlineLevel="0" collapsed="false">
      <c r="A75" s="19"/>
      <c r="B75" s="14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</row>
    <row r="76" customFormat="false" ht="15.75" hidden="false" customHeight="false" outlineLevel="0" collapsed="false">
      <c r="A76" s="19"/>
      <c r="B76" s="14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</row>
    <row r="77" customFormat="false" ht="15.75" hidden="false" customHeight="false" outlineLevel="0" collapsed="false">
      <c r="A77" s="19"/>
      <c r="B77" s="14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</row>
    <row r="78" customFormat="false" ht="15.75" hidden="false" customHeight="false" outlineLevel="0" collapsed="false">
      <c r="A78" s="19"/>
      <c r="B78" s="14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</row>
    <row r="79" customFormat="false" ht="15.75" hidden="false" customHeight="false" outlineLevel="0" collapsed="false">
      <c r="A79" s="42"/>
      <c r="B79" s="14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</row>
    <row r="80" customFormat="false" ht="15.75" hidden="false" customHeight="false" outlineLevel="0" collapsed="false">
      <c r="A80" s="19"/>
      <c r="B80" s="14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</row>
    <row r="81" customFormat="false" ht="15.75" hidden="false" customHeight="false" outlineLevel="0" collapsed="false">
      <c r="A81" s="19"/>
      <c r="B81" s="14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</row>
    <row r="82" customFormat="false" ht="15.75" hidden="false" customHeight="false" outlineLevel="0" collapsed="false">
      <c r="A82" s="19"/>
      <c r="B82" s="14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</row>
    <row r="83" customFormat="false" ht="15.75" hidden="false" customHeight="false" outlineLevel="0" collapsed="false">
      <c r="A83" s="19"/>
      <c r="B83" s="14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</row>
    <row r="84" customFormat="false" ht="15.75" hidden="false" customHeight="false" outlineLevel="0" collapsed="false">
      <c r="A84" s="19"/>
      <c r="B84" s="14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</row>
    <row r="85" customFormat="false" ht="15.75" hidden="false" customHeight="false" outlineLevel="0" collapsed="false">
      <c r="A85" s="19"/>
      <c r="B85" s="14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</row>
    <row r="86" customFormat="false" ht="15.75" hidden="false" customHeight="false" outlineLevel="0" collapsed="false">
      <c r="A86" s="19"/>
      <c r="B86" s="14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</row>
    <row r="87" customFormat="false" ht="15.75" hidden="false" customHeight="false" outlineLevel="0" collapsed="false">
      <c r="A87" s="19"/>
      <c r="B87" s="14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</row>
    <row r="88" customFormat="false" ht="15.75" hidden="false" customHeight="false" outlineLevel="0" collapsed="false">
      <c r="A88" s="19"/>
      <c r="B88" s="14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</row>
    <row r="89" customFormat="false" ht="15.75" hidden="false" customHeight="false" outlineLevel="0" collapsed="false">
      <c r="A89" s="19"/>
      <c r="B89" s="14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</row>
    <row r="90" customFormat="false" ht="15.75" hidden="false" customHeight="false" outlineLevel="0" collapsed="false">
      <c r="A90" s="24"/>
      <c r="B90" s="14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</row>
    <row r="91" customFormat="false" ht="15.75" hidden="false" customHeight="false" outlineLevel="0" collapsed="false">
      <c r="A91" s="19"/>
      <c r="B91" s="14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</row>
    <row r="92" customFormat="false" ht="15.75" hidden="false" customHeight="false" outlineLevel="0" collapsed="false">
      <c r="A92" s="19"/>
      <c r="B92" s="14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</row>
    <row r="93" customFormat="false" ht="15.75" hidden="false" customHeight="false" outlineLevel="0" collapsed="false">
      <c r="A93" s="19"/>
      <c r="B93" s="14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</row>
    <row r="94" customFormat="false" ht="15.75" hidden="false" customHeight="false" outlineLevel="0" collapsed="false">
      <c r="A94" s="13"/>
      <c r="B94" s="14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</row>
    <row r="95" customFormat="false" ht="15.75" hidden="false" customHeight="false" outlineLevel="0" collapsed="false">
      <c r="A95" s="13"/>
      <c r="B95" s="14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</row>
    <row r="96" customFormat="false" ht="15.75" hidden="false" customHeight="false" outlineLevel="0" collapsed="false">
      <c r="A96" s="13"/>
      <c r="B96" s="14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</row>
    <row r="97" customFormat="false" ht="15.75" hidden="false" customHeight="false" outlineLevel="0" collapsed="false">
      <c r="A97" s="13"/>
      <c r="B97" s="14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</row>
    <row r="98" customFormat="false" ht="15.75" hidden="false" customHeight="false" outlineLevel="0" collapsed="false">
      <c r="A98" s="13"/>
      <c r="B98" s="14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</row>
    <row r="99" customFormat="false" ht="15.75" hidden="false" customHeight="false" outlineLevel="0" collapsed="false">
      <c r="A99" s="13"/>
      <c r="B99" s="14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</row>
    <row r="100" customFormat="false" ht="15.75" hidden="false" customHeight="false" outlineLevel="0" collapsed="false">
      <c r="A100" s="13"/>
      <c r="B100" s="14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</row>
    <row r="101" customFormat="false" ht="15.75" hidden="false" customHeight="false" outlineLevel="0" collapsed="false">
      <c r="A101" s="13"/>
      <c r="B101" s="14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</row>
    <row r="102" customFormat="false" ht="15.75" hidden="false" customHeight="false" outlineLevel="0" collapsed="false">
      <c r="A102" s="13"/>
      <c r="B102" s="14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</row>
    <row r="103" customFormat="false" ht="15.75" hidden="false" customHeight="false" outlineLevel="0" collapsed="false">
      <c r="A103" s="13"/>
      <c r="B103" s="14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</row>
    <row r="104" customFormat="false" ht="15.75" hidden="false" customHeight="false" outlineLevel="0" collapsed="false">
      <c r="A104" s="13"/>
      <c r="B104" s="14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</row>
    <row r="105" customFormat="false" ht="15.75" hidden="false" customHeight="false" outlineLevel="0" collapsed="false">
      <c r="A105" s="13"/>
      <c r="B105" s="14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</row>
    <row r="106" customFormat="false" ht="15.75" hidden="false" customHeight="false" outlineLevel="0" collapsed="false">
      <c r="A106" s="13"/>
      <c r="B106" s="14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</row>
    <row r="107" customFormat="false" ht="15.75" hidden="false" customHeight="false" outlineLevel="0" collapsed="false">
      <c r="A107" s="12"/>
      <c r="B107" s="34"/>
      <c r="C107" s="12"/>
      <c r="D107" s="12"/>
      <c r="E107" s="12"/>
      <c r="F107" s="12"/>
      <c r="G107" s="18"/>
      <c r="H107" s="35"/>
      <c r="I107" s="35"/>
      <c r="J107" s="12"/>
      <c r="P107" s="18"/>
      <c r="Q107" s="12"/>
      <c r="R107" s="12"/>
      <c r="S107" s="12"/>
      <c r="T107" s="36"/>
      <c r="U107" s="36"/>
      <c r="V107" s="12"/>
      <c r="W107" s="12"/>
      <c r="X107" s="12"/>
      <c r="Y107" s="12"/>
      <c r="Z107" s="12"/>
    </row>
    <row r="108" customFormat="false" ht="15.75" hidden="false" customHeight="false" outlineLevel="0" collapsed="false">
      <c r="A108" s="12"/>
      <c r="B108" s="34"/>
      <c r="C108" s="12"/>
      <c r="D108" s="12"/>
      <c r="E108" s="12"/>
      <c r="F108" s="12"/>
      <c r="G108" s="18"/>
      <c r="H108" s="35"/>
      <c r="I108" s="35"/>
      <c r="J108" s="12"/>
      <c r="P108" s="18"/>
      <c r="Q108" s="12"/>
      <c r="R108" s="12"/>
      <c r="S108" s="12"/>
      <c r="T108" s="36"/>
      <c r="U108" s="36"/>
      <c r="V108" s="12"/>
      <c r="W108" s="12"/>
      <c r="X108" s="12"/>
      <c r="Y108" s="12"/>
      <c r="Z108" s="12"/>
    </row>
    <row r="109" customFormat="false" ht="15.75" hidden="false" customHeight="false" outlineLevel="0" collapsed="false">
      <c r="A109" s="12"/>
      <c r="B109" s="34"/>
      <c r="C109" s="12"/>
      <c r="D109" s="12"/>
      <c r="E109" s="12"/>
      <c r="F109" s="12"/>
      <c r="G109" s="18"/>
      <c r="H109" s="35"/>
      <c r="I109" s="35"/>
      <c r="J109" s="12"/>
      <c r="P109" s="18"/>
      <c r="Q109" s="12"/>
      <c r="R109" s="12"/>
      <c r="S109" s="12"/>
      <c r="T109" s="36"/>
      <c r="U109" s="36"/>
      <c r="V109" s="12"/>
      <c r="W109" s="12"/>
      <c r="X109" s="12"/>
      <c r="Y109" s="12"/>
      <c r="Z109" s="12"/>
    </row>
    <row r="110" customFormat="false" ht="15.75" hidden="false" customHeight="false" outlineLevel="0" collapsed="false">
      <c r="A110" s="12"/>
      <c r="B110" s="34"/>
      <c r="C110" s="12"/>
      <c r="D110" s="12"/>
      <c r="E110" s="12"/>
      <c r="F110" s="12"/>
      <c r="G110" s="18"/>
      <c r="H110" s="35"/>
      <c r="I110" s="35"/>
      <c r="J110" s="12"/>
      <c r="P110" s="18"/>
      <c r="Q110" s="12"/>
      <c r="R110" s="12"/>
      <c r="S110" s="12"/>
      <c r="T110" s="36"/>
      <c r="U110" s="36"/>
      <c r="V110" s="12"/>
      <c r="W110" s="12"/>
      <c r="X110" s="12"/>
      <c r="Y110" s="12"/>
      <c r="Z110" s="12"/>
    </row>
    <row r="111" customFormat="false" ht="15.75" hidden="false" customHeight="false" outlineLevel="0" collapsed="false">
      <c r="A111" s="12"/>
      <c r="B111" s="34"/>
      <c r="C111" s="12"/>
      <c r="D111" s="12"/>
      <c r="E111" s="12"/>
      <c r="F111" s="12"/>
      <c r="G111" s="18"/>
      <c r="H111" s="35"/>
      <c r="I111" s="35"/>
      <c r="J111" s="12"/>
      <c r="P111" s="18"/>
      <c r="Q111" s="12"/>
      <c r="R111" s="12"/>
      <c r="S111" s="12"/>
      <c r="T111" s="36"/>
      <c r="U111" s="36"/>
      <c r="V111" s="12"/>
      <c r="W111" s="12"/>
      <c r="X111" s="12"/>
      <c r="Y111" s="12"/>
      <c r="Z111" s="12"/>
    </row>
    <row r="112" customFormat="false" ht="15.75" hidden="false" customHeight="false" outlineLevel="0" collapsed="false">
      <c r="A112" s="12"/>
      <c r="B112" s="34"/>
      <c r="C112" s="12"/>
      <c r="D112" s="12"/>
      <c r="E112" s="12"/>
      <c r="F112" s="12"/>
      <c r="G112" s="18"/>
      <c r="H112" s="35"/>
      <c r="I112" s="35"/>
      <c r="J112" s="12"/>
      <c r="P112" s="18"/>
      <c r="Q112" s="12"/>
      <c r="R112" s="12"/>
      <c r="S112" s="12"/>
      <c r="T112" s="36"/>
      <c r="U112" s="36"/>
      <c r="V112" s="12"/>
      <c r="W112" s="12"/>
      <c r="X112" s="12"/>
      <c r="Y112" s="12"/>
      <c r="Z112" s="12"/>
    </row>
    <row r="113" customFormat="false" ht="15.75" hidden="false" customHeight="false" outlineLevel="0" collapsed="false">
      <c r="A113" s="12"/>
      <c r="B113" s="34"/>
      <c r="C113" s="12"/>
      <c r="D113" s="12"/>
      <c r="E113" s="12"/>
      <c r="F113" s="12"/>
      <c r="G113" s="18"/>
      <c r="H113" s="35"/>
      <c r="I113" s="35"/>
      <c r="J113" s="12"/>
      <c r="P113" s="18"/>
      <c r="Q113" s="12"/>
      <c r="R113" s="12"/>
      <c r="S113" s="12"/>
      <c r="T113" s="36"/>
      <c r="U113" s="36"/>
      <c r="V113" s="12"/>
      <c r="W113" s="12"/>
      <c r="X113" s="12"/>
      <c r="Y113" s="12"/>
      <c r="Z113" s="12"/>
    </row>
    <row r="114" customFormat="false" ht="15.75" hidden="false" customHeight="false" outlineLevel="0" collapsed="false">
      <c r="A114" s="12"/>
      <c r="B114" s="34"/>
      <c r="C114" s="12"/>
      <c r="D114" s="12"/>
      <c r="E114" s="12"/>
      <c r="F114" s="12"/>
      <c r="G114" s="18"/>
      <c r="H114" s="35"/>
      <c r="I114" s="35"/>
      <c r="J114" s="12"/>
      <c r="P114" s="18"/>
      <c r="Q114" s="12"/>
      <c r="R114" s="12"/>
      <c r="S114" s="12"/>
      <c r="T114" s="36"/>
      <c r="U114" s="36"/>
      <c r="V114" s="12"/>
      <c r="W114" s="12"/>
      <c r="X114" s="12"/>
      <c r="Y114" s="12"/>
      <c r="Z114" s="12"/>
    </row>
    <row r="115" customFormat="false" ht="15.75" hidden="false" customHeight="false" outlineLevel="0" collapsed="false">
      <c r="A115" s="12"/>
      <c r="B115" s="34"/>
      <c r="C115" s="12"/>
      <c r="D115" s="12"/>
      <c r="E115" s="12"/>
      <c r="F115" s="12"/>
      <c r="G115" s="18"/>
      <c r="H115" s="35"/>
      <c r="I115" s="35"/>
      <c r="J115" s="12"/>
      <c r="P115" s="18"/>
      <c r="Q115" s="12"/>
      <c r="R115" s="12"/>
      <c r="S115" s="12"/>
      <c r="T115" s="36"/>
      <c r="U115" s="36"/>
      <c r="V115" s="12"/>
      <c r="W115" s="12"/>
      <c r="X115" s="12"/>
      <c r="Y115" s="12"/>
      <c r="Z115" s="12"/>
    </row>
    <row r="116" customFormat="false" ht="15.75" hidden="false" customHeight="false" outlineLevel="0" collapsed="false">
      <c r="A116" s="12"/>
      <c r="B116" s="34"/>
      <c r="C116" s="12"/>
      <c r="D116" s="12"/>
      <c r="E116" s="12"/>
      <c r="F116" s="12"/>
      <c r="G116" s="18"/>
      <c r="H116" s="35"/>
      <c r="I116" s="35"/>
      <c r="J116" s="12"/>
      <c r="P116" s="18"/>
      <c r="Q116" s="12"/>
      <c r="R116" s="12"/>
      <c r="S116" s="12"/>
      <c r="T116" s="36"/>
      <c r="U116" s="36"/>
      <c r="V116" s="12"/>
      <c r="W116" s="12"/>
      <c r="X116" s="12"/>
      <c r="Y116" s="12"/>
      <c r="Z116" s="12"/>
    </row>
    <row r="117" customFormat="false" ht="15.75" hidden="false" customHeight="false" outlineLevel="0" collapsed="false">
      <c r="A117" s="12"/>
      <c r="B117" s="34"/>
      <c r="C117" s="12"/>
      <c r="D117" s="12"/>
      <c r="E117" s="12"/>
      <c r="F117" s="12"/>
      <c r="G117" s="18"/>
      <c r="H117" s="35"/>
      <c r="I117" s="35"/>
      <c r="J117" s="12"/>
      <c r="P117" s="18"/>
      <c r="Q117" s="12"/>
      <c r="R117" s="12"/>
      <c r="S117" s="12"/>
      <c r="T117" s="36"/>
      <c r="U117" s="36"/>
      <c r="V117" s="12"/>
      <c r="W117" s="12"/>
      <c r="X117" s="12"/>
      <c r="Y117" s="12"/>
      <c r="Z117" s="12"/>
    </row>
    <row r="118" customFormat="false" ht="15.75" hidden="false" customHeight="false" outlineLevel="0" collapsed="false">
      <c r="A118" s="12"/>
      <c r="B118" s="34"/>
      <c r="C118" s="12"/>
      <c r="D118" s="12"/>
      <c r="E118" s="12"/>
      <c r="F118" s="12"/>
      <c r="G118" s="18"/>
      <c r="H118" s="35"/>
      <c r="I118" s="35"/>
      <c r="J118" s="12"/>
      <c r="P118" s="18"/>
      <c r="Q118" s="12"/>
      <c r="R118" s="12"/>
      <c r="S118" s="12"/>
      <c r="T118" s="36"/>
      <c r="U118" s="36"/>
      <c r="V118" s="12"/>
      <c r="W118" s="12"/>
      <c r="X118" s="12"/>
      <c r="Y118" s="12"/>
      <c r="Z118" s="12"/>
    </row>
    <row r="119" customFormat="false" ht="15.75" hidden="false" customHeight="false" outlineLevel="0" collapsed="false">
      <c r="A119" s="12"/>
      <c r="B119" s="34"/>
      <c r="C119" s="12"/>
      <c r="D119" s="12"/>
      <c r="E119" s="12"/>
      <c r="F119" s="12"/>
      <c r="G119" s="18"/>
      <c r="H119" s="35"/>
      <c r="I119" s="35"/>
      <c r="J119" s="12"/>
      <c r="P119" s="18"/>
      <c r="Q119" s="12"/>
      <c r="R119" s="12"/>
      <c r="S119" s="12"/>
      <c r="T119" s="36"/>
      <c r="U119" s="36"/>
      <c r="V119" s="12"/>
      <c r="W119" s="12"/>
      <c r="X119" s="12"/>
      <c r="Y119" s="12"/>
      <c r="Z119" s="12"/>
    </row>
    <row r="120" customFormat="false" ht="15.75" hidden="false" customHeight="false" outlineLevel="0" collapsed="false">
      <c r="A120" s="12"/>
      <c r="B120" s="34"/>
      <c r="C120" s="12"/>
      <c r="D120" s="12"/>
      <c r="E120" s="12"/>
      <c r="F120" s="12"/>
      <c r="G120" s="18"/>
      <c r="H120" s="35"/>
      <c r="I120" s="35"/>
      <c r="J120" s="12"/>
      <c r="P120" s="18"/>
      <c r="Q120" s="12"/>
      <c r="R120" s="12"/>
      <c r="S120" s="12"/>
      <c r="T120" s="36"/>
      <c r="U120" s="36"/>
      <c r="V120" s="12"/>
      <c r="W120" s="12"/>
      <c r="X120" s="12"/>
      <c r="Y120" s="12"/>
      <c r="Z120" s="12"/>
    </row>
    <row r="121" customFormat="false" ht="15.75" hidden="false" customHeight="false" outlineLevel="0" collapsed="false">
      <c r="A121" s="12"/>
      <c r="B121" s="34"/>
      <c r="C121" s="12"/>
      <c r="D121" s="12"/>
      <c r="E121" s="12"/>
      <c r="F121" s="12"/>
      <c r="G121" s="18"/>
      <c r="H121" s="35"/>
      <c r="I121" s="35"/>
      <c r="J121" s="12"/>
      <c r="P121" s="18"/>
      <c r="Q121" s="12"/>
      <c r="R121" s="12"/>
      <c r="S121" s="12"/>
      <c r="T121" s="36"/>
      <c r="U121" s="36"/>
      <c r="V121" s="12"/>
      <c r="W121" s="12"/>
      <c r="X121" s="12"/>
      <c r="Y121" s="12"/>
      <c r="Z121" s="12"/>
    </row>
    <row r="122" customFormat="false" ht="15.75" hidden="false" customHeight="false" outlineLevel="0" collapsed="false">
      <c r="A122" s="12"/>
      <c r="B122" s="34"/>
      <c r="C122" s="12"/>
      <c r="D122" s="12"/>
      <c r="E122" s="12"/>
      <c r="F122" s="12"/>
      <c r="G122" s="18"/>
      <c r="H122" s="35"/>
      <c r="I122" s="35"/>
      <c r="J122" s="12"/>
      <c r="P122" s="18"/>
      <c r="Q122" s="12"/>
      <c r="R122" s="12"/>
      <c r="S122" s="12"/>
      <c r="T122" s="36"/>
      <c r="U122" s="36"/>
      <c r="V122" s="12"/>
      <c r="W122" s="12"/>
      <c r="X122" s="12"/>
      <c r="Y122" s="12"/>
      <c r="Z122" s="12"/>
    </row>
    <row r="123" customFormat="false" ht="15.75" hidden="false" customHeight="false" outlineLevel="0" collapsed="false">
      <c r="A123" s="12"/>
      <c r="B123" s="34"/>
      <c r="C123" s="12"/>
      <c r="D123" s="12"/>
      <c r="E123" s="12"/>
      <c r="F123" s="12"/>
      <c r="G123" s="18"/>
      <c r="H123" s="35"/>
      <c r="I123" s="35"/>
      <c r="J123" s="12"/>
      <c r="O123" s="12"/>
      <c r="P123" s="18"/>
      <c r="Q123" s="12"/>
      <c r="R123" s="12"/>
      <c r="S123" s="12"/>
      <c r="T123" s="36"/>
      <c r="U123" s="36"/>
      <c r="V123" s="12"/>
      <c r="W123" s="12"/>
      <c r="X123" s="12"/>
      <c r="Y123" s="12"/>
      <c r="Z123" s="12"/>
    </row>
    <row r="124" customFormat="false" ht="15.75" hidden="false" customHeight="false" outlineLevel="0" collapsed="false">
      <c r="A124" s="12"/>
      <c r="B124" s="34"/>
      <c r="C124" s="12"/>
      <c r="D124" s="12"/>
      <c r="E124" s="12"/>
      <c r="F124" s="12"/>
      <c r="G124" s="18"/>
      <c r="H124" s="35"/>
      <c r="I124" s="35"/>
      <c r="J124" s="12"/>
      <c r="O124" s="12"/>
      <c r="P124" s="18"/>
      <c r="Q124" s="12"/>
      <c r="R124" s="12"/>
      <c r="S124" s="12"/>
      <c r="T124" s="36"/>
      <c r="U124" s="36"/>
      <c r="V124" s="12"/>
      <c r="W124" s="12"/>
      <c r="X124" s="12"/>
      <c r="Y124" s="12"/>
      <c r="Z124" s="12"/>
    </row>
    <row r="125" customFormat="false" ht="15.75" hidden="false" customHeight="false" outlineLevel="0" collapsed="false">
      <c r="A125" s="12"/>
      <c r="B125" s="34"/>
      <c r="C125" s="12"/>
      <c r="D125" s="12"/>
      <c r="E125" s="12"/>
      <c r="F125" s="12"/>
      <c r="G125" s="18"/>
      <c r="H125" s="35"/>
      <c r="I125" s="35"/>
      <c r="J125" s="12"/>
      <c r="O125" s="12"/>
      <c r="P125" s="18"/>
      <c r="Q125" s="12"/>
      <c r="R125" s="12"/>
      <c r="S125" s="12"/>
      <c r="T125" s="36"/>
      <c r="U125" s="36"/>
      <c r="V125" s="12"/>
      <c r="W125" s="12"/>
      <c r="X125" s="12"/>
      <c r="Y125" s="12"/>
      <c r="Z125" s="12"/>
    </row>
    <row r="126" customFormat="false" ht="15.75" hidden="false" customHeight="false" outlineLevel="0" collapsed="false">
      <c r="A126" s="12"/>
      <c r="B126" s="34"/>
      <c r="C126" s="12"/>
      <c r="D126" s="12"/>
      <c r="E126" s="12"/>
      <c r="F126" s="12"/>
      <c r="G126" s="18"/>
      <c r="H126" s="35"/>
      <c r="I126" s="35"/>
      <c r="J126" s="12"/>
      <c r="O126" s="12"/>
      <c r="P126" s="18"/>
      <c r="Q126" s="12"/>
      <c r="R126" s="12"/>
      <c r="S126" s="12"/>
      <c r="T126" s="36"/>
      <c r="U126" s="36"/>
      <c r="V126" s="12"/>
      <c r="W126" s="12"/>
      <c r="X126" s="12"/>
      <c r="Y126" s="12"/>
      <c r="Z126" s="12"/>
    </row>
    <row r="127" customFormat="false" ht="15.75" hidden="false" customHeight="false" outlineLevel="0" collapsed="false">
      <c r="A127" s="12"/>
      <c r="B127" s="34"/>
      <c r="C127" s="12"/>
      <c r="D127" s="12"/>
      <c r="E127" s="12"/>
      <c r="F127" s="12"/>
      <c r="G127" s="18"/>
      <c r="H127" s="35"/>
      <c r="I127" s="35"/>
      <c r="J127" s="12"/>
      <c r="O127" s="12"/>
      <c r="P127" s="18"/>
      <c r="Q127" s="12"/>
      <c r="R127" s="12"/>
      <c r="S127" s="12"/>
      <c r="T127" s="36"/>
      <c r="U127" s="36"/>
      <c r="V127" s="12"/>
      <c r="W127" s="12"/>
      <c r="X127" s="12"/>
      <c r="Y127" s="12"/>
      <c r="Z127" s="12"/>
    </row>
    <row r="128" customFormat="false" ht="15.75" hidden="false" customHeight="false" outlineLevel="0" collapsed="false">
      <c r="A128" s="12"/>
      <c r="B128" s="34"/>
      <c r="C128" s="12"/>
      <c r="D128" s="12"/>
      <c r="E128" s="12"/>
      <c r="F128" s="12"/>
      <c r="G128" s="18"/>
      <c r="H128" s="35"/>
      <c r="I128" s="35"/>
      <c r="J128" s="12"/>
      <c r="O128" s="12"/>
      <c r="P128" s="18"/>
      <c r="Q128" s="12"/>
      <c r="R128" s="12"/>
      <c r="S128" s="12"/>
      <c r="T128" s="36"/>
      <c r="U128" s="36"/>
      <c r="V128" s="12"/>
      <c r="W128" s="12"/>
      <c r="X128" s="12"/>
      <c r="Y128" s="12"/>
      <c r="Z128" s="12"/>
    </row>
    <row r="129" customFormat="false" ht="15.75" hidden="false" customHeight="false" outlineLevel="0" collapsed="false">
      <c r="A129" s="12"/>
      <c r="B129" s="34"/>
      <c r="C129" s="12"/>
      <c r="D129" s="12"/>
      <c r="E129" s="12"/>
      <c r="F129" s="12"/>
      <c r="G129" s="18"/>
      <c r="H129" s="35"/>
      <c r="I129" s="35"/>
      <c r="J129" s="12"/>
      <c r="O129" s="12"/>
      <c r="P129" s="18"/>
      <c r="Q129" s="12"/>
      <c r="R129" s="12"/>
      <c r="S129" s="12"/>
      <c r="T129" s="36"/>
      <c r="U129" s="36"/>
      <c r="V129" s="12"/>
      <c r="W129" s="12"/>
      <c r="X129" s="12"/>
      <c r="Y129" s="12"/>
      <c r="Z129" s="12"/>
    </row>
    <row r="130" customFormat="false" ht="15.75" hidden="false" customHeight="false" outlineLevel="0" collapsed="false">
      <c r="A130" s="12"/>
      <c r="B130" s="34"/>
      <c r="C130" s="12"/>
      <c r="D130" s="12"/>
      <c r="E130" s="12"/>
      <c r="F130" s="12"/>
      <c r="G130" s="18"/>
      <c r="H130" s="35"/>
      <c r="I130" s="35"/>
      <c r="J130" s="12"/>
      <c r="O130" s="12"/>
      <c r="P130" s="18"/>
      <c r="Q130" s="12"/>
      <c r="R130" s="12"/>
      <c r="S130" s="12"/>
      <c r="T130" s="36"/>
      <c r="U130" s="36"/>
      <c r="V130" s="12"/>
      <c r="W130" s="12"/>
      <c r="X130" s="12"/>
      <c r="Y130" s="12"/>
      <c r="Z130" s="12"/>
    </row>
    <row r="131" customFormat="false" ht="15.75" hidden="false" customHeight="false" outlineLevel="0" collapsed="false">
      <c r="A131" s="12"/>
      <c r="B131" s="34"/>
      <c r="C131" s="12"/>
      <c r="D131" s="12"/>
      <c r="E131" s="12"/>
      <c r="F131" s="12"/>
      <c r="G131" s="18"/>
      <c r="H131" s="35"/>
      <c r="I131" s="35"/>
      <c r="J131" s="12"/>
      <c r="O131" s="12"/>
      <c r="P131" s="18"/>
      <c r="Q131" s="12"/>
      <c r="R131" s="12"/>
      <c r="S131" s="12"/>
      <c r="T131" s="36"/>
      <c r="U131" s="36"/>
      <c r="V131" s="12"/>
      <c r="W131" s="12"/>
      <c r="X131" s="12"/>
      <c r="Y131" s="12"/>
      <c r="Z131" s="12"/>
    </row>
    <row r="132" customFormat="false" ht="15.75" hidden="false" customHeight="false" outlineLevel="0" collapsed="false">
      <c r="A132" s="12"/>
      <c r="B132" s="34"/>
      <c r="C132" s="12"/>
      <c r="D132" s="12"/>
      <c r="E132" s="12"/>
      <c r="F132" s="12"/>
      <c r="G132" s="18"/>
      <c r="H132" s="35"/>
      <c r="I132" s="35"/>
      <c r="J132" s="12"/>
      <c r="O132" s="12"/>
      <c r="P132" s="18"/>
      <c r="Q132" s="12"/>
      <c r="R132" s="12"/>
      <c r="S132" s="12"/>
      <c r="T132" s="36"/>
      <c r="U132" s="36"/>
      <c r="V132" s="12"/>
      <c r="W132" s="12"/>
      <c r="X132" s="12"/>
      <c r="Y132" s="12"/>
      <c r="Z132" s="12"/>
    </row>
    <row r="133" customFormat="false" ht="15.75" hidden="false" customHeight="false" outlineLevel="0" collapsed="false">
      <c r="A133" s="12"/>
      <c r="B133" s="34"/>
      <c r="C133" s="12"/>
      <c r="D133" s="12"/>
      <c r="E133" s="12"/>
      <c r="F133" s="12"/>
      <c r="G133" s="18"/>
      <c r="H133" s="35"/>
      <c r="I133" s="35"/>
      <c r="J133" s="12"/>
      <c r="O133" s="12"/>
      <c r="P133" s="18"/>
      <c r="Q133" s="12"/>
      <c r="R133" s="12"/>
      <c r="S133" s="12"/>
      <c r="T133" s="36"/>
      <c r="U133" s="36"/>
      <c r="V133" s="12"/>
      <c r="W133" s="12"/>
      <c r="X133" s="12"/>
      <c r="Y133" s="12"/>
      <c r="Z133" s="12"/>
    </row>
    <row r="134" customFormat="false" ht="15.75" hidden="false" customHeight="false" outlineLevel="0" collapsed="false">
      <c r="A134" s="12"/>
      <c r="B134" s="34"/>
      <c r="C134" s="12"/>
      <c r="D134" s="12"/>
      <c r="E134" s="12"/>
      <c r="F134" s="12"/>
      <c r="G134" s="18"/>
      <c r="H134" s="35"/>
      <c r="I134" s="35"/>
      <c r="J134" s="12"/>
      <c r="O134" s="12"/>
      <c r="P134" s="18"/>
      <c r="Q134" s="12"/>
      <c r="R134" s="12"/>
      <c r="S134" s="12"/>
      <c r="T134" s="36"/>
      <c r="U134" s="36"/>
      <c r="V134" s="12"/>
      <c r="W134" s="12"/>
      <c r="X134" s="12"/>
      <c r="Y134" s="12"/>
      <c r="Z134" s="12"/>
    </row>
    <row r="135" customFormat="false" ht="15.75" hidden="false" customHeight="false" outlineLevel="0" collapsed="false">
      <c r="A135" s="12"/>
      <c r="B135" s="34"/>
      <c r="C135" s="12"/>
      <c r="D135" s="12"/>
      <c r="E135" s="12"/>
      <c r="F135" s="12"/>
      <c r="G135" s="18"/>
      <c r="H135" s="35"/>
      <c r="I135" s="35"/>
      <c r="J135" s="12"/>
      <c r="O135" s="12"/>
      <c r="P135" s="18"/>
      <c r="Q135" s="12"/>
      <c r="R135" s="12"/>
      <c r="S135" s="12"/>
      <c r="T135" s="36"/>
      <c r="U135" s="36"/>
      <c r="V135" s="12"/>
      <c r="W135" s="12"/>
      <c r="X135" s="12"/>
      <c r="Y135" s="12"/>
      <c r="Z135" s="12"/>
    </row>
    <row r="136" customFormat="false" ht="15.75" hidden="false" customHeight="false" outlineLevel="0" collapsed="false">
      <c r="A136" s="12"/>
      <c r="B136" s="34"/>
      <c r="C136" s="12"/>
      <c r="D136" s="12"/>
      <c r="E136" s="12"/>
      <c r="F136" s="12"/>
      <c r="G136" s="18"/>
      <c r="H136" s="35"/>
      <c r="I136" s="35"/>
      <c r="J136" s="12"/>
      <c r="O136" s="12"/>
      <c r="P136" s="18"/>
      <c r="Q136" s="12"/>
      <c r="R136" s="12"/>
      <c r="S136" s="12"/>
      <c r="T136" s="36"/>
      <c r="U136" s="36"/>
      <c r="V136" s="12"/>
      <c r="W136" s="12"/>
      <c r="X136" s="12"/>
      <c r="Y136" s="12"/>
      <c r="Z136" s="12"/>
    </row>
    <row r="137" customFormat="false" ht="15.75" hidden="false" customHeight="false" outlineLevel="0" collapsed="false">
      <c r="A137" s="12"/>
      <c r="B137" s="34"/>
      <c r="C137" s="12"/>
      <c r="D137" s="12"/>
      <c r="E137" s="12"/>
      <c r="F137" s="12"/>
      <c r="G137" s="18"/>
      <c r="H137" s="35"/>
      <c r="I137" s="35"/>
      <c r="J137" s="12"/>
      <c r="O137" s="12"/>
      <c r="P137" s="18"/>
      <c r="Q137" s="12"/>
      <c r="R137" s="12"/>
      <c r="S137" s="12"/>
      <c r="T137" s="36"/>
      <c r="U137" s="36"/>
      <c r="V137" s="12"/>
      <c r="W137" s="12"/>
      <c r="X137" s="12"/>
      <c r="Y137" s="12"/>
      <c r="Z137" s="12"/>
    </row>
    <row r="138" customFormat="false" ht="15.75" hidden="false" customHeight="false" outlineLevel="0" collapsed="false">
      <c r="A138" s="12"/>
      <c r="B138" s="34"/>
      <c r="C138" s="12"/>
      <c r="D138" s="12"/>
      <c r="E138" s="12"/>
      <c r="F138" s="12"/>
      <c r="G138" s="18"/>
      <c r="H138" s="35"/>
      <c r="I138" s="35"/>
      <c r="J138" s="12"/>
      <c r="O138" s="12"/>
      <c r="P138" s="18"/>
      <c r="Q138" s="12"/>
      <c r="R138" s="12"/>
      <c r="S138" s="12"/>
      <c r="T138" s="36"/>
      <c r="U138" s="36"/>
      <c r="V138" s="12"/>
      <c r="W138" s="12"/>
      <c r="X138" s="12"/>
      <c r="Y138" s="12"/>
      <c r="Z138" s="12"/>
    </row>
    <row r="139" customFormat="false" ht="15.75" hidden="false" customHeight="false" outlineLevel="0" collapsed="false">
      <c r="A139" s="12"/>
      <c r="B139" s="34"/>
      <c r="C139" s="12"/>
      <c r="D139" s="12"/>
      <c r="E139" s="12"/>
      <c r="F139" s="12"/>
      <c r="G139" s="18"/>
      <c r="H139" s="35"/>
      <c r="I139" s="35"/>
      <c r="J139" s="12"/>
      <c r="O139" s="12"/>
      <c r="P139" s="18"/>
      <c r="Q139" s="12"/>
      <c r="R139" s="12"/>
      <c r="S139" s="12"/>
      <c r="T139" s="36"/>
      <c r="U139" s="36"/>
      <c r="V139" s="12"/>
      <c r="W139" s="12"/>
      <c r="X139" s="12"/>
      <c r="Y139" s="12"/>
      <c r="Z139" s="12"/>
    </row>
    <row r="140" customFormat="false" ht="15.75" hidden="false" customHeight="false" outlineLevel="0" collapsed="false">
      <c r="A140" s="12"/>
      <c r="B140" s="34"/>
      <c r="C140" s="12"/>
      <c r="D140" s="12"/>
      <c r="E140" s="12"/>
      <c r="F140" s="12"/>
      <c r="G140" s="18"/>
      <c r="H140" s="35"/>
      <c r="I140" s="35"/>
      <c r="J140" s="12"/>
      <c r="O140" s="12"/>
      <c r="P140" s="18"/>
      <c r="Q140" s="12"/>
      <c r="R140" s="12"/>
      <c r="S140" s="12"/>
      <c r="T140" s="36"/>
      <c r="U140" s="36"/>
      <c r="V140" s="12"/>
      <c r="W140" s="12"/>
      <c r="X140" s="12"/>
      <c r="Y140" s="12"/>
      <c r="Z140" s="12"/>
    </row>
    <row r="141" customFormat="false" ht="15.75" hidden="false" customHeight="false" outlineLevel="0" collapsed="false">
      <c r="A141" s="12"/>
      <c r="B141" s="34"/>
      <c r="C141" s="12"/>
      <c r="D141" s="12"/>
      <c r="E141" s="12"/>
      <c r="F141" s="12"/>
      <c r="G141" s="18"/>
      <c r="H141" s="35"/>
      <c r="I141" s="35"/>
      <c r="J141" s="12"/>
      <c r="O141" s="12"/>
      <c r="P141" s="18"/>
      <c r="Q141" s="12"/>
      <c r="R141" s="12"/>
      <c r="S141" s="12"/>
      <c r="T141" s="36"/>
      <c r="U141" s="36"/>
      <c r="V141" s="12"/>
      <c r="W141" s="12"/>
      <c r="X141" s="12"/>
      <c r="Y141" s="12"/>
      <c r="Z141" s="12"/>
    </row>
    <row r="142" customFormat="false" ht="15.75" hidden="false" customHeight="false" outlineLevel="0" collapsed="false">
      <c r="A142" s="12"/>
      <c r="B142" s="34"/>
      <c r="C142" s="12"/>
      <c r="D142" s="12"/>
      <c r="E142" s="12"/>
      <c r="F142" s="12"/>
      <c r="G142" s="18"/>
      <c r="H142" s="35"/>
      <c r="I142" s="35"/>
      <c r="J142" s="12"/>
      <c r="O142" s="12"/>
      <c r="P142" s="18"/>
      <c r="Q142" s="12"/>
      <c r="R142" s="12"/>
      <c r="S142" s="12"/>
      <c r="T142" s="36"/>
      <c r="U142" s="36"/>
      <c r="V142" s="12"/>
      <c r="W142" s="12"/>
      <c r="X142" s="12"/>
      <c r="Y142" s="12"/>
      <c r="Z142" s="12"/>
    </row>
    <row r="143" customFormat="false" ht="15.75" hidden="false" customHeight="false" outlineLevel="0" collapsed="false">
      <c r="A143" s="12"/>
      <c r="B143" s="34"/>
      <c r="C143" s="12"/>
      <c r="D143" s="12"/>
      <c r="E143" s="12"/>
      <c r="F143" s="12"/>
      <c r="G143" s="18"/>
      <c r="H143" s="35"/>
      <c r="I143" s="35"/>
      <c r="J143" s="12"/>
      <c r="O143" s="12"/>
      <c r="P143" s="18"/>
      <c r="Q143" s="12"/>
      <c r="R143" s="12"/>
      <c r="S143" s="12"/>
      <c r="T143" s="36"/>
      <c r="U143" s="36"/>
      <c r="V143" s="12"/>
      <c r="W143" s="12"/>
      <c r="X143" s="12"/>
      <c r="Y143" s="12"/>
      <c r="Z143" s="12"/>
    </row>
    <row r="144" customFormat="false" ht="15.75" hidden="false" customHeight="false" outlineLevel="0" collapsed="false">
      <c r="A144" s="12"/>
      <c r="B144" s="34"/>
      <c r="C144" s="12"/>
      <c r="D144" s="12"/>
      <c r="E144" s="12"/>
      <c r="F144" s="12"/>
      <c r="G144" s="18"/>
      <c r="H144" s="35"/>
      <c r="I144" s="35"/>
      <c r="J144" s="12"/>
      <c r="O144" s="12"/>
      <c r="P144" s="18"/>
      <c r="Q144" s="12"/>
      <c r="R144" s="12"/>
      <c r="S144" s="12"/>
      <c r="T144" s="36"/>
      <c r="U144" s="36"/>
      <c r="V144" s="12"/>
      <c r="W144" s="12"/>
      <c r="X144" s="12"/>
      <c r="Y144" s="12"/>
      <c r="Z144" s="12"/>
    </row>
    <row r="145" customFormat="false" ht="15.75" hidden="false" customHeight="false" outlineLevel="0" collapsed="false">
      <c r="A145" s="12"/>
      <c r="B145" s="34"/>
      <c r="C145" s="12"/>
      <c r="D145" s="12"/>
      <c r="E145" s="12"/>
      <c r="F145" s="12"/>
      <c r="G145" s="18"/>
      <c r="H145" s="35"/>
      <c r="I145" s="35"/>
      <c r="J145" s="12"/>
      <c r="O145" s="12"/>
      <c r="P145" s="18"/>
      <c r="Q145" s="12"/>
      <c r="R145" s="12"/>
      <c r="S145" s="12"/>
      <c r="T145" s="36"/>
      <c r="U145" s="36"/>
      <c r="V145" s="12"/>
      <c r="W145" s="12"/>
      <c r="X145" s="12"/>
      <c r="Y145" s="12"/>
      <c r="Z145" s="12"/>
    </row>
    <row r="146" customFormat="false" ht="15.75" hidden="false" customHeight="false" outlineLevel="0" collapsed="false">
      <c r="A146" s="12"/>
      <c r="B146" s="34"/>
      <c r="C146" s="12"/>
      <c r="D146" s="12"/>
      <c r="E146" s="12"/>
      <c r="F146" s="12"/>
      <c r="G146" s="18"/>
      <c r="H146" s="35"/>
      <c r="I146" s="35"/>
      <c r="J146" s="12"/>
      <c r="O146" s="12"/>
      <c r="P146" s="18"/>
      <c r="Q146" s="12"/>
      <c r="R146" s="12"/>
      <c r="S146" s="12"/>
      <c r="T146" s="36"/>
      <c r="U146" s="36"/>
      <c r="V146" s="12"/>
      <c r="W146" s="12"/>
      <c r="X146" s="12"/>
      <c r="Y146" s="12"/>
      <c r="Z146" s="12"/>
    </row>
    <row r="147" customFormat="false" ht="15.75" hidden="false" customHeight="false" outlineLevel="0" collapsed="false">
      <c r="A147" s="12"/>
      <c r="B147" s="34"/>
      <c r="C147" s="12"/>
      <c r="D147" s="12"/>
      <c r="E147" s="12"/>
      <c r="F147" s="12"/>
      <c r="G147" s="18"/>
      <c r="H147" s="35"/>
      <c r="I147" s="35"/>
      <c r="J147" s="12"/>
      <c r="O147" s="12"/>
      <c r="P147" s="18"/>
      <c r="Q147" s="12"/>
      <c r="R147" s="12"/>
      <c r="S147" s="12"/>
      <c r="T147" s="36"/>
      <c r="U147" s="36"/>
      <c r="V147" s="12"/>
      <c r="W147" s="12"/>
      <c r="X147" s="12"/>
      <c r="Y147" s="12"/>
      <c r="Z147" s="12"/>
    </row>
    <row r="148" customFormat="false" ht="15.75" hidden="false" customHeight="false" outlineLevel="0" collapsed="false">
      <c r="A148" s="12"/>
      <c r="B148" s="34"/>
      <c r="C148" s="12"/>
      <c r="D148" s="12"/>
      <c r="E148" s="12"/>
      <c r="F148" s="12"/>
      <c r="G148" s="18"/>
      <c r="H148" s="35"/>
      <c r="I148" s="35"/>
      <c r="J148" s="12"/>
      <c r="O148" s="12"/>
      <c r="P148" s="18"/>
      <c r="Q148" s="12"/>
      <c r="R148" s="12"/>
      <c r="S148" s="12"/>
      <c r="T148" s="36"/>
      <c r="U148" s="36"/>
      <c r="V148" s="12"/>
      <c r="W148" s="12"/>
      <c r="X148" s="12"/>
      <c r="Y148" s="12"/>
      <c r="Z148" s="12"/>
    </row>
    <row r="149" customFormat="false" ht="15.75" hidden="false" customHeight="false" outlineLevel="0" collapsed="false">
      <c r="A149" s="12"/>
      <c r="B149" s="34"/>
      <c r="C149" s="12"/>
      <c r="D149" s="12"/>
      <c r="E149" s="12"/>
      <c r="F149" s="12"/>
      <c r="G149" s="18"/>
      <c r="H149" s="35"/>
      <c r="I149" s="35"/>
      <c r="J149" s="12"/>
      <c r="O149" s="12"/>
      <c r="P149" s="18"/>
      <c r="Q149" s="12"/>
      <c r="R149" s="12"/>
      <c r="S149" s="12"/>
      <c r="T149" s="36"/>
      <c r="U149" s="36"/>
      <c r="V149" s="12"/>
      <c r="W149" s="12"/>
      <c r="X149" s="12"/>
      <c r="Y149" s="12"/>
      <c r="Z149" s="12"/>
    </row>
    <row r="150" customFormat="false" ht="15.75" hidden="false" customHeight="false" outlineLevel="0" collapsed="false">
      <c r="A150" s="12"/>
      <c r="B150" s="34"/>
      <c r="C150" s="12"/>
      <c r="D150" s="12"/>
      <c r="E150" s="12"/>
      <c r="F150" s="12"/>
      <c r="G150" s="18"/>
      <c r="H150" s="35"/>
      <c r="I150" s="35"/>
      <c r="J150" s="12"/>
      <c r="O150" s="12"/>
      <c r="P150" s="18"/>
      <c r="Q150" s="12"/>
      <c r="R150" s="12"/>
      <c r="S150" s="12"/>
      <c r="T150" s="36"/>
      <c r="U150" s="36"/>
      <c r="V150" s="12"/>
      <c r="W150" s="12"/>
      <c r="X150" s="12"/>
      <c r="Y150" s="12"/>
      <c r="Z150" s="12"/>
    </row>
    <row r="151" customFormat="false" ht="15.75" hidden="false" customHeight="false" outlineLevel="0" collapsed="false">
      <c r="A151" s="12"/>
      <c r="B151" s="34"/>
      <c r="C151" s="12"/>
      <c r="D151" s="12"/>
      <c r="E151" s="12"/>
      <c r="F151" s="12"/>
      <c r="G151" s="18"/>
      <c r="H151" s="35"/>
      <c r="I151" s="35"/>
      <c r="J151" s="12"/>
      <c r="O151" s="12"/>
      <c r="P151" s="18"/>
      <c r="Q151" s="12"/>
      <c r="R151" s="12"/>
      <c r="S151" s="12"/>
      <c r="T151" s="36"/>
      <c r="U151" s="36"/>
      <c r="V151" s="12"/>
      <c r="W151" s="12"/>
      <c r="X151" s="12"/>
      <c r="Y151" s="12"/>
      <c r="Z151" s="12"/>
    </row>
    <row r="152" customFormat="false" ht="15.75" hidden="false" customHeight="false" outlineLevel="0" collapsed="false">
      <c r="A152" s="12"/>
      <c r="B152" s="34"/>
      <c r="C152" s="12"/>
      <c r="D152" s="12"/>
      <c r="E152" s="12"/>
      <c r="F152" s="12"/>
      <c r="G152" s="18"/>
      <c r="H152" s="35"/>
      <c r="I152" s="35"/>
      <c r="J152" s="12"/>
      <c r="O152" s="12"/>
      <c r="P152" s="18"/>
      <c r="Q152" s="12"/>
      <c r="R152" s="12"/>
      <c r="S152" s="12"/>
      <c r="T152" s="36"/>
      <c r="U152" s="36"/>
      <c r="V152" s="12"/>
      <c r="W152" s="12"/>
      <c r="X152" s="12"/>
      <c r="Y152" s="12"/>
      <c r="Z152" s="12"/>
    </row>
    <row r="153" customFormat="false" ht="15.75" hidden="false" customHeight="false" outlineLevel="0" collapsed="false">
      <c r="A153" s="12"/>
      <c r="B153" s="34"/>
      <c r="C153" s="12"/>
      <c r="D153" s="12"/>
      <c r="E153" s="12"/>
      <c r="F153" s="12"/>
      <c r="G153" s="18"/>
      <c r="H153" s="35"/>
      <c r="I153" s="35"/>
      <c r="J153" s="12"/>
      <c r="O153" s="12"/>
      <c r="P153" s="18"/>
      <c r="Q153" s="12"/>
      <c r="R153" s="12"/>
      <c r="S153" s="12"/>
      <c r="T153" s="36"/>
      <c r="U153" s="36"/>
      <c r="V153" s="12"/>
      <c r="W153" s="12"/>
      <c r="X153" s="12"/>
      <c r="Y153" s="12"/>
      <c r="Z153" s="12"/>
    </row>
    <row r="154" customFormat="false" ht="15.75" hidden="false" customHeight="false" outlineLevel="0" collapsed="false">
      <c r="A154" s="12"/>
      <c r="B154" s="34"/>
      <c r="C154" s="12"/>
      <c r="D154" s="12"/>
      <c r="E154" s="12"/>
      <c r="F154" s="12"/>
      <c r="G154" s="18"/>
      <c r="H154" s="35"/>
      <c r="I154" s="35"/>
      <c r="J154" s="12"/>
      <c r="O154" s="12"/>
      <c r="P154" s="18"/>
      <c r="Q154" s="12"/>
      <c r="R154" s="12"/>
      <c r="S154" s="12"/>
      <c r="T154" s="36"/>
      <c r="U154" s="36"/>
      <c r="V154" s="12"/>
      <c r="W154" s="12"/>
      <c r="X154" s="12"/>
      <c r="Y154" s="12"/>
      <c r="Z154" s="12"/>
    </row>
    <row r="155" customFormat="false" ht="15.75" hidden="false" customHeight="false" outlineLevel="0" collapsed="false">
      <c r="A155" s="12"/>
      <c r="B155" s="34"/>
      <c r="C155" s="12"/>
      <c r="D155" s="12"/>
      <c r="E155" s="12"/>
      <c r="F155" s="12"/>
      <c r="G155" s="18"/>
      <c r="H155" s="35"/>
      <c r="I155" s="35"/>
      <c r="J155" s="12"/>
      <c r="O155" s="12"/>
      <c r="P155" s="18"/>
      <c r="Q155" s="12"/>
      <c r="R155" s="12"/>
      <c r="S155" s="12"/>
      <c r="T155" s="36"/>
      <c r="U155" s="36"/>
      <c r="V155" s="12"/>
      <c r="W155" s="12"/>
      <c r="X155" s="12"/>
      <c r="Y155" s="12"/>
      <c r="Z155" s="12"/>
    </row>
    <row r="156" customFormat="false" ht="15.75" hidden="false" customHeight="false" outlineLevel="0" collapsed="false">
      <c r="A156" s="12"/>
      <c r="B156" s="34"/>
      <c r="C156" s="12"/>
      <c r="D156" s="12"/>
      <c r="E156" s="12"/>
      <c r="F156" s="12"/>
      <c r="G156" s="18"/>
      <c r="H156" s="35"/>
      <c r="I156" s="35"/>
      <c r="J156" s="12"/>
      <c r="O156" s="12"/>
      <c r="P156" s="18"/>
      <c r="Q156" s="12"/>
      <c r="R156" s="12"/>
      <c r="S156" s="12"/>
      <c r="T156" s="36"/>
      <c r="U156" s="36"/>
      <c r="V156" s="12"/>
      <c r="W156" s="12"/>
      <c r="X156" s="12"/>
      <c r="Y156" s="12"/>
      <c r="Z156" s="12"/>
    </row>
    <row r="157" customFormat="false" ht="15.75" hidden="false" customHeight="false" outlineLevel="0" collapsed="false">
      <c r="A157" s="12"/>
      <c r="B157" s="34"/>
      <c r="C157" s="12"/>
      <c r="D157" s="12"/>
      <c r="E157" s="12"/>
      <c r="F157" s="12"/>
      <c r="G157" s="18"/>
      <c r="H157" s="35"/>
      <c r="I157" s="35"/>
      <c r="J157" s="12"/>
      <c r="O157" s="12"/>
      <c r="P157" s="18"/>
      <c r="Q157" s="12"/>
      <c r="R157" s="12"/>
      <c r="S157" s="12"/>
      <c r="T157" s="36"/>
      <c r="U157" s="36"/>
      <c r="V157" s="12"/>
      <c r="W157" s="12"/>
      <c r="X157" s="12"/>
      <c r="Y157" s="12"/>
      <c r="Z157" s="12"/>
    </row>
    <row r="158" customFormat="false" ht="15.75" hidden="false" customHeight="false" outlineLevel="0" collapsed="false">
      <c r="A158" s="12"/>
      <c r="B158" s="34"/>
      <c r="C158" s="12"/>
      <c r="D158" s="12"/>
      <c r="E158" s="12"/>
      <c r="F158" s="12"/>
      <c r="G158" s="18"/>
      <c r="H158" s="35"/>
      <c r="I158" s="35"/>
      <c r="J158" s="12"/>
      <c r="O158" s="12"/>
      <c r="P158" s="18"/>
      <c r="Q158" s="12"/>
      <c r="R158" s="12"/>
      <c r="S158" s="12"/>
      <c r="T158" s="36"/>
      <c r="U158" s="36"/>
      <c r="V158" s="12"/>
      <c r="W158" s="12"/>
      <c r="X158" s="12"/>
      <c r="Y158" s="12"/>
      <c r="Z158" s="12"/>
    </row>
    <row r="159" customFormat="false" ht="15.75" hidden="false" customHeight="false" outlineLevel="0" collapsed="false">
      <c r="A159" s="12"/>
      <c r="B159" s="34"/>
      <c r="C159" s="12"/>
      <c r="D159" s="12"/>
      <c r="E159" s="12"/>
      <c r="F159" s="12"/>
      <c r="G159" s="18"/>
      <c r="H159" s="35"/>
      <c r="I159" s="35"/>
      <c r="J159" s="12"/>
      <c r="O159" s="12"/>
      <c r="P159" s="18"/>
      <c r="Q159" s="12"/>
      <c r="R159" s="12"/>
      <c r="S159" s="12"/>
      <c r="T159" s="36"/>
      <c r="U159" s="36"/>
      <c r="V159" s="12"/>
      <c r="W159" s="12"/>
      <c r="X159" s="12"/>
      <c r="Y159" s="12"/>
      <c r="Z159" s="12"/>
    </row>
    <row r="160" customFormat="false" ht="15.75" hidden="false" customHeight="false" outlineLevel="0" collapsed="false">
      <c r="A160" s="12"/>
      <c r="B160" s="34"/>
      <c r="C160" s="12"/>
      <c r="D160" s="12"/>
      <c r="E160" s="12"/>
      <c r="F160" s="12"/>
      <c r="G160" s="18"/>
      <c r="H160" s="35"/>
      <c r="I160" s="35"/>
      <c r="J160" s="12"/>
      <c r="O160" s="12"/>
      <c r="P160" s="18"/>
      <c r="Q160" s="12"/>
      <c r="R160" s="12"/>
      <c r="S160" s="12"/>
      <c r="T160" s="36"/>
      <c r="U160" s="36"/>
      <c r="V160" s="12"/>
      <c r="W160" s="12"/>
      <c r="X160" s="12"/>
      <c r="Y160" s="12"/>
      <c r="Z160" s="12"/>
    </row>
    <row r="161" customFormat="false" ht="15.75" hidden="false" customHeight="false" outlineLevel="0" collapsed="false">
      <c r="A161" s="12"/>
      <c r="B161" s="34"/>
      <c r="C161" s="12"/>
      <c r="D161" s="12"/>
      <c r="E161" s="12"/>
      <c r="F161" s="12"/>
      <c r="G161" s="18"/>
      <c r="H161" s="35"/>
      <c r="I161" s="35"/>
      <c r="J161" s="12"/>
      <c r="O161" s="12"/>
      <c r="P161" s="18"/>
      <c r="Q161" s="12"/>
      <c r="R161" s="12"/>
      <c r="S161" s="12"/>
      <c r="T161" s="36"/>
      <c r="U161" s="36"/>
      <c r="V161" s="12"/>
      <c r="W161" s="12"/>
      <c r="X161" s="12"/>
      <c r="Y161" s="12"/>
      <c r="Z161" s="12"/>
    </row>
    <row r="162" customFormat="false" ht="15.75" hidden="false" customHeight="false" outlineLevel="0" collapsed="false">
      <c r="A162" s="12"/>
      <c r="B162" s="34"/>
      <c r="C162" s="12"/>
      <c r="D162" s="12"/>
      <c r="E162" s="12"/>
      <c r="F162" s="12"/>
      <c r="G162" s="18"/>
      <c r="H162" s="35"/>
      <c r="I162" s="35"/>
      <c r="J162" s="12"/>
      <c r="O162" s="12"/>
      <c r="P162" s="18"/>
      <c r="Q162" s="12"/>
      <c r="R162" s="12"/>
      <c r="S162" s="12"/>
      <c r="T162" s="36"/>
      <c r="U162" s="36"/>
      <c r="V162" s="12"/>
      <c r="W162" s="12"/>
      <c r="X162" s="12"/>
      <c r="Y162" s="12"/>
      <c r="Z162" s="12"/>
    </row>
    <row r="163" customFormat="false" ht="15.75" hidden="false" customHeight="false" outlineLevel="0" collapsed="false">
      <c r="A163" s="12"/>
      <c r="B163" s="34"/>
      <c r="C163" s="12"/>
      <c r="D163" s="12"/>
      <c r="E163" s="12"/>
      <c r="F163" s="12"/>
      <c r="G163" s="18"/>
      <c r="H163" s="35"/>
      <c r="I163" s="35"/>
      <c r="J163" s="12"/>
      <c r="O163" s="12"/>
      <c r="P163" s="18"/>
      <c r="Q163" s="12"/>
      <c r="R163" s="12"/>
      <c r="S163" s="12"/>
      <c r="T163" s="36"/>
      <c r="U163" s="36"/>
      <c r="V163" s="12"/>
      <c r="W163" s="12"/>
      <c r="X163" s="12"/>
      <c r="Y163" s="12"/>
      <c r="Z163" s="12"/>
    </row>
    <row r="164" customFormat="false" ht="15.75" hidden="false" customHeight="false" outlineLevel="0" collapsed="false">
      <c r="A164" s="12"/>
      <c r="B164" s="34"/>
      <c r="C164" s="12"/>
      <c r="D164" s="12"/>
      <c r="E164" s="12"/>
      <c r="F164" s="12"/>
      <c r="G164" s="18"/>
      <c r="H164" s="35"/>
      <c r="I164" s="35"/>
      <c r="J164" s="12"/>
      <c r="O164" s="12"/>
      <c r="P164" s="18"/>
      <c r="Q164" s="12"/>
      <c r="R164" s="12"/>
      <c r="S164" s="12"/>
      <c r="T164" s="36"/>
      <c r="U164" s="36"/>
      <c r="V164" s="12"/>
      <c r="W164" s="12"/>
      <c r="X164" s="12"/>
      <c r="Y164" s="12"/>
      <c r="Z164" s="12"/>
    </row>
    <row r="165" customFormat="false" ht="15.75" hidden="false" customHeight="false" outlineLevel="0" collapsed="false">
      <c r="A165" s="12"/>
      <c r="B165" s="34"/>
      <c r="C165" s="12"/>
      <c r="D165" s="12"/>
      <c r="E165" s="12"/>
      <c r="F165" s="12"/>
      <c r="G165" s="18"/>
      <c r="H165" s="35"/>
      <c r="I165" s="35"/>
      <c r="J165" s="12"/>
      <c r="O165" s="12"/>
      <c r="P165" s="18"/>
      <c r="Q165" s="12"/>
      <c r="R165" s="12"/>
      <c r="S165" s="12"/>
      <c r="T165" s="36"/>
      <c r="U165" s="36"/>
      <c r="V165" s="12"/>
      <c r="W165" s="12"/>
      <c r="X165" s="12"/>
      <c r="Y165" s="12"/>
      <c r="Z165" s="12"/>
    </row>
    <row r="166" customFormat="false" ht="15.75" hidden="false" customHeight="false" outlineLevel="0" collapsed="false">
      <c r="A166" s="12"/>
      <c r="B166" s="34"/>
      <c r="C166" s="12"/>
      <c r="D166" s="12"/>
      <c r="E166" s="12"/>
      <c r="F166" s="12"/>
      <c r="G166" s="18"/>
      <c r="H166" s="35"/>
      <c r="I166" s="35"/>
      <c r="J166" s="12"/>
      <c r="O166" s="12"/>
      <c r="P166" s="18"/>
      <c r="Q166" s="12"/>
      <c r="R166" s="12"/>
      <c r="S166" s="12"/>
      <c r="T166" s="36"/>
      <c r="U166" s="36"/>
      <c r="V166" s="12"/>
      <c r="W166" s="12"/>
      <c r="X166" s="12"/>
      <c r="Y166" s="12"/>
      <c r="Z166" s="12"/>
    </row>
    <row r="167" customFormat="false" ht="15.75" hidden="false" customHeight="false" outlineLevel="0" collapsed="false">
      <c r="A167" s="12"/>
      <c r="B167" s="34"/>
      <c r="C167" s="12"/>
      <c r="D167" s="12"/>
      <c r="E167" s="12"/>
      <c r="F167" s="12"/>
      <c r="G167" s="18"/>
      <c r="H167" s="35"/>
      <c r="I167" s="35"/>
      <c r="J167" s="12"/>
      <c r="O167" s="12"/>
      <c r="P167" s="18"/>
      <c r="Q167" s="12"/>
      <c r="R167" s="12"/>
      <c r="S167" s="12"/>
      <c r="T167" s="36"/>
      <c r="U167" s="36"/>
      <c r="V167" s="12"/>
      <c r="W167" s="12"/>
      <c r="X167" s="12"/>
      <c r="Y167" s="12"/>
      <c r="Z167" s="12"/>
    </row>
    <row r="168" customFormat="false" ht="15.75" hidden="false" customHeight="false" outlineLevel="0" collapsed="false">
      <c r="A168" s="12"/>
      <c r="B168" s="34"/>
      <c r="C168" s="12"/>
      <c r="D168" s="12"/>
      <c r="E168" s="12"/>
      <c r="F168" s="12"/>
      <c r="G168" s="18"/>
      <c r="H168" s="35"/>
      <c r="I168" s="35"/>
      <c r="J168" s="12"/>
      <c r="O168" s="12"/>
      <c r="P168" s="18"/>
      <c r="Q168" s="12"/>
      <c r="R168" s="12"/>
      <c r="S168" s="12"/>
      <c r="T168" s="36"/>
      <c r="U168" s="36"/>
      <c r="V168" s="12"/>
      <c r="W168" s="12"/>
      <c r="X168" s="12"/>
      <c r="Y168" s="12"/>
      <c r="Z168" s="12"/>
    </row>
    <row r="169" customFormat="false" ht="15.75" hidden="false" customHeight="false" outlineLevel="0" collapsed="false">
      <c r="A169" s="12"/>
      <c r="B169" s="34"/>
      <c r="C169" s="12"/>
      <c r="D169" s="12"/>
      <c r="E169" s="12"/>
      <c r="F169" s="12"/>
      <c r="G169" s="18"/>
      <c r="H169" s="35"/>
      <c r="I169" s="35"/>
      <c r="J169" s="12"/>
      <c r="O169" s="12"/>
      <c r="P169" s="18"/>
      <c r="Q169" s="12"/>
      <c r="R169" s="12"/>
      <c r="S169" s="12"/>
      <c r="T169" s="36"/>
      <c r="U169" s="36"/>
      <c r="V169" s="12"/>
      <c r="W169" s="12"/>
      <c r="X169" s="12"/>
      <c r="Y169" s="12"/>
      <c r="Z169" s="12"/>
    </row>
    <row r="170" customFormat="false" ht="15.75" hidden="false" customHeight="false" outlineLevel="0" collapsed="false">
      <c r="A170" s="12"/>
      <c r="B170" s="34"/>
      <c r="C170" s="12"/>
      <c r="D170" s="12"/>
      <c r="E170" s="12"/>
      <c r="F170" s="12"/>
      <c r="G170" s="18"/>
      <c r="H170" s="35"/>
      <c r="I170" s="35"/>
      <c r="J170" s="12"/>
      <c r="O170" s="12"/>
      <c r="P170" s="18"/>
      <c r="Q170" s="12"/>
      <c r="R170" s="12"/>
      <c r="S170" s="12"/>
      <c r="T170" s="36"/>
      <c r="U170" s="36"/>
      <c r="V170" s="12"/>
      <c r="W170" s="12"/>
      <c r="X170" s="12"/>
      <c r="Y170" s="12"/>
      <c r="Z170" s="12"/>
    </row>
    <row r="171" customFormat="false" ht="15.75" hidden="false" customHeight="false" outlineLevel="0" collapsed="false">
      <c r="A171" s="12"/>
      <c r="B171" s="34"/>
      <c r="C171" s="12"/>
      <c r="D171" s="12"/>
      <c r="E171" s="12"/>
      <c r="F171" s="12"/>
      <c r="G171" s="18"/>
      <c r="H171" s="35"/>
      <c r="I171" s="35"/>
      <c r="J171" s="12"/>
      <c r="O171" s="12"/>
      <c r="P171" s="18"/>
      <c r="Q171" s="12"/>
      <c r="R171" s="12"/>
      <c r="S171" s="12"/>
      <c r="T171" s="36"/>
      <c r="U171" s="36"/>
      <c r="V171" s="12"/>
      <c r="W171" s="12"/>
      <c r="X171" s="12"/>
      <c r="Y171" s="12"/>
      <c r="Z171" s="12"/>
    </row>
    <row r="172" customFormat="false" ht="15.75" hidden="false" customHeight="false" outlineLevel="0" collapsed="false">
      <c r="A172" s="12"/>
      <c r="B172" s="34"/>
      <c r="C172" s="12"/>
      <c r="D172" s="12"/>
      <c r="E172" s="12"/>
      <c r="F172" s="12"/>
      <c r="G172" s="18"/>
      <c r="H172" s="35"/>
      <c r="I172" s="35"/>
      <c r="J172" s="12"/>
      <c r="O172" s="12"/>
      <c r="P172" s="18"/>
      <c r="Q172" s="12"/>
      <c r="R172" s="12"/>
      <c r="S172" s="12"/>
      <c r="T172" s="36"/>
      <c r="U172" s="36"/>
      <c r="V172" s="12"/>
      <c r="W172" s="12"/>
      <c r="X172" s="12"/>
      <c r="Y172" s="12"/>
      <c r="Z172" s="12"/>
    </row>
    <row r="173" customFormat="false" ht="15.75" hidden="false" customHeight="false" outlineLevel="0" collapsed="false">
      <c r="A173" s="12"/>
      <c r="B173" s="34"/>
      <c r="C173" s="12"/>
      <c r="D173" s="12"/>
      <c r="E173" s="12"/>
      <c r="F173" s="12"/>
      <c r="G173" s="18"/>
      <c r="H173" s="35"/>
      <c r="I173" s="35"/>
      <c r="J173" s="12"/>
      <c r="O173" s="12"/>
      <c r="P173" s="18"/>
      <c r="Q173" s="12"/>
      <c r="R173" s="12"/>
      <c r="S173" s="12"/>
      <c r="T173" s="36"/>
      <c r="U173" s="36"/>
      <c r="V173" s="12"/>
      <c r="W173" s="12"/>
      <c r="X173" s="12"/>
      <c r="Y173" s="12"/>
      <c r="Z173" s="12"/>
    </row>
    <row r="174" customFormat="false" ht="15.75" hidden="false" customHeight="false" outlineLevel="0" collapsed="false">
      <c r="A174" s="12"/>
      <c r="B174" s="34"/>
      <c r="C174" s="12"/>
      <c r="D174" s="12"/>
      <c r="E174" s="12"/>
      <c r="F174" s="12"/>
      <c r="G174" s="18"/>
      <c r="H174" s="35"/>
      <c r="I174" s="35"/>
      <c r="J174" s="12"/>
      <c r="O174" s="12"/>
      <c r="P174" s="18"/>
      <c r="Q174" s="12"/>
      <c r="R174" s="12"/>
      <c r="S174" s="12"/>
      <c r="T174" s="36"/>
      <c r="U174" s="36"/>
      <c r="V174" s="12"/>
      <c r="W174" s="12"/>
      <c r="X174" s="12"/>
      <c r="Y174" s="12"/>
      <c r="Z174" s="12"/>
    </row>
    <row r="175" customFormat="false" ht="15.75" hidden="false" customHeight="false" outlineLevel="0" collapsed="false">
      <c r="A175" s="12"/>
      <c r="B175" s="34"/>
      <c r="C175" s="12"/>
      <c r="D175" s="12"/>
      <c r="E175" s="12"/>
      <c r="F175" s="12"/>
      <c r="G175" s="18"/>
      <c r="H175" s="35"/>
      <c r="I175" s="35"/>
      <c r="J175" s="12"/>
      <c r="O175" s="12"/>
      <c r="P175" s="18"/>
      <c r="Q175" s="12"/>
      <c r="R175" s="12"/>
      <c r="S175" s="12"/>
      <c r="T175" s="36"/>
      <c r="U175" s="36"/>
      <c r="V175" s="12"/>
      <c r="W175" s="12"/>
      <c r="X175" s="12"/>
      <c r="Y175" s="12"/>
      <c r="Z175" s="12"/>
    </row>
    <row r="176" customFormat="false" ht="15.75" hidden="false" customHeight="false" outlineLevel="0" collapsed="false">
      <c r="A176" s="12"/>
      <c r="B176" s="34"/>
      <c r="C176" s="12"/>
      <c r="D176" s="12"/>
      <c r="E176" s="12"/>
      <c r="F176" s="12"/>
      <c r="G176" s="18"/>
      <c r="H176" s="35"/>
      <c r="I176" s="35"/>
      <c r="J176" s="12"/>
      <c r="O176" s="12"/>
      <c r="P176" s="18"/>
      <c r="Q176" s="12"/>
      <c r="R176" s="12"/>
      <c r="S176" s="12"/>
      <c r="T176" s="36"/>
      <c r="U176" s="36"/>
      <c r="V176" s="12"/>
      <c r="W176" s="12"/>
      <c r="X176" s="12"/>
      <c r="Y176" s="12"/>
      <c r="Z176" s="12"/>
    </row>
    <row r="177" customFormat="false" ht="15.75" hidden="false" customHeight="false" outlineLevel="0" collapsed="false">
      <c r="A177" s="12"/>
      <c r="B177" s="34"/>
      <c r="C177" s="12"/>
      <c r="D177" s="12"/>
      <c r="E177" s="12"/>
      <c r="F177" s="12"/>
      <c r="G177" s="18"/>
      <c r="H177" s="35"/>
      <c r="I177" s="35"/>
      <c r="J177" s="12"/>
      <c r="O177" s="12"/>
      <c r="P177" s="18"/>
      <c r="Q177" s="12"/>
      <c r="R177" s="12"/>
      <c r="S177" s="12"/>
      <c r="T177" s="36"/>
      <c r="U177" s="36"/>
      <c r="V177" s="12"/>
      <c r="W177" s="12"/>
      <c r="X177" s="12"/>
      <c r="Y177" s="12"/>
      <c r="Z177" s="12"/>
    </row>
    <row r="178" customFormat="false" ht="15.75" hidden="false" customHeight="false" outlineLevel="0" collapsed="false">
      <c r="A178" s="12"/>
      <c r="B178" s="34"/>
      <c r="C178" s="12"/>
      <c r="D178" s="12"/>
      <c r="E178" s="12"/>
      <c r="F178" s="12"/>
      <c r="G178" s="18"/>
      <c r="H178" s="35"/>
      <c r="I178" s="35"/>
      <c r="J178" s="12"/>
      <c r="O178" s="12"/>
      <c r="P178" s="18"/>
      <c r="Q178" s="12"/>
      <c r="R178" s="12"/>
      <c r="S178" s="12"/>
      <c r="T178" s="36"/>
      <c r="U178" s="36"/>
      <c r="V178" s="12"/>
      <c r="W178" s="12"/>
      <c r="X178" s="12"/>
      <c r="Y178" s="12"/>
      <c r="Z178" s="12"/>
    </row>
    <row r="179" customFormat="false" ht="15.75" hidden="false" customHeight="false" outlineLevel="0" collapsed="false">
      <c r="A179" s="12"/>
      <c r="B179" s="34"/>
      <c r="C179" s="12"/>
      <c r="D179" s="12"/>
      <c r="E179" s="12"/>
      <c r="F179" s="12"/>
      <c r="G179" s="18"/>
      <c r="H179" s="35"/>
      <c r="I179" s="35"/>
      <c r="J179" s="12"/>
      <c r="O179" s="12"/>
      <c r="P179" s="18"/>
      <c r="Q179" s="12"/>
      <c r="R179" s="12"/>
      <c r="S179" s="12"/>
      <c r="T179" s="36"/>
      <c r="U179" s="36"/>
      <c r="V179" s="12"/>
      <c r="W179" s="12"/>
      <c r="X179" s="12"/>
      <c r="Y179" s="12"/>
      <c r="Z179" s="12"/>
    </row>
    <row r="180" customFormat="false" ht="15.75" hidden="false" customHeight="false" outlineLevel="0" collapsed="false">
      <c r="A180" s="12"/>
      <c r="B180" s="34"/>
      <c r="C180" s="12"/>
      <c r="D180" s="12"/>
      <c r="E180" s="12"/>
      <c r="F180" s="12"/>
      <c r="G180" s="18"/>
      <c r="H180" s="35"/>
      <c r="I180" s="35"/>
      <c r="J180" s="12"/>
      <c r="O180" s="12"/>
      <c r="P180" s="18"/>
      <c r="Q180" s="12"/>
      <c r="R180" s="12"/>
      <c r="S180" s="12"/>
      <c r="T180" s="36"/>
      <c r="U180" s="36"/>
      <c r="V180" s="12"/>
      <c r="W180" s="12"/>
      <c r="X180" s="12"/>
      <c r="Y180" s="12"/>
      <c r="Z180" s="12"/>
    </row>
    <row r="181" customFormat="false" ht="15.75" hidden="false" customHeight="false" outlineLevel="0" collapsed="false">
      <c r="A181" s="12"/>
      <c r="B181" s="34"/>
      <c r="C181" s="12"/>
      <c r="D181" s="12"/>
      <c r="E181" s="12"/>
      <c r="F181" s="12"/>
      <c r="G181" s="18"/>
      <c r="H181" s="35"/>
      <c r="I181" s="35"/>
      <c r="J181" s="12"/>
      <c r="O181" s="12"/>
      <c r="P181" s="18"/>
      <c r="Q181" s="12"/>
      <c r="R181" s="12"/>
      <c r="S181" s="12"/>
      <c r="T181" s="36"/>
      <c r="U181" s="36"/>
      <c r="V181" s="12"/>
      <c r="W181" s="12"/>
      <c r="X181" s="12"/>
      <c r="Y181" s="12"/>
      <c r="Z181" s="12"/>
    </row>
    <row r="182" customFormat="false" ht="15.75" hidden="false" customHeight="false" outlineLevel="0" collapsed="false">
      <c r="A182" s="12"/>
      <c r="B182" s="34"/>
      <c r="C182" s="12"/>
      <c r="D182" s="12"/>
      <c r="E182" s="12"/>
      <c r="F182" s="12"/>
      <c r="G182" s="18"/>
      <c r="H182" s="35"/>
      <c r="I182" s="35"/>
      <c r="J182" s="12"/>
      <c r="O182" s="12"/>
      <c r="P182" s="18"/>
      <c r="Q182" s="12"/>
      <c r="R182" s="12"/>
      <c r="S182" s="12"/>
      <c r="T182" s="36"/>
      <c r="U182" s="36"/>
      <c r="V182" s="12"/>
      <c r="W182" s="12"/>
      <c r="X182" s="12"/>
      <c r="Y182" s="12"/>
      <c r="Z182" s="12"/>
    </row>
    <row r="183" customFormat="false" ht="15.75" hidden="false" customHeight="false" outlineLevel="0" collapsed="false">
      <c r="A183" s="12"/>
      <c r="B183" s="34"/>
      <c r="C183" s="12"/>
      <c r="D183" s="12"/>
      <c r="E183" s="12"/>
      <c r="F183" s="12"/>
      <c r="G183" s="18"/>
      <c r="H183" s="35"/>
      <c r="I183" s="35"/>
      <c r="J183" s="12"/>
      <c r="O183" s="12"/>
      <c r="P183" s="18"/>
      <c r="Q183" s="12"/>
      <c r="R183" s="12"/>
      <c r="S183" s="12"/>
      <c r="T183" s="36"/>
      <c r="U183" s="36"/>
      <c r="V183" s="12"/>
      <c r="W183" s="12"/>
      <c r="X183" s="12"/>
      <c r="Y183" s="12"/>
      <c r="Z183" s="12"/>
    </row>
    <row r="184" customFormat="false" ht="15.75" hidden="false" customHeight="false" outlineLevel="0" collapsed="false">
      <c r="A184" s="12"/>
      <c r="B184" s="34"/>
      <c r="C184" s="12"/>
      <c r="D184" s="12"/>
      <c r="E184" s="12"/>
      <c r="F184" s="12"/>
      <c r="G184" s="18"/>
      <c r="H184" s="35"/>
      <c r="I184" s="35"/>
      <c r="J184" s="12"/>
      <c r="O184" s="12"/>
      <c r="P184" s="18"/>
      <c r="Q184" s="12"/>
      <c r="R184" s="12"/>
      <c r="S184" s="12"/>
      <c r="T184" s="36"/>
      <c r="U184" s="36"/>
      <c r="V184" s="12"/>
      <c r="W184" s="12"/>
      <c r="X184" s="12"/>
      <c r="Y184" s="12"/>
      <c r="Z184" s="12"/>
    </row>
    <row r="185" customFormat="false" ht="15.75" hidden="false" customHeight="false" outlineLevel="0" collapsed="false">
      <c r="A185" s="12"/>
      <c r="B185" s="34"/>
      <c r="C185" s="12"/>
      <c r="D185" s="12"/>
      <c r="E185" s="12"/>
      <c r="F185" s="12"/>
      <c r="G185" s="18"/>
      <c r="H185" s="35"/>
      <c r="I185" s="35"/>
      <c r="J185" s="12"/>
      <c r="O185" s="12"/>
      <c r="P185" s="18"/>
      <c r="Q185" s="12"/>
      <c r="R185" s="12"/>
      <c r="S185" s="12"/>
      <c r="T185" s="36"/>
      <c r="U185" s="36"/>
      <c r="V185" s="12"/>
      <c r="W185" s="12"/>
      <c r="X185" s="12"/>
      <c r="Y185" s="12"/>
      <c r="Z185" s="12"/>
    </row>
    <row r="186" customFormat="false" ht="15.75" hidden="false" customHeight="false" outlineLevel="0" collapsed="false">
      <c r="A186" s="12"/>
      <c r="B186" s="34"/>
      <c r="C186" s="12"/>
      <c r="D186" s="12"/>
      <c r="E186" s="12"/>
      <c r="F186" s="12"/>
      <c r="G186" s="18"/>
      <c r="H186" s="35"/>
      <c r="I186" s="35"/>
      <c r="J186" s="12"/>
      <c r="O186" s="12"/>
      <c r="P186" s="18"/>
      <c r="Q186" s="12"/>
      <c r="R186" s="12"/>
      <c r="S186" s="12"/>
      <c r="T186" s="36"/>
      <c r="U186" s="36"/>
      <c r="V186" s="12"/>
      <c r="W186" s="12"/>
      <c r="X186" s="12"/>
      <c r="Y186" s="12"/>
      <c r="Z186" s="12"/>
    </row>
    <row r="187" customFormat="false" ht="15.75" hidden="false" customHeight="false" outlineLevel="0" collapsed="false">
      <c r="A187" s="12"/>
      <c r="B187" s="34"/>
      <c r="C187" s="12"/>
      <c r="D187" s="12"/>
      <c r="E187" s="12"/>
      <c r="F187" s="12"/>
      <c r="G187" s="18"/>
      <c r="H187" s="35"/>
      <c r="I187" s="35"/>
      <c r="J187" s="12"/>
      <c r="O187" s="12"/>
      <c r="P187" s="18"/>
      <c r="Q187" s="12"/>
      <c r="R187" s="12"/>
      <c r="S187" s="12"/>
      <c r="T187" s="36"/>
      <c r="U187" s="36"/>
      <c r="V187" s="12"/>
      <c r="W187" s="12"/>
      <c r="X187" s="12"/>
      <c r="Y187" s="12"/>
      <c r="Z187" s="12"/>
    </row>
    <row r="188" customFormat="false" ht="15.75" hidden="false" customHeight="false" outlineLevel="0" collapsed="false">
      <c r="A188" s="12"/>
      <c r="B188" s="34"/>
      <c r="C188" s="12"/>
      <c r="D188" s="12"/>
      <c r="E188" s="12"/>
      <c r="F188" s="12"/>
      <c r="G188" s="18"/>
      <c r="H188" s="35"/>
      <c r="I188" s="35"/>
      <c r="J188" s="12"/>
      <c r="O188" s="12"/>
      <c r="P188" s="18"/>
      <c r="Q188" s="12"/>
      <c r="R188" s="12"/>
      <c r="S188" s="12"/>
      <c r="T188" s="36"/>
      <c r="U188" s="36"/>
      <c r="V188" s="12"/>
      <c r="W188" s="12"/>
      <c r="X188" s="12"/>
      <c r="Y188" s="12"/>
      <c r="Z188" s="12"/>
    </row>
    <row r="189" customFormat="false" ht="15.75" hidden="false" customHeight="false" outlineLevel="0" collapsed="false">
      <c r="A189" s="12"/>
      <c r="B189" s="34"/>
      <c r="C189" s="12"/>
      <c r="D189" s="12"/>
      <c r="E189" s="12"/>
      <c r="F189" s="12"/>
      <c r="G189" s="18"/>
      <c r="H189" s="35"/>
      <c r="I189" s="35"/>
      <c r="J189" s="12"/>
      <c r="O189" s="12"/>
      <c r="P189" s="18"/>
      <c r="Q189" s="12"/>
      <c r="R189" s="12"/>
      <c r="S189" s="12"/>
      <c r="T189" s="36"/>
      <c r="U189" s="36"/>
      <c r="V189" s="12"/>
      <c r="W189" s="12"/>
      <c r="X189" s="12"/>
      <c r="Y189" s="12"/>
      <c r="Z189" s="12"/>
    </row>
    <row r="190" customFormat="false" ht="15.75" hidden="false" customHeight="false" outlineLevel="0" collapsed="false">
      <c r="A190" s="12"/>
      <c r="B190" s="34"/>
      <c r="C190" s="12"/>
      <c r="D190" s="12"/>
      <c r="E190" s="12"/>
      <c r="F190" s="12"/>
      <c r="G190" s="18"/>
      <c r="H190" s="35"/>
      <c r="I190" s="35"/>
      <c r="J190" s="12"/>
      <c r="O190" s="12"/>
      <c r="P190" s="18"/>
      <c r="Q190" s="12"/>
      <c r="R190" s="12"/>
      <c r="S190" s="12"/>
      <c r="T190" s="36"/>
      <c r="U190" s="36"/>
      <c r="V190" s="12"/>
      <c r="W190" s="12"/>
      <c r="X190" s="12"/>
      <c r="Y190" s="12"/>
      <c r="Z190" s="12"/>
    </row>
    <row r="191" customFormat="false" ht="15.75" hidden="false" customHeight="false" outlineLevel="0" collapsed="false">
      <c r="A191" s="12"/>
      <c r="B191" s="34"/>
      <c r="C191" s="12"/>
      <c r="D191" s="12"/>
      <c r="E191" s="12"/>
      <c r="F191" s="12"/>
      <c r="G191" s="18"/>
      <c r="H191" s="35"/>
      <c r="I191" s="35"/>
      <c r="J191" s="12"/>
      <c r="O191" s="12"/>
      <c r="P191" s="18"/>
      <c r="Q191" s="12"/>
      <c r="R191" s="12"/>
      <c r="S191" s="12"/>
      <c r="T191" s="36"/>
      <c r="U191" s="36"/>
      <c r="V191" s="12"/>
      <c r="W191" s="12"/>
      <c r="X191" s="12"/>
      <c r="Y191" s="12"/>
      <c r="Z191" s="12"/>
    </row>
    <row r="192" customFormat="false" ht="15.75" hidden="false" customHeight="false" outlineLevel="0" collapsed="false">
      <c r="A192" s="12"/>
      <c r="B192" s="34"/>
      <c r="C192" s="12"/>
      <c r="D192" s="12"/>
      <c r="E192" s="12"/>
      <c r="F192" s="12"/>
      <c r="G192" s="18"/>
      <c r="H192" s="35"/>
      <c r="I192" s="35"/>
      <c r="J192" s="12"/>
      <c r="O192" s="12"/>
      <c r="P192" s="18"/>
      <c r="Q192" s="12"/>
      <c r="R192" s="12"/>
      <c r="S192" s="12"/>
      <c r="T192" s="36"/>
      <c r="U192" s="36"/>
      <c r="V192" s="12"/>
      <c r="W192" s="12"/>
      <c r="X192" s="12"/>
      <c r="Y192" s="12"/>
      <c r="Z192" s="12"/>
    </row>
    <row r="193" customFormat="false" ht="15.75" hidden="false" customHeight="false" outlineLevel="0" collapsed="false">
      <c r="A193" s="12"/>
      <c r="B193" s="34"/>
      <c r="C193" s="12"/>
      <c r="D193" s="12"/>
      <c r="E193" s="12"/>
      <c r="F193" s="12"/>
      <c r="G193" s="18"/>
      <c r="H193" s="35"/>
      <c r="I193" s="35"/>
      <c r="J193" s="12"/>
      <c r="O193" s="12"/>
      <c r="P193" s="18"/>
      <c r="Q193" s="12"/>
      <c r="R193" s="12"/>
      <c r="S193" s="12"/>
      <c r="T193" s="36"/>
      <c r="U193" s="36"/>
      <c r="V193" s="12"/>
      <c r="W193" s="12"/>
      <c r="X193" s="12"/>
      <c r="Y193" s="12"/>
      <c r="Z193" s="12"/>
    </row>
    <row r="194" customFormat="false" ht="15.75" hidden="false" customHeight="false" outlineLevel="0" collapsed="false">
      <c r="A194" s="12"/>
      <c r="B194" s="34"/>
      <c r="C194" s="12"/>
      <c r="D194" s="12"/>
      <c r="E194" s="12"/>
      <c r="F194" s="12"/>
      <c r="G194" s="18"/>
      <c r="H194" s="35"/>
      <c r="I194" s="35"/>
      <c r="J194" s="12"/>
      <c r="O194" s="12"/>
      <c r="P194" s="18"/>
      <c r="Q194" s="12"/>
      <c r="R194" s="12"/>
      <c r="S194" s="12"/>
      <c r="T194" s="36"/>
      <c r="U194" s="36"/>
      <c r="V194" s="12"/>
      <c r="W194" s="12"/>
      <c r="X194" s="12"/>
      <c r="Y194" s="12"/>
      <c r="Z194" s="12"/>
    </row>
    <row r="195" customFormat="false" ht="15.75" hidden="false" customHeight="false" outlineLevel="0" collapsed="false">
      <c r="A195" s="12"/>
      <c r="B195" s="34"/>
      <c r="C195" s="12"/>
      <c r="D195" s="12"/>
      <c r="E195" s="12"/>
      <c r="F195" s="12"/>
      <c r="G195" s="18"/>
      <c r="H195" s="35"/>
      <c r="I195" s="35"/>
      <c r="J195" s="12"/>
      <c r="O195" s="12"/>
      <c r="P195" s="18"/>
      <c r="Q195" s="12"/>
      <c r="R195" s="12"/>
      <c r="S195" s="12"/>
      <c r="T195" s="36"/>
      <c r="U195" s="36"/>
      <c r="V195" s="12"/>
      <c r="W195" s="12"/>
      <c r="X195" s="12"/>
      <c r="Y195" s="12"/>
      <c r="Z195" s="12"/>
    </row>
    <row r="196" customFormat="false" ht="15.75" hidden="false" customHeight="false" outlineLevel="0" collapsed="false">
      <c r="A196" s="12"/>
      <c r="B196" s="34"/>
      <c r="C196" s="12"/>
      <c r="D196" s="12"/>
      <c r="E196" s="12"/>
      <c r="F196" s="12"/>
      <c r="G196" s="18"/>
      <c r="H196" s="35"/>
      <c r="I196" s="35"/>
      <c r="J196" s="12"/>
      <c r="O196" s="12"/>
      <c r="P196" s="18"/>
      <c r="Q196" s="12"/>
      <c r="R196" s="12"/>
      <c r="S196" s="12"/>
      <c r="T196" s="36"/>
      <c r="U196" s="36"/>
      <c r="V196" s="12"/>
      <c r="W196" s="12"/>
      <c r="X196" s="12"/>
      <c r="Y196" s="12"/>
      <c r="Z196" s="12"/>
    </row>
    <row r="197" customFormat="false" ht="15.75" hidden="false" customHeight="false" outlineLevel="0" collapsed="false">
      <c r="A197" s="12"/>
      <c r="B197" s="34"/>
      <c r="C197" s="12"/>
      <c r="D197" s="12"/>
      <c r="E197" s="12"/>
      <c r="F197" s="12"/>
      <c r="G197" s="18"/>
      <c r="H197" s="35"/>
      <c r="I197" s="35"/>
      <c r="J197" s="12"/>
      <c r="O197" s="12"/>
      <c r="P197" s="18"/>
      <c r="Q197" s="12"/>
      <c r="R197" s="12"/>
      <c r="S197" s="12"/>
      <c r="T197" s="36"/>
      <c r="U197" s="36"/>
      <c r="V197" s="12"/>
      <c r="W197" s="12"/>
      <c r="X197" s="12"/>
      <c r="Y197" s="12"/>
      <c r="Z197" s="12"/>
    </row>
    <row r="198" customFormat="false" ht="15.75" hidden="false" customHeight="false" outlineLevel="0" collapsed="false">
      <c r="A198" s="12"/>
      <c r="B198" s="34"/>
      <c r="C198" s="12"/>
      <c r="D198" s="12"/>
      <c r="E198" s="12"/>
      <c r="F198" s="12"/>
      <c r="G198" s="18"/>
      <c r="H198" s="35"/>
      <c r="I198" s="35"/>
      <c r="J198" s="12"/>
      <c r="O198" s="12"/>
      <c r="P198" s="18"/>
      <c r="Q198" s="12"/>
      <c r="R198" s="12"/>
      <c r="S198" s="12"/>
      <c r="T198" s="36"/>
      <c r="U198" s="36"/>
      <c r="V198" s="12"/>
      <c r="W198" s="12"/>
      <c r="X198" s="12"/>
      <c r="Y198" s="12"/>
      <c r="Z198" s="12"/>
    </row>
    <row r="199" customFormat="false" ht="15.75" hidden="false" customHeight="false" outlineLevel="0" collapsed="false">
      <c r="A199" s="12"/>
      <c r="B199" s="34"/>
      <c r="C199" s="12"/>
      <c r="D199" s="12"/>
      <c r="E199" s="12"/>
      <c r="F199" s="12"/>
      <c r="G199" s="18"/>
      <c r="H199" s="35"/>
      <c r="I199" s="35"/>
      <c r="J199" s="12"/>
      <c r="O199" s="12"/>
      <c r="P199" s="18"/>
      <c r="Q199" s="12"/>
      <c r="R199" s="12"/>
      <c r="S199" s="12"/>
      <c r="T199" s="36"/>
      <c r="U199" s="36"/>
      <c r="V199" s="12"/>
      <c r="W199" s="12"/>
      <c r="X199" s="12"/>
      <c r="Y199" s="12"/>
      <c r="Z199" s="12"/>
    </row>
    <row r="200" customFormat="false" ht="15.75" hidden="false" customHeight="false" outlineLevel="0" collapsed="false">
      <c r="A200" s="12"/>
      <c r="B200" s="34"/>
      <c r="C200" s="12"/>
      <c r="D200" s="12"/>
      <c r="E200" s="12"/>
      <c r="F200" s="12"/>
      <c r="G200" s="18"/>
      <c r="H200" s="35"/>
      <c r="I200" s="35"/>
      <c r="J200" s="12"/>
      <c r="O200" s="12"/>
      <c r="P200" s="18"/>
      <c r="Q200" s="12"/>
      <c r="R200" s="12"/>
      <c r="S200" s="12"/>
      <c r="T200" s="36"/>
      <c r="U200" s="36"/>
      <c r="V200" s="12"/>
      <c r="W200" s="12"/>
      <c r="X200" s="12"/>
      <c r="Y200" s="12"/>
      <c r="Z200" s="12"/>
    </row>
    <row r="201" customFormat="false" ht="15.75" hidden="false" customHeight="false" outlineLevel="0" collapsed="false">
      <c r="A201" s="12"/>
      <c r="B201" s="34"/>
      <c r="C201" s="12"/>
      <c r="D201" s="12"/>
      <c r="E201" s="12"/>
      <c r="F201" s="12"/>
      <c r="G201" s="18"/>
      <c r="H201" s="35"/>
      <c r="I201" s="35"/>
      <c r="J201" s="12"/>
      <c r="O201" s="12"/>
      <c r="P201" s="18"/>
      <c r="Q201" s="12"/>
      <c r="R201" s="12"/>
      <c r="S201" s="12"/>
      <c r="T201" s="36"/>
      <c r="U201" s="36"/>
      <c r="V201" s="12"/>
      <c r="W201" s="12"/>
      <c r="X201" s="12"/>
      <c r="Y201" s="12"/>
      <c r="Z201" s="12"/>
    </row>
    <row r="202" customFormat="false" ht="15.75" hidden="false" customHeight="false" outlineLevel="0" collapsed="false">
      <c r="A202" s="12"/>
      <c r="B202" s="34"/>
      <c r="C202" s="12"/>
      <c r="D202" s="12"/>
      <c r="E202" s="12"/>
      <c r="F202" s="12"/>
      <c r="G202" s="18"/>
      <c r="H202" s="35"/>
      <c r="I202" s="35"/>
      <c r="J202" s="12"/>
      <c r="O202" s="12"/>
      <c r="P202" s="18"/>
      <c r="Q202" s="12"/>
      <c r="R202" s="12"/>
      <c r="S202" s="12"/>
      <c r="T202" s="36"/>
      <c r="U202" s="36"/>
      <c r="V202" s="12"/>
      <c r="W202" s="12"/>
      <c r="X202" s="12"/>
      <c r="Y202" s="12"/>
      <c r="Z202" s="12"/>
    </row>
    <row r="203" customFormat="false" ht="15.75" hidden="false" customHeight="false" outlineLevel="0" collapsed="false">
      <c r="A203" s="12"/>
      <c r="B203" s="34"/>
      <c r="C203" s="12"/>
      <c r="D203" s="12"/>
      <c r="E203" s="12"/>
      <c r="F203" s="12"/>
      <c r="G203" s="18"/>
      <c r="H203" s="35"/>
      <c r="I203" s="35"/>
      <c r="J203" s="12"/>
      <c r="O203" s="12"/>
      <c r="P203" s="18"/>
      <c r="Q203" s="12"/>
      <c r="R203" s="12"/>
      <c r="S203" s="12"/>
      <c r="T203" s="36"/>
      <c r="U203" s="36"/>
      <c r="V203" s="12"/>
      <c r="W203" s="12"/>
      <c r="X203" s="12"/>
      <c r="Y203" s="12"/>
      <c r="Z203" s="12"/>
    </row>
    <row r="204" customFormat="false" ht="15.75" hidden="false" customHeight="false" outlineLevel="0" collapsed="false">
      <c r="A204" s="12"/>
      <c r="B204" s="34"/>
      <c r="C204" s="12"/>
      <c r="D204" s="12"/>
      <c r="E204" s="12"/>
      <c r="F204" s="12"/>
      <c r="G204" s="18"/>
      <c r="H204" s="35"/>
      <c r="I204" s="35"/>
      <c r="J204" s="12"/>
      <c r="O204" s="12"/>
      <c r="P204" s="18"/>
      <c r="Q204" s="12"/>
      <c r="R204" s="12"/>
      <c r="S204" s="12"/>
      <c r="T204" s="36"/>
      <c r="U204" s="36"/>
      <c r="V204" s="12"/>
      <c r="W204" s="12"/>
      <c r="X204" s="12"/>
      <c r="Y204" s="12"/>
      <c r="Z204" s="12"/>
    </row>
    <row r="205" customFormat="false" ht="15.75" hidden="false" customHeight="false" outlineLevel="0" collapsed="false">
      <c r="A205" s="12"/>
      <c r="B205" s="34"/>
      <c r="C205" s="12"/>
      <c r="D205" s="12"/>
      <c r="E205" s="12"/>
      <c r="F205" s="12"/>
      <c r="G205" s="18"/>
      <c r="H205" s="35"/>
      <c r="I205" s="35"/>
      <c r="J205" s="12"/>
      <c r="O205" s="12"/>
      <c r="P205" s="18"/>
      <c r="Q205" s="12"/>
      <c r="R205" s="12"/>
      <c r="S205" s="12"/>
      <c r="T205" s="36"/>
      <c r="U205" s="36"/>
      <c r="V205" s="12"/>
      <c r="W205" s="12"/>
      <c r="X205" s="12"/>
      <c r="Y205" s="12"/>
      <c r="Z205" s="12"/>
    </row>
    <row r="206" customFormat="false" ht="15.75" hidden="false" customHeight="false" outlineLevel="0" collapsed="false">
      <c r="A206" s="12"/>
      <c r="B206" s="34"/>
      <c r="C206" s="12"/>
      <c r="D206" s="12"/>
      <c r="E206" s="12"/>
      <c r="F206" s="12"/>
      <c r="G206" s="18"/>
      <c r="H206" s="35"/>
      <c r="I206" s="35"/>
      <c r="J206" s="12"/>
      <c r="O206" s="12"/>
      <c r="P206" s="18"/>
      <c r="Q206" s="12"/>
      <c r="R206" s="12"/>
      <c r="S206" s="12"/>
      <c r="T206" s="36"/>
      <c r="U206" s="36"/>
      <c r="V206" s="12"/>
      <c r="W206" s="12"/>
      <c r="X206" s="12"/>
      <c r="Y206" s="12"/>
      <c r="Z206" s="12"/>
    </row>
    <row r="207" customFormat="false" ht="15.75" hidden="false" customHeight="false" outlineLevel="0" collapsed="false">
      <c r="A207" s="12"/>
      <c r="B207" s="34"/>
      <c r="C207" s="12"/>
      <c r="D207" s="12"/>
      <c r="E207" s="12"/>
      <c r="F207" s="12"/>
      <c r="G207" s="18"/>
      <c r="H207" s="35"/>
      <c r="I207" s="35"/>
      <c r="J207" s="12"/>
      <c r="O207" s="12"/>
      <c r="P207" s="18"/>
      <c r="Q207" s="12"/>
      <c r="R207" s="12"/>
      <c r="S207" s="12"/>
      <c r="T207" s="36"/>
      <c r="U207" s="36"/>
      <c r="V207" s="12"/>
      <c r="W207" s="12"/>
      <c r="X207" s="12"/>
      <c r="Y207" s="12"/>
      <c r="Z207" s="12"/>
    </row>
    <row r="208" customFormat="false" ht="15.75" hidden="false" customHeight="false" outlineLevel="0" collapsed="false">
      <c r="A208" s="12"/>
      <c r="B208" s="34"/>
      <c r="C208" s="12"/>
      <c r="D208" s="12"/>
      <c r="E208" s="12"/>
      <c r="F208" s="12"/>
      <c r="G208" s="18"/>
      <c r="H208" s="35"/>
      <c r="I208" s="35"/>
      <c r="J208" s="12"/>
      <c r="O208" s="12"/>
      <c r="P208" s="18"/>
      <c r="Q208" s="12"/>
      <c r="R208" s="12"/>
      <c r="S208" s="12"/>
      <c r="T208" s="36"/>
      <c r="U208" s="36"/>
      <c r="V208" s="12"/>
      <c r="W208" s="12"/>
      <c r="X208" s="12"/>
      <c r="Y208" s="12"/>
      <c r="Z208" s="12"/>
    </row>
    <row r="209" customFormat="false" ht="15.75" hidden="false" customHeight="false" outlineLevel="0" collapsed="false">
      <c r="A209" s="12"/>
      <c r="B209" s="34"/>
      <c r="C209" s="12"/>
      <c r="D209" s="12"/>
      <c r="E209" s="12"/>
      <c r="F209" s="12"/>
      <c r="G209" s="18"/>
      <c r="H209" s="35"/>
      <c r="I209" s="35"/>
      <c r="J209" s="12"/>
      <c r="O209" s="12"/>
      <c r="P209" s="18"/>
      <c r="Q209" s="12"/>
      <c r="R209" s="12"/>
      <c r="S209" s="12"/>
      <c r="T209" s="36"/>
      <c r="U209" s="36"/>
      <c r="V209" s="12"/>
      <c r="W209" s="12"/>
      <c r="X209" s="12"/>
      <c r="Y209" s="12"/>
      <c r="Z209" s="12"/>
    </row>
    <row r="210" customFormat="false" ht="15.75" hidden="false" customHeight="false" outlineLevel="0" collapsed="false">
      <c r="A210" s="12"/>
      <c r="B210" s="34"/>
      <c r="C210" s="12"/>
      <c r="D210" s="12"/>
      <c r="E210" s="12"/>
      <c r="F210" s="12"/>
      <c r="G210" s="18"/>
      <c r="H210" s="35"/>
      <c r="I210" s="35"/>
      <c r="J210" s="12"/>
      <c r="O210" s="12"/>
      <c r="P210" s="18"/>
      <c r="Q210" s="12"/>
      <c r="R210" s="12"/>
      <c r="S210" s="12"/>
      <c r="T210" s="36"/>
      <c r="U210" s="36"/>
      <c r="V210" s="12"/>
      <c r="W210" s="12"/>
      <c r="X210" s="12"/>
      <c r="Y210" s="12"/>
      <c r="Z210" s="12"/>
    </row>
    <row r="211" customFormat="false" ht="15.75" hidden="false" customHeight="false" outlineLevel="0" collapsed="false">
      <c r="A211" s="12"/>
      <c r="B211" s="34"/>
      <c r="C211" s="12"/>
      <c r="D211" s="12"/>
      <c r="E211" s="12"/>
      <c r="F211" s="12"/>
      <c r="G211" s="18"/>
      <c r="H211" s="35"/>
      <c r="I211" s="35"/>
      <c r="J211" s="12"/>
      <c r="O211" s="12"/>
      <c r="P211" s="18"/>
      <c r="Q211" s="12"/>
      <c r="R211" s="12"/>
      <c r="S211" s="12"/>
      <c r="T211" s="36"/>
      <c r="U211" s="36"/>
      <c r="V211" s="12"/>
      <c r="W211" s="12"/>
      <c r="X211" s="12"/>
      <c r="Y211" s="12"/>
      <c r="Z211" s="12"/>
    </row>
    <row r="212" customFormat="false" ht="15.75" hidden="false" customHeight="false" outlineLevel="0" collapsed="false">
      <c r="A212" s="12"/>
      <c r="B212" s="34"/>
      <c r="C212" s="12"/>
      <c r="D212" s="12"/>
      <c r="E212" s="12"/>
      <c r="F212" s="12"/>
      <c r="G212" s="18"/>
      <c r="H212" s="35"/>
      <c r="I212" s="35"/>
      <c r="J212" s="12"/>
      <c r="O212" s="12"/>
      <c r="P212" s="18"/>
      <c r="Q212" s="12"/>
      <c r="R212" s="12"/>
      <c r="S212" s="12"/>
      <c r="T212" s="36"/>
      <c r="U212" s="36"/>
      <c r="V212" s="12"/>
      <c r="W212" s="12"/>
      <c r="X212" s="12"/>
      <c r="Y212" s="12"/>
      <c r="Z212" s="12"/>
    </row>
    <row r="213" customFormat="false" ht="15.75" hidden="false" customHeight="false" outlineLevel="0" collapsed="false">
      <c r="A213" s="12"/>
      <c r="B213" s="34"/>
      <c r="C213" s="12"/>
      <c r="D213" s="12"/>
      <c r="E213" s="12"/>
      <c r="F213" s="12"/>
      <c r="G213" s="18"/>
      <c r="H213" s="35"/>
      <c r="I213" s="35"/>
      <c r="J213" s="12"/>
      <c r="O213" s="12"/>
      <c r="P213" s="18"/>
      <c r="Q213" s="12"/>
      <c r="R213" s="12"/>
      <c r="S213" s="12"/>
      <c r="T213" s="36"/>
      <c r="U213" s="36"/>
      <c r="V213" s="12"/>
      <c r="W213" s="12"/>
      <c r="X213" s="12"/>
      <c r="Y213" s="12"/>
      <c r="Z213" s="12"/>
    </row>
    <row r="214" customFormat="false" ht="15.75" hidden="false" customHeight="false" outlineLevel="0" collapsed="false">
      <c r="A214" s="12"/>
      <c r="B214" s="34"/>
      <c r="C214" s="12"/>
      <c r="D214" s="12"/>
      <c r="E214" s="12"/>
      <c r="F214" s="12"/>
      <c r="G214" s="18"/>
      <c r="H214" s="35"/>
      <c r="I214" s="35"/>
      <c r="J214" s="12"/>
      <c r="O214" s="12"/>
      <c r="P214" s="18"/>
      <c r="Q214" s="12"/>
      <c r="R214" s="12"/>
      <c r="S214" s="12"/>
      <c r="T214" s="36"/>
      <c r="U214" s="36"/>
      <c r="V214" s="12"/>
      <c r="W214" s="12"/>
      <c r="X214" s="12"/>
      <c r="Y214" s="12"/>
      <c r="Z214" s="12"/>
    </row>
    <row r="215" customFormat="false" ht="15.75" hidden="false" customHeight="false" outlineLevel="0" collapsed="false">
      <c r="A215" s="12"/>
      <c r="B215" s="34"/>
      <c r="C215" s="12"/>
      <c r="D215" s="12"/>
      <c r="E215" s="12"/>
      <c r="F215" s="12"/>
      <c r="G215" s="18"/>
      <c r="H215" s="35"/>
      <c r="I215" s="35"/>
      <c r="J215" s="12"/>
      <c r="O215" s="12"/>
      <c r="P215" s="18"/>
      <c r="Q215" s="12"/>
      <c r="R215" s="12"/>
      <c r="S215" s="12"/>
      <c r="T215" s="36"/>
      <c r="U215" s="36"/>
      <c r="V215" s="12"/>
      <c r="W215" s="12"/>
      <c r="X215" s="12"/>
      <c r="Y215" s="12"/>
      <c r="Z215" s="12"/>
    </row>
    <row r="216" customFormat="false" ht="15.75" hidden="false" customHeight="false" outlineLevel="0" collapsed="false">
      <c r="A216" s="12"/>
      <c r="B216" s="34"/>
      <c r="C216" s="12"/>
      <c r="D216" s="12"/>
      <c r="E216" s="12"/>
      <c r="F216" s="12"/>
      <c r="G216" s="18"/>
      <c r="H216" s="35"/>
      <c r="I216" s="35"/>
      <c r="J216" s="12"/>
      <c r="O216" s="12"/>
      <c r="P216" s="18"/>
      <c r="Q216" s="12"/>
      <c r="R216" s="12"/>
      <c r="S216" s="12"/>
      <c r="T216" s="36"/>
      <c r="U216" s="36"/>
      <c r="V216" s="12"/>
      <c r="W216" s="12"/>
      <c r="X216" s="12"/>
      <c r="Y216" s="12"/>
      <c r="Z216" s="12"/>
    </row>
    <row r="217" customFormat="false" ht="15.75" hidden="false" customHeight="false" outlineLevel="0" collapsed="false">
      <c r="A217" s="12"/>
      <c r="B217" s="34"/>
      <c r="C217" s="12"/>
      <c r="D217" s="12"/>
      <c r="E217" s="12"/>
      <c r="F217" s="12"/>
      <c r="G217" s="18"/>
      <c r="H217" s="35"/>
      <c r="I217" s="35"/>
      <c r="J217" s="12"/>
      <c r="O217" s="12"/>
      <c r="P217" s="18"/>
      <c r="Q217" s="12"/>
      <c r="R217" s="12"/>
      <c r="S217" s="12"/>
      <c r="T217" s="36"/>
      <c r="U217" s="36"/>
      <c r="V217" s="12"/>
      <c r="W217" s="12"/>
      <c r="X217" s="12"/>
      <c r="Y217" s="12"/>
      <c r="Z217" s="12"/>
    </row>
    <row r="218" customFormat="false" ht="15.75" hidden="false" customHeight="false" outlineLevel="0" collapsed="false">
      <c r="A218" s="12"/>
      <c r="B218" s="34"/>
      <c r="C218" s="12"/>
      <c r="D218" s="12"/>
      <c r="E218" s="12"/>
      <c r="F218" s="12"/>
      <c r="G218" s="18"/>
      <c r="H218" s="35"/>
      <c r="I218" s="35"/>
      <c r="J218" s="12"/>
      <c r="O218" s="12"/>
      <c r="P218" s="18"/>
      <c r="Q218" s="12"/>
      <c r="R218" s="12"/>
      <c r="S218" s="12"/>
      <c r="T218" s="36"/>
      <c r="U218" s="36"/>
      <c r="V218" s="12"/>
      <c r="W218" s="12"/>
      <c r="X218" s="12"/>
      <c r="Y218" s="12"/>
      <c r="Z218" s="12"/>
    </row>
    <row r="219" customFormat="false" ht="15.75" hidden="false" customHeight="false" outlineLevel="0" collapsed="false">
      <c r="A219" s="12"/>
      <c r="B219" s="34"/>
      <c r="C219" s="12"/>
      <c r="D219" s="12"/>
      <c r="E219" s="12"/>
      <c r="F219" s="12"/>
      <c r="G219" s="18"/>
      <c r="H219" s="35"/>
      <c r="I219" s="35"/>
      <c r="J219" s="12"/>
      <c r="O219" s="12"/>
      <c r="P219" s="18"/>
      <c r="Q219" s="12"/>
      <c r="R219" s="12"/>
      <c r="S219" s="12"/>
      <c r="T219" s="36"/>
      <c r="U219" s="36"/>
      <c r="V219" s="12"/>
      <c r="W219" s="12"/>
      <c r="X219" s="12"/>
      <c r="Y219" s="12"/>
      <c r="Z219" s="12"/>
    </row>
    <row r="220" customFormat="false" ht="15.75" hidden="false" customHeight="false" outlineLevel="0" collapsed="false">
      <c r="A220" s="12"/>
      <c r="B220" s="34"/>
      <c r="C220" s="12"/>
      <c r="D220" s="12"/>
      <c r="E220" s="12"/>
      <c r="F220" s="12"/>
      <c r="G220" s="18"/>
      <c r="H220" s="35"/>
      <c r="I220" s="35"/>
      <c r="J220" s="12"/>
      <c r="O220" s="12"/>
      <c r="P220" s="18"/>
      <c r="Q220" s="12"/>
      <c r="R220" s="12"/>
      <c r="S220" s="12"/>
      <c r="T220" s="36"/>
      <c r="U220" s="36"/>
      <c r="V220" s="12"/>
      <c r="W220" s="12"/>
      <c r="X220" s="12"/>
      <c r="Y220" s="12"/>
      <c r="Z220" s="12"/>
    </row>
    <row r="221" customFormat="false" ht="15.75" hidden="false" customHeight="false" outlineLevel="0" collapsed="false">
      <c r="A221" s="12"/>
      <c r="B221" s="34"/>
      <c r="C221" s="12"/>
      <c r="D221" s="12"/>
      <c r="E221" s="12"/>
      <c r="F221" s="12"/>
      <c r="G221" s="18"/>
      <c r="H221" s="35"/>
      <c r="I221" s="35"/>
      <c r="J221" s="12"/>
      <c r="O221" s="12"/>
      <c r="P221" s="18"/>
      <c r="Q221" s="12"/>
      <c r="R221" s="12"/>
      <c r="S221" s="12"/>
      <c r="T221" s="36"/>
      <c r="U221" s="36"/>
      <c r="V221" s="12"/>
      <c r="W221" s="12"/>
      <c r="X221" s="12"/>
      <c r="Y221" s="12"/>
      <c r="Z221" s="12"/>
    </row>
    <row r="222" customFormat="false" ht="15.75" hidden="false" customHeight="false" outlineLevel="0" collapsed="false">
      <c r="A222" s="12"/>
      <c r="B222" s="34"/>
      <c r="C222" s="12"/>
      <c r="D222" s="12"/>
      <c r="E222" s="12"/>
      <c r="F222" s="12"/>
      <c r="G222" s="18"/>
      <c r="H222" s="35"/>
      <c r="I222" s="35"/>
      <c r="J222" s="12"/>
      <c r="O222" s="12"/>
      <c r="P222" s="18"/>
      <c r="Q222" s="12"/>
      <c r="R222" s="12"/>
      <c r="S222" s="12"/>
      <c r="T222" s="36"/>
      <c r="U222" s="36"/>
      <c r="V222" s="12"/>
      <c r="W222" s="12"/>
      <c r="X222" s="12"/>
      <c r="Y222" s="12"/>
      <c r="Z222" s="12"/>
    </row>
    <row r="223" customFormat="false" ht="15.75" hidden="false" customHeight="false" outlineLevel="0" collapsed="false">
      <c r="A223" s="12"/>
      <c r="B223" s="34"/>
      <c r="C223" s="12"/>
      <c r="D223" s="12"/>
      <c r="E223" s="12"/>
      <c r="F223" s="12"/>
      <c r="G223" s="18"/>
      <c r="H223" s="35"/>
      <c r="I223" s="35"/>
      <c r="J223" s="12"/>
      <c r="O223" s="12"/>
      <c r="P223" s="18"/>
      <c r="Q223" s="12"/>
      <c r="R223" s="12"/>
      <c r="S223" s="12"/>
      <c r="T223" s="36"/>
      <c r="U223" s="36"/>
      <c r="V223" s="12"/>
      <c r="W223" s="12"/>
      <c r="X223" s="12"/>
      <c r="Y223" s="12"/>
      <c r="Z223" s="12"/>
    </row>
    <row r="224" customFormat="false" ht="15.75" hidden="false" customHeight="false" outlineLevel="0" collapsed="false">
      <c r="A224" s="12"/>
      <c r="B224" s="34"/>
      <c r="C224" s="12"/>
      <c r="D224" s="12"/>
      <c r="E224" s="12"/>
      <c r="F224" s="12"/>
      <c r="G224" s="18"/>
      <c r="H224" s="35"/>
      <c r="I224" s="35"/>
      <c r="J224" s="12"/>
      <c r="O224" s="12"/>
      <c r="P224" s="18"/>
      <c r="Q224" s="12"/>
      <c r="R224" s="12"/>
      <c r="S224" s="12"/>
      <c r="T224" s="36"/>
      <c r="U224" s="36"/>
      <c r="V224" s="12"/>
      <c r="W224" s="12"/>
      <c r="X224" s="12"/>
      <c r="Y224" s="12"/>
      <c r="Z224" s="12"/>
    </row>
    <row r="225" customFormat="false" ht="15.75" hidden="false" customHeight="false" outlineLevel="0" collapsed="false">
      <c r="A225" s="12"/>
      <c r="B225" s="34"/>
      <c r="C225" s="12"/>
      <c r="D225" s="12"/>
      <c r="E225" s="12"/>
      <c r="F225" s="12"/>
      <c r="G225" s="18"/>
      <c r="H225" s="35"/>
      <c r="I225" s="35"/>
      <c r="J225" s="12"/>
      <c r="O225" s="12"/>
      <c r="P225" s="18"/>
      <c r="Q225" s="12"/>
      <c r="R225" s="12"/>
      <c r="S225" s="12"/>
      <c r="T225" s="36"/>
      <c r="U225" s="36"/>
      <c r="V225" s="12"/>
      <c r="W225" s="12"/>
      <c r="X225" s="12"/>
      <c r="Y225" s="12"/>
      <c r="Z225" s="12"/>
    </row>
    <row r="226" customFormat="false" ht="15.75" hidden="false" customHeight="false" outlineLevel="0" collapsed="false">
      <c r="A226" s="12"/>
      <c r="B226" s="34"/>
      <c r="C226" s="12"/>
      <c r="D226" s="12"/>
      <c r="E226" s="12"/>
      <c r="F226" s="12"/>
      <c r="G226" s="18"/>
      <c r="H226" s="35"/>
      <c r="I226" s="35"/>
      <c r="J226" s="12"/>
      <c r="O226" s="12"/>
      <c r="P226" s="18"/>
      <c r="Q226" s="12"/>
      <c r="R226" s="12"/>
      <c r="S226" s="12"/>
      <c r="T226" s="36"/>
      <c r="U226" s="36"/>
      <c r="V226" s="12"/>
      <c r="W226" s="12"/>
      <c r="X226" s="12"/>
      <c r="Y226" s="12"/>
      <c r="Z226" s="12"/>
    </row>
    <row r="227" customFormat="false" ht="15.75" hidden="false" customHeight="false" outlineLevel="0" collapsed="false">
      <c r="A227" s="12"/>
      <c r="B227" s="34"/>
      <c r="C227" s="12"/>
      <c r="D227" s="12"/>
      <c r="E227" s="12"/>
      <c r="F227" s="12"/>
      <c r="G227" s="18"/>
      <c r="H227" s="35"/>
      <c r="I227" s="35"/>
      <c r="J227" s="12"/>
      <c r="O227" s="12"/>
      <c r="P227" s="18"/>
      <c r="Q227" s="12"/>
      <c r="R227" s="12"/>
      <c r="S227" s="12"/>
      <c r="T227" s="36"/>
      <c r="U227" s="36"/>
      <c r="V227" s="12"/>
      <c r="W227" s="12"/>
      <c r="X227" s="12"/>
      <c r="Y227" s="12"/>
      <c r="Z227" s="12"/>
    </row>
    <row r="228" customFormat="false" ht="15.75" hidden="false" customHeight="false" outlineLevel="0" collapsed="false">
      <c r="A228" s="12"/>
      <c r="B228" s="34"/>
      <c r="C228" s="12"/>
      <c r="D228" s="12"/>
      <c r="E228" s="12"/>
      <c r="F228" s="12"/>
      <c r="G228" s="18"/>
      <c r="H228" s="35"/>
      <c r="I228" s="35"/>
      <c r="J228" s="12"/>
      <c r="O228" s="12"/>
      <c r="P228" s="18"/>
      <c r="Q228" s="12"/>
      <c r="R228" s="12"/>
      <c r="S228" s="12"/>
      <c r="T228" s="36"/>
      <c r="U228" s="36"/>
      <c r="V228" s="12"/>
      <c r="W228" s="12"/>
      <c r="X228" s="12"/>
      <c r="Y228" s="12"/>
      <c r="Z228" s="12"/>
    </row>
    <row r="229" customFormat="false" ht="15.75" hidden="false" customHeight="false" outlineLevel="0" collapsed="false">
      <c r="A229" s="12"/>
      <c r="B229" s="34"/>
      <c r="C229" s="12"/>
      <c r="D229" s="12"/>
      <c r="E229" s="12"/>
      <c r="F229" s="12"/>
      <c r="G229" s="18"/>
      <c r="H229" s="35"/>
      <c r="I229" s="35"/>
      <c r="J229" s="12"/>
      <c r="O229" s="12"/>
      <c r="P229" s="18"/>
      <c r="Q229" s="12"/>
      <c r="R229" s="12"/>
      <c r="S229" s="12"/>
      <c r="T229" s="36"/>
      <c r="U229" s="36"/>
      <c r="V229" s="12"/>
      <c r="W229" s="12"/>
      <c r="X229" s="12"/>
      <c r="Y229" s="12"/>
      <c r="Z229" s="12"/>
    </row>
    <row r="230" customFormat="false" ht="15.75" hidden="false" customHeight="false" outlineLevel="0" collapsed="false">
      <c r="A230" s="12"/>
      <c r="B230" s="34"/>
      <c r="C230" s="12"/>
      <c r="D230" s="12"/>
      <c r="E230" s="12"/>
      <c r="F230" s="12"/>
      <c r="G230" s="18"/>
      <c r="H230" s="35"/>
      <c r="I230" s="35"/>
      <c r="J230" s="12"/>
      <c r="O230" s="12"/>
      <c r="P230" s="18"/>
      <c r="Q230" s="12"/>
      <c r="R230" s="12"/>
      <c r="S230" s="12"/>
      <c r="T230" s="36"/>
      <c r="U230" s="36"/>
      <c r="V230" s="12"/>
      <c r="W230" s="12"/>
      <c r="X230" s="12"/>
      <c r="Y230" s="12"/>
      <c r="Z230" s="12"/>
    </row>
    <row r="231" customFormat="false" ht="15.75" hidden="false" customHeight="false" outlineLevel="0" collapsed="false">
      <c r="A231" s="12"/>
      <c r="B231" s="34"/>
      <c r="C231" s="12"/>
      <c r="D231" s="12"/>
      <c r="E231" s="12"/>
      <c r="F231" s="12"/>
      <c r="G231" s="18"/>
      <c r="H231" s="35"/>
      <c r="I231" s="35"/>
      <c r="J231" s="12"/>
      <c r="O231" s="12"/>
      <c r="P231" s="18"/>
      <c r="Q231" s="12"/>
      <c r="R231" s="12"/>
      <c r="S231" s="12"/>
      <c r="T231" s="36"/>
      <c r="U231" s="36"/>
      <c r="V231" s="12"/>
      <c r="W231" s="12"/>
      <c r="X231" s="12"/>
      <c r="Y231" s="12"/>
      <c r="Z231" s="12"/>
    </row>
    <row r="232" customFormat="false" ht="15.75" hidden="false" customHeight="false" outlineLevel="0" collapsed="false">
      <c r="A232" s="12"/>
      <c r="B232" s="34"/>
      <c r="C232" s="12"/>
      <c r="D232" s="12"/>
      <c r="E232" s="12"/>
      <c r="F232" s="12"/>
      <c r="G232" s="18"/>
      <c r="H232" s="35"/>
      <c r="I232" s="35"/>
      <c r="J232" s="12"/>
      <c r="O232" s="12"/>
      <c r="P232" s="18"/>
      <c r="Q232" s="12"/>
      <c r="R232" s="12"/>
      <c r="S232" s="12"/>
      <c r="T232" s="36"/>
      <c r="U232" s="36"/>
      <c r="V232" s="12"/>
      <c r="W232" s="12"/>
      <c r="X232" s="12"/>
      <c r="Y232" s="12"/>
      <c r="Z232" s="12"/>
    </row>
    <row r="233" customFormat="false" ht="15.75" hidden="false" customHeight="false" outlineLevel="0" collapsed="false">
      <c r="A233" s="12"/>
      <c r="B233" s="34"/>
      <c r="C233" s="12"/>
      <c r="D233" s="12"/>
      <c r="E233" s="12"/>
      <c r="F233" s="12"/>
      <c r="G233" s="18"/>
      <c r="H233" s="35"/>
      <c r="I233" s="35"/>
      <c r="J233" s="12"/>
      <c r="O233" s="12"/>
      <c r="P233" s="18"/>
      <c r="Q233" s="12"/>
      <c r="R233" s="12"/>
      <c r="S233" s="12"/>
      <c r="T233" s="36"/>
      <c r="U233" s="36"/>
      <c r="V233" s="12"/>
      <c r="W233" s="12"/>
      <c r="X233" s="12"/>
      <c r="Y233" s="12"/>
      <c r="Z233" s="12"/>
    </row>
    <row r="234" customFormat="false" ht="15.75" hidden="false" customHeight="false" outlineLevel="0" collapsed="false">
      <c r="A234" s="12"/>
      <c r="B234" s="34"/>
      <c r="C234" s="12"/>
      <c r="D234" s="12"/>
      <c r="E234" s="12"/>
      <c r="F234" s="12"/>
      <c r="G234" s="18"/>
      <c r="H234" s="35"/>
      <c r="I234" s="35"/>
      <c r="J234" s="12"/>
      <c r="O234" s="12"/>
      <c r="P234" s="18"/>
      <c r="Q234" s="12"/>
      <c r="R234" s="12"/>
      <c r="S234" s="12"/>
      <c r="T234" s="36"/>
      <c r="U234" s="36"/>
      <c r="V234" s="12"/>
      <c r="W234" s="12"/>
      <c r="X234" s="12"/>
      <c r="Y234" s="12"/>
      <c r="Z234" s="12"/>
    </row>
    <row r="235" customFormat="false" ht="15.75" hidden="false" customHeight="false" outlineLevel="0" collapsed="false">
      <c r="A235" s="12"/>
      <c r="B235" s="34"/>
      <c r="C235" s="12"/>
      <c r="D235" s="12"/>
      <c r="E235" s="12"/>
      <c r="F235" s="12"/>
      <c r="G235" s="18"/>
      <c r="H235" s="35"/>
      <c r="I235" s="35"/>
      <c r="J235" s="12"/>
      <c r="O235" s="12"/>
      <c r="P235" s="18"/>
      <c r="Q235" s="12"/>
      <c r="R235" s="12"/>
      <c r="S235" s="12"/>
      <c r="T235" s="36"/>
      <c r="U235" s="36"/>
      <c r="V235" s="12"/>
      <c r="W235" s="12"/>
      <c r="X235" s="12"/>
      <c r="Y235" s="12"/>
      <c r="Z235" s="12"/>
    </row>
    <row r="236" customFormat="false" ht="15.75" hidden="false" customHeight="false" outlineLevel="0" collapsed="false">
      <c r="A236" s="12"/>
      <c r="B236" s="34"/>
      <c r="C236" s="12"/>
      <c r="D236" s="12"/>
      <c r="E236" s="12"/>
      <c r="F236" s="12"/>
      <c r="G236" s="18"/>
      <c r="H236" s="35"/>
      <c r="I236" s="35"/>
      <c r="J236" s="12"/>
      <c r="O236" s="12"/>
      <c r="P236" s="18"/>
      <c r="Q236" s="12"/>
      <c r="R236" s="12"/>
      <c r="S236" s="12"/>
      <c r="T236" s="36"/>
      <c r="U236" s="36"/>
      <c r="V236" s="12"/>
      <c r="W236" s="12"/>
      <c r="X236" s="12"/>
      <c r="Y236" s="12"/>
      <c r="Z236" s="12"/>
    </row>
    <row r="237" customFormat="false" ht="15.75" hidden="false" customHeight="false" outlineLevel="0" collapsed="false">
      <c r="A237" s="12"/>
      <c r="B237" s="34"/>
      <c r="C237" s="12"/>
      <c r="D237" s="12"/>
      <c r="E237" s="12"/>
      <c r="F237" s="12"/>
      <c r="G237" s="18"/>
      <c r="H237" s="35"/>
      <c r="I237" s="35"/>
      <c r="J237" s="12"/>
      <c r="O237" s="12"/>
      <c r="P237" s="18"/>
      <c r="Q237" s="12"/>
      <c r="R237" s="12"/>
      <c r="S237" s="12"/>
      <c r="T237" s="36"/>
      <c r="U237" s="36"/>
      <c r="V237" s="12"/>
      <c r="W237" s="12"/>
      <c r="X237" s="12"/>
      <c r="Y237" s="12"/>
      <c r="Z237" s="12"/>
    </row>
    <row r="238" customFormat="false" ht="15.75" hidden="false" customHeight="false" outlineLevel="0" collapsed="false">
      <c r="A238" s="12"/>
      <c r="B238" s="34"/>
      <c r="C238" s="12"/>
      <c r="D238" s="12"/>
      <c r="E238" s="12"/>
      <c r="F238" s="12"/>
      <c r="G238" s="18"/>
      <c r="H238" s="35"/>
      <c r="I238" s="35"/>
      <c r="J238" s="12"/>
      <c r="O238" s="12"/>
      <c r="P238" s="18"/>
      <c r="Q238" s="12"/>
      <c r="R238" s="12"/>
      <c r="S238" s="12"/>
      <c r="T238" s="36"/>
      <c r="U238" s="36"/>
      <c r="V238" s="12"/>
      <c r="W238" s="12"/>
      <c r="X238" s="12"/>
      <c r="Y238" s="12"/>
      <c r="Z238" s="12"/>
    </row>
    <row r="239" customFormat="false" ht="15.75" hidden="false" customHeight="false" outlineLevel="0" collapsed="false">
      <c r="A239" s="12"/>
      <c r="B239" s="34"/>
      <c r="C239" s="12"/>
      <c r="D239" s="12"/>
      <c r="E239" s="12"/>
      <c r="F239" s="12"/>
      <c r="G239" s="18"/>
      <c r="H239" s="35"/>
      <c r="I239" s="35"/>
      <c r="J239" s="12"/>
      <c r="O239" s="12"/>
      <c r="P239" s="18"/>
      <c r="Q239" s="12"/>
      <c r="R239" s="12"/>
      <c r="S239" s="12"/>
      <c r="T239" s="36"/>
      <c r="U239" s="36"/>
      <c r="V239" s="12"/>
      <c r="W239" s="12"/>
      <c r="X239" s="12"/>
      <c r="Y239" s="12"/>
      <c r="Z239" s="12"/>
    </row>
    <row r="240" customFormat="false" ht="15.75" hidden="false" customHeight="false" outlineLevel="0" collapsed="false">
      <c r="A240" s="12"/>
      <c r="B240" s="34"/>
      <c r="C240" s="12"/>
      <c r="D240" s="12"/>
      <c r="E240" s="12"/>
      <c r="F240" s="12"/>
      <c r="G240" s="18"/>
      <c r="H240" s="35"/>
      <c r="I240" s="35"/>
      <c r="J240" s="12"/>
      <c r="O240" s="12"/>
      <c r="P240" s="18"/>
      <c r="Q240" s="12"/>
      <c r="R240" s="12"/>
      <c r="S240" s="12"/>
      <c r="T240" s="36"/>
      <c r="U240" s="36"/>
      <c r="V240" s="12"/>
      <c r="W240" s="12"/>
      <c r="X240" s="12"/>
      <c r="Y240" s="12"/>
      <c r="Z240" s="12"/>
    </row>
    <row r="241" customFormat="false" ht="15.75" hidden="false" customHeight="false" outlineLevel="0" collapsed="false">
      <c r="A241" s="12"/>
      <c r="B241" s="34"/>
      <c r="C241" s="12"/>
      <c r="D241" s="12"/>
      <c r="E241" s="12"/>
      <c r="F241" s="12"/>
      <c r="G241" s="18"/>
      <c r="H241" s="35"/>
      <c r="I241" s="35"/>
      <c r="J241" s="12"/>
      <c r="O241" s="12"/>
      <c r="P241" s="18"/>
      <c r="Q241" s="12"/>
      <c r="R241" s="12"/>
      <c r="S241" s="12"/>
      <c r="T241" s="36"/>
      <c r="U241" s="36"/>
      <c r="V241" s="12"/>
      <c r="W241" s="12"/>
      <c r="X241" s="12"/>
      <c r="Y241" s="12"/>
      <c r="Z241" s="12"/>
    </row>
    <row r="242" customFormat="false" ht="15.75" hidden="false" customHeight="false" outlineLevel="0" collapsed="false">
      <c r="A242" s="12"/>
      <c r="B242" s="34"/>
      <c r="C242" s="12"/>
      <c r="D242" s="12"/>
      <c r="E242" s="12"/>
      <c r="F242" s="12"/>
      <c r="G242" s="18"/>
      <c r="H242" s="35"/>
      <c r="I242" s="35"/>
      <c r="J242" s="12"/>
      <c r="O242" s="12"/>
      <c r="P242" s="18"/>
      <c r="Q242" s="12"/>
      <c r="R242" s="12"/>
      <c r="S242" s="12"/>
      <c r="T242" s="36"/>
      <c r="U242" s="36"/>
      <c r="V242" s="12"/>
      <c r="W242" s="12"/>
      <c r="X242" s="12"/>
      <c r="Y242" s="12"/>
      <c r="Z242" s="12"/>
    </row>
    <row r="243" customFormat="false" ht="15.75" hidden="false" customHeight="false" outlineLevel="0" collapsed="false">
      <c r="A243" s="12"/>
      <c r="B243" s="34"/>
      <c r="C243" s="12"/>
      <c r="D243" s="12"/>
      <c r="E243" s="12"/>
      <c r="F243" s="12"/>
      <c r="G243" s="18"/>
      <c r="H243" s="35"/>
      <c r="I243" s="35"/>
      <c r="J243" s="12"/>
      <c r="O243" s="12"/>
      <c r="P243" s="18"/>
      <c r="Q243" s="12"/>
      <c r="R243" s="12"/>
      <c r="S243" s="12"/>
      <c r="T243" s="36"/>
      <c r="U243" s="36"/>
      <c r="V243" s="12"/>
      <c r="W243" s="12"/>
      <c r="X243" s="12"/>
      <c r="Y243" s="12"/>
      <c r="Z243" s="12"/>
    </row>
    <row r="244" customFormat="false" ht="15.75" hidden="false" customHeight="false" outlineLevel="0" collapsed="false">
      <c r="A244" s="12"/>
      <c r="B244" s="34"/>
      <c r="C244" s="12"/>
      <c r="D244" s="12"/>
      <c r="E244" s="12"/>
      <c r="F244" s="12"/>
      <c r="G244" s="18"/>
      <c r="H244" s="35"/>
      <c r="I244" s="35"/>
      <c r="J244" s="12"/>
      <c r="O244" s="12"/>
      <c r="P244" s="18"/>
      <c r="Q244" s="12"/>
      <c r="R244" s="12"/>
      <c r="S244" s="12"/>
      <c r="T244" s="36"/>
      <c r="U244" s="36"/>
      <c r="V244" s="12"/>
      <c r="W244" s="12"/>
      <c r="X244" s="12"/>
      <c r="Y244" s="12"/>
      <c r="Z244" s="12"/>
    </row>
    <row r="245" customFormat="false" ht="15.75" hidden="false" customHeight="false" outlineLevel="0" collapsed="false">
      <c r="A245" s="12"/>
      <c r="B245" s="34"/>
      <c r="C245" s="12"/>
      <c r="D245" s="12"/>
      <c r="E245" s="12"/>
      <c r="F245" s="12"/>
      <c r="G245" s="18"/>
      <c r="H245" s="35"/>
      <c r="I245" s="35"/>
      <c r="J245" s="12"/>
      <c r="O245" s="12"/>
      <c r="P245" s="18"/>
      <c r="Q245" s="12"/>
      <c r="R245" s="12"/>
      <c r="S245" s="12"/>
      <c r="T245" s="36"/>
      <c r="U245" s="36"/>
      <c r="V245" s="12"/>
      <c r="W245" s="12"/>
      <c r="X245" s="12"/>
      <c r="Y245" s="12"/>
      <c r="Z245" s="12"/>
    </row>
    <row r="246" customFormat="false" ht="15.75" hidden="false" customHeight="false" outlineLevel="0" collapsed="false">
      <c r="A246" s="12"/>
      <c r="B246" s="34"/>
      <c r="C246" s="12"/>
      <c r="D246" s="12"/>
      <c r="E246" s="12"/>
      <c r="F246" s="12"/>
      <c r="G246" s="18"/>
      <c r="H246" s="35"/>
      <c r="I246" s="35"/>
      <c r="J246" s="12"/>
      <c r="O246" s="12"/>
      <c r="P246" s="18"/>
      <c r="Q246" s="12"/>
      <c r="R246" s="12"/>
      <c r="S246" s="12"/>
      <c r="T246" s="36"/>
      <c r="U246" s="36"/>
      <c r="V246" s="12"/>
      <c r="W246" s="12"/>
      <c r="X246" s="12"/>
      <c r="Y246" s="12"/>
      <c r="Z246" s="12"/>
    </row>
    <row r="247" customFormat="false" ht="15.75" hidden="false" customHeight="false" outlineLevel="0" collapsed="false">
      <c r="A247" s="12"/>
      <c r="B247" s="34"/>
      <c r="C247" s="12"/>
      <c r="D247" s="12"/>
      <c r="E247" s="12"/>
      <c r="F247" s="12"/>
      <c r="G247" s="18"/>
      <c r="H247" s="35"/>
      <c r="I247" s="35"/>
      <c r="J247" s="12"/>
      <c r="O247" s="12"/>
      <c r="P247" s="18"/>
      <c r="Q247" s="12"/>
      <c r="R247" s="12"/>
      <c r="S247" s="12"/>
      <c r="T247" s="36"/>
      <c r="U247" s="36"/>
      <c r="V247" s="12"/>
      <c r="W247" s="12"/>
      <c r="X247" s="12"/>
      <c r="Y247" s="12"/>
      <c r="Z247" s="12"/>
    </row>
    <row r="248" customFormat="false" ht="15.75" hidden="false" customHeight="false" outlineLevel="0" collapsed="false">
      <c r="A248" s="12"/>
      <c r="B248" s="34"/>
      <c r="C248" s="12"/>
      <c r="D248" s="12"/>
      <c r="E248" s="12"/>
      <c r="F248" s="12"/>
      <c r="G248" s="18"/>
      <c r="H248" s="35"/>
      <c r="I248" s="35"/>
      <c r="J248" s="12"/>
      <c r="O248" s="12"/>
      <c r="P248" s="18"/>
      <c r="Q248" s="12"/>
      <c r="R248" s="12"/>
      <c r="S248" s="12"/>
      <c r="T248" s="36"/>
      <c r="U248" s="36"/>
      <c r="V248" s="12"/>
      <c r="W248" s="12"/>
      <c r="X248" s="12"/>
      <c r="Y248" s="12"/>
      <c r="Z248" s="12"/>
    </row>
    <row r="249" customFormat="false" ht="15.75" hidden="false" customHeight="false" outlineLevel="0" collapsed="false">
      <c r="A249" s="12"/>
      <c r="B249" s="34"/>
      <c r="C249" s="12"/>
      <c r="D249" s="12"/>
      <c r="E249" s="12"/>
      <c r="F249" s="12"/>
      <c r="G249" s="18"/>
      <c r="H249" s="35"/>
      <c r="I249" s="35"/>
      <c r="J249" s="12"/>
      <c r="O249" s="12"/>
      <c r="P249" s="18"/>
      <c r="Q249" s="12"/>
      <c r="R249" s="12"/>
      <c r="S249" s="12"/>
      <c r="T249" s="36"/>
      <c r="U249" s="36"/>
      <c r="V249" s="12"/>
      <c r="W249" s="12"/>
      <c r="X249" s="12"/>
      <c r="Y249" s="12"/>
      <c r="Z249" s="12"/>
    </row>
    <row r="250" customFormat="false" ht="15.75" hidden="false" customHeight="false" outlineLevel="0" collapsed="false">
      <c r="A250" s="12"/>
      <c r="B250" s="34"/>
      <c r="C250" s="12"/>
      <c r="D250" s="12"/>
      <c r="E250" s="12"/>
      <c r="F250" s="12"/>
      <c r="G250" s="18"/>
      <c r="H250" s="35"/>
      <c r="I250" s="35"/>
      <c r="J250" s="12"/>
      <c r="O250" s="12"/>
      <c r="P250" s="18"/>
      <c r="Q250" s="12"/>
      <c r="R250" s="12"/>
      <c r="S250" s="12"/>
      <c r="T250" s="36"/>
      <c r="U250" s="36"/>
      <c r="V250" s="12"/>
      <c r="W250" s="12"/>
      <c r="X250" s="12"/>
      <c r="Y250" s="12"/>
      <c r="Z250" s="12"/>
    </row>
    <row r="251" customFormat="false" ht="15.75" hidden="false" customHeight="false" outlineLevel="0" collapsed="false">
      <c r="A251" s="12"/>
      <c r="B251" s="34"/>
      <c r="C251" s="12"/>
      <c r="D251" s="12"/>
      <c r="E251" s="12"/>
      <c r="F251" s="12"/>
      <c r="G251" s="18"/>
      <c r="H251" s="35"/>
      <c r="I251" s="35"/>
      <c r="J251" s="12"/>
      <c r="O251" s="12"/>
      <c r="P251" s="18"/>
      <c r="Q251" s="12"/>
      <c r="R251" s="12"/>
      <c r="S251" s="12"/>
      <c r="T251" s="36"/>
      <c r="U251" s="36"/>
      <c r="V251" s="12"/>
      <c r="W251" s="12"/>
      <c r="X251" s="12"/>
      <c r="Y251" s="12"/>
      <c r="Z251" s="12"/>
    </row>
    <row r="252" customFormat="false" ht="15.75" hidden="false" customHeight="false" outlineLevel="0" collapsed="false">
      <c r="A252" s="12"/>
      <c r="B252" s="34"/>
      <c r="C252" s="12"/>
      <c r="D252" s="12"/>
      <c r="E252" s="12"/>
      <c r="F252" s="12"/>
      <c r="G252" s="18"/>
      <c r="H252" s="35"/>
      <c r="I252" s="35"/>
      <c r="J252" s="12"/>
      <c r="O252" s="12"/>
      <c r="P252" s="18"/>
      <c r="Q252" s="12"/>
      <c r="R252" s="12"/>
      <c r="S252" s="12"/>
      <c r="T252" s="36"/>
      <c r="U252" s="36"/>
      <c r="V252" s="12"/>
      <c r="W252" s="12"/>
      <c r="X252" s="12"/>
      <c r="Y252" s="12"/>
      <c r="Z252" s="12"/>
    </row>
    <row r="253" customFormat="false" ht="15.75" hidden="false" customHeight="false" outlineLevel="0" collapsed="false">
      <c r="A253" s="12"/>
      <c r="B253" s="34"/>
      <c r="C253" s="12"/>
      <c r="D253" s="12"/>
      <c r="E253" s="12"/>
      <c r="F253" s="12"/>
      <c r="G253" s="18"/>
      <c r="H253" s="35"/>
      <c r="I253" s="35"/>
      <c r="J253" s="12"/>
      <c r="O253" s="12"/>
      <c r="P253" s="18"/>
      <c r="Q253" s="12"/>
      <c r="R253" s="12"/>
      <c r="S253" s="12"/>
      <c r="T253" s="36"/>
      <c r="U253" s="36"/>
      <c r="V253" s="12"/>
      <c r="W253" s="12"/>
      <c r="X253" s="12"/>
      <c r="Y253" s="12"/>
      <c r="Z253" s="12"/>
    </row>
    <row r="254" customFormat="false" ht="15.75" hidden="false" customHeight="false" outlineLevel="0" collapsed="false">
      <c r="A254" s="12"/>
      <c r="B254" s="34"/>
      <c r="C254" s="12"/>
      <c r="D254" s="12"/>
      <c r="E254" s="12"/>
      <c r="F254" s="12"/>
      <c r="G254" s="18"/>
      <c r="H254" s="35"/>
      <c r="I254" s="35"/>
      <c r="J254" s="12"/>
      <c r="O254" s="12"/>
      <c r="P254" s="18"/>
      <c r="Q254" s="12"/>
      <c r="R254" s="12"/>
      <c r="S254" s="12"/>
      <c r="T254" s="36"/>
      <c r="U254" s="36"/>
      <c r="V254" s="12"/>
      <c r="W254" s="12"/>
      <c r="X254" s="12"/>
      <c r="Y254" s="12"/>
      <c r="Z254" s="12"/>
    </row>
    <row r="255" customFormat="false" ht="15.75" hidden="false" customHeight="false" outlineLevel="0" collapsed="false">
      <c r="A255" s="12"/>
      <c r="B255" s="34"/>
      <c r="C255" s="12"/>
      <c r="D255" s="12"/>
      <c r="E255" s="12"/>
      <c r="F255" s="12"/>
      <c r="G255" s="18"/>
      <c r="H255" s="35"/>
      <c r="I255" s="35"/>
      <c r="J255" s="12"/>
      <c r="O255" s="12"/>
      <c r="P255" s="18"/>
      <c r="Q255" s="12"/>
      <c r="R255" s="12"/>
      <c r="S255" s="12"/>
      <c r="T255" s="36"/>
      <c r="U255" s="36"/>
      <c r="V255" s="12"/>
      <c r="W255" s="12"/>
      <c r="X255" s="12"/>
      <c r="Y255" s="12"/>
      <c r="Z255" s="12"/>
    </row>
    <row r="256" customFormat="false" ht="15.75" hidden="false" customHeight="false" outlineLevel="0" collapsed="false">
      <c r="A256" s="12"/>
      <c r="B256" s="34"/>
      <c r="C256" s="12"/>
      <c r="D256" s="12"/>
      <c r="E256" s="12"/>
      <c r="F256" s="12"/>
      <c r="G256" s="18"/>
      <c r="H256" s="35"/>
      <c r="I256" s="35"/>
      <c r="J256" s="12"/>
      <c r="O256" s="12"/>
      <c r="P256" s="18"/>
      <c r="Q256" s="12"/>
      <c r="R256" s="12"/>
      <c r="S256" s="12"/>
      <c r="T256" s="36"/>
      <c r="U256" s="36"/>
      <c r="V256" s="12"/>
      <c r="W256" s="12"/>
      <c r="X256" s="12"/>
      <c r="Y256" s="12"/>
      <c r="Z256" s="12"/>
    </row>
    <row r="257" customFormat="false" ht="15.75" hidden="false" customHeight="false" outlineLevel="0" collapsed="false">
      <c r="A257" s="12"/>
      <c r="B257" s="34"/>
      <c r="C257" s="12"/>
      <c r="D257" s="12"/>
      <c r="E257" s="12"/>
      <c r="F257" s="12"/>
      <c r="G257" s="18"/>
      <c r="H257" s="35"/>
      <c r="I257" s="35"/>
      <c r="J257" s="12"/>
      <c r="O257" s="12"/>
      <c r="P257" s="18"/>
      <c r="Q257" s="12"/>
      <c r="R257" s="12"/>
      <c r="S257" s="12"/>
      <c r="T257" s="36"/>
      <c r="U257" s="36"/>
      <c r="V257" s="12"/>
      <c r="W257" s="12"/>
      <c r="X257" s="12"/>
      <c r="Y257" s="12"/>
      <c r="Z257" s="12"/>
    </row>
    <row r="258" customFormat="false" ht="15.75" hidden="false" customHeight="false" outlineLevel="0" collapsed="false">
      <c r="A258" s="12"/>
      <c r="B258" s="34"/>
      <c r="C258" s="12"/>
      <c r="D258" s="12"/>
      <c r="E258" s="12"/>
      <c r="F258" s="12"/>
      <c r="G258" s="18"/>
      <c r="H258" s="35"/>
      <c r="I258" s="35"/>
      <c r="J258" s="12"/>
      <c r="O258" s="12"/>
      <c r="P258" s="18"/>
      <c r="Q258" s="12"/>
      <c r="R258" s="12"/>
      <c r="S258" s="12"/>
      <c r="T258" s="36"/>
      <c r="U258" s="36"/>
      <c r="V258" s="12"/>
      <c r="W258" s="12"/>
      <c r="X258" s="12"/>
      <c r="Y258" s="12"/>
      <c r="Z258" s="12"/>
    </row>
    <row r="259" customFormat="false" ht="15.75" hidden="false" customHeight="false" outlineLevel="0" collapsed="false">
      <c r="A259" s="12"/>
      <c r="B259" s="34"/>
      <c r="C259" s="12"/>
      <c r="D259" s="12"/>
      <c r="E259" s="12"/>
      <c r="F259" s="12"/>
      <c r="G259" s="18"/>
      <c r="H259" s="35"/>
      <c r="I259" s="35"/>
      <c r="J259" s="12"/>
      <c r="O259" s="12"/>
      <c r="P259" s="18"/>
      <c r="Q259" s="12"/>
      <c r="R259" s="12"/>
      <c r="S259" s="12"/>
      <c r="T259" s="36"/>
      <c r="U259" s="36"/>
      <c r="V259" s="12"/>
      <c r="W259" s="12"/>
      <c r="X259" s="12"/>
      <c r="Y259" s="12"/>
      <c r="Z259" s="12"/>
    </row>
    <row r="260" customFormat="false" ht="15.75" hidden="false" customHeight="false" outlineLevel="0" collapsed="false">
      <c r="A260" s="12"/>
      <c r="B260" s="34"/>
      <c r="C260" s="12"/>
      <c r="D260" s="12"/>
      <c r="E260" s="12"/>
      <c r="F260" s="12"/>
      <c r="G260" s="18"/>
      <c r="H260" s="35"/>
      <c r="I260" s="35"/>
      <c r="J260" s="12"/>
      <c r="O260" s="12"/>
      <c r="P260" s="18"/>
      <c r="Q260" s="12"/>
      <c r="R260" s="12"/>
      <c r="S260" s="12"/>
      <c r="T260" s="36"/>
      <c r="U260" s="36"/>
      <c r="V260" s="12"/>
      <c r="W260" s="12"/>
      <c r="X260" s="12"/>
      <c r="Y260" s="12"/>
      <c r="Z260" s="12"/>
    </row>
    <row r="261" customFormat="false" ht="15.75" hidden="false" customHeight="false" outlineLevel="0" collapsed="false">
      <c r="A261" s="12"/>
      <c r="B261" s="34"/>
      <c r="C261" s="12"/>
      <c r="D261" s="12"/>
      <c r="E261" s="12"/>
      <c r="F261" s="12"/>
      <c r="G261" s="18"/>
      <c r="H261" s="35"/>
      <c r="I261" s="35"/>
      <c r="J261" s="12"/>
      <c r="O261" s="12"/>
      <c r="P261" s="18"/>
      <c r="Q261" s="12"/>
      <c r="R261" s="12"/>
      <c r="S261" s="12"/>
      <c r="T261" s="36"/>
      <c r="U261" s="36"/>
      <c r="V261" s="12"/>
      <c r="W261" s="12"/>
      <c r="X261" s="12"/>
      <c r="Y261" s="12"/>
      <c r="Z261" s="12"/>
    </row>
    <row r="262" customFormat="false" ht="15.75" hidden="false" customHeight="false" outlineLevel="0" collapsed="false">
      <c r="A262" s="12"/>
      <c r="B262" s="34"/>
      <c r="C262" s="12"/>
      <c r="D262" s="12"/>
      <c r="E262" s="12"/>
      <c r="F262" s="12"/>
      <c r="G262" s="18"/>
      <c r="H262" s="35"/>
      <c r="I262" s="35"/>
      <c r="J262" s="12"/>
      <c r="O262" s="12"/>
      <c r="P262" s="18"/>
      <c r="Q262" s="12"/>
      <c r="R262" s="12"/>
      <c r="S262" s="12"/>
      <c r="T262" s="36"/>
      <c r="U262" s="36"/>
      <c r="V262" s="12"/>
      <c r="W262" s="12"/>
      <c r="X262" s="12"/>
      <c r="Y262" s="12"/>
      <c r="Z262" s="12"/>
    </row>
    <row r="263" customFormat="false" ht="15.75" hidden="false" customHeight="false" outlineLevel="0" collapsed="false">
      <c r="A263" s="12"/>
      <c r="B263" s="34"/>
      <c r="C263" s="12"/>
      <c r="D263" s="12"/>
      <c r="E263" s="12"/>
      <c r="F263" s="12"/>
      <c r="G263" s="18"/>
      <c r="H263" s="35"/>
      <c r="I263" s="35"/>
      <c r="J263" s="12"/>
      <c r="O263" s="12"/>
      <c r="P263" s="18"/>
      <c r="Q263" s="12"/>
      <c r="R263" s="12"/>
      <c r="S263" s="12"/>
      <c r="T263" s="36"/>
      <c r="U263" s="36"/>
      <c r="V263" s="12"/>
      <c r="W263" s="12"/>
      <c r="X263" s="12"/>
      <c r="Y263" s="12"/>
      <c r="Z263" s="12"/>
    </row>
    <row r="264" customFormat="false" ht="15.75" hidden="false" customHeight="false" outlineLevel="0" collapsed="false">
      <c r="A264" s="12"/>
      <c r="B264" s="34"/>
      <c r="C264" s="12"/>
      <c r="D264" s="12"/>
      <c r="E264" s="12"/>
      <c r="F264" s="12"/>
      <c r="G264" s="18"/>
      <c r="H264" s="35"/>
      <c r="I264" s="35"/>
      <c r="J264" s="12"/>
      <c r="O264" s="12"/>
      <c r="P264" s="18"/>
      <c r="Q264" s="12"/>
      <c r="R264" s="12"/>
      <c r="S264" s="12"/>
      <c r="T264" s="36"/>
      <c r="U264" s="36"/>
      <c r="V264" s="12"/>
      <c r="W264" s="12"/>
      <c r="X264" s="12"/>
      <c r="Y264" s="12"/>
      <c r="Z264" s="12"/>
    </row>
    <row r="265" customFormat="false" ht="15.75" hidden="false" customHeight="false" outlineLevel="0" collapsed="false">
      <c r="A265" s="12"/>
      <c r="B265" s="34"/>
      <c r="C265" s="12"/>
      <c r="D265" s="12"/>
      <c r="E265" s="12"/>
      <c r="F265" s="12"/>
      <c r="G265" s="18"/>
      <c r="H265" s="35"/>
      <c r="I265" s="35"/>
      <c r="J265" s="12"/>
      <c r="O265" s="12"/>
      <c r="P265" s="18"/>
      <c r="Q265" s="12"/>
      <c r="R265" s="12"/>
      <c r="S265" s="12"/>
      <c r="T265" s="36"/>
      <c r="U265" s="36"/>
      <c r="V265" s="12"/>
      <c r="W265" s="12"/>
      <c r="X265" s="12"/>
      <c r="Y265" s="12"/>
      <c r="Z265" s="12"/>
    </row>
    <row r="266" customFormat="false" ht="15.75" hidden="false" customHeight="false" outlineLevel="0" collapsed="false">
      <c r="A266" s="12"/>
      <c r="B266" s="34"/>
      <c r="C266" s="12"/>
      <c r="D266" s="12"/>
      <c r="E266" s="12"/>
      <c r="F266" s="12"/>
      <c r="G266" s="18"/>
      <c r="H266" s="35"/>
      <c r="I266" s="35"/>
      <c r="J266" s="12"/>
      <c r="O266" s="12"/>
      <c r="P266" s="18"/>
      <c r="Q266" s="12"/>
      <c r="R266" s="12"/>
      <c r="S266" s="12"/>
      <c r="T266" s="36"/>
      <c r="U266" s="36"/>
      <c r="V266" s="12"/>
      <c r="W266" s="12"/>
      <c r="X266" s="12"/>
      <c r="Y266" s="12"/>
      <c r="Z266" s="12"/>
    </row>
    <row r="267" customFormat="false" ht="15.75" hidden="false" customHeight="false" outlineLevel="0" collapsed="false">
      <c r="A267" s="12"/>
      <c r="B267" s="34"/>
      <c r="C267" s="12"/>
      <c r="D267" s="12"/>
      <c r="E267" s="12"/>
      <c r="F267" s="12"/>
      <c r="G267" s="18"/>
      <c r="H267" s="35"/>
      <c r="I267" s="35"/>
      <c r="J267" s="12"/>
      <c r="O267" s="12"/>
      <c r="P267" s="18"/>
      <c r="Q267" s="12"/>
      <c r="R267" s="12"/>
      <c r="S267" s="12"/>
      <c r="T267" s="36"/>
      <c r="U267" s="36"/>
      <c r="V267" s="12"/>
      <c r="W267" s="12"/>
      <c r="X267" s="12"/>
      <c r="Y267" s="12"/>
      <c r="Z267" s="12"/>
    </row>
    <row r="268" customFormat="false" ht="15.75" hidden="false" customHeight="false" outlineLevel="0" collapsed="false">
      <c r="A268" s="12"/>
      <c r="B268" s="34"/>
      <c r="C268" s="12"/>
      <c r="D268" s="12"/>
      <c r="E268" s="12"/>
      <c r="F268" s="12"/>
      <c r="G268" s="18"/>
      <c r="H268" s="35"/>
      <c r="I268" s="35"/>
      <c r="J268" s="12"/>
      <c r="O268" s="12"/>
      <c r="P268" s="18"/>
      <c r="Q268" s="12"/>
      <c r="R268" s="12"/>
      <c r="S268" s="12"/>
      <c r="T268" s="36"/>
      <c r="U268" s="36"/>
      <c r="V268" s="12"/>
      <c r="W268" s="12"/>
      <c r="X268" s="12"/>
      <c r="Y268" s="12"/>
      <c r="Z268" s="12"/>
    </row>
    <row r="269" customFormat="false" ht="15.75" hidden="false" customHeight="false" outlineLevel="0" collapsed="false">
      <c r="A269" s="12"/>
      <c r="B269" s="34"/>
      <c r="C269" s="12"/>
      <c r="D269" s="12"/>
      <c r="E269" s="12"/>
      <c r="F269" s="12"/>
      <c r="G269" s="18"/>
      <c r="H269" s="35"/>
      <c r="I269" s="35"/>
      <c r="J269" s="12"/>
      <c r="O269" s="12"/>
      <c r="P269" s="18"/>
      <c r="Q269" s="12"/>
      <c r="R269" s="12"/>
      <c r="S269" s="12"/>
      <c r="T269" s="36"/>
      <c r="U269" s="36"/>
      <c r="V269" s="12"/>
      <c r="W269" s="12"/>
      <c r="X269" s="12"/>
      <c r="Y269" s="12"/>
      <c r="Z269" s="12"/>
    </row>
    <row r="270" customFormat="false" ht="15.75" hidden="false" customHeight="false" outlineLevel="0" collapsed="false">
      <c r="A270" s="12"/>
      <c r="B270" s="34"/>
      <c r="C270" s="12"/>
      <c r="D270" s="12"/>
      <c r="E270" s="12"/>
      <c r="F270" s="12"/>
      <c r="G270" s="18"/>
      <c r="H270" s="35"/>
      <c r="I270" s="35"/>
      <c r="J270" s="12"/>
      <c r="O270" s="12"/>
      <c r="P270" s="18"/>
      <c r="Q270" s="12"/>
      <c r="R270" s="12"/>
      <c r="S270" s="12"/>
      <c r="T270" s="36"/>
      <c r="U270" s="36"/>
      <c r="V270" s="12"/>
      <c r="W270" s="12"/>
      <c r="X270" s="12"/>
      <c r="Y270" s="12"/>
      <c r="Z270" s="12"/>
    </row>
    <row r="271" customFormat="false" ht="15.75" hidden="false" customHeight="false" outlineLevel="0" collapsed="false">
      <c r="A271" s="12"/>
      <c r="B271" s="34"/>
      <c r="C271" s="12"/>
      <c r="D271" s="12"/>
      <c r="E271" s="12"/>
      <c r="F271" s="12"/>
      <c r="G271" s="18"/>
      <c r="H271" s="35"/>
      <c r="I271" s="35"/>
      <c r="J271" s="12"/>
      <c r="O271" s="12"/>
      <c r="P271" s="18"/>
      <c r="Q271" s="12"/>
      <c r="R271" s="12"/>
      <c r="S271" s="12"/>
      <c r="T271" s="36"/>
      <c r="U271" s="36"/>
      <c r="V271" s="12"/>
      <c r="W271" s="12"/>
      <c r="X271" s="12"/>
      <c r="Y271" s="12"/>
      <c r="Z271" s="12"/>
    </row>
    <row r="272" customFormat="false" ht="15.75" hidden="false" customHeight="false" outlineLevel="0" collapsed="false">
      <c r="A272" s="12"/>
      <c r="B272" s="34"/>
      <c r="C272" s="12"/>
      <c r="D272" s="12"/>
      <c r="E272" s="12"/>
      <c r="F272" s="12"/>
      <c r="G272" s="18"/>
      <c r="H272" s="35"/>
      <c r="I272" s="35"/>
      <c r="J272" s="12"/>
      <c r="O272" s="12"/>
      <c r="P272" s="18"/>
      <c r="Q272" s="12"/>
      <c r="R272" s="12"/>
      <c r="S272" s="12"/>
      <c r="T272" s="36"/>
      <c r="U272" s="36"/>
      <c r="V272" s="12"/>
      <c r="W272" s="12"/>
      <c r="X272" s="12"/>
      <c r="Y272" s="12"/>
      <c r="Z272" s="12"/>
    </row>
    <row r="273" customFormat="false" ht="15.75" hidden="false" customHeight="false" outlineLevel="0" collapsed="false">
      <c r="A273" s="12"/>
      <c r="B273" s="34"/>
      <c r="C273" s="12"/>
      <c r="D273" s="12"/>
      <c r="E273" s="12"/>
      <c r="F273" s="12"/>
      <c r="G273" s="18"/>
      <c r="H273" s="35"/>
      <c r="I273" s="35"/>
      <c r="J273" s="12"/>
      <c r="O273" s="12"/>
      <c r="P273" s="18"/>
      <c r="Q273" s="12"/>
      <c r="R273" s="12"/>
      <c r="S273" s="12"/>
      <c r="T273" s="36"/>
      <c r="U273" s="36"/>
      <c r="V273" s="12"/>
      <c r="W273" s="12"/>
      <c r="X273" s="12"/>
      <c r="Y273" s="12"/>
      <c r="Z273" s="12"/>
    </row>
    <row r="274" customFormat="false" ht="15.75" hidden="false" customHeight="false" outlineLevel="0" collapsed="false">
      <c r="A274" s="12"/>
      <c r="B274" s="34"/>
      <c r="C274" s="12"/>
      <c r="D274" s="12"/>
      <c r="E274" s="12"/>
      <c r="F274" s="12"/>
      <c r="G274" s="18"/>
      <c r="H274" s="35"/>
      <c r="I274" s="35"/>
      <c r="J274" s="12"/>
      <c r="O274" s="12"/>
      <c r="P274" s="18"/>
      <c r="Q274" s="12"/>
      <c r="R274" s="12"/>
      <c r="S274" s="12"/>
      <c r="T274" s="36"/>
      <c r="U274" s="36"/>
      <c r="V274" s="12"/>
      <c r="W274" s="12"/>
      <c r="X274" s="12"/>
      <c r="Y274" s="12"/>
      <c r="Z274" s="12"/>
    </row>
    <row r="275" customFormat="false" ht="15.75" hidden="false" customHeight="false" outlineLevel="0" collapsed="false">
      <c r="A275" s="12"/>
      <c r="B275" s="34"/>
      <c r="C275" s="12"/>
      <c r="D275" s="12"/>
      <c r="E275" s="12"/>
      <c r="F275" s="12"/>
      <c r="G275" s="18"/>
      <c r="H275" s="35"/>
      <c r="I275" s="35"/>
      <c r="J275" s="12"/>
      <c r="O275" s="12"/>
      <c r="P275" s="18"/>
      <c r="Q275" s="12"/>
      <c r="R275" s="12"/>
      <c r="S275" s="12"/>
      <c r="T275" s="36"/>
      <c r="U275" s="36"/>
      <c r="V275" s="12"/>
      <c r="W275" s="12"/>
      <c r="X275" s="12"/>
      <c r="Y275" s="12"/>
      <c r="Z275" s="12"/>
    </row>
    <row r="276" customFormat="false" ht="15.75" hidden="false" customHeight="false" outlineLevel="0" collapsed="false">
      <c r="A276" s="12"/>
      <c r="B276" s="34"/>
      <c r="C276" s="12"/>
      <c r="D276" s="12"/>
      <c r="E276" s="12"/>
      <c r="F276" s="12"/>
      <c r="G276" s="18"/>
      <c r="H276" s="35"/>
      <c r="I276" s="35"/>
      <c r="J276" s="12"/>
      <c r="O276" s="12"/>
      <c r="P276" s="18"/>
      <c r="Q276" s="12"/>
      <c r="R276" s="12"/>
      <c r="S276" s="12"/>
      <c r="T276" s="36"/>
      <c r="U276" s="36"/>
      <c r="V276" s="12"/>
      <c r="W276" s="12"/>
      <c r="X276" s="12"/>
      <c r="Y276" s="12"/>
      <c r="Z276" s="12"/>
    </row>
    <row r="277" customFormat="false" ht="15.75" hidden="false" customHeight="false" outlineLevel="0" collapsed="false">
      <c r="A277" s="12"/>
      <c r="B277" s="34"/>
      <c r="C277" s="12"/>
      <c r="D277" s="12"/>
      <c r="E277" s="12"/>
      <c r="F277" s="12"/>
      <c r="G277" s="18"/>
      <c r="H277" s="35"/>
      <c r="I277" s="35"/>
      <c r="J277" s="12"/>
      <c r="O277" s="12"/>
      <c r="P277" s="18"/>
      <c r="Q277" s="12"/>
      <c r="R277" s="12"/>
      <c r="S277" s="12"/>
      <c r="T277" s="36"/>
      <c r="U277" s="36"/>
      <c r="V277" s="12"/>
      <c r="W277" s="12"/>
      <c r="X277" s="12"/>
      <c r="Y277" s="12"/>
      <c r="Z277" s="12"/>
    </row>
    <row r="278" customFormat="false" ht="15.75" hidden="false" customHeight="false" outlineLevel="0" collapsed="false">
      <c r="A278" s="12"/>
      <c r="B278" s="34"/>
      <c r="C278" s="12"/>
      <c r="D278" s="12"/>
      <c r="E278" s="12"/>
      <c r="F278" s="12"/>
      <c r="G278" s="18"/>
      <c r="H278" s="35"/>
      <c r="I278" s="35"/>
      <c r="J278" s="12"/>
      <c r="O278" s="12"/>
      <c r="P278" s="18"/>
      <c r="Q278" s="12"/>
      <c r="R278" s="12"/>
      <c r="S278" s="12"/>
      <c r="T278" s="36"/>
      <c r="U278" s="36"/>
      <c r="V278" s="12"/>
      <c r="W278" s="12"/>
      <c r="X278" s="12"/>
      <c r="Y278" s="12"/>
      <c r="Z278" s="12"/>
    </row>
    <row r="279" customFormat="false" ht="15.75" hidden="false" customHeight="false" outlineLevel="0" collapsed="false">
      <c r="A279" s="12"/>
      <c r="B279" s="34"/>
      <c r="C279" s="12"/>
      <c r="D279" s="12"/>
      <c r="E279" s="12"/>
      <c r="F279" s="12"/>
      <c r="G279" s="18"/>
      <c r="H279" s="35"/>
      <c r="I279" s="35"/>
      <c r="J279" s="12"/>
      <c r="O279" s="12"/>
      <c r="P279" s="18"/>
      <c r="Q279" s="12"/>
      <c r="R279" s="12"/>
      <c r="S279" s="12"/>
      <c r="T279" s="36"/>
      <c r="U279" s="36"/>
      <c r="V279" s="12"/>
      <c r="W279" s="12"/>
      <c r="X279" s="12"/>
      <c r="Y279" s="12"/>
      <c r="Z279" s="12"/>
    </row>
    <row r="280" customFormat="false" ht="15.75" hidden="false" customHeight="false" outlineLevel="0" collapsed="false">
      <c r="A280" s="12"/>
      <c r="B280" s="34"/>
      <c r="C280" s="12"/>
      <c r="D280" s="12"/>
      <c r="E280" s="12"/>
      <c r="F280" s="12"/>
      <c r="G280" s="18"/>
      <c r="H280" s="35"/>
      <c r="I280" s="35"/>
      <c r="J280" s="12"/>
      <c r="O280" s="12"/>
      <c r="P280" s="18"/>
      <c r="Q280" s="12"/>
      <c r="R280" s="12"/>
      <c r="S280" s="12"/>
      <c r="T280" s="36"/>
      <c r="U280" s="36"/>
      <c r="V280" s="12"/>
      <c r="W280" s="12"/>
      <c r="X280" s="12"/>
      <c r="Y280" s="12"/>
      <c r="Z280" s="12"/>
    </row>
    <row r="281" customFormat="false" ht="15.75" hidden="false" customHeight="false" outlineLevel="0" collapsed="false">
      <c r="A281" s="12"/>
      <c r="B281" s="34"/>
      <c r="C281" s="12"/>
      <c r="D281" s="12"/>
      <c r="E281" s="12"/>
      <c r="F281" s="12"/>
      <c r="G281" s="18"/>
      <c r="H281" s="35"/>
      <c r="I281" s="35"/>
      <c r="J281" s="12"/>
      <c r="O281" s="12"/>
      <c r="P281" s="18"/>
      <c r="Q281" s="12"/>
      <c r="R281" s="12"/>
      <c r="S281" s="12"/>
      <c r="T281" s="36"/>
      <c r="U281" s="36"/>
      <c r="V281" s="12"/>
      <c r="W281" s="12"/>
      <c r="X281" s="12"/>
      <c r="Y281" s="12"/>
      <c r="Z281" s="12"/>
    </row>
    <row r="282" customFormat="false" ht="15.75" hidden="false" customHeight="false" outlineLevel="0" collapsed="false">
      <c r="A282" s="12"/>
      <c r="B282" s="34"/>
      <c r="C282" s="12"/>
      <c r="D282" s="12"/>
      <c r="E282" s="12"/>
      <c r="F282" s="12"/>
      <c r="G282" s="18"/>
      <c r="H282" s="35"/>
      <c r="I282" s="35"/>
      <c r="J282" s="12"/>
      <c r="O282" s="12"/>
      <c r="P282" s="18"/>
      <c r="Q282" s="12"/>
      <c r="R282" s="12"/>
      <c r="S282" s="12"/>
      <c r="T282" s="36"/>
      <c r="U282" s="36"/>
      <c r="V282" s="12"/>
      <c r="W282" s="12"/>
      <c r="X282" s="12"/>
      <c r="Y282" s="12"/>
      <c r="Z282" s="12"/>
    </row>
    <row r="283" customFormat="false" ht="15.75" hidden="false" customHeight="false" outlineLevel="0" collapsed="false">
      <c r="A283" s="12"/>
      <c r="B283" s="34"/>
      <c r="C283" s="12"/>
      <c r="D283" s="12"/>
      <c r="E283" s="12"/>
      <c r="F283" s="12"/>
      <c r="G283" s="18"/>
      <c r="H283" s="35"/>
      <c r="I283" s="35"/>
      <c r="J283" s="12"/>
      <c r="O283" s="12"/>
      <c r="P283" s="18"/>
      <c r="Q283" s="12"/>
      <c r="R283" s="12"/>
      <c r="S283" s="12"/>
      <c r="T283" s="36"/>
      <c r="U283" s="36"/>
      <c r="V283" s="12"/>
      <c r="W283" s="12"/>
      <c r="X283" s="12"/>
      <c r="Y283" s="12"/>
      <c r="Z283" s="12"/>
    </row>
    <row r="284" customFormat="false" ht="15.75" hidden="false" customHeight="false" outlineLevel="0" collapsed="false">
      <c r="A284" s="12"/>
      <c r="B284" s="34"/>
      <c r="C284" s="12"/>
      <c r="D284" s="12"/>
      <c r="E284" s="12"/>
      <c r="F284" s="12"/>
      <c r="G284" s="18"/>
      <c r="H284" s="35"/>
      <c r="I284" s="35"/>
      <c r="J284" s="12"/>
      <c r="O284" s="12"/>
      <c r="P284" s="18"/>
      <c r="Q284" s="12"/>
      <c r="R284" s="12"/>
      <c r="S284" s="12"/>
      <c r="T284" s="36"/>
      <c r="U284" s="36"/>
      <c r="V284" s="12"/>
      <c r="W284" s="12"/>
      <c r="X284" s="12"/>
      <c r="Y284" s="12"/>
      <c r="Z284" s="12"/>
    </row>
    <row r="285" customFormat="false" ht="15.75" hidden="false" customHeight="false" outlineLevel="0" collapsed="false">
      <c r="A285" s="12"/>
      <c r="B285" s="34"/>
      <c r="C285" s="12"/>
      <c r="D285" s="12"/>
      <c r="E285" s="12"/>
      <c r="F285" s="12"/>
      <c r="G285" s="18"/>
      <c r="H285" s="35"/>
      <c r="I285" s="35"/>
      <c r="J285" s="12"/>
      <c r="O285" s="12"/>
      <c r="P285" s="18"/>
      <c r="Q285" s="12"/>
      <c r="R285" s="12"/>
      <c r="S285" s="12"/>
      <c r="T285" s="36"/>
      <c r="U285" s="36"/>
      <c r="V285" s="12"/>
      <c r="W285" s="12"/>
      <c r="X285" s="12"/>
      <c r="Y285" s="12"/>
      <c r="Z285" s="12"/>
    </row>
    <row r="286" customFormat="false" ht="15.75" hidden="false" customHeight="false" outlineLevel="0" collapsed="false">
      <c r="A286" s="12"/>
      <c r="B286" s="34"/>
      <c r="C286" s="12"/>
      <c r="D286" s="12"/>
      <c r="E286" s="12"/>
      <c r="F286" s="12"/>
      <c r="G286" s="18"/>
      <c r="H286" s="35"/>
      <c r="I286" s="35"/>
      <c r="J286" s="12"/>
      <c r="O286" s="12"/>
      <c r="P286" s="18"/>
      <c r="Q286" s="12"/>
      <c r="R286" s="12"/>
      <c r="S286" s="12"/>
      <c r="T286" s="36"/>
      <c r="U286" s="36"/>
      <c r="V286" s="12"/>
      <c r="W286" s="12"/>
      <c r="X286" s="12"/>
      <c r="Y286" s="12"/>
      <c r="Z286" s="12"/>
    </row>
    <row r="287" customFormat="false" ht="15.75" hidden="false" customHeight="false" outlineLevel="0" collapsed="false">
      <c r="A287" s="12"/>
      <c r="B287" s="34"/>
      <c r="C287" s="12"/>
      <c r="D287" s="12"/>
      <c r="E287" s="12"/>
      <c r="F287" s="12"/>
      <c r="G287" s="18"/>
      <c r="H287" s="35"/>
      <c r="I287" s="35"/>
      <c r="J287" s="12"/>
      <c r="O287" s="12"/>
      <c r="P287" s="18"/>
      <c r="Q287" s="12"/>
      <c r="R287" s="12"/>
      <c r="S287" s="12"/>
      <c r="T287" s="36"/>
      <c r="U287" s="36"/>
      <c r="V287" s="12"/>
      <c r="W287" s="12"/>
      <c r="X287" s="12"/>
      <c r="Y287" s="12"/>
      <c r="Z287" s="12"/>
    </row>
    <row r="288" customFormat="false" ht="15.75" hidden="false" customHeight="false" outlineLevel="0" collapsed="false">
      <c r="A288" s="12"/>
      <c r="B288" s="34"/>
      <c r="C288" s="12"/>
      <c r="D288" s="12"/>
      <c r="E288" s="12"/>
      <c r="F288" s="12"/>
      <c r="G288" s="18"/>
      <c r="H288" s="35"/>
      <c r="I288" s="35"/>
      <c r="J288" s="12"/>
      <c r="O288" s="12"/>
      <c r="P288" s="18"/>
      <c r="Q288" s="12"/>
      <c r="R288" s="12"/>
      <c r="S288" s="12"/>
      <c r="T288" s="36"/>
      <c r="U288" s="36"/>
      <c r="V288" s="12"/>
      <c r="W288" s="12"/>
      <c r="X288" s="12"/>
      <c r="Y288" s="12"/>
      <c r="Z288" s="12"/>
    </row>
    <row r="289" customFormat="false" ht="15.75" hidden="false" customHeight="false" outlineLevel="0" collapsed="false">
      <c r="A289" s="12"/>
      <c r="B289" s="34"/>
      <c r="C289" s="12"/>
      <c r="D289" s="12"/>
      <c r="E289" s="12"/>
      <c r="F289" s="12"/>
      <c r="G289" s="18"/>
      <c r="H289" s="35"/>
      <c r="I289" s="35"/>
      <c r="J289" s="12"/>
      <c r="O289" s="12"/>
      <c r="P289" s="18"/>
      <c r="Q289" s="12"/>
      <c r="R289" s="12"/>
      <c r="S289" s="12"/>
      <c r="T289" s="36"/>
      <c r="U289" s="36"/>
      <c r="V289" s="12"/>
      <c r="W289" s="12"/>
      <c r="X289" s="12"/>
      <c r="Y289" s="12"/>
      <c r="Z289" s="12"/>
    </row>
    <row r="290" customFormat="false" ht="15.75" hidden="false" customHeight="false" outlineLevel="0" collapsed="false">
      <c r="A290" s="12"/>
      <c r="B290" s="34"/>
      <c r="C290" s="12"/>
      <c r="D290" s="12"/>
      <c r="E290" s="12"/>
      <c r="F290" s="12"/>
      <c r="G290" s="18"/>
      <c r="H290" s="35"/>
      <c r="I290" s="35"/>
      <c r="J290" s="12"/>
      <c r="O290" s="12"/>
      <c r="P290" s="18"/>
      <c r="Q290" s="12"/>
      <c r="R290" s="12"/>
      <c r="S290" s="12"/>
      <c r="T290" s="36"/>
      <c r="U290" s="36"/>
      <c r="V290" s="12"/>
      <c r="W290" s="12"/>
      <c r="X290" s="12"/>
      <c r="Y290" s="12"/>
      <c r="Z290" s="12"/>
    </row>
    <row r="291" customFormat="false" ht="15.75" hidden="false" customHeight="false" outlineLevel="0" collapsed="false">
      <c r="A291" s="12"/>
      <c r="B291" s="34"/>
      <c r="C291" s="12"/>
      <c r="D291" s="12"/>
      <c r="E291" s="12"/>
      <c r="F291" s="12"/>
      <c r="G291" s="18"/>
      <c r="H291" s="35"/>
      <c r="I291" s="35"/>
      <c r="J291" s="12"/>
      <c r="O291" s="12"/>
      <c r="P291" s="18"/>
      <c r="Q291" s="12"/>
      <c r="R291" s="12"/>
      <c r="S291" s="12"/>
      <c r="T291" s="36"/>
      <c r="U291" s="36"/>
      <c r="V291" s="12"/>
      <c r="W291" s="12"/>
      <c r="X291" s="12"/>
      <c r="Y291" s="12"/>
      <c r="Z291" s="12"/>
    </row>
    <row r="292" customFormat="false" ht="15.75" hidden="false" customHeight="false" outlineLevel="0" collapsed="false">
      <c r="A292" s="12"/>
      <c r="B292" s="34"/>
      <c r="C292" s="12"/>
      <c r="D292" s="12"/>
      <c r="E292" s="12"/>
      <c r="F292" s="12"/>
      <c r="G292" s="18"/>
      <c r="H292" s="35"/>
      <c r="I292" s="35"/>
      <c r="J292" s="12"/>
      <c r="O292" s="12"/>
      <c r="P292" s="18"/>
      <c r="Q292" s="12"/>
      <c r="R292" s="12"/>
      <c r="S292" s="12"/>
      <c r="T292" s="36"/>
      <c r="U292" s="36"/>
      <c r="V292" s="12"/>
      <c r="W292" s="12"/>
      <c r="X292" s="12"/>
      <c r="Y292" s="12"/>
      <c r="Z292" s="12"/>
    </row>
    <row r="293" customFormat="false" ht="15.75" hidden="false" customHeight="false" outlineLevel="0" collapsed="false">
      <c r="A293" s="12"/>
      <c r="B293" s="34"/>
      <c r="C293" s="12"/>
      <c r="D293" s="12"/>
      <c r="E293" s="12"/>
      <c r="F293" s="12"/>
      <c r="G293" s="18"/>
      <c r="H293" s="35"/>
      <c r="I293" s="35"/>
      <c r="J293" s="12"/>
      <c r="O293" s="12"/>
      <c r="P293" s="18"/>
      <c r="Q293" s="12"/>
      <c r="R293" s="12"/>
      <c r="S293" s="12"/>
      <c r="T293" s="36"/>
      <c r="U293" s="36"/>
      <c r="V293" s="12"/>
      <c r="W293" s="12"/>
      <c r="X293" s="12"/>
      <c r="Y293" s="12"/>
      <c r="Z293" s="12"/>
    </row>
    <row r="294" customFormat="false" ht="15.75" hidden="false" customHeight="false" outlineLevel="0" collapsed="false">
      <c r="A294" s="12"/>
      <c r="B294" s="34"/>
      <c r="C294" s="12"/>
      <c r="D294" s="12"/>
      <c r="E294" s="12"/>
      <c r="F294" s="12"/>
      <c r="G294" s="18"/>
      <c r="H294" s="35"/>
      <c r="I294" s="35"/>
      <c r="J294" s="12"/>
      <c r="O294" s="12"/>
      <c r="P294" s="18"/>
      <c r="Q294" s="12"/>
      <c r="R294" s="12"/>
      <c r="S294" s="12"/>
      <c r="T294" s="36"/>
      <c r="U294" s="36"/>
      <c r="V294" s="12"/>
      <c r="W294" s="12"/>
      <c r="X294" s="12"/>
      <c r="Y294" s="12"/>
      <c r="Z294" s="12"/>
    </row>
    <row r="295" customFormat="false" ht="15.75" hidden="false" customHeight="false" outlineLevel="0" collapsed="false">
      <c r="A295" s="12"/>
      <c r="B295" s="34"/>
      <c r="C295" s="12"/>
      <c r="D295" s="12"/>
      <c r="E295" s="12"/>
      <c r="F295" s="12"/>
      <c r="G295" s="18"/>
      <c r="H295" s="35"/>
      <c r="I295" s="35"/>
      <c r="J295" s="12"/>
      <c r="O295" s="12"/>
      <c r="P295" s="18"/>
      <c r="Q295" s="12"/>
      <c r="R295" s="12"/>
      <c r="S295" s="12"/>
      <c r="T295" s="36"/>
      <c r="U295" s="36"/>
      <c r="V295" s="12"/>
      <c r="W295" s="12"/>
      <c r="X295" s="12"/>
      <c r="Y295" s="12"/>
      <c r="Z295" s="12"/>
    </row>
    <row r="296" customFormat="false" ht="15.75" hidden="false" customHeight="false" outlineLevel="0" collapsed="false">
      <c r="A296" s="12"/>
      <c r="B296" s="34"/>
      <c r="C296" s="12"/>
      <c r="D296" s="12"/>
      <c r="E296" s="12"/>
      <c r="F296" s="12"/>
      <c r="G296" s="18"/>
      <c r="H296" s="35"/>
      <c r="I296" s="35"/>
      <c r="J296" s="12"/>
      <c r="O296" s="12"/>
      <c r="P296" s="18"/>
      <c r="Q296" s="12"/>
      <c r="R296" s="12"/>
      <c r="S296" s="12"/>
      <c r="T296" s="36"/>
      <c r="U296" s="36"/>
      <c r="V296" s="12"/>
      <c r="W296" s="12"/>
      <c r="X296" s="12"/>
      <c r="Y296" s="12"/>
      <c r="Z296" s="12"/>
    </row>
    <row r="297" customFormat="false" ht="15.75" hidden="false" customHeight="false" outlineLevel="0" collapsed="false">
      <c r="A297" s="12"/>
      <c r="B297" s="34"/>
      <c r="C297" s="12"/>
      <c r="D297" s="12"/>
      <c r="E297" s="12"/>
      <c r="F297" s="12"/>
      <c r="G297" s="18"/>
      <c r="H297" s="35"/>
      <c r="I297" s="35"/>
      <c r="J297" s="12"/>
      <c r="O297" s="12"/>
      <c r="P297" s="18"/>
      <c r="Q297" s="12"/>
      <c r="R297" s="12"/>
      <c r="S297" s="12"/>
      <c r="T297" s="36"/>
      <c r="U297" s="36"/>
      <c r="V297" s="12"/>
      <c r="W297" s="12"/>
      <c r="X297" s="12"/>
      <c r="Y297" s="12"/>
      <c r="Z297" s="12"/>
    </row>
    <row r="298" customFormat="false" ht="15.75" hidden="false" customHeight="false" outlineLevel="0" collapsed="false">
      <c r="A298" s="12"/>
      <c r="B298" s="34"/>
      <c r="C298" s="12"/>
      <c r="D298" s="12"/>
      <c r="E298" s="12"/>
      <c r="F298" s="12"/>
      <c r="G298" s="18"/>
      <c r="H298" s="35"/>
      <c r="I298" s="35"/>
      <c r="J298" s="12"/>
      <c r="O298" s="12"/>
      <c r="P298" s="18"/>
      <c r="Q298" s="12"/>
      <c r="R298" s="12"/>
      <c r="S298" s="12"/>
      <c r="T298" s="36"/>
      <c r="U298" s="36"/>
      <c r="V298" s="12"/>
      <c r="W298" s="12"/>
      <c r="X298" s="12"/>
      <c r="Y298" s="12"/>
      <c r="Z298" s="12"/>
    </row>
    <row r="299" customFormat="false" ht="15.75" hidden="false" customHeight="false" outlineLevel="0" collapsed="false">
      <c r="A299" s="12"/>
      <c r="B299" s="34"/>
      <c r="C299" s="12"/>
      <c r="D299" s="12"/>
      <c r="E299" s="12"/>
      <c r="F299" s="12"/>
      <c r="G299" s="18"/>
      <c r="H299" s="35"/>
      <c r="I299" s="35"/>
      <c r="J299" s="12"/>
      <c r="O299" s="12"/>
      <c r="P299" s="18"/>
      <c r="Q299" s="12"/>
      <c r="R299" s="12"/>
      <c r="S299" s="12"/>
      <c r="T299" s="36"/>
      <c r="U299" s="36"/>
      <c r="V299" s="12"/>
      <c r="W299" s="12"/>
      <c r="X299" s="12"/>
      <c r="Y299" s="12"/>
      <c r="Z299" s="12"/>
    </row>
    <row r="300" customFormat="false" ht="15.75" hidden="false" customHeight="false" outlineLevel="0" collapsed="false">
      <c r="A300" s="12"/>
      <c r="B300" s="34"/>
      <c r="C300" s="12"/>
      <c r="D300" s="12"/>
      <c r="E300" s="12"/>
      <c r="F300" s="12"/>
      <c r="G300" s="18"/>
      <c r="H300" s="35"/>
      <c r="I300" s="35"/>
      <c r="J300" s="12"/>
      <c r="O300" s="12"/>
      <c r="P300" s="18"/>
      <c r="Q300" s="12"/>
      <c r="R300" s="12"/>
      <c r="S300" s="12"/>
      <c r="T300" s="36"/>
      <c r="U300" s="36"/>
      <c r="V300" s="12"/>
      <c r="W300" s="12"/>
      <c r="X300" s="12"/>
      <c r="Y300" s="12"/>
      <c r="Z300" s="12"/>
    </row>
    <row r="301" customFormat="false" ht="15.75" hidden="false" customHeight="false" outlineLevel="0" collapsed="false">
      <c r="A301" s="12"/>
      <c r="B301" s="34"/>
      <c r="C301" s="12"/>
      <c r="D301" s="12"/>
      <c r="E301" s="12"/>
      <c r="F301" s="12"/>
      <c r="G301" s="18"/>
      <c r="H301" s="35"/>
      <c r="I301" s="35"/>
      <c r="J301" s="12"/>
      <c r="O301" s="12"/>
      <c r="P301" s="18"/>
      <c r="Q301" s="12"/>
      <c r="R301" s="12"/>
      <c r="S301" s="12"/>
      <c r="T301" s="36"/>
      <c r="U301" s="36"/>
      <c r="V301" s="12"/>
      <c r="W301" s="12"/>
      <c r="X301" s="12"/>
      <c r="Y301" s="12"/>
      <c r="Z301" s="12"/>
    </row>
    <row r="302" customFormat="false" ht="15.75" hidden="false" customHeight="false" outlineLevel="0" collapsed="false">
      <c r="A302" s="12"/>
      <c r="B302" s="34"/>
      <c r="C302" s="12"/>
      <c r="D302" s="12"/>
      <c r="E302" s="12"/>
      <c r="F302" s="12"/>
      <c r="G302" s="18"/>
      <c r="H302" s="35"/>
      <c r="I302" s="35"/>
      <c r="J302" s="12"/>
      <c r="O302" s="12"/>
      <c r="P302" s="18"/>
      <c r="Q302" s="12"/>
      <c r="R302" s="12"/>
      <c r="S302" s="12"/>
      <c r="T302" s="36"/>
      <c r="U302" s="36"/>
      <c r="V302" s="12"/>
      <c r="W302" s="12"/>
      <c r="X302" s="12"/>
      <c r="Y302" s="12"/>
      <c r="Z302" s="12"/>
    </row>
    <row r="303" customFormat="false" ht="15.75" hidden="false" customHeight="false" outlineLevel="0" collapsed="false">
      <c r="A303" s="12"/>
      <c r="B303" s="34"/>
      <c r="C303" s="12"/>
      <c r="D303" s="12"/>
      <c r="E303" s="12"/>
      <c r="F303" s="12"/>
      <c r="G303" s="18"/>
      <c r="H303" s="35"/>
      <c r="I303" s="35"/>
      <c r="J303" s="12"/>
      <c r="O303" s="12"/>
      <c r="P303" s="18"/>
      <c r="Q303" s="12"/>
      <c r="R303" s="12"/>
      <c r="S303" s="12"/>
      <c r="T303" s="36"/>
      <c r="U303" s="36"/>
      <c r="V303" s="12"/>
      <c r="W303" s="12"/>
      <c r="X303" s="12"/>
      <c r="Y303" s="12"/>
      <c r="Z303" s="12"/>
    </row>
    <row r="304" customFormat="false" ht="15.75" hidden="false" customHeight="false" outlineLevel="0" collapsed="false">
      <c r="A304" s="12"/>
      <c r="B304" s="34"/>
      <c r="C304" s="12"/>
      <c r="D304" s="12"/>
      <c r="E304" s="12"/>
      <c r="F304" s="12"/>
      <c r="G304" s="18"/>
      <c r="H304" s="35"/>
      <c r="I304" s="35"/>
      <c r="J304" s="12"/>
      <c r="O304" s="12"/>
      <c r="P304" s="18"/>
      <c r="Q304" s="12"/>
      <c r="R304" s="12"/>
      <c r="S304" s="12"/>
      <c r="T304" s="36"/>
      <c r="U304" s="36"/>
      <c r="V304" s="12"/>
      <c r="W304" s="12"/>
      <c r="X304" s="12"/>
      <c r="Y304" s="12"/>
      <c r="Z304" s="12"/>
    </row>
    <row r="305" customFormat="false" ht="15.75" hidden="false" customHeight="false" outlineLevel="0" collapsed="false">
      <c r="A305" s="12"/>
      <c r="B305" s="34"/>
      <c r="C305" s="12"/>
      <c r="D305" s="12"/>
      <c r="E305" s="12"/>
      <c r="F305" s="12"/>
      <c r="G305" s="18"/>
      <c r="H305" s="35"/>
      <c r="I305" s="35"/>
      <c r="J305" s="12"/>
      <c r="O305" s="12"/>
      <c r="P305" s="18"/>
      <c r="Q305" s="12"/>
      <c r="R305" s="12"/>
      <c r="S305" s="12"/>
      <c r="T305" s="36"/>
      <c r="U305" s="36"/>
      <c r="V305" s="12"/>
      <c r="W305" s="12"/>
      <c r="X305" s="12"/>
      <c r="Y305" s="12"/>
      <c r="Z305" s="12"/>
    </row>
    <row r="306" customFormat="false" ht="15.75" hidden="false" customHeight="false" outlineLevel="0" collapsed="false">
      <c r="A306" s="12"/>
      <c r="B306" s="34"/>
      <c r="C306" s="12"/>
      <c r="D306" s="12"/>
      <c r="E306" s="12"/>
      <c r="F306" s="12"/>
      <c r="G306" s="18"/>
      <c r="H306" s="35"/>
      <c r="I306" s="35"/>
      <c r="J306" s="12"/>
      <c r="O306" s="12"/>
      <c r="P306" s="18"/>
      <c r="Q306" s="12"/>
      <c r="R306" s="12"/>
      <c r="S306" s="12"/>
      <c r="T306" s="36"/>
      <c r="U306" s="36"/>
      <c r="V306" s="12"/>
      <c r="W306" s="12"/>
      <c r="X306" s="12"/>
      <c r="Y306" s="12"/>
      <c r="Z306" s="12"/>
    </row>
    <row r="307" customFormat="false" ht="15.75" hidden="false" customHeight="false" outlineLevel="0" collapsed="false">
      <c r="A307" s="12"/>
      <c r="B307" s="34"/>
      <c r="C307" s="12"/>
      <c r="D307" s="12"/>
      <c r="E307" s="12"/>
      <c r="F307" s="12"/>
      <c r="G307" s="18"/>
      <c r="H307" s="35"/>
      <c r="I307" s="35"/>
      <c r="J307" s="12"/>
      <c r="O307" s="12"/>
      <c r="P307" s="18"/>
      <c r="Q307" s="12"/>
      <c r="R307" s="12"/>
      <c r="S307" s="12"/>
      <c r="T307" s="36"/>
      <c r="U307" s="36"/>
      <c r="V307" s="12"/>
      <c r="W307" s="12"/>
      <c r="X307" s="12"/>
      <c r="Y307" s="12"/>
      <c r="Z307" s="12"/>
    </row>
    <row r="308" customFormat="false" ht="15.75" hidden="false" customHeight="false" outlineLevel="0" collapsed="false">
      <c r="A308" s="12"/>
      <c r="B308" s="34"/>
      <c r="C308" s="12"/>
      <c r="D308" s="12"/>
      <c r="E308" s="12"/>
      <c r="F308" s="12"/>
      <c r="G308" s="18"/>
      <c r="H308" s="35"/>
      <c r="I308" s="35"/>
      <c r="J308" s="12"/>
      <c r="O308" s="12"/>
      <c r="P308" s="18"/>
      <c r="Q308" s="12"/>
      <c r="R308" s="12"/>
      <c r="S308" s="12"/>
      <c r="T308" s="36"/>
      <c r="U308" s="36"/>
      <c r="V308" s="12"/>
      <c r="W308" s="12"/>
      <c r="X308" s="12"/>
      <c r="Y308" s="12"/>
      <c r="Z308" s="12"/>
    </row>
    <row r="309" customFormat="false" ht="15.75" hidden="false" customHeight="false" outlineLevel="0" collapsed="false">
      <c r="A309" s="12"/>
      <c r="B309" s="34"/>
      <c r="C309" s="12"/>
      <c r="D309" s="12"/>
      <c r="E309" s="12"/>
      <c r="F309" s="12"/>
      <c r="G309" s="18"/>
      <c r="H309" s="35"/>
      <c r="I309" s="35"/>
      <c r="J309" s="12"/>
      <c r="O309" s="12"/>
      <c r="P309" s="18"/>
      <c r="Q309" s="12"/>
      <c r="R309" s="12"/>
      <c r="S309" s="12"/>
      <c r="T309" s="36"/>
      <c r="U309" s="36"/>
      <c r="V309" s="12"/>
      <c r="W309" s="12"/>
      <c r="X309" s="12"/>
      <c r="Y309" s="12"/>
      <c r="Z309" s="12"/>
    </row>
    <row r="310" customFormat="false" ht="15.75" hidden="false" customHeight="false" outlineLevel="0" collapsed="false">
      <c r="A310" s="12"/>
      <c r="B310" s="34"/>
      <c r="C310" s="12"/>
      <c r="D310" s="12"/>
      <c r="E310" s="12"/>
      <c r="F310" s="12"/>
      <c r="G310" s="18"/>
      <c r="H310" s="35"/>
      <c r="I310" s="35"/>
      <c r="J310" s="12"/>
      <c r="O310" s="12"/>
      <c r="P310" s="18"/>
      <c r="Q310" s="12"/>
      <c r="R310" s="12"/>
      <c r="S310" s="12"/>
      <c r="T310" s="36"/>
      <c r="U310" s="36"/>
      <c r="V310" s="12"/>
      <c r="W310" s="12"/>
      <c r="X310" s="12"/>
      <c r="Y310" s="12"/>
      <c r="Z310" s="12"/>
    </row>
    <row r="311" customFormat="false" ht="15.75" hidden="false" customHeight="false" outlineLevel="0" collapsed="false">
      <c r="A311" s="12"/>
      <c r="B311" s="34"/>
      <c r="C311" s="12"/>
      <c r="D311" s="12"/>
      <c r="E311" s="12"/>
      <c r="F311" s="12"/>
      <c r="G311" s="18"/>
      <c r="H311" s="35"/>
      <c r="I311" s="35"/>
      <c r="J311" s="12"/>
      <c r="O311" s="12"/>
      <c r="P311" s="18"/>
      <c r="Q311" s="12"/>
      <c r="R311" s="12"/>
      <c r="S311" s="12"/>
      <c r="T311" s="36"/>
      <c r="U311" s="36"/>
      <c r="V311" s="12"/>
      <c r="W311" s="12"/>
      <c r="X311" s="12"/>
      <c r="Y311" s="12"/>
      <c r="Z311" s="12"/>
    </row>
    <row r="312" customFormat="false" ht="15.75" hidden="false" customHeight="false" outlineLevel="0" collapsed="false">
      <c r="A312" s="12"/>
      <c r="B312" s="34"/>
      <c r="C312" s="12"/>
      <c r="D312" s="12"/>
      <c r="E312" s="12"/>
      <c r="F312" s="12"/>
      <c r="G312" s="18"/>
      <c r="H312" s="35"/>
      <c r="I312" s="35"/>
      <c r="J312" s="12"/>
      <c r="O312" s="12"/>
      <c r="P312" s="18"/>
      <c r="Q312" s="12"/>
      <c r="R312" s="12"/>
      <c r="S312" s="12"/>
      <c r="T312" s="36"/>
      <c r="U312" s="36"/>
      <c r="V312" s="12"/>
      <c r="W312" s="12"/>
      <c r="X312" s="12"/>
      <c r="Y312" s="12"/>
      <c r="Z312" s="12"/>
    </row>
    <row r="313" customFormat="false" ht="15.75" hidden="false" customHeight="false" outlineLevel="0" collapsed="false">
      <c r="A313" s="12"/>
      <c r="B313" s="34"/>
      <c r="C313" s="12"/>
      <c r="D313" s="12"/>
      <c r="E313" s="12"/>
      <c r="F313" s="12"/>
      <c r="G313" s="18"/>
      <c r="H313" s="35"/>
      <c r="I313" s="35"/>
      <c r="J313" s="12"/>
      <c r="O313" s="12"/>
      <c r="P313" s="18"/>
      <c r="Q313" s="12"/>
      <c r="R313" s="12"/>
      <c r="S313" s="12"/>
      <c r="T313" s="36"/>
      <c r="U313" s="36"/>
      <c r="V313" s="12"/>
      <c r="W313" s="12"/>
      <c r="X313" s="12"/>
      <c r="Y313" s="12"/>
      <c r="Z313" s="12"/>
    </row>
    <row r="314" customFormat="false" ht="15.75" hidden="false" customHeight="false" outlineLevel="0" collapsed="false">
      <c r="A314" s="12"/>
      <c r="B314" s="34"/>
      <c r="C314" s="12"/>
      <c r="D314" s="12"/>
      <c r="E314" s="12"/>
      <c r="F314" s="12"/>
      <c r="G314" s="18"/>
      <c r="H314" s="35"/>
      <c r="I314" s="35"/>
      <c r="J314" s="12"/>
      <c r="O314" s="12"/>
      <c r="P314" s="18"/>
      <c r="Q314" s="12"/>
      <c r="R314" s="12"/>
      <c r="S314" s="12"/>
      <c r="T314" s="36"/>
      <c r="U314" s="36"/>
      <c r="V314" s="12"/>
      <c r="W314" s="12"/>
      <c r="X314" s="12"/>
      <c r="Y314" s="12"/>
      <c r="Z314" s="12"/>
    </row>
    <row r="315" customFormat="false" ht="15.75" hidden="false" customHeight="false" outlineLevel="0" collapsed="false">
      <c r="A315" s="12"/>
      <c r="B315" s="34"/>
      <c r="C315" s="12"/>
      <c r="D315" s="12"/>
      <c r="E315" s="12"/>
      <c r="F315" s="12"/>
      <c r="G315" s="18"/>
      <c r="H315" s="35"/>
      <c r="I315" s="35"/>
      <c r="J315" s="12"/>
      <c r="O315" s="12"/>
      <c r="P315" s="18"/>
      <c r="Q315" s="12"/>
      <c r="R315" s="12"/>
      <c r="S315" s="12"/>
      <c r="T315" s="36"/>
      <c r="U315" s="36"/>
      <c r="V315" s="12"/>
      <c r="W315" s="12"/>
      <c r="X315" s="12"/>
      <c r="Y315" s="12"/>
      <c r="Z315" s="12"/>
    </row>
    <row r="316" customFormat="false" ht="15.75" hidden="false" customHeight="false" outlineLevel="0" collapsed="false">
      <c r="A316" s="12"/>
      <c r="B316" s="34"/>
      <c r="C316" s="12"/>
      <c r="D316" s="12"/>
      <c r="E316" s="12"/>
      <c r="F316" s="12"/>
      <c r="G316" s="18"/>
      <c r="H316" s="35"/>
      <c r="I316" s="35"/>
      <c r="J316" s="12"/>
      <c r="O316" s="12"/>
      <c r="P316" s="18"/>
      <c r="Q316" s="12"/>
      <c r="R316" s="12"/>
      <c r="S316" s="12"/>
      <c r="T316" s="36"/>
      <c r="U316" s="36"/>
      <c r="V316" s="12"/>
      <c r="W316" s="12"/>
      <c r="X316" s="12"/>
      <c r="Y316" s="12"/>
      <c r="Z316" s="12"/>
    </row>
    <row r="317" customFormat="false" ht="15.75" hidden="false" customHeight="false" outlineLevel="0" collapsed="false">
      <c r="A317" s="12"/>
      <c r="B317" s="34"/>
      <c r="C317" s="12"/>
      <c r="D317" s="12"/>
      <c r="E317" s="12"/>
      <c r="F317" s="12"/>
      <c r="G317" s="18"/>
      <c r="H317" s="35"/>
      <c r="I317" s="35"/>
      <c r="J317" s="12"/>
      <c r="O317" s="12"/>
      <c r="P317" s="18"/>
      <c r="Q317" s="12"/>
      <c r="R317" s="12"/>
      <c r="S317" s="12"/>
      <c r="T317" s="36"/>
      <c r="U317" s="36"/>
      <c r="V317" s="12"/>
      <c r="W317" s="12"/>
      <c r="X317" s="12"/>
      <c r="Y317" s="12"/>
      <c r="Z317" s="12"/>
    </row>
    <row r="318" customFormat="false" ht="15.75" hidden="false" customHeight="false" outlineLevel="0" collapsed="false">
      <c r="A318" s="12"/>
      <c r="B318" s="34"/>
      <c r="C318" s="12"/>
      <c r="D318" s="12"/>
      <c r="E318" s="12"/>
      <c r="F318" s="12"/>
      <c r="G318" s="18"/>
      <c r="H318" s="35"/>
      <c r="I318" s="35"/>
      <c r="J318" s="12"/>
      <c r="O318" s="12"/>
      <c r="P318" s="18"/>
      <c r="Q318" s="12"/>
      <c r="R318" s="12"/>
      <c r="S318" s="12"/>
      <c r="T318" s="36"/>
      <c r="U318" s="36"/>
      <c r="V318" s="12"/>
      <c r="W318" s="12"/>
      <c r="X318" s="12"/>
      <c r="Y318" s="12"/>
      <c r="Z318" s="12"/>
    </row>
    <row r="319" customFormat="false" ht="15.75" hidden="false" customHeight="false" outlineLevel="0" collapsed="false">
      <c r="A319" s="12"/>
      <c r="B319" s="34"/>
      <c r="C319" s="12"/>
      <c r="D319" s="12"/>
      <c r="E319" s="12"/>
      <c r="F319" s="12"/>
      <c r="G319" s="18"/>
      <c r="H319" s="35"/>
      <c r="I319" s="35"/>
      <c r="J319" s="12"/>
      <c r="O319" s="12"/>
      <c r="P319" s="18"/>
      <c r="Q319" s="12"/>
      <c r="R319" s="12"/>
      <c r="S319" s="12"/>
      <c r="T319" s="36"/>
      <c r="U319" s="36"/>
      <c r="V319" s="12"/>
      <c r="W319" s="12"/>
      <c r="X319" s="12"/>
      <c r="Y319" s="12"/>
      <c r="Z319" s="12"/>
    </row>
    <row r="320" customFormat="false" ht="15.75" hidden="false" customHeight="false" outlineLevel="0" collapsed="false">
      <c r="A320" s="12"/>
      <c r="B320" s="34"/>
      <c r="C320" s="12"/>
      <c r="D320" s="12"/>
      <c r="E320" s="12"/>
      <c r="F320" s="12"/>
      <c r="G320" s="18"/>
      <c r="H320" s="35"/>
      <c r="I320" s="35"/>
      <c r="J320" s="12"/>
      <c r="O320" s="12"/>
      <c r="P320" s="18"/>
      <c r="Q320" s="12"/>
      <c r="R320" s="12"/>
      <c r="S320" s="12"/>
      <c r="T320" s="36"/>
      <c r="U320" s="36"/>
      <c r="V320" s="12"/>
      <c r="W320" s="12"/>
      <c r="X320" s="12"/>
      <c r="Y320" s="12"/>
      <c r="Z320" s="12"/>
    </row>
    <row r="321" customFormat="false" ht="15.75" hidden="false" customHeight="false" outlineLevel="0" collapsed="false">
      <c r="A321" s="12"/>
      <c r="B321" s="34"/>
      <c r="C321" s="12"/>
      <c r="D321" s="12"/>
      <c r="E321" s="12"/>
      <c r="F321" s="12"/>
      <c r="G321" s="18"/>
      <c r="H321" s="35"/>
      <c r="I321" s="35"/>
      <c r="J321" s="12"/>
      <c r="O321" s="12"/>
      <c r="P321" s="18"/>
      <c r="Q321" s="12"/>
      <c r="R321" s="12"/>
      <c r="S321" s="12"/>
      <c r="T321" s="36"/>
      <c r="U321" s="36"/>
      <c r="V321" s="12"/>
      <c r="W321" s="12"/>
      <c r="X321" s="12"/>
      <c r="Y321" s="12"/>
      <c r="Z321" s="12"/>
    </row>
    <row r="322" customFormat="false" ht="15.75" hidden="false" customHeight="false" outlineLevel="0" collapsed="false">
      <c r="A322" s="12"/>
      <c r="B322" s="34"/>
      <c r="C322" s="12"/>
      <c r="D322" s="12"/>
      <c r="E322" s="12"/>
      <c r="F322" s="12"/>
      <c r="G322" s="18"/>
      <c r="H322" s="35"/>
      <c r="I322" s="35"/>
      <c r="J322" s="12"/>
      <c r="O322" s="12"/>
      <c r="P322" s="18"/>
      <c r="Q322" s="12"/>
      <c r="R322" s="12"/>
      <c r="S322" s="12"/>
      <c r="T322" s="36"/>
      <c r="U322" s="36"/>
      <c r="V322" s="12"/>
      <c r="W322" s="12"/>
      <c r="X322" s="12"/>
      <c r="Y322" s="12"/>
      <c r="Z322" s="12"/>
    </row>
    <row r="323" customFormat="false" ht="15.75" hidden="false" customHeight="false" outlineLevel="0" collapsed="false">
      <c r="A323" s="12"/>
      <c r="B323" s="34"/>
      <c r="C323" s="12"/>
      <c r="D323" s="12"/>
      <c r="E323" s="12"/>
      <c r="F323" s="12"/>
      <c r="G323" s="18"/>
      <c r="H323" s="35"/>
      <c r="I323" s="35"/>
      <c r="J323" s="12"/>
      <c r="O323" s="12"/>
      <c r="P323" s="18"/>
      <c r="Q323" s="12"/>
      <c r="R323" s="12"/>
      <c r="S323" s="12"/>
      <c r="T323" s="36"/>
      <c r="U323" s="36"/>
      <c r="V323" s="12"/>
      <c r="W323" s="12"/>
      <c r="X323" s="12"/>
      <c r="Y323" s="12"/>
      <c r="Z323" s="12"/>
    </row>
    <row r="324" customFormat="false" ht="15.75" hidden="false" customHeight="false" outlineLevel="0" collapsed="false">
      <c r="A324" s="12"/>
      <c r="B324" s="34"/>
      <c r="C324" s="12"/>
      <c r="D324" s="12"/>
      <c r="E324" s="12"/>
      <c r="F324" s="12"/>
      <c r="G324" s="18"/>
      <c r="H324" s="35"/>
      <c r="I324" s="35"/>
      <c r="J324" s="12"/>
      <c r="O324" s="12"/>
      <c r="P324" s="18"/>
      <c r="Q324" s="12"/>
      <c r="R324" s="12"/>
      <c r="S324" s="12"/>
      <c r="T324" s="36"/>
      <c r="U324" s="36"/>
      <c r="V324" s="12"/>
      <c r="W324" s="12"/>
      <c r="X324" s="12"/>
      <c r="Y324" s="12"/>
      <c r="Z324" s="12"/>
    </row>
    <row r="325" customFormat="false" ht="15.75" hidden="false" customHeight="false" outlineLevel="0" collapsed="false">
      <c r="A325" s="12"/>
      <c r="B325" s="34"/>
      <c r="C325" s="12"/>
      <c r="D325" s="12"/>
      <c r="E325" s="12"/>
      <c r="F325" s="12"/>
      <c r="G325" s="18"/>
      <c r="H325" s="35"/>
      <c r="I325" s="35"/>
      <c r="J325" s="12"/>
      <c r="O325" s="12"/>
      <c r="P325" s="18"/>
      <c r="Q325" s="12"/>
      <c r="R325" s="12"/>
      <c r="S325" s="12"/>
      <c r="T325" s="36"/>
      <c r="U325" s="36"/>
      <c r="V325" s="12"/>
      <c r="W325" s="12"/>
      <c r="X325" s="12"/>
      <c r="Y325" s="12"/>
      <c r="Z325" s="12"/>
    </row>
    <row r="326" customFormat="false" ht="15.75" hidden="false" customHeight="false" outlineLevel="0" collapsed="false">
      <c r="A326" s="12"/>
      <c r="B326" s="34"/>
      <c r="C326" s="12"/>
      <c r="D326" s="12"/>
      <c r="E326" s="12"/>
      <c r="F326" s="12"/>
      <c r="G326" s="18"/>
      <c r="H326" s="35"/>
      <c r="I326" s="35"/>
      <c r="J326" s="12"/>
      <c r="O326" s="12"/>
      <c r="P326" s="18"/>
      <c r="Q326" s="12"/>
      <c r="R326" s="12"/>
      <c r="S326" s="12"/>
      <c r="T326" s="36"/>
      <c r="U326" s="36"/>
      <c r="V326" s="12"/>
      <c r="W326" s="12"/>
      <c r="X326" s="12"/>
      <c r="Y326" s="12"/>
      <c r="Z326" s="12"/>
    </row>
    <row r="327" customFormat="false" ht="15.75" hidden="false" customHeight="false" outlineLevel="0" collapsed="false">
      <c r="A327" s="12"/>
      <c r="B327" s="34"/>
      <c r="C327" s="12"/>
      <c r="D327" s="12"/>
      <c r="E327" s="12"/>
      <c r="F327" s="12"/>
      <c r="G327" s="18"/>
      <c r="H327" s="35"/>
      <c r="I327" s="35"/>
      <c r="J327" s="12"/>
      <c r="O327" s="12"/>
      <c r="P327" s="18"/>
      <c r="Q327" s="12"/>
      <c r="R327" s="12"/>
      <c r="S327" s="12"/>
      <c r="T327" s="36"/>
      <c r="U327" s="36"/>
      <c r="V327" s="12"/>
      <c r="W327" s="12"/>
      <c r="X327" s="12"/>
      <c r="Y327" s="12"/>
      <c r="Z327" s="12"/>
    </row>
    <row r="328" customFormat="false" ht="15.75" hidden="false" customHeight="false" outlineLevel="0" collapsed="false">
      <c r="A328" s="12"/>
      <c r="B328" s="34"/>
      <c r="C328" s="12"/>
      <c r="D328" s="12"/>
      <c r="E328" s="12"/>
      <c r="F328" s="12"/>
      <c r="G328" s="18"/>
      <c r="H328" s="35"/>
      <c r="I328" s="35"/>
      <c r="J328" s="12"/>
      <c r="O328" s="12"/>
      <c r="P328" s="18"/>
      <c r="Q328" s="12"/>
      <c r="R328" s="12"/>
      <c r="S328" s="12"/>
      <c r="T328" s="36"/>
      <c r="U328" s="36"/>
      <c r="V328" s="12"/>
      <c r="W328" s="12"/>
      <c r="X328" s="12"/>
      <c r="Y328" s="12"/>
      <c r="Z328" s="12"/>
    </row>
    <row r="329" customFormat="false" ht="15.75" hidden="false" customHeight="false" outlineLevel="0" collapsed="false">
      <c r="A329" s="12"/>
      <c r="B329" s="34"/>
      <c r="C329" s="12"/>
      <c r="D329" s="12"/>
      <c r="E329" s="12"/>
      <c r="F329" s="12"/>
      <c r="G329" s="18"/>
      <c r="H329" s="35"/>
      <c r="I329" s="35"/>
      <c r="J329" s="12"/>
      <c r="O329" s="12"/>
      <c r="P329" s="18"/>
      <c r="Q329" s="12"/>
      <c r="R329" s="12"/>
      <c r="S329" s="12"/>
      <c r="T329" s="36"/>
      <c r="U329" s="36"/>
      <c r="V329" s="12"/>
      <c r="W329" s="12"/>
      <c r="X329" s="12"/>
      <c r="Y329" s="12"/>
      <c r="Z329" s="12"/>
    </row>
    <row r="330" customFormat="false" ht="15.75" hidden="false" customHeight="false" outlineLevel="0" collapsed="false">
      <c r="A330" s="12"/>
      <c r="B330" s="34"/>
      <c r="C330" s="12"/>
      <c r="D330" s="12"/>
      <c r="E330" s="12"/>
      <c r="F330" s="12"/>
      <c r="G330" s="18"/>
      <c r="H330" s="35"/>
      <c r="I330" s="35"/>
      <c r="J330" s="12"/>
      <c r="O330" s="12"/>
      <c r="P330" s="18"/>
      <c r="Q330" s="12"/>
      <c r="R330" s="12"/>
      <c r="S330" s="12"/>
      <c r="T330" s="36"/>
      <c r="U330" s="36"/>
      <c r="V330" s="12"/>
      <c r="W330" s="12"/>
      <c r="X330" s="12"/>
      <c r="Y330" s="12"/>
      <c r="Z330" s="12"/>
    </row>
    <row r="331" customFormat="false" ht="15.75" hidden="false" customHeight="false" outlineLevel="0" collapsed="false">
      <c r="A331" s="12"/>
      <c r="B331" s="34"/>
      <c r="C331" s="12"/>
      <c r="D331" s="12"/>
      <c r="E331" s="12"/>
      <c r="F331" s="12"/>
      <c r="G331" s="18"/>
      <c r="H331" s="35"/>
      <c r="I331" s="35"/>
      <c r="J331" s="12"/>
      <c r="O331" s="12"/>
      <c r="P331" s="18"/>
      <c r="Q331" s="12"/>
      <c r="R331" s="12"/>
      <c r="S331" s="12"/>
      <c r="T331" s="36"/>
      <c r="U331" s="36"/>
      <c r="V331" s="12"/>
      <c r="W331" s="12"/>
      <c r="X331" s="12"/>
      <c r="Y331" s="12"/>
      <c r="Z331" s="12"/>
    </row>
    <row r="332" customFormat="false" ht="15.75" hidden="false" customHeight="false" outlineLevel="0" collapsed="false">
      <c r="A332" s="12"/>
      <c r="B332" s="34"/>
      <c r="C332" s="12"/>
      <c r="D332" s="12"/>
      <c r="E332" s="12"/>
      <c r="F332" s="12"/>
      <c r="G332" s="18"/>
      <c r="H332" s="35"/>
      <c r="I332" s="35"/>
      <c r="J332" s="12"/>
      <c r="O332" s="12"/>
      <c r="P332" s="18"/>
      <c r="Q332" s="12"/>
      <c r="R332" s="12"/>
      <c r="S332" s="12"/>
      <c r="T332" s="36"/>
      <c r="U332" s="36"/>
      <c r="V332" s="12"/>
      <c r="W332" s="12"/>
      <c r="X332" s="12"/>
      <c r="Y332" s="12"/>
      <c r="Z332" s="12"/>
    </row>
    <row r="333" customFormat="false" ht="15.75" hidden="false" customHeight="false" outlineLevel="0" collapsed="false">
      <c r="A333" s="12"/>
      <c r="B333" s="34"/>
      <c r="C333" s="12"/>
      <c r="D333" s="12"/>
      <c r="E333" s="12"/>
      <c r="F333" s="12"/>
      <c r="G333" s="18"/>
      <c r="H333" s="35"/>
      <c r="I333" s="35"/>
      <c r="J333" s="12"/>
      <c r="O333" s="12"/>
      <c r="P333" s="18"/>
      <c r="Q333" s="12"/>
      <c r="R333" s="12"/>
      <c r="S333" s="12"/>
      <c r="T333" s="36"/>
      <c r="U333" s="36"/>
      <c r="V333" s="12"/>
      <c r="W333" s="12"/>
      <c r="X333" s="12"/>
      <c r="Y333" s="12"/>
      <c r="Z333" s="12"/>
    </row>
    <row r="334" customFormat="false" ht="15.75" hidden="false" customHeight="false" outlineLevel="0" collapsed="false">
      <c r="A334" s="12"/>
      <c r="B334" s="34"/>
      <c r="C334" s="12"/>
      <c r="D334" s="12"/>
      <c r="E334" s="12"/>
      <c r="F334" s="12"/>
      <c r="G334" s="18"/>
      <c r="H334" s="35"/>
      <c r="I334" s="35"/>
      <c r="J334" s="12"/>
      <c r="O334" s="12"/>
      <c r="P334" s="18"/>
      <c r="Q334" s="12"/>
      <c r="R334" s="12"/>
      <c r="S334" s="12"/>
      <c r="T334" s="36"/>
      <c r="U334" s="36"/>
      <c r="V334" s="12"/>
      <c r="W334" s="12"/>
      <c r="X334" s="12"/>
      <c r="Y334" s="12"/>
      <c r="Z334" s="12"/>
    </row>
    <row r="335" customFormat="false" ht="15.75" hidden="false" customHeight="false" outlineLevel="0" collapsed="false">
      <c r="A335" s="12"/>
      <c r="B335" s="34"/>
      <c r="C335" s="12"/>
      <c r="D335" s="12"/>
      <c r="E335" s="12"/>
      <c r="F335" s="12"/>
      <c r="G335" s="18"/>
      <c r="H335" s="35"/>
      <c r="I335" s="35"/>
      <c r="J335" s="12"/>
      <c r="O335" s="12"/>
      <c r="P335" s="18"/>
      <c r="Q335" s="12"/>
      <c r="R335" s="12"/>
      <c r="S335" s="12"/>
      <c r="T335" s="36"/>
      <c r="U335" s="36"/>
      <c r="V335" s="12"/>
      <c r="W335" s="12"/>
      <c r="X335" s="12"/>
      <c r="Y335" s="12"/>
      <c r="Z335" s="12"/>
    </row>
    <row r="336" customFormat="false" ht="15.75" hidden="false" customHeight="false" outlineLevel="0" collapsed="false">
      <c r="A336" s="12"/>
      <c r="B336" s="34"/>
      <c r="C336" s="12"/>
      <c r="D336" s="12"/>
      <c r="E336" s="12"/>
      <c r="F336" s="12"/>
      <c r="G336" s="18"/>
      <c r="H336" s="35"/>
      <c r="I336" s="35"/>
      <c r="J336" s="12"/>
      <c r="O336" s="12"/>
      <c r="P336" s="18"/>
      <c r="Q336" s="12"/>
      <c r="R336" s="12"/>
      <c r="S336" s="12"/>
      <c r="T336" s="36"/>
      <c r="U336" s="36"/>
      <c r="V336" s="12"/>
      <c r="W336" s="12"/>
      <c r="X336" s="12"/>
      <c r="Y336" s="12"/>
      <c r="Z336" s="12"/>
    </row>
    <row r="337" customFormat="false" ht="15.75" hidden="false" customHeight="false" outlineLevel="0" collapsed="false">
      <c r="A337" s="12"/>
      <c r="B337" s="34"/>
      <c r="C337" s="12"/>
      <c r="D337" s="12"/>
      <c r="E337" s="12"/>
      <c r="F337" s="12"/>
      <c r="G337" s="18"/>
      <c r="H337" s="35"/>
      <c r="I337" s="35"/>
      <c r="J337" s="12"/>
      <c r="O337" s="12"/>
      <c r="P337" s="18"/>
      <c r="Q337" s="12"/>
      <c r="R337" s="12"/>
      <c r="S337" s="12"/>
      <c r="T337" s="36"/>
      <c r="U337" s="36"/>
      <c r="V337" s="12"/>
      <c r="W337" s="12"/>
      <c r="X337" s="12"/>
      <c r="Y337" s="12"/>
      <c r="Z337" s="12"/>
    </row>
    <row r="338" customFormat="false" ht="15.75" hidden="false" customHeight="false" outlineLevel="0" collapsed="false">
      <c r="A338" s="12"/>
      <c r="B338" s="34"/>
      <c r="C338" s="12"/>
      <c r="D338" s="12"/>
      <c r="E338" s="12"/>
      <c r="F338" s="12"/>
      <c r="G338" s="18"/>
      <c r="H338" s="35"/>
      <c r="I338" s="35"/>
      <c r="J338" s="12"/>
      <c r="O338" s="12"/>
      <c r="P338" s="18"/>
      <c r="Q338" s="12"/>
      <c r="R338" s="12"/>
      <c r="S338" s="12"/>
      <c r="T338" s="36"/>
      <c r="U338" s="36"/>
      <c r="V338" s="12"/>
      <c r="W338" s="12"/>
      <c r="X338" s="12"/>
      <c r="Y338" s="12"/>
      <c r="Z338" s="12"/>
    </row>
    <row r="339" customFormat="false" ht="15.75" hidden="false" customHeight="false" outlineLevel="0" collapsed="false">
      <c r="A339" s="12"/>
      <c r="B339" s="34"/>
      <c r="C339" s="12"/>
      <c r="D339" s="12"/>
      <c r="E339" s="12"/>
      <c r="F339" s="12"/>
      <c r="G339" s="18"/>
      <c r="H339" s="35"/>
      <c r="I339" s="35"/>
      <c r="J339" s="12"/>
      <c r="O339" s="12"/>
      <c r="P339" s="18"/>
      <c r="Q339" s="12"/>
      <c r="R339" s="12"/>
      <c r="S339" s="12"/>
      <c r="T339" s="36"/>
      <c r="U339" s="36"/>
      <c r="V339" s="12"/>
      <c r="W339" s="12"/>
      <c r="X339" s="12"/>
      <c r="Y339" s="12"/>
      <c r="Z339" s="12"/>
    </row>
    <row r="340" customFormat="false" ht="15.75" hidden="false" customHeight="false" outlineLevel="0" collapsed="false">
      <c r="A340" s="12"/>
      <c r="B340" s="34"/>
      <c r="C340" s="12"/>
      <c r="D340" s="12"/>
      <c r="E340" s="12"/>
      <c r="F340" s="12"/>
      <c r="G340" s="18"/>
      <c r="H340" s="35"/>
      <c r="I340" s="35"/>
      <c r="J340" s="12"/>
      <c r="O340" s="12"/>
      <c r="P340" s="18"/>
      <c r="Q340" s="12"/>
      <c r="R340" s="12"/>
      <c r="S340" s="12"/>
      <c r="T340" s="36"/>
      <c r="U340" s="36"/>
      <c r="V340" s="12"/>
      <c r="W340" s="12"/>
      <c r="X340" s="12"/>
      <c r="Y340" s="12"/>
      <c r="Z340" s="12"/>
    </row>
    <row r="341" customFormat="false" ht="15.75" hidden="false" customHeight="false" outlineLevel="0" collapsed="false">
      <c r="A341" s="12"/>
      <c r="B341" s="34"/>
      <c r="C341" s="12"/>
      <c r="D341" s="12"/>
      <c r="E341" s="12"/>
      <c r="F341" s="12"/>
      <c r="G341" s="18"/>
      <c r="H341" s="35"/>
      <c r="I341" s="35"/>
      <c r="J341" s="12"/>
      <c r="O341" s="12"/>
      <c r="P341" s="18"/>
      <c r="Q341" s="12"/>
      <c r="R341" s="12"/>
      <c r="S341" s="12"/>
      <c r="T341" s="36"/>
      <c r="U341" s="36"/>
      <c r="V341" s="12"/>
      <c r="W341" s="12"/>
      <c r="X341" s="12"/>
      <c r="Y341" s="12"/>
      <c r="Z341" s="12"/>
    </row>
    <row r="342" customFormat="false" ht="15.75" hidden="false" customHeight="false" outlineLevel="0" collapsed="false">
      <c r="A342" s="12"/>
      <c r="B342" s="34"/>
      <c r="C342" s="12"/>
      <c r="D342" s="12"/>
      <c r="E342" s="12"/>
      <c r="F342" s="12"/>
      <c r="G342" s="18"/>
      <c r="H342" s="35"/>
      <c r="I342" s="35"/>
      <c r="J342" s="12"/>
      <c r="O342" s="12"/>
      <c r="P342" s="18"/>
      <c r="Q342" s="12"/>
      <c r="R342" s="12"/>
      <c r="S342" s="12"/>
      <c r="T342" s="36"/>
      <c r="U342" s="36"/>
      <c r="V342" s="12"/>
      <c r="W342" s="12"/>
      <c r="X342" s="12"/>
      <c r="Y342" s="12"/>
      <c r="Z342" s="12"/>
    </row>
    <row r="343" customFormat="false" ht="15.75" hidden="false" customHeight="false" outlineLevel="0" collapsed="false">
      <c r="A343" s="12"/>
      <c r="B343" s="34"/>
      <c r="C343" s="12"/>
      <c r="D343" s="12"/>
      <c r="E343" s="12"/>
      <c r="F343" s="12"/>
      <c r="G343" s="18"/>
      <c r="H343" s="35"/>
      <c r="I343" s="35"/>
      <c r="J343" s="12"/>
      <c r="O343" s="12"/>
      <c r="P343" s="18"/>
      <c r="Q343" s="12"/>
      <c r="R343" s="12"/>
      <c r="S343" s="12"/>
      <c r="T343" s="36"/>
      <c r="U343" s="36"/>
      <c r="V343" s="12"/>
      <c r="W343" s="12"/>
      <c r="X343" s="12"/>
      <c r="Y343" s="12"/>
      <c r="Z343" s="12"/>
    </row>
    <row r="344" customFormat="false" ht="15.75" hidden="false" customHeight="false" outlineLevel="0" collapsed="false">
      <c r="A344" s="12"/>
      <c r="B344" s="34"/>
      <c r="C344" s="12"/>
      <c r="D344" s="12"/>
      <c r="E344" s="12"/>
      <c r="F344" s="12"/>
      <c r="G344" s="18"/>
      <c r="H344" s="35"/>
      <c r="I344" s="35"/>
      <c r="J344" s="12"/>
      <c r="O344" s="12"/>
      <c r="P344" s="18"/>
      <c r="Q344" s="12"/>
      <c r="R344" s="12"/>
      <c r="S344" s="12"/>
      <c r="T344" s="36"/>
      <c r="U344" s="36"/>
      <c r="V344" s="12"/>
      <c r="W344" s="12"/>
      <c r="X344" s="12"/>
      <c r="Y344" s="12"/>
      <c r="Z344" s="12"/>
    </row>
    <row r="345" customFormat="false" ht="15.75" hidden="false" customHeight="false" outlineLevel="0" collapsed="false">
      <c r="A345" s="12"/>
      <c r="B345" s="34"/>
      <c r="C345" s="12"/>
      <c r="D345" s="12"/>
      <c r="E345" s="12"/>
      <c r="F345" s="12"/>
      <c r="G345" s="18"/>
      <c r="H345" s="35"/>
      <c r="I345" s="35"/>
      <c r="J345" s="12"/>
      <c r="O345" s="12"/>
      <c r="P345" s="18"/>
      <c r="Q345" s="12"/>
      <c r="R345" s="12"/>
      <c r="S345" s="12"/>
      <c r="T345" s="36"/>
      <c r="U345" s="36"/>
      <c r="V345" s="12"/>
      <c r="W345" s="12"/>
      <c r="X345" s="12"/>
      <c r="Y345" s="12"/>
      <c r="Z345" s="12"/>
    </row>
    <row r="346" customFormat="false" ht="15.75" hidden="false" customHeight="false" outlineLevel="0" collapsed="false">
      <c r="A346" s="12"/>
      <c r="B346" s="34"/>
      <c r="C346" s="12"/>
      <c r="D346" s="12"/>
      <c r="E346" s="12"/>
      <c r="F346" s="12"/>
      <c r="G346" s="18"/>
      <c r="H346" s="35"/>
      <c r="I346" s="35"/>
      <c r="J346" s="12"/>
      <c r="O346" s="12"/>
      <c r="P346" s="18"/>
      <c r="Q346" s="12"/>
      <c r="R346" s="12"/>
      <c r="S346" s="12"/>
      <c r="T346" s="36"/>
      <c r="U346" s="36"/>
      <c r="V346" s="12"/>
      <c r="W346" s="12"/>
      <c r="X346" s="12"/>
      <c r="Y346" s="12"/>
      <c r="Z346" s="12"/>
    </row>
    <row r="347" customFormat="false" ht="15.75" hidden="false" customHeight="false" outlineLevel="0" collapsed="false">
      <c r="A347" s="12"/>
      <c r="B347" s="34"/>
      <c r="C347" s="12"/>
      <c r="D347" s="12"/>
      <c r="E347" s="12"/>
      <c r="F347" s="12"/>
      <c r="G347" s="18"/>
      <c r="H347" s="35"/>
      <c r="I347" s="35"/>
      <c r="J347" s="12"/>
      <c r="O347" s="12"/>
      <c r="P347" s="18"/>
      <c r="Q347" s="12"/>
      <c r="R347" s="12"/>
      <c r="S347" s="12"/>
      <c r="T347" s="36"/>
      <c r="U347" s="36"/>
      <c r="V347" s="12"/>
      <c r="W347" s="12"/>
      <c r="X347" s="12"/>
      <c r="Y347" s="12"/>
      <c r="Z347" s="12"/>
    </row>
    <row r="348" customFormat="false" ht="15.75" hidden="false" customHeight="false" outlineLevel="0" collapsed="false">
      <c r="A348" s="12"/>
      <c r="B348" s="34"/>
      <c r="C348" s="12"/>
      <c r="D348" s="12"/>
      <c r="E348" s="12"/>
      <c r="F348" s="12"/>
      <c r="G348" s="18"/>
      <c r="H348" s="35"/>
      <c r="I348" s="35"/>
      <c r="J348" s="12"/>
      <c r="O348" s="12"/>
      <c r="P348" s="18"/>
      <c r="Q348" s="12"/>
      <c r="R348" s="12"/>
      <c r="S348" s="12"/>
      <c r="T348" s="36"/>
      <c r="U348" s="36"/>
      <c r="V348" s="12"/>
      <c r="W348" s="12"/>
      <c r="X348" s="12"/>
      <c r="Y348" s="12"/>
      <c r="Z348" s="12"/>
    </row>
    <row r="349" customFormat="false" ht="15.75" hidden="false" customHeight="false" outlineLevel="0" collapsed="false">
      <c r="A349" s="12"/>
      <c r="B349" s="34"/>
      <c r="C349" s="12"/>
      <c r="D349" s="12"/>
      <c r="E349" s="12"/>
      <c r="F349" s="12"/>
      <c r="G349" s="18"/>
      <c r="H349" s="35"/>
      <c r="I349" s="35"/>
      <c r="J349" s="12"/>
      <c r="O349" s="12"/>
      <c r="P349" s="18"/>
      <c r="Q349" s="12"/>
      <c r="R349" s="12"/>
      <c r="S349" s="12"/>
      <c r="T349" s="36"/>
      <c r="U349" s="36"/>
      <c r="V349" s="12"/>
      <c r="W349" s="12"/>
      <c r="X349" s="12"/>
      <c r="Y349" s="12"/>
      <c r="Z349" s="12"/>
    </row>
    <row r="350" customFormat="false" ht="15.75" hidden="false" customHeight="false" outlineLevel="0" collapsed="false">
      <c r="A350" s="12"/>
      <c r="B350" s="34"/>
      <c r="C350" s="12"/>
      <c r="D350" s="12"/>
      <c r="E350" s="12"/>
      <c r="F350" s="12"/>
      <c r="G350" s="18"/>
      <c r="H350" s="35"/>
      <c r="I350" s="35"/>
      <c r="J350" s="12"/>
      <c r="O350" s="12"/>
      <c r="P350" s="18"/>
      <c r="Q350" s="12"/>
      <c r="R350" s="12"/>
      <c r="S350" s="12"/>
      <c r="T350" s="36"/>
      <c r="U350" s="36"/>
      <c r="V350" s="12"/>
      <c r="W350" s="12"/>
      <c r="X350" s="12"/>
      <c r="Y350" s="12"/>
      <c r="Z350" s="12"/>
    </row>
    <row r="351" customFormat="false" ht="15.75" hidden="false" customHeight="false" outlineLevel="0" collapsed="false">
      <c r="A351" s="12"/>
      <c r="B351" s="34"/>
      <c r="C351" s="12"/>
      <c r="D351" s="12"/>
      <c r="E351" s="12"/>
      <c r="F351" s="12"/>
      <c r="G351" s="18"/>
      <c r="H351" s="35"/>
      <c r="I351" s="35"/>
      <c r="J351" s="12"/>
      <c r="O351" s="12"/>
      <c r="P351" s="18"/>
      <c r="Q351" s="12"/>
      <c r="R351" s="12"/>
      <c r="S351" s="12"/>
      <c r="T351" s="36"/>
      <c r="U351" s="36"/>
      <c r="V351" s="12"/>
      <c r="W351" s="12"/>
      <c r="X351" s="12"/>
      <c r="Y351" s="12"/>
      <c r="Z351" s="12"/>
    </row>
    <row r="352" customFormat="false" ht="15.75" hidden="false" customHeight="false" outlineLevel="0" collapsed="false">
      <c r="A352" s="12"/>
      <c r="B352" s="34"/>
      <c r="C352" s="12"/>
      <c r="D352" s="12"/>
      <c r="E352" s="12"/>
      <c r="F352" s="12"/>
      <c r="G352" s="18"/>
      <c r="H352" s="35"/>
      <c r="I352" s="35"/>
      <c r="J352" s="12"/>
      <c r="O352" s="12"/>
      <c r="P352" s="18"/>
      <c r="Q352" s="12"/>
      <c r="R352" s="12"/>
      <c r="S352" s="12"/>
      <c r="T352" s="36"/>
      <c r="U352" s="36"/>
      <c r="V352" s="12"/>
      <c r="W352" s="12"/>
      <c r="X352" s="12"/>
      <c r="Y352" s="12"/>
      <c r="Z352" s="12"/>
    </row>
    <row r="353" customFormat="false" ht="15.75" hidden="false" customHeight="false" outlineLevel="0" collapsed="false">
      <c r="A353" s="12"/>
      <c r="B353" s="34"/>
      <c r="C353" s="12"/>
      <c r="D353" s="12"/>
      <c r="E353" s="12"/>
      <c r="F353" s="12"/>
      <c r="G353" s="18"/>
      <c r="H353" s="35"/>
      <c r="I353" s="35"/>
      <c r="J353" s="12"/>
      <c r="O353" s="12"/>
      <c r="P353" s="18"/>
      <c r="Q353" s="12"/>
      <c r="R353" s="12"/>
      <c r="S353" s="12"/>
      <c r="T353" s="36"/>
      <c r="U353" s="36"/>
      <c r="V353" s="12"/>
      <c r="W353" s="12"/>
      <c r="X353" s="12"/>
      <c r="Y353" s="12"/>
      <c r="Z353" s="12"/>
    </row>
    <row r="354" customFormat="false" ht="15.75" hidden="false" customHeight="false" outlineLevel="0" collapsed="false">
      <c r="A354" s="12"/>
      <c r="B354" s="34"/>
      <c r="C354" s="12"/>
      <c r="D354" s="12"/>
      <c r="E354" s="12"/>
      <c r="F354" s="12"/>
      <c r="G354" s="18"/>
      <c r="H354" s="35"/>
      <c r="I354" s="35"/>
      <c r="J354" s="12"/>
      <c r="O354" s="12"/>
      <c r="P354" s="18"/>
      <c r="Q354" s="12"/>
      <c r="R354" s="12"/>
      <c r="S354" s="12"/>
      <c r="T354" s="36"/>
      <c r="U354" s="36"/>
      <c r="V354" s="12"/>
      <c r="W354" s="12"/>
      <c r="X354" s="12"/>
      <c r="Y354" s="12"/>
      <c r="Z354" s="12"/>
    </row>
    <row r="355" customFormat="false" ht="15.75" hidden="false" customHeight="false" outlineLevel="0" collapsed="false">
      <c r="A355" s="12"/>
      <c r="B355" s="34"/>
      <c r="C355" s="12"/>
      <c r="D355" s="12"/>
      <c r="E355" s="12"/>
      <c r="F355" s="12"/>
      <c r="G355" s="18"/>
      <c r="H355" s="35"/>
      <c r="I355" s="35"/>
      <c r="J355" s="12"/>
      <c r="O355" s="12"/>
      <c r="P355" s="18"/>
      <c r="Q355" s="12"/>
      <c r="R355" s="12"/>
      <c r="S355" s="12"/>
      <c r="T355" s="36"/>
      <c r="U355" s="36"/>
      <c r="V355" s="12"/>
      <c r="W355" s="12"/>
      <c r="X355" s="12"/>
      <c r="Y355" s="12"/>
      <c r="Z355" s="12"/>
    </row>
    <row r="356" customFormat="false" ht="15.75" hidden="false" customHeight="false" outlineLevel="0" collapsed="false">
      <c r="A356" s="12"/>
      <c r="B356" s="34"/>
      <c r="C356" s="12"/>
      <c r="D356" s="12"/>
      <c r="E356" s="12"/>
      <c r="F356" s="12"/>
      <c r="G356" s="18"/>
      <c r="H356" s="35"/>
      <c r="I356" s="35"/>
      <c r="J356" s="12"/>
      <c r="O356" s="12"/>
      <c r="P356" s="18"/>
      <c r="Q356" s="12"/>
      <c r="R356" s="12"/>
      <c r="S356" s="12"/>
      <c r="T356" s="36"/>
      <c r="U356" s="36"/>
      <c r="V356" s="12"/>
      <c r="W356" s="12"/>
      <c r="X356" s="12"/>
      <c r="Y356" s="12"/>
      <c r="Z356" s="12"/>
    </row>
    <row r="357" customFormat="false" ht="15.75" hidden="false" customHeight="false" outlineLevel="0" collapsed="false">
      <c r="A357" s="12"/>
      <c r="B357" s="34"/>
      <c r="C357" s="12"/>
      <c r="D357" s="12"/>
      <c r="E357" s="12"/>
      <c r="F357" s="12"/>
      <c r="G357" s="18"/>
      <c r="H357" s="35"/>
      <c r="I357" s="35"/>
      <c r="J357" s="12"/>
      <c r="O357" s="12"/>
      <c r="P357" s="18"/>
      <c r="Q357" s="12"/>
      <c r="R357" s="12"/>
      <c r="S357" s="12"/>
      <c r="T357" s="36"/>
      <c r="U357" s="36"/>
      <c r="V357" s="12"/>
      <c r="W357" s="12"/>
      <c r="X357" s="12"/>
      <c r="Y357" s="12"/>
      <c r="Z357" s="12"/>
    </row>
    <row r="358" customFormat="false" ht="15.75" hidden="false" customHeight="false" outlineLevel="0" collapsed="false">
      <c r="A358" s="12"/>
      <c r="B358" s="34"/>
      <c r="C358" s="12"/>
      <c r="D358" s="12"/>
      <c r="E358" s="12"/>
      <c r="F358" s="12"/>
      <c r="G358" s="18"/>
      <c r="H358" s="35"/>
      <c r="I358" s="35"/>
      <c r="J358" s="12"/>
      <c r="O358" s="12"/>
      <c r="P358" s="18"/>
      <c r="Q358" s="12"/>
      <c r="R358" s="12"/>
      <c r="S358" s="12"/>
      <c r="T358" s="36"/>
      <c r="U358" s="36"/>
      <c r="V358" s="12"/>
      <c r="W358" s="12"/>
      <c r="X358" s="12"/>
      <c r="Y358" s="12"/>
      <c r="Z358" s="12"/>
    </row>
    <row r="359" customFormat="false" ht="15.75" hidden="false" customHeight="false" outlineLevel="0" collapsed="false">
      <c r="A359" s="12"/>
      <c r="B359" s="34"/>
      <c r="C359" s="12"/>
      <c r="D359" s="12"/>
      <c r="E359" s="12"/>
      <c r="F359" s="12"/>
      <c r="G359" s="18"/>
      <c r="H359" s="35"/>
      <c r="I359" s="35"/>
      <c r="J359" s="12"/>
      <c r="O359" s="12"/>
      <c r="P359" s="18"/>
      <c r="Q359" s="12"/>
      <c r="R359" s="12"/>
      <c r="S359" s="12"/>
      <c r="T359" s="36"/>
      <c r="U359" s="36"/>
      <c r="V359" s="12"/>
      <c r="W359" s="12"/>
      <c r="X359" s="12"/>
      <c r="Y359" s="12"/>
      <c r="Z359" s="12"/>
    </row>
    <row r="360" customFormat="false" ht="15.75" hidden="false" customHeight="false" outlineLevel="0" collapsed="false">
      <c r="A360" s="12"/>
      <c r="B360" s="34"/>
      <c r="C360" s="12"/>
      <c r="D360" s="12"/>
      <c r="E360" s="12"/>
      <c r="F360" s="12"/>
      <c r="G360" s="18"/>
      <c r="H360" s="35"/>
      <c r="I360" s="35"/>
      <c r="J360" s="12"/>
      <c r="O360" s="12"/>
      <c r="P360" s="18"/>
      <c r="Q360" s="12"/>
      <c r="R360" s="12"/>
      <c r="S360" s="12"/>
      <c r="T360" s="36"/>
      <c r="U360" s="36"/>
      <c r="V360" s="12"/>
      <c r="W360" s="12"/>
      <c r="X360" s="12"/>
      <c r="Y360" s="12"/>
      <c r="Z360" s="12"/>
    </row>
    <row r="361" customFormat="false" ht="15.75" hidden="false" customHeight="false" outlineLevel="0" collapsed="false">
      <c r="A361" s="12"/>
      <c r="B361" s="34"/>
      <c r="C361" s="12"/>
      <c r="D361" s="12"/>
      <c r="E361" s="12"/>
      <c r="F361" s="12"/>
      <c r="G361" s="18"/>
      <c r="H361" s="35"/>
      <c r="I361" s="35"/>
      <c r="J361" s="12"/>
      <c r="O361" s="12"/>
      <c r="P361" s="18"/>
      <c r="Q361" s="12"/>
      <c r="R361" s="12"/>
      <c r="S361" s="12"/>
      <c r="T361" s="36"/>
      <c r="U361" s="36"/>
      <c r="V361" s="12"/>
      <c r="W361" s="12"/>
      <c r="X361" s="12"/>
      <c r="Y361" s="12"/>
      <c r="Z361" s="12"/>
    </row>
    <row r="362" customFormat="false" ht="15.75" hidden="false" customHeight="false" outlineLevel="0" collapsed="false">
      <c r="A362" s="12"/>
      <c r="B362" s="34"/>
      <c r="C362" s="12"/>
      <c r="D362" s="12"/>
      <c r="E362" s="12"/>
      <c r="F362" s="12"/>
      <c r="G362" s="18"/>
      <c r="H362" s="35"/>
      <c r="I362" s="35"/>
      <c r="J362" s="12"/>
      <c r="O362" s="12"/>
      <c r="P362" s="18"/>
      <c r="Q362" s="12"/>
      <c r="R362" s="12"/>
      <c r="S362" s="12"/>
      <c r="T362" s="36"/>
      <c r="U362" s="36"/>
      <c r="V362" s="12"/>
      <c r="W362" s="12"/>
      <c r="X362" s="12"/>
      <c r="Y362" s="12"/>
      <c r="Z362" s="12"/>
    </row>
    <row r="363" customFormat="false" ht="15.75" hidden="false" customHeight="false" outlineLevel="0" collapsed="false">
      <c r="A363" s="12"/>
      <c r="B363" s="34"/>
      <c r="C363" s="12"/>
      <c r="D363" s="12"/>
      <c r="E363" s="12"/>
      <c r="F363" s="12"/>
      <c r="G363" s="18"/>
      <c r="H363" s="35"/>
      <c r="I363" s="35"/>
      <c r="J363" s="12"/>
      <c r="O363" s="12"/>
      <c r="P363" s="18"/>
      <c r="Q363" s="12"/>
      <c r="R363" s="12"/>
      <c r="S363" s="12"/>
      <c r="T363" s="36"/>
      <c r="U363" s="36"/>
      <c r="V363" s="12"/>
      <c r="W363" s="12"/>
      <c r="X363" s="12"/>
      <c r="Y363" s="12"/>
      <c r="Z363" s="12"/>
    </row>
    <row r="364" customFormat="false" ht="15.75" hidden="false" customHeight="false" outlineLevel="0" collapsed="false">
      <c r="A364" s="12"/>
      <c r="B364" s="34"/>
      <c r="C364" s="12"/>
      <c r="D364" s="12"/>
      <c r="E364" s="12"/>
      <c r="F364" s="12"/>
      <c r="G364" s="18"/>
      <c r="H364" s="35"/>
      <c r="I364" s="35"/>
      <c r="J364" s="12"/>
      <c r="O364" s="12"/>
      <c r="P364" s="18"/>
      <c r="Q364" s="12"/>
      <c r="R364" s="12"/>
      <c r="S364" s="12"/>
      <c r="T364" s="36"/>
      <c r="U364" s="36"/>
      <c r="V364" s="12"/>
      <c r="W364" s="12"/>
      <c r="X364" s="12"/>
      <c r="Y364" s="12"/>
      <c r="Z364" s="12"/>
    </row>
    <row r="365" customFormat="false" ht="15.75" hidden="false" customHeight="false" outlineLevel="0" collapsed="false">
      <c r="A365" s="12"/>
      <c r="B365" s="34"/>
      <c r="C365" s="12"/>
      <c r="D365" s="12"/>
      <c r="E365" s="12"/>
      <c r="F365" s="12"/>
      <c r="G365" s="18"/>
      <c r="H365" s="35"/>
      <c r="I365" s="35"/>
      <c r="J365" s="12"/>
      <c r="O365" s="12"/>
      <c r="P365" s="18"/>
      <c r="Q365" s="12"/>
      <c r="R365" s="12"/>
      <c r="S365" s="12"/>
      <c r="T365" s="36"/>
      <c r="U365" s="36"/>
      <c r="V365" s="12"/>
      <c r="W365" s="12"/>
      <c r="X365" s="12"/>
      <c r="Y365" s="12"/>
      <c r="Z365" s="12"/>
    </row>
    <row r="366" customFormat="false" ht="15.75" hidden="false" customHeight="false" outlineLevel="0" collapsed="false">
      <c r="A366" s="12"/>
      <c r="B366" s="34"/>
      <c r="C366" s="12"/>
      <c r="D366" s="12"/>
      <c r="E366" s="12"/>
      <c r="F366" s="12"/>
      <c r="G366" s="18"/>
      <c r="H366" s="35"/>
      <c r="I366" s="35"/>
      <c r="J366" s="12"/>
      <c r="O366" s="12"/>
      <c r="P366" s="18"/>
      <c r="Q366" s="12"/>
      <c r="R366" s="12"/>
      <c r="S366" s="12"/>
      <c r="T366" s="36"/>
      <c r="U366" s="36"/>
      <c r="V366" s="12"/>
      <c r="W366" s="12"/>
      <c r="X366" s="12"/>
      <c r="Y366" s="12"/>
      <c r="Z366" s="12"/>
    </row>
    <row r="367" customFormat="false" ht="15.75" hidden="false" customHeight="false" outlineLevel="0" collapsed="false">
      <c r="A367" s="12"/>
      <c r="B367" s="34"/>
      <c r="C367" s="12"/>
      <c r="D367" s="12"/>
      <c r="E367" s="12"/>
      <c r="F367" s="12"/>
      <c r="G367" s="18"/>
      <c r="H367" s="35"/>
      <c r="I367" s="35"/>
      <c r="J367" s="12"/>
      <c r="O367" s="12"/>
      <c r="P367" s="18"/>
      <c r="Q367" s="12"/>
      <c r="R367" s="12"/>
      <c r="S367" s="12"/>
      <c r="T367" s="36"/>
      <c r="U367" s="36"/>
      <c r="V367" s="12"/>
      <c r="W367" s="12"/>
      <c r="X367" s="12"/>
      <c r="Y367" s="12"/>
      <c r="Z367" s="12"/>
    </row>
    <row r="368" customFormat="false" ht="15.75" hidden="false" customHeight="false" outlineLevel="0" collapsed="false">
      <c r="A368" s="12"/>
      <c r="B368" s="34"/>
      <c r="C368" s="12"/>
      <c r="D368" s="12"/>
      <c r="E368" s="12"/>
      <c r="F368" s="12"/>
      <c r="G368" s="18"/>
      <c r="H368" s="35"/>
      <c r="I368" s="35"/>
      <c r="J368" s="12"/>
      <c r="O368" s="12"/>
      <c r="P368" s="18"/>
      <c r="Q368" s="12"/>
      <c r="R368" s="12"/>
      <c r="S368" s="12"/>
      <c r="T368" s="36"/>
      <c r="U368" s="36"/>
      <c r="V368" s="12"/>
      <c r="W368" s="12"/>
      <c r="X368" s="12"/>
      <c r="Y368" s="12"/>
      <c r="Z368" s="12"/>
    </row>
    <row r="369" customFormat="false" ht="15.75" hidden="false" customHeight="false" outlineLevel="0" collapsed="false">
      <c r="A369" s="12"/>
      <c r="B369" s="34"/>
      <c r="C369" s="12"/>
      <c r="D369" s="12"/>
      <c r="E369" s="12"/>
      <c r="F369" s="12"/>
      <c r="G369" s="18"/>
      <c r="H369" s="35"/>
      <c r="I369" s="35"/>
      <c r="J369" s="12"/>
      <c r="O369" s="12"/>
      <c r="P369" s="18"/>
      <c r="Q369" s="12"/>
      <c r="R369" s="12"/>
      <c r="S369" s="12"/>
      <c r="T369" s="36"/>
      <c r="U369" s="36"/>
      <c r="V369" s="12"/>
      <c r="W369" s="12"/>
      <c r="X369" s="12"/>
      <c r="Y369" s="12"/>
      <c r="Z369" s="12"/>
    </row>
    <row r="370" customFormat="false" ht="15.75" hidden="false" customHeight="false" outlineLevel="0" collapsed="false">
      <c r="A370" s="12"/>
      <c r="B370" s="34"/>
      <c r="C370" s="12"/>
      <c r="D370" s="12"/>
      <c r="E370" s="12"/>
      <c r="F370" s="12"/>
      <c r="G370" s="18"/>
      <c r="H370" s="35"/>
      <c r="I370" s="35"/>
      <c r="J370" s="12"/>
      <c r="O370" s="12"/>
      <c r="P370" s="18"/>
      <c r="Q370" s="12"/>
      <c r="R370" s="12"/>
      <c r="S370" s="12"/>
      <c r="T370" s="36"/>
      <c r="U370" s="36"/>
      <c r="V370" s="12"/>
      <c r="W370" s="12"/>
      <c r="X370" s="12"/>
      <c r="Y370" s="12"/>
      <c r="Z370" s="12"/>
    </row>
    <row r="371" customFormat="false" ht="15.75" hidden="false" customHeight="false" outlineLevel="0" collapsed="false">
      <c r="A371" s="12"/>
      <c r="B371" s="34"/>
      <c r="C371" s="12"/>
      <c r="D371" s="12"/>
      <c r="E371" s="12"/>
      <c r="F371" s="12"/>
      <c r="G371" s="18"/>
      <c r="H371" s="35"/>
      <c r="I371" s="35"/>
      <c r="J371" s="12"/>
      <c r="O371" s="12"/>
      <c r="P371" s="18"/>
      <c r="Q371" s="12"/>
      <c r="R371" s="12"/>
      <c r="S371" s="12"/>
      <c r="T371" s="36"/>
      <c r="U371" s="36"/>
      <c r="V371" s="12"/>
      <c r="W371" s="12"/>
      <c r="X371" s="12"/>
      <c r="Y371" s="12"/>
      <c r="Z371" s="12"/>
    </row>
    <row r="372" customFormat="false" ht="15.75" hidden="false" customHeight="false" outlineLevel="0" collapsed="false">
      <c r="A372" s="12"/>
      <c r="B372" s="34"/>
      <c r="C372" s="12"/>
      <c r="D372" s="12"/>
      <c r="E372" s="12"/>
      <c r="F372" s="12"/>
      <c r="G372" s="18"/>
      <c r="H372" s="35"/>
      <c r="I372" s="35"/>
      <c r="J372" s="12"/>
      <c r="O372" s="12"/>
      <c r="P372" s="18"/>
      <c r="Q372" s="12"/>
      <c r="R372" s="12"/>
      <c r="S372" s="12"/>
      <c r="T372" s="36"/>
      <c r="U372" s="36"/>
      <c r="V372" s="12"/>
      <c r="W372" s="12"/>
      <c r="X372" s="12"/>
      <c r="Y372" s="12"/>
      <c r="Z372" s="12"/>
    </row>
    <row r="373" customFormat="false" ht="15.75" hidden="false" customHeight="false" outlineLevel="0" collapsed="false">
      <c r="A373" s="12"/>
      <c r="B373" s="34"/>
      <c r="C373" s="12"/>
      <c r="D373" s="12"/>
      <c r="E373" s="12"/>
      <c r="F373" s="12"/>
      <c r="G373" s="18"/>
      <c r="H373" s="35"/>
      <c r="I373" s="35"/>
      <c r="J373" s="12"/>
      <c r="O373" s="12"/>
      <c r="P373" s="18"/>
      <c r="Q373" s="12"/>
      <c r="R373" s="12"/>
      <c r="S373" s="12"/>
      <c r="T373" s="36"/>
      <c r="U373" s="36"/>
      <c r="V373" s="12"/>
      <c r="W373" s="12"/>
      <c r="X373" s="12"/>
      <c r="Y373" s="12"/>
      <c r="Z373" s="12"/>
    </row>
    <row r="374" customFormat="false" ht="15.75" hidden="false" customHeight="false" outlineLevel="0" collapsed="false">
      <c r="A374" s="12"/>
      <c r="B374" s="34"/>
      <c r="C374" s="12"/>
      <c r="D374" s="12"/>
      <c r="E374" s="12"/>
      <c r="F374" s="12"/>
      <c r="G374" s="18"/>
      <c r="H374" s="35"/>
      <c r="I374" s="35"/>
      <c r="J374" s="12"/>
      <c r="O374" s="12"/>
      <c r="P374" s="18"/>
      <c r="Q374" s="12"/>
      <c r="R374" s="12"/>
      <c r="S374" s="12"/>
      <c r="T374" s="36"/>
      <c r="U374" s="36"/>
      <c r="V374" s="12"/>
      <c r="W374" s="12"/>
      <c r="X374" s="12"/>
      <c r="Y374" s="12"/>
      <c r="Z374" s="12"/>
    </row>
    <row r="375" customFormat="false" ht="15.75" hidden="false" customHeight="false" outlineLevel="0" collapsed="false">
      <c r="A375" s="12"/>
      <c r="B375" s="34"/>
      <c r="C375" s="12"/>
      <c r="D375" s="12"/>
      <c r="E375" s="12"/>
      <c r="F375" s="12"/>
      <c r="G375" s="18"/>
      <c r="H375" s="35"/>
      <c r="I375" s="35"/>
      <c r="J375" s="12"/>
      <c r="O375" s="12"/>
      <c r="P375" s="18"/>
      <c r="Q375" s="12"/>
      <c r="R375" s="12"/>
      <c r="S375" s="12"/>
      <c r="T375" s="36"/>
      <c r="U375" s="36"/>
      <c r="V375" s="12"/>
      <c r="W375" s="12"/>
      <c r="X375" s="12"/>
      <c r="Y375" s="12"/>
      <c r="Z375" s="12"/>
    </row>
    <row r="376" customFormat="false" ht="15.75" hidden="false" customHeight="false" outlineLevel="0" collapsed="false">
      <c r="A376" s="12"/>
      <c r="B376" s="34"/>
      <c r="C376" s="12"/>
      <c r="D376" s="12"/>
      <c r="E376" s="12"/>
      <c r="F376" s="12"/>
      <c r="G376" s="18"/>
      <c r="H376" s="35"/>
      <c r="I376" s="35"/>
      <c r="J376" s="12"/>
      <c r="O376" s="12"/>
      <c r="P376" s="18"/>
      <c r="Q376" s="12"/>
      <c r="R376" s="12"/>
      <c r="S376" s="12"/>
      <c r="T376" s="36"/>
      <c r="U376" s="36"/>
      <c r="V376" s="12"/>
      <c r="W376" s="12"/>
      <c r="X376" s="12"/>
      <c r="Y376" s="12"/>
      <c r="Z376" s="12"/>
    </row>
    <row r="377" customFormat="false" ht="15.75" hidden="false" customHeight="false" outlineLevel="0" collapsed="false">
      <c r="A377" s="12"/>
      <c r="B377" s="34"/>
      <c r="C377" s="12"/>
      <c r="D377" s="12"/>
      <c r="E377" s="12"/>
      <c r="F377" s="12"/>
      <c r="G377" s="18"/>
      <c r="H377" s="35"/>
      <c r="I377" s="35"/>
      <c r="J377" s="12"/>
      <c r="O377" s="12"/>
      <c r="P377" s="18"/>
      <c r="Q377" s="12"/>
      <c r="R377" s="12"/>
      <c r="S377" s="12"/>
      <c r="T377" s="36"/>
      <c r="U377" s="36"/>
      <c r="V377" s="12"/>
      <c r="W377" s="12"/>
      <c r="X377" s="12"/>
      <c r="Y377" s="12"/>
      <c r="Z377" s="12"/>
    </row>
    <row r="378" customFormat="false" ht="15.75" hidden="false" customHeight="false" outlineLevel="0" collapsed="false">
      <c r="A378" s="12"/>
      <c r="B378" s="34"/>
      <c r="C378" s="12"/>
      <c r="D378" s="12"/>
      <c r="E378" s="12"/>
      <c r="F378" s="12"/>
      <c r="G378" s="18"/>
      <c r="H378" s="35"/>
      <c r="I378" s="35"/>
      <c r="J378" s="12"/>
      <c r="O378" s="12"/>
      <c r="P378" s="18"/>
      <c r="Q378" s="12"/>
      <c r="R378" s="12"/>
      <c r="S378" s="12"/>
      <c r="T378" s="36"/>
      <c r="U378" s="36"/>
      <c r="V378" s="12"/>
      <c r="W378" s="12"/>
      <c r="X378" s="12"/>
      <c r="Y378" s="12"/>
      <c r="Z378" s="12"/>
    </row>
    <row r="379" customFormat="false" ht="15.75" hidden="false" customHeight="false" outlineLevel="0" collapsed="false">
      <c r="A379" s="12"/>
      <c r="B379" s="34"/>
      <c r="C379" s="12"/>
      <c r="D379" s="12"/>
      <c r="E379" s="12"/>
      <c r="F379" s="12"/>
      <c r="G379" s="18"/>
      <c r="H379" s="35"/>
      <c r="I379" s="35"/>
      <c r="J379" s="12"/>
      <c r="O379" s="12"/>
      <c r="P379" s="18"/>
      <c r="Q379" s="12"/>
      <c r="R379" s="12"/>
      <c r="S379" s="12"/>
      <c r="T379" s="36"/>
      <c r="U379" s="36"/>
      <c r="V379" s="12"/>
      <c r="W379" s="12"/>
      <c r="X379" s="12"/>
      <c r="Y379" s="12"/>
      <c r="Z379" s="12"/>
    </row>
    <row r="380" customFormat="false" ht="15.75" hidden="false" customHeight="false" outlineLevel="0" collapsed="false">
      <c r="A380" s="12"/>
      <c r="B380" s="34"/>
      <c r="C380" s="12"/>
      <c r="D380" s="12"/>
      <c r="E380" s="12"/>
      <c r="F380" s="12"/>
      <c r="G380" s="18"/>
      <c r="H380" s="35"/>
      <c r="I380" s="35"/>
      <c r="J380" s="12"/>
      <c r="O380" s="12"/>
      <c r="P380" s="18"/>
      <c r="Q380" s="12"/>
      <c r="R380" s="12"/>
      <c r="S380" s="12"/>
      <c r="T380" s="36"/>
      <c r="U380" s="36"/>
      <c r="V380" s="12"/>
      <c r="W380" s="12"/>
      <c r="X380" s="12"/>
      <c r="Y380" s="12"/>
      <c r="Z380" s="12"/>
    </row>
    <row r="381" customFormat="false" ht="15.75" hidden="false" customHeight="false" outlineLevel="0" collapsed="false">
      <c r="A381" s="12"/>
      <c r="B381" s="34"/>
      <c r="C381" s="12"/>
      <c r="D381" s="12"/>
      <c r="E381" s="12"/>
      <c r="F381" s="12"/>
      <c r="G381" s="18"/>
      <c r="H381" s="35"/>
      <c r="I381" s="35"/>
      <c r="J381" s="12"/>
      <c r="O381" s="12"/>
      <c r="P381" s="18"/>
      <c r="Q381" s="12"/>
      <c r="R381" s="12"/>
      <c r="S381" s="12"/>
      <c r="T381" s="36"/>
      <c r="U381" s="36"/>
      <c r="V381" s="12"/>
      <c r="W381" s="12"/>
      <c r="X381" s="12"/>
      <c r="Y381" s="12"/>
      <c r="Z381" s="12"/>
    </row>
    <row r="382" customFormat="false" ht="15.75" hidden="false" customHeight="false" outlineLevel="0" collapsed="false">
      <c r="A382" s="12"/>
      <c r="B382" s="34"/>
      <c r="C382" s="12"/>
      <c r="D382" s="12"/>
      <c r="E382" s="12"/>
      <c r="F382" s="12"/>
      <c r="G382" s="18"/>
      <c r="H382" s="35"/>
      <c r="I382" s="35"/>
      <c r="J382" s="12"/>
      <c r="O382" s="12"/>
      <c r="P382" s="18"/>
      <c r="Q382" s="12"/>
      <c r="R382" s="12"/>
      <c r="S382" s="12"/>
      <c r="T382" s="36"/>
      <c r="U382" s="36"/>
      <c r="V382" s="12"/>
      <c r="W382" s="12"/>
      <c r="X382" s="12"/>
      <c r="Y382" s="12"/>
      <c r="Z382" s="12"/>
    </row>
    <row r="383" customFormat="false" ht="15.75" hidden="false" customHeight="false" outlineLevel="0" collapsed="false">
      <c r="A383" s="12"/>
      <c r="B383" s="34"/>
      <c r="C383" s="12"/>
      <c r="D383" s="12"/>
      <c r="E383" s="12"/>
      <c r="F383" s="12"/>
      <c r="G383" s="18"/>
      <c r="H383" s="35"/>
      <c r="I383" s="35"/>
      <c r="J383" s="12"/>
      <c r="O383" s="12"/>
      <c r="P383" s="18"/>
      <c r="Q383" s="12"/>
      <c r="R383" s="12"/>
      <c r="S383" s="12"/>
      <c r="T383" s="36"/>
      <c r="U383" s="36"/>
      <c r="V383" s="12"/>
      <c r="W383" s="12"/>
      <c r="X383" s="12"/>
      <c r="Y383" s="12"/>
      <c r="Z383" s="12"/>
    </row>
    <row r="384" customFormat="false" ht="15.75" hidden="false" customHeight="false" outlineLevel="0" collapsed="false">
      <c r="A384" s="12"/>
      <c r="B384" s="34"/>
      <c r="C384" s="12"/>
      <c r="D384" s="12"/>
      <c r="E384" s="12"/>
      <c r="F384" s="12"/>
      <c r="G384" s="18"/>
      <c r="H384" s="35"/>
      <c r="I384" s="35"/>
      <c r="J384" s="12"/>
      <c r="O384" s="12"/>
      <c r="P384" s="18"/>
      <c r="Q384" s="12"/>
      <c r="R384" s="12"/>
      <c r="S384" s="12"/>
      <c r="T384" s="36"/>
      <c r="U384" s="36"/>
      <c r="V384" s="12"/>
      <c r="W384" s="12"/>
      <c r="X384" s="12"/>
      <c r="Y384" s="12"/>
      <c r="Z384" s="12"/>
    </row>
    <row r="385" customFormat="false" ht="15.75" hidden="false" customHeight="false" outlineLevel="0" collapsed="false">
      <c r="A385" s="12"/>
      <c r="B385" s="34"/>
      <c r="C385" s="12"/>
      <c r="D385" s="12"/>
      <c r="E385" s="12"/>
      <c r="F385" s="12"/>
      <c r="G385" s="18"/>
      <c r="H385" s="35"/>
      <c r="I385" s="35"/>
      <c r="J385" s="12"/>
      <c r="O385" s="12"/>
      <c r="P385" s="18"/>
      <c r="Q385" s="12"/>
      <c r="R385" s="12"/>
      <c r="S385" s="12"/>
      <c r="T385" s="36"/>
      <c r="U385" s="36"/>
      <c r="V385" s="12"/>
      <c r="W385" s="12"/>
      <c r="X385" s="12"/>
      <c r="Y385" s="12"/>
      <c r="Z385" s="12"/>
    </row>
    <row r="386" customFormat="false" ht="15.75" hidden="false" customHeight="false" outlineLevel="0" collapsed="false">
      <c r="A386" s="12"/>
      <c r="B386" s="34"/>
      <c r="C386" s="12"/>
      <c r="D386" s="12"/>
      <c r="E386" s="12"/>
      <c r="F386" s="12"/>
      <c r="G386" s="18"/>
      <c r="H386" s="35"/>
      <c r="I386" s="35"/>
      <c r="J386" s="12"/>
      <c r="O386" s="12"/>
      <c r="P386" s="18"/>
      <c r="Q386" s="12"/>
      <c r="R386" s="12"/>
      <c r="S386" s="12"/>
      <c r="T386" s="36"/>
      <c r="U386" s="36"/>
      <c r="V386" s="12"/>
      <c r="W386" s="12"/>
      <c r="X386" s="12"/>
      <c r="Y386" s="12"/>
      <c r="Z386" s="12"/>
    </row>
    <row r="387" customFormat="false" ht="15.75" hidden="false" customHeight="false" outlineLevel="0" collapsed="false">
      <c r="A387" s="12"/>
      <c r="B387" s="34"/>
      <c r="C387" s="12"/>
      <c r="D387" s="12"/>
      <c r="E387" s="12"/>
      <c r="F387" s="12"/>
      <c r="G387" s="18"/>
      <c r="H387" s="35"/>
      <c r="I387" s="35"/>
      <c r="J387" s="12"/>
      <c r="O387" s="12"/>
      <c r="P387" s="18"/>
      <c r="Q387" s="12"/>
      <c r="R387" s="12"/>
      <c r="S387" s="12"/>
      <c r="T387" s="36"/>
      <c r="U387" s="36"/>
      <c r="V387" s="12"/>
      <c r="W387" s="12"/>
      <c r="X387" s="12"/>
      <c r="Y387" s="12"/>
      <c r="Z387" s="12"/>
    </row>
    <row r="388" customFormat="false" ht="15.75" hidden="false" customHeight="false" outlineLevel="0" collapsed="false">
      <c r="A388" s="12"/>
      <c r="B388" s="34"/>
      <c r="C388" s="12"/>
      <c r="D388" s="12"/>
      <c r="E388" s="12"/>
      <c r="F388" s="12"/>
      <c r="G388" s="18"/>
      <c r="H388" s="35"/>
      <c r="I388" s="35"/>
      <c r="J388" s="12"/>
      <c r="O388" s="12"/>
      <c r="P388" s="18"/>
      <c r="Q388" s="12"/>
      <c r="R388" s="12"/>
      <c r="S388" s="12"/>
      <c r="T388" s="36"/>
      <c r="U388" s="36"/>
      <c r="V388" s="12"/>
      <c r="W388" s="12"/>
      <c r="X388" s="12"/>
      <c r="Y388" s="12"/>
      <c r="Z388" s="12"/>
    </row>
    <row r="389" customFormat="false" ht="15.75" hidden="false" customHeight="false" outlineLevel="0" collapsed="false">
      <c r="A389" s="12"/>
      <c r="B389" s="34"/>
      <c r="C389" s="12"/>
      <c r="D389" s="12"/>
      <c r="E389" s="12"/>
      <c r="F389" s="12"/>
      <c r="G389" s="18"/>
      <c r="H389" s="35"/>
      <c r="I389" s="35"/>
      <c r="J389" s="12"/>
      <c r="O389" s="12"/>
      <c r="P389" s="18"/>
      <c r="Q389" s="12"/>
      <c r="R389" s="12"/>
      <c r="S389" s="12"/>
      <c r="T389" s="36"/>
      <c r="U389" s="36"/>
      <c r="V389" s="12"/>
      <c r="W389" s="12"/>
      <c r="X389" s="12"/>
      <c r="Y389" s="12"/>
      <c r="Z389" s="12"/>
    </row>
    <row r="390" customFormat="false" ht="15.75" hidden="false" customHeight="false" outlineLevel="0" collapsed="false">
      <c r="A390" s="12"/>
      <c r="B390" s="34"/>
      <c r="C390" s="12"/>
      <c r="D390" s="12"/>
      <c r="E390" s="12"/>
      <c r="F390" s="12"/>
      <c r="G390" s="18"/>
      <c r="H390" s="35"/>
      <c r="I390" s="35"/>
      <c r="J390" s="12"/>
      <c r="O390" s="12"/>
      <c r="P390" s="18"/>
      <c r="Q390" s="12"/>
      <c r="R390" s="12"/>
      <c r="S390" s="12"/>
      <c r="T390" s="36"/>
      <c r="U390" s="36"/>
      <c r="V390" s="12"/>
      <c r="W390" s="12"/>
      <c r="X390" s="12"/>
      <c r="Y390" s="12"/>
      <c r="Z390" s="12"/>
    </row>
    <row r="391" customFormat="false" ht="15.75" hidden="false" customHeight="false" outlineLevel="0" collapsed="false">
      <c r="A391" s="12"/>
      <c r="B391" s="34"/>
      <c r="C391" s="12"/>
      <c r="D391" s="12"/>
      <c r="E391" s="12"/>
      <c r="F391" s="12"/>
      <c r="G391" s="18"/>
      <c r="H391" s="35"/>
      <c r="I391" s="35"/>
      <c r="J391" s="12"/>
      <c r="O391" s="12"/>
      <c r="P391" s="18"/>
      <c r="Q391" s="12"/>
      <c r="R391" s="12"/>
      <c r="S391" s="12"/>
      <c r="T391" s="36"/>
      <c r="U391" s="36"/>
      <c r="V391" s="12"/>
      <c r="W391" s="12"/>
      <c r="X391" s="12"/>
      <c r="Y391" s="12"/>
      <c r="Z391" s="12"/>
    </row>
    <row r="392" customFormat="false" ht="15.75" hidden="false" customHeight="false" outlineLevel="0" collapsed="false">
      <c r="A392" s="12"/>
      <c r="B392" s="34"/>
      <c r="C392" s="12"/>
      <c r="D392" s="12"/>
      <c r="E392" s="12"/>
      <c r="F392" s="12"/>
      <c r="G392" s="18"/>
      <c r="H392" s="35"/>
      <c r="I392" s="35"/>
      <c r="J392" s="12"/>
      <c r="O392" s="12"/>
      <c r="P392" s="18"/>
      <c r="Q392" s="12"/>
      <c r="R392" s="12"/>
      <c r="S392" s="12"/>
      <c r="T392" s="36"/>
      <c r="U392" s="36"/>
      <c r="V392" s="12"/>
      <c r="W392" s="12"/>
      <c r="X392" s="12"/>
      <c r="Y392" s="12"/>
      <c r="Z392" s="12"/>
    </row>
    <row r="393" customFormat="false" ht="15.75" hidden="false" customHeight="false" outlineLevel="0" collapsed="false">
      <c r="A393" s="12"/>
      <c r="B393" s="34"/>
      <c r="C393" s="12"/>
      <c r="D393" s="12"/>
      <c r="E393" s="12"/>
      <c r="F393" s="12"/>
      <c r="G393" s="18"/>
      <c r="H393" s="35"/>
      <c r="I393" s="35"/>
      <c r="J393" s="12"/>
      <c r="O393" s="12"/>
      <c r="P393" s="18"/>
      <c r="Q393" s="12"/>
      <c r="R393" s="12"/>
      <c r="S393" s="12"/>
      <c r="T393" s="36"/>
      <c r="U393" s="36"/>
      <c r="V393" s="12"/>
      <c r="W393" s="12"/>
      <c r="X393" s="12"/>
      <c r="Y393" s="12"/>
      <c r="Z393" s="12"/>
    </row>
    <row r="394" customFormat="false" ht="15.75" hidden="false" customHeight="false" outlineLevel="0" collapsed="false">
      <c r="A394" s="12"/>
      <c r="B394" s="34"/>
      <c r="C394" s="12"/>
      <c r="D394" s="12"/>
      <c r="E394" s="12"/>
      <c r="F394" s="12"/>
      <c r="G394" s="18"/>
      <c r="H394" s="35"/>
      <c r="I394" s="35"/>
      <c r="J394" s="12"/>
      <c r="O394" s="12"/>
      <c r="P394" s="18"/>
      <c r="Q394" s="12"/>
      <c r="R394" s="12"/>
      <c r="S394" s="12"/>
      <c r="T394" s="36"/>
      <c r="U394" s="36"/>
      <c r="V394" s="12"/>
      <c r="W394" s="12"/>
      <c r="X394" s="12"/>
      <c r="Y394" s="12"/>
      <c r="Z394" s="12"/>
    </row>
    <row r="395" customFormat="false" ht="15.75" hidden="false" customHeight="false" outlineLevel="0" collapsed="false">
      <c r="A395" s="12"/>
      <c r="B395" s="34"/>
      <c r="C395" s="12"/>
      <c r="D395" s="12"/>
      <c r="E395" s="12"/>
      <c r="F395" s="12"/>
      <c r="G395" s="18"/>
      <c r="H395" s="35"/>
      <c r="I395" s="35"/>
      <c r="J395" s="12"/>
      <c r="O395" s="12"/>
      <c r="P395" s="18"/>
      <c r="Q395" s="12"/>
      <c r="R395" s="12"/>
      <c r="S395" s="12"/>
      <c r="T395" s="36"/>
      <c r="U395" s="36"/>
      <c r="V395" s="12"/>
      <c r="W395" s="12"/>
      <c r="X395" s="12"/>
      <c r="Y395" s="12"/>
      <c r="Z395" s="12"/>
    </row>
    <row r="396" customFormat="false" ht="15.75" hidden="false" customHeight="false" outlineLevel="0" collapsed="false">
      <c r="A396" s="12"/>
      <c r="B396" s="34"/>
      <c r="C396" s="12"/>
      <c r="D396" s="12"/>
      <c r="E396" s="12"/>
      <c r="F396" s="12"/>
      <c r="G396" s="18"/>
      <c r="H396" s="35"/>
      <c r="I396" s="35"/>
      <c r="J396" s="12"/>
      <c r="O396" s="12"/>
      <c r="P396" s="18"/>
      <c r="Q396" s="12"/>
      <c r="R396" s="12"/>
      <c r="S396" s="12"/>
      <c r="T396" s="36"/>
      <c r="U396" s="36"/>
      <c r="V396" s="12"/>
      <c r="W396" s="12"/>
      <c r="X396" s="12"/>
      <c r="Y396" s="12"/>
      <c r="Z396" s="12"/>
    </row>
    <row r="397" customFormat="false" ht="15.75" hidden="false" customHeight="false" outlineLevel="0" collapsed="false">
      <c r="A397" s="12"/>
      <c r="B397" s="34"/>
      <c r="C397" s="12"/>
      <c r="D397" s="12"/>
      <c r="E397" s="12"/>
      <c r="F397" s="12"/>
      <c r="G397" s="18"/>
      <c r="H397" s="35"/>
      <c r="I397" s="35"/>
      <c r="J397" s="12"/>
      <c r="O397" s="12"/>
      <c r="P397" s="18"/>
      <c r="Q397" s="12"/>
      <c r="R397" s="12"/>
      <c r="S397" s="12"/>
      <c r="T397" s="36"/>
      <c r="U397" s="36"/>
      <c r="V397" s="12"/>
      <c r="W397" s="12"/>
      <c r="X397" s="12"/>
      <c r="Y397" s="12"/>
      <c r="Z397" s="12"/>
    </row>
    <row r="398" customFormat="false" ht="15.75" hidden="false" customHeight="false" outlineLevel="0" collapsed="false">
      <c r="A398" s="12"/>
      <c r="B398" s="34"/>
      <c r="C398" s="12"/>
      <c r="D398" s="12"/>
      <c r="E398" s="12"/>
      <c r="F398" s="12"/>
      <c r="G398" s="18"/>
      <c r="H398" s="35"/>
      <c r="I398" s="35"/>
      <c r="J398" s="12"/>
      <c r="O398" s="12"/>
      <c r="P398" s="18"/>
      <c r="Q398" s="12"/>
      <c r="R398" s="12"/>
      <c r="S398" s="12"/>
      <c r="T398" s="36"/>
      <c r="U398" s="36"/>
      <c r="V398" s="12"/>
      <c r="W398" s="12"/>
      <c r="X398" s="12"/>
      <c r="Y398" s="12"/>
      <c r="Z398" s="12"/>
    </row>
    <row r="399" customFormat="false" ht="15.75" hidden="false" customHeight="false" outlineLevel="0" collapsed="false">
      <c r="A399" s="12"/>
      <c r="B399" s="34"/>
      <c r="C399" s="12"/>
      <c r="D399" s="12"/>
      <c r="E399" s="12"/>
      <c r="F399" s="12"/>
      <c r="G399" s="18"/>
      <c r="H399" s="35"/>
      <c r="I399" s="35"/>
      <c r="J399" s="12"/>
      <c r="O399" s="12"/>
      <c r="P399" s="18"/>
      <c r="Q399" s="12"/>
      <c r="R399" s="12"/>
      <c r="S399" s="12"/>
      <c r="T399" s="36"/>
      <c r="U399" s="36"/>
      <c r="V399" s="12"/>
      <c r="W399" s="12"/>
      <c r="X399" s="12"/>
      <c r="Y399" s="12"/>
      <c r="Z399" s="12"/>
    </row>
    <row r="400" customFormat="false" ht="15.75" hidden="false" customHeight="false" outlineLevel="0" collapsed="false">
      <c r="A400" s="12"/>
      <c r="B400" s="34"/>
      <c r="C400" s="12"/>
      <c r="D400" s="12"/>
      <c r="E400" s="12"/>
      <c r="F400" s="12"/>
      <c r="G400" s="18"/>
      <c r="H400" s="35"/>
      <c r="I400" s="35"/>
      <c r="J400" s="12"/>
      <c r="O400" s="12"/>
      <c r="P400" s="18"/>
      <c r="Q400" s="12"/>
      <c r="R400" s="12"/>
      <c r="S400" s="12"/>
      <c r="T400" s="36"/>
      <c r="U400" s="36"/>
      <c r="V400" s="12"/>
      <c r="W400" s="12"/>
      <c r="X400" s="12"/>
      <c r="Y400" s="12"/>
      <c r="Z400" s="12"/>
    </row>
    <row r="401" customFormat="false" ht="15.75" hidden="false" customHeight="false" outlineLevel="0" collapsed="false">
      <c r="A401" s="12"/>
      <c r="B401" s="34"/>
      <c r="C401" s="12"/>
      <c r="D401" s="12"/>
      <c r="E401" s="12"/>
      <c r="F401" s="12"/>
      <c r="G401" s="18"/>
      <c r="H401" s="35"/>
      <c r="I401" s="35"/>
      <c r="J401" s="12"/>
      <c r="O401" s="12"/>
      <c r="P401" s="18"/>
      <c r="Q401" s="12"/>
      <c r="R401" s="12"/>
      <c r="S401" s="12"/>
      <c r="T401" s="36"/>
      <c r="U401" s="36"/>
      <c r="V401" s="12"/>
      <c r="W401" s="12"/>
      <c r="X401" s="12"/>
      <c r="Y401" s="12"/>
      <c r="Z401" s="12"/>
    </row>
    <row r="402" customFormat="false" ht="15.75" hidden="false" customHeight="false" outlineLevel="0" collapsed="false">
      <c r="A402" s="12"/>
      <c r="B402" s="34"/>
      <c r="C402" s="12"/>
      <c r="D402" s="12"/>
      <c r="E402" s="12"/>
      <c r="F402" s="12"/>
      <c r="G402" s="18"/>
      <c r="H402" s="35"/>
      <c r="I402" s="35"/>
      <c r="J402" s="12"/>
      <c r="O402" s="12"/>
      <c r="P402" s="18"/>
      <c r="Q402" s="12"/>
      <c r="R402" s="12"/>
      <c r="S402" s="12"/>
      <c r="T402" s="36"/>
      <c r="U402" s="36"/>
      <c r="V402" s="12"/>
      <c r="W402" s="12"/>
      <c r="X402" s="12"/>
      <c r="Y402" s="12"/>
      <c r="Z402" s="12"/>
    </row>
    <row r="403" customFormat="false" ht="15.75" hidden="false" customHeight="false" outlineLevel="0" collapsed="false">
      <c r="A403" s="12"/>
      <c r="B403" s="34"/>
      <c r="C403" s="12"/>
      <c r="D403" s="12"/>
      <c r="E403" s="12"/>
      <c r="F403" s="12"/>
      <c r="G403" s="18"/>
      <c r="H403" s="35"/>
      <c r="I403" s="35"/>
      <c r="J403" s="12"/>
      <c r="O403" s="12"/>
      <c r="P403" s="18"/>
      <c r="Q403" s="12"/>
      <c r="R403" s="12"/>
      <c r="S403" s="12"/>
      <c r="T403" s="36"/>
      <c r="U403" s="36"/>
      <c r="V403" s="12"/>
      <c r="W403" s="12"/>
      <c r="X403" s="12"/>
      <c r="Y403" s="12"/>
      <c r="Z403" s="12"/>
    </row>
    <row r="404" customFormat="false" ht="15.75" hidden="false" customHeight="false" outlineLevel="0" collapsed="false">
      <c r="A404" s="12"/>
      <c r="B404" s="34"/>
      <c r="C404" s="12"/>
      <c r="D404" s="12"/>
      <c r="E404" s="12"/>
      <c r="F404" s="12"/>
      <c r="G404" s="18"/>
      <c r="H404" s="35"/>
      <c r="I404" s="35"/>
      <c r="J404" s="12"/>
      <c r="O404" s="12"/>
      <c r="P404" s="18"/>
      <c r="Q404" s="12"/>
      <c r="R404" s="12"/>
      <c r="S404" s="12"/>
      <c r="T404" s="36"/>
      <c r="U404" s="36"/>
      <c r="V404" s="12"/>
      <c r="W404" s="12"/>
      <c r="X404" s="12"/>
      <c r="Y404" s="12"/>
      <c r="Z404" s="12"/>
    </row>
    <row r="405" customFormat="false" ht="15.75" hidden="false" customHeight="false" outlineLevel="0" collapsed="false">
      <c r="A405" s="12"/>
      <c r="B405" s="34"/>
      <c r="C405" s="12"/>
      <c r="D405" s="12"/>
      <c r="E405" s="12"/>
      <c r="F405" s="12"/>
      <c r="G405" s="18"/>
      <c r="H405" s="35"/>
      <c r="I405" s="35"/>
      <c r="J405" s="12"/>
      <c r="O405" s="12"/>
      <c r="P405" s="18"/>
      <c r="Q405" s="12"/>
      <c r="R405" s="12"/>
      <c r="S405" s="12"/>
      <c r="T405" s="36"/>
      <c r="U405" s="36"/>
      <c r="V405" s="12"/>
      <c r="W405" s="12"/>
      <c r="X405" s="12"/>
      <c r="Y405" s="12"/>
      <c r="Z405" s="12"/>
    </row>
    <row r="406" customFormat="false" ht="15.75" hidden="false" customHeight="false" outlineLevel="0" collapsed="false">
      <c r="A406" s="12"/>
      <c r="B406" s="34"/>
      <c r="C406" s="12"/>
      <c r="D406" s="12"/>
      <c r="E406" s="12"/>
      <c r="F406" s="12"/>
      <c r="G406" s="18"/>
      <c r="H406" s="35"/>
      <c r="I406" s="35"/>
      <c r="J406" s="12"/>
      <c r="O406" s="12"/>
      <c r="P406" s="18"/>
      <c r="Q406" s="12"/>
      <c r="R406" s="12"/>
      <c r="S406" s="12"/>
      <c r="T406" s="36"/>
      <c r="U406" s="36"/>
      <c r="V406" s="12"/>
      <c r="W406" s="12"/>
      <c r="X406" s="12"/>
      <c r="Y406" s="12"/>
      <c r="Z406" s="12"/>
    </row>
    <row r="407" customFormat="false" ht="15.75" hidden="false" customHeight="false" outlineLevel="0" collapsed="false">
      <c r="A407" s="12"/>
      <c r="B407" s="34"/>
      <c r="C407" s="12"/>
      <c r="D407" s="12"/>
      <c r="E407" s="12"/>
      <c r="F407" s="12"/>
      <c r="G407" s="18"/>
      <c r="H407" s="35"/>
      <c r="I407" s="35"/>
      <c r="J407" s="12"/>
      <c r="O407" s="12"/>
      <c r="P407" s="18"/>
      <c r="Q407" s="12"/>
      <c r="R407" s="12"/>
      <c r="S407" s="12"/>
      <c r="T407" s="36"/>
      <c r="U407" s="36"/>
      <c r="V407" s="12"/>
      <c r="W407" s="12"/>
      <c r="X407" s="12"/>
      <c r="Y407" s="12"/>
      <c r="Z407" s="12"/>
    </row>
    <row r="408" customFormat="false" ht="15.75" hidden="false" customHeight="false" outlineLevel="0" collapsed="false">
      <c r="A408" s="12"/>
      <c r="B408" s="34"/>
      <c r="C408" s="12"/>
      <c r="D408" s="12"/>
      <c r="E408" s="12"/>
      <c r="F408" s="12"/>
      <c r="G408" s="18"/>
      <c r="H408" s="35"/>
      <c r="I408" s="35"/>
      <c r="J408" s="12"/>
      <c r="O408" s="12"/>
      <c r="P408" s="18"/>
      <c r="Q408" s="12"/>
      <c r="R408" s="12"/>
      <c r="S408" s="12"/>
      <c r="T408" s="36"/>
      <c r="U408" s="36"/>
      <c r="V408" s="12"/>
      <c r="W408" s="12"/>
      <c r="X408" s="12"/>
      <c r="Y408" s="12"/>
      <c r="Z408" s="12"/>
    </row>
    <row r="409" customFormat="false" ht="15.75" hidden="false" customHeight="false" outlineLevel="0" collapsed="false">
      <c r="A409" s="12"/>
      <c r="B409" s="34"/>
      <c r="C409" s="12"/>
      <c r="D409" s="12"/>
      <c r="E409" s="12"/>
      <c r="F409" s="12"/>
      <c r="G409" s="18"/>
      <c r="H409" s="35"/>
      <c r="I409" s="35"/>
      <c r="J409" s="12"/>
      <c r="O409" s="12"/>
      <c r="P409" s="18"/>
      <c r="Q409" s="12"/>
      <c r="R409" s="12"/>
      <c r="S409" s="12"/>
      <c r="T409" s="36"/>
      <c r="U409" s="36"/>
      <c r="V409" s="12"/>
      <c r="W409" s="12"/>
      <c r="X409" s="12"/>
      <c r="Y409" s="12"/>
      <c r="Z409" s="12"/>
    </row>
    <row r="410" customFormat="false" ht="15.75" hidden="false" customHeight="false" outlineLevel="0" collapsed="false">
      <c r="A410" s="12"/>
      <c r="B410" s="34"/>
      <c r="C410" s="12"/>
      <c r="D410" s="12"/>
      <c r="E410" s="12"/>
      <c r="F410" s="12"/>
      <c r="G410" s="18"/>
      <c r="H410" s="35"/>
      <c r="I410" s="35"/>
      <c r="J410" s="12"/>
      <c r="O410" s="12"/>
      <c r="P410" s="18"/>
      <c r="Q410" s="12"/>
      <c r="R410" s="12"/>
      <c r="S410" s="12"/>
      <c r="T410" s="36"/>
      <c r="U410" s="36"/>
      <c r="V410" s="12"/>
      <c r="W410" s="12"/>
      <c r="X410" s="12"/>
      <c r="Y410" s="12"/>
      <c r="Z410" s="12"/>
    </row>
    <row r="411" customFormat="false" ht="15.75" hidden="false" customHeight="false" outlineLevel="0" collapsed="false">
      <c r="A411" s="12"/>
      <c r="B411" s="34"/>
      <c r="C411" s="12"/>
      <c r="D411" s="12"/>
      <c r="E411" s="12"/>
      <c r="F411" s="12"/>
      <c r="G411" s="18"/>
      <c r="H411" s="35"/>
      <c r="I411" s="35"/>
      <c r="J411" s="12"/>
      <c r="O411" s="12"/>
      <c r="P411" s="18"/>
      <c r="Q411" s="12"/>
      <c r="R411" s="12"/>
      <c r="S411" s="12"/>
      <c r="T411" s="36"/>
      <c r="U411" s="36"/>
      <c r="V411" s="12"/>
      <c r="W411" s="12"/>
      <c r="X411" s="12"/>
      <c r="Y411" s="12"/>
      <c r="Z411" s="12"/>
    </row>
    <row r="412" customFormat="false" ht="15.75" hidden="false" customHeight="false" outlineLevel="0" collapsed="false">
      <c r="A412" s="12"/>
      <c r="B412" s="34"/>
      <c r="C412" s="12"/>
      <c r="D412" s="12"/>
      <c r="E412" s="12"/>
      <c r="F412" s="12"/>
      <c r="G412" s="18"/>
      <c r="H412" s="35"/>
      <c r="I412" s="35"/>
      <c r="J412" s="12"/>
      <c r="O412" s="12"/>
      <c r="P412" s="18"/>
      <c r="Q412" s="12"/>
      <c r="R412" s="12"/>
      <c r="S412" s="12"/>
      <c r="T412" s="36"/>
      <c r="U412" s="36"/>
      <c r="V412" s="12"/>
      <c r="W412" s="12"/>
      <c r="X412" s="12"/>
      <c r="Y412" s="12"/>
      <c r="Z412" s="12"/>
    </row>
    <row r="413" customFormat="false" ht="15.75" hidden="false" customHeight="false" outlineLevel="0" collapsed="false">
      <c r="A413" s="12"/>
      <c r="B413" s="34"/>
      <c r="C413" s="12"/>
      <c r="D413" s="12"/>
      <c r="E413" s="12"/>
      <c r="F413" s="12"/>
      <c r="G413" s="18"/>
      <c r="H413" s="35"/>
      <c r="I413" s="35"/>
      <c r="J413" s="12"/>
      <c r="O413" s="12"/>
      <c r="P413" s="18"/>
      <c r="Q413" s="12"/>
      <c r="R413" s="12"/>
      <c r="S413" s="12"/>
      <c r="T413" s="36"/>
      <c r="U413" s="36"/>
      <c r="V413" s="12"/>
      <c r="W413" s="12"/>
      <c r="X413" s="12"/>
      <c r="Y413" s="12"/>
      <c r="Z413" s="12"/>
    </row>
    <row r="414" customFormat="false" ht="15.75" hidden="false" customHeight="false" outlineLevel="0" collapsed="false">
      <c r="A414" s="12"/>
      <c r="B414" s="34"/>
      <c r="C414" s="12"/>
      <c r="D414" s="12"/>
      <c r="E414" s="12"/>
      <c r="F414" s="12"/>
      <c r="G414" s="18"/>
      <c r="H414" s="35"/>
      <c r="I414" s="35"/>
      <c r="J414" s="12"/>
      <c r="O414" s="12"/>
      <c r="P414" s="18"/>
      <c r="Q414" s="12"/>
      <c r="R414" s="12"/>
      <c r="S414" s="12"/>
      <c r="T414" s="36"/>
      <c r="U414" s="36"/>
      <c r="V414" s="12"/>
      <c r="W414" s="12"/>
      <c r="X414" s="12"/>
      <c r="Y414" s="12"/>
      <c r="Z414" s="12"/>
    </row>
    <row r="415" customFormat="false" ht="15.75" hidden="false" customHeight="false" outlineLevel="0" collapsed="false">
      <c r="A415" s="12"/>
      <c r="B415" s="34"/>
      <c r="C415" s="12"/>
      <c r="D415" s="12"/>
      <c r="E415" s="12"/>
      <c r="F415" s="12"/>
      <c r="G415" s="18"/>
      <c r="H415" s="35"/>
      <c r="I415" s="35"/>
      <c r="J415" s="12"/>
      <c r="O415" s="12"/>
      <c r="P415" s="18"/>
      <c r="Q415" s="12"/>
      <c r="R415" s="12"/>
      <c r="S415" s="12"/>
      <c r="T415" s="36"/>
      <c r="U415" s="36"/>
      <c r="V415" s="12"/>
      <c r="W415" s="12"/>
      <c r="X415" s="12"/>
      <c r="Y415" s="12"/>
      <c r="Z415" s="12"/>
    </row>
    <row r="416" customFormat="false" ht="15.75" hidden="false" customHeight="false" outlineLevel="0" collapsed="false">
      <c r="A416" s="12"/>
      <c r="B416" s="34"/>
      <c r="C416" s="12"/>
      <c r="D416" s="12"/>
      <c r="E416" s="12"/>
      <c r="F416" s="12"/>
      <c r="G416" s="18"/>
      <c r="H416" s="35"/>
      <c r="I416" s="35"/>
      <c r="J416" s="12"/>
      <c r="O416" s="12"/>
      <c r="P416" s="18"/>
      <c r="Q416" s="12"/>
      <c r="R416" s="12"/>
      <c r="S416" s="12"/>
      <c r="T416" s="36"/>
      <c r="U416" s="36"/>
      <c r="V416" s="12"/>
      <c r="W416" s="12"/>
      <c r="X416" s="12"/>
      <c r="Y416" s="12"/>
      <c r="Z416" s="12"/>
    </row>
    <row r="417" customFormat="false" ht="15.75" hidden="false" customHeight="false" outlineLevel="0" collapsed="false">
      <c r="A417" s="12"/>
      <c r="B417" s="34"/>
      <c r="C417" s="12"/>
      <c r="D417" s="12"/>
      <c r="E417" s="12"/>
      <c r="F417" s="12"/>
      <c r="G417" s="18"/>
      <c r="H417" s="35"/>
      <c r="I417" s="35"/>
      <c r="J417" s="12"/>
      <c r="O417" s="12"/>
      <c r="P417" s="18"/>
      <c r="Q417" s="12"/>
      <c r="R417" s="12"/>
      <c r="S417" s="12"/>
      <c r="T417" s="36"/>
      <c r="U417" s="36"/>
      <c r="V417" s="12"/>
      <c r="W417" s="12"/>
      <c r="X417" s="12"/>
      <c r="Y417" s="12"/>
      <c r="Z417" s="12"/>
    </row>
    <row r="418" customFormat="false" ht="15.75" hidden="false" customHeight="false" outlineLevel="0" collapsed="false">
      <c r="A418" s="12"/>
      <c r="B418" s="34"/>
      <c r="C418" s="12"/>
      <c r="D418" s="12"/>
      <c r="E418" s="12"/>
      <c r="F418" s="12"/>
      <c r="G418" s="18"/>
      <c r="H418" s="35"/>
      <c r="I418" s="35"/>
      <c r="J418" s="12"/>
      <c r="O418" s="12"/>
      <c r="P418" s="18"/>
      <c r="Q418" s="12"/>
      <c r="R418" s="12"/>
      <c r="S418" s="12"/>
      <c r="T418" s="36"/>
      <c r="U418" s="36"/>
      <c r="V418" s="12"/>
      <c r="W418" s="12"/>
      <c r="X418" s="12"/>
      <c r="Y418" s="12"/>
      <c r="Z418" s="12"/>
    </row>
    <row r="419" customFormat="false" ht="15.75" hidden="false" customHeight="false" outlineLevel="0" collapsed="false">
      <c r="A419" s="12"/>
      <c r="B419" s="34"/>
      <c r="C419" s="12"/>
      <c r="D419" s="12"/>
      <c r="E419" s="12"/>
      <c r="F419" s="12"/>
      <c r="G419" s="18"/>
      <c r="H419" s="35"/>
      <c r="I419" s="35"/>
      <c r="J419" s="12"/>
      <c r="O419" s="12"/>
      <c r="P419" s="18"/>
      <c r="Q419" s="12"/>
      <c r="R419" s="12"/>
      <c r="S419" s="12"/>
      <c r="T419" s="36"/>
      <c r="U419" s="36"/>
      <c r="V419" s="12"/>
      <c r="W419" s="12"/>
      <c r="X419" s="12"/>
      <c r="Y419" s="12"/>
      <c r="Z419" s="12"/>
    </row>
    <row r="420" customFormat="false" ht="15.75" hidden="false" customHeight="false" outlineLevel="0" collapsed="false">
      <c r="A420" s="12"/>
      <c r="B420" s="34"/>
      <c r="C420" s="12"/>
      <c r="D420" s="12"/>
      <c r="E420" s="12"/>
      <c r="F420" s="12"/>
      <c r="G420" s="18"/>
      <c r="H420" s="35"/>
      <c r="I420" s="35"/>
      <c r="J420" s="12"/>
      <c r="O420" s="12"/>
      <c r="P420" s="18"/>
      <c r="Q420" s="12"/>
      <c r="R420" s="12"/>
      <c r="S420" s="12"/>
      <c r="T420" s="36"/>
      <c r="U420" s="36"/>
      <c r="V420" s="12"/>
      <c r="W420" s="12"/>
      <c r="X420" s="12"/>
      <c r="Y420" s="12"/>
      <c r="Z420" s="12"/>
    </row>
    <row r="421" customFormat="false" ht="15.75" hidden="false" customHeight="false" outlineLevel="0" collapsed="false">
      <c r="A421" s="12"/>
      <c r="B421" s="34"/>
      <c r="C421" s="12"/>
      <c r="D421" s="12"/>
      <c r="E421" s="12"/>
      <c r="F421" s="12"/>
      <c r="G421" s="18"/>
      <c r="H421" s="35"/>
      <c r="I421" s="35"/>
      <c r="J421" s="12"/>
      <c r="O421" s="12"/>
      <c r="P421" s="18"/>
      <c r="Q421" s="12"/>
      <c r="R421" s="12"/>
      <c r="S421" s="12"/>
      <c r="T421" s="36"/>
      <c r="U421" s="36"/>
      <c r="V421" s="12"/>
      <c r="W421" s="12"/>
      <c r="X421" s="12"/>
      <c r="Y421" s="12"/>
      <c r="Z421" s="12"/>
    </row>
    <row r="422" customFormat="false" ht="15.75" hidden="false" customHeight="false" outlineLevel="0" collapsed="false">
      <c r="A422" s="12"/>
      <c r="B422" s="34"/>
      <c r="C422" s="12"/>
      <c r="D422" s="12"/>
      <c r="E422" s="12"/>
      <c r="F422" s="12"/>
      <c r="G422" s="18"/>
      <c r="H422" s="35"/>
      <c r="I422" s="35"/>
      <c r="J422" s="12"/>
      <c r="O422" s="12"/>
      <c r="P422" s="18"/>
      <c r="Q422" s="12"/>
      <c r="R422" s="12"/>
      <c r="S422" s="12"/>
      <c r="T422" s="36"/>
      <c r="U422" s="36"/>
      <c r="V422" s="12"/>
      <c r="W422" s="12"/>
      <c r="X422" s="12"/>
      <c r="Y422" s="12"/>
      <c r="Z422" s="12"/>
    </row>
    <row r="423" customFormat="false" ht="15.75" hidden="false" customHeight="false" outlineLevel="0" collapsed="false">
      <c r="A423" s="12"/>
      <c r="B423" s="34"/>
      <c r="C423" s="12"/>
      <c r="D423" s="12"/>
      <c r="E423" s="12"/>
      <c r="F423" s="12"/>
      <c r="G423" s="18"/>
      <c r="H423" s="35"/>
      <c r="I423" s="35"/>
      <c r="J423" s="12"/>
      <c r="O423" s="12"/>
      <c r="P423" s="18"/>
      <c r="Q423" s="12"/>
      <c r="R423" s="12"/>
      <c r="S423" s="12"/>
      <c r="T423" s="36"/>
      <c r="U423" s="36"/>
      <c r="V423" s="12"/>
      <c r="W423" s="12"/>
      <c r="X423" s="12"/>
      <c r="Y423" s="12"/>
      <c r="Z423" s="12"/>
    </row>
    <row r="424" customFormat="false" ht="15.75" hidden="false" customHeight="false" outlineLevel="0" collapsed="false">
      <c r="A424" s="12"/>
      <c r="B424" s="34"/>
      <c r="C424" s="12"/>
      <c r="D424" s="12"/>
      <c r="E424" s="12"/>
      <c r="F424" s="12"/>
      <c r="G424" s="18"/>
      <c r="H424" s="35"/>
      <c r="I424" s="35"/>
      <c r="J424" s="12"/>
      <c r="O424" s="12"/>
      <c r="P424" s="18"/>
      <c r="Q424" s="12"/>
      <c r="R424" s="12"/>
      <c r="S424" s="12"/>
      <c r="T424" s="36"/>
      <c r="U424" s="36"/>
      <c r="V424" s="12"/>
      <c r="W424" s="12"/>
      <c r="X424" s="12"/>
      <c r="Y424" s="12"/>
      <c r="Z424" s="12"/>
    </row>
    <row r="425" customFormat="false" ht="15.75" hidden="false" customHeight="false" outlineLevel="0" collapsed="false">
      <c r="A425" s="12"/>
      <c r="B425" s="34"/>
      <c r="C425" s="12"/>
      <c r="D425" s="12"/>
      <c r="E425" s="12"/>
      <c r="F425" s="12"/>
      <c r="G425" s="18"/>
      <c r="H425" s="35"/>
      <c r="I425" s="35"/>
      <c r="J425" s="12"/>
      <c r="O425" s="12"/>
      <c r="P425" s="18"/>
      <c r="Q425" s="12"/>
      <c r="R425" s="12"/>
      <c r="S425" s="12"/>
      <c r="T425" s="36"/>
      <c r="U425" s="36"/>
      <c r="V425" s="12"/>
      <c r="W425" s="12"/>
      <c r="X425" s="12"/>
      <c r="Y425" s="12"/>
      <c r="Z425" s="12"/>
    </row>
    <row r="426" customFormat="false" ht="15.75" hidden="false" customHeight="false" outlineLevel="0" collapsed="false">
      <c r="A426" s="12"/>
      <c r="B426" s="34"/>
      <c r="C426" s="12"/>
      <c r="D426" s="12"/>
      <c r="E426" s="12"/>
      <c r="F426" s="12"/>
      <c r="G426" s="18"/>
      <c r="H426" s="35"/>
      <c r="I426" s="35"/>
      <c r="J426" s="12"/>
      <c r="O426" s="12"/>
      <c r="P426" s="18"/>
      <c r="Q426" s="12"/>
      <c r="R426" s="12"/>
      <c r="S426" s="12"/>
      <c r="T426" s="36"/>
      <c r="U426" s="36"/>
      <c r="V426" s="12"/>
      <c r="W426" s="12"/>
      <c r="X426" s="12"/>
      <c r="Y426" s="12"/>
      <c r="Z426" s="12"/>
    </row>
    <row r="427" customFormat="false" ht="15.75" hidden="false" customHeight="false" outlineLevel="0" collapsed="false">
      <c r="A427" s="12"/>
      <c r="B427" s="34"/>
      <c r="C427" s="12"/>
      <c r="D427" s="12"/>
      <c r="E427" s="12"/>
      <c r="F427" s="12"/>
      <c r="G427" s="18"/>
      <c r="H427" s="35"/>
      <c r="I427" s="35"/>
      <c r="J427" s="12"/>
      <c r="O427" s="12"/>
      <c r="P427" s="18"/>
      <c r="Q427" s="12"/>
      <c r="R427" s="12"/>
      <c r="S427" s="12"/>
      <c r="T427" s="36"/>
      <c r="U427" s="36"/>
      <c r="V427" s="12"/>
      <c r="W427" s="12"/>
      <c r="X427" s="12"/>
      <c r="Y427" s="12"/>
      <c r="Z427" s="12"/>
    </row>
    <row r="428" customFormat="false" ht="15.75" hidden="false" customHeight="false" outlineLevel="0" collapsed="false">
      <c r="A428" s="12"/>
      <c r="B428" s="34"/>
      <c r="C428" s="12"/>
      <c r="D428" s="12"/>
      <c r="E428" s="12"/>
      <c r="F428" s="12"/>
      <c r="G428" s="18"/>
      <c r="H428" s="35"/>
      <c r="I428" s="35"/>
      <c r="J428" s="12"/>
      <c r="O428" s="12"/>
      <c r="P428" s="18"/>
      <c r="Q428" s="12"/>
      <c r="R428" s="12"/>
      <c r="S428" s="12"/>
      <c r="T428" s="36"/>
      <c r="U428" s="36"/>
      <c r="V428" s="12"/>
      <c r="W428" s="12"/>
      <c r="X428" s="12"/>
      <c r="Y428" s="12"/>
      <c r="Z428" s="12"/>
    </row>
    <row r="429" customFormat="false" ht="15.75" hidden="false" customHeight="false" outlineLevel="0" collapsed="false">
      <c r="A429" s="12"/>
      <c r="B429" s="34"/>
      <c r="C429" s="12"/>
      <c r="D429" s="12"/>
      <c r="E429" s="12"/>
      <c r="F429" s="12"/>
      <c r="G429" s="18"/>
      <c r="H429" s="35"/>
      <c r="I429" s="35"/>
      <c r="J429" s="12"/>
      <c r="O429" s="12"/>
      <c r="P429" s="18"/>
      <c r="Q429" s="12"/>
      <c r="R429" s="12"/>
      <c r="S429" s="12"/>
      <c r="T429" s="36"/>
      <c r="U429" s="36"/>
      <c r="V429" s="12"/>
      <c r="W429" s="12"/>
      <c r="X429" s="12"/>
      <c r="Y429" s="12"/>
      <c r="Z429" s="12"/>
    </row>
    <row r="430" customFormat="false" ht="15.75" hidden="false" customHeight="false" outlineLevel="0" collapsed="false">
      <c r="A430" s="12"/>
      <c r="B430" s="34"/>
      <c r="C430" s="12"/>
      <c r="D430" s="12"/>
      <c r="E430" s="12"/>
      <c r="F430" s="12"/>
      <c r="G430" s="18"/>
      <c r="H430" s="35"/>
      <c r="I430" s="35"/>
      <c r="J430" s="12"/>
      <c r="O430" s="12"/>
      <c r="P430" s="18"/>
      <c r="Q430" s="12"/>
      <c r="R430" s="12"/>
      <c r="S430" s="12"/>
      <c r="T430" s="36"/>
      <c r="U430" s="36"/>
      <c r="V430" s="12"/>
      <c r="W430" s="12"/>
      <c r="X430" s="12"/>
      <c r="Y430" s="12"/>
      <c r="Z430" s="12"/>
    </row>
    <row r="431" customFormat="false" ht="15.75" hidden="false" customHeight="false" outlineLevel="0" collapsed="false">
      <c r="A431" s="12"/>
      <c r="B431" s="34"/>
      <c r="C431" s="12"/>
      <c r="D431" s="12"/>
      <c r="E431" s="12"/>
      <c r="F431" s="12"/>
      <c r="G431" s="18"/>
      <c r="H431" s="35"/>
      <c r="I431" s="35"/>
      <c r="J431" s="12"/>
      <c r="O431" s="12"/>
      <c r="P431" s="18"/>
      <c r="Q431" s="12"/>
      <c r="R431" s="12"/>
      <c r="S431" s="12"/>
      <c r="T431" s="36"/>
      <c r="U431" s="36"/>
      <c r="V431" s="12"/>
      <c r="W431" s="12"/>
      <c r="X431" s="12"/>
      <c r="Y431" s="12"/>
      <c r="Z431" s="12"/>
    </row>
    <row r="432" customFormat="false" ht="15.75" hidden="false" customHeight="false" outlineLevel="0" collapsed="false">
      <c r="A432" s="12"/>
      <c r="B432" s="34"/>
      <c r="C432" s="12"/>
      <c r="D432" s="12"/>
      <c r="E432" s="12"/>
      <c r="F432" s="12"/>
      <c r="G432" s="18"/>
      <c r="H432" s="35"/>
      <c r="I432" s="35"/>
      <c r="J432" s="12"/>
      <c r="O432" s="12"/>
      <c r="P432" s="18"/>
      <c r="Q432" s="12"/>
      <c r="R432" s="12"/>
      <c r="S432" s="12"/>
      <c r="T432" s="36"/>
      <c r="U432" s="36"/>
      <c r="V432" s="12"/>
      <c r="W432" s="12"/>
      <c r="X432" s="12"/>
      <c r="Y432" s="12"/>
      <c r="Z432" s="12"/>
    </row>
    <row r="433" customFormat="false" ht="15.75" hidden="false" customHeight="false" outlineLevel="0" collapsed="false">
      <c r="A433" s="12"/>
      <c r="B433" s="34"/>
      <c r="C433" s="12"/>
      <c r="D433" s="12"/>
      <c r="E433" s="12"/>
      <c r="F433" s="12"/>
      <c r="G433" s="18"/>
      <c r="H433" s="35"/>
      <c r="I433" s="35"/>
      <c r="J433" s="12"/>
      <c r="O433" s="12"/>
      <c r="P433" s="18"/>
      <c r="Q433" s="12"/>
      <c r="R433" s="12"/>
      <c r="S433" s="12"/>
      <c r="T433" s="36"/>
      <c r="U433" s="36"/>
      <c r="V433" s="12"/>
      <c r="W433" s="12"/>
      <c r="X433" s="12"/>
      <c r="Y433" s="12"/>
      <c r="Z433" s="12"/>
    </row>
    <row r="434" customFormat="false" ht="15.75" hidden="false" customHeight="false" outlineLevel="0" collapsed="false">
      <c r="A434" s="12"/>
      <c r="B434" s="34"/>
      <c r="C434" s="12"/>
      <c r="D434" s="12"/>
      <c r="E434" s="12"/>
      <c r="F434" s="12"/>
      <c r="G434" s="18"/>
      <c r="H434" s="35"/>
      <c r="I434" s="35"/>
      <c r="J434" s="12"/>
      <c r="O434" s="12"/>
      <c r="P434" s="18"/>
      <c r="Q434" s="12"/>
      <c r="R434" s="12"/>
      <c r="S434" s="12"/>
      <c r="T434" s="36"/>
      <c r="U434" s="36"/>
      <c r="V434" s="12"/>
      <c r="W434" s="12"/>
      <c r="X434" s="12"/>
      <c r="Y434" s="12"/>
      <c r="Z434" s="12"/>
    </row>
    <row r="435" customFormat="false" ht="15.75" hidden="false" customHeight="false" outlineLevel="0" collapsed="false">
      <c r="A435" s="12"/>
      <c r="B435" s="34"/>
      <c r="C435" s="12"/>
      <c r="D435" s="12"/>
      <c r="E435" s="12"/>
      <c r="F435" s="12"/>
      <c r="G435" s="18"/>
      <c r="H435" s="35"/>
      <c r="I435" s="35"/>
      <c r="J435" s="12"/>
      <c r="O435" s="12"/>
      <c r="P435" s="18"/>
      <c r="Q435" s="12"/>
      <c r="R435" s="12"/>
      <c r="S435" s="12"/>
      <c r="T435" s="36"/>
      <c r="U435" s="36"/>
      <c r="V435" s="12"/>
      <c r="W435" s="12"/>
      <c r="X435" s="12"/>
      <c r="Y435" s="12"/>
      <c r="Z435" s="12"/>
    </row>
    <row r="436" customFormat="false" ht="15.75" hidden="false" customHeight="false" outlineLevel="0" collapsed="false">
      <c r="A436" s="12"/>
      <c r="B436" s="34"/>
      <c r="C436" s="12"/>
      <c r="D436" s="12"/>
      <c r="E436" s="12"/>
      <c r="F436" s="12"/>
      <c r="G436" s="18"/>
      <c r="H436" s="35"/>
      <c r="I436" s="35"/>
      <c r="J436" s="12"/>
      <c r="O436" s="12"/>
      <c r="P436" s="18"/>
      <c r="Q436" s="12"/>
      <c r="R436" s="12"/>
      <c r="S436" s="12"/>
      <c r="T436" s="36"/>
      <c r="U436" s="36"/>
      <c r="V436" s="12"/>
      <c r="W436" s="12"/>
      <c r="X436" s="12"/>
      <c r="Y436" s="12"/>
      <c r="Z436" s="12"/>
    </row>
    <row r="437" customFormat="false" ht="15.75" hidden="false" customHeight="false" outlineLevel="0" collapsed="false">
      <c r="A437" s="12"/>
      <c r="B437" s="34"/>
      <c r="C437" s="12"/>
      <c r="D437" s="12"/>
      <c r="E437" s="12"/>
      <c r="F437" s="12"/>
      <c r="G437" s="18"/>
      <c r="H437" s="35"/>
      <c r="I437" s="35"/>
      <c r="J437" s="12"/>
      <c r="O437" s="12"/>
      <c r="P437" s="18"/>
      <c r="Q437" s="12"/>
      <c r="R437" s="12"/>
      <c r="S437" s="12"/>
      <c r="T437" s="36"/>
      <c r="U437" s="36"/>
      <c r="V437" s="12"/>
      <c r="W437" s="12"/>
      <c r="X437" s="12"/>
      <c r="Y437" s="12"/>
      <c r="Z437" s="12"/>
    </row>
    <row r="438" customFormat="false" ht="15.75" hidden="false" customHeight="false" outlineLevel="0" collapsed="false">
      <c r="A438" s="12"/>
      <c r="B438" s="34"/>
      <c r="C438" s="12"/>
      <c r="D438" s="12"/>
      <c r="E438" s="12"/>
      <c r="F438" s="12"/>
      <c r="G438" s="18"/>
      <c r="H438" s="35"/>
      <c r="I438" s="35"/>
      <c r="J438" s="12"/>
      <c r="O438" s="12"/>
      <c r="P438" s="18"/>
      <c r="Q438" s="12"/>
      <c r="R438" s="12"/>
      <c r="S438" s="12"/>
      <c r="T438" s="36"/>
      <c r="U438" s="36"/>
      <c r="V438" s="12"/>
      <c r="W438" s="12"/>
      <c r="X438" s="12"/>
      <c r="Y438" s="12"/>
      <c r="Z438" s="12"/>
    </row>
    <row r="439" customFormat="false" ht="15.75" hidden="false" customHeight="false" outlineLevel="0" collapsed="false">
      <c r="A439" s="12"/>
      <c r="B439" s="34"/>
      <c r="C439" s="12"/>
      <c r="D439" s="12"/>
      <c r="E439" s="12"/>
      <c r="F439" s="12"/>
      <c r="G439" s="18"/>
      <c r="H439" s="35"/>
      <c r="I439" s="35"/>
      <c r="J439" s="12"/>
      <c r="O439" s="12"/>
      <c r="P439" s="18"/>
      <c r="Q439" s="12"/>
      <c r="R439" s="12"/>
      <c r="S439" s="12"/>
      <c r="T439" s="36"/>
      <c r="U439" s="36"/>
      <c r="V439" s="12"/>
      <c r="W439" s="12"/>
      <c r="X439" s="12"/>
      <c r="Y439" s="12"/>
      <c r="Z439" s="12"/>
    </row>
    <row r="440" customFormat="false" ht="15.75" hidden="false" customHeight="false" outlineLevel="0" collapsed="false">
      <c r="A440" s="12"/>
      <c r="B440" s="34"/>
      <c r="C440" s="12"/>
      <c r="D440" s="12"/>
      <c r="E440" s="12"/>
      <c r="F440" s="12"/>
      <c r="G440" s="18"/>
      <c r="H440" s="35"/>
      <c r="I440" s="35"/>
      <c r="J440" s="12"/>
      <c r="O440" s="12"/>
      <c r="P440" s="18"/>
      <c r="Q440" s="12"/>
      <c r="R440" s="12"/>
      <c r="S440" s="12"/>
      <c r="T440" s="36"/>
      <c r="U440" s="36"/>
      <c r="V440" s="12"/>
      <c r="W440" s="12"/>
      <c r="X440" s="12"/>
      <c r="Y440" s="12"/>
      <c r="Z440" s="12"/>
    </row>
    <row r="441" customFormat="false" ht="15.75" hidden="false" customHeight="false" outlineLevel="0" collapsed="false">
      <c r="A441" s="12"/>
      <c r="B441" s="34"/>
      <c r="C441" s="12"/>
      <c r="D441" s="12"/>
      <c r="E441" s="12"/>
      <c r="F441" s="12"/>
      <c r="G441" s="18"/>
      <c r="H441" s="35"/>
      <c r="I441" s="35"/>
      <c r="J441" s="12"/>
      <c r="O441" s="12"/>
      <c r="P441" s="18"/>
      <c r="Q441" s="12"/>
      <c r="R441" s="12"/>
      <c r="S441" s="12"/>
      <c r="T441" s="36"/>
      <c r="U441" s="36"/>
      <c r="V441" s="12"/>
      <c r="W441" s="12"/>
      <c r="X441" s="12"/>
      <c r="Y441" s="12"/>
      <c r="Z441" s="12"/>
    </row>
    <row r="442" customFormat="false" ht="15.75" hidden="false" customHeight="false" outlineLevel="0" collapsed="false">
      <c r="A442" s="12"/>
      <c r="B442" s="34"/>
      <c r="C442" s="12"/>
      <c r="D442" s="12"/>
      <c r="E442" s="12"/>
      <c r="F442" s="12"/>
      <c r="G442" s="18"/>
      <c r="H442" s="35"/>
      <c r="I442" s="35"/>
      <c r="J442" s="12"/>
      <c r="O442" s="12"/>
      <c r="P442" s="18"/>
      <c r="Q442" s="12"/>
      <c r="R442" s="12"/>
      <c r="S442" s="12"/>
      <c r="T442" s="36"/>
      <c r="U442" s="36"/>
      <c r="V442" s="12"/>
      <c r="W442" s="12"/>
      <c r="X442" s="12"/>
      <c r="Y442" s="12"/>
      <c r="Z442" s="12"/>
    </row>
    <row r="443" customFormat="false" ht="15.75" hidden="false" customHeight="false" outlineLevel="0" collapsed="false">
      <c r="A443" s="12"/>
      <c r="B443" s="34"/>
      <c r="C443" s="12"/>
      <c r="D443" s="12"/>
      <c r="E443" s="12"/>
      <c r="F443" s="12"/>
      <c r="G443" s="18"/>
      <c r="H443" s="35"/>
      <c r="I443" s="35"/>
      <c r="J443" s="12"/>
      <c r="O443" s="12"/>
      <c r="P443" s="18"/>
      <c r="Q443" s="12"/>
      <c r="R443" s="12"/>
      <c r="S443" s="12"/>
      <c r="T443" s="36"/>
      <c r="U443" s="36"/>
      <c r="V443" s="12"/>
      <c r="W443" s="12"/>
      <c r="X443" s="12"/>
      <c r="Y443" s="12"/>
      <c r="Z443" s="12"/>
    </row>
    <row r="444" customFormat="false" ht="15.75" hidden="false" customHeight="false" outlineLevel="0" collapsed="false">
      <c r="A444" s="12"/>
      <c r="B444" s="34"/>
      <c r="C444" s="12"/>
      <c r="D444" s="12"/>
      <c r="E444" s="12"/>
      <c r="F444" s="12"/>
      <c r="G444" s="18"/>
      <c r="H444" s="35"/>
      <c r="I444" s="35"/>
      <c r="J444" s="12"/>
      <c r="O444" s="12"/>
      <c r="P444" s="18"/>
      <c r="Q444" s="12"/>
      <c r="R444" s="12"/>
      <c r="S444" s="12"/>
      <c r="T444" s="36"/>
      <c r="U444" s="36"/>
      <c r="V444" s="12"/>
      <c r="W444" s="12"/>
      <c r="X444" s="12"/>
      <c r="Y444" s="12"/>
      <c r="Z444" s="12"/>
    </row>
    <row r="445" customFormat="false" ht="15.75" hidden="false" customHeight="false" outlineLevel="0" collapsed="false">
      <c r="A445" s="12"/>
      <c r="B445" s="34"/>
      <c r="C445" s="12"/>
      <c r="D445" s="12"/>
      <c r="E445" s="12"/>
      <c r="F445" s="12"/>
      <c r="G445" s="18"/>
      <c r="H445" s="35"/>
      <c r="I445" s="35"/>
      <c r="J445" s="12"/>
      <c r="O445" s="12"/>
      <c r="P445" s="18"/>
      <c r="Q445" s="12"/>
      <c r="R445" s="12"/>
      <c r="S445" s="12"/>
      <c r="T445" s="36"/>
      <c r="U445" s="36"/>
      <c r="V445" s="12"/>
      <c r="W445" s="12"/>
      <c r="X445" s="12"/>
      <c r="Y445" s="12"/>
      <c r="Z445" s="12"/>
    </row>
    <row r="446" customFormat="false" ht="15.75" hidden="false" customHeight="false" outlineLevel="0" collapsed="false">
      <c r="A446" s="12"/>
      <c r="B446" s="34"/>
      <c r="C446" s="12"/>
      <c r="D446" s="12"/>
      <c r="E446" s="12"/>
      <c r="F446" s="12"/>
      <c r="G446" s="18"/>
      <c r="H446" s="35"/>
      <c r="I446" s="35"/>
      <c r="J446" s="12"/>
      <c r="O446" s="12"/>
      <c r="P446" s="18"/>
      <c r="Q446" s="12"/>
      <c r="R446" s="12"/>
      <c r="S446" s="12"/>
      <c r="T446" s="36"/>
      <c r="U446" s="36"/>
      <c r="V446" s="12"/>
      <c r="W446" s="12"/>
      <c r="X446" s="12"/>
      <c r="Y446" s="12"/>
      <c r="Z446" s="12"/>
    </row>
    <row r="447" customFormat="false" ht="15.75" hidden="false" customHeight="false" outlineLevel="0" collapsed="false">
      <c r="A447" s="12"/>
      <c r="B447" s="34"/>
      <c r="C447" s="12"/>
      <c r="D447" s="12"/>
      <c r="E447" s="12"/>
      <c r="F447" s="12"/>
      <c r="G447" s="18"/>
      <c r="H447" s="35"/>
      <c r="I447" s="35"/>
      <c r="J447" s="12"/>
      <c r="O447" s="12"/>
      <c r="P447" s="18"/>
      <c r="Q447" s="12"/>
      <c r="R447" s="12"/>
      <c r="S447" s="12"/>
      <c r="T447" s="36"/>
      <c r="U447" s="36"/>
      <c r="V447" s="12"/>
      <c r="W447" s="12"/>
      <c r="X447" s="12"/>
      <c r="Y447" s="12"/>
      <c r="Z447" s="12"/>
    </row>
    <row r="448" customFormat="false" ht="15.75" hidden="false" customHeight="false" outlineLevel="0" collapsed="false">
      <c r="A448" s="12"/>
      <c r="B448" s="34"/>
      <c r="C448" s="12"/>
      <c r="D448" s="12"/>
      <c r="E448" s="12"/>
      <c r="F448" s="12"/>
      <c r="G448" s="18"/>
      <c r="H448" s="35"/>
      <c r="I448" s="35"/>
      <c r="J448" s="12"/>
      <c r="O448" s="12"/>
      <c r="P448" s="18"/>
      <c r="Q448" s="12"/>
      <c r="R448" s="12"/>
      <c r="S448" s="12"/>
      <c r="T448" s="36"/>
      <c r="U448" s="36"/>
      <c r="V448" s="12"/>
      <c r="W448" s="12"/>
      <c r="X448" s="12"/>
      <c r="Y448" s="12"/>
      <c r="Z448" s="12"/>
    </row>
    <row r="449" customFormat="false" ht="15.75" hidden="false" customHeight="false" outlineLevel="0" collapsed="false">
      <c r="A449" s="12"/>
      <c r="B449" s="34"/>
      <c r="C449" s="12"/>
      <c r="D449" s="12"/>
      <c r="E449" s="12"/>
      <c r="F449" s="12"/>
      <c r="G449" s="18"/>
      <c r="H449" s="35"/>
      <c r="I449" s="35"/>
      <c r="J449" s="12"/>
      <c r="O449" s="12"/>
      <c r="P449" s="18"/>
      <c r="Q449" s="12"/>
      <c r="R449" s="12"/>
      <c r="S449" s="12"/>
      <c r="T449" s="36"/>
      <c r="U449" s="36"/>
      <c r="V449" s="12"/>
      <c r="W449" s="12"/>
      <c r="X449" s="12"/>
      <c r="Y449" s="12"/>
      <c r="Z449" s="12"/>
    </row>
    <row r="450" customFormat="false" ht="15.75" hidden="false" customHeight="false" outlineLevel="0" collapsed="false">
      <c r="A450" s="12"/>
      <c r="B450" s="34"/>
      <c r="C450" s="12"/>
      <c r="D450" s="12"/>
      <c r="E450" s="12"/>
      <c r="F450" s="12"/>
      <c r="G450" s="18"/>
      <c r="H450" s="35"/>
      <c r="I450" s="35"/>
      <c r="J450" s="12"/>
      <c r="O450" s="12"/>
      <c r="P450" s="18"/>
      <c r="Q450" s="12"/>
      <c r="R450" s="12"/>
      <c r="S450" s="12"/>
      <c r="T450" s="36"/>
      <c r="U450" s="36"/>
      <c r="V450" s="12"/>
      <c r="W450" s="12"/>
      <c r="X450" s="12"/>
      <c r="Y450" s="12"/>
      <c r="Z450" s="12"/>
    </row>
    <row r="451" customFormat="false" ht="15.75" hidden="false" customHeight="false" outlineLevel="0" collapsed="false">
      <c r="A451" s="12"/>
      <c r="B451" s="34"/>
      <c r="C451" s="12"/>
      <c r="D451" s="12"/>
      <c r="E451" s="12"/>
      <c r="F451" s="12"/>
      <c r="G451" s="18"/>
      <c r="H451" s="35"/>
      <c r="I451" s="35"/>
      <c r="J451" s="12"/>
      <c r="O451" s="12"/>
      <c r="P451" s="18"/>
      <c r="Q451" s="12"/>
      <c r="R451" s="12"/>
      <c r="S451" s="12"/>
      <c r="T451" s="36"/>
      <c r="U451" s="36"/>
      <c r="V451" s="12"/>
      <c r="W451" s="12"/>
      <c r="X451" s="12"/>
      <c r="Y451" s="12"/>
      <c r="Z451" s="12"/>
    </row>
    <row r="452" customFormat="false" ht="15.75" hidden="false" customHeight="false" outlineLevel="0" collapsed="false">
      <c r="A452" s="12"/>
      <c r="B452" s="34"/>
      <c r="C452" s="12"/>
      <c r="D452" s="12"/>
      <c r="E452" s="12"/>
      <c r="F452" s="12"/>
      <c r="G452" s="18"/>
      <c r="H452" s="35"/>
      <c r="I452" s="35"/>
      <c r="J452" s="12"/>
      <c r="O452" s="12"/>
      <c r="P452" s="18"/>
      <c r="Q452" s="12"/>
      <c r="R452" s="12"/>
      <c r="S452" s="12"/>
      <c r="T452" s="36"/>
      <c r="U452" s="36"/>
      <c r="V452" s="12"/>
      <c r="W452" s="12"/>
      <c r="X452" s="12"/>
      <c r="Y452" s="12"/>
      <c r="Z452" s="12"/>
    </row>
    <row r="453" customFormat="false" ht="15.75" hidden="false" customHeight="false" outlineLevel="0" collapsed="false">
      <c r="A453" s="12"/>
      <c r="B453" s="34"/>
      <c r="C453" s="12"/>
      <c r="D453" s="12"/>
      <c r="E453" s="12"/>
      <c r="F453" s="12"/>
      <c r="G453" s="18"/>
      <c r="H453" s="35"/>
      <c r="I453" s="35"/>
      <c r="J453" s="12"/>
      <c r="O453" s="12"/>
      <c r="P453" s="18"/>
      <c r="Q453" s="12"/>
      <c r="R453" s="12"/>
      <c r="S453" s="12"/>
      <c r="T453" s="36"/>
      <c r="U453" s="36"/>
      <c r="V453" s="12"/>
      <c r="W453" s="12"/>
      <c r="X453" s="12"/>
      <c r="Y453" s="12"/>
      <c r="Z453" s="12"/>
    </row>
    <row r="454" customFormat="false" ht="15.75" hidden="false" customHeight="false" outlineLevel="0" collapsed="false">
      <c r="A454" s="12"/>
      <c r="B454" s="34"/>
      <c r="C454" s="12"/>
      <c r="D454" s="12"/>
      <c r="E454" s="12"/>
      <c r="F454" s="12"/>
      <c r="G454" s="18"/>
      <c r="H454" s="35"/>
      <c r="I454" s="35"/>
      <c r="J454" s="12"/>
      <c r="O454" s="12"/>
      <c r="P454" s="18"/>
      <c r="Q454" s="12"/>
      <c r="R454" s="12"/>
      <c r="S454" s="12"/>
      <c r="T454" s="36"/>
      <c r="U454" s="36"/>
      <c r="V454" s="12"/>
      <c r="W454" s="12"/>
      <c r="X454" s="12"/>
      <c r="Y454" s="12"/>
      <c r="Z454" s="12"/>
    </row>
    <row r="455" customFormat="false" ht="15.75" hidden="false" customHeight="false" outlineLevel="0" collapsed="false">
      <c r="A455" s="12"/>
      <c r="B455" s="34"/>
      <c r="C455" s="12"/>
      <c r="D455" s="12"/>
      <c r="E455" s="12"/>
      <c r="F455" s="12"/>
      <c r="G455" s="18"/>
      <c r="H455" s="35"/>
      <c r="I455" s="35"/>
      <c r="J455" s="12"/>
      <c r="O455" s="12"/>
      <c r="P455" s="18"/>
      <c r="Q455" s="12"/>
      <c r="R455" s="12"/>
      <c r="S455" s="12"/>
      <c r="T455" s="36"/>
      <c r="U455" s="36"/>
      <c r="V455" s="12"/>
      <c r="W455" s="12"/>
      <c r="X455" s="12"/>
      <c r="Y455" s="12"/>
      <c r="Z455" s="12"/>
    </row>
    <row r="456" customFormat="false" ht="15.75" hidden="false" customHeight="false" outlineLevel="0" collapsed="false">
      <c r="A456" s="12"/>
      <c r="B456" s="34"/>
      <c r="C456" s="12"/>
      <c r="D456" s="12"/>
      <c r="E456" s="12"/>
      <c r="F456" s="12"/>
      <c r="G456" s="18"/>
      <c r="H456" s="35"/>
      <c r="I456" s="35"/>
      <c r="J456" s="12"/>
      <c r="O456" s="12"/>
      <c r="P456" s="18"/>
      <c r="Q456" s="12"/>
      <c r="R456" s="12"/>
      <c r="S456" s="12"/>
      <c r="T456" s="36"/>
      <c r="U456" s="36"/>
      <c r="V456" s="12"/>
      <c r="W456" s="12"/>
      <c r="X456" s="12"/>
      <c r="Y456" s="12"/>
      <c r="Z456" s="12"/>
    </row>
    <row r="457" customFormat="false" ht="15.75" hidden="false" customHeight="false" outlineLevel="0" collapsed="false">
      <c r="A457" s="12"/>
      <c r="B457" s="34"/>
      <c r="C457" s="12"/>
      <c r="D457" s="12"/>
      <c r="E457" s="12"/>
      <c r="F457" s="12"/>
      <c r="G457" s="18"/>
      <c r="H457" s="35"/>
      <c r="I457" s="35"/>
      <c r="J457" s="12"/>
      <c r="O457" s="12"/>
      <c r="P457" s="18"/>
      <c r="Q457" s="12"/>
      <c r="R457" s="12"/>
      <c r="S457" s="12"/>
      <c r="T457" s="36"/>
      <c r="U457" s="36"/>
      <c r="V457" s="12"/>
      <c r="W457" s="12"/>
      <c r="X457" s="12"/>
      <c r="Y457" s="12"/>
      <c r="Z457" s="12"/>
    </row>
    <row r="458" customFormat="false" ht="15.75" hidden="false" customHeight="false" outlineLevel="0" collapsed="false">
      <c r="A458" s="12"/>
      <c r="B458" s="34"/>
      <c r="C458" s="12"/>
      <c r="D458" s="12"/>
      <c r="E458" s="12"/>
      <c r="F458" s="12"/>
      <c r="G458" s="18"/>
      <c r="H458" s="35"/>
      <c r="I458" s="35"/>
      <c r="J458" s="12"/>
      <c r="O458" s="12"/>
      <c r="P458" s="18"/>
      <c r="Q458" s="12"/>
      <c r="R458" s="12"/>
      <c r="S458" s="12"/>
      <c r="T458" s="36"/>
      <c r="U458" s="36"/>
      <c r="V458" s="12"/>
      <c r="W458" s="12"/>
      <c r="X458" s="12"/>
      <c r="Y458" s="12"/>
      <c r="Z458" s="12"/>
    </row>
    <row r="459" customFormat="false" ht="15.75" hidden="false" customHeight="false" outlineLevel="0" collapsed="false">
      <c r="A459" s="12"/>
      <c r="B459" s="34"/>
      <c r="C459" s="12"/>
      <c r="D459" s="12"/>
      <c r="E459" s="12"/>
      <c r="F459" s="12"/>
      <c r="G459" s="18"/>
      <c r="H459" s="35"/>
      <c r="I459" s="35"/>
      <c r="J459" s="12"/>
      <c r="O459" s="12"/>
      <c r="P459" s="18"/>
      <c r="Q459" s="12"/>
      <c r="R459" s="12"/>
      <c r="S459" s="12"/>
      <c r="T459" s="36"/>
      <c r="U459" s="36"/>
      <c r="V459" s="12"/>
      <c r="W459" s="12"/>
      <c r="X459" s="12"/>
      <c r="Y459" s="12"/>
      <c r="Z459" s="12"/>
    </row>
    <row r="460" customFormat="false" ht="15.75" hidden="false" customHeight="false" outlineLevel="0" collapsed="false">
      <c r="A460" s="12"/>
      <c r="B460" s="34"/>
      <c r="C460" s="12"/>
      <c r="D460" s="12"/>
      <c r="E460" s="12"/>
      <c r="F460" s="12"/>
      <c r="G460" s="18"/>
      <c r="H460" s="35"/>
      <c r="I460" s="35"/>
      <c r="J460" s="12"/>
      <c r="O460" s="12"/>
      <c r="P460" s="18"/>
      <c r="Q460" s="12"/>
      <c r="R460" s="12"/>
      <c r="S460" s="12"/>
      <c r="T460" s="36"/>
      <c r="U460" s="36"/>
      <c r="V460" s="12"/>
      <c r="W460" s="12"/>
      <c r="X460" s="12"/>
      <c r="Y460" s="12"/>
      <c r="Z460" s="12"/>
    </row>
    <row r="461" customFormat="false" ht="15.75" hidden="false" customHeight="false" outlineLevel="0" collapsed="false">
      <c r="A461" s="12"/>
      <c r="B461" s="34"/>
      <c r="C461" s="12"/>
      <c r="D461" s="12"/>
      <c r="E461" s="12"/>
      <c r="F461" s="12"/>
      <c r="G461" s="18"/>
      <c r="H461" s="35"/>
      <c r="I461" s="35"/>
      <c r="J461" s="12"/>
      <c r="O461" s="12"/>
      <c r="P461" s="18"/>
      <c r="Q461" s="12"/>
      <c r="R461" s="12"/>
      <c r="S461" s="12"/>
      <c r="T461" s="36"/>
      <c r="U461" s="36"/>
      <c r="V461" s="12"/>
      <c r="W461" s="12"/>
      <c r="X461" s="12"/>
      <c r="Y461" s="12"/>
      <c r="Z461" s="12"/>
    </row>
    <row r="462" customFormat="false" ht="15.75" hidden="false" customHeight="false" outlineLevel="0" collapsed="false">
      <c r="A462" s="12"/>
      <c r="B462" s="34"/>
      <c r="C462" s="12"/>
      <c r="D462" s="12"/>
      <c r="E462" s="12"/>
      <c r="F462" s="12"/>
      <c r="G462" s="18"/>
      <c r="H462" s="35"/>
      <c r="I462" s="35"/>
      <c r="J462" s="12"/>
      <c r="O462" s="12"/>
      <c r="P462" s="18"/>
      <c r="Q462" s="12"/>
      <c r="R462" s="12"/>
      <c r="S462" s="12"/>
      <c r="T462" s="36"/>
      <c r="U462" s="36"/>
      <c r="V462" s="12"/>
      <c r="W462" s="12"/>
      <c r="X462" s="12"/>
      <c r="Y462" s="12"/>
      <c r="Z462" s="12"/>
    </row>
    <row r="463" customFormat="false" ht="15.75" hidden="false" customHeight="false" outlineLevel="0" collapsed="false">
      <c r="A463" s="12"/>
      <c r="B463" s="34"/>
      <c r="C463" s="12"/>
      <c r="D463" s="12"/>
      <c r="E463" s="12"/>
      <c r="F463" s="12"/>
      <c r="G463" s="18"/>
      <c r="H463" s="35"/>
      <c r="I463" s="35"/>
      <c r="J463" s="12"/>
      <c r="O463" s="12"/>
      <c r="P463" s="18"/>
      <c r="Q463" s="12"/>
      <c r="R463" s="12"/>
      <c r="S463" s="12"/>
      <c r="T463" s="36"/>
      <c r="U463" s="36"/>
      <c r="V463" s="12"/>
      <c r="W463" s="12"/>
      <c r="X463" s="12"/>
      <c r="Y463" s="12"/>
      <c r="Z463" s="12"/>
    </row>
    <row r="464" customFormat="false" ht="15.75" hidden="false" customHeight="false" outlineLevel="0" collapsed="false">
      <c r="A464" s="12"/>
      <c r="B464" s="34"/>
      <c r="C464" s="12"/>
      <c r="D464" s="12"/>
      <c r="E464" s="12"/>
      <c r="F464" s="12"/>
      <c r="G464" s="18"/>
      <c r="H464" s="35"/>
      <c r="I464" s="35"/>
      <c r="J464" s="12"/>
      <c r="O464" s="12"/>
      <c r="P464" s="18"/>
      <c r="Q464" s="12"/>
      <c r="R464" s="12"/>
      <c r="S464" s="12"/>
      <c r="T464" s="36"/>
      <c r="U464" s="36"/>
      <c r="V464" s="12"/>
      <c r="W464" s="12"/>
      <c r="X464" s="12"/>
      <c r="Y464" s="12"/>
      <c r="Z464" s="12"/>
    </row>
    <row r="465" customFormat="false" ht="15.75" hidden="false" customHeight="false" outlineLevel="0" collapsed="false">
      <c r="A465" s="12"/>
      <c r="B465" s="34"/>
      <c r="C465" s="12"/>
      <c r="D465" s="12"/>
      <c r="E465" s="12"/>
      <c r="F465" s="12"/>
      <c r="G465" s="18"/>
      <c r="H465" s="35"/>
      <c r="I465" s="35"/>
      <c r="J465" s="12"/>
      <c r="O465" s="12"/>
      <c r="P465" s="18"/>
      <c r="Q465" s="12"/>
      <c r="R465" s="12"/>
      <c r="S465" s="12"/>
      <c r="T465" s="36"/>
      <c r="U465" s="36"/>
      <c r="V465" s="12"/>
      <c r="W465" s="12"/>
      <c r="X465" s="12"/>
      <c r="Y465" s="12"/>
      <c r="Z465" s="12"/>
    </row>
    <row r="466" customFormat="false" ht="15.75" hidden="false" customHeight="false" outlineLevel="0" collapsed="false">
      <c r="A466" s="12"/>
      <c r="B466" s="34"/>
      <c r="C466" s="12"/>
      <c r="D466" s="12"/>
      <c r="E466" s="12"/>
      <c r="F466" s="12"/>
      <c r="G466" s="18"/>
      <c r="H466" s="35"/>
      <c r="I466" s="35"/>
      <c r="J466" s="12"/>
      <c r="O466" s="12"/>
      <c r="P466" s="18"/>
      <c r="Q466" s="12"/>
      <c r="R466" s="12"/>
      <c r="S466" s="12"/>
      <c r="T466" s="36"/>
      <c r="U466" s="36"/>
      <c r="V466" s="12"/>
      <c r="W466" s="12"/>
      <c r="X466" s="12"/>
      <c r="Y466" s="12"/>
      <c r="Z466" s="12"/>
    </row>
    <row r="467" customFormat="false" ht="15.75" hidden="false" customHeight="false" outlineLevel="0" collapsed="false">
      <c r="A467" s="12"/>
      <c r="B467" s="34"/>
      <c r="C467" s="12"/>
      <c r="D467" s="12"/>
      <c r="E467" s="12"/>
      <c r="F467" s="12"/>
      <c r="G467" s="18"/>
      <c r="H467" s="35"/>
      <c r="I467" s="35"/>
      <c r="J467" s="12"/>
      <c r="O467" s="12"/>
      <c r="P467" s="18"/>
      <c r="Q467" s="12"/>
      <c r="R467" s="12"/>
      <c r="S467" s="12"/>
      <c r="T467" s="36"/>
      <c r="U467" s="36"/>
      <c r="V467" s="12"/>
      <c r="W467" s="12"/>
      <c r="X467" s="12"/>
      <c r="Y467" s="12"/>
      <c r="Z467" s="12"/>
    </row>
    <row r="468" customFormat="false" ht="15.75" hidden="false" customHeight="false" outlineLevel="0" collapsed="false">
      <c r="A468" s="12"/>
      <c r="B468" s="34"/>
      <c r="C468" s="12"/>
      <c r="D468" s="12"/>
      <c r="E468" s="12"/>
      <c r="F468" s="12"/>
      <c r="G468" s="18"/>
      <c r="H468" s="35"/>
      <c r="I468" s="35"/>
      <c r="J468" s="12"/>
      <c r="O468" s="12"/>
      <c r="P468" s="18"/>
      <c r="Q468" s="12"/>
      <c r="R468" s="12"/>
      <c r="S468" s="12"/>
      <c r="T468" s="36"/>
      <c r="U468" s="36"/>
      <c r="V468" s="12"/>
      <c r="W468" s="12"/>
      <c r="X468" s="12"/>
      <c r="Y468" s="12"/>
      <c r="Z468" s="12"/>
    </row>
    <row r="469" customFormat="false" ht="15.75" hidden="false" customHeight="false" outlineLevel="0" collapsed="false">
      <c r="A469" s="12"/>
      <c r="B469" s="34"/>
      <c r="C469" s="12"/>
      <c r="D469" s="12"/>
      <c r="E469" s="12"/>
      <c r="F469" s="12"/>
      <c r="G469" s="18"/>
      <c r="H469" s="35"/>
      <c r="I469" s="35"/>
      <c r="J469" s="12"/>
      <c r="O469" s="12"/>
      <c r="P469" s="18"/>
      <c r="Q469" s="12"/>
      <c r="R469" s="12"/>
      <c r="S469" s="12"/>
      <c r="T469" s="36"/>
      <c r="U469" s="36"/>
      <c r="V469" s="12"/>
      <c r="W469" s="12"/>
      <c r="X469" s="12"/>
      <c r="Y469" s="12"/>
      <c r="Z469" s="12"/>
    </row>
    <row r="470" customFormat="false" ht="15.75" hidden="false" customHeight="false" outlineLevel="0" collapsed="false">
      <c r="A470" s="12"/>
      <c r="B470" s="34"/>
      <c r="C470" s="12"/>
      <c r="D470" s="12"/>
      <c r="E470" s="12"/>
      <c r="F470" s="12"/>
      <c r="G470" s="18"/>
      <c r="H470" s="35"/>
      <c r="I470" s="35"/>
      <c r="J470" s="12"/>
      <c r="O470" s="12"/>
      <c r="P470" s="18"/>
      <c r="Q470" s="12"/>
      <c r="R470" s="12"/>
      <c r="S470" s="12"/>
      <c r="T470" s="36"/>
      <c r="U470" s="36"/>
      <c r="V470" s="12"/>
      <c r="W470" s="12"/>
      <c r="X470" s="12"/>
      <c r="Y470" s="12"/>
      <c r="Z470" s="12"/>
    </row>
    <row r="471" customFormat="false" ht="15.75" hidden="false" customHeight="false" outlineLevel="0" collapsed="false">
      <c r="A471" s="12"/>
      <c r="B471" s="34"/>
      <c r="C471" s="12"/>
      <c r="D471" s="12"/>
      <c r="E471" s="12"/>
      <c r="F471" s="12"/>
      <c r="G471" s="18"/>
      <c r="H471" s="35"/>
      <c r="I471" s="35"/>
      <c r="J471" s="12"/>
      <c r="O471" s="12"/>
      <c r="P471" s="18"/>
      <c r="Q471" s="12"/>
      <c r="R471" s="12"/>
      <c r="S471" s="12"/>
      <c r="T471" s="36"/>
      <c r="U471" s="36"/>
      <c r="V471" s="12"/>
      <c r="W471" s="12"/>
      <c r="X471" s="12"/>
      <c r="Y471" s="12"/>
      <c r="Z471" s="12"/>
    </row>
    <row r="472" customFormat="false" ht="15.75" hidden="false" customHeight="false" outlineLevel="0" collapsed="false">
      <c r="A472" s="12"/>
      <c r="B472" s="34"/>
      <c r="C472" s="12"/>
      <c r="D472" s="12"/>
      <c r="E472" s="12"/>
      <c r="F472" s="12"/>
      <c r="G472" s="18"/>
      <c r="H472" s="35"/>
      <c r="I472" s="35"/>
      <c r="J472" s="12"/>
      <c r="O472" s="12"/>
      <c r="P472" s="18"/>
      <c r="Q472" s="12"/>
      <c r="R472" s="12"/>
      <c r="S472" s="12"/>
      <c r="T472" s="36"/>
      <c r="U472" s="36"/>
      <c r="V472" s="12"/>
      <c r="W472" s="12"/>
      <c r="X472" s="12"/>
      <c r="Y472" s="12"/>
      <c r="Z472" s="12"/>
    </row>
    <row r="473" customFormat="false" ht="15.75" hidden="false" customHeight="false" outlineLevel="0" collapsed="false">
      <c r="A473" s="12"/>
      <c r="B473" s="34"/>
      <c r="C473" s="12"/>
      <c r="D473" s="12"/>
      <c r="E473" s="12"/>
      <c r="F473" s="12"/>
      <c r="G473" s="18"/>
      <c r="H473" s="35"/>
      <c r="I473" s="35"/>
      <c r="J473" s="12"/>
      <c r="O473" s="12"/>
      <c r="P473" s="18"/>
      <c r="Q473" s="12"/>
      <c r="R473" s="12"/>
      <c r="S473" s="12"/>
      <c r="T473" s="36"/>
      <c r="U473" s="36"/>
      <c r="V473" s="12"/>
      <c r="W473" s="12"/>
      <c r="X473" s="12"/>
      <c r="Y473" s="12"/>
      <c r="Z473" s="12"/>
    </row>
    <row r="474" customFormat="false" ht="15.75" hidden="false" customHeight="false" outlineLevel="0" collapsed="false">
      <c r="A474" s="12"/>
      <c r="B474" s="34"/>
      <c r="C474" s="12"/>
      <c r="D474" s="12"/>
      <c r="E474" s="12"/>
      <c r="F474" s="12"/>
      <c r="G474" s="18"/>
      <c r="H474" s="35"/>
      <c r="I474" s="35"/>
      <c r="J474" s="12"/>
      <c r="O474" s="12"/>
      <c r="P474" s="18"/>
      <c r="Q474" s="12"/>
      <c r="R474" s="12"/>
      <c r="S474" s="12"/>
      <c r="T474" s="36"/>
      <c r="U474" s="36"/>
      <c r="V474" s="12"/>
      <c r="W474" s="12"/>
      <c r="X474" s="12"/>
      <c r="Y474" s="12"/>
      <c r="Z474" s="12"/>
    </row>
    <row r="475" customFormat="false" ht="15.75" hidden="false" customHeight="false" outlineLevel="0" collapsed="false">
      <c r="A475" s="12"/>
      <c r="B475" s="34"/>
      <c r="C475" s="12"/>
      <c r="D475" s="12"/>
      <c r="E475" s="12"/>
      <c r="F475" s="12"/>
      <c r="G475" s="18"/>
      <c r="H475" s="35"/>
      <c r="I475" s="35"/>
      <c r="J475" s="12"/>
      <c r="O475" s="12"/>
      <c r="P475" s="18"/>
      <c r="Q475" s="12"/>
      <c r="R475" s="12"/>
      <c r="S475" s="12"/>
      <c r="T475" s="36"/>
      <c r="U475" s="36"/>
      <c r="V475" s="12"/>
      <c r="W475" s="12"/>
      <c r="X475" s="12"/>
      <c r="Y475" s="12"/>
      <c r="Z475" s="12"/>
    </row>
    <row r="476" customFormat="false" ht="15.75" hidden="false" customHeight="false" outlineLevel="0" collapsed="false">
      <c r="A476" s="12"/>
      <c r="B476" s="34"/>
      <c r="C476" s="12"/>
      <c r="D476" s="12"/>
      <c r="E476" s="12"/>
      <c r="F476" s="12"/>
      <c r="G476" s="18"/>
      <c r="H476" s="35"/>
      <c r="I476" s="35"/>
      <c r="J476" s="12"/>
      <c r="O476" s="12"/>
      <c r="P476" s="18"/>
      <c r="Q476" s="12"/>
      <c r="R476" s="12"/>
      <c r="S476" s="12"/>
      <c r="T476" s="36"/>
      <c r="U476" s="36"/>
      <c r="V476" s="12"/>
      <c r="W476" s="12"/>
      <c r="X476" s="12"/>
      <c r="Y476" s="12"/>
      <c r="Z476" s="12"/>
    </row>
    <row r="477" customFormat="false" ht="15.75" hidden="false" customHeight="false" outlineLevel="0" collapsed="false">
      <c r="A477" s="12"/>
      <c r="B477" s="34"/>
      <c r="C477" s="12"/>
      <c r="D477" s="12"/>
      <c r="E477" s="12"/>
      <c r="F477" s="12"/>
      <c r="G477" s="18"/>
      <c r="H477" s="35"/>
      <c r="I477" s="35"/>
      <c r="J477" s="12"/>
      <c r="O477" s="12"/>
      <c r="P477" s="18"/>
      <c r="Q477" s="12"/>
      <c r="R477" s="12"/>
      <c r="S477" s="12"/>
      <c r="T477" s="36"/>
      <c r="U477" s="36"/>
      <c r="V477" s="12"/>
      <c r="W477" s="12"/>
      <c r="X477" s="12"/>
      <c r="Y477" s="12"/>
      <c r="Z477" s="12"/>
    </row>
    <row r="478" customFormat="false" ht="15.75" hidden="false" customHeight="false" outlineLevel="0" collapsed="false">
      <c r="A478" s="12"/>
      <c r="B478" s="34"/>
      <c r="C478" s="12"/>
      <c r="D478" s="12"/>
      <c r="E478" s="12"/>
      <c r="F478" s="12"/>
      <c r="G478" s="18"/>
      <c r="H478" s="35"/>
      <c r="I478" s="35"/>
      <c r="J478" s="12"/>
      <c r="O478" s="12"/>
      <c r="P478" s="18"/>
      <c r="Q478" s="12"/>
      <c r="R478" s="12"/>
      <c r="S478" s="12"/>
      <c r="T478" s="36"/>
      <c r="U478" s="36"/>
      <c r="V478" s="12"/>
      <c r="W478" s="12"/>
      <c r="X478" s="12"/>
      <c r="Y478" s="12"/>
      <c r="Z478" s="12"/>
    </row>
    <row r="479" customFormat="false" ht="15.75" hidden="false" customHeight="false" outlineLevel="0" collapsed="false">
      <c r="A479" s="12"/>
      <c r="B479" s="34"/>
      <c r="C479" s="12"/>
      <c r="D479" s="12"/>
      <c r="E479" s="12"/>
      <c r="F479" s="12"/>
      <c r="G479" s="18"/>
      <c r="H479" s="35"/>
      <c r="I479" s="35"/>
      <c r="J479" s="12"/>
      <c r="O479" s="12"/>
      <c r="P479" s="18"/>
      <c r="Q479" s="12"/>
      <c r="R479" s="12"/>
      <c r="S479" s="12"/>
      <c r="T479" s="36"/>
      <c r="U479" s="36"/>
      <c r="V479" s="12"/>
      <c r="W479" s="12"/>
      <c r="X479" s="12"/>
      <c r="Y479" s="12"/>
      <c r="Z479" s="12"/>
    </row>
    <row r="480" customFormat="false" ht="15.75" hidden="false" customHeight="false" outlineLevel="0" collapsed="false">
      <c r="A480" s="12"/>
      <c r="B480" s="34"/>
      <c r="C480" s="12"/>
      <c r="D480" s="12"/>
      <c r="E480" s="12"/>
      <c r="F480" s="12"/>
      <c r="G480" s="18"/>
      <c r="H480" s="35"/>
      <c r="I480" s="35"/>
      <c r="J480" s="12"/>
      <c r="O480" s="12"/>
      <c r="P480" s="18"/>
      <c r="Q480" s="12"/>
      <c r="R480" s="12"/>
      <c r="S480" s="12"/>
      <c r="T480" s="36"/>
      <c r="U480" s="36"/>
      <c r="V480" s="12"/>
      <c r="W480" s="12"/>
      <c r="X480" s="12"/>
      <c r="Y480" s="12"/>
      <c r="Z480" s="12"/>
    </row>
    <row r="481" customFormat="false" ht="15.75" hidden="false" customHeight="false" outlineLevel="0" collapsed="false">
      <c r="A481" s="12"/>
      <c r="B481" s="34"/>
      <c r="C481" s="12"/>
      <c r="D481" s="12"/>
      <c r="E481" s="12"/>
      <c r="F481" s="12"/>
      <c r="G481" s="18"/>
      <c r="H481" s="35"/>
      <c r="I481" s="35"/>
      <c r="J481" s="12"/>
      <c r="O481" s="12"/>
      <c r="P481" s="18"/>
      <c r="Q481" s="12"/>
      <c r="R481" s="12"/>
      <c r="S481" s="12"/>
      <c r="T481" s="36"/>
      <c r="U481" s="36"/>
      <c r="V481" s="12"/>
      <c r="W481" s="12"/>
      <c r="X481" s="12"/>
      <c r="Y481" s="12"/>
      <c r="Z481" s="12"/>
    </row>
    <row r="482" customFormat="false" ht="15.75" hidden="false" customHeight="false" outlineLevel="0" collapsed="false">
      <c r="A482" s="12"/>
      <c r="B482" s="34"/>
      <c r="C482" s="12"/>
      <c r="D482" s="12"/>
      <c r="E482" s="12"/>
      <c r="F482" s="12"/>
      <c r="G482" s="18"/>
      <c r="H482" s="35"/>
      <c r="I482" s="35"/>
      <c r="J482" s="12"/>
      <c r="O482" s="12"/>
      <c r="P482" s="18"/>
      <c r="Q482" s="12"/>
      <c r="R482" s="12"/>
      <c r="S482" s="12"/>
      <c r="T482" s="36"/>
      <c r="U482" s="36"/>
      <c r="V482" s="12"/>
      <c r="W482" s="12"/>
      <c r="X482" s="12"/>
      <c r="Y482" s="12"/>
      <c r="Z482" s="12"/>
    </row>
    <row r="483" customFormat="false" ht="15.75" hidden="false" customHeight="false" outlineLevel="0" collapsed="false">
      <c r="A483" s="12"/>
      <c r="B483" s="34"/>
      <c r="C483" s="12"/>
      <c r="D483" s="12"/>
      <c r="E483" s="12"/>
      <c r="F483" s="12"/>
      <c r="G483" s="18"/>
      <c r="H483" s="35"/>
      <c r="I483" s="35"/>
      <c r="J483" s="12"/>
      <c r="O483" s="12"/>
      <c r="P483" s="18"/>
      <c r="Q483" s="12"/>
      <c r="R483" s="12"/>
      <c r="S483" s="12"/>
      <c r="T483" s="36"/>
      <c r="U483" s="36"/>
      <c r="V483" s="12"/>
      <c r="W483" s="12"/>
      <c r="X483" s="12"/>
      <c r="Y483" s="12"/>
      <c r="Z483" s="12"/>
    </row>
    <row r="484" customFormat="false" ht="15.75" hidden="false" customHeight="false" outlineLevel="0" collapsed="false">
      <c r="A484" s="12"/>
      <c r="B484" s="34"/>
      <c r="C484" s="12"/>
      <c r="D484" s="12"/>
      <c r="E484" s="12"/>
      <c r="F484" s="12"/>
      <c r="G484" s="18"/>
      <c r="H484" s="35"/>
      <c r="I484" s="35"/>
      <c r="J484" s="12"/>
      <c r="O484" s="12"/>
      <c r="P484" s="18"/>
      <c r="Q484" s="12"/>
      <c r="R484" s="12"/>
      <c r="S484" s="12"/>
      <c r="T484" s="36"/>
      <c r="U484" s="36"/>
      <c r="V484" s="12"/>
      <c r="W484" s="12"/>
      <c r="X484" s="12"/>
      <c r="Y484" s="12"/>
      <c r="Z484" s="12"/>
    </row>
    <row r="485" customFormat="false" ht="15.75" hidden="false" customHeight="false" outlineLevel="0" collapsed="false">
      <c r="A485" s="12"/>
      <c r="B485" s="34"/>
      <c r="C485" s="12"/>
      <c r="D485" s="12"/>
      <c r="E485" s="12"/>
      <c r="F485" s="12"/>
      <c r="G485" s="18"/>
      <c r="H485" s="35"/>
      <c r="I485" s="35"/>
      <c r="J485" s="12"/>
      <c r="O485" s="12"/>
      <c r="P485" s="18"/>
      <c r="Q485" s="12"/>
      <c r="R485" s="12"/>
      <c r="S485" s="12"/>
      <c r="T485" s="36"/>
      <c r="U485" s="36"/>
      <c r="V485" s="12"/>
      <c r="W485" s="12"/>
      <c r="X485" s="12"/>
      <c r="Y485" s="12"/>
      <c r="Z485" s="12"/>
    </row>
    <row r="486" customFormat="false" ht="15.75" hidden="false" customHeight="false" outlineLevel="0" collapsed="false">
      <c r="A486" s="12"/>
      <c r="B486" s="34"/>
      <c r="C486" s="12"/>
      <c r="D486" s="12"/>
      <c r="E486" s="12"/>
      <c r="F486" s="12"/>
      <c r="G486" s="18"/>
      <c r="H486" s="35"/>
      <c r="I486" s="35"/>
      <c r="J486" s="12"/>
      <c r="O486" s="12"/>
      <c r="P486" s="18"/>
      <c r="Q486" s="12"/>
      <c r="R486" s="12"/>
      <c r="S486" s="12"/>
      <c r="T486" s="36"/>
      <c r="U486" s="36"/>
      <c r="V486" s="12"/>
      <c r="W486" s="12"/>
      <c r="X486" s="12"/>
      <c r="Y486" s="12"/>
      <c r="Z486" s="12"/>
    </row>
    <row r="487" customFormat="false" ht="15.75" hidden="false" customHeight="false" outlineLevel="0" collapsed="false">
      <c r="A487" s="12"/>
      <c r="B487" s="34"/>
      <c r="C487" s="12"/>
      <c r="D487" s="12"/>
      <c r="E487" s="12"/>
      <c r="F487" s="12"/>
      <c r="G487" s="18"/>
      <c r="H487" s="35"/>
      <c r="I487" s="35"/>
      <c r="J487" s="12"/>
      <c r="O487" s="12"/>
      <c r="P487" s="18"/>
      <c r="Q487" s="12"/>
      <c r="R487" s="12"/>
      <c r="S487" s="12"/>
      <c r="T487" s="36"/>
      <c r="U487" s="36"/>
      <c r="V487" s="12"/>
      <c r="W487" s="12"/>
      <c r="X487" s="12"/>
      <c r="Y487" s="12"/>
      <c r="Z487" s="12"/>
    </row>
    <row r="488" customFormat="false" ht="15.75" hidden="false" customHeight="false" outlineLevel="0" collapsed="false">
      <c r="A488" s="12"/>
      <c r="B488" s="34"/>
      <c r="C488" s="12"/>
      <c r="D488" s="12"/>
      <c r="E488" s="12"/>
      <c r="F488" s="12"/>
      <c r="G488" s="18"/>
      <c r="H488" s="35"/>
      <c r="I488" s="35"/>
      <c r="J488" s="12"/>
      <c r="O488" s="12"/>
      <c r="P488" s="18"/>
      <c r="Q488" s="12"/>
      <c r="R488" s="12"/>
      <c r="S488" s="12"/>
      <c r="T488" s="36"/>
      <c r="U488" s="36"/>
      <c r="V488" s="12"/>
      <c r="W488" s="12"/>
      <c r="X488" s="12"/>
      <c r="Y488" s="12"/>
      <c r="Z488" s="12"/>
    </row>
    <row r="489" customFormat="false" ht="15.75" hidden="false" customHeight="false" outlineLevel="0" collapsed="false">
      <c r="A489" s="12"/>
      <c r="B489" s="34"/>
      <c r="C489" s="12"/>
      <c r="D489" s="12"/>
      <c r="E489" s="12"/>
      <c r="F489" s="12"/>
      <c r="G489" s="18"/>
      <c r="H489" s="35"/>
      <c r="I489" s="35"/>
      <c r="J489" s="12"/>
      <c r="O489" s="12"/>
      <c r="P489" s="18"/>
      <c r="Q489" s="12"/>
      <c r="R489" s="12"/>
      <c r="S489" s="12"/>
      <c r="T489" s="36"/>
      <c r="U489" s="36"/>
      <c r="V489" s="12"/>
      <c r="W489" s="12"/>
      <c r="X489" s="12"/>
      <c r="Y489" s="12"/>
      <c r="Z489" s="12"/>
    </row>
    <row r="490" customFormat="false" ht="15.75" hidden="false" customHeight="false" outlineLevel="0" collapsed="false">
      <c r="A490" s="12"/>
      <c r="B490" s="34"/>
      <c r="C490" s="12"/>
      <c r="D490" s="12"/>
      <c r="E490" s="12"/>
      <c r="F490" s="12"/>
      <c r="G490" s="18"/>
      <c r="H490" s="35"/>
      <c r="I490" s="35"/>
      <c r="J490" s="12"/>
      <c r="O490" s="12"/>
      <c r="P490" s="18"/>
      <c r="Q490" s="12"/>
      <c r="R490" s="12"/>
      <c r="S490" s="12"/>
      <c r="T490" s="36"/>
      <c r="U490" s="36"/>
      <c r="V490" s="12"/>
      <c r="W490" s="12"/>
      <c r="X490" s="12"/>
      <c r="Y490" s="12"/>
      <c r="Z490" s="12"/>
    </row>
    <row r="491" customFormat="false" ht="15.75" hidden="false" customHeight="false" outlineLevel="0" collapsed="false">
      <c r="A491" s="12"/>
      <c r="B491" s="34"/>
      <c r="C491" s="12"/>
      <c r="D491" s="12"/>
      <c r="E491" s="12"/>
      <c r="F491" s="12"/>
      <c r="G491" s="18"/>
      <c r="H491" s="35"/>
      <c r="I491" s="35"/>
      <c r="J491" s="12"/>
      <c r="O491" s="12"/>
      <c r="P491" s="18"/>
      <c r="Q491" s="12"/>
      <c r="R491" s="12"/>
      <c r="S491" s="12"/>
      <c r="T491" s="36"/>
      <c r="U491" s="36"/>
      <c r="V491" s="12"/>
      <c r="W491" s="12"/>
      <c r="X491" s="12"/>
      <c r="Y491" s="12"/>
      <c r="Z491" s="12"/>
    </row>
    <row r="492" customFormat="false" ht="15.75" hidden="false" customHeight="false" outlineLevel="0" collapsed="false">
      <c r="A492" s="12"/>
      <c r="B492" s="34"/>
      <c r="C492" s="12"/>
      <c r="D492" s="12"/>
      <c r="E492" s="12"/>
      <c r="F492" s="12"/>
      <c r="G492" s="18"/>
      <c r="H492" s="35"/>
      <c r="I492" s="35"/>
      <c r="J492" s="12"/>
      <c r="O492" s="12"/>
      <c r="P492" s="18"/>
      <c r="Q492" s="12"/>
      <c r="R492" s="12"/>
      <c r="S492" s="12"/>
      <c r="T492" s="36"/>
      <c r="U492" s="36"/>
      <c r="V492" s="12"/>
      <c r="W492" s="12"/>
      <c r="X492" s="12"/>
      <c r="Y492" s="12"/>
      <c r="Z492" s="12"/>
    </row>
    <row r="493" customFormat="false" ht="15.75" hidden="false" customHeight="false" outlineLevel="0" collapsed="false">
      <c r="A493" s="12"/>
      <c r="B493" s="34"/>
      <c r="C493" s="12"/>
      <c r="D493" s="12"/>
      <c r="E493" s="12"/>
      <c r="F493" s="12"/>
      <c r="G493" s="18"/>
      <c r="H493" s="35"/>
      <c r="I493" s="35"/>
      <c r="J493" s="12"/>
      <c r="O493" s="12"/>
      <c r="P493" s="18"/>
      <c r="Q493" s="12"/>
      <c r="R493" s="12"/>
      <c r="S493" s="12"/>
      <c r="T493" s="36"/>
      <c r="U493" s="36"/>
      <c r="V493" s="12"/>
      <c r="W493" s="12"/>
      <c r="X493" s="12"/>
      <c r="Y493" s="12"/>
      <c r="Z493" s="12"/>
    </row>
    <row r="494" customFormat="false" ht="15.75" hidden="false" customHeight="false" outlineLevel="0" collapsed="false">
      <c r="A494" s="12"/>
      <c r="B494" s="34"/>
      <c r="C494" s="12"/>
      <c r="D494" s="12"/>
      <c r="E494" s="12"/>
      <c r="F494" s="12"/>
      <c r="G494" s="18"/>
      <c r="H494" s="35"/>
      <c r="I494" s="35"/>
      <c r="J494" s="12"/>
      <c r="O494" s="12"/>
      <c r="P494" s="18"/>
      <c r="Q494" s="12"/>
      <c r="R494" s="12"/>
      <c r="S494" s="12"/>
      <c r="T494" s="36"/>
      <c r="U494" s="36"/>
      <c r="V494" s="12"/>
      <c r="W494" s="12"/>
      <c r="X494" s="12"/>
      <c r="Y494" s="12"/>
      <c r="Z494" s="12"/>
    </row>
    <row r="495" customFormat="false" ht="15.75" hidden="false" customHeight="false" outlineLevel="0" collapsed="false">
      <c r="A495" s="12"/>
      <c r="B495" s="34"/>
      <c r="C495" s="12"/>
      <c r="D495" s="12"/>
      <c r="E495" s="12"/>
      <c r="F495" s="12"/>
      <c r="G495" s="18"/>
      <c r="H495" s="35"/>
      <c r="I495" s="35"/>
      <c r="J495" s="12"/>
      <c r="O495" s="12"/>
      <c r="P495" s="18"/>
      <c r="Q495" s="12"/>
      <c r="R495" s="12"/>
      <c r="S495" s="12"/>
      <c r="T495" s="36"/>
      <c r="U495" s="36"/>
      <c r="V495" s="12"/>
      <c r="W495" s="12"/>
      <c r="X495" s="12"/>
      <c r="Y495" s="12"/>
      <c r="Z495" s="12"/>
    </row>
    <row r="496" customFormat="false" ht="15.75" hidden="false" customHeight="false" outlineLevel="0" collapsed="false">
      <c r="A496" s="12"/>
      <c r="B496" s="34"/>
      <c r="C496" s="12"/>
      <c r="D496" s="12"/>
      <c r="E496" s="12"/>
      <c r="F496" s="12"/>
      <c r="G496" s="18"/>
      <c r="H496" s="35"/>
      <c r="I496" s="35"/>
      <c r="J496" s="12"/>
      <c r="O496" s="12"/>
      <c r="P496" s="18"/>
      <c r="Q496" s="12"/>
      <c r="R496" s="12"/>
      <c r="S496" s="12"/>
      <c r="T496" s="36"/>
      <c r="U496" s="36"/>
      <c r="V496" s="12"/>
      <c r="W496" s="12"/>
      <c r="X496" s="12"/>
      <c r="Y496" s="12"/>
      <c r="Z496" s="12"/>
    </row>
    <row r="497" customFormat="false" ht="15.75" hidden="false" customHeight="false" outlineLevel="0" collapsed="false">
      <c r="A497" s="12"/>
      <c r="B497" s="34"/>
      <c r="C497" s="12"/>
      <c r="D497" s="12"/>
      <c r="E497" s="12"/>
      <c r="F497" s="12"/>
      <c r="G497" s="18"/>
      <c r="H497" s="35"/>
      <c r="I497" s="35"/>
      <c r="J497" s="12"/>
      <c r="O497" s="12"/>
      <c r="P497" s="18"/>
      <c r="Q497" s="12"/>
      <c r="R497" s="12"/>
      <c r="S497" s="12"/>
      <c r="T497" s="36"/>
      <c r="U497" s="36"/>
      <c r="V497" s="12"/>
      <c r="W497" s="12"/>
      <c r="X497" s="12"/>
      <c r="Y497" s="12"/>
      <c r="Z497" s="12"/>
    </row>
    <row r="498" customFormat="false" ht="15.75" hidden="false" customHeight="false" outlineLevel="0" collapsed="false">
      <c r="A498" s="12"/>
      <c r="B498" s="34"/>
      <c r="C498" s="12"/>
      <c r="D498" s="12"/>
      <c r="E498" s="12"/>
      <c r="F498" s="12"/>
      <c r="G498" s="18"/>
      <c r="H498" s="35"/>
      <c r="I498" s="35"/>
      <c r="J498" s="12"/>
      <c r="O498" s="12"/>
      <c r="P498" s="18"/>
      <c r="Q498" s="12"/>
      <c r="R498" s="12"/>
      <c r="S498" s="12"/>
      <c r="T498" s="36"/>
      <c r="U498" s="36"/>
      <c r="V498" s="12"/>
      <c r="W498" s="12"/>
      <c r="X498" s="12"/>
      <c r="Y498" s="12"/>
      <c r="Z498" s="12"/>
    </row>
    <row r="499" customFormat="false" ht="15.75" hidden="false" customHeight="false" outlineLevel="0" collapsed="false">
      <c r="A499" s="12"/>
      <c r="B499" s="34"/>
      <c r="C499" s="12"/>
      <c r="D499" s="12"/>
      <c r="E499" s="12"/>
      <c r="F499" s="12"/>
      <c r="G499" s="18"/>
      <c r="H499" s="35"/>
      <c r="I499" s="35"/>
      <c r="J499" s="12"/>
      <c r="O499" s="12"/>
      <c r="P499" s="18"/>
      <c r="Q499" s="12"/>
      <c r="R499" s="12"/>
      <c r="S499" s="12"/>
      <c r="T499" s="36"/>
      <c r="U499" s="36"/>
      <c r="V499" s="12"/>
      <c r="W499" s="12"/>
      <c r="X499" s="12"/>
      <c r="Y499" s="12"/>
      <c r="Z499" s="12"/>
    </row>
    <row r="500" customFormat="false" ht="15.75" hidden="false" customHeight="false" outlineLevel="0" collapsed="false">
      <c r="A500" s="12"/>
      <c r="B500" s="34"/>
      <c r="C500" s="12"/>
      <c r="D500" s="12"/>
      <c r="E500" s="12"/>
      <c r="F500" s="12"/>
      <c r="G500" s="18"/>
      <c r="H500" s="35"/>
      <c r="I500" s="35"/>
      <c r="J500" s="12"/>
      <c r="O500" s="12"/>
      <c r="P500" s="18"/>
      <c r="Q500" s="12"/>
      <c r="R500" s="12"/>
      <c r="S500" s="12"/>
      <c r="T500" s="36"/>
      <c r="U500" s="36"/>
      <c r="V500" s="12"/>
      <c r="W500" s="12"/>
      <c r="X500" s="12"/>
      <c r="Y500" s="12"/>
      <c r="Z500" s="12"/>
    </row>
    <row r="501" customFormat="false" ht="15.75" hidden="false" customHeight="false" outlineLevel="0" collapsed="false">
      <c r="A501" s="12"/>
      <c r="B501" s="34"/>
      <c r="C501" s="12"/>
      <c r="D501" s="12"/>
      <c r="E501" s="12"/>
      <c r="F501" s="12"/>
      <c r="G501" s="18"/>
      <c r="H501" s="35"/>
      <c r="I501" s="35"/>
      <c r="J501" s="12"/>
      <c r="O501" s="12"/>
      <c r="P501" s="18"/>
      <c r="Q501" s="12"/>
      <c r="R501" s="12"/>
      <c r="S501" s="12"/>
      <c r="T501" s="36"/>
      <c r="U501" s="36"/>
      <c r="V501" s="12"/>
      <c r="W501" s="12"/>
      <c r="X501" s="12"/>
      <c r="Y501" s="12"/>
      <c r="Z501" s="12"/>
    </row>
    <row r="502" customFormat="false" ht="15.75" hidden="false" customHeight="false" outlineLevel="0" collapsed="false">
      <c r="A502" s="12"/>
      <c r="B502" s="34"/>
      <c r="C502" s="12"/>
      <c r="D502" s="12"/>
      <c r="E502" s="12"/>
      <c r="F502" s="12"/>
      <c r="G502" s="18"/>
      <c r="H502" s="35"/>
      <c r="I502" s="35"/>
      <c r="J502" s="12"/>
      <c r="O502" s="12"/>
      <c r="P502" s="18"/>
      <c r="Q502" s="12"/>
      <c r="R502" s="12"/>
      <c r="S502" s="12"/>
      <c r="T502" s="36"/>
      <c r="U502" s="36"/>
      <c r="V502" s="12"/>
      <c r="W502" s="12"/>
      <c r="X502" s="12"/>
      <c r="Y502" s="12"/>
      <c r="Z502" s="12"/>
    </row>
    <row r="503" customFormat="false" ht="15.75" hidden="false" customHeight="false" outlineLevel="0" collapsed="false">
      <c r="A503" s="12"/>
      <c r="B503" s="34"/>
      <c r="C503" s="12"/>
      <c r="D503" s="12"/>
      <c r="E503" s="12"/>
      <c r="F503" s="12"/>
      <c r="G503" s="18"/>
      <c r="H503" s="35"/>
      <c r="I503" s="35"/>
      <c r="J503" s="12"/>
      <c r="O503" s="12"/>
      <c r="P503" s="18"/>
      <c r="Q503" s="12"/>
      <c r="R503" s="12"/>
      <c r="S503" s="12"/>
      <c r="T503" s="36"/>
      <c r="U503" s="36"/>
      <c r="V503" s="12"/>
      <c r="W503" s="12"/>
      <c r="X503" s="12"/>
      <c r="Y503" s="12"/>
      <c r="Z503" s="12"/>
    </row>
    <row r="504" customFormat="false" ht="15.75" hidden="false" customHeight="false" outlineLevel="0" collapsed="false">
      <c r="A504" s="12"/>
      <c r="B504" s="34"/>
      <c r="C504" s="12"/>
      <c r="D504" s="12"/>
      <c r="E504" s="12"/>
      <c r="F504" s="12"/>
      <c r="G504" s="18"/>
      <c r="H504" s="35"/>
      <c r="I504" s="35"/>
      <c r="J504" s="12"/>
      <c r="O504" s="12"/>
      <c r="P504" s="18"/>
      <c r="Q504" s="12"/>
      <c r="R504" s="12"/>
      <c r="S504" s="12"/>
      <c r="T504" s="36"/>
      <c r="U504" s="36"/>
      <c r="V504" s="12"/>
      <c r="W504" s="12"/>
      <c r="X504" s="12"/>
      <c r="Y504" s="12"/>
      <c r="Z504" s="12"/>
    </row>
    <row r="505" customFormat="false" ht="15.75" hidden="false" customHeight="false" outlineLevel="0" collapsed="false">
      <c r="A505" s="12"/>
      <c r="B505" s="34"/>
      <c r="C505" s="12"/>
      <c r="D505" s="12"/>
      <c r="E505" s="12"/>
      <c r="F505" s="12"/>
      <c r="G505" s="18"/>
      <c r="H505" s="35"/>
      <c r="I505" s="35"/>
      <c r="J505" s="12"/>
      <c r="O505" s="12"/>
      <c r="P505" s="18"/>
      <c r="Q505" s="12"/>
      <c r="R505" s="12"/>
      <c r="S505" s="12"/>
      <c r="T505" s="36"/>
      <c r="U505" s="36"/>
      <c r="V505" s="12"/>
      <c r="W505" s="12"/>
      <c r="X505" s="12"/>
      <c r="Y505" s="12"/>
      <c r="Z505" s="12"/>
    </row>
    <row r="506" customFormat="false" ht="15.75" hidden="false" customHeight="false" outlineLevel="0" collapsed="false">
      <c r="A506" s="12"/>
      <c r="B506" s="34"/>
      <c r="C506" s="12"/>
      <c r="D506" s="12"/>
      <c r="E506" s="12"/>
      <c r="F506" s="12"/>
      <c r="G506" s="18"/>
      <c r="H506" s="35"/>
      <c r="I506" s="35"/>
      <c r="J506" s="12"/>
      <c r="O506" s="12"/>
      <c r="P506" s="18"/>
      <c r="Q506" s="12"/>
      <c r="R506" s="12"/>
      <c r="S506" s="12"/>
      <c r="T506" s="36"/>
      <c r="U506" s="36"/>
      <c r="V506" s="12"/>
      <c r="W506" s="12"/>
      <c r="X506" s="12"/>
      <c r="Y506" s="12"/>
      <c r="Z506" s="12"/>
    </row>
    <row r="507" customFormat="false" ht="15.75" hidden="false" customHeight="false" outlineLevel="0" collapsed="false">
      <c r="A507" s="12"/>
      <c r="B507" s="34"/>
      <c r="C507" s="12"/>
      <c r="D507" s="12"/>
      <c r="E507" s="12"/>
      <c r="F507" s="12"/>
      <c r="G507" s="18"/>
      <c r="H507" s="35"/>
      <c r="I507" s="35"/>
      <c r="J507" s="12"/>
      <c r="O507" s="12"/>
      <c r="P507" s="18"/>
      <c r="Q507" s="12"/>
      <c r="R507" s="12"/>
      <c r="S507" s="12"/>
      <c r="T507" s="36"/>
      <c r="U507" s="36"/>
      <c r="V507" s="12"/>
      <c r="W507" s="12"/>
      <c r="X507" s="12"/>
      <c r="Y507" s="12"/>
      <c r="Z507" s="12"/>
    </row>
    <row r="508" customFormat="false" ht="15.75" hidden="false" customHeight="false" outlineLevel="0" collapsed="false">
      <c r="A508" s="12"/>
      <c r="B508" s="34"/>
      <c r="C508" s="12"/>
      <c r="D508" s="12"/>
      <c r="E508" s="12"/>
      <c r="F508" s="12"/>
      <c r="G508" s="18"/>
      <c r="H508" s="35"/>
      <c r="I508" s="35"/>
      <c r="J508" s="12"/>
      <c r="O508" s="12"/>
      <c r="P508" s="18"/>
      <c r="Q508" s="12"/>
      <c r="R508" s="12"/>
      <c r="S508" s="12"/>
      <c r="T508" s="36"/>
      <c r="U508" s="36"/>
      <c r="V508" s="12"/>
      <c r="W508" s="12"/>
      <c r="X508" s="12"/>
      <c r="Y508" s="12"/>
      <c r="Z508" s="12"/>
    </row>
    <row r="509" customFormat="false" ht="15.75" hidden="false" customHeight="false" outlineLevel="0" collapsed="false">
      <c r="A509" s="12"/>
      <c r="B509" s="34"/>
      <c r="C509" s="12"/>
      <c r="D509" s="12"/>
      <c r="E509" s="12"/>
      <c r="F509" s="12"/>
      <c r="G509" s="18"/>
      <c r="H509" s="35"/>
      <c r="I509" s="35"/>
      <c r="J509" s="12"/>
      <c r="O509" s="12"/>
      <c r="P509" s="18"/>
      <c r="Q509" s="12"/>
      <c r="R509" s="12"/>
      <c r="S509" s="12"/>
      <c r="T509" s="36"/>
      <c r="U509" s="36"/>
      <c r="V509" s="12"/>
      <c r="W509" s="12"/>
      <c r="X509" s="12"/>
      <c r="Y509" s="12"/>
      <c r="Z509" s="12"/>
    </row>
    <row r="510" customFormat="false" ht="15.75" hidden="false" customHeight="false" outlineLevel="0" collapsed="false">
      <c r="A510" s="12"/>
      <c r="B510" s="34"/>
      <c r="C510" s="12"/>
      <c r="D510" s="12"/>
      <c r="E510" s="12"/>
      <c r="F510" s="12"/>
      <c r="G510" s="18"/>
      <c r="H510" s="35"/>
      <c r="I510" s="35"/>
      <c r="J510" s="12"/>
      <c r="O510" s="12"/>
      <c r="P510" s="18"/>
      <c r="Q510" s="12"/>
      <c r="R510" s="12"/>
      <c r="S510" s="12"/>
      <c r="T510" s="36"/>
      <c r="U510" s="36"/>
      <c r="V510" s="12"/>
      <c r="W510" s="12"/>
      <c r="X510" s="12"/>
      <c r="Y510" s="12"/>
      <c r="Z510" s="12"/>
    </row>
    <row r="511" customFormat="false" ht="15.75" hidden="false" customHeight="false" outlineLevel="0" collapsed="false">
      <c r="A511" s="12"/>
      <c r="B511" s="34"/>
      <c r="C511" s="12"/>
      <c r="D511" s="12"/>
      <c r="E511" s="12"/>
      <c r="F511" s="12"/>
      <c r="G511" s="18"/>
      <c r="H511" s="35"/>
      <c r="I511" s="35"/>
      <c r="J511" s="12"/>
      <c r="O511" s="12"/>
      <c r="P511" s="18"/>
      <c r="Q511" s="12"/>
      <c r="R511" s="12"/>
      <c r="S511" s="12"/>
      <c r="T511" s="36"/>
      <c r="U511" s="36"/>
      <c r="V511" s="12"/>
      <c r="W511" s="12"/>
      <c r="X511" s="12"/>
      <c r="Y511" s="12"/>
      <c r="Z511" s="12"/>
    </row>
    <row r="512" customFormat="false" ht="15.75" hidden="false" customHeight="false" outlineLevel="0" collapsed="false">
      <c r="A512" s="12"/>
      <c r="B512" s="34"/>
      <c r="C512" s="12"/>
      <c r="D512" s="12"/>
      <c r="E512" s="12"/>
      <c r="F512" s="12"/>
      <c r="G512" s="18"/>
      <c r="H512" s="35"/>
      <c r="I512" s="35"/>
      <c r="J512" s="12"/>
      <c r="O512" s="12"/>
      <c r="P512" s="18"/>
      <c r="Q512" s="12"/>
      <c r="R512" s="12"/>
      <c r="S512" s="12"/>
      <c r="T512" s="36"/>
      <c r="U512" s="36"/>
      <c r="V512" s="12"/>
      <c r="W512" s="12"/>
      <c r="X512" s="12"/>
      <c r="Y512" s="12"/>
      <c r="Z512" s="12"/>
    </row>
    <row r="513" customFormat="false" ht="15.75" hidden="false" customHeight="false" outlineLevel="0" collapsed="false">
      <c r="A513" s="12"/>
      <c r="B513" s="34"/>
      <c r="C513" s="12"/>
      <c r="D513" s="12"/>
      <c r="E513" s="12"/>
      <c r="F513" s="12"/>
      <c r="G513" s="18"/>
      <c r="H513" s="35"/>
      <c r="I513" s="35"/>
      <c r="J513" s="12"/>
      <c r="O513" s="12"/>
      <c r="P513" s="18"/>
      <c r="Q513" s="12"/>
      <c r="R513" s="12"/>
      <c r="S513" s="12"/>
      <c r="T513" s="36"/>
      <c r="U513" s="36"/>
      <c r="V513" s="12"/>
      <c r="W513" s="12"/>
      <c r="X513" s="12"/>
      <c r="Y513" s="12"/>
      <c r="Z513" s="12"/>
    </row>
    <row r="514" customFormat="false" ht="15.75" hidden="false" customHeight="false" outlineLevel="0" collapsed="false">
      <c r="A514" s="12"/>
      <c r="B514" s="34"/>
      <c r="C514" s="12"/>
      <c r="D514" s="12"/>
      <c r="E514" s="12"/>
      <c r="F514" s="12"/>
      <c r="G514" s="18"/>
      <c r="H514" s="35"/>
      <c r="I514" s="35"/>
      <c r="J514" s="12"/>
      <c r="O514" s="12"/>
      <c r="P514" s="18"/>
      <c r="Q514" s="12"/>
      <c r="R514" s="12"/>
      <c r="S514" s="12"/>
      <c r="T514" s="36"/>
      <c r="U514" s="36"/>
      <c r="V514" s="12"/>
      <c r="W514" s="12"/>
      <c r="X514" s="12"/>
      <c r="Y514" s="12"/>
      <c r="Z514" s="12"/>
    </row>
    <row r="515" customFormat="false" ht="15.75" hidden="false" customHeight="false" outlineLevel="0" collapsed="false">
      <c r="A515" s="12"/>
      <c r="B515" s="34"/>
      <c r="C515" s="12"/>
      <c r="D515" s="12"/>
      <c r="E515" s="12"/>
      <c r="F515" s="12"/>
      <c r="G515" s="18"/>
      <c r="H515" s="35"/>
      <c r="I515" s="35"/>
      <c r="J515" s="12"/>
      <c r="O515" s="12"/>
      <c r="P515" s="18"/>
      <c r="Q515" s="12"/>
      <c r="R515" s="12"/>
      <c r="S515" s="12"/>
      <c r="T515" s="36"/>
      <c r="U515" s="36"/>
      <c r="V515" s="12"/>
      <c r="W515" s="12"/>
      <c r="X515" s="12"/>
      <c r="Y515" s="12"/>
      <c r="Z515" s="12"/>
    </row>
    <row r="516" customFormat="false" ht="15.75" hidden="false" customHeight="false" outlineLevel="0" collapsed="false">
      <c r="A516" s="12"/>
      <c r="B516" s="34"/>
      <c r="C516" s="12"/>
      <c r="D516" s="12"/>
      <c r="E516" s="12"/>
      <c r="F516" s="12"/>
      <c r="G516" s="18"/>
      <c r="H516" s="35"/>
      <c r="I516" s="35"/>
      <c r="J516" s="12"/>
      <c r="O516" s="12"/>
      <c r="P516" s="18"/>
      <c r="Q516" s="12"/>
      <c r="R516" s="12"/>
      <c r="S516" s="12"/>
      <c r="T516" s="36"/>
      <c r="U516" s="36"/>
      <c r="V516" s="12"/>
      <c r="W516" s="12"/>
      <c r="X516" s="12"/>
      <c r="Y516" s="12"/>
      <c r="Z516" s="12"/>
    </row>
    <row r="517" customFormat="false" ht="15.75" hidden="false" customHeight="false" outlineLevel="0" collapsed="false">
      <c r="A517" s="12"/>
      <c r="B517" s="34"/>
      <c r="C517" s="12"/>
      <c r="D517" s="12"/>
      <c r="E517" s="12"/>
      <c r="F517" s="12"/>
      <c r="G517" s="18"/>
      <c r="H517" s="35"/>
      <c r="I517" s="35"/>
      <c r="J517" s="12"/>
      <c r="O517" s="12"/>
      <c r="P517" s="18"/>
      <c r="Q517" s="12"/>
      <c r="R517" s="12"/>
      <c r="S517" s="12"/>
      <c r="T517" s="36"/>
      <c r="U517" s="36"/>
      <c r="V517" s="12"/>
      <c r="W517" s="12"/>
      <c r="X517" s="12"/>
      <c r="Y517" s="12"/>
      <c r="Z517" s="12"/>
    </row>
    <row r="518" customFormat="false" ht="15.75" hidden="false" customHeight="false" outlineLevel="0" collapsed="false">
      <c r="A518" s="12"/>
      <c r="B518" s="34"/>
      <c r="C518" s="12"/>
      <c r="D518" s="12"/>
      <c r="E518" s="12"/>
      <c r="F518" s="12"/>
      <c r="G518" s="18"/>
      <c r="H518" s="35"/>
      <c r="I518" s="35"/>
      <c r="J518" s="12"/>
      <c r="O518" s="12"/>
      <c r="P518" s="18"/>
      <c r="Q518" s="12"/>
      <c r="R518" s="12"/>
      <c r="S518" s="12"/>
      <c r="T518" s="36"/>
      <c r="U518" s="36"/>
      <c r="V518" s="12"/>
      <c r="W518" s="12"/>
      <c r="X518" s="12"/>
      <c r="Y518" s="12"/>
      <c r="Z518" s="12"/>
    </row>
    <row r="519" customFormat="false" ht="15.75" hidden="false" customHeight="false" outlineLevel="0" collapsed="false">
      <c r="A519" s="12"/>
      <c r="B519" s="34"/>
      <c r="C519" s="12"/>
      <c r="D519" s="12"/>
      <c r="E519" s="12"/>
      <c r="F519" s="12"/>
      <c r="G519" s="18"/>
      <c r="H519" s="35"/>
      <c r="I519" s="35"/>
      <c r="J519" s="12"/>
      <c r="O519" s="12"/>
      <c r="P519" s="18"/>
      <c r="Q519" s="12"/>
      <c r="R519" s="12"/>
      <c r="S519" s="12"/>
      <c r="T519" s="36"/>
      <c r="U519" s="36"/>
      <c r="V519" s="12"/>
      <c r="W519" s="12"/>
      <c r="X519" s="12"/>
      <c r="Y519" s="12"/>
      <c r="Z519" s="12"/>
    </row>
    <row r="520" customFormat="false" ht="15.75" hidden="false" customHeight="false" outlineLevel="0" collapsed="false">
      <c r="A520" s="12"/>
      <c r="B520" s="34"/>
      <c r="C520" s="12"/>
      <c r="D520" s="12"/>
      <c r="E520" s="12"/>
      <c r="F520" s="12"/>
      <c r="G520" s="18"/>
      <c r="H520" s="35"/>
      <c r="I520" s="35"/>
      <c r="J520" s="12"/>
      <c r="O520" s="12"/>
      <c r="P520" s="18"/>
      <c r="Q520" s="12"/>
      <c r="R520" s="12"/>
      <c r="S520" s="12"/>
      <c r="T520" s="36"/>
      <c r="U520" s="36"/>
      <c r="V520" s="12"/>
      <c r="W520" s="12"/>
      <c r="X520" s="12"/>
      <c r="Y520" s="12"/>
      <c r="Z520" s="12"/>
    </row>
    <row r="521" customFormat="false" ht="15.75" hidden="false" customHeight="false" outlineLevel="0" collapsed="false">
      <c r="A521" s="12"/>
      <c r="B521" s="34"/>
      <c r="C521" s="12"/>
      <c r="D521" s="12"/>
      <c r="E521" s="12"/>
      <c r="F521" s="12"/>
      <c r="G521" s="18"/>
      <c r="H521" s="35"/>
      <c r="I521" s="35"/>
      <c r="J521" s="12"/>
      <c r="O521" s="12"/>
      <c r="P521" s="18"/>
      <c r="Q521" s="12"/>
      <c r="R521" s="12"/>
      <c r="S521" s="12"/>
      <c r="T521" s="36"/>
      <c r="U521" s="36"/>
      <c r="V521" s="12"/>
      <c r="W521" s="12"/>
      <c r="X521" s="12"/>
      <c r="Y521" s="12"/>
      <c r="Z521" s="12"/>
    </row>
    <row r="522" customFormat="false" ht="15.75" hidden="false" customHeight="false" outlineLevel="0" collapsed="false">
      <c r="A522" s="12"/>
      <c r="B522" s="34"/>
      <c r="C522" s="12"/>
      <c r="D522" s="12"/>
      <c r="E522" s="12"/>
      <c r="F522" s="12"/>
      <c r="G522" s="18"/>
      <c r="H522" s="35"/>
      <c r="I522" s="35"/>
      <c r="J522" s="12"/>
      <c r="O522" s="12"/>
      <c r="P522" s="18"/>
      <c r="Q522" s="12"/>
      <c r="R522" s="12"/>
      <c r="S522" s="12"/>
      <c r="T522" s="36"/>
      <c r="U522" s="36"/>
      <c r="V522" s="12"/>
      <c r="W522" s="12"/>
      <c r="X522" s="12"/>
      <c r="Y522" s="12"/>
      <c r="Z522" s="12"/>
    </row>
    <row r="523" customFormat="false" ht="15.75" hidden="false" customHeight="false" outlineLevel="0" collapsed="false">
      <c r="A523" s="12"/>
      <c r="B523" s="34"/>
      <c r="C523" s="12"/>
      <c r="D523" s="12"/>
      <c r="E523" s="12"/>
      <c r="F523" s="12"/>
      <c r="G523" s="18"/>
      <c r="H523" s="35"/>
      <c r="I523" s="35"/>
      <c r="J523" s="12"/>
      <c r="O523" s="12"/>
      <c r="P523" s="18"/>
      <c r="Q523" s="12"/>
      <c r="R523" s="12"/>
      <c r="S523" s="12"/>
      <c r="T523" s="36"/>
      <c r="U523" s="36"/>
      <c r="V523" s="12"/>
      <c r="W523" s="12"/>
      <c r="X523" s="12"/>
      <c r="Y523" s="12"/>
      <c r="Z523" s="12"/>
    </row>
    <row r="524" customFormat="false" ht="15.75" hidden="false" customHeight="false" outlineLevel="0" collapsed="false">
      <c r="A524" s="12"/>
      <c r="B524" s="34"/>
      <c r="C524" s="12"/>
      <c r="D524" s="12"/>
      <c r="E524" s="12"/>
      <c r="F524" s="12"/>
      <c r="G524" s="18"/>
      <c r="H524" s="35"/>
      <c r="I524" s="35"/>
      <c r="J524" s="12"/>
      <c r="O524" s="12"/>
      <c r="P524" s="18"/>
      <c r="Q524" s="12"/>
      <c r="R524" s="12"/>
      <c r="S524" s="12"/>
      <c r="T524" s="36"/>
      <c r="U524" s="36"/>
      <c r="V524" s="12"/>
      <c r="W524" s="12"/>
      <c r="X524" s="12"/>
      <c r="Y524" s="12"/>
      <c r="Z524" s="12"/>
    </row>
    <row r="525" customFormat="false" ht="15.75" hidden="false" customHeight="false" outlineLevel="0" collapsed="false">
      <c r="A525" s="12"/>
      <c r="B525" s="34"/>
      <c r="C525" s="12"/>
      <c r="D525" s="12"/>
      <c r="E525" s="12"/>
      <c r="F525" s="12"/>
      <c r="G525" s="18"/>
      <c r="H525" s="35"/>
      <c r="I525" s="35"/>
      <c r="J525" s="12"/>
      <c r="O525" s="12"/>
      <c r="P525" s="18"/>
      <c r="Q525" s="12"/>
      <c r="R525" s="12"/>
      <c r="S525" s="12"/>
      <c r="T525" s="36"/>
      <c r="U525" s="36"/>
      <c r="V525" s="12"/>
      <c r="W525" s="12"/>
      <c r="X525" s="12"/>
      <c r="Y525" s="12"/>
      <c r="Z525" s="12"/>
    </row>
    <row r="526" customFormat="false" ht="15.75" hidden="false" customHeight="false" outlineLevel="0" collapsed="false">
      <c r="A526" s="12"/>
      <c r="B526" s="34"/>
      <c r="C526" s="12"/>
      <c r="D526" s="12"/>
      <c r="E526" s="12"/>
      <c r="F526" s="12"/>
      <c r="G526" s="18"/>
      <c r="H526" s="35"/>
      <c r="I526" s="35"/>
      <c r="J526" s="12"/>
      <c r="O526" s="12"/>
      <c r="P526" s="18"/>
      <c r="Q526" s="12"/>
      <c r="R526" s="12"/>
      <c r="S526" s="12"/>
      <c r="T526" s="36"/>
      <c r="U526" s="36"/>
      <c r="V526" s="12"/>
      <c r="W526" s="12"/>
      <c r="X526" s="12"/>
      <c r="Y526" s="12"/>
      <c r="Z526" s="12"/>
    </row>
    <row r="527" customFormat="false" ht="15.75" hidden="false" customHeight="false" outlineLevel="0" collapsed="false">
      <c r="A527" s="12"/>
      <c r="B527" s="34"/>
      <c r="C527" s="12"/>
      <c r="D527" s="12"/>
      <c r="E527" s="12"/>
      <c r="F527" s="12"/>
      <c r="G527" s="18"/>
      <c r="H527" s="35"/>
      <c r="I527" s="35"/>
      <c r="J527" s="12"/>
      <c r="O527" s="12"/>
      <c r="P527" s="18"/>
      <c r="Q527" s="12"/>
      <c r="R527" s="12"/>
      <c r="S527" s="12"/>
      <c r="T527" s="36"/>
      <c r="U527" s="36"/>
      <c r="V527" s="12"/>
      <c r="W527" s="12"/>
      <c r="X527" s="12"/>
      <c r="Y527" s="12"/>
      <c r="Z527" s="12"/>
    </row>
    <row r="528" customFormat="false" ht="15.75" hidden="false" customHeight="false" outlineLevel="0" collapsed="false">
      <c r="A528" s="12"/>
      <c r="B528" s="34"/>
      <c r="C528" s="12"/>
      <c r="D528" s="12"/>
      <c r="E528" s="12"/>
      <c r="F528" s="12"/>
      <c r="G528" s="18"/>
      <c r="H528" s="35"/>
      <c r="I528" s="35"/>
      <c r="J528" s="12"/>
      <c r="O528" s="12"/>
      <c r="P528" s="18"/>
      <c r="Q528" s="12"/>
      <c r="R528" s="12"/>
      <c r="S528" s="12"/>
      <c r="T528" s="36"/>
      <c r="U528" s="36"/>
      <c r="V528" s="12"/>
      <c r="W528" s="12"/>
      <c r="X528" s="12"/>
      <c r="Y528" s="12"/>
      <c r="Z528" s="12"/>
    </row>
    <row r="529" customFormat="false" ht="15.75" hidden="false" customHeight="false" outlineLevel="0" collapsed="false">
      <c r="A529" s="12"/>
      <c r="B529" s="34"/>
      <c r="C529" s="12"/>
      <c r="D529" s="12"/>
      <c r="E529" s="12"/>
      <c r="F529" s="12"/>
      <c r="G529" s="18"/>
      <c r="H529" s="35"/>
      <c r="I529" s="35"/>
      <c r="J529" s="12"/>
      <c r="O529" s="12"/>
      <c r="P529" s="18"/>
      <c r="Q529" s="12"/>
      <c r="R529" s="12"/>
      <c r="S529" s="12"/>
      <c r="T529" s="36"/>
      <c r="U529" s="36"/>
      <c r="V529" s="12"/>
      <c r="W529" s="12"/>
      <c r="X529" s="12"/>
      <c r="Y529" s="12"/>
      <c r="Z529" s="12"/>
    </row>
    <row r="530" customFormat="false" ht="15.75" hidden="false" customHeight="false" outlineLevel="0" collapsed="false">
      <c r="A530" s="12"/>
      <c r="B530" s="34"/>
      <c r="C530" s="12"/>
      <c r="D530" s="12"/>
      <c r="E530" s="12"/>
      <c r="F530" s="12"/>
      <c r="G530" s="18"/>
      <c r="H530" s="35"/>
      <c r="I530" s="35"/>
      <c r="J530" s="12"/>
      <c r="O530" s="12"/>
      <c r="P530" s="18"/>
      <c r="Q530" s="12"/>
      <c r="R530" s="12"/>
      <c r="S530" s="12"/>
      <c r="T530" s="36"/>
      <c r="U530" s="36"/>
      <c r="V530" s="12"/>
      <c r="W530" s="12"/>
      <c r="X530" s="12"/>
      <c r="Y530" s="12"/>
      <c r="Z530" s="12"/>
    </row>
    <row r="531" customFormat="false" ht="15.75" hidden="false" customHeight="false" outlineLevel="0" collapsed="false">
      <c r="A531" s="12"/>
      <c r="B531" s="34"/>
      <c r="C531" s="12"/>
      <c r="D531" s="12"/>
      <c r="E531" s="12"/>
      <c r="F531" s="12"/>
      <c r="G531" s="18"/>
      <c r="H531" s="35"/>
      <c r="I531" s="35"/>
      <c r="J531" s="12"/>
      <c r="O531" s="12"/>
      <c r="P531" s="18"/>
      <c r="Q531" s="12"/>
      <c r="R531" s="12"/>
      <c r="S531" s="12"/>
      <c r="T531" s="36"/>
      <c r="U531" s="36"/>
      <c r="V531" s="12"/>
      <c r="W531" s="12"/>
      <c r="X531" s="12"/>
      <c r="Y531" s="12"/>
      <c r="Z531" s="12"/>
    </row>
    <row r="532" customFormat="false" ht="15.75" hidden="false" customHeight="false" outlineLevel="0" collapsed="false">
      <c r="A532" s="12"/>
      <c r="B532" s="34"/>
      <c r="C532" s="12"/>
      <c r="D532" s="12"/>
      <c r="E532" s="12"/>
      <c r="F532" s="12"/>
      <c r="G532" s="18"/>
      <c r="H532" s="35"/>
      <c r="I532" s="35"/>
      <c r="J532" s="12"/>
      <c r="O532" s="12"/>
      <c r="P532" s="18"/>
      <c r="Q532" s="12"/>
      <c r="R532" s="12"/>
      <c r="S532" s="12"/>
      <c r="T532" s="36"/>
      <c r="U532" s="36"/>
      <c r="V532" s="12"/>
      <c r="W532" s="12"/>
      <c r="X532" s="12"/>
      <c r="Y532" s="12"/>
      <c r="Z532" s="12"/>
    </row>
    <row r="533" customFormat="false" ht="15.75" hidden="false" customHeight="false" outlineLevel="0" collapsed="false">
      <c r="A533" s="12"/>
      <c r="B533" s="34"/>
      <c r="C533" s="12"/>
      <c r="D533" s="12"/>
      <c r="E533" s="12"/>
      <c r="F533" s="12"/>
      <c r="G533" s="18"/>
      <c r="H533" s="35"/>
      <c r="I533" s="35"/>
      <c r="J533" s="12"/>
      <c r="O533" s="12"/>
      <c r="P533" s="18"/>
      <c r="Q533" s="12"/>
      <c r="R533" s="12"/>
      <c r="S533" s="12"/>
      <c r="T533" s="36"/>
      <c r="U533" s="36"/>
      <c r="V533" s="12"/>
      <c r="W533" s="12"/>
      <c r="X533" s="12"/>
      <c r="Y533" s="12"/>
      <c r="Z533" s="12"/>
    </row>
    <row r="534" customFormat="false" ht="15.75" hidden="false" customHeight="false" outlineLevel="0" collapsed="false">
      <c r="A534" s="12"/>
      <c r="B534" s="34"/>
      <c r="C534" s="12"/>
      <c r="D534" s="12"/>
      <c r="E534" s="12"/>
      <c r="F534" s="12"/>
      <c r="G534" s="18"/>
      <c r="H534" s="35"/>
      <c r="I534" s="35"/>
      <c r="J534" s="12"/>
      <c r="O534" s="12"/>
      <c r="P534" s="18"/>
      <c r="Q534" s="12"/>
      <c r="R534" s="12"/>
      <c r="S534" s="12"/>
      <c r="T534" s="36"/>
      <c r="U534" s="36"/>
      <c r="V534" s="12"/>
      <c r="W534" s="12"/>
      <c r="X534" s="12"/>
      <c r="Y534" s="12"/>
      <c r="Z534" s="12"/>
    </row>
    <row r="535" customFormat="false" ht="15.75" hidden="false" customHeight="false" outlineLevel="0" collapsed="false">
      <c r="A535" s="12"/>
      <c r="B535" s="34"/>
      <c r="C535" s="12"/>
      <c r="D535" s="12"/>
      <c r="E535" s="12"/>
      <c r="F535" s="12"/>
      <c r="G535" s="18"/>
      <c r="H535" s="35"/>
      <c r="I535" s="35"/>
      <c r="J535" s="12"/>
      <c r="O535" s="12"/>
      <c r="P535" s="18"/>
      <c r="Q535" s="12"/>
      <c r="R535" s="12"/>
      <c r="S535" s="12"/>
      <c r="T535" s="36"/>
      <c r="U535" s="36"/>
      <c r="V535" s="12"/>
      <c r="W535" s="12"/>
      <c r="X535" s="12"/>
      <c r="Y535" s="12"/>
      <c r="Z535" s="12"/>
    </row>
    <row r="536" customFormat="false" ht="15.75" hidden="false" customHeight="false" outlineLevel="0" collapsed="false">
      <c r="A536" s="12"/>
      <c r="B536" s="34"/>
      <c r="C536" s="12"/>
      <c r="D536" s="12"/>
      <c r="E536" s="12"/>
      <c r="F536" s="12"/>
      <c r="G536" s="18"/>
      <c r="H536" s="35"/>
      <c r="I536" s="35"/>
      <c r="J536" s="12"/>
      <c r="O536" s="12"/>
      <c r="P536" s="18"/>
      <c r="Q536" s="12"/>
      <c r="R536" s="12"/>
      <c r="S536" s="12"/>
      <c r="T536" s="36"/>
      <c r="U536" s="36"/>
      <c r="V536" s="12"/>
      <c r="W536" s="12"/>
      <c r="X536" s="12"/>
      <c r="Y536" s="12"/>
      <c r="Z536" s="12"/>
    </row>
    <row r="537" customFormat="false" ht="15.75" hidden="false" customHeight="false" outlineLevel="0" collapsed="false">
      <c r="A537" s="12"/>
      <c r="B537" s="34"/>
      <c r="C537" s="12"/>
      <c r="D537" s="12"/>
      <c r="E537" s="12"/>
      <c r="F537" s="12"/>
      <c r="G537" s="18"/>
      <c r="H537" s="35"/>
      <c r="I537" s="35"/>
      <c r="J537" s="12"/>
      <c r="O537" s="12"/>
      <c r="P537" s="18"/>
      <c r="Q537" s="12"/>
      <c r="R537" s="12"/>
      <c r="S537" s="12"/>
      <c r="T537" s="36"/>
      <c r="U537" s="36"/>
      <c r="V537" s="12"/>
      <c r="W537" s="12"/>
      <c r="X537" s="12"/>
      <c r="Y537" s="12"/>
      <c r="Z537" s="12"/>
    </row>
    <row r="538" customFormat="false" ht="15.75" hidden="false" customHeight="false" outlineLevel="0" collapsed="false">
      <c r="A538" s="12"/>
      <c r="B538" s="34"/>
      <c r="C538" s="12"/>
      <c r="D538" s="12"/>
      <c r="E538" s="12"/>
      <c r="F538" s="12"/>
      <c r="G538" s="18"/>
      <c r="H538" s="35"/>
      <c r="I538" s="35"/>
      <c r="J538" s="12"/>
      <c r="O538" s="12"/>
      <c r="P538" s="18"/>
      <c r="Q538" s="12"/>
      <c r="R538" s="12"/>
      <c r="S538" s="12"/>
      <c r="T538" s="36"/>
      <c r="U538" s="36"/>
      <c r="V538" s="12"/>
      <c r="W538" s="12"/>
      <c r="X538" s="12"/>
      <c r="Y538" s="12"/>
      <c r="Z538" s="12"/>
    </row>
    <row r="539" customFormat="false" ht="15.75" hidden="false" customHeight="false" outlineLevel="0" collapsed="false">
      <c r="A539" s="12"/>
      <c r="B539" s="34"/>
      <c r="C539" s="12"/>
      <c r="D539" s="12"/>
      <c r="E539" s="12"/>
      <c r="F539" s="12"/>
      <c r="G539" s="18"/>
      <c r="H539" s="35"/>
      <c r="I539" s="35"/>
      <c r="J539" s="12"/>
      <c r="O539" s="12"/>
      <c r="P539" s="18"/>
      <c r="Q539" s="12"/>
      <c r="R539" s="12"/>
      <c r="S539" s="12"/>
      <c r="T539" s="36"/>
      <c r="U539" s="36"/>
      <c r="V539" s="12"/>
      <c r="W539" s="12"/>
      <c r="X539" s="12"/>
      <c r="Y539" s="12"/>
      <c r="Z539" s="12"/>
    </row>
    <row r="540" customFormat="false" ht="15.75" hidden="false" customHeight="false" outlineLevel="0" collapsed="false">
      <c r="A540" s="12"/>
      <c r="B540" s="34"/>
      <c r="C540" s="12"/>
      <c r="D540" s="12"/>
      <c r="E540" s="12"/>
      <c r="F540" s="12"/>
      <c r="G540" s="18"/>
      <c r="H540" s="35"/>
      <c r="I540" s="35"/>
      <c r="J540" s="12"/>
      <c r="O540" s="12"/>
      <c r="P540" s="18"/>
      <c r="Q540" s="12"/>
      <c r="R540" s="12"/>
      <c r="S540" s="12"/>
      <c r="T540" s="36"/>
      <c r="U540" s="36"/>
      <c r="V540" s="12"/>
      <c r="W540" s="12"/>
      <c r="X540" s="12"/>
      <c r="Y540" s="12"/>
      <c r="Z540" s="12"/>
    </row>
    <row r="541" customFormat="false" ht="15.75" hidden="false" customHeight="false" outlineLevel="0" collapsed="false">
      <c r="A541" s="12"/>
      <c r="B541" s="34"/>
      <c r="C541" s="12"/>
      <c r="D541" s="12"/>
      <c r="E541" s="12"/>
      <c r="F541" s="12"/>
      <c r="G541" s="18"/>
      <c r="H541" s="35"/>
      <c r="I541" s="35"/>
      <c r="J541" s="12"/>
      <c r="O541" s="12"/>
      <c r="P541" s="18"/>
      <c r="Q541" s="12"/>
      <c r="R541" s="12"/>
      <c r="S541" s="12"/>
      <c r="T541" s="36"/>
      <c r="U541" s="36"/>
      <c r="V541" s="12"/>
      <c r="W541" s="12"/>
      <c r="X541" s="12"/>
      <c r="Y541" s="12"/>
      <c r="Z541" s="12"/>
    </row>
    <row r="542" customFormat="false" ht="15.75" hidden="false" customHeight="false" outlineLevel="0" collapsed="false">
      <c r="A542" s="12"/>
      <c r="B542" s="34"/>
      <c r="C542" s="12"/>
      <c r="D542" s="12"/>
      <c r="E542" s="12"/>
      <c r="F542" s="12"/>
      <c r="G542" s="18"/>
      <c r="H542" s="35"/>
      <c r="I542" s="35"/>
      <c r="J542" s="12"/>
      <c r="O542" s="12"/>
      <c r="P542" s="18"/>
      <c r="Q542" s="12"/>
      <c r="R542" s="12"/>
      <c r="S542" s="12"/>
      <c r="T542" s="36"/>
      <c r="U542" s="36"/>
      <c r="V542" s="12"/>
      <c r="W542" s="12"/>
      <c r="X542" s="12"/>
      <c r="Y542" s="12"/>
      <c r="Z542" s="12"/>
    </row>
    <row r="543" customFormat="false" ht="15.75" hidden="false" customHeight="false" outlineLevel="0" collapsed="false">
      <c r="A543" s="12"/>
      <c r="B543" s="34"/>
      <c r="C543" s="12"/>
      <c r="D543" s="12"/>
      <c r="E543" s="12"/>
      <c r="F543" s="12"/>
      <c r="G543" s="18"/>
      <c r="H543" s="35"/>
      <c r="I543" s="35"/>
      <c r="J543" s="12"/>
      <c r="O543" s="12"/>
      <c r="P543" s="18"/>
      <c r="Q543" s="12"/>
      <c r="R543" s="12"/>
      <c r="S543" s="12"/>
      <c r="T543" s="36"/>
      <c r="U543" s="36"/>
      <c r="V543" s="12"/>
      <c r="W543" s="12"/>
      <c r="X543" s="12"/>
      <c r="Y543" s="12"/>
      <c r="Z543" s="12"/>
    </row>
    <row r="544" customFormat="false" ht="15.75" hidden="false" customHeight="false" outlineLevel="0" collapsed="false">
      <c r="A544" s="12"/>
      <c r="B544" s="34"/>
      <c r="C544" s="12"/>
      <c r="D544" s="12"/>
      <c r="E544" s="12"/>
      <c r="F544" s="12"/>
      <c r="G544" s="18"/>
      <c r="H544" s="35"/>
      <c r="I544" s="35"/>
      <c r="J544" s="12"/>
      <c r="O544" s="12"/>
      <c r="P544" s="18"/>
      <c r="Q544" s="12"/>
      <c r="R544" s="12"/>
      <c r="S544" s="12"/>
      <c r="T544" s="36"/>
      <c r="U544" s="36"/>
      <c r="V544" s="12"/>
      <c r="W544" s="12"/>
      <c r="X544" s="12"/>
      <c r="Y544" s="12"/>
      <c r="Z544" s="12"/>
    </row>
    <row r="545" customFormat="false" ht="15.75" hidden="false" customHeight="false" outlineLevel="0" collapsed="false">
      <c r="A545" s="12"/>
      <c r="B545" s="34"/>
      <c r="C545" s="12"/>
      <c r="D545" s="12"/>
      <c r="E545" s="12"/>
      <c r="F545" s="12"/>
      <c r="G545" s="18"/>
      <c r="H545" s="35"/>
      <c r="I545" s="35"/>
      <c r="J545" s="12"/>
      <c r="O545" s="12"/>
      <c r="P545" s="18"/>
      <c r="Q545" s="12"/>
      <c r="R545" s="12"/>
      <c r="S545" s="12"/>
      <c r="T545" s="36"/>
      <c r="U545" s="36"/>
      <c r="V545" s="12"/>
      <c r="W545" s="12"/>
      <c r="X545" s="12"/>
      <c r="Y545" s="12"/>
      <c r="Z545" s="12"/>
    </row>
    <row r="546" customFormat="false" ht="15.75" hidden="false" customHeight="false" outlineLevel="0" collapsed="false">
      <c r="A546" s="12"/>
      <c r="B546" s="34"/>
      <c r="C546" s="12"/>
      <c r="D546" s="12"/>
      <c r="E546" s="12"/>
      <c r="F546" s="12"/>
      <c r="G546" s="18"/>
      <c r="H546" s="35"/>
      <c r="I546" s="35"/>
      <c r="J546" s="12"/>
      <c r="O546" s="12"/>
      <c r="P546" s="18"/>
      <c r="Q546" s="12"/>
      <c r="R546" s="12"/>
      <c r="S546" s="12"/>
      <c r="T546" s="36"/>
      <c r="U546" s="36"/>
      <c r="V546" s="12"/>
      <c r="W546" s="12"/>
      <c r="X546" s="12"/>
      <c r="Y546" s="12"/>
      <c r="Z546" s="12"/>
    </row>
    <row r="547" customFormat="false" ht="15.75" hidden="false" customHeight="false" outlineLevel="0" collapsed="false">
      <c r="A547" s="12"/>
      <c r="B547" s="34"/>
      <c r="C547" s="12"/>
      <c r="D547" s="12"/>
      <c r="E547" s="12"/>
      <c r="F547" s="12"/>
      <c r="G547" s="18"/>
      <c r="H547" s="35"/>
      <c r="I547" s="35"/>
      <c r="J547" s="12"/>
      <c r="O547" s="12"/>
      <c r="P547" s="18"/>
      <c r="Q547" s="12"/>
      <c r="R547" s="12"/>
      <c r="S547" s="12"/>
      <c r="T547" s="36"/>
      <c r="U547" s="36"/>
      <c r="V547" s="12"/>
      <c r="W547" s="12"/>
      <c r="X547" s="12"/>
      <c r="Y547" s="12"/>
      <c r="Z547" s="12"/>
    </row>
    <row r="548" customFormat="false" ht="15.75" hidden="false" customHeight="false" outlineLevel="0" collapsed="false">
      <c r="A548" s="12"/>
      <c r="B548" s="34"/>
      <c r="C548" s="12"/>
      <c r="D548" s="12"/>
      <c r="E548" s="12"/>
      <c r="F548" s="12"/>
      <c r="G548" s="18"/>
      <c r="H548" s="35"/>
      <c r="I548" s="35"/>
      <c r="J548" s="12"/>
      <c r="O548" s="12"/>
      <c r="P548" s="18"/>
      <c r="Q548" s="12"/>
      <c r="R548" s="12"/>
      <c r="S548" s="12"/>
      <c r="T548" s="36"/>
      <c r="U548" s="36"/>
      <c r="V548" s="12"/>
      <c r="W548" s="12"/>
      <c r="X548" s="12"/>
      <c r="Y548" s="12"/>
      <c r="Z548" s="12"/>
    </row>
    <row r="549" customFormat="false" ht="15.75" hidden="false" customHeight="false" outlineLevel="0" collapsed="false">
      <c r="A549" s="12"/>
      <c r="B549" s="34"/>
      <c r="C549" s="12"/>
      <c r="D549" s="12"/>
      <c r="E549" s="12"/>
      <c r="F549" s="12"/>
      <c r="G549" s="18"/>
      <c r="H549" s="35"/>
      <c r="I549" s="35"/>
      <c r="J549" s="12"/>
      <c r="O549" s="12"/>
      <c r="P549" s="18"/>
      <c r="Q549" s="12"/>
      <c r="R549" s="12"/>
      <c r="S549" s="12"/>
      <c r="T549" s="36"/>
      <c r="U549" s="36"/>
      <c r="V549" s="12"/>
      <c r="W549" s="12"/>
      <c r="X549" s="12"/>
      <c r="Y549" s="12"/>
      <c r="Z549" s="12"/>
    </row>
    <row r="550" customFormat="false" ht="15.75" hidden="false" customHeight="false" outlineLevel="0" collapsed="false">
      <c r="A550" s="12"/>
      <c r="B550" s="34"/>
      <c r="C550" s="12"/>
      <c r="D550" s="12"/>
      <c r="E550" s="12"/>
      <c r="F550" s="12"/>
      <c r="G550" s="18"/>
      <c r="H550" s="35"/>
      <c r="I550" s="35"/>
      <c r="J550" s="12"/>
      <c r="O550" s="12"/>
      <c r="P550" s="18"/>
      <c r="Q550" s="12"/>
      <c r="R550" s="12"/>
      <c r="S550" s="12"/>
      <c r="T550" s="36"/>
      <c r="U550" s="36"/>
      <c r="V550" s="12"/>
      <c r="W550" s="12"/>
      <c r="X550" s="12"/>
      <c r="Y550" s="12"/>
      <c r="Z550" s="12"/>
    </row>
    <row r="551" customFormat="false" ht="15.75" hidden="false" customHeight="false" outlineLevel="0" collapsed="false">
      <c r="A551" s="12"/>
      <c r="B551" s="34"/>
      <c r="C551" s="12"/>
      <c r="D551" s="12"/>
      <c r="E551" s="12"/>
      <c r="F551" s="12"/>
      <c r="G551" s="18"/>
      <c r="H551" s="35"/>
      <c r="I551" s="35"/>
      <c r="J551" s="12"/>
      <c r="O551" s="12"/>
      <c r="P551" s="18"/>
      <c r="Q551" s="12"/>
      <c r="R551" s="12"/>
      <c r="S551" s="12"/>
      <c r="T551" s="36"/>
      <c r="U551" s="36"/>
      <c r="V551" s="12"/>
      <c r="W551" s="12"/>
      <c r="X551" s="12"/>
      <c r="Y551" s="12"/>
      <c r="Z551" s="12"/>
    </row>
    <row r="552" customFormat="false" ht="15.75" hidden="false" customHeight="false" outlineLevel="0" collapsed="false">
      <c r="A552" s="12"/>
      <c r="B552" s="34"/>
      <c r="C552" s="12"/>
      <c r="D552" s="12"/>
      <c r="E552" s="12"/>
      <c r="F552" s="12"/>
      <c r="G552" s="18"/>
      <c r="H552" s="35"/>
      <c r="I552" s="35"/>
      <c r="J552" s="12"/>
      <c r="O552" s="12"/>
      <c r="P552" s="18"/>
      <c r="Q552" s="12"/>
      <c r="R552" s="12"/>
      <c r="S552" s="12"/>
      <c r="T552" s="36"/>
      <c r="U552" s="36"/>
      <c r="V552" s="12"/>
      <c r="W552" s="12"/>
      <c r="X552" s="12"/>
      <c r="Y552" s="12"/>
      <c r="Z552" s="12"/>
    </row>
    <row r="553" customFormat="false" ht="15.75" hidden="false" customHeight="false" outlineLevel="0" collapsed="false">
      <c r="A553" s="12"/>
      <c r="B553" s="34"/>
      <c r="C553" s="12"/>
      <c r="D553" s="12"/>
      <c r="E553" s="12"/>
      <c r="F553" s="12"/>
      <c r="G553" s="18"/>
      <c r="H553" s="35"/>
      <c r="I553" s="35"/>
      <c r="J553" s="12"/>
      <c r="O553" s="12"/>
      <c r="P553" s="18"/>
      <c r="Q553" s="12"/>
      <c r="R553" s="12"/>
      <c r="S553" s="12"/>
      <c r="T553" s="36"/>
      <c r="U553" s="36"/>
      <c r="V553" s="12"/>
      <c r="W553" s="12"/>
      <c r="X553" s="12"/>
      <c r="Y553" s="12"/>
      <c r="Z553" s="12"/>
    </row>
    <row r="554" customFormat="false" ht="15.75" hidden="false" customHeight="false" outlineLevel="0" collapsed="false">
      <c r="A554" s="12"/>
      <c r="B554" s="34"/>
      <c r="C554" s="12"/>
      <c r="D554" s="12"/>
      <c r="E554" s="12"/>
      <c r="F554" s="12"/>
      <c r="G554" s="18"/>
      <c r="H554" s="35"/>
      <c r="I554" s="35"/>
      <c r="J554" s="12"/>
      <c r="O554" s="12"/>
      <c r="P554" s="18"/>
      <c r="Q554" s="12"/>
      <c r="R554" s="12"/>
      <c r="S554" s="12"/>
      <c r="T554" s="36"/>
      <c r="U554" s="36"/>
      <c r="V554" s="12"/>
      <c r="W554" s="12"/>
      <c r="X554" s="12"/>
      <c r="Y554" s="12"/>
      <c r="Z554" s="12"/>
    </row>
    <row r="555" customFormat="false" ht="15.75" hidden="false" customHeight="false" outlineLevel="0" collapsed="false">
      <c r="A555" s="12"/>
      <c r="B555" s="34"/>
      <c r="C555" s="12"/>
      <c r="D555" s="12"/>
      <c r="E555" s="12"/>
      <c r="F555" s="12"/>
      <c r="G555" s="18"/>
      <c r="H555" s="35"/>
      <c r="I555" s="35"/>
      <c r="J555" s="12"/>
      <c r="O555" s="12"/>
      <c r="P555" s="18"/>
      <c r="Q555" s="12"/>
      <c r="R555" s="12"/>
      <c r="S555" s="12"/>
      <c r="T555" s="36"/>
      <c r="U555" s="36"/>
      <c r="V555" s="12"/>
      <c r="W555" s="12"/>
      <c r="X555" s="12"/>
      <c r="Y555" s="12"/>
      <c r="Z555" s="12"/>
    </row>
    <row r="556" customFormat="false" ht="15.75" hidden="false" customHeight="false" outlineLevel="0" collapsed="false">
      <c r="A556" s="12"/>
      <c r="B556" s="34"/>
      <c r="C556" s="12"/>
      <c r="D556" s="12"/>
      <c r="E556" s="12"/>
      <c r="F556" s="12"/>
      <c r="G556" s="18"/>
      <c r="H556" s="35"/>
      <c r="I556" s="35"/>
      <c r="J556" s="12"/>
      <c r="O556" s="12"/>
      <c r="P556" s="18"/>
      <c r="Q556" s="12"/>
      <c r="R556" s="12"/>
      <c r="S556" s="12"/>
      <c r="T556" s="36"/>
      <c r="U556" s="36"/>
      <c r="V556" s="12"/>
      <c r="W556" s="12"/>
      <c r="X556" s="12"/>
      <c r="Y556" s="12"/>
      <c r="Z556" s="12"/>
    </row>
    <row r="557" customFormat="false" ht="15.75" hidden="false" customHeight="false" outlineLevel="0" collapsed="false">
      <c r="A557" s="12"/>
      <c r="B557" s="34"/>
      <c r="C557" s="12"/>
      <c r="D557" s="12"/>
      <c r="E557" s="12"/>
      <c r="F557" s="12"/>
      <c r="G557" s="18"/>
      <c r="H557" s="35"/>
      <c r="I557" s="35"/>
      <c r="J557" s="12"/>
      <c r="O557" s="12"/>
      <c r="P557" s="18"/>
      <c r="Q557" s="12"/>
      <c r="R557" s="12"/>
      <c r="S557" s="12"/>
      <c r="T557" s="36"/>
      <c r="U557" s="36"/>
      <c r="V557" s="12"/>
      <c r="W557" s="12"/>
      <c r="X557" s="12"/>
      <c r="Y557" s="12"/>
      <c r="Z557" s="12"/>
    </row>
    <row r="558" customFormat="false" ht="15.75" hidden="false" customHeight="false" outlineLevel="0" collapsed="false">
      <c r="A558" s="12"/>
      <c r="B558" s="34"/>
      <c r="C558" s="12"/>
      <c r="D558" s="12"/>
      <c r="E558" s="12"/>
      <c r="F558" s="12"/>
      <c r="G558" s="18"/>
      <c r="H558" s="35"/>
      <c r="I558" s="35"/>
      <c r="J558" s="12"/>
      <c r="O558" s="12"/>
      <c r="P558" s="18"/>
      <c r="Q558" s="12"/>
      <c r="R558" s="12"/>
      <c r="S558" s="12"/>
      <c r="T558" s="36"/>
      <c r="U558" s="36"/>
      <c r="V558" s="12"/>
      <c r="W558" s="12"/>
      <c r="X558" s="12"/>
      <c r="Y558" s="12"/>
      <c r="Z558" s="12"/>
    </row>
    <row r="559" customFormat="false" ht="15.75" hidden="false" customHeight="false" outlineLevel="0" collapsed="false">
      <c r="A559" s="12"/>
      <c r="B559" s="34"/>
      <c r="C559" s="12"/>
      <c r="D559" s="12"/>
      <c r="E559" s="12"/>
      <c r="F559" s="12"/>
      <c r="G559" s="18"/>
      <c r="H559" s="35"/>
      <c r="I559" s="35"/>
      <c r="J559" s="12"/>
      <c r="O559" s="12"/>
      <c r="P559" s="18"/>
      <c r="Q559" s="12"/>
      <c r="R559" s="12"/>
      <c r="S559" s="12"/>
      <c r="T559" s="36"/>
      <c r="U559" s="36"/>
      <c r="V559" s="12"/>
      <c r="W559" s="12"/>
      <c r="X559" s="12"/>
      <c r="Y559" s="12"/>
      <c r="Z559" s="12"/>
    </row>
    <row r="560" customFormat="false" ht="15.75" hidden="false" customHeight="false" outlineLevel="0" collapsed="false">
      <c r="A560" s="12"/>
      <c r="B560" s="34"/>
      <c r="C560" s="12"/>
      <c r="D560" s="12"/>
      <c r="E560" s="12"/>
      <c r="F560" s="12"/>
      <c r="G560" s="18"/>
      <c r="H560" s="35"/>
      <c r="I560" s="35"/>
      <c r="J560" s="12"/>
      <c r="O560" s="12"/>
      <c r="P560" s="18"/>
      <c r="Q560" s="12"/>
      <c r="R560" s="12"/>
      <c r="S560" s="12"/>
      <c r="T560" s="36"/>
      <c r="U560" s="36"/>
      <c r="V560" s="12"/>
      <c r="W560" s="12"/>
      <c r="X560" s="12"/>
      <c r="Y560" s="12"/>
      <c r="Z560" s="12"/>
    </row>
    <row r="561" customFormat="false" ht="15.75" hidden="false" customHeight="false" outlineLevel="0" collapsed="false">
      <c r="A561" s="12"/>
      <c r="B561" s="34"/>
      <c r="C561" s="12"/>
      <c r="D561" s="12"/>
      <c r="E561" s="12"/>
      <c r="F561" s="12"/>
      <c r="G561" s="18"/>
      <c r="H561" s="35"/>
      <c r="I561" s="35"/>
      <c r="J561" s="12"/>
      <c r="O561" s="12"/>
      <c r="P561" s="18"/>
      <c r="Q561" s="12"/>
      <c r="R561" s="12"/>
      <c r="S561" s="12"/>
      <c r="T561" s="36"/>
      <c r="U561" s="36"/>
      <c r="V561" s="12"/>
      <c r="W561" s="12"/>
      <c r="X561" s="12"/>
      <c r="Y561" s="12"/>
      <c r="Z561" s="12"/>
    </row>
    <row r="562" customFormat="false" ht="15.75" hidden="false" customHeight="false" outlineLevel="0" collapsed="false">
      <c r="A562" s="12"/>
      <c r="B562" s="34"/>
      <c r="C562" s="12"/>
      <c r="D562" s="12"/>
      <c r="E562" s="12"/>
      <c r="F562" s="12"/>
      <c r="G562" s="18"/>
      <c r="H562" s="35"/>
      <c r="I562" s="35"/>
      <c r="J562" s="12"/>
      <c r="O562" s="12"/>
      <c r="P562" s="18"/>
      <c r="Q562" s="12"/>
      <c r="R562" s="12"/>
      <c r="S562" s="12"/>
      <c r="T562" s="36"/>
      <c r="U562" s="36"/>
      <c r="V562" s="12"/>
      <c r="W562" s="12"/>
      <c r="X562" s="12"/>
      <c r="Y562" s="12"/>
      <c r="Z562" s="12"/>
    </row>
    <row r="563" customFormat="false" ht="15.75" hidden="false" customHeight="false" outlineLevel="0" collapsed="false">
      <c r="A563" s="12"/>
      <c r="B563" s="34"/>
      <c r="C563" s="12"/>
      <c r="D563" s="12"/>
      <c r="E563" s="12"/>
      <c r="F563" s="12"/>
      <c r="G563" s="18"/>
      <c r="H563" s="35"/>
      <c r="I563" s="35"/>
      <c r="J563" s="12"/>
      <c r="O563" s="12"/>
      <c r="P563" s="18"/>
      <c r="Q563" s="12"/>
      <c r="R563" s="12"/>
      <c r="S563" s="12"/>
      <c r="T563" s="36"/>
      <c r="U563" s="36"/>
      <c r="V563" s="12"/>
      <c r="W563" s="12"/>
      <c r="X563" s="12"/>
      <c r="Y563" s="12"/>
      <c r="Z563" s="12"/>
    </row>
    <row r="564" customFormat="false" ht="15.75" hidden="false" customHeight="false" outlineLevel="0" collapsed="false">
      <c r="A564" s="12"/>
      <c r="B564" s="34"/>
      <c r="C564" s="12"/>
      <c r="D564" s="12"/>
      <c r="E564" s="12"/>
      <c r="F564" s="12"/>
      <c r="G564" s="18"/>
      <c r="H564" s="35"/>
      <c r="I564" s="35"/>
      <c r="J564" s="12"/>
      <c r="O564" s="12"/>
      <c r="P564" s="18"/>
      <c r="Q564" s="12"/>
      <c r="R564" s="12"/>
      <c r="S564" s="12"/>
      <c r="T564" s="36"/>
      <c r="U564" s="36"/>
      <c r="V564" s="12"/>
      <c r="W564" s="12"/>
      <c r="X564" s="12"/>
      <c r="Y564" s="12"/>
      <c r="Z564" s="12"/>
    </row>
    <row r="565" customFormat="false" ht="15.75" hidden="false" customHeight="false" outlineLevel="0" collapsed="false">
      <c r="A565" s="12"/>
      <c r="B565" s="34"/>
      <c r="C565" s="12"/>
      <c r="D565" s="12"/>
      <c r="E565" s="12"/>
      <c r="F565" s="12"/>
      <c r="G565" s="18"/>
      <c r="H565" s="35"/>
      <c r="I565" s="35"/>
      <c r="J565" s="12"/>
      <c r="O565" s="12"/>
      <c r="P565" s="18"/>
      <c r="Q565" s="12"/>
      <c r="R565" s="12"/>
      <c r="S565" s="12"/>
      <c r="T565" s="36"/>
      <c r="U565" s="36"/>
      <c r="V565" s="12"/>
      <c r="W565" s="12"/>
      <c r="X565" s="12"/>
      <c r="Y565" s="12"/>
      <c r="Z565" s="12"/>
    </row>
    <row r="566" customFormat="false" ht="15.75" hidden="false" customHeight="false" outlineLevel="0" collapsed="false">
      <c r="A566" s="12"/>
      <c r="B566" s="34"/>
      <c r="C566" s="12"/>
      <c r="D566" s="12"/>
      <c r="E566" s="12"/>
      <c r="F566" s="12"/>
      <c r="G566" s="18"/>
      <c r="H566" s="35"/>
      <c r="I566" s="35"/>
      <c r="J566" s="12"/>
      <c r="O566" s="12"/>
      <c r="P566" s="18"/>
      <c r="Q566" s="12"/>
      <c r="R566" s="12"/>
      <c r="S566" s="12"/>
      <c r="T566" s="36"/>
      <c r="U566" s="36"/>
      <c r="V566" s="12"/>
      <c r="W566" s="12"/>
      <c r="X566" s="12"/>
      <c r="Y566" s="12"/>
      <c r="Z566" s="12"/>
    </row>
    <row r="567" customFormat="false" ht="15.75" hidden="false" customHeight="false" outlineLevel="0" collapsed="false">
      <c r="A567" s="12"/>
      <c r="B567" s="34"/>
      <c r="C567" s="12"/>
      <c r="D567" s="12"/>
      <c r="E567" s="12"/>
      <c r="F567" s="12"/>
      <c r="G567" s="18"/>
      <c r="H567" s="35"/>
      <c r="I567" s="35"/>
      <c r="J567" s="12"/>
      <c r="O567" s="12"/>
      <c r="P567" s="18"/>
      <c r="Q567" s="12"/>
      <c r="R567" s="12"/>
      <c r="S567" s="12"/>
      <c r="T567" s="36"/>
      <c r="U567" s="36"/>
      <c r="V567" s="12"/>
      <c r="W567" s="12"/>
      <c r="X567" s="12"/>
      <c r="Y567" s="12"/>
      <c r="Z567" s="12"/>
    </row>
    <row r="568" customFormat="false" ht="15.75" hidden="false" customHeight="false" outlineLevel="0" collapsed="false">
      <c r="A568" s="12"/>
      <c r="B568" s="34"/>
      <c r="C568" s="12"/>
      <c r="D568" s="12"/>
      <c r="E568" s="12"/>
      <c r="F568" s="12"/>
      <c r="G568" s="18"/>
      <c r="H568" s="35"/>
      <c r="I568" s="35"/>
      <c r="J568" s="12"/>
      <c r="O568" s="12"/>
      <c r="P568" s="18"/>
      <c r="Q568" s="12"/>
      <c r="R568" s="12"/>
      <c r="S568" s="12"/>
      <c r="T568" s="36"/>
      <c r="U568" s="36"/>
      <c r="V568" s="12"/>
      <c r="W568" s="12"/>
      <c r="X568" s="12"/>
      <c r="Y568" s="12"/>
      <c r="Z568" s="12"/>
    </row>
    <row r="569" customFormat="false" ht="15.75" hidden="false" customHeight="false" outlineLevel="0" collapsed="false">
      <c r="A569" s="12"/>
      <c r="B569" s="34"/>
      <c r="C569" s="12"/>
      <c r="D569" s="12"/>
      <c r="E569" s="12"/>
      <c r="F569" s="12"/>
      <c r="G569" s="18"/>
      <c r="H569" s="35"/>
      <c r="I569" s="35"/>
      <c r="J569" s="12"/>
      <c r="O569" s="12"/>
      <c r="P569" s="18"/>
      <c r="Q569" s="12"/>
      <c r="R569" s="12"/>
      <c r="S569" s="12"/>
      <c r="T569" s="36"/>
      <c r="U569" s="36"/>
      <c r="V569" s="12"/>
      <c r="W569" s="12"/>
      <c r="X569" s="12"/>
      <c r="Y569" s="12"/>
      <c r="Z569" s="12"/>
    </row>
    <row r="570" customFormat="false" ht="15.75" hidden="false" customHeight="false" outlineLevel="0" collapsed="false">
      <c r="A570" s="12"/>
      <c r="B570" s="34"/>
      <c r="C570" s="12"/>
      <c r="D570" s="12"/>
      <c r="E570" s="12"/>
      <c r="F570" s="12"/>
      <c r="G570" s="18"/>
      <c r="H570" s="35"/>
      <c r="I570" s="35"/>
      <c r="J570" s="12"/>
      <c r="O570" s="12"/>
      <c r="P570" s="18"/>
      <c r="Q570" s="12"/>
      <c r="R570" s="12"/>
      <c r="S570" s="12"/>
      <c r="T570" s="36"/>
      <c r="U570" s="36"/>
      <c r="V570" s="12"/>
      <c r="W570" s="12"/>
      <c r="X570" s="12"/>
      <c r="Y570" s="12"/>
      <c r="Z570" s="12"/>
    </row>
    <row r="571" customFormat="false" ht="15.75" hidden="false" customHeight="false" outlineLevel="0" collapsed="false">
      <c r="A571" s="12"/>
      <c r="B571" s="34"/>
      <c r="C571" s="12"/>
      <c r="D571" s="12"/>
      <c r="E571" s="12"/>
      <c r="F571" s="12"/>
      <c r="G571" s="18"/>
      <c r="H571" s="35"/>
      <c r="I571" s="35"/>
      <c r="J571" s="12"/>
      <c r="O571" s="12"/>
      <c r="P571" s="18"/>
      <c r="Q571" s="12"/>
      <c r="R571" s="12"/>
      <c r="S571" s="12"/>
      <c r="T571" s="36"/>
      <c r="U571" s="36"/>
      <c r="V571" s="12"/>
      <c r="W571" s="12"/>
      <c r="X571" s="12"/>
      <c r="Y571" s="12"/>
      <c r="Z571" s="12"/>
    </row>
    <row r="572" customFormat="false" ht="15.75" hidden="false" customHeight="false" outlineLevel="0" collapsed="false">
      <c r="A572" s="12"/>
      <c r="B572" s="34"/>
      <c r="C572" s="12"/>
      <c r="D572" s="12"/>
      <c r="E572" s="12"/>
      <c r="F572" s="12"/>
      <c r="G572" s="18"/>
      <c r="H572" s="35"/>
      <c r="I572" s="35"/>
      <c r="J572" s="12"/>
      <c r="O572" s="12"/>
      <c r="P572" s="18"/>
      <c r="Q572" s="12"/>
      <c r="R572" s="12"/>
      <c r="S572" s="12"/>
      <c r="T572" s="36"/>
      <c r="U572" s="36"/>
      <c r="V572" s="12"/>
      <c r="W572" s="12"/>
      <c r="X572" s="12"/>
      <c r="Y572" s="12"/>
      <c r="Z572" s="12"/>
    </row>
    <row r="573" customFormat="false" ht="15.75" hidden="false" customHeight="false" outlineLevel="0" collapsed="false">
      <c r="A573" s="12"/>
      <c r="B573" s="34"/>
      <c r="C573" s="12"/>
      <c r="D573" s="12"/>
      <c r="E573" s="12"/>
      <c r="F573" s="12"/>
      <c r="G573" s="18"/>
      <c r="H573" s="35"/>
      <c r="I573" s="35"/>
      <c r="J573" s="12"/>
      <c r="O573" s="12"/>
      <c r="P573" s="18"/>
      <c r="Q573" s="12"/>
      <c r="R573" s="12"/>
      <c r="S573" s="12"/>
      <c r="T573" s="36"/>
      <c r="U573" s="36"/>
      <c r="V573" s="12"/>
      <c r="W573" s="12"/>
      <c r="X573" s="12"/>
      <c r="Y573" s="12"/>
      <c r="Z573" s="12"/>
    </row>
    <row r="574" customFormat="false" ht="15.75" hidden="false" customHeight="false" outlineLevel="0" collapsed="false">
      <c r="A574" s="12"/>
      <c r="B574" s="34"/>
      <c r="C574" s="12"/>
      <c r="D574" s="12"/>
      <c r="E574" s="12"/>
      <c r="F574" s="12"/>
      <c r="G574" s="18"/>
      <c r="H574" s="35"/>
      <c r="I574" s="35"/>
      <c r="J574" s="12"/>
      <c r="O574" s="12"/>
      <c r="P574" s="18"/>
      <c r="Q574" s="12"/>
      <c r="R574" s="12"/>
      <c r="S574" s="12"/>
      <c r="T574" s="36"/>
      <c r="U574" s="36"/>
      <c r="V574" s="12"/>
      <c r="W574" s="12"/>
      <c r="X574" s="12"/>
      <c r="Y574" s="12"/>
      <c r="Z574" s="12"/>
    </row>
    <row r="575" customFormat="false" ht="15.75" hidden="false" customHeight="false" outlineLevel="0" collapsed="false">
      <c r="A575" s="12"/>
      <c r="B575" s="34"/>
      <c r="C575" s="12"/>
      <c r="D575" s="12"/>
      <c r="E575" s="12"/>
      <c r="F575" s="12"/>
      <c r="G575" s="18"/>
      <c r="H575" s="35"/>
      <c r="I575" s="35"/>
      <c r="J575" s="12"/>
      <c r="O575" s="12"/>
      <c r="P575" s="18"/>
      <c r="Q575" s="12"/>
      <c r="R575" s="12"/>
      <c r="S575" s="12"/>
      <c r="T575" s="36"/>
      <c r="U575" s="36"/>
      <c r="V575" s="12"/>
      <c r="W575" s="12"/>
      <c r="X575" s="12"/>
      <c r="Y575" s="12"/>
      <c r="Z575" s="12"/>
    </row>
    <row r="576" customFormat="false" ht="15.75" hidden="false" customHeight="false" outlineLevel="0" collapsed="false">
      <c r="A576" s="12"/>
      <c r="B576" s="34"/>
      <c r="C576" s="12"/>
      <c r="D576" s="12"/>
      <c r="E576" s="12"/>
      <c r="F576" s="12"/>
      <c r="G576" s="18"/>
      <c r="H576" s="35"/>
      <c r="I576" s="35"/>
      <c r="J576" s="12"/>
      <c r="O576" s="12"/>
      <c r="P576" s="18"/>
      <c r="Q576" s="12"/>
      <c r="R576" s="12"/>
      <c r="S576" s="12"/>
      <c r="T576" s="36"/>
      <c r="U576" s="36"/>
      <c r="V576" s="12"/>
      <c r="W576" s="12"/>
      <c r="X576" s="12"/>
      <c r="Y576" s="12"/>
      <c r="Z576" s="12"/>
    </row>
    <row r="577" customFormat="false" ht="15.75" hidden="false" customHeight="false" outlineLevel="0" collapsed="false">
      <c r="A577" s="12"/>
      <c r="B577" s="34"/>
      <c r="C577" s="12"/>
      <c r="D577" s="12"/>
      <c r="E577" s="12"/>
      <c r="F577" s="12"/>
      <c r="G577" s="18"/>
      <c r="H577" s="35"/>
      <c r="I577" s="35"/>
      <c r="J577" s="12"/>
      <c r="O577" s="12"/>
      <c r="P577" s="18"/>
      <c r="Q577" s="12"/>
      <c r="R577" s="12"/>
      <c r="S577" s="12"/>
      <c r="T577" s="36"/>
      <c r="U577" s="36"/>
      <c r="V577" s="12"/>
      <c r="W577" s="12"/>
      <c r="X577" s="12"/>
      <c r="Y577" s="12"/>
      <c r="Z577" s="12"/>
    </row>
    <row r="578" customFormat="false" ht="15.75" hidden="false" customHeight="false" outlineLevel="0" collapsed="false">
      <c r="A578" s="12"/>
      <c r="B578" s="34"/>
      <c r="C578" s="12"/>
      <c r="D578" s="12"/>
      <c r="E578" s="12"/>
      <c r="F578" s="12"/>
      <c r="G578" s="18"/>
      <c r="H578" s="35"/>
      <c r="I578" s="35"/>
      <c r="J578" s="12"/>
      <c r="O578" s="12"/>
      <c r="P578" s="18"/>
      <c r="Q578" s="12"/>
      <c r="R578" s="12"/>
      <c r="S578" s="12"/>
      <c r="T578" s="36"/>
      <c r="U578" s="36"/>
      <c r="V578" s="12"/>
      <c r="W578" s="12"/>
      <c r="X578" s="12"/>
      <c r="Y578" s="12"/>
      <c r="Z578" s="12"/>
    </row>
    <row r="579" customFormat="false" ht="15.75" hidden="false" customHeight="false" outlineLevel="0" collapsed="false">
      <c r="A579" s="12"/>
      <c r="B579" s="34"/>
      <c r="C579" s="12"/>
      <c r="D579" s="12"/>
      <c r="E579" s="12"/>
      <c r="F579" s="12"/>
      <c r="G579" s="18"/>
      <c r="H579" s="35"/>
      <c r="I579" s="35"/>
      <c r="J579" s="12"/>
      <c r="O579" s="12"/>
      <c r="P579" s="18"/>
      <c r="Q579" s="12"/>
      <c r="R579" s="12"/>
      <c r="S579" s="12"/>
      <c r="T579" s="36"/>
      <c r="U579" s="36"/>
      <c r="V579" s="12"/>
      <c r="W579" s="12"/>
      <c r="X579" s="12"/>
      <c r="Y579" s="12"/>
      <c r="Z579" s="12"/>
    </row>
    <row r="580" customFormat="false" ht="15.75" hidden="false" customHeight="false" outlineLevel="0" collapsed="false">
      <c r="A580" s="12"/>
      <c r="B580" s="34"/>
      <c r="C580" s="12"/>
      <c r="D580" s="12"/>
      <c r="E580" s="12"/>
      <c r="F580" s="12"/>
      <c r="G580" s="18"/>
      <c r="H580" s="35"/>
      <c r="I580" s="35"/>
      <c r="J580" s="12"/>
      <c r="O580" s="12"/>
      <c r="P580" s="18"/>
      <c r="Q580" s="12"/>
      <c r="R580" s="12"/>
      <c r="S580" s="12"/>
      <c r="T580" s="36"/>
      <c r="U580" s="36"/>
      <c r="V580" s="12"/>
      <c r="W580" s="12"/>
      <c r="X580" s="12"/>
      <c r="Y580" s="12"/>
      <c r="Z580" s="12"/>
    </row>
    <row r="581" customFormat="false" ht="15.75" hidden="false" customHeight="false" outlineLevel="0" collapsed="false">
      <c r="A581" s="12"/>
      <c r="B581" s="34"/>
      <c r="C581" s="12"/>
      <c r="D581" s="12"/>
      <c r="E581" s="12"/>
      <c r="F581" s="12"/>
      <c r="G581" s="18"/>
      <c r="H581" s="35"/>
      <c r="I581" s="35"/>
      <c r="J581" s="12"/>
      <c r="O581" s="12"/>
      <c r="P581" s="18"/>
      <c r="Q581" s="12"/>
      <c r="R581" s="12"/>
      <c r="S581" s="12"/>
      <c r="T581" s="36"/>
      <c r="U581" s="36"/>
      <c r="V581" s="12"/>
      <c r="W581" s="12"/>
      <c r="X581" s="12"/>
      <c r="Y581" s="12"/>
      <c r="Z581" s="12"/>
    </row>
    <row r="582" customFormat="false" ht="15.75" hidden="false" customHeight="false" outlineLevel="0" collapsed="false">
      <c r="A582" s="12"/>
      <c r="B582" s="34"/>
      <c r="C582" s="12"/>
      <c r="D582" s="12"/>
      <c r="E582" s="12"/>
      <c r="F582" s="12"/>
      <c r="G582" s="18"/>
      <c r="H582" s="35"/>
      <c r="I582" s="35"/>
      <c r="J582" s="12"/>
      <c r="O582" s="12"/>
      <c r="P582" s="18"/>
      <c r="Q582" s="12"/>
      <c r="R582" s="12"/>
      <c r="S582" s="12"/>
      <c r="T582" s="36"/>
      <c r="U582" s="36"/>
      <c r="V582" s="12"/>
      <c r="W582" s="12"/>
      <c r="X582" s="12"/>
      <c r="Y582" s="12"/>
      <c r="Z582" s="12"/>
    </row>
    <row r="583" customFormat="false" ht="15.75" hidden="false" customHeight="false" outlineLevel="0" collapsed="false">
      <c r="A583" s="12"/>
      <c r="B583" s="34"/>
      <c r="C583" s="12"/>
      <c r="D583" s="12"/>
      <c r="E583" s="12"/>
      <c r="F583" s="12"/>
      <c r="G583" s="18"/>
      <c r="H583" s="35"/>
      <c r="I583" s="35"/>
      <c r="J583" s="12"/>
      <c r="O583" s="12"/>
      <c r="P583" s="18"/>
      <c r="Q583" s="12"/>
      <c r="R583" s="12"/>
      <c r="S583" s="12"/>
      <c r="T583" s="36"/>
      <c r="U583" s="36"/>
      <c r="V583" s="12"/>
      <c r="W583" s="12"/>
      <c r="X583" s="12"/>
      <c r="Y583" s="12"/>
      <c r="Z583" s="12"/>
    </row>
    <row r="584" customFormat="false" ht="15.75" hidden="false" customHeight="false" outlineLevel="0" collapsed="false">
      <c r="A584" s="12"/>
      <c r="B584" s="34"/>
      <c r="C584" s="12"/>
      <c r="D584" s="12"/>
      <c r="E584" s="12"/>
      <c r="F584" s="12"/>
      <c r="G584" s="18"/>
      <c r="H584" s="35"/>
      <c r="I584" s="35"/>
      <c r="J584" s="12"/>
      <c r="O584" s="12"/>
      <c r="P584" s="18"/>
      <c r="Q584" s="12"/>
      <c r="R584" s="12"/>
      <c r="S584" s="12"/>
      <c r="T584" s="36"/>
      <c r="U584" s="36"/>
      <c r="V584" s="12"/>
      <c r="W584" s="12"/>
      <c r="X584" s="12"/>
      <c r="Y584" s="12"/>
      <c r="Z584" s="12"/>
    </row>
    <row r="585" customFormat="false" ht="15.75" hidden="false" customHeight="false" outlineLevel="0" collapsed="false">
      <c r="A585" s="12"/>
      <c r="B585" s="34"/>
      <c r="C585" s="12"/>
      <c r="D585" s="12"/>
      <c r="E585" s="12"/>
      <c r="F585" s="12"/>
      <c r="G585" s="18"/>
      <c r="H585" s="35"/>
      <c r="I585" s="35"/>
      <c r="J585" s="12"/>
      <c r="O585" s="12"/>
      <c r="P585" s="18"/>
      <c r="Q585" s="12"/>
      <c r="R585" s="12"/>
      <c r="S585" s="12"/>
      <c r="T585" s="36"/>
      <c r="U585" s="36"/>
      <c r="V585" s="12"/>
      <c r="W585" s="12"/>
      <c r="X585" s="12"/>
      <c r="Y585" s="12"/>
      <c r="Z585" s="12"/>
    </row>
    <row r="586" customFormat="false" ht="15.75" hidden="false" customHeight="false" outlineLevel="0" collapsed="false">
      <c r="A586" s="12"/>
      <c r="B586" s="34"/>
      <c r="C586" s="12"/>
      <c r="D586" s="12"/>
      <c r="E586" s="12"/>
      <c r="F586" s="12"/>
      <c r="G586" s="18"/>
      <c r="H586" s="35"/>
      <c r="I586" s="35"/>
      <c r="J586" s="12"/>
      <c r="O586" s="12"/>
      <c r="P586" s="18"/>
      <c r="Q586" s="12"/>
      <c r="R586" s="12"/>
      <c r="S586" s="12"/>
      <c r="T586" s="36"/>
      <c r="U586" s="36"/>
      <c r="V586" s="12"/>
      <c r="W586" s="12"/>
      <c r="X586" s="12"/>
      <c r="Y586" s="12"/>
      <c r="Z586" s="12"/>
    </row>
    <row r="587" customFormat="false" ht="15.75" hidden="false" customHeight="false" outlineLevel="0" collapsed="false">
      <c r="A587" s="12"/>
      <c r="B587" s="34"/>
      <c r="C587" s="12"/>
      <c r="D587" s="12"/>
      <c r="E587" s="12"/>
      <c r="F587" s="12"/>
      <c r="G587" s="18"/>
      <c r="H587" s="35"/>
      <c r="I587" s="35"/>
      <c r="J587" s="12"/>
      <c r="O587" s="12"/>
      <c r="P587" s="18"/>
      <c r="Q587" s="12"/>
      <c r="R587" s="12"/>
      <c r="S587" s="12"/>
      <c r="T587" s="36"/>
      <c r="U587" s="36"/>
      <c r="V587" s="12"/>
      <c r="W587" s="12"/>
      <c r="X587" s="12"/>
      <c r="Y587" s="12"/>
      <c r="Z587" s="12"/>
    </row>
    <row r="588" customFormat="false" ht="15.75" hidden="false" customHeight="false" outlineLevel="0" collapsed="false">
      <c r="A588" s="12"/>
      <c r="B588" s="34"/>
      <c r="C588" s="12"/>
      <c r="D588" s="12"/>
      <c r="E588" s="12"/>
      <c r="F588" s="12"/>
      <c r="G588" s="18"/>
      <c r="H588" s="35"/>
      <c r="I588" s="35"/>
      <c r="J588" s="12"/>
      <c r="O588" s="12"/>
      <c r="P588" s="18"/>
      <c r="Q588" s="12"/>
      <c r="R588" s="12"/>
      <c r="S588" s="12"/>
      <c r="T588" s="36"/>
      <c r="U588" s="36"/>
      <c r="V588" s="12"/>
      <c r="W588" s="12"/>
      <c r="X588" s="12"/>
      <c r="Y588" s="12"/>
      <c r="Z588" s="12"/>
    </row>
    <row r="589" customFormat="false" ht="15.75" hidden="false" customHeight="false" outlineLevel="0" collapsed="false">
      <c r="A589" s="12"/>
      <c r="B589" s="34"/>
      <c r="C589" s="12"/>
      <c r="D589" s="12"/>
      <c r="E589" s="12"/>
      <c r="F589" s="12"/>
      <c r="G589" s="18"/>
      <c r="H589" s="35"/>
      <c r="I589" s="35"/>
      <c r="J589" s="12"/>
      <c r="O589" s="12"/>
      <c r="P589" s="18"/>
      <c r="Q589" s="12"/>
      <c r="R589" s="12"/>
      <c r="S589" s="12"/>
      <c r="T589" s="36"/>
      <c r="U589" s="36"/>
      <c r="V589" s="12"/>
      <c r="W589" s="12"/>
      <c r="X589" s="12"/>
      <c r="Y589" s="12"/>
      <c r="Z589" s="12"/>
    </row>
    <row r="590" customFormat="false" ht="15.75" hidden="false" customHeight="false" outlineLevel="0" collapsed="false">
      <c r="A590" s="12"/>
      <c r="B590" s="34"/>
      <c r="C590" s="12"/>
      <c r="D590" s="12"/>
      <c r="E590" s="12"/>
      <c r="F590" s="12"/>
      <c r="G590" s="18"/>
      <c r="H590" s="35"/>
      <c r="I590" s="35"/>
      <c r="J590" s="12"/>
      <c r="O590" s="12"/>
      <c r="P590" s="18"/>
      <c r="Q590" s="12"/>
      <c r="R590" s="12"/>
      <c r="S590" s="12"/>
      <c r="T590" s="36"/>
      <c r="U590" s="36"/>
      <c r="V590" s="12"/>
      <c r="W590" s="12"/>
      <c r="X590" s="12"/>
      <c r="Y590" s="12"/>
      <c r="Z590" s="12"/>
    </row>
    <row r="591" customFormat="false" ht="15.75" hidden="false" customHeight="false" outlineLevel="0" collapsed="false">
      <c r="A591" s="12"/>
      <c r="B591" s="34"/>
      <c r="C591" s="12"/>
      <c r="D591" s="12"/>
      <c r="E591" s="12"/>
      <c r="F591" s="12"/>
      <c r="G591" s="18"/>
      <c r="H591" s="35"/>
      <c r="I591" s="35"/>
      <c r="J591" s="12"/>
      <c r="O591" s="12"/>
      <c r="P591" s="18"/>
      <c r="Q591" s="12"/>
      <c r="R591" s="12"/>
      <c r="S591" s="12"/>
      <c r="T591" s="36"/>
      <c r="U591" s="36"/>
      <c r="V591" s="12"/>
      <c r="W591" s="12"/>
      <c r="X591" s="12"/>
      <c r="Y591" s="12"/>
      <c r="Z591" s="12"/>
    </row>
    <row r="592" customFormat="false" ht="15.75" hidden="false" customHeight="false" outlineLevel="0" collapsed="false">
      <c r="A592" s="12"/>
      <c r="B592" s="34"/>
      <c r="C592" s="12"/>
      <c r="D592" s="12"/>
      <c r="E592" s="12"/>
      <c r="F592" s="12"/>
      <c r="G592" s="18"/>
      <c r="H592" s="35"/>
      <c r="I592" s="35"/>
      <c r="J592" s="12"/>
      <c r="O592" s="12"/>
      <c r="P592" s="18"/>
      <c r="Q592" s="12"/>
      <c r="R592" s="12"/>
      <c r="S592" s="12"/>
      <c r="T592" s="36"/>
      <c r="U592" s="36"/>
      <c r="V592" s="12"/>
      <c r="W592" s="12"/>
      <c r="X592" s="12"/>
      <c r="Y592" s="12"/>
      <c r="Z592" s="12"/>
    </row>
    <row r="593" customFormat="false" ht="15.75" hidden="false" customHeight="false" outlineLevel="0" collapsed="false">
      <c r="A593" s="12"/>
      <c r="B593" s="34"/>
      <c r="C593" s="12"/>
      <c r="D593" s="12"/>
      <c r="E593" s="12"/>
      <c r="F593" s="12"/>
      <c r="G593" s="18"/>
      <c r="H593" s="35"/>
      <c r="I593" s="35"/>
      <c r="J593" s="12"/>
      <c r="O593" s="12"/>
      <c r="P593" s="18"/>
      <c r="Q593" s="12"/>
      <c r="R593" s="12"/>
      <c r="S593" s="12"/>
      <c r="T593" s="36"/>
      <c r="U593" s="36"/>
      <c r="V593" s="12"/>
      <c r="W593" s="12"/>
      <c r="X593" s="12"/>
      <c r="Y593" s="12"/>
      <c r="Z593" s="12"/>
    </row>
    <row r="594" customFormat="false" ht="15.75" hidden="false" customHeight="false" outlineLevel="0" collapsed="false">
      <c r="A594" s="12"/>
      <c r="B594" s="34"/>
      <c r="C594" s="12"/>
      <c r="D594" s="12"/>
      <c r="E594" s="12"/>
      <c r="F594" s="12"/>
      <c r="G594" s="18"/>
      <c r="H594" s="35"/>
      <c r="I594" s="35"/>
      <c r="J594" s="12"/>
      <c r="O594" s="12"/>
      <c r="P594" s="18"/>
      <c r="Q594" s="12"/>
      <c r="R594" s="12"/>
      <c r="S594" s="12"/>
      <c r="T594" s="36"/>
      <c r="U594" s="36"/>
      <c r="V594" s="12"/>
      <c r="W594" s="12"/>
      <c r="X594" s="12"/>
      <c r="Y594" s="12"/>
      <c r="Z594" s="12"/>
    </row>
    <row r="595" customFormat="false" ht="15.75" hidden="false" customHeight="false" outlineLevel="0" collapsed="false">
      <c r="A595" s="12"/>
      <c r="B595" s="34"/>
      <c r="C595" s="12"/>
      <c r="D595" s="12"/>
      <c r="E595" s="12"/>
      <c r="F595" s="12"/>
      <c r="G595" s="18"/>
      <c r="H595" s="35"/>
      <c r="I595" s="35"/>
      <c r="J595" s="12"/>
      <c r="O595" s="12"/>
      <c r="P595" s="18"/>
      <c r="Q595" s="12"/>
      <c r="R595" s="12"/>
      <c r="S595" s="12"/>
      <c r="T595" s="36"/>
      <c r="U595" s="36"/>
      <c r="V595" s="12"/>
      <c r="W595" s="12"/>
      <c r="X595" s="12"/>
      <c r="Y595" s="12"/>
      <c r="Z595" s="12"/>
    </row>
    <row r="596" customFormat="false" ht="15.75" hidden="false" customHeight="false" outlineLevel="0" collapsed="false">
      <c r="A596" s="12"/>
      <c r="B596" s="34"/>
      <c r="C596" s="12"/>
      <c r="D596" s="12"/>
      <c r="E596" s="12"/>
      <c r="F596" s="12"/>
      <c r="G596" s="18"/>
      <c r="H596" s="35"/>
      <c r="I596" s="35"/>
      <c r="J596" s="12"/>
      <c r="O596" s="12"/>
      <c r="P596" s="18"/>
      <c r="Q596" s="12"/>
      <c r="R596" s="12"/>
      <c r="S596" s="12"/>
      <c r="T596" s="36"/>
      <c r="U596" s="36"/>
      <c r="V596" s="12"/>
      <c r="W596" s="12"/>
      <c r="X596" s="12"/>
      <c r="Y596" s="12"/>
      <c r="Z596" s="12"/>
    </row>
    <row r="597" customFormat="false" ht="15.75" hidden="false" customHeight="false" outlineLevel="0" collapsed="false">
      <c r="A597" s="12"/>
      <c r="B597" s="34"/>
      <c r="C597" s="12"/>
      <c r="D597" s="12"/>
      <c r="E597" s="12"/>
      <c r="F597" s="12"/>
      <c r="G597" s="18"/>
      <c r="H597" s="35"/>
      <c r="I597" s="35"/>
      <c r="J597" s="12"/>
      <c r="O597" s="12"/>
      <c r="P597" s="18"/>
      <c r="Q597" s="12"/>
      <c r="R597" s="12"/>
      <c r="S597" s="12"/>
      <c r="T597" s="36"/>
      <c r="U597" s="36"/>
      <c r="V597" s="12"/>
      <c r="W597" s="12"/>
      <c r="X597" s="12"/>
      <c r="Y597" s="12"/>
      <c r="Z597" s="12"/>
    </row>
    <row r="598" customFormat="false" ht="15.75" hidden="false" customHeight="false" outlineLevel="0" collapsed="false">
      <c r="A598" s="12"/>
      <c r="B598" s="34"/>
      <c r="C598" s="12"/>
      <c r="D598" s="12"/>
      <c r="E598" s="12"/>
      <c r="F598" s="12"/>
      <c r="G598" s="18"/>
      <c r="H598" s="35"/>
      <c r="I598" s="35"/>
      <c r="J598" s="12"/>
      <c r="O598" s="12"/>
      <c r="P598" s="18"/>
      <c r="Q598" s="12"/>
      <c r="R598" s="12"/>
      <c r="S598" s="12"/>
      <c r="T598" s="36"/>
      <c r="U598" s="36"/>
      <c r="V598" s="12"/>
      <c r="W598" s="12"/>
      <c r="X598" s="12"/>
      <c r="Y598" s="12"/>
      <c r="Z598" s="12"/>
    </row>
    <row r="599" customFormat="false" ht="15.75" hidden="false" customHeight="false" outlineLevel="0" collapsed="false">
      <c r="A599" s="12"/>
      <c r="B599" s="34"/>
      <c r="C599" s="12"/>
      <c r="D599" s="12"/>
      <c r="E599" s="12"/>
      <c r="F599" s="12"/>
      <c r="G599" s="18"/>
      <c r="H599" s="35"/>
      <c r="I599" s="35"/>
      <c r="J599" s="12"/>
      <c r="O599" s="12"/>
      <c r="P599" s="18"/>
      <c r="Q599" s="12"/>
      <c r="R599" s="12"/>
      <c r="S599" s="12"/>
      <c r="T599" s="36"/>
      <c r="U599" s="36"/>
      <c r="V599" s="12"/>
      <c r="W599" s="12"/>
      <c r="X599" s="12"/>
      <c r="Y599" s="12"/>
      <c r="Z599" s="12"/>
    </row>
    <row r="600" customFormat="false" ht="15.75" hidden="false" customHeight="false" outlineLevel="0" collapsed="false">
      <c r="A600" s="12"/>
      <c r="B600" s="34"/>
      <c r="C600" s="12"/>
      <c r="D600" s="12"/>
      <c r="E600" s="12"/>
      <c r="F600" s="12"/>
      <c r="G600" s="18"/>
      <c r="H600" s="35"/>
      <c r="I600" s="35"/>
      <c r="J600" s="12"/>
      <c r="O600" s="12"/>
      <c r="P600" s="18"/>
      <c r="Q600" s="12"/>
      <c r="R600" s="12"/>
      <c r="S600" s="12"/>
      <c r="T600" s="36"/>
      <c r="U600" s="36"/>
      <c r="V600" s="12"/>
      <c r="W600" s="12"/>
      <c r="X600" s="12"/>
      <c r="Y600" s="12"/>
      <c r="Z600" s="12"/>
    </row>
    <row r="601" customFormat="false" ht="15.75" hidden="false" customHeight="false" outlineLevel="0" collapsed="false">
      <c r="A601" s="12"/>
      <c r="B601" s="34"/>
      <c r="C601" s="12"/>
      <c r="D601" s="12"/>
      <c r="E601" s="12"/>
      <c r="F601" s="12"/>
      <c r="G601" s="18"/>
      <c r="H601" s="35"/>
      <c r="I601" s="35"/>
      <c r="J601" s="12"/>
      <c r="O601" s="12"/>
      <c r="P601" s="18"/>
      <c r="Q601" s="12"/>
      <c r="R601" s="12"/>
      <c r="S601" s="12"/>
      <c r="T601" s="36"/>
      <c r="U601" s="36"/>
      <c r="V601" s="12"/>
      <c r="W601" s="12"/>
      <c r="X601" s="12"/>
      <c r="Y601" s="12"/>
      <c r="Z601" s="12"/>
    </row>
    <row r="602" customFormat="false" ht="15.75" hidden="false" customHeight="false" outlineLevel="0" collapsed="false">
      <c r="A602" s="12"/>
      <c r="B602" s="34"/>
      <c r="C602" s="12"/>
      <c r="D602" s="12"/>
      <c r="E602" s="12"/>
      <c r="F602" s="12"/>
      <c r="G602" s="18"/>
      <c r="H602" s="35"/>
      <c r="I602" s="35"/>
      <c r="J602" s="12"/>
      <c r="O602" s="12"/>
      <c r="P602" s="18"/>
      <c r="Q602" s="12"/>
      <c r="R602" s="12"/>
      <c r="S602" s="12"/>
      <c r="T602" s="36"/>
      <c r="U602" s="36"/>
      <c r="V602" s="12"/>
      <c r="W602" s="12"/>
      <c r="X602" s="12"/>
      <c r="Y602" s="12"/>
      <c r="Z602" s="12"/>
    </row>
    <row r="603" customFormat="false" ht="15.75" hidden="false" customHeight="false" outlineLevel="0" collapsed="false">
      <c r="A603" s="12"/>
      <c r="B603" s="34"/>
      <c r="C603" s="12"/>
      <c r="D603" s="12"/>
      <c r="E603" s="12"/>
      <c r="F603" s="12"/>
      <c r="G603" s="18"/>
      <c r="H603" s="35"/>
      <c r="I603" s="35"/>
      <c r="J603" s="12"/>
      <c r="O603" s="12"/>
      <c r="P603" s="18"/>
      <c r="Q603" s="12"/>
      <c r="R603" s="12"/>
      <c r="S603" s="12"/>
      <c r="T603" s="36"/>
      <c r="U603" s="36"/>
      <c r="V603" s="12"/>
      <c r="W603" s="12"/>
      <c r="X603" s="12"/>
      <c r="Y603" s="12"/>
      <c r="Z603" s="12"/>
    </row>
    <row r="604" customFormat="false" ht="15.75" hidden="false" customHeight="false" outlineLevel="0" collapsed="false">
      <c r="A604" s="12"/>
      <c r="B604" s="34"/>
      <c r="C604" s="12"/>
      <c r="D604" s="12"/>
      <c r="E604" s="12"/>
      <c r="F604" s="12"/>
      <c r="G604" s="18"/>
      <c r="H604" s="35"/>
      <c r="I604" s="35"/>
      <c r="J604" s="12"/>
      <c r="O604" s="12"/>
      <c r="P604" s="18"/>
      <c r="Q604" s="12"/>
      <c r="R604" s="12"/>
      <c r="S604" s="12"/>
      <c r="T604" s="36"/>
      <c r="U604" s="36"/>
      <c r="V604" s="12"/>
      <c r="W604" s="12"/>
      <c r="X604" s="12"/>
      <c r="Y604" s="12"/>
      <c r="Z604" s="12"/>
    </row>
    <row r="605" customFormat="false" ht="15.75" hidden="false" customHeight="false" outlineLevel="0" collapsed="false">
      <c r="A605" s="12"/>
      <c r="B605" s="34"/>
      <c r="C605" s="12"/>
      <c r="D605" s="12"/>
      <c r="E605" s="12"/>
      <c r="F605" s="12"/>
      <c r="G605" s="18"/>
      <c r="H605" s="35"/>
      <c r="I605" s="35"/>
      <c r="J605" s="12"/>
      <c r="O605" s="12"/>
      <c r="P605" s="18"/>
      <c r="Q605" s="12"/>
      <c r="R605" s="12"/>
      <c r="S605" s="12"/>
      <c r="T605" s="36"/>
      <c r="U605" s="36"/>
      <c r="V605" s="12"/>
      <c r="W605" s="12"/>
      <c r="X605" s="12"/>
      <c r="Y605" s="12"/>
      <c r="Z605" s="12"/>
    </row>
    <row r="606" customFormat="false" ht="15.75" hidden="false" customHeight="false" outlineLevel="0" collapsed="false">
      <c r="A606" s="12"/>
      <c r="B606" s="34"/>
      <c r="C606" s="12"/>
      <c r="D606" s="12"/>
      <c r="E606" s="12"/>
      <c r="F606" s="12"/>
      <c r="G606" s="18"/>
      <c r="H606" s="35"/>
      <c r="I606" s="35"/>
      <c r="J606" s="12"/>
      <c r="O606" s="12"/>
      <c r="P606" s="18"/>
      <c r="Q606" s="12"/>
      <c r="R606" s="12"/>
      <c r="S606" s="12"/>
      <c r="T606" s="36"/>
      <c r="U606" s="36"/>
      <c r="V606" s="12"/>
      <c r="W606" s="12"/>
      <c r="X606" s="12"/>
      <c r="Y606" s="12"/>
      <c r="Z606" s="12"/>
    </row>
    <row r="607" customFormat="false" ht="15.75" hidden="false" customHeight="false" outlineLevel="0" collapsed="false">
      <c r="A607" s="12"/>
      <c r="B607" s="34"/>
      <c r="C607" s="12"/>
      <c r="D607" s="12"/>
      <c r="E607" s="12"/>
      <c r="F607" s="12"/>
      <c r="G607" s="18"/>
      <c r="H607" s="35"/>
      <c r="I607" s="35"/>
      <c r="J607" s="12"/>
      <c r="O607" s="12"/>
      <c r="P607" s="18"/>
      <c r="Q607" s="12"/>
      <c r="R607" s="12"/>
      <c r="S607" s="12"/>
      <c r="T607" s="36"/>
      <c r="U607" s="36"/>
      <c r="V607" s="12"/>
      <c r="W607" s="12"/>
      <c r="X607" s="12"/>
      <c r="Y607" s="12"/>
      <c r="Z607" s="12"/>
    </row>
    <row r="608" customFormat="false" ht="15.75" hidden="false" customHeight="false" outlineLevel="0" collapsed="false">
      <c r="A608" s="12"/>
      <c r="B608" s="34"/>
      <c r="C608" s="12"/>
      <c r="D608" s="12"/>
      <c r="E608" s="12"/>
      <c r="F608" s="12"/>
      <c r="G608" s="18"/>
      <c r="H608" s="35"/>
      <c r="I608" s="35"/>
      <c r="J608" s="12"/>
      <c r="O608" s="12"/>
      <c r="P608" s="18"/>
      <c r="Q608" s="12"/>
      <c r="R608" s="12"/>
      <c r="S608" s="12"/>
      <c r="T608" s="36"/>
      <c r="U608" s="36"/>
      <c r="V608" s="12"/>
      <c r="W608" s="12"/>
      <c r="X608" s="12"/>
      <c r="Y608" s="12"/>
      <c r="Z608" s="12"/>
    </row>
    <row r="609" customFormat="false" ht="15.75" hidden="false" customHeight="false" outlineLevel="0" collapsed="false">
      <c r="A609" s="12"/>
      <c r="B609" s="34"/>
      <c r="C609" s="12"/>
      <c r="D609" s="12"/>
      <c r="E609" s="12"/>
      <c r="F609" s="12"/>
      <c r="G609" s="18"/>
      <c r="H609" s="35"/>
      <c r="I609" s="35"/>
      <c r="J609" s="12"/>
      <c r="O609" s="12"/>
      <c r="P609" s="18"/>
      <c r="Q609" s="12"/>
      <c r="R609" s="12"/>
      <c r="S609" s="12"/>
      <c r="T609" s="36"/>
      <c r="U609" s="36"/>
      <c r="V609" s="12"/>
      <c r="W609" s="12"/>
      <c r="X609" s="12"/>
      <c r="Y609" s="12"/>
      <c r="Z609" s="12"/>
    </row>
    <row r="610" customFormat="false" ht="15.75" hidden="false" customHeight="false" outlineLevel="0" collapsed="false">
      <c r="A610" s="12"/>
      <c r="B610" s="34"/>
      <c r="C610" s="12"/>
      <c r="D610" s="12"/>
      <c r="E610" s="12"/>
      <c r="F610" s="12"/>
      <c r="G610" s="18"/>
      <c r="H610" s="35"/>
      <c r="I610" s="35"/>
      <c r="J610" s="12"/>
      <c r="O610" s="12"/>
      <c r="P610" s="18"/>
      <c r="Q610" s="12"/>
      <c r="R610" s="12"/>
      <c r="S610" s="12"/>
      <c r="T610" s="36"/>
      <c r="U610" s="36"/>
      <c r="V610" s="12"/>
      <c r="W610" s="12"/>
      <c r="X610" s="12"/>
      <c r="Y610" s="12"/>
      <c r="Z610" s="12"/>
    </row>
    <row r="611" customFormat="false" ht="15.75" hidden="false" customHeight="false" outlineLevel="0" collapsed="false">
      <c r="A611" s="12"/>
      <c r="B611" s="34"/>
      <c r="C611" s="12"/>
      <c r="D611" s="12"/>
      <c r="E611" s="12"/>
      <c r="F611" s="12"/>
      <c r="G611" s="18"/>
      <c r="H611" s="35"/>
      <c r="I611" s="35"/>
      <c r="J611" s="12"/>
      <c r="O611" s="12"/>
      <c r="P611" s="18"/>
      <c r="Q611" s="12"/>
      <c r="R611" s="12"/>
      <c r="S611" s="12"/>
      <c r="T611" s="36"/>
      <c r="U611" s="36"/>
      <c r="V611" s="12"/>
      <c r="W611" s="12"/>
      <c r="X611" s="12"/>
      <c r="Y611" s="12"/>
      <c r="Z611" s="12"/>
    </row>
    <row r="612" customFormat="false" ht="15.75" hidden="false" customHeight="false" outlineLevel="0" collapsed="false">
      <c r="A612" s="12"/>
      <c r="B612" s="34"/>
      <c r="C612" s="12"/>
      <c r="D612" s="12"/>
      <c r="E612" s="12"/>
      <c r="F612" s="12"/>
      <c r="G612" s="18"/>
      <c r="H612" s="35"/>
      <c r="I612" s="35"/>
      <c r="J612" s="12"/>
      <c r="O612" s="12"/>
      <c r="P612" s="18"/>
      <c r="Q612" s="12"/>
      <c r="R612" s="12"/>
      <c r="S612" s="12"/>
      <c r="T612" s="36"/>
      <c r="U612" s="36"/>
      <c r="V612" s="12"/>
      <c r="W612" s="12"/>
      <c r="X612" s="12"/>
      <c r="Y612" s="12"/>
      <c r="Z612" s="12"/>
    </row>
    <row r="613" customFormat="false" ht="15.75" hidden="false" customHeight="false" outlineLevel="0" collapsed="false">
      <c r="A613" s="12"/>
      <c r="B613" s="34"/>
      <c r="C613" s="12"/>
      <c r="D613" s="12"/>
      <c r="E613" s="12"/>
      <c r="F613" s="12"/>
      <c r="G613" s="18"/>
      <c r="H613" s="35"/>
      <c r="I613" s="35"/>
      <c r="J613" s="12"/>
      <c r="O613" s="12"/>
      <c r="P613" s="18"/>
      <c r="Q613" s="12"/>
      <c r="R613" s="12"/>
      <c r="S613" s="12"/>
      <c r="T613" s="36"/>
      <c r="U613" s="36"/>
      <c r="V613" s="12"/>
      <c r="W613" s="12"/>
      <c r="X613" s="12"/>
      <c r="Y613" s="12"/>
      <c r="Z613" s="12"/>
    </row>
    <row r="614" customFormat="false" ht="15.75" hidden="false" customHeight="false" outlineLevel="0" collapsed="false">
      <c r="A614" s="12"/>
      <c r="B614" s="34"/>
      <c r="C614" s="12"/>
      <c r="D614" s="12"/>
      <c r="E614" s="12"/>
      <c r="F614" s="12"/>
      <c r="G614" s="18"/>
      <c r="H614" s="35"/>
      <c r="I614" s="35"/>
      <c r="J614" s="12"/>
      <c r="O614" s="12"/>
      <c r="P614" s="18"/>
      <c r="Q614" s="12"/>
      <c r="R614" s="12"/>
      <c r="S614" s="12"/>
      <c r="T614" s="36"/>
      <c r="U614" s="36"/>
      <c r="V614" s="12"/>
      <c r="W614" s="12"/>
      <c r="X614" s="12"/>
      <c r="Y614" s="12"/>
      <c r="Z614" s="12"/>
    </row>
    <row r="615" customFormat="false" ht="15.75" hidden="false" customHeight="false" outlineLevel="0" collapsed="false">
      <c r="A615" s="12"/>
      <c r="B615" s="34"/>
      <c r="C615" s="12"/>
      <c r="D615" s="12"/>
      <c r="E615" s="12"/>
      <c r="F615" s="12"/>
      <c r="G615" s="18"/>
      <c r="H615" s="35"/>
      <c r="I615" s="35"/>
      <c r="J615" s="12"/>
      <c r="O615" s="12"/>
      <c r="P615" s="18"/>
      <c r="Q615" s="12"/>
      <c r="R615" s="12"/>
      <c r="S615" s="12"/>
      <c r="T615" s="36"/>
      <c r="U615" s="36"/>
      <c r="V615" s="12"/>
      <c r="W615" s="12"/>
      <c r="X615" s="12"/>
      <c r="Y615" s="12"/>
      <c r="Z615" s="12"/>
    </row>
    <row r="616" customFormat="false" ht="15.75" hidden="false" customHeight="false" outlineLevel="0" collapsed="false">
      <c r="A616" s="12"/>
      <c r="B616" s="34"/>
      <c r="C616" s="12"/>
      <c r="D616" s="12"/>
      <c r="E616" s="12"/>
      <c r="F616" s="12"/>
      <c r="G616" s="18"/>
      <c r="H616" s="35"/>
      <c r="I616" s="35"/>
      <c r="J616" s="12"/>
      <c r="O616" s="12"/>
      <c r="P616" s="18"/>
      <c r="Q616" s="12"/>
      <c r="R616" s="12"/>
      <c r="S616" s="12"/>
      <c r="T616" s="36"/>
      <c r="U616" s="36"/>
      <c r="V616" s="12"/>
      <c r="W616" s="12"/>
      <c r="X616" s="12"/>
      <c r="Y616" s="12"/>
      <c r="Z616" s="12"/>
    </row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AH73"/>
  <conditionalFormatting sqref="T2:T69 U2:U616 R70 T71:T616">
    <cfRule type="expression" priority="2" aboveAverage="0" equalAverage="0" bottom="0" percent="0" rank="0" text="" dxfId="0">
      <formula>LEN(TRIM(#ref!))&gt;0</formula>
    </cfRule>
  </conditionalFormatting>
  <conditionalFormatting sqref="S2:S3 S5:S55 S58:S616">
    <cfRule type="expression" priority="3" aboveAverage="0" equalAverage="0" bottom="0" percent="0" rank="0" text="" dxfId="0">
      <formula>LEN(TRIM(S2))&gt;0</formula>
    </cfRule>
  </conditionalFormatting>
  <conditionalFormatting sqref="G2:G616 P2:P616">
    <cfRule type="containsText" priority="4" operator="containsText" aboveAverage="0" equalAverage="0" bottom="0" percent="0" rank="0" text="x" dxfId="0">
      <formula>NOT(ISERROR(SEARCH("x",G2)))</formula>
    </cfRule>
  </conditionalFormatting>
  <conditionalFormatting sqref="V2:V616">
    <cfRule type="expression" priority="5" aboveAverage="0" equalAverage="0" bottom="0" percent="0" rank="0" text="" dxfId="0">
      <formula>LEN(TRIM(V2))&gt;0</formula>
    </cfRule>
  </conditionalFormatting>
  <conditionalFormatting sqref="Y2:Y616">
    <cfRule type="expression" priority="6" aboveAverage="0" equalAverage="0" bottom="0" percent="0" rank="0" text="" dxfId="0">
      <formula>LEN(TRIM(Y2))&gt;0</formula>
    </cfRule>
  </conditionalFormatting>
  <conditionalFormatting sqref="Z2:Z616 R29">
    <cfRule type="cellIs" priority="7" operator="equal" aboveAverage="0" equalAverage="0" bottom="0" percent="0" rank="0" text="" dxfId="0">
      <formula>"Completo"</formula>
    </cfRule>
    <cfRule type="cellIs" priority="8" operator="equal" aboveAverage="0" equalAverage="0" bottom="0" percent="0" rank="0" text="" dxfId="1">
      <formula>"No aplica"</formula>
    </cfRule>
  </conditionalFormatting>
  <conditionalFormatting sqref="G2:J616 Q2:Q616 R2:R69 W2:X616 Z2:Z616 R71:R616">
    <cfRule type="cellIs" priority="9" operator="equal" aboveAverage="0" equalAverage="0" bottom="0" percent="0" rank="0" text="" dxfId="0">
      <formula>"Completo"</formula>
    </cfRule>
    <cfRule type="cellIs" priority="10" operator="equal" aboveAverage="0" equalAverage="0" bottom="0" percent="0" rank="0" text="" dxfId="1">
      <formula>"No Aplica"</formula>
    </cfRule>
  </conditionalFormatting>
  <dataValidations count="6">
    <dataValidation allowBlank="true" errorStyle="stop" operator="between" showDropDown="false" showErrorMessage="true" showInputMessage="false" sqref="AA2:AA47" type="list">
      <formula1>"Aceptada,En espera,Rechazada,No aplica"</formula1>
      <formula2>0</formula2>
    </dataValidation>
    <dataValidation allowBlank="true" errorStyle="stop" operator="between" showDropDown="false" showErrorMessage="false" showInputMessage="false" sqref="V2:V616" type="list">
      <formula1>LEYENDA!$A$23:$A$24</formula1>
      <formula2>0</formula2>
    </dataValidation>
    <dataValidation allowBlank="true" errorStyle="stop" operator="between" showDropDown="false" showErrorMessage="false" showInputMessage="false" sqref="T2:T69 R70 T71:T616" type="list">
      <formula1>LEYENDA!$A$15:$A$21</formula1>
      <formula2>0</formula2>
    </dataValidation>
    <dataValidation allowBlank="true" errorStyle="stop" operator="between" showDropDown="false" showErrorMessage="true" showInputMessage="false" sqref="D2:D616" type="list">
      <formula1>LEYENDA!$B$2:$D$2</formula1>
      <formula2>0</formula2>
    </dataValidation>
    <dataValidation allowBlank="true" errorStyle="stop" operator="between" showDropDown="false" showErrorMessage="true" showInputMessage="false" sqref="H2:J50 Q2:R69 W2:X616 Z2:Z616 H51 H52:J616 Q70 Q71:R616" type="list">
      <formula1>LEYENDA!$B$1:$C$1</formula1>
      <formula2>0</formula2>
    </dataValidation>
    <dataValidation allowBlank="true" errorStyle="stop" operator="between" showDropDown="false" showErrorMessage="false" showInputMessage="false" sqref="E2:E616" type="list">
      <formula1>LEYENDA!$A$8:$A$12</formula1>
      <formula2>0</formula2>
    </dataValidation>
  </dataValidations>
  <hyperlinks>
    <hyperlink ref="H8" r:id="rId1" display="Completo"/>
    <hyperlink ref="W8" r:id="rId2" display="Completo"/>
    <hyperlink ref="X8" r:id="rId3" display="Completo"/>
    <hyperlink ref="W10" r:id="rId4" display="Completo"/>
    <hyperlink ref="X10" r:id="rId5" display="Completo"/>
    <hyperlink ref="W11" r:id="rId6" display="Completo"/>
    <hyperlink ref="X11" r:id="rId7" display="Completo"/>
    <hyperlink ref="H12" r:id="rId8" display="Completo"/>
    <hyperlink ref="H18" r:id="rId9" display="Completo"/>
    <hyperlink ref="H20" r:id="rId10" display="Completo"/>
    <hyperlink ref="H21" r:id="rId11" display="Completo"/>
    <hyperlink ref="W21" r:id="rId12" display="Completo"/>
    <hyperlink ref="X21" r:id="rId13" display="Completo"/>
    <hyperlink ref="H22" r:id="rId14" display="Completo"/>
    <hyperlink ref="W22" r:id="rId15" display="Completo"/>
    <hyperlink ref="X22" r:id="rId16" display="Completo"/>
    <hyperlink ref="H23" r:id="rId17" display="Completo"/>
    <hyperlink ref="W23" r:id="rId18" display="Completo"/>
    <hyperlink ref="X23" r:id="rId19" display="Completo"/>
    <hyperlink ref="H24" r:id="rId20" display="Completo"/>
    <hyperlink ref="W24" r:id="rId21" display="Completo"/>
    <hyperlink ref="X24" r:id="rId22" display="Completo"/>
    <hyperlink ref="H25" r:id="rId23" display="Completo"/>
    <hyperlink ref="W25" r:id="rId24" display="Completo"/>
    <hyperlink ref="X25" r:id="rId25" display="Completo"/>
    <hyperlink ref="H26" r:id="rId26" display="Completo"/>
    <hyperlink ref="W26" r:id="rId27" display="Completo"/>
    <hyperlink ref="X26" r:id="rId28" display="Completo"/>
    <hyperlink ref="H28" r:id="rId29" display="Completo"/>
    <hyperlink ref="H29" r:id="rId30" display="Completo"/>
    <hyperlink ref="H30" r:id="rId31" display="Completo"/>
    <hyperlink ref="H31" r:id="rId32" display="Completo"/>
    <hyperlink ref="H32" r:id="rId33" display="Completo"/>
    <hyperlink ref="H33" r:id="rId34" display="Completo"/>
    <hyperlink ref="H34" r:id="rId35" display="Completo"/>
    <hyperlink ref="H35" r:id="rId36" display="Completo"/>
    <hyperlink ref="H36" r:id="rId37" display="Completo"/>
    <hyperlink ref="H37" r:id="rId38" display="Completo"/>
    <hyperlink ref="H38" r:id="rId39" display="Completo"/>
    <hyperlink ref="R38" r:id="rId40" display="Completo"/>
    <hyperlink ref="W38" r:id="rId41" display="Completo"/>
    <hyperlink ref="X38" r:id="rId42" display="Completo"/>
    <hyperlink ref="H39" r:id="rId43" display="Completo"/>
    <hyperlink ref="R39" r:id="rId44" display="Completo"/>
    <hyperlink ref="W39" r:id="rId45" display="Completo"/>
    <hyperlink ref="X39" r:id="rId46" display="Completo"/>
    <hyperlink ref="H40" r:id="rId47" display="Completo"/>
    <hyperlink ref="R40" r:id="rId48" display="Completo"/>
    <hyperlink ref="H41" r:id="rId49" display="Completo"/>
    <hyperlink ref="H42" r:id="rId50" display="Completo"/>
    <hyperlink ref="W42" r:id="rId51" display="Completo"/>
    <hyperlink ref="X42" r:id="rId52" display="Completo"/>
    <hyperlink ref="H43" r:id="rId53" display="Completo"/>
    <hyperlink ref="W43" r:id="rId54" display="Completo"/>
    <hyperlink ref="X43" r:id="rId55" display="Completo"/>
    <hyperlink ref="H44" r:id="rId56" display="Completo"/>
    <hyperlink ref="W44" r:id="rId57" display="Completo"/>
    <hyperlink ref="X44" r:id="rId58" display="Completo"/>
    <hyperlink ref="H45" r:id="rId59" display="Completo"/>
    <hyperlink ref="W45" r:id="rId60" display="Completo"/>
    <hyperlink ref="X45" r:id="rId61" display="Completo"/>
    <hyperlink ref="H46" r:id="rId62" display="Completo"/>
    <hyperlink ref="W46" r:id="rId63" display="Completo"/>
    <hyperlink ref="X46" r:id="rId64" display="Completo"/>
    <hyperlink ref="H47" r:id="rId65" display="Completo"/>
  </hyperlinks>
  <printOptions headings="false" gridLines="true" gridLinesSet="true" horizontalCentered="true" verticalCentered="false"/>
  <pageMargins left="0.7" right="0.7" top="0.75" bottom="0.75" header="0.511811023622047" footer="0.511811023622047"/>
  <pageSetup paperSize="9" scale="100" fitToWidth="1" fitToHeight="0" pageOrder="overThenDown" orientation="landscape" blackAndWhite="false" draft="false" cellComments="none" horizontalDpi="300" verticalDpi="300" copies="1"/>
  <headerFooter differentFirst="false" differentOddEven="false">
    <oddHeader/>
    <oddFooter/>
  </headerFooter>
  <drawing r:id="rId66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XFD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9" ySplit="3" topLeftCell="J4" activePane="bottomRight" state="frozen"/>
      <selection pane="topLeft" activeCell="A1" activeCellId="0" sqref="A1"/>
      <selection pane="topRight" activeCell="J1" activeCellId="0" sqref="J1"/>
      <selection pane="bottomLeft" activeCell="A4" activeCellId="0" sqref="A4"/>
      <selection pane="bottomRight" activeCell="J1" activeCellId="0" sqref="J1"/>
    </sheetView>
  </sheetViews>
  <sheetFormatPr defaultColWidth="12.6328125" defaultRowHeight="15.75" zeroHeight="false" outlineLevelRow="0" outlineLevelCol="0"/>
  <cols>
    <col collapsed="false" customWidth="true" hidden="false" outlineLevel="0" max="1" min="1" style="1" width="10.25"/>
    <col collapsed="false" customWidth="true" hidden="false" outlineLevel="0" max="2" min="2" style="1" width="10.38"/>
    <col collapsed="false" customWidth="true" hidden="false" outlineLevel="0" max="5" min="3" style="1" width="16.38"/>
    <col collapsed="false" customWidth="true" hidden="false" outlineLevel="0" max="6" min="6" style="1" width="22.75"/>
    <col collapsed="false" customWidth="true" hidden="false" outlineLevel="0" max="7" min="7" style="1" width="14.13"/>
    <col collapsed="false" customWidth="true" hidden="false" outlineLevel="0" max="9" min="8" style="1" width="10.13"/>
    <col collapsed="false" customWidth="true" hidden="false" outlineLevel="0" max="10" min="10" style="1" width="12.88"/>
    <col collapsed="false" customWidth="true" hidden="false" outlineLevel="0" max="12" min="11" style="1" width="12"/>
    <col collapsed="false" customWidth="true" hidden="false" outlineLevel="0" max="13" min="13" style="1" width="10"/>
    <col collapsed="false" customWidth="true" hidden="false" outlineLevel="0" max="14" min="14" style="1" width="12.25"/>
    <col collapsed="false" customWidth="true" hidden="false" outlineLevel="0" max="15" min="15" style="1" width="26.12"/>
    <col collapsed="false" customWidth="true" hidden="true" outlineLevel="0" max="16" min="16" style="1" width="18"/>
    <col collapsed="false" customWidth="true" hidden="false" outlineLevel="0" max="18" min="17" style="1" width="10.63"/>
    <col collapsed="false" customWidth="true" hidden="false" outlineLevel="0" max="19" min="19" style="1" width="8.5"/>
    <col collapsed="false" customWidth="true" hidden="false" outlineLevel="0" max="21" min="21" style="1" width="25.38"/>
    <col collapsed="false" customWidth="true" hidden="false" outlineLevel="0" max="22" min="22" style="1" width="18.13"/>
    <col collapsed="false" customWidth="true" hidden="false" outlineLevel="0" max="23" min="23" style="1" width="10.13"/>
    <col collapsed="false" customWidth="true" hidden="false" outlineLevel="0" max="24" min="24" style="1" width="11.38"/>
    <col collapsed="false" customWidth="true" hidden="false" outlineLevel="0" max="25" min="25" style="1" width="24.38"/>
    <col collapsed="false" customWidth="true" hidden="false" outlineLevel="0" max="16384" min="16382" style="1" width="11.53"/>
  </cols>
  <sheetData>
    <row r="1" customFormat="false" ht="42.5" hidden="false" customHeight="false" outlineLevel="0" collapsed="false">
      <c r="A1" s="2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/>
      <c r="J1" s="4" t="s">
        <v>8</v>
      </c>
      <c r="K1" s="2"/>
      <c r="L1" s="2" t="s">
        <v>9</v>
      </c>
      <c r="M1" s="2" t="s">
        <v>10</v>
      </c>
      <c r="N1" s="4" t="s">
        <v>11</v>
      </c>
      <c r="O1" s="3" t="s">
        <v>12</v>
      </c>
      <c r="P1" s="7" t="s">
        <v>13</v>
      </c>
      <c r="Q1" s="7" t="s">
        <v>14</v>
      </c>
      <c r="R1" s="7" t="s">
        <v>15</v>
      </c>
      <c r="S1" s="7" t="s">
        <v>16</v>
      </c>
      <c r="T1" s="7" t="s">
        <v>17</v>
      </c>
      <c r="U1" s="8" t="s">
        <v>18</v>
      </c>
      <c r="V1" s="9" t="s">
        <v>19</v>
      </c>
      <c r="W1" s="9" t="s">
        <v>20</v>
      </c>
      <c r="X1" s="10" t="s">
        <v>15</v>
      </c>
      <c r="Y1" s="11" t="s">
        <v>21</v>
      </c>
      <c r="Z1" s="11" t="s">
        <v>22</v>
      </c>
      <c r="AA1" s="12"/>
      <c r="AB1" s="12"/>
      <c r="AC1" s="12"/>
      <c r="AD1" s="12"/>
      <c r="AE1" s="12"/>
      <c r="AF1" s="12"/>
      <c r="XFB1" s="0"/>
      <c r="XFC1" s="0"/>
      <c r="XFD1" s="0"/>
    </row>
    <row r="2" customFormat="false" ht="15.75" hidden="false" customHeight="false" outlineLevel="0" collapsed="false">
      <c r="A2" s="19" t="n">
        <v>7726</v>
      </c>
      <c r="B2" s="14" t="n">
        <v>45293</v>
      </c>
      <c r="C2" s="16" t="s">
        <v>357</v>
      </c>
      <c r="D2" s="30" t="s">
        <v>24</v>
      </c>
      <c r="E2" s="21" t="s">
        <v>25</v>
      </c>
      <c r="F2" s="21" t="s">
        <v>1017</v>
      </c>
      <c r="G2" s="30"/>
      <c r="H2" s="45" t="s">
        <v>28</v>
      </c>
      <c r="I2" s="31" t="s">
        <v>28</v>
      </c>
      <c r="J2" s="21" t="s">
        <v>28</v>
      </c>
      <c r="K2" s="21"/>
      <c r="L2" s="21"/>
      <c r="M2" s="21"/>
      <c r="N2" s="21" t="s">
        <v>1018</v>
      </c>
      <c r="O2" s="21"/>
      <c r="P2" s="30"/>
      <c r="Q2" s="21"/>
      <c r="R2" s="21"/>
      <c r="S2" s="21"/>
      <c r="T2" s="32"/>
      <c r="U2" s="20"/>
      <c r="V2" s="21" t="s">
        <v>58</v>
      </c>
      <c r="W2" s="46" t="s">
        <v>28</v>
      </c>
      <c r="X2" s="46" t="s">
        <v>28</v>
      </c>
      <c r="Y2" s="21" t="s">
        <v>36</v>
      </c>
      <c r="Z2" s="21" t="s">
        <v>28</v>
      </c>
      <c r="AA2" s="12" t="s">
        <v>32</v>
      </c>
    </row>
    <row r="3" customFormat="false" ht="15.75" hidden="false" customHeight="false" outlineLevel="0" collapsed="false">
      <c r="A3" s="21" t="n">
        <v>7727</v>
      </c>
      <c r="B3" s="29" t="n">
        <v>45293</v>
      </c>
      <c r="C3" s="21" t="s">
        <v>41</v>
      </c>
      <c r="D3" s="30" t="s">
        <v>24</v>
      </c>
      <c r="E3" s="21" t="s">
        <v>25</v>
      </c>
      <c r="F3" s="21" t="s">
        <v>1017</v>
      </c>
      <c r="G3" s="30"/>
      <c r="H3" s="31" t="s">
        <v>28</v>
      </c>
      <c r="I3" s="31" t="s">
        <v>28</v>
      </c>
      <c r="J3" s="21" t="s">
        <v>28</v>
      </c>
      <c r="K3" s="21"/>
      <c r="L3" s="21"/>
      <c r="M3" s="21"/>
      <c r="N3" s="21" t="s">
        <v>1018</v>
      </c>
      <c r="O3" s="21"/>
      <c r="P3" s="30"/>
      <c r="Q3" s="21"/>
      <c r="R3" s="21"/>
      <c r="S3" s="21"/>
      <c r="T3" s="32"/>
      <c r="U3" s="20"/>
      <c r="V3" s="21" t="s">
        <v>58</v>
      </c>
      <c r="W3" s="46" t="s">
        <v>28</v>
      </c>
      <c r="X3" s="46" t="s">
        <v>28</v>
      </c>
      <c r="Y3" s="21" t="s">
        <v>36</v>
      </c>
      <c r="Z3" s="21" t="s">
        <v>28</v>
      </c>
      <c r="AA3" s="12" t="s">
        <v>32</v>
      </c>
    </row>
    <row r="4" customFormat="false" ht="15.75" hidden="false" customHeight="false" outlineLevel="0" collapsed="false">
      <c r="A4" s="24" t="n">
        <v>7728</v>
      </c>
      <c r="B4" s="29" t="n">
        <v>45293</v>
      </c>
      <c r="C4" s="21" t="s">
        <v>75</v>
      </c>
      <c r="D4" s="21" t="s">
        <v>24</v>
      </c>
      <c r="E4" s="21" t="s">
        <v>222</v>
      </c>
      <c r="F4" s="21" t="s">
        <v>1019</v>
      </c>
      <c r="G4" s="30" t="s">
        <v>1020</v>
      </c>
      <c r="H4" s="31" t="s">
        <v>28</v>
      </c>
      <c r="I4" s="31" t="s">
        <v>28</v>
      </c>
      <c r="J4" s="21" t="s">
        <v>28</v>
      </c>
      <c r="K4" s="21"/>
      <c r="L4" s="21"/>
      <c r="M4" s="21"/>
      <c r="N4" s="21" t="s">
        <v>1021</v>
      </c>
      <c r="O4" s="21"/>
      <c r="P4" s="30"/>
      <c r="Q4" s="21"/>
      <c r="R4" s="21"/>
      <c r="T4" s="32"/>
      <c r="U4" s="20"/>
      <c r="V4" s="21"/>
      <c r="W4" s="21"/>
      <c r="X4" s="21"/>
      <c r="Y4" s="21"/>
      <c r="Z4" s="21" t="s">
        <v>37</v>
      </c>
      <c r="AA4" s="12" t="s">
        <v>40</v>
      </c>
    </row>
    <row r="5" customFormat="false" ht="15.75" hidden="false" customHeight="false" outlineLevel="0" collapsed="false">
      <c r="A5" s="24" t="n">
        <v>7729</v>
      </c>
      <c r="B5" s="29" t="n">
        <v>45293</v>
      </c>
      <c r="C5" s="21" t="s">
        <v>78</v>
      </c>
      <c r="D5" s="30" t="s">
        <v>24</v>
      </c>
      <c r="E5" s="21" t="s">
        <v>222</v>
      </c>
      <c r="F5" s="21" t="s">
        <v>1022</v>
      </c>
      <c r="G5" s="30" t="s">
        <v>1020</v>
      </c>
      <c r="H5" s="31" t="s">
        <v>28</v>
      </c>
      <c r="I5" s="31" t="s">
        <v>28</v>
      </c>
      <c r="J5" s="21" t="s">
        <v>28</v>
      </c>
      <c r="K5" s="21"/>
      <c r="L5" s="21"/>
      <c r="N5" s="21" t="s">
        <v>1021</v>
      </c>
      <c r="O5" s="21"/>
      <c r="P5" s="30"/>
      <c r="Q5" s="21"/>
      <c r="R5" s="21"/>
      <c r="S5" s="21"/>
      <c r="T5" s="32"/>
      <c r="U5" s="32"/>
      <c r="V5" s="21"/>
      <c r="W5" s="21"/>
      <c r="X5" s="21"/>
      <c r="Y5" s="21"/>
      <c r="Z5" s="21" t="s">
        <v>37</v>
      </c>
      <c r="AA5" s="12" t="s">
        <v>40</v>
      </c>
    </row>
    <row r="6" customFormat="false" ht="15.75" hidden="false" customHeight="false" outlineLevel="0" collapsed="false">
      <c r="A6" s="24" t="n">
        <v>7730</v>
      </c>
      <c r="B6" s="29" t="n">
        <v>45294</v>
      </c>
      <c r="C6" s="21" t="s">
        <v>188</v>
      </c>
      <c r="D6" s="21" t="s">
        <v>24</v>
      </c>
      <c r="E6" s="21" t="s">
        <v>34</v>
      </c>
      <c r="F6" s="21" t="s">
        <v>1023</v>
      </c>
      <c r="G6" s="30"/>
      <c r="H6" s="31"/>
      <c r="I6" s="31"/>
      <c r="J6" s="21"/>
      <c r="K6" s="21"/>
      <c r="L6" s="21"/>
      <c r="M6" s="21"/>
      <c r="N6" s="21"/>
      <c r="O6" s="21"/>
      <c r="P6" s="30"/>
      <c r="Q6" s="21"/>
      <c r="R6" s="21"/>
      <c r="S6" s="21"/>
      <c r="T6" s="32"/>
      <c r="U6" s="32"/>
      <c r="V6" s="21"/>
      <c r="W6" s="21"/>
      <c r="X6" s="21"/>
      <c r="Y6" s="21"/>
      <c r="Z6" s="21" t="s">
        <v>37</v>
      </c>
      <c r="AA6" s="12" t="s">
        <v>40</v>
      </c>
    </row>
    <row r="7" customFormat="false" ht="15.75" hidden="false" customHeight="false" outlineLevel="0" collapsed="false">
      <c r="A7" s="24" t="n">
        <v>7731</v>
      </c>
      <c r="B7" s="29" t="n">
        <v>45294</v>
      </c>
      <c r="C7" s="21" t="s">
        <v>1024</v>
      </c>
      <c r="D7" s="21" t="s">
        <v>24</v>
      </c>
      <c r="E7" s="21" t="s">
        <v>34</v>
      </c>
      <c r="F7" s="21" t="s">
        <v>1025</v>
      </c>
      <c r="G7" s="30"/>
      <c r="H7" s="31"/>
      <c r="I7" s="31"/>
      <c r="J7" s="21"/>
      <c r="K7" s="21"/>
      <c r="L7" s="21"/>
      <c r="M7" s="21"/>
      <c r="N7" s="21"/>
      <c r="O7" s="21"/>
      <c r="P7" s="30"/>
      <c r="Q7" s="21"/>
      <c r="R7" s="21"/>
      <c r="S7" s="21"/>
      <c r="T7" s="32"/>
      <c r="U7" s="32"/>
      <c r="V7" s="21"/>
      <c r="W7" s="21"/>
      <c r="X7" s="21"/>
      <c r="Y7" s="21"/>
      <c r="Z7" s="21" t="s">
        <v>28</v>
      </c>
      <c r="AA7" s="12" t="s">
        <v>32</v>
      </c>
    </row>
    <row r="8" customFormat="false" ht="15.75" hidden="false" customHeight="false" outlineLevel="0" collapsed="false">
      <c r="A8" s="24" t="n">
        <v>7732</v>
      </c>
      <c r="B8" s="29" t="n">
        <v>45294</v>
      </c>
      <c r="C8" s="21" t="s">
        <v>1024</v>
      </c>
      <c r="D8" s="21" t="s">
        <v>24</v>
      </c>
      <c r="E8" s="21" t="s">
        <v>34</v>
      </c>
      <c r="F8" s="21" t="s">
        <v>1026</v>
      </c>
      <c r="G8" s="30"/>
      <c r="H8" s="31"/>
      <c r="I8" s="31"/>
      <c r="J8" s="21"/>
      <c r="K8" s="21"/>
      <c r="L8" s="21"/>
      <c r="M8" s="21"/>
      <c r="N8" s="21"/>
      <c r="O8" s="21"/>
      <c r="P8" s="30"/>
      <c r="Q8" s="21"/>
      <c r="R8" s="21"/>
      <c r="S8" s="21"/>
      <c r="T8" s="32"/>
      <c r="U8" s="32"/>
      <c r="V8" s="21"/>
      <c r="W8" s="21"/>
      <c r="X8" s="21"/>
      <c r="Y8" s="21"/>
      <c r="Z8" s="21" t="s">
        <v>28</v>
      </c>
      <c r="AA8" s="12" t="s">
        <v>32</v>
      </c>
    </row>
    <row r="9" customFormat="false" ht="15.75" hidden="false" customHeight="false" outlineLevel="0" collapsed="false">
      <c r="A9" s="24" t="n">
        <v>7733</v>
      </c>
      <c r="B9" s="29" t="n">
        <v>44930</v>
      </c>
      <c r="C9" s="21" t="s">
        <v>571</v>
      </c>
      <c r="D9" s="21" t="s">
        <v>24</v>
      </c>
      <c r="E9" s="21" t="s">
        <v>25</v>
      </c>
      <c r="F9" s="21" t="s">
        <v>767</v>
      </c>
      <c r="G9" s="30"/>
      <c r="H9" s="45" t="s">
        <v>28</v>
      </c>
      <c r="I9" s="31" t="s">
        <v>28</v>
      </c>
      <c r="J9" s="21" t="s">
        <v>28</v>
      </c>
      <c r="K9" s="21"/>
      <c r="L9" s="21"/>
      <c r="M9" s="21"/>
      <c r="N9" s="21" t="n">
        <v>40005480</v>
      </c>
      <c r="O9" s="21"/>
      <c r="P9" s="30"/>
      <c r="Q9" s="21"/>
      <c r="R9" s="21"/>
      <c r="S9" s="21"/>
      <c r="T9" s="32"/>
      <c r="U9" s="32"/>
      <c r="V9" s="21" t="s">
        <v>58</v>
      </c>
      <c r="W9" s="46" t="s">
        <v>28</v>
      </c>
      <c r="X9" s="46" t="s">
        <v>28</v>
      </c>
      <c r="Y9" s="21" t="s">
        <v>36</v>
      </c>
      <c r="Z9" s="21" t="s">
        <v>28</v>
      </c>
      <c r="AA9" s="12" t="s">
        <v>32</v>
      </c>
    </row>
    <row r="10" customFormat="false" ht="15.75" hidden="false" customHeight="false" outlineLevel="0" collapsed="false">
      <c r="A10" s="24" t="n">
        <v>7734</v>
      </c>
      <c r="B10" s="29" t="n">
        <v>44930</v>
      </c>
      <c r="C10" s="21" t="s">
        <v>571</v>
      </c>
      <c r="D10" s="21" t="s">
        <v>24</v>
      </c>
      <c r="E10" s="21" t="s">
        <v>25</v>
      </c>
      <c r="F10" s="21" t="s">
        <v>804</v>
      </c>
      <c r="G10" s="30"/>
      <c r="H10" s="45" t="s">
        <v>28</v>
      </c>
      <c r="I10" s="31" t="s">
        <v>28</v>
      </c>
      <c r="J10" s="21" t="s">
        <v>28</v>
      </c>
      <c r="K10" s="21"/>
      <c r="L10" s="21"/>
      <c r="M10" s="21"/>
      <c r="N10" s="21" t="n">
        <v>40005477</v>
      </c>
      <c r="O10" s="21"/>
      <c r="P10" s="30"/>
      <c r="Q10" s="21"/>
      <c r="R10" s="21"/>
      <c r="S10" s="21"/>
      <c r="T10" s="32"/>
      <c r="U10" s="32"/>
      <c r="V10" s="21" t="s">
        <v>58</v>
      </c>
      <c r="W10" s="46" t="s">
        <v>28</v>
      </c>
      <c r="X10" s="46" t="s">
        <v>28</v>
      </c>
      <c r="Y10" s="21" t="s">
        <v>36</v>
      </c>
      <c r="Z10" s="21" t="s">
        <v>28</v>
      </c>
      <c r="AA10" s="12" t="s">
        <v>32</v>
      </c>
    </row>
    <row r="11" customFormat="false" ht="15.75" hidden="false" customHeight="false" outlineLevel="0" collapsed="false">
      <c r="A11" s="24" t="n">
        <v>7735</v>
      </c>
      <c r="B11" s="29" t="n">
        <v>45283</v>
      </c>
      <c r="C11" s="21" t="s">
        <v>1027</v>
      </c>
      <c r="D11" s="21" t="s">
        <v>24</v>
      </c>
      <c r="E11" s="21" t="s">
        <v>25</v>
      </c>
      <c r="F11" s="21" t="s">
        <v>1028</v>
      </c>
      <c r="G11" s="30"/>
      <c r="H11" s="31" t="s">
        <v>28</v>
      </c>
      <c r="I11" s="31" t="s">
        <v>28</v>
      </c>
      <c r="J11" s="21" t="s">
        <v>28</v>
      </c>
      <c r="K11" s="21"/>
      <c r="L11" s="21" t="n">
        <v>3515636491</v>
      </c>
      <c r="M11" s="21" t="s">
        <v>1029</v>
      </c>
      <c r="N11" s="21" t="n">
        <v>1964</v>
      </c>
      <c r="O11" s="21"/>
      <c r="P11" s="30"/>
      <c r="Q11" s="21"/>
      <c r="R11" s="21"/>
      <c r="S11" s="21"/>
      <c r="T11" s="32"/>
      <c r="U11" s="32"/>
      <c r="V11" s="21"/>
      <c r="W11" s="21"/>
      <c r="X11" s="21"/>
      <c r="Y11" s="21"/>
      <c r="Z11" s="21" t="s">
        <v>28</v>
      </c>
      <c r="AA11" s="12" t="s">
        <v>156</v>
      </c>
    </row>
    <row r="12" customFormat="false" ht="15.75" hidden="false" customHeight="false" outlineLevel="0" collapsed="false">
      <c r="A12" s="24" t="n">
        <v>7736</v>
      </c>
      <c r="B12" s="29" t="n">
        <v>45283</v>
      </c>
      <c r="C12" s="21" t="s">
        <v>1030</v>
      </c>
      <c r="D12" s="21" t="s">
        <v>24</v>
      </c>
      <c r="E12" s="21" t="s">
        <v>25</v>
      </c>
      <c r="F12" s="21" t="s">
        <v>1031</v>
      </c>
      <c r="G12" s="30"/>
      <c r="H12" s="31" t="s">
        <v>28</v>
      </c>
      <c r="I12" s="31" t="s">
        <v>28</v>
      </c>
      <c r="J12" s="21" t="s">
        <v>28</v>
      </c>
      <c r="K12" s="21"/>
      <c r="L12" s="21"/>
      <c r="M12" s="21"/>
      <c r="N12" s="21" t="n">
        <v>1964</v>
      </c>
      <c r="O12" s="21"/>
      <c r="P12" s="30"/>
      <c r="Q12" s="21"/>
      <c r="R12" s="21"/>
      <c r="S12" s="21"/>
      <c r="T12" s="32"/>
      <c r="U12" s="32"/>
      <c r="V12" s="21"/>
      <c r="W12" s="21"/>
      <c r="X12" s="21"/>
      <c r="Y12" s="21"/>
      <c r="Z12" s="21" t="s">
        <v>28</v>
      </c>
      <c r="AA12" s="12" t="s">
        <v>156</v>
      </c>
    </row>
    <row r="13" customFormat="false" ht="15.75" hidden="false" customHeight="false" outlineLevel="0" collapsed="false">
      <c r="A13" s="24" t="n">
        <v>7737</v>
      </c>
      <c r="B13" s="29" t="n">
        <v>45283</v>
      </c>
      <c r="C13" s="21" t="s">
        <v>1030</v>
      </c>
      <c r="D13" s="21" t="s">
        <v>24</v>
      </c>
      <c r="E13" s="21" t="s">
        <v>25</v>
      </c>
      <c r="F13" s="21" t="s">
        <v>1032</v>
      </c>
      <c r="G13" s="30"/>
      <c r="H13" s="31" t="s">
        <v>28</v>
      </c>
      <c r="I13" s="31" t="s">
        <v>28</v>
      </c>
      <c r="J13" s="21" t="s">
        <v>28</v>
      </c>
      <c r="K13" s="21"/>
      <c r="L13" s="21"/>
      <c r="M13" s="21"/>
      <c r="N13" s="21" t="n">
        <v>1964</v>
      </c>
      <c r="O13" s="21"/>
      <c r="P13" s="30"/>
      <c r="Q13" s="21"/>
      <c r="R13" s="21"/>
      <c r="S13" s="21"/>
      <c r="T13" s="32"/>
      <c r="U13" s="32"/>
      <c r="V13" s="21"/>
      <c r="W13" s="21"/>
      <c r="X13" s="21"/>
      <c r="Y13" s="21"/>
      <c r="Z13" s="21" t="s">
        <v>28</v>
      </c>
      <c r="AA13" s="12" t="s">
        <v>32</v>
      </c>
    </row>
    <row r="14" customFormat="false" ht="15.75" hidden="false" customHeight="false" outlineLevel="0" collapsed="false">
      <c r="A14" s="24" t="n">
        <v>7738</v>
      </c>
      <c r="B14" s="29" t="n">
        <v>45295</v>
      </c>
      <c r="C14" s="21" t="s">
        <v>1033</v>
      </c>
      <c r="D14" s="21" t="s">
        <v>24</v>
      </c>
      <c r="E14" s="21" t="s">
        <v>25</v>
      </c>
      <c r="F14" s="21" t="s">
        <v>1034</v>
      </c>
      <c r="G14" s="30"/>
      <c r="H14" s="45" t="s">
        <v>28</v>
      </c>
      <c r="I14" s="31"/>
      <c r="J14" s="21"/>
      <c r="K14" s="21"/>
      <c r="L14" s="21"/>
      <c r="M14" s="21"/>
      <c r="N14" s="21"/>
      <c r="O14" s="21"/>
      <c r="P14" s="30"/>
      <c r="Q14" s="21"/>
      <c r="R14" s="21"/>
      <c r="S14" s="21"/>
      <c r="T14" s="32"/>
      <c r="U14" s="32"/>
      <c r="V14" s="21"/>
      <c r="W14" s="21"/>
      <c r="X14" s="21"/>
      <c r="Y14" s="21"/>
      <c r="Z14" s="21" t="s">
        <v>37</v>
      </c>
      <c r="AA14" s="12" t="s">
        <v>40</v>
      </c>
    </row>
    <row r="15" customFormat="false" ht="15.75" hidden="false" customHeight="false" outlineLevel="0" collapsed="false">
      <c r="A15" s="24" t="s">
        <v>1035</v>
      </c>
      <c r="B15" s="29" t="n">
        <v>45295</v>
      </c>
      <c r="C15" s="21" t="s">
        <v>1036</v>
      </c>
      <c r="D15" s="21" t="s">
        <v>578</v>
      </c>
      <c r="E15" s="21" t="s">
        <v>34</v>
      </c>
      <c r="F15" s="21" t="s">
        <v>1037</v>
      </c>
      <c r="G15" s="30"/>
      <c r="H15" s="31"/>
      <c r="I15" s="31"/>
      <c r="J15" s="21"/>
      <c r="K15" s="21"/>
      <c r="L15" s="21"/>
      <c r="M15" s="21"/>
      <c r="N15" s="21"/>
      <c r="O15" s="21"/>
      <c r="P15" s="30"/>
      <c r="Q15" s="21"/>
      <c r="R15" s="21"/>
      <c r="S15" s="21"/>
      <c r="T15" s="32"/>
      <c r="U15" s="32"/>
      <c r="V15" s="21"/>
      <c r="W15" s="21"/>
      <c r="X15" s="21"/>
      <c r="Y15" s="21"/>
      <c r="Z15" s="21" t="s">
        <v>37</v>
      </c>
      <c r="AA15" s="12" t="s">
        <v>40</v>
      </c>
    </row>
    <row r="16" customFormat="false" ht="15.75" hidden="false" customHeight="false" outlineLevel="0" collapsed="false">
      <c r="A16" s="24" t="s">
        <v>1038</v>
      </c>
      <c r="B16" s="29" t="n">
        <v>45295</v>
      </c>
      <c r="C16" s="21" t="s">
        <v>1036</v>
      </c>
      <c r="D16" s="21" t="s">
        <v>578</v>
      </c>
      <c r="E16" s="21" t="s">
        <v>34</v>
      </c>
      <c r="F16" s="21" t="s">
        <v>1037</v>
      </c>
      <c r="G16" s="30"/>
      <c r="H16" s="31"/>
      <c r="I16" s="31"/>
      <c r="J16" s="21"/>
      <c r="K16" s="21"/>
      <c r="L16" s="21"/>
      <c r="M16" s="21"/>
      <c r="N16" s="21"/>
      <c r="O16" s="21"/>
      <c r="P16" s="30"/>
      <c r="Q16" s="21"/>
      <c r="R16" s="21"/>
      <c r="S16" s="21"/>
      <c r="T16" s="32"/>
      <c r="U16" s="32"/>
      <c r="V16" s="21"/>
      <c r="W16" s="21"/>
      <c r="X16" s="21"/>
      <c r="Y16" s="21"/>
      <c r="Z16" s="21" t="s">
        <v>37</v>
      </c>
      <c r="AA16" s="12" t="s">
        <v>40</v>
      </c>
    </row>
    <row r="17" customFormat="false" ht="15.75" hidden="false" customHeight="false" outlineLevel="0" collapsed="false">
      <c r="A17" s="24" t="s">
        <v>1039</v>
      </c>
      <c r="B17" s="29" t="n">
        <v>45295</v>
      </c>
      <c r="C17" s="21" t="s">
        <v>136</v>
      </c>
      <c r="D17" s="21" t="s">
        <v>578</v>
      </c>
      <c r="E17" s="21" t="s">
        <v>34</v>
      </c>
      <c r="F17" s="21" t="s">
        <v>1040</v>
      </c>
      <c r="G17" s="30"/>
      <c r="H17" s="31"/>
      <c r="I17" s="31"/>
      <c r="J17" s="21"/>
      <c r="K17" s="21"/>
      <c r="L17" s="21"/>
      <c r="M17" s="21"/>
      <c r="N17" s="21"/>
      <c r="O17" s="21"/>
      <c r="P17" s="30"/>
      <c r="Q17" s="21"/>
      <c r="R17" s="21"/>
      <c r="S17" s="21"/>
      <c r="T17" s="32"/>
      <c r="U17" s="32"/>
      <c r="V17" s="21"/>
      <c r="W17" s="21"/>
      <c r="X17" s="21"/>
      <c r="Y17" s="21"/>
      <c r="Z17" s="21" t="s">
        <v>37</v>
      </c>
      <c r="AA17" s="12" t="s">
        <v>40</v>
      </c>
    </row>
    <row r="18" customFormat="false" ht="15.75" hidden="false" customHeight="false" outlineLevel="0" collapsed="false">
      <c r="A18" s="24" t="s">
        <v>1041</v>
      </c>
      <c r="B18" s="29" t="n">
        <v>45295</v>
      </c>
      <c r="C18" s="21" t="s">
        <v>136</v>
      </c>
      <c r="D18" s="21" t="s">
        <v>578</v>
      </c>
      <c r="E18" s="21" t="s">
        <v>34</v>
      </c>
      <c r="F18" s="21" t="s">
        <v>1040</v>
      </c>
      <c r="G18" s="30"/>
      <c r="H18" s="31"/>
      <c r="I18" s="31"/>
      <c r="J18" s="21"/>
      <c r="K18" s="21"/>
      <c r="L18" s="21"/>
      <c r="M18" s="21"/>
      <c r="N18" s="21"/>
      <c r="O18" s="21"/>
      <c r="P18" s="30"/>
      <c r="Q18" s="21"/>
      <c r="R18" s="21"/>
      <c r="S18" s="21"/>
      <c r="T18" s="32"/>
      <c r="U18" s="32"/>
      <c r="V18" s="21"/>
      <c r="W18" s="21"/>
      <c r="X18" s="21"/>
      <c r="Y18" s="21"/>
      <c r="Z18" s="21" t="s">
        <v>37</v>
      </c>
      <c r="AA18" s="12" t="s">
        <v>40</v>
      </c>
    </row>
    <row r="19" customFormat="false" ht="15.75" hidden="false" customHeight="false" outlineLevel="0" collapsed="false">
      <c r="A19" s="24" t="n">
        <v>7739</v>
      </c>
      <c r="B19" s="54" t="n">
        <v>45296</v>
      </c>
      <c r="C19" s="21" t="s">
        <v>1042</v>
      </c>
      <c r="D19" s="21" t="s">
        <v>24</v>
      </c>
      <c r="E19" s="21" t="s">
        <v>25</v>
      </c>
      <c r="F19" s="21" t="s">
        <v>1043</v>
      </c>
      <c r="G19" s="30"/>
      <c r="H19" s="45" t="s">
        <v>28</v>
      </c>
      <c r="I19" s="31" t="s">
        <v>28</v>
      </c>
      <c r="J19" s="21" t="s">
        <v>28</v>
      </c>
      <c r="K19" s="21" t="s">
        <v>1044</v>
      </c>
      <c r="L19" s="21" t="s">
        <v>1045</v>
      </c>
      <c r="M19" s="21"/>
      <c r="N19" s="21" t="s">
        <v>1046</v>
      </c>
      <c r="O19" s="21"/>
      <c r="P19" s="30"/>
      <c r="Q19" s="21"/>
      <c r="R19" s="21"/>
      <c r="S19" s="21"/>
      <c r="T19" s="32"/>
      <c r="U19" s="32"/>
      <c r="V19" s="21"/>
      <c r="W19" s="21"/>
      <c r="X19" s="21"/>
      <c r="Y19" s="21"/>
      <c r="Z19" s="21" t="s">
        <v>28</v>
      </c>
      <c r="AA19" s="12" t="s">
        <v>32</v>
      </c>
    </row>
    <row r="20" customFormat="false" ht="15.75" hidden="false" customHeight="false" outlineLevel="0" collapsed="false">
      <c r="A20" s="53" t="n">
        <v>1581867</v>
      </c>
      <c r="B20" s="29" t="n">
        <v>45296</v>
      </c>
      <c r="C20" s="21" t="s">
        <v>311</v>
      </c>
      <c r="D20" s="21" t="s">
        <v>290</v>
      </c>
      <c r="E20" s="21" t="s">
        <v>25</v>
      </c>
      <c r="F20" s="21" t="s">
        <v>1047</v>
      </c>
      <c r="G20" s="30"/>
      <c r="H20" s="45" t="s">
        <v>28</v>
      </c>
      <c r="I20" s="31" t="s">
        <v>28</v>
      </c>
      <c r="J20" s="21" t="s">
        <v>28</v>
      </c>
      <c r="K20" s="21" t="s">
        <v>29</v>
      </c>
      <c r="L20" s="21" t="s">
        <v>29</v>
      </c>
      <c r="M20" s="21" t="s">
        <v>29</v>
      </c>
      <c r="N20" s="21" t="s">
        <v>29</v>
      </c>
      <c r="O20" s="21"/>
      <c r="P20" s="30"/>
      <c r="Q20" s="21"/>
      <c r="R20" s="21"/>
      <c r="S20" s="21"/>
      <c r="T20" s="32"/>
      <c r="U20" s="32"/>
      <c r="V20" s="21"/>
      <c r="W20" s="21"/>
      <c r="X20" s="21"/>
      <c r="Y20" s="21"/>
      <c r="Z20" s="21" t="s">
        <v>37</v>
      </c>
      <c r="AA20" s="12" t="s">
        <v>40</v>
      </c>
    </row>
    <row r="21" customFormat="false" ht="15.75" hidden="false" customHeight="false" outlineLevel="0" collapsed="false">
      <c r="A21" s="53" t="n">
        <v>629680</v>
      </c>
      <c r="B21" s="29" t="n">
        <v>45296</v>
      </c>
      <c r="C21" s="20" t="s">
        <v>311</v>
      </c>
      <c r="D21" s="21" t="s">
        <v>290</v>
      </c>
      <c r="E21" s="21" t="s">
        <v>25</v>
      </c>
      <c r="F21" s="21" t="s">
        <v>1048</v>
      </c>
      <c r="G21" s="30"/>
      <c r="H21" s="45" t="s">
        <v>28</v>
      </c>
      <c r="I21" s="31" t="s">
        <v>28</v>
      </c>
      <c r="J21" s="21" t="s">
        <v>28</v>
      </c>
      <c r="K21" s="21" t="s">
        <v>29</v>
      </c>
      <c r="L21" s="21" t="s">
        <v>29</v>
      </c>
      <c r="M21" s="21" t="s">
        <v>29</v>
      </c>
      <c r="N21" s="21" t="s">
        <v>1049</v>
      </c>
      <c r="O21" s="21"/>
      <c r="P21" s="30"/>
      <c r="Q21" s="21"/>
      <c r="R21" s="21"/>
      <c r="S21" s="21"/>
      <c r="T21" s="32"/>
      <c r="U21" s="32"/>
      <c r="V21" s="21"/>
      <c r="W21" s="21"/>
      <c r="X21" s="21"/>
      <c r="Y21" s="21"/>
      <c r="Z21" s="21" t="s">
        <v>37</v>
      </c>
      <c r="AA21" s="12" t="s">
        <v>40</v>
      </c>
    </row>
    <row r="22" customFormat="false" ht="15.75" hidden="false" customHeight="false" outlineLevel="0" collapsed="false">
      <c r="A22" s="53" t="n">
        <v>1177178</v>
      </c>
      <c r="B22" s="29" t="n">
        <v>45296</v>
      </c>
      <c r="C22" s="21" t="s">
        <v>311</v>
      </c>
      <c r="D22" s="21" t="s">
        <v>290</v>
      </c>
      <c r="E22" s="21" t="s">
        <v>25</v>
      </c>
      <c r="F22" s="21" t="s">
        <v>1047</v>
      </c>
      <c r="G22" s="30"/>
      <c r="H22" s="45" t="s">
        <v>28</v>
      </c>
      <c r="I22" s="31" t="s">
        <v>28</v>
      </c>
      <c r="J22" s="21" t="s">
        <v>28</v>
      </c>
      <c r="K22" s="21" t="s">
        <v>29</v>
      </c>
      <c r="L22" s="21" t="s">
        <v>29</v>
      </c>
      <c r="M22" s="21" t="s">
        <v>29</v>
      </c>
      <c r="N22" s="21" t="s">
        <v>29</v>
      </c>
      <c r="O22" s="21"/>
      <c r="P22" s="30"/>
      <c r="Q22" s="21"/>
      <c r="R22" s="21"/>
      <c r="S22" s="21"/>
      <c r="T22" s="32"/>
      <c r="U22" s="32"/>
      <c r="V22" s="21"/>
      <c r="W22" s="21"/>
      <c r="X22" s="21"/>
      <c r="Y22" s="21"/>
      <c r="Z22" s="21" t="s">
        <v>37</v>
      </c>
      <c r="AA22" s="12" t="s">
        <v>40</v>
      </c>
    </row>
    <row r="23" customFormat="false" ht="15.75" hidden="false" customHeight="false" outlineLevel="0" collapsed="false">
      <c r="A23" s="24" t="n">
        <v>7740</v>
      </c>
      <c r="B23" s="29" t="n">
        <v>45296</v>
      </c>
      <c r="C23" s="21" t="s">
        <v>136</v>
      </c>
      <c r="D23" s="21" t="s">
        <v>24</v>
      </c>
      <c r="E23" s="21" t="s">
        <v>34</v>
      </c>
      <c r="F23" s="21" t="s">
        <v>1050</v>
      </c>
      <c r="G23" s="30"/>
      <c r="H23" s="31"/>
      <c r="I23" s="31"/>
      <c r="J23" s="21"/>
      <c r="K23" s="21"/>
      <c r="L23" s="21"/>
      <c r="M23" s="21"/>
      <c r="N23" s="21"/>
      <c r="O23" s="21"/>
      <c r="P23" s="30"/>
      <c r="Q23" s="21"/>
      <c r="R23" s="21"/>
      <c r="S23" s="21"/>
      <c r="T23" s="32"/>
      <c r="U23" s="32"/>
      <c r="V23" s="21"/>
      <c r="W23" s="21"/>
      <c r="X23" s="21"/>
      <c r="Y23" s="21"/>
      <c r="Z23" s="21" t="s">
        <v>28</v>
      </c>
      <c r="AA23" s="12" t="s">
        <v>32</v>
      </c>
    </row>
    <row r="24" customFormat="false" ht="15.75" hidden="false" customHeight="false" outlineLevel="0" collapsed="false">
      <c r="A24" s="24" t="n">
        <v>7741</v>
      </c>
      <c r="B24" s="29" t="n">
        <v>45299</v>
      </c>
      <c r="C24" s="21" t="s">
        <v>136</v>
      </c>
      <c r="D24" s="21" t="s">
        <v>24</v>
      </c>
      <c r="E24" s="21" t="s">
        <v>34</v>
      </c>
      <c r="F24" s="21" t="s">
        <v>1051</v>
      </c>
      <c r="G24" s="30"/>
      <c r="H24" s="31"/>
      <c r="I24" s="31"/>
      <c r="J24" s="21"/>
      <c r="K24" s="21"/>
      <c r="L24" s="21"/>
      <c r="M24" s="21"/>
      <c r="N24" s="21"/>
      <c r="O24" s="21"/>
      <c r="P24" s="30"/>
      <c r="Q24" s="21"/>
      <c r="R24" s="21"/>
      <c r="S24" s="21"/>
      <c r="T24" s="32"/>
      <c r="U24" s="32"/>
      <c r="V24" s="21"/>
      <c r="W24" s="21"/>
      <c r="X24" s="21"/>
      <c r="Y24" s="21"/>
      <c r="Z24" s="21" t="s">
        <v>28</v>
      </c>
      <c r="AA24" s="12" t="s">
        <v>32</v>
      </c>
    </row>
    <row r="25" customFormat="false" ht="15.75" hidden="false" customHeight="false" outlineLevel="0" collapsed="false">
      <c r="A25" s="24" t="n">
        <v>7742</v>
      </c>
      <c r="B25" s="29" t="n">
        <v>45300</v>
      </c>
      <c r="C25" s="21" t="s">
        <v>867</v>
      </c>
      <c r="D25" s="21" t="s">
        <v>24</v>
      </c>
      <c r="E25" s="21" t="s">
        <v>25</v>
      </c>
      <c r="F25" s="21" t="s">
        <v>127</v>
      </c>
      <c r="G25" s="30"/>
      <c r="H25" s="45" t="s">
        <v>28</v>
      </c>
      <c r="I25" s="31" t="s">
        <v>28</v>
      </c>
      <c r="J25" s="21" t="s">
        <v>28</v>
      </c>
      <c r="K25" s="21" t="s">
        <v>29</v>
      </c>
      <c r="L25" s="21" t="s">
        <v>29</v>
      </c>
      <c r="M25" s="21" t="s">
        <v>29</v>
      </c>
      <c r="N25" s="21" t="s">
        <v>1052</v>
      </c>
      <c r="O25" s="21" t="s">
        <v>1053</v>
      </c>
      <c r="P25" s="30"/>
      <c r="Q25" s="21"/>
      <c r="R25" s="21"/>
      <c r="S25" s="21"/>
      <c r="T25" s="32"/>
      <c r="U25" s="32"/>
      <c r="V25" s="21"/>
      <c r="W25" s="21"/>
      <c r="X25" s="21"/>
      <c r="Y25" s="21"/>
      <c r="Z25" s="21" t="s">
        <v>28</v>
      </c>
      <c r="AA25" s="12" t="s">
        <v>32</v>
      </c>
    </row>
    <row r="26" customFormat="false" ht="15.75" hidden="false" customHeight="false" outlineLevel="0" collapsed="false">
      <c r="A26" s="24" t="n">
        <v>7743</v>
      </c>
      <c r="B26" s="29" t="n">
        <v>45300</v>
      </c>
      <c r="C26" s="21" t="s">
        <v>867</v>
      </c>
      <c r="D26" s="21" t="s">
        <v>24</v>
      </c>
      <c r="E26" s="21" t="s">
        <v>25</v>
      </c>
      <c r="F26" s="21" t="s">
        <v>127</v>
      </c>
      <c r="G26" s="30"/>
      <c r="H26" s="45" t="s">
        <v>28</v>
      </c>
      <c r="I26" s="31" t="s">
        <v>28</v>
      </c>
      <c r="J26" s="21" t="s">
        <v>28</v>
      </c>
      <c r="K26" s="21" t="s">
        <v>29</v>
      </c>
      <c r="L26" s="21" t="s">
        <v>29</v>
      </c>
      <c r="M26" s="21" t="s">
        <v>29</v>
      </c>
      <c r="N26" s="21" t="s">
        <v>1054</v>
      </c>
      <c r="O26" s="21" t="s">
        <v>1055</v>
      </c>
      <c r="P26" s="30"/>
      <c r="Q26" s="21"/>
      <c r="R26" s="21"/>
      <c r="S26" s="21"/>
      <c r="T26" s="32"/>
      <c r="U26" s="32"/>
      <c r="V26" s="21"/>
      <c r="W26" s="21"/>
      <c r="X26" s="21"/>
      <c r="Y26" s="21"/>
      <c r="Z26" s="21" t="s">
        <v>28</v>
      </c>
      <c r="AA26" s="12" t="s">
        <v>32</v>
      </c>
    </row>
    <row r="27" customFormat="false" ht="15.75" hidden="false" customHeight="false" outlineLevel="0" collapsed="false">
      <c r="A27" s="24" t="n">
        <v>7744</v>
      </c>
      <c r="B27" s="29" t="n">
        <v>45301</v>
      </c>
      <c r="C27" s="21" t="s">
        <v>38</v>
      </c>
      <c r="D27" s="21" t="s">
        <v>24</v>
      </c>
      <c r="E27" s="21" t="s">
        <v>34</v>
      </c>
      <c r="F27" s="21" t="s">
        <v>1056</v>
      </c>
      <c r="G27" s="30"/>
      <c r="H27" s="31"/>
      <c r="I27" s="31"/>
      <c r="J27" s="21"/>
      <c r="K27" s="21"/>
      <c r="L27" s="21"/>
      <c r="M27" s="21"/>
      <c r="N27" s="21"/>
      <c r="O27" s="21"/>
      <c r="P27" s="30"/>
      <c r="Q27" s="21"/>
      <c r="R27" s="21"/>
      <c r="S27" s="21"/>
      <c r="T27" s="32"/>
      <c r="U27" s="20"/>
      <c r="V27" s="21"/>
      <c r="W27" s="21"/>
      <c r="X27" s="21"/>
      <c r="Y27" s="21"/>
      <c r="Z27" s="21" t="s">
        <v>28</v>
      </c>
      <c r="AA27" s="12" t="s">
        <v>32</v>
      </c>
    </row>
    <row r="28" customFormat="false" ht="15.75" hidden="false" customHeight="false" outlineLevel="0" collapsed="false">
      <c r="A28" s="24" t="n">
        <v>7745</v>
      </c>
      <c r="B28" s="54" t="n">
        <v>45301</v>
      </c>
      <c r="C28" s="12" t="s">
        <v>78</v>
      </c>
      <c r="D28" s="21" t="s">
        <v>24</v>
      </c>
      <c r="E28" s="21" t="s">
        <v>34</v>
      </c>
      <c r="F28" s="21" t="s">
        <v>1057</v>
      </c>
      <c r="G28" s="30"/>
      <c r="H28" s="31"/>
      <c r="I28" s="31"/>
      <c r="J28" s="21"/>
      <c r="K28" s="21"/>
      <c r="L28" s="21"/>
      <c r="M28" s="21"/>
      <c r="N28" s="21"/>
      <c r="O28" s="21"/>
      <c r="P28" s="30"/>
      <c r="Q28" s="21"/>
      <c r="R28" s="21"/>
      <c r="S28" s="21"/>
      <c r="T28" s="32"/>
      <c r="U28" s="32"/>
      <c r="V28" s="21"/>
      <c r="W28" s="21"/>
      <c r="X28" s="21"/>
      <c r="Y28" s="21"/>
      <c r="Z28" s="21" t="s">
        <v>28</v>
      </c>
      <c r="AA28" s="12" t="s">
        <v>32</v>
      </c>
    </row>
    <row r="29" customFormat="false" ht="15.75" hidden="false" customHeight="false" outlineLevel="0" collapsed="false">
      <c r="A29" s="24" t="n">
        <v>7746</v>
      </c>
      <c r="B29" s="54" t="n">
        <v>45301</v>
      </c>
      <c r="C29" s="21" t="s">
        <v>41</v>
      </c>
      <c r="D29" s="21" t="s">
        <v>24</v>
      </c>
      <c r="E29" s="21" t="s">
        <v>25</v>
      </c>
      <c r="F29" s="21" t="s">
        <v>1058</v>
      </c>
      <c r="G29" s="30"/>
      <c r="H29" s="45" t="s">
        <v>28</v>
      </c>
      <c r="I29" s="31" t="s">
        <v>28</v>
      </c>
      <c r="J29" s="21" t="s">
        <v>28</v>
      </c>
      <c r="K29" s="21" t="s">
        <v>29</v>
      </c>
      <c r="L29" s="21" t="s">
        <v>29</v>
      </c>
      <c r="M29" s="21" t="s">
        <v>29</v>
      </c>
      <c r="N29" s="21" t="s">
        <v>29</v>
      </c>
      <c r="O29" s="21"/>
      <c r="P29" s="30"/>
      <c r="Q29" s="21"/>
      <c r="R29" s="21"/>
      <c r="S29" s="21"/>
      <c r="T29" s="32"/>
      <c r="U29" s="32"/>
      <c r="V29" s="21"/>
      <c r="W29" s="21"/>
      <c r="X29" s="21"/>
      <c r="Y29" s="21"/>
      <c r="Z29" s="21" t="s">
        <v>28</v>
      </c>
      <c r="AA29" s="12" t="s">
        <v>32</v>
      </c>
    </row>
    <row r="30" customFormat="false" ht="15.75" hidden="false" customHeight="false" outlineLevel="0" collapsed="false">
      <c r="A30" s="24" t="n">
        <v>7747</v>
      </c>
      <c r="B30" s="29" t="n">
        <v>45307</v>
      </c>
      <c r="C30" s="21" t="s">
        <v>84</v>
      </c>
      <c r="D30" s="21" t="s">
        <v>24</v>
      </c>
      <c r="E30" s="21" t="s">
        <v>34</v>
      </c>
      <c r="F30" s="21" t="s">
        <v>1059</v>
      </c>
      <c r="G30" s="30"/>
      <c r="H30" s="31"/>
      <c r="I30" s="31"/>
      <c r="J30" s="21"/>
      <c r="K30" s="21"/>
      <c r="L30" s="21"/>
      <c r="M30" s="21"/>
      <c r="N30" s="21"/>
      <c r="O30" s="21"/>
      <c r="P30" s="30"/>
      <c r="Q30" s="21"/>
      <c r="R30" s="21"/>
      <c r="S30" s="21"/>
      <c r="T30" s="32"/>
      <c r="U30" s="32"/>
      <c r="V30" s="21"/>
      <c r="W30" s="21"/>
      <c r="X30" s="21"/>
      <c r="Y30" s="21"/>
      <c r="Z30" s="21" t="s">
        <v>28</v>
      </c>
      <c r="AA30" s="12" t="s">
        <v>32</v>
      </c>
    </row>
    <row r="31" customFormat="false" ht="15.75" hidden="false" customHeight="false" outlineLevel="0" collapsed="false">
      <c r="A31" s="24" t="n">
        <v>7748</v>
      </c>
      <c r="B31" s="29" t="n">
        <v>45307</v>
      </c>
      <c r="C31" s="21" t="s">
        <v>112</v>
      </c>
      <c r="D31" s="21" t="s">
        <v>24</v>
      </c>
      <c r="E31" s="21" t="s">
        <v>34</v>
      </c>
      <c r="F31" s="21" t="s">
        <v>1060</v>
      </c>
      <c r="G31" s="30"/>
      <c r="H31" s="31"/>
      <c r="I31" s="31"/>
      <c r="J31" s="21"/>
      <c r="K31" s="21"/>
      <c r="L31" s="21"/>
      <c r="M31" s="21"/>
      <c r="N31" s="21"/>
      <c r="O31" s="21"/>
      <c r="P31" s="30"/>
      <c r="Q31" s="21"/>
      <c r="R31" s="21"/>
      <c r="S31" s="21"/>
      <c r="T31" s="32"/>
      <c r="U31" s="32"/>
      <c r="V31" s="21"/>
      <c r="W31" s="21"/>
      <c r="X31" s="21"/>
      <c r="Y31" s="21"/>
      <c r="Z31" s="21" t="s">
        <v>37</v>
      </c>
      <c r="AA31" s="12" t="s">
        <v>40</v>
      </c>
    </row>
    <row r="32" customFormat="false" ht="15.75" hidden="false" customHeight="false" outlineLevel="0" collapsed="false">
      <c r="A32" s="24" t="n">
        <v>7749</v>
      </c>
      <c r="B32" s="29" t="n">
        <v>45308</v>
      </c>
      <c r="C32" s="21" t="s">
        <v>773</v>
      </c>
      <c r="D32" s="21" t="s">
        <v>24</v>
      </c>
      <c r="E32" s="21" t="s">
        <v>25</v>
      </c>
      <c r="F32" s="21" t="s">
        <v>1061</v>
      </c>
      <c r="G32" s="30"/>
      <c r="H32" s="45" t="s">
        <v>28</v>
      </c>
      <c r="I32" s="31" t="s">
        <v>28</v>
      </c>
      <c r="J32" s="21" t="s">
        <v>28</v>
      </c>
      <c r="K32" s="21" t="s">
        <v>29</v>
      </c>
      <c r="L32" s="21" t="s">
        <v>29</v>
      </c>
      <c r="M32" s="21" t="s">
        <v>29</v>
      </c>
      <c r="N32" s="21" t="n">
        <v>7372</v>
      </c>
      <c r="O32" s="21"/>
      <c r="P32" s="30"/>
      <c r="Q32" s="21" t="s">
        <v>28</v>
      </c>
      <c r="R32" s="46" t="s">
        <v>28</v>
      </c>
      <c r="S32" s="21" t="s">
        <v>1062</v>
      </c>
      <c r="T32" s="32" t="s">
        <v>30</v>
      </c>
      <c r="U32" s="32"/>
      <c r="V32" s="21"/>
      <c r="W32" s="21"/>
      <c r="X32" s="21"/>
      <c r="Y32" s="21"/>
      <c r="Z32" s="21" t="s">
        <v>28</v>
      </c>
      <c r="AA32" s="12" t="s">
        <v>32</v>
      </c>
    </row>
    <row r="33" customFormat="false" ht="15.75" hidden="false" customHeight="false" outlineLevel="0" collapsed="false">
      <c r="A33" s="24" t="n">
        <v>7750</v>
      </c>
      <c r="B33" s="29" t="n">
        <v>45308</v>
      </c>
      <c r="C33" s="21" t="s">
        <v>773</v>
      </c>
      <c r="D33" s="21" t="s">
        <v>24</v>
      </c>
      <c r="E33" s="21" t="s">
        <v>25</v>
      </c>
      <c r="F33" s="21" t="s">
        <v>1063</v>
      </c>
      <c r="G33" s="30"/>
      <c r="H33" s="45" t="s">
        <v>28</v>
      </c>
      <c r="I33" s="31" t="s">
        <v>28</v>
      </c>
      <c r="J33" s="21" t="s">
        <v>28</v>
      </c>
      <c r="K33" s="21" t="s">
        <v>29</v>
      </c>
      <c r="L33" s="21" t="s">
        <v>29</v>
      </c>
      <c r="M33" s="21" t="s">
        <v>29</v>
      </c>
      <c r="N33" s="21" t="n">
        <v>7372</v>
      </c>
      <c r="O33" s="21"/>
      <c r="P33" s="30"/>
      <c r="Q33" s="21" t="s">
        <v>28</v>
      </c>
      <c r="R33" s="46" t="s">
        <v>28</v>
      </c>
      <c r="S33" s="21" t="s">
        <v>1062</v>
      </c>
      <c r="T33" s="32" t="s">
        <v>30</v>
      </c>
      <c r="U33" s="32"/>
      <c r="V33" s="21" t="s">
        <v>74</v>
      </c>
      <c r="W33" s="46" t="s">
        <v>28</v>
      </c>
      <c r="X33" s="46" t="s">
        <v>28</v>
      </c>
      <c r="Y33" s="21" t="s">
        <v>36</v>
      </c>
      <c r="Z33" s="21" t="s">
        <v>28</v>
      </c>
      <c r="AA33" s="12" t="s">
        <v>32</v>
      </c>
    </row>
    <row r="34" customFormat="false" ht="15.75" hidden="false" customHeight="false" outlineLevel="0" collapsed="false">
      <c r="A34" s="24" t="n">
        <v>7751</v>
      </c>
      <c r="B34" s="29" t="n">
        <v>45308</v>
      </c>
      <c r="C34" s="21" t="s">
        <v>773</v>
      </c>
      <c r="D34" s="21" t="s">
        <v>24</v>
      </c>
      <c r="E34" s="21" t="s">
        <v>25</v>
      </c>
      <c r="F34" s="21" t="s">
        <v>1063</v>
      </c>
      <c r="G34" s="30"/>
      <c r="H34" s="45" t="s">
        <v>28</v>
      </c>
      <c r="I34" s="31" t="s">
        <v>28</v>
      </c>
      <c r="J34" s="21" t="s">
        <v>28</v>
      </c>
      <c r="K34" s="21" t="s">
        <v>29</v>
      </c>
      <c r="L34" s="21" t="s">
        <v>29</v>
      </c>
      <c r="M34" s="21" t="s">
        <v>29</v>
      </c>
      <c r="N34" s="21" t="n">
        <v>7372</v>
      </c>
      <c r="O34" s="21"/>
      <c r="P34" s="30"/>
      <c r="Q34" s="21" t="s">
        <v>28</v>
      </c>
      <c r="R34" s="46" t="s">
        <v>28</v>
      </c>
      <c r="S34" s="21" t="s">
        <v>1062</v>
      </c>
      <c r="T34" s="32" t="s">
        <v>30</v>
      </c>
      <c r="U34" s="32"/>
      <c r="V34" s="21" t="s">
        <v>74</v>
      </c>
      <c r="W34" s="46" t="s">
        <v>28</v>
      </c>
      <c r="X34" s="46" t="s">
        <v>28</v>
      </c>
      <c r="Y34" s="21" t="s">
        <v>36</v>
      </c>
      <c r="Z34" s="21" t="s">
        <v>28</v>
      </c>
      <c r="AA34" s="12" t="s">
        <v>32</v>
      </c>
    </row>
    <row r="35" customFormat="false" ht="15.75" hidden="false" customHeight="false" outlineLevel="0" collapsed="false">
      <c r="A35" s="24" t="n">
        <v>7752</v>
      </c>
      <c r="B35" s="29" t="n">
        <v>45308</v>
      </c>
      <c r="C35" s="21" t="s">
        <v>773</v>
      </c>
      <c r="D35" s="21" t="s">
        <v>24</v>
      </c>
      <c r="E35" s="21" t="s">
        <v>25</v>
      </c>
      <c r="F35" s="21" t="s">
        <v>1063</v>
      </c>
      <c r="G35" s="30"/>
      <c r="H35" s="45" t="s">
        <v>28</v>
      </c>
      <c r="I35" s="31" t="s">
        <v>28</v>
      </c>
      <c r="J35" s="21" t="s">
        <v>28</v>
      </c>
      <c r="K35" s="21" t="s">
        <v>29</v>
      </c>
      <c r="L35" s="21" t="s">
        <v>29</v>
      </c>
      <c r="M35" s="21" t="s">
        <v>29</v>
      </c>
      <c r="N35" s="21" t="n">
        <v>7372</v>
      </c>
      <c r="O35" s="21"/>
      <c r="P35" s="30"/>
      <c r="Q35" s="21" t="s">
        <v>28</v>
      </c>
      <c r="R35" s="46" t="s">
        <v>28</v>
      </c>
      <c r="S35" s="21" t="s">
        <v>1062</v>
      </c>
      <c r="T35" s="32" t="s">
        <v>30</v>
      </c>
      <c r="U35" s="32" t="s">
        <v>997</v>
      </c>
      <c r="V35" s="21" t="s">
        <v>74</v>
      </c>
      <c r="W35" s="46" t="s">
        <v>28</v>
      </c>
      <c r="X35" s="46" t="s">
        <v>28</v>
      </c>
      <c r="Y35" s="21" t="s">
        <v>36</v>
      </c>
      <c r="Z35" s="21" t="s">
        <v>28</v>
      </c>
      <c r="AA35" s="12" t="s">
        <v>32</v>
      </c>
    </row>
    <row r="36" customFormat="false" ht="15.75" hidden="false" customHeight="false" outlineLevel="0" collapsed="false">
      <c r="A36" s="24" t="n">
        <v>7756</v>
      </c>
      <c r="B36" s="29" t="n">
        <v>45308</v>
      </c>
      <c r="C36" s="21" t="s">
        <v>412</v>
      </c>
      <c r="D36" s="21" t="s">
        <v>24</v>
      </c>
      <c r="E36" s="21" t="s">
        <v>25</v>
      </c>
      <c r="F36" s="21" t="s">
        <v>1064</v>
      </c>
      <c r="G36" s="30"/>
      <c r="H36" s="45" t="s">
        <v>28</v>
      </c>
      <c r="I36" s="31" t="s">
        <v>28</v>
      </c>
      <c r="J36" s="21" t="s">
        <v>28</v>
      </c>
      <c r="K36" s="21" t="s">
        <v>29</v>
      </c>
      <c r="L36" s="21" t="s">
        <v>29</v>
      </c>
      <c r="M36" s="21" t="s">
        <v>29</v>
      </c>
      <c r="N36" s="21" t="s">
        <v>1065</v>
      </c>
      <c r="O36" s="21"/>
      <c r="P36" s="30"/>
      <c r="Q36" s="21"/>
      <c r="R36" s="21"/>
      <c r="S36" s="21"/>
      <c r="T36" s="32"/>
      <c r="U36" s="32"/>
      <c r="V36" s="21"/>
      <c r="W36" s="21"/>
      <c r="X36" s="21"/>
      <c r="Y36" s="21"/>
      <c r="Z36" s="21" t="s">
        <v>28</v>
      </c>
      <c r="AA36" s="12" t="s">
        <v>156</v>
      </c>
    </row>
    <row r="37" customFormat="false" ht="15.75" hidden="false" customHeight="false" outlineLevel="0" collapsed="false">
      <c r="A37" s="24" t="n">
        <v>7757</v>
      </c>
      <c r="B37" s="29" t="n">
        <v>45308</v>
      </c>
      <c r="C37" s="21" t="s">
        <v>188</v>
      </c>
      <c r="D37" s="21" t="s">
        <v>24</v>
      </c>
      <c r="E37" s="21" t="s">
        <v>34</v>
      </c>
      <c r="F37" s="21" t="s">
        <v>1066</v>
      </c>
      <c r="G37" s="30"/>
      <c r="H37" s="31"/>
      <c r="I37" s="31"/>
      <c r="J37" s="21"/>
      <c r="K37" s="21"/>
      <c r="L37" s="21"/>
      <c r="M37" s="21"/>
      <c r="N37" s="21"/>
      <c r="O37" s="21"/>
      <c r="P37" s="30"/>
      <c r="Q37" s="21"/>
      <c r="R37" s="21"/>
      <c r="S37" s="21"/>
      <c r="T37" s="32"/>
      <c r="U37" s="32"/>
      <c r="V37" s="21"/>
      <c r="W37" s="21"/>
      <c r="X37" s="21"/>
      <c r="Y37" s="21"/>
      <c r="Z37" s="21" t="s">
        <v>37</v>
      </c>
      <c r="AA37" s="12" t="s">
        <v>156</v>
      </c>
    </row>
    <row r="38" customFormat="false" ht="15.75" hidden="false" customHeight="false" outlineLevel="0" collapsed="false">
      <c r="A38" s="24" t="n">
        <v>7758</v>
      </c>
      <c r="B38" s="29" t="n">
        <v>45309</v>
      </c>
      <c r="C38" s="21" t="s">
        <v>84</v>
      </c>
      <c r="D38" s="21" t="s">
        <v>24</v>
      </c>
      <c r="E38" s="21" t="s">
        <v>34</v>
      </c>
      <c r="F38" s="21" t="s">
        <v>1067</v>
      </c>
      <c r="G38" s="30"/>
      <c r="H38" s="31"/>
      <c r="I38" s="31"/>
      <c r="J38" s="21"/>
      <c r="K38" s="21"/>
      <c r="L38" s="21"/>
      <c r="M38" s="21"/>
      <c r="N38" s="21"/>
      <c r="O38" s="21"/>
      <c r="P38" s="30"/>
      <c r="Q38" s="21"/>
      <c r="R38" s="21"/>
      <c r="S38" s="21"/>
      <c r="T38" s="32"/>
      <c r="U38" s="32"/>
      <c r="V38" s="21"/>
      <c r="W38" s="21"/>
      <c r="X38" s="21"/>
      <c r="Y38" s="21"/>
      <c r="Z38" s="21" t="s">
        <v>28</v>
      </c>
      <c r="AA38" s="12" t="s">
        <v>32</v>
      </c>
    </row>
    <row r="39" customFormat="false" ht="15.75" hidden="false" customHeight="false" outlineLevel="0" collapsed="false">
      <c r="A39" s="24" t="n">
        <v>7759</v>
      </c>
      <c r="B39" s="29" t="n">
        <v>45310</v>
      </c>
      <c r="C39" s="21" t="s">
        <v>1068</v>
      </c>
      <c r="D39" s="21" t="s">
        <v>24</v>
      </c>
      <c r="E39" s="21" t="s">
        <v>25</v>
      </c>
      <c r="F39" s="25" t="s">
        <v>1069</v>
      </c>
      <c r="G39" s="25"/>
      <c r="H39" s="26" t="s">
        <v>28</v>
      </c>
      <c r="I39" s="25"/>
      <c r="J39" s="25" t="s">
        <v>28</v>
      </c>
      <c r="K39" s="25" t="n">
        <v>20347719359</v>
      </c>
      <c r="L39" s="25" t="n">
        <v>2966512729</v>
      </c>
      <c r="M39" s="25" t="s">
        <v>1070</v>
      </c>
      <c r="N39" s="25"/>
      <c r="O39" s="25" t="s">
        <v>1071</v>
      </c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 t="s">
        <v>37</v>
      </c>
      <c r="AA39" s="12" t="s">
        <v>40</v>
      </c>
    </row>
    <row r="40" customFormat="false" ht="15.75" hidden="false" customHeight="false" outlineLevel="0" collapsed="false">
      <c r="A40" s="19" t="n">
        <v>7760</v>
      </c>
      <c r="B40" s="29" t="n">
        <v>45310</v>
      </c>
      <c r="C40" s="21" t="s">
        <v>1068</v>
      </c>
      <c r="D40" s="21" t="s">
        <v>24</v>
      </c>
      <c r="E40" s="21" t="s">
        <v>25</v>
      </c>
      <c r="F40" s="25" t="s">
        <v>1072</v>
      </c>
      <c r="G40" s="16"/>
      <c r="H40" s="17" t="s">
        <v>28</v>
      </c>
      <c r="I40" s="16"/>
      <c r="J40" s="16" t="s">
        <v>28</v>
      </c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 t="s">
        <v>37</v>
      </c>
      <c r="AA40" s="12" t="s">
        <v>40</v>
      </c>
    </row>
    <row r="41" customFormat="false" ht="15.75" hidden="false" customHeight="false" outlineLevel="0" collapsed="false">
      <c r="A41" s="42" t="n">
        <v>2136306</v>
      </c>
      <c r="B41" s="29" t="n">
        <v>45310</v>
      </c>
      <c r="C41" s="21" t="s">
        <v>489</v>
      </c>
      <c r="D41" s="21" t="s">
        <v>24</v>
      </c>
      <c r="E41" s="21" t="s">
        <v>25</v>
      </c>
      <c r="F41" s="12" t="s">
        <v>1061</v>
      </c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 t="s">
        <v>28</v>
      </c>
      <c r="AA41" s="12" t="s">
        <v>32</v>
      </c>
    </row>
    <row r="42" customFormat="false" ht="15.75" hidden="false" customHeight="false" outlineLevel="0" collapsed="false">
      <c r="A42" s="19" t="n">
        <v>7761</v>
      </c>
      <c r="B42" s="29" t="n">
        <v>45313</v>
      </c>
      <c r="C42" s="21" t="s">
        <v>188</v>
      </c>
      <c r="D42" s="21" t="s">
        <v>24</v>
      </c>
      <c r="E42" s="21" t="s">
        <v>34</v>
      </c>
      <c r="F42" s="16" t="s">
        <v>1073</v>
      </c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 t="s">
        <v>37</v>
      </c>
      <c r="AA42" s="12" t="s">
        <v>40</v>
      </c>
    </row>
    <row r="43" customFormat="false" ht="15.75" hidden="false" customHeight="false" outlineLevel="0" collapsed="false">
      <c r="A43" s="19" t="n">
        <v>7762</v>
      </c>
      <c r="B43" s="29" t="n">
        <v>45313</v>
      </c>
      <c r="C43" s="21" t="s">
        <v>944</v>
      </c>
      <c r="D43" s="21" t="s">
        <v>24</v>
      </c>
      <c r="E43" s="21" t="s">
        <v>25</v>
      </c>
      <c r="F43" s="16" t="s">
        <v>1074</v>
      </c>
      <c r="G43" s="16"/>
      <c r="H43" s="17" t="s">
        <v>28</v>
      </c>
      <c r="I43" s="16" t="s">
        <v>28</v>
      </c>
      <c r="J43" s="16" t="s">
        <v>28</v>
      </c>
      <c r="K43" s="16" t="s">
        <v>29</v>
      </c>
      <c r="L43" s="16" t="s">
        <v>29</v>
      </c>
      <c r="M43" s="16" t="s">
        <v>29</v>
      </c>
      <c r="N43" s="16" t="s">
        <v>29</v>
      </c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 t="s">
        <v>28</v>
      </c>
      <c r="AA43" s="12" t="s">
        <v>32</v>
      </c>
    </row>
    <row r="44" customFormat="false" ht="15.75" hidden="false" customHeight="false" outlineLevel="0" collapsed="false">
      <c r="A44" s="42" t="n">
        <v>1227614</v>
      </c>
      <c r="B44" s="29" t="n">
        <v>45313</v>
      </c>
      <c r="C44" s="21" t="s">
        <v>613</v>
      </c>
      <c r="D44" s="21" t="s">
        <v>290</v>
      </c>
      <c r="E44" s="21" t="s">
        <v>25</v>
      </c>
      <c r="F44" s="16" t="s">
        <v>1075</v>
      </c>
      <c r="G44" s="16"/>
      <c r="H44" s="17" t="s">
        <v>28</v>
      </c>
      <c r="I44" s="16" t="s">
        <v>28</v>
      </c>
      <c r="J44" s="16" t="s">
        <v>28</v>
      </c>
      <c r="K44" s="16" t="s">
        <v>29</v>
      </c>
      <c r="L44" s="16" t="s">
        <v>29</v>
      </c>
      <c r="M44" s="16" t="s">
        <v>29</v>
      </c>
      <c r="N44" s="16" t="s">
        <v>29</v>
      </c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 t="s">
        <v>28</v>
      </c>
      <c r="AA44" s="12" t="s">
        <v>32</v>
      </c>
    </row>
    <row r="45" customFormat="false" ht="15.75" hidden="false" customHeight="false" outlineLevel="0" collapsed="false">
      <c r="A45" s="19" t="n">
        <v>7763</v>
      </c>
      <c r="B45" s="29" t="n">
        <v>45314</v>
      </c>
      <c r="C45" s="21" t="s">
        <v>91</v>
      </c>
      <c r="D45" s="21" t="s">
        <v>24</v>
      </c>
      <c r="E45" s="21" t="s">
        <v>25</v>
      </c>
      <c r="F45" s="16" t="s">
        <v>1076</v>
      </c>
      <c r="G45" s="16"/>
      <c r="H45" s="17" t="s">
        <v>28</v>
      </c>
      <c r="I45" s="16" t="s">
        <v>28</v>
      </c>
      <c r="J45" s="16" t="s">
        <v>28</v>
      </c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 t="s">
        <v>28</v>
      </c>
      <c r="AA45" s="12" t="s">
        <v>32</v>
      </c>
    </row>
    <row r="46" customFormat="false" ht="15.75" hidden="false" customHeight="false" outlineLevel="0" collapsed="false">
      <c r="A46" s="19" t="n">
        <v>7764</v>
      </c>
      <c r="B46" s="29" t="n">
        <v>45314</v>
      </c>
      <c r="C46" s="21" t="s">
        <v>84</v>
      </c>
      <c r="D46" s="21" t="s">
        <v>24</v>
      </c>
      <c r="E46" s="21" t="s">
        <v>34</v>
      </c>
      <c r="F46" s="16" t="s">
        <v>1077</v>
      </c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 t="s">
        <v>28</v>
      </c>
      <c r="AA46" s="12" t="s">
        <v>32</v>
      </c>
    </row>
    <row r="47" customFormat="false" ht="15.75" hidden="false" customHeight="false" outlineLevel="0" collapsed="false">
      <c r="A47" s="19" t="n">
        <v>7765</v>
      </c>
      <c r="B47" s="14" t="n">
        <v>45314</v>
      </c>
      <c r="C47" s="21" t="s">
        <v>274</v>
      </c>
      <c r="D47" s="21" t="s">
        <v>24</v>
      </c>
      <c r="E47" s="21" t="s">
        <v>34</v>
      </c>
      <c r="F47" s="16" t="s">
        <v>1078</v>
      </c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 t="s">
        <v>28</v>
      </c>
      <c r="AA47" s="12" t="s">
        <v>32</v>
      </c>
    </row>
    <row r="48" customFormat="false" ht="15.75" hidden="false" customHeight="false" outlineLevel="0" collapsed="false">
      <c r="A48" s="19" t="n">
        <v>7766</v>
      </c>
      <c r="B48" s="14" t="n">
        <v>45314</v>
      </c>
      <c r="C48" s="21" t="s">
        <v>274</v>
      </c>
      <c r="D48" s="21" t="s">
        <v>24</v>
      </c>
      <c r="E48" s="21" t="s">
        <v>34</v>
      </c>
      <c r="F48" s="16" t="s">
        <v>1078</v>
      </c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 t="s">
        <v>28</v>
      </c>
      <c r="AA48" s="12" t="s">
        <v>32</v>
      </c>
    </row>
    <row r="49" customFormat="false" ht="15.75" hidden="false" customHeight="false" outlineLevel="0" collapsed="false">
      <c r="A49" s="19" t="n">
        <v>7767</v>
      </c>
      <c r="B49" s="14" t="n">
        <v>45314</v>
      </c>
      <c r="C49" s="21" t="s">
        <v>274</v>
      </c>
      <c r="D49" s="21" t="s">
        <v>24</v>
      </c>
      <c r="E49" s="21" t="s">
        <v>34</v>
      </c>
      <c r="F49" s="16" t="s">
        <v>1079</v>
      </c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 t="s">
        <v>28</v>
      </c>
      <c r="AA49" s="12" t="s">
        <v>32</v>
      </c>
    </row>
    <row r="50" customFormat="false" ht="15.75" hidden="false" customHeight="false" outlineLevel="0" collapsed="false">
      <c r="A50" s="19" t="n">
        <v>7768</v>
      </c>
      <c r="B50" s="14" t="n">
        <v>45314</v>
      </c>
      <c r="C50" s="21" t="s">
        <v>274</v>
      </c>
      <c r="D50" s="21" t="s">
        <v>24</v>
      </c>
      <c r="E50" s="21" t="s">
        <v>34</v>
      </c>
      <c r="F50" s="16" t="s">
        <v>1079</v>
      </c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 t="s">
        <v>28</v>
      </c>
      <c r="AA50" s="12" t="s">
        <v>32</v>
      </c>
    </row>
    <row r="51" customFormat="false" ht="15.75" hidden="false" customHeight="false" outlineLevel="0" collapsed="false">
      <c r="A51" s="19" t="n">
        <v>7769</v>
      </c>
      <c r="B51" s="14" t="n">
        <v>45315</v>
      </c>
      <c r="C51" s="16" t="s">
        <v>1080</v>
      </c>
      <c r="D51" s="16" t="s">
        <v>24</v>
      </c>
      <c r="E51" s="16" t="s">
        <v>25</v>
      </c>
      <c r="F51" s="16" t="s">
        <v>1081</v>
      </c>
      <c r="G51" s="16" t="s">
        <v>1082</v>
      </c>
      <c r="H51" s="16" t="s">
        <v>28</v>
      </c>
      <c r="K51" s="12" t="n">
        <v>30712147896</v>
      </c>
      <c r="L51" s="12" t="n">
        <v>3512262489</v>
      </c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 t="s">
        <v>28</v>
      </c>
      <c r="AA51" s="12" t="s">
        <v>156</v>
      </c>
    </row>
    <row r="52" customFormat="false" ht="15.75" hidden="false" customHeight="false" outlineLevel="0" collapsed="false">
      <c r="A52" s="19" t="n">
        <v>7770</v>
      </c>
      <c r="B52" s="14" t="n">
        <v>45315</v>
      </c>
      <c r="C52" s="16" t="s">
        <v>1083</v>
      </c>
      <c r="D52" s="16" t="s">
        <v>24</v>
      </c>
      <c r="E52" s="16" t="s">
        <v>25</v>
      </c>
      <c r="F52" s="16" t="s">
        <v>1081</v>
      </c>
      <c r="G52" s="16" t="s">
        <v>1082</v>
      </c>
      <c r="H52" s="17" t="s">
        <v>28</v>
      </c>
      <c r="I52" s="16" t="s">
        <v>28</v>
      </c>
      <c r="J52" s="16" t="s">
        <v>28</v>
      </c>
      <c r="K52" s="16"/>
      <c r="L52" s="20" t="n">
        <v>3512262489</v>
      </c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 t="s">
        <v>28</v>
      </c>
      <c r="AA52" s="12" t="s">
        <v>156</v>
      </c>
    </row>
    <row r="53" customFormat="false" ht="15.75" hidden="false" customHeight="false" outlineLevel="0" collapsed="false">
      <c r="A53" s="19" t="n">
        <v>7771</v>
      </c>
      <c r="B53" s="14" t="n">
        <v>45315</v>
      </c>
      <c r="C53" s="16" t="s">
        <v>1080</v>
      </c>
      <c r="D53" s="16" t="s">
        <v>24</v>
      </c>
      <c r="E53" s="16" t="s">
        <v>25</v>
      </c>
      <c r="F53" s="16" t="s">
        <v>1081</v>
      </c>
      <c r="G53" s="16" t="s">
        <v>1084</v>
      </c>
      <c r="H53" s="17" t="s">
        <v>28</v>
      </c>
      <c r="I53" s="16"/>
      <c r="J53" s="16"/>
      <c r="K53" s="16"/>
      <c r="L53" s="20" t="n">
        <v>3512262489</v>
      </c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 t="s">
        <v>28</v>
      </c>
      <c r="AA53" s="12" t="s">
        <v>156</v>
      </c>
    </row>
    <row r="54" customFormat="false" ht="15.75" hidden="false" customHeight="false" outlineLevel="0" collapsed="false">
      <c r="A54" s="19" t="n">
        <v>7772</v>
      </c>
      <c r="B54" s="14" t="n">
        <v>45315</v>
      </c>
      <c r="C54" s="16" t="s">
        <v>1083</v>
      </c>
      <c r="D54" s="16" t="s">
        <v>24</v>
      </c>
      <c r="E54" s="16" t="s">
        <v>25</v>
      </c>
      <c r="F54" s="16" t="s">
        <v>1081</v>
      </c>
      <c r="G54" s="16" t="s">
        <v>1084</v>
      </c>
      <c r="H54" s="17" t="s">
        <v>28</v>
      </c>
      <c r="I54" s="16"/>
      <c r="J54" s="16"/>
      <c r="K54" s="16"/>
      <c r="L54" s="20" t="n">
        <v>3512262489</v>
      </c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 t="s">
        <v>28</v>
      </c>
      <c r="AA54" s="12" t="s">
        <v>156</v>
      </c>
    </row>
    <row r="55" customFormat="false" ht="15.75" hidden="false" customHeight="false" outlineLevel="0" collapsed="false">
      <c r="A55" s="19" t="n">
        <v>7773</v>
      </c>
      <c r="B55" s="14" t="n">
        <v>45317</v>
      </c>
      <c r="C55" s="16" t="s">
        <v>1085</v>
      </c>
      <c r="D55" s="16" t="s">
        <v>24</v>
      </c>
      <c r="E55" s="16" t="s">
        <v>25</v>
      </c>
      <c r="F55" s="16" t="s">
        <v>1086</v>
      </c>
      <c r="G55" s="16"/>
      <c r="H55" s="17" t="s">
        <v>28</v>
      </c>
      <c r="I55" s="16"/>
      <c r="J55" s="16" t="s">
        <v>28</v>
      </c>
      <c r="K55" s="16"/>
      <c r="L55" s="16" t="s">
        <v>1087</v>
      </c>
      <c r="M55" s="16"/>
      <c r="N55" s="16" t="s">
        <v>1088</v>
      </c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 t="s">
        <v>37</v>
      </c>
      <c r="AA55" s="12" t="s">
        <v>40</v>
      </c>
    </row>
    <row r="56" customFormat="false" ht="15.75" hidden="false" customHeight="false" outlineLevel="0" collapsed="false">
      <c r="A56" s="24" t="n">
        <v>7774</v>
      </c>
      <c r="B56" s="49" t="n">
        <v>45317</v>
      </c>
      <c r="C56" s="25" t="s">
        <v>274</v>
      </c>
      <c r="D56" s="25" t="s">
        <v>24</v>
      </c>
      <c r="E56" s="25" t="s">
        <v>34</v>
      </c>
      <c r="F56" s="16" t="s">
        <v>1078</v>
      </c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T56" s="25"/>
      <c r="U56" s="25"/>
      <c r="V56" s="25"/>
      <c r="W56" s="25"/>
      <c r="X56" s="25"/>
      <c r="Y56" s="25"/>
      <c r="Z56" s="25" t="s">
        <v>28</v>
      </c>
      <c r="AA56" s="12" t="s">
        <v>32</v>
      </c>
    </row>
    <row r="57" customFormat="false" ht="15.75" hidden="false" customHeight="false" outlineLevel="0" collapsed="false">
      <c r="A57" s="19" t="n">
        <v>7775</v>
      </c>
      <c r="B57" s="14" t="n">
        <v>45317</v>
      </c>
      <c r="C57" s="16" t="s">
        <v>274</v>
      </c>
      <c r="D57" s="16" t="s">
        <v>24</v>
      </c>
      <c r="E57" s="16" t="s">
        <v>34</v>
      </c>
      <c r="F57" s="16" t="s">
        <v>1078</v>
      </c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T57" s="16"/>
      <c r="U57" s="16"/>
      <c r="V57" s="16"/>
      <c r="W57" s="16"/>
      <c r="X57" s="16"/>
      <c r="Y57" s="16"/>
      <c r="Z57" s="16" t="s">
        <v>28</v>
      </c>
      <c r="AA57" s="12" t="s">
        <v>32</v>
      </c>
    </row>
    <row r="58" customFormat="false" ht="15.75" hidden="false" customHeight="false" outlineLevel="0" collapsed="false">
      <c r="A58" s="19" t="n">
        <v>7776</v>
      </c>
      <c r="B58" s="14" t="n">
        <v>45317</v>
      </c>
      <c r="C58" s="16" t="s">
        <v>1089</v>
      </c>
      <c r="D58" s="16" t="s">
        <v>24</v>
      </c>
      <c r="E58" s="16" t="s">
        <v>34</v>
      </c>
      <c r="F58" s="16" t="s">
        <v>1090</v>
      </c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 t="s">
        <v>28</v>
      </c>
      <c r="AA58" s="12" t="s">
        <v>32</v>
      </c>
    </row>
    <row r="59" customFormat="false" ht="15.75" hidden="false" customHeight="false" outlineLevel="0" collapsed="false">
      <c r="A59" s="19" t="n">
        <v>7777</v>
      </c>
      <c r="B59" s="14" t="n">
        <v>45318</v>
      </c>
      <c r="C59" s="16" t="s">
        <v>311</v>
      </c>
      <c r="D59" s="16" t="s">
        <v>24</v>
      </c>
      <c r="E59" s="16" t="s">
        <v>34</v>
      </c>
      <c r="F59" s="16" t="s">
        <v>1091</v>
      </c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 t="s">
        <v>28</v>
      </c>
      <c r="AA59" s="12" t="s">
        <v>32</v>
      </c>
    </row>
    <row r="60" customFormat="false" ht="15.75" hidden="false" customHeight="false" outlineLevel="0" collapsed="false">
      <c r="A60" s="19" t="n">
        <v>7778</v>
      </c>
      <c r="B60" s="14" t="n">
        <v>45320</v>
      </c>
      <c r="C60" s="16" t="s">
        <v>1092</v>
      </c>
      <c r="D60" s="16" t="s">
        <v>24</v>
      </c>
      <c r="E60" s="16" t="s">
        <v>968</v>
      </c>
      <c r="F60" s="16" t="s">
        <v>1093</v>
      </c>
      <c r="G60" s="16" t="s">
        <v>1094</v>
      </c>
      <c r="H60" s="17" t="s">
        <v>1095</v>
      </c>
      <c r="I60" s="16"/>
      <c r="J60" s="16"/>
      <c r="K60" s="16"/>
      <c r="L60" s="16" t="n">
        <v>3543516038</v>
      </c>
      <c r="M60" s="16"/>
      <c r="N60" s="16"/>
      <c r="O60" s="16" t="s">
        <v>1096</v>
      </c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 t="s">
        <v>28</v>
      </c>
      <c r="AA60" s="12" t="s">
        <v>40</v>
      </c>
    </row>
    <row r="61" customFormat="false" ht="15.75" hidden="false" customHeight="false" outlineLevel="0" collapsed="false">
      <c r="A61" s="42" t="n">
        <v>1757183</v>
      </c>
      <c r="B61" s="14" t="n">
        <v>45321</v>
      </c>
      <c r="C61" s="16" t="s">
        <v>1097</v>
      </c>
      <c r="D61" s="16" t="s">
        <v>290</v>
      </c>
      <c r="E61" s="16" t="s">
        <v>968</v>
      </c>
      <c r="F61" s="16" t="s">
        <v>1098</v>
      </c>
      <c r="G61" s="16" t="s">
        <v>1099</v>
      </c>
      <c r="H61" s="17" t="s">
        <v>1100</v>
      </c>
      <c r="I61" s="16" t="s">
        <v>28</v>
      </c>
      <c r="J61" s="16" t="s">
        <v>28</v>
      </c>
      <c r="K61" s="16"/>
      <c r="L61" s="16" t="n">
        <v>3534848704</v>
      </c>
      <c r="M61" s="16"/>
      <c r="N61" s="16"/>
      <c r="O61" s="16" t="s">
        <v>1101</v>
      </c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 t="s">
        <v>28</v>
      </c>
      <c r="AA61" s="12" t="s">
        <v>32</v>
      </c>
    </row>
    <row r="62" customFormat="false" ht="15.75" hidden="false" customHeight="false" outlineLevel="0" collapsed="false">
      <c r="A62" s="19" t="n">
        <v>7779</v>
      </c>
      <c r="B62" s="14" t="n">
        <v>45321</v>
      </c>
      <c r="C62" s="16" t="s">
        <v>776</v>
      </c>
      <c r="D62" s="16" t="s">
        <v>24</v>
      </c>
      <c r="E62" s="16" t="s">
        <v>34</v>
      </c>
      <c r="F62" s="16" t="s">
        <v>1102</v>
      </c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 t="s">
        <v>37</v>
      </c>
      <c r="AA62" s="12" t="s">
        <v>40</v>
      </c>
    </row>
    <row r="63" customFormat="false" ht="15.75" hidden="false" customHeight="false" outlineLevel="0" collapsed="false">
      <c r="A63" s="19" t="n">
        <v>7780</v>
      </c>
      <c r="B63" s="14" t="n">
        <v>45321</v>
      </c>
      <c r="C63" s="16" t="s">
        <v>776</v>
      </c>
      <c r="D63" s="16" t="s">
        <v>24</v>
      </c>
      <c r="E63" s="16" t="s">
        <v>34</v>
      </c>
      <c r="F63" s="16" t="s">
        <v>1102</v>
      </c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 t="s">
        <v>37</v>
      </c>
      <c r="AA63" s="12" t="s">
        <v>40</v>
      </c>
    </row>
    <row r="64" customFormat="false" ht="15.75" hidden="false" customHeight="false" outlineLevel="0" collapsed="false">
      <c r="A64" s="19" t="n">
        <v>7781</v>
      </c>
      <c r="B64" s="14" t="n">
        <v>45322</v>
      </c>
      <c r="C64" s="16" t="s">
        <v>1103</v>
      </c>
      <c r="D64" s="16" t="s">
        <v>24</v>
      </c>
      <c r="E64" s="16" t="s">
        <v>34</v>
      </c>
      <c r="F64" s="16" t="s">
        <v>1104</v>
      </c>
      <c r="G64" s="16" t="s">
        <v>1105</v>
      </c>
      <c r="H64" s="16" t="s">
        <v>37</v>
      </c>
      <c r="I64" s="16" t="s">
        <v>37</v>
      </c>
      <c r="J64" s="16" t="s">
        <v>37</v>
      </c>
      <c r="K64" s="16"/>
      <c r="L64" s="16" t="n">
        <v>3533400262</v>
      </c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 t="s">
        <v>28</v>
      </c>
      <c r="AA64" s="12" t="s">
        <v>32</v>
      </c>
    </row>
    <row r="65" customFormat="false" ht="15.75" hidden="false" customHeight="false" outlineLevel="0" collapsed="false">
      <c r="A65" s="19" t="n">
        <v>7782</v>
      </c>
      <c r="B65" s="14" t="n">
        <v>45322</v>
      </c>
      <c r="C65" s="16" t="s">
        <v>1106</v>
      </c>
      <c r="D65" s="16" t="s">
        <v>24</v>
      </c>
      <c r="E65" s="16" t="s">
        <v>968</v>
      </c>
      <c r="F65" s="16" t="s">
        <v>1107</v>
      </c>
      <c r="G65" s="16" t="s">
        <v>1108</v>
      </c>
      <c r="H65" s="17" t="s">
        <v>1109</v>
      </c>
      <c r="I65" s="16" t="s">
        <v>28</v>
      </c>
      <c r="J65" s="16" t="s">
        <v>28</v>
      </c>
      <c r="K65" s="16"/>
      <c r="L65" s="16" t="n">
        <v>3515193335</v>
      </c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 t="s">
        <v>28</v>
      </c>
      <c r="AA65" s="12" t="s">
        <v>32</v>
      </c>
    </row>
    <row r="66" customFormat="false" ht="15.75" hidden="false" customHeight="false" outlineLevel="0" collapsed="false">
      <c r="A66" s="24" t="n">
        <v>7783</v>
      </c>
      <c r="B66" s="14" t="n">
        <v>45322</v>
      </c>
      <c r="C66" s="16" t="s">
        <v>841</v>
      </c>
      <c r="D66" s="16" t="s">
        <v>24</v>
      </c>
      <c r="E66" s="16" t="s">
        <v>34</v>
      </c>
      <c r="F66" s="16" t="s">
        <v>1110</v>
      </c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 t="s">
        <v>37</v>
      </c>
      <c r="AA66" s="12" t="s">
        <v>40</v>
      </c>
    </row>
    <row r="67" customFormat="false" ht="15.75" hidden="false" customHeight="false" outlineLevel="0" collapsed="false">
      <c r="A67" s="19" t="n">
        <v>7784</v>
      </c>
      <c r="B67" s="14" t="n">
        <v>45323</v>
      </c>
      <c r="C67" s="16" t="s">
        <v>1111</v>
      </c>
      <c r="D67" s="16" t="s">
        <v>24</v>
      </c>
      <c r="E67" s="16" t="s">
        <v>968</v>
      </c>
      <c r="F67" s="16" t="s">
        <v>1112</v>
      </c>
      <c r="G67" s="16" t="s">
        <v>1113</v>
      </c>
      <c r="H67" s="17" t="s">
        <v>1114</v>
      </c>
      <c r="I67" s="16" t="s">
        <v>28</v>
      </c>
      <c r="J67" s="16"/>
      <c r="K67" s="16" t="s">
        <v>1115</v>
      </c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 t="s">
        <v>28</v>
      </c>
      <c r="AA67" s="12" t="s">
        <v>48</v>
      </c>
    </row>
    <row r="68" customFormat="false" ht="15.75" hidden="false" customHeight="false" outlineLevel="0" collapsed="false">
      <c r="A68" s="19"/>
      <c r="B68" s="14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2"/>
    </row>
    <row r="69" customFormat="false" ht="15.75" hidden="false" customHeight="false" outlineLevel="0" collapsed="false">
      <c r="A69" s="19"/>
      <c r="B69" s="14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2"/>
    </row>
    <row r="70" customFormat="false" ht="15.75" hidden="false" customHeight="false" outlineLevel="0" collapsed="false">
      <c r="A70" s="19"/>
      <c r="B70" s="14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U70" s="16"/>
      <c r="V70" s="16"/>
      <c r="W70" s="16"/>
      <c r="X70" s="16"/>
      <c r="Y70" s="16"/>
      <c r="Z70" s="16"/>
      <c r="AA70" s="12"/>
    </row>
    <row r="71" customFormat="false" ht="15.75" hidden="false" customHeight="false" outlineLevel="0" collapsed="false">
      <c r="A71" s="19"/>
      <c r="B71" s="14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</row>
    <row r="72" customFormat="false" ht="15.75" hidden="false" customHeight="false" outlineLevel="0" collapsed="false">
      <c r="A72" s="19"/>
      <c r="B72" s="14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</row>
    <row r="73" customFormat="false" ht="15.75" hidden="false" customHeight="false" outlineLevel="0" collapsed="false">
      <c r="A73" s="24"/>
      <c r="B73" s="49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50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</row>
    <row r="74" customFormat="false" ht="15.75" hidden="false" customHeight="false" outlineLevel="0" collapsed="false">
      <c r="A74" s="19"/>
      <c r="B74" s="14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23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</row>
    <row r="75" customFormat="false" ht="15.75" hidden="false" customHeight="false" outlineLevel="0" collapsed="false">
      <c r="A75" s="19"/>
      <c r="B75" s="14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</row>
    <row r="76" customFormat="false" ht="15.75" hidden="false" customHeight="false" outlineLevel="0" collapsed="false">
      <c r="A76" s="19"/>
      <c r="B76" s="14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</row>
    <row r="77" customFormat="false" ht="15.75" hidden="false" customHeight="false" outlineLevel="0" collapsed="false">
      <c r="A77" s="19"/>
      <c r="B77" s="14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</row>
    <row r="78" customFormat="false" ht="15.75" hidden="false" customHeight="false" outlineLevel="0" collapsed="false">
      <c r="A78" s="19"/>
      <c r="B78" s="14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</row>
    <row r="79" customFormat="false" ht="15.75" hidden="false" customHeight="false" outlineLevel="0" collapsed="false">
      <c r="A79" s="42"/>
      <c r="B79" s="14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</row>
    <row r="80" customFormat="false" ht="15.75" hidden="false" customHeight="false" outlineLevel="0" collapsed="false">
      <c r="A80" s="19"/>
      <c r="B80" s="14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</row>
    <row r="81" customFormat="false" ht="15.75" hidden="false" customHeight="false" outlineLevel="0" collapsed="false">
      <c r="A81" s="19"/>
      <c r="B81" s="14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</row>
    <row r="82" customFormat="false" ht="15.75" hidden="false" customHeight="false" outlineLevel="0" collapsed="false">
      <c r="A82" s="19"/>
      <c r="B82" s="14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</row>
    <row r="83" customFormat="false" ht="15.75" hidden="false" customHeight="false" outlineLevel="0" collapsed="false">
      <c r="A83" s="19"/>
      <c r="B83" s="14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</row>
    <row r="84" customFormat="false" ht="15.75" hidden="false" customHeight="false" outlineLevel="0" collapsed="false">
      <c r="A84" s="19"/>
      <c r="B84" s="14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</row>
    <row r="85" customFormat="false" ht="15.75" hidden="false" customHeight="false" outlineLevel="0" collapsed="false">
      <c r="A85" s="19"/>
      <c r="B85" s="14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</row>
    <row r="86" customFormat="false" ht="15.75" hidden="false" customHeight="false" outlineLevel="0" collapsed="false">
      <c r="A86" s="19"/>
      <c r="B86" s="14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</row>
    <row r="87" customFormat="false" ht="15.75" hidden="false" customHeight="false" outlineLevel="0" collapsed="false">
      <c r="A87" s="19"/>
      <c r="B87" s="14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</row>
    <row r="88" customFormat="false" ht="15.75" hidden="false" customHeight="false" outlineLevel="0" collapsed="false">
      <c r="A88" s="19"/>
      <c r="B88" s="14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</row>
    <row r="89" customFormat="false" ht="15.75" hidden="false" customHeight="false" outlineLevel="0" collapsed="false">
      <c r="A89" s="19"/>
      <c r="B89" s="14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</row>
    <row r="90" customFormat="false" ht="15.75" hidden="false" customHeight="false" outlineLevel="0" collapsed="false">
      <c r="A90" s="24"/>
      <c r="B90" s="14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</row>
    <row r="91" customFormat="false" ht="15.75" hidden="false" customHeight="false" outlineLevel="0" collapsed="false">
      <c r="A91" s="19"/>
      <c r="B91" s="14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</row>
    <row r="92" customFormat="false" ht="15.75" hidden="false" customHeight="false" outlineLevel="0" collapsed="false">
      <c r="A92" s="19"/>
      <c r="B92" s="14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</row>
    <row r="93" customFormat="false" ht="15.75" hidden="false" customHeight="false" outlineLevel="0" collapsed="false">
      <c r="A93" s="19"/>
      <c r="B93" s="14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</row>
    <row r="94" customFormat="false" ht="15.75" hidden="false" customHeight="false" outlineLevel="0" collapsed="false">
      <c r="A94" s="13"/>
      <c r="B94" s="14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</row>
    <row r="95" customFormat="false" ht="15.75" hidden="false" customHeight="false" outlineLevel="0" collapsed="false">
      <c r="A95" s="13"/>
      <c r="B95" s="14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</row>
    <row r="96" customFormat="false" ht="15.75" hidden="false" customHeight="false" outlineLevel="0" collapsed="false">
      <c r="A96" s="13"/>
      <c r="B96" s="14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</row>
    <row r="97" customFormat="false" ht="15.75" hidden="false" customHeight="false" outlineLevel="0" collapsed="false">
      <c r="A97" s="13"/>
      <c r="B97" s="14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</row>
    <row r="98" customFormat="false" ht="15.75" hidden="false" customHeight="false" outlineLevel="0" collapsed="false">
      <c r="A98" s="13"/>
      <c r="B98" s="14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</row>
    <row r="99" customFormat="false" ht="15.75" hidden="false" customHeight="false" outlineLevel="0" collapsed="false">
      <c r="A99" s="13"/>
      <c r="B99" s="14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</row>
    <row r="100" customFormat="false" ht="15.75" hidden="false" customHeight="false" outlineLevel="0" collapsed="false">
      <c r="A100" s="13"/>
      <c r="B100" s="14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</row>
    <row r="101" customFormat="false" ht="15.75" hidden="false" customHeight="false" outlineLevel="0" collapsed="false">
      <c r="A101" s="13"/>
      <c r="B101" s="14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</row>
    <row r="102" customFormat="false" ht="15.75" hidden="false" customHeight="false" outlineLevel="0" collapsed="false">
      <c r="A102" s="13"/>
      <c r="B102" s="14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</row>
    <row r="103" customFormat="false" ht="15.75" hidden="false" customHeight="false" outlineLevel="0" collapsed="false">
      <c r="A103" s="13"/>
      <c r="B103" s="14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</row>
    <row r="104" customFormat="false" ht="15.75" hidden="false" customHeight="false" outlineLevel="0" collapsed="false">
      <c r="A104" s="13"/>
      <c r="B104" s="14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</row>
    <row r="105" customFormat="false" ht="15.75" hidden="false" customHeight="false" outlineLevel="0" collapsed="false">
      <c r="A105" s="13"/>
      <c r="B105" s="14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</row>
    <row r="106" customFormat="false" ht="15.75" hidden="false" customHeight="false" outlineLevel="0" collapsed="false">
      <c r="A106" s="13"/>
      <c r="B106" s="14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</row>
    <row r="107" customFormat="false" ht="15.75" hidden="false" customHeight="false" outlineLevel="0" collapsed="false">
      <c r="A107" s="12"/>
      <c r="B107" s="34"/>
      <c r="C107" s="12"/>
      <c r="D107" s="12"/>
      <c r="E107" s="12"/>
      <c r="F107" s="12"/>
      <c r="G107" s="18"/>
      <c r="H107" s="35"/>
      <c r="I107" s="35"/>
      <c r="J107" s="12"/>
      <c r="P107" s="18"/>
      <c r="Q107" s="12"/>
      <c r="R107" s="12"/>
      <c r="S107" s="12"/>
      <c r="T107" s="36"/>
      <c r="U107" s="36"/>
      <c r="V107" s="12"/>
      <c r="W107" s="12"/>
      <c r="X107" s="12"/>
      <c r="Y107" s="12"/>
      <c r="Z107" s="12"/>
    </row>
    <row r="108" customFormat="false" ht="15.75" hidden="false" customHeight="false" outlineLevel="0" collapsed="false">
      <c r="A108" s="12"/>
      <c r="B108" s="34"/>
      <c r="C108" s="12"/>
      <c r="D108" s="12"/>
      <c r="E108" s="12"/>
      <c r="F108" s="12"/>
      <c r="G108" s="18"/>
      <c r="H108" s="35"/>
      <c r="I108" s="35"/>
      <c r="J108" s="12"/>
      <c r="P108" s="18"/>
      <c r="Q108" s="12"/>
      <c r="R108" s="12"/>
      <c r="S108" s="12"/>
      <c r="T108" s="36"/>
      <c r="U108" s="36"/>
      <c r="V108" s="12"/>
      <c r="W108" s="12"/>
      <c r="X108" s="12"/>
      <c r="Y108" s="12"/>
      <c r="Z108" s="12"/>
    </row>
    <row r="109" customFormat="false" ht="15.75" hidden="false" customHeight="false" outlineLevel="0" collapsed="false">
      <c r="A109" s="12"/>
      <c r="B109" s="34"/>
      <c r="C109" s="12"/>
      <c r="D109" s="12"/>
      <c r="E109" s="12"/>
      <c r="F109" s="12"/>
      <c r="G109" s="18"/>
      <c r="H109" s="35"/>
      <c r="I109" s="35"/>
      <c r="J109" s="12"/>
      <c r="P109" s="18"/>
      <c r="Q109" s="12"/>
      <c r="R109" s="12"/>
      <c r="S109" s="12"/>
      <c r="T109" s="36"/>
      <c r="U109" s="36"/>
      <c r="V109" s="12"/>
      <c r="W109" s="12"/>
      <c r="X109" s="12"/>
      <c r="Y109" s="12"/>
      <c r="Z109" s="12"/>
    </row>
    <row r="110" customFormat="false" ht="15.75" hidden="false" customHeight="false" outlineLevel="0" collapsed="false">
      <c r="A110" s="12"/>
      <c r="B110" s="34"/>
      <c r="C110" s="12"/>
      <c r="D110" s="12"/>
      <c r="E110" s="12"/>
      <c r="F110" s="12"/>
      <c r="G110" s="18"/>
      <c r="H110" s="35"/>
      <c r="I110" s="35"/>
      <c r="J110" s="12"/>
      <c r="P110" s="18"/>
      <c r="Q110" s="12"/>
      <c r="R110" s="12"/>
      <c r="S110" s="12"/>
      <c r="T110" s="36"/>
      <c r="U110" s="36"/>
      <c r="V110" s="12"/>
      <c r="W110" s="12"/>
      <c r="X110" s="12"/>
      <c r="Y110" s="12"/>
      <c r="Z110" s="12"/>
    </row>
    <row r="111" customFormat="false" ht="15.75" hidden="false" customHeight="false" outlineLevel="0" collapsed="false">
      <c r="A111" s="12"/>
      <c r="B111" s="34"/>
      <c r="C111" s="12"/>
      <c r="D111" s="12"/>
      <c r="E111" s="12"/>
      <c r="F111" s="12"/>
      <c r="G111" s="18"/>
      <c r="H111" s="35"/>
      <c r="I111" s="35"/>
      <c r="J111" s="12"/>
      <c r="P111" s="18"/>
      <c r="Q111" s="12"/>
      <c r="R111" s="12"/>
      <c r="S111" s="12"/>
      <c r="T111" s="36"/>
      <c r="U111" s="36"/>
      <c r="V111" s="12"/>
      <c r="W111" s="12"/>
      <c r="X111" s="12"/>
      <c r="Y111" s="12"/>
      <c r="Z111" s="12"/>
    </row>
    <row r="112" customFormat="false" ht="15.75" hidden="false" customHeight="false" outlineLevel="0" collapsed="false">
      <c r="A112" s="12"/>
      <c r="B112" s="34"/>
      <c r="C112" s="12"/>
      <c r="D112" s="12"/>
      <c r="E112" s="12"/>
      <c r="F112" s="12"/>
      <c r="G112" s="18"/>
      <c r="H112" s="35"/>
      <c r="I112" s="35"/>
      <c r="J112" s="12"/>
      <c r="P112" s="18"/>
      <c r="Q112" s="12"/>
      <c r="R112" s="12"/>
      <c r="S112" s="12"/>
      <c r="T112" s="36"/>
      <c r="U112" s="36"/>
      <c r="V112" s="12"/>
      <c r="W112" s="12"/>
      <c r="X112" s="12"/>
      <c r="Y112" s="12"/>
      <c r="Z112" s="12"/>
    </row>
    <row r="113" customFormat="false" ht="15.75" hidden="false" customHeight="false" outlineLevel="0" collapsed="false">
      <c r="A113" s="12"/>
      <c r="B113" s="34"/>
      <c r="C113" s="12"/>
      <c r="D113" s="12"/>
      <c r="E113" s="12"/>
      <c r="F113" s="12"/>
      <c r="G113" s="18"/>
      <c r="H113" s="35"/>
      <c r="I113" s="35"/>
      <c r="J113" s="12"/>
      <c r="P113" s="18"/>
      <c r="Q113" s="12"/>
      <c r="R113" s="12"/>
      <c r="S113" s="12"/>
      <c r="T113" s="36"/>
      <c r="U113" s="36"/>
      <c r="V113" s="12"/>
      <c r="W113" s="12"/>
      <c r="X113" s="12"/>
      <c r="Y113" s="12"/>
      <c r="Z113" s="12"/>
    </row>
    <row r="114" customFormat="false" ht="15.75" hidden="false" customHeight="false" outlineLevel="0" collapsed="false">
      <c r="A114" s="12"/>
      <c r="B114" s="34"/>
      <c r="C114" s="12"/>
      <c r="D114" s="12"/>
      <c r="E114" s="12"/>
      <c r="F114" s="12"/>
      <c r="G114" s="18"/>
      <c r="H114" s="35"/>
      <c r="I114" s="35"/>
      <c r="J114" s="12"/>
      <c r="P114" s="18"/>
      <c r="Q114" s="12"/>
      <c r="R114" s="12"/>
      <c r="S114" s="12"/>
      <c r="T114" s="36"/>
      <c r="U114" s="36"/>
      <c r="V114" s="12"/>
      <c r="W114" s="12"/>
      <c r="X114" s="12"/>
      <c r="Y114" s="12"/>
      <c r="Z114" s="12"/>
    </row>
    <row r="115" customFormat="false" ht="15.75" hidden="false" customHeight="false" outlineLevel="0" collapsed="false">
      <c r="A115" s="12"/>
      <c r="B115" s="34"/>
      <c r="C115" s="12"/>
      <c r="D115" s="12"/>
      <c r="E115" s="12"/>
      <c r="F115" s="12"/>
      <c r="G115" s="18"/>
      <c r="H115" s="35"/>
      <c r="I115" s="35"/>
      <c r="J115" s="12"/>
      <c r="P115" s="18"/>
      <c r="Q115" s="12"/>
      <c r="R115" s="12"/>
      <c r="S115" s="12"/>
      <c r="T115" s="36"/>
      <c r="U115" s="36"/>
      <c r="V115" s="12"/>
      <c r="W115" s="12"/>
      <c r="X115" s="12"/>
      <c r="Y115" s="12"/>
      <c r="Z115" s="12"/>
    </row>
    <row r="116" customFormat="false" ht="15.75" hidden="false" customHeight="false" outlineLevel="0" collapsed="false">
      <c r="A116" s="12"/>
      <c r="B116" s="34"/>
      <c r="C116" s="12"/>
      <c r="D116" s="12"/>
      <c r="E116" s="12"/>
      <c r="F116" s="12"/>
      <c r="G116" s="18"/>
      <c r="H116" s="35"/>
      <c r="I116" s="35"/>
      <c r="J116" s="12"/>
      <c r="P116" s="18"/>
      <c r="Q116" s="12"/>
      <c r="R116" s="12"/>
      <c r="S116" s="12"/>
      <c r="T116" s="36"/>
      <c r="U116" s="36"/>
      <c r="V116" s="12"/>
      <c r="W116" s="12"/>
      <c r="X116" s="12"/>
      <c r="Y116" s="12"/>
      <c r="Z116" s="12"/>
    </row>
    <row r="117" customFormat="false" ht="15.75" hidden="false" customHeight="false" outlineLevel="0" collapsed="false">
      <c r="A117" s="12"/>
      <c r="B117" s="34"/>
      <c r="C117" s="12"/>
      <c r="D117" s="12"/>
      <c r="E117" s="12"/>
      <c r="F117" s="12"/>
      <c r="G117" s="18"/>
      <c r="H117" s="35"/>
      <c r="I117" s="35"/>
      <c r="J117" s="12"/>
      <c r="P117" s="18"/>
      <c r="Q117" s="12"/>
      <c r="R117" s="12"/>
      <c r="S117" s="12"/>
      <c r="T117" s="36"/>
      <c r="U117" s="36"/>
      <c r="V117" s="12"/>
      <c r="W117" s="12"/>
      <c r="X117" s="12"/>
      <c r="Y117" s="12"/>
      <c r="Z117" s="12"/>
    </row>
    <row r="118" customFormat="false" ht="15.75" hidden="false" customHeight="false" outlineLevel="0" collapsed="false">
      <c r="A118" s="12"/>
      <c r="B118" s="34"/>
      <c r="C118" s="12"/>
      <c r="D118" s="12"/>
      <c r="E118" s="12"/>
      <c r="F118" s="12"/>
      <c r="G118" s="18"/>
      <c r="H118" s="35"/>
      <c r="I118" s="35"/>
      <c r="J118" s="12"/>
      <c r="P118" s="18"/>
      <c r="Q118" s="12"/>
      <c r="R118" s="12"/>
      <c r="S118" s="12"/>
      <c r="T118" s="36"/>
      <c r="U118" s="36"/>
      <c r="V118" s="12"/>
      <c r="W118" s="12"/>
      <c r="X118" s="12"/>
      <c r="Y118" s="12"/>
      <c r="Z118" s="12"/>
    </row>
    <row r="119" customFormat="false" ht="15.75" hidden="false" customHeight="false" outlineLevel="0" collapsed="false">
      <c r="A119" s="12"/>
      <c r="B119" s="34"/>
      <c r="C119" s="12"/>
      <c r="D119" s="12"/>
      <c r="E119" s="12"/>
      <c r="F119" s="12"/>
      <c r="G119" s="18"/>
      <c r="H119" s="35"/>
      <c r="I119" s="35"/>
      <c r="J119" s="12"/>
      <c r="P119" s="18"/>
      <c r="Q119" s="12"/>
      <c r="R119" s="12"/>
      <c r="S119" s="12"/>
      <c r="T119" s="36"/>
      <c r="U119" s="36"/>
      <c r="V119" s="12"/>
      <c r="W119" s="12"/>
      <c r="X119" s="12"/>
      <c r="Y119" s="12"/>
      <c r="Z119" s="12"/>
    </row>
    <row r="120" customFormat="false" ht="15.75" hidden="false" customHeight="false" outlineLevel="0" collapsed="false">
      <c r="A120" s="12"/>
      <c r="B120" s="34"/>
      <c r="C120" s="12"/>
      <c r="D120" s="12"/>
      <c r="E120" s="12"/>
      <c r="F120" s="12"/>
      <c r="G120" s="18"/>
      <c r="H120" s="35"/>
      <c r="I120" s="35"/>
      <c r="J120" s="12"/>
      <c r="P120" s="18"/>
      <c r="Q120" s="12"/>
      <c r="R120" s="12"/>
      <c r="S120" s="12"/>
      <c r="T120" s="36"/>
      <c r="U120" s="36"/>
      <c r="V120" s="12"/>
      <c r="W120" s="12"/>
      <c r="X120" s="12"/>
      <c r="Y120" s="12"/>
      <c r="Z120" s="12"/>
    </row>
    <row r="121" customFormat="false" ht="15.75" hidden="false" customHeight="false" outlineLevel="0" collapsed="false">
      <c r="A121" s="12"/>
      <c r="B121" s="34"/>
      <c r="C121" s="12"/>
      <c r="D121" s="12"/>
      <c r="E121" s="12"/>
      <c r="F121" s="12"/>
      <c r="G121" s="18"/>
      <c r="H121" s="35"/>
      <c r="I121" s="35"/>
      <c r="J121" s="12"/>
      <c r="P121" s="18"/>
      <c r="Q121" s="12"/>
      <c r="R121" s="12"/>
      <c r="S121" s="12"/>
      <c r="T121" s="36"/>
      <c r="U121" s="36"/>
      <c r="V121" s="12"/>
      <c r="W121" s="12"/>
      <c r="X121" s="12"/>
      <c r="Y121" s="12"/>
      <c r="Z121" s="12"/>
    </row>
    <row r="122" customFormat="false" ht="15.75" hidden="false" customHeight="false" outlineLevel="0" collapsed="false">
      <c r="A122" s="12"/>
      <c r="B122" s="34"/>
      <c r="C122" s="12"/>
      <c r="D122" s="12"/>
      <c r="E122" s="12"/>
      <c r="F122" s="12"/>
      <c r="G122" s="18"/>
      <c r="H122" s="35"/>
      <c r="I122" s="35"/>
      <c r="J122" s="12"/>
      <c r="P122" s="18"/>
      <c r="Q122" s="12"/>
      <c r="R122" s="12"/>
      <c r="S122" s="12"/>
      <c r="T122" s="36"/>
      <c r="U122" s="36"/>
      <c r="V122" s="12"/>
      <c r="W122" s="12"/>
      <c r="X122" s="12"/>
      <c r="Y122" s="12"/>
      <c r="Z122" s="12"/>
    </row>
    <row r="123" customFormat="false" ht="15.75" hidden="false" customHeight="false" outlineLevel="0" collapsed="false">
      <c r="A123" s="12"/>
      <c r="B123" s="34"/>
      <c r="C123" s="12"/>
      <c r="D123" s="12"/>
      <c r="E123" s="12"/>
      <c r="F123" s="12"/>
      <c r="G123" s="18"/>
      <c r="H123" s="35"/>
      <c r="I123" s="35"/>
      <c r="J123" s="12"/>
      <c r="O123" s="12"/>
      <c r="P123" s="18"/>
      <c r="Q123" s="12"/>
      <c r="R123" s="12"/>
      <c r="S123" s="12"/>
      <c r="T123" s="36"/>
      <c r="U123" s="36"/>
      <c r="V123" s="12"/>
      <c r="W123" s="12"/>
      <c r="X123" s="12"/>
      <c r="Y123" s="12"/>
      <c r="Z123" s="12"/>
    </row>
    <row r="124" customFormat="false" ht="15.75" hidden="false" customHeight="false" outlineLevel="0" collapsed="false">
      <c r="A124" s="12"/>
      <c r="B124" s="34"/>
      <c r="C124" s="12"/>
      <c r="D124" s="12"/>
      <c r="E124" s="12"/>
      <c r="F124" s="12"/>
      <c r="G124" s="18"/>
      <c r="H124" s="35"/>
      <c r="I124" s="35"/>
      <c r="J124" s="12"/>
      <c r="O124" s="12"/>
      <c r="P124" s="18"/>
      <c r="Q124" s="12"/>
      <c r="R124" s="12"/>
      <c r="S124" s="12"/>
      <c r="T124" s="36"/>
      <c r="U124" s="36"/>
      <c r="V124" s="12"/>
      <c r="W124" s="12"/>
      <c r="X124" s="12"/>
      <c r="Y124" s="12"/>
      <c r="Z124" s="12"/>
    </row>
    <row r="125" customFormat="false" ht="15.75" hidden="false" customHeight="false" outlineLevel="0" collapsed="false">
      <c r="A125" s="12"/>
      <c r="B125" s="34"/>
      <c r="C125" s="12"/>
      <c r="D125" s="12"/>
      <c r="E125" s="12"/>
      <c r="F125" s="12"/>
      <c r="G125" s="18"/>
      <c r="H125" s="35"/>
      <c r="I125" s="35"/>
      <c r="J125" s="12"/>
      <c r="O125" s="12"/>
      <c r="P125" s="18"/>
      <c r="Q125" s="12"/>
      <c r="R125" s="12"/>
      <c r="S125" s="12"/>
      <c r="T125" s="36"/>
      <c r="U125" s="36"/>
      <c r="V125" s="12"/>
      <c r="W125" s="12"/>
      <c r="X125" s="12"/>
      <c r="Y125" s="12"/>
      <c r="Z125" s="12"/>
    </row>
    <row r="126" customFormat="false" ht="15.75" hidden="false" customHeight="false" outlineLevel="0" collapsed="false">
      <c r="A126" s="12"/>
      <c r="B126" s="34"/>
      <c r="C126" s="12"/>
      <c r="D126" s="12"/>
      <c r="E126" s="12"/>
      <c r="F126" s="12"/>
      <c r="G126" s="18"/>
      <c r="H126" s="35"/>
      <c r="I126" s="35"/>
      <c r="J126" s="12"/>
      <c r="O126" s="12"/>
      <c r="P126" s="18"/>
      <c r="Q126" s="12"/>
      <c r="R126" s="12"/>
      <c r="S126" s="12"/>
      <c r="T126" s="36"/>
      <c r="U126" s="36"/>
      <c r="V126" s="12"/>
      <c r="W126" s="12"/>
      <c r="X126" s="12"/>
      <c r="Y126" s="12"/>
      <c r="Z126" s="12"/>
    </row>
    <row r="127" customFormat="false" ht="15.75" hidden="false" customHeight="false" outlineLevel="0" collapsed="false">
      <c r="A127" s="12"/>
      <c r="B127" s="34"/>
      <c r="C127" s="12"/>
      <c r="D127" s="12"/>
      <c r="E127" s="12"/>
      <c r="F127" s="12"/>
      <c r="G127" s="18"/>
      <c r="H127" s="35"/>
      <c r="I127" s="35"/>
      <c r="J127" s="12"/>
      <c r="O127" s="12"/>
      <c r="P127" s="18"/>
      <c r="Q127" s="12"/>
      <c r="R127" s="12"/>
      <c r="S127" s="12"/>
      <c r="T127" s="36"/>
      <c r="U127" s="36"/>
      <c r="V127" s="12"/>
      <c r="W127" s="12"/>
      <c r="X127" s="12"/>
      <c r="Y127" s="12"/>
      <c r="Z127" s="12"/>
    </row>
    <row r="128" customFormat="false" ht="15.75" hidden="false" customHeight="false" outlineLevel="0" collapsed="false">
      <c r="A128" s="12"/>
      <c r="B128" s="34"/>
      <c r="C128" s="12"/>
      <c r="D128" s="12"/>
      <c r="E128" s="12"/>
      <c r="F128" s="12"/>
      <c r="G128" s="18"/>
      <c r="H128" s="35"/>
      <c r="I128" s="35"/>
      <c r="J128" s="12"/>
      <c r="O128" s="12"/>
      <c r="P128" s="18"/>
      <c r="Q128" s="12"/>
      <c r="R128" s="12"/>
      <c r="S128" s="12"/>
      <c r="T128" s="36"/>
      <c r="U128" s="36"/>
      <c r="V128" s="12"/>
      <c r="W128" s="12"/>
      <c r="X128" s="12"/>
      <c r="Y128" s="12"/>
      <c r="Z128" s="12"/>
    </row>
    <row r="129" customFormat="false" ht="15.75" hidden="false" customHeight="false" outlineLevel="0" collapsed="false">
      <c r="A129" s="12"/>
      <c r="B129" s="34"/>
      <c r="C129" s="12"/>
      <c r="D129" s="12"/>
      <c r="E129" s="12"/>
      <c r="F129" s="12"/>
      <c r="G129" s="18"/>
      <c r="H129" s="35"/>
      <c r="I129" s="35"/>
      <c r="J129" s="12"/>
      <c r="O129" s="12"/>
      <c r="P129" s="18"/>
      <c r="Q129" s="12"/>
      <c r="R129" s="12"/>
      <c r="S129" s="12"/>
      <c r="T129" s="36"/>
      <c r="U129" s="36"/>
      <c r="V129" s="12"/>
      <c r="W129" s="12"/>
      <c r="X129" s="12"/>
      <c r="Y129" s="12"/>
      <c r="Z129" s="12"/>
    </row>
    <row r="130" customFormat="false" ht="15.75" hidden="false" customHeight="false" outlineLevel="0" collapsed="false">
      <c r="A130" s="12"/>
      <c r="B130" s="34"/>
      <c r="C130" s="12"/>
      <c r="D130" s="12"/>
      <c r="E130" s="12"/>
      <c r="F130" s="12"/>
      <c r="G130" s="18"/>
      <c r="H130" s="35"/>
      <c r="I130" s="35"/>
      <c r="J130" s="12"/>
      <c r="O130" s="12"/>
      <c r="P130" s="18"/>
      <c r="Q130" s="12"/>
      <c r="R130" s="12"/>
      <c r="S130" s="12"/>
      <c r="T130" s="36"/>
      <c r="U130" s="36"/>
      <c r="V130" s="12"/>
      <c r="W130" s="12"/>
      <c r="X130" s="12"/>
      <c r="Y130" s="12"/>
      <c r="Z130" s="12"/>
    </row>
    <row r="131" customFormat="false" ht="15.75" hidden="false" customHeight="false" outlineLevel="0" collapsed="false">
      <c r="A131" s="12"/>
      <c r="B131" s="34"/>
      <c r="C131" s="12"/>
      <c r="D131" s="12"/>
      <c r="E131" s="12"/>
      <c r="F131" s="12"/>
      <c r="G131" s="18"/>
      <c r="H131" s="35"/>
      <c r="I131" s="35"/>
      <c r="J131" s="12"/>
      <c r="O131" s="12"/>
      <c r="P131" s="18"/>
      <c r="Q131" s="12"/>
      <c r="R131" s="12"/>
      <c r="S131" s="12"/>
      <c r="T131" s="36"/>
      <c r="U131" s="36"/>
      <c r="V131" s="12"/>
      <c r="W131" s="12"/>
      <c r="X131" s="12"/>
      <c r="Y131" s="12"/>
      <c r="Z131" s="12"/>
    </row>
    <row r="132" customFormat="false" ht="15.75" hidden="false" customHeight="false" outlineLevel="0" collapsed="false">
      <c r="A132" s="12"/>
      <c r="B132" s="34"/>
      <c r="C132" s="12"/>
      <c r="D132" s="12"/>
      <c r="E132" s="12"/>
      <c r="F132" s="12"/>
      <c r="G132" s="18"/>
      <c r="H132" s="35"/>
      <c r="I132" s="35"/>
      <c r="J132" s="12"/>
      <c r="O132" s="12"/>
      <c r="P132" s="18"/>
      <c r="Q132" s="12"/>
      <c r="R132" s="12"/>
      <c r="S132" s="12"/>
      <c r="T132" s="36"/>
      <c r="U132" s="36"/>
      <c r="V132" s="12"/>
      <c r="W132" s="12"/>
      <c r="X132" s="12"/>
      <c r="Y132" s="12"/>
      <c r="Z132" s="12"/>
    </row>
    <row r="133" customFormat="false" ht="15.75" hidden="false" customHeight="false" outlineLevel="0" collapsed="false">
      <c r="A133" s="12"/>
      <c r="B133" s="34"/>
      <c r="C133" s="12"/>
      <c r="D133" s="12"/>
      <c r="E133" s="12"/>
      <c r="F133" s="12"/>
      <c r="G133" s="18"/>
      <c r="H133" s="35"/>
      <c r="I133" s="35"/>
      <c r="J133" s="12"/>
      <c r="O133" s="12"/>
      <c r="P133" s="18"/>
      <c r="Q133" s="12"/>
      <c r="R133" s="12"/>
      <c r="S133" s="12"/>
      <c r="T133" s="36"/>
      <c r="U133" s="36"/>
      <c r="V133" s="12"/>
      <c r="W133" s="12"/>
      <c r="X133" s="12"/>
      <c r="Y133" s="12"/>
      <c r="Z133" s="12"/>
    </row>
    <row r="134" customFormat="false" ht="15.75" hidden="false" customHeight="false" outlineLevel="0" collapsed="false">
      <c r="A134" s="12"/>
      <c r="B134" s="34"/>
      <c r="C134" s="12"/>
      <c r="D134" s="12"/>
      <c r="E134" s="12"/>
      <c r="F134" s="12"/>
      <c r="G134" s="18"/>
      <c r="H134" s="35"/>
      <c r="I134" s="35"/>
      <c r="J134" s="12"/>
      <c r="O134" s="12"/>
      <c r="P134" s="18"/>
      <c r="Q134" s="12"/>
      <c r="R134" s="12"/>
      <c r="S134" s="12"/>
      <c r="T134" s="36"/>
      <c r="U134" s="36"/>
      <c r="V134" s="12"/>
      <c r="W134" s="12"/>
      <c r="X134" s="12"/>
      <c r="Y134" s="12"/>
      <c r="Z134" s="12"/>
    </row>
    <row r="135" customFormat="false" ht="15.75" hidden="false" customHeight="false" outlineLevel="0" collapsed="false">
      <c r="A135" s="12"/>
      <c r="B135" s="34"/>
      <c r="C135" s="12"/>
      <c r="D135" s="12"/>
      <c r="E135" s="12"/>
      <c r="F135" s="12"/>
      <c r="G135" s="18"/>
      <c r="H135" s="35"/>
      <c r="I135" s="35"/>
      <c r="J135" s="12"/>
      <c r="O135" s="12"/>
      <c r="P135" s="18"/>
      <c r="Q135" s="12"/>
      <c r="R135" s="12"/>
      <c r="S135" s="12"/>
      <c r="T135" s="36"/>
      <c r="U135" s="36"/>
      <c r="V135" s="12"/>
      <c r="W135" s="12"/>
      <c r="X135" s="12"/>
      <c r="Y135" s="12"/>
      <c r="Z135" s="12"/>
    </row>
    <row r="136" customFormat="false" ht="15.75" hidden="false" customHeight="false" outlineLevel="0" collapsed="false">
      <c r="A136" s="12"/>
      <c r="B136" s="34"/>
      <c r="C136" s="12"/>
      <c r="D136" s="12"/>
      <c r="E136" s="12"/>
      <c r="F136" s="12"/>
      <c r="G136" s="18"/>
      <c r="H136" s="35"/>
      <c r="I136" s="35"/>
      <c r="J136" s="12"/>
      <c r="O136" s="12"/>
      <c r="P136" s="18"/>
      <c r="Q136" s="12"/>
      <c r="R136" s="12"/>
      <c r="S136" s="12"/>
      <c r="T136" s="36"/>
      <c r="U136" s="36"/>
      <c r="V136" s="12"/>
      <c r="W136" s="12"/>
      <c r="X136" s="12"/>
      <c r="Y136" s="12"/>
      <c r="Z136" s="12"/>
    </row>
    <row r="137" customFormat="false" ht="15.75" hidden="false" customHeight="false" outlineLevel="0" collapsed="false">
      <c r="A137" s="12"/>
      <c r="B137" s="34"/>
      <c r="C137" s="12"/>
      <c r="D137" s="12"/>
      <c r="E137" s="12"/>
      <c r="F137" s="12"/>
      <c r="G137" s="18"/>
      <c r="H137" s="35"/>
      <c r="I137" s="35"/>
      <c r="J137" s="12"/>
      <c r="O137" s="12"/>
      <c r="P137" s="18"/>
      <c r="Q137" s="12"/>
      <c r="R137" s="12"/>
      <c r="S137" s="12"/>
      <c r="T137" s="36"/>
      <c r="U137" s="36"/>
      <c r="V137" s="12"/>
      <c r="W137" s="12"/>
      <c r="X137" s="12"/>
      <c r="Y137" s="12"/>
      <c r="Z137" s="12"/>
    </row>
    <row r="138" customFormat="false" ht="15.75" hidden="false" customHeight="false" outlineLevel="0" collapsed="false">
      <c r="A138" s="12"/>
      <c r="B138" s="34"/>
      <c r="C138" s="12"/>
      <c r="D138" s="12"/>
      <c r="E138" s="12"/>
      <c r="F138" s="12"/>
      <c r="G138" s="18"/>
      <c r="H138" s="35"/>
      <c r="I138" s="35"/>
      <c r="J138" s="12"/>
      <c r="O138" s="12"/>
      <c r="P138" s="18"/>
      <c r="Q138" s="12"/>
      <c r="R138" s="12"/>
      <c r="S138" s="12"/>
      <c r="T138" s="36"/>
      <c r="U138" s="36"/>
      <c r="V138" s="12"/>
      <c r="W138" s="12"/>
      <c r="X138" s="12"/>
      <c r="Y138" s="12"/>
      <c r="Z138" s="12"/>
    </row>
    <row r="139" customFormat="false" ht="15.75" hidden="false" customHeight="false" outlineLevel="0" collapsed="false">
      <c r="A139" s="12"/>
      <c r="B139" s="34"/>
      <c r="C139" s="12"/>
      <c r="D139" s="12"/>
      <c r="E139" s="12"/>
      <c r="F139" s="12"/>
      <c r="G139" s="18"/>
      <c r="H139" s="35"/>
      <c r="I139" s="35"/>
      <c r="J139" s="12"/>
      <c r="O139" s="12"/>
      <c r="P139" s="18"/>
      <c r="Q139" s="12"/>
      <c r="R139" s="12"/>
      <c r="S139" s="12"/>
      <c r="T139" s="36"/>
      <c r="U139" s="36"/>
      <c r="V139" s="12"/>
      <c r="W139" s="12"/>
      <c r="X139" s="12"/>
      <c r="Y139" s="12"/>
      <c r="Z139" s="12"/>
    </row>
    <row r="140" customFormat="false" ht="15.75" hidden="false" customHeight="false" outlineLevel="0" collapsed="false">
      <c r="A140" s="12"/>
      <c r="B140" s="34"/>
      <c r="C140" s="12"/>
      <c r="D140" s="12"/>
      <c r="E140" s="12"/>
      <c r="F140" s="12"/>
      <c r="G140" s="18"/>
      <c r="H140" s="35"/>
      <c r="I140" s="35"/>
      <c r="J140" s="12"/>
      <c r="O140" s="12"/>
      <c r="P140" s="18"/>
      <c r="Q140" s="12"/>
      <c r="R140" s="12"/>
      <c r="S140" s="12"/>
      <c r="T140" s="36"/>
      <c r="U140" s="36"/>
      <c r="V140" s="12"/>
      <c r="W140" s="12"/>
      <c r="X140" s="12"/>
      <c r="Y140" s="12"/>
      <c r="Z140" s="12"/>
    </row>
    <row r="141" customFormat="false" ht="15.75" hidden="false" customHeight="false" outlineLevel="0" collapsed="false">
      <c r="A141" s="12"/>
      <c r="B141" s="34"/>
      <c r="C141" s="12"/>
      <c r="D141" s="12"/>
      <c r="E141" s="12"/>
      <c r="F141" s="12"/>
      <c r="G141" s="18"/>
      <c r="H141" s="35"/>
      <c r="I141" s="35"/>
      <c r="J141" s="12"/>
      <c r="O141" s="12"/>
      <c r="P141" s="18"/>
      <c r="Q141" s="12"/>
      <c r="R141" s="12"/>
      <c r="S141" s="12"/>
      <c r="T141" s="36"/>
      <c r="U141" s="36"/>
      <c r="V141" s="12"/>
      <c r="W141" s="12"/>
      <c r="X141" s="12"/>
      <c r="Y141" s="12"/>
      <c r="Z141" s="12"/>
    </row>
    <row r="142" customFormat="false" ht="15.75" hidden="false" customHeight="false" outlineLevel="0" collapsed="false">
      <c r="A142" s="12"/>
      <c r="B142" s="34"/>
      <c r="C142" s="12"/>
      <c r="D142" s="12"/>
      <c r="E142" s="12"/>
      <c r="F142" s="12"/>
      <c r="G142" s="18"/>
      <c r="H142" s="35"/>
      <c r="I142" s="35"/>
      <c r="J142" s="12"/>
      <c r="O142" s="12"/>
      <c r="P142" s="18"/>
      <c r="Q142" s="12"/>
      <c r="R142" s="12"/>
      <c r="S142" s="12"/>
      <c r="T142" s="36"/>
      <c r="U142" s="36"/>
      <c r="V142" s="12"/>
      <c r="W142" s="12"/>
      <c r="X142" s="12"/>
      <c r="Y142" s="12"/>
      <c r="Z142" s="12"/>
    </row>
    <row r="143" customFormat="false" ht="15.75" hidden="false" customHeight="false" outlineLevel="0" collapsed="false">
      <c r="A143" s="12"/>
      <c r="B143" s="34"/>
      <c r="C143" s="12"/>
      <c r="D143" s="12"/>
      <c r="E143" s="12"/>
      <c r="F143" s="12"/>
      <c r="G143" s="18"/>
      <c r="H143" s="35"/>
      <c r="I143" s="35"/>
      <c r="J143" s="12"/>
      <c r="O143" s="12"/>
      <c r="P143" s="18"/>
      <c r="Q143" s="12"/>
      <c r="R143" s="12"/>
      <c r="S143" s="12"/>
      <c r="T143" s="36"/>
      <c r="U143" s="36"/>
      <c r="V143" s="12"/>
      <c r="W143" s="12"/>
      <c r="X143" s="12"/>
      <c r="Y143" s="12"/>
      <c r="Z143" s="12"/>
    </row>
    <row r="144" customFormat="false" ht="15.75" hidden="false" customHeight="false" outlineLevel="0" collapsed="false">
      <c r="A144" s="12"/>
      <c r="B144" s="34"/>
      <c r="C144" s="12"/>
      <c r="D144" s="12"/>
      <c r="E144" s="12"/>
      <c r="F144" s="12"/>
      <c r="G144" s="18"/>
      <c r="H144" s="35"/>
      <c r="I144" s="35"/>
      <c r="J144" s="12"/>
      <c r="O144" s="12"/>
      <c r="P144" s="18"/>
      <c r="Q144" s="12"/>
      <c r="R144" s="12"/>
      <c r="S144" s="12"/>
      <c r="T144" s="36"/>
      <c r="U144" s="36"/>
      <c r="V144" s="12"/>
      <c r="W144" s="12"/>
      <c r="X144" s="12"/>
      <c r="Y144" s="12"/>
      <c r="Z144" s="12"/>
    </row>
    <row r="145" customFormat="false" ht="15.75" hidden="false" customHeight="false" outlineLevel="0" collapsed="false">
      <c r="A145" s="12"/>
      <c r="B145" s="34"/>
      <c r="C145" s="12"/>
      <c r="D145" s="12"/>
      <c r="E145" s="12"/>
      <c r="F145" s="12"/>
      <c r="G145" s="18"/>
      <c r="H145" s="35"/>
      <c r="I145" s="35"/>
      <c r="J145" s="12"/>
      <c r="O145" s="12"/>
      <c r="P145" s="18"/>
      <c r="Q145" s="12"/>
      <c r="R145" s="12"/>
      <c r="S145" s="12"/>
      <c r="T145" s="36"/>
      <c r="U145" s="36"/>
      <c r="V145" s="12"/>
      <c r="W145" s="12"/>
      <c r="X145" s="12"/>
      <c r="Y145" s="12"/>
      <c r="Z145" s="12"/>
    </row>
    <row r="146" customFormat="false" ht="15.75" hidden="false" customHeight="false" outlineLevel="0" collapsed="false">
      <c r="A146" s="12"/>
      <c r="B146" s="34"/>
      <c r="C146" s="12"/>
      <c r="D146" s="12"/>
      <c r="E146" s="12"/>
      <c r="F146" s="12"/>
      <c r="G146" s="18"/>
      <c r="H146" s="35"/>
      <c r="I146" s="35"/>
      <c r="J146" s="12"/>
      <c r="O146" s="12"/>
      <c r="P146" s="18"/>
      <c r="Q146" s="12"/>
      <c r="R146" s="12"/>
      <c r="S146" s="12"/>
      <c r="T146" s="36"/>
      <c r="U146" s="36"/>
      <c r="V146" s="12"/>
      <c r="W146" s="12"/>
      <c r="X146" s="12"/>
      <c r="Y146" s="12"/>
      <c r="Z146" s="12"/>
    </row>
    <row r="147" customFormat="false" ht="15.75" hidden="false" customHeight="false" outlineLevel="0" collapsed="false">
      <c r="A147" s="12"/>
      <c r="B147" s="34"/>
      <c r="C147" s="12"/>
      <c r="D147" s="12"/>
      <c r="E147" s="12"/>
      <c r="F147" s="12"/>
      <c r="G147" s="18"/>
      <c r="H147" s="35"/>
      <c r="I147" s="35"/>
      <c r="J147" s="12"/>
      <c r="O147" s="12"/>
      <c r="P147" s="18"/>
      <c r="Q147" s="12"/>
      <c r="R147" s="12"/>
      <c r="S147" s="12"/>
      <c r="T147" s="36"/>
      <c r="U147" s="36"/>
      <c r="V147" s="12"/>
      <c r="W147" s="12"/>
      <c r="X147" s="12"/>
      <c r="Y147" s="12"/>
      <c r="Z147" s="12"/>
    </row>
    <row r="148" customFormat="false" ht="15.75" hidden="false" customHeight="false" outlineLevel="0" collapsed="false">
      <c r="A148" s="12"/>
      <c r="B148" s="34"/>
      <c r="C148" s="12"/>
      <c r="D148" s="12"/>
      <c r="E148" s="12"/>
      <c r="F148" s="12"/>
      <c r="G148" s="18"/>
      <c r="H148" s="35"/>
      <c r="I148" s="35"/>
      <c r="J148" s="12"/>
      <c r="O148" s="12"/>
      <c r="P148" s="18"/>
      <c r="Q148" s="12"/>
      <c r="R148" s="12"/>
      <c r="S148" s="12"/>
      <c r="T148" s="36"/>
      <c r="U148" s="36"/>
      <c r="V148" s="12"/>
      <c r="W148" s="12"/>
      <c r="X148" s="12"/>
      <c r="Y148" s="12"/>
      <c r="Z148" s="12"/>
    </row>
    <row r="149" customFormat="false" ht="15.75" hidden="false" customHeight="false" outlineLevel="0" collapsed="false">
      <c r="A149" s="12"/>
      <c r="B149" s="34"/>
      <c r="C149" s="12"/>
      <c r="D149" s="12"/>
      <c r="E149" s="12"/>
      <c r="F149" s="12"/>
      <c r="G149" s="18"/>
      <c r="H149" s="35"/>
      <c r="I149" s="35"/>
      <c r="J149" s="12"/>
      <c r="O149" s="12"/>
      <c r="P149" s="18"/>
      <c r="Q149" s="12"/>
      <c r="R149" s="12"/>
      <c r="S149" s="12"/>
      <c r="T149" s="36"/>
      <c r="U149" s="36"/>
      <c r="V149" s="12"/>
      <c r="W149" s="12"/>
      <c r="X149" s="12"/>
      <c r="Y149" s="12"/>
      <c r="Z149" s="12"/>
    </row>
    <row r="150" customFormat="false" ht="15.75" hidden="false" customHeight="false" outlineLevel="0" collapsed="false">
      <c r="A150" s="12"/>
      <c r="B150" s="34"/>
      <c r="C150" s="12"/>
      <c r="D150" s="12"/>
      <c r="E150" s="12"/>
      <c r="F150" s="12"/>
      <c r="G150" s="18"/>
      <c r="H150" s="35"/>
      <c r="I150" s="35"/>
      <c r="J150" s="12"/>
      <c r="O150" s="12"/>
      <c r="P150" s="18"/>
      <c r="Q150" s="12"/>
      <c r="R150" s="12"/>
      <c r="S150" s="12"/>
      <c r="T150" s="36"/>
      <c r="U150" s="36"/>
      <c r="V150" s="12"/>
      <c r="W150" s="12"/>
      <c r="X150" s="12"/>
      <c r="Y150" s="12"/>
      <c r="Z150" s="12"/>
    </row>
    <row r="151" customFormat="false" ht="15.75" hidden="false" customHeight="false" outlineLevel="0" collapsed="false">
      <c r="A151" s="12"/>
      <c r="B151" s="34"/>
      <c r="C151" s="12"/>
      <c r="D151" s="12"/>
      <c r="E151" s="12"/>
      <c r="F151" s="12"/>
      <c r="G151" s="18"/>
      <c r="H151" s="35"/>
      <c r="I151" s="35"/>
      <c r="J151" s="12"/>
      <c r="O151" s="12"/>
      <c r="P151" s="18"/>
      <c r="Q151" s="12"/>
      <c r="R151" s="12"/>
      <c r="S151" s="12"/>
      <c r="T151" s="36"/>
      <c r="U151" s="36"/>
      <c r="V151" s="12"/>
      <c r="W151" s="12"/>
      <c r="X151" s="12"/>
      <c r="Y151" s="12"/>
      <c r="Z151" s="12"/>
    </row>
    <row r="152" customFormat="false" ht="15.75" hidden="false" customHeight="false" outlineLevel="0" collapsed="false">
      <c r="A152" s="12"/>
      <c r="B152" s="34"/>
      <c r="C152" s="12"/>
      <c r="D152" s="12"/>
      <c r="E152" s="12"/>
      <c r="F152" s="12"/>
      <c r="G152" s="18"/>
      <c r="H152" s="35"/>
      <c r="I152" s="35"/>
      <c r="J152" s="12"/>
      <c r="O152" s="12"/>
      <c r="P152" s="18"/>
      <c r="Q152" s="12"/>
      <c r="R152" s="12"/>
      <c r="S152" s="12"/>
      <c r="T152" s="36"/>
      <c r="U152" s="36"/>
      <c r="V152" s="12"/>
      <c r="W152" s="12"/>
      <c r="X152" s="12"/>
      <c r="Y152" s="12"/>
      <c r="Z152" s="12"/>
    </row>
    <row r="153" customFormat="false" ht="15.75" hidden="false" customHeight="false" outlineLevel="0" collapsed="false">
      <c r="A153" s="12"/>
      <c r="B153" s="34"/>
      <c r="C153" s="12"/>
      <c r="D153" s="12"/>
      <c r="E153" s="12"/>
      <c r="F153" s="12"/>
      <c r="G153" s="18"/>
      <c r="H153" s="35"/>
      <c r="I153" s="35"/>
      <c r="J153" s="12"/>
      <c r="O153" s="12"/>
      <c r="P153" s="18"/>
      <c r="Q153" s="12"/>
      <c r="R153" s="12"/>
      <c r="S153" s="12"/>
      <c r="T153" s="36"/>
      <c r="U153" s="36"/>
      <c r="V153" s="12"/>
      <c r="W153" s="12"/>
      <c r="X153" s="12"/>
      <c r="Y153" s="12"/>
      <c r="Z153" s="12"/>
    </row>
    <row r="154" customFormat="false" ht="15.75" hidden="false" customHeight="false" outlineLevel="0" collapsed="false">
      <c r="A154" s="12"/>
      <c r="B154" s="34"/>
      <c r="C154" s="12"/>
      <c r="D154" s="12"/>
      <c r="E154" s="12"/>
      <c r="F154" s="12"/>
      <c r="G154" s="18"/>
      <c r="H154" s="35"/>
      <c r="I154" s="35"/>
      <c r="J154" s="12"/>
      <c r="O154" s="12"/>
      <c r="P154" s="18"/>
      <c r="Q154" s="12"/>
      <c r="R154" s="12"/>
      <c r="S154" s="12"/>
      <c r="T154" s="36"/>
      <c r="U154" s="36"/>
      <c r="V154" s="12"/>
      <c r="W154" s="12"/>
      <c r="X154" s="12"/>
      <c r="Y154" s="12"/>
      <c r="Z154" s="12"/>
    </row>
    <row r="155" customFormat="false" ht="15.75" hidden="false" customHeight="false" outlineLevel="0" collapsed="false">
      <c r="A155" s="12"/>
      <c r="B155" s="34"/>
      <c r="C155" s="12"/>
      <c r="D155" s="12"/>
      <c r="E155" s="12"/>
      <c r="F155" s="12"/>
      <c r="G155" s="18"/>
      <c r="H155" s="35"/>
      <c r="I155" s="35"/>
      <c r="J155" s="12"/>
      <c r="O155" s="12"/>
      <c r="P155" s="18"/>
      <c r="Q155" s="12"/>
      <c r="R155" s="12"/>
      <c r="S155" s="12"/>
      <c r="T155" s="36"/>
      <c r="U155" s="36"/>
      <c r="V155" s="12"/>
      <c r="W155" s="12"/>
      <c r="X155" s="12"/>
      <c r="Y155" s="12"/>
      <c r="Z155" s="12"/>
    </row>
    <row r="156" customFormat="false" ht="15.75" hidden="false" customHeight="false" outlineLevel="0" collapsed="false">
      <c r="A156" s="12"/>
      <c r="B156" s="34"/>
      <c r="C156" s="12"/>
      <c r="D156" s="12"/>
      <c r="E156" s="12"/>
      <c r="F156" s="12"/>
      <c r="G156" s="18"/>
      <c r="H156" s="35"/>
      <c r="I156" s="35"/>
      <c r="J156" s="12"/>
      <c r="O156" s="12"/>
      <c r="P156" s="18"/>
      <c r="Q156" s="12"/>
      <c r="R156" s="12"/>
      <c r="S156" s="12"/>
      <c r="T156" s="36"/>
      <c r="U156" s="36"/>
      <c r="V156" s="12"/>
      <c r="W156" s="12"/>
      <c r="X156" s="12"/>
      <c r="Y156" s="12"/>
      <c r="Z156" s="12"/>
    </row>
    <row r="157" customFormat="false" ht="15.75" hidden="false" customHeight="false" outlineLevel="0" collapsed="false">
      <c r="A157" s="12"/>
      <c r="B157" s="34"/>
      <c r="C157" s="12"/>
      <c r="D157" s="12"/>
      <c r="E157" s="12"/>
      <c r="F157" s="12"/>
      <c r="G157" s="18"/>
      <c r="H157" s="35"/>
      <c r="I157" s="35"/>
      <c r="J157" s="12"/>
      <c r="O157" s="12"/>
      <c r="P157" s="18"/>
      <c r="Q157" s="12"/>
      <c r="R157" s="12"/>
      <c r="S157" s="12"/>
      <c r="T157" s="36"/>
      <c r="U157" s="36"/>
      <c r="V157" s="12"/>
      <c r="W157" s="12"/>
      <c r="X157" s="12"/>
      <c r="Y157" s="12"/>
      <c r="Z157" s="12"/>
    </row>
    <row r="158" customFormat="false" ht="15.75" hidden="false" customHeight="false" outlineLevel="0" collapsed="false">
      <c r="A158" s="12"/>
      <c r="B158" s="34"/>
      <c r="C158" s="12"/>
      <c r="D158" s="12"/>
      <c r="E158" s="12"/>
      <c r="F158" s="12"/>
      <c r="G158" s="18"/>
      <c r="H158" s="35"/>
      <c r="I158" s="35"/>
      <c r="J158" s="12"/>
      <c r="O158" s="12"/>
      <c r="P158" s="18"/>
      <c r="Q158" s="12"/>
      <c r="R158" s="12"/>
      <c r="S158" s="12"/>
      <c r="T158" s="36"/>
      <c r="U158" s="36"/>
      <c r="V158" s="12"/>
      <c r="W158" s="12"/>
      <c r="X158" s="12"/>
      <c r="Y158" s="12"/>
      <c r="Z158" s="12"/>
    </row>
    <row r="159" customFormat="false" ht="15.75" hidden="false" customHeight="false" outlineLevel="0" collapsed="false">
      <c r="A159" s="12"/>
      <c r="B159" s="34"/>
      <c r="C159" s="12"/>
      <c r="D159" s="12"/>
      <c r="E159" s="12"/>
      <c r="F159" s="12"/>
      <c r="G159" s="18"/>
      <c r="H159" s="35"/>
      <c r="I159" s="35"/>
      <c r="J159" s="12"/>
      <c r="O159" s="12"/>
      <c r="P159" s="18"/>
      <c r="Q159" s="12"/>
      <c r="R159" s="12"/>
      <c r="S159" s="12"/>
      <c r="T159" s="36"/>
      <c r="U159" s="36"/>
      <c r="V159" s="12"/>
      <c r="W159" s="12"/>
      <c r="X159" s="12"/>
      <c r="Y159" s="12"/>
      <c r="Z159" s="12"/>
    </row>
    <row r="160" customFormat="false" ht="15.75" hidden="false" customHeight="false" outlineLevel="0" collapsed="false">
      <c r="A160" s="12"/>
      <c r="B160" s="34"/>
      <c r="C160" s="12"/>
      <c r="D160" s="12"/>
      <c r="E160" s="12"/>
      <c r="F160" s="12"/>
      <c r="G160" s="18"/>
      <c r="H160" s="35"/>
      <c r="I160" s="35"/>
      <c r="J160" s="12"/>
      <c r="O160" s="12"/>
      <c r="P160" s="18"/>
      <c r="Q160" s="12"/>
      <c r="R160" s="12"/>
      <c r="S160" s="12"/>
      <c r="T160" s="36"/>
      <c r="U160" s="36"/>
      <c r="V160" s="12"/>
      <c r="W160" s="12"/>
      <c r="X160" s="12"/>
      <c r="Y160" s="12"/>
      <c r="Z160" s="12"/>
    </row>
    <row r="161" customFormat="false" ht="15.75" hidden="false" customHeight="false" outlineLevel="0" collapsed="false">
      <c r="A161" s="12"/>
      <c r="B161" s="34"/>
      <c r="C161" s="12"/>
      <c r="D161" s="12"/>
      <c r="E161" s="12"/>
      <c r="F161" s="12"/>
      <c r="G161" s="18"/>
      <c r="H161" s="35"/>
      <c r="I161" s="35"/>
      <c r="J161" s="12"/>
      <c r="O161" s="12"/>
      <c r="P161" s="18"/>
      <c r="Q161" s="12"/>
      <c r="R161" s="12"/>
      <c r="S161" s="12"/>
      <c r="T161" s="36"/>
      <c r="U161" s="36"/>
      <c r="V161" s="12"/>
      <c r="W161" s="12"/>
      <c r="X161" s="12"/>
      <c r="Y161" s="12"/>
      <c r="Z161" s="12"/>
    </row>
    <row r="162" customFormat="false" ht="15.75" hidden="false" customHeight="false" outlineLevel="0" collapsed="false">
      <c r="A162" s="12"/>
      <c r="B162" s="34"/>
      <c r="C162" s="12"/>
      <c r="D162" s="12"/>
      <c r="E162" s="12"/>
      <c r="F162" s="12"/>
      <c r="G162" s="18"/>
      <c r="H162" s="35"/>
      <c r="I162" s="35"/>
      <c r="J162" s="12"/>
      <c r="O162" s="12"/>
      <c r="P162" s="18"/>
      <c r="Q162" s="12"/>
      <c r="R162" s="12"/>
      <c r="S162" s="12"/>
      <c r="T162" s="36"/>
      <c r="U162" s="36"/>
      <c r="V162" s="12"/>
      <c r="W162" s="12"/>
      <c r="X162" s="12"/>
      <c r="Y162" s="12"/>
      <c r="Z162" s="12"/>
    </row>
    <row r="163" customFormat="false" ht="15.75" hidden="false" customHeight="false" outlineLevel="0" collapsed="false">
      <c r="A163" s="12"/>
      <c r="B163" s="34"/>
      <c r="C163" s="12"/>
      <c r="D163" s="12"/>
      <c r="E163" s="12"/>
      <c r="F163" s="12"/>
      <c r="G163" s="18"/>
      <c r="H163" s="35"/>
      <c r="I163" s="35"/>
      <c r="J163" s="12"/>
      <c r="O163" s="12"/>
      <c r="P163" s="18"/>
      <c r="Q163" s="12"/>
      <c r="R163" s="12"/>
      <c r="S163" s="12"/>
      <c r="T163" s="36"/>
      <c r="U163" s="36"/>
      <c r="V163" s="12"/>
      <c r="W163" s="12"/>
      <c r="X163" s="12"/>
      <c r="Y163" s="12"/>
      <c r="Z163" s="12"/>
    </row>
    <row r="164" customFormat="false" ht="15.75" hidden="false" customHeight="false" outlineLevel="0" collapsed="false">
      <c r="A164" s="12"/>
      <c r="B164" s="34"/>
      <c r="C164" s="12"/>
      <c r="D164" s="12"/>
      <c r="E164" s="12"/>
      <c r="F164" s="12"/>
      <c r="G164" s="18"/>
      <c r="H164" s="35"/>
      <c r="I164" s="35"/>
      <c r="J164" s="12"/>
      <c r="O164" s="12"/>
      <c r="P164" s="18"/>
      <c r="Q164" s="12"/>
      <c r="R164" s="12"/>
      <c r="S164" s="12"/>
      <c r="T164" s="36"/>
      <c r="U164" s="36"/>
      <c r="V164" s="12"/>
      <c r="W164" s="12"/>
      <c r="X164" s="12"/>
      <c r="Y164" s="12"/>
      <c r="Z164" s="12"/>
    </row>
    <row r="165" customFormat="false" ht="15.75" hidden="false" customHeight="false" outlineLevel="0" collapsed="false">
      <c r="A165" s="12"/>
      <c r="B165" s="34"/>
      <c r="C165" s="12"/>
      <c r="D165" s="12"/>
      <c r="E165" s="12"/>
      <c r="F165" s="12"/>
      <c r="G165" s="18"/>
      <c r="H165" s="35"/>
      <c r="I165" s="35"/>
      <c r="J165" s="12"/>
      <c r="O165" s="12"/>
      <c r="P165" s="18"/>
      <c r="Q165" s="12"/>
      <c r="R165" s="12"/>
      <c r="S165" s="12"/>
      <c r="T165" s="36"/>
      <c r="U165" s="36"/>
      <c r="V165" s="12"/>
      <c r="W165" s="12"/>
      <c r="X165" s="12"/>
      <c r="Y165" s="12"/>
      <c r="Z165" s="12"/>
    </row>
    <row r="166" customFormat="false" ht="15.75" hidden="false" customHeight="false" outlineLevel="0" collapsed="false">
      <c r="A166" s="12"/>
      <c r="B166" s="34"/>
      <c r="C166" s="12"/>
      <c r="D166" s="12"/>
      <c r="E166" s="12"/>
      <c r="F166" s="12"/>
      <c r="G166" s="18"/>
      <c r="H166" s="35"/>
      <c r="I166" s="35"/>
      <c r="J166" s="12"/>
      <c r="O166" s="12"/>
      <c r="P166" s="18"/>
      <c r="Q166" s="12"/>
      <c r="R166" s="12"/>
      <c r="S166" s="12"/>
      <c r="T166" s="36"/>
      <c r="U166" s="36"/>
      <c r="V166" s="12"/>
      <c r="W166" s="12"/>
      <c r="X166" s="12"/>
      <c r="Y166" s="12"/>
      <c r="Z166" s="12"/>
    </row>
    <row r="167" customFormat="false" ht="15.75" hidden="false" customHeight="false" outlineLevel="0" collapsed="false">
      <c r="A167" s="12"/>
      <c r="B167" s="34"/>
      <c r="C167" s="12"/>
      <c r="D167" s="12"/>
      <c r="E167" s="12"/>
      <c r="F167" s="12"/>
      <c r="G167" s="18"/>
      <c r="H167" s="35"/>
      <c r="I167" s="35"/>
      <c r="J167" s="12"/>
      <c r="O167" s="12"/>
      <c r="P167" s="18"/>
      <c r="Q167" s="12"/>
      <c r="R167" s="12"/>
      <c r="S167" s="12"/>
      <c r="T167" s="36"/>
      <c r="U167" s="36"/>
      <c r="V167" s="12"/>
      <c r="W167" s="12"/>
      <c r="X167" s="12"/>
      <c r="Y167" s="12"/>
      <c r="Z167" s="12"/>
    </row>
    <row r="168" customFormat="false" ht="15.75" hidden="false" customHeight="false" outlineLevel="0" collapsed="false">
      <c r="A168" s="12"/>
      <c r="B168" s="34"/>
      <c r="C168" s="12"/>
      <c r="D168" s="12"/>
      <c r="E168" s="12"/>
      <c r="F168" s="12"/>
      <c r="G168" s="18"/>
      <c r="H168" s="35"/>
      <c r="I168" s="35"/>
      <c r="J168" s="12"/>
      <c r="O168" s="12"/>
      <c r="P168" s="18"/>
      <c r="Q168" s="12"/>
      <c r="R168" s="12"/>
      <c r="S168" s="12"/>
      <c r="T168" s="36"/>
      <c r="U168" s="36"/>
      <c r="V168" s="12"/>
      <c r="W168" s="12"/>
      <c r="X168" s="12"/>
      <c r="Y168" s="12"/>
      <c r="Z168" s="12"/>
    </row>
    <row r="169" customFormat="false" ht="15.75" hidden="false" customHeight="false" outlineLevel="0" collapsed="false">
      <c r="A169" s="12"/>
      <c r="B169" s="34"/>
      <c r="C169" s="12"/>
      <c r="D169" s="12"/>
      <c r="E169" s="12"/>
      <c r="F169" s="12"/>
      <c r="G169" s="18"/>
      <c r="H169" s="35"/>
      <c r="I169" s="35"/>
      <c r="J169" s="12"/>
      <c r="O169" s="12"/>
      <c r="P169" s="18"/>
      <c r="Q169" s="12"/>
      <c r="R169" s="12"/>
      <c r="S169" s="12"/>
      <c r="T169" s="36"/>
      <c r="U169" s="36"/>
      <c r="V169" s="12"/>
      <c r="W169" s="12"/>
      <c r="X169" s="12"/>
      <c r="Y169" s="12"/>
      <c r="Z169" s="12"/>
    </row>
    <row r="170" customFormat="false" ht="15.75" hidden="false" customHeight="false" outlineLevel="0" collapsed="false">
      <c r="A170" s="12"/>
      <c r="B170" s="34"/>
      <c r="C170" s="12"/>
      <c r="D170" s="12"/>
      <c r="E170" s="12"/>
      <c r="F170" s="12"/>
      <c r="G170" s="18"/>
      <c r="H170" s="35"/>
      <c r="I170" s="35"/>
      <c r="J170" s="12"/>
      <c r="O170" s="12"/>
      <c r="P170" s="18"/>
      <c r="Q170" s="12"/>
      <c r="R170" s="12"/>
      <c r="S170" s="12"/>
      <c r="T170" s="36"/>
      <c r="U170" s="36"/>
      <c r="V170" s="12"/>
      <c r="W170" s="12"/>
      <c r="X170" s="12"/>
      <c r="Y170" s="12"/>
      <c r="Z170" s="12"/>
    </row>
    <row r="171" customFormat="false" ht="15.75" hidden="false" customHeight="false" outlineLevel="0" collapsed="false">
      <c r="A171" s="12"/>
      <c r="B171" s="34"/>
      <c r="C171" s="12"/>
      <c r="D171" s="12"/>
      <c r="E171" s="12"/>
      <c r="F171" s="12"/>
      <c r="G171" s="18"/>
      <c r="H171" s="35"/>
      <c r="I171" s="35"/>
      <c r="J171" s="12"/>
      <c r="O171" s="12"/>
      <c r="P171" s="18"/>
      <c r="Q171" s="12"/>
      <c r="R171" s="12"/>
      <c r="S171" s="12"/>
      <c r="T171" s="36"/>
      <c r="U171" s="36"/>
      <c r="V171" s="12"/>
      <c r="W171" s="12"/>
      <c r="X171" s="12"/>
      <c r="Y171" s="12"/>
      <c r="Z171" s="12"/>
    </row>
    <row r="172" customFormat="false" ht="15.75" hidden="false" customHeight="false" outlineLevel="0" collapsed="false">
      <c r="A172" s="12"/>
      <c r="B172" s="34"/>
      <c r="C172" s="12"/>
      <c r="D172" s="12"/>
      <c r="E172" s="12"/>
      <c r="F172" s="12"/>
      <c r="G172" s="18"/>
      <c r="H172" s="35"/>
      <c r="I172" s="35"/>
      <c r="J172" s="12"/>
      <c r="O172" s="12"/>
      <c r="P172" s="18"/>
      <c r="Q172" s="12"/>
      <c r="R172" s="12"/>
      <c r="S172" s="12"/>
      <c r="T172" s="36"/>
      <c r="U172" s="36"/>
      <c r="V172" s="12"/>
      <c r="W172" s="12"/>
      <c r="X172" s="12"/>
      <c r="Y172" s="12"/>
      <c r="Z172" s="12"/>
    </row>
    <row r="173" customFormat="false" ht="15.75" hidden="false" customHeight="false" outlineLevel="0" collapsed="false">
      <c r="A173" s="12"/>
      <c r="B173" s="34"/>
      <c r="C173" s="12"/>
      <c r="D173" s="12"/>
      <c r="E173" s="12"/>
      <c r="F173" s="12"/>
      <c r="G173" s="18"/>
      <c r="H173" s="35"/>
      <c r="I173" s="35"/>
      <c r="J173" s="12"/>
      <c r="O173" s="12"/>
      <c r="P173" s="18"/>
      <c r="Q173" s="12"/>
      <c r="R173" s="12"/>
      <c r="S173" s="12"/>
      <c r="T173" s="36"/>
      <c r="U173" s="36"/>
      <c r="V173" s="12"/>
      <c r="W173" s="12"/>
      <c r="X173" s="12"/>
      <c r="Y173" s="12"/>
      <c r="Z173" s="12"/>
    </row>
    <row r="174" customFormat="false" ht="15.75" hidden="false" customHeight="false" outlineLevel="0" collapsed="false">
      <c r="A174" s="12"/>
      <c r="B174" s="34"/>
      <c r="C174" s="12"/>
      <c r="D174" s="12"/>
      <c r="E174" s="12"/>
      <c r="F174" s="12"/>
      <c r="G174" s="18"/>
      <c r="H174" s="35"/>
      <c r="I174" s="35"/>
      <c r="J174" s="12"/>
      <c r="O174" s="12"/>
      <c r="P174" s="18"/>
      <c r="Q174" s="12"/>
      <c r="R174" s="12"/>
      <c r="S174" s="12"/>
      <c r="T174" s="36"/>
      <c r="U174" s="36"/>
      <c r="V174" s="12"/>
      <c r="W174" s="12"/>
      <c r="X174" s="12"/>
      <c r="Y174" s="12"/>
      <c r="Z174" s="12"/>
    </row>
    <row r="175" customFormat="false" ht="15.75" hidden="false" customHeight="false" outlineLevel="0" collapsed="false">
      <c r="A175" s="12"/>
      <c r="B175" s="34"/>
      <c r="C175" s="12"/>
      <c r="D175" s="12"/>
      <c r="E175" s="12"/>
      <c r="F175" s="12"/>
      <c r="G175" s="18"/>
      <c r="H175" s="35"/>
      <c r="I175" s="35"/>
      <c r="J175" s="12"/>
      <c r="O175" s="12"/>
      <c r="P175" s="18"/>
      <c r="Q175" s="12"/>
      <c r="R175" s="12"/>
      <c r="S175" s="12"/>
      <c r="T175" s="36"/>
      <c r="U175" s="36"/>
      <c r="V175" s="12"/>
      <c r="W175" s="12"/>
      <c r="X175" s="12"/>
      <c r="Y175" s="12"/>
      <c r="Z175" s="12"/>
    </row>
    <row r="176" customFormat="false" ht="15.75" hidden="false" customHeight="false" outlineLevel="0" collapsed="false">
      <c r="A176" s="12"/>
      <c r="B176" s="34"/>
      <c r="C176" s="12"/>
      <c r="D176" s="12"/>
      <c r="E176" s="12"/>
      <c r="F176" s="12"/>
      <c r="G176" s="18"/>
      <c r="H176" s="35"/>
      <c r="I176" s="35"/>
      <c r="J176" s="12"/>
      <c r="O176" s="12"/>
      <c r="P176" s="18"/>
      <c r="Q176" s="12"/>
      <c r="R176" s="12"/>
      <c r="S176" s="12"/>
      <c r="T176" s="36"/>
      <c r="U176" s="36"/>
      <c r="V176" s="12"/>
      <c r="W176" s="12"/>
      <c r="X176" s="12"/>
      <c r="Y176" s="12"/>
      <c r="Z176" s="12"/>
    </row>
    <row r="177" customFormat="false" ht="15.75" hidden="false" customHeight="false" outlineLevel="0" collapsed="false">
      <c r="A177" s="12"/>
      <c r="B177" s="34"/>
      <c r="C177" s="12"/>
      <c r="D177" s="12"/>
      <c r="E177" s="12"/>
      <c r="F177" s="12"/>
      <c r="G177" s="18"/>
      <c r="H177" s="35"/>
      <c r="I177" s="35"/>
      <c r="J177" s="12"/>
      <c r="O177" s="12"/>
      <c r="P177" s="18"/>
      <c r="Q177" s="12"/>
      <c r="R177" s="12"/>
      <c r="S177" s="12"/>
      <c r="T177" s="36"/>
      <c r="U177" s="36"/>
      <c r="V177" s="12"/>
      <c r="W177" s="12"/>
      <c r="X177" s="12"/>
      <c r="Y177" s="12"/>
      <c r="Z177" s="12"/>
    </row>
    <row r="178" customFormat="false" ht="15.75" hidden="false" customHeight="false" outlineLevel="0" collapsed="false">
      <c r="A178" s="12"/>
      <c r="B178" s="34"/>
      <c r="C178" s="12"/>
      <c r="D178" s="12"/>
      <c r="E178" s="12"/>
      <c r="F178" s="12"/>
      <c r="G178" s="18"/>
      <c r="H178" s="35"/>
      <c r="I178" s="35"/>
      <c r="J178" s="12"/>
      <c r="O178" s="12"/>
      <c r="P178" s="18"/>
      <c r="Q178" s="12"/>
      <c r="R178" s="12"/>
      <c r="S178" s="12"/>
      <c r="T178" s="36"/>
      <c r="U178" s="36"/>
      <c r="V178" s="12"/>
      <c r="W178" s="12"/>
      <c r="X178" s="12"/>
      <c r="Y178" s="12"/>
      <c r="Z178" s="12"/>
    </row>
    <row r="179" customFormat="false" ht="15.75" hidden="false" customHeight="false" outlineLevel="0" collapsed="false">
      <c r="A179" s="12"/>
      <c r="B179" s="34"/>
      <c r="C179" s="12"/>
      <c r="D179" s="12"/>
      <c r="E179" s="12"/>
      <c r="F179" s="12"/>
      <c r="G179" s="18"/>
      <c r="H179" s="35"/>
      <c r="I179" s="35"/>
      <c r="J179" s="12"/>
      <c r="O179" s="12"/>
      <c r="P179" s="18"/>
      <c r="Q179" s="12"/>
      <c r="R179" s="12"/>
      <c r="S179" s="12"/>
      <c r="T179" s="36"/>
      <c r="U179" s="36"/>
      <c r="V179" s="12"/>
      <c r="W179" s="12"/>
      <c r="X179" s="12"/>
      <c r="Y179" s="12"/>
      <c r="Z179" s="12"/>
    </row>
    <row r="180" customFormat="false" ht="15.75" hidden="false" customHeight="false" outlineLevel="0" collapsed="false">
      <c r="A180" s="12"/>
      <c r="B180" s="34"/>
      <c r="C180" s="12"/>
      <c r="D180" s="12"/>
      <c r="E180" s="12"/>
      <c r="F180" s="12"/>
      <c r="G180" s="18"/>
      <c r="H180" s="35"/>
      <c r="I180" s="35"/>
      <c r="J180" s="12"/>
      <c r="O180" s="12"/>
      <c r="P180" s="18"/>
      <c r="Q180" s="12"/>
      <c r="R180" s="12"/>
      <c r="S180" s="12"/>
      <c r="T180" s="36"/>
      <c r="U180" s="36"/>
      <c r="V180" s="12"/>
      <c r="W180" s="12"/>
      <c r="X180" s="12"/>
      <c r="Y180" s="12"/>
      <c r="Z180" s="12"/>
    </row>
    <row r="181" customFormat="false" ht="15.75" hidden="false" customHeight="false" outlineLevel="0" collapsed="false">
      <c r="A181" s="12"/>
      <c r="B181" s="34"/>
      <c r="C181" s="12"/>
      <c r="D181" s="12"/>
      <c r="E181" s="12"/>
      <c r="F181" s="12"/>
      <c r="G181" s="18"/>
      <c r="H181" s="35"/>
      <c r="I181" s="35"/>
      <c r="J181" s="12"/>
      <c r="O181" s="12"/>
      <c r="P181" s="18"/>
      <c r="Q181" s="12"/>
      <c r="R181" s="12"/>
      <c r="S181" s="12"/>
      <c r="T181" s="36"/>
      <c r="U181" s="36"/>
      <c r="V181" s="12"/>
      <c r="W181" s="12"/>
      <c r="X181" s="12"/>
      <c r="Y181" s="12"/>
      <c r="Z181" s="12"/>
    </row>
    <row r="182" customFormat="false" ht="15.75" hidden="false" customHeight="false" outlineLevel="0" collapsed="false">
      <c r="A182" s="12"/>
      <c r="B182" s="34"/>
      <c r="C182" s="12"/>
      <c r="D182" s="12"/>
      <c r="E182" s="12"/>
      <c r="F182" s="12"/>
      <c r="G182" s="18"/>
      <c r="H182" s="35"/>
      <c r="I182" s="35"/>
      <c r="J182" s="12"/>
      <c r="O182" s="12"/>
      <c r="P182" s="18"/>
      <c r="Q182" s="12"/>
      <c r="R182" s="12"/>
      <c r="S182" s="12"/>
      <c r="T182" s="36"/>
      <c r="U182" s="36"/>
      <c r="V182" s="12"/>
      <c r="W182" s="12"/>
      <c r="X182" s="12"/>
      <c r="Y182" s="12"/>
      <c r="Z182" s="12"/>
    </row>
    <row r="183" customFormat="false" ht="15.75" hidden="false" customHeight="false" outlineLevel="0" collapsed="false">
      <c r="A183" s="12"/>
      <c r="B183" s="34"/>
      <c r="C183" s="12"/>
      <c r="D183" s="12"/>
      <c r="E183" s="12"/>
      <c r="F183" s="12"/>
      <c r="G183" s="18"/>
      <c r="H183" s="35"/>
      <c r="I183" s="35"/>
      <c r="J183" s="12"/>
      <c r="O183" s="12"/>
      <c r="P183" s="18"/>
      <c r="Q183" s="12"/>
      <c r="R183" s="12"/>
      <c r="S183" s="12"/>
      <c r="T183" s="36"/>
      <c r="U183" s="36"/>
      <c r="V183" s="12"/>
      <c r="W183" s="12"/>
      <c r="X183" s="12"/>
      <c r="Y183" s="12"/>
      <c r="Z183" s="12"/>
    </row>
    <row r="184" customFormat="false" ht="15.75" hidden="false" customHeight="false" outlineLevel="0" collapsed="false">
      <c r="A184" s="12"/>
      <c r="B184" s="34"/>
      <c r="C184" s="12"/>
      <c r="D184" s="12"/>
      <c r="E184" s="12"/>
      <c r="F184" s="12"/>
      <c r="G184" s="18"/>
      <c r="H184" s="35"/>
      <c r="I184" s="35"/>
      <c r="J184" s="12"/>
      <c r="O184" s="12"/>
      <c r="P184" s="18"/>
      <c r="Q184" s="12"/>
      <c r="R184" s="12"/>
      <c r="S184" s="12"/>
      <c r="T184" s="36"/>
      <c r="U184" s="36"/>
      <c r="V184" s="12"/>
      <c r="W184" s="12"/>
      <c r="X184" s="12"/>
      <c r="Y184" s="12"/>
      <c r="Z184" s="12"/>
    </row>
    <row r="185" customFormat="false" ht="15.75" hidden="false" customHeight="false" outlineLevel="0" collapsed="false">
      <c r="A185" s="12"/>
      <c r="B185" s="34"/>
      <c r="C185" s="12"/>
      <c r="D185" s="12"/>
      <c r="E185" s="12"/>
      <c r="F185" s="12"/>
      <c r="G185" s="18"/>
      <c r="H185" s="35"/>
      <c r="I185" s="35"/>
      <c r="J185" s="12"/>
      <c r="O185" s="12"/>
      <c r="P185" s="18"/>
      <c r="Q185" s="12"/>
      <c r="R185" s="12"/>
      <c r="S185" s="12"/>
      <c r="T185" s="36"/>
      <c r="U185" s="36"/>
      <c r="V185" s="12"/>
      <c r="W185" s="12"/>
      <c r="X185" s="12"/>
      <c r="Y185" s="12"/>
      <c r="Z185" s="12"/>
    </row>
    <row r="186" customFormat="false" ht="15.75" hidden="false" customHeight="false" outlineLevel="0" collapsed="false">
      <c r="A186" s="12"/>
      <c r="B186" s="34"/>
      <c r="C186" s="12"/>
      <c r="D186" s="12"/>
      <c r="E186" s="12"/>
      <c r="F186" s="12"/>
      <c r="G186" s="18"/>
      <c r="H186" s="35"/>
      <c r="I186" s="35"/>
      <c r="J186" s="12"/>
      <c r="O186" s="12"/>
      <c r="P186" s="18"/>
      <c r="Q186" s="12"/>
      <c r="R186" s="12"/>
      <c r="S186" s="12"/>
      <c r="T186" s="36"/>
      <c r="U186" s="36"/>
      <c r="V186" s="12"/>
      <c r="W186" s="12"/>
      <c r="X186" s="12"/>
      <c r="Y186" s="12"/>
      <c r="Z186" s="12"/>
    </row>
    <row r="187" customFormat="false" ht="15.75" hidden="false" customHeight="false" outlineLevel="0" collapsed="false">
      <c r="A187" s="12"/>
      <c r="B187" s="34"/>
      <c r="C187" s="12"/>
      <c r="D187" s="12"/>
      <c r="E187" s="12"/>
      <c r="F187" s="12"/>
      <c r="G187" s="18"/>
      <c r="H187" s="35"/>
      <c r="I187" s="35"/>
      <c r="J187" s="12"/>
      <c r="O187" s="12"/>
      <c r="P187" s="18"/>
      <c r="Q187" s="12"/>
      <c r="R187" s="12"/>
      <c r="S187" s="12"/>
      <c r="T187" s="36"/>
      <c r="U187" s="36"/>
      <c r="V187" s="12"/>
      <c r="W187" s="12"/>
      <c r="X187" s="12"/>
      <c r="Y187" s="12"/>
      <c r="Z187" s="12"/>
    </row>
    <row r="188" customFormat="false" ht="15.75" hidden="false" customHeight="false" outlineLevel="0" collapsed="false">
      <c r="A188" s="12"/>
      <c r="B188" s="34"/>
      <c r="C188" s="12"/>
      <c r="D188" s="12"/>
      <c r="E188" s="12"/>
      <c r="F188" s="12"/>
      <c r="G188" s="18"/>
      <c r="H188" s="35"/>
      <c r="I188" s="35"/>
      <c r="J188" s="12"/>
      <c r="O188" s="12"/>
      <c r="P188" s="18"/>
      <c r="Q188" s="12"/>
      <c r="R188" s="12"/>
      <c r="S188" s="12"/>
      <c r="T188" s="36"/>
      <c r="U188" s="36"/>
      <c r="V188" s="12"/>
      <c r="W188" s="12"/>
      <c r="X188" s="12"/>
      <c r="Y188" s="12"/>
      <c r="Z188" s="12"/>
    </row>
    <row r="189" customFormat="false" ht="15.75" hidden="false" customHeight="false" outlineLevel="0" collapsed="false">
      <c r="A189" s="12"/>
      <c r="B189" s="34"/>
      <c r="C189" s="12"/>
      <c r="D189" s="12"/>
      <c r="E189" s="12"/>
      <c r="F189" s="12"/>
      <c r="G189" s="18"/>
      <c r="H189" s="35"/>
      <c r="I189" s="35"/>
      <c r="J189" s="12"/>
      <c r="O189" s="12"/>
      <c r="P189" s="18"/>
      <c r="Q189" s="12"/>
      <c r="R189" s="12"/>
      <c r="S189" s="12"/>
      <c r="T189" s="36"/>
      <c r="U189" s="36"/>
      <c r="V189" s="12"/>
      <c r="W189" s="12"/>
      <c r="X189" s="12"/>
      <c r="Y189" s="12"/>
      <c r="Z189" s="12"/>
    </row>
    <row r="190" customFormat="false" ht="15.75" hidden="false" customHeight="false" outlineLevel="0" collapsed="false">
      <c r="A190" s="12"/>
      <c r="B190" s="34"/>
      <c r="C190" s="12"/>
      <c r="D190" s="12"/>
      <c r="E190" s="12"/>
      <c r="F190" s="12"/>
      <c r="G190" s="18"/>
      <c r="H190" s="35"/>
      <c r="I190" s="35"/>
      <c r="J190" s="12"/>
      <c r="O190" s="12"/>
      <c r="P190" s="18"/>
      <c r="Q190" s="12"/>
      <c r="R190" s="12"/>
      <c r="S190" s="12"/>
      <c r="T190" s="36"/>
      <c r="U190" s="36"/>
      <c r="V190" s="12"/>
      <c r="W190" s="12"/>
      <c r="X190" s="12"/>
      <c r="Y190" s="12"/>
      <c r="Z190" s="12"/>
    </row>
    <row r="191" customFormat="false" ht="15.75" hidden="false" customHeight="false" outlineLevel="0" collapsed="false">
      <c r="A191" s="12"/>
      <c r="B191" s="34"/>
      <c r="C191" s="12"/>
      <c r="D191" s="12"/>
      <c r="E191" s="12"/>
      <c r="F191" s="12"/>
      <c r="G191" s="18"/>
      <c r="H191" s="35"/>
      <c r="I191" s="35"/>
      <c r="J191" s="12"/>
      <c r="O191" s="12"/>
      <c r="P191" s="18"/>
      <c r="Q191" s="12"/>
      <c r="R191" s="12"/>
      <c r="S191" s="12"/>
      <c r="T191" s="36"/>
      <c r="U191" s="36"/>
      <c r="V191" s="12"/>
      <c r="W191" s="12"/>
      <c r="X191" s="12"/>
      <c r="Y191" s="12"/>
      <c r="Z191" s="12"/>
    </row>
    <row r="192" customFormat="false" ht="15.75" hidden="false" customHeight="false" outlineLevel="0" collapsed="false">
      <c r="A192" s="12"/>
      <c r="B192" s="34"/>
      <c r="C192" s="12"/>
      <c r="D192" s="12"/>
      <c r="E192" s="12"/>
      <c r="F192" s="12"/>
      <c r="G192" s="18"/>
      <c r="H192" s="35"/>
      <c r="I192" s="35"/>
      <c r="J192" s="12"/>
      <c r="O192" s="12"/>
      <c r="P192" s="18"/>
      <c r="Q192" s="12"/>
      <c r="R192" s="12"/>
      <c r="S192" s="12"/>
      <c r="T192" s="36"/>
      <c r="U192" s="36"/>
      <c r="V192" s="12"/>
      <c r="W192" s="12"/>
      <c r="X192" s="12"/>
      <c r="Y192" s="12"/>
      <c r="Z192" s="12"/>
    </row>
    <row r="193" customFormat="false" ht="15.75" hidden="false" customHeight="false" outlineLevel="0" collapsed="false">
      <c r="A193" s="12"/>
      <c r="B193" s="34"/>
      <c r="C193" s="12"/>
      <c r="D193" s="12"/>
      <c r="E193" s="12"/>
      <c r="F193" s="12"/>
      <c r="G193" s="18"/>
      <c r="H193" s="35"/>
      <c r="I193" s="35"/>
      <c r="J193" s="12"/>
      <c r="O193" s="12"/>
      <c r="P193" s="18"/>
      <c r="Q193" s="12"/>
      <c r="R193" s="12"/>
      <c r="S193" s="12"/>
      <c r="T193" s="36"/>
      <c r="U193" s="36"/>
      <c r="V193" s="12"/>
      <c r="W193" s="12"/>
      <c r="X193" s="12"/>
      <c r="Y193" s="12"/>
      <c r="Z193" s="12"/>
    </row>
    <row r="194" customFormat="false" ht="15.75" hidden="false" customHeight="false" outlineLevel="0" collapsed="false">
      <c r="A194" s="12"/>
      <c r="B194" s="34"/>
      <c r="C194" s="12"/>
      <c r="D194" s="12"/>
      <c r="E194" s="12"/>
      <c r="F194" s="12"/>
      <c r="G194" s="18"/>
      <c r="H194" s="35"/>
      <c r="I194" s="35"/>
      <c r="J194" s="12"/>
      <c r="O194" s="12"/>
      <c r="P194" s="18"/>
      <c r="Q194" s="12"/>
      <c r="R194" s="12"/>
      <c r="S194" s="12"/>
      <c r="T194" s="36"/>
      <c r="U194" s="36"/>
      <c r="V194" s="12"/>
      <c r="W194" s="12"/>
      <c r="X194" s="12"/>
      <c r="Y194" s="12"/>
      <c r="Z194" s="12"/>
    </row>
    <row r="195" customFormat="false" ht="15.75" hidden="false" customHeight="false" outlineLevel="0" collapsed="false">
      <c r="A195" s="12"/>
      <c r="B195" s="34"/>
      <c r="C195" s="12"/>
      <c r="D195" s="12"/>
      <c r="E195" s="12"/>
      <c r="F195" s="12"/>
      <c r="G195" s="18"/>
      <c r="H195" s="35"/>
      <c r="I195" s="35"/>
      <c r="J195" s="12"/>
      <c r="O195" s="12"/>
      <c r="P195" s="18"/>
      <c r="Q195" s="12"/>
      <c r="R195" s="12"/>
      <c r="S195" s="12"/>
      <c r="T195" s="36"/>
      <c r="U195" s="36"/>
      <c r="V195" s="12"/>
      <c r="W195" s="12"/>
      <c r="X195" s="12"/>
      <c r="Y195" s="12"/>
      <c r="Z195" s="12"/>
    </row>
    <row r="196" customFormat="false" ht="15.75" hidden="false" customHeight="false" outlineLevel="0" collapsed="false">
      <c r="A196" s="12"/>
      <c r="B196" s="34"/>
      <c r="C196" s="12"/>
      <c r="D196" s="12"/>
      <c r="E196" s="12"/>
      <c r="F196" s="12"/>
      <c r="G196" s="18"/>
      <c r="H196" s="35"/>
      <c r="I196" s="35"/>
      <c r="J196" s="12"/>
      <c r="O196" s="12"/>
      <c r="P196" s="18"/>
      <c r="Q196" s="12"/>
      <c r="R196" s="12"/>
      <c r="S196" s="12"/>
      <c r="T196" s="36"/>
      <c r="U196" s="36"/>
      <c r="V196" s="12"/>
      <c r="W196" s="12"/>
      <c r="X196" s="12"/>
      <c r="Y196" s="12"/>
      <c r="Z196" s="12"/>
    </row>
    <row r="197" customFormat="false" ht="15.75" hidden="false" customHeight="false" outlineLevel="0" collapsed="false">
      <c r="A197" s="12"/>
      <c r="B197" s="34"/>
      <c r="C197" s="12"/>
      <c r="D197" s="12"/>
      <c r="E197" s="12"/>
      <c r="F197" s="12"/>
      <c r="G197" s="18"/>
      <c r="H197" s="35"/>
      <c r="I197" s="35"/>
      <c r="J197" s="12"/>
      <c r="O197" s="12"/>
      <c r="P197" s="18"/>
      <c r="Q197" s="12"/>
      <c r="R197" s="12"/>
      <c r="S197" s="12"/>
      <c r="T197" s="36"/>
      <c r="U197" s="36"/>
      <c r="V197" s="12"/>
      <c r="W197" s="12"/>
      <c r="X197" s="12"/>
      <c r="Y197" s="12"/>
      <c r="Z197" s="12"/>
    </row>
    <row r="198" customFormat="false" ht="15.75" hidden="false" customHeight="false" outlineLevel="0" collapsed="false">
      <c r="A198" s="12"/>
      <c r="B198" s="34"/>
      <c r="C198" s="12"/>
      <c r="D198" s="12"/>
      <c r="E198" s="12"/>
      <c r="F198" s="12"/>
      <c r="G198" s="18"/>
      <c r="H198" s="35"/>
      <c r="I198" s="35"/>
      <c r="J198" s="12"/>
      <c r="O198" s="12"/>
      <c r="P198" s="18"/>
      <c r="Q198" s="12"/>
      <c r="R198" s="12"/>
      <c r="S198" s="12"/>
      <c r="T198" s="36"/>
      <c r="U198" s="36"/>
      <c r="V198" s="12"/>
      <c r="W198" s="12"/>
      <c r="X198" s="12"/>
      <c r="Y198" s="12"/>
      <c r="Z198" s="12"/>
    </row>
    <row r="199" customFormat="false" ht="15.75" hidden="false" customHeight="false" outlineLevel="0" collapsed="false">
      <c r="A199" s="12"/>
      <c r="B199" s="34"/>
      <c r="C199" s="12"/>
      <c r="D199" s="12"/>
      <c r="E199" s="12"/>
      <c r="F199" s="12"/>
      <c r="G199" s="18"/>
      <c r="H199" s="35"/>
      <c r="I199" s="35"/>
      <c r="J199" s="12"/>
      <c r="O199" s="12"/>
      <c r="P199" s="18"/>
      <c r="Q199" s="12"/>
      <c r="R199" s="12"/>
      <c r="S199" s="12"/>
      <c r="T199" s="36"/>
      <c r="U199" s="36"/>
      <c r="V199" s="12"/>
      <c r="W199" s="12"/>
      <c r="X199" s="12"/>
      <c r="Y199" s="12"/>
      <c r="Z199" s="12"/>
    </row>
    <row r="200" customFormat="false" ht="15.75" hidden="false" customHeight="false" outlineLevel="0" collapsed="false">
      <c r="A200" s="12"/>
      <c r="B200" s="34"/>
      <c r="C200" s="12"/>
      <c r="D200" s="12"/>
      <c r="E200" s="12"/>
      <c r="F200" s="12"/>
      <c r="G200" s="18"/>
      <c r="H200" s="35"/>
      <c r="I200" s="35"/>
      <c r="J200" s="12"/>
      <c r="O200" s="12"/>
      <c r="P200" s="18"/>
      <c r="Q200" s="12"/>
      <c r="R200" s="12"/>
      <c r="S200" s="12"/>
      <c r="T200" s="36"/>
      <c r="U200" s="36"/>
      <c r="V200" s="12"/>
      <c r="W200" s="12"/>
      <c r="X200" s="12"/>
      <c r="Y200" s="12"/>
      <c r="Z200" s="12"/>
    </row>
    <row r="201" customFormat="false" ht="15.75" hidden="false" customHeight="false" outlineLevel="0" collapsed="false">
      <c r="A201" s="12"/>
      <c r="B201" s="34"/>
      <c r="C201" s="12"/>
      <c r="D201" s="12"/>
      <c r="E201" s="12"/>
      <c r="F201" s="12"/>
      <c r="G201" s="18"/>
      <c r="H201" s="35"/>
      <c r="I201" s="35"/>
      <c r="J201" s="12"/>
      <c r="O201" s="12"/>
      <c r="P201" s="18"/>
      <c r="Q201" s="12"/>
      <c r="R201" s="12"/>
      <c r="S201" s="12"/>
      <c r="T201" s="36"/>
      <c r="U201" s="36"/>
      <c r="V201" s="12"/>
      <c r="W201" s="12"/>
      <c r="X201" s="12"/>
      <c r="Y201" s="12"/>
      <c r="Z201" s="12"/>
    </row>
    <row r="202" customFormat="false" ht="15.75" hidden="false" customHeight="false" outlineLevel="0" collapsed="false">
      <c r="A202" s="12"/>
      <c r="B202" s="34"/>
      <c r="C202" s="12"/>
      <c r="D202" s="12"/>
      <c r="E202" s="12"/>
      <c r="F202" s="12"/>
      <c r="G202" s="18"/>
      <c r="H202" s="35"/>
      <c r="I202" s="35"/>
      <c r="J202" s="12"/>
      <c r="O202" s="12"/>
      <c r="P202" s="18"/>
      <c r="Q202" s="12"/>
      <c r="R202" s="12"/>
      <c r="S202" s="12"/>
      <c r="T202" s="36"/>
      <c r="U202" s="36"/>
      <c r="V202" s="12"/>
      <c r="W202" s="12"/>
      <c r="X202" s="12"/>
      <c r="Y202" s="12"/>
      <c r="Z202" s="12"/>
    </row>
    <row r="203" customFormat="false" ht="15.75" hidden="false" customHeight="false" outlineLevel="0" collapsed="false">
      <c r="A203" s="12"/>
      <c r="B203" s="34"/>
      <c r="C203" s="12"/>
      <c r="D203" s="12"/>
      <c r="E203" s="12"/>
      <c r="F203" s="12"/>
      <c r="G203" s="18"/>
      <c r="H203" s="35"/>
      <c r="I203" s="35"/>
      <c r="J203" s="12"/>
      <c r="O203" s="12"/>
      <c r="P203" s="18"/>
      <c r="Q203" s="12"/>
      <c r="R203" s="12"/>
      <c r="S203" s="12"/>
      <c r="T203" s="36"/>
      <c r="U203" s="36"/>
      <c r="V203" s="12"/>
      <c r="W203" s="12"/>
      <c r="X203" s="12"/>
      <c r="Y203" s="12"/>
      <c r="Z203" s="12"/>
    </row>
    <row r="204" customFormat="false" ht="15.75" hidden="false" customHeight="false" outlineLevel="0" collapsed="false">
      <c r="A204" s="12"/>
      <c r="B204" s="34"/>
      <c r="C204" s="12"/>
      <c r="D204" s="12"/>
      <c r="E204" s="12"/>
      <c r="F204" s="12"/>
      <c r="G204" s="18"/>
      <c r="H204" s="35"/>
      <c r="I204" s="35"/>
      <c r="J204" s="12"/>
      <c r="O204" s="12"/>
      <c r="P204" s="18"/>
      <c r="Q204" s="12"/>
      <c r="R204" s="12"/>
      <c r="S204" s="12"/>
      <c r="T204" s="36"/>
      <c r="U204" s="36"/>
      <c r="V204" s="12"/>
      <c r="W204" s="12"/>
      <c r="X204" s="12"/>
      <c r="Y204" s="12"/>
      <c r="Z204" s="12"/>
    </row>
    <row r="205" customFormat="false" ht="15.75" hidden="false" customHeight="false" outlineLevel="0" collapsed="false">
      <c r="A205" s="12"/>
      <c r="B205" s="34"/>
      <c r="C205" s="12"/>
      <c r="D205" s="12"/>
      <c r="E205" s="12"/>
      <c r="F205" s="12"/>
      <c r="G205" s="18"/>
      <c r="H205" s="35"/>
      <c r="I205" s="35"/>
      <c r="J205" s="12"/>
      <c r="O205" s="12"/>
      <c r="P205" s="18"/>
      <c r="Q205" s="12"/>
      <c r="R205" s="12"/>
      <c r="S205" s="12"/>
      <c r="T205" s="36"/>
      <c r="U205" s="36"/>
      <c r="V205" s="12"/>
      <c r="W205" s="12"/>
      <c r="X205" s="12"/>
      <c r="Y205" s="12"/>
      <c r="Z205" s="12"/>
    </row>
    <row r="206" customFormat="false" ht="15.75" hidden="false" customHeight="false" outlineLevel="0" collapsed="false">
      <c r="A206" s="12"/>
      <c r="B206" s="34"/>
      <c r="C206" s="12"/>
      <c r="D206" s="12"/>
      <c r="E206" s="12"/>
      <c r="F206" s="12"/>
      <c r="G206" s="18"/>
      <c r="H206" s="35"/>
      <c r="I206" s="35"/>
      <c r="J206" s="12"/>
      <c r="O206" s="12"/>
      <c r="P206" s="18"/>
      <c r="Q206" s="12"/>
      <c r="R206" s="12"/>
      <c r="S206" s="12"/>
      <c r="T206" s="36"/>
      <c r="U206" s="36"/>
      <c r="V206" s="12"/>
      <c r="W206" s="12"/>
      <c r="X206" s="12"/>
      <c r="Y206" s="12"/>
      <c r="Z206" s="12"/>
    </row>
    <row r="207" customFormat="false" ht="15.75" hidden="false" customHeight="false" outlineLevel="0" collapsed="false">
      <c r="A207" s="12"/>
      <c r="B207" s="34"/>
      <c r="C207" s="12"/>
      <c r="D207" s="12"/>
      <c r="E207" s="12"/>
      <c r="F207" s="12"/>
      <c r="G207" s="18"/>
      <c r="H207" s="35"/>
      <c r="I207" s="35"/>
      <c r="J207" s="12"/>
      <c r="O207" s="12"/>
      <c r="P207" s="18"/>
      <c r="Q207" s="12"/>
      <c r="R207" s="12"/>
      <c r="S207" s="12"/>
      <c r="T207" s="36"/>
      <c r="U207" s="36"/>
      <c r="V207" s="12"/>
      <c r="W207" s="12"/>
      <c r="X207" s="12"/>
      <c r="Y207" s="12"/>
      <c r="Z207" s="12"/>
    </row>
    <row r="208" customFormat="false" ht="15.75" hidden="false" customHeight="false" outlineLevel="0" collapsed="false">
      <c r="A208" s="12"/>
      <c r="B208" s="34"/>
      <c r="C208" s="12"/>
      <c r="D208" s="12"/>
      <c r="E208" s="12"/>
      <c r="F208" s="12"/>
      <c r="G208" s="18"/>
      <c r="H208" s="35"/>
      <c r="I208" s="35"/>
      <c r="J208" s="12"/>
      <c r="O208" s="12"/>
      <c r="P208" s="18"/>
      <c r="Q208" s="12"/>
      <c r="R208" s="12"/>
      <c r="S208" s="12"/>
      <c r="T208" s="36"/>
      <c r="U208" s="36"/>
      <c r="V208" s="12"/>
      <c r="W208" s="12"/>
      <c r="X208" s="12"/>
      <c r="Y208" s="12"/>
      <c r="Z208" s="12"/>
    </row>
    <row r="209" customFormat="false" ht="15.75" hidden="false" customHeight="false" outlineLevel="0" collapsed="false">
      <c r="A209" s="12"/>
      <c r="B209" s="34"/>
      <c r="C209" s="12"/>
      <c r="D209" s="12"/>
      <c r="E209" s="12"/>
      <c r="F209" s="12"/>
      <c r="G209" s="18"/>
      <c r="H209" s="35"/>
      <c r="I209" s="35"/>
      <c r="J209" s="12"/>
      <c r="O209" s="12"/>
      <c r="P209" s="18"/>
      <c r="Q209" s="12"/>
      <c r="R209" s="12"/>
      <c r="S209" s="12"/>
      <c r="T209" s="36"/>
      <c r="U209" s="36"/>
      <c r="V209" s="12"/>
      <c r="W209" s="12"/>
      <c r="X209" s="12"/>
      <c r="Y209" s="12"/>
      <c r="Z209" s="12"/>
    </row>
    <row r="210" customFormat="false" ht="15.75" hidden="false" customHeight="false" outlineLevel="0" collapsed="false">
      <c r="A210" s="12"/>
      <c r="B210" s="34"/>
      <c r="C210" s="12"/>
      <c r="D210" s="12"/>
      <c r="E210" s="12"/>
      <c r="F210" s="12"/>
      <c r="G210" s="18"/>
      <c r="H210" s="35"/>
      <c r="I210" s="35"/>
      <c r="J210" s="12"/>
      <c r="O210" s="12"/>
      <c r="P210" s="18"/>
      <c r="Q210" s="12"/>
      <c r="R210" s="12"/>
      <c r="S210" s="12"/>
      <c r="T210" s="36"/>
      <c r="U210" s="36"/>
      <c r="V210" s="12"/>
      <c r="W210" s="12"/>
      <c r="X210" s="12"/>
      <c r="Y210" s="12"/>
      <c r="Z210" s="12"/>
    </row>
    <row r="211" customFormat="false" ht="15.75" hidden="false" customHeight="false" outlineLevel="0" collapsed="false">
      <c r="A211" s="12"/>
      <c r="B211" s="34"/>
      <c r="C211" s="12"/>
      <c r="D211" s="12"/>
      <c r="E211" s="12"/>
      <c r="F211" s="12"/>
      <c r="G211" s="18"/>
      <c r="H211" s="35"/>
      <c r="I211" s="35"/>
      <c r="J211" s="12"/>
      <c r="O211" s="12"/>
      <c r="P211" s="18"/>
      <c r="Q211" s="12"/>
      <c r="R211" s="12"/>
      <c r="S211" s="12"/>
      <c r="T211" s="36"/>
      <c r="U211" s="36"/>
      <c r="V211" s="12"/>
      <c r="W211" s="12"/>
      <c r="X211" s="12"/>
      <c r="Y211" s="12"/>
      <c r="Z211" s="12"/>
    </row>
    <row r="212" customFormat="false" ht="15.75" hidden="false" customHeight="false" outlineLevel="0" collapsed="false">
      <c r="A212" s="12"/>
      <c r="B212" s="34"/>
      <c r="C212" s="12"/>
      <c r="D212" s="12"/>
      <c r="E212" s="12"/>
      <c r="F212" s="12"/>
      <c r="G212" s="18"/>
      <c r="H212" s="35"/>
      <c r="I212" s="35"/>
      <c r="J212" s="12"/>
      <c r="O212" s="12"/>
      <c r="P212" s="18"/>
      <c r="Q212" s="12"/>
      <c r="R212" s="12"/>
      <c r="S212" s="12"/>
      <c r="T212" s="36"/>
      <c r="U212" s="36"/>
      <c r="V212" s="12"/>
      <c r="W212" s="12"/>
      <c r="X212" s="12"/>
      <c r="Y212" s="12"/>
      <c r="Z212" s="12"/>
    </row>
    <row r="213" customFormat="false" ht="15.75" hidden="false" customHeight="false" outlineLevel="0" collapsed="false">
      <c r="A213" s="12"/>
      <c r="B213" s="34"/>
      <c r="C213" s="12"/>
      <c r="D213" s="12"/>
      <c r="E213" s="12"/>
      <c r="F213" s="12"/>
      <c r="G213" s="18"/>
      <c r="H213" s="35"/>
      <c r="I213" s="35"/>
      <c r="J213" s="12"/>
      <c r="O213" s="12"/>
      <c r="P213" s="18"/>
      <c r="Q213" s="12"/>
      <c r="R213" s="12"/>
      <c r="S213" s="12"/>
      <c r="T213" s="36"/>
      <c r="U213" s="36"/>
      <c r="V213" s="12"/>
      <c r="W213" s="12"/>
      <c r="X213" s="12"/>
      <c r="Y213" s="12"/>
      <c r="Z213" s="12"/>
    </row>
    <row r="214" customFormat="false" ht="15.75" hidden="false" customHeight="false" outlineLevel="0" collapsed="false">
      <c r="A214" s="12"/>
      <c r="B214" s="34"/>
      <c r="C214" s="12"/>
      <c r="D214" s="12"/>
      <c r="E214" s="12"/>
      <c r="F214" s="12"/>
      <c r="G214" s="18"/>
      <c r="H214" s="35"/>
      <c r="I214" s="35"/>
      <c r="J214" s="12"/>
      <c r="O214" s="12"/>
      <c r="P214" s="18"/>
      <c r="Q214" s="12"/>
      <c r="R214" s="12"/>
      <c r="S214" s="12"/>
      <c r="T214" s="36"/>
      <c r="U214" s="36"/>
      <c r="V214" s="12"/>
      <c r="W214" s="12"/>
      <c r="X214" s="12"/>
      <c r="Y214" s="12"/>
      <c r="Z214" s="12"/>
    </row>
    <row r="215" customFormat="false" ht="15.75" hidden="false" customHeight="false" outlineLevel="0" collapsed="false">
      <c r="A215" s="12"/>
      <c r="B215" s="34"/>
      <c r="C215" s="12"/>
      <c r="D215" s="12"/>
      <c r="E215" s="12"/>
      <c r="F215" s="12"/>
      <c r="G215" s="18"/>
      <c r="H215" s="35"/>
      <c r="I215" s="35"/>
      <c r="J215" s="12"/>
      <c r="O215" s="12"/>
      <c r="P215" s="18"/>
      <c r="Q215" s="12"/>
      <c r="R215" s="12"/>
      <c r="S215" s="12"/>
      <c r="T215" s="36"/>
      <c r="U215" s="36"/>
      <c r="V215" s="12"/>
      <c r="W215" s="12"/>
      <c r="X215" s="12"/>
      <c r="Y215" s="12"/>
      <c r="Z215" s="12"/>
    </row>
    <row r="216" customFormat="false" ht="15.75" hidden="false" customHeight="false" outlineLevel="0" collapsed="false">
      <c r="A216" s="12"/>
      <c r="B216" s="34"/>
      <c r="C216" s="12"/>
      <c r="D216" s="12"/>
      <c r="E216" s="12"/>
      <c r="F216" s="12"/>
      <c r="G216" s="18"/>
      <c r="H216" s="35"/>
      <c r="I216" s="35"/>
      <c r="J216" s="12"/>
      <c r="O216" s="12"/>
      <c r="P216" s="18"/>
      <c r="Q216" s="12"/>
      <c r="R216" s="12"/>
      <c r="S216" s="12"/>
      <c r="T216" s="36"/>
      <c r="U216" s="36"/>
      <c r="V216" s="12"/>
      <c r="W216" s="12"/>
      <c r="X216" s="12"/>
      <c r="Y216" s="12"/>
      <c r="Z216" s="12"/>
    </row>
    <row r="217" customFormat="false" ht="15.75" hidden="false" customHeight="false" outlineLevel="0" collapsed="false">
      <c r="A217" s="12"/>
      <c r="B217" s="34"/>
      <c r="C217" s="12"/>
      <c r="D217" s="12"/>
      <c r="E217" s="12"/>
      <c r="F217" s="12"/>
      <c r="G217" s="18"/>
      <c r="H217" s="35"/>
      <c r="I217" s="35"/>
      <c r="J217" s="12"/>
      <c r="O217" s="12"/>
      <c r="P217" s="18"/>
      <c r="Q217" s="12"/>
      <c r="R217" s="12"/>
      <c r="S217" s="12"/>
      <c r="T217" s="36"/>
      <c r="U217" s="36"/>
      <c r="V217" s="12"/>
      <c r="W217" s="12"/>
      <c r="X217" s="12"/>
      <c r="Y217" s="12"/>
      <c r="Z217" s="12"/>
    </row>
    <row r="218" customFormat="false" ht="15.75" hidden="false" customHeight="false" outlineLevel="0" collapsed="false">
      <c r="A218" s="12"/>
      <c r="B218" s="34"/>
      <c r="C218" s="12"/>
      <c r="D218" s="12"/>
      <c r="E218" s="12"/>
      <c r="F218" s="12"/>
      <c r="G218" s="18"/>
      <c r="H218" s="35"/>
      <c r="I218" s="35"/>
      <c r="J218" s="12"/>
      <c r="O218" s="12"/>
      <c r="P218" s="18"/>
      <c r="Q218" s="12"/>
      <c r="R218" s="12"/>
      <c r="S218" s="12"/>
      <c r="T218" s="36"/>
      <c r="U218" s="36"/>
      <c r="V218" s="12"/>
      <c r="W218" s="12"/>
      <c r="X218" s="12"/>
      <c r="Y218" s="12"/>
      <c r="Z218" s="12"/>
    </row>
    <row r="219" customFormat="false" ht="15.75" hidden="false" customHeight="false" outlineLevel="0" collapsed="false">
      <c r="A219" s="12"/>
      <c r="B219" s="34"/>
      <c r="C219" s="12"/>
      <c r="D219" s="12"/>
      <c r="E219" s="12"/>
      <c r="F219" s="12"/>
      <c r="G219" s="18"/>
      <c r="H219" s="35"/>
      <c r="I219" s="35"/>
      <c r="J219" s="12"/>
      <c r="O219" s="12"/>
      <c r="P219" s="18"/>
      <c r="Q219" s="12"/>
      <c r="R219" s="12"/>
      <c r="S219" s="12"/>
      <c r="T219" s="36"/>
      <c r="U219" s="36"/>
      <c r="V219" s="12"/>
      <c r="W219" s="12"/>
      <c r="X219" s="12"/>
      <c r="Y219" s="12"/>
      <c r="Z219" s="12"/>
    </row>
    <row r="220" customFormat="false" ht="15.75" hidden="false" customHeight="false" outlineLevel="0" collapsed="false">
      <c r="A220" s="12"/>
      <c r="B220" s="34"/>
      <c r="C220" s="12"/>
      <c r="D220" s="12"/>
      <c r="E220" s="12"/>
      <c r="F220" s="12"/>
      <c r="G220" s="18"/>
      <c r="H220" s="35"/>
      <c r="I220" s="35"/>
      <c r="J220" s="12"/>
      <c r="O220" s="12"/>
      <c r="P220" s="18"/>
      <c r="Q220" s="12"/>
      <c r="R220" s="12"/>
      <c r="S220" s="12"/>
      <c r="T220" s="36"/>
      <c r="U220" s="36"/>
      <c r="V220" s="12"/>
      <c r="W220" s="12"/>
      <c r="X220" s="12"/>
      <c r="Y220" s="12"/>
      <c r="Z220" s="12"/>
    </row>
    <row r="221" customFormat="false" ht="15.75" hidden="false" customHeight="false" outlineLevel="0" collapsed="false">
      <c r="A221" s="12"/>
      <c r="B221" s="34"/>
      <c r="C221" s="12"/>
      <c r="D221" s="12"/>
      <c r="E221" s="12"/>
      <c r="F221" s="12"/>
      <c r="G221" s="18"/>
      <c r="H221" s="35"/>
      <c r="I221" s="35"/>
      <c r="J221" s="12"/>
      <c r="O221" s="12"/>
      <c r="P221" s="18"/>
      <c r="Q221" s="12"/>
      <c r="R221" s="12"/>
      <c r="S221" s="12"/>
      <c r="T221" s="36"/>
      <c r="U221" s="36"/>
      <c r="V221" s="12"/>
      <c r="W221" s="12"/>
      <c r="X221" s="12"/>
      <c r="Y221" s="12"/>
      <c r="Z221" s="12"/>
    </row>
    <row r="222" customFormat="false" ht="15.75" hidden="false" customHeight="false" outlineLevel="0" collapsed="false">
      <c r="A222" s="12"/>
      <c r="B222" s="34"/>
      <c r="C222" s="12"/>
      <c r="D222" s="12"/>
      <c r="E222" s="12"/>
      <c r="F222" s="12"/>
      <c r="G222" s="18"/>
      <c r="H222" s="35"/>
      <c r="I222" s="35"/>
      <c r="J222" s="12"/>
      <c r="O222" s="12"/>
      <c r="P222" s="18"/>
      <c r="Q222" s="12"/>
      <c r="R222" s="12"/>
      <c r="S222" s="12"/>
      <c r="T222" s="36"/>
      <c r="U222" s="36"/>
      <c r="V222" s="12"/>
      <c r="W222" s="12"/>
      <c r="X222" s="12"/>
      <c r="Y222" s="12"/>
      <c r="Z222" s="12"/>
    </row>
    <row r="223" customFormat="false" ht="15.75" hidden="false" customHeight="false" outlineLevel="0" collapsed="false">
      <c r="A223" s="12"/>
      <c r="B223" s="34"/>
      <c r="C223" s="12"/>
      <c r="D223" s="12"/>
      <c r="E223" s="12"/>
      <c r="F223" s="12"/>
      <c r="G223" s="18"/>
      <c r="H223" s="35"/>
      <c r="I223" s="35"/>
      <c r="J223" s="12"/>
      <c r="O223" s="12"/>
      <c r="P223" s="18"/>
      <c r="Q223" s="12"/>
      <c r="R223" s="12"/>
      <c r="S223" s="12"/>
      <c r="T223" s="36"/>
      <c r="U223" s="36"/>
      <c r="V223" s="12"/>
      <c r="W223" s="12"/>
      <c r="X223" s="12"/>
      <c r="Y223" s="12"/>
      <c r="Z223" s="12"/>
    </row>
    <row r="224" customFormat="false" ht="15.75" hidden="false" customHeight="false" outlineLevel="0" collapsed="false">
      <c r="A224" s="12"/>
      <c r="B224" s="34"/>
      <c r="C224" s="12"/>
      <c r="D224" s="12"/>
      <c r="E224" s="12"/>
      <c r="F224" s="12"/>
      <c r="G224" s="18"/>
      <c r="H224" s="35"/>
      <c r="I224" s="35"/>
      <c r="J224" s="12"/>
      <c r="O224" s="12"/>
      <c r="P224" s="18"/>
      <c r="Q224" s="12"/>
      <c r="R224" s="12"/>
      <c r="S224" s="12"/>
      <c r="T224" s="36"/>
      <c r="U224" s="36"/>
      <c r="V224" s="12"/>
      <c r="W224" s="12"/>
      <c r="X224" s="12"/>
      <c r="Y224" s="12"/>
      <c r="Z224" s="12"/>
    </row>
    <row r="225" customFormat="false" ht="15.75" hidden="false" customHeight="false" outlineLevel="0" collapsed="false">
      <c r="A225" s="12"/>
      <c r="B225" s="34"/>
      <c r="C225" s="12"/>
      <c r="D225" s="12"/>
      <c r="E225" s="12"/>
      <c r="F225" s="12"/>
      <c r="G225" s="18"/>
      <c r="H225" s="35"/>
      <c r="I225" s="35"/>
      <c r="J225" s="12"/>
      <c r="O225" s="12"/>
      <c r="P225" s="18"/>
      <c r="Q225" s="12"/>
      <c r="R225" s="12"/>
      <c r="S225" s="12"/>
      <c r="T225" s="36"/>
      <c r="U225" s="36"/>
      <c r="V225" s="12"/>
      <c r="W225" s="12"/>
      <c r="X225" s="12"/>
      <c r="Y225" s="12"/>
      <c r="Z225" s="12"/>
    </row>
    <row r="226" customFormat="false" ht="15.75" hidden="false" customHeight="false" outlineLevel="0" collapsed="false">
      <c r="A226" s="12"/>
      <c r="B226" s="34"/>
      <c r="C226" s="12"/>
      <c r="D226" s="12"/>
      <c r="E226" s="12"/>
      <c r="F226" s="12"/>
      <c r="G226" s="18"/>
      <c r="H226" s="35"/>
      <c r="I226" s="35"/>
      <c r="J226" s="12"/>
      <c r="O226" s="12"/>
      <c r="P226" s="18"/>
      <c r="Q226" s="12"/>
      <c r="R226" s="12"/>
      <c r="S226" s="12"/>
      <c r="T226" s="36"/>
      <c r="U226" s="36"/>
      <c r="V226" s="12"/>
      <c r="W226" s="12"/>
      <c r="X226" s="12"/>
      <c r="Y226" s="12"/>
      <c r="Z226" s="12"/>
    </row>
    <row r="227" customFormat="false" ht="15.75" hidden="false" customHeight="false" outlineLevel="0" collapsed="false">
      <c r="A227" s="12"/>
      <c r="B227" s="34"/>
      <c r="C227" s="12"/>
      <c r="D227" s="12"/>
      <c r="E227" s="12"/>
      <c r="F227" s="12"/>
      <c r="G227" s="18"/>
      <c r="H227" s="35"/>
      <c r="I227" s="35"/>
      <c r="J227" s="12"/>
      <c r="O227" s="12"/>
      <c r="P227" s="18"/>
      <c r="Q227" s="12"/>
      <c r="R227" s="12"/>
      <c r="S227" s="12"/>
      <c r="T227" s="36"/>
      <c r="U227" s="36"/>
      <c r="V227" s="12"/>
      <c r="W227" s="12"/>
      <c r="X227" s="12"/>
      <c r="Y227" s="12"/>
      <c r="Z227" s="12"/>
    </row>
    <row r="228" customFormat="false" ht="15.75" hidden="false" customHeight="false" outlineLevel="0" collapsed="false">
      <c r="A228" s="12"/>
      <c r="B228" s="34"/>
      <c r="C228" s="12"/>
      <c r="D228" s="12"/>
      <c r="E228" s="12"/>
      <c r="F228" s="12"/>
      <c r="G228" s="18"/>
      <c r="H228" s="35"/>
      <c r="I228" s="35"/>
      <c r="J228" s="12"/>
      <c r="O228" s="12"/>
      <c r="P228" s="18"/>
      <c r="Q228" s="12"/>
      <c r="R228" s="12"/>
      <c r="S228" s="12"/>
      <c r="T228" s="36"/>
      <c r="U228" s="36"/>
      <c r="V228" s="12"/>
      <c r="W228" s="12"/>
      <c r="X228" s="12"/>
      <c r="Y228" s="12"/>
      <c r="Z228" s="12"/>
    </row>
    <row r="229" customFormat="false" ht="15.75" hidden="false" customHeight="false" outlineLevel="0" collapsed="false">
      <c r="A229" s="12"/>
      <c r="B229" s="34"/>
      <c r="C229" s="12"/>
      <c r="D229" s="12"/>
      <c r="E229" s="12"/>
      <c r="F229" s="12"/>
      <c r="G229" s="18"/>
      <c r="H229" s="35"/>
      <c r="I229" s="35"/>
      <c r="J229" s="12"/>
      <c r="O229" s="12"/>
      <c r="P229" s="18"/>
      <c r="Q229" s="12"/>
      <c r="R229" s="12"/>
      <c r="S229" s="12"/>
      <c r="T229" s="36"/>
      <c r="U229" s="36"/>
      <c r="V229" s="12"/>
      <c r="W229" s="12"/>
      <c r="X229" s="12"/>
      <c r="Y229" s="12"/>
      <c r="Z229" s="12"/>
    </row>
    <row r="230" customFormat="false" ht="15.75" hidden="false" customHeight="false" outlineLevel="0" collapsed="false">
      <c r="A230" s="12"/>
      <c r="B230" s="34"/>
      <c r="C230" s="12"/>
      <c r="D230" s="12"/>
      <c r="E230" s="12"/>
      <c r="F230" s="12"/>
      <c r="G230" s="18"/>
      <c r="H230" s="35"/>
      <c r="I230" s="35"/>
      <c r="J230" s="12"/>
      <c r="O230" s="12"/>
      <c r="P230" s="18"/>
      <c r="Q230" s="12"/>
      <c r="R230" s="12"/>
      <c r="S230" s="12"/>
      <c r="T230" s="36"/>
      <c r="U230" s="36"/>
      <c r="V230" s="12"/>
      <c r="W230" s="12"/>
      <c r="X230" s="12"/>
      <c r="Y230" s="12"/>
      <c r="Z230" s="12"/>
    </row>
    <row r="231" customFormat="false" ht="15.75" hidden="false" customHeight="false" outlineLevel="0" collapsed="false">
      <c r="A231" s="12"/>
      <c r="B231" s="34"/>
      <c r="C231" s="12"/>
      <c r="D231" s="12"/>
      <c r="E231" s="12"/>
      <c r="F231" s="12"/>
      <c r="G231" s="18"/>
      <c r="H231" s="35"/>
      <c r="I231" s="35"/>
      <c r="J231" s="12"/>
      <c r="O231" s="12"/>
      <c r="P231" s="18"/>
      <c r="Q231" s="12"/>
      <c r="R231" s="12"/>
      <c r="S231" s="12"/>
      <c r="T231" s="36"/>
      <c r="U231" s="36"/>
      <c r="V231" s="12"/>
      <c r="W231" s="12"/>
      <c r="X231" s="12"/>
      <c r="Y231" s="12"/>
      <c r="Z231" s="12"/>
    </row>
    <row r="232" customFormat="false" ht="15.75" hidden="false" customHeight="false" outlineLevel="0" collapsed="false">
      <c r="A232" s="12"/>
      <c r="B232" s="34"/>
      <c r="C232" s="12"/>
      <c r="D232" s="12"/>
      <c r="E232" s="12"/>
      <c r="F232" s="12"/>
      <c r="G232" s="18"/>
      <c r="H232" s="35"/>
      <c r="I232" s="35"/>
      <c r="J232" s="12"/>
      <c r="O232" s="12"/>
      <c r="P232" s="18"/>
      <c r="Q232" s="12"/>
      <c r="R232" s="12"/>
      <c r="S232" s="12"/>
      <c r="T232" s="36"/>
      <c r="U232" s="36"/>
      <c r="V232" s="12"/>
      <c r="W232" s="12"/>
      <c r="X232" s="12"/>
      <c r="Y232" s="12"/>
      <c r="Z232" s="12"/>
    </row>
    <row r="233" customFormat="false" ht="15.75" hidden="false" customHeight="false" outlineLevel="0" collapsed="false">
      <c r="A233" s="12"/>
      <c r="B233" s="34"/>
      <c r="C233" s="12"/>
      <c r="D233" s="12"/>
      <c r="E233" s="12"/>
      <c r="F233" s="12"/>
      <c r="G233" s="18"/>
      <c r="H233" s="35"/>
      <c r="I233" s="35"/>
      <c r="J233" s="12"/>
      <c r="O233" s="12"/>
      <c r="P233" s="18"/>
      <c r="Q233" s="12"/>
      <c r="R233" s="12"/>
      <c r="S233" s="12"/>
      <c r="T233" s="36"/>
      <c r="U233" s="36"/>
      <c r="V233" s="12"/>
      <c r="W233" s="12"/>
      <c r="X233" s="12"/>
      <c r="Y233" s="12"/>
      <c r="Z233" s="12"/>
    </row>
    <row r="234" customFormat="false" ht="15.75" hidden="false" customHeight="false" outlineLevel="0" collapsed="false">
      <c r="A234" s="12"/>
      <c r="B234" s="34"/>
      <c r="C234" s="12"/>
      <c r="D234" s="12"/>
      <c r="E234" s="12"/>
      <c r="F234" s="12"/>
      <c r="G234" s="18"/>
      <c r="H234" s="35"/>
      <c r="I234" s="35"/>
      <c r="J234" s="12"/>
      <c r="O234" s="12"/>
      <c r="P234" s="18"/>
      <c r="Q234" s="12"/>
      <c r="R234" s="12"/>
      <c r="S234" s="12"/>
      <c r="T234" s="36"/>
      <c r="U234" s="36"/>
      <c r="V234" s="12"/>
      <c r="W234" s="12"/>
      <c r="X234" s="12"/>
      <c r="Y234" s="12"/>
      <c r="Z234" s="12"/>
    </row>
    <row r="235" customFormat="false" ht="15.75" hidden="false" customHeight="false" outlineLevel="0" collapsed="false">
      <c r="A235" s="12"/>
      <c r="B235" s="34"/>
      <c r="C235" s="12"/>
      <c r="D235" s="12"/>
      <c r="E235" s="12"/>
      <c r="F235" s="12"/>
      <c r="G235" s="18"/>
      <c r="H235" s="35"/>
      <c r="I235" s="35"/>
      <c r="J235" s="12"/>
      <c r="O235" s="12"/>
      <c r="P235" s="18"/>
      <c r="Q235" s="12"/>
      <c r="R235" s="12"/>
      <c r="S235" s="12"/>
      <c r="T235" s="36"/>
      <c r="U235" s="36"/>
      <c r="V235" s="12"/>
      <c r="W235" s="12"/>
      <c r="X235" s="12"/>
      <c r="Y235" s="12"/>
      <c r="Z235" s="12"/>
    </row>
    <row r="236" customFormat="false" ht="15.75" hidden="false" customHeight="false" outlineLevel="0" collapsed="false">
      <c r="A236" s="12"/>
      <c r="B236" s="34"/>
      <c r="C236" s="12"/>
      <c r="D236" s="12"/>
      <c r="E236" s="12"/>
      <c r="F236" s="12"/>
      <c r="G236" s="18"/>
      <c r="H236" s="35"/>
      <c r="I236" s="35"/>
      <c r="J236" s="12"/>
      <c r="O236" s="12"/>
      <c r="P236" s="18"/>
      <c r="Q236" s="12"/>
      <c r="R236" s="12"/>
      <c r="S236" s="12"/>
      <c r="T236" s="36"/>
      <c r="U236" s="36"/>
      <c r="V236" s="12"/>
      <c r="W236" s="12"/>
      <c r="X236" s="12"/>
      <c r="Y236" s="12"/>
      <c r="Z236" s="12"/>
    </row>
    <row r="237" customFormat="false" ht="15.75" hidden="false" customHeight="false" outlineLevel="0" collapsed="false">
      <c r="A237" s="12"/>
      <c r="B237" s="34"/>
      <c r="C237" s="12"/>
      <c r="D237" s="12"/>
      <c r="E237" s="12"/>
      <c r="F237" s="12"/>
      <c r="G237" s="18"/>
      <c r="H237" s="35"/>
      <c r="I237" s="35"/>
      <c r="J237" s="12"/>
      <c r="O237" s="12"/>
      <c r="P237" s="18"/>
      <c r="Q237" s="12"/>
      <c r="R237" s="12"/>
      <c r="S237" s="12"/>
      <c r="T237" s="36"/>
      <c r="U237" s="36"/>
      <c r="V237" s="12"/>
      <c r="W237" s="12"/>
      <c r="X237" s="12"/>
      <c r="Y237" s="12"/>
      <c r="Z237" s="12"/>
    </row>
    <row r="238" customFormat="false" ht="15.75" hidden="false" customHeight="false" outlineLevel="0" collapsed="false">
      <c r="A238" s="12"/>
      <c r="B238" s="34"/>
      <c r="C238" s="12"/>
      <c r="D238" s="12"/>
      <c r="E238" s="12"/>
      <c r="F238" s="12"/>
      <c r="G238" s="18"/>
      <c r="H238" s="35"/>
      <c r="I238" s="35"/>
      <c r="J238" s="12"/>
      <c r="O238" s="12"/>
      <c r="P238" s="18"/>
      <c r="Q238" s="12"/>
      <c r="R238" s="12"/>
      <c r="S238" s="12"/>
      <c r="T238" s="36"/>
      <c r="U238" s="36"/>
      <c r="V238" s="12"/>
      <c r="W238" s="12"/>
      <c r="X238" s="12"/>
      <c r="Y238" s="12"/>
      <c r="Z238" s="12"/>
    </row>
    <row r="239" customFormat="false" ht="15.75" hidden="false" customHeight="false" outlineLevel="0" collapsed="false">
      <c r="A239" s="12"/>
      <c r="B239" s="34"/>
      <c r="C239" s="12"/>
      <c r="D239" s="12"/>
      <c r="E239" s="12"/>
      <c r="F239" s="12"/>
      <c r="G239" s="18"/>
      <c r="H239" s="35"/>
      <c r="I239" s="35"/>
      <c r="J239" s="12"/>
      <c r="O239" s="12"/>
      <c r="P239" s="18"/>
      <c r="Q239" s="12"/>
      <c r="R239" s="12"/>
      <c r="S239" s="12"/>
      <c r="T239" s="36"/>
      <c r="U239" s="36"/>
      <c r="V239" s="12"/>
      <c r="W239" s="12"/>
      <c r="X239" s="12"/>
      <c r="Y239" s="12"/>
      <c r="Z239" s="12"/>
    </row>
    <row r="240" customFormat="false" ht="15.75" hidden="false" customHeight="false" outlineLevel="0" collapsed="false">
      <c r="A240" s="12"/>
      <c r="B240" s="34"/>
      <c r="C240" s="12"/>
      <c r="D240" s="12"/>
      <c r="E240" s="12"/>
      <c r="F240" s="12"/>
      <c r="G240" s="18"/>
      <c r="H240" s="35"/>
      <c r="I240" s="35"/>
      <c r="J240" s="12"/>
      <c r="O240" s="12"/>
      <c r="P240" s="18"/>
      <c r="Q240" s="12"/>
      <c r="R240" s="12"/>
      <c r="S240" s="12"/>
      <c r="T240" s="36"/>
      <c r="U240" s="36"/>
      <c r="V240" s="12"/>
      <c r="W240" s="12"/>
      <c r="X240" s="12"/>
      <c r="Y240" s="12"/>
      <c r="Z240" s="12"/>
    </row>
    <row r="241" customFormat="false" ht="15.75" hidden="false" customHeight="false" outlineLevel="0" collapsed="false">
      <c r="A241" s="12"/>
      <c r="B241" s="34"/>
      <c r="C241" s="12"/>
      <c r="D241" s="12"/>
      <c r="E241" s="12"/>
      <c r="F241" s="12"/>
      <c r="G241" s="18"/>
      <c r="H241" s="35"/>
      <c r="I241" s="35"/>
      <c r="J241" s="12"/>
      <c r="O241" s="12"/>
      <c r="P241" s="18"/>
      <c r="Q241" s="12"/>
      <c r="R241" s="12"/>
      <c r="S241" s="12"/>
      <c r="T241" s="36"/>
      <c r="U241" s="36"/>
      <c r="V241" s="12"/>
      <c r="W241" s="12"/>
      <c r="X241" s="12"/>
      <c r="Y241" s="12"/>
      <c r="Z241" s="12"/>
    </row>
    <row r="242" customFormat="false" ht="15.75" hidden="false" customHeight="false" outlineLevel="0" collapsed="false">
      <c r="A242" s="12"/>
      <c r="B242" s="34"/>
      <c r="C242" s="12"/>
      <c r="D242" s="12"/>
      <c r="E242" s="12"/>
      <c r="F242" s="12"/>
      <c r="G242" s="18"/>
      <c r="H242" s="35"/>
      <c r="I242" s="35"/>
      <c r="J242" s="12"/>
      <c r="O242" s="12"/>
      <c r="P242" s="18"/>
      <c r="Q242" s="12"/>
      <c r="R242" s="12"/>
      <c r="S242" s="12"/>
      <c r="T242" s="36"/>
      <c r="U242" s="36"/>
      <c r="V242" s="12"/>
      <c r="W242" s="12"/>
      <c r="X242" s="12"/>
      <c r="Y242" s="12"/>
      <c r="Z242" s="12"/>
    </row>
    <row r="243" customFormat="false" ht="15.75" hidden="false" customHeight="false" outlineLevel="0" collapsed="false">
      <c r="A243" s="12"/>
      <c r="B243" s="34"/>
      <c r="C243" s="12"/>
      <c r="D243" s="12"/>
      <c r="E243" s="12"/>
      <c r="F243" s="12"/>
      <c r="G243" s="18"/>
      <c r="H243" s="35"/>
      <c r="I243" s="35"/>
      <c r="J243" s="12"/>
      <c r="O243" s="12"/>
      <c r="P243" s="18"/>
      <c r="Q243" s="12"/>
      <c r="R243" s="12"/>
      <c r="S243" s="12"/>
      <c r="T243" s="36"/>
      <c r="U243" s="36"/>
      <c r="V243" s="12"/>
      <c r="W243" s="12"/>
      <c r="X243" s="12"/>
      <c r="Y243" s="12"/>
      <c r="Z243" s="12"/>
    </row>
    <row r="244" customFormat="false" ht="15.75" hidden="false" customHeight="false" outlineLevel="0" collapsed="false">
      <c r="A244" s="12"/>
      <c r="B244" s="34"/>
      <c r="C244" s="12"/>
      <c r="D244" s="12"/>
      <c r="E244" s="12"/>
      <c r="F244" s="12"/>
      <c r="G244" s="18"/>
      <c r="H244" s="35"/>
      <c r="I244" s="35"/>
      <c r="J244" s="12"/>
      <c r="O244" s="12"/>
      <c r="P244" s="18"/>
      <c r="Q244" s="12"/>
      <c r="R244" s="12"/>
      <c r="S244" s="12"/>
      <c r="T244" s="36"/>
      <c r="U244" s="36"/>
      <c r="V244" s="12"/>
      <c r="W244" s="12"/>
      <c r="X244" s="12"/>
      <c r="Y244" s="12"/>
      <c r="Z244" s="12"/>
    </row>
    <row r="245" customFormat="false" ht="15.75" hidden="false" customHeight="false" outlineLevel="0" collapsed="false">
      <c r="A245" s="12"/>
      <c r="B245" s="34"/>
      <c r="C245" s="12"/>
      <c r="D245" s="12"/>
      <c r="E245" s="12"/>
      <c r="F245" s="12"/>
      <c r="G245" s="18"/>
      <c r="H245" s="35"/>
      <c r="I245" s="35"/>
      <c r="J245" s="12"/>
      <c r="O245" s="12"/>
      <c r="P245" s="18"/>
      <c r="Q245" s="12"/>
      <c r="R245" s="12"/>
      <c r="S245" s="12"/>
      <c r="T245" s="36"/>
      <c r="U245" s="36"/>
      <c r="V245" s="12"/>
      <c r="W245" s="12"/>
      <c r="X245" s="12"/>
      <c r="Y245" s="12"/>
      <c r="Z245" s="12"/>
    </row>
    <row r="246" customFormat="false" ht="15.75" hidden="false" customHeight="false" outlineLevel="0" collapsed="false">
      <c r="A246" s="12"/>
      <c r="B246" s="34"/>
      <c r="C246" s="12"/>
      <c r="D246" s="12"/>
      <c r="E246" s="12"/>
      <c r="F246" s="12"/>
      <c r="G246" s="18"/>
      <c r="H246" s="35"/>
      <c r="I246" s="35"/>
      <c r="J246" s="12"/>
      <c r="O246" s="12"/>
      <c r="P246" s="18"/>
      <c r="Q246" s="12"/>
      <c r="R246" s="12"/>
      <c r="S246" s="12"/>
      <c r="T246" s="36"/>
      <c r="U246" s="36"/>
      <c r="V246" s="12"/>
      <c r="W246" s="12"/>
      <c r="X246" s="12"/>
      <c r="Y246" s="12"/>
      <c r="Z246" s="12"/>
    </row>
    <row r="247" customFormat="false" ht="15.75" hidden="false" customHeight="false" outlineLevel="0" collapsed="false">
      <c r="A247" s="12"/>
      <c r="B247" s="34"/>
      <c r="C247" s="12"/>
      <c r="D247" s="12"/>
      <c r="E247" s="12"/>
      <c r="F247" s="12"/>
      <c r="G247" s="18"/>
      <c r="H247" s="35"/>
      <c r="I247" s="35"/>
      <c r="J247" s="12"/>
      <c r="O247" s="12"/>
      <c r="P247" s="18"/>
      <c r="Q247" s="12"/>
      <c r="R247" s="12"/>
      <c r="S247" s="12"/>
      <c r="T247" s="36"/>
      <c r="U247" s="36"/>
      <c r="V247" s="12"/>
      <c r="W247" s="12"/>
      <c r="X247" s="12"/>
      <c r="Y247" s="12"/>
      <c r="Z247" s="12"/>
    </row>
    <row r="248" customFormat="false" ht="15.75" hidden="false" customHeight="false" outlineLevel="0" collapsed="false">
      <c r="A248" s="12"/>
      <c r="B248" s="34"/>
      <c r="C248" s="12"/>
      <c r="D248" s="12"/>
      <c r="E248" s="12"/>
      <c r="F248" s="12"/>
      <c r="G248" s="18"/>
      <c r="H248" s="35"/>
      <c r="I248" s="35"/>
      <c r="J248" s="12"/>
      <c r="O248" s="12"/>
      <c r="P248" s="18"/>
      <c r="Q248" s="12"/>
      <c r="R248" s="12"/>
      <c r="S248" s="12"/>
      <c r="T248" s="36"/>
      <c r="U248" s="36"/>
      <c r="V248" s="12"/>
      <c r="W248" s="12"/>
      <c r="X248" s="12"/>
      <c r="Y248" s="12"/>
      <c r="Z248" s="12"/>
    </row>
    <row r="249" customFormat="false" ht="15.75" hidden="false" customHeight="false" outlineLevel="0" collapsed="false">
      <c r="A249" s="12"/>
      <c r="B249" s="34"/>
      <c r="C249" s="12"/>
      <c r="D249" s="12"/>
      <c r="E249" s="12"/>
      <c r="F249" s="12"/>
      <c r="G249" s="18"/>
      <c r="H249" s="35"/>
      <c r="I249" s="35"/>
      <c r="J249" s="12"/>
      <c r="O249" s="12"/>
      <c r="P249" s="18"/>
      <c r="Q249" s="12"/>
      <c r="R249" s="12"/>
      <c r="S249" s="12"/>
      <c r="T249" s="36"/>
      <c r="U249" s="36"/>
      <c r="V249" s="12"/>
      <c r="W249" s="12"/>
      <c r="X249" s="12"/>
      <c r="Y249" s="12"/>
      <c r="Z249" s="12"/>
    </row>
    <row r="250" customFormat="false" ht="15.75" hidden="false" customHeight="false" outlineLevel="0" collapsed="false">
      <c r="A250" s="12"/>
      <c r="B250" s="34"/>
      <c r="C250" s="12"/>
      <c r="D250" s="12"/>
      <c r="E250" s="12"/>
      <c r="F250" s="12"/>
      <c r="G250" s="18"/>
      <c r="H250" s="35"/>
      <c r="I250" s="35"/>
      <c r="J250" s="12"/>
      <c r="O250" s="12"/>
      <c r="P250" s="18"/>
      <c r="Q250" s="12"/>
      <c r="R250" s="12"/>
      <c r="S250" s="12"/>
      <c r="T250" s="36"/>
      <c r="U250" s="36"/>
      <c r="V250" s="12"/>
      <c r="W250" s="12"/>
      <c r="X250" s="12"/>
      <c r="Y250" s="12"/>
      <c r="Z250" s="12"/>
    </row>
    <row r="251" customFormat="false" ht="15.75" hidden="false" customHeight="false" outlineLevel="0" collapsed="false">
      <c r="A251" s="12"/>
      <c r="B251" s="34"/>
      <c r="C251" s="12"/>
      <c r="D251" s="12"/>
      <c r="E251" s="12"/>
      <c r="F251" s="12"/>
      <c r="G251" s="18"/>
      <c r="H251" s="35"/>
      <c r="I251" s="35"/>
      <c r="J251" s="12"/>
      <c r="O251" s="12"/>
      <c r="P251" s="18"/>
      <c r="Q251" s="12"/>
      <c r="R251" s="12"/>
      <c r="S251" s="12"/>
      <c r="T251" s="36"/>
      <c r="U251" s="36"/>
      <c r="V251" s="12"/>
      <c r="W251" s="12"/>
      <c r="X251" s="12"/>
      <c r="Y251" s="12"/>
      <c r="Z251" s="12"/>
    </row>
    <row r="252" customFormat="false" ht="15.75" hidden="false" customHeight="false" outlineLevel="0" collapsed="false">
      <c r="A252" s="12"/>
      <c r="B252" s="34"/>
      <c r="C252" s="12"/>
      <c r="D252" s="12"/>
      <c r="E252" s="12"/>
      <c r="F252" s="12"/>
      <c r="G252" s="18"/>
      <c r="H252" s="35"/>
      <c r="I252" s="35"/>
      <c r="J252" s="12"/>
      <c r="O252" s="12"/>
      <c r="P252" s="18"/>
      <c r="Q252" s="12"/>
      <c r="R252" s="12"/>
      <c r="S252" s="12"/>
      <c r="T252" s="36"/>
      <c r="U252" s="36"/>
      <c r="V252" s="12"/>
      <c r="W252" s="12"/>
      <c r="X252" s="12"/>
      <c r="Y252" s="12"/>
      <c r="Z252" s="12"/>
    </row>
    <row r="253" customFormat="false" ht="15.75" hidden="false" customHeight="false" outlineLevel="0" collapsed="false">
      <c r="A253" s="12"/>
      <c r="B253" s="34"/>
      <c r="C253" s="12"/>
      <c r="D253" s="12"/>
      <c r="E253" s="12"/>
      <c r="F253" s="12"/>
      <c r="G253" s="18"/>
      <c r="H253" s="35"/>
      <c r="I253" s="35"/>
      <c r="J253" s="12"/>
      <c r="O253" s="12"/>
      <c r="P253" s="18"/>
      <c r="Q253" s="12"/>
      <c r="R253" s="12"/>
      <c r="S253" s="12"/>
      <c r="T253" s="36"/>
      <c r="U253" s="36"/>
      <c r="V253" s="12"/>
      <c r="W253" s="12"/>
      <c r="X253" s="12"/>
      <c r="Y253" s="12"/>
      <c r="Z253" s="12"/>
    </row>
    <row r="254" customFormat="false" ht="15.75" hidden="false" customHeight="false" outlineLevel="0" collapsed="false">
      <c r="A254" s="12"/>
      <c r="B254" s="34"/>
      <c r="C254" s="12"/>
      <c r="D254" s="12"/>
      <c r="E254" s="12"/>
      <c r="F254" s="12"/>
      <c r="G254" s="18"/>
      <c r="H254" s="35"/>
      <c r="I254" s="35"/>
      <c r="J254" s="12"/>
      <c r="O254" s="12"/>
      <c r="P254" s="18"/>
      <c r="Q254" s="12"/>
      <c r="R254" s="12"/>
      <c r="S254" s="12"/>
      <c r="T254" s="36"/>
      <c r="U254" s="36"/>
      <c r="V254" s="12"/>
      <c r="W254" s="12"/>
      <c r="X254" s="12"/>
      <c r="Y254" s="12"/>
      <c r="Z254" s="12"/>
    </row>
    <row r="255" customFormat="false" ht="15.75" hidden="false" customHeight="false" outlineLevel="0" collapsed="false">
      <c r="A255" s="12"/>
      <c r="B255" s="34"/>
      <c r="C255" s="12"/>
      <c r="D255" s="12"/>
      <c r="E255" s="12"/>
      <c r="F255" s="12"/>
      <c r="G255" s="18"/>
      <c r="H255" s="35"/>
      <c r="I255" s="35"/>
      <c r="J255" s="12"/>
      <c r="O255" s="12"/>
      <c r="P255" s="18"/>
      <c r="Q255" s="12"/>
      <c r="R255" s="12"/>
      <c r="S255" s="12"/>
      <c r="T255" s="36"/>
      <c r="U255" s="36"/>
      <c r="V255" s="12"/>
      <c r="W255" s="12"/>
      <c r="X255" s="12"/>
      <c r="Y255" s="12"/>
      <c r="Z255" s="12"/>
    </row>
    <row r="256" customFormat="false" ht="15.75" hidden="false" customHeight="false" outlineLevel="0" collapsed="false">
      <c r="A256" s="12"/>
      <c r="B256" s="34"/>
      <c r="C256" s="12"/>
      <c r="D256" s="12"/>
      <c r="E256" s="12"/>
      <c r="F256" s="12"/>
      <c r="G256" s="18"/>
      <c r="H256" s="35"/>
      <c r="I256" s="35"/>
      <c r="J256" s="12"/>
      <c r="O256" s="12"/>
      <c r="P256" s="18"/>
      <c r="Q256" s="12"/>
      <c r="R256" s="12"/>
      <c r="S256" s="12"/>
      <c r="T256" s="36"/>
      <c r="U256" s="36"/>
      <c r="V256" s="12"/>
      <c r="W256" s="12"/>
      <c r="X256" s="12"/>
      <c r="Y256" s="12"/>
      <c r="Z256" s="12"/>
    </row>
    <row r="257" customFormat="false" ht="15.75" hidden="false" customHeight="false" outlineLevel="0" collapsed="false">
      <c r="A257" s="12"/>
      <c r="B257" s="34"/>
      <c r="C257" s="12"/>
      <c r="D257" s="12"/>
      <c r="E257" s="12"/>
      <c r="F257" s="12"/>
      <c r="G257" s="18"/>
      <c r="H257" s="35"/>
      <c r="I257" s="35"/>
      <c r="J257" s="12"/>
      <c r="O257" s="12"/>
      <c r="P257" s="18"/>
      <c r="Q257" s="12"/>
      <c r="R257" s="12"/>
      <c r="S257" s="12"/>
      <c r="T257" s="36"/>
      <c r="U257" s="36"/>
      <c r="V257" s="12"/>
      <c r="W257" s="12"/>
      <c r="X257" s="12"/>
      <c r="Y257" s="12"/>
      <c r="Z257" s="12"/>
    </row>
    <row r="258" customFormat="false" ht="15.75" hidden="false" customHeight="false" outlineLevel="0" collapsed="false">
      <c r="A258" s="12"/>
      <c r="B258" s="34"/>
      <c r="C258" s="12"/>
      <c r="D258" s="12"/>
      <c r="E258" s="12"/>
      <c r="F258" s="12"/>
      <c r="G258" s="18"/>
      <c r="H258" s="35"/>
      <c r="I258" s="35"/>
      <c r="J258" s="12"/>
      <c r="O258" s="12"/>
      <c r="P258" s="18"/>
      <c r="Q258" s="12"/>
      <c r="R258" s="12"/>
      <c r="S258" s="12"/>
      <c r="T258" s="36"/>
      <c r="U258" s="36"/>
      <c r="V258" s="12"/>
      <c r="W258" s="12"/>
      <c r="X258" s="12"/>
      <c r="Y258" s="12"/>
      <c r="Z258" s="12"/>
    </row>
    <row r="259" customFormat="false" ht="15.75" hidden="false" customHeight="false" outlineLevel="0" collapsed="false">
      <c r="A259" s="12"/>
      <c r="B259" s="34"/>
      <c r="C259" s="12"/>
      <c r="D259" s="12"/>
      <c r="E259" s="12"/>
      <c r="F259" s="12"/>
      <c r="G259" s="18"/>
      <c r="H259" s="35"/>
      <c r="I259" s="35"/>
      <c r="J259" s="12"/>
      <c r="O259" s="12"/>
      <c r="P259" s="18"/>
      <c r="Q259" s="12"/>
      <c r="R259" s="12"/>
      <c r="S259" s="12"/>
      <c r="T259" s="36"/>
      <c r="U259" s="36"/>
      <c r="V259" s="12"/>
      <c r="W259" s="12"/>
      <c r="X259" s="12"/>
      <c r="Y259" s="12"/>
      <c r="Z259" s="12"/>
    </row>
    <row r="260" customFormat="false" ht="15.75" hidden="false" customHeight="false" outlineLevel="0" collapsed="false">
      <c r="A260" s="12"/>
      <c r="B260" s="34"/>
      <c r="C260" s="12"/>
      <c r="D260" s="12"/>
      <c r="E260" s="12"/>
      <c r="F260" s="12"/>
      <c r="G260" s="18"/>
      <c r="H260" s="35"/>
      <c r="I260" s="35"/>
      <c r="J260" s="12"/>
      <c r="O260" s="12"/>
      <c r="P260" s="18"/>
      <c r="Q260" s="12"/>
      <c r="R260" s="12"/>
      <c r="S260" s="12"/>
      <c r="T260" s="36"/>
      <c r="U260" s="36"/>
      <c r="V260" s="12"/>
      <c r="W260" s="12"/>
      <c r="X260" s="12"/>
      <c r="Y260" s="12"/>
      <c r="Z260" s="12"/>
    </row>
    <row r="261" customFormat="false" ht="15.75" hidden="false" customHeight="false" outlineLevel="0" collapsed="false">
      <c r="A261" s="12"/>
      <c r="B261" s="34"/>
      <c r="C261" s="12"/>
      <c r="D261" s="12"/>
      <c r="E261" s="12"/>
      <c r="F261" s="12"/>
      <c r="G261" s="18"/>
      <c r="H261" s="35"/>
      <c r="I261" s="35"/>
      <c r="J261" s="12"/>
      <c r="O261" s="12"/>
      <c r="P261" s="18"/>
      <c r="Q261" s="12"/>
      <c r="R261" s="12"/>
      <c r="S261" s="12"/>
      <c r="T261" s="36"/>
      <c r="U261" s="36"/>
      <c r="V261" s="12"/>
      <c r="W261" s="12"/>
      <c r="X261" s="12"/>
      <c r="Y261" s="12"/>
      <c r="Z261" s="12"/>
    </row>
    <row r="262" customFormat="false" ht="15.75" hidden="false" customHeight="false" outlineLevel="0" collapsed="false">
      <c r="A262" s="12"/>
      <c r="B262" s="34"/>
      <c r="C262" s="12"/>
      <c r="D262" s="12"/>
      <c r="E262" s="12"/>
      <c r="F262" s="12"/>
      <c r="G262" s="18"/>
      <c r="H262" s="35"/>
      <c r="I262" s="35"/>
      <c r="J262" s="12"/>
      <c r="O262" s="12"/>
      <c r="P262" s="18"/>
      <c r="Q262" s="12"/>
      <c r="R262" s="12"/>
      <c r="S262" s="12"/>
      <c r="T262" s="36"/>
      <c r="U262" s="36"/>
      <c r="V262" s="12"/>
      <c r="W262" s="12"/>
      <c r="X262" s="12"/>
      <c r="Y262" s="12"/>
      <c r="Z262" s="12"/>
    </row>
    <row r="263" customFormat="false" ht="15.75" hidden="false" customHeight="false" outlineLevel="0" collapsed="false">
      <c r="A263" s="12"/>
      <c r="B263" s="34"/>
      <c r="C263" s="12"/>
      <c r="D263" s="12"/>
      <c r="E263" s="12"/>
      <c r="F263" s="12"/>
      <c r="G263" s="18"/>
      <c r="H263" s="35"/>
      <c r="I263" s="35"/>
      <c r="J263" s="12"/>
      <c r="O263" s="12"/>
      <c r="P263" s="18"/>
      <c r="Q263" s="12"/>
      <c r="R263" s="12"/>
      <c r="S263" s="12"/>
      <c r="T263" s="36"/>
      <c r="U263" s="36"/>
      <c r="V263" s="12"/>
      <c r="W263" s="12"/>
      <c r="X263" s="12"/>
      <c r="Y263" s="12"/>
      <c r="Z263" s="12"/>
    </row>
    <row r="264" customFormat="false" ht="15.75" hidden="false" customHeight="false" outlineLevel="0" collapsed="false">
      <c r="A264" s="12"/>
      <c r="B264" s="34"/>
      <c r="C264" s="12"/>
      <c r="D264" s="12"/>
      <c r="E264" s="12"/>
      <c r="F264" s="12"/>
      <c r="G264" s="18"/>
      <c r="H264" s="35"/>
      <c r="I264" s="35"/>
      <c r="J264" s="12"/>
      <c r="O264" s="12"/>
      <c r="P264" s="18"/>
      <c r="Q264" s="12"/>
      <c r="R264" s="12"/>
      <c r="S264" s="12"/>
      <c r="T264" s="36"/>
      <c r="U264" s="36"/>
      <c r="V264" s="12"/>
      <c r="W264" s="12"/>
      <c r="X264" s="12"/>
      <c r="Y264" s="12"/>
      <c r="Z264" s="12"/>
    </row>
    <row r="265" customFormat="false" ht="15.75" hidden="false" customHeight="false" outlineLevel="0" collapsed="false">
      <c r="A265" s="12"/>
      <c r="B265" s="34"/>
      <c r="C265" s="12"/>
      <c r="D265" s="12"/>
      <c r="E265" s="12"/>
      <c r="F265" s="12"/>
      <c r="G265" s="18"/>
      <c r="H265" s="35"/>
      <c r="I265" s="35"/>
      <c r="J265" s="12"/>
      <c r="O265" s="12"/>
      <c r="P265" s="18"/>
      <c r="Q265" s="12"/>
      <c r="R265" s="12"/>
      <c r="S265" s="12"/>
      <c r="T265" s="36"/>
      <c r="U265" s="36"/>
      <c r="V265" s="12"/>
      <c r="W265" s="12"/>
      <c r="X265" s="12"/>
      <c r="Y265" s="12"/>
      <c r="Z265" s="12"/>
    </row>
    <row r="266" customFormat="false" ht="15.75" hidden="false" customHeight="false" outlineLevel="0" collapsed="false">
      <c r="A266" s="12"/>
      <c r="B266" s="34"/>
      <c r="C266" s="12"/>
      <c r="D266" s="12"/>
      <c r="E266" s="12"/>
      <c r="F266" s="12"/>
      <c r="G266" s="18"/>
      <c r="H266" s="35"/>
      <c r="I266" s="35"/>
      <c r="J266" s="12"/>
      <c r="O266" s="12"/>
      <c r="P266" s="18"/>
      <c r="Q266" s="12"/>
      <c r="R266" s="12"/>
      <c r="S266" s="12"/>
      <c r="T266" s="36"/>
      <c r="U266" s="36"/>
      <c r="V266" s="12"/>
      <c r="W266" s="12"/>
      <c r="X266" s="12"/>
      <c r="Y266" s="12"/>
      <c r="Z266" s="12"/>
    </row>
    <row r="267" customFormat="false" ht="15.75" hidden="false" customHeight="false" outlineLevel="0" collapsed="false">
      <c r="A267" s="12"/>
      <c r="B267" s="34"/>
      <c r="C267" s="12"/>
      <c r="D267" s="12"/>
      <c r="E267" s="12"/>
      <c r="F267" s="12"/>
      <c r="G267" s="18"/>
      <c r="H267" s="35"/>
      <c r="I267" s="35"/>
      <c r="J267" s="12"/>
      <c r="O267" s="12"/>
      <c r="P267" s="18"/>
      <c r="Q267" s="12"/>
      <c r="R267" s="12"/>
      <c r="S267" s="12"/>
      <c r="T267" s="36"/>
      <c r="U267" s="36"/>
      <c r="V267" s="12"/>
      <c r="W267" s="12"/>
      <c r="X267" s="12"/>
      <c r="Y267" s="12"/>
      <c r="Z267" s="12"/>
    </row>
    <row r="268" customFormat="false" ht="15.75" hidden="false" customHeight="false" outlineLevel="0" collapsed="false">
      <c r="A268" s="12"/>
      <c r="B268" s="34"/>
      <c r="C268" s="12"/>
      <c r="D268" s="12"/>
      <c r="E268" s="12"/>
      <c r="F268" s="12"/>
      <c r="G268" s="18"/>
      <c r="H268" s="35"/>
      <c r="I268" s="35"/>
      <c r="J268" s="12"/>
      <c r="O268" s="12"/>
      <c r="P268" s="18"/>
      <c r="Q268" s="12"/>
      <c r="R268" s="12"/>
      <c r="S268" s="12"/>
      <c r="T268" s="36"/>
      <c r="U268" s="36"/>
      <c r="V268" s="12"/>
      <c r="W268" s="12"/>
      <c r="X268" s="12"/>
      <c r="Y268" s="12"/>
      <c r="Z268" s="12"/>
    </row>
    <row r="269" customFormat="false" ht="15.75" hidden="false" customHeight="false" outlineLevel="0" collapsed="false">
      <c r="A269" s="12"/>
      <c r="B269" s="34"/>
      <c r="C269" s="12"/>
      <c r="D269" s="12"/>
      <c r="E269" s="12"/>
      <c r="F269" s="12"/>
      <c r="G269" s="18"/>
      <c r="H269" s="35"/>
      <c r="I269" s="35"/>
      <c r="J269" s="12"/>
      <c r="O269" s="12"/>
      <c r="P269" s="18"/>
      <c r="Q269" s="12"/>
      <c r="R269" s="12"/>
      <c r="S269" s="12"/>
      <c r="T269" s="36"/>
      <c r="U269" s="36"/>
      <c r="V269" s="12"/>
      <c r="W269" s="12"/>
      <c r="X269" s="12"/>
      <c r="Y269" s="12"/>
      <c r="Z269" s="12"/>
    </row>
    <row r="270" customFormat="false" ht="15.75" hidden="false" customHeight="false" outlineLevel="0" collapsed="false">
      <c r="A270" s="12"/>
      <c r="B270" s="34"/>
      <c r="C270" s="12"/>
      <c r="D270" s="12"/>
      <c r="E270" s="12"/>
      <c r="F270" s="12"/>
      <c r="G270" s="18"/>
      <c r="H270" s="35"/>
      <c r="I270" s="35"/>
      <c r="J270" s="12"/>
      <c r="O270" s="12"/>
      <c r="P270" s="18"/>
      <c r="Q270" s="12"/>
      <c r="R270" s="12"/>
      <c r="S270" s="12"/>
      <c r="T270" s="36"/>
      <c r="U270" s="36"/>
      <c r="V270" s="12"/>
      <c r="W270" s="12"/>
      <c r="X270" s="12"/>
      <c r="Y270" s="12"/>
      <c r="Z270" s="12"/>
    </row>
    <row r="271" customFormat="false" ht="15.75" hidden="false" customHeight="false" outlineLevel="0" collapsed="false">
      <c r="A271" s="12"/>
      <c r="B271" s="34"/>
      <c r="C271" s="12"/>
      <c r="D271" s="12"/>
      <c r="E271" s="12"/>
      <c r="F271" s="12"/>
      <c r="G271" s="18"/>
      <c r="H271" s="35"/>
      <c r="I271" s="35"/>
      <c r="J271" s="12"/>
      <c r="O271" s="12"/>
      <c r="P271" s="18"/>
      <c r="Q271" s="12"/>
      <c r="R271" s="12"/>
      <c r="S271" s="12"/>
      <c r="T271" s="36"/>
      <c r="U271" s="36"/>
      <c r="V271" s="12"/>
      <c r="W271" s="12"/>
      <c r="X271" s="12"/>
      <c r="Y271" s="12"/>
      <c r="Z271" s="12"/>
    </row>
    <row r="272" customFormat="false" ht="15.75" hidden="false" customHeight="false" outlineLevel="0" collapsed="false">
      <c r="A272" s="12"/>
      <c r="B272" s="34"/>
      <c r="C272" s="12"/>
      <c r="D272" s="12"/>
      <c r="E272" s="12"/>
      <c r="F272" s="12"/>
      <c r="G272" s="18"/>
      <c r="H272" s="35"/>
      <c r="I272" s="35"/>
      <c r="J272" s="12"/>
      <c r="O272" s="12"/>
      <c r="P272" s="18"/>
      <c r="Q272" s="12"/>
      <c r="R272" s="12"/>
      <c r="S272" s="12"/>
      <c r="T272" s="36"/>
      <c r="U272" s="36"/>
      <c r="V272" s="12"/>
      <c r="W272" s="12"/>
      <c r="X272" s="12"/>
      <c r="Y272" s="12"/>
      <c r="Z272" s="12"/>
    </row>
    <row r="273" customFormat="false" ht="15.75" hidden="false" customHeight="false" outlineLevel="0" collapsed="false">
      <c r="A273" s="12"/>
      <c r="B273" s="34"/>
      <c r="C273" s="12"/>
      <c r="D273" s="12"/>
      <c r="E273" s="12"/>
      <c r="F273" s="12"/>
      <c r="G273" s="18"/>
      <c r="H273" s="35"/>
      <c r="I273" s="35"/>
      <c r="J273" s="12"/>
      <c r="O273" s="12"/>
      <c r="P273" s="18"/>
      <c r="Q273" s="12"/>
      <c r="R273" s="12"/>
      <c r="S273" s="12"/>
      <c r="T273" s="36"/>
      <c r="U273" s="36"/>
      <c r="V273" s="12"/>
      <c r="W273" s="12"/>
      <c r="X273" s="12"/>
      <c r="Y273" s="12"/>
      <c r="Z273" s="12"/>
    </row>
    <row r="274" customFormat="false" ht="15.75" hidden="false" customHeight="false" outlineLevel="0" collapsed="false">
      <c r="A274" s="12"/>
      <c r="B274" s="34"/>
      <c r="C274" s="12"/>
      <c r="D274" s="12"/>
      <c r="E274" s="12"/>
      <c r="F274" s="12"/>
      <c r="G274" s="18"/>
      <c r="H274" s="35"/>
      <c r="I274" s="35"/>
      <c r="J274" s="12"/>
      <c r="O274" s="12"/>
      <c r="P274" s="18"/>
      <c r="Q274" s="12"/>
      <c r="R274" s="12"/>
      <c r="S274" s="12"/>
      <c r="T274" s="36"/>
      <c r="U274" s="36"/>
      <c r="V274" s="12"/>
      <c r="W274" s="12"/>
      <c r="X274" s="12"/>
      <c r="Y274" s="12"/>
      <c r="Z274" s="12"/>
    </row>
    <row r="275" customFormat="false" ht="15.75" hidden="false" customHeight="false" outlineLevel="0" collapsed="false">
      <c r="A275" s="12"/>
      <c r="B275" s="34"/>
      <c r="C275" s="12"/>
      <c r="D275" s="12"/>
      <c r="E275" s="12"/>
      <c r="F275" s="12"/>
      <c r="G275" s="18"/>
      <c r="H275" s="35"/>
      <c r="I275" s="35"/>
      <c r="J275" s="12"/>
      <c r="O275" s="12"/>
      <c r="P275" s="18"/>
      <c r="Q275" s="12"/>
      <c r="R275" s="12"/>
      <c r="S275" s="12"/>
      <c r="T275" s="36"/>
      <c r="U275" s="36"/>
      <c r="V275" s="12"/>
      <c r="W275" s="12"/>
      <c r="X275" s="12"/>
      <c r="Y275" s="12"/>
      <c r="Z275" s="12"/>
    </row>
    <row r="276" customFormat="false" ht="15.75" hidden="false" customHeight="false" outlineLevel="0" collapsed="false">
      <c r="A276" s="12"/>
      <c r="B276" s="34"/>
      <c r="C276" s="12"/>
      <c r="D276" s="12"/>
      <c r="E276" s="12"/>
      <c r="F276" s="12"/>
      <c r="G276" s="18"/>
      <c r="H276" s="35"/>
      <c r="I276" s="35"/>
      <c r="J276" s="12"/>
      <c r="O276" s="12"/>
      <c r="P276" s="18"/>
      <c r="Q276" s="12"/>
      <c r="R276" s="12"/>
      <c r="S276" s="12"/>
      <c r="T276" s="36"/>
      <c r="U276" s="36"/>
      <c r="V276" s="12"/>
      <c r="W276" s="12"/>
      <c r="X276" s="12"/>
      <c r="Y276" s="12"/>
      <c r="Z276" s="12"/>
    </row>
    <row r="277" customFormat="false" ht="15.75" hidden="false" customHeight="false" outlineLevel="0" collapsed="false">
      <c r="A277" s="12"/>
      <c r="B277" s="34"/>
      <c r="C277" s="12"/>
      <c r="D277" s="12"/>
      <c r="E277" s="12"/>
      <c r="F277" s="12"/>
      <c r="G277" s="18"/>
      <c r="H277" s="35"/>
      <c r="I277" s="35"/>
      <c r="J277" s="12"/>
      <c r="O277" s="12"/>
      <c r="P277" s="18"/>
      <c r="Q277" s="12"/>
      <c r="R277" s="12"/>
      <c r="S277" s="12"/>
      <c r="T277" s="36"/>
      <c r="U277" s="36"/>
      <c r="V277" s="12"/>
      <c r="W277" s="12"/>
      <c r="X277" s="12"/>
      <c r="Y277" s="12"/>
      <c r="Z277" s="12"/>
    </row>
    <row r="278" customFormat="false" ht="15.75" hidden="false" customHeight="false" outlineLevel="0" collapsed="false">
      <c r="A278" s="12"/>
      <c r="B278" s="34"/>
      <c r="C278" s="12"/>
      <c r="D278" s="12"/>
      <c r="E278" s="12"/>
      <c r="F278" s="12"/>
      <c r="G278" s="18"/>
      <c r="H278" s="35"/>
      <c r="I278" s="35"/>
      <c r="J278" s="12"/>
      <c r="O278" s="12"/>
      <c r="P278" s="18"/>
      <c r="Q278" s="12"/>
      <c r="R278" s="12"/>
      <c r="S278" s="12"/>
      <c r="T278" s="36"/>
      <c r="U278" s="36"/>
      <c r="V278" s="12"/>
      <c r="W278" s="12"/>
      <c r="X278" s="12"/>
      <c r="Y278" s="12"/>
      <c r="Z278" s="12"/>
    </row>
    <row r="279" customFormat="false" ht="15.75" hidden="false" customHeight="false" outlineLevel="0" collapsed="false">
      <c r="A279" s="12"/>
      <c r="B279" s="34"/>
      <c r="C279" s="12"/>
      <c r="D279" s="12"/>
      <c r="E279" s="12"/>
      <c r="F279" s="12"/>
      <c r="G279" s="18"/>
      <c r="H279" s="35"/>
      <c r="I279" s="35"/>
      <c r="J279" s="12"/>
      <c r="O279" s="12"/>
      <c r="P279" s="18"/>
      <c r="Q279" s="12"/>
      <c r="R279" s="12"/>
      <c r="S279" s="12"/>
      <c r="T279" s="36"/>
      <c r="U279" s="36"/>
      <c r="V279" s="12"/>
      <c r="W279" s="12"/>
      <c r="X279" s="12"/>
      <c r="Y279" s="12"/>
      <c r="Z279" s="12"/>
    </row>
    <row r="280" customFormat="false" ht="15.75" hidden="false" customHeight="false" outlineLevel="0" collapsed="false">
      <c r="A280" s="12"/>
      <c r="B280" s="34"/>
      <c r="C280" s="12"/>
      <c r="D280" s="12"/>
      <c r="E280" s="12"/>
      <c r="F280" s="12"/>
      <c r="G280" s="18"/>
      <c r="H280" s="35"/>
      <c r="I280" s="35"/>
      <c r="J280" s="12"/>
      <c r="O280" s="12"/>
      <c r="P280" s="18"/>
      <c r="Q280" s="12"/>
      <c r="R280" s="12"/>
      <c r="S280" s="12"/>
      <c r="T280" s="36"/>
      <c r="U280" s="36"/>
      <c r="V280" s="12"/>
      <c r="W280" s="12"/>
      <c r="X280" s="12"/>
      <c r="Y280" s="12"/>
      <c r="Z280" s="12"/>
    </row>
    <row r="281" customFormat="false" ht="15.75" hidden="false" customHeight="false" outlineLevel="0" collapsed="false">
      <c r="A281" s="12"/>
      <c r="B281" s="34"/>
      <c r="C281" s="12"/>
      <c r="D281" s="12"/>
      <c r="E281" s="12"/>
      <c r="F281" s="12"/>
      <c r="G281" s="18"/>
      <c r="H281" s="35"/>
      <c r="I281" s="35"/>
      <c r="J281" s="12"/>
      <c r="O281" s="12"/>
      <c r="P281" s="18"/>
      <c r="Q281" s="12"/>
      <c r="R281" s="12"/>
      <c r="S281" s="12"/>
      <c r="T281" s="36"/>
      <c r="U281" s="36"/>
      <c r="V281" s="12"/>
      <c r="W281" s="12"/>
      <c r="X281" s="12"/>
      <c r="Y281" s="12"/>
      <c r="Z281" s="12"/>
    </row>
    <row r="282" customFormat="false" ht="15.75" hidden="false" customHeight="false" outlineLevel="0" collapsed="false">
      <c r="A282" s="12"/>
      <c r="B282" s="34"/>
      <c r="C282" s="12"/>
      <c r="D282" s="12"/>
      <c r="E282" s="12"/>
      <c r="F282" s="12"/>
      <c r="G282" s="18"/>
      <c r="H282" s="35"/>
      <c r="I282" s="35"/>
      <c r="J282" s="12"/>
      <c r="O282" s="12"/>
      <c r="P282" s="18"/>
      <c r="Q282" s="12"/>
      <c r="R282" s="12"/>
      <c r="S282" s="12"/>
      <c r="T282" s="36"/>
      <c r="U282" s="36"/>
      <c r="V282" s="12"/>
      <c r="W282" s="12"/>
      <c r="X282" s="12"/>
      <c r="Y282" s="12"/>
      <c r="Z282" s="12"/>
    </row>
    <row r="283" customFormat="false" ht="15.75" hidden="false" customHeight="false" outlineLevel="0" collapsed="false">
      <c r="A283" s="12"/>
      <c r="B283" s="34"/>
      <c r="C283" s="12"/>
      <c r="D283" s="12"/>
      <c r="E283" s="12"/>
      <c r="F283" s="12"/>
      <c r="G283" s="18"/>
      <c r="H283" s="35"/>
      <c r="I283" s="35"/>
      <c r="J283" s="12"/>
      <c r="O283" s="12"/>
      <c r="P283" s="18"/>
      <c r="Q283" s="12"/>
      <c r="R283" s="12"/>
      <c r="S283" s="12"/>
      <c r="T283" s="36"/>
      <c r="U283" s="36"/>
      <c r="V283" s="12"/>
      <c r="W283" s="12"/>
      <c r="X283" s="12"/>
      <c r="Y283" s="12"/>
      <c r="Z283" s="12"/>
    </row>
    <row r="284" customFormat="false" ht="15.75" hidden="false" customHeight="false" outlineLevel="0" collapsed="false">
      <c r="A284" s="12"/>
      <c r="B284" s="34"/>
      <c r="C284" s="12"/>
      <c r="D284" s="12"/>
      <c r="E284" s="12"/>
      <c r="F284" s="12"/>
      <c r="G284" s="18"/>
      <c r="H284" s="35"/>
      <c r="I284" s="35"/>
      <c r="J284" s="12"/>
      <c r="O284" s="12"/>
      <c r="P284" s="18"/>
      <c r="Q284" s="12"/>
      <c r="R284" s="12"/>
      <c r="S284" s="12"/>
      <c r="T284" s="36"/>
      <c r="U284" s="36"/>
      <c r="V284" s="12"/>
      <c r="W284" s="12"/>
      <c r="X284" s="12"/>
      <c r="Y284" s="12"/>
      <c r="Z284" s="12"/>
    </row>
    <row r="285" customFormat="false" ht="15.75" hidden="false" customHeight="false" outlineLevel="0" collapsed="false">
      <c r="A285" s="12"/>
      <c r="B285" s="34"/>
      <c r="C285" s="12"/>
      <c r="D285" s="12"/>
      <c r="E285" s="12"/>
      <c r="F285" s="12"/>
      <c r="G285" s="18"/>
      <c r="H285" s="35"/>
      <c r="I285" s="35"/>
      <c r="J285" s="12"/>
      <c r="O285" s="12"/>
      <c r="P285" s="18"/>
      <c r="Q285" s="12"/>
      <c r="R285" s="12"/>
      <c r="S285" s="12"/>
      <c r="T285" s="36"/>
      <c r="U285" s="36"/>
      <c r="V285" s="12"/>
      <c r="W285" s="12"/>
      <c r="X285" s="12"/>
      <c r="Y285" s="12"/>
      <c r="Z285" s="12"/>
    </row>
    <row r="286" customFormat="false" ht="15.75" hidden="false" customHeight="false" outlineLevel="0" collapsed="false">
      <c r="A286" s="12"/>
      <c r="B286" s="34"/>
      <c r="C286" s="12"/>
      <c r="D286" s="12"/>
      <c r="E286" s="12"/>
      <c r="F286" s="12"/>
      <c r="G286" s="18"/>
      <c r="H286" s="35"/>
      <c r="I286" s="35"/>
      <c r="J286" s="12"/>
      <c r="O286" s="12"/>
      <c r="P286" s="18"/>
      <c r="Q286" s="12"/>
      <c r="R286" s="12"/>
      <c r="S286" s="12"/>
      <c r="T286" s="36"/>
      <c r="U286" s="36"/>
      <c r="V286" s="12"/>
      <c r="W286" s="12"/>
      <c r="X286" s="12"/>
      <c r="Y286" s="12"/>
      <c r="Z286" s="12"/>
    </row>
    <row r="287" customFormat="false" ht="15.75" hidden="false" customHeight="false" outlineLevel="0" collapsed="false">
      <c r="A287" s="12"/>
      <c r="B287" s="34"/>
      <c r="C287" s="12"/>
      <c r="D287" s="12"/>
      <c r="E287" s="12"/>
      <c r="F287" s="12"/>
      <c r="G287" s="18"/>
      <c r="H287" s="35"/>
      <c r="I287" s="35"/>
      <c r="J287" s="12"/>
      <c r="O287" s="12"/>
      <c r="P287" s="18"/>
      <c r="Q287" s="12"/>
      <c r="R287" s="12"/>
      <c r="S287" s="12"/>
      <c r="T287" s="36"/>
      <c r="U287" s="36"/>
      <c r="V287" s="12"/>
      <c r="W287" s="12"/>
      <c r="X287" s="12"/>
      <c r="Y287" s="12"/>
      <c r="Z287" s="12"/>
    </row>
    <row r="288" customFormat="false" ht="15.75" hidden="false" customHeight="false" outlineLevel="0" collapsed="false">
      <c r="A288" s="12"/>
      <c r="B288" s="34"/>
      <c r="C288" s="12"/>
      <c r="D288" s="12"/>
      <c r="E288" s="12"/>
      <c r="F288" s="12"/>
      <c r="G288" s="18"/>
      <c r="H288" s="35"/>
      <c r="I288" s="35"/>
      <c r="J288" s="12"/>
      <c r="O288" s="12"/>
      <c r="P288" s="18"/>
      <c r="Q288" s="12"/>
      <c r="R288" s="12"/>
      <c r="S288" s="12"/>
      <c r="T288" s="36"/>
      <c r="U288" s="36"/>
      <c r="V288" s="12"/>
      <c r="W288" s="12"/>
      <c r="X288" s="12"/>
      <c r="Y288" s="12"/>
      <c r="Z288" s="12"/>
    </row>
    <row r="289" customFormat="false" ht="15.75" hidden="false" customHeight="false" outlineLevel="0" collapsed="false">
      <c r="A289" s="12"/>
      <c r="B289" s="34"/>
      <c r="C289" s="12"/>
      <c r="D289" s="12"/>
      <c r="E289" s="12"/>
      <c r="F289" s="12"/>
      <c r="G289" s="18"/>
      <c r="H289" s="35"/>
      <c r="I289" s="35"/>
      <c r="J289" s="12"/>
      <c r="O289" s="12"/>
      <c r="P289" s="18"/>
      <c r="Q289" s="12"/>
      <c r="R289" s="12"/>
      <c r="S289" s="12"/>
      <c r="T289" s="36"/>
      <c r="U289" s="36"/>
      <c r="V289" s="12"/>
      <c r="W289" s="12"/>
      <c r="X289" s="12"/>
      <c r="Y289" s="12"/>
      <c r="Z289" s="12"/>
    </row>
    <row r="290" customFormat="false" ht="15.75" hidden="false" customHeight="false" outlineLevel="0" collapsed="false">
      <c r="A290" s="12"/>
      <c r="B290" s="34"/>
      <c r="C290" s="12"/>
      <c r="D290" s="12"/>
      <c r="E290" s="12"/>
      <c r="F290" s="12"/>
      <c r="G290" s="18"/>
      <c r="H290" s="35"/>
      <c r="I290" s="35"/>
      <c r="J290" s="12"/>
      <c r="O290" s="12"/>
      <c r="P290" s="18"/>
      <c r="Q290" s="12"/>
      <c r="R290" s="12"/>
      <c r="S290" s="12"/>
      <c r="T290" s="36"/>
      <c r="U290" s="36"/>
      <c r="V290" s="12"/>
      <c r="W290" s="12"/>
      <c r="X290" s="12"/>
      <c r="Y290" s="12"/>
      <c r="Z290" s="12"/>
    </row>
    <row r="291" customFormat="false" ht="15.75" hidden="false" customHeight="false" outlineLevel="0" collapsed="false">
      <c r="A291" s="12"/>
      <c r="B291" s="34"/>
      <c r="C291" s="12"/>
      <c r="D291" s="12"/>
      <c r="E291" s="12"/>
      <c r="F291" s="12"/>
      <c r="G291" s="18"/>
      <c r="H291" s="35"/>
      <c r="I291" s="35"/>
      <c r="J291" s="12"/>
      <c r="O291" s="12"/>
      <c r="P291" s="18"/>
      <c r="Q291" s="12"/>
      <c r="R291" s="12"/>
      <c r="S291" s="12"/>
      <c r="T291" s="36"/>
      <c r="U291" s="36"/>
      <c r="V291" s="12"/>
      <c r="W291" s="12"/>
      <c r="X291" s="12"/>
      <c r="Y291" s="12"/>
      <c r="Z291" s="12"/>
    </row>
    <row r="292" customFormat="false" ht="15.75" hidden="false" customHeight="false" outlineLevel="0" collapsed="false">
      <c r="A292" s="12"/>
      <c r="B292" s="34"/>
      <c r="C292" s="12"/>
      <c r="D292" s="12"/>
      <c r="E292" s="12"/>
      <c r="F292" s="12"/>
      <c r="G292" s="18"/>
      <c r="H292" s="35"/>
      <c r="I292" s="35"/>
      <c r="J292" s="12"/>
      <c r="O292" s="12"/>
      <c r="P292" s="18"/>
      <c r="Q292" s="12"/>
      <c r="R292" s="12"/>
      <c r="S292" s="12"/>
      <c r="T292" s="36"/>
      <c r="U292" s="36"/>
      <c r="V292" s="12"/>
      <c r="W292" s="12"/>
      <c r="X292" s="12"/>
      <c r="Y292" s="12"/>
      <c r="Z292" s="12"/>
    </row>
    <row r="293" customFormat="false" ht="15.75" hidden="false" customHeight="false" outlineLevel="0" collapsed="false">
      <c r="A293" s="12"/>
      <c r="B293" s="34"/>
      <c r="C293" s="12"/>
      <c r="D293" s="12"/>
      <c r="E293" s="12"/>
      <c r="F293" s="12"/>
      <c r="G293" s="18"/>
      <c r="H293" s="35"/>
      <c r="I293" s="35"/>
      <c r="J293" s="12"/>
      <c r="O293" s="12"/>
      <c r="P293" s="18"/>
      <c r="Q293" s="12"/>
      <c r="R293" s="12"/>
      <c r="S293" s="12"/>
      <c r="T293" s="36"/>
      <c r="U293" s="36"/>
      <c r="V293" s="12"/>
      <c r="W293" s="12"/>
      <c r="X293" s="12"/>
      <c r="Y293" s="12"/>
      <c r="Z293" s="12"/>
    </row>
    <row r="294" customFormat="false" ht="15.75" hidden="false" customHeight="false" outlineLevel="0" collapsed="false">
      <c r="A294" s="12"/>
      <c r="B294" s="34"/>
      <c r="C294" s="12"/>
      <c r="D294" s="12"/>
      <c r="E294" s="12"/>
      <c r="F294" s="12"/>
      <c r="G294" s="18"/>
      <c r="H294" s="35"/>
      <c r="I294" s="35"/>
      <c r="J294" s="12"/>
      <c r="O294" s="12"/>
      <c r="P294" s="18"/>
      <c r="Q294" s="12"/>
      <c r="R294" s="12"/>
      <c r="S294" s="12"/>
      <c r="T294" s="36"/>
      <c r="U294" s="36"/>
      <c r="V294" s="12"/>
      <c r="W294" s="12"/>
      <c r="X294" s="12"/>
      <c r="Y294" s="12"/>
      <c r="Z294" s="12"/>
    </row>
    <row r="295" customFormat="false" ht="15.75" hidden="false" customHeight="false" outlineLevel="0" collapsed="false">
      <c r="A295" s="12"/>
      <c r="B295" s="34"/>
      <c r="C295" s="12"/>
      <c r="D295" s="12"/>
      <c r="E295" s="12"/>
      <c r="F295" s="12"/>
      <c r="G295" s="18"/>
      <c r="H295" s="35"/>
      <c r="I295" s="35"/>
      <c r="J295" s="12"/>
      <c r="O295" s="12"/>
      <c r="P295" s="18"/>
      <c r="Q295" s="12"/>
      <c r="R295" s="12"/>
      <c r="S295" s="12"/>
      <c r="T295" s="36"/>
      <c r="U295" s="36"/>
      <c r="V295" s="12"/>
      <c r="W295" s="12"/>
      <c r="X295" s="12"/>
      <c r="Y295" s="12"/>
      <c r="Z295" s="12"/>
    </row>
    <row r="296" customFormat="false" ht="15.75" hidden="false" customHeight="false" outlineLevel="0" collapsed="false">
      <c r="A296" s="12"/>
      <c r="B296" s="34"/>
      <c r="C296" s="12"/>
      <c r="D296" s="12"/>
      <c r="E296" s="12"/>
      <c r="F296" s="12"/>
      <c r="G296" s="18"/>
      <c r="H296" s="35"/>
      <c r="I296" s="35"/>
      <c r="J296" s="12"/>
      <c r="O296" s="12"/>
      <c r="P296" s="18"/>
      <c r="Q296" s="12"/>
      <c r="R296" s="12"/>
      <c r="S296" s="12"/>
      <c r="T296" s="36"/>
      <c r="U296" s="36"/>
      <c r="V296" s="12"/>
      <c r="W296" s="12"/>
      <c r="X296" s="12"/>
      <c r="Y296" s="12"/>
      <c r="Z296" s="12"/>
    </row>
    <row r="297" customFormat="false" ht="15.75" hidden="false" customHeight="false" outlineLevel="0" collapsed="false">
      <c r="A297" s="12"/>
      <c r="B297" s="34"/>
      <c r="C297" s="12"/>
      <c r="D297" s="12"/>
      <c r="E297" s="12"/>
      <c r="F297" s="12"/>
      <c r="G297" s="18"/>
      <c r="H297" s="35"/>
      <c r="I297" s="35"/>
      <c r="J297" s="12"/>
      <c r="O297" s="12"/>
      <c r="P297" s="18"/>
      <c r="Q297" s="12"/>
      <c r="R297" s="12"/>
      <c r="S297" s="12"/>
      <c r="T297" s="36"/>
      <c r="U297" s="36"/>
      <c r="V297" s="12"/>
      <c r="W297" s="12"/>
      <c r="X297" s="12"/>
      <c r="Y297" s="12"/>
      <c r="Z297" s="12"/>
    </row>
    <row r="298" customFormat="false" ht="15.75" hidden="false" customHeight="false" outlineLevel="0" collapsed="false">
      <c r="A298" s="12"/>
      <c r="B298" s="34"/>
      <c r="C298" s="12"/>
      <c r="D298" s="12"/>
      <c r="E298" s="12"/>
      <c r="F298" s="12"/>
      <c r="G298" s="18"/>
      <c r="H298" s="35"/>
      <c r="I298" s="35"/>
      <c r="J298" s="12"/>
      <c r="O298" s="12"/>
      <c r="P298" s="18"/>
      <c r="Q298" s="12"/>
      <c r="R298" s="12"/>
      <c r="S298" s="12"/>
      <c r="T298" s="36"/>
      <c r="U298" s="36"/>
      <c r="V298" s="12"/>
      <c r="W298" s="12"/>
      <c r="X298" s="12"/>
      <c r="Y298" s="12"/>
      <c r="Z298" s="12"/>
    </row>
    <row r="299" customFormat="false" ht="15.75" hidden="false" customHeight="false" outlineLevel="0" collapsed="false">
      <c r="A299" s="12"/>
      <c r="B299" s="34"/>
      <c r="C299" s="12"/>
      <c r="D299" s="12"/>
      <c r="E299" s="12"/>
      <c r="F299" s="12"/>
      <c r="G299" s="18"/>
      <c r="H299" s="35"/>
      <c r="I299" s="35"/>
      <c r="J299" s="12"/>
      <c r="O299" s="12"/>
      <c r="P299" s="18"/>
      <c r="Q299" s="12"/>
      <c r="R299" s="12"/>
      <c r="S299" s="12"/>
      <c r="T299" s="36"/>
      <c r="U299" s="36"/>
      <c r="V299" s="12"/>
      <c r="W299" s="12"/>
      <c r="X299" s="12"/>
      <c r="Y299" s="12"/>
      <c r="Z299" s="12"/>
    </row>
    <row r="300" customFormat="false" ht="15.75" hidden="false" customHeight="false" outlineLevel="0" collapsed="false">
      <c r="A300" s="12"/>
      <c r="B300" s="34"/>
      <c r="C300" s="12"/>
      <c r="D300" s="12"/>
      <c r="E300" s="12"/>
      <c r="F300" s="12"/>
      <c r="G300" s="18"/>
      <c r="H300" s="35"/>
      <c r="I300" s="35"/>
      <c r="J300" s="12"/>
      <c r="O300" s="12"/>
      <c r="P300" s="18"/>
      <c r="Q300" s="12"/>
      <c r="R300" s="12"/>
      <c r="S300" s="12"/>
      <c r="T300" s="36"/>
      <c r="U300" s="36"/>
      <c r="V300" s="12"/>
      <c r="W300" s="12"/>
      <c r="X300" s="12"/>
      <c r="Y300" s="12"/>
      <c r="Z300" s="12"/>
    </row>
    <row r="301" customFormat="false" ht="15.75" hidden="false" customHeight="false" outlineLevel="0" collapsed="false">
      <c r="A301" s="12"/>
      <c r="B301" s="34"/>
      <c r="C301" s="12"/>
      <c r="D301" s="12"/>
      <c r="E301" s="12"/>
      <c r="F301" s="12"/>
      <c r="G301" s="18"/>
      <c r="H301" s="35"/>
      <c r="I301" s="35"/>
      <c r="J301" s="12"/>
      <c r="O301" s="12"/>
      <c r="P301" s="18"/>
      <c r="Q301" s="12"/>
      <c r="R301" s="12"/>
      <c r="S301" s="12"/>
      <c r="T301" s="36"/>
      <c r="U301" s="36"/>
      <c r="V301" s="12"/>
      <c r="W301" s="12"/>
      <c r="X301" s="12"/>
      <c r="Y301" s="12"/>
      <c r="Z301" s="12"/>
    </row>
    <row r="302" customFormat="false" ht="15.75" hidden="false" customHeight="false" outlineLevel="0" collapsed="false">
      <c r="A302" s="12"/>
      <c r="B302" s="34"/>
      <c r="C302" s="12"/>
      <c r="D302" s="12"/>
      <c r="E302" s="12"/>
      <c r="F302" s="12"/>
      <c r="G302" s="18"/>
      <c r="H302" s="35"/>
      <c r="I302" s="35"/>
      <c r="J302" s="12"/>
      <c r="O302" s="12"/>
      <c r="P302" s="18"/>
      <c r="Q302" s="12"/>
      <c r="R302" s="12"/>
      <c r="S302" s="12"/>
      <c r="T302" s="36"/>
      <c r="U302" s="36"/>
      <c r="V302" s="12"/>
      <c r="W302" s="12"/>
      <c r="X302" s="12"/>
      <c r="Y302" s="12"/>
      <c r="Z302" s="12"/>
    </row>
    <row r="303" customFormat="false" ht="15.75" hidden="false" customHeight="false" outlineLevel="0" collapsed="false">
      <c r="A303" s="12"/>
      <c r="B303" s="34"/>
      <c r="C303" s="12"/>
      <c r="D303" s="12"/>
      <c r="E303" s="12"/>
      <c r="F303" s="12"/>
      <c r="G303" s="18"/>
      <c r="H303" s="35"/>
      <c r="I303" s="35"/>
      <c r="J303" s="12"/>
      <c r="O303" s="12"/>
      <c r="P303" s="18"/>
      <c r="Q303" s="12"/>
      <c r="R303" s="12"/>
      <c r="S303" s="12"/>
      <c r="T303" s="36"/>
      <c r="U303" s="36"/>
      <c r="V303" s="12"/>
      <c r="W303" s="12"/>
      <c r="X303" s="12"/>
      <c r="Y303" s="12"/>
      <c r="Z303" s="12"/>
    </row>
    <row r="304" customFormat="false" ht="15.75" hidden="false" customHeight="false" outlineLevel="0" collapsed="false">
      <c r="A304" s="12"/>
      <c r="B304" s="34"/>
      <c r="C304" s="12"/>
      <c r="D304" s="12"/>
      <c r="E304" s="12"/>
      <c r="F304" s="12"/>
      <c r="G304" s="18"/>
      <c r="H304" s="35"/>
      <c r="I304" s="35"/>
      <c r="J304" s="12"/>
      <c r="O304" s="12"/>
      <c r="P304" s="18"/>
      <c r="Q304" s="12"/>
      <c r="R304" s="12"/>
      <c r="S304" s="12"/>
      <c r="T304" s="36"/>
      <c r="U304" s="36"/>
      <c r="V304" s="12"/>
      <c r="W304" s="12"/>
      <c r="X304" s="12"/>
      <c r="Y304" s="12"/>
      <c r="Z304" s="12"/>
    </row>
    <row r="305" customFormat="false" ht="15.75" hidden="false" customHeight="false" outlineLevel="0" collapsed="false">
      <c r="A305" s="12"/>
      <c r="B305" s="34"/>
      <c r="C305" s="12"/>
      <c r="D305" s="12"/>
      <c r="E305" s="12"/>
      <c r="F305" s="12"/>
      <c r="G305" s="18"/>
      <c r="H305" s="35"/>
      <c r="I305" s="35"/>
      <c r="J305" s="12"/>
      <c r="O305" s="12"/>
      <c r="P305" s="18"/>
      <c r="Q305" s="12"/>
      <c r="R305" s="12"/>
      <c r="S305" s="12"/>
      <c r="T305" s="36"/>
      <c r="U305" s="36"/>
      <c r="V305" s="12"/>
      <c r="W305" s="12"/>
      <c r="X305" s="12"/>
      <c r="Y305" s="12"/>
      <c r="Z305" s="12"/>
    </row>
    <row r="306" customFormat="false" ht="15.75" hidden="false" customHeight="false" outlineLevel="0" collapsed="false">
      <c r="A306" s="12"/>
      <c r="B306" s="34"/>
      <c r="C306" s="12"/>
      <c r="D306" s="12"/>
      <c r="E306" s="12"/>
      <c r="F306" s="12"/>
      <c r="G306" s="18"/>
      <c r="H306" s="35"/>
      <c r="I306" s="35"/>
      <c r="J306" s="12"/>
      <c r="O306" s="12"/>
      <c r="P306" s="18"/>
      <c r="Q306" s="12"/>
      <c r="R306" s="12"/>
      <c r="S306" s="12"/>
      <c r="T306" s="36"/>
      <c r="U306" s="36"/>
      <c r="V306" s="12"/>
      <c r="W306" s="12"/>
      <c r="X306" s="12"/>
      <c r="Y306" s="12"/>
      <c r="Z306" s="12"/>
    </row>
    <row r="307" customFormat="false" ht="15.75" hidden="false" customHeight="false" outlineLevel="0" collapsed="false">
      <c r="A307" s="12"/>
      <c r="B307" s="34"/>
      <c r="C307" s="12"/>
      <c r="D307" s="12"/>
      <c r="E307" s="12"/>
      <c r="F307" s="12"/>
      <c r="G307" s="18"/>
      <c r="H307" s="35"/>
      <c r="I307" s="35"/>
      <c r="J307" s="12"/>
      <c r="O307" s="12"/>
      <c r="P307" s="18"/>
      <c r="Q307" s="12"/>
      <c r="R307" s="12"/>
      <c r="S307" s="12"/>
      <c r="T307" s="36"/>
      <c r="U307" s="36"/>
      <c r="V307" s="12"/>
      <c r="W307" s="12"/>
      <c r="X307" s="12"/>
      <c r="Y307" s="12"/>
      <c r="Z307" s="12"/>
    </row>
    <row r="308" customFormat="false" ht="15.75" hidden="false" customHeight="false" outlineLevel="0" collapsed="false">
      <c r="A308" s="12"/>
      <c r="B308" s="34"/>
      <c r="C308" s="12"/>
      <c r="D308" s="12"/>
      <c r="E308" s="12"/>
      <c r="F308" s="12"/>
      <c r="G308" s="18"/>
      <c r="H308" s="35"/>
      <c r="I308" s="35"/>
      <c r="J308" s="12"/>
      <c r="O308" s="12"/>
      <c r="P308" s="18"/>
      <c r="Q308" s="12"/>
      <c r="R308" s="12"/>
      <c r="S308" s="12"/>
      <c r="T308" s="36"/>
      <c r="U308" s="36"/>
      <c r="V308" s="12"/>
      <c r="W308" s="12"/>
      <c r="X308" s="12"/>
      <c r="Y308" s="12"/>
      <c r="Z308" s="12"/>
    </row>
    <row r="309" customFormat="false" ht="15.75" hidden="false" customHeight="false" outlineLevel="0" collapsed="false">
      <c r="A309" s="12"/>
      <c r="B309" s="34"/>
      <c r="C309" s="12"/>
      <c r="D309" s="12"/>
      <c r="E309" s="12"/>
      <c r="F309" s="12"/>
      <c r="G309" s="18"/>
      <c r="H309" s="35"/>
      <c r="I309" s="35"/>
      <c r="J309" s="12"/>
      <c r="O309" s="12"/>
      <c r="P309" s="18"/>
      <c r="Q309" s="12"/>
      <c r="R309" s="12"/>
      <c r="S309" s="12"/>
      <c r="T309" s="36"/>
      <c r="U309" s="36"/>
      <c r="V309" s="12"/>
      <c r="W309" s="12"/>
      <c r="X309" s="12"/>
      <c r="Y309" s="12"/>
      <c r="Z309" s="12"/>
    </row>
    <row r="310" customFormat="false" ht="15.75" hidden="false" customHeight="false" outlineLevel="0" collapsed="false">
      <c r="A310" s="12"/>
      <c r="B310" s="34"/>
      <c r="C310" s="12"/>
      <c r="D310" s="12"/>
      <c r="E310" s="12"/>
      <c r="F310" s="12"/>
      <c r="G310" s="18"/>
      <c r="H310" s="35"/>
      <c r="I310" s="35"/>
      <c r="J310" s="12"/>
      <c r="O310" s="12"/>
      <c r="P310" s="18"/>
      <c r="Q310" s="12"/>
      <c r="R310" s="12"/>
      <c r="S310" s="12"/>
      <c r="T310" s="36"/>
      <c r="U310" s="36"/>
      <c r="V310" s="12"/>
      <c r="W310" s="12"/>
      <c r="X310" s="12"/>
      <c r="Y310" s="12"/>
      <c r="Z310" s="12"/>
    </row>
    <row r="311" customFormat="false" ht="15.75" hidden="false" customHeight="false" outlineLevel="0" collapsed="false">
      <c r="A311" s="12"/>
      <c r="B311" s="34"/>
      <c r="C311" s="12"/>
      <c r="D311" s="12"/>
      <c r="E311" s="12"/>
      <c r="F311" s="12"/>
      <c r="G311" s="18"/>
      <c r="H311" s="35"/>
      <c r="I311" s="35"/>
      <c r="J311" s="12"/>
      <c r="O311" s="12"/>
      <c r="P311" s="18"/>
      <c r="Q311" s="12"/>
      <c r="R311" s="12"/>
      <c r="S311" s="12"/>
      <c r="T311" s="36"/>
      <c r="U311" s="36"/>
      <c r="V311" s="12"/>
      <c r="W311" s="12"/>
      <c r="X311" s="12"/>
      <c r="Y311" s="12"/>
      <c r="Z311" s="12"/>
    </row>
    <row r="312" customFormat="false" ht="15.75" hidden="false" customHeight="false" outlineLevel="0" collapsed="false">
      <c r="A312" s="12"/>
      <c r="B312" s="34"/>
      <c r="C312" s="12"/>
      <c r="D312" s="12"/>
      <c r="E312" s="12"/>
      <c r="F312" s="12"/>
      <c r="G312" s="18"/>
      <c r="H312" s="35"/>
      <c r="I312" s="35"/>
      <c r="J312" s="12"/>
      <c r="O312" s="12"/>
      <c r="P312" s="18"/>
      <c r="Q312" s="12"/>
      <c r="R312" s="12"/>
      <c r="S312" s="12"/>
      <c r="T312" s="36"/>
      <c r="U312" s="36"/>
      <c r="V312" s="12"/>
      <c r="W312" s="12"/>
      <c r="X312" s="12"/>
      <c r="Y312" s="12"/>
      <c r="Z312" s="12"/>
    </row>
    <row r="313" customFormat="false" ht="15.75" hidden="false" customHeight="false" outlineLevel="0" collapsed="false">
      <c r="A313" s="12"/>
      <c r="B313" s="34"/>
      <c r="C313" s="12"/>
      <c r="D313" s="12"/>
      <c r="E313" s="12"/>
      <c r="F313" s="12"/>
      <c r="G313" s="18"/>
      <c r="H313" s="35"/>
      <c r="I313" s="35"/>
      <c r="J313" s="12"/>
      <c r="O313" s="12"/>
      <c r="P313" s="18"/>
      <c r="Q313" s="12"/>
      <c r="R313" s="12"/>
      <c r="S313" s="12"/>
      <c r="T313" s="36"/>
      <c r="U313" s="36"/>
      <c r="V313" s="12"/>
      <c r="W313" s="12"/>
      <c r="X313" s="12"/>
      <c r="Y313" s="12"/>
      <c r="Z313" s="12"/>
    </row>
    <row r="314" customFormat="false" ht="15.75" hidden="false" customHeight="false" outlineLevel="0" collapsed="false">
      <c r="A314" s="12"/>
      <c r="B314" s="34"/>
      <c r="C314" s="12"/>
      <c r="D314" s="12"/>
      <c r="E314" s="12"/>
      <c r="F314" s="12"/>
      <c r="G314" s="18"/>
      <c r="H314" s="35"/>
      <c r="I314" s="35"/>
      <c r="J314" s="12"/>
      <c r="O314" s="12"/>
      <c r="P314" s="18"/>
      <c r="Q314" s="12"/>
      <c r="R314" s="12"/>
      <c r="S314" s="12"/>
      <c r="T314" s="36"/>
      <c r="U314" s="36"/>
      <c r="V314" s="12"/>
      <c r="W314" s="12"/>
      <c r="X314" s="12"/>
      <c r="Y314" s="12"/>
      <c r="Z314" s="12"/>
    </row>
    <row r="315" customFormat="false" ht="15.75" hidden="false" customHeight="false" outlineLevel="0" collapsed="false">
      <c r="A315" s="12"/>
      <c r="B315" s="34"/>
      <c r="C315" s="12"/>
      <c r="D315" s="12"/>
      <c r="E315" s="12"/>
      <c r="F315" s="12"/>
      <c r="G315" s="18"/>
      <c r="H315" s="35"/>
      <c r="I315" s="35"/>
      <c r="J315" s="12"/>
      <c r="O315" s="12"/>
      <c r="P315" s="18"/>
      <c r="Q315" s="12"/>
      <c r="R315" s="12"/>
      <c r="S315" s="12"/>
      <c r="T315" s="36"/>
      <c r="U315" s="36"/>
      <c r="V315" s="12"/>
      <c r="W315" s="12"/>
      <c r="X315" s="12"/>
      <c r="Y315" s="12"/>
      <c r="Z315" s="12"/>
    </row>
    <row r="316" customFormat="false" ht="15.75" hidden="false" customHeight="false" outlineLevel="0" collapsed="false">
      <c r="A316" s="12"/>
      <c r="B316" s="34"/>
      <c r="C316" s="12"/>
      <c r="D316" s="12"/>
      <c r="E316" s="12"/>
      <c r="F316" s="12"/>
      <c r="G316" s="18"/>
      <c r="H316" s="35"/>
      <c r="I316" s="35"/>
      <c r="J316" s="12"/>
      <c r="O316" s="12"/>
      <c r="P316" s="18"/>
      <c r="Q316" s="12"/>
      <c r="R316" s="12"/>
      <c r="S316" s="12"/>
      <c r="T316" s="36"/>
      <c r="U316" s="36"/>
      <c r="V316" s="12"/>
      <c r="W316" s="12"/>
      <c r="X316" s="12"/>
      <c r="Y316" s="12"/>
      <c r="Z316" s="12"/>
    </row>
    <row r="317" customFormat="false" ht="15.75" hidden="false" customHeight="false" outlineLevel="0" collapsed="false">
      <c r="A317" s="12"/>
      <c r="B317" s="34"/>
      <c r="C317" s="12"/>
      <c r="D317" s="12"/>
      <c r="E317" s="12"/>
      <c r="F317" s="12"/>
      <c r="G317" s="18"/>
      <c r="H317" s="35"/>
      <c r="I317" s="35"/>
      <c r="J317" s="12"/>
      <c r="O317" s="12"/>
      <c r="P317" s="18"/>
      <c r="Q317" s="12"/>
      <c r="R317" s="12"/>
      <c r="S317" s="12"/>
      <c r="T317" s="36"/>
      <c r="U317" s="36"/>
      <c r="V317" s="12"/>
      <c r="W317" s="12"/>
      <c r="X317" s="12"/>
      <c r="Y317" s="12"/>
      <c r="Z317" s="12"/>
    </row>
    <row r="318" customFormat="false" ht="15.75" hidden="false" customHeight="false" outlineLevel="0" collapsed="false">
      <c r="A318" s="12"/>
      <c r="B318" s="34"/>
      <c r="C318" s="12"/>
      <c r="D318" s="12"/>
      <c r="E318" s="12"/>
      <c r="F318" s="12"/>
      <c r="G318" s="18"/>
      <c r="H318" s="35"/>
      <c r="I318" s="35"/>
      <c r="J318" s="12"/>
      <c r="O318" s="12"/>
      <c r="P318" s="18"/>
      <c r="Q318" s="12"/>
      <c r="R318" s="12"/>
      <c r="S318" s="12"/>
      <c r="T318" s="36"/>
      <c r="U318" s="36"/>
      <c r="V318" s="12"/>
      <c r="W318" s="12"/>
      <c r="X318" s="12"/>
      <c r="Y318" s="12"/>
      <c r="Z318" s="12"/>
    </row>
    <row r="319" customFormat="false" ht="15.75" hidden="false" customHeight="false" outlineLevel="0" collapsed="false">
      <c r="A319" s="12"/>
      <c r="B319" s="34"/>
      <c r="C319" s="12"/>
      <c r="D319" s="12"/>
      <c r="E319" s="12"/>
      <c r="F319" s="12"/>
      <c r="G319" s="18"/>
      <c r="H319" s="35"/>
      <c r="I319" s="35"/>
      <c r="J319" s="12"/>
      <c r="O319" s="12"/>
      <c r="P319" s="18"/>
      <c r="Q319" s="12"/>
      <c r="R319" s="12"/>
      <c r="S319" s="12"/>
      <c r="T319" s="36"/>
      <c r="U319" s="36"/>
      <c r="V319" s="12"/>
      <c r="W319" s="12"/>
      <c r="X319" s="12"/>
      <c r="Y319" s="12"/>
      <c r="Z319" s="12"/>
    </row>
    <row r="320" customFormat="false" ht="15.75" hidden="false" customHeight="false" outlineLevel="0" collapsed="false">
      <c r="A320" s="12"/>
      <c r="B320" s="34"/>
      <c r="C320" s="12"/>
      <c r="D320" s="12"/>
      <c r="E320" s="12"/>
      <c r="F320" s="12"/>
      <c r="G320" s="18"/>
      <c r="H320" s="35"/>
      <c r="I320" s="35"/>
      <c r="J320" s="12"/>
      <c r="O320" s="12"/>
      <c r="P320" s="18"/>
      <c r="Q320" s="12"/>
      <c r="R320" s="12"/>
      <c r="S320" s="12"/>
      <c r="T320" s="36"/>
      <c r="U320" s="36"/>
      <c r="V320" s="12"/>
      <c r="W320" s="12"/>
      <c r="X320" s="12"/>
      <c r="Y320" s="12"/>
      <c r="Z320" s="12"/>
    </row>
    <row r="321" customFormat="false" ht="15.75" hidden="false" customHeight="false" outlineLevel="0" collapsed="false">
      <c r="A321" s="12"/>
      <c r="B321" s="34"/>
      <c r="C321" s="12"/>
      <c r="D321" s="12"/>
      <c r="E321" s="12"/>
      <c r="F321" s="12"/>
      <c r="G321" s="18"/>
      <c r="H321" s="35"/>
      <c r="I321" s="35"/>
      <c r="J321" s="12"/>
      <c r="O321" s="12"/>
      <c r="P321" s="18"/>
      <c r="Q321" s="12"/>
      <c r="R321" s="12"/>
      <c r="S321" s="12"/>
      <c r="T321" s="36"/>
      <c r="U321" s="36"/>
      <c r="V321" s="12"/>
      <c r="W321" s="12"/>
      <c r="X321" s="12"/>
      <c r="Y321" s="12"/>
      <c r="Z321" s="12"/>
    </row>
    <row r="322" customFormat="false" ht="15.75" hidden="false" customHeight="false" outlineLevel="0" collapsed="false">
      <c r="A322" s="12"/>
      <c r="B322" s="34"/>
      <c r="C322" s="12"/>
      <c r="D322" s="12"/>
      <c r="E322" s="12"/>
      <c r="F322" s="12"/>
      <c r="G322" s="18"/>
      <c r="H322" s="35"/>
      <c r="I322" s="35"/>
      <c r="J322" s="12"/>
      <c r="O322" s="12"/>
      <c r="P322" s="18"/>
      <c r="Q322" s="12"/>
      <c r="R322" s="12"/>
      <c r="S322" s="12"/>
      <c r="T322" s="36"/>
      <c r="U322" s="36"/>
      <c r="V322" s="12"/>
      <c r="W322" s="12"/>
      <c r="X322" s="12"/>
      <c r="Y322" s="12"/>
      <c r="Z322" s="12"/>
    </row>
    <row r="323" customFormat="false" ht="15.75" hidden="false" customHeight="false" outlineLevel="0" collapsed="false">
      <c r="A323" s="12"/>
      <c r="B323" s="34"/>
      <c r="C323" s="12"/>
      <c r="D323" s="12"/>
      <c r="E323" s="12"/>
      <c r="F323" s="12"/>
      <c r="G323" s="18"/>
      <c r="H323" s="35"/>
      <c r="I323" s="35"/>
      <c r="J323" s="12"/>
      <c r="O323" s="12"/>
      <c r="P323" s="18"/>
      <c r="Q323" s="12"/>
      <c r="R323" s="12"/>
      <c r="S323" s="12"/>
      <c r="T323" s="36"/>
      <c r="U323" s="36"/>
      <c r="V323" s="12"/>
      <c r="W323" s="12"/>
      <c r="X323" s="12"/>
      <c r="Y323" s="12"/>
      <c r="Z323" s="12"/>
    </row>
    <row r="324" customFormat="false" ht="15.75" hidden="false" customHeight="false" outlineLevel="0" collapsed="false">
      <c r="A324" s="12"/>
      <c r="B324" s="34"/>
      <c r="C324" s="12"/>
      <c r="D324" s="12"/>
      <c r="E324" s="12"/>
      <c r="F324" s="12"/>
      <c r="G324" s="18"/>
      <c r="H324" s="35"/>
      <c r="I324" s="35"/>
      <c r="J324" s="12"/>
      <c r="O324" s="12"/>
      <c r="P324" s="18"/>
      <c r="Q324" s="12"/>
      <c r="R324" s="12"/>
      <c r="S324" s="12"/>
      <c r="T324" s="36"/>
      <c r="U324" s="36"/>
      <c r="V324" s="12"/>
      <c r="W324" s="12"/>
      <c r="X324" s="12"/>
      <c r="Y324" s="12"/>
      <c r="Z324" s="12"/>
    </row>
    <row r="325" customFormat="false" ht="15.75" hidden="false" customHeight="false" outlineLevel="0" collapsed="false">
      <c r="A325" s="12"/>
      <c r="B325" s="34"/>
      <c r="C325" s="12"/>
      <c r="D325" s="12"/>
      <c r="E325" s="12"/>
      <c r="F325" s="12"/>
      <c r="G325" s="18"/>
      <c r="H325" s="35"/>
      <c r="I325" s="35"/>
      <c r="J325" s="12"/>
      <c r="O325" s="12"/>
      <c r="P325" s="18"/>
      <c r="Q325" s="12"/>
      <c r="R325" s="12"/>
      <c r="S325" s="12"/>
      <c r="T325" s="36"/>
      <c r="U325" s="36"/>
      <c r="V325" s="12"/>
      <c r="W325" s="12"/>
      <c r="X325" s="12"/>
      <c r="Y325" s="12"/>
      <c r="Z325" s="12"/>
    </row>
    <row r="326" customFormat="false" ht="15.75" hidden="false" customHeight="false" outlineLevel="0" collapsed="false">
      <c r="A326" s="12"/>
      <c r="B326" s="34"/>
      <c r="C326" s="12"/>
      <c r="D326" s="12"/>
      <c r="E326" s="12"/>
      <c r="F326" s="12"/>
      <c r="G326" s="18"/>
      <c r="H326" s="35"/>
      <c r="I326" s="35"/>
      <c r="J326" s="12"/>
      <c r="O326" s="12"/>
      <c r="P326" s="18"/>
      <c r="Q326" s="12"/>
      <c r="R326" s="12"/>
      <c r="S326" s="12"/>
      <c r="T326" s="36"/>
      <c r="U326" s="36"/>
      <c r="V326" s="12"/>
      <c r="W326" s="12"/>
      <c r="X326" s="12"/>
      <c r="Y326" s="12"/>
      <c r="Z326" s="12"/>
    </row>
    <row r="327" customFormat="false" ht="15.75" hidden="false" customHeight="false" outlineLevel="0" collapsed="false">
      <c r="A327" s="12"/>
      <c r="B327" s="34"/>
      <c r="C327" s="12"/>
      <c r="D327" s="12"/>
      <c r="E327" s="12"/>
      <c r="F327" s="12"/>
      <c r="G327" s="18"/>
      <c r="H327" s="35"/>
      <c r="I327" s="35"/>
      <c r="J327" s="12"/>
      <c r="O327" s="12"/>
      <c r="P327" s="18"/>
      <c r="Q327" s="12"/>
      <c r="R327" s="12"/>
      <c r="S327" s="12"/>
      <c r="T327" s="36"/>
      <c r="U327" s="36"/>
      <c r="V327" s="12"/>
      <c r="W327" s="12"/>
      <c r="X327" s="12"/>
      <c r="Y327" s="12"/>
      <c r="Z327" s="12"/>
    </row>
    <row r="328" customFormat="false" ht="15.75" hidden="false" customHeight="false" outlineLevel="0" collapsed="false">
      <c r="A328" s="12"/>
      <c r="B328" s="34"/>
      <c r="C328" s="12"/>
      <c r="D328" s="12"/>
      <c r="E328" s="12"/>
      <c r="F328" s="12"/>
      <c r="G328" s="18"/>
      <c r="H328" s="35"/>
      <c r="I328" s="35"/>
      <c r="J328" s="12"/>
      <c r="O328" s="12"/>
      <c r="P328" s="18"/>
      <c r="Q328" s="12"/>
      <c r="R328" s="12"/>
      <c r="S328" s="12"/>
      <c r="T328" s="36"/>
      <c r="U328" s="36"/>
      <c r="V328" s="12"/>
      <c r="W328" s="12"/>
      <c r="X328" s="12"/>
      <c r="Y328" s="12"/>
      <c r="Z328" s="12"/>
    </row>
    <row r="329" customFormat="false" ht="15.75" hidden="false" customHeight="false" outlineLevel="0" collapsed="false">
      <c r="A329" s="12"/>
      <c r="B329" s="34"/>
      <c r="C329" s="12"/>
      <c r="D329" s="12"/>
      <c r="E329" s="12"/>
      <c r="F329" s="12"/>
      <c r="G329" s="18"/>
      <c r="H329" s="35"/>
      <c r="I329" s="35"/>
      <c r="J329" s="12"/>
      <c r="O329" s="12"/>
      <c r="P329" s="18"/>
      <c r="Q329" s="12"/>
      <c r="R329" s="12"/>
      <c r="S329" s="12"/>
      <c r="T329" s="36"/>
      <c r="U329" s="36"/>
      <c r="V329" s="12"/>
      <c r="W329" s="12"/>
      <c r="X329" s="12"/>
      <c r="Y329" s="12"/>
      <c r="Z329" s="12"/>
    </row>
    <row r="330" customFormat="false" ht="15.75" hidden="false" customHeight="false" outlineLevel="0" collapsed="false">
      <c r="A330" s="12"/>
      <c r="B330" s="34"/>
      <c r="C330" s="12"/>
      <c r="D330" s="12"/>
      <c r="E330" s="12"/>
      <c r="F330" s="12"/>
      <c r="G330" s="18"/>
      <c r="H330" s="35"/>
      <c r="I330" s="35"/>
      <c r="J330" s="12"/>
      <c r="O330" s="12"/>
      <c r="P330" s="18"/>
      <c r="Q330" s="12"/>
      <c r="R330" s="12"/>
      <c r="S330" s="12"/>
      <c r="T330" s="36"/>
      <c r="U330" s="36"/>
      <c r="V330" s="12"/>
      <c r="W330" s="12"/>
      <c r="X330" s="12"/>
      <c r="Y330" s="12"/>
      <c r="Z330" s="12"/>
    </row>
    <row r="331" customFormat="false" ht="15.75" hidden="false" customHeight="false" outlineLevel="0" collapsed="false">
      <c r="A331" s="12"/>
      <c r="B331" s="34"/>
      <c r="C331" s="12"/>
      <c r="D331" s="12"/>
      <c r="E331" s="12"/>
      <c r="F331" s="12"/>
      <c r="G331" s="18"/>
      <c r="H331" s="35"/>
      <c r="I331" s="35"/>
      <c r="J331" s="12"/>
      <c r="O331" s="12"/>
      <c r="P331" s="18"/>
      <c r="Q331" s="12"/>
      <c r="R331" s="12"/>
      <c r="S331" s="12"/>
      <c r="T331" s="36"/>
      <c r="U331" s="36"/>
      <c r="V331" s="12"/>
      <c r="W331" s="12"/>
      <c r="X331" s="12"/>
      <c r="Y331" s="12"/>
      <c r="Z331" s="12"/>
    </row>
    <row r="332" customFormat="false" ht="15.75" hidden="false" customHeight="false" outlineLevel="0" collapsed="false">
      <c r="A332" s="12"/>
      <c r="B332" s="34"/>
      <c r="C332" s="12"/>
      <c r="D332" s="12"/>
      <c r="E332" s="12"/>
      <c r="F332" s="12"/>
      <c r="G332" s="18"/>
      <c r="H332" s="35"/>
      <c r="I332" s="35"/>
      <c r="J332" s="12"/>
      <c r="O332" s="12"/>
      <c r="P332" s="18"/>
      <c r="Q332" s="12"/>
      <c r="R332" s="12"/>
      <c r="S332" s="12"/>
      <c r="T332" s="36"/>
      <c r="U332" s="36"/>
      <c r="V332" s="12"/>
      <c r="W332" s="12"/>
      <c r="X332" s="12"/>
      <c r="Y332" s="12"/>
      <c r="Z332" s="12"/>
    </row>
    <row r="333" customFormat="false" ht="15.75" hidden="false" customHeight="false" outlineLevel="0" collapsed="false">
      <c r="A333" s="12"/>
      <c r="B333" s="34"/>
      <c r="C333" s="12"/>
      <c r="D333" s="12"/>
      <c r="E333" s="12"/>
      <c r="F333" s="12"/>
      <c r="G333" s="18"/>
      <c r="H333" s="35"/>
      <c r="I333" s="35"/>
      <c r="J333" s="12"/>
      <c r="O333" s="12"/>
      <c r="P333" s="18"/>
      <c r="Q333" s="12"/>
      <c r="R333" s="12"/>
      <c r="S333" s="12"/>
      <c r="T333" s="36"/>
      <c r="U333" s="36"/>
      <c r="V333" s="12"/>
      <c r="W333" s="12"/>
      <c r="X333" s="12"/>
      <c r="Y333" s="12"/>
      <c r="Z333" s="12"/>
    </row>
    <row r="334" customFormat="false" ht="15.75" hidden="false" customHeight="false" outlineLevel="0" collapsed="false">
      <c r="A334" s="12"/>
      <c r="B334" s="34"/>
      <c r="C334" s="12"/>
      <c r="D334" s="12"/>
      <c r="E334" s="12"/>
      <c r="F334" s="12"/>
      <c r="G334" s="18"/>
      <c r="H334" s="35"/>
      <c r="I334" s="35"/>
      <c r="J334" s="12"/>
      <c r="O334" s="12"/>
      <c r="P334" s="18"/>
      <c r="Q334" s="12"/>
      <c r="R334" s="12"/>
      <c r="S334" s="12"/>
      <c r="T334" s="36"/>
      <c r="U334" s="36"/>
      <c r="V334" s="12"/>
      <c r="W334" s="12"/>
      <c r="X334" s="12"/>
      <c r="Y334" s="12"/>
      <c r="Z334" s="12"/>
    </row>
    <row r="335" customFormat="false" ht="15.75" hidden="false" customHeight="false" outlineLevel="0" collapsed="false">
      <c r="A335" s="12"/>
      <c r="B335" s="34"/>
      <c r="C335" s="12"/>
      <c r="D335" s="12"/>
      <c r="E335" s="12"/>
      <c r="F335" s="12"/>
      <c r="G335" s="18"/>
      <c r="H335" s="35"/>
      <c r="I335" s="35"/>
      <c r="J335" s="12"/>
      <c r="O335" s="12"/>
      <c r="P335" s="18"/>
      <c r="Q335" s="12"/>
      <c r="R335" s="12"/>
      <c r="S335" s="12"/>
      <c r="T335" s="36"/>
      <c r="U335" s="36"/>
      <c r="V335" s="12"/>
      <c r="W335" s="12"/>
      <c r="X335" s="12"/>
      <c r="Y335" s="12"/>
      <c r="Z335" s="12"/>
    </row>
    <row r="336" customFormat="false" ht="15.75" hidden="false" customHeight="false" outlineLevel="0" collapsed="false">
      <c r="A336" s="12"/>
      <c r="B336" s="34"/>
      <c r="C336" s="12"/>
      <c r="D336" s="12"/>
      <c r="E336" s="12"/>
      <c r="F336" s="12"/>
      <c r="G336" s="18"/>
      <c r="H336" s="35"/>
      <c r="I336" s="35"/>
      <c r="J336" s="12"/>
      <c r="O336" s="12"/>
      <c r="P336" s="18"/>
      <c r="Q336" s="12"/>
      <c r="R336" s="12"/>
      <c r="S336" s="12"/>
      <c r="T336" s="36"/>
      <c r="U336" s="36"/>
      <c r="V336" s="12"/>
      <c r="W336" s="12"/>
      <c r="X336" s="12"/>
      <c r="Y336" s="12"/>
      <c r="Z336" s="12"/>
    </row>
    <row r="337" customFormat="false" ht="15.75" hidden="false" customHeight="false" outlineLevel="0" collapsed="false">
      <c r="A337" s="12"/>
      <c r="B337" s="34"/>
      <c r="C337" s="12"/>
      <c r="D337" s="12"/>
      <c r="E337" s="12"/>
      <c r="F337" s="12"/>
      <c r="G337" s="18"/>
      <c r="H337" s="35"/>
      <c r="I337" s="35"/>
      <c r="J337" s="12"/>
      <c r="O337" s="12"/>
      <c r="P337" s="18"/>
      <c r="Q337" s="12"/>
      <c r="R337" s="12"/>
      <c r="S337" s="12"/>
      <c r="T337" s="36"/>
      <c r="U337" s="36"/>
      <c r="V337" s="12"/>
      <c r="W337" s="12"/>
      <c r="X337" s="12"/>
      <c r="Y337" s="12"/>
      <c r="Z337" s="12"/>
    </row>
    <row r="338" customFormat="false" ht="15.75" hidden="false" customHeight="false" outlineLevel="0" collapsed="false">
      <c r="A338" s="12"/>
      <c r="B338" s="34"/>
      <c r="C338" s="12"/>
      <c r="D338" s="12"/>
      <c r="E338" s="12"/>
      <c r="F338" s="12"/>
      <c r="G338" s="18"/>
      <c r="H338" s="35"/>
      <c r="I338" s="35"/>
      <c r="J338" s="12"/>
      <c r="O338" s="12"/>
      <c r="P338" s="18"/>
      <c r="Q338" s="12"/>
      <c r="R338" s="12"/>
      <c r="S338" s="12"/>
      <c r="T338" s="36"/>
      <c r="U338" s="36"/>
      <c r="V338" s="12"/>
      <c r="W338" s="12"/>
      <c r="X338" s="12"/>
      <c r="Y338" s="12"/>
      <c r="Z338" s="12"/>
    </row>
    <row r="339" customFormat="false" ht="15.75" hidden="false" customHeight="false" outlineLevel="0" collapsed="false">
      <c r="A339" s="12"/>
      <c r="B339" s="34"/>
      <c r="C339" s="12"/>
      <c r="D339" s="12"/>
      <c r="E339" s="12"/>
      <c r="F339" s="12"/>
      <c r="G339" s="18"/>
      <c r="H339" s="35"/>
      <c r="I339" s="35"/>
      <c r="J339" s="12"/>
      <c r="O339" s="12"/>
      <c r="P339" s="18"/>
      <c r="Q339" s="12"/>
      <c r="R339" s="12"/>
      <c r="S339" s="12"/>
      <c r="T339" s="36"/>
      <c r="U339" s="36"/>
      <c r="V339" s="12"/>
      <c r="W339" s="12"/>
      <c r="X339" s="12"/>
      <c r="Y339" s="12"/>
      <c r="Z339" s="12"/>
    </row>
    <row r="340" customFormat="false" ht="15.75" hidden="false" customHeight="false" outlineLevel="0" collapsed="false">
      <c r="A340" s="12"/>
      <c r="B340" s="34"/>
      <c r="C340" s="12"/>
      <c r="D340" s="12"/>
      <c r="E340" s="12"/>
      <c r="F340" s="12"/>
      <c r="G340" s="18"/>
      <c r="H340" s="35"/>
      <c r="I340" s="35"/>
      <c r="J340" s="12"/>
      <c r="O340" s="12"/>
      <c r="P340" s="18"/>
      <c r="Q340" s="12"/>
      <c r="R340" s="12"/>
      <c r="S340" s="12"/>
      <c r="T340" s="36"/>
      <c r="U340" s="36"/>
      <c r="V340" s="12"/>
      <c r="W340" s="12"/>
      <c r="X340" s="12"/>
      <c r="Y340" s="12"/>
      <c r="Z340" s="12"/>
    </row>
    <row r="341" customFormat="false" ht="15.75" hidden="false" customHeight="false" outlineLevel="0" collapsed="false">
      <c r="A341" s="12"/>
      <c r="B341" s="34"/>
      <c r="C341" s="12"/>
      <c r="D341" s="12"/>
      <c r="E341" s="12"/>
      <c r="F341" s="12"/>
      <c r="G341" s="18"/>
      <c r="H341" s="35"/>
      <c r="I341" s="35"/>
      <c r="J341" s="12"/>
      <c r="O341" s="12"/>
      <c r="P341" s="18"/>
      <c r="Q341" s="12"/>
      <c r="R341" s="12"/>
      <c r="S341" s="12"/>
      <c r="T341" s="36"/>
      <c r="U341" s="36"/>
      <c r="V341" s="12"/>
      <c r="W341" s="12"/>
      <c r="X341" s="12"/>
      <c r="Y341" s="12"/>
      <c r="Z341" s="12"/>
    </row>
    <row r="342" customFormat="false" ht="15.75" hidden="false" customHeight="false" outlineLevel="0" collapsed="false">
      <c r="A342" s="12"/>
      <c r="B342" s="34"/>
      <c r="C342" s="12"/>
      <c r="D342" s="12"/>
      <c r="E342" s="12"/>
      <c r="F342" s="12"/>
      <c r="G342" s="18"/>
      <c r="H342" s="35"/>
      <c r="I342" s="35"/>
      <c r="J342" s="12"/>
      <c r="O342" s="12"/>
      <c r="P342" s="18"/>
      <c r="Q342" s="12"/>
      <c r="R342" s="12"/>
      <c r="S342" s="12"/>
      <c r="T342" s="36"/>
      <c r="U342" s="36"/>
      <c r="V342" s="12"/>
      <c r="W342" s="12"/>
      <c r="X342" s="12"/>
      <c r="Y342" s="12"/>
      <c r="Z342" s="12"/>
    </row>
    <row r="343" customFormat="false" ht="15.75" hidden="false" customHeight="false" outlineLevel="0" collapsed="false">
      <c r="A343" s="12"/>
      <c r="B343" s="34"/>
      <c r="C343" s="12"/>
      <c r="D343" s="12"/>
      <c r="E343" s="12"/>
      <c r="F343" s="12"/>
      <c r="G343" s="18"/>
      <c r="H343" s="35"/>
      <c r="I343" s="35"/>
      <c r="J343" s="12"/>
      <c r="O343" s="12"/>
      <c r="P343" s="18"/>
      <c r="Q343" s="12"/>
      <c r="R343" s="12"/>
      <c r="S343" s="12"/>
      <c r="T343" s="36"/>
      <c r="U343" s="36"/>
      <c r="V343" s="12"/>
      <c r="W343" s="12"/>
      <c r="X343" s="12"/>
      <c r="Y343" s="12"/>
      <c r="Z343" s="12"/>
    </row>
    <row r="344" customFormat="false" ht="15.75" hidden="false" customHeight="false" outlineLevel="0" collapsed="false">
      <c r="A344" s="12"/>
      <c r="B344" s="34"/>
      <c r="C344" s="12"/>
      <c r="D344" s="12"/>
      <c r="E344" s="12"/>
      <c r="F344" s="12"/>
      <c r="G344" s="18"/>
      <c r="H344" s="35"/>
      <c r="I344" s="35"/>
      <c r="J344" s="12"/>
      <c r="O344" s="12"/>
      <c r="P344" s="18"/>
      <c r="Q344" s="12"/>
      <c r="R344" s="12"/>
      <c r="S344" s="12"/>
      <c r="T344" s="36"/>
      <c r="U344" s="36"/>
      <c r="V344" s="12"/>
      <c r="W344" s="12"/>
      <c r="X344" s="12"/>
      <c r="Y344" s="12"/>
      <c r="Z344" s="12"/>
    </row>
    <row r="345" customFormat="false" ht="15.75" hidden="false" customHeight="false" outlineLevel="0" collapsed="false">
      <c r="A345" s="12"/>
      <c r="B345" s="34"/>
      <c r="C345" s="12"/>
      <c r="D345" s="12"/>
      <c r="E345" s="12"/>
      <c r="F345" s="12"/>
      <c r="G345" s="18"/>
      <c r="H345" s="35"/>
      <c r="I345" s="35"/>
      <c r="J345" s="12"/>
      <c r="O345" s="12"/>
      <c r="P345" s="18"/>
      <c r="Q345" s="12"/>
      <c r="R345" s="12"/>
      <c r="S345" s="12"/>
      <c r="T345" s="36"/>
      <c r="U345" s="36"/>
      <c r="V345" s="12"/>
      <c r="W345" s="12"/>
      <c r="X345" s="12"/>
      <c r="Y345" s="12"/>
      <c r="Z345" s="12"/>
    </row>
    <row r="346" customFormat="false" ht="15.75" hidden="false" customHeight="false" outlineLevel="0" collapsed="false">
      <c r="A346" s="12"/>
      <c r="B346" s="34"/>
      <c r="C346" s="12"/>
      <c r="D346" s="12"/>
      <c r="E346" s="12"/>
      <c r="F346" s="12"/>
      <c r="G346" s="18"/>
      <c r="H346" s="35"/>
      <c r="I346" s="35"/>
      <c r="J346" s="12"/>
      <c r="O346" s="12"/>
      <c r="P346" s="18"/>
      <c r="Q346" s="12"/>
      <c r="R346" s="12"/>
      <c r="S346" s="12"/>
      <c r="T346" s="36"/>
      <c r="U346" s="36"/>
      <c r="V346" s="12"/>
      <c r="W346" s="12"/>
      <c r="X346" s="12"/>
      <c r="Y346" s="12"/>
      <c r="Z346" s="12"/>
    </row>
    <row r="347" customFormat="false" ht="15.75" hidden="false" customHeight="false" outlineLevel="0" collapsed="false">
      <c r="A347" s="12"/>
      <c r="B347" s="34"/>
      <c r="C347" s="12"/>
      <c r="D347" s="12"/>
      <c r="E347" s="12"/>
      <c r="F347" s="12"/>
      <c r="G347" s="18"/>
      <c r="H347" s="35"/>
      <c r="I347" s="35"/>
      <c r="J347" s="12"/>
      <c r="O347" s="12"/>
      <c r="P347" s="18"/>
      <c r="Q347" s="12"/>
      <c r="R347" s="12"/>
      <c r="S347" s="12"/>
      <c r="T347" s="36"/>
      <c r="U347" s="36"/>
      <c r="V347" s="12"/>
      <c r="W347" s="12"/>
      <c r="X347" s="12"/>
      <c r="Y347" s="12"/>
      <c r="Z347" s="12"/>
    </row>
    <row r="348" customFormat="false" ht="15.75" hidden="false" customHeight="false" outlineLevel="0" collapsed="false">
      <c r="A348" s="12"/>
      <c r="B348" s="34"/>
      <c r="C348" s="12"/>
      <c r="D348" s="12"/>
      <c r="E348" s="12"/>
      <c r="F348" s="12"/>
      <c r="G348" s="18"/>
      <c r="H348" s="35"/>
      <c r="I348" s="35"/>
      <c r="J348" s="12"/>
      <c r="O348" s="12"/>
      <c r="P348" s="18"/>
      <c r="Q348" s="12"/>
      <c r="R348" s="12"/>
      <c r="S348" s="12"/>
      <c r="T348" s="36"/>
      <c r="U348" s="36"/>
      <c r="V348" s="12"/>
      <c r="W348" s="12"/>
      <c r="X348" s="12"/>
      <c r="Y348" s="12"/>
      <c r="Z348" s="12"/>
    </row>
    <row r="349" customFormat="false" ht="15.75" hidden="false" customHeight="false" outlineLevel="0" collapsed="false">
      <c r="A349" s="12"/>
      <c r="B349" s="34"/>
      <c r="C349" s="12"/>
      <c r="D349" s="12"/>
      <c r="E349" s="12"/>
      <c r="F349" s="12"/>
      <c r="G349" s="18"/>
      <c r="H349" s="35"/>
      <c r="I349" s="35"/>
      <c r="J349" s="12"/>
      <c r="O349" s="12"/>
      <c r="P349" s="18"/>
      <c r="Q349" s="12"/>
      <c r="R349" s="12"/>
      <c r="S349" s="12"/>
      <c r="T349" s="36"/>
      <c r="U349" s="36"/>
      <c r="V349" s="12"/>
      <c r="W349" s="12"/>
      <c r="X349" s="12"/>
      <c r="Y349" s="12"/>
      <c r="Z349" s="12"/>
    </row>
    <row r="350" customFormat="false" ht="15.75" hidden="false" customHeight="false" outlineLevel="0" collapsed="false">
      <c r="A350" s="12"/>
      <c r="B350" s="34"/>
      <c r="C350" s="12"/>
      <c r="D350" s="12"/>
      <c r="E350" s="12"/>
      <c r="F350" s="12"/>
      <c r="G350" s="18"/>
      <c r="H350" s="35"/>
      <c r="I350" s="35"/>
      <c r="J350" s="12"/>
      <c r="O350" s="12"/>
      <c r="P350" s="18"/>
      <c r="Q350" s="12"/>
      <c r="R350" s="12"/>
      <c r="S350" s="12"/>
      <c r="T350" s="36"/>
      <c r="U350" s="36"/>
      <c r="V350" s="12"/>
      <c r="W350" s="12"/>
      <c r="X350" s="12"/>
      <c r="Y350" s="12"/>
      <c r="Z350" s="12"/>
    </row>
    <row r="351" customFormat="false" ht="15.75" hidden="false" customHeight="false" outlineLevel="0" collapsed="false">
      <c r="A351" s="12"/>
      <c r="B351" s="34"/>
      <c r="C351" s="12"/>
      <c r="D351" s="12"/>
      <c r="E351" s="12"/>
      <c r="F351" s="12"/>
      <c r="G351" s="18"/>
      <c r="H351" s="35"/>
      <c r="I351" s="35"/>
      <c r="J351" s="12"/>
      <c r="O351" s="12"/>
      <c r="P351" s="18"/>
      <c r="Q351" s="12"/>
      <c r="R351" s="12"/>
      <c r="S351" s="12"/>
      <c r="T351" s="36"/>
      <c r="U351" s="36"/>
      <c r="V351" s="12"/>
      <c r="W351" s="12"/>
      <c r="X351" s="12"/>
      <c r="Y351" s="12"/>
      <c r="Z351" s="12"/>
    </row>
    <row r="352" customFormat="false" ht="15.75" hidden="false" customHeight="false" outlineLevel="0" collapsed="false">
      <c r="A352" s="12"/>
      <c r="B352" s="34"/>
      <c r="C352" s="12"/>
      <c r="D352" s="12"/>
      <c r="E352" s="12"/>
      <c r="F352" s="12"/>
      <c r="G352" s="18"/>
      <c r="H352" s="35"/>
      <c r="I352" s="35"/>
      <c r="J352" s="12"/>
      <c r="O352" s="12"/>
      <c r="P352" s="18"/>
      <c r="Q352" s="12"/>
      <c r="R352" s="12"/>
      <c r="S352" s="12"/>
      <c r="T352" s="36"/>
      <c r="U352" s="36"/>
      <c r="V352" s="12"/>
      <c r="W352" s="12"/>
      <c r="X352" s="12"/>
      <c r="Y352" s="12"/>
      <c r="Z352" s="12"/>
    </row>
    <row r="353" customFormat="false" ht="15.75" hidden="false" customHeight="false" outlineLevel="0" collapsed="false">
      <c r="A353" s="12"/>
      <c r="B353" s="34"/>
      <c r="C353" s="12"/>
      <c r="D353" s="12"/>
      <c r="E353" s="12"/>
      <c r="F353" s="12"/>
      <c r="G353" s="18"/>
      <c r="H353" s="35"/>
      <c r="I353" s="35"/>
      <c r="J353" s="12"/>
      <c r="O353" s="12"/>
      <c r="P353" s="18"/>
      <c r="Q353" s="12"/>
      <c r="R353" s="12"/>
      <c r="S353" s="12"/>
      <c r="T353" s="36"/>
      <c r="U353" s="36"/>
      <c r="V353" s="12"/>
      <c r="W353" s="12"/>
      <c r="X353" s="12"/>
      <c r="Y353" s="12"/>
      <c r="Z353" s="12"/>
    </row>
    <row r="354" customFormat="false" ht="15.75" hidden="false" customHeight="false" outlineLevel="0" collapsed="false">
      <c r="A354" s="12"/>
      <c r="B354" s="34"/>
      <c r="C354" s="12"/>
      <c r="D354" s="12"/>
      <c r="E354" s="12"/>
      <c r="F354" s="12"/>
      <c r="G354" s="18"/>
      <c r="H354" s="35"/>
      <c r="I354" s="35"/>
      <c r="J354" s="12"/>
      <c r="O354" s="12"/>
      <c r="P354" s="18"/>
      <c r="Q354" s="12"/>
      <c r="R354" s="12"/>
      <c r="S354" s="12"/>
      <c r="T354" s="36"/>
      <c r="U354" s="36"/>
      <c r="V354" s="12"/>
      <c r="W354" s="12"/>
      <c r="X354" s="12"/>
      <c r="Y354" s="12"/>
      <c r="Z354" s="12"/>
    </row>
    <row r="355" customFormat="false" ht="15.75" hidden="false" customHeight="false" outlineLevel="0" collapsed="false">
      <c r="A355" s="12"/>
      <c r="B355" s="34"/>
      <c r="C355" s="12"/>
      <c r="D355" s="12"/>
      <c r="E355" s="12"/>
      <c r="F355" s="12"/>
      <c r="G355" s="18"/>
      <c r="H355" s="35"/>
      <c r="I355" s="35"/>
      <c r="J355" s="12"/>
      <c r="O355" s="12"/>
      <c r="P355" s="18"/>
      <c r="Q355" s="12"/>
      <c r="R355" s="12"/>
      <c r="S355" s="12"/>
      <c r="T355" s="36"/>
      <c r="U355" s="36"/>
      <c r="V355" s="12"/>
      <c r="W355" s="12"/>
      <c r="X355" s="12"/>
      <c r="Y355" s="12"/>
      <c r="Z355" s="12"/>
    </row>
    <row r="356" customFormat="false" ht="15.75" hidden="false" customHeight="false" outlineLevel="0" collapsed="false">
      <c r="A356" s="12"/>
      <c r="B356" s="34"/>
      <c r="C356" s="12"/>
      <c r="D356" s="12"/>
      <c r="E356" s="12"/>
      <c r="F356" s="12"/>
      <c r="G356" s="18"/>
      <c r="H356" s="35"/>
      <c r="I356" s="35"/>
      <c r="J356" s="12"/>
      <c r="O356" s="12"/>
      <c r="P356" s="18"/>
      <c r="Q356" s="12"/>
      <c r="R356" s="12"/>
      <c r="S356" s="12"/>
      <c r="T356" s="36"/>
      <c r="U356" s="36"/>
      <c r="V356" s="12"/>
      <c r="W356" s="12"/>
      <c r="X356" s="12"/>
      <c r="Y356" s="12"/>
      <c r="Z356" s="12"/>
    </row>
    <row r="357" customFormat="false" ht="15.75" hidden="false" customHeight="false" outlineLevel="0" collapsed="false">
      <c r="A357" s="12"/>
      <c r="B357" s="34"/>
      <c r="C357" s="12"/>
      <c r="D357" s="12"/>
      <c r="E357" s="12"/>
      <c r="F357" s="12"/>
      <c r="G357" s="18"/>
      <c r="H357" s="35"/>
      <c r="I357" s="35"/>
      <c r="J357" s="12"/>
      <c r="O357" s="12"/>
      <c r="P357" s="18"/>
      <c r="Q357" s="12"/>
      <c r="R357" s="12"/>
      <c r="S357" s="12"/>
      <c r="T357" s="36"/>
      <c r="U357" s="36"/>
      <c r="V357" s="12"/>
      <c r="W357" s="12"/>
      <c r="X357" s="12"/>
      <c r="Y357" s="12"/>
      <c r="Z357" s="12"/>
    </row>
    <row r="358" customFormat="false" ht="15.75" hidden="false" customHeight="false" outlineLevel="0" collapsed="false">
      <c r="A358" s="12"/>
      <c r="B358" s="34"/>
      <c r="C358" s="12"/>
      <c r="D358" s="12"/>
      <c r="E358" s="12"/>
      <c r="F358" s="12"/>
      <c r="G358" s="18"/>
      <c r="H358" s="35"/>
      <c r="I358" s="35"/>
      <c r="J358" s="12"/>
      <c r="O358" s="12"/>
      <c r="P358" s="18"/>
      <c r="Q358" s="12"/>
      <c r="R358" s="12"/>
      <c r="S358" s="12"/>
      <c r="T358" s="36"/>
      <c r="U358" s="36"/>
      <c r="V358" s="12"/>
      <c r="W358" s="12"/>
      <c r="X358" s="12"/>
      <c r="Y358" s="12"/>
      <c r="Z358" s="12"/>
    </row>
    <row r="359" customFormat="false" ht="15.75" hidden="false" customHeight="false" outlineLevel="0" collapsed="false">
      <c r="A359" s="12"/>
      <c r="B359" s="34"/>
      <c r="C359" s="12"/>
      <c r="D359" s="12"/>
      <c r="E359" s="12"/>
      <c r="F359" s="12"/>
      <c r="G359" s="18"/>
      <c r="H359" s="35"/>
      <c r="I359" s="35"/>
      <c r="J359" s="12"/>
      <c r="O359" s="12"/>
      <c r="P359" s="18"/>
      <c r="Q359" s="12"/>
      <c r="R359" s="12"/>
      <c r="S359" s="12"/>
      <c r="T359" s="36"/>
      <c r="U359" s="36"/>
      <c r="V359" s="12"/>
      <c r="W359" s="12"/>
      <c r="X359" s="12"/>
      <c r="Y359" s="12"/>
      <c r="Z359" s="12"/>
    </row>
    <row r="360" customFormat="false" ht="15.75" hidden="false" customHeight="false" outlineLevel="0" collapsed="false">
      <c r="A360" s="12"/>
      <c r="B360" s="34"/>
      <c r="C360" s="12"/>
      <c r="D360" s="12"/>
      <c r="E360" s="12"/>
      <c r="F360" s="12"/>
      <c r="G360" s="18"/>
      <c r="H360" s="35"/>
      <c r="I360" s="35"/>
      <c r="J360" s="12"/>
      <c r="O360" s="12"/>
      <c r="P360" s="18"/>
      <c r="Q360" s="12"/>
      <c r="R360" s="12"/>
      <c r="S360" s="12"/>
      <c r="T360" s="36"/>
      <c r="U360" s="36"/>
      <c r="V360" s="12"/>
      <c r="W360" s="12"/>
      <c r="X360" s="12"/>
      <c r="Y360" s="12"/>
      <c r="Z360" s="12"/>
    </row>
    <row r="361" customFormat="false" ht="15.75" hidden="false" customHeight="false" outlineLevel="0" collapsed="false">
      <c r="A361" s="12"/>
      <c r="B361" s="34"/>
      <c r="C361" s="12"/>
      <c r="D361" s="12"/>
      <c r="E361" s="12"/>
      <c r="F361" s="12"/>
      <c r="G361" s="18"/>
      <c r="H361" s="35"/>
      <c r="I361" s="35"/>
      <c r="J361" s="12"/>
      <c r="O361" s="12"/>
      <c r="P361" s="18"/>
      <c r="Q361" s="12"/>
      <c r="R361" s="12"/>
      <c r="S361" s="12"/>
      <c r="T361" s="36"/>
      <c r="U361" s="36"/>
      <c r="V361" s="12"/>
      <c r="W361" s="12"/>
      <c r="X361" s="12"/>
      <c r="Y361" s="12"/>
      <c r="Z361" s="12"/>
    </row>
    <row r="362" customFormat="false" ht="15.75" hidden="false" customHeight="false" outlineLevel="0" collapsed="false">
      <c r="A362" s="12"/>
      <c r="B362" s="34"/>
      <c r="C362" s="12"/>
      <c r="D362" s="12"/>
      <c r="E362" s="12"/>
      <c r="F362" s="12"/>
      <c r="G362" s="18"/>
      <c r="H362" s="35"/>
      <c r="I362" s="35"/>
      <c r="J362" s="12"/>
      <c r="O362" s="12"/>
      <c r="P362" s="18"/>
      <c r="Q362" s="12"/>
      <c r="R362" s="12"/>
      <c r="S362" s="12"/>
      <c r="T362" s="36"/>
      <c r="U362" s="36"/>
      <c r="V362" s="12"/>
      <c r="W362" s="12"/>
      <c r="X362" s="12"/>
      <c r="Y362" s="12"/>
      <c r="Z362" s="12"/>
    </row>
    <row r="363" customFormat="false" ht="15.75" hidden="false" customHeight="false" outlineLevel="0" collapsed="false">
      <c r="A363" s="12"/>
      <c r="B363" s="34"/>
      <c r="C363" s="12"/>
      <c r="D363" s="12"/>
      <c r="E363" s="12"/>
      <c r="F363" s="12"/>
      <c r="G363" s="18"/>
      <c r="H363" s="35"/>
      <c r="I363" s="35"/>
      <c r="J363" s="12"/>
      <c r="O363" s="12"/>
      <c r="P363" s="18"/>
      <c r="Q363" s="12"/>
      <c r="R363" s="12"/>
      <c r="S363" s="12"/>
      <c r="T363" s="36"/>
      <c r="U363" s="36"/>
      <c r="V363" s="12"/>
      <c r="W363" s="12"/>
      <c r="X363" s="12"/>
      <c r="Y363" s="12"/>
      <c r="Z363" s="12"/>
    </row>
    <row r="364" customFormat="false" ht="15.75" hidden="false" customHeight="false" outlineLevel="0" collapsed="false">
      <c r="A364" s="12"/>
      <c r="B364" s="34"/>
      <c r="C364" s="12"/>
      <c r="D364" s="12"/>
      <c r="E364" s="12"/>
      <c r="F364" s="12"/>
      <c r="G364" s="18"/>
      <c r="H364" s="35"/>
      <c r="I364" s="35"/>
      <c r="J364" s="12"/>
      <c r="O364" s="12"/>
      <c r="P364" s="18"/>
      <c r="Q364" s="12"/>
      <c r="R364" s="12"/>
      <c r="S364" s="12"/>
      <c r="T364" s="36"/>
      <c r="U364" s="36"/>
      <c r="V364" s="12"/>
      <c r="W364" s="12"/>
      <c r="X364" s="12"/>
      <c r="Y364" s="12"/>
      <c r="Z364" s="12"/>
    </row>
    <row r="365" customFormat="false" ht="15.75" hidden="false" customHeight="false" outlineLevel="0" collapsed="false">
      <c r="A365" s="12"/>
      <c r="B365" s="34"/>
      <c r="C365" s="12"/>
      <c r="D365" s="12"/>
      <c r="E365" s="12"/>
      <c r="F365" s="12"/>
      <c r="G365" s="18"/>
      <c r="H365" s="35"/>
      <c r="I365" s="35"/>
      <c r="J365" s="12"/>
      <c r="O365" s="12"/>
      <c r="P365" s="18"/>
      <c r="Q365" s="12"/>
      <c r="R365" s="12"/>
      <c r="S365" s="12"/>
      <c r="T365" s="36"/>
      <c r="U365" s="36"/>
      <c r="V365" s="12"/>
      <c r="W365" s="12"/>
      <c r="X365" s="12"/>
      <c r="Y365" s="12"/>
      <c r="Z365" s="12"/>
    </row>
    <row r="366" customFormat="false" ht="15.75" hidden="false" customHeight="false" outlineLevel="0" collapsed="false">
      <c r="A366" s="12"/>
      <c r="B366" s="34"/>
      <c r="C366" s="12"/>
      <c r="D366" s="12"/>
      <c r="E366" s="12"/>
      <c r="F366" s="12"/>
      <c r="G366" s="18"/>
      <c r="H366" s="35"/>
      <c r="I366" s="35"/>
      <c r="J366" s="12"/>
      <c r="O366" s="12"/>
      <c r="P366" s="18"/>
      <c r="Q366" s="12"/>
      <c r="R366" s="12"/>
      <c r="S366" s="12"/>
      <c r="T366" s="36"/>
      <c r="U366" s="36"/>
      <c r="V366" s="12"/>
      <c r="W366" s="12"/>
      <c r="X366" s="12"/>
      <c r="Y366" s="12"/>
      <c r="Z366" s="12"/>
    </row>
    <row r="367" customFormat="false" ht="15.75" hidden="false" customHeight="false" outlineLevel="0" collapsed="false">
      <c r="A367" s="12"/>
      <c r="B367" s="34"/>
      <c r="C367" s="12"/>
      <c r="D367" s="12"/>
      <c r="E367" s="12"/>
      <c r="F367" s="12"/>
      <c r="G367" s="18"/>
      <c r="H367" s="35"/>
      <c r="I367" s="35"/>
      <c r="J367" s="12"/>
      <c r="O367" s="12"/>
      <c r="P367" s="18"/>
      <c r="Q367" s="12"/>
      <c r="R367" s="12"/>
      <c r="S367" s="12"/>
      <c r="T367" s="36"/>
      <c r="U367" s="36"/>
      <c r="V367" s="12"/>
      <c r="W367" s="12"/>
      <c r="X367" s="12"/>
      <c r="Y367" s="12"/>
      <c r="Z367" s="12"/>
    </row>
    <row r="368" customFormat="false" ht="15.75" hidden="false" customHeight="false" outlineLevel="0" collapsed="false">
      <c r="A368" s="12"/>
      <c r="B368" s="34"/>
      <c r="C368" s="12"/>
      <c r="D368" s="12"/>
      <c r="E368" s="12"/>
      <c r="F368" s="12"/>
      <c r="G368" s="18"/>
      <c r="H368" s="35"/>
      <c r="I368" s="35"/>
      <c r="J368" s="12"/>
      <c r="O368" s="12"/>
      <c r="P368" s="18"/>
      <c r="Q368" s="12"/>
      <c r="R368" s="12"/>
      <c r="S368" s="12"/>
      <c r="T368" s="36"/>
      <c r="U368" s="36"/>
      <c r="V368" s="12"/>
      <c r="W368" s="12"/>
      <c r="X368" s="12"/>
      <c r="Y368" s="12"/>
      <c r="Z368" s="12"/>
    </row>
    <row r="369" customFormat="false" ht="15.75" hidden="false" customHeight="false" outlineLevel="0" collapsed="false">
      <c r="A369" s="12"/>
      <c r="B369" s="34"/>
      <c r="C369" s="12"/>
      <c r="D369" s="12"/>
      <c r="E369" s="12"/>
      <c r="F369" s="12"/>
      <c r="G369" s="18"/>
      <c r="H369" s="35"/>
      <c r="I369" s="35"/>
      <c r="J369" s="12"/>
      <c r="O369" s="12"/>
      <c r="P369" s="18"/>
      <c r="Q369" s="12"/>
      <c r="R369" s="12"/>
      <c r="S369" s="12"/>
      <c r="T369" s="36"/>
      <c r="U369" s="36"/>
      <c r="V369" s="12"/>
      <c r="W369" s="12"/>
      <c r="X369" s="12"/>
      <c r="Y369" s="12"/>
      <c r="Z369" s="12"/>
    </row>
    <row r="370" customFormat="false" ht="15.75" hidden="false" customHeight="false" outlineLevel="0" collapsed="false">
      <c r="A370" s="12"/>
      <c r="B370" s="34"/>
      <c r="C370" s="12"/>
      <c r="D370" s="12"/>
      <c r="E370" s="12"/>
      <c r="F370" s="12"/>
      <c r="G370" s="18"/>
      <c r="H370" s="35"/>
      <c r="I370" s="35"/>
      <c r="J370" s="12"/>
      <c r="O370" s="12"/>
      <c r="P370" s="18"/>
      <c r="Q370" s="12"/>
      <c r="R370" s="12"/>
      <c r="S370" s="12"/>
      <c r="T370" s="36"/>
      <c r="U370" s="36"/>
      <c r="V370" s="12"/>
      <c r="W370" s="12"/>
      <c r="X370" s="12"/>
      <c r="Y370" s="12"/>
      <c r="Z370" s="12"/>
    </row>
    <row r="371" customFormat="false" ht="15.75" hidden="false" customHeight="false" outlineLevel="0" collapsed="false">
      <c r="A371" s="12"/>
      <c r="B371" s="34"/>
      <c r="C371" s="12"/>
      <c r="D371" s="12"/>
      <c r="E371" s="12"/>
      <c r="F371" s="12"/>
      <c r="G371" s="18"/>
      <c r="H371" s="35"/>
      <c r="I371" s="35"/>
      <c r="J371" s="12"/>
      <c r="O371" s="12"/>
      <c r="P371" s="18"/>
      <c r="Q371" s="12"/>
      <c r="R371" s="12"/>
      <c r="S371" s="12"/>
      <c r="T371" s="36"/>
      <c r="U371" s="36"/>
      <c r="V371" s="12"/>
      <c r="W371" s="12"/>
      <c r="X371" s="12"/>
      <c r="Y371" s="12"/>
      <c r="Z371" s="12"/>
    </row>
    <row r="372" customFormat="false" ht="15.75" hidden="false" customHeight="false" outlineLevel="0" collapsed="false">
      <c r="A372" s="12"/>
      <c r="B372" s="34"/>
      <c r="C372" s="12"/>
      <c r="D372" s="12"/>
      <c r="E372" s="12"/>
      <c r="F372" s="12"/>
      <c r="G372" s="18"/>
      <c r="H372" s="35"/>
      <c r="I372" s="35"/>
      <c r="J372" s="12"/>
      <c r="O372" s="12"/>
      <c r="P372" s="18"/>
      <c r="Q372" s="12"/>
      <c r="R372" s="12"/>
      <c r="S372" s="12"/>
      <c r="T372" s="36"/>
      <c r="U372" s="36"/>
      <c r="V372" s="12"/>
      <c r="W372" s="12"/>
      <c r="X372" s="12"/>
      <c r="Y372" s="12"/>
      <c r="Z372" s="12"/>
    </row>
    <row r="373" customFormat="false" ht="15.75" hidden="false" customHeight="false" outlineLevel="0" collapsed="false">
      <c r="A373" s="12"/>
      <c r="B373" s="34"/>
      <c r="C373" s="12"/>
      <c r="D373" s="12"/>
      <c r="E373" s="12"/>
      <c r="F373" s="12"/>
      <c r="G373" s="18"/>
      <c r="H373" s="35"/>
      <c r="I373" s="35"/>
      <c r="J373" s="12"/>
      <c r="O373" s="12"/>
      <c r="P373" s="18"/>
      <c r="Q373" s="12"/>
      <c r="R373" s="12"/>
      <c r="S373" s="12"/>
      <c r="T373" s="36"/>
      <c r="U373" s="36"/>
      <c r="V373" s="12"/>
      <c r="W373" s="12"/>
      <c r="X373" s="12"/>
      <c r="Y373" s="12"/>
      <c r="Z373" s="12"/>
    </row>
    <row r="374" customFormat="false" ht="15.75" hidden="false" customHeight="false" outlineLevel="0" collapsed="false">
      <c r="A374" s="12"/>
      <c r="B374" s="34"/>
      <c r="C374" s="12"/>
      <c r="D374" s="12"/>
      <c r="E374" s="12"/>
      <c r="F374" s="12"/>
      <c r="G374" s="18"/>
      <c r="H374" s="35"/>
      <c r="I374" s="35"/>
      <c r="J374" s="12"/>
      <c r="O374" s="12"/>
      <c r="P374" s="18"/>
      <c r="Q374" s="12"/>
      <c r="R374" s="12"/>
      <c r="S374" s="12"/>
      <c r="T374" s="36"/>
      <c r="U374" s="36"/>
      <c r="V374" s="12"/>
      <c r="W374" s="12"/>
      <c r="X374" s="12"/>
      <c r="Y374" s="12"/>
      <c r="Z374" s="12"/>
    </row>
    <row r="375" customFormat="false" ht="15.75" hidden="false" customHeight="false" outlineLevel="0" collapsed="false">
      <c r="A375" s="12"/>
      <c r="B375" s="34"/>
      <c r="C375" s="12"/>
      <c r="D375" s="12"/>
      <c r="E375" s="12"/>
      <c r="F375" s="12"/>
      <c r="G375" s="18"/>
      <c r="H375" s="35"/>
      <c r="I375" s="35"/>
      <c r="J375" s="12"/>
      <c r="O375" s="12"/>
      <c r="P375" s="18"/>
      <c r="Q375" s="12"/>
      <c r="R375" s="12"/>
      <c r="S375" s="12"/>
      <c r="T375" s="36"/>
      <c r="U375" s="36"/>
      <c r="V375" s="12"/>
      <c r="W375" s="12"/>
      <c r="X375" s="12"/>
      <c r="Y375" s="12"/>
      <c r="Z375" s="12"/>
    </row>
    <row r="376" customFormat="false" ht="15.75" hidden="false" customHeight="false" outlineLevel="0" collapsed="false">
      <c r="A376" s="12"/>
      <c r="B376" s="34"/>
      <c r="C376" s="12"/>
      <c r="D376" s="12"/>
      <c r="E376" s="12"/>
      <c r="F376" s="12"/>
      <c r="G376" s="18"/>
      <c r="H376" s="35"/>
      <c r="I376" s="35"/>
      <c r="J376" s="12"/>
      <c r="O376" s="12"/>
      <c r="P376" s="18"/>
      <c r="Q376" s="12"/>
      <c r="R376" s="12"/>
      <c r="S376" s="12"/>
      <c r="T376" s="36"/>
      <c r="U376" s="36"/>
      <c r="V376" s="12"/>
      <c r="W376" s="12"/>
      <c r="X376" s="12"/>
      <c r="Y376" s="12"/>
      <c r="Z376" s="12"/>
    </row>
    <row r="377" customFormat="false" ht="15.75" hidden="false" customHeight="false" outlineLevel="0" collapsed="false">
      <c r="A377" s="12"/>
      <c r="B377" s="34"/>
      <c r="C377" s="12"/>
      <c r="D377" s="12"/>
      <c r="E377" s="12"/>
      <c r="F377" s="12"/>
      <c r="G377" s="18"/>
      <c r="H377" s="35"/>
      <c r="I377" s="35"/>
      <c r="J377" s="12"/>
      <c r="O377" s="12"/>
      <c r="P377" s="18"/>
      <c r="Q377" s="12"/>
      <c r="R377" s="12"/>
      <c r="S377" s="12"/>
      <c r="T377" s="36"/>
      <c r="U377" s="36"/>
      <c r="V377" s="12"/>
      <c r="W377" s="12"/>
      <c r="X377" s="12"/>
      <c r="Y377" s="12"/>
      <c r="Z377" s="12"/>
    </row>
    <row r="378" customFormat="false" ht="15.75" hidden="false" customHeight="false" outlineLevel="0" collapsed="false">
      <c r="A378" s="12"/>
      <c r="B378" s="34"/>
      <c r="C378" s="12"/>
      <c r="D378" s="12"/>
      <c r="E378" s="12"/>
      <c r="F378" s="12"/>
      <c r="G378" s="18"/>
      <c r="H378" s="35"/>
      <c r="I378" s="35"/>
      <c r="J378" s="12"/>
      <c r="O378" s="12"/>
      <c r="P378" s="18"/>
      <c r="Q378" s="12"/>
      <c r="R378" s="12"/>
      <c r="S378" s="12"/>
      <c r="T378" s="36"/>
      <c r="U378" s="36"/>
      <c r="V378" s="12"/>
      <c r="W378" s="12"/>
      <c r="X378" s="12"/>
      <c r="Y378" s="12"/>
      <c r="Z378" s="12"/>
    </row>
    <row r="379" customFormat="false" ht="15.75" hidden="false" customHeight="false" outlineLevel="0" collapsed="false">
      <c r="A379" s="12"/>
      <c r="B379" s="34"/>
      <c r="C379" s="12"/>
      <c r="D379" s="12"/>
      <c r="E379" s="12"/>
      <c r="F379" s="12"/>
      <c r="G379" s="18"/>
      <c r="H379" s="35"/>
      <c r="I379" s="35"/>
      <c r="J379" s="12"/>
      <c r="O379" s="12"/>
      <c r="P379" s="18"/>
      <c r="Q379" s="12"/>
      <c r="R379" s="12"/>
      <c r="S379" s="12"/>
      <c r="T379" s="36"/>
      <c r="U379" s="36"/>
      <c r="V379" s="12"/>
      <c r="W379" s="12"/>
      <c r="X379" s="12"/>
      <c r="Y379" s="12"/>
      <c r="Z379" s="12"/>
    </row>
    <row r="380" customFormat="false" ht="15.75" hidden="false" customHeight="false" outlineLevel="0" collapsed="false">
      <c r="A380" s="12"/>
      <c r="B380" s="34"/>
      <c r="C380" s="12"/>
      <c r="D380" s="12"/>
      <c r="E380" s="12"/>
      <c r="F380" s="12"/>
      <c r="G380" s="18"/>
      <c r="H380" s="35"/>
      <c r="I380" s="35"/>
      <c r="J380" s="12"/>
      <c r="O380" s="12"/>
      <c r="P380" s="18"/>
      <c r="Q380" s="12"/>
      <c r="R380" s="12"/>
      <c r="S380" s="12"/>
      <c r="T380" s="36"/>
      <c r="U380" s="36"/>
      <c r="V380" s="12"/>
      <c r="W380" s="12"/>
      <c r="X380" s="12"/>
      <c r="Y380" s="12"/>
      <c r="Z380" s="12"/>
    </row>
    <row r="381" customFormat="false" ht="15.75" hidden="false" customHeight="false" outlineLevel="0" collapsed="false">
      <c r="A381" s="12"/>
      <c r="B381" s="34"/>
      <c r="C381" s="12"/>
      <c r="D381" s="12"/>
      <c r="E381" s="12"/>
      <c r="F381" s="12"/>
      <c r="G381" s="18"/>
      <c r="H381" s="35"/>
      <c r="I381" s="35"/>
      <c r="J381" s="12"/>
      <c r="O381" s="12"/>
      <c r="P381" s="18"/>
      <c r="Q381" s="12"/>
      <c r="R381" s="12"/>
      <c r="S381" s="12"/>
      <c r="T381" s="36"/>
      <c r="U381" s="36"/>
      <c r="V381" s="12"/>
      <c r="W381" s="12"/>
      <c r="X381" s="12"/>
      <c r="Y381" s="12"/>
      <c r="Z381" s="12"/>
    </row>
    <row r="382" customFormat="false" ht="15.75" hidden="false" customHeight="false" outlineLevel="0" collapsed="false">
      <c r="A382" s="12"/>
      <c r="B382" s="34"/>
      <c r="C382" s="12"/>
      <c r="D382" s="12"/>
      <c r="E382" s="12"/>
      <c r="F382" s="12"/>
      <c r="G382" s="18"/>
      <c r="H382" s="35"/>
      <c r="I382" s="35"/>
      <c r="J382" s="12"/>
      <c r="O382" s="12"/>
      <c r="P382" s="18"/>
      <c r="Q382" s="12"/>
      <c r="R382" s="12"/>
      <c r="S382" s="12"/>
      <c r="T382" s="36"/>
      <c r="U382" s="36"/>
      <c r="V382" s="12"/>
      <c r="W382" s="12"/>
      <c r="X382" s="12"/>
      <c r="Y382" s="12"/>
      <c r="Z382" s="12"/>
    </row>
    <row r="383" customFormat="false" ht="15.75" hidden="false" customHeight="false" outlineLevel="0" collapsed="false">
      <c r="A383" s="12"/>
      <c r="B383" s="34"/>
      <c r="C383" s="12"/>
      <c r="D383" s="12"/>
      <c r="E383" s="12"/>
      <c r="F383" s="12"/>
      <c r="G383" s="18"/>
      <c r="H383" s="35"/>
      <c r="I383" s="35"/>
      <c r="J383" s="12"/>
      <c r="O383" s="12"/>
      <c r="P383" s="18"/>
      <c r="Q383" s="12"/>
      <c r="R383" s="12"/>
      <c r="S383" s="12"/>
      <c r="T383" s="36"/>
      <c r="U383" s="36"/>
      <c r="V383" s="12"/>
      <c r="W383" s="12"/>
      <c r="X383" s="12"/>
      <c r="Y383" s="12"/>
      <c r="Z383" s="12"/>
    </row>
    <row r="384" customFormat="false" ht="15.75" hidden="false" customHeight="false" outlineLevel="0" collapsed="false">
      <c r="A384" s="12"/>
      <c r="B384" s="34"/>
      <c r="C384" s="12"/>
      <c r="D384" s="12"/>
      <c r="E384" s="12"/>
      <c r="F384" s="12"/>
      <c r="G384" s="18"/>
      <c r="H384" s="35"/>
      <c r="I384" s="35"/>
      <c r="J384" s="12"/>
      <c r="O384" s="12"/>
      <c r="P384" s="18"/>
      <c r="Q384" s="12"/>
      <c r="R384" s="12"/>
      <c r="S384" s="12"/>
      <c r="T384" s="36"/>
      <c r="U384" s="36"/>
      <c r="V384" s="12"/>
      <c r="W384" s="12"/>
      <c r="X384" s="12"/>
      <c r="Y384" s="12"/>
      <c r="Z384" s="12"/>
    </row>
    <row r="385" customFormat="false" ht="15.75" hidden="false" customHeight="false" outlineLevel="0" collapsed="false">
      <c r="A385" s="12"/>
      <c r="B385" s="34"/>
      <c r="C385" s="12"/>
      <c r="D385" s="12"/>
      <c r="E385" s="12"/>
      <c r="F385" s="12"/>
      <c r="G385" s="18"/>
      <c r="H385" s="35"/>
      <c r="I385" s="35"/>
      <c r="J385" s="12"/>
      <c r="O385" s="12"/>
      <c r="P385" s="18"/>
      <c r="Q385" s="12"/>
      <c r="R385" s="12"/>
      <c r="S385" s="12"/>
      <c r="T385" s="36"/>
      <c r="U385" s="36"/>
      <c r="V385" s="12"/>
      <c r="W385" s="12"/>
      <c r="X385" s="12"/>
      <c r="Y385" s="12"/>
      <c r="Z385" s="12"/>
    </row>
    <row r="386" customFormat="false" ht="15.75" hidden="false" customHeight="false" outlineLevel="0" collapsed="false">
      <c r="A386" s="12"/>
      <c r="B386" s="34"/>
      <c r="C386" s="12"/>
      <c r="D386" s="12"/>
      <c r="E386" s="12"/>
      <c r="F386" s="12"/>
      <c r="G386" s="18"/>
      <c r="H386" s="35"/>
      <c r="I386" s="35"/>
      <c r="J386" s="12"/>
      <c r="O386" s="12"/>
      <c r="P386" s="18"/>
      <c r="Q386" s="12"/>
      <c r="R386" s="12"/>
      <c r="S386" s="12"/>
      <c r="T386" s="36"/>
      <c r="U386" s="36"/>
      <c r="V386" s="12"/>
      <c r="W386" s="12"/>
      <c r="X386" s="12"/>
      <c r="Y386" s="12"/>
      <c r="Z386" s="12"/>
    </row>
    <row r="387" customFormat="false" ht="15.75" hidden="false" customHeight="false" outlineLevel="0" collapsed="false">
      <c r="A387" s="12"/>
      <c r="B387" s="34"/>
      <c r="C387" s="12"/>
      <c r="D387" s="12"/>
      <c r="E387" s="12"/>
      <c r="F387" s="12"/>
      <c r="G387" s="18"/>
      <c r="H387" s="35"/>
      <c r="I387" s="35"/>
      <c r="J387" s="12"/>
      <c r="O387" s="12"/>
      <c r="P387" s="18"/>
      <c r="Q387" s="12"/>
      <c r="R387" s="12"/>
      <c r="S387" s="12"/>
      <c r="T387" s="36"/>
      <c r="U387" s="36"/>
      <c r="V387" s="12"/>
      <c r="W387" s="12"/>
      <c r="X387" s="12"/>
      <c r="Y387" s="12"/>
      <c r="Z387" s="12"/>
    </row>
    <row r="388" customFormat="false" ht="15.75" hidden="false" customHeight="false" outlineLevel="0" collapsed="false">
      <c r="A388" s="12"/>
      <c r="B388" s="34"/>
      <c r="C388" s="12"/>
      <c r="D388" s="12"/>
      <c r="E388" s="12"/>
      <c r="F388" s="12"/>
      <c r="G388" s="18"/>
      <c r="H388" s="35"/>
      <c r="I388" s="35"/>
      <c r="J388" s="12"/>
      <c r="O388" s="12"/>
      <c r="P388" s="18"/>
      <c r="Q388" s="12"/>
      <c r="R388" s="12"/>
      <c r="S388" s="12"/>
      <c r="T388" s="36"/>
      <c r="U388" s="36"/>
      <c r="V388" s="12"/>
      <c r="W388" s="12"/>
      <c r="X388" s="12"/>
      <c r="Y388" s="12"/>
      <c r="Z388" s="12"/>
    </row>
    <row r="389" customFormat="false" ht="15.75" hidden="false" customHeight="false" outlineLevel="0" collapsed="false">
      <c r="A389" s="12"/>
      <c r="B389" s="34"/>
      <c r="C389" s="12"/>
      <c r="D389" s="12"/>
      <c r="E389" s="12"/>
      <c r="F389" s="12"/>
      <c r="G389" s="18"/>
      <c r="H389" s="35"/>
      <c r="I389" s="35"/>
      <c r="J389" s="12"/>
      <c r="O389" s="12"/>
      <c r="P389" s="18"/>
      <c r="Q389" s="12"/>
      <c r="R389" s="12"/>
      <c r="S389" s="12"/>
      <c r="T389" s="36"/>
      <c r="U389" s="36"/>
      <c r="V389" s="12"/>
      <c r="W389" s="12"/>
      <c r="X389" s="12"/>
      <c r="Y389" s="12"/>
      <c r="Z389" s="12"/>
    </row>
    <row r="390" customFormat="false" ht="15.75" hidden="false" customHeight="false" outlineLevel="0" collapsed="false">
      <c r="A390" s="12"/>
      <c r="B390" s="34"/>
      <c r="C390" s="12"/>
      <c r="D390" s="12"/>
      <c r="E390" s="12"/>
      <c r="F390" s="12"/>
      <c r="G390" s="18"/>
      <c r="H390" s="35"/>
      <c r="I390" s="35"/>
      <c r="J390" s="12"/>
      <c r="O390" s="12"/>
      <c r="P390" s="18"/>
      <c r="Q390" s="12"/>
      <c r="R390" s="12"/>
      <c r="S390" s="12"/>
      <c r="T390" s="36"/>
      <c r="U390" s="36"/>
      <c r="V390" s="12"/>
      <c r="W390" s="12"/>
      <c r="X390" s="12"/>
      <c r="Y390" s="12"/>
      <c r="Z390" s="12"/>
    </row>
    <row r="391" customFormat="false" ht="15.75" hidden="false" customHeight="false" outlineLevel="0" collapsed="false">
      <c r="A391" s="12"/>
      <c r="B391" s="34"/>
      <c r="C391" s="12"/>
      <c r="D391" s="12"/>
      <c r="E391" s="12"/>
      <c r="F391" s="12"/>
      <c r="G391" s="18"/>
      <c r="H391" s="35"/>
      <c r="I391" s="35"/>
      <c r="J391" s="12"/>
      <c r="O391" s="12"/>
      <c r="P391" s="18"/>
      <c r="Q391" s="12"/>
      <c r="R391" s="12"/>
      <c r="S391" s="12"/>
      <c r="T391" s="36"/>
      <c r="U391" s="36"/>
      <c r="V391" s="12"/>
      <c r="W391" s="12"/>
      <c r="X391" s="12"/>
      <c r="Y391" s="12"/>
      <c r="Z391" s="12"/>
    </row>
    <row r="392" customFormat="false" ht="15.75" hidden="false" customHeight="false" outlineLevel="0" collapsed="false">
      <c r="A392" s="12"/>
      <c r="B392" s="34"/>
      <c r="C392" s="12"/>
      <c r="D392" s="12"/>
      <c r="E392" s="12"/>
      <c r="F392" s="12"/>
      <c r="G392" s="18"/>
      <c r="H392" s="35"/>
      <c r="I392" s="35"/>
      <c r="J392" s="12"/>
      <c r="O392" s="12"/>
      <c r="P392" s="18"/>
      <c r="Q392" s="12"/>
      <c r="R392" s="12"/>
      <c r="S392" s="12"/>
      <c r="T392" s="36"/>
      <c r="U392" s="36"/>
      <c r="V392" s="12"/>
      <c r="W392" s="12"/>
      <c r="X392" s="12"/>
      <c r="Y392" s="12"/>
      <c r="Z392" s="12"/>
    </row>
    <row r="393" customFormat="false" ht="15.75" hidden="false" customHeight="false" outlineLevel="0" collapsed="false">
      <c r="A393" s="12"/>
      <c r="B393" s="34"/>
      <c r="C393" s="12"/>
      <c r="D393" s="12"/>
      <c r="E393" s="12"/>
      <c r="F393" s="12"/>
      <c r="G393" s="18"/>
      <c r="H393" s="35"/>
      <c r="I393" s="35"/>
      <c r="J393" s="12"/>
      <c r="O393" s="12"/>
      <c r="P393" s="18"/>
      <c r="Q393" s="12"/>
      <c r="R393" s="12"/>
      <c r="S393" s="12"/>
      <c r="T393" s="36"/>
      <c r="U393" s="36"/>
      <c r="V393" s="12"/>
      <c r="W393" s="12"/>
      <c r="X393" s="12"/>
      <c r="Y393" s="12"/>
      <c r="Z393" s="12"/>
    </row>
    <row r="394" customFormat="false" ht="15.75" hidden="false" customHeight="false" outlineLevel="0" collapsed="false">
      <c r="A394" s="12"/>
      <c r="B394" s="34"/>
      <c r="C394" s="12"/>
      <c r="D394" s="12"/>
      <c r="E394" s="12"/>
      <c r="F394" s="12"/>
      <c r="G394" s="18"/>
      <c r="H394" s="35"/>
      <c r="I394" s="35"/>
      <c r="J394" s="12"/>
      <c r="O394" s="12"/>
      <c r="P394" s="18"/>
      <c r="Q394" s="12"/>
      <c r="R394" s="12"/>
      <c r="S394" s="12"/>
      <c r="T394" s="36"/>
      <c r="U394" s="36"/>
      <c r="V394" s="12"/>
      <c r="W394" s="12"/>
      <c r="X394" s="12"/>
      <c r="Y394" s="12"/>
      <c r="Z394" s="12"/>
    </row>
    <row r="395" customFormat="false" ht="15.75" hidden="false" customHeight="false" outlineLevel="0" collapsed="false">
      <c r="A395" s="12"/>
      <c r="B395" s="34"/>
      <c r="C395" s="12"/>
      <c r="D395" s="12"/>
      <c r="E395" s="12"/>
      <c r="F395" s="12"/>
      <c r="G395" s="18"/>
      <c r="H395" s="35"/>
      <c r="I395" s="35"/>
      <c r="J395" s="12"/>
      <c r="O395" s="12"/>
      <c r="P395" s="18"/>
      <c r="Q395" s="12"/>
      <c r="R395" s="12"/>
      <c r="S395" s="12"/>
      <c r="T395" s="36"/>
      <c r="U395" s="36"/>
      <c r="V395" s="12"/>
      <c r="W395" s="12"/>
      <c r="X395" s="12"/>
      <c r="Y395" s="12"/>
      <c r="Z395" s="12"/>
    </row>
    <row r="396" customFormat="false" ht="15.75" hidden="false" customHeight="false" outlineLevel="0" collapsed="false">
      <c r="A396" s="12"/>
      <c r="B396" s="34"/>
      <c r="C396" s="12"/>
      <c r="D396" s="12"/>
      <c r="E396" s="12"/>
      <c r="F396" s="12"/>
      <c r="G396" s="18"/>
      <c r="H396" s="35"/>
      <c r="I396" s="35"/>
      <c r="J396" s="12"/>
      <c r="O396" s="12"/>
      <c r="P396" s="18"/>
      <c r="Q396" s="12"/>
      <c r="R396" s="12"/>
      <c r="S396" s="12"/>
      <c r="T396" s="36"/>
      <c r="U396" s="36"/>
      <c r="V396" s="12"/>
      <c r="W396" s="12"/>
      <c r="X396" s="12"/>
      <c r="Y396" s="12"/>
      <c r="Z396" s="12"/>
    </row>
    <row r="397" customFormat="false" ht="15.75" hidden="false" customHeight="false" outlineLevel="0" collapsed="false">
      <c r="A397" s="12"/>
      <c r="B397" s="34"/>
      <c r="C397" s="12"/>
      <c r="D397" s="12"/>
      <c r="E397" s="12"/>
      <c r="F397" s="12"/>
      <c r="G397" s="18"/>
      <c r="H397" s="35"/>
      <c r="I397" s="35"/>
      <c r="J397" s="12"/>
      <c r="O397" s="12"/>
      <c r="P397" s="18"/>
      <c r="Q397" s="12"/>
      <c r="R397" s="12"/>
      <c r="S397" s="12"/>
      <c r="T397" s="36"/>
      <c r="U397" s="36"/>
      <c r="V397" s="12"/>
      <c r="W397" s="12"/>
      <c r="X397" s="12"/>
      <c r="Y397" s="12"/>
      <c r="Z397" s="12"/>
    </row>
    <row r="398" customFormat="false" ht="15.75" hidden="false" customHeight="false" outlineLevel="0" collapsed="false">
      <c r="A398" s="12"/>
      <c r="B398" s="34"/>
      <c r="C398" s="12"/>
      <c r="D398" s="12"/>
      <c r="E398" s="12"/>
      <c r="F398" s="12"/>
      <c r="G398" s="18"/>
      <c r="H398" s="35"/>
      <c r="I398" s="35"/>
      <c r="J398" s="12"/>
      <c r="O398" s="12"/>
      <c r="P398" s="18"/>
      <c r="Q398" s="12"/>
      <c r="R398" s="12"/>
      <c r="S398" s="12"/>
      <c r="T398" s="36"/>
      <c r="U398" s="36"/>
      <c r="V398" s="12"/>
      <c r="W398" s="12"/>
      <c r="X398" s="12"/>
      <c r="Y398" s="12"/>
      <c r="Z398" s="12"/>
    </row>
    <row r="399" customFormat="false" ht="15.75" hidden="false" customHeight="false" outlineLevel="0" collapsed="false">
      <c r="A399" s="12"/>
      <c r="B399" s="34"/>
      <c r="C399" s="12"/>
      <c r="D399" s="12"/>
      <c r="E399" s="12"/>
      <c r="F399" s="12"/>
      <c r="G399" s="18"/>
      <c r="H399" s="35"/>
      <c r="I399" s="35"/>
      <c r="J399" s="12"/>
      <c r="O399" s="12"/>
      <c r="P399" s="18"/>
      <c r="Q399" s="12"/>
      <c r="R399" s="12"/>
      <c r="S399" s="12"/>
      <c r="T399" s="36"/>
      <c r="U399" s="36"/>
      <c r="V399" s="12"/>
      <c r="W399" s="12"/>
      <c r="X399" s="12"/>
      <c r="Y399" s="12"/>
      <c r="Z399" s="12"/>
    </row>
    <row r="400" customFormat="false" ht="15.75" hidden="false" customHeight="false" outlineLevel="0" collapsed="false">
      <c r="A400" s="12"/>
      <c r="B400" s="34"/>
      <c r="C400" s="12"/>
      <c r="D400" s="12"/>
      <c r="E400" s="12"/>
      <c r="F400" s="12"/>
      <c r="G400" s="18"/>
      <c r="H400" s="35"/>
      <c r="I400" s="35"/>
      <c r="J400" s="12"/>
      <c r="O400" s="12"/>
      <c r="P400" s="18"/>
      <c r="Q400" s="12"/>
      <c r="R400" s="12"/>
      <c r="S400" s="12"/>
      <c r="T400" s="36"/>
      <c r="U400" s="36"/>
      <c r="V400" s="12"/>
      <c r="W400" s="12"/>
      <c r="X400" s="12"/>
      <c r="Y400" s="12"/>
      <c r="Z400" s="12"/>
    </row>
    <row r="401" customFormat="false" ht="15.75" hidden="false" customHeight="false" outlineLevel="0" collapsed="false">
      <c r="A401" s="12"/>
      <c r="B401" s="34"/>
      <c r="C401" s="12"/>
      <c r="D401" s="12"/>
      <c r="E401" s="12"/>
      <c r="F401" s="12"/>
      <c r="G401" s="18"/>
      <c r="H401" s="35"/>
      <c r="I401" s="35"/>
      <c r="J401" s="12"/>
      <c r="O401" s="12"/>
      <c r="P401" s="18"/>
      <c r="Q401" s="12"/>
      <c r="R401" s="12"/>
      <c r="S401" s="12"/>
      <c r="T401" s="36"/>
      <c r="U401" s="36"/>
      <c r="V401" s="12"/>
      <c r="W401" s="12"/>
      <c r="X401" s="12"/>
      <c r="Y401" s="12"/>
      <c r="Z401" s="12"/>
    </row>
    <row r="402" customFormat="false" ht="15.75" hidden="false" customHeight="false" outlineLevel="0" collapsed="false">
      <c r="A402" s="12"/>
      <c r="B402" s="34"/>
      <c r="C402" s="12"/>
      <c r="D402" s="12"/>
      <c r="E402" s="12"/>
      <c r="F402" s="12"/>
      <c r="G402" s="18"/>
      <c r="H402" s="35"/>
      <c r="I402" s="35"/>
      <c r="J402" s="12"/>
      <c r="O402" s="12"/>
      <c r="P402" s="18"/>
      <c r="Q402" s="12"/>
      <c r="R402" s="12"/>
      <c r="S402" s="12"/>
      <c r="T402" s="36"/>
      <c r="U402" s="36"/>
      <c r="V402" s="12"/>
      <c r="W402" s="12"/>
      <c r="X402" s="12"/>
      <c r="Y402" s="12"/>
      <c r="Z402" s="12"/>
    </row>
    <row r="403" customFormat="false" ht="15.75" hidden="false" customHeight="false" outlineLevel="0" collapsed="false">
      <c r="A403" s="12"/>
      <c r="B403" s="34"/>
      <c r="C403" s="12"/>
      <c r="D403" s="12"/>
      <c r="E403" s="12"/>
      <c r="F403" s="12"/>
      <c r="G403" s="18"/>
      <c r="H403" s="35"/>
      <c r="I403" s="35"/>
      <c r="J403" s="12"/>
      <c r="O403" s="12"/>
      <c r="P403" s="18"/>
      <c r="Q403" s="12"/>
      <c r="R403" s="12"/>
      <c r="S403" s="12"/>
      <c r="T403" s="36"/>
      <c r="U403" s="36"/>
      <c r="V403" s="12"/>
      <c r="W403" s="12"/>
      <c r="X403" s="12"/>
      <c r="Y403" s="12"/>
      <c r="Z403" s="12"/>
    </row>
    <row r="404" customFormat="false" ht="15.75" hidden="false" customHeight="false" outlineLevel="0" collapsed="false">
      <c r="A404" s="12"/>
      <c r="B404" s="34"/>
      <c r="C404" s="12"/>
      <c r="D404" s="12"/>
      <c r="E404" s="12"/>
      <c r="F404" s="12"/>
      <c r="G404" s="18"/>
      <c r="H404" s="35"/>
      <c r="I404" s="35"/>
      <c r="J404" s="12"/>
      <c r="O404" s="12"/>
      <c r="P404" s="18"/>
      <c r="Q404" s="12"/>
      <c r="R404" s="12"/>
      <c r="S404" s="12"/>
      <c r="T404" s="36"/>
      <c r="U404" s="36"/>
      <c r="V404" s="12"/>
      <c r="W404" s="12"/>
      <c r="X404" s="12"/>
      <c r="Y404" s="12"/>
      <c r="Z404" s="12"/>
    </row>
    <row r="405" customFormat="false" ht="15.75" hidden="false" customHeight="false" outlineLevel="0" collapsed="false">
      <c r="A405" s="12"/>
      <c r="B405" s="34"/>
      <c r="C405" s="12"/>
      <c r="D405" s="12"/>
      <c r="E405" s="12"/>
      <c r="F405" s="12"/>
      <c r="G405" s="18"/>
      <c r="H405" s="35"/>
      <c r="I405" s="35"/>
      <c r="J405" s="12"/>
      <c r="O405" s="12"/>
      <c r="P405" s="18"/>
      <c r="Q405" s="12"/>
      <c r="R405" s="12"/>
      <c r="S405" s="12"/>
      <c r="T405" s="36"/>
      <c r="U405" s="36"/>
      <c r="V405" s="12"/>
      <c r="W405" s="12"/>
      <c r="X405" s="12"/>
      <c r="Y405" s="12"/>
      <c r="Z405" s="12"/>
    </row>
    <row r="406" customFormat="false" ht="15.75" hidden="false" customHeight="false" outlineLevel="0" collapsed="false">
      <c r="A406" s="12"/>
      <c r="B406" s="34"/>
      <c r="C406" s="12"/>
      <c r="D406" s="12"/>
      <c r="E406" s="12"/>
      <c r="F406" s="12"/>
      <c r="G406" s="18"/>
      <c r="H406" s="35"/>
      <c r="I406" s="35"/>
      <c r="J406" s="12"/>
      <c r="O406" s="12"/>
      <c r="P406" s="18"/>
      <c r="Q406" s="12"/>
      <c r="R406" s="12"/>
      <c r="S406" s="12"/>
      <c r="T406" s="36"/>
      <c r="U406" s="36"/>
      <c r="V406" s="12"/>
      <c r="W406" s="12"/>
      <c r="X406" s="12"/>
      <c r="Y406" s="12"/>
      <c r="Z406" s="12"/>
    </row>
    <row r="407" customFormat="false" ht="15.75" hidden="false" customHeight="false" outlineLevel="0" collapsed="false">
      <c r="A407" s="12"/>
      <c r="B407" s="34"/>
      <c r="C407" s="12"/>
      <c r="D407" s="12"/>
      <c r="E407" s="12"/>
      <c r="F407" s="12"/>
      <c r="G407" s="18"/>
      <c r="H407" s="35"/>
      <c r="I407" s="35"/>
      <c r="J407" s="12"/>
      <c r="O407" s="12"/>
      <c r="P407" s="18"/>
      <c r="Q407" s="12"/>
      <c r="R407" s="12"/>
      <c r="S407" s="12"/>
      <c r="T407" s="36"/>
      <c r="U407" s="36"/>
      <c r="V407" s="12"/>
      <c r="W407" s="12"/>
      <c r="X407" s="12"/>
      <c r="Y407" s="12"/>
      <c r="Z407" s="12"/>
    </row>
    <row r="408" customFormat="false" ht="15.75" hidden="false" customHeight="false" outlineLevel="0" collapsed="false">
      <c r="A408" s="12"/>
      <c r="B408" s="34"/>
      <c r="C408" s="12"/>
      <c r="D408" s="12"/>
      <c r="E408" s="12"/>
      <c r="F408" s="12"/>
      <c r="G408" s="18"/>
      <c r="H408" s="35"/>
      <c r="I408" s="35"/>
      <c r="J408" s="12"/>
      <c r="O408" s="12"/>
      <c r="P408" s="18"/>
      <c r="Q408" s="12"/>
      <c r="R408" s="12"/>
      <c r="S408" s="12"/>
      <c r="T408" s="36"/>
      <c r="U408" s="36"/>
      <c r="V408" s="12"/>
      <c r="W408" s="12"/>
      <c r="X408" s="12"/>
      <c r="Y408" s="12"/>
      <c r="Z408" s="12"/>
    </row>
    <row r="409" customFormat="false" ht="15.75" hidden="false" customHeight="false" outlineLevel="0" collapsed="false">
      <c r="A409" s="12"/>
      <c r="B409" s="34"/>
      <c r="C409" s="12"/>
      <c r="D409" s="12"/>
      <c r="E409" s="12"/>
      <c r="F409" s="12"/>
      <c r="G409" s="18"/>
      <c r="H409" s="35"/>
      <c r="I409" s="35"/>
      <c r="J409" s="12"/>
      <c r="O409" s="12"/>
      <c r="P409" s="18"/>
      <c r="Q409" s="12"/>
      <c r="R409" s="12"/>
      <c r="S409" s="12"/>
      <c r="T409" s="36"/>
      <c r="U409" s="36"/>
      <c r="V409" s="12"/>
      <c r="W409" s="12"/>
      <c r="X409" s="12"/>
      <c r="Y409" s="12"/>
      <c r="Z409" s="12"/>
    </row>
    <row r="410" customFormat="false" ht="15.75" hidden="false" customHeight="false" outlineLevel="0" collapsed="false">
      <c r="A410" s="12"/>
      <c r="B410" s="34"/>
      <c r="C410" s="12"/>
      <c r="D410" s="12"/>
      <c r="E410" s="12"/>
      <c r="F410" s="12"/>
      <c r="G410" s="18"/>
      <c r="H410" s="35"/>
      <c r="I410" s="35"/>
      <c r="J410" s="12"/>
      <c r="O410" s="12"/>
      <c r="P410" s="18"/>
      <c r="Q410" s="12"/>
      <c r="R410" s="12"/>
      <c r="S410" s="12"/>
      <c r="T410" s="36"/>
      <c r="U410" s="36"/>
      <c r="V410" s="12"/>
      <c r="W410" s="12"/>
      <c r="X410" s="12"/>
      <c r="Y410" s="12"/>
      <c r="Z410" s="12"/>
    </row>
    <row r="411" customFormat="false" ht="15.75" hidden="false" customHeight="false" outlineLevel="0" collapsed="false">
      <c r="A411" s="12"/>
      <c r="B411" s="34"/>
      <c r="C411" s="12"/>
      <c r="D411" s="12"/>
      <c r="E411" s="12"/>
      <c r="F411" s="12"/>
      <c r="G411" s="18"/>
      <c r="H411" s="35"/>
      <c r="I411" s="35"/>
      <c r="J411" s="12"/>
      <c r="O411" s="12"/>
      <c r="P411" s="18"/>
      <c r="Q411" s="12"/>
      <c r="R411" s="12"/>
      <c r="S411" s="12"/>
      <c r="T411" s="36"/>
      <c r="U411" s="36"/>
      <c r="V411" s="12"/>
      <c r="W411" s="12"/>
      <c r="X411" s="12"/>
      <c r="Y411" s="12"/>
      <c r="Z411" s="12"/>
    </row>
    <row r="412" customFormat="false" ht="15.75" hidden="false" customHeight="false" outlineLevel="0" collapsed="false">
      <c r="A412" s="12"/>
      <c r="B412" s="34"/>
      <c r="C412" s="12"/>
      <c r="D412" s="12"/>
      <c r="E412" s="12"/>
      <c r="F412" s="12"/>
      <c r="G412" s="18"/>
      <c r="H412" s="35"/>
      <c r="I412" s="35"/>
      <c r="J412" s="12"/>
      <c r="O412" s="12"/>
      <c r="P412" s="18"/>
      <c r="Q412" s="12"/>
      <c r="R412" s="12"/>
      <c r="S412" s="12"/>
      <c r="T412" s="36"/>
      <c r="U412" s="36"/>
      <c r="V412" s="12"/>
      <c r="W412" s="12"/>
      <c r="X412" s="12"/>
      <c r="Y412" s="12"/>
      <c r="Z412" s="12"/>
    </row>
    <row r="413" customFormat="false" ht="15.75" hidden="false" customHeight="false" outlineLevel="0" collapsed="false">
      <c r="A413" s="12"/>
      <c r="B413" s="34"/>
      <c r="C413" s="12"/>
      <c r="D413" s="12"/>
      <c r="E413" s="12"/>
      <c r="F413" s="12"/>
      <c r="G413" s="18"/>
      <c r="H413" s="35"/>
      <c r="I413" s="35"/>
      <c r="J413" s="12"/>
      <c r="O413" s="12"/>
      <c r="P413" s="18"/>
      <c r="Q413" s="12"/>
      <c r="R413" s="12"/>
      <c r="S413" s="12"/>
      <c r="T413" s="36"/>
      <c r="U413" s="36"/>
      <c r="V413" s="12"/>
      <c r="W413" s="12"/>
      <c r="X413" s="12"/>
      <c r="Y413" s="12"/>
      <c r="Z413" s="12"/>
    </row>
    <row r="414" customFormat="false" ht="15.75" hidden="false" customHeight="false" outlineLevel="0" collapsed="false">
      <c r="A414" s="12"/>
      <c r="B414" s="34"/>
      <c r="C414" s="12"/>
      <c r="D414" s="12"/>
      <c r="E414" s="12"/>
      <c r="F414" s="12"/>
      <c r="G414" s="18"/>
      <c r="H414" s="35"/>
      <c r="I414" s="35"/>
      <c r="J414" s="12"/>
      <c r="O414" s="12"/>
      <c r="P414" s="18"/>
      <c r="Q414" s="12"/>
      <c r="R414" s="12"/>
      <c r="S414" s="12"/>
      <c r="T414" s="36"/>
      <c r="U414" s="36"/>
      <c r="V414" s="12"/>
      <c r="W414" s="12"/>
      <c r="X414" s="12"/>
      <c r="Y414" s="12"/>
      <c r="Z414" s="12"/>
    </row>
    <row r="415" customFormat="false" ht="15.75" hidden="false" customHeight="false" outlineLevel="0" collapsed="false">
      <c r="A415" s="12"/>
      <c r="B415" s="34"/>
      <c r="C415" s="12"/>
      <c r="D415" s="12"/>
      <c r="E415" s="12"/>
      <c r="F415" s="12"/>
      <c r="G415" s="18"/>
      <c r="H415" s="35"/>
      <c r="I415" s="35"/>
      <c r="J415" s="12"/>
      <c r="O415" s="12"/>
      <c r="P415" s="18"/>
      <c r="Q415" s="12"/>
      <c r="R415" s="12"/>
      <c r="S415" s="12"/>
      <c r="T415" s="36"/>
      <c r="U415" s="36"/>
      <c r="V415" s="12"/>
      <c r="W415" s="12"/>
      <c r="X415" s="12"/>
      <c r="Y415" s="12"/>
      <c r="Z415" s="12"/>
    </row>
    <row r="416" customFormat="false" ht="15.75" hidden="false" customHeight="false" outlineLevel="0" collapsed="false">
      <c r="A416" s="12"/>
      <c r="B416" s="34"/>
      <c r="C416" s="12"/>
      <c r="D416" s="12"/>
      <c r="E416" s="12"/>
      <c r="F416" s="12"/>
      <c r="G416" s="18"/>
      <c r="H416" s="35"/>
      <c r="I416" s="35"/>
      <c r="J416" s="12"/>
      <c r="O416" s="12"/>
      <c r="P416" s="18"/>
      <c r="Q416" s="12"/>
      <c r="R416" s="12"/>
      <c r="S416" s="12"/>
      <c r="T416" s="36"/>
      <c r="U416" s="36"/>
      <c r="V416" s="12"/>
      <c r="W416" s="12"/>
      <c r="X416" s="12"/>
      <c r="Y416" s="12"/>
      <c r="Z416" s="12"/>
    </row>
    <row r="417" customFormat="false" ht="15.75" hidden="false" customHeight="false" outlineLevel="0" collapsed="false">
      <c r="A417" s="12"/>
      <c r="B417" s="34"/>
      <c r="C417" s="12"/>
      <c r="D417" s="12"/>
      <c r="E417" s="12"/>
      <c r="F417" s="12"/>
      <c r="G417" s="18"/>
      <c r="H417" s="35"/>
      <c r="I417" s="35"/>
      <c r="J417" s="12"/>
      <c r="O417" s="12"/>
      <c r="P417" s="18"/>
      <c r="Q417" s="12"/>
      <c r="R417" s="12"/>
      <c r="S417" s="12"/>
      <c r="T417" s="36"/>
      <c r="U417" s="36"/>
      <c r="V417" s="12"/>
      <c r="W417" s="12"/>
      <c r="X417" s="12"/>
      <c r="Y417" s="12"/>
      <c r="Z417" s="12"/>
    </row>
    <row r="418" customFormat="false" ht="15.75" hidden="false" customHeight="false" outlineLevel="0" collapsed="false">
      <c r="A418" s="12"/>
      <c r="B418" s="34"/>
      <c r="C418" s="12"/>
      <c r="D418" s="12"/>
      <c r="E418" s="12"/>
      <c r="F418" s="12"/>
      <c r="G418" s="18"/>
      <c r="H418" s="35"/>
      <c r="I418" s="35"/>
      <c r="J418" s="12"/>
      <c r="O418" s="12"/>
      <c r="P418" s="18"/>
      <c r="Q418" s="12"/>
      <c r="R418" s="12"/>
      <c r="S418" s="12"/>
      <c r="T418" s="36"/>
      <c r="U418" s="36"/>
      <c r="V418" s="12"/>
      <c r="W418" s="12"/>
      <c r="X418" s="12"/>
      <c r="Y418" s="12"/>
      <c r="Z418" s="12"/>
    </row>
    <row r="419" customFormat="false" ht="15.75" hidden="false" customHeight="false" outlineLevel="0" collapsed="false">
      <c r="A419" s="12"/>
      <c r="B419" s="34"/>
      <c r="C419" s="12"/>
      <c r="D419" s="12"/>
      <c r="E419" s="12"/>
      <c r="F419" s="12"/>
      <c r="G419" s="18"/>
      <c r="H419" s="35"/>
      <c r="I419" s="35"/>
      <c r="J419" s="12"/>
      <c r="O419" s="12"/>
      <c r="P419" s="18"/>
      <c r="Q419" s="12"/>
      <c r="R419" s="12"/>
      <c r="S419" s="12"/>
      <c r="T419" s="36"/>
      <c r="U419" s="36"/>
      <c r="V419" s="12"/>
      <c r="W419" s="12"/>
      <c r="X419" s="12"/>
      <c r="Y419" s="12"/>
      <c r="Z419" s="12"/>
    </row>
    <row r="420" customFormat="false" ht="15.75" hidden="false" customHeight="false" outlineLevel="0" collapsed="false">
      <c r="A420" s="12"/>
      <c r="B420" s="34"/>
      <c r="C420" s="12"/>
      <c r="D420" s="12"/>
      <c r="E420" s="12"/>
      <c r="F420" s="12"/>
      <c r="G420" s="18"/>
      <c r="H420" s="35"/>
      <c r="I420" s="35"/>
      <c r="J420" s="12"/>
      <c r="O420" s="12"/>
      <c r="P420" s="18"/>
      <c r="Q420" s="12"/>
      <c r="R420" s="12"/>
      <c r="S420" s="12"/>
      <c r="T420" s="36"/>
      <c r="U420" s="36"/>
      <c r="V420" s="12"/>
      <c r="W420" s="12"/>
      <c r="X420" s="12"/>
      <c r="Y420" s="12"/>
      <c r="Z420" s="12"/>
    </row>
    <row r="421" customFormat="false" ht="15.75" hidden="false" customHeight="false" outlineLevel="0" collapsed="false">
      <c r="A421" s="12"/>
      <c r="B421" s="34"/>
      <c r="C421" s="12"/>
      <c r="D421" s="12"/>
      <c r="E421" s="12"/>
      <c r="F421" s="12"/>
      <c r="G421" s="18"/>
      <c r="H421" s="35"/>
      <c r="I421" s="35"/>
      <c r="J421" s="12"/>
      <c r="O421" s="12"/>
      <c r="P421" s="18"/>
      <c r="Q421" s="12"/>
      <c r="R421" s="12"/>
      <c r="S421" s="12"/>
      <c r="T421" s="36"/>
      <c r="U421" s="36"/>
      <c r="V421" s="12"/>
      <c r="W421" s="12"/>
      <c r="X421" s="12"/>
      <c r="Y421" s="12"/>
      <c r="Z421" s="12"/>
    </row>
    <row r="422" customFormat="false" ht="15.75" hidden="false" customHeight="false" outlineLevel="0" collapsed="false">
      <c r="A422" s="12"/>
      <c r="B422" s="34"/>
      <c r="C422" s="12"/>
      <c r="D422" s="12"/>
      <c r="E422" s="12"/>
      <c r="F422" s="12"/>
      <c r="G422" s="18"/>
      <c r="H422" s="35"/>
      <c r="I422" s="35"/>
      <c r="J422" s="12"/>
      <c r="O422" s="12"/>
      <c r="P422" s="18"/>
      <c r="Q422" s="12"/>
      <c r="R422" s="12"/>
      <c r="S422" s="12"/>
      <c r="T422" s="36"/>
      <c r="U422" s="36"/>
      <c r="V422" s="12"/>
      <c r="W422" s="12"/>
      <c r="X422" s="12"/>
      <c r="Y422" s="12"/>
      <c r="Z422" s="12"/>
    </row>
    <row r="423" customFormat="false" ht="15.75" hidden="false" customHeight="false" outlineLevel="0" collapsed="false">
      <c r="A423" s="12"/>
      <c r="B423" s="34"/>
      <c r="C423" s="12"/>
      <c r="D423" s="12"/>
      <c r="E423" s="12"/>
      <c r="F423" s="12"/>
      <c r="G423" s="18"/>
      <c r="H423" s="35"/>
      <c r="I423" s="35"/>
      <c r="J423" s="12"/>
      <c r="O423" s="12"/>
      <c r="P423" s="18"/>
      <c r="Q423" s="12"/>
      <c r="R423" s="12"/>
      <c r="S423" s="12"/>
      <c r="T423" s="36"/>
      <c r="U423" s="36"/>
      <c r="V423" s="12"/>
      <c r="W423" s="12"/>
      <c r="X423" s="12"/>
      <c r="Y423" s="12"/>
      <c r="Z423" s="12"/>
    </row>
    <row r="424" customFormat="false" ht="15.75" hidden="false" customHeight="false" outlineLevel="0" collapsed="false">
      <c r="A424" s="12"/>
      <c r="B424" s="34"/>
      <c r="C424" s="12"/>
      <c r="D424" s="12"/>
      <c r="E424" s="12"/>
      <c r="F424" s="12"/>
      <c r="G424" s="18"/>
      <c r="H424" s="35"/>
      <c r="I424" s="35"/>
      <c r="J424" s="12"/>
      <c r="O424" s="12"/>
      <c r="P424" s="18"/>
      <c r="Q424" s="12"/>
      <c r="R424" s="12"/>
      <c r="S424" s="12"/>
      <c r="T424" s="36"/>
      <c r="U424" s="36"/>
      <c r="V424" s="12"/>
      <c r="W424" s="12"/>
      <c r="X424" s="12"/>
      <c r="Y424" s="12"/>
      <c r="Z424" s="12"/>
    </row>
    <row r="425" customFormat="false" ht="15.75" hidden="false" customHeight="false" outlineLevel="0" collapsed="false">
      <c r="A425" s="12"/>
      <c r="B425" s="34"/>
      <c r="C425" s="12"/>
      <c r="D425" s="12"/>
      <c r="E425" s="12"/>
      <c r="F425" s="12"/>
      <c r="G425" s="18"/>
      <c r="H425" s="35"/>
      <c r="I425" s="35"/>
      <c r="J425" s="12"/>
      <c r="O425" s="12"/>
      <c r="P425" s="18"/>
      <c r="Q425" s="12"/>
      <c r="R425" s="12"/>
      <c r="S425" s="12"/>
      <c r="T425" s="36"/>
      <c r="U425" s="36"/>
      <c r="V425" s="12"/>
      <c r="W425" s="12"/>
      <c r="X425" s="12"/>
      <c r="Y425" s="12"/>
      <c r="Z425" s="12"/>
    </row>
    <row r="426" customFormat="false" ht="15.75" hidden="false" customHeight="false" outlineLevel="0" collapsed="false">
      <c r="A426" s="12"/>
      <c r="B426" s="34"/>
      <c r="C426" s="12"/>
      <c r="D426" s="12"/>
      <c r="E426" s="12"/>
      <c r="F426" s="12"/>
      <c r="G426" s="18"/>
      <c r="H426" s="35"/>
      <c r="I426" s="35"/>
      <c r="J426" s="12"/>
      <c r="O426" s="12"/>
      <c r="P426" s="18"/>
      <c r="Q426" s="12"/>
      <c r="R426" s="12"/>
      <c r="S426" s="12"/>
      <c r="T426" s="36"/>
      <c r="U426" s="36"/>
      <c r="V426" s="12"/>
      <c r="W426" s="12"/>
      <c r="X426" s="12"/>
      <c r="Y426" s="12"/>
      <c r="Z426" s="12"/>
    </row>
    <row r="427" customFormat="false" ht="15.75" hidden="false" customHeight="false" outlineLevel="0" collapsed="false">
      <c r="A427" s="12"/>
      <c r="B427" s="34"/>
      <c r="C427" s="12"/>
      <c r="D427" s="12"/>
      <c r="E427" s="12"/>
      <c r="F427" s="12"/>
      <c r="G427" s="18"/>
      <c r="H427" s="35"/>
      <c r="I427" s="35"/>
      <c r="J427" s="12"/>
      <c r="O427" s="12"/>
      <c r="P427" s="18"/>
      <c r="Q427" s="12"/>
      <c r="R427" s="12"/>
      <c r="S427" s="12"/>
      <c r="T427" s="36"/>
      <c r="U427" s="36"/>
      <c r="V427" s="12"/>
      <c r="W427" s="12"/>
      <c r="X427" s="12"/>
      <c r="Y427" s="12"/>
      <c r="Z427" s="12"/>
    </row>
    <row r="428" customFormat="false" ht="15.75" hidden="false" customHeight="false" outlineLevel="0" collapsed="false">
      <c r="A428" s="12"/>
      <c r="B428" s="34"/>
      <c r="C428" s="12"/>
      <c r="D428" s="12"/>
      <c r="E428" s="12"/>
      <c r="F428" s="12"/>
      <c r="G428" s="18"/>
      <c r="H428" s="35"/>
      <c r="I428" s="35"/>
      <c r="J428" s="12"/>
      <c r="O428" s="12"/>
      <c r="P428" s="18"/>
      <c r="Q428" s="12"/>
      <c r="R428" s="12"/>
      <c r="S428" s="12"/>
      <c r="T428" s="36"/>
      <c r="U428" s="36"/>
      <c r="V428" s="12"/>
      <c r="W428" s="12"/>
      <c r="X428" s="12"/>
      <c r="Y428" s="12"/>
      <c r="Z428" s="12"/>
    </row>
    <row r="429" customFormat="false" ht="15.75" hidden="false" customHeight="false" outlineLevel="0" collapsed="false">
      <c r="A429" s="12"/>
      <c r="B429" s="34"/>
      <c r="C429" s="12"/>
      <c r="D429" s="12"/>
      <c r="E429" s="12"/>
      <c r="F429" s="12"/>
      <c r="G429" s="18"/>
      <c r="H429" s="35"/>
      <c r="I429" s="35"/>
      <c r="J429" s="12"/>
      <c r="O429" s="12"/>
      <c r="P429" s="18"/>
      <c r="Q429" s="12"/>
      <c r="R429" s="12"/>
      <c r="S429" s="12"/>
      <c r="T429" s="36"/>
      <c r="U429" s="36"/>
      <c r="V429" s="12"/>
      <c r="W429" s="12"/>
      <c r="X429" s="12"/>
      <c r="Y429" s="12"/>
      <c r="Z429" s="12"/>
    </row>
    <row r="430" customFormat="false" ht="15.75" hidden="false" customHeight="false" outlineLevel="0" collapsed="false">
      <c r="A430" s="12"/>
      <c r="B430" s="34"/>
      <c r="C430" s="12"/>
      <c r="D430" s="12"/>
      <c r="E430" s="12"/>
      <c r="F430" s="12"/>
      <c r="G430" s="18"/>
      <c r="H430" s="35"/>
      <c r="I430" s="35"/>
      <c r="J430" s="12"/>
      <c r="O430" s="12"/>
      <c r="P430" s="18"/>
      <c r="Q430" s="12"/>
      <c r="R430" s="12"/>
      <c r="S430" s="12"/>
      <c r="T430" s="36"/>
      <c r="U430" s="36"/>
      <c r="V430" s="12"/>
      <c r="W430" s="12"/>
      <c r="X430" s="12"/>
      <c r="Y430" s="12"/>
      <c r="Z430" s="12"/>
    </row>
    <row r="431" customFormat="false" ht="15.75" hidden="false" customHeight="false" outlineLevel="0" collapsed="false">
      <c r="A431" s="12"/>
      <c r="B431" s="34"/>
      <c r="C431" s="12"/>
      <c r="D431" s="12"/>
      <c r="E431" s="12"/>
      <c r="F431" s="12"/>
      <c r="G431" s="18"/>
      <c r="H431" s="35"/>
      <c r="I431" s="35"/>
      <c r="J431" s="12"/>
      <c r="O431" s="12"/>
      <c r="P431" s="18"/>
      <c r="Q431" s="12"/>
      <c r="R431" s="12"/>
      <c r="S431" s="12"/>
      <c r="T431" s="36"/>
      <c r="U431" s="36"/>
      <c r="V431" s="12"/>
      <c r="W431" s="12"/>
      <c r="X431" s="12"/>
      <c r="Y431" s="12"/>
      <c r="Z431" s="12"/>
    </row>
    <row r="432" customFormat="false" ht="15.75" hidden="false" customHeight="false" outlineLevel="0" collapsed="false">
      <c r="A432" s="12"/>
      <c r="B432" s="34"/>
      <c r="C432" s="12"/>
      <c r="D432" s="12"/>
      <c r="E432" s="12"/>
      <c r="F432" s="12"/>
      <c r="G432" s="18"/>
      <c r="H432" s="35"/>
      <c r="I432" s="35"/>
      <c r="J432" s="12"/>
      <c r="O432" s="12"/>
      <c r="P432" s="18"/>
      <c r="Q432" s="12"/>
      <c r="R432" s="12"/>
      <c r="S432" s="12"/>
      <c r="T432" s="36"/>
      <c r="U432" s="36"/>
      <c r="V432" s="12"/>
      <c r="W432" s="12"/>
      <c r="X432" s="12"/>
      <c r="Y432" s="12"/>
      <c r="Z432" s="12"/>
    </row>
    <row r="433" customFormat="false" ht="15.75" hidden="false" customHeight="false" outlineLevel="0" collapsed="false">
      <c r="A433" s="12"/>
      <c r="B433" s="34"/>
      <c r="C433" s="12"/>
      <c r="D433" s="12"/>
      <c r="E433" s="12"/>
      <c r="F433" s="12"/>
      <c r="G433" s="18"/>
      <c r="H433" s="35"/>
      <c r="I433" s="35"/>
      <c r="J433" s="12"/>
      <c r="O433" s="12"/>
      <c r="P433" s="18"/>
      <c r="Q433" s="12"/>
      <c r="R433" s="12"/>
      <c r="S433" s="12"/>
      <c r="T433" s="36"/>
      <c r="U433" s="36"/>
      <c r="V433" s="12"/>
      <c r="W433" s="12"/>
      <c r="X433" s="12"/>
      <c r="Y433" s="12"/>
      <c r="Z433" s="12"/>
    </row>
    <row r="434" customFormat="false" ht="15.75" hidden="false" customHeight="false" outlineLevel="0" collapsed="false">
      <c r="A434" s="12"/>
      <c r="B434" s="34"/>
      <c r="C434" s="12"/>
      <c r="D434" s="12"/>
      <c r="E434" s="12"/>
      <c r="F434" s="12"/>
      <c r="G434" s="18"/>
      <c r="H434" s="35"/>
      <c r="I434" s="35"/>
      <c r="J434" s="12"/>
      <c r="O434" s="12"/>
      <c r="P434" s="18"/>
      <c r="Q434" s="12"/>
      <c r="R434" s="12"/>
      <c r="S434" s="12"/>
      <c r="T434" s="36"/>
      <c r="U434" s="36"/>
      <c r="V434" s="12"/>
      <c r="W434" s="12"/>
      <c r="X434" s="12"/>
      <c r="Y434" s="12"/>
      <c r="Z434" s="12"/>
    </row>
    <row r="435" customFormat="false" ht="15.75" hidden="false" customHeight="false" outlineLevel="0" collapsed="false">
      <c r="A435" s="12"/>
      <c r="B435" s="34"/>
      <c r="C435" s="12"/>
      <c r="D435" s="12"/>
      <c r="E435" s="12"/>
      <c r="F435" s="12"/>
      <c r="G435" s="18"/>
      <c r="H435" s="35"/>
      <c r="I435" s="35"/>
      <c r="J435" s="12"/>
      <c r="O435" s="12"/>
      <c r="P435" s="18"/>
      <c r="Q435" s="12"/>
      <c r="R435" s="12"/>
      <c r="S435" s="12"/>
      <c r="T435" s="36"/>
      <c r="U435" s="36"/>
      <c r="V435" s="12"/>
      <c r="W435" s="12"/>
      <c r="X435" s="12"/>
      <c r="Y435" s="12"/>
      <c r="Z435" s="12"/>
    </row>
    <row r="436" customFormat="false" ht="15.75" hidden="false" customHeight="false" outlineLevel="0" collapsed="false">
      <c r="A436" s="12"/>
      <c r="B436" s="34"/>
      <c r="C436" s="12"/>
      <c r="D436" s="12"/>
      <c r="E436" s="12"/>
      <c r="F436" s="12"/>
      <c r="G436" s="18"/>
      <c r="H436" s="35"/>
      <c r="I436" s="35"/>
      <c r="J436" s="12"/>
      <c r="O436" s="12"/>
      <c r="P436" s="18"/>
      <c r="Q436" s="12"/>
      <c r="R436" s="12"/>
      <c r="S436" s="12"/>
      <c r="T436" s="36"/>
      <c r="U436" s="36"/>
      <c r="V436" s="12"/>
      <c r="W436" s="12"/>
      <c r="X436" s="12"/>
      <c r="Y436" s="12"/>
      <c r="Z436" s="12"/>
    </row>
    <row r="437" customFormat="false" ht="15.75" hidden="false" customHeight="false" outlineLevel="0" collapsed="false">
      <c r="A437" s="12"/>
      <c r="B437" s="34"/>
      <c r="C437" s="12"/>
      <c r="D437" s="12"/>
      <c r="E437" s="12"/>
      <c r="F437" s="12"/>
      <c r="G437" s="18"/>
      <c r="H437" s="35"/>
      <c r="I437" s="35"/>
      <c r="J437" s="12"/>
      <c r="O437" s="12"/>
      <c r="P437" s="18"/>
      <c r="Q437" s="12"/>
      <c r="R437" s="12"/>
      <c r="S437" s="12"/>
      <c r="T437" s="36"/>
      <c r="U437" s="36"/>
      <c r="V437" s="12"/>
      <c r="W437" s="12"/>
      <c r="X437" s="12"/>
      <c r="Y437" s="12"/>
      <c r="Z437" s="12"/>
    </row>
    <row r="438" customFormat="false" ht="15.75" hidden="false" customHeight="false" outlineLevel="0" collapsed="false">
      <c r="A438" s="12"/>
      <c r="B438" s="34"/>
      <c r="C438" s="12"/>
      <c r="D438" s="12"/>
      <c r="E438" s="12"/>
      <c r="F438" s="12"/>
      <c r="G438" s="18"/>
      <c r="H438" s="35"/>
      <c r="I438" s="35"/>
      <c r="J438" s="12"/>
      <c r="O438" s="12"/>
      <c r="P438" s="18"/>
      <c r="Q438" s="12"/>
      <c r="R438" s="12"/>
      <c r="S438" s="12"/>
      <c r="T438" s="36"/>
      <c r="U438" s="36"/>
      <c r="V438" s="12"/>
      <c r="W438" s="12"/>
      <c r="X438" s="12"/>
      <c r="Y438" s="12"/>
      <c r="Z438" s="12"/>
    </row>
    <row r="439" customFormat="false" ht="15.75" hidden="false" customHeight="false" outlineLevel="0" collapsed="false">
      <c r="A439" s="12"/>
      <c r="B439" s="34"/>
      <c r="C439" s="12"/>
      <c r="D439" s="12"/>
      <c r="E439" s="12"/>
      <c r="F439" s="12"/>
      <c r="G439" s="18"/>
      <c r="H439" s="35"/>
      <c r="I439" s="35"/>
      <c r="J439" s="12"/>
      <c r="O439" s="12"/>
      <c r="P439" s="18"/>
      <c r="Q439" s="12"/>
      <c r="R439" s="12"/>
      <c r="S439" s="12"/>
      <c r="T439" s="36"/>
      <c r="U439" s="36"/>
      <c r="V439" s="12"/>
      <c r="W439" s="12"/>
      <c r="X439" s="12"/>
      <c r="Y439" s="12"/>
      <c r="Z439" s="12"/>
    </row>
    <row r="440" customFormat="false" ht="15.75" hidden="false" customHeight="false" outlineLevel="0" collapsed="false">
      <c r="A440" s="12"/>
      <c r="B440" s="34"/>
      <c r="C440" s="12"/>
      <c r="D440" s="12"/>
      <c r="E440" s="12"/>
      <c r="F440" s="12"/>
      <c r="G440" s="18"/>
      <c r="H440" s="35"/>
      <c r="I440" s="35"/>
      <c r="J440" s="12"/>
      <c r="O440" s="12"/>
      <c r="P440" s="18"/>
      <c r="Q440" s="12"/>
      <c r="R440" s="12"/>
      <c r="S440" s="12"/>
      <c r="T440" s="36"/>
      <c r="U440" s="36"/>
      <c r="V440" s="12"/>
      <c r="W440" s="12"/>
      <c r="X440" s="12"/>
      <c r="Y440" s="12"/>
      <c r="Z440" s="12"/>
    </row>
    <row r="441" customFormat="false" ht="15.75" hidden="false" customHeight="false" outlineLevel="0" collapsed="false">
      <c r="A441" s="12"/>
      <c r="B441" s="34"/>
      <c r="C441" s="12"/>
      <c r="D441" s="12"/>
      <c r="E441" s="12"/>
      <c r="F441" s="12"/>
      <c r="G441" s="18"/>
      <c r="H441" s="35"/>
      <c r="I441" s="35"/>
      <c r="J441" s="12"/>
      <c r="O441" s="12"/>
      <c r="P441" s="18"/>
      <c r="Q441" s="12"/>
      <c r="R441" s="12"/>
      <c r="S441" s="12"/>
      <c r="T441" s="36"/>
      <c r="U441" s="36"/>
      <c r="V441" s="12"/>
      <c r="W441" s="12"/>
      <c r="X441" s="12"/>
      <c r="Y441" s="12"/>
      <c r="Z441" s="12"/>
    </row>
    <row r="442" customFormat="false" ht="15.75" hidden="false" customHeight="false" outlineLevel="0" collapsed="false">
      <c r="A442" s="12"/>
      <c r="B442" s="34"/>
      <c r="C442" s="12"/>
      <c r="D442" s="12"/>
      <c r="E442" s="12"/>
      <c r="F442" s="12"/>
      <c r="G442" s="18"/>
      <c r="H442" s="35"/>
      <c r="I442" s="35"/>
      <c r="J442" s="12"/>
      <c r="O442" s="12"/>
      <c r="P442" s="18"/>
      <c r="Q442" s="12"/>
      <c r="R442" s="12"/>
      <c r="S442" s="12"/>
      <c r="T442" s="36"/>
      <c r="U442" s="36"/>
      <c r="V442" s="12"/>
      <c r="W442" s="12"/>
      <c r="X442" s="12"/>
      <c r="Y442" s="12"/>
      <c r="Z442" s="12"/>
    </row>
    <row r="443" customFormat="false" ht="15.75" hidden="false" customHeight="false" outlineLevel="0" collapsed="false">
      <c r="A443" s="12"/>
      <c r="B443" s="34"/>
      <c r="C443" s="12"/>
      <c r="D443" s="12"/>
      <c r="E443" s="12"/>
      <c r="F443" s="12"/>
      <c r="G443" s="18"/>
      <c r="H443" s="35"/>
      <c r="I443" s="35"/>
      <c r="J443" s="12"/>
      <c r="O443" s="12"/>
      <c r="P443" s="18"/>
      <c r="Q443" s="12"/>
      <c r="R443" s="12"/>
      <c r="S443" s="12"/>
      <c r="T443" s="36"/>
      <c r="U443" s="36"/>
      <c r="V443" s="12"/>
      <c r="W443" s="12"/>
      <c r="X443" s="12"/>
      <c r="Y443" s="12"/>
      <c r="Z443" s="12"/>
    </row>
    <row r="444" customFormat="false" ht="15.75" hidden="false" customHeight="false" outlineLevel="0" collapsed="false">
      <c r="A444" s="12"/>
      <c r="B444" s="34"/>
      <c r="C444" s="12"/>
      <c r="D444" s="12"/>
      <c r="E444" s="12"/>
      <c r="F444" s="12"/>
      <c r="G444" s="18"/>
      <c r="H444" s="35"/>
      <c r="I444" s="35"/>
      <c r="J444" s="12"/>
      <c r="O444" s="12"/>
      <c r="P444" s="18"/>
      <c r="Q444" s="12"/>
      <c r="R444" s="12"/>
      <c r="S444" s="12"/>
      <c r="T444" s="36"/>
      <c r="U444" s="36"/>
      <c r="V444" s="12"/>
      <c r="W444" s="12"/>
      <c r="X444" s="12"/>
      <c r="Y444" s="12"/>
      <c r="Z444" s="12"/>
    </row>
    <row r="445" customFormat="false" ht="15.75" hidden="false" customHeight="false" outlineLevel="0" collapsed="false">
      <c r="A445" s="12"/>
      <c r="B445" s="34"/>
      <c r="C445" s="12"/>
      <c r="D445" s="12"/>
      <c r="E445" s="12"/>
      <c r="F445" s="12"/>
      <c r="G445" s="18"/>
      <c r="H445" s="35"/>
      <c r="I445" s="35"/>
      <c r="J445" s="12"/>
      <c r="O445" s="12"/>
      <c r="P445" s="18"/>
      <c r="Q445" s="12"/>
      <c r="R445" s="12"/>
      <c r="S445" s="12"/>
      <c r="T445" s="36"/>
      <c r="U445" s="36"/>
      <c r="V445" s="12"/>
      <c r="W445" s="12"/>
      <c r="X445" s="12"/>
      <c r="Y445" s="12"/>
      <c r="Z445" s="12"/>
    </row>
    <row r="446" customFormat="false" ht="15.75" hidden="false" customHeight="false" outlineLevel="0" collapsed="false">
      <c r="A446" s="12"/>
      <c r="B446" s="34"/>
      <c r="C446" s="12"/>
      <c r="D446" s="12"/>
      <c r="E446" s="12"/>
      <c r="F446" s="12"/>
      <c r="G446" s="18"/>
      <c r="H446" s="35"/>
      <c r="I446" s="35"/>
      <c r="J446" s="12"/>
      <c r="O446" s="12"/>
      <c r="P446" s="18"/>
      <c r="Q446" s="12"/>
      <c r="R446" s="12"/>
      <c r="S446" s="12"/>
      <c r="T446" s="36"/>
      <c r="U446" s="36"/>
      <c r="V446" s="12"/>
      <c r="W446" s="12"/>
      <c r="X446" s="12"/>
      <c r="Y446" s="12"/>
      <c r="Z446" s="12"/>
    </row>
    <row r="447" customFormat="false" ht="15.75" hidden="false" customHeight="false" outlineLevel="0" collapsed="false">
      <c r="A447" s="12"/>
      <c r="B447" s="34"/>
      <c r="C447" s="12"/>
      <c r="D447" s="12"/>
      <c r="E447" s="12"/>
      <c r="F447" s="12"/>
      <c r="G447" s="18"/>
      <c r="H447" s="35"/>
      <c r="I447" s="35"/>
      <c r="J447" s="12"/>
      <c r="O447" s="12"/>
      <c r="P447" s="18"/>
      <c r="Q447" s="12"/>
      <c r="R447" s="12"/>
      <c r="S447" s="12"/>
      <c r="T447" s="36"/>
      <c r="U447" s="36"/>
      <c r="V447" s="12"/>
      <c r="W447" s="12"/>
      <c r="X447" s="12"/>
      <c r="Y447" s="12"/>
      <c r="Z447" s="12"/>
    </row>
    <row r="448" customFormat="false" ht="15.75" hidden="false" customHeight="false" outlineLevel="0" collapsed="false">
      <c r="A448" s="12"/>
      <c r="B448" s="34"/>
      <c r="C448" s="12"/>
      <c r="D448" s="12"/>
      <c r="E448" s="12"/>
      <c r="F448" s="12"/>
      <c r="G448" s="18"/>
      <c r="H448" s="35"/>
      <c r="I448" s="35"/>
      <c r="J448" s="12"/>
      <c r="O448" s="12"/>
      <c r="P448" s="18"/>
      <c r="Q448" s="12"/>
      <c r="R448" s="12"/>
      <c r="S448" s="12"/>
      <c r="T448" s="36"/>
      <c r="U448" s="36"/>
      <c r="V448" s="12"/>
      <c r="W448" s="12"/>
      <c r="X448" s="12"/>
      <c r="Y448" s="12"/>
      <c r="Z448" s="12"/>
    </row>
    <row r="449" customFormat="false" ht="15.75" hidden="false" customHeight="false" outlineLevel="0" collapsed="false">
      <c r="A449" s="12"/>
      <c r="B449" s="34"/>
      <c r="C449" s="12"/>
      <c r="D449" s="12"/>
      <c r="E449" s="12"/>
      <c r="F449" s="12"/>
      <c r="G449" s="18"/>
      <c r="H449" s="35"/>
      <c r="I449" s="35"/>
      <c r="J449" s="12"/>
      <c r="O449" s="12"/>
      <c r="P449" s="18"/>
      <c r="Q449" s="12"/>
      <c r="R449" s="12"/>
      <c r="S449" s="12"/>
      <c r="T449" s="36"/>
      <c r="U449" s="36"/>
      <c r="V449" s="12"/>
      <c r="W449" s="12"/>
      <c r="X449" s="12"/>
      <c r="Y449" s="12"/>
      <c r="Z449" s="12"/>
    </row>
    <row r="450" customFormat="false" ht="15.75" hidden="false" customHeight="false" outlineLevel="0" collapsed="false">
      <c r="A450" s="12"/>
      <c r="B450" s="34"/>
      <c r="C450" s="12"/>
      <c r="D450" s="12"/>
      <c r="E450" s="12"/>
      <c r="F450" s="12"/>
      <c r="G450" s="18"/>
      <c r="H450" s="35"/>
      <c r="I450" s="35"/>
      <c r="J450" s="12"/>
      <c r="O450" s="12"/>
      <c r="P450" s="18"/>
      <c r="Q450" s="12"/>
      <c r="R450" s="12"/>
      <c r="S450" s="12"/>
      <c r="T450" s="36"/>
      <c r="U450" s="36"/>
      <c r="V450" s="12"/>
      <c r="W450" s="12"/>
      <c r="X450" s="12"/>
      <c r="Y450" s="12"/>
      <c r="Z450" s="12"/>
    </row>
    <row r="451" customFormat="false" ht="15.75" hidden="false" customHeight="false" outlineLevel="0" collapsed="false">
      <c r="A451" s="12"/>
      <c r="B451" s="34"/>
      <c r="C451" s="12"/>
      <c r="D451" s="12"/>
      <c r="E451" s="12"/>
      <c r="F451" s="12"/>
      <c r="G451" s="18"/>
      <c r="H451" s="35"/>
      <c r="I451" s="35"/>
      <c r="J451" s="12"/>
      <c r="O451" s="12"/>
      <c r="P451" s="18"/>
      <c r="Q451" s="12"/>
      <c r="R451" s="12"/>
      <c r="S451" s="12"/>
      <c r="T451" s="36"/>
      <c r="U451" s="36"/>
      <c r="V451" s="12"/>
      <c r="W451" s="12"/>
      <c r="X451" s="12"/>
      <c r="Y451" s="12"/>
      <c r="Z451" s="12"/>
    </row>
    <row r="452" customFormat="false" ht="15.75" hidden="false" customHeight="false" outlineLevel="0" collapsed="false">
      <c r="A452" s="12"/>
      <c r="B452" s="34"/>
      <c r="C452" s="12"/>
      <c r="D452" s="12"/>
      <c r="E452" s="12"/>
      <c r="F452" s="12"/>
      <c r="G452" s="18"/>
      <c r="H452" s="35"/>
      <c r="I452" s="35"/>
      <c r="J452" s="12"/>
      <c r="O452" s="12"/>
      <c r="P452" s="18"/>
      <c r="Q452" s="12"/>
      <c r="R452" s="12"/>
      <c r="S452" s="12"/>
      <c r="T452" s="36"/>
      <c r="U452" s="36"/>
      <c r="V452" s="12"/>
      <c r="W452" s="12"/>
      <c r="X452" s="12"/>
      <c r="Y452" s="12"/>
      <c r="Z452" s="12"/>
    </row>
    <row r="453" customFormat="false" ht="15.75" hidden="false" customHeight="false" outlineLevel="0" collapsed="false">
      <c r="A453" s="12"/>
      <c r="B453" s="34"/>
      <c r="C453" s="12"/>
      <c r="D453" s="12"/>
      <c r="E453" s="12"/>
      <c r="F453" s="12"/>
      <c r="G453" s="18"/>
      <c r="H453" s="35"/>
      <c r="I453" s="35"/>
      <c r="J453" s="12"/>
      <c r="O453" s="12"/>
      <c r="P453" s="18"/>
      <c r="Q453" s="12"/>
      <c r="R453" s="12"/>
      <c r="S453" s="12"/>
      <c r="T453" s="36"/>
      <c r="U453" s="36"/>
      <c r="V453" s="12"/>
      <c r="W453" s="12"/>
      <c r="X453" s="12"/>
      <c r="Y453" s="12"/>
      <c r="Z453" s="12"/>
    </row>
    <row r="454" customFormat="false" ht="15.75" hidden="false" customHeight="false" outlineLevel="0" collapsed="false">
      <c r="A454" s="12"/>
      <c r="B454" s="34"/>
      <c r="C454" s="12"/>
      <c r="D454" s="12"/>
      <c r="E454" s="12"/>
      <c r="F454" s="12"/>
      <c r="G454" s="18"/>
      <c r="H454" s="35"/>
      <c r="I454" s="35"/>
      <c r="J454" s="12"/>
      <c r="O454" s="12"/>
      <c r="P454" s="18"/>
      <c r="Q454" s="12"/>
      <c r="R454" s="12"/>
      <c r="S454" s="12"/>
      <c r="T454" s="36"/>
      <c r="U454" s="36"/>
      <c r="V454" s="12"/>
      <c r="W454" s="12"/>
      <c r="X454" s="12"/>
      <c r="Y454" s="12"/>
      <c r="Z454" s="12"/>
    </row>
    <row r="455" customFormat="false" ht="15.75" hidden="false" customHeight="false" outlineLevel="0" collapsed="false">
      <c r="A455" s="12"/>
      <c r="B455" s="34"/>
      <c r="C455" s="12"/>
      <c r="D455" s="12"/>
      <c r="E455" s="12"/>
      <c r="F455" s="12"/>
      <c r="G455" s="18"/>
      <c r="H455" s="35"/>
      <c r="I455" s="35"/>
      <c r="J455" s="12"/>
      <c r="O455" s="12"/>
      <c r="P455" s="18"/>
      <c r="Q455" s="12"/>
      <c r="R455" s="12"/>
      <c r="S455" s="12"/>
      <c r="T455" s="36"/>
      <c r="U455" s="36"/>
      <c r="V455" s="12"/>
      <c r="W455" s="12"/>
      <c r="X455" s="12"/>
      <c r="Y455" s="12"/>
      <c r="Z455" s="12"/>
    </row>
    <row r="456" customFormat="false" ht="15.75" hidden="false" customHeight="false" outlineLevel="0" collapsed="false">
      <c r="A456" s="12"/>
      <c r="B456" s="34"/>
      <c r="C456" s="12"/>
      <c r="D456" s="12"/>
      <c r="E456" s="12"/>
      <c r="F456" s="12"/>
      <c r="G456" s="18"/>
      <c r="H456" s="35"/>
      <c r="I456" s="35"/>
      <c r="J456" s="12"/>
      <c r="O456" s="12"/>
      <c r="P456" s="18"/>
      <c r="Q456" s="12"/>
      <c r="R456" s="12"/>
      <c r="S456" s="12"/>
      <c r="T456" s="36"/>
      <c r="U456" s="36"/>
      <c r="V456" s="12"/>
      <c r="W456" s="12"/>
      <c r="X456" s="12"/>
      <c r="Y456" s="12"/>
      <c r="Z456" s="12"/>
    </row>
    <row r="457" customFormat="false" ht="15.75" hidden="false" customHeight="false" outlineLevel="0" collapsed="false">
      <c r="A457" s="12"/>
      <c r="B457" s="34"/>
      <c r="C457" s="12"/>
      <c r="D457" s="12"/>
      <c r="E457" s="12"/>
      <c r="F457" s="12"/>
      <c r="G457" s="18"/>
      <c r="H457" s="35"/>
      <c r="I457" s="35"/>
      <c r="J457" s="12"/>
      <c r="O457" s="12"/>
      <c r="P457" s="18"/>
      <c r="Q457" s="12"/>
      <c r="R457" s="12"/>
      <c r="S457" s="12"/>
      <c r="T457" s="36"/>
      <c r="U457" s="36"/>
      <c r="V457" s="12"/>
      <c r="W457" s="12"/>
      <c r="X457" s="12"/>
      <c r="Y457" s="12"/>
      <c r="Z457" s="12"/>
    </row>
    <row r="458" customFormat="false" ht="15.75" hidden="false" customHeight="false" outlineLevel="0" collapsed="false">
      <c r="A458" s="12"/>
      <c r="B458" s="34"/>
      <c r="C458" s="12"/>
      <c r="D458" s="12"/>
      <c r="E458" s="12"/>
      <c r="F458" s="12"/>
      <c r="G458" s="18"/>
      <c r="H458" s="35"/>
      <c r="I458" s="35"/>
      <c r="J458" s="12"/>
      <c r="O458" s="12"/>
      <c r="P458" s="18"/>
      <c r="Q458" s="12"/>
      <c r="R458" s="12"/>
      <c r="S458" s="12"/>
      <c r="T458" s="36"/>
      <c r="U458" s="36"/>
      <c r="V458" s="12"/>
      <c r="W458" s="12"/>
      <c r="X458" s="12"/>
      <c r="Y458" s="12"/>
      <c r="Z458" s="12"/>
    </row>
    <row r="459" customFormat="false" ht="15.75" hidden="false" customHeight="false" outlineLevel="0" collapsed="false">
      <c r="A459" s="12"/>
      <c r="B459" s="34"/>
      <c r="C459" s="12"/>
      <c r="D459" s="12"/>
      <c r="E459" s="12"/>
      <c r="F459" s="12"/>
      <c r="G459" s="18"/>
      <c r="H459" s="35"/>
      <c r="I459" s="35"/>
      <c r="J459" s="12"/>
      <c r="O459" s="12"/>
      <c r="P459" s="18"/>
      <c r="Q459" s="12"/>
      <c r="R459" s="12"/>
      <c r="S459" s="12"/>
      <c r="T459" s="36"/>
      <c r="U459" s="36"/>
      <c r="V459" s="12"/>
      <c r="W459" s="12"/>
      <c r="X459" s="12"/>
      <c r="Y459" s="12"/>
      <c r="Z459" s="12"/>
    </row>
    <row r="460" customFormat="false" ht="15.75" hidden="false" customHeight="false" outlineLevel="0" collapsed="false">
      <c r="A460" s="12"/>
      <c r="B460" s="34"/>
      <c r="C460" s="12"/>
      <c r="D460" s="12"/>
      <c r="E460" s="12"/>
      <c r="F460" s="12"/>
      <c r="G460" s="18"/>
      <c r="H460" s="35"/>
      <c r="I460" s="35"/>
      <c r="J460" s="12"/>
      <c r="O460" s="12"/>
      <c r="P460" s="18"/>
      <c r="Q460" s="12"/>
      <c r="R460" s="12"/>
      <c r="S460" s="12"/>
      <c r="T460" s="36"/>
      <c r="U460" s="36"/>
      <c r="V460" s="12"/>
      <c r="W460" s="12"/>
      <c r="X460" s="12"/>
      <c r="Y460" s="12"/>
      <c r="Z460" s="12"/>
    </row>
    <row r="461" customFormat="false" ht="15.75" hidden="false" customHeight="false" outlineLevel="0" collapsed="false">
      <c r="A461" s="12"/>
      <c r="B461" s="34"/>
      <c r="C461" s="12"/>
      <c r="D461" s="12"/>
      <c r="E461" s="12"/>
      <c r="F461" s="12"/>
      <c r="G461" s="18"/>
      <c r="H461" s="35"/>
      <c r="I461" s="35"/>
      <c r="J461" s="12"/>
      <c r="O461" s="12"/>
      <c r="P461" s="18"/>
      <c r="Q461" s="12"/>
      <c r="R461" s="12"/>
      <c r="S461" s="12"/>
      <c r="T461" s="36"/>
      <c r="U461" s="36"/>
      <c r="V461" s="12"/>
      <c r="W461" s="12"/>
      <c r="X461" s="12"/>
      <c r="Y461" s="12"/>
      <c r="Z461" s="12"/>
    </row>
    <row r="462" customFormat="false" ht="15.75" hidden="false" customHeight="false" outlineLevel="0" collapsed="false">
      <c r="A462" s="12"/>
      <c r="B462" s="34"/>
      <c r="C462" s="12"/>
      <c r="D462" s="12"/>
      <c r="E462" s="12"/>
      <c r="F462" s="12"/>
      <c r="G462" s="18"/>
      <c r="H462" s="35"/>
      <c r="I462" s="35"/>
      <c r="J462" s="12"/>
      <c r="O462" s="12"/>
      <c r="P462" s="18"/>
      <c r="Q462" s="12"/>
      <c r="R462" s="12"/>
      <c r="S462" s="12"/>
      <c r="T462" s="36"/>
      <c r="U462" s="36"/>
      <c r="V462" s="12"/>
      <c r="W462" s="12"/>
      <c r="X462" s="12"/>
      <c r="Y462" s="12"/>
      <c r="Z462" s="12"/>
    </row>
    <row r="463" customFormat="false" ht="15.75" hidden="false" customHeight="false" outlineLevel="0" collapsed="false">
      <c r="A463" s="12"/>
      <c r="B463" s="34"/>
      <c r="C463" s="12"/>
      <c r="D463" s="12"/>
      <c r="E463" s="12"/>
      <c r="F463" s="12"/>
      <c r="G463" s="18"/>
      <c r="H463" s="35"/>
      <c r="I463" s="35"/>
      <c r="J463" s="12"/>
      <c r="O463" s="12"/>
      <c r="P463" s="18"/>
      <c r="Q463" s="12"/>
      <c r="R463" s="12"/>
      <c r="S463" s="12"/>
      <c r="T463" s="36"/>
      <c r="U463" s="36"/>
      <c r="V463" s="12"/>
      <c r="W463" s="12"/>
      <c r="X463" s="12"/>
      <c r="Y463" s="12"/>
      <c r="Z463" s="12"/>
    </row>
    <row r="464" customFormat="false" ht="15.75" hidden="false" customHeight="false" outlineLevel="0" collapsed="false">
      <c r="A464" s="12"/>
      <c r="B464" s="34"/>
      <c r="C464" s="12"/>
      <c r="D464" s="12"/>
      <c r="E464" s="12"/>
      <c r="F464" s="12"/>
      <c r="G464" s="18"/>
      <c r="H464" s="35"/>
      <c r="I464" s="35"/>
      <c r="J464" s="12"/>
      <c r="O464" s="12"/>
      <c r="P464" s="18"/>
      <c r="Q464" s="12"/>
      <c r="R464" s="12"/>
      <c r="S464" s="12"/>
      <c r="T464" s="36"/>
      <c r="U464" s="36"/>
      <c r="V464" s="12"/>
      <c r="W464" s="12"/>
      <c r="X464" s="12"/>
      <c r="Y464" s="12"/>
      <c r="Z464" s="12"/>
    </row>
    <row r="465" customFormat="false" ht="15.75" hidden="false" customHeight="false" outlineLevel="0" collapsed="false">
      <c r="A465" s="12"/>
      <c r="B465" s="34"/>
      <c r="C465" s="12"/>
      <c r="D465" s="12"/>
      <c r="E465" s="12"/>
      <c r="F465" s="12"/>
      <c r="G465" s="18"/>
      <c r="H465" s="35"/>
      <c r="I465" s="35"/>
      <c r="J465" s="12"/>
      <c r="O465" s="12"/>
      <c r="P465" s="18"/>
      <c r="Q465" s="12"/>
      <c r="R465" s="12"/>
      <c r="S465" s="12"/>
      <c r="T465" s="36"/>
      <c r="U465" s="36"/>
      <c r="V465" s="12"/>
      <c r="W465" s="12"/>
      <c r="X465" s="12"/>
      <c r="Y465" s="12"/>
      <c r="Z465" s="12"/>
    </row>
    <row r="466" customFormat="false" ht="15.75" hidden="false" customHeight="false" outlineLevel="0" collapsed="false">
      <c r="A466" s="12"/>
      <c r="B466" s="34"/>
      <c r="C466" s="12"/>
      <c r="D466" s="12"/>
      <c r="E466" s="12"/>
      <c r="F466" s="12"/>
      <c r="G466" s="18"/>
      <c r="H466" s="35"/>
      <c r="I466" s="35"/>
      <c r="J466" s="12"/>
      <c r="O466" s="12"/>
      <c r="P466" s="18"/>
      <c r="Q466" s="12"/>
      <c r="R466" s="12"/>
      <c r="S466" s="12"/>
      <c r="T466" s="36"/>
      <c r="U466" s="36"/>
      <c r="V466" s="12"/>
      <c r="W466" s="12"/>
      <c r="X466" s="12"/>
      <c r="Y466" s="12"/>
      <c r="Z466" s="12"/>
    </row>
    <row r="467" customFormat="false" ht="15.75" hidden="false" customHeight="false" outlineLevel="0" collapsed="false">
      <c r="A467" s="12"/>
      <c r="B467" s="34"/>
      <c r="C467" s="12"/>
      <c r="D467" s="12"/>
      <c r="E467" s="12"/>
      <c r="F467" s="12"/>
      <c r="G467" s="18"/>
      <c r="H467" s="35"/>
      <c r="I467" s="35"/>
      <c r="J467" s="12"/>
      <c r="O467" s="12"/>
      <c r="P467" s="18"/>
      <c r="Q467" s="12"/>
      <c r="R467" s="12"/>
      <c r="S467" s="12"/>
      <c r="T467" s="36"/>
      <c r="U467" s="36"/>
      <c r="V467" s="12"/>
      <c r="W467" s="12"/>
      <c r="X467" s="12"/>
      <c r="Y467" s="12"/>
      <c r="Z467" s="12"/>
    </row>
    <row r="468" customFormat="false" ht="15.75" hidden="false" customHeight="false" outlineLevel="0" collapsed="false">
      <c r="A468" s="12"/>
      <c r="B468" s="34"/>
      <c r="C468" s="12"/>
      <c r="D468" s="12"/>
      <c r="E468" s="12"/>
      <c r="F468" s="12"/>
      <c r="G468" s="18"/>
      <c r="H468" s="35"/>
      <c r="I468" s="35"/>
      <c r="J468" s="12"/>
      <c r="O468" s="12"/>
      <c r="P468" s="18"/>
      <c r="Q468" s="12"/>
      <c r="R468" s="12"/>
      <c r="S468" s="12"/>
      <c r="T468" s="36"/>
      <c r="U468" s="36"/>
      <c r="V468" s="12"/>
      <c r="W468" s="12"/>
      <c r="X468" s="12"/>
      <c r="Y468" s="12"/>
      <c r="Z468" s="12"/>
    </row>
    <row r="469" customFormat="false" ht="15.75" hidden="false" customHeight="false" outlineLevel="0" collapsed="false">
      <c r="A469" s="12"/>
      <c r="B469" s="34"/>
      <c r="C469" s="12"/>
      <c r="D469" s="12"/>
      <c r="E469" s="12"/>
      <c r="F469" s="12"/>
      <c r="G469" s="18"/>
      <c r="H469" s="35"/>
      <c r="I469" s="35"/>
      <c r="J469" s="12"/>
      <c r="O469" s="12"/>
      <c r="P469" s="18"/>
      <c r="Q469" s="12"/>
      <c r="R469" s="12"/>
      <c r="S469" s="12"/>
      <c r="T469" s="36"/>
      <c r="U469" s="36"/>
      <c r="V469" s="12"/>
      <c r="W469" s="12"/>
      <c r="X469" s="12"/>
      <c r="Y469" s="12"/>
      <c r="Z469" s="12"/>
    </row>
    <row r="470" customFormat="false" ht="15.75" hidden="false" customHeight="false" outlineLevel="0" collapsed="false">
      <c r="A470" s="12"/>
      <c r="B470" s="34"/>
      <c r="C470" s="12"/>
      <c r="D470" s="12"/>
      <c r="E470" s="12"/>
      <c r="F470" s="12"/>
      <c r="G470" s="18"/>
      <c r="H470" s="35"/>
      <c r="I470" s="35"/>
      <c r="J470" s="12"/>
      <c r="O470" s="12"/>
      <c r="P470" s="18"/>
      <c r="Q470" s="12"/>
      <c r="R470" s="12"/>
      <c r="S470" s="12"/>
      <c r="T470" s="36"/>
      <c r="U470" s="36"/>
      <c r="V470" s="12"/>
      <c r="W470" s="12"/>
      <c r="X470" s="12"/>
      <c r="Y470" s="12"/>
      <c r="Z470" s="12"/>
    </row>
    <row r="471" customFormat="false" ht="15.75" hidden="false" customHeight="false" outlineLevel="0" collapsed="false">
      <c r="A471" s="12"/>
      <c r="B471" s="34"/>
      <c r="C471" s="12"/>
      <c r="D471" s="12"/>
      <c r="E471" s="12"/>
      <c r="F471" s="12"/>
      <c r="G471" s="18"/>
      <c r="H471" s="35"/>
      <c r="I471" s="35"/>
      <c r="J471" s="12"/>
      <c r="O471" s="12"/>
      <c r="P471" s="18"/>
      <c r="Q471" s="12"/>
      <c r="R471" s="12"/>
      <c r="S471" s="12"/>
      <c r="T471" s="36"/>
      <c r="U471" s="36"/>
      <c r="V471" s="12"/>
      <c r="W471" s="12"/>
      <c r="X471" s="12"/>
      <c r="Y471" s="12"/>
      <c r="Z471" s="12"/>
    </row>
    <row r="472" customFormat="false" ht="15.75" hidden="false" customHeight="false" outlineLevel="0" collapsed="false">
      <c r="A472" s="12"/>
      <c r="B472" s="34"/>
      <c r="C472" s="12"/>
      <c r="D472" s="12"/>
      <c r="E472" s="12"/>
      <c r="F472" s="12"/>
      <c r="G472" s="18"/>
      <c r="H472" s="35"/>
      <c r="I472" s="35"/>
      <c r="J472" s="12"/>
      <c r="O472" s="12"/>
      <c r="P472" s="18"/>
      <c r="Q472" s="12"/>
      <c r="R472" s="12"/>
      <c r="S472" s="12"/>
      <c r="T472" s="36"/>
      <c r="U472" s="36"/>
      <c r="V472" s="12"/>
      <c r="W472" s="12"/>
      <c r="X472" s="12"/>
      <c r="Y472" s="12"/>
      <c r="Z472" s="12"/>
    </row>
    <row r="473" customFormat="false" ht="15.75" hidden="false" customHeight="false" outlineLevel="0" collapsed="false">
      <c r="A473" s="12"/>
      <c r="B473" s="34"/>
      <c r="C473" s="12"/>
      <c r="D473" s="12"/>
      <c r="E473" s="12"/>
      <c r="F473" s="12"/>
      <c r="G473" s="18"/>
      <c r="H473" s="35"/>
      <c r="I473" s="35"/>
      <c r="J473" s="12"/>
      <c r="O473" s="12"/>
      <c r="P473" s="18"/>
      <c r="Q473" s="12"/>
      <c r="R473" s="12"/>
      <c r="S473" s="12"/>
      <c r="T473" s="36"/>
      <c r="U473" s="36"/>
      <c r="V473" s="12"/>
      <c r="W473" s="12"/>
      <c r="X473" s="12"/>
      <c r="Y473" s="12"/>
      <c r="Z473" s="12"/>
    </row>
    <row r="474" customFormat="false" ht="15.75" hidden="false" customHeight="false" outlineLevel="0" collapsed="false">
      <c r="A474" s="12"/>
      <c r="B474" s="34"/>
      <c r="C474" s="12"/>
      <c r="D474" s="12"/>
      <c r="E474" s="12"/>
      <c r="F474" s="12"/>
      <c r="G474" s="18"/>
      <c r="H474" s="35"/>
      <c r="I474" s="35"/>
      <c r="J474" s="12"/>
      <c r="O474" s="12"/>
      <c r="P474" s="18"/>
      <c r="Q474" s="12"/>
      <c r="R474" s="12"/>
      <c r="S474" s="12"/>
      <c r="T474" s="36"/>
      <c r="U474" s="36"/>
      <c r="V474" s="12"/>
      <c r="W474" s="12"/>
      <c r="X474" s="12"/>
      <c r="Y474" s="12"/>
      <c r="Z474" s="12"/>
    </row>
    <row r="475" customFormat="false" ht="15.75" hidden="false" customHeight="false" outlineLevel="0" collapsed="false">
      <c r="A475" s="12"/>
      <c r="B475" s="34"/>
      <c r="C475" s="12"/>
      <c r="D475" s="12"/>
      <c r="E475" s="12"/>
      <c r="F475" s="12"/>
      <c r="G475" s="18"/>
      <c r="H475" s="35"/>
      <c r="I475" s="35"/>
      <c r="J475" s="12"/>
      <c r="O475" s="12"/>
      <c r="P475" s="18"/>
      <c r="Q475" s="12"/>
      <c r="R475" s="12"/>
      <c r="S475" s="12"/>
      <c r="T475" s="36"/>
      <c r="U475" s="36"/>
      <c r="V475" s="12"/>
      <c r="W475" s="12"/>
      <c r="X475" s="12"/>
      <c r="Y475" s="12"/>
      <c r="Z475" s="12"/>
    </row>
    <row r="476" customFormat="false" ht="15.75" hidden="false" customHeight="false" outlineLevel="0" collapsed="false">
      <c r="A476" s="12"/>
      <c r="B476" s="34"/>
      <c r="C476" s="12"/>
      <c r="D476" s="12"/>
      <c r="E476" s="12"/>
      <c r="F476" s="12"/>
      <c r="G476" s="18"/>
      <c r="H476" s="35"/>
      <c r="I476" s="35"/>
      <c r="J476" s="12"/>
      <c r="O476" s="12"/>
      <c r="P476" s="18"/>
      <c r="Q476" s="12"/>
      <c r="R476" s="12"/>
      <c r="S476" s="12"/>
      <c r="T476" s="36"/>
      <c r="U476" s="36"/>
      <c r="V476" s="12"/>
      <c r="W476" s="12"/>
      <c r="X476" s="12"/>
      <c r="Y476" s="12"/>
      <c r="Z476" s="12"/>
    </row>
    <row r="477" customFormat="false" ht="15.75" hidden="false" customHeight="false" outlineLevel="0" collapsed="false">
      <c r="A477" s="12"/>
      <c r="B477" s="34"/>
      <c r="C477" s="12"/>
      <c r="D477" s="12"/>
      <c r="E477" s="12"/>
      <c r="F477" s="12"/>
      <c r="G477" s="18"/>
      <c r="H477" s="35"/>
      <c r="I477" s="35"/>
      <c r="J477" s="12"/>
      <c r="O477" s="12"/>
      <c r="P477" s="18"/>
      <c r="Q477" s="12"/>
      <c r="R477" s="12"/>
      <c r="S477" s="12"/>
      <c r="T477" s="36"/>
      <c r="U477" s="36"/>
      <c r="V477" s="12"/>
      <c r="W477" s="12"/>
      <c r="X477" s="12"/>
      <c r="Y477" s="12"/>
      <c r="Z477" s="12"/>
    </row>
    <row r="478" customFormat="false" ht="15.75" hidden="false" customHeight="false" outlineLevel="0" collapsed="false">
      <c r="A478" s="12"/>
      <c r="B478" s="34"/>
      <c r="C478" s="12"/>
      <c r="D478" s="12"/>
      <c r="E478" s="12"/>
      <c r="F478" s="12"/>
      <c r="G478" s="18"/>
      <c r="H478" s="35"/>
      <c r="I478" s="35"/>
      <c r="J478" s="12"/>
      <c r="O478" s="12"/>
      <c r="P478" s="18"/>
      <c r="Q478" s="12"/>
      <c r="R478" s="12"/>
      <c r="S478" s="12"/>
      <c r="T478" s="36"/>
      <c r="U478" s="36"/>
      <c r="V478" s="12"/>
      <c r="W478" s="12"/>
      <c r="X478" s="12"/>
      <c r="Y478" s="12"/>
      <c r="Z478" s="12"/>
    </row>
    <row r="479" customFormat="false" ht="15.75" hidden="false" customHeight="false" outlineLevel="0" collapsed="false">
      <c r="A479" s="12"/>
      <c r="B479" s="34"/>
      <c r="C479" s="12"/>
      <c r="D479" s="12"/>
      <c r="E479" s="12"/>
      <c r="F479" s="12"/>
      <c r="G479" s="18"/>
      <c r="H479" s="35"/>
      <c r="I479" s="35"/>
      <c r="J479" s="12"/>
      <c r="O479" s="12"/>
      <c r="P479" s="18"/>
      <c r="Q479" s="12"/>
      <c r="R479" s="12"/>
      <c r="S479" s="12"/>
      <c r="T479" s="36"/>
      <c r="U479" s="36"/>
      <c r="V479" s="12"/>
      <c r="W479" s="12"/>
      <c r="X479" s="12"/>
      <c r="Y479" s="12"/>
      <c r="Z479" s="12"/>
    </row>
    <row r="480" customFormat="false" ht="15.75" hidden="false" customHeight="false" outlineLevel="0" collapsed="false">
      <c r="A480" s="12"/>
      <c r="B480" s="34"/>
      <c r="C480" s="12"/>
      <c r="D480" s="12"/>
      <c r="E480" s="12"/>
      <c r="F480" s="12"/>
      <c r="G480" s="18"/>
      <c r="H480" s="35"/>
      <c r="I480" s="35"/>
      <c r="J480" s="12"/>
      <c r="O480" s="12"/>
      <c r="P480" s="18"/>
      <c r="Q480" s="12"/>
      <c r="R480" s="12"/>
      <c r="S480" s="12"/>
      <c r="T480" s="36"/>
      <c r="U480" s="36"/>
      <c r="V480" s="12"/>
      <c r="W480" s="12"/>
      <c r="X480" s="12"/>
      <c r="Y480" s="12"/>
      <c r="Z480" s="12"/>
    </row>
    <row r="481" customFormat="false" ht="15.75" hidden="false" customHeight="false" outlineLevel="0" collapsed="false">
      <c r="A481" s="12"/>
      <c r="B481" s="34"/>
      <c r="C481" s="12"/>
      <c r="D481" s="12"/>
      <c r="E481" s="12"/>
      <c r="F481" s="12"/>
      <c r="G481" s="18"/>
      <c r="H481" s="35"/>
      <c r="I481" s="35"/>
      <c r="J481" s="12"/>
      <c r="O481" s="12"/>
      <c r="P481" s="18"/>
      <c r="Q481" s="12"/>
      <c r="R481" s="12"/>
      <c r="S481" s="12"/>
      <c r="T481" s="36"/>
      <c r="U481" s="36"/>
      <c r="V481" s="12"/>
      <c r="W481" s="12"/>
      <c r="X481" s="12"/>
      <c r="Y481" s="12"/>
      <c r="Z481" s="12"/>
    </row>
    <row r="482" customFormat="false" ht="15.75" hidden="false" customHeight="false" outlineLevel="0" collapsed="false">
      <c r="A482" s="12"/>
      <c r="B482" s="34"/>
      <c r="C482" s="12"/>
      <c r="D482" s="12"/>
      <c r="E482" s="12"/>
      <c r="F482" s="12"/>
      <c r="G482" s="18"/>
      <c r="H482" s="35"/>
      <c r="I482" s="35"/>
      <c r="J482" s="12"/>
      <c r="O482" s="12"/>
      <c r="P482" s="18"/>
      <c r="Q482" s="12"/>
      <c r="R482" s="12"/>
      <c r="S482" s="12"/>
      <c r="T482" s="36"/>
      <c r="U482" s="36"/>
      <c r="V482" s="12"/>
      <c r="W482" s="12"/>
      <c r="X482" s="12"/>
      <c r="Y482" s="12"/>
      <c r="Z482" s="12"/>
    </row>
    <row r="483" customFormat="false" ht="15.75" hidden="false" customHeight="false" outlineLevel="0" collapsed="false">
      <c r="A483" s="12"/>
      <c r="B483" s="34"/>
      <c r="C483" s="12"/>
      <c r="D483" s="12"/>
      <c r="E483" s="12"/>
      <c r="F483" s="12"/>
      <c r="G483" s="18"/>
      <c r="H483" s="35"/>
      <c r="I483" s="35"/>
      <c r="J483" s="12"/>
      <c r="O483" s="12"/>
      <c r="P483" s="18"/>
      <c r="Q483" s="12"/>
      <c r="R483" s="12"/>
      <c r="S483" s="12"/>
      <c r="T483" s="36"/>
      <c r="U483" s="36"/>
      <c r="V483" s="12"/>
      <c r="W483" s="12"/>
      <c r="X483" s="12"/>
      <c r="Y483" s="12"/>
      <c r="Z483" s="12"/>
    </row>
    <row r="484" customFormat="false" ht="15.75" hidden="false" customHeight="false" outlineLevel="0" collapsed="false">
      <c r="A484" s="12"/>
      <c r="B484" s="34"/>
      <c r="C484" s="12"/>
      <c r="D484" s="12"/>
      <c r="E484" s="12"/>
      <c r="F484" s="12"/>
      <c r="G484" s="18"/>
      <c r="H484" s="35"/>
      <c r="I484" s="35"/>
      <c r="J484" s="12"/>
      <c r="O484" s="12"/>
      <c r="P484" s="18"/>
      <c r="Q484" s="12"/>
      <c r="R484" s="12"/>
      <c r="S484" s="12"/>
      <c r="T484" s="36"/>
      <c r="U484" s="36"/>
      <c r="V484" s="12"/>
      <c r="W484" s="12"/>
      <c r="X484" s="12"/>
      <c r="Y484" s="12"/>
      <c r="Z484" s="12"/>
    </row>
    <row r="485" customFormat="false" ht="15.75" hidden="false" customHeight="false" outlineLevel="0" collapsed="false">
      <c r="A485" s="12"/>
      <c r="B485" s="34"/>
      <c r="C485" s="12"/>
      <c r="D485" s="12"/>
      <c r="E485" s="12"/>
      <c r="F485" s="12"/>
      <c r="G485" s="18"/>
      <c r="H485" s="35"/>
      <c r="I485" s="35"/>
      <c r="J485" s="12"/>
      <c r="O485" s="12"/>
      <c r="P485" s="18"/>
      <c r="Q485" s="12"/>
      <c r="R485" s="12"/>
      <c r="S485" s="12"/>
      <c r="T485" s="36"/>
      <c r="U485" s="36"/>
      <c r="V485" s="12"/>
      <c r="W485" s="12"/>
      <c r="X485" s="12"/>
      <c r="Y485" s="12"/>
      <c r="Z485" s="12"/>
    </row>
    <row r="486" customFormat="false" ht="15.75" hidden="false" customHeight="false" outlineLevel="0" collapsed="false">
      <c r="A486" s="12"/>
      <c r="B486" s="34"/>
      <c r="C486" s="12"/>
      <c r="D486" s="12"/>
      <c r="E486" s="12"/>
      <c r="F486" s="12"/>
      <c r="G486" s="18"/>
      <c r="H486" s="35"/>
      <c r="I486" s="35"/>
      <c r="J486" s="12"/>
      <c r="O486" s="12"/>
      <c r="P486" s="18"/>
      <c r="Q486" s="12"/>
      <c r="R486" s="12"/>
      <c r="S486" s="12"/>
      <c r="T486" s="36"/>
      <c r="U486" s="36"/>
      <c r="V486" s="12"/>
      <c r="W486" s="12"/>
      <c r="X486" s="12"/>
      <c r="Y486" s="12"/>
      <c r="Z486" s="12"/>
    </row>
    <row r="487" customFormat="false" ht="15.75" hidden="false" customHeight="false" outlineLevel="0" collapsed="false">
      <c r="A487" s="12"/>
      <c r="B487" s="34"/>
      <c r="C487" s="12"/>
      <c r="D487" s="12"/>
      <c r="E487" s="12"/>
      <c r="F487" s="12"/>
      <c r="G487" s="18"/>
      <c r="H487" s="35"/>
      <c r="I487" s="35"/>
      <c r="J487" s="12"/>
      <c r="O487" s="12"/>
      <c r="P487" s="18"/>
      <c r="Q487" s="12"/>
      <c r="R487" s="12"/>
      <c r="S487" s="12"/>
      <c r="T487" s="36"/>
      <c r="U487" s="36"/>
      <c r="V487" s="12"/>
      <c r="W487" s="12"/>
      <c r="X487" s="12"/>
      <c r="Y487" s="12"/>
      <c r="Z487" s="12"/>
    </row>
    <row r="488" customFormat="false" ht="15.75" hidden="false" customHeight="false" outlineLevel="0" collapsed="false">
      <c r="A488" s="12"/>
      <c r="B488" s="34"/>
      <c r="C488" s="12"/>
      <c r="D488" s="12"/>
      <c r="E488" s="12"/>
      <c r="F488" s="12"/>
      <c r="G488" s="18"/>
      <c r="H488" s="35"/>
      <c r="I488" s="35"/>
      <c r="J488" s="12"/>
      <c r="O488" s="12"/>
      <c r="P488" s="18"/>
      <c r="Q488" s="12"/>
      <c r="R488" s="12"/>
      <c r="S488" s="12"/>
      <c r="T488" s="36"/>
      <c r="U488" s="36"/>
      <c r="V488" s="12"/>
      <c r="W488" s="12"/>
      <c r="X488" s="12"/>
      <c r="Y488" s="12"/>
      <c r="Z488" s="12"/>
    </row>
    <row r="489" customFormat="false" ht="15.75" hidden="false" customHeight="false" outlineLevel="0" collapsed="false">
      <c r="A489" s="12"/>
      <c r="B489" s="34"/>
      <c r="C489" s="12"/>
      <c r="D489" s="12"/>
      <c r="E489" s="12"/>
      <c r="F489" s="12"/>
      <c r="G489" s="18"/>
      <c r="H489" s="35"/>
      <c r="I489" s="35"/>
      <c r="J489" s="12"/>
      <c r="O489" s="12"/>
      <c r="P489" s="18"/>
      <c r="Q489" s="12"/>
      <c r="R489" s="12"/>
      <c r="S489" s="12"/>
      <c r="T489" s="36"/>
      <c r="U489" s="36"/>
      <c r="V489" s="12"/>
      <c r="W489" s="12"/>
      <c r="X489" s="12"/>
      <c r="Y489" s="12"/>
      <c r="Z489" s="12"/>
    </row>
    <row r="490" customFormat="false" ht="15.75" hidden="false" customHeight="false" outlineLevel="0" collapsed="false">
      <c r="A490" s="12"/>
      <c r="B490" s="34"/>
      <c r="C490" s="12"/>
      <c r="D490" s="12"/>
      <c r="E490" s="12"/>
      <c r="F490" s="12"/>
      <c r="G490" s="18"/>
      <c r="H490" s="35"/>
      <c r="I490" s="35"/>
      <c r="J490" s="12"/>
      <c r="O490" s="12"/>
      <c r="P490" s="18"/>
      <c r="Q490" s="12"/>
      <c r="R490" s="12"/>
      <c r="S490" s="12"/>
      <c r="T490" s="36"/>
      <c r="U490" s="36"/>
      <c r="V490" s="12"/>
      <c r="W490" s="12"/>
      <c r="X490" s="12"/>
      <c r="Y490" s="12"/>
      <c r="Z490" s="12"/>
    </row>
    <row r="491" customFormat="false" ht="15.75" hidden="false" customHeight="false" outlineLevel="0" collapsed="false">
      <c r="A491" s="12"/>
      <c r="B491" s="34"/>
      <c r="C491" s="12"/>
      <c r="D491" s="12"/>
      <c r="E491" s="12"/>
      <c r="F491" s="12"/>
      <c r="G491" s="18"/>
      <c r="H491" s="35"/>
      <c r="I491" s="35"/>
      <c r="J491" s="12"/>
      <c r="O491" s="12"/>
      <c r="P491" s="18"/>
      <c r="Q491" s="12"/>
      <c r="R491" s="12"/>
      <c r="S491" s="12"/>
      <c r="T491" s="36"/>
      <c r="U491" s="36"/>
      <c r="V491" s="12"/>
      <c r="W491" s="12"/>
      <c r="X491" s="12"/>
      <c r="Y491" s="12"/>
      <c r="Z491" s="12"/>
    </row>
    <row r="492" customFormat="false" ht="15.75" hidden="false" customHeight="false" outlineLevel="0" collapsed="false">
      <c r="A492" s="12"/>
      <c r="B492" s="34"/>
      <c r="C492" s="12"/>
      <c r="D492" s="12"/>
      <c r="E492" s="12"/>
      <c r="F492" s="12"/>
      <c r="G492" s="18"/>
      <c r="H492" s="35"/>
      <c r="I492" s="35"/>
      <c r="J492" s="12"/>
      <c r="O492" s="12"/>
      <c r="P492" s="18"/>
      <c r="Q492" s="12"/>
      <c r="R492" s="12"/>
      <c r="S492" s="12"/>
      <c r="T492" s="36"/>
      <c r="U492" s="36"/>
      <c r="V492" s="12"/>
      <c r="W492" s="12"/>
      <c r="X492" s="12"/>
      <c r="Y492" s="12"/>
      <c r="Z492" s="12"/>
    </row>
    <row r="493" customFormat="false" ht="15.75" hidden="false" customHeight="false" outlineLevel="0" collapsed="false">
      <c r="A493" s="12"/>
      <c r="B493" s="34"/>
      <c r="C493" s="12"/>
      <c r="D493" s="12"/>
      <c r="E493" s="12"/>
      <c r="F493" s="12"/>
      <c r="G493" s="18"/>
      <c r="H493" s="35"/>
      <c r="I493" s="35"/>
      <c r="J493" s="12"/>
      <c r="O493" s="12"/>
      <c r="P493" s="18"/>
      <c r="Q493" s="12"/>
      <c r="R493" s="12"/>
      <c r="S493" s="12"/>
      <c r="T493" s="36"/>
      <c r="U493" s="36"/>
      <c r="V493" s="12"/>
      <c r="W493" s="12"/>
      <c r="X493" s="12"/>
      <c r="Y493" s="12"/>
      <c r="Z493" s="12"/>
    </row>
    <row r="494" customFormat="false" ht="15.75" hidden="false" customHeight="false" outlineLevel="0" collapsed="false">
      <c r="A494" s="12"/>
      <c r="B494" s="34"/>
      <c r="C494" s="12"/>
      <c r="D494" s="12"/>
      <c r="E494" s="12"/>
      <c r="F494" s="12"/>
      <c r="G494" s="18"/>
      <c r="H494" s="35"/>
      <c r="I494" s="35"/>
      <c r="J494" s="12"/>
      <c r="O494" s="12"/>
      <c r="P494" s="18"/>
      <c r="Q494" s="12"/>
      <c r="R494" s="12"/>
      <c r="S494" s="12"/>
      <c r="T494" s="36"/>
      <c r="U494" s="36"/>
      <c r="V494" s="12"/>
      <c r="W494" s="12"/>
      <c r="X494" s="12"/>
      <c r="Y494" s="12"/>
      <c r="Z494" s="12"/>
    </row>
    <row r="495" customFormat="false" ht="15.75" hidden="false" customHeight="false" outlineLevel="0" collapsed="false">
      <c r="A495" s="12"/>
      <c r="B495" s="34"/>
      <c r="C495" s="12"/>
      <c r="D495" s="12"/>
      <c r="E495" s="12"/>
      <c r="F495" s="12"/>
      <c r="G495" s="18"/>
      <c r="H495" s="35"/>
      <c r="I495" s="35"/>
      <c r="J495" s="12"/>
      <c r="O495" s="12"/>
      <c r="P495" s="18"/>
      <c r="Q495" s="12"/>
      <c r="R495" s="12"/>
      <c r="S495" s="12"/>
      <c r="T495" s="36"/>
      <c r="U495" s="36"/>
      <c r="V495" s="12"/>
      <c r="W495" s="12"/>
      <c r="X495" s="12"/>
      <c r="Y495" s="12"/>
      <c r="Z495" s="12"/>
    </row>
    <row r="496" customFormat="false" ht="15.75" hidden="false" customHeight="false" outlineLevel="0" collapsed="false">
      <c r="A496" s="12"/>
      <c r="B496" s="34"/>
      <c r="C496" s="12"/>
      <c r="D496" s="12"/>
      <c r="E496" s="12"/>
      <c r="F496" s="12"/>
      <c r="G496" s="18"/>
      <c r="H496" s="35"/>
      <c r="I496" s="35"/>
      <c r="J496" s="12"/>
      <c r="O496" s="12"/>
      <c r="P496" s="18"/>
      <c r="Q496" s="12"/>
      <c r="R496" s="12"/>
      <c r="S496" s="12"/>
      <c r="T496" s="36"/>
      <c r="U496" s="36"/>
      <c r="V496" s="12"/>
      <c r="W496" s="12"/>
      <c r="X496" s="12"/>
      <c r="Y496" s="12"/>
      <c r="Z496" s="12"/>
    </row>
    <row r="497" customFormat="false" ht="15.75" hidden="false" customHeight="false" outlineLevel="0" collapsed="false">
      <c r="A497" s="12"/>
      <c r="B497" s="34"/>
      <c r="C497" s="12"/>
      <c r="D497" s="12"/>
      <c r="E497" s="12"/>
      <c r="F497" s="12"/>
      <c r="G497" s="18"/>
      <c r="H497" s="35"/>
      <c r="I497" s="35"/>
      <c r="J497" s="12"/>
      <c r="O497" s="12"/>
      <c r="P497" s="18"/>
      <c r="Q497" s="12"/>
      <c r="R497" s="12"/>
      <c r="S497" s="12"/>
      <c r="T497" s="36"/>
      <c r="U497" s="36"/>
      <c r="V497" s="12"/>
      <c r="W497" s="12"/>
      <c r="X497" s="12"/>
      <c r="Y497" s="12"/>
      <c r="Z497" s="12"/>
    </row>
    <row r="498" customFormat="false" ht="15.75" hidden="false" customHeight="false" outlineLevel="0" collapsed="false">
      <c r="A498" s="12"/>
      <c r="B498" s="34"/>
      <c r="C498" s="12"/>
      <c r="D498" s="12"/>
      <c r="E498" s="12"/>
      <c r="F498" s="12"/>
      <c r="G498" s="18"/>
      <c r="H498" s="35"/>
      <c r="I498" s="35"/>
      <c r="J498" s="12"/>
      <c r="O498" s="12"/>
      <c r="P498" s="18"/>
      <c r="Q498" s="12"/>
      <c r="R498" s="12"/>
      <c r="S498" s="12"/>
      <c r="T498" s="36"/>
      <c r="U498" s="36"/>
      <c r="V498" s="12"/>
      <c r="W498" s="12"/>
      <c r="X498" s="12"/>
      <c r="Y498" s="12"/>
      <c r="Z498" s="12"/>
    </row>
    <row r="499" customFormat="false" ht="15.75" hidden="false" customHeight="false" outlineLevel="0" collapsed="false">
      <c r="A499" s="12"/>
      <c r="B499" s="34"/>
      <c r="C499" s="12"/>
      <c r="D499" s="12"/>
      <c r="E499" s="12"/>
      <c r="F499" s="12"/>
      <c r="G499" s="18"/>
      <c r="H499" s="35"/>
      <c r="I499" s="35"/>
      <c r="J499" s="12"/>
      <c r="O499" s="12"/>
      <c r="P499" s="18"/>
      <c r="Q499" s="12"/>
      <c r="R499" s="12"/>
      <c r="S499" s="12"/>
      <c r="T499" s="36"/>
      <c r="U499" s="36"/>
      <c r="V499" s="12"/>
      <c r="W499" s="12"/>
      <c r="X499" s="12"/>
      <c r="Y499" s="12"/>
      <c r="Z499" s="12"/>
    </row>
    <row r="500" customFormat="false" ht="15.75" hidden="false" customHeight="false" outlineLevel="0" collapsed="false">
      <c r="A500" s="12"/>
      <c r="B500" s="34"/>
      <c r="C500" s="12"/>
      <c r="D500" s="12"/>
      <c r="E500" s="12"/>
      <c r="F500" s="12"/>
      <c r="G500" s="18"/>
      <c r="H500" s="35"/>
      <c r="I500" s="35"/>
      <c r="J500" s="12"/>
      <c r="O500" s="12"/>
      <c r="P500" s="18"/>
      <c r="Q500" s="12"/>
      <c r="R500" s="12"/>
      <c r="S500" s="12"/>
      <c r="T500" s="36"/>
      <c r="U500" s="36"/>
      <c r="V500" s="12"/>
      <c r="W500" s="12"/>
      <c r="X500" s="12"/>
      <c r="Y500" s="12"/>
      <c r="Z500" s="12"/>
    </row>
    <row r="501" customFormat="false" ht="15.75" hidden="false" customHeight="false" outlineLevel="0" collapsed="false">
      <c r="A501" s="12"/>
      <c r="B501" s="34"/>
      <c r="C501" s="12"/>
      <c r="D501" s="12"/>
      <c r="E501" s="12"/>
      <c r="F501" s="12"/>
      <c r="G501" s="18"/>
      <c r="H501" s="35"/>
      <c r="I501" s="35"/>
      <c r="J501" s="12"/>
      <c r="O501" s="12"/>
      <c r="P501" s="18"/>
      <c r="Q501" s="12"/>
      <c r="R501" s="12"/>
      <c r="S501" s="12"/>
      <c r="T501" s="36"/>
      <c r="U501" s="36"/>
      <c r="V501" s="12"/>
      <c r="W501" s="12"/>
      <c r="X501" s="12"/>
      <c r="Y501" s="12"/>
      <c r="Z501" s="12"/>
    </row>
    <row r="502" customFormat="false" ht="15.75" hidden="false" customHeight="false" outlineLevel="0" collapsed="false">
      <c r="A502" s="12"/>
      <c r="B502" s="34"/>
      <c r="C502" s="12"/>
      <c r="D502" s="12"/>
      <c r="E502" s="12"/>
      <c r="F502" s="12"/>
      <c r="G502" s="18"/>
      <c r="H502" s="35"/>
      <c r="I502" s="35"/>
      <c r="J502" s="12"/>
      <c r="O502" s="12"/>
      <c r="P502" s="18"/>
      <c r="Q502" s="12"/>
      <c r="R502" s="12"/>
      <c r="S502" s="12"/>
      <c r="T502" s="36"/>
      <c r="U502" s="36"/>
      <c r="V502" s="12"/>
      <c r="W502" s="12"/>
      <c r="X502" s="12"/>
      <c r="Y502" s="12"/>
      <c r="Z502" s="12"/>
    </row>
    <row r="503" customFormat="false" ht="15.75" hidden="false" customHeight="false" outlineLevel="0" collapsed="false">
      <c r="A503" s="12"/>
      <c r="B503" s="34"/>
      <c r="C503" s="12"/>
      <c r="D503" s="12"/>
      <c r="E503" s="12"/>
      <c r="F503" s="12"/>
      <c r="G503" s="18"/>
      <c r="H503" s="35"/>
      <c r="I503" s="35"/>
      <c r="J503" s="12"/>
      <c r="O503" s="12"/>
      <c r="P503" s="18"/>
      <c r="Q503" s="12"/>
      <c r="R503" s="12"/>
      <c r="S503" s="12"/>
      <c r="T503" s="36"/>
      <c r="U503" s="36"/>
      <c r="V503" s="12"/>
      <c r="W503" s="12"/>
      <c r="X503" s="12"/>
      <c r="Y503" s="12"/>
      <c r="Z503" s="12"/>
    </row>
    <row r="504" customFormat="false" ht="15.75" hidden="false" customHeight="false" outlineLevel="0" collapsed="false">
      <c r="A504" s="12"/>
      <c r="B504" s="34"/>
      <c r="C504" s="12"/>
      <c r="D504" s="12"/>
      <c r="E504" s="12"/>
      <c r="F504" s="12"/>
      <c r="G504" s="18"/>
      <c r="H504" s="35"/>
      <c r="I504" s="35"/>
      <c r="J504" s="12"/>
      <c r="O504" s="12"/>
      <c r="P504" s="18"/>
      <c r="Q504" s="12"/>
      <c r="R504" s="12"/>
      <c r="S504" s="12"/>
      <c r="T504" s="36"/>
      <c r="U504" s="36"/>
      <c r="V504" s="12"/>
      <c r="W504" s="12"/>
      <c r="X504" s="12"/>
      <c r="Y504" s="12"/>
      <c r="Z504" s="12"/>
    </row>
    <row r="505" customFormat="false" ht="15.75" hidden="false" customHeight="false" outlineLevel="0" collapsed="false">
      <c r="A505" s="12"/>
      <c r="B505" s="34"/>
      <c r="C505" s="12"/>
      <c r="D505" s="12"/>
      <c r="E505" s="12"/>
      <c r="F505" s="12"/>
      <c r="G505" s="18"/>
      <c r="H505" s="35"/>
      <c r="I505" s="35"/>
      <c r="J505" s="12"/>
      <c r="O505" s="12"/>
      <c r="P505" s="18"/>
      <c r="Q505" s="12"/>
      <c r="R505" s="12"/>
      <c r="S505" s="12"/>
      <c r="T505" s="36"/>
      <c r="U505" s="36"/>
      <c r="V505" s="12"/>
      <c r="W505" s="12"/>
      <c r="X505" s="12"/>
      <c r="Y505" s="12"/>
      <c r="Z505" s="12"/>
    </row>
    <row r="506" customFormat="false" ht="15.75" hidden="false" customHeight="false" outlineLevel="0" collapsed="false">
      <c r="A506" s="12"/>
      <c r="B506" s="34"/>
      <c r="C506" s="12"/>
      <c r="D506" s="12"/>
      <c r="E506" s="12"/>
      <c r="F506" s="12"/>
      <c r="G506" s="18"/>
      <c r="H506" s="35"/>
      <c r="I506" s="35"/>
      <c r="J506" s="12"/>
      <c r="O506" s="12"/>
      <c r="P506" s="18"/>
      <c r="Q506" s="12"/>
      <c r="R506" s="12"/>
      <c r="S506" s="12"/>
      <c r="T506" s="36"/>
      <c r="U506" s="36"/>
      <c r="V506" s="12"/>
      <c r="W506" s="12"/>
      <c r="X506" s="12"/>
      <c r="Y506" s="12"/>
      <c r="Z506" s="12"/>
    </row>
    <row r="507" customFormat="false" ht="15.75" hidden="false" customHeight="false" outlineLevel="0" collapsed="false">
      <c r="A507" s="12"/>
      <c r="B507" s="34"/>
      <c r="C507" s="12"/>
      <c r="D507" s="12"/>
      <c r="E507" s="12"/>
      <c r="F507" s="12"/>
      <c r="G507" s="18"/>
      <c r="H507" s="35"/>
      <c r="I507" s="35"/>
      <c r="J507" s="12"/>
      <c r="O507" s="12"/>
      <c r="P507" s="18"/>
      <c r="Q507" s="12"/>
      <c r="R507" s="12"/>
      <c r="S507" s="12"/>
      <c r="T507" s="36"/>
      <c r="U507" s="36"/>
      <c r="V507" s="12"/>
      <c r="W507" s="12"/>
      <c r="X507" s="12"/>
      <c r="Y507" s="12"/>
      <c r="Z507" s="12"/>
    </row>
    <row r="508" customFormat="false" ht="15.75" hidden="false" customHeight="false" outlineLevel="0" collapsed="false">
      <c r="A508" s="12"/>
      <c r="B508" s="34"/>
      <c r="C508" s="12"/>
      <c r="D508" s="12"/>
      <c r="E508" s="12"/>
      <c r="F508" s="12"/>
      <c r="G508" s="18"/>
      <c r="H508" s="35"/>
      <c r="I508" s="35"/>
      <c r="J508" s="12"/>
      <c r="O508" s="12"/>
      <c r="P508" s="18"/>
      <c r="Q508" s="12"/>
      <c r="R508" s="12"/>
      <c r="S508" s="12"/>
      <c r="T508" s="36"/>
      <c r="U508" s="36"/>
      <c r="V508" s="12"/>
      <c r="W508" s="12"/>
      <c r="X508" s="12"/>
      <c r="Y508" s="12"/>
      <c r="Z508" s="12"/>
    </row>
    <row r="509" customFormat="false" ht="15.75" hidden="false" customHeight="false" outlineLevel="0" collapsed="false">
      <c r="A509" s="12"/>
      <c r="B509" s="34"/>
      <c r="C509" s="12"/>
      <c r="D509" s="12"/>
      <c r="E509" s="12"/>
      <c r="F509" s="12"/>
      <c r="G509" s="18"/>
      <c r="H509" s="35"/>
      <c r="I509" s="35"/>
      <c r="J509" s="12"/>
      <c r="O509" s="12"/>
      <c r="P509" s="18"/>
      <c r="Q509" s="12"/>
      <c r="R509" s="12"/>
      <c r="S509" s="12"/>
      <c r="T509" s="36"/>
      <c r="U509" s="36"/>
      <c r="V509" s="12"/>
      <c r="W509" s="12"/>
      <c r="X509" s="12"/>
      <c r="Y509" s="12"/>
      <c r="Z509" s="12"/>
    </row>
    <row r="510" customFormat="false" ht="15.75" hidden="false" customHeight="false" outlineLevel="0" collapsed="false">
      <c r="A510" s="12"/>
      <c r="B510" s="34"/>
      <c r="C510" s="12"/>
      <c r="D510" s="12"/>
      <c r="E510" s="12"/>
      <c r="F510" s="12"/>
      <c r="G510" s="18"/>
      <c r="H510" s="35"/>
      <c r="I510" s="35"/>
      <c r="J510" s="12"/>
      <c r="O510" s="12"/>
      <c r="P510" s="18"/>
      <c r="Q510" s="12"/>
      <c r="R510" s="12"/>
      <c r="S510" s="12"/>
      <c r="T510" s="36"/>
      <c r="U510" s="36"/>
      <c r="V510" s="12"/>
      <c r="W510" s="12"/>
      <c r="X510" s="12"/>
      <c r="Y510" s="12"/>
      <c r="Z510" s="12"/>
    </row>
    <row r="511" customFormat="false" ht="15.75" hidden="false" customHeight="false" outlineLevel="0" collapsed="false">
      <c r="A511" s="12"/>
      <c r="B511" s="34"/>
      <c r="C511" s="12"/>
      <c r="D511" s="12"/>
      <c r="E511" s="12"/>
      <c r="F511" s="12"/>
      <c r="G511" s="18"/>
      <c r="H511" s="35"/>
      <c r="I511" s="35"/>
      <c r="J511" s="12"/>
      <c r="O511" s="12"/>
      <c r="P511" s="18"/>
      <c r="Q511" s="12"/>
      <c r="R511" s="12"/>
      <c r="S511" s="12"/>
      <c r="T511" s="36"/>
      <c r="U511" s="36"/>
      <c r="V511" s="12"/>
      <c r="W511" s="12"/>
      <c r="X511" s="12"/>
      <c r="Y511" s="12"/>
      <c r="Z511" s="12"/>
    </row>
    <row r="512" customFormat="false" ht="15.75" hidden="false" customHeight="false" outlineLevel="0" collapsed="false">
      <c r="A512" s="12"/>
      <c r="B512" s="34"/>
      <c r="C512" s="12"/>
      <c r="D512" s="12"/>
      <c r="E512" s="12"/>
      <c r="F512" s="12"/>
      <c r="G512" s="18"/>
      <c r="H512" s="35"/>
      <c r="I512" s="35"/>
      <c r="J512" s="12"/>
      <c r="O512" s="12"/>
      <c r="P512" s="18"/>
      <c r="Q512" s="12"/>
      <c r="R512" s="12"/>
      <c r="S512" s="12"/>
      <c r="T512" s="36"/>
      <c r="U512" s="36"/>
      <c r="V512" s="12"/>
      <c r="W512" s="12"/>
      <c r="X512" s="12"/>
      <c r="Y512" s="12"/>
      <c r="Z512" s="12"/>
    </row>
    <row r="513" customFormat="false" ht="15.75" hidden="false" customHeight="false" outlineLevel="0" collapsed="false">
      <c r="A513" s="12"/>
      <c r="B513" s="34"/>
      <c r="C513" s="12"/>
      <c r="D513" s="12"/>
      <c r="E513" s="12"/>
      <c r="F513" s="12"/>
      <c r="G513" s="18"/>
      <c r="H513" s="35"/>
      <c r="I513" s="35"/>
      <c r="J513" s="12"/>
      <c r="O513" s="12"/>
      <c r="P513" s="18"/>
      <c r="Q513" s="12"/>
      <c r="R513" s="12"/>
      <c r="S513" s="12"/>
      <c r="T513" s="36"/>
      <c r="U513" s="36"/>
      <c r="V513" s="12"/>
      <c r="W513" s="12"/>
      <c r="X513" s="12"/>
      <c r="Y513" s="12"/>
      <c r="Z513" s="12"/>
    </row>
    <row r="514" customFormat="false" ht="15.75" hidden="false" customHeight="false" outlineLevel="0" collapsed="false">
      <c r="A514" s="12"/>
      <c r="B514" s="34"/>
      <c r="C514" s="12"/>
      <c r="D514" s="12"/>
      <c r="E514" s="12"/>
      <c r="F514" s="12"/>
      <c r="G514" s="18"/>
      <c r="H514" s="35"/>
      <c r="I514" s="35"/>
      <c r="J514" s="12"/>
      <c r="O514" s="12"/>
      <c r="P514" s="18"/>
      <c r="Q514" s="12"/>
      <c r="R514" s="12"/>
      <c r="S514" s="12"/>
      <c r="T514" s="36"/>
      <c r="U514" s="36"/>
      <c r="V514" s="12"/>
      <c r="W514" s="12"/>
      <c r="X514" s="12"/>
      <c r="Y514" s="12"/>
      <c r="Z514" s="12"/>
    </row>
    <row r="515" customFormat="false" ht="15.75" hidden="false" customHeight="false" outlineLevel="0" collapsed="false">
      <c r="A515" s="12"/>
      <c r="B515" s="34"/>
      <c r="C515" s="12"/>
      <c r="D515" s="12"/>
      <c r="E515" s="12"/>
      <c r="F515" s="12"/>
      <c r="G515" s="18"/>
      <c r="H515" s="35"/>
      <c r="I515" s="35"/>
      <c r="J515" s="12"/>
      <c r="O515" s="12"/>
      <c r="P515" s="18"/>
      <c r="Q515" s="12"/>
      <c r="R515" s="12"/>
      <c r="S515" s="12"/>
      <c r="T515" s="36"/>
      <c r="U515" s="36"/>
      <c r="V515" s="12"/>
      <c r="W515" s="12"/>
      <c r="X515" s="12"/>
      <c r="Y515" s="12"/>
      <c r="Z515" s="12"/>
    </row>
    <row r="516" customFormat="false" ht="15.75" hidden="false" customHeight="false" outlineLevel="0" collapsed="false">
      <c r="A516" s="12"/>
      <c r="B516" s="34"/>
      <c r="C516" s="12"/>
      <c r="D516" s="12"/>
      <c r="E516" s="12"/>
      <c r="F516" s="12"/>
      <c r="G516" s="18"/>
      <c r="H516" s="35"/>
      <c r="I516" s="35"/>
      <c r="J516" s="12"/>
      <c r="O516" s="12"/>
      <c r="P516" s="18"/>
      <c r="Q516" s="12"/>
      <c r="R516" s="12"/>
      <c r="S516" s="12"/>
      <c r="T516" s="36"/>
      <c r="U516" s="36"/>
      <c r="V516" s="12"/>
      <c r="W516" s="12"/>
      <c r="X516" s="12"/>
      <c r="Y516" s="12"/>
      <c r="Z516" s="12"/>
    </row>
    <row r="517" customFormat="false" ht="15.75" hidden="false" customHeight="false" outlineLevel="0" collapsed="false">
      <c r="A517" s="12"/>
      <c r="B517" s="34"/>
      <c r="C517" s="12"/>
      <c r="D517" s="12"/>
      <c r="E517" s="12"/>
      <c r="F517" s="12"/>
      <c r="G517" s="18"/>
      <c r="H517" s="35"/>
      <c r="I517" s="35"/>
      <c r="J517" s="12"/>
      <c r="O517" s="12"/>
      <c r="P517" s="18"/>
      <c r="Q517" s="12"/>
      <c r="R517" s="12"/>
      <c r="S517" s="12"/>
      <c r="T517" s="36"/>
      <c r="U517" s="36"/>
      <c r="V517" s="12"/>
      <c r="W517" s="12"/>
      <c r="X517" s="12"/>
      <c r="Y517" s="12"/>
      <c r="Z517" s="12"/>
    </row>
    <row r="518" customFormat="false" ht="15.75" hidden="false" customHeight="false" outlineLevel="0" collapsed="false">
      <c r="A518" s="12"/>
      <c r="B518" s="34"/>
      <c r="C518" s="12"/>
      <c r="D518" s="12"/>
      <c r="E518" s="12"/>
      <c r="F518" s="12"/>
      <c r="G518" s="18"/>
      <c r="H518" s="35"/>
      <c r="I518" s="35"/>
      <c r="J518" s="12"/>
      <c r="O518" s="12"/>
      <c r="P518" s="18"/>
      <c r="Q518" s="12"/>
      <c r="R518" s="12"/>
      <c r="S518" s="12"/>
      <c r="T518" s="36"/>
      <c r="U518" s="36"/>
      <c r="V518" s="12"/>
      <c r="W518" s="12"/>
      <c r="X518" s="12"/>
      <c r="Y518" s="12"/>
      <c r="Z518" s="12"/>
    </row>
    <row r="519" customFormat="false" ht="15.75" hidden="false" customHeight="false" outlineLevel="0" collapsed="false">
      <c r="A519" s="12"/>
      <c r="B519" s="34"/>
      <c r="C519" s="12"/>
      <c r="D519" s="12"/>
      <c r="E519" s="12"/>
      <c r="F519" s="12"/>
      <c r="G519" s="18"/>
      <c r="H519" s="35"/>
      <c r="I519" s="35"/>
      <c r="J519" s="12"/>
      <c r="O519" s="12"/>
      <c r="P519" s="18"/>
      <c r="Q519" s="12"/>
      <c r="R519" s="12"/>
      <c r="S519" s="12"/>
      <c r="T519" s="36"/>
      <c r="U519" s="36"/>
      <c r="V519" s="12"/>
      <c r="W519" s="12"/>
      <c r="X519" s="12"/>
      <c r="Y519" s="12"/>
      <c r="Z519" s="12"/>
    </row>
    <row r="520" customFormat="false" ht="15.75" hidden="false" customHeight="false" outlineLevel="0" collapsed="false">
      <c r="A520" s="12"/>
      <c r="B520" s="34"/>
      <c r="C520" s="12"/>
      <c r="D520" s="12"/>
      <c r="E520" s="12"/>
      <c r="F520" s="12"/>
      <c r="G520" s="18"/>
      <c r="H520" s="35"/>
      <c r="I520" s="35"/>
      <c r="J520" s="12"/>
      <c r="O520" s="12"/>
      <c r="P520" s="18"/>
      <c r="Q520" s="12"/>
      <c r="R520" s="12"/>
      <c r="S520" s="12"/>
      <c r="T520" s="36"/>
      <c r="U520" s="36"/>
      <c r="V520" s="12"/>
      <c r="W520" s="12"/>
      <c r="X520" s="12"/>
      <c r="Y520" s="12"/>
      <c r="Z520" s="12"/>
    </row>
    <row r="521" customFormat="false" ht="15.75" hidden="false" customHeight="false" outlineLevel="0" collapsed="false">
      <c r="A521" s="12"/>
      <c r="B521" s="34"/>
      <c r="C521" s="12"/>
      <c r="D521" s="12"/>
      <c r="E521" s="12"/>
      <c r="F521" s="12"/>
      <c r="G521" s="18"/>
      <c r="H521" s="35"/>
      <c r="I521" s="35"/>
      <c r="J521" s="12"/>
      <c r="O521" s="12"/>
      <c r="P521" s="18"/>
      <c r="Q521" s="12"/>
      <c r="R521" s="12"/>
      <c r="S521" s="12"/>
      <c r="T521" s="36"/>
      <c r="U521" s="36"/>
      <c r="V521" s="12"/>
      <c r="W521" s="12"/>
      <c r="X521" s="12"/>
      <c r="Y521" s="12"/>
      <c r="Z521" s="12"/>
    </row>
    <row r="522" customFormat="false" ht="15.75" hidden="false" customHeight="false" outlineLevel="0" collapsed="false">
      <c r="A522" s="12"/>
      <c r="B522" s="34"/>
      <c r="C522" s="12"/>
      <c r="D522" s="12"/>
      <c r="E522" s="12"/>
      <c r="F522" s="12"/>
      <c r="G522" s="18"/>
      <c r="H522" s="35"/>
      <c r="I522" s="35"/>
      <c r="J522" s="12"/>
      <c r="O522" s="12"/>
      <c r="P522" s="18"/>
      <c r="Q522" s="12"/>
      <c r="R522" s="12"/>
      <c r="S522" s="12"/>
      <c r="T522" s="36"/>
      <c r="U522" s="36"/>
      <c r="V522" s="12"/>
      <c r="W522" s="12"/>
      <c r="X522" s="12"/>
      <c r="Y522" s="12"/>
      <c r="Z522" s="12"/>
    </row>
    <row r="523" customFormat="false" ht="15.75" hidden="false" customHeight="false" outlineLevel="0" collapsed="false">
      <c r="A523" s="12"/>
      <c r="B523" s="34"/>
      <c r="C523" s="12"/>
      <c r="D523" s="12"/>
      <c r="E523" s="12"/>
      <c r="F523" s="12"/>
      <c r="G523" s="18"/>
      <c r="H523" s="35"/>
      <c r="I523" s="35"/>
      <c r="J523" s="12"/>
      <c r="O523" s="12"/>
      <c r="P523" s="18"/>
      <c r="Q523" s="12"/>
      <c r="R523" s="12"/>
      <c r="S523" s="12"/>
      <c r="T523" s="36"/>
      <c r="U523" s="36"/>
      <c r="V523" s="12"/>
      <c r="W523" s="12"/>
      <c r="X523" s="12"/>
      <c r="Y523" s="12"/>
      <c r="Z523" s="12"/>
    </row>
    <row r="524" customFormat="false" ht="15.75" hidden="false" customHeight="false" outlineLevel="0" collapsed="false">
      <c r="A524" s="12"/>
      <c r="B524" s="34"/>
      <c r="C524" s="12"/>
      <c r="D524" s="12"/>
      <c r="E524" s="12"/>
      <c r="F524" s="12"/>
      <c r="G524" s="18"/>
      <c r="H524" s="35"/>
      <c r="I524" s="35"/>
      <c r="J524" s="12"/>
      <c r="O524" s="12"/>
      <c r="P524" s="18"/>
      <c r="Q524" s="12"/>
      <c r="R524" s="12"/>
      <c r="S524" s="12"/>
      <c r="T524" s="36"/>
      <c r="U524" s="36"/>
      <c r="V524" s="12"/>
      <c r="W524" s="12"/>
      <c r="X524" s="12"/>
      <c r="Y524" s="12"/>
      <c r="Z524" s="12"/>
    </row>
    <row r="525" customFormat="false" ht="15.75" hidden="false" customHeight="false" outlineLevel="0" collapsed="false">
      <c r="A525" s="12"/>
      <c r="B525" s="34"/>
      <c r="C525" s="12"/>
      <c r="D525" s="12"/>
      <c r="E525" s="12"/>
      <c r="F525" s="12"/>
      <c r="G525" s="18"/>
      <c r="H525" s="35"/>
      <c r="I525" s="35"/>
      <c r="J525" s="12"/>
      <c r="O525" s="12"/>
      <c r="P525" s="18"/>
      <c r="Q525" s="12"/>
      <c r="R525" s="12"/>
      <c r="S525" s="12"/>
      <c r="T525" s="36"/>
      <c r="U525" s="36"/>
      <c r="V525" s="12"/>
      <c r="W525" s="12"/>
      <c r="X525" s="12"/>
      <c r="Y525" s="12"/>
      <c r="Z525" s="12"/>
    </row>
    <row r="526" customFormat="false" ht="15.75" hidden="false" customHeight="false" outlineLevel="0" collapsed="false">
      <c r="A526" s="12"/>
      <c r="B526" s="34"/>
      <c r="C526" s="12"/>
      <c r="D526" s="12"/>
      <c r="E526" s="12"/>
      <c r="F526" s="12"/>
      <c r="G526" s="18"/>
      <c r="H526" s="35"/>
      <c r="I526" s="35"/>
      <c r="J526" s="12"/>
      <c r="O526" s="12"/>
      <c r="P526" s="18"/>
      <c r="Q526" s="12"/>
      <c r="R526" s="12"/>
      <c r="S526" s="12"/>
      <c r="T526" s="36"/>
      <c r="U526" s="36"/>
      <c r="V526" s="12"/>
      <c r="W526" s="12"/>
      <c r="X526" s="12"/>
      <c r="Y526" s="12"/>
      <c r="Z526" s="12"/>
    </row>
    <row r="527" customFormat="false" ht="15.75" hidden="false" customHeight="false" outlineLevel="0" collapsed="false">
      <c r="A527" s="12"/>
      <c r="B527" s="34"/>
      <c r="C527" s="12"/>
      <c r="D527" s="12"/>
      <c r="E527" s="12"/>
      <c r="F527" s="12"/>
      <c r="G527" s="18"/>
      <c r="H527" s="35"/>
      <c r="I527" s="35"/>
      <c r="J527" s="12"/>
      <c r="O527" s="12"/>
      <c r="P527" s="18"/>
      <c r="Q527" s="12"/>
      <c r="R527" s="12"/>
      <c r="S527" s="12"/>
      <c r="T527" s="36"/>
      <c r="U527" s="36"/>
      <c r="V527" s="12"/>
      <c r="W527" s="12"/>
      <c r="X527" s="12"/>
      <c r="Y527" s="12"/>
      <c r="Z527" s="12"/>
    </row>
    <row r="528" customFormat="false" ht="15.75" hidden="false" customHeight="false" outlineLevel="0" collapsed="false">
      <c r="A528" s="12"/>
      <c r="B528" s="34"/>
      <c r="C528" s="12"/>
      <c r="D528" s="12"/>
      <c r="E528" s="12"/>
      <c r="F528" s="12"/>
      <c r="G528" s="18"/>
      <c r="H528" s="35"/>
      <c r="I528" s="35"/>
      <c r="J528" s="12"/>
      <c r="O528" s="12"/>
      <c r="P528" s="18"/>
      <c r="Q528" s="12"/>
      <c r="R528" s="12"/>
      <c r="S528" s="12"/>
      <c r="T528" s="36"/>
      <c r="U528" s="36"/>
      <c r="V528" s="12"/>
      <c r="W528" s="12"/>
      <c r="X528" s="12"/>
      <c r="Y528" s="12"/>
      <c r="Z528" s="12"/>
    </row>
    <row r="529" customFormat="false" ht="15.75" hidden="false" customHeight="false" outlineLevel="0" collapsed="false">
      <c r="A529" s="12"/>
      <c r="B529" s="34"/>
      <c r="C529" s="12"/>
      <c r="D529" s="12"/>
      <c r="E529" s="12"/>
      <c r="F529" s="12"/>
      <c r="G529" s="18"/>
      <c r="H529" s="35"/>
      <c r="I529" s="35"/>
      <c r="J529" s="12"/>
      <c r="O529" s="12"/>
      <c r="P529" s="18"/>
      <c r="Q529" s="12"/>
      <c r="R529" s="12"/>
      <c r="S529" s="12"/>
      <c r="T529" s="36"/>
      <c r="U529" s="36"/>
      <c r="V529" s="12"/>
      <c r="W529" s="12"/>
      <c r="X529" s="12"/>
      <c r="Y529" s="12"/>
      <c r="Z529" s="12"/>
    </row>
    <row r="530" customFormat="false" ht="15.75" hidden="false" customHeight="false" outlineLevel="0" collapsed="false">
      <c r="A530" s="12"/>
      <c r="B530" s="34"/>
      <c r="C530" s="12"/>
      <c r="D530" s="12"/>
      <c r="E530" s="12"/>
      <c r="F530" s="12"/>
      <c r="G530" s="18"/>
      <c r="H530" s="35"/>
      <c r="I530" s="35"/>
      <c r="J530" s="12"/>
      <c r="O530" s="12"/>
      <c r="P530" s="18"/>
      <c r="Q530" s="12"/>
      <c r="R530" s="12"/>
      <c r="S530" s="12"/>
      <c r="T530" s="36"/>
      <c r="U530" s="36"/>
      <c r="V530" s="12"/>
      <c r="W530" s="12"/>
      <c r="X530" s="12"/>
      <c r="Y530" s="12"/>
      <c r="Z530" s="12"/>
    </row>
    <row r="531" customFormat="false" ht="15.75" hidden="false" customHeight="false" outlineLevel="0" collapsed="false">
      <c r="A531" s="12"/>
      <c r="B531" s="34"/>
      <c r="C531" s="12"/>
      <c r="D531" s="12"/>
      <c r="E531" s="12"/>
      <c r="F531" s="12"/>
      <c r="G531" s="18"/>
      <c r="H531" s="35"/>
      <c r="I531" s="35"/>
      <c r="J531" s="12"/>
      <c r="O531" s="12"/>
      <c r="P531" s="18"/>
      <c r="Q531" s="12"/>
      <c r="R531" s="12"/>
      <c r="S531" s="12"/>
      <c r="T531" s="36"/>
      <c r="U531" s="36"/>
      <c r="V531" s="12"/>
      <c r="W531" s="12"/>
      <c r="X531" s="12"/>
      <c r="Y531" s="12"/>
      <c r="Z531" s="12"/>
    </row>
    <row r="532" customFormat="false" ht="15.75" hidden="false" customHeight="false" outlineLevel="0" collapsed="false">
      <c r="A532" s="12"/>
      <c r="B532" s="34"/>
      <c r="C532" s="12"/>
      <c r="D532" s="12"/>
      <c r="E532" s="12"/>
      <c r="F532" s="12"/>
      <c r="G532" s="18"/>
      <c r="H532" s="35"/>
      <c r="I532" s="35"/>
      <c r="J532" s="12"/>
      <c r="O532" s="12"/>
      <c r="P532" s="18"/>
      <c r="Q532" s="12"/>
      <c r="R532" s="12"/>
      <c r="S532" s="12"/>
      <c r="T532" s="36"/>
      <c r="U532" s="36"/>
      <c r="V532" s="12"/>
      <c r="W532" s="12"/>
      <c r="X532" s="12"/>
      <c r="Y532" s="12"/>
      <c r="Z532" s="12"/>
    </row>
    <row r="533" customFormat="false" ht="15.75" hidden="false" customHeight="false" outlineLevel="0" collapsed="false">
      <c r="A533" s="12"/>
      <c r="B533" s="34"/>
      <c r="C533" s="12"/>
      <c r="D533" s="12"/>
      <c r="E533" s="12"/>
      <c r="F533" s="12"/>
      <c r="G533" s="18"/>
      <c r="H533" s="35"/>
      <c r="I533" s="35"/>
      <c r="J533" s="12"/>
      <c r="O533" s="12"/>
      <c r="P533" s="18"/>
      <c r="Q533" s="12"/>
      <c r="R533" s="12"/>
      <c r="S533" s="12"/>
      <c r="T533" s="36"/>
      <c r="U533" s="36"/>
      <c r="V533" s="12"/>
      <c r="W533" s="12"/>
      <c r="X533" s="12"/>
      <c r="Y533" s="12"/>
      <c r="Z533" s="12"/>
    </row>
    <row r="534" customFormat="false" ht="15.75" hidden="false" customHeight="false" outlineLevel="0" collapsed="false">
      <c r="A534" s="12"/>
      <c r="B534" s="34"/>
      <c r="C534" s="12"/>
      <c r="D534" s="12"/>
      <c r="E534" s="12"/>
      <c r="F534" s="12"/>
      <c r="G534" s="18"/>
      <c r="H534" s="35"/>
      <c r="I534" s="35"/>
      <c r="J534" s="12"/>
      <c r="O534" s="12"/>
      <c r="P534" s="18"/>
      <c r="Q534" s="12"/>
      <c r="R534" s="12"/>
      <c r="S534" s="12"/>
      <c r="T534" s="36"/>
      <c r="U534" s="36"/>
      <c r="V534" s="12"/>
      <c r="W534" s="12"/>
      <c r="X534" s="12"/>
      <c r="Y534" s="12"/>
      <c r="Z534" s="12"/>
    </row>
    <row r="535" customFormat="false" ht="15.75" hidden="false" customHeight="false" outlineLevel="0" collapsed="false">
      <c r="A535" s="12"/>
      <c r="B535" s="34"/>
      <c r="C535" s="12"/>
      <c r="D535" s="12"/>
      <c r="E535" s="12"/>
      <c r="F535" s="12"/>
      <c r="G535" s="18"/>
      <c r="H535" s="35"/>
      <c r="I535" s="35"/>
      <c r="J535" s="12"/>
      <c r="O535" s="12"/>
      <c r="P535" s="18"/>
      <c r="Q535" s="12"/>
      <c r="R535" s="12"/>
      <c r="S535" s="12"/>
      <c r="T535" s="36"/>
      <c r="U535" s="36"/>
      <c r="V535" s="12"/>
      <c r="W535" s="12"/>
      <c r="X535" s="12"/>
      <c r="Y535" s="12"/>
      <c r="Z535" s="12"/>
    </row>
    <row r="536" customFormat="false" ht="15.75" hidden="false" customHeight="false" outlineLevel="0" collapsed="false">
      <c r="A536" s="12"/>
      <c r="B536" s="34"/>
      <c r="C536" s="12"/>
      <c r="D536" s="12"/>
      <c r="E536" s="12"/>
      <c r="F536" s="12"/>
      <c r="G536" s="18"/>
      <c r="H536" s="35"/>
      <c r="I536" s="35"/>
      <c r="J536" s="12"/>
      <c r="O536" s="12"/>
      <c r="P536" s="18"/>
      <c r="Q536" s="12"/>
      <c r="R536" s="12"/>
      <c r="S536" s="12"/>
      <c r="T536" s="36"/>
      <c r="U536" s="36"/>
      <c r="V536" s="12"/>
      <c r="W536" s="12"/>
      <c r="X536" s="12"/>
      <c r="Y536" s="12"/>
      <c r="Z536" s="12"/>
    </row>
    <row r="537" customFormat="false" ht="15.75" hidden="false" customHeight="false" outlineLevel="0" collapsed="false">
      <c r="A537" s="12"/>
      <c r="B537" s="34"/>
      <c r="C537" s="12"/>
      <c r="D537" s="12"/>
      <c r="E537" s="12"/>
      <c r="F537" s="12"/>
      <c r="G537" s="18"/>
      <c r="H537" s="35"/>
      <c r="I537" s="35"/>
      <c r="J537" s="12"/>
      <c r="O537" s="12"/>
      <c r="P537" s="18"/>
      <c r="Q537" s="12"/>
      <c r="R537" s="12"/>
      <c r="S537" s="12"/>
      <c r="T537" s="36"/>
      <c r="U537" s="36"/>
      <c r="V537" s="12"/>
      <c r="W537" s="12"/>
      <c r="X537" s="12"/>
      <c r="Y537" s="12"/>
      <c r="Z537" s="12"/>
    </row>
    <row r="538" customFormat="false" ht="15.75" hidden="false" customHeight="false" outlineLevel="0" collapsed="false">
      <c r="A538" s="12"/>
      <c r="B538" s="34"/>
      <c r="C538" s="12"/>
      <c r="D538" s="12"/>
      <c r="E538" s="12"/>
      <c r="F538" s="12"/>
      <c r="G538" s="18"/>
      <c r="H538" s="35"/>
      <c r="I538" s="35"/>
      <c r="J538" s="12"/>
      <c r="O538" s="12"/>
      <c r="P538" s="18"/>
      <c r="Q538" s="12"/>
      <c r="R538" s="12"/>
      <c r="S538" s="12"/>
      <c r="T538" s="36"/>
      <c r="U538" s="36"/>
      <c r="V538" s="12"/>
      <c r="W538" s="12"/>
      <c r="X538" s="12"/>
      <c r="Y538" s="12"/>
      <c r="Z538" s="12"/>
    </row>
    <row r="539" customFormat="false" ht="15.75" hidden="false" customHeight="false" outlineLevel="0" collapsed="false">
      <c r="A539" s="12"/>
      <c r="B539" s="34"/>
      <c r="C539" s="12"/>
      <c r="D539" s="12"/>
      <c r="E539" s="12"/>
      <c r="F539" s="12"/>
      <c r="G539" s="18"/>
      <c r="H539" s="35"/>
      <c r="I539" s="35"/>
      <c r="J539" s="12"/>
      <c r="O539" s="12"/>
      <c r="P539" s="18"/>
      <c r="Q539" s="12"/>
      <c r="R539" s="12"/>
      <c r="S539" s="12"/>
      <c r="T539" s="36"/>
      <c r="U539" s="36"/>
      <c r="V539" s="12"/>
      <c r="W539" s="12"/>
      <c r="X539" s="12"/>
      <c r="Y539" s="12"/>
      <c r="Z539" s="12"/>
    </row>
    <row r="540" customFormat="false" ht="15.75" hidden="false" customHeight="false" outlineLevel="0" collapsed="false">
      <c r="A540" s="12"/>
      <c r="B540" s="34"/>
      <c r="C540" s="12"/>
      <c r="D540" s="12"/>
      <c r="E540" s="12"/>
      <c r="F540" s="12"/>
      <c r="G540" s="18"/>
      <c r="H540" s="35"/>
      <c r="I540" s="35"/>
      <c r="J540" s="12"/>
      <c r="O540" s="12"/>
      <c r="P540" s="18"/>
      <c r="Q540" s="12"/>
      <c r="R540" s="12"/>
      <c r="S540" s="12"/>
      <c r="T540" s="36"/>
      <c r="U540" s="36"/>
      <c r="V540" s="12"/>
      <c r="W540" s="12"/>
      <c r="X540" s="12"/>
      <c r="Y540" s="12"/>
      <c r="Z540" s="12"/>
    </row>
    <row r="541" customFormat="false" ht="15.75" hidden="false" customHeight="false" outlineLevel="0" collapsed="false">
      <c r="A541" s="12"/>
      <c r="B541" s="34"/>
      <c r="C541" s="12"/>
      <c r="D541" s="12"/>
      <c r="E541" s="12"/>
      <c r="F541" s="12"/>
      <c r="G541" s="18"/>
      <c r="H541" s="35"/>
      <c r="I541" s="35"/>
      <c r="J541" s="12"/>
      <c r="O541" s="12"/>
      <c r="P541" s="18"/>
      <c r="Q541" s="12"/>
      <c r="R541" s="12"/>
      <c r="S541" s="12"/>
      <c r="T541" s="36"/>
      <c r="U541" s="36"/>
      <c r="V541" s="12"/>
      <c r="W541" s="12"/>
      <c r="X541" s="12"/>
      <c r="Y541" s="12"/>
      <c r="Z541" s="12"/>
    </row>
    <row r="542" customFormat="false" ht="15.75" hidden="false" customHeight="false" outlineLevel="0" collapsed="false">
      <c r="A542" s="12"/>
      <c r="B542" s="34"/>
      <c r="C542" s="12"/>
      <c r="D542" s="12"/>
      <c r="E542" s="12"/>
      <c r="F542" s="12"/>
      <c r="G542" s="18"/>
      <c r="H542" s="35"/>
      <c r="I542" s="35"/>
      <c r="J542" s="12"/>
      <c r="O542" s="12"/>
      <c r="P542" s="18"/>
      <c r="Q542" s="12"/>
      <c r="R542" s="12"/>
      <c r="S542" s="12"/>
      <c r="T542" s="36"/>
      <c r="U542" s="36"/>
      <c r="V542" s="12"/>
      <c r="W542" s="12"/>
      <c r="X542" s="12"/>
      <c r="Y542" s="12"/>
      <c r="Z542" s="12"/>
    </row>
    <row r="543" customFormat="false" ht="15.75" hidden="false" customHeight="false" outlineLevel="0" collapsed="false">
      <c r="A543" s="12"/>
      <c r="B543" s="34"/>
      <c r="C543" s="12"/>
      <c r="D543" s="12"/>
      <c r="E543" s="12"/>
      <c r="F543" s="12"/>
      <c r="G543" s="18"/>
      <c r="H543" s="35"/>
      <c r="I543" s="35"/>
      <c r="J543" s="12"/>
      <c r="O543" s="12"/>
      <c r="P543" s="18"/>
      <c r="Q543" s="12"/>
      <c r="R543" s="12"/>
      <c r="S543" s="12"/>
      <c r="T543" s="36"/>
      <c r="U543" s="36"/>
      <c r="V543" s="12"/>
      <c r="W543" s="12"/>
      <c r="X543" s="12"/>
      <c r="Y543" s="12"/>
      <c r="Z543" s="12"/>
    </row>
    <row r="544" customFormat="false" ht="15.75" hidden="false" customHeight="false" outlineLevel="0" collapsed="false">
      <c r="A544" s="12"/>
      <c r="B544" s="34"/>
      <c r="C544" s="12"/>
      <c r="D544" s="12"/>
      <c r="E544" s="12"/>
      <c r="F544" s="12"/>
      <c r="G544" s="18"/>
      <c r="H544" s="35"/>
      <c r="I544" s="35"/>
      <c r="J544" s="12"/>
      <c r="O544" s="12"/>
      <c r="P544" s="18"/>
      <c r="Q544" s="12"/>
      <c r="R544" s="12"/>
      <c r="S544" s="12"/>
      <c r="T544" s="36"/>
      <c r="U544" s="36"/>
      <c r="V544" s="12"/>
      <c r="W544" s="12"/>
      <c r="X544" s="12"/>
      <c r="Y544" s="12"/>
      <c r="Z544" s="12"/>
    </row>
    <row r="545" customFormat="false" ht="15.75" hidden="false" customHeight="false" outlineLevel="0" collapsed="false">
      <c r="A545" s="12"/>
      <c r="B545" s="34"/>
      <c r="C545" s="12"/>
      <c r="D545" s="12"/>
      <c r="E545" s="12"/>
      <c r="F545" s="12"/>
      <c r="G545" s="18"/>
      <c r="H545" s="35"/>
      <c r="I545" s="35"/>
      <c r="J545" s="12"/>
      <c r="O545" s="12"/>
      <c r="P545" s="18"/>
      <c r="Q545" s="12"/>
      <c r="R545" s="12"/>
      <c r="S545" s="12"/>
      <c r="T545" s="36"/>
      <c r="U545" s="36"/>
      <c r="V545" s="12"/>
      <c r="W545" s="12"/>
      <c r="X545" s="12"/>
      <c r="Y545" s="12"/>
      <c r="Z545" s="12"/>
    </row>
    <row r="546" customFormat="false" ht="15.75" hidden="false" customHeight="false" outlineLevel="0" collapsed="false">
      <c r="A546" s="12"/>
      <c r="B546" s="34"/>
      <c r="C546" s="12"/>
      <c r="D546" s="12"/>
      <c r="E546" s="12"/>
      <c r="F546" s="12"/>
      <c r="G546" s="18"/>
      <c r="H546" s="35"/>
      <c r="I546" s="35"/>
      <c r="J546" s="12"/>
      <c r="O546" s="12"/>
      <c r="P546" s="18"/>
      <c r="Q546" s="12"/>
      <c r="R546" s="12"/>
      <c r="S546" s="12"/>
      <c r="T546" s="36"/>
      <c r="U546" s="36"/>
      <c r="V546" s="12"/>
      <c r="W546" s="12"/>
      <c r="X546" s="12"/>
      <c r="Y546" s="12"/>
      <c r="Z546" s="12"/>
    </row>
    <row r="547" customFormat="false" ht="15.75" hidden="false" customHeight="false" outlineLevel="0" collapsed="false">
      <c r="A547" s="12"/>
      <c r="B547" s="34"/>
      <c r="C547" s="12"/>
      <c r="D547" s="12"/>
      <c r="E547" s="12"/>
      <c r="F547" s="12"/>
      <c r="G547" s="18"/>
      <c r="H547" s="35"/>
      <c r="I547" s="35"/>
      <c r="J547" s="12"/>
      <c r="O547" s="12"/>
      <c r="P547" s="18"/>
      <c r="Q547" s="12"/>
      <c r="R547" s="12"/>
      <c r="S547" s="12"/>
      <c r="T547" s="36"/>
      <c r="U547" s="36"/>
      <c r="V547" s="12"/>
      <c r="W547" s="12"/>
      <c r="X547" s="12"/>
      <c r="Y547" s="12"/>
      <c r="Z547" s="12"/>
    </row>
    <row r="548" customFormat="false" ht="15.75" hidden="false" customHeight="false" outlineLevel="0" collapsed="false">
      <c r="A548" s="12"/>
      <c r="B548" s="34"/>
      <c r="C548" s="12"/>
      <c r="D548" s="12"/>
      <c r="E548" s="12"/>
      <c r="F548" s="12"/>
      <c r="G548" s="18"/>
      <c r="H548" s="35"/>
      <c r="I548" s="35"/>
      <c r="J548" s="12"/>
      <c r="O548" s="12"/>
      <c r="P548" s="18"/>
      <c r="Q548" s="12"/>
      <c r="R548" s="12"/>
      <c r="S548" s="12"/>
      <c r="T548" s="36"/>
      <c r="U548" s="36"/>
      <c r="V548" s="12"/>
      <c r="W548" s="12"/>
      <c r="X548" s="12"/>
      <c r="Y548" s="12"/>
      <c r="Z548" s="12"/>
    </row>
    <row r="549" customFormat="false" ht="15.75" hidden="false" customHeight="false" outlineLevel="0" collapsed="false">
      <c r="A549" s="12"/>
      <c r="B549" s="34"/>
      <c r="C549" s="12"/>
      <c r="D549" s="12"/>
      <c r="E549" s="12"/>
      <c r="F549" s="12"/>
      <c r="G549" s="18"/>
      <c r="H549" s="35"/>
      <c r="I549" s="35"/>
      <c r="J549" s="12"/>
      <c r="O549" s="12"/>
      <c r="P549" s="18"/>
      <c r="Q549" s="12"/>
      <c r="R549" s="12"/>
      <c r="S549" s="12"/>
      <c r="T549" s="36"/>
      <c r="U549" s="36"/>
      <c r="V549" s="12"/>
      <c r="W549" s="12"/>
      <c r="X549" s="12"/>
      <c r="Y549" s="12"/>
      <c r="Z549" s="12"/>
    </row>
    <row r="550" customFormat="false" ht="15.75" hidden="false" customHeight="false" outlineLevel="0" collapsed="false">
      <c r="A550" s="12"/>
      <c r="B550" s="34"/>
      <c r="C550" s="12"/>
      <c r="D550" s="12"/>
      <c r="E550" s="12"/>
      <c r="F550" s="12"/>
      <c r="G550" s="18"/>
      <c r="H550" s="35"/>
      <c r="I550" s="35"/>
      <c r="J550" s="12"/>
      <c r="O550" s="12"/>
      <c r="P550" s="18"/>
      <c r="Q550" s="12"/>
      <c r="R550" s="12"/>
      <c r="S550" s="12"/>
      <c r="T550" s="36"/>
      <c r="U550" s="36"/>
      <c r="V550" s="12"/>
      <c r="W550" s="12"/>
      <c r="X550" s="12"/>
      <c r="Y550" s="12"/>
      <c r="Z550" s="12"/>
    </row>
    <row r="551" customFormat="false" ht="15.75" hidden="false" customHeight="false" outlineLevel="0" collapsed="false">
      <c r="A551" s="12"/>
      <c r="B551" s="34"/>
      <c r="C551" s="12"/>
      <c r="D551" s="12"/>
      <c r="E551" s="12"/>
      <c r="F551" s="12"/>
      <c r="G551" s="18"/>
      <c r="H551" s="35"/>
      <c r="I551" s="35"/>
      <c r="J551" s="12"/>
      <c r="O551" s="12"/>
      <c r="P551" s="18"/>
      <c r="Q551" s="12"/>
      <c r="R551" s="12"/>
      <c r="S551" s="12"/>
      <c r="T551" s="36"/>
      <c r="U551" s="36"/>
      <c r="V551" s="12"/>
      <c r="W551" s="12"/>
      <c r="X551" s="12"/>
      <c r="Y551" s="12"/>
      <c r="Z551" s="12"/>
    </row>
    <row r="552" customFormat="false" ht="15.75" hidden="false" customHeight="false" outlineLevel="0" collapsed="false">
      <c r="A552" s="12"/>
      <c r="B552" s="34"/>
      <c r="C552" s="12"/>
      <c r="D552" s="12"/>
      <c r="E552" s="12"/>
      <c r="F552" s="12"/>
      <c r="G552" s="18"/>
      <c r="H552" s="35"/>
      <c r="I552" s="35"/>
      <c r="J552" s="12"/>
      <c r="O552" s="12"/>
      <c r="P552" s="18"/>
      <c r="Q552" s="12"/>
      <c r="R552" s="12"/>
      <c r="S552" s="12"/>
      <c r="T552" s="36"/>
      <c r="U552" s="36"/>
      <c r="V552" s="12"/>
      <c r="W552" s="12"/>
      <c r="X552" s="12"/>
      <c r="Y552" s="12"/>
      <c r="Z552" s="12"/>
    </row>
    <row r="553" customFormat="false" ht="15.75" hidden="false" customHeight="false" outlineLevel="0" collapsed="false">
      <c r="A553" s="12"/>
      <c r="B553" s="34"/>
      <c r="C553" s="12"/>
      <c r="D553" s="12"/>
      <c r="E553" s="12"/>
      <c r="F553" s="12"/>
      <c r="G553" s="18"/>
      <c r="H553" s="35"/>
      <c r="I553" s="35"/>
      <c r="J553" s="12"/>
      <c r="O553" s="12"/>
      <c r="P553" s="18"/>
      <c r="Q553" s="12"/>
      <c r="R553" s="12"/>
      <c r="S553" s="12"/>
      <c r="T553" s="36"/>
      <c r="U553" s="36"/>
      <c r="V553" s="12"/>
      <c r="W553" s="12"/>
      <c r="X553" s="12"/>
      <c r="Y553" s="12"/>
      <c r="Z553" s="12"/>
    </row>
    <row r="554" customFormat="false" ht="15.75" hidden="false" customHeight="false" outlineLevel="0" collapsed="false">
      <c r="A554" s="12"/>
      <c r="B554" s="34"/>
      <c r="C554" s="12"/>
      <c r="D554" s="12"/>
      <c r="E554" s="12"/>
      <c r="F554" s="12"/>
      <c r="G554" s="18"/>
      <c r="H554" s="35"/>
      <c r="I554" s="35"/>
      <c r="J554" s="12"/>
      <c r="O554" s="12"/>
      <c r="P554" s="18"/>
      <c r="Q554" s="12"/>
      <c r="R554" s="12"/>
      <c r="S554" s="12"/>
      <c r="T554" s="36"/>
      <c r="U554" s="36"/>
      <c r="V554" s="12"/>
      <c r="W554" s="12"/>
      <c r="X554" s="12"/>
      <c r="Y554" s="12"/>
      <c r="Z554" s="12"/>
    </row>
    <row r="555" customFormat="false" ht="15.75" hidden="false" customHeight="false" outlineLevel="0" collapsed="false">
      <c r="A555" s="12"/>
      <c r="B555" s="34"/>
      <c r="C555" s="12"/>
      <c r="D555" s="12"/>
      <c r="E555" s="12"/>
      <c r="F555" s="12"/>
      <c r="G555" s="18"/>
      <c r="H555" s="35"/>
      <c r="I555" s="35"/>
      <c r="J555" s="12"/>
      <c r="O555" s="12"/>
      <c r="P555" s="18"/>
      <c r="Q555" s="12"/>
      <c r="R555" s="12"/>
      <c r="S555" s="12"/>
      <c r="T555" s="36"/>
      <c r="U555" s="36"/>
      <c r="V555" s="12"/>
      <c r="W555" s="12"/>
      <c r="X555" s="12"/>
      <c r="Y555" s="12"/>
      <c r="Z555" s="12"/>
    </row>
    <row r="556" customFormat="false" ht="15.75" hidden="false" customHeight="false" outlineLevel="0" collapsed="false">
      <c r="A556" s="12"/>
      <c r="B556" s="34"/>
      <c r="C556" s="12"/>
      <c r="D556" s="12"/>
      <c r="E556" s="12"/>
      <c r="F556" s="12"/>
      <c r="G556" s="18"/>
      <c r="H556" s="35"/>
      <c r="I556" s="35"/>
      <c r="J556" s="12"/>
      <c r="O556" s="12"/>
      <c r="P556" s="18"/>
      <c r="Q556" s="12"/>
      <c r="R556" s="12"/>
      <c r="S556" s="12"/>
      <c r="T556" s="36"/>
      <c r="U556" s="36"/>
      <c r="V556" s="12"/>
      <c r="W556" s="12"/>
      <c r="X556" s="12"/>
      <c r="Y556" s="12"/>
      <c r="Z556" s="12"/>
    </row>
    <row r="557" customFormat="false" ht="15.75" hidden="false" customHeight="false" outlineLevel="0" collapsed="false">
      <c r="A557" s="12"/>
      <c r="B557" s="34"/>
      <c r="C557" s="12"/>
      <c r="D557" s="12"/>
      <c r="E557" s="12"/>
      <c r="F557" s="12"/>
      <c r="G557" s="18"/>
      <c r="H557" s="35"/>
      <c r="I557" s="35"/>
      <c r="J557" s="12"/>
      <c r="O557" s="12"/>
      <c r="P557" s="18"/>
      <c r="Q557" s="12"/>
      <c r="R557" s="12"/>
      <c r="S557" s="12"/>
      <c r="T557" s="36"/>
      <c r="U557" s="36"/>
      <c r="V557" s="12"/>
      <c r="W557" s="12"/>
      <c r="X557" s="12"/>
      <c r="Y557" s="12"/>
      <c r="Z557" s="12"/>
    </row>
    <row r="558" customFormat="false" ht="15.75" hidden="false" customHeight="false" outlineLevel="0" collapsed="false">
      <c r="A558" s="12"/>
      <c r="B558" s="34"/>
      <c r="C558" s="12"/>
      <c r="D558" s="12"/>
      <c r="E558" s="12"/>
      <c r="F558" s="12"/>
      <c r="G558" s="18"/>
      <c r="H558" s="35"/>
      <c r="I558" s="35"/>
      <c r="J558" s="12"/>
      <c r="O558" s="12"/>
      <c r="P558" s="18"/>
      <c r="Q558" s="12"/>
      <c r="R558" s="12"/>
      <c r="S558" s="12"/>
      <c r="T558" s="36"/>
      <c r="U558" s="36"/>
      <c r="V558" s="12"/>
      <c r="W558" s="12"/>
      <c r="X558" s="12"/>
      <c r="Y558" s="12"/>
      <c r="Z558" s="12"/>
    </row>
    <row r="559" customFormat="false" ht="15.75" hidden="false" customHeight="false" outlineLevel="0" collapsed="false">
      <c r="A559" s="12"/>
      <c r="B559" s="34"/>
      <c r="C559" s="12"/>
      <c r="D559" s="12"/>
      <c r="E559" s="12"/>
      <c r="F559" s="12"/>
      <c r="G559" s="18"/>
      <c r="H559" s="35"/>
      <c r="I559" s="35"/>
      <c r="J559" s="12"/>
      <c r="O559" s="12"/>
      <c r="P559" s="18"/>
      <c r="Q559" s="12"/>
      <c r="R559" s="12"/>
      <c r="S559" s="12"/>
      <c r="T559" s="36"/>
      <c r="U559" s="36"/>
      <c r="V559" s="12"/>
      <c r="W559" s="12"/>
      <c r="X559" s="12"/>
      <c r="Y559" s="12"/>
      <c r="Z559" s="12"/>
    </row>
    <row r="560" customFormat="false" ht="15.75" hidden="false" customHeight="false" outlineLevel="0" collapsed="false">
      <c r="A560" s="12"/>
      <c r="B560" s="34"/>
      <c r="C560" s="12"/>
      <c r="D560" s="12"/>
      <c r="E560" s="12"/>
      <c r="F560" s="12"/>
      <c r="G560" s="18"/>
      <c r="H560" s="35"/>
      <c r="I560" s="35"/>
      <c r="J560" s="12"/>
      <c r="O560" s="12"/>
      <c r="P560" s="18"/>
      <c r="Q560" s="12"/>
      <c r="R560" s="12"/>
      <c r="S560" s="12"/>
      <c r="T560" s="36"/>
      <c r="U560" s="36"/>
      <c r="V560" s="12"/>
      <c r="W560" s="12"/>
      <c r="X560" s="12"/>
      <c r="Y560" s="12"/>
      <c r="Z560" s="12"/>
    </row>
    <row r="561" customFormat="false" ht="15.75" hidden="false" customHeight="false" outlineLevel="0" collapsed="false">
      <c r="A561" s="12"/>
      <c r="B561" s="34"/>
      <c r="C561" s="12"/>
      <c r="D561" s="12"/>
      <c r="E561" s="12"/>
      <c r="F561" s="12"/>
      <c r="G561" s="18"/>
      <c r="H561" s="35"/>
      <c r="I561" s="35"/>
      <c r="J561" s="12"/>
      <c r="O561" s="12"/>
      <c r="P561" s="18"/>
      <c r="Q561" s="12"/>
      <c r="R561" s="12"/>
      <c r="S561" s="12"/>
      <c r="T561" s="36"/>
      <c r="U561" s="36"/>
      <c r="V561" s="12"/>
      <c r="W561" s="12"/>
      <c r="X561" s="12"/>
      <c r="Y561" s="12"/>
      <c r="Z561" s="12"/>
    </row>
    <row r="562" customFormat="false" ht="15.75" hidden="false" customHeight="false" outlineLevel="0" collapsed="false">
      <c r="A562" s="12"/>
      <c r="B562" s="34"/>
      <c r="C562" s="12"/>
      <c r="D562" s="12"/>
      <c r="E562" s="12"/>
      <c r="F562" s="12"/>
      <c r="G562" s="18"/>
      <c r="H562" s="35"/>
      <c r="I562" s="35"/>
      <c r="J562" s="12"/>
      <c r="O562" s="12"/>
      <c r="P562" s="18"/>
      <c r="Q562" s="12"/>
      <c r="R562" s="12"/>
      <c r="S562" s="12"/>
      <c r="T562" s="36"/>
      <c r="U562" s="36"/>
      <c r="V562" s="12"/>
      <c r="W562" s="12"/>
      <c r="X562" s="12"/>
      <c r="Y562" s="12"/>
      <c r="Z562" s="12"/>
    </row>
    <row r="563" customFormat="false" ht="15.75" hidden="false" customHeight="false" outlineLevel="0" collapsed="false">
      <c r="A563" s="12"/>
      <c r="B563" s="34"/>
      <c r="C563" s="12"/>
      <c r="D563" s="12"/>
      <c r="E563" s="12"/>
      <c r="F563" s="12"/>
      <c r="G563" s="18"/>
      <c r="H563" s="35"/>
      <c r="I563" s="35"/>
      <c r="J563" s="12"/>
      <c r="O563" s="12"/>
      <c r="P563" s="18"/>
      <c r="Q563" s="12"/>
      <c r="R563" s="12"/>
      <c r="S563" s="12"/>
      <c r="T563" s="36"/>
      <c r="U563" s="36"/>
      <c r="V563" s="12"/>
      <c r="W563" s="12"/>
      <c r="X563" s="12"/>
      <c r="Y563" s="12"/>
      <c r="Z563" s="12"/>
    </row>
    <row r="564" customFormat="false" ht="15.75" hidden="false" customHeight="false" outlineLevel="0" collapsed="false">
      <c r="A564" s="12"/>
      <c r="B564" s="34"/>
      <c r="C564" s="12"/>
      <c r="D564" s="12"/>
      <c r="E564" s="12"/>
      <c r="F564" s="12"/>
      <c r="G564" s="18"/>
      <c r="H564" s="35"/>
      <c r="I564" s="35"/>
      <c r="J564" s="12"/>
      <c r="O564" s="12"/>
      <c r="P564" s="18"/>
      <c r="Q564" s="12"/>
      <c r="R564" s="12"/>
      <c r="S564" s="12"/>
      <c r="T564" s="36"/>
      <c r="U564" s="36"/>
      <c r="V564" s="12"/>
      <c r="W564" s="12"/>
      <c r="X564" s="12"/>
      <c r="Y564" s="12"/>
      <c r="Z564" s="12"/>
    </row>
    <row r="565" customFormat="false" ht="15.75" hidden="false" customHeight="false" outlineLevel="0" collapsed="false">
      <c r="A565" s="12"/>
      <c r="B565" s="34"/>
      <c r="C565" s="12"/>
      <c r="D565" s="12"/>
      <c r="E565" s="12"/>
      <c r="F565" s="12"/>
      <c r="G565" s="18"/>
      <c r="H565" s="35"/>
      <c r="I565" s="35"/>
      <c r="J565" s="12"/>
      <c r="O565" s="12"/>
      <c r="P565" s="18"/>
      <c r="Q565" s="12"/>
      <c r="R565" s="12"/>
      <c r="S565" s="12"/>
      <c r="T565" s="36"/>
      <c r="U565" s="36"/>
      <c r="V565" s="12"/>
      <c r="W565" s="12"/>
      <c r="X565" s="12"/>
      <c r="Y565" s="12"/>
      <c r="Z565" s="12"/>
    </row>
    <row r="566" customFormat="false" ht="15.75" hidden="false" customHeight="false" outlineLevel="0" collapsed="false">
      <c r="A566" s="12"/>
      <c r="B566" s="34"/>
      <c r="C566" s="12"/>
      <c r="D566" s="12"/>
      <c r="E566" s="12"/>
      <c r="F566" s="12"/>
      <c r="G566" s="18"/>
      <c r="H566" s="35"/>
      <c r="I566" s="35"/>
      <c r="J566" s="12"/>
      <c r="O566" s="12"/>
      <c r="P566" s="18"/>
      <c r="Q566" s="12"/>
      <c r="R566" s="12"/>
      <c r="S566" s="12"/>
      <c r="T566" s="36"/>
      <c r="U566" s="36"/>
      <c r="V566" s="12"/>
      <c r="W566" s="12"/>
      <c r="X566" s="12"/>
      <c r="Y566" s="12"/>
      <c r="Z566" s="12"/>
    </row>
    <row r="567" customFormat="false" ht="15.75" hidden="false" customHeight="false" outlineLevel="0" collapsed="false">
      <c r="A567" s="12"/>
      <c r="B567" s="34"/>
      <c r="C567" s="12"/>
      <c r="D567" s="12"/>
      <c r="E567" s="12"/>
      <c r="F567" s="12"/>
      <c r="G567" s="18"/>
      <c r="H567" s="35"/>
      <c r="I567" s="35"/>
      <c r="J567" s="12"/>
      <c r="O567" s="12"/>
      <c r="P567" s="18"/>
      <c r="Q567" s="12"/>
      <c r="R567" s="12"/>
      <c r="S567" s="12"/>
      <c r="T567" s="36"/>
      <c r="U567" s="36"/>
      <c r="V567" s="12"/>
      <c r="W567" s="12"/>
      <c r="X567" s="12"/>
      <c r="Y567" s="12"/>
      <c r="Z567" s="12"/>
    </row>
    <row r="568" customFormat="false" ht="15.75" hidden="false" customHeight="false" outlineLevel="0" collapsed="false">
      <c r="A568" s="12"/>
      <c r="B568" s="34"/>
      <c r="C568" s="12"/>
      <c r="D568" s="12"/>
      <c r="E568" s="12"/>
      <c r="F568" s="12"/>
      <c r="G568" s="18"/>
      <c r="H568" s="35"/>
      <c r="I568" s="35"/>
      <c r="J568" s="12"/>
      <c r="O568" s="12"/>
      <c r="P568" s="18"/>
      <c r="Q568" s="12"/>
      <c r="R568" s="12"/>
      <c r="S568" s="12"/>
      <c r="T568" s="36"/>
      <c r="U568" s="36"/>
      <c r="V568" s="12"/>
      <c r="W568" s="12"/>
      <c r="X568" s="12"/>
      <c r="Y568" s="12"/>
      <c r="Z568" s="12"/>
    </row>
    <row r="569" customFormat="false" ht="15.75" hidden="false" customHeight="false" outlineLevel="0" collapsed="false">
      <c r="A569" s="12"/>
      <c r="B569" s="34"/>
      <c r="C569" s="12"/>
      <c r="D569" s="12"/>
      <c r="E569" s="12"/>
      <c r="F569" s="12"/>
      <c r="G569" s="18"/>
      <c r="H569" s="35"/>
      <c r="I569" s="35"/>
      <c r="J569" s="12"/>
      <c r="O569" s="12"/>
      <c r="P569" s="18"/>
      <c r="Q569" s="12"/>
      <c r="R569" s="12"/>
      <c r="S569" s="12"/>
      <c r="T569" s="36"/>
      <c r="U569" s="36"/>
      <c r="V569" s="12"/>
      <c r="W569" s="12"/>
      <c r="X569" s="12"/>
      <c r="Y569" s="12"/>
      <c r="Z569" s="12"/>
    </row>
    <row r="570" customFormat="false" ht="15.75" hidden="false" customHeight="false" outlineLevel="0" collapsed="false">
      <c r="A570" s="12"/>
      <c r="B570" s="34"/>
      <c r="C570" s="12"/>
      <c r="D570" s="12"/>
      <c r="E570" s="12"/>
      <c r="F570" s="12"/>
      <c r="G570" s="18"/>
      <c r="H570" s="35"/>
      <c r="I570" s="35"/>
      <c r="J570" s="12"/>
      <c r="O570" s="12"/>
      <c r="P570" s="18"/>
      <c r="Q570" s="12"/>
      <c r="R570" s="12"/>
      <c r="S570" s="12"/>
      <c r="T570" s="36"/>
      <c r="U570" s="36"/>
      <c r="V570" s="12"/>
      <c r="W570" s="12"/>
      <c r="X570" s="12"/>
      <c r="Y570" s="12"/>
      <c r="Z570" s="12"/>
    </row>
    <row r="571" customFormat="false" ht="15.75" hidden="false" customHeight="false" outlineLevel="0" collapsed="false">
      <c r="A571" s="12"/>
      <c r="B571" s="34"/>
      <c r="C571" s="12"/>
      <c r="D571" s="12"/>
      <c r="E571" s="12"/>
      <c r="F571" s="12"/>
      <c r="G571" s="18"/>
      <c r="H571" s="35"/>
      <c r="I571" s="35"/>
      <c r="J571" s="12"/>
      <c r="O571" s="12"/>
      <c r="P571" s="18"/>
      <c r="Q571" s="12"/>
      <c r="R571" s="12"/>
      <c r="S571" s="12"/>
      <c r="T571" s="36"/>
      <c r="U571" s="36"/>
      <c r="V571" s="12"/>
      <c r="W571" s="12"/>
      <c r="X571" s="12"/>
      <c r="Y571" s="12"/>
      <c r="Z571" s="12"/>
    </row>
    <row r="572" customFormat="false" ht="15.75" hidden="false" customHeight="false" outlineLevel="0" collapsed="false">
      <c r="A572" s="12"/>
      <c r="B572" s="34"/>
      <c r="C572" s="12"/>
      <c r="D572" s="12"/>
      <c r="E572" s="12"/>
      <c r="F572" s="12"/>
      <c r="G572" s="18"/>
      <c r="H572" s="35"/>
      <c r="I572" s="35"/>
      <c r="J572" s="12"/>
      <c r="O572" s="12"/>
      <c r="P572" s="18"/>
      <c r="Q572" s="12"/>
      <c r="R572" s="12"/>
      <c r="S572" s="12"/>
      <c r="T572" s="36"/>
      <c r="U572" s="36"/>
      <c r="V572" s="12"/>
      <c r="W572" s="12"/>
      <c r="X572" s="12"/>
      <c r="Y572" s="12"/>
      <c r="Z572" s="12"/>
    </row>
    <row r="573" customFormat="false" ht="15.75" hidden="false" customHeight="false" outlineLevel="0" collapsed="false">
      <c r="A573" s="12"/>
      <c r="B573" s="34"/>
      <c r="C573" s="12"/>
      <c r="D573" s="12"/>
      <c r="E573" s="12"/>
      <c r="F573" s="12"/>
      <c r="G573" s="18"/>
      <c r="H573" s="35"/>
      <c r="I573" s="35"/>
      <c r="J573" s="12"/>
      <c r="O573" s="12"/>
      <c r="P573" s="18"/>
      <c r="Q573" s="12"/>
      <c r="R573" s="12"/>
      <c r="S573" s="12"/>
      <c r="T573" s="36"/>
      <c r="U573" s="36"/>
      <c r="V573" s="12"/>
      <c r="W573" s="12"/>
      <c r="X573" s="12"/>
      <c r="Y573" s="12"/>
      <c r="Z573" s="12"/>
    </row>
    <row r="574" customFormat="false" ht="15.75" hidden="false" customHeight="false" outlineLevel="0" collapsed="false">
      <c r="A574" s="12"/>
      <c r="B574" s="34"/>
      <c r="C574" s="12"/>
      <c r="D574" s="12"/>
      <c r="E574" s="12"/>
      <c r="F574" s="12"/>
      <c r="G574" s="18"/>
      <c r="H574" s="35"/>
      <c r="I574" s="35"/>
      <c r="J574" s="12"/>
      <c r="O574" s="12"/>
      <c r="P574" s="18"/>
      <c r="Q574" s="12"/>
      <c r="R574" s="12"/>
      <c r="S574" s="12"/>
      <c r="T574" s="36"/>
      <c r="U574" s="36"/>
      <c r="V574" s="12"/>
      <c r="W574" s="12"/>
      <c r="X574" s="12"/>
      <c r="Y574" s="12"/>
      <c r="Z574" s="12"/>
    </row>
    <row r="575" customFormat="false" ht="15.75" hidden="false" customHeight="false" outlineLevel="0" collapsed="false">
      <c r="A575" s="12"/>
      <c r="B575" s="34"/>
      <c r="C575" s="12"/>
      <c r="D575" s="12"/>
      <c r="E575" s="12"/>
      <c r="F575" s="12"/>
      <c r="G575" s="18"/>
      <c r="H575" s="35"/>
      <c r="I575" s="35"/>
      <c r="J575" s="12"/>
      <c r="O575" s="12"/>
      <c r="P575" s="18"/>
      <c r="Q575" s="12"/>
      <c r="R575" s="12"/>
      <c r="S575" s="12"/>
      <c r="T575" s="36"/>
      <c r="U575" s="36"/>
      <c r="V575" s="12"/>
      <c r="W575" s="12"/>
      <c r="X575" s="12"/>
      <c r="Y575" s="12"/>
      <c r="Z575" s="12"/>
    </row>
    <row r="576" customFormat="false" ht="15.75" hidden="false" customHeight="false" outlineLevel="0" collapsed="false">
      <c r="A576" s="12"/>
      <c r="B576" s="34"/>
      <c r="C576" s="12"/>
      <c r="D576" s="12"/>
      <c r="E576" s="12"/>
      <c r="F576" s="12"/>
      <c r="G576" s="18"/>
      <c r="H576" s="35"/>
      <c r="I576" s="35"/>
      <c r="J576" s="12"/>
      <c r="O576" s="12"/>
      <c r="P576" s="18"/>
      <c r="Q576" s="12"/>
      <c r="R576" s="12"/>
      <c r="S576" s="12"/>
      <c r="T576" s="36"/>
      <c r="U576" s="36"/>
      <c r="V576" s="12"/>
      <c r="W576" s="12"/>
      <c r="X576" s="12"/>
      <c r="Y576" s="12"/>
      <c r="Z576" s="12"/>
    </row>
    <row r="577" customFormat="false" ht="15.75" hidden="false" customHeight="false" outlineLevel="0" collapsed="false">
      <c r="A577" s="12"/>
      <c r="B577" s="34"/>
      <c r="C577" s="12"/>
      <c r="D577" s="12"/>
      <c r="E577" s="12"/>
      <c r="F577" s="12"/>
      <c r="G577" s="18"/>
      <c r="H577" s="35"/>
      <c r="I577" s="35"/>
      <c r="J577" s="12"/>
      <c r="O577" s="12"/>
      <c r="P577" s="18"/>
      <c r="Q577" s="12"/>
      <c r="R577" s="12"/>
      <c r="S577" s="12"/>
      <c r="T577" s="36"/>
      <c r="U577" s="36"/>
      <c r="V577" s="12"/>
      <c r="W577" s="12"/>
      <c r="X577" s="12"/>
      <c r="Y577" s="12"/>
      <c r="Z577" s="12"/>
    </row>
    <row r="578" customFormat="false" ht="15.75" hidden="false" customHeight="false" outlineLevel="0" collapsed="false">
      <c r="A578" s="12"/>
      <c r="B578" s="34"/>
      <c r="C578" s="12"/>
      <c r="D578" s="12"/>
      <c r="E578" s="12"/>
      <c r="F578" s="12"/>
      <c r="G578" s="18"/>
      <c r="H578" s="35"/>
      <c r="I578" s="35"/>
      <c r="J578" s="12"/>
      <c r="O578" s="12"/>
      <c r="P578" s="18"/>
      <c r="Q578" s="12"/>
      <c r="R578" s="12"/>
      <c r="S578" s="12"/>
      <c r="T578" s="36"/>
      <c r="U578" s="36"/>
      <c r="V578" s="12"/>
      <c r="W578" s="12"/>
      <c r="X578" s="12"/>
      <c r="Y578" s="12"/>
      <c r="Z578" s="12"/>
    </row>
    <row r="579" customFormat="false" ht="15.75" hidden="false" customHeight="false" outlineLevel="0" collapsed="false">
      <c r="A579" s="12"/>
      <c r="B579" s="34"/>
      <c r="C579" s="12"/>
      <c r="D579" s="12"/>
      <c r="E579" s="12"/>
      <c r="F579" s="12"/>
      <c r="G579" s="18"/>
      <c r="H579" s="35"/>
      <c r="I579" s="35"/>
      <c r="J579" s="12"/>
      <c r="O579" s="12"/>
      <c r="P579" s="18"/>
      <c r="Q579" s="12"/>
      <c r="R579" s="12"/>
      <c r="S579" s="12"/>
      <c r="T579" s="36"/>
      <c r="U579" s="36"/>
      <c r="V579" s="12"/>
      <c r="W579" s="12"/>
      <c r="X579" s="12"/>
      <c r="Y579" s="12"/>
      <c r="Z579" s="12"/>
    </row>
    <row r="580" customFormat="false" ht="15.75" hidden="false" customHeight="false" outlineLevel="0" collapsed="false">
      <c r="A580" s="12"/>
      <c r="B580" s="34"/>
      <c r="C580" s="12"/>
      <c r="D580" s="12"/>
      <c r="E580" s="12"/>
      <c r="F580" s="12"/>
      <c r="G580" s="18"/>
      <c r="H580" s="35"/>
      <c r="I580" s="35"/>
      <c r="J580" s="12"/>
      <c r="O580" s="12"/>
      <c r="P580" s="18"/>
      <c r="Q580" s="12"/>
      <c r="R580" s="12"/>
      <c r="S580" s="12"/>
      <c r="T580" s="36"/>
      <c r="U580" s="36"/>
      <c r="V580" s="12"/>
      <c r="W580" s="12"/>
      <c r="X580" s="12"/>
      <c r="Y580" s="12"/>
      <c r="Z580" s="12"/>
    </row>
    <row r="581" customFormat="false" ht="15.75" hidden="false" customHeight="false" outlineLevel="0" collapsed="false">
      <c r="A581" s="12"/>
      <c r="B581" s="34"/>
      <c r="C581" s="12"/>
      <c r="D581" s="12"/>
      <c r="E581" s="12"/>
      <c r="F581" s="12"/>
      <c r="G581" s="18"/>
      <c r="H581" s="35"/>
      <c r="I581" s="35"/>
      <c r="J581" s="12"/>
      <c r="O581" s="12"/>
      <c r="P581" s="18"/>
      <c r="Q581" s="12"/>
      <c r="R581" s="12"/>
      <c r="S581" s="12"/>
      <c r="T581" s="36"/>
      <c r="U581" s="36"/>
      <c r="V581" s="12"/>
      <c r="W581" s="12"/>
      <c r="X581" s="12"/>
      <c r="Y581" s="12"/>
      <c r="Z581" s="12"/>
    </row>
    <row r="582" customFormat="false" ht="15.75" hidden="false" customHeight="false" outlineLevel="0" collapsed="false">
      <c r="A582" s="12"/>
      <c r="B582" s="34"/>
      <c r="C582" s="12"/>
      <c r="D582" s="12"/>
      <c r="E582" s="12"/>
      <c r="F582" s="12"/>
      <c r="G582" s="18"/>
      <c r="H582" s="35"/>
      <c r="I582" s="35"/>
      <c r="J582" s="12"/>
      <c r="O582" s="12"/>
      <c r="P582" s="18"/>
      <c r="Q582" s="12"/>
      <c r="R582" s="12"/>
      <c r="S582" s="12"/>
      <c r="T582" s="36"/>
      <c r="U582" s="36"/>
      <c r="V582" s="12"/>
      <c r="W582" s="12"/>
      <c r="X582" s="12"/>
      <c r="Y582" s="12"/>
      <c r="Z582" s="12"/>
    </row>
    <row r="583" customFormat="false" ht="15.75" hidden="false" customHeight="false" outlineLevel="0" collapsed="false">
      <c r="A583" s="12"/>
      <c r="B583" s="34"/>
      <c r="C583" s="12"/>
      <c r="D583" s="12"/>
      <c r="E583" s="12"/>
      <c r="F583" s="12"/>
      <c r="G583" s="18"/>
      <c r="H583" s="35"/>
      <c r="I583" s="35"/>
      <c r="J583" s="12"/>
      <c r="O583" s="12"/>
      <c r="P583" s="18"/>
      <c r="Q583" s="12"/>
      <c r="R583" s="12"/>
      <c r="S583" s="12"/>
      <c r="T583" s="36"/>
      <c r="U583" s="36"/>
      <c r="V583" s="12"/>
      <c r="W583" s="12"/>
      <c r="X583" s="12"/>
      <c r="Y583" s="12"/>
      <c r="Z583" s="12"/>
    </row>
    <row r="584" customFormat="false" ht="15.75" hidden="false" customHeight="false" outlineLevel="0" collapsed="false">
      <c r="A584" s="12"/>
      <c r="B584" s="34"/>
      <c r="C584" s="12"/>
      <c r="D584" s="12"/>
      <c r="E584" s="12"/>
      <c r="F584" s="12"/>
      <c r="G584" s="18"/>
      <c r="H584" s="35"/>
      <c r="I584" s="35"/>
      <c r="J584" s="12"/>
      <c r="O584" s="12"/>
      <c r="P584" s="18"/>
      <c r="Q584" s="12"/>
      <c r="R584" s="12"/>
      <c r="S584" s="12"/>
      <c r="T584" s="36"/>
      <c r="U584" s="36"/>
      <c r="V584" s="12"/>
      <c r="W584" s="12"/>
      <c r="X584" s="12"/>
      <c r="Y584" s="12"/>
      <c r="Z584" s="12"/>
    </row>
    <row r="585" customFormat="false" ht="15.75" hidden="false" customHeight="false" outlineLevel="0" collapsed="false">
      <c r="A585" s="12"/>
      <c r="B585" s="34"/>
      <c r="C585" s="12"/>
      <c r="D585" s="12"/>
      <c r="E585" s="12"/>
      <c r="F585" s="12"/>
      <c r="G585" s="18"/>
      <c r="H585" s="35"/>
      <c r="I585" s="35"/>
      <c r="J585" s="12"/>
      <c r="O585" s="12"/>
      <c r="P585" s="18"/>
      <c r="Q585" s="12"/>
      <c r="R585" s="12"/>
      <c r="S585" s="12"/>
      <c r="T585" s="36"/>
      <c r="U585" s="36"/>
      <c r="V585" s="12"/>
      <c r="W585" s="12"/>
      <c r="X585" s="12"/>
      <c r="Y585" s="12"/>
      <c r="Z585" s="12"/>
    </row>
    <row r="586" customFormat="false" ht="15.75" hidden="false" customHeight="false" outlineLevel="0" collapsed="false">
      <c r="A586" s="12"/>
      <c r="B586" s="34"/>
      <c r="C586" s="12"/>
      <c r="D586" s="12"/>
      <c r="E586" s="12"/>
      <c r="F586" s="12"/>
      <c r="G586" s="18"/>
      <c r="H586" s="35"/>
      <c r="I586" s="35"/>
      <c r="J586" s="12"/>
      <c r="O586" s="12"/>
      <c r="P586" s="18"/>
      <c r="Q586" s="12"/>
      <c r="R586" s="12"/>
      <c r="S586" s="12"/>
      <c r="T586" s="36"/>
      <c r="U586" s="36"/>
      <c r="V586" s="12"/>
      <c r="W586" s="12"/>
      <c r="X586" s="12"/>
      <c r="Y586" s="12"/>
      <c r="Z586" s="12"/>
    </row>
    <row r="587" customFormat="false" ht="15.75" hidden="false" customHeight="false" outlineLevel="0" collapsed="false">
      <c r="A587" s="12"/>
      <c r="B587" s="34"/>
      <c r="C587" s="12"/>
      <c r="D587" s="12"/>
      <c r="E587" s="12"/>
      <c r="F587" s="12"/>
      <c r="G587" s="18"/>
      <c r="H587" s="35"/>
      <c r="I587" s="35"/>
      <c r="J587" s="12"/>
      <c r="O587" s="12"/>
      <c r="P587" s="18"/>
      <c r="Q587" s="12"/>
      <c r="R587" s="12"/>
      <c r="S587" s="12"/>
      <c r="T587" s="36"/>
      <c r="U587" s="36"/>
      <c r="V587" s="12"/>
      <c r="W587" s="12"/>
      <c r="X587" s="12"/>
      <c r="Y587" s="12"/>
      <c r="Z587" s="12"/>
    </row>
    <row r="588" customFormat="false" ht="15.75" hidden="false" customHeight="false" outlineLevel="0" collapsed="false">
      <c r="A588" s="12"/>
      <c r="B588" s="34"/>
      <c r="C588" s="12"/>
      <c r="D588" s="12"/>
      <c r="E588" s="12"/>
      <c r="F588" s="12"/>
      <c r="G588" s="18"/>
      <c r="H588" s="35"/>
      <c r="I588" s="35"/>
      <c r="J588" s="12"/>
      <c r="O588" s="12"/>
      <c r="P588" s="18"/>
      <c r="Q588" s="12"/>
      <c r="R588" s="12"/>
      <c r="S588" s="12"/>
      <c r="T588" s="36"/>
      <c r="U588" s="36"/>
      <c r="V588" s="12"/>
      <c r="W588" s="12"/>
      <c r="X588" s="12"/>
      <c r="Y588" s="12"/>
      <c r="Z588" s="12"/>
    </row>
    <row r="589" customFormat="false" ht="15.75" hidden="false" customHeight="false" outlineLevel="0" collapsed="false">
      <c r="A589" s="12"/>
      <c r="B589" s="34"/>
      <c r="C589" s="12"/>
      <c r="D589" s="12"/>
      <c r="E589" s="12"/>
      <c r="F589" s="12"/>
      <c r="G589" s="18"/>
      <c r="H589" s="35"/>
      <c r="I589" s="35"/>
      <c r="J589" s="12"/>
      <c r="O589" s="12"/>
      <c r="P589" s="18"/>
      <c r="Q589" s="12"/>
      <c r="R589" s="12"/>
      <c r="S589" s="12"/>
      <c r="T589" s="36"/>
      <c r="U589" s="36"/>
      <c r="V589" s="12"/>
      <c r="W589" s="12"/>
      <c r="X589" s="12"/>
      <c r="Y589" s="12"/>
      <c r="Z589" s="12"/>
    </row>
    <row r="590" customFormat="false" ht="15.75" hidden="false" customHeight="false" outlineLevel="0" collapsed="false">
      <c r="A590" s="12"/>
      <c r="B590" s="34"/>
      <c r="C590" s="12"/>
      <c r="D590" s="12"/>
      <c r="E590" s="12"/>
      <c r="F590" s="12"/>
      <c r="G590" s="18"/>
      <c r="H590" s="35"/>
      <c r="I590" s="35"/>
      <c r="J590" s="12"/>
      <c r="O590" s="12"/>
      <c r="P590" s="18"/>
      <c r="Q590" s="12"/>
      <c r="R590" s="12"/>
      <c r="S590" s="12"/>
      <c r="T590" s="36"/>
      <c r="U590" s="36"/>
      <c r="V590" s="12"/>
      <c r="W590" s="12"/>
      <c r="X590" s="12"/>
      <c r="Y590" s="12"/>
      <c r="Z590" s="12"/>
    </row>
    <row r="591" customFormat="false" ht="15.75" hidden="false" customHeight="false" outlineLevel="0" collapsed="false">
      <c r="A591" s="12"/>
      <c r="B591" s="34"/>
      <c r="C591" s="12"/>
      <c r="D591" s="12"/>
      <c r="E591" s="12"/>
      <c r="F591" s="12"/>
      <c r="G591" s="18"/>
      <c r="H591" s="35"/>
      <c r="I591" s="35"/>
      <c r="J591" s="12"/>
      <c r="O591" s="12"/>
      <c r="P591" s="18"/>
      <c r="Q591" s="12"/>
      <c r="R591" s="12"/>
      <c r="S591" s="12"/>
      <c r="T591" s="36"/>
      <c r="U591" s="36"/>
      <c r="V591" s="12"/>
      <c r="W591" s="12"/>
      <c r="X591" s="12"/>
      <c r="Y591" s="12"/>
      <c r="Z591" s="12"/>
    </row>
    <row r="592" customFormat="false" ht="15.75" hidden="false" customHeight="false" outlineLevel="0" collapsed="false">
      <c r="A592" s="12"/>
      <c r="B592" s="34"/>
      <c r="C592" s="12"/>
      <c r="D592" s="12"/>
      <c r="E592" s="12"/>
      <c r="F592" s="12"/>
      <c r="G592" s="18"/>
      <c r="H592" s="35"/>
      <c r="I592" s="35"/>
      <c r="J592" s="12"/>
      <c r="O592" s="12"/>
      <c r="P592" s="18"/>
      <c r="Q592" s="12"/>
      <c r="R592" s="12"/>
      <c r="S592" s="12"/>
      <c r="T592" s="36"/>
      <c r="U592" s="36"/>
      <c r="V592" s="12"/>
      <c r="W592" s="12"/>
      <c r="X592" s="12"/>
      <c r="Y592" s="12"/>
      <c r="Z592" s="12"/>
    </row>
    <row r="593" customFormat="false" ht="15.75" hidden="false" customHeight="false" outlineLevel="0" collapsed="false">
      <c r="A593" s="12"/>
      <c r="B593" s="34"/>
      <c r="C593" s="12"/>
      <c r="D593" s="12"/>
      <c r="E593" s="12"/>
      <c r="F593" s="12"/>
      <c r="G593" s="18"/>
      <c r="H593" s="35"/>
      <c r="I593" s="35"/>
      <c r="J593" s="12"/>
      <c r="O593" s="12"/>
      <c r="P593" s="18"/>
      <c r="Q593" s="12"/>
      <c r="R593" s="12"/>
      <c r="S593" s="12"/>
      <c r="T593" s="36"/>
      <c r="U593" s="36"/>
      <c r="V593" s="12"/>
      <c r="W593" s="12"/>
      <c r="X593" s="12"/>
      <c r="Y593" s="12"/>
      <c r="Z593" s="12"/>
    </row>
    <row r="594" customFormat="false" ht="15.75" hidden="false" customHeight="false" outlineLevel="0" collapsed="false">
      <c r="A594" s="12"/>
      <c r="B594" s="34"/>
      <c r="C594" s="12"/>
      <c r="D594" s="12"/>
      <c r="E594" s="12"/>
      <c r="F594" s="12"/>
      <c r="G594" s="18"/>
      <c r="H594" s="35"/>
      <c r="I594" s="35"/>
      <c r="J594" s="12"/>
      <c r="O594" s="12"/>
      <c r="P594" s="18"/>
      <c r="Q594" s="12"/>
      <c r="R594" s="12"/>
      <c r="S594" s="12"/>
      <c r="T594" s="36"/>
      <c r="U594" s="36"/>
      <c r="V594" s="12"/>
      <c r="W594" s="12"/>
      <c r="X594" s="12"/>
      <c r="Y594" s="12"/>
      <c r="Z594" s="12"/>
    </row>
    <row r="595" customFormat="false" ht="15.75" hidden="false" customHeight="false" outlineLevel="0" collapsed="false">
      <c r="A595" s="12"/>
      <c r="B595" s="34"/>
      <c r="C595" s="12"/>
      <c r="D595" s="12"/>
      <c r="E595" s="12"/>
      <c r="F595" s="12"/>
      <c r="G595" s="18"/>
      <c r="H595" s="35"/>
      <c r="I595" s="35"/>
      <c r="J595" s="12"/>
      <c r="O595" s="12"/>
      <c r="P595" s="18"/>
      <c r="Q595" s="12"/>
      <c r="R595" s="12"/>
      <c r="S595" s="12"/>
      <c r="T595" s="36"/>
      <c r="U595" s="36"/>
      <c r="V595" s="12"/>
      <c r="W595" s="12"/>
      <c r="X595" s="12"/>
      <c r="Y595" s="12"/>
      <c r="Z595" s="12"/>
    </row>
    <row r="596" customFormat="false" ht="15.75" hidden="false" customHeight="false" outlineLevel="0" collapsed="false">
      <c r="A596" s="12"/>
      <c r="B596" s="34"/>
      <c r="C596" s="12"/>
      <c r="D596" s="12"/>
      <c r="E596" s="12"/>
      <c r="F596" s="12"/>
      <c r="G596" s="18"/>
      <c r="H596" s="35"/>
      <c r="I596" s="35"/>
      <c r="J596" s="12"/>
      <c r="O596" s="12"/>
      <c r="P596" s="18"/>
      <c r="Q596" s="12"/>
      <c r="R596" s="12"/>
      <c r="S596" s="12"/>
      <c r="T596" s="36"/>
      <c r="U596" s="36"/>
      <c r="V596" s="12"/>
      <c r="W596" s="12"/>
      <c r="X596" s="12"/>
      <c r="Y596" s="12"/>
      <c r="Z596" s="12"/>
    </row>
    <row r="597" customFormat="false" ht="15.75" hidden="false" customHeight="false" outlineLevel="0" collapsed="false">
      <c r="A597" s="12"/>
      <c r="B597" s="34"/>
      <c r="C597" s="12"/>
      <c r="D597" s="12"/>
      <c r="E597" s="12"/>
      <c r="F597" s="12"/>
      <c r="G597" s="18"/>
      <c r="H597" s="35"/>
      <c r="I597" s="35"/>
      <c r="J597" s="12"/>
      <c r="O597" s="12"/>
      <c r="P597" s="18"/>
      <c r="Q597" s="12"/>
      <c r="R597" s="12"/>
      <c r="S597" s="12"/>
      <c r="T597" s="36"/>
      <c r="U597" s="36"/>
      <c r="V597" s="12"/>
      <c r="W597" s="12"/>
      <c r="X597" s="12"/>
      <c r="Y597" s="12"/>
      <c r="Z597" s="12"/>
    </row>
    <row r="598" customFormat="false" ht="15.75" hidden="false" customHeight="false" outlineLevel="0" collapsed="false">
      <c r="A598" s="12"/>
      <c r="B598" s="34"/>
      <c r="C598" s="12"/>
      <c r="D598" s="12"/>
      <c r="E598" s="12"/>
      <c r="F598" s="12"/>
      <c r="G598" s="18"/>
      <c r="H598" s="35"/>
      <c r="I598" s="35"/>
      <c r="J598" s="12"/>
      <c r="O598" s="12"/>
      <c r="P598" s="18"/>
      <c r="Q598" s="12"/>
      <c r="R598" s="12"/>
      <c r="S598" s="12"/>
      <c r="T598" s="36"/>
      <c r="U598" s="36"/>
      <c r="V598" s="12"/>
      <c r="W598" s="12"/>
      <c r="X598" s="12"/>
      <c r="Y598" s="12"/>
      <c r="Z598" s="12"/>
    </row>
    <row r="599" customFormat="false" ht="15.75" hidden="false" customHeight="false" outlineLevel="0" collapsed="false">
      <c r="A599" s="12"/>
      <c r="B599" s="34"/>
      <c r="C599" s="12"/>
      <c r="D599" s="12"/>
      <c r="E599" s="12"/>
      <c r="F599" s="12"/>
      <c r="G599" s="18"/>
      <c r="H599" s="35"/>
      <c r="I599" s="35"/>
      <c r="J599" s="12"/>
      <c r="O599" s="12"/>
      <c r="P599" s="18"/>
      <c r="Q599" s="12"/>
      <c r="R599" s="12"/>
      <c r="S599" s="12"/>
      <c r="T599" s="36"/>
      <c r="U599" s="36"/>
      <c r="V599" s="12"/>
      <c r="W599" s="12"/>
      <c r="X599" s="12"/>
      <c r="Y599" s="12"/>
      <c r="Z599" s="12"/>
    </row>
    <row r="600" customFormat="false" ht="15.75" hidden="false" customHeight="false" outlineLevel="0" collapsed="false">
      <c r="A600" s="12"/>
      <c r="B600" s="34"/>
      <c r="C600" s="12"/>
      <c r="D600" s="12"/>
      <c r="E600" s="12"/>
      <c r="F600" s="12"/>
      <c r="G600" s="18"/>
      <c r="H600" s="35"/>
      <c r="I600" s="35"/>
      <c r="J600" s="12"/>
      <c r="O600" s="12"/>
      <c r="P600" s="18"/>
      <c r="Q600" s="12"/>
      <c r="R600" s="12"/>
      <c r="S600" s="12"/>
      <c r="T600" s="36"/>
      <c r="U600" s="36"/>
      <c r="V600" s="12"/>
      <c r="W600" s="12"/>
      <c r="X600" s="12"/>
      <c r="Y600" s="12"/>
      <c r="Z600" s="12"/>
    </row>
    <row r="601" customFormat="false" ht="15.75" hidden="false" customHeight="false" outlineLevel="0" collapsed="false">
      <c r="A601" s="12"/>
      <c r="B601" s="34"/>
      <c r="C601" s="12"/>
      <c r="D601" s="12"/>
      <c r="E601" s="12"/>
      <c r="F601" s="12"/>
      <c r="G601" s="18"/>
      <c r="H601" s="35"/>
      <c r="I601" s="35"/>
      <c r="J601" s="12"/>
      <c r="O601" s="12"/>
      <c r="P601" s="18"/>
      <c r="Q601" s="12"/>
      <c r="R601" s="12"/>
      <c r="S601" s="12"/>
      <c r="T601" s="36"/>
      <c r="U601" s="36"/>
      <c r="V601" s="12"/>
      <c r="W601" s="12"/>
      <c r="X601" s="12"/>
      <c r="Y601" s="12"/>
      <c r="Z601" s="12"/>
    </row>
    <row r="602" customFormat="false" ht="15.75" hidden="false" customHeight="false" outlineLevel="0" collapsed="false">
      <c r="A602" s="12"/>
      <c r="B602" s="34"/>
      <c r="C602" s="12"/>
      <c r="D602" s="12"/>
      <c r="E602" s="12"/>
      <c r="F602" s="12"/>
      <c r="G602" s="18"/>
      <c r="H602" s="35"/>
      <c r="I602" s="35"/>
      <c r="J602" s="12"/>
      <c r="O602" s="12"/>
      <c r="P602" s="18"/>
      <c r="Q602" s="12"/>
      <c r="R602" s="12"/>
      <c r="S602" s="12"/>
      <c r="T602" s="36"/>
      <c r="U602" s="36"/>
      <c r="V602" s="12"/>
      <c r="W602" s="12"/>
      <c r="X602" s="12"/>
      <c r="Y602" s="12"/>
      <c r="Z602" s="12"/>
    </row>
    <row r="603" customFormat="false" ht="15.75" hidden="false" customHeight="false" outlineLevel="0" collapsed="false">
      <c r="A603" s="12"/>
      <c r="B603" s="34"/>
      <c r="C603" s="12"/>
      <c r="D603" s="12"/>
      <c r="E603" s="12"/>
      <c r="F603" s="12"/>
      <c r="G603" s="18"/>
      <c r="H603" s="35"/>
      <c r="I603" s="35"/>
      <c r="J603" s="12"/>
      <c r="O603" s="12"/>
      <c r="P603" s="18"/>
      <c r="Q603" s="12"/>
      <c r="R603" s="12"/>
      <c r="S603" s="12"/>
      <c r="T603" s="36"/>
      <c r="U603" s="36"/>
      <c r="V603" s="12"/>
      <c r="W603" s="12"/>
      <c r="X603" s="12"/>
      <c r="Y603" s="12"/>
      <c r="Z603" s="12"/>
    </row>
    <row r="604" customFormat="false" ht="15.75" hidden="false" customHeight="false" outlineLevel="0" collapsed="false">
      <c r="A604" s="12"/>
      <c r="B604" s="34"/>
      <c r="C604" s="12"/>
      <c r="D604" s="12"/>
      <c r="E604" s="12"/>
      <c r="F604" s="12"/>
      <c r="G604" s="18"/>
      <c r="H604" s="35"/>
      <c r="I604" s="35"/>
      <c r="J604" s="12"/>
      <c r="O604" s="12"/>
      <c r="P604" s="18"/>
      <c r="Q604" s="12"/>
      <c r="R604" s="12"/>
      <c r="S604" s="12"/>
      <c r="T604" s="36"/>
      <c r="U604" s="36"/>
      <c r="V604" s="12"/>
      <c r="W604" s="12"/>
      <c r="X604" s="12"/>
      <c r="Y604" s="12"/>
      <c r="Z604" s="12"/>
    </row>
    <row r="605" customFormat="false" ht="15.75" hidden="false" customHeight="false" outlineLevel="0" collapsed="false">
      <c r="A605" s="12"/>
      <c r="B605" s="34"/>
      <c r="C605" s="12"/>
      <c r="D605" s="12"/>
      <c r="E605" s="12"/>
      <c r="F605" s="12"/>
      <c r="G605" s="18"/>
      <c r="H605" s="35"/>
      <c r="I605" s="35"/>
      <c r="J605" s="12"/>
      <c r="O605" s="12"/>
      <c r="P605" s="18"/>
      <c r="Q605" s="12"/>
      <c r="R605" s="12"/>
      <c r="S605" s="12"/>
      <c r="T605" s="36"/>
      <c r="U605" s="36"/>
      <c r="V605" s="12"/>
      <c r="W605" s="12"/>
      <c r="X605" s="12"/>
      <c r="Y605" s="12"/>
      <c r="Z605" s="12"/>
    </row>
    <row r="606" customFormat="false" ht="15.75" hidden="false" customHeight="false" outlineLevel="0" collapsed="false">
      <c r="A606" s="12"/>
      <c r="B606" s="34"/>
      <c r="C606" s="12"/>
      <c r="D606" s="12"/>
      <c r="E606" s="12"/>
      <c r="F606" s="12"/>
      <c r="G606" s="18"/>
      <c r="H606" s="35"/>
      <c r="I606" s="35"/>
      <c r="J606" s="12"/>
      <c r="O606" s="12"/>
      <c r="P606" s="18"/>
      <c r="Q606" s="12"/>
      <c r="R606" s="12"/>
      <c r="S606" s="12"/>
      <c r="T606" s="36"/>
      <c r="U606" s="36"/>
      <c r="V606" s="12"/>
      <c r="W606" s="12"/>
      <c r="X606" s="12"/>
      <c r="Y606" s="12"/>
      <c r="Z606" s="12"/>
    </row>
    <row r="607" customFormat="false" ht="15.75" hidden="false" customHeight="false" outlineLevel="0" collapsed="false">
      <c r="A607" s="12"/>
      <c r="B607" s="34"/>
      <c r="C607" s="12"/>
      <c r="D607" s="12"/>
      <c r="E607" s="12"/>
      <c r="F607" s="12"/>
      <c r="G607" s="18"/>
      <c r="H607" s="35"/>
      <c r="I607" s="35"/>
      <c r="J607" s="12"/>
      <c r="O607" s="12"/>
      <c r="P607" s="18"/>
      <c r="Q607" s="12"/>
      <c r="R607" s="12"/>
      <c r="S607" s="12"/>
      <c r="T607" s="36"/>
      <c r="U607" s="36"/>
      <c r="V607" s="12"/>
      <c r="W607" s="12"/>
      <c r="X607" s="12"/>
      <c r="Y607" s="12"/>
      <c r="Z607" s="12"/>
    </row>
    <row r="608" customFormat="false" ht="15.75" hidden="false" customHeight="false" outlineLevel="0" collapsed="false">
      <c r="A608" s="12"/>
      <c r="B608" s="34"/>
      <c r="C608" s="12"/>
      <c r="D608" s="12"/>
      <c r="E608" s="12"/>
      <c r="F608" s="12"/>
      <c r="G608" s="18"/>
      <c r="H608" s="35"/>
      <c r="I608" s="35"/>
      <c r="J608" s="12"/>
      <c r="O608" s="12"/>
      <c r="P608" s="18"/>
      <c r="Q608" s="12"/>
      <c r="R608" s="12"/>
      <c r="S608" s="12"/>
      <c r="T608" s="36"/>
      <c r="U608" s="36"/>
      <c r="V608" s="12"/>
      <c r="W608" s="12"/>
      <c r="X608" s="12"/>
      <c r="Y608" s="12"/>
      <c r="Z608" s="12"/>
    </row>
    <row r="609" customFormat="false" ht="15.75" hidden="false" customHeight="false" outlineLevel="0" collapsed="false">
      <c r="A609" s="12"/>
      <c r="B609" s="34"/>
      <c r="C609" s="12"/>
      <c r="D609" s="12"/>
      <c r="E609" s="12"/>
      <c r="F609" s="12"/>
      <c r="G609" s="18"/>
      <c r="H609" s="35"/>
      <c r="I609" s="35"/>
      <c r="J609" s="12"/>
      <c r="O609" s="12"/>
      <c r="P609" s="18"/>
      <c r="Q609" s="12"/>
      <c r="R609" s="12"/>
      <c r="S609" s="12"/>
      <c r="T609" s="36"/>
      <c r="U609" s="36"/>
      <c r="V609" s="12"/>
      <c r="W609" s="12"/>
      <c r="X609" s="12"/>
      <c r="Y609" s="12"/>
      <c r="Z609" s="12"/>
    </row>
    <row r="610" customFormat="false" ht="15.75" hidden="false" customHeight="false" outlineLevel="0" collapsed="false">
      <c r="A610" s="12"/>
      <c r="B610" s="34"/>
      <c r="C610" s="12"/>
      <c r="D610" s="12"/>
      <c r="E610" s="12"/>
      <c r="F610" s="12"/>
      <c r="G610" s="18"/>
      <c r="H610" s="35"/>
      <c r="I610" s="35"/>
      <c r="J610" s="12"/>
      <c r="O610" s="12"/>
      <c r="P610" s="18"/>
      <c r="Q610" s="12"/>
      <c r="R610" s="12"/>
      <c r="S610" s="12"/>
      <c r="T610" s="36"/>
      <c r="U610" s="36"/>
      <c r="V610" s="12"/>
      <c r="W610" s="12"/>
      <c r="X610" s="12"/>
      <c r="Y610" s="12"/>
      <c r="Z610" s="12"/>
    </row>
    <row r="611" customFormat="false" ht="15.75" hidden="false" customHeight="false" outlineLevel="0" collapsed="false">
      <c r="A611" s="12"/>
      <c r="B611" s="34"/>
      <c r="C611" s="12"/>
      <c r="D611" s="12"/>
      <c r="E611" s="12"/>
      <c r="F611" s="12"/>
      <c r="G611" s="18"/>
      <c r="H611" s="35"/>
      <c r="I611" s="35"/>
      <c r="J611" s="12"/>
      <c r="O611" s="12"/>
      <c r="P611" s="18"/>
      <c r="Q611" s="12"/>
      <c r="R611" s="12"/>
      <c r="S611" s="12"/>
      <c r="T611" s="36"/>
      <c r="U611" s="36"/>
      <c r="V611" s="12"/>
      <c r="W611" s="12"/>
      <c r="X611" s="12"/>
      <c r="Y611" s="12"/>
      <c r="Z611" s="12"/>
    </row>
    <row r="612" customFormat="false" ht="15.75" hidden="false" customHeight="false" outlineLevel="0" collapsed="false">
      <c r="A612" s="12"/>
      <c r="B612" s="34"/>
      <c r="C612" s="12"/>
      <c r="D612" s="12"/>
      <c r="E612" s="12"/>
      <c r="F612" s="12"/>
      <c r="G612" s="18"/>
      <c r="H612" s="35"/>
      <c r="I612" s="35"/>
      <c r="J612" s="12"/>
      <c r="O612" s="12"/>
      <c r="P612" s="18"/>
      <c r="Q612" s="12"/>
      <c r="R612" s="12"/>
      <c r="S612" s="12"/>
      <c r="T612" s="36"/>
      <c r="U612" s="36"/>
      <c r="V612" s="12"/>
      <c r="W612" s="12"/>
      <c r="X612" s="12"/>
      <c r="Y612" s="12"/>
      <c r="Z612" s="12"/>
    </row>
    <row r="613" customFormat="false" ht="15.75" hidden="false" customHeight="false" outlineLevel="0" collapsed="false">
      <c r="A613" s="12"/>
      <c r="B613" s="34"/>
      <c r="C613" s="12"/>
      <c r="D613" s="12"/>
      <c r="E613" s="12"/>
      <c r="F613" s="12"/>
      <c r="G613" s="18"/>
      <c r="H613" s="35"/>
      <c r="I613" s="35"/>
      <c r="J613" s="12"/>
      <c r="O613" s="12"/>
      <c r="P613" s="18"/>
      <c r="Q613" s="12"/>
      <c r="R613" s="12"/>
      <c r="S613" s="12"/>
      <c r="T613" s="36"/>
      <c r="U613" s="36"/>
      <c r="V613" s="12"/>
      <c r="W613" s="12"/>
      <c r="X613" s="12"/>
      <c r="Y613" s="12"/>
      <c r="Z613" s="12"/>
    </row>
    <row r="614" customFormat="false" ht="15.75" hidden="false" customHeight="false" outlineLevel="0" collapsed="false">
      <c r="A614" s="12"/>
      <c r="B614" s="34"/>
      <c r="C614" s="12"/>
      <c r="D614" s="12"/>
      <c r="E614" s="12"/>
      <c r="F614" s="12"/>
      <c r="G614" s="18"/>
      <c r="H614" s="35"/>
      <c r="I614" s="35"/>
      <c r="J614" s="12"/>
      <c r="O614" s="12"/>
      <c r="P614" s="18"/>
      <c r="Q614" s="12"/>
      <c r="R614" s="12"/>
      <c r="S614" s="12"/>
      <c r="T614" s="36"/>
      <c r="U614" s="36"/>
      <c r="V614" s="12"/>
      <c r="W614" s="12"/>
      <c r="X614" s="12"/>
      <c r="Y614" s="12"/>
      <c r="Z614" s="12"/>
    </row>
    <row r="615" customFormat="false" ht="15.75" hidden="false" customHeight="false" outlineLevel="0" collapsed="false">
      <c r="A615" s="12"/>
      <c r="B615" s="34"/>
      <c r="C615" s="12"/>
      <c r="D615" s="12"/>
      <c r="E615" s="12"/>
      <c r="F615" s="12"/>
      <c r="G615" s="18"/>
      <c r="H615" s="35"/>
      <c r="I615" s="35"/>
      <c r="J615" s="12"/>
      <c r="O615" s="12"/>
      <c r="P615" s="18"/>
      <c r="Q615" s="12"/>
      <c r="R615" s="12"/>
      <c r="S615" s="12"/>
      <c r="T615" s="36"/>
      <c r="U615" s="36"/>
      <c r="V615" s="12"/>
      <c r="W615" s="12"/>
      <c r="X615" s="12"/>
      <c r="Y615" s="12"/>
      <c r="Z615" s="12"/>
    </row>
    <row r="616" customFormat="false" ht="15.75" hidden="false" customHeight="false" outlineLevel="0" collapsed="false">
      <c r="A616" s="12"/>
      <c r="B616" s="34"/>
      <c r="C616" s="12"/>
      <c r="D616" s="12"/>
      <c r="E616" s="12"/>
      <c r="F616" s="12"/>
      <c r="G616" s="18"/>
      <c r="H616" s="35"/>
      <c r="I616" s="35"/>
      <c r="J616" s="12"/>
      <c r="O616" s="12"/>
      <c r="P616" s="18"/>
      <c r="Q616" s="12"/>
      <c r="R616" s="12"/>
      <c r="S616" s="12"/>
      <c r="T616" s="36"/>
      <c r="U616" s="36"/>
      <c r="V616" s="12"/>
      <c r="W616" s="12"/>
      <c r="X616" s="12"/>
      <c r="Y616" s="12"/>
      <c r="Z616" s="12"/>
    </row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AH73"/>
  <conditionalFormatting sqref="T2:T69 U2:U616 R70 T71:T616">
    <cfRule type="expression" priority="2" aboveAverage="0" equalAverage="0" bottom="0" percent="0" rank="0" text="" dxfId="0">
      <formula>LEN(TRIM(#ref!))&gt;0</formula>
    </cfRule>
  </conditionalFormatting>
  <conditionalFormatting sqref="S2:S3 S5:S55 S58:S616">
    <cfRule type="expression" priority="3" aboveAverage="0" equalAverage="0" bottom="0" percent="0" rank="0" text="" dxfId="0">
      <formula>LEN(TRIM(S2))&gt;0</formula>
    </cfRule>
  </conditionalFormatting>
  <conditionalFormatting sqref="G2:G616 P2:P616">
    <cfRule type="containsText" priority="4" operator="containsText" aboveAverage="0" equalAverage="0" bottom="0" percent="0" rank="0" text="x" dxfId="0">
      <formula>NOT(ISERROR(SEARCH("x",G2)))</formula>
    </cfRule>
  </conditionalFormatting>
  <conditionalFormatting sqref="V2:V616">
    <cfRule type="expression" priority="5" aboveAverage="0" equalAverage="0" bottom="0" percent="0" rank="0" text="" dxfId="0">
      <formula>LEN(TRIM(V2))&gt;0</formula>
    </cfRule>
  </conditionalFormatting>
  <conditionalFormatting sqref="Y2:Y616">
    <cfRule type="expression" priority="6" aboveAverage="0" equalAverage="0" bottom="0" percent="0" rank="0" text="" dxfId="0">
      <formula>LEN(TRIM(Y2))&gt;0</formula>
    </cfRule>
  </conditionalFormatting>
  <conditionalFormatting sqref="Z2:Z616 R29">
    <cfRule type="cellIs" priority="7" operator="equal" aboveAverage="0" equalAverage="0" bottom="0" percent="0" rank="0" text="" dxfId="0">
      <formula>"Completo"</formula>
    </cfRule>
    <cfRule type="cellIs" priority="8" operator="equal" aboveAverage="0" equalAverage="0" bottom="0" percent="0" rank="0" text="" dxfId="1">
      <formula>"No aplica"</formula>
    </cfRule>
  </conditionalFormatting>
  <conditionalFormatting sqref="G2:J616 Q2:Q616 R2:R69 W2:X616 Z2:Z616 R71:R616">
    <cfRule type="cellIs" priority="9" operator="equal" aboveAverage="0" equalAverage="0" bottom="0" percent="0" rank="0" text="" dxfId="0">
      <formula>"Completo"</formula>
    </cfRule>
    <cfRule type="cellIs" priority="10" operator="equal" aboveAverage="0" equalAverage="0" bottom="0" percent="0" rank="0" text="" dxfId="1">
      <formula>"No Aplica"</formula>
    </cfRule>
  </conditionalFormatting>
  <dataValidations count="6">
    <dataValidation allowBlank="true" errorStyle="stop" operator="between" showDropDown="false" showErrorMessage="true" showInputMessage="false" sqref="AA2:AA70" type="list">
      <formula1>"Aceptada,En espera,Rechazada,No aplica"</formula1>
      <formula2>0</formula2>
    </dataValidation>
    <dataValidation allowBlank="true" errorStyle="stop" operator="between" showDropDown="false" showErrorMessage="false" showInputMessage="false" sqref="V2:V616" type="list">
      <formula1>LEYENDA!$A$23:$A$24</formula1>
      <formula2>0</formula2>
    </dataValidation>
    <dataValidation allowBlank="true" errorStyle="stop" operator="between" showDropDown="false" showErrorMessage="false" showInputMessage="false" sqref="T2:T69 R70 T71:T616" type="list">
      <formula1>LEYENDA!$A$15:$A$21</formula1>
      <formula2>0</formula2>
    </dataValidation>
    <dataValidation allowBlank="true" errorStyle="stop" operator="between" showDropDown="false" showErrorMessage="true" showInputMessage="false" sqref="D2:D616" type="list">
      <formula1>LEYENDA!$B$2:$D$2</formula1>
      <formula2>0</formula2>
    </dataValidation>
    <dataValidation allowBlank="true" errorStyle="stop" operator="between" showDropDown="false" showErrorMessage="true" showInputMessage="false" sqref="H2:J50 Q2:R69 W2:X616 Z2:Z616 H51:H55 I52:J55 H56:J616 Q70 Q71:R616" type="list">
      <formula1>LEYENDA!$B$1:$C$1</formula1>
      <formula2>0</formula2>
    </dataValidation>
    <dataValidation allowBlank="true" errorStyle="stop" operator="between" showDropDown="false" showErrorMessage="false" showInputMessage="false" sqref="E2:E616" type="list">
      <formula1>LEYENDA!$A$8:$A$12</formula1>
      <formula2>0</formula2>
    </dataValidation>
  </dataValidations>
  <hyperlinks>
    <hyperlink ref="H2" r:id="rId1" display="Completo"/>
    <hyperlink ref="W2" r:id="rId2" display="Completo"/>
    <hyperlink ref="X2" r:id="rId3" display="Completo"/>
    <hyperlink ref="W3" r:id="rId4" display="Completo"/>
    <hyperlink ref="X3" r:id="rId5" display="Completo"/>
    <hyperlink ref="H9" r:id="rId6" display="Completo"/>
    <hyperlink ref="W9" r:id="rId7" display="Completo"/>
    <hyperlink ref="X9" r:id="rId8" display="Completo"/>
    <hyperlink ref="H10" r:id="rId9" display="Completo"/>
    <hyperlink ref="W10" r:id="rId10" display="Completo"/>
    <hyperlink ref="X10" r:id="rId11" display="Completo"/>
    <hyperlink ref="H14" r:id="rId12" display="Completo"/>
    <hyperlink ref="H19" r:id="rId13" display="Completo"/>
    <hyperlink ref="H20" r:id="rId14" display="Completo"/>
    <hyperlink ref="H21" r:id="rId15" display="Completo"/>
    <hyperlink ref="H22" r:id="rId16" display="Completo"/>
    <hyperlink ref="H25" r:id="rId17" display="Completo"/>
    <hyperlink ref="H26" r:id="rId18" display="Completo"/>
    <hyperlink ref="H29" r:id="rId19" display="Completo"/>
    <hyperlink ref="H32" r:id="rId20" display="Completo"/>
    <hyperlink ref="R32" r:id="rId21" display="Completo"/>
    <hyperlink ref="H33" r:id="rId22" display="Completo"/>
    <hyperlink ref="R33" r:id="rId23" display="Completo"/>
    <hyperlink ref="W33" r:id="rId24" display="Completo"/>
    <hyperlink ref="X33" r:id="rId25" display="Completo"/>
    <hyperlink ref="H34" r:id="rId26" display="Completo"/>
    <hyperlink ref="R34" r:id="rId27" display="Completo"/>
    <hyperlink ref="W34" r:id="rId28" display="Completo"/>
    <hyperlink ref="X34" r:id="rId29" display="Completo"/>
    <hyperlink ref="H35" r:id="rId30" display="Completo"/>
    <hyperlink ref="R35" r:id="rId31" display="Completo"/>
    <hyperlink ref="W35" r:id="rId32" display="Completo"/>
    <hyperlink ref="X35" r:id="rId33" display="Completo"/>
    <hyperlink ref="H36" r:id="rId34" display="Completo"/>
    <hyperlink ref="H39" r:id="rId35" display="Completo"/>
    <hyperlink ref="H40" r:id="rId36" display="Completo"/>
    <hyperlink ref="H43" r:id="rId37" display="Completo"/>
    <hyperlink ref="H44" r:id="rId38" display="Completo"/>
    <hyperlink ref="H45" r:id="rId39" display="Completo"/>
    <hyperlink ref="H52" r:id="rId40" display="Completo"/>
    <hyperlink ref="H53" r:id="rId41" display="Completo"/>
    <hyperlink ref="H54" r:id="rId42" display="Completo"/>
    <hyperlink ref="H55" r:id="rId43" display="Completo"/>
    <hyperlink ref="H60" r:id="rId44" display="https://photos.app.goo.gl/BX7SeB2QfeycZ2W37"/>
    <hyperlink ref="H61" r:id="rId45" display="https://photos.app.goo.gl/cSziT5whyWMSG1F17"/>
    <hyperlink ref="H65" r:id="rId46" display="https://photos.app.goo.gl/7NaGnLpCDMfvbc2h7"/>
    <hyperlink ref="H67" r:id="rId47" display="https://photos.app.goo.gl/4rLbtZyDSjd3JPQV8"/>
  </hyperlinks>
  <printOptions headings="false" gridLines="true" gridLinesSet="true" horizontalCentered="true" verticalCentered="false"/>
  <pageMargins left="0.7" right="0.7" top="0.75" bottom="0.75" header="0.511811023622047" footer="0.511811023622047"/>
  <pageSetup paperSize="9" scale="100" fitToWidth="1" fitToHeight="0" pageOrder="overThenDown" orientation="landscape" blackAndWhite="false" draft="false" cellComments="none" horizontalDpi="300" verticalDpi="300" copies="1"/>
  <headerFooter differentFirst="false" differentOddEven="false">
    <oddHeader/>
    <oddFooter/>
  </headerFooter>
  <drawing r:id="rId48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XFD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8" ySplit="3" topLeftCell="I4" activePane="bottomRight" state="frozen"/>
      <selection pane="topLeft" activeCell="A1" activeCellId="0" sqref="A1"/>
      <selection pane="topRight" activeCell="I1" activeCellId="0" sqref="I1"/>
      <selection pane="bottomLeft" activeCell="A4" activeCellId="0" sqref="A4"/>
      <selection pane="bottomRight" activeCell="E8" activeCellId="0" sqref="E8"/>
    </sheetView>
  </sheetViews>
  <sheetFormatPr defaultColWidth="12.6328125" defaultRowHeight="15.75" zeroHeight="false" outlineLevelRow="0" outlineLevelCol="0"/>
  <cols>
    <col collapsed="false" customWidth="true" hidden="false" outlineLevel="0" max="1" min="1" style="1" width="10.25"/>
    <col collapsed="false" customWidth="true" hidden="false" outlineLevel="0" max="2" min="2" style="1" width="10.38"/>
    <col collapsed="false" customWidth="true" hidden="false" outlineLevel="0" max="5" min="3" style="1" width="16.38"/>
    <col collapsed="false" customWidth="true" hidden="false" outlineLevel="0" max="6" min="6" style="1" width="35.38"/>
    <col collapsed="false" customWidth="true" hidden="false" outlineLevel="0" max="7" min="7" style="1" width="14.13"/>
    <col collapsed="false" customWidth="true" hidden="false" outlineLevel="0" max="9" min="8" style="1" width="10.13"/>
    <col collapsed="false" customWidth="true" hidden="false" outlineLevel="0" max="10" min="10" style="1" width="12.88"/>
    <col collapsed="false" customWidth="true" hidden="false" outlineLevel="0" max="12" min="11" style="1" width="12"/>
    <col collapsed="false" customWidth="true" hidden="false" outlineLevel="0" max="13" min="13" style="1" width="10"/>
    <col collapsed="false" customWidth="true" hidden="false" outlineLevel="0" max="14" min="14" style="1" width="12.25"/>
    <col collapsed="false" customWidth="true" hidden="false" outlineLevel="0" max="15" min="15" style="1" width="30.63"/>
    <col collapsed="false" customWidth="true" hidden="true" outlineLevel="0" max="16" min="16" style="1" width="18"/>
    <col collapsed="false" customWidth="true" hidden="false" outlineLevel="0" max="18" min="17" style="1" width="10.63"/>
    <col collapsed="false" customWidth="true" hidden="false" outlineLevel="0" max="19" min="19" style="1" width="8.5"/>
    <col collapsed="false" customWidth="true" hidden="false" outlineLevel="0" max="21" min="21" style="1" width="25.38"/>
    <col collapsed="false" customWidth="true" hidden="false" outlineLevel="0" max="22" min="22" style="1" width="18.13"/>
    <col collapsed="false" customWidth="true" hidden="false" outlineLevel="0" max="23" min="23" style="1" width="10.13"/>
    <col collapsed="false" customWidth="true" hidden="false" outlineLevel="0" max="24" min="24" style="1" width="11.38"/>
    <col collapsed="false" customWidth="true" hidden="false" outlineLevel="0" max="25" min="25" style="1" width="24.38"/>
    <col collapsed="false" customWidth="true" hidden="false" outlineLevel="0" max="16384" min="16383" style="1" width="11.53"/>
  </cols>
  <sheetData>
    <row r="1" customFormat="false" ht="42.5" hidden="false" customHeight="false" outlineLevel="0" collapsed="false">
      <c r="A1" s="2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/>
      <c r="J1" s="4" t="s">
        <v>8</v>
      </c>
      <c r="K1" s="2"/>
      <c r="L1" s="2" t="s">
        <v>9</v>
      </c>
      <c r="M1" s="2" t="s">
        <v>10</v>
      </c>
      <c r="N1" s="4" t="s">
        <v>11</v>
      </c>
      <c r="O1" s="3" t="s">
        <v>12</v>
      </c>
      <c r="P1" s="7" t="s">
        <v>13</v>
      </c>
      <c r="Q1" s="7" t="s">
        <v>14</v>
      </c>
      <c r="R1" s="7" t="s">
        <v>15</v>
      </c>
      <c r="S1" s="7" t="s">
        <v>16</v>
      </c>
      <c r="T1" s="7" t="s">
        <v>17</v>
      </c>
      <c r="U1" s="8" t="s">
        <v>18</v>
      </c>
      <c r="V1" s="9" t="s">
        <v>19</v>
      </c>
      <c r="W1" s="9" t="s">
        <v>20</v>
      </c>
      <c r="X1" s="10" t="s">
        <v>15</v>
      </c>
      <c r="Y1" s="11" t="s">
        <v>21</v>
      </c>
      <c r="Z1" s="11" t="s">
        <v>22</v>
      </c>
      <c r="AA1" s="12"/>
      <c r="AB1" s="12"/>
      <c r="AC1" s="12"/>
      <c r="AD1" s="12"/>
      <c r="AE1" s="12"/>
      <c r="AF1" s="12"/>
      <c r="XFC1" s="0"/>
      <c r="XFD1" s="0"/>
    </row>
    <row r="2" customFormat="false" ht="15.75" hidden="false" customHeight="false" outlineLevel="0" collapsed="false">
      <c r="A2" s="42" t="n">
        <v>1654551</v>
      </c>
      <c r="B2" s="14" t="n">
        <v>45261</v>
      </c>
      <c r="C2" s="16" t="s">
        <v>299</v>
      </c>
      <c r="D2" s="30" t="s">
        <v>290</v>
      </c>
      <c r="E2" s="21" t="s">
        <v>25</v>
      </c>
      <c r="F2" s="21" t="s">
        <v>600</v>
      </c>
      <c r="G2" s="30" t="s">
        <v>1116</v>
      </c>
      <c r="H2" s="45" t="s">
        <v>28</v>
      </c>
      <c r="I2" s="31"/>
      <c r="J2" s="21" t="s">
        <v>28</v>
      </c>
      <c r="K2" s="21" t="s">
        <v>29</v>
      </c>
      <c r="L2" s="21" t="s">
        <v>29</v>
      </c>
      <c r="M2" s="21" t="s">
        <v>29</v>
      </c>
      <c r="N2" s="21" t="s">
        <v>29</v>
      </c>
      <c r="O2" s="21" t="s">
        <v>1117</v>
      </c>
      <c r="P2" s="30"/>
      <c r="Q2" s="21"/>
      <c r="R2" s="21"/>
      <c r="S2" s="21"/>
      <c r="T2" s="32"/>
      <c r="U2" s="20"/>
      <c r="V2" s="21"/>
      <c r="W2" s="21"/>
      <c r="X2" s="21"/>
      <c r="Y2" s="21"/>
      <c r="Z2" s="21" t="s">
        <v>28</v>
      </c>
    </row>
    <row r="3" customFormat="false" ht="15.75" hidden="false" customHeight="false" outlineLevel="0" collapsed="false">
      <c r="A3" s="21" t="n">
        <v>7659</v>
      </c>
      <c r="B3" s="29" t="n">
        <v>45261</v>
      </c>
      <c r="C3" s="21" t="s">
        <v>1118</v>
      </c>
      <c r="D3" s="30" t="s">
        <v>24</v>
      </c>
      <c r="E3" s="21" t="s">
        <v>25</v>
      </c>
      <c r="F3" s="21" t="s">
        <v>1119</v>
      </c>
      <c r="G3" s="30" t="s">
        <v>292</v>
      </c>
      <c r="H3" s="45" t="s">
        <v>28</v>
      </c>
      <c r="I3" s="31"/>
      <c r="J3" s="21" t="s">
        <v>28</v>
      </c>
      <c r="K3" s="21" t="s">
        <v>29</v>
      </c>
      <c r="L3" s="21" t="s">
        <v>29</v>
      </c>
      <c r="M3" s="21" t="s">
        <v>29</v>
      </c>
      <c r="N3" s="21" t="n">
        <v>10833</v>
      </c>
      <c r="O3" s="21"/>
      <c r="P3" s="30"/>
      <c r="Q3" s="21"/>
      <c r="R3" s="21"/>
      <c r="S3" s="21"/>
      <c r="T3" s="32"/>
      <c r="U3" s="20"/>
      <c r="V3" s="21"/>
      <c r="W3" s="21"/>
      <c r="X3" s="21"/>
      <c r="Y3" s="21"/>
      <c r="Z3" s="21" t="s">
        <v>28</v>
      </c>
    </row>
    <row r="4" customFormat="false" ht="15.75" hidden="false" customHeight="false" outlineLevel="0" collapsed="false">
      <c r="A4" s="24" t="n">
        <v>7660</v>
      </c>
      <c r="B4" s="29" t="n">
        <v>45261</v>
      </c>
      <c r="C4" s="21" t="s">
        <v>1120</v>
      </c>
      <c r="D4" s="21" t="s">
        <v>24</v>
      </c>
      <c r="E4" s="21" t="s">
        <v>25</v>
      </c>
      <c r="F4" s="21" t="s">
        <v>1119</v>
      </c>
      <c r="G4" s="30" t="s">
        <v>292</v>
      </c>
      <c r="H4" s="45" t="s">
        <v>28</v>
      </c>
      <c r="I4" s="31"/>
      <c r="J4" s="21" t="s">
        <v>28</v>
      </c>
      <c r="K4" s="21" t="s">
        <v>29</v>
      </c>
      <c r="L4" s="21" t="s">
        <v>29</v>
      </c>
      <c r="M4" s="21" t="s">
        <v>29</v>
      </c>
      <c r="N4" s="21" t="n">
        <v>10833</v>
      </c>
      <c r="O4" s="21"/>
      <c r="P4" s="30"/>
      <c r="Q4" s="21"/>
      <c r="R4" s="21"/>
      <c r="T4" s="32"/>
      <c r="U4" s="20"/>
      <c r="V4" s="21"/>
      <c r="W4" s="21"/>
      <c r="X4" s="21"/>
      <c r="Y4" s="21"/>
      <c r="Z4" s="21" t="s">
        <v>28</v>
      </c>
    </row>
    <row r="5" customFormat="false" ht="15.75" hidden="false" customHeight="false" outlineLevel="0" collapsed="false">
      <c r="A5" s="24" t="n">
        <v>7661</v>
      </c>
      <c r="B5" s="29" t="n">
        <v>45261</v>
      </c>
      <c r="C5" s="21" t="s">
        <v>1120</v>
      </c>
      <c r="D5" s="30" t="s">
        <v>24</v>
      </c>
      <c r="E5" s="21" t="s">
        <v>25</v>
      </c>
      <c r="F5" s="21" t="s">
        <v>1121</v>
      </c>
      <c r="G5" s="30" t="s">
        <v>1122</v>
      </c>
      <c r="H5" s="45" t="s">
        <v>28</v>
      </c>
      <c r="I5" s="31"/>
      <c r="J5" s="21" t="s">
        <v>28</v>
      </c>
      <c r="K5" s="21" t="s">
        <v>29</v>
      </c>
      <c r="L5" s="21" t="s">
        <v>29</v>
      </c>
      <c r="M5" s="12" t="s">
        <v>29</v>
      </c>
      <c r="N5" s="21" t="n">
        <v>10833</v>
      </c>
      <c r="O5" s="21"/>
      <c r="P5" s="30"/>
      <c r="Q5" s="21"/>
      <c r="R5" s="21"/>
      <c r="S5" s="21"/>
      <c r="T5" s="32"/>
      <c r="U5" s="32"/>
      <c r="V5" s="21" t="s">
        <v>58</v>
      </c>
      <c r="W5" s="46" t="s">
        <v>28</v>
      </c>
      <c r="X5" s="21" t="s">
        <v>28</v>
      </c>
      <c r="Y5" s="21" t="s">
        <v>36</v>
      </c>
      <c r="Z5" s="21" t="s">
        <v>28</v>
      </c>
    </row>
    <row r="6" customFormat="false" ht="15.75" hidden="false" customHeight="false" outlineLevel="0" collapsed="false">
      <c r="A6" s="24" t="n">
        <v>7662</v>
      </c>
      <c r="B6" s="29" t="n">
        <v>45261</v>
      </c>
      <c r="C6" s="21" t="s">
        <v>1120</v>
      </c>
      <c r="D6" s="21" t="s">
        <v>24</v>
      </c>
      <c r="E6" s="21" t="s">
        <v>25</v>
      </c>
      <c r="F6" s="21" t="s">
        <v>1123</v>
      </c>
      <c r="G6" s="30"/>
      <c r="H6" s="45" t="s">
        <v>28</v>
      </c>
      <c r="I6" s="31"/>
      <c r="J6" s="21" t="s">
        <v>28</v>
      </c>
      <c r="K6" s="21" t="s">
        <v>29</v>
      </c>
      <c r="L6" s="21" t="s">
        <v>29</v>
      </c>
      <c r="M6" s="21" t="s">
        <v>29</v>
      </c>
      <c r="N6" s="21" t="n">
        <v>10833</v>
      </c>
      <c r="O6" s="21"/>
      <c r="P6" s="30"/>
      <c r="Q6" s="21"/>
      <c r="R6" s="21"/>
      <c r="S6" s="21"/>
      <c r="T6" s="32"/>
      <c r="U6" s="32"/>
      <c r="V6" s="21"/>
      <c r="W6" s="21"/>
      <c r="X6" s="21"/>
      <c r="Y6" s="21"/>
      <c r="Z6" s="21" t="s">
        <v>28</v>
      </c>
    </row>
    <row r="7" customFormat="false" ht="15.75" hidden="false" customHeight="false" outlineLevel="0" collapsed="false">
      <c r="A7" s="24" t="n">
        <v>7663</v>
      </c>
      <c r="B7" s="29" t="n">
        <v>45265</v>
      </c>
      <c r="C7" s="21" t="s">
        <v>389</v>
      </c>
      <c r="D7" s="21" t="s">
        <v>24</v>
      </c>
      <c r="E7" s="21" t="s">
        <v>25</v>
      </c>
      <c r="F7" s="21" t="s">
        <v>1124</v>
      </c>
      <c r="G7" s="30"/>
      <c r="H7" s="45" t="s">
        <v>28</v>
      </c>
      <c r="I7" s="31"/>
      <c r="J7" s="21" t="s">
        <v>28</v>
      </c>
      <c r="K7" s="21" t="s">
        <v>29</v>
      </c>
      <c r="L7" s="21" t="s">
        <v>29</v>
      </c>
      <c r="M7" s="21" t="s">
        <v>29</v>
      </c>
      <c r="N7" s="21" t="s">
        <v>29</v>
      </c>
      <c r="O7" s="21"/>
      <c r="P7" s="30"/>
      <c r="Q7" s="21"/>
      <c r="R7" s="21"/>
      <c r="S7" s="21"/>
      <c r="T7" s="32"/>
      <c r="U7" s="32"/>
      <c r="V7" s="21"/>
      <c r="W7" s="21"/>
      <c r="X7" s="21"/>
      <c r="Y7" s="21"/>
      <c r="Z7" s="21" t="s">
        <v>28</v>
      </c>
    </row>
    <row r="8" customFormat="false" ht="15.75" hidden="false" customHeight="false" outlineLevel="0" collapsed="false">
      <c r="A8" s="24" t="n">
        <v>7664</v>
      </c>
      <c r="B8" s="29" t="n">
        <v>45266</v>
      </c>
      <c r="C8" s="21" t="s">
        <v>120</v>
      </c>
      <c r="D8" s="21" t="s">
        <v>24</v>
      </c>
      <c r="E8" s="21" t="s">
        <v>25</v>
      </c>
      <c r="F8" s="21" t="s">
        <v>1125</v>
      </c>
      <c r="G8" s="30"/>
      <c r="H8" s="45" t="s">
        <v>28</v>
      </c>
      <c r="I8" s="31"/>
      <c r="J8" s="21" t="s">
        <v>28</v>
      </c>
      <c r="K8" s="21" t="s">
        <v>29</v>
      </c>
      <c r="L8" s="21" t="s">
        <v>29</v>
      </c>
      <c r="M8" s="21" t="s">
        <v>29</v>
      </c>
      <c r="N8" s="21" t="n">
        <v>4237</v>
      </c>
      <c r="O8" s="21"/>
      <c r="P8" s="30"/>
      <c r="Q8" s="21"/>
      <c r="R8" s="21"/>
      <c r="S8" s="21"/>
      <c r="T8" s="32"/>
      <c r="U8" s="32"/>
      <c r="V8" s="21"/>
      <c r="W8" s="21"/>
      <c r="X8" s="21"/>
      <c r="Y8" s="21"/>
      <c r="Z8" s="21" t="s">
        <v>28</v>
      </c>
    </row>
    <row r="9" customFormat="false" ht="15.75" hidden="false" customHeight="false" outlineLevel="0" collapsed="false">
      <c r="A9" s="24" t="n">
        <v>7665</v>
      </c>
      <c r="B9" s="29" t="n">
        <v>45266</v>
      </c>
      <c r="C9" s="21" t="s">
        <v>389</v>
      </c>
      <c r="D9" s="21" t="s">
        <v>24</v>
      </c>
      <c r="E9" s="21" t="s">
        <v>34</v>
      </c>
      <c r="F9" s="21" t="s">
        <v>1126</v>
      </c>
      <c r="G9" s="30"/>
      <c r="H9" s="31"/>
      <c r="I9" s="31"/>
      <c r="J9" s="21"/>
      <c r="K9" s="21"/>
      <c r="L9" s="21"/>
      <c r="M9" s="21"/>
      <c r="N9" s="21"/>
      <c r="O9" s="21"/>
      <c r="P9" s="30"/>
      <c r="Q9" s="21"/>
      <c r="R9" s="21"/>
      <c r="S9" s="21"/>
      <c r="T9" s="32"/>
      <c r="U9" s="32"/>
      <c r="V9" s="21"/>
      <c r="W9" s="21"/>
      <c r="X9" s="21"/>
      <c r="Y9" s="21"/>
      <c r="Z9" s="21" t="s">
        <v>28</v>
      </c>
    </row>
    <row r="10" customFormat="false" ht="15.75" hidden="false" customHeight="false" outlineLevel="0" collapsed="false">
      <c r="A10" s="24" t="n">
        <v>7666</v>
      </c>
      <c r="B10" s="29" t="n">
        <v>45266</v>
      </c>
      <c r="C10" s="21" t="s">
        <v>867</v>
      </c>
      <c r="D10" s="21" t="s">
        <v>24</v>
      </c>
      <c r="E10" s="21" t="s">
        <v>34</v>
      </c>
      <c r="F10" s="21" t="s">
        <v>1127</v>
      </c>
      <c r="G10" s="30"/>
      <c r="H10" s="31"/>
      <c r="I10" s="31"/>
      <c r="J10" s="21"/>
      <c r="K10" s="21"/>
      <c r="L10" s="21"/>
      <c r="M10" s="21"/>
      <c r="N10" s="21"/>
      <c r="O10" s="21"/>
      <c r="P10" s="30"/>
      <c r="Q10" s="21"/>
      <c r="R10" s="21"/>
      <c r="S10" s="21"/>
      <c r="T10" s="32"/>
      <c r="U10" s="32"/>
      <c r="V10" s="21"/>
      <c r="W10" s="21"/>
      <c r="X10" s="21"/>
      <c r="Y10" s="21"/>
      <c r="Z10" s="21" t="s">
        <v>28</v>
      </c>
    </row>
    <row r="11" customFormat="false" ht="15.75" hidden="false" customHeight="false" outlineLevel="0" collapsed="false">
      <c r="A11" s="24" t="n">
        <v>7667</v>
      </c>
      <c r="B11" s="29" t="n">
        <v>45267</v>
      </c>
      <c r="C11" s="21" t="s">
        <v>571</v>
      </c>
      <c r="D11" s="21" t="s">
        <v>24</v>
      </c>
      <c r="E11" s="21" t="s">
        <v>25</v>
      </c>
      <c r="F11" s="21" t="s">
        <v>1128</v>
      </c>
      <c r="G11" s="30" t="s">
        <v>757</v>
      </c>
      <c r="H11" s="45" t="s">
        <v>28</v>
      </c>
      <c r="I11" s="31"/>
      <c r="J11" s="21" t="s">
        <v>28</v>
      </c>
      <c r="K11" s="21" t="s">
        <v>29</v>
      </c>
      <c r="L11" s="21" t="s">
        <v>29</v>
      </c>
      <c r="M11" s="21" t="s">
        <v>29</v>
      </c>
      <c r="N11" s="21" t="n">
        <v>1634</v>
      </c>
      <c r="O11" s="21"/>
      <c r="P11" s="30"/>
      <c r="Q11" s="21"/>
      <c r="R11" s="21"/>
      <c r="S11" s="21"/>
      <c r="T11" s="32"/>
      <c r="U11" s="32"/>
      <c r="V11" s="21" t="s">
        <v>58</v>
      </c>
      <c r="W11" s="46" t="s">
        <v>28</v>
      </c>
      <c r="X11" s="21" t="s">
        <v>28</v>
      </c>
      <c r="Y11" s="21" t="s">
        <v>29</v>
      </c>
      <c r="Z11" s="21" t="s">
        <v>28</v>
      </c>
    </row>
    <row r="12" customFormat="false" ht="15.75" hidden="false" customHeight="false" outlineLevel="0" collapsed="false">
      <c r="A12" s="24" t="n">
        <v>7668</v>
      </c>
      <c r="B12" s="29" t="n">
        <v>45267</v>
      </c>
      <c r="C12" s="21" t="s">
        <v>571</v>
      </c>
      <c r="D12" s="21" t="s">
        <v>24</v>
      </c>
      <c r="E12" s="21" t="s">
        <v>25</v>
      </c>
      <c r="F12" s="21" t="s">
        <v>1129</v>
      </c>
      <c r="G12" s="30" t="s">
        <v>1130</v>
      </c>
      <c r="H12" s="45" t="s">
        <v>28</v>
      </c>
      <c r="I12" s="31"/>
      <c r="J12" s="21" t="s">
        <v>28</v>
      </c>
      <c r="K12" s="21" t="s">
        <v>29</v>
      </c>
      <c r="L12" s="21" t="s">
        <v>29</v>
      </c>
      <c r="M12" s="21" t="s">
        <v>29</v>
      </c>
      <c r="N12" s="21" t="n">
        <v>1634</v>
      </c>
      <c r="O12" s="21"/>
      <c r="P12" s="30"/>
      <c r="Q12" s="21"/>
      <c r="R12" s="21"/>
      <c r="S12" s="21"/>
      <c r="T12" s="32"/>
      <c r="U12" s="32"/>
      <c r="V12" s="21" t="s">
        <v>58</v>
      </c>
      <c r="W12" s="46" t="s">
        <v>28</v>
      </c>
      <c r="X12" s="46" t="s">
        <v>28</v>
      </c>
      <c r="Y12" s="21" t="s">
        <v>29</v>
      </c>
      <c r="Z12" s="21" t="s">
        <v>28</v>
      </c>
    </row>
    <row r="13" customFormat="false" ht="15.75" hidden="false" customHeight="false" outlineLevel="0" collapsed="false">
      <c r="A13" s="24" t="n">
        <v>7669</v>
      </c>
      <c r="B13" s="29" t="n">
        <v>45267</v>
      </c>
      <c r="C13" s="21" t="s">
        <v>571</v>
      </c>
      <c r="D13" s="21" t="s">
        <v>24</v>
      </c>
      <c r="E13" s="21" t="s">
        <v>25</v>
      </c>
      <c r="F13" s="21" t="s">
        <v>1129</v>
      </c>
      <c r="G13" s="30" t="s">
        <v>1130</v>
      </c>
      <c r="H13" s="45" t="s">
        <v>28</v>
      </c>
      <c r="I13" s="31"/>
      <c r="J13" s="21" t="s">
        <v>28</v>
      </c>
      <c r="K13" s="21" t="s">
        <v>29</v>
      </c>
      <c r="L13" s="21" t="s">
        <v>29</v>
      </c>
      <c r="M13" s="21" t="s">
        <v>29</v>
      </c>
      <c r="N13" s="21" t="n">
        <v>1634</v>
      </c>
      <c r="O13" s="21"/>
      <c r="P13" s="30"/>
      <c r="Q13" s="21"/>
      <c r="R13" s="21"/>
      <c r="S13" s="21"/>
      <c r="T13" s="32"/>
      <c r="U13" s="32"/>
      <c r="V13" s="21" t="s">
        <v>58</v>
      </c>
      <c r="W13" s="46" t="s">
        <v>28</v>
      </c>
      <c r="X13" s="46" t="s">
        <v>28</v>
      </c>
      <c r="Y13" s="21" t="s">
        <v>29</v>
      </c>
      <c r="Z13" s="21" t="s">
        <v>28</v>
      </c>
    </row>
    <row r="14" customFormat="false" ht="15.75" hidden="false" customHeight="false" outlineLevel="0" collapsed="false">
      <c r="A14" s="24" t="n">
        <v>7670</v>
      </c>
      <c r="B14" s="29" t="n">
        <v>45271</v>
      </c>
      <c r="C14" s="21" t="s">
        <v>389</v>
      </c>
      <c r="D14" s="21" t="s">
        <v>24</v>
      </c>
      <c r="E14" s="21" t="s">
        <v>34</v>
      </c>
      <c r="F14" s="21" t="s">
        <v>1131</v>
      </c>
      <c r="G14" s="30"/>
      <c r="H14" s="31"/>
      <c r="I14" s="31"/>
      <c r="J14" s="21"/>
      <c r="K14" s="21"/>
      <c r="L14" s="21"/>
      <c r="M14" s="21"/>
      <c r="N14" s="21"/>
      <c r="O14" s="21"/>
      <c r="P14" s="30"/>
      <c r="Q14" s="21"/>
      <c r="R14" s="21"/>
      <c r="S14" s="21"/>
      <c r="T14" s="32"/>
      <c r="U14" s="32"/>
      <c r="V14" s="21"/>
      <c r="W14" s="21"/>
      <c r="X14" s="21"/>
      <c r="Y14" s="21"/>
      <c r="Z14" s="21" t="s">
        <v>28</v>
      </c>
    </row>
    <row r="15" customFormat="false" ht="15.75" hidden="false" customHeight="false" outlineLevel="0" collapsed="false">
      <c r="A15" s="24" t="n">
        <v>7671</v>
      </c>
      <c r="B15" s="29" t="n">
        <v>45272</v>
      </c>
      <c r="C15" s="21" t="s">
        <v>872</v>
      </c>
      <c r="D15" s="21" t="s">
        <v>24</v>
      </c>
      <c r="E15" s="21" t="s">
        <v>25</v>
      </c>
      <c r="F15" s="21" t="s">
        <v>1132</v>
      </c>
      <c r="G15" s="30"/>
      <c r="H15" s="31" t="s">
        <v>28</v>
      </c>
      <c r="I15" s="31"/>
      <c r="J15" s="21" t="s">
        <v>28</v>
      </c>
      <c r="K15" s="21" t="s">
        <v>29</v>
      </c>
      <c r="L15" s="21" t="s">
        <v>29</v>
      </c>
      <c r="M15" s="21" t="s">
        <v>29</v>
      </c>
      <c r="N15" s="21" t="n">
        <v>11509</v>
      </c>
      <c r="O15" s="21"/>
      <c r="P15" s="30"/>
      <c r="Q15" s="21"/>
      <c r="R15" s="21"/>
      <c r="S15" s="21"/>
      <c r="T15" s="32"/>
      <c r="U15" s="32"/>
      <c r="V15" s="21"/>
      <c r="W15" s="21"/>
      <c r="X15" s="21"/>
      <c r="Y15" s="21"/>
      <c r="Z15" s="21" t="s">
        <v>28</v>
      </c>
    </row>
    <row r="16" customFormat="false" ht="15.75" hidden="false" customHeight="false" outlineLevel="0" collapsed="false">
      <c r="A16" s="24" t="n">
        <v>7672</v>
      </c>
      <c r="B16" s="29" t="n">
        <v>45272</v>
      </c>
      <c r="C16" s="21" t="s">
        <v>1133</v>
      </c>
      <c r="D16" s="21" t="s">
        <v>24</v>
      </c>
      <c r="E16" s="21" t="s">
        <v>25</v>
      </c>
      <c r="F16" s="21" t="s">
        <v>1132</v>
      </c>
      <c r="G16" s="30"/>
      <c r="H16" s="31" t="s">
        <v>28</v>
      </c>
      <c r="I16" s="31"/>
      <c r="J16" s="21" t="s">
        <v>28</v>
      </c>
      <c r="K16" s="21" t="s">
        <v>29</v>
      </c>
      <c r="L16" s="21" t="s">
        <v>29</v>
      </c>
      <c r="M16" s="21" t="s">
        <v>29</v>
      </c>
      <c r="N16" s="21" t="n">
        <v>11509</v>
      </c>
      <c r="O16" s="21"/>
      <c r="P16" s="30"/>
      <c r="Q16" s="21"/>
      <c r="R16" s="21"/>
      <c r="S16" s="21"/>
      <c r="T16" s="32"/>
      <c r="U16" s="32"/>
      <c r="V16" s="21"/>
      <c r="W16" s="21"/>
      <c r="X16" s="21"/>
      <c r="Y16" s="21"/>
      <c r="Z16" s="21" t="s">
        <v>28</v>
      </c>
    </row>
    <row r="17" customFormat="false" ht="15.75" hidden="false" customHeight="false" outlineLevel="0" collapsed="false">
      <c r="A17" s="24" t="n">
        <v>7673</v>
      </c>
      <c r="B17" s="29" t="n">
        <v>45272</v>
      </c>
      <c r="C17" s="21" t="s">
        <v>50</v>
      </c>
      <c r="D17" s="21" t="s">
        <v>24</v>
      </c>
      <c r="E17" s="21" t="s">
        <v>25</v>
      </c>
      <c r="F17" s="21" t="s">
        <v>1134</v>
      </c>
      <c r="G17" s="30"/>
      <c r="H17" s="45" t="s">
        <v>28</v>
      </c>
      <c r="I17" s="31"/>
      <c r="J17" s="21" t="s">
        <v>28</v>
      </c>
      <c r="K17" s="21" t="s">
        <v>29</v>
      </c>
      <c r="L17" s="21" t="s">
        <v>29</v>
      </c>
      <c r="M17" s="21" t="s">
        <v>29</v>
      </c>
      <c r="N17" s="21" t="n">
        <v>23756</v>
      </c>
      <c r="O17" s="21"/>
      <c r="P17" s="30"/>
      <c r="Q17" s="21"/>
      <c r="R17" s="21"/>
      <c r="S17" s="21"/>
      <c r="T17" s="32"/>
      <c r="U17" s="32"/>
      <c r="V17" s="21"/>
      <c r="W17" s="21"/>
      <c r="X17" s="21"/>
      <c r="Y17" s="21"/>
      <c r="Z17" s="21" t="s">
        <v>28</v>
      </c>
    </row>
    <row r="18" customFormat="false" ht="15.75" hidden="false" customHeight="false" outlineLevel="0" collapsed="false">
      <c r="A18" s="24" t="n">
        <v>7674</v>
      </c>
      <c r="B18" s="29" t="n">
        <v>45272</v>
      </c>
      <c r="C18" s="21" t="s">
        <v>1135</v>
      </c>
      <c r="D18" s="21" t="s">
        <v>24</v>
      </c>
      <c r="E18" s="21" t="s">
        <v>25</v>
      </c>
      <c r="F18" s="21" t="s">
        <v>1136</v>
      </c>
      <c r="G18" s="30"/>
      <c r="H18" s="31" t="s">
        <v>28</v>
      </c>
      <c r="I18" s="31"/>
      <c r="J18" s="21" t="s">
        <v>28</v>
      </c>
      <c r="K18" s="21" t="s">
        <v>29</v>
      </c>
      <c r="L18" s="21" t="s">
        <v>29</v>
      </c>
      <c r="M18" s="21" t="s">
        <v>29</v>
      </c>
      <c r="N18" s="21" t="n">
        <v>7323</v>
      </c>
      <c r="O18" s="21"/>
      <c r="P18" s="30"/>
      <c r="Q18" s="21" t="s">
        <v>28</v>
      </c>
      <c r="R18" s="46" t="s">
        <v>28</v>
      </c>
      <c r="S18" s="21"/>
      <c r="T18" s="32" t="s">
        <v>30</v>
      </c>
      <c r="U18" s="32"/>
      <c r="V18" s="21" t="s">
        <v>58</v>
      </c>
      <c r="W18" s="46" t="s">
        <v>28</v>
      </c>
      <c r="X18" s="46" t="s">
        <v>28</v>
      </c>
      <c r="Y18" s="21" t="s">
        <v>36</v>
      </c>
      <c r="Z18" s="21" t="s">
        <v>28</v>
      </c>
    </row>
    <row r="19" customFormat="false" ht="15.75" hidden="false" customHeight="false" outlineLevel="0" collapsed="false">
      <c r="A19" s="24" t="n">
        <v>7675</v>
      </c>
      <c r="B19" s="54" t="n">
        <v>45272</v>
      </c>
      <c r="C19" s="21" t="s">
        <v>1135</v>
      </c>
      <c r="D19" s="21" t="s">
        <v>24</v>
      </c>
      <c r="E19" s="21" t="s">
        <v>25</v>
      </c>
      <c r="F19" s="21" t="s">
        <v>1136</v>
      </c>
      <c r="G19" s="30"/>
      <c r="H19" s="45" t="s">
        <v>28</v>
      </c>
      <c r="I19" s="31"/>
      <c r="J19" s="21" t="s">
        <v>28</v>
      </c>
      <c r="K19" s="21" t="s">
        <v>29</v>
      </c>
      <c r="L19" s="21" t="s">
        <v>29</v>
      </c>
      <c r="M19" s="21" t="s">
        <v>29</v>
      </c>
      <c r="N19" s="21" t="n">
        <v>7323</v>
      </c>
      <c r="O19" s="21"/>
      <c r="P19" s="30"/>
      <c r="Q19" s="21"/>
      <c r="R19" s="21"/>
      <c r="S19" s="21"/>
      <c r="T19" s="32"/>
      <c r="U19" s="32"/>
      <c r="V19" s="21" t="s">
        <v>58</v>
      </c>
      <c r="W19" s="46" t="s">
        <v>28</v>
      </c>
      <c r="X19" s="21" t="s">
        <v>28</v>
      </c>
      <c r="Y19" s="21" t="s">
        <v>36</v>
      </c>
      <c r="Z19" s="21" t="s">
        <v>28</v>
      </c>
    </row>
    <row r="20" customFormat="false" ht="15.75" hidden="false" customHeight="false" outlineLevel="0" collapsed="false">
      <c r="A20" s="24" t="n">
        <v>7676</v>
      </c>
      <c r="B20" s="29" t="n">
        <v>45272</v>
      </c>
      <c r="C20" s="21" t="s">
        <v>1135</v>
      </c>
      <c r="D20" s="21" t="s">
        <v>24</v>
      </c>
      <c r="E20" s="21" t="s">
        <v>25</v>
      </c>
      <c r="F20" s="21" t="s">
        <v>1137</v>
      </c>
      <c r="G20" s="30"/>
      <c r="H20" s="45" t="s">
        <v>28</v>
      </c>
      <c r="I20" s="31"/>
      <c r="J20" s="21" t="s">
        <v>28</v>
      </c>
      <c r="K20" s="21" t="s">
        <v>29</v>
      </c>
      <c r="L20" s="21" t="s">
        <v>29</v>
      </c>
      <c r="M20" s="21" t="s">
        <v>29</v>
      </c>
      <c r="N20" s="21" t="n">
        <v>7323</v>
      </c>
      <c r="O20" s="21"/>
      <c r="P20" s="30"/>
      <c r="Q20" s="21"/>
      <c r="R20" s="21"/>
      <c r="S20" s="21"/>
      <c r="T20" s="32"/>
      <c r="U20" s="32"/>
      <c r="V20" s="21"/>
      <c r="W20" s="21"/>
      <c r="X20" s="21"/>
      <c r="Y20" s="21"/>
      <c r="Z20" s="21" t="s">
        <v>28</v>
      </c>
    </row>
    <row r="21" customFormat="false" ht="15.75" hidden="false" customHeight="false" outlineLevel="0" collapsed="false">
      <c r="A21" s="24" t="n">
        <v>7677</v>
      </c>
      <c r="B21" s="29" t="n">
        <v>45273</v>
      </c>
      <c r="C21" s="20" t="s">
        <v>1138</v>
      </c>
      <c r="D21" s="21" t="s">
        <v>24</v>
      </c>
      <c r="E21" s="21" t="s">
        <v>25</v>
      </c>
      <c r="F21" s="21" t="s">
        <v>1139</v>
      </c>
      <c r="G21" s="30"/>
      <c r="H21" s="31" t="s">
        <v>28</v>
      </c>
      <c r="I21" s="31"/>
      <c r="J21" s="21" t="s">
        <v>28</v>
      </c>
      <c r="K21" s="21" t="s">
        <v>29</v>
      </c>
      <c r="L21" s="21" t="s">
        <v>29</v>
      </c>
      <c r="M21" s="21" t="s">
        <v>29</v>
      </c>
      <c r="N21" s="21" t="s">
        <v>1140</v>
      </c>
      <c r="O21" s="21"/>
      <c r="P21" s="30"/>
      <c r="Q21" s="21"/>
      <c r="R21" s="21"/>
      <c r="S21" s="21"/>
      <c r="T21" s="32"/>
      <c r="U21" s="32"/>
      <c r="V21" s="21"/>
      <c r="W21" s="21"/>
      <c r="X21" s="21"/>
      <c r="Y21" s="21"/>
      <c r="Z21" s="21" t="s">
        <v>28</v>
      </c>
    </row>
    <row r="22" customFormat="false" ht="15.75" hidden="false" customHeight="false" outlineLevel="0" collapsed="false">
      <c r="A22" s="24" t="n">
        <v>7678</v>
      </c>
      <c r="B22" s="29" t="n">
        <v>45273</v>
      </c>
      <c r="C22" s="21" t="s">
        <v>1141</v>
      </c>
      <c r="D22" s="21" t="s">
        <v>24</v>
      </c>
      <c r="E22" s="21" t="s">
        <v>25</v>
      </c>
      <c r="F22" s="21" t="s">
        <v>1142</v>
      </c>
      <c r="G22" s="30"/>
      <c r="H22" s="31" t="s">
        <v>28</v>
      </c>
      <c r="I22" s="31"/>
      <c r="J22" s="21" t="s">
        <v>28</v>
      </c>
      <c r="K22" s="21" t="s">
        <v>29</v>
      </c>
      <c r="L22" s="21" t="s">
        <v>29</v>
      </c>
      <c r="M22" s="21" t="s">
        <v>29</v>
      </c>
      <c r="N22" s="21" t="s">
        <v>1140</v>
      </c>
      <c r="O22" s="21"/>
      <c r="P22" s="30"/>
      <c r="Q22" s="21"/>
      <c r="R22" s="21"/>
      <c r="S22" s="21"/>
      <c r="T22" s="32"/>
      <c r="U22" s="32"/>
      <c r="V22" s="21"/>
      <c r="W22" s="21"/>
      <c r="X22" s="21"/>
      <c r="Y22" s="21"/>
      <c r="Z22" s="21" t="s">
        <v>28</v>
      </c>
    </row>
    <row r="23" customFormat="false" ht="15.75" hidden="false" customHeight="false" outlineLevel="0" collapsed="false">
      <c r="A23" s="24" t="n">
        <v>7679</v>
      </c>
      <c r="B23" s="29" t="n">
        <v>45273</v>
      </c>
      <c r="C23" s="21" t="s">
        <v>1141</v>
      </c>
      <c r="D23" s="21" t="s">
        <v>24</v>
      </c>
      <c r="E23" s="21" t="s">
        <v>25</v>
      </c>
      <c r="F23" s="21" t="s">
        <v>1143</v>
      </c>
      <c r="G23" s="30"/>
      <c r="H23" s="31" t="s">
        <v>28</v>
      </c>
      <c r="I23" s="31"/>
      <c r="J23" s="21" t="s">
        <v>28</v>
      </c>
      <c r="K23" s="21"/>
      <c r="L23" s="21"/>
      <c r="M23" s="21"/>
      <c r="N23" s="21" t="s">
        <v>1140</v>
      </c>
      <c r="O23" s="21"/>
      <c r="P23" s="30"/>
      <c r="Q23" s="21"/>
      <c r="R23" s="21"/>
      <c r="S23" s="21"/>
      <c r="T23" s="32"/>
      <c r="U23" s="32"/>
      <c r="V23" s="21"/>
      <c r="W23" s="21"/>
      <c r="X23" s="21"/>
      <c r="Y23" s="21"/>
      <c r="Z23" s="21" t="s">
        <v>28</v>
      </c>
    </row>
    <row r="24" customFormat="false" ht="15.75" hidden="false" customHeight="false" outlineLevel="0" collapsed="false">
      <c r="A24" s="24" t="n">
        <v>7680</v>
      </c>
      <c r="B24" s="29" t="n">
        <v>45273</v>
      </c>
      <c r="C24" s="21" t="s">
        <v>1141</v>
      </c>
      <c r="D24" s="21" t="s">
        <v>24</v>
      </c>
      <c r="E24" s="21" t="s">
        <v>25</v>
      </c>
      <c r="F24" s="21" t="s">
        <v>1143</v>
      </c>
      <c r="G24" s="30"/>
      <c r="H24" s="31" t="s">
        <v>28</v>
      </c>
      <c r="I24" s="31"/>
      <c r="J24" s="21" t="s">
        <v>28</v>
      </c>
      <c r="K24" s="21"/>
      <c r="L24" s="21"/>
      <c r="M24" s="21"/>
      <c r="N24" s="21" t="s">
        <v>1140</v>
      </c>
      <c r="O24" s="21"/>
      <c r="P24" s="30"/>
      <c r="Q24" s="21"/>
      <c r="R24" s="21"/>
      <c r="S24" s="21"/>
      <c r="T24" s="32"/>
      <c r="U24" s="32"/>
      <c r="V24" s="21"/>
      <c r="W24" s="21"/>
      <c r="X24" s="21"/>
      <c r="Y24" s="21"/>
      <c r="Z24" s="21" t="s">
        <v>28</v>
      </c>
    </row>
    <row r="25" customFormat="false" ht="15.75" hidden="false" customHeight="false" outlineLevel="0" collapsed="false">
      <c r="A25" s="24" t="n">
        <v>7681</v>
      </c>
      <c r="B25" s="29" t="n">
        <v>45273</v>
      </c>
      <c r="C25" s="21" t="s">
        <v>1141</v>
      </c>
      <c r="D25" s="21" t="s">
        <v>24</v>
      </c>
      <c r="E25" s="21" t="s">
        <v>25</v>
      </c>
      <c r="F25" s="21" t="s">
        <v>1143</v>
      </c>
      <c r="G25" s="30"/>
      <c r="H25" s="31" t="s">
        <v>28</v>
      </c>
      <c r="I25" s="31"/>
      <c r="J25" s="21" t="s">
        <v>28</v>
      </c>
      <c r="K25" s="21"/>
      <c r="L25" s="21"/>
      <c r="M25" s="21"/>
      <c r="N25" s="21" t="s">
        <v>1140</v>
      </c>
      <c r="O25" s="21"/>
      <c r="P25" s="30"/>
      <c r="Q25" s="21"/>
      <c r="R25" s="21"/>
      <c r="S25" s="21"/>
      <c r="T25" s="32"/>
      <c r="U25" s="32"/>
      <c r="V25" s="21"/>
      <c r="W25" s="21"/>
      <c r="X25" s="21"/>
      <c r="Y25" s="21"/>
      <c r="Z25" s="21" t="s">
        <v>28</v>
      </c>
    </row>
    <row r="26" customFormat="false" ht="15.75" hidden="false" customHeight="false" outlineLevel="0" collapsed="false">
      <c r="A26" s="24" t="n">
        <v>7682</v>
      </c>
      <c r="B26" s="29" t="n">
        <v>45273</v>
      </c>
      <c r="C26" s="21" t="s">
        <v>1141</v>
      </c>
      <c r="D26" s="21" t="s">
        <v>24</v>
      </c>
      <c r="E26" s="21" t="s">
        <v>25</v>
      </c>
      <c r="F26" s="21" t="s">
        <v>1143</v>
      </c>
      <c r="G26" s="30"/>
      <c r="H26" s="31" t="s">
        <v>28</v>
      </c>
      <c r="I26" s="31"/>
      <c r="J26" s="21" t="s">
        <v>28</v>
      </c>
      <c r="K26" s="21"/>
      <c r="L26" s="21"/>
      <c r="M26" s="21"/>
      <c r="N26" s="21" t="s">
        <v>1140</v>
      </c>
      <c r="O26" s="21"/>
      <c r="P26" s="30"/>
      <c r="Q26" s="21"/>
      <c r="R26" s="21"/>
      <c r="S26" s="21"/>
      <c r="T26" s="32"/>
      <c r="U26" s="32"/>
      <c r="V26" s="21"/>
      <c r="W26" s="21"/>
      <c r="X26" s="21"/>
      <c r="Y26" s="21"/>
      <c r="Z26" s="21" t="s">
        <v>28</v>
      </c>
    </row>
    <row r="27" customFormat="false" ht="15.75" hidden="false" customHeight="false" outlineLevel="0" collapsed="false">
      <c r="A27" s="24" t="n">
        <v>7683</v>
      </c>
      <c r="B27" s="29" t="n">
        <v>45273</v>
      </c>
      <c r="C27" s="21" t="s">
        <v>389</v>
      </c>
      <c r="D27" s="21" t="s">
        <v>24</v>
      </c>
      <c r="E27" s="21" t="s">
        <v>34</v>
      </c>
      <c r="F27" s="21" t="s">
        <v>1144</v>
      </c>
      <c r="G27" s="30" t="s">
        <v>1145</v>
      </c>
      <c r="H27" s="31"/>
      <c r="I27" s="31"/>
      <c r="J27" s="21"/>
      <c r="K27" s="21"/>
      <c r="L27" s="21"/>
      <c r="M27" s="21"/>
      <c r="N27" s="21"/>
      <c r="O27" s="21"/>
      <c r="P27" s="30"/>
      <c r="Q27" s="21"/>
      <c r="R27" s="21"/>
      <c r="S27" s="21"/>
      <c r="T27" s="32"/>
      <c r="U27" s="20"/>
      <c r="V27" s="21"/>
      <c r="W27" s="21"/>
      <c r="X27" s="21"/>
      <c r="Y27" s="21"/>
      <c r="Z27" s="21" t="s">
        <v>28</v>
      </c>
    </row>
    <row r="28" customFormat="false" ht="15.75" hidden="false" customHeight="false" outlineLevel="0" collapsed="false">
      <c r="A28" s="24" t="n">
        <v>7684</v>
      </c>
      <c r="B28" s="54" t="n">
        <v>45274</v>
      </c>
      <c r="C28" s="12" t="s">
        <v>1135</v>
      </c>
      <c r="D28" s="21" t="s">
        <v>24</v>
      </c>
      <c r="E28" s="21" t="s">
        <v>25</v>
      </c>
      <c r="F28" s="21" t="s">
        <v>1146</v>
      </c>
      <c r="G28" s="30" t="s">
        <v>1147</v>
      </c>
      <c r="H28" s="45" t="s">
        <v>28</v>
      </c>
      <c r="I28" s="31"/>
      <c r="J28" s="21" t="s">
        <v>28</v>
      </c>
      <c r="K28" s="21" t="s">
        <v>29</v>
      </c>
      <c r="L28" s="21" t="s">
        <v>29</v>
      </c>
      <c r="M28" s="21" t="s">
        <v>29</v>
      </c>
      <c r="N28" s="21" t="n">
        <v>7352</v>
      </c>
      <c r="O28" s="21"/>
      <c r="P28" s="30"/>
      <c r="Q28" s="21"/>
      <c r="R28" s="21"/>
      <c r="S28" s="21"/>
      <c r="T28" s="32"/>
      <c r="U28" s="32"/>
      <c r="V28" s="21" t="s">
        <v>74</v>
      </c>
      <c r="W28" s="46" t="s">
        <v>28</v>
      </c>
      <c r="X28" s="46" t="s">
        <v>28</v>
      </c>
      <c r="Y28" s="21" t="s">
        <v>1148</v>
      </c>
      <c r="Z28" s="21" t="s">
        <v>28</v>
      </c>
    </row>
    <row r="29" customFormat="false" ht="15.75" hidden="false" customHeight="false" outlineLevel="0" collapsed="false">
      <c r="A29" s="24" t="n">
        <v>7685</v>
      </c>
      <c r="B29" s="54" t="n">
        <v>45274</v>
      </c>
      <c r="C29" s="21" t="s">
        <v>188</v>
      </c>
      <c r="D29" s="21" t="s">
        <v>24</v>
      </c>
      <c r="E29" s="21" t="s">
        <v>34</v>
      </c>
      <c r="F29" s="21" t="s">
        <v>1149</v>
      </c>
      <c r="G29" s="30"/>
      <c r="H29" s="31"/>
      <c r="I29" s="31"/>
      <c r="J29" s="21"/>
      <c r="K29" s="21"/>
      <c r="L29" s="21"/>
      <c r="M29" s="21"/>
      <c r="N29" s="21"/>
      <c r="O29" s="21"/>
      <c r="P29" s="30"/>
      <c r="Q29" s="21"/>
      <c r="R29" s="21"/>
      <c r="S29" s="21"/>
      <c r="T29" s="32"/>
      <c r="U29" s="32"/>
      <c r="V29" s="21"/>
      <c r="W29" s="21"/>
      <c r="X29" s="21"/>
      <c r="Y29" s="21"/>
      <c r="Z29" s="21" t="s">
        <v>28</v>
      </c>
    </row>
    <row r="30" customFormat="false" ht="15.75" hidden="false" customHeight="false" outlineLevel="0" collapsed="false">
      <c r="A30" s="24" t="n">
        <v>7686</v>
      </c>
      <c r="B30" s="29" t="n">
        <v>45275</v>
      </c>
      <c r="C30" s="21" t="s">
        <v>188</v>
      </c>
      <c r="D30" s="21" t="s">
        <v>24</v>
      </c>
      <c r="E30" s="21" t="s">
        <v>34</v>
      </c>
      <c r="F30" s="21" t="s">
        <v>1150</v>
      </c>
      <c r="G30" s="30"/>
      <c r="H30" s="31"/>
      <c r="I30" s="31"/>
      <c r="J30" s="21"/>
      <c r="K30" s="21"/>
      <c r="L30" s="21"/>
      <c r="M30" s="21"/>
      <c r="N30" s="21"/>
      <c r="O30" s="21"/>
      <c r="P30" s="30"/>
      <c r="Q30" s="21"/>
      <c r="R30" s="21"/>
      <c r="S30" s="21"/>
      <c r="T30" s="32"/>
      <c r="U30" s="32"/>
      <c r="V30" s="21"/>
      <c r="W30" s="21"/>
      <c r="X30" s="21"/>
      <c r="Y30" s="21"/>
      <c r="Z30" s="21" t="s">
        <v>28</v>
      </c>
    </row>
    <row r="31" customFormat="false" ht="15.75" hidden="false" customHeight="false" outlineLevel="0" collapsed="false">
      <c r="A31" s="24" t="n">
        <v>7687</v>
      </c>
      <c r="B31" s="29" t="n">
        <v>45276</v>
      </c>
      <c r="C31" s="21" t="s">
        <v>1010</v>
      </c>
      <c r="D31" s="21" t="s">
        <v>24</v>
      </c>
      <c r="E31" s="21" t="s">
        <v>34</v>
      </c>
      <c r="F31" s="21" t="s">
        <v>1151</v>
      </c>
      <c r="G31" s="30"/>
      <c r="H31" s="31"/>
      <c r="I31" s="31"/>
      <c r="J31" s="21"/>
      <c r="K31" s="21"/>
      <c r="L31" s="21"/>
      <c r="M31" s="21"/>
      <c r="N31" s="21"/>
      <c r="O31" s="21"/>
      <c r="P31" s="30"/>
      <c r="Q31" s="21"/>
      <c r="R31" s="21"/>
      <c r="S31" s="21"/>
      <c r="T31" s="32"/>
      <c r="U31" s="32"/>
      <c r="V31" s="21"/>
      <c r="W31" s="21"/>
      <c r="X31" s="21"/>
      <c r="Y31" s="21"/>
      <c r="Z31" s="21" t="s">
        <v>28</v>
      </c>
    </row>
    <row r="32" customFormat="false" ht="15.75" hidden="false" customHeight="false" outlineLevel="0" collapsed="false">
      <c r="A32" s="24" t="n">
        <v>7688</v>
      </c>
      <c r="B32" s="29" t="n">
        <v>45276</v>
      </c>
      <c r="C32" s="21" t="s">
        <v>1010</v>
      </c>
      <c r="D32" s="21" t="s">
        <v>24</v>
      </c>
      <c r="E32" s="21" t="s">
        <v>34</v>
      </c>
      <c r="F32" s="21" t="s">
        <v>1151</v>
      </c>
      <c r="G32" s="30"/>
      <c r="H32" s="31"/>
      <c r="I32" s="31"/>
      <c r="J32" s="21"/>
      <c r="K32" s="21"/>
      <c r="L32" s="21"/>
      <c r="M32" s="21"/>
      <c r="N32" s="21"/>
      <c r="O32" s="21"/>
      <c r="P32" s="30"/>
      <c r="Q32" s="21"/>
      <c r="R32" s="21"/>
      <c r="S32" s="21"/>
      <c r="T32" s="32"/>
      <c r="U32" s="32"/>
      <c r="V32" s="21"/>
      <c r="W32" s="21"/>
      <c r="X32" s="21"/>
      <c r="Y32" s="21"/>
      <c r="Z32" s="21" t="s">
        <v>28</v>
      </c>
    </row>
    <row r="33" customFormat="false" ht="15.75" hidden="false" customHeight="false" outlineLevel="0" collapsed="false">
      <c r="A33" s="24" t="n">
        <v>7689</v>
      </c>
      <c r="B33" s="29" t="n">
        <v>45276</v>
      </c>
      <c r="C33" s="21" t="s">
        <v>1010</v>
      </c>
      <c r="D33" s="21" t="s">
        <v>24</v>
      </c>
      <c r="E33" s="21" t="s">
        <v>34</v>
      </c>
      <c r="F33" s="21" t="s">
        <v>1151</v>
      </c>
      <c r="G33" s="30"/>
      <c r="H33" s="31"/>
      <c r="I33" s="31"/>
      <c r="J33" s="21"/>
      <c r="K33" s="21"/>
      <c r="L33" s="21"/>
      <c r="M33" s="21"/>
      <c r="N33" s="21"/>
      <c r="O33" s="21"/>
      <c r="P33" s="30"/>
      <c r="Q33" s="21"/>
      <c r="R33" s="21"/>
      <c r="S33" s="21"/>
      <c r="T33" s="32"/>
      <c r="U33" s="32"/>
      <c r="V33" s="21"/>
      <c r="W33" s="21"/>
      <c r="X33" s="21"/>
      <c r="Y33" s="21"/>
      <c r="Z33" s="21" t="s">
        <v>28</v>
      </c>
    </row>
    <row r="34" customFormat="false" ht="15.75" hidden="false" customHeight="false" outlineLevel="0" collapsed="false">
      <c r="A34" s="24" t="n">
        <v>7690</v>
      </c>
      <c r="B34" s="29" t="n">
        <v>45276</v>
      </c>
      <c r="C34" s="21" t="s">
        <v>1010</v>
      </c>
      <c r="D34" s="21" t="s">
        <v>24</v>
      </c>
      <c r="E34" s="21" t="s">
        <v>34</v>
      </c>
      <c r="F34" s="21" t="s">
        <v>1151</v>
      </c>
      <c r="G34" s="30"/>
      <c r="H34" s="31"/>
      <c r="I34" s="31"/>
      <c r="J34" s="21"/>
      <c r="K34" s="21"/>
      <c r="L34" s="21"/>
      <c r="M34" s="21"/>
      <c r="N34" s="21"/>
      <c r="O34" s="21"/>
      <c r="P34" s="30"/>
      <c r="Q34" s="21"/>
      <c r="R34" s="21"/>
      <c r="S34" s="21"/>
      <c r="T34" s="32"/>
      <c r="U34" s="32"/>
      <c r="V34" s="21"/>
      <c r="W34" s="21"/>
      <c r="X34" s="21"/>
      <c r="Y34" s="21"/>
      <c r="Z34" s="21" t="s">
        <v>28</v>
      </c>
    </row>
    <row r="35" customFormat="false" ht="15.75" hidden="false" customHeight="false" outlineLevel="0" collapsed="false">
      <c r="A35" s="24" t="n">
        <v>7691</v>
      </c>
      <c r="B35" s="29" t="n">
        <v>45276</v>
      </c>
      <c r="C35" s="21" t="s">
        <v>1010</v>
      </c>
      <c r="D35" s="21" t="s">
        <v>24</v>
      </c>
      <c r="E35" s="21" t="s">
        <v>34</v>
      </c>
      <c r="F35" s="21" t="s">
        <v>1151</v>
      </c>
      <c r="G35" s="30"/>
      <c r="H35" s="31"/>
      <c r="I35" s="31"/>
      <c r="J35" s="21"/>
      <c r="K35" s="21"/>
      <c r="L35" s="21"/>
      <c r="M35" s="21"/>
      <c r="N35" s="21"/>
      <c r="O35" s="21"/>
      <c r="P35" s="30"/>
      <c r="Q35" s="21"/>
      <c r="R35" s="21"/>
      <c r="S35" s="21"/>
      <c r="T35" s="32"/>
      <c r="U35" s="32"/>
      <c r="V35" s="21"/>
      <c r="W35" s="21"/>
      <c r="X35" s="21"/>
      <c r="Y35" s="21"/>
      <c r="Z35" s="21" t="s">
        <v>28</v>
      </c>
    </row>
    <row r="36" customFormat="false" ht="15.75" hidden="false" customHeight="false" outlineLevel="0" collapsed="false">
      <c r="A36" s="24" t="n">
        <v>7692</v>
      </c>
      <c r="B36" s="29" t="n">
        <v>45276</v>
      </c>
      <c r="C36" s="21" t="s">
        <v>1010</v>
      </c>
      <c r="D36" s="21" t="s">
        <v>24</v>
      </c>
      <c r="E36" s="21" t="s">
        <v>34</v>
      </c>
      <c r="F36" s="21" t="s">
        <v>1151</v>
      </c>
      <c r="G36" s="30"/>
      <c r="H36" s="31"/>
      <c r="I36" s="31"/>
      <c r="J36" s="21"/>
      <c r="K36" s="21"/>
      <c r="L36" s="21"/>
      <c r="M36" s="21"/>
      <c r="N36" s="21"/>
      <c r="O36" s="21"/>
      <c r="P36" s="30"/>
      <c r="Q36" s="21" t="s">
        <v>28</v>
      </c>
      <c r="R36" s="46" t="s">
        <v>28</v>
      </c>
      <c r="S36" s="21"/>
      <c r="T36" s="32" t="s">
        <v>30</v>
      </c>
      <c r="U36" s="32"/>
      <c r="V36" s="21"/>
      <c r="W36" s="21"/>
      <c r="X36" s="21"/>
      <c r="Y36" s="21"/>
      <c r="Z36" s="21" t="s">
        <v>28</v>
      </c>
    </row>
    <row r="37" customFormat="false" ht="15.75" hidden="false" customHeight="false" outlineLevel="0" collapsed="false">
      <c r="A37" s="24" t="n">
        <v>7693</v>
      </c>
      <c r="B37" s="29" t="n">
        <v>45276</v>
      </c>
      <c r="C37" s="21" t="s">
        <v>1010</v>
      </c>
      <c r="D37" s="21" t="s">
        <v>24</v>
      </c>
      <c r="E37" s="21" t="s">
        <v>34</v>
      </c>
      <c r="F37" s="21" t="s">
        <v>1151</v>
      </c>
      <c r="G37" s="30"/>
      <c r="H37" s="31"/>
      <c r="I37" s="31"/>
      <c r="J37" s="21"/>
      <c r="K37" s="21"/>
      <c r="L37" s="21"/>
      <c r="M37" s="21"/>
      <c r="N37" s="21"/>
      <c r="O37" s="21"/>
      <c r="P37" s="30"/>
      <c r="Q37" s="21"/>
      <c r="R37" s="21"/>
      <c r="S37" s="21"/>
      <c r="T37" s="32"/>
      <c r="U37" s="32"/>
      <c r="V37" s="21"/>
      <c r="W37" s="21"/>
      <c r="X37" s="21"/>
      <c r="Y37" s="21"/>
      <c r="Z37" s="21" t="s">
        <v>28</v>
      </c>
    </row>
    <row r="38" customFormat="false" ht="15.75" hidden="false" customHeight="false" outlineLevel="0" collapsed="false">
      <c r="A38" s="24" t="n">
        <v>7694</v>
      </c>
      <c r="B38" s="29" t="n">
        <v>45276</v>
      </c>
      <c r="C38" s="21" t="s">
        <v>1010</v>
      </c>
      <c r="D38" s="21" t="s">
        <v>24</v>
      </c>
      <c r="E38" s="21" t="s">
        <v>34</v>
      </c>
      <c r="F38" s="21" t="s">
        <v>1151</v>
      </c>
      <c r="G38" s="30"/>
      <c r="H38" s="31"/>
      <c r="I38" s="31"/>
      <c r="J38" s="21"/>
      <c r="K38" s="21"/>
      <c r="L38" s="21"/>
      <c r="M38" s="21"/>
      <c r="N38" s="21"/>
      <c r="O38" s="21"/>
      <c r="P38" s="30"/>
      <c r="Q38" s="21"/>
      <c r="R38" s="21"/>
      <c r="S38" s="21"/>
      <c r="T38" s="32"/>
      <c r="U38" s="32"/>
      <c r="V38" s="21"/>
      <c r="W38" s="21"/>
      <c r="X38" s="21"/>
      <c r="Y38" s="21"/>
      <c r="Z38" s="21" t="s">
        <v>28</v>
      </c>
    </row>
    <row r="39" customFormat="false" ht="15.75" hidden="false" customHeight="false" outlineLevel="0" collapsed="false">
      <c r="A39" s="24" t="n">
        <v>7695</v>
      </c>
      <c r="B39" s="29" t="n">
        <v>45276</v>
      </c>
      <c r="C39" s="21" t="s">
        <v>1010</v>
      </c>
      <c r="D39" s="21" t="s">
        <v>24</v>
      </c>
      <c r="E39" s="21" t="s">
        <v>34</v>
      </c>
      <c r="F39" s="21" t="s">
        <v>1151</v>
      </c>
      <c r="G39" s="30"/>
      <c r="H39" s="31"/>
      <c r="I39" s="31"/>
      <c r="J39" s="21"/>
      <c r="K39" s="21"/>
      <c r="L39" s="21"/>
      <c r="M39" s="21"/>
      <c r="N39" s="21"/>
      <c r="O39" s="21"/>
      <c r="P39" s="30"/>
      <c r="Q39" s="21"/>
      <c r="R39" s="21"/>
      <c r="S39" s="21"/>
      <c r="T39" s="32"/>
      <c r="U39" s="32"/>
      <c r="V39" s="21"/>
      <c r="W39" s="21"/>
      <c r="X39" s="21"/>
      <c r="Y39" s="21"/>
      <c r="Z39" s="21" t="s">
        <v>28</v>
      </c>
    </row>
    <row r="40" customFormat="false" ht="15.75" hidden="false" customHeight="false" outlineLevel="0" collapsed="false">
      <c r="A40" s="24" t="n">
        <v>7696</v>
      </c>
      <c r="B40" s="29" t="n">
        <v>45276</v>
      </c>
      <c r="C40" s="21" t="s">
        <v>1010</v>
      </c>
      <c r="D40" s="21" t="s">
        <v>24</v>
      </c>
      <c r="E40" s="21" t="s">
        <v>34</v>
      </c>
      <c r="F40" s="21" t="s">
        <v>1151</v>
      </c>
      <c r="G40" s="30"/>
      <c r="H40" s="31"/>
      <c r="I40" s="31"/>
      <c r="J40" s="21"/>
      <c r="K40" s="21"/>
      <c r="L40" s="21"/>
      <c r="M40" s="21"/>
      <c r="N40" s="21"/>
      <c r="O40" s="21"/>
      <c r="P40" s="30"/>
      <c r="Q40" s="21"/>
      <c r="R40" s="21"/>
      <c r="S40" s="21"/>
      <c r="T40" s="32"/>
      <c r="U40" s="32"/>
      <c r="V40" s="21"/>
      <c r="W40" s="21"/>
      <c r="X40" s="21"/>
      <c r="Y40" s="21"/>
      <c r="Z40" s="21" t="s">
        <v>28</v>
      </c>
    </row>
    <row r="41" customFormat="false" ht="15.75" hidden="false" customHeight="false" outlineLevel="0" collapsed="false">
      <c r="A41" s="24" t="n">
        <v>7697</v>
      </c>
      <c r="B41" s="29" t="n">
        <v>45276</v>
      </c>
      <c r="C41" s="21" t="s">
        <v>1010</v>
      </c>
      <c r="D41" s="21" t="s">
        <v>24</v>
      </c>
      <c r="E41" s="21" t="s">
        <v>34</v>
      </c>
      <c r="F41" s="21" t="s">
        <v>1151</v>
      </c>
      <c r="G41" s="30"/>
      <c r="H41" s="31"/>
      <c r="I41" s="31"/>
      <c r="J41" s="21"/>
      <c r="K41" s="21"/>
      <c r="L41" s="21"/>
      <c r="M41" s="21"/>
      <c r="N41" s="21"/>
      <c r="O41" s="21"/>
      <c r="P41" s="30"/>
      <c r="Q41" s="21"/>
      <c r="R41" s="21"/>
      <c r="S41" s="21"/>
      <c r="T41" s="32"/>
      <c r="U41" s="32"/>
      <c r="V41" s="21"/>
      <c r="W41" s="21"/>
      <c r="X41" s="21"/>
      <c r="Y41" s="21"/>
      <c r="Z41" s="21" t="s">
        <v>28</v>
      </c>
    </row>
    <row r="42" customFormat="false" ht="15.75" hidden="false" customHeight="false" outlineLevel="0" collapsed="false">
      <c r="A42" s="24" t="n">
        <v>7698</v>
      </c>
      <c r="B42" s="29" t="n">
        <v>45276</v>
      </c>
      <c r="C42" s="21" t="s">
        <v>1010</v>
      </c>
      <c r="D42" s="21" t="s">
        <v>24</v>
      </c>
      <c r="E42" s="21" t="s">
        <v>34</v>
      </c>
      <c r="F42" s="25" t="s">
        <v>1152</v>
      </c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</row>
    <row r="43" customFormat="false" ht="15.75" hidden="false" customHeight="false" outlineLevel="0" collapsed="false">
      <c r="A43" s="19" t="n">
        <v>7699</v>
      </c>
      <c r="B43" s="29" t="n">
        <v>45276</v>
      </c>
      <c r="C43" s="21" t="s">
        <v>188</v>
      </c>
      <c r="D43" s="21" t="s">
        <v>24</v>
      </c>
      <c r="E43" s="21" t="s">
        <v>34</v>
      </c>
      <c r="F43" s="25" t="s">
        <v>1153</v>
      </c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 t="s">
        <v>37</v>
      </c>
    </row>
    <row r="44" customFormat="false" ht="15.75" hidden="false" customHeight="false" outlineLevel="0" collapsed="false">
      <c r="A44" s="19" t="n">
        <v>7700</v>
      </c>
      <c r="B44" s="29" t="n">
        <v>45276</v>
      </c>
      <c r="C44" s="21" t="s">
        <v>188</v>
      </c>
      <c r="D44" s="21" t="s">
        <v>24</v>
      </c>
      <c r="E44" s="21" t="s">
        <v>34</v>
      </c>
      <c r="F44" s="25" t="s">
        <v>1154</v>
      </c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 t="s">
        <v>37</v>
      </c>
    </row>
    <row r="45" customFormat="false" ht="15.75" hidden="false" customHeight="false" outlineLevel="0" collapsed="false">
      <c r="A45" s="19" t="n">
        <v>7701</v>
      </c>
      <c r="B45" s="29" t="n">
        <v>45276</v>
      </c>
      <c r="C45" s="21" t="s">
        <v>188</v>
      </c>
      <c r="D45" s="21" t="s">
        <v>24</v>
      </c>
      <c r="E45" s="21" t="s">
        <v>34</v>
      </c>
      <c r="F45" s="16" t="s">
        <v>1155</v>
      </c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 t="s">
        <v>37</v>
      </c>
    </row>
    <row r="46" customFormat="false" ht="15.75" hidden="false" customHeight="false" outlineLevel="0" collapsed="false">
      <c r="A46" s="19" t="n">
        <v>7702</v>
      </c>
      <c r="B46" s="29" t="n">
        <v>45276</v>
      </c>
      <c r="C46" s="21" t="s">
        <v>188</v>
      </c>
      <c r="D46" s="21" t="s">
        <v>24</v>
      </c>
      <c r="E46" s="21" t="s">
        <v>34</v>
      </c>
      <c r="F46" s="16" t="s">
        <v>1156</v>
      </c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 t="s">
        <v>74</v>
      </c>
      <c r="W46" s="17" t="s">
        <v>28</v>
      </c>
      <c r="X46" s="17" t="s">
        <v>28</v>
      </c>
      <c r="Y46" s="16" t="s">
        <v>36</v>
      </c>
      <c r="Z46" s="16" t="s">
        <v>28</v>
      </c>
      <c r="AA46" s="12" t="s">
        <v>32</v>
      </c>
    </row>
    <row r="47" customFormat="false" ht="15.75" hidden="false" customHeight="false" outlineLevel="0" collapsed="false">
      <c r="A47" s="19" t="n">
        <v>7703</v>
      </c>
      <c r="B47" s="29" t="n">
        <v>45276</v>
      </c>
      <c r="C47" s="21" t="s">
        <v>188</v>
      </c>
      <c r="D47" s="21" t="s">
        <v>24</v>
      </c>
      <c r="E47" s="21" t="s">
        <v>34</v>
      </c>
      <c r="F47" s="16" t="s">
        <v>1156</v>
      </c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 t="s">
        <v>58</v>
      </c>
      <c r="W47" s="17" t="s">
        <v>28</v>
      </c>
      <c r="X47" s="17" t="s">
        <v>28</v>
      </c>
      <c r="Y47" s="16" t="s">
        <v>36</v>
      </c>
      <c r="Z47" s="16" t="s">
        <v>28</v>
      </c>
      <c r="AA47" s="12" t="s">
        <v>156</v>
      </c>
    </row>
    <row r="48" customFormat="false" ht="15.75" hidden="false" customHeight="false" outlineLevel="0" collapsed="false">
      <c r="A48" s="19" t="n">
        <v>7704</v>
      </c>
      <c r="B48" s="29" t="n">
        <v>45276</v>
      </c>
      <c r="C48" s="21" t="s">
        <v>188</v>
      </c>
      <c r="D48" s="21" t="s">
        <v>24</v>
      </c>
      <c r="E48" s="21" t="s">
        <v>34</v>
      </c>
      <c r="F48" s="16" t="s">
        <v>1157</v>
      </c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 t="s">
        <v>58</v>
      </c>
      <c r="W48" s="17" t="s">
        <v>28</v>
      </c>
      <c r="X48" s="17" t="s">
        <v>28</v>
      </c>
      <c r="Y48" s="16" t="s">
        <v>36</v>
      </c>
      <c r="Z48" s="16" t="s">
        <v>28</v>
      </c>
      <c r="AA48" s="12" t="s">
        <v>32</v>
      </c>
    </row>
    <row r="49" customFormat="false" ht="15.75" hidden="false" customHeight="false" outlineLevel="0" collapsed="false">
      <c r="A49" s="19" t="n">
        <v>7705</v>
      </c>
      <c r="B49" s="29" t="n">
        <v>45276</v>
      </c>
      <c r="C49" s="21" t="s">
        <v>188</v>
      </c>
      <c r="D49" s="21" t="s">
        <v>24</v>
      </c>
      <c r="E49" s="21" t="s">
        <v>34</v>
      </c>
      <c r="F49" s="16" t="s">
        <v>1158</v>
      </c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 t="s">
        <v>74</v>
      </c>
      <c r="W49" s="17" t="s">
        <v>28</v>
      </c>
      <c r="X49" s="17" t="s">
        <v>28</v>
      </c>
      <c r="Y49" s="16" t="s">
        <v>36</v>
      </c>
      <c r="Z49" s="16" t="s">
        <v>28</v>
      </c>
      <c r="AA49" s="12" t="s">
        <v>156</v>
      </c>
    </row>
    <row r="50" customFormat="false" ht="15.75" hidden="false" customHeight="false" outlineLevel="0" collapsed="false">
      <c r="A50" s="19" t="n">
        <v>7706</v>
      </c>
      <c r="B50" s="14" t="n">
        <v>45276</v>
      </c>
      <c r="C50" s="21" t="s">
        <v>188</v>
      </c>
      <c r="D50" s="21" t="s">
        <v>24</v>
      </c>
      <c r="E50" s="21" t="s">
        <v>34</v>
      </c>
      <c r="F50" s="16" t="s">
        <v>1159</v>
      </c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 t="s">
        <v>74</v>
      </c>
      <c r="W50" s="17" t="s">
        <v>28</v>
      </c>
      <c r="X50" s="17" t="s">
        <v>28</v>
      </c>
      <c r="Y50" s="16" t="s">
        <v>36</v>
      </c>
      <c r="Z50" s="16" t="s">
        <v>28</v>
      </c>
      <c r="AA50" s="12" t="s">
        <v>32</v>
      </c>
    </row>
    <row r="51" customFormat="false" ht="15.75" hidden="false" customHeight="false" outlineLevel="0" collapsed="false">
      <c r="A51" s="19" t="n">
        <v>7707</v>
      </c>
      <c r="B51" s="14" t="n">
        <v>45276</v>
      </c>
      <c r="C51" s="21" t="s">
        <v>188</v>
      </c>
      <c r="D51" s="21" t="s">
        <v>24</v>
      </c>
      <c r="E51" s="21" t="s">
        <v>34</v>
      </c>
      <c r="F51" s="16" t="s">
        <v>1159</v>
      </c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 t="s">
        <v>74</v>
      </c>
      <c r="W51" s="17" t="s">
        <v>28</v>
      </c>
      <c r="X51" s="17" t="s">
        <v>28</v>
      </c>
      <c r="Y51" s="16" t="s">
        <v>36</v>
      </c>
      <c r="Z51" s="16" t="s">
        <v>28</v>
      </c>
      <c r="AA51" s="12" t="s">
        <v>32</v>
      </c>
    </row>
    <row r="52" customFormat="false" ht="15.75" hidden="false" customHeight="false" outlineLevel="0" collapsed="false">
      <c r="A52" s="19" t="n">
        <v>7708</v>
      </c>
      <c r="B52" s="14" t="n">
        <v>45276</v>
      </c>
      <c r="C52" s="16" t="s">
        <v>1135</v>
      </c>
      <c r="D52" s="21" t="s">
        <v>24</v>
      </c>
      <c r="E52" s="21" t="s">
        <v>34</v>
      </c>
      <c r="F52" s="16" t="s">
        <v>1160</v>
      </c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 t="s">
        <v>74</v>
      </c>
      <c r="W52" s="17" t="s">
        <v>28</v>
      </c>
      <c r="X52" s="17" t="s">
        <v>28</v>
      </c>
      <c r="Y52" s="16" t="s">
        <v>1161</v>
      </c>
      <c r="Z52" s="16" t="s">
        <v>28</v>
      </c>
    </row>
    <row r="53" customFormat="false" ht="15.75" hidden="false" customHeight="false" outlineLevel="0" collapsed="false">
      <c r="A53" s="19" t="n">
        <v>7709</v>
      </c>
      <c r="B53" s="14" t="n">
        <v>45276</v>
      </c>
      <c r="C53" s="16" t="s">
        <v>1135</v>
      </c>
      <c r="D53" s="21" t="s">
        <v>24</v>
      </c>
      <c r="E53" s="21" t="s">
        <v>34</v>
      </c>
      <c r="F53" s="16" t="s">
        <v>1160</v>
      </c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 t="s">
        <v>74</v>
      </c>
      <c r="W53" s="17" t="s">
        <v>28</v>
      </c>
      <c r="X53" s="17" t="s">
        <v>28</v>
      </c>
      <c r="Y53" s="16" t="s">
        <v>36</v>
      </c>
      <c r="Z53" s="16" t="s">
        <v>28</v>
      </c>
    </row>
    <row r="54" customFormat="false" ht="15.75" hidden="false" customHeight="false" outlineLevel="0" collapsed="false">
      <c r="A54" s="19" t="n">
        <v>7710</v>
      </c>
      <c r="B54" s="14" t="n">
        <v>45276</v>
      </c>
      <c r="C54" s="16" t="s">
        <v>1162</v>
      </c>
      <c r="D54" s="21" t="s">
        <v>24</v>
      </c>
      <c r="E54" s="21" t="s">
        <v>34</v>
      </c>
      <c r="F54" s="16" t="s">
        <v>1163</v>
      </c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 t="s">
        <v>28</v>
      </c>
    </row>
    <row r="55" customFormat="false" ht="15.75" hidden="false" customHeight="false" outlineLevel="0" collapsed="false">
      <c r="A55" s="19" t="n">
        <v>7711</v>
      </c>
      <c r="B55" s="14" t="n">
        <v>45279</v>
      </c>
      <c r="C55" s="16" t="s">
        <v>814</v>
      </c>
      <c r="D55" s="16" t="s">
        <v>24</v>
      </c>
      <c r="E55" s="16" t="s">
        <v>34</v>
      </c>
      <c r="F55" s="16" t="s">
        <v>1164</v>
      </c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 t="s">
        <v>28</v>
      </c>
    </row>
    <row r="56" customFormat="false" ht="15.75" hidden="false" customHeight="false" outlineLevel="0" collapsed="false">
      <c r="A56" s="19" t="n">
        <v>7712</v>
      </c>
      <c r="B56" s="14" t="n">
        <v>45279</v>
      </c>
      <c r="C56" s="16" t="s">
        <v>188</v>
      </c>
      <c r="D56" s="16" t="s">
        <v>24</v>
      </c>
      <c r="E56" s="16" t="s">
        <v>34</v>
      </c>
      <c r="F56" s="16" t="s">
        <v>1165</v>
      </c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 t="s">
        <v>28</v>
      </c>
    </row>
    <row r="57" customFormat="false" ht="15.75" hidden="false" customHeight="false" outlineLevel="0" collapsed="false">
      <c r="A57" s="56" t="n">
        <v>546772</v>
      </c>
      <c r="B57" s="14" t="n">
        <v>45279</v>
      </c>
      <c r="C57" s="16" t="s">
        <v>38</v>
      </c>
      <c r="D57" s="16" t="s">
        <v>290</v>
      </c>
      <c r="E57" s="16" t="s">
        <v>25</v>
      </c>
      <c r="F57" s="16" t="s">
        <v>1166</v>
      </c>
      <c r="G57" s="16" t="s">
        <v>1167</v>
      </c>
      <c r="H57" s="17" t="s">
        <v>28</v>
      </c>
      <c r="I57" s="16"/>
      <c r="J57" s="16" t="s">
        <v>28</v>
      </c>
      <c r="K57" s="16" t="s">
        <v>29</v>
      </c>
      <c r="L57" s="16" t="s">
        <v>29</v>
      </c>
      <c r="M57" s="16" t="s">
        <v>29</v>
      </c>
      <c r="N57" s="16" t="s">
        <v>1168</v>
      </c>
      <c r="O57" s="16"/>
      <c r="P57" s="16"/>
      <c r="Q57" s="16"/>
      <c r="R57" s="16"/>
      <c r="S57" s="16"/>
      <c r="T57" s="16"/>
      <c r="U57" s="16"/>
      <c r="V57" s="16" t="s">
        <v>74</v>
      </c>
      <c r="W57" s="17" t="s">
        <v>28</v>
      </c>
      <c r="X57" s="17" t="s">
        <v>28</v>
      </c>
      <c r="Y57" s="16" t="s">
        <v>36</v>
      </c>
      <c r="Z57" s="16" t="s">
        <v>28</v>
      </c>
    </row>
    <row r="58" customFormat="false" ht="15.75" hidden="false" customHeight="false" outlineLevel="0" collapsed="false">
      <c r="A58" s="19" t="n">
        <v>7713</v>
      </c>
      <c r="B58" s="14" t="n">
        <v>45279</v>
      </c>
      <c r="C58" s="16" t="s">
        <v>1169</v>
      </c>
      <c r="D58" s="16" t="s">
        <v>24</v>
      </c>
      <c r="E58" s="16" t="s">
        <v>25</v>
      </c>
      <c r="F58" s="16" t="s">
        <v>1170</v>
      </c>
      <c r="G58" s="16" t="s">
        <v>1171</v>
      </c>
      <c r="H58" s="17" t="s">
        <v>28</v>
      </c>
      <c r="I58" s="16"/>
      <c r="J58" s="16" t="s">
        <v>28</v>
      </c>
      <c r="K58" s="16" t="s">
        <v>29</v>
      </c>
      <c r="L58" s="16" t="s">
        <v>29</v>
      </c>
      <c r="M58" s="16" t="s">
        <v>29</v>
      </c>
      <c r="N58" s="16" t="s">
        <v>1168</v>
      </c>
      <c r="O58" s="16"/>
      <c r="P58" s="16"/>
      <c r="Q58" s="16"/>
      <c r="R58" s="16"/>
      <c r="S58" s="16"/>
      <c r="T58" s="16"/>
      <c r="U58" s="16"/>
      <c r="V58" s="16" t="s">
        <v>74</v>
      </c>
      <c r="W58" s="17" t="s">
        <v>28</v>
      </c>
      <c r="X58" s="17" t="s">
        <v>28</v>
      </c>
      <c r="Y58" s="16" t="s">
        <v>36</v>
      </c>
      <c r="Z58" s="16" t="s">
        <v>28</v>
      </c>
    </row>
    <row r="59" customFormat="false" ht="15.75" hidden="false" customHeight="false" outlineLevel="0" collapsed="false">
      <c r="A59" s="24" t="n">
        <v>7714</v>
      </c>
      <c r="B59" s="49" t="n">
        <v>45279</v>
      </c>
      <c r="C59" s="25" t="s">
        <v>1169</v>
      </c>
      <c r="D59" s="25" t="s">
        <v>24</v>
      </c>
      <c r="E59" s="25" t="s">
        <v>25</v>
      </c>
      <c r="F59" s="16" t="s">
        <v>1170</v>
      </c>
      <c r="G59" s="25" t="s">
        <v>1171</v>
      </c>
      <c r="H59" s="26" t="s">
        <v>28</v>
      </c>
      <c r="I59" s="25"/>
      <c r="J59" s="25" t="s">
        <v>28</v>
      </c>
      <c r="K59" s="25" t="s">
        <v>29</v>
      </c>
      <c r="L59" s="25" t="s">
        <v>29</v>
      </c>
      <c r="M59" s="25" t="s">
        <v>29</v>
      </c>
      <c r="N59" s="25" t="s">
        <v>1168</v>
      </c>
      <c r="O59" s="25"/>
      <c r="P59" s="25"/>
      <c r="Q59" s="25" t="s">
        <v>28</v>
      </c>
      <c r="R59" s="26" t="s">
        <v>28</v>
      </c>
      <c r="S59" s="12" t="s">
        <v>73</v>
      </c>
      <c r="T59" s="25" t="s">
        <v>74</v>
      </c>
      <c r="U59" s="25" t="s">
        <v>36</v>
      </c>
      <c r="V59" s="25" t="s">
        <v>74</v>
      </c>
      <c r="W59" s="26" t="s">
        <v>28</v>
      </c>
      <c r="X59" s="26" t="s">
        <v>28</v>
      </c>
      <c r="Y59" s="25" t="s">
        <v>36</v>
      </c>
      <c r="Z59" s="25" t="s">
        <v>28</v>
      </c>
    </row>
    <row r="60" customFormat="false" ht="15.75" hidden="false" customHeight="false" outlineLevel="0" collapsed="false">
      <c r="A60" s="19" t="n">
        <v>7715</v>
      </c>
      <c r="B60" s="14" t="n">
        <v>45280</v>
      </c>
      <c r="C60" s="16" t="s">
        <v>188</v>
      </c>
      <c r="D60" s="16" t="s">
        <v>24</v>
      </c>
      <c r="E60" s="16" t="s">
        <v>34</v>
      </c>
      <c r="F60" s="16" t="s">
        <v>1172</v>
      </c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T60" s="16"/>
      <c r="U60" s="16"/>
      <c r="V60" s="16"/>
      <c r="W60" s="16"/>
      <c r="X60" s="16"/>
      <c r="Y60" s="16"/>
      <c r="Z60" s="16" t="s">
        <v>28</v>
      </c>
    </row>
    <row r="61" customFormat="false" ht="15.75" hidden="false" customHeight="false" outlineLevel="0" collapsed="false">
      <c r="A61" s="19" t="n">
        <v>7716</v>
      </c>
      <c r="B61" s="14" t="n">
        <v>45282</v>
      </c>
      <c r="C61" s="16" t="s">
        <v>75</v>
      </c>
      <c r="D61" s="16" t="s">
        <v>24</v>
      </c>
      <c r="E61" s="16" t="s">
        <v>34</v>
      </c>
      <c r="F61" s="16" t="s">
        <v>1173</v>
      </c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 t="s">
        <v>28</v>
      </c>
    </row>
    <row r="62" customFormat="false" ht="15.75" hidden="false" customHeight="false" outlineLevel="0" collapsed="false">
      <c r="A62" s="19" t="n">
        <v>7717</v>
      </c>
      <c r="B62" s="14" t="n">
        <v>45286</v>
      </c>
      <c r="C62" s="16" t="s">
        <v>120</v>
      </c>
      <c r="D62" s="16" t="s">
        <v>24</v>
      </c>
      <c r="E62" s="16" t="s">
        <v>34</v>
      </c>
      <c r="F62" s="16" t="s">
        <v>1174</v>
      </c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 t="s">
        <v>28</v>
      </c>
    </row>
    <row r="63" customFormat="false" ht="15.75" hidden="false" customHeight="false" outlineLevel="0" collapsed="false">
      <c r="A63" s="19" t="n">
        <v>7718</v>
      </c>
      <c r="B63" s="14" t="n">
        <v>45286</v>
      </c>
      <c r="C63" s="16" t="s">
        <v>205</v>
      </c>
      <c r="D63" s="16" t="s">
        <v>24</v>
      </c>
      <c r="E63" s="16" t="s">
        <v>34</v>
      </c>
      <c r="F63" s="16" t="s">
        <v>1175</v>
      </c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 t="s">
        <v>28</v>
      </c>
    </row>
    <row r="64" customFormat="false" ht="15.75" hidden="false" customHeight="false" outlineLevel="0" collapsed="false">
      <c r="A64" s="19" t="n">
        <v>7719</v>
      </c>
      <c r="B64" s="14" t="n">
        <v>45288</v>
      </c>
      <c r="C64" s="16" t="s">
        <v>188</v>
      </c>
      <c r="D64" s="16" t="s">
        <v>24</v>
      </c>
      <c r="E64" s="16" t="s">
        <v>34</v>
      </c>
      <c r="F64" s="16" t="s">
        <v>1176</v>
      </c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 t="s">
        <v>28</v>
      </c>
    </row>
    <row r="65" customFormat="false" ht="15.75" hidden="false" customHeight="false" outlineLevel="0" collapsed="false">
      <c r="A65" s="19" t="n">
        <v>7720</v>
      </c>
      <c r="B65" s="14" t="n">
        <v>45287</v>
      </c>
      <c r="C65" s="16" t="s">
        <v>814</v>
      </c>
      <c r="D65" s="16" t="s">
        <v>290</v>
      </c>
      <c r="E65" s="16" t="s">
        <v>34</v>
      </c>
      <c r="F65" s="16" t="s">
        <v>1177</v>
      </c>
      <c r="G65" s="16" t="s">
        <v>1178</v>
      </c>
      <c r="H65" s="17" t="s">
        <v>28</v>
      </c>
      <c r="I65" s="16"/>
      <c r="J65" s="16" t="s">
        <v>28</v>
      </c>
      <c r="K65" s="16" t="s">
        <v>29</v>
      </c>
      <c r="L65" s="16" t="s">
        <v>29</v>
      </c>
      <c r="M65" s="16" t="s">
        <v>29</v>
      </c>
      <c r="N65" s="16" t="s">
        <v>29</v>
      </c>
      <c r="O65" s="16"/>
      <c r="P65" s="16"/>
      <c r="Q65" s="16" t="s">
        <v>28</v>
      </c>
      <c r="R65" s="17" t="s">
        <v>28</v>
      </c>
      <c r="S65" s="16" t="s">
        <v>73</v>
      </c>
      <c r="T65" s="16" t="s">
        <v>74</v>
      </c>
      <c r="U65" s="16" t="s">
        <v>36</v>
      </c>
      <c r="V65" s="16" t="s">
        <v>58</v>
      </c>
      <c r="W65" s="16" t="s">
        <v>28</v>
      </c>
      <c r="X65" s="17" t="s">
        <v>28</v>
      </c>
      <c r="Y65" s="16" t="s">
        <v>1179</v>
      </c>
      <c r="Z65" s="16" t="s">
        <v>28</v>
      </c>
    </row>
    <row r="66" customFormat="false" ht="15.75" hidden="false" customHeight="false" outlineLevel="0" collapsed="false">
      <c r="A66" s="19" t="n">
        <v>7721</v>
      </c>
      <c r="B66" s="14" t="n">
        <v>45288</v>
      </c>
      <c r="C66" s="16" t="s">
        <v>1180</v>
      </c>
      <c r="D66" s="16" t="s">
        <v>24</v>
      </c>
      <c r="E66" s="16" t="s">
        <v>34</v>
      </c>
      <c r="F66" s="16" t="s">
        <v>1181</v>
      </c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 t="s">
        <v>28</v>
      </c>
    </row>
    <row r="67" customFormat="false" ht="15.75" hidden="false" customHeight="false" outlineLevel="0" collapsed="false">
      <c r="A67" s="19" t="n">
        <v>7722</v>
      </c>
      <c r="B67" s="14" t="n">
        <v>45289</v>
      </c>
      <c r="C67" s="16" t="s">
        <v>38</v>
      </c>
      <c r="D67" s="16" t="s">
        <v>24</v>
      </c>
      <c r="E67" s="16" t="s">
        <v>34</v>
      </c>
      <c r="F67" s="16" t="s">
        <v>1182</v>
      </c>
      <c r="G67" s="16"/>
      <c r="H67" s="17" t="s">
        <v>28</v>
      </c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 t="s">
        <v>28</v>
      </c>
    </row>
    <row r="68" customFormat="false" ht="15.75" hidden="false" customHeight="false" outlineLevel="0" collapsed="false">
      <c r="A68" s="19" t="n">
        <v>7723</v>
      </c>
      <c r="B68" s="14" t="n">
        <v>45289</v>
      </c>
      <c r="C68" s="16" t="s">
        <v>38</v>
      </c>
      <c r="D68" s="16" t="s">
        <v>24</v>
      </c>
      <c r="E68" s="16" t="s">
        <v>34</v>
      </c>
      <c r="F68" s="16" t="s">
        <v>1183</v>
      </c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 t="s">
        <v>28</v>
      </c>
    </row>
    <row r="69" customFormat="false" ht="15.75" hidden="false" customHeight="false" outlineLevel="0" collapsed="false">
      <c r="A69" s="24" t="n">
        <v>7724</v>
      </c>
      <c r="B69" s="14" t="n">
        <v>45289</v>
      </c>
      <c r="C69" s="16" t="s">
        <v>38</v>
      </c>
      <c r="D69" s="16" t="s">
        <v>24</v>
      </c>
      <c r="E69" s="16" t="s">
        <v>34</v>
      </c>
      <c r="F69" s="16" t="s">
        <v>1184</v>
      </c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 t="s">
        <v>28</v>
      </c>
    </row>
    <row r="70" customFormat="false" ht="15.75" hidden="false" customHeight="false" outlineLevel="0" collapsed="false">
      <c r="A70" s="19" t="n">
        <v>7725</v>
      </c>
      <c r="B70" s="14" t="n">
        <v>45244</v>
      </c>
      <c r="C70" s="16" t="s">
        <v>1185</v>
      </c>
      <c r="D70" s="16" t="s">
        <v>24</v>
      </c>
      <c r="E70" s="16" t="s">
        <v>34</v>
      </c>
      <c r="F70" s="16" t="s">
        <v>1186</v>
      </c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 t="s">
        <v>28</v>
      </c>
    </row>
    <row r="71" customFormat="false" ht="15.75" hidden="false" customHeight="false" outlineLevel="0" collapsed="false">
      <c r="A71" s="19"/>
      <c r="B71" s="14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</row>
    <row r="72" customFormat="false" ht="15.75" hidden="false" customHeight="false" outlineLevel="0" collapsed="false">
      <c r="A72" s="19"/>
      <c r="B72" s="14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</row>
    <row r="73" customFormat="false" ht="15.75" hidden="false" customHeight="false" outlineLevel="0" collapsed="false">
      <c r="A73" s="19"/>
      <c r="B73" s="14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U73" s="16"/>
      <c r="V73" s="16"/>
      <c r="W73" s="16"/>
      <c r="X73" s="16"/>
      <c r="Y73" s="16"/>
      <c r="Z73" s="16"/>
    </row>
    <row r="74" customFormat="false" ht="15.75" hidden="false" customHeight="false" outlineLevel="0" collapsed="false">
      <c r="A74" s="19"/>
      <c r="B74" s="14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</row>
    <row r="75" customFormat="false" ht="15.75" hidden="false" customHeight="false" outlineLevel="0" collapsed="false">
      <c r="A75" s="19"/>
      <c r="B75" s="14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</row>
    <row r="76" customFormat="false" ht="15.75" hidden="false" customHeight="false" outlineLevel="0" collapsed="false">
      <c r="A76" s="24"/>
      <c r="B76" s="49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50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</row>
    <row r="77" customFormat="false" ht="15.75" hidden="false" customHeight="false" outlineLevel="0" collapsed="false">
      <c r="A77" s="19"/>
      <c r="B77" s="14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23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</row>
    <row r="78" customFormat="false" ht="15.75" hidden="false" customHeight="false" outlineLevel="0" collapsed="false">
      <c r="A78" s="19"/>
      <c r="B78" s="14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</row>
    <row r="79" customFormat="false" ht="15.75" hidden="false" customHeight="false" outlineLevel="0" collapsed="false">
      <c r="A79" s="19"/>
      <c r="B79" s="14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</row>
    <row r="80" customFormat="false" ht="15.75" hidden="false" customHeight="false" outlineLevel="0" collapsed="false">
      <c r="A80" s="19"/>
      <c r="B80" s="14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</row>
    <row r="81" customFormat="false" ht="15.75" hidden="false" customHeight="false" outlineLevel="0" collapsed="false">
      <c r="A81" s="19"/>
      <c r="B81" s="14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</row>
    <row r="82" customFormat="false" ht="15.75" hidden="false" customHeight="false" outlineLevel="0" collapsed="false">
      <c r="A82" s="42"/>
      <c r="B82" s="14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</row>
    <row r="83" customFormat="false" ht="15.75" hidden="false" customHeight="false" outlineLevel="0" collapsed="false">
      <c r="A83" s="19"/>
      <c r="B83" s="14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</row>
    <row r="84" customFormat="false" ht="15.75" hidden="false" customHeight="false" outlineLevel="0" collapsed="false">
      <c r="A84" s="19"/>
      <c r="B84" s="14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</row>
    <row r="85" customFormat="false" ht="15.75" hidden="false" customHeight="false" outlineLevel="0" collapsed="false">
      <c r="A85" s="19"/>
      <c r="B85" s="14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</row>
    <row r="86" customFormat="false" ht="15.75" hidden="false" customHeight="false" outlineLevel="0" collapsed="false">
      <c r="A86" s="19"/>
      <c r="B86" s="14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</row>
    <row r="87" customFormat="false" ht="15.75" hidden="false" customHeight="false" outlineLevel="0" collapsed="false">
      <c r="A87" s="19"/>
      <c r="B87" s="14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</row>
    <row r="88" customFormat="false" ht="15.75" hidden="false" customHeight="false" outlineLevel="0" collapsed="false">
      <c r="A88" s="19"/>
      <c r="B88" s="14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</row>
    <row r="89" customFormat="false" ht="15.75" hidden="false" customHeight="false" outlineLevel="0" collapsed="false">
      <c r="A89" s="19"/>
      <c r="B89" s="14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</row>
    <row r="90" customFormat="false" ht="15.75" hidden="false" customHeight="false" outlineLevel="0" collapsed="false">
      <c r="A90" s="19"/>
      <c r="B90" s="14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</row>
    <row r="91" customFormat="false" ht="15.75" hidden="false" customHeight="false" outlineLevel="0" collapsed="false">
      <c r="A91" s="19"/>
      <c r="B91" s="14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</row>
    <row r="92" customFormat="false" ht="15.75" hidden="false" customHeight="false" outlineLevel="0" collapsed="false">
      <c r="A92" s="19"/>
      <c r="B92" s="14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</row>
    <row r="93" customFormat="false" ht="15.75" hidden="false" customHeight="false" outlineLevel="0" collapsed="false">
      <c r="A93" s="24"/>
      <c r="B93" s="14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</row>
    <row r="94" customFormat="false" ht="15.75" hidden="false" customHeight="false" outlineLevel="0" collapsed="false">
      <c r="A94" s="19"/>
      <c r="B94" s="14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</row>
    <row r="95" customFormat="false" ht="15.75" hidden="false" customHeight="false" outlineLevel="0" collapsed="false">
      <c r="A95" s="19"/>
      <c r="B95" s="14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</row>
    <row r="96" customFormat="false" ht="15.75" hidden="false" customHeight="false" outlineLevel="0" collapsed="false">
      <c r="A96" s="19"/>
      <c r="B96" s="14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</row>
    <row r="97" customFormat="false" ht="15.75" hidden="false" customHeight="false" outlineLevel="0" collapsed="false">
      <c r="A97" s="13"/>
      <c r="B97" s="14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</row>
    <row r="98" customFormat="false" ht="15.75" hidden="false" customHeight="false" outlineLevel="0" collapsed="false">
      <c r="A98" s="13"/>
      <c r="B98" s="14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</row>
    <row r="99" customFormat="false" ht="15.75" hidden="false" customHeight="false" outlineLevel="0" collapsed="false">
      <c r="A99" s="13"/>
      <c r="B99" s="14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</row>
    <row r="100" customFormat="false" ht="15.75" hidden="false" customHeight="false" outlineLevel="0" collapsed="false">
      <c r="A100" s="13"/>
      <c r="B100" s="14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</row>
    <row r="101" customFormat="false" ht="15.75" hidden="false" customHeight="false" outlineLevel="0" collapsed="false">
      <c r="A101" s="13"/>
      <c r="B101" s="14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</row>
    <row r="102" customFormat="false" ht="15.75" hidden="false" customHeight="false" outlineLevel="0" collapsed="false">
      <c r="A102" s="13"/>
      <c r="B102" s="14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</row>
    <row r="103" customFormat="false" ht="15.75" hidden="false" customHeight="false" outlineLevel="0" collapsed="false">
      <c r="A103" s="13"/>
      <c r="B103" s="14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</row>
    <row r="104" customFormat="false" ht="15.75" hidden="false" customHeight="false" outlineLevel="0" collapsed="false">
      <c r="A104" s="13"/>
      <c r="B104" s="14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</row>
    <row r="105" customFormat="false" ht="15.75" hidden="false" customHeight="false" outlineLevel="0" collapsed="false">
      <c r="A105" s="13"/>
      <c r="B105" s="14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</row>
    <row r="106" customFormat="false" ht="15.75" hidden="false" customHeight="false" outlineLevel="0" collapsed="false">
      <c r="A106" s="13"/>
      <c r="B106" s="14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</row>
    <row r="107" customFormat="false" ht="15.75" hidden="false" customHeight="false" outlineLevel="0" collapsed="false">
      <c r="A107" s="13"/>
      <c r="B107" s="14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</row>
    <row r="108" customFormat="false" ht="15.75" hidden="false" customHeight="false" outlineLevel="0" collapsed="false">
      <c r="A108" s="13"/>
      <c r="B108" s="14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</row>
    <row r="109" customFormat="false" ht="15.75" hidden="false" customHeight="false" outlineLevel="0" collapsed="false">
      <c r="A109" s="13"/>
      <c r="B109" s="14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</row>
    <row r="110" customFormat="false" ht="15.75" hidden="false" customHeight="false" outlineLevel="0" collapsed="false">
      <c r="A110" s="12"/>
      <c r="B110" s="34"/>
      <c r="C110" s="12"/>
      <c r="D110" s="12"/>
      <c r="E110" s="12"/>
      <c r="F110" s="12"/>
      <c r="G110" s="18"/>
      <c r="H110" s="35"/>
      <c r="I110" s="35"/>
      <c r="J110" s="12"/>
      <c r="P110" s="18"/>
      <c r="Q110" s="12"/>
      <c r="R110" s="12"/>
      <c r="S110" s="12"/>
      <c r="T110" s="36"/>
      <c r="U110" s="36"/>
      <c r="V110" s="12"/>
      <c r="W110" s="12"/>
      <c r="X110" s="12"/>
      <c r="Y110" s="12"/>
      <c r="Z110" s="12"/>
    </row>
    <row r="111" customFormat="false" ht="15.75" hidden="false" customHeight="false" outlineLevel="0" collapsed="false">
      <c r="A111" s="12"/>
      <c r="B111" s="34"/>
      <c r="C111" s="12"/>
      <c r="D111" s="12"/>
      <c r="E111" s="12"/>
      <c r="F111" s="12"/>
      <c r="G111" s="18"/>
      <c r="H111" s="35"/>
      <c r="I111" s="35"/>
      <c r="J111" s="12"/>
      <c r="P111" s="18"/>
      <c r="Q111" s="12"/>
      <c r="R111" s="12"/>
      <c r="S111" s="12"/>
      <c r="T111" s="36"/>
      <c r="U111" s="36"/>
      <c r="V111" s="12"/>
      <c r="W111" s="12"/>
      <c r="X111" s="12"/>
      <c r="Y111" s="12"/>
      <c r="Z111" s="12"/>
    </row>
    <row r="112" customFormat="false" ht="15.75" hidden="false" customHeight="false" outlineLevel="0" collapsed="false">
      <c r="A112" s="12"/>
      <c r="B112" s="34"/>
      <c r="C112" s="12"/>
      <c r="D112" s="12"/>
      <c r="E112" s="12"/>
      <c r="F112" s="12"/>
      <c r="G112" s="18"/>
      <c r="H112" s="35"/>
      <c r="I112" s="35"/>
      <c r="J112" s="12"/>
      <c r="P112" s="18"/>
      <c r="Q112" s="12"/>
      <c r="R112" s="12"/>
      <c r="S112" s="12"/>
      <c r="T112" s="36"/>
      <c r="U112" s="36"/>
      <c r="V112" s="12"/>
      <c r="W112" s="12"/>
      <c r="X112" s="12"/>
      <c r="Y112" s="12"/>
      <c r="Z112" s="12"/>
    </row>
    <row r="113" customFormat="false" ht="15.75" hidden="false" customHeight="false" outlineLevel="0" collapsed="false">
      <c r="A113" s="12"/>
      <c r="B113" s="34"/>
      <c r="C113" s="12"/>
      <c r="D113" s="12"/>
      <c r="E113" s="12"/>
      <c r="F113" s="12"/>
      <c r="G113" s="18"/>
      <c r="H113" s="35"/>
      <c r="I113" s="35"/>
      <c r="J113" s="12"/>
      <c r="P113" s="18"/>
      <c r="Q113" s="12"/>
      <c r="R113" s="12"/>
      <c r="S113" s="12"/>
      <c r="T113" s="36"/>
      <c r="U113" s="36"/>
      <c r="V113" s="12"/>
      <c r="W113" s="12"/>
      <c r="X113" s="12"/>
      <c r="Y113" s="12"/>
      <c r="Z113" s="12"/>
    </row>
    <row r="114" customFormat="false" ht="15.75" hidden="false" customHeight="false" outlineLevel="0" collapsed="false">
      <c r="A114" s="12"/>
      <c r="B114" s="34"/>
      <c r="C114" s="12"/>
      <c r="D114" s="12"/>
      <c r="E114" s="12"/>
      <c r="F114" s="12"/>
      <c r="G114" s="18"/>
      <c r="H114" s="35"/>
      <c r="I114" s="35"/>
      <c r="J114" s="12"/>
      <c r="P114" s="18"/>
      <c r="Q114" s="12"/>
      <c r="R114" s="12"/>
      <c r="S114" s="12"/>
      <c r="T114" s="36"/>
      <c r="U114" s="36"/>
      <c r="V114" s="12"/>
      <c r="W114" s="12"/>
      <c r="X114" s="12"/>
      <c r="Y114" s="12"/>
      <c r="Z114" s="12"/>
    </row>
    <row r="115" customFormat="false" ht="15.75" hidden="false" customHeight="false" outlineLevel="0" collapsed="false">
      <c r="A115" s="12"/>
      <c r="B115" s="34"/>
      <c r="C115" s="12"/>
      <c r="D115" s="12"/>
      <c r="E115" s="12"/>
      <c r="F115" s="12"/>
      <c r="G115" s="18"/>
      <c r="H115" s="35"/>
      <c r="I115" s="35"/>
      <c r="J115" s="12"/>
      <c r="P115" s="18"/>
      <c r="Q115" s="12"/>
      <c r="R115" s="12"/>
      <c r="S115" s="12"/>
      <c r="T115" s="36"/>
      <c r="U115" s="36"/>
      <c r="V115" s="12"/>
      <c r="W115" s="12"/>
      <c r="X115" s="12"/>
      <c r="Y115" s="12"/>
      <c r="Z115" s="12"/>
    </row>
    <row r="116" customFormat="false" ht="15.75" hidden="false" customHeight="false" outlineLevel="0" collapsed="false">
      <c r="A116" s="12"/>
      <c r="B116" s="34"/>
      <c r="C116" s="12"/>
      <c r="D116" s="12"/>
      <c r="E116" s="12"/>
      <c r="F116" s="12"/>
      <c r="G116" s="18"/>
      <c r="H116" s="35"/>
      <c r="I116" s="35"/>
      <c r="J116" s="12"/>
      <c r="P116" s="18"/>
      <c r="Q116" s="12"/>
      <c r="R116" s="12"/>
      <c r="S116" s="12"/>
      <c r="T116" s="36"/>
      <c r="U116" s="36"/>
      <c r="V116" s="12"/>
      <c r="W116" s="12"/>
      <c r="X116" s="12"/>
      <c r="Y116" s="12"/>
      <c r="Z116" s="12"/>
    </row>
    <row r="117" customFormat="false" ht="15.75" hidden="false" customHeight="false" outlineLevel="0" collapsed="false">
      <c r="A117" s="12"/>
      <c r="B117" s="34"/>
      <c r="C117" s="12"/>
      <c r="D117" s="12"/>
      <c r="E117" s="12"/>
      <c r="F117" s="12"/>
      <c r="G117" s="18"/>
      <c r="H117" s="35"/>
      <c r="I117" s="35"/>
      <c r="J117" s="12"/>
      <c r="P117" s="18"/>
      <c r="Q117" s="12"/>
      <c r="R117" s="12"/>
      <c r="S117" s="12"/>
      <c r="T117" s="36"/>
      <c r="U117" s="36"/>
      <c r="V117" s="12"/>
      <c r="W117" s="12"/>
      <c r="X117" s="12"/>
      <c r="Y117" s="12"/>
      <c r="Z117" s="12"/>
    </row>
    <row r="118" customFormat="false" ht="15.75" hidden="false" customHeight="false" outlineLevel="0" collapsed="false">
      <c r="A118" s="12"/>
      <c r="B118" s="34"/>
      <c r="C118" s="12"/>
      <c r="D118" s="12"/>
      <c r="E118" s="12"/>
      <c r="F118" s="12"/>
      <c r="G118" s="18"/>
      <c r="H118" s="35"/>
      <c r="I118" s="35"/>
      <c r="J118" s="12"/>
      <c r="P118" s="18"/>
      <c r="Q118" s="12"/>
      <c r="R118" s="12"/>
      <c r="S118" s="12"/>
      <c r="T118" s="36"/>
      <c r="U118" s="36"/>
      <c r="V118" s="12"/>
      <c r="W118" s="12"/>
      <c r="X118" s="12"/>
      <c r="Y118" s="12"/>
      <c r="Z118" s="12"/>
    </row>
    <row r="119" customFormat="false" ht="15.75" hidden="false" customHeight="false" outlineLevel="0" collapsed="false">
      <c r="A119" s="12"/>
      <c r="B119" s="34"/>
      <c r="C119" s="12"/>
      <c r="D119" s="12"/>
      <c r="E119" s="12"/>
      <c r="F119" s="12"/>
      <c r="G119" s="18"/>
      <c r="H119" s="35"/>
      <c r="I119" s="35"/>
      <c r="J119" s="12"/>
      <c r="P119" s="18"/>
      <c r="Q119" s="12"/>
      <c r="R119" s="12"/>
      <c r="S119" s="12"/>
      <c r="T119" s="36"/>
      <c r="U119" s="36"/>
      <c r="V119" s="12"/>
      <c r="W119" s="12"/>
      <c r="X119" s="12"/>
      <c r="Y119" s="12"/>
      <c r="Z119" s="12"/>
    </row>
    <row r="120" customFormat="false" ht="15.75" hidden="false" customHeight="false" outlineLevel="0" collapsed="false">
      <c r="A120" s="12"/>
      <c r="B120" s="34"/>
      <c r="C120" s="12"/>
      <c r="D120" s="12"/>
      <c r="E120" s="12"/>
      <c r="F120" s="12"/>
      <c r="G120" s="18"/>
      <c r="H120" s="35"/>
      <c r="I120" s="35"/>
      <c r="J120" s="12"/>
      <c r="P120" s="18"/>
      <c r="Q120" s="12"/>
      <c r="R120" s="12"/>
      <c r="S120" s="12"/>
      <c r="T120" s="36"/>
      <c r="U120" s="36"/>
      <c r="V120" s="12"/>
      <c r="W120" s="12"/>
      <c r="X120" s="12"/>
      <c r="Y120" s="12"/>
      <c r="Z120" s="12"/>
    </row>
    <row r="121" customFormat="false" ht="15.75" hidden="false" customHeight="false" outlineLevel="0" collapsed="false">
      <c r="A121" s="12"/>
      <c r="B121" s="34"/>
      <c r="C121" s="12"/>
      <c r="D121" s="12"/>
      <c r="E121" s="12"/>
      <c r="F121" s="12"/>
      <c r="G121" s="18"/>
      <c r="H121" s="35"/>
      <c r="I121" s="35"/>
      <c r="J121" s="12"/>
      <c r="P121" s="18"/>
      <c r="Q121" s="12"/>
      <c r="R121" s="12"/>
      <c r="S121" s="12"/>
      <c r="T121" s="36"/>
      <c r="U121" s="36"/>
      <c r="V121" s="12"/>
      <c r="W121" s="12"/>
      <c r="X121" s="12"/>
      <c r="Y121" s="12"/>
      <c r="Z121" s="12"/>
    </row>
    <row r="122" customFormat="false" ht="15.75" hidden="false" customHeight="false" outlineLevel="0" collapsed="false">
      <c r="A122" s="12"/>
      <c r="B122" s="34"/>
      <c r="C122" s="12"/>
      <c r="D122" s="12"/>
      <c r="E122" s="12"/>
      <c r="F122" s="12"/>
      <c r="G122" s="18"/>
      <c r="H122" s="35"/>
      <c r="I122" s="35"/>
      <c r="J122" s="12"/>
      <c r="P122" s="18"/>
      <c r="Q122" s="12"/>
      <c r="R122" s="12"/>
      <c r="S122" s="12"/>
      <c r="T122" s="36"/>
      <c r="U122" s="36"/>
      <c r="V122" s="12"/>
      <c r="W122" s="12"/>
      <c r="X122" s="12"/>
      <c r="Y122" s="12"/>
      <c r="Z122" s="12"/>
    </row>
    <row r="123" customFormat="false" ht="15.75" hidden="false" customHeight="false" outlineLevel="0" collapsed="false">
      <c r="A123" s="12"/>
      <c r="B123" s="34"/>
      <c r="C123" s="12"/>
      <c r="D123" s="12"/>
      <c r="E123" s="12"/>
      <c r="F123" s="12"/>
      <c r="G123" s="18"/>
      <c r="H123" s="35"/>
      <c r="I123" s="35"/>
      <c r="J123" s="12"/>
      <c r="P123" s="18"/>
      <c r="Q123" s="12"/>
      <c r="R123" s="12"/>
      <c r="S123" s="12"/>
      <c r="T123" s="36"/>
      <c r="U123" s="36"/>
      <c r="V123" s="12"/>
      <c r="W123" s="12"/>
      <c r="X123" s="12"/>
      <c r="Y123" s="12"/>
      <c r="Z123" s="12"/>
    </row>
    <row r="124" customFormat="false" ht="15.75" hidden="false" customHeight="false" outlineLevel="0" collapsed="false">
      <c r="A124" s="12"/>
      <c r="B124" s="34"/>
      <c r="C124" s="12"/>
      <c r="D124" s="12"/>
      <c r="E124" s="12"/>
      <c r="F124" s="12"/>
      <c r="G124" s="18"/>
      <c r="H124" s="35"/>
      <c r="I124" s="35"/>
      <c r="J124" s="12"/>
      <c r="P124" s="18"/>
      <c r="Q124" s="12"/>
      <c r="R124" s="12"/>
      <c r="S124" s="12"/>
      <c r="T124" s="36"/>
      <c r="U124" s="36"/>
      <c r="V124" s="12"/>
      <c r="W124" s="12"/>
      <c r="X124" s="12"/>
      <c r="Y124" s="12"/>
      <c r="Z124" s="12"/>
    </row>
    <row r="125" customFormat="false" ht="15.75" hidden="false" customHeight="false" outlineLevel="0" collapsed="false">
      <c r="A125" s="12"/>
      <c r="B125" s="34"/>
      <c r="C125" s="12"/>
      <c r="D125" s="12"/>
      <c r="E125" s="12"/>
      <c r="F125" s="12"/>
      <c r="G125" s="18"/>
      <c r="H125" s="35"/>
      <c r="I125" s="35"/>
      <c r="J125" s="12"/>
      <c r="P125" s="18"/>
      <c r="Q125" s="12"/>
      <c r="R125" s="12"/>
      <c r="S125" s="12"/>
      <c r="T125" s="36"/>
      <c r="U125" s="36"/>
      <c r="V125" s="12"/>
      <c r="W125" s="12"/>
      <c r="X125" s="12"/>
      <c r="Y125" s="12"/>
      <c r="Z125" s="12"/>
    </row>
    <row r="126" customFormat="false" ht="15.75" hidden="false" customHeight="false" outlineLevel="0" collapsed="false">
      <c r="A126" s="12"/>
      <c r="B126" s="34"/>
      <c r="C126" s="12"/>
      <c r="D126" s="12"/>
      <c r="E126" s="12"/>
      <c r="F126" s="12"/>
      <c r="G126" s="18"/>
      <c r="H126" s="35"/>
      <c r="I126" s="35"/>
      <c r="J126" s="12"/>
      <c r="O126" s="12"/>
      <c r="P126" s="18"/>
      <c r="Q126" s="12"/>
      <c r="R126" s="12"/>
      <c r="S126" s="12"/>
      <c r="T126" s="36"/>
      <c r="U126" s="36"/>
      <c r="V126" s="12"/>
      <c r="W126" s="12"/>
      <c r="X126" s="12"/>
      <c r="Y126" s="12"/>
      <c r="Z126" s="12"/>
    </row>
    <row r="127" customFormat="false" ht="15.75" hidden="false" customHeight="false" outlineLevel="0" collapsed="false">
      <c r="A127" s="12"/>
      <c r="B127" s="34"/>
      <c r="C127" s="12"/>
      <c r="D127" s="12"/>
      <c r="E127" s="12"/>
      <c r="F127" s="12"/>
      <c r="G127" s="18"/>
      <c r="H127" s="35"/>
      <c r="I127" s="35"/>
      <c r="J127" s="12"/>
      <c r="O127" s="12"/>
      <c r="P127" s="18"/>
      <c r="Q127" s="12"/>
      <c r="R127" s="12"/>
      <c r="S127" s="12"/>
      <c r="T127" s="36"/>
      <c r="U127" s="36"/>
      <c r="V127" s="12"/>
      <c r="W127" s="12"/>
      <c r="X127" s="12"/>
      <c r="Y127" s="12"/>
      <c r="Z127" s="12"/>
    </row>
    <row r="128" customFormat="false" ht="15.75" hidden="false" customHeight="false" outlineLevel="0" collapsed="false">
      <c r="A128" s="12"/>
      <c r="B128" s="34"/>
      <c r="C128" s="12"/>
      <c r="D128" s="12"/>
      <c r="E128" s="12"/>
      <c r="F128" s="12"/>
      <c r="G128" s="18"/>
      <c r="H128" s="35"/>
      <c r="I128" s="35"/>
      <c r="J128" s="12"/>
      <c r="O128" s="12"/>
      <c r="P128" s="18"/>
      <c r="Q128" s="12"/>
      <c r="R128" s="12"/>
      <c r="S128" s="12"/>
      <c r="T128" s="36"/>
      <c r="U128" s="36"/>
      <c r="V128" s="12"/>
      <c r="W128" s="12"/>
      <c r="X128" s="12"/>
      <c r="Y128" s="12"/>
      <c r="Z128" s="12"/>
    </row>
    <row r="129" customFormat="false" ht="15.75" hidden="false" customHeight="false" outlineLevel="0" collapsed="false">
      <c r="A129" s="12"/>
      <c r="B129" s="34"/>
      <c r="C129" s="12"/>
      <c r="D129" s="12"/>
      <c r="E129" s="12"/>
      <c r="F129" s="12"/>
      <c r="G129" s="18"/>
      <c r="H129" s="35"/>
      <c r="I129" s="35"/>
      <c r="J129" s="12"/>
      <c r="O129" s="12"/>
      <c r="P129" s="18"/>
      <c r="Q129" s="12"/>
      <c r="R129" s="12"/>
      <c r="S129" s="12"/>
      <c r="T129" s="36"/>
      <c r="U129" s="36"/>
      <c r="V129" s="12"/>
      <c r="W129" s="12"/>
      <c r="X129" s="12"/>
      <c r="Y129" s="12"/>
      <c r="Z129" s="12"/>
    </row>
    <row r="130" customFormat="false" ht="15.75" hidden="false" customHeight="false" outlineLevel="0" collapsed="false">
      <c r="A130" s="12"/>
      <c r="B130" s="34"/>
      <c r="C130" s="12"/>
      <c r="D130" s="12"/>
      <c r="E130" s="12"/>
      <c r="F130" s="12"/>
      <c r="G130" s="18"/>
      <c r="H130" s="35"/>
      <c r="I130" s="35"/>
      <c r="J130" s="12"/>
      <c r="O130" s="12"/>
      <c r="P130" s="18"/>
      <c r="Q130" s="12"/>
      <c r="R130" s="12"/>
      <c r="S130" s="12"/>
      <c r="T130" s="36"/>
      <c r="U130" s="36"/>
      <c r="V130" s="12"/>
      <c r="W130" s="12"/>
      <c r="X130" s="12"/>
      <c r="Y130" s="12"/>
      <c r="Z130" s="12"/>
    </row>
    <row r="131" customFormat="false" ht="15.75" hidden="false" customHeight="false" outlineLevel="0" collapsed="false">
      <c r="A131" s="12"/>
      <c r="B131" s="34"/>
      <c r="C131" s="12"/>
      <c r="D131" s="12"/>
      <c r="E131" s="12"/>
      <c r="F131" s="12"/>
      <c r="G131" s="18"/>
      <c r="H131" s="35"/>
      <c r="I131" s="35"/>
      <c r="J131" s="12"/>
      <c r="O131" s="12"/>
      <c r="P131" s="18"/>
      <c r="Q131" s="12"/>
      <c r="R131" s="12"/>
      <c r="S131" s="12"/>
      <c r="T131" s="36"/>
      <c r="U131" s="36"/>
      <c r="V131" s="12"/>
      <c r="W131" s="12"/>
      <c r="X131" s="12"/>
      <c r="Y131" s="12"/>
      <c r="Z131" s="12"/>
    </row>
    <row r="132" customFormat="false" ht="15.75" hidden="false" customHeight="false" outlineLevel="0" collapsed="false">
      <c r="A132" s="12"/>
      <c r="B132" s="34"/>
      <c r="C132" s="12"/>
      <c r="D132" s="12"/>
      <c r="E132" s="12"/>
      <c r="F132" s="12"/>
      <c r="G132" s="18"/>
      <c r="H132" s="35"/>
      <c r="I132" s="35"/>
      <c r="J132" s="12"/>
      <c r="O132" s="12"/>
      <c r="P132" s="18"/>
      <c r="Q132" s="12"/>
      <c r="R132" s="12"/>
      <c r="S132" s="12"/>
      <c r="T132" s="36"/>
      <c r="U132" s="36"/>
      <c r="V132" s="12"/>
      <c r="W132" s="12"/>
      <c r="X132" s="12"/>
      <c r="Y132" s="12"/>
      <c r="Z132" s="12"/>
    </row>
    <row r="133" customFormat="false" ht="15.75" hidden="false" customHeight="false" outlineLevel="0" collapsed="false">
      <c r="A133" s="12"/>
      <c r="B133" s="34"/>
      <c r="C133" s="12"/>
      <c r="D133" s="12"/>
      <c r="E133" s="12"/>
      <c r="F133" s="12"/>
      <c r="G133" s="18"/>
      <c r="H133" s="35"/>
      <c r="I133" s="35"/>
      <c r="J133" s="12"/>
      <c r="O133" s="12"/>
      <c r="P133" s="18"/>
      <c r="Q133" s="12"/>
      <c r="R133" s="12"/>
      <c r="S133" s="12"/>
      <c r="T133" s="36"/>
      <c r="U133" s="36"/>
      <c r="V133" s="12"/>
      <c r="W133" s="12"/>
      <c r="X133" s="12"/>
      <c r="Y133" s="12"/>
      <c r="Z133" s="12"/>
    </row>
    <row r="134" customFormat="false" ht="15.75" hidden="false" customHeight="false" outlineLevel="0" collapsed="false">
      <c r="A134" s="12"/>
      <c r="B134" s="34"/>
      <c r="C134" s="12"/>
      <c r="D134" s="12"/>
      <c r="E134" s="12"/>
      <c r="F134" s="12"/>
      <c r="G134" s="18"/>
      <c r="H134" s="35"/>
      <c r="I134" s="35"/>
      <c r="J134" s="12"/>
      <c r="O134" s="12"/>
      <c r="P134" s="18"/>
      <c r="Q134" s="12"/>
      <c r="R134" s="12"/>
      <c r="S134" s="12"/>
      <c r="T134" s="36"/>
      <c r="U134" s="36"/>
      <c r="V134" s="12"/>
      <c r="W134" s="12"/>
      <c r="X134" s="12"/>
      <c r="Y134" s="12"/>
      <c r="Z134" s="12"/>
    </row>
    <row r="135" customFormat="false" ht="15.75" hidden="false" customHeight="false" outlineLevel="0" collapsed="false">
      <c r="A135" s="12"/>
      <c r="B135" s="34"/>
      <c r="C135" s="12"/>
      <c r="D135" s="12"/>
      <c r="E135" s="12"/>
      <c r="F135" s="12"/>
      <c r="G135" s="18"/>
      <c r="H135" s="35"/>
      <c r="I135" s="35"/>
      <c r="J135" s="12"/>
      <c r="O135" s="12"/>
      <c r="P135" s="18"/>
      <c r="Q135" s="12"/>
      <c r="R135" s="12"/>
      <c r="S135" s="12"/>
      <c r="T135" s="36"/>
      <c r="U135" s="36"/>
      <c r="V135" s="12"/>
      <c r="W135" s="12"/>
      <c r="X135" s="12"/>
      <c r="Y135" s="12"/>
      <c r="Z135" s="12"/>
    </row>
    <row r="136" customFormat="false" ht="15.75" hidden="false" customHeight="false" outlineLevel="0" collapsed="false">
      <c r="A136" s="12"/>
      <c r="B136" s="34"/>
      <c r="C136" s="12"/>
      <c r="D136" s="12"/>
      <c r="E136" s="12"/>
      <c r="F136" s="12"/>
      <c r="G136" s="18"/>
      <c r="H136" s="35"/>
      <c r="I136" s="35"/>
      <c r="J136" s="12"/>
      <c r="O136" s="12"/>
      <c r="P136" s="18"/>
      <c r="Q136" s="12"/>
      <c r="R136" s="12"/>
      <c r="S136" s="12"/>
      <c r="T136" s="36"/>
      <c r="U136" s="36"/>
      <c r="V136" s="12"/>
      <c r="W136" s="12"/>
      <c r="X136" s="12"/>
      <c r="Y136" s="12"/>
      <c r="Z136" s="12"/>
    </row>
    <row r="137" customFormat="false" ht="15.75" hidden="false" customHeight="false" outlineLevel="0" collapsed="false">
      <c r="A137" s="12"/>
      <c r="B137" s="34"/>
      <c r="C137" s="12"/>
      <c r="D137" s="12"/>
      <c r="E137" s="12"/>
      <c r="F137" s="12"/>
      <c r="G137" s="18"/>
      <c r="H137" s="35"/>
      <c r="I137" s="35"/>
      <c r="J137" s="12"/>
      <c r="O137" s="12"/>
      <c r="P137" s="18"/>
      <c r="Q137" s="12"/>
      <c r="R137" s="12"/>
      <c r="S137" s="12"/>
      <c r="T137" s="36"/>
      <c r="U137" s="36"/>
      <c r="V137" s="12"/>
      <c r="W137" s="12"/>
      <c r="X137" s="12"/>
      <c r="Y137" s="12"/>
      <c r="Z137" s="12"/>
    </row>
    <row r="138" customFormat="false" ht="15.75" hidden="false" customHeight="false" outlineLevel="0" collapsed="false">
      <c r="A138" s="12"/>
      <c r="B138" s="34"/>
      <c r="C138" s="12"/>
      <c r="D138" s="12"/>
      <c r="E138" s="12"/>
      <c r="F138" s="12"/>
      <c r="G138" s="18"/>
      <c r="H138" s="35"/>
      <c r="I138" s="35"/>
      <c r="J138" s="12"/>
      <c r="O138" s="12"/>
      <c r="P138" s="18"/>
      <c r="Q138" s="12"/>
      <c r="R138" s="12"/>
      <c r="S138" s="12"/>
      <c r="T138" s="36"/>
      <c r="U138" s="36"/>
      <c r="V138" s="12"/>
      <c r="W138" s="12"/>
      <c r="X138" s="12"/>
      <c r="Y138" s="12"/>
      <c r="Z138" s="12"/>
    </row>
    <row r="139" customFormat="false" ht="15.75" hidden="false" customHeight="false" outlineLevel="0" collapsed="false">
      <c r="A139" s="12"/>
      <c r="B139" s="34"/>
      <c r="C139" s="12"/>
      <c r="D139" s="12"/>
      <c r="E139" s="12"/>
      <c r="F139" s="12"/>
      <c r="G139" s="18"/>
      <c r="H139" s="35"/>
      <c r="I139" s="35"/>
      <c r="J139" s="12"/>
      <c r="O139" s="12"/>
      <c r="P139" s="18"/>
      <c r="Q139" s="12"/>
      <c r="R139" s="12"/>
      <c r="S139" s="12"/>
      <c r="T139" s="36"/>
      <c r="U139" s="36"/>
      <c r="V139" s="12"/>
      <c r="W139" s="12"/>
      <c r="X139" s="12"/>
      <c r="Y139" s="12"/>
      <c r="Z139" s="12"/>
    </row>
    <row r="140" customFormat="false" ht="15.75" hidden="false" customHeight="false" outlineLevel="0" collapsed="false">
      <c r="A140" s="12"/>
      <c r="B140" s="34"/>
      <c r="C140" s="12"/>
      <c r="D140" s="12"/>
      <c r="E140" s="12"/>
      <c r="F140" s="12"/>
      <c r="G140" s="18"/>
      <c r="H140" s="35"/>
      <c r="I140" s="35"/>
      <c r="J140" s="12"/>
      <c r="O140" s="12"/>
      <c r="P140" s="18"/>
      <c r="Q140" s="12"/>
      <c r="R140" s="12"/>
      <c r="S140" s="12"/>
      <c r="T140" s="36"/>
      <c r="U140" s="36"/>
      <c r="V140" s="12"/>
      <c r="W140" s="12"/>
      <c r="X140" s="12"/>
      <c r="Y140" s="12"/>
      <c r="Z140" s="12"/>
    </row>
    <row r="141" customFormat="false" ht="15.75" hidden="false" customHeight="false" outlineLevel="0" collapsed="false">
      <c r="A141" s="12"/>
      <c r="B141" s="34"/>
      <c r="C141" s="12"/>
      <c r="D141" s="12"/>
      <c r="E141" s="12"/>
      <c r="F141" s="12"/>
      <c r="G141" s="18"/>
      <c r="H141" s="35"/>
      <c r="I141" s="35"/>
      <c r="J141" s="12"/>
      <c r="O141" s="12"/>
      <c r="P141" s="18"/>
      <c r="Q141" s="12"/>
      <c r="R141" s="12"/>
      <c r="S141" s="12"/>
      <c r="T141" s="36"/>
      <c r="U141" s="36"/>
      <c r="V141" s="12"/>
      <c r="W141" s="12"/>
      <c r="X141" s="12"/>
      <c r="Y141" s="12"/>
      <c r="Z141" s="12"/>
    </row>
    <row r="142" customFormat="false" ht="15.75" hidden="false" customHeight="false" outlineLevel="0" collapsed="false">
      <c r="A142" s="12"/>
      <c r="B142" s="34"/>
      <c r="C142" s="12"/>
      <c r="D142" s="12"/>
      <c r="E142" s="12"/>
      <c r="F142" s="12"/>
      <c r="G142" s="18"/>
      <c r="H142" s="35"/>
      <c r="I142" s="35"/>
      <c r="J142" s="12"/>
      <c r="O142" s="12"/>
      <c r="P142" s="18"/>
      <c r="Q142" s="12"/>
      <c r="R142" s="12"/>
      <c r="S142" s="12"/>
      <c r="T142" s="36"/>
      <c r="U142" s="36"/>
      <c r="V142" s="12"/>
      <c r="W142" s="12"/>
      <c r="X142" s="12"/>
      <c r="Y142" s="12"/>
      <c r="Z142" s="12"/>
    </row>
    <row r="143" customFormat="false" ht="15.75" hidden="false" customHeight="false" outlineLevel="0" collapsed="false">
      <c r="A143" s="12"/>
      <c r="B143" s="34"/>
      <c r="C143" s="12"/>
      <c r="D143" s="12"/>
      <c r="E143" s="12"/>
      <c r="F143" s="12"/>
      <c r="G143" s="18"/>
      <c r="H143" s="35"/>
      <c r="I143" s="35"/>
      <c r="J143" s="12"/>
      <c r="O143" s="12"/>
      <c r="P143" s="18"/>
      <c r="Q143" s="12"/>
      <c r="R143" s="12"/>
      <c r="S143" s="12"/>
      <c r="T143" s="36"/>
      <c r="U143" s="36"/>
      <c r="V143" s="12"/>
      <c r="W143" s="12"/>
      <c r="X143" s="12"/>
      <c r="Y143" s="12"/>
      <c r="Z143" s="12"/>
    </row>
    <row r="144" customFormat="false" ht="15.75" hidden="false" customHeight="false" outlineLevel="0" collapsed="false">
      <c r="A144" s="12"/>
      <c r="B144" s="34"/>
      <c r="C144" s="12"/>
      <c r="D144" s="12"/>
      <c r="E144" s="12"/>
      <c r="F144" s="12"/>
      <c r="G144" s="18"/>
      <c r="H144" s="35"/>
      <c r="I144" s="35"/>
      <c r="J144" s="12"/>
      <c r="O144" s="12"/>
      <c r="P144" s="18"/>
      <c r="Q144" s="12"/>
      <c r="R144" s="12"/>
      <c r="S144" s="12"/>
      <c r="T144" s="36"/>
      <c r="U144" s="36"/>
      <c r="V144" s="12"/>
      <c r="W144" s="12"/>
      <c r="X144" s="12"/>
      <c r="Y144" s="12"/>
      <c r="Z144" s="12"/>
    </row>
    <row r="145" customFormat="false" ht="15.75" hidden="false" customHeight="false" outlineLevel="0" collapsed="false">
      <c r="A145" s="12"/>
      <c r="B145" s="34"/>
      <c r="C145" s="12"/>
      <c r="D145" s="12"/>
      <c r="E145" s="12"/>
      <c r="F145" s="12"/>
      <c r="G145" s="18"/>
      <c r="H145" s="35"/>
      <c r="I145" s="35"/>
      <c r="J145" s="12"/>
      <c r="O145" s="12"/>
      <c r="P145" s="18"/>
      <c r="Q145" s="12"/>
      <c r="R145" s="12"/>
      <c r="S145" s="12"/>
      <c r="T145" s="36"/>
      <c r="U145" s="36"/>
      <c r="V145" s="12"/>
      <c r="W145" s="12"/>
      <c r="X145" s="12"/>
      <c r="Y145" s="12"/>
      <c r="Z145" s="12"/>
    </row>
    <row r="146" customFormat="false" ht="15.75" hidden="false" customHeight="false" outlineLevel="0" collapsed="false">
      <c r="A146" s="12"/>
      <c r="B146" s="34"/>
      <c r="C146" s="12"/>
      <c r="D146" s="12"/>
      <c r="E146" s="12"/>
      <c r="F146" s="12"/>
      <c r="G146" s="18"/>
      <c r="H146" s="35"/>
      <c r="I146" s="35"/>
      <c r="J146" s="12"/>
      <c r="O146" s="12"/>
      <c r="P146" s="18"/>
      <c r="Q146" s="12"/>
      <c r="R146" s="12"/>
      <c r="S146" s="12"/>
      <c r="T146" s="36"/>
      <c r="U146" s="36"/>
      <c r="V146" s="12"/>
      <c r="W146" s="12"/>
      <c r="X146" s="12"/>
      <c r="Y146" s="12"/>
      <c r="Z146" s="12"/>
    </row>
    <row r="147" customFormat="false" ht="15.75" hidden="false" customHeight="false" outlineLevel="0" collapsed="false">
      <c r="A147" s="12"/>
      <c r="B147" s="34"/>
      <c r="C147" s="12"/>
      <c r="D147" s="12"/>
      <c r="E147" s="12"/>
      <c r="F147" s="12"/>
      <c r="G147" s="18"/>
      <c r="H147" s="35"/>
      <c r="I147" s="35"/>
      <c r="J147" s="12"/>
      <c r="O147" s="12"/>
      <c r="P147" s="18"/>
      <c r="Q147" s="12"/>
      <c r="R147" s="12"/>
      <c r="S147" s="12"/>
      <c r="T147" s="36"/>
      <c r="U147" s="36"/>
      <c r="V147" s="12"/>
      <c r="W147" s="12"/>
      <c r="X147" s="12"/>
      <c r="Y147" s="12"/>
      <c r="Z147" s="12"/>
    </row>
    <row r="148" customFormat="false" ht="15.75" hidden="false" customHeight="false" outlineLevel="0" collapsed="false">
      <c r="A148" s="12"/>
      <c r="B148" s="34"/>
      <c r="C148" s="12"/>
      <c r="D148" s="12"/>
      <c r="E148" s="12"/>
      <c r="F148" s="12"/>
      <c r="G148" s="18"/>
      <c r="H148" s="35"/>
      <c r="I148" s="35"/>
      <c r="J148" s="12"/>
      <c r="O148" s="12"/>
      <c r="P148" s="18"/>
      <c r="Q148" s="12"/>
      <c r="R148" s="12"/>
      <c r="S148" s="12"/>
      <c r="T148" s="36"/>
      <c r="U148" s="36"/>
      <c r="V148" s="12"/>
      <c r="W148" s="12"/>
      <c r="X148" s="12"/>
      <c r="Y148" s="12"/>
      <c r="Z148" s="12"/>
    </row>
    <row r="149" customFormat="false" ht="15.75" hidden="false" customHeight="false" outlineLevel="0" collapsed="false">
      <c r="A149" s="12"/>
      <c r="B149" s="34"/>
      <c r="C149" s="12"/>
      <c r="D149" s="12"/>
      <c r="E149" s="12"/>
      <c r="F149" s="12"/>
      <c r="G149" s="18"/>
      <c r="H149" s="35"/>
      <c r="I149" s="35"/>
      <c r="J149" s="12"/>
      <c r="O149" s="12"/>
      <c r="P149" s="18"/>
      <c r="Q149" s="12"/>
      <c r="R149" s="12"/>
      <c r="S149" s="12"/>
      <c r="T149" s="36"/>
      <c r="U149" s="36"/>
      <c r="V149" s="12"/>
      <c r="W149" s="12"/>
      <c r="X149" s="12"/>
      <c r="Y149" s="12"/>
      <c r="Z149" s="12"/>
    </row>
    <row r="150" customFormat="false" ht="15.75" hidden="false" customHeight="false" outlineLevel="0" collapsed="false">
      <c r="A150" s="12"/>
      <c r="B150" s="34"/>
      <c r="C150" s="12"/>
      <c r="D150" s="12"/>
      <c r="E150" s="12"/>
      <c r="F150" s="12"/>
      <c r="G150" s="18"/>
      <c r="H150" s="35"/>
      <c r="I150" s="35"/>
      <c r="J150" s="12"/>
      <c r="O150" s="12"/>
      <c r="P150" s="18"/>
      <c r="Q150" s="12"/>
      <c r="R150" s="12"/>
      <c r="S150" s="12"/>
      <c r="T150" s="36"/>
      <c r="U150" s="36"/>
      <c r="V150" s="12"/>
      <c r="W150" s="12"/>
      <c r="X150" s="12"/>
      <c r="Y150" s="12"/>
      <c r="Z150" s="12"/>
    </row>
    <row r="151" customFormat="false" ht="15.75" hidden="false" customHeight="false" outlineLevel="0" collapsed="false">
      <c r="A151" s="12"/>
      <c r="B151" s="34"/>
      <c r="C151" s="12"/>
      <c r="D151" s="12"/>
      <c r="E151" s="12"/>
      <c r="F151" s="12"/>
      <c r="G151" s="18"/>
      <c r="H151" s="35"/>
      <c r="I151" s="35"/>
      <c r="J151" s="12"/>
      <c r="O151" s="12"/>
      <c r="P151" s="18"/>
      <c r="Q151" s="12"/>
      <c r="R151" s="12"/>
      <c r="S151" s="12"/>
      <c r="T151" s="36"/>
      <c r="U151" s="36"/>
      <c r="V151" s="12"/>
      <c r="W151" s="12"/>
      <c r="X151" s="12"/>
      <c r="Y151" s="12"/>
      <c r="Z151" s="12"/>
    </row>
    <row r="152" customFormat="false" ht="15.75" hidden="false" customHeight="false" outlineLevel="0" collapsed="false">
      <c r="A152" s="12"/>
      <c r="B152" s="34"/>
      <c r="C152" s="12"/>
      <c r="D152" s="12"/>
      <c r="E152" s="12"/>
      <c r="F152" s="12"/>
      <c r="G152" s="18"/>
      <c r="H152" s="35"/>
      <c r="I152" s="35"/>
      <c r="J152" s="12"/>
      <c r="O152" s="12"/>
      <c r="P152" s="18"/>
      <c r="Q152" s="12"/>
      <c r="R152" s="12"/>
      <c r="S152" s="12"/>
      <c r="T152" s="36"/>
      <c r="U152" s="36"/>
      <c r="V152" s="12"/>
      <c r="W152" s="12"/>
      <c r="X152" s="12"/>
      <c r="Y152" s="12"/>
      <c r="Z152" s="12"/>
    </row>
    <row r="153" customFormat="false" ht="15.75" hidden="false" customHeight="false" outlineLevel="0" collapsed="false">
      <c r="A153" s="12"/>
      <c r="B153" s="34"/>
      <c r="C153" s="12"/>
      <c r="D153" s="12"/>
      <c r="E153" s="12"/>
      <c r="F153" s="12"/>
      <c r="G153" s="18"/>
      <c r="H153" s="35"/>
      <c r="I153" s="35"/>
      <c r="J153" s="12"/>
      <c r="O153" s="12"/>
      <c r="P153" s="18"/>
      <c r="Q153" s="12"/>
      <c r="R153" s="12"/>
      <c r="S153" s="12"/>
      <c r="T153" s="36"/>
      <c r="U153" s="36"/>
      <c r="V153" s="12"/>
      <c r="W153" s="12"/>
      <c r="X153" s="12"/>
      <c r="Y153" s="12"/>
      <c r="Z153" s="12"/>
    </row>
    <row r="154" customFormat="false" ht="15.75" hidden="false" customHeight="false" outlineLevel="0" collapsed="false">
      <c r="A154" s="12"/>
      <c r="B154" s="34"/>
      <c r="C154" s="12"/>
      <c r="D154" s="12"/>
      <c r="E154" s="12"/>
      <c r="F154" s="12"/>
      <c r="G154" s="18"/>
      <c r="H154" s="35"/>
      <c r="I154" s="35"/>
      <c r="J154" s="12"/>
      <c r="O154" s="12"/>
      <c r="P154" s="18"/>
      <c r="Q154" s="12"/>
      <c r="R154" s="12"/>
      <c r="S154" s="12"/>
      <c r="T154" s="36"/>
      <c r="U154" s="36"/>
      <c r="V154" s="12"/>
      <c r="W154" s="12"/>
      <c r="X154" s="12"/>
      <c r="Y154" s="12"/>
      <c r="Z154" s="12"/>
    </row>
    <row r="155" customFormat="false" ht="15.75" hidden="false" customHeight="false" outlineLevel="0" collapsed="false">
      <c r="A155" s="12"/>
      <c r="B155" s="34"/>
      <c r="C155" s="12"/>
      <c r="D155" s="12"/>
      <c r="E155" s="12"/>
      <c r="F155" s="12"/>
      <c r="G155" s="18"/>
      <c r="H155" s="35"/>
      <c r="I155" s="35"/>
      <c r="J155" s="12"/>
      <c r="O155" s="12"/>
      <c r="P155" s="18"/>
      <c r="Q155" s="12"/>
      <c r="R155" s="12"/>
      <c r="S155" s="12"/>
      <c r="T155" s="36"/>
      <c r="U155" s="36"/>
      <c r="V155" s="12"/>
      <c r="W155" s="12"/>
      <c r="X155" s="12"/>
      <c r="Y155" s="12"/>
      <c r="Z155" s="12"/>
    </row>
    <row r="156" customFormat="false" ht="15.75" hidden="false" customHeight="false" outlineLevel="0" collapsed="false">
      <c r="A156" s="12"/>
      <c r="B156" s="34"/>
      <c r="C156" s="12"/>
      <c r="D156" s="12"/>
      <c r="E156" s="12"/>
      <c r="F156" s="12"/>
      <c r="G156" s="18"/>
      <c r="H156" s="35"/>
      <c r="I156" s="35"/>
      <c r="J156" s="12"/>
      <c r="O156" s="12"/>
      <c r="P156" s="18"/>
      <c r="Q156" s="12"/>
      <c r="R156" s="12"/>
      <c r="S156" s="12"/>
      <c r="T156" s="36"/>
      <c r="U156" s="36"/>
      <c r="V156" s="12"/>
      <c r="W156" s="12"/>
      <c r="X156" s="12"/>
      <c r="Y156" s="12"/>
      <c r="Z156" s="12"/>
    </row>
    <row r="157" customFormat="false" ht="15.75" hidden="false" customHeight="false" outlineLevel="0" collapsed="false">
      <c r="A157" s="12"/>
      <c r="B157" s="34"/>
      <c r="C157" s="12"/>
      <c r="D157" s="12"/>
      <c r="E157" s="12"/>
      <c r="F157" s="12"/>
      <c r="G157" s="18"/>
      <c r="H157" s="35"/>
      <c r="I157" s="35"/>
      <c r="J157" s="12"/>
      <c r="O157" s="12"/>
      <c r="P157" s="18"/>
      <c r="Q157" s="12"/>
      <c r="R157" s="12"/>
      <c r="S157" s="12"/>
      <c r="T157" s="36"/>
      <c r="U157" s="36"/>
      <c r="V157" s="12"/>
      <c r="W157" s="12"/>
      <c r="X157" s="12"/>
      <c r="Y157" s="12"/>
      <c r="Z157" s="12"/>
    </row>
    <row r="158" customFormat="false" ht="15.75" hidden="false" customHeight="false" outlineLevel="0" collapsed="false">
      <c r="A158" s="12"/>
      <c r="B158" s="34"/>
      <c r="C158" s="12"/>
      <c r="D158" s="12"/>
      <c r="E158" s="12"/>
      <c r="F158" s="12"/>
      <c r="G158" s="18"/>
      <c r="H158" s="35"/>
      <c r="I158" s="35"/>
      <c r="J158" s="12"/>
      <c r="O158" s="12"/>
      <c r="P158" s="18"/>
      <c r="Q158" s="12"/>
      <c r="R158" s="12"/>
      <c r="S158" s="12"/>
      <c r="T158" s="36"/>
      <c r="U158" s="36"/>
      <c r="V158" s="12"/>
      <c r="W158" s="12"/>
      <c r="X158" s="12"/>
      <c r="Y158" s="12"/>
      <c r="Z158" s="12"/>
    </row>
    <row r="159" customFormat="false" ht="15.75" hidden="false" customHeight="false" outlineLevel="0" collapsed="false">
      <c r="A159" s="12"/>
      <c r="B159" s="34"/>
      <c r="C159" s="12"/>
      <c r="D159" s="12"/>
      <c r="E159" s="12"/>
      <c r="F159" s="12"/>
      <c r="G159" s="18"/>
      <c r="H159" s="35"/>
      <c r="I159" s="35"/>
      <c r="J159" s="12"/>
      <c r="O159" s="12"/>
      <c r="P159" s="18"/>
      <c r="Q159" s="12"/>
      <c r="R159" s="12"/>
      <c r="S159" s="12"/>
      <c r="T159" s="36"/>
      <c r="U159" s="36"/>
      <c r="V159" s="12"/>
      <c r="W159" s="12"/>
      <c r="X159" s="12"/>
      <c r="Y159" s="12"/>
      <c r="Z159" s="12"/>
    </row>
    <row r="160" customFormat="false" ht="15.75" hidden="false" customHeight="false" outlineLevel="0" collapsed="false">
      <c r="A160" s="12"/>
      <c r="B160" s="34"/>
      <c r="C160" s="12"/>
      <c r="D160" s="12"/>
      <c r="E160" s="12"/>
      <c r="F160" s="12"/>
      <c r="G160" s="18"/>
      <c r="H160" s="35"/>
      <c r="I160" s="35"/>
      <c r="J160" s="12"/>
      <c r="O160" s="12"/>
      <c r="P160" s="18"/>
      <c r="Q160" s="12"/>
      <c r="R160" s="12"/>
      <c r="S160" s="12"/>
      <c r="T160" s="36"/>
      <c r="U160" s="36"/>
      <c r="V160" s="12"/>
      <c r="W160" s="12"/>
      <c r="X160" s="12"/>
      <c r="Y160" s="12"/>
      <c r="Z160" s="12"/>
    </row>
    <row r="161" customFormat="false" ht="15.75" hidden="false" customHeight="false" outlineLevel="0" collapsed="false">
      <c r="A161" s="12"/>
      <c r="B161" s="34"/>
      <c r="C161" s="12"/>
      <c r="D161" s="12"/>
      <c r="E161" s="12"/>
      <c r="F161" s="12"/>
      <c r="G161" s="18"/>
      <c r="H161" s="35"/>
      <c r="I161" s="35"/>
      <c r="J161" s="12"/>
      <c r="O161" s="12"/>
      <c r="P161" s="18"/>
      <c r="Q161" s="12"/>
      <c r="R161" s="12"/>
      <c r="S161" s="12"/>
      <c r="T161" s="36"/>
      <c r="U161" s="36"/>
      <c r="V161" s="12"/>
      <c r="W161" s="12"/>
      <c r="X161" s="12"/>
      <c r="Y161" s="12"/>
      <c r="Z161" s="12"/>
    </row>
    <row r="162" customFormat="false" ht="15.75" hidden="false" customHeight="false" outlineLevel="0" collapsed="false">
      <c r="A162" s="12"/>
      <c r="B162" s="34"/>
      <c r="C162" s="12"/>
      <c r="D162" s="12"/>
      <c r="E162" s="12"/>
      <c r="F162" s="12"/>
      <c r="G162" s="18"/>
      <c r="H162" s="35"/>
      <c r="I162" s="35"/>
      <c r="J162" s="12"/>
      <c r="O162" s="12"/>
      <c r="P162" s="18"/>
      <c r="Q162" s="12"/>
      <c r="R162" s="12"/>
      <c r="S162" s="12"/>
      <c r="T162" s="36"/>
      <c r="U162" s="36"/>
      <c r="V162" s="12"/>
      <c r="W162" s="12"/>
      <c r="X162" s="12"/>
      <c r="Y162" s="12"/>
      <c r="Z162" s="12"/>
    </row>
    <row r="163" customFormat="false" ht="15.75" hidden="false" customHeight="false" outlineLevel="0" collapsed="false">
      <c r="A163" s="12"/>
      <c r="B163" s="34"/>
      <c r="C163" s="12"/>
      <c r="D163" s="12"/>
      <c r="E163" s="12"/>
      <c r="F163" s="12"/>
      <c r="G163" s="18"/>
      <c r="H163" s="35"/>
      <c r="I163" s="35"/>
      <c r="J163" s="12"/>
      <c r="O163" s="12"/>
      <c r="P163" s="18"/>
      <c r="Q163" s="12"/>
      <c r="R163" s="12"/>
      <c r="S163" s="12"/>
      <c r="T163" s="36"/>
      <c r="U163" s="36"/>
      <c r="V163" s="12"/>
      <c r="W163" s="12"/>
      <c r="X163" s="12"/>
      <c r="Y163" s="12"/>
      <c r="Z163" s="12"/>
    </row>
    <row r="164" customFormat="false" ht="15.75" hidden="false" customHeight="false" outlineLevel="0" collapsed="false">
      <c r="A164" s="12"/>
      <c r="B164" s="34"/>
      <c r="C164" s="12"/>
      <c r="D164" s="12"/>
      <c r="E164" s="12"/>
      <c r="F164" s="12"/>
      <c r="G164" s="18"/>
      <c r="H164" s="35"/>
      <c r="I164" s="35"/>
      <c r="J164" s="12"/>
      <c r="O164" s="12"/>
      <c r="P164" s="18"/>
      <c r="Q164" s="12"/>
      <c r="R164" s="12"/>
      <c r="S164" s="12"/>
      <c r="T164" s="36"/>
      <c r="U164" s="36"/>
      <c r="V164" s="12"/>
      <c r="W164" s="12"/>
      <c r="X164" s="12"/>
      <c r="Y164" s="12"/>
      <c r="Z164" s="12"/>
    </row>
    <row r="165" customFormat="false" ht="15.75" hidden="false" customHeight="false" outlineLevel="0" collapsed="false">
      <c r="A165" s="12"/>
      <c r="B165" s="34"/>
      <c r="C165" s="12"/>
      <c r="D165" s="12"/>
      <c r="E165" s="12"/>
      <c r="F165" s="12"/>
      <c r="G165" s="18"/>
      <c r="H165" s="35"/>
      <c r="I165" s="35"/>
      <c r="J165" s="12"/>
      <c r="O165" s="12"/>
      <c r="P165" s="18"/>
      <c r="Q165" s="12"/>
      <c r="R165" s="12"/>
      <c r="S165" s="12"/>
      <c r="T165" s="36"/>
      <c r="U165" s="36"/>
      <c r="V165" s="12"/>
      <c r="W165" s="12"/>
      <c r="X165" s="12"/>
      <c r="Y165" s="12"/>
      <c r="Z165" s="12"/>
    </row>
    <row r="166" customFormat="false" ht="15.75" hidden="false" customHeight="false" outlineLevel="0" collapsed="false">
      <c r="A166" s="12"/>
      <c r="B166" s="34"/>
      <c r="C166" s="12"/>
      <c r="D166" s="12"/>
      <c r="E166" s="12"/>
      <c r="F166" s="12"/>
      <c r="G166" s="18"/>
      <c r="H166" s="35"/>
      <c r="I166" s="35"/>
      <c r="J166" s="12"/>
      <c r="O166" s="12"/>
      <c r="P166" s="18"/>
      <c r="Q166" s="12"/>
      <c r="R166" s="12"/>
      <c r="S166" s="12"/>
      <c r="T166" s="36"/>
      <c r="U166" s="36"/>
      <c r="V166" s="12"/>
      <c r="W166" s="12"/>
      <c r="X166" s="12"/>
      <c r="Y166" s="12"/>
      <c r="Z166" s="12"/>
    </row>
    <row r="167" customFormat="false" ht="15.75" hidden="false" customHeight="false" outlineLevel="0" collapsed="false">
      <c r="A167" s="12"/>
      <c r="B167" s="34"/>
      <c r="C167" s="12"/>
      <c r="D167" s="12"/>
      <c r="E167" s="12"/>
      <c r="F167" s="12"/>
      <c r="G167" s="18"/>
      <c r="H167" s="35"/>
      <c r="I167" s="35"/>
      <c r="J167" s="12"/>
      <c r="O167" s="12"/>
      <c r="P167" s="18"/>
      <c r="Q167" s="12"/>
      <c r="R167" s="12"/>
      <c r="S167" s="12"/>
      <c r="T167" s="36"/>
      <c r="U167" s="36"/>
      <c r="V167" s="12"/>
      <c r="W167" s="12"/>
      <c r="X167" s="12"/>
      <c r="Y167" s="12"/>
      <c r="Z167" s="12"/>
    </row>
    <row r="168" customFormat="false" ht="15.75" hidden="false" customHeight="false" outlineLevel="0" collapsed="false">
      <c r="A168" s="12"/>
      <c r="B168" s="34"/>
      <c r="C168" s="12"/>
      <c r="D168" s="12"/>
      <c r="E168" s="12"/>
      <c r="F168" s="12"/>
      <c r="G168" s="18"/>
      <c r="H168" s="35"/>
      <c r="I168" s="35"/>
      <c r="J168" s="12"/>
      <c r="O168" s="12"/>
      <c r="P168" s="18"/>
      <c r="Q168" s="12"/>
      <c r="R168" s="12"/>
      <c r="S168" s="12"/>
      <c r="T168" s="36"/>
      <c r="U168" s="36"/>
      <c r="V168" s="12"/>
      <c r="W168" s="12"/>
      <c r="X168" s="12"/>
      <c r="Y168" s="12"/>
      <c r="Z168" s="12"/>
    </row>
    <row r="169" customFormat="false" ht="15.75" hidden="false" customHeight="false" outlineLevel="0" collapsed="false">
      <c r="A169" s="12"/>
      <c r="B169" s="34"/>
      <c r="C169" s="12"/>
      <c r="D169" s="12"/>
      <c r="E169" s="12"/>
      <c r="F169" s="12"/>
      <c r="G169" s="18"/>
      <c r="H169" s="35"/>
      <c r="I169" s="35"/>
      <c r="J169" s="12"/>
      <c r="O169" s="12"/>
      <c r="P169" s="18"/>
      <c r="Q169" s="12"/>
      <c r="R169" s="12"/>
      <c r="S169" s="12"/>
      <c r="T169" s="36"/>
      <c r="U169" s="36"/>
      <c r="V169" s="12"/>
      <c r="W169" s="12"/>
      <c r="X169" s="12"/>
      <c r="Y169" s="12"/>
      <c r="Z169" s="12"/>
    </row>
    <row r="170" customFormat="false" ht="15.75" hidden="false" customHeight="false" outlineLevel="0" collapsed="false">
      <c r="A170" s="12"/>
      <c r="B170" s="34"/>
      <c r="C170" s="12"/>
      <c r="D170" s="12"/>
      <c r="E170" s="12"/>
      <c r="F170" s="12"/>
      <c r="G170" s="18"/>
      <c r="H170" s="35"/>
      <c r="I170" s="35"/>
      <c r="J170" s="12"/>
      <c r="O170" s="12"/>
      <c r="P170" s="18"/>
      <c r="Q170" s="12"/>
      <c r="R170" s="12"/>
      <c r="S170" s="12"/>
      <c r="T170" s="36"/>
      <c r="U170" s="36"/>
      <c r="V170" s="12"/>
      <c r="W170" s="12"/>
      <c r="X170" s="12"/>
      <c r="Y170" s="12"/>
      <c r="Z170" s="12"/>
    </row>
    <row r="171" customFormat="false" ht="15.75" hidden="false" customHeight="false" outlineLevel="0" collapsed="false">
      <c r="A171" s="12"/>
      <c r="B171" s="34"/>
      <c r="C171" s="12"/>
      <c r="D171" s="12"/>
      <c r="E171" s="12"/>
      <c r="F171" s="12"/>
      <c r="G171" s="18"/>
      <c r="H171" s="35"/>
      <c r="I171" s="35"/>
      <c r="J171" s="12"/>
      <c r="O171" s="12"/>
      <c r="P171" s="18"/>
      <c r="Q171" s="12"/>
      <c r="R171" s="12"/>
      <c r="S171" s="12"/>
      <c r="T171" s="36"/>
      <c r="U171" s="36"/>
      <c r="V171" s="12"/>
      <c r="W171" s="12"/>
      <c r="X171" s="12"/>
      <c r="Y171" s="12"/>
      <c r="Z171" s="12"/>
    </row>
    <row r="172" customFormat="false" ht="15.75" hidden="false" customHeight="false" outlineLevel="0" collapsed="false">
      <c r="A172" s="12"/>
      <c r="B172" s="34"/>
      <c r="C172" s="12"/>
      <c r="D172" s="12"/>
      <c r="E172" s="12"/>
      <c r="F172" s="12"/>
      <c r="G172" s="18"/>
      <c r="H172" s="35"/>
      <c r="I172" s="35"/>
      <c r="J172" s="12"/>
      <c r="O172" s="12"/>
      <c r="P172" s="18"/>
      <c r="Q172" s="12"/>
      <c r="R172" s="12"/>
      <c r="S172" s="12"/>
      <c r="T172" s="36"/>
      <c r="U172" s="36"/>
      <c r="V172" s="12"/>
      <c r="W172" s="12"/>
      <c r="X172" s="12"/>
      <c r="Y172" s="12"/>
      <c r="Z172" s="12"/>
    </row>
    <row r="173" customFormat="false" ht="15.75" hidden="false" customHeight="false" outlineLevel="0" collapsed="false">
      <c r="A173" s="12"/>
      <c r="B173" s="34"/>
      <c r="C173" s="12"/>
      <c r="D173" s="12"/>
      <c r="E173" s="12"/>
      <c r="F173" s="12"/>
      <c r="G173" s="18"/>
      <c r="H173" s="35"/>
      <c r="I173" s="35"/>
      <c r="J173" s="12"/>
      <c r="O173" s="12"/>
      <c r="P173" s="18"/>
      <c r="Q173" s="12"/>
      <c r="R173" s="12"/>
      <c r="S173" s="12"/>
      <c r="T173" s="36"/>
      <c r="U173" s="36"/>
      <c r="V173" s="12"/>
      <c r="W173" s="12"/>
      <c r="X173" s="12"/>
      <c r="Y173" s="12"/>
      <c r="Z173" s="12"/>
    </row>
    <row r="174" customFormat="false" ht="15.75" hidden="false" customHeight="false" outlineLevel="0" collapsed="false">
      <c r="A174" s="12"/>
      <c r="B174" s="34"/>
      <c r="C174" s="12"/>
      <c r="D174" s="12"/>
      <c r="E174" s="12"/>
      <c r="F174" s="12"/>
      <c r="G174" s="18"/>
      <c r="H174" s="35"/>
      <c r="I174" s="35"/>
      <c r="J174" s="12"/>
      <c r="O174" s="12"/>
      <c r="P174" s="18"/>
      <c r="Q174" s="12"/>
      <c r="R174" s="12"/>
      <c r="S174" s="12"/>
      <c r="T174" s="36"/>
      <c r="U174" s="36"/>
      <c r="V174" s="12"/>
      <c r="W174" s="12"/>
      <c r="X174" s="12"/>
      <c r="Y174" s="12"/>
      <c r="Z174" s="12"/>
    </row>
    <row r="175" customFormat="false" ht="15.75" hidden="false" customHeight="false" outlineLevel="0" collapsed="false">
      <c r="A175" s="12"/>
      <c r="B175" s="34"/>
      <c r="C175" s="12"/>
      <c r="D175" s="12"/>
      <c r="E175" s="12"/>
      <c r="F175" s="12"/>
      <c r="G175" s="18"/>
      <c r="H175" s="35"/>
      <c r="I175" s="35"/>
      <c r="J175" s="12"/>
      <c r="O175" s="12"/>
      <c r="P175" s="18"/>
      <c r="Q175" s="12"/>
      <c r="R175" s="12"/>
      <c r="S175" s="12"/>
      <c r="T175" s="36"/>
      <c r="U175" s="36"/>
      <c r="V175" s="12"/>
      <c r="W175" s="12"/>
      <c r="X175" s="12"/>
      <c r="Y175" s="12"/>
      <c r="Z175" s="12"/>
    </row>
    <row r="176" customFormat="false" ht="15.75" hidden="false" customHeight="false" outlineLevel="0" collapsed="false">
      <c r="A176" s="12"/>
      <c r="B176" s="34"/>
      <c r="C176" s="12"/>
      <c r="D176" s="12"/>
      <c r="E176" s="12"/>
      <c r="F176" s="12"/>
      <c r="G176" s="18"/>
      <c r="H176" s="35"/>
      <c r="I176" s="35"/>
      <c r="J176" s="12"/>
      <c r="O176" s="12"/>
      <c r="P176" s="18"/>
      <c r="Q176" s="12"/>
      <c r="R176" s="12"/>
      <c r="S176" s="12"/>
      <c r="T176" s="36"/>
      <c r="U176" s="36"/>
      <c r="V176" s="12"/>
      <c r="W176" s="12"/>
      <c r="X176" s="12"/>
      <c r="Y176" s="12"/>
      <c r="Z176" s="12"/>
    </row>
    <row r="177" customFormat="false" ht="15.75" hidden="false" customHeight="false" outlineLevel="0" collapsed="false">
      <c r="A177" s="12"/>
      <c r="B177" s="34"/>
      <c r="C177" s="12"/>
      <c r="D177" s="12"/>
      <c r="E177" s="12"/>
      <c r="F177" s="12"/>
      <c r="G177" s="18"/>
      <c r="H177" s="35"/>
      <c r="I177" s="35"/>
      <c r="J177" s="12"/>
      <c r="O177" s="12"/>
      <c r="P177" s="18"/>
      <c r="Q177" s="12"/>
      <c r="R177" s="12"/>
      <c r="S177" s="12"/>
      <c r="T177" s="36"/>
      <c r="U177" s="36"/>
      <c r="V177" s="12"/>
      <c r="W177" s="12"/>
      <c r="X177" s="12"/>
      <c r="Y177" s="12"/>
      <c r="Z177" s="12"/>
    </row>
    <row r="178" customFormat="false" ht="15.75" hidden="false" customHeight="false" outlineLevel="0" collapsed="false">
      <c r="A178" s="12"/>
      <c r="B178" s="34"/>
      <c r="C178" s="12"/>
      <c r="D178" s="12"/>
      <c r="E178" s="12"/>
      <c r="F178" s="12"/>
      <c r="G178" s="18"/>
      <c r="H178" s="35"/>
      <c r="I178" s="35"/>
      <c r="J178" s="12"/>
      <c r="O178" s="12"/>
      <c r="P178" s="18"/>
      <c r="Q178" s="12"/>
      <c r="R178" s="12"/>
      <c r="S178" s="12"/>
      <c r="T178" s="36"/>
      <c r="U178" s="36"/>
      <c r="V178" s="12"/>
      <c r="W178" s="12"/>
      <c r="X178" s="12"/>
      <c r="Y178" s="12"/>
      <c r="Z178" s="12"/>
    </row>
    <row r="179" customFormat="false" ht="15.75" hidden="false" customHeight="false" outlineLevel="0" collapsed="false">
      <c r="A179" s="12"/>
      <c r="B179" s="34"/>
      <c r="C179" s="12"/>
      <c r="D179" s="12"/>
      <c r="E179" s="12"/>
      <c r="F179" s="12"/>
      <c r="G179" s="18"/>
      <c r="H179" s="35"/>
      <c r="I179" s="35"/>
      <c r="J179" s="12"/>
      <c r="O179" s="12"/>
      <c r="P179" s="18"/>
      <c r="Q179" s="12"/>
      <c r="R179" s="12"/>
      <c r="S179" s="12"/>
      <c r="T179" s="36"/>
      <c r="U179" s="36"/>
      <c r="V179" s="12"/>
      <c r="W179" s="12"/>
      <c r="X179" s="12"/>
      <c r="Y179" s="12"/>
      <c r="Z179" s="12"/>
    </row>
    <row r="180" customFormat="false" ht="15.75" hidden="false" customHeight="false" outlineLevel="0" collapsed="false">
      <c r="A180" s="12"/>
      <c r="B180" s="34"/>
      <c r="C180" s="12"/>
      <c r="D180" s="12"/>
      <c r="E180" s="12"/>
      <c r="F180" s="12"/>
      <c r="G180" s="18"/>
      <c r="H180" s="35"/>
      <c r="I180" s="35"/>
      <c r="J180" s="12"/>
      <c r="O180" s="12"/>
      <c r="P180" s="18"/>
      <c r="Q180" s="12"/>
      <c r="R180" s="12"/>
      <c r="S180" s="12"/>
      <c r="T180" s="36"/>
      <c r="U180" s="36"/>
      <c r="V180" s="12"/>
      <c r="W180" s="12"/>
      <c r="X180" s="12"/>
      <c r="Y180" s="12"/>
      <c r="Z180" s="12"/>
    </row>
    <row r="181" customFormat="false" ht="15.75" hidden="false" customHeight="false" outlineLevel="0" collapsed="false">
      <c r="A181" s="12"/>
      <c r="B181" s="34"/>
      <c r="C181" s="12"/>
      <c r="D181" s="12"/>
      <c r="E181" s="12"/>
      <c r="F181" s="12"/>
      <c r="G181" s="18"/>
      <c r="H181" s="35"/>
      <c r="I181" s="35"/>
      <c r="J181" s="12"/>
      <c r="O181" s="12"/>
      <c r="P181" s="18"/>
      <c r="Q181" s="12"/>
      <c r="R181" s="12"/>
      <c r="S181" s="12"/>
      <c r="T181" s="36"/>
      <c r="U181" s="36"/>
      <c r="V181" s="12"/>
      <c r="W181" s="12"/>
      <c r="X181" s="12"/>
      <c r="Y181" s="12"/>
      <c r="Z181" s="12"/>
    </row>
    <row r="182" customFormat="false" ht="15.75" hidden="false" customHeight="false" outlineLevel="0" collapsed="false">
      <c r="A182" s="12"/>
      <c r="B182" s="34"/>
      <c r="C182" s="12"/>
      <c r="D182" s="12"/>
      <c r="E182" s="12"/>
      <c r="F182" s="12"/>
      <c r="G182" s="18"/>
      <c r="H182" s="35"/>
      <c r="I182" s="35"/>
      <c r="J182" s="12"/>
      <c r="O182" s="12"/>
      <c r="P182" s="18"/>
      <c r="Q182" s="12"/>
      <c r="R182" s="12"/>
      <c r="S182" s="12"/>
      <c r="T182" s="36"/>
      <c r="U182" s="36"/>
      <c r="V182" s="12"/>
      <c r="W182" s="12"/>
      <c r="X182" s="12"/>
      <c r="Y182" s="12"/>
      <c r="Z182" s="12"/>
    </row>
    <row r="183" customFormat="false" ht="15.75" hidden="false" customHeight="false" outlineLevel="0" collapsed="false">
      <c r="A183" s="12"/>
      <c r="B183" s="34"/>
      <c r="C183" s="12"/>
      <c r="D183" s="12"/>
      <c r="E183" s="12"/>
      <c r="F183" s="12"/>
      <c r="G183" s="18"/>
      <c r="H183" s="35"/>
      <c r="I183" s="35"/>
      <c r="J183" s="12"/>
      <c r="O183" s="12"/>
      <c r="P183" s="18"/>
      <c r="Q183" s="12"/>
      <c r="R183" s="12"/>
      <c r="S183" s="12"/>
      <c r="T183" s="36"/>
      <c r="U183" s="36"/>
      <c r="V183" s="12"/>
      <c r="W183" s="12"/>
      <c r="X183" s="12"/>
      <c r="Y183" s="12"/>
      <c r="Z183" s="12"/>
    </row>
    <row r="184" customFormat="false" ht="15.75" hidden="false" customHeight="false" outlineLevel="0" collapsed="false">
      <c r="A184" s="12"/>
      <c r="B184" s="34"/>
      <c r="C184" s="12"/>
      <c r="D184" s="12"/>
      <c r="E184" s="12"/>
      <c r="F184" s="12"/>
      <c r="G184" s="18"/>
      <c r="H184" s="35"/>
      <c r="I184" s="35"/>
      <c r="J184" s="12"/>
      <c r="O184" s="12"/>
      <c r="P184" s="18"/>
      <c r="Q184" s="12"/>
      <c r="R184" s="12"/>
      <c r="S184" s="12"/>
      <c r="T184" s="36"/>
      <c r="U184" s="36"/>
      <c r="V184" s="12"/>
      <c r="W184" s="12"/>
      <c r="X184" s="12"/>
      <c r="Y184" s="12"/>
      <c r="Z184" s="12"/>
    </row>
    <row r="185" customFormat="false" ht="15.75" hidden="false" customHeight="false" outlineLevel="0" collapsed="false">
      <c r="A185" s="12"/>
      <c r="B185" s="34"/>
      <c r="C185" s="12"/>
      <c r="D185" s="12"/>
      <c r="E185" s="12"/>
      <c r="F185" s="12"/>
      <c r="G185" s="18"/>
      <c r="H185" s="35"/>
      <c r="I185" s="35"/>
      <c r="J185" s="12"/>
      <c r="O185" s="12"/>
      <c r="P185" s="18"/>
      <c r="Q185" s="12"/>
      <c r="R185" s="12"/>
      <c r="S185" s="12"/>
      <c r="T185" s="36"/>
      <c r="U185" s="36"/>
      <c r="V185" s="12"/>
      <c r="W185" s="12"/>
      <c r="X185" s="12"/>
      <c r="Y185" s="12"/>
      <c r="Z185" s="12"/>
    </row>
    <row r="186" customFormat="false" ht="15.75" hidden="false" customHeight="false" outlineLevel="0" collapsed="false">
      <c r="A186" s="12"/>
      <c r="B186" s="34"/>
      <c r="C186" s="12"/>
      <c r="D186" s="12"/>
      <c r="E186" s="12"/>
      <c r="F186" s="12"/>
      <c r="G186" s="18"/>
      <c r="H186" s="35"/>
      <c r="I186" s="35"/>
      <c r="J186" s="12"/>
      <c r="O186" s="12"/>
      <c r="P186" s="18"/>
      <c r="Q186" s="12"/>
      <c r="R186" s="12"/>
      <c r="S186" s="12"/>
      <c r="T186" s="36"/>
      <c r="U186" s="36"/>
      <c r="V186" s="12"/>
      <c r="W186" s="12"/>
      <c r="X186" s="12"/>
      <c r="Y186" s="12"/>
      <c r="Z186" s="12"/>
    </row>
    <row r="187" customFormat="false" ht="15.75" hidden="false" customHeight="false" outlineLevel="0" collapsed="false">
      <c r="A187" s="12"/>
      <c r="B187" s="34"/>
      <c r="C187" s="12"/>
      <c r="D187" s="12"/>
      <c r="E187" s="12"/>
      <c r="F187" s="12"/>
      <c r="G187" s="18"/>
      <c r="H187" s="35"/>
      <c r="I187" s="35"/>
      <c r="J187" s="12"/>
      <c r="O187" s="12"/>
      <c r="P187" s="18"/>
      <c r="Q187" s="12"/>
      <c r="R187" s="12"/>
      <c r="S187" s="12"/>
      <c r="T187" s="36"/>
      <c r="U187" s="36"/>
      <c r="V187" s="12"/>
      <c r="W187" s="12"/>
      <c r="X187" s="12"/>
      <c r="Y187" s="12"/>
      <c r="Z187" s="12"/>
    </row>
    <row r="188" customFormat="false" ht="15.75" hidden="false" customHeight="false" outlineLevel="0" collapsed="false">
      <c r="A188" s="12"/>
      <c r="B188" s="34"/>
      <c r="C188" s="12"/>
      <c r="D188" s="12"/>
      <c r="E188" s="12"/>
      <c r="F188" s="12"/>
      <c r="G188" s="18"/>
      <c r="H188" s="35"/>
      <c r="I188" s="35"/>
      <c r="J188" s="12"/>
      <c r="O188" s="12"/>
      <c r="P188" s="18"/>
      <c r="Q188" s="12"/>
      <c r="R188" s="12"/>
      <c r="S188" s="12"/>
      <c r="T188" s="36"/>
      <c r="U188" s="36"/>
      <c r="V188" s="12"/>
      <c r="W188" s="12"/>
      <c r="X188" s="12"/>
      <c r="Y188" s="12"/>
      <c r="Z188" s="12"/>
    </row>
    <row r="189" customFormat="false" ht="15.75" hidden="false" customHeight="false" outlineLevel="0" collapsed="false">
      <c r="A189" s="12"/>
      <c r="B189" s="34"/>
      <c r="C189" s="12"/>
      <c r="D189" s="12"/>
      <c r="E189" s="12"/>
      <c r="F189" s="12"/>
      <c r="G189" s="18"/>
      <c r="H189" s="35"/>
      <c r="I189" s="35"/>
      <c r="J189" s="12"/>
      <c r="O189" s="12"/>
      <c r="P189" s="18"/>
      <c r="Q189" s="12"/>
      <c r="R189" s="12"/>
      <c r="S189" s="12"/>
      <c r="T189" s="36"/>
      <c r="U189" s="36"/>
      <c r="V189" s="12"/>
      <c r="W189" s="12"/>
      <c r="X189" s="12"/>
      <c r="Y189" s="12"/>
      <c r="Z189" s="12"/>
    </row>
    <row r="190" customFormat="false" ht="15.75" hidden="false" customHeight="false" outlineLevel="0" collapsed="false">
      <c r="A190" s="12"/>
      <c r="B190" s="34"/>
      <c r="C190" s="12"/>
      <c r="D190" s="12"/>
      <c r="E190" s="12"/>
      <c r="F190" s="12"/>
      <c r="G190" s="18"/>
      <c r="H190" s="35"/>
      <c r="I190" s="35"/>
      <c r="J190" s="12"/>
      <c r="O190" s="12"/>
      <c r="P190" s="18"/>
      <c r="Q190" s="12"/>
      <c r="R190" s="12"/>
      <c r="S190" s="12"/>
      <c r="T190" s="36"/>
      <c r="U190" s="36"/>
      <c r="V190" s="12"/>
      <c r="W190" s="12"/>
      <c r="X190" s="12"/>
      <c r="Y190" s="12"/>
      <c r="Z190" s="12"/>
    </row>
    <row r="191" customFormat="false" ht="15.75" hidden="false" customHeight="false" outlineLevel="0" collapsed="false">
      <c r="A191" s="12"/>
      <c r="B191" s="34"/>
      <c r="C191" s="12"/>
      <c r="D191" s="12"/>
      <c r="E191" s="12"/>
      <c r="F191" s="12"/>
      <c r="G191" s="18"/>
      <c r="H191" s="35"/>
      <c r="I191" s="35"/>
      <c r="J191" s="12"/>
      <c r="O191" s="12"/>
      <c r="P191" s="18"/>
      <c r="Q191" s="12"/>
      <c r="R191" s="12"/>
      <c r="S191" s="12"/>
      <c r="T191" s="36"/>
      <c r="U191" s="36"/>
      <c r="V191" s="12"/>
      <c r="W191" s="12"/>
      <c r="X191" s="12"/>
      <c r="Y191" s="12"/>
      <c r="Z191" s="12"/>
    </row>
    <row r="192" customFormat="false" ht="15.75" hidden="false" customHeight="false" outlineLevel="0" collapsed="false">
      <c r="A192" s="12"/>
      <c r="B192" s="34"/>
      <c r="C192" s="12"/>
      <c r="D192" s="12"/>
      <c r="E192" s="12"/>
      <c r="F192" s="12"/>
      <c r="G192" s="18"/>
      <c r="H192" s="35"/>
      <c r="I192" s="35"/>
      <c r="J192" s="12"/>
      <c r="O192" s="12"/>
      <c r="P192" s="18"/>
      <c r="Q192" s="12"/>
      <c r="R192" s="12"/>
      <c r="S192" s="12"/>
      <c r="T192" s="36"/>
      <c r="U192" s="36"/>
      <c r="V192" s="12"/>
      <c r="W192" s="12"/>
      <c r="X192" s="12"/>
      <c r="Y192" s="12"/>
      <c r="Z192" s="12"/>
    </row>
    <row r="193" customFormat="false" ht="15.75" hidden="false" customHeight="false" outlineLevel="0" collapsed="false">
      <c r="A193" s="12"/>
      <c r="B193" s="34"/>
      <c r="C193" s="12"/>
      <c r="D193" s="12"/>
      <c r="E193" s="12"/>
      <c r="F193" s="12"/>
      <c r="G193" s="18"/>
      <c r="H193" s="35"/>
      <c r="I193" s="35"/>
      <c r="J193" s="12"/>
      <c r="O193" s="12"/>
      <c r="P193" s="18"/>
      <c r="Q193" s="12"/>
      <c r="R193" s="12"/>
      <c r="S193" s="12"/>
      <c r="T193" s="36"/>
      <c r="U193" s="36"/>
      <c r="V193" s="12"/>
      <c r="W193" s="12"/>
      <c r="X193" s="12"/>
      <c r="Y193" s="12"/>
      <c r="Z193" s="12"/>
    </row>
    <row r="194" customFormat="false" ht="15.75" hidden="false" customHeight="false" outlineLevel="0" collapsed="false">
      <c r="A194" s="12"/>
      <c r="B194" s="34"/>
      <c r="C194" s="12"/>
      <c r="D194" s="12"/>
      <c r="E194" s="12"/>
      <c r="F194" s="12"/>
      <c r="G194" s="18"/>
      <c r="H194" s="35"/>
      <c r="I194" s="35"/>
      <c r="J194" s="12"/>
      <c r="O194" s="12"/>
      <c r="P194" s="18"/>
      <c r="Q194" s="12"/>
      <c r="R194" s="12"/>
      <c r="S194" s="12"/>
      <c r="T194" s="36"/>
      <c r="U194" s="36"/>
      <c r="V194" s="12"/>
      <c r="W194" s="12"/>
      <c r="X194" s="12"/>
      <c r="Y194" s="12"/>
      <c r="Z194" s="12"/>
    </row>
    <row r="195" customFormat="false" ht="15.75" hidden="false" customHeight="false" outlineLevel="0" collapsed="false">
      <c r="A195" s="12"/>
      <c r="B195" s="34"/>
      <c r="C195" s="12"/>
      <c r="D195" s="12"/>
      <c r="E195" s="12"/>
      <c r="F195" s="12"/>
      <c r="G195" s="18"/>
      <c r="H195" s="35"/>
      <c r="I195" s="35"/>
      <c r="J195" s="12"/>
      <c r="O195" s="12"/>
      <c r="P195" s="18"/>
      <c r="Q195" s="12"/>
      <c r="R195" s="12"/>
      <c r="S195" s="12"/>
      <c r="T195" s="36"/>
      <c r="U195" s="36"/>
      <c r="V195" s="12"/>
      <c r="W195" s="12"/>
      <c r="X195" s="12"/>
      <c r="Y195" s="12"/>
      <c r="Z195" s="12"/>
    </row>
    <row r="196" customFormat="false" ht="15.75" hidden="false" customHeight="false" outlineLevel="0" collapsed="false">
      <c r="A196" s="12"/>
      <c r="B196" s="34"/>
      <c r="C196" s="12"/>
      <c r="D196" s="12"/>
      <c r="E196" s="12"/>
      <c r="F196" s="12"/>
      <c r="G196" s="18"/>
      <c r="H196" s="35"/>
      <c r="I196" s="35"/>
      <c r="J196" s="12"/>
      <c r="O196" s="12"/>
      <c r="P196" s="18"/>
      <c r="Q196" s="12"/>
      <c r="R196" s="12"/>
      <c r="S196" s="12"/>
      <c r="T196" s="36"/>
      <c r="U196" s="36"/>
      <c r="V196" s="12"/>
      <c r="W196" s="12"/>
      <c r="X196" s="12"/>
      <c r="Y196" s="12"/>
      <c r="Z196" s="12"/>
    </row>
    <row r="197" customFormat="false" ht="15.75" hidden="false" customHeight="false" outlineLevel="0" collapsed="false">
      <c r="A197" s="12"/>
      <c r="B197" s="34"/>
      <c r="C197" s="12"/>
      <c r="D197" s="12"/>
      <c r="E197" s="12"/>
      <c r="F197" s="12"/>
      <c r="G197" s="18"/>
      <c r="H197" s="35"/>
      <c r="I197" s="35"/>
      <c r="J197" s="12"/>
      <c r="O197" s="12"/>
      <c r="P197" s="18"/>
      <c r="Q197" s="12"/>
      <c r="R197" s="12"/>
      <c r="S197" s="12"/>
      <c r="T197" s="36"/>
      <c r="U197" s="36"/>
      <c r="V197" s="12"/>
      <c r="W197" s="12"/>
      <c r="X197" s="12"/>
      <c r="Y197" s="12"/>
      <c r="Z197" s="12"/>
    </row>
    <row r="198" customFormat="false" ht="15.75" hidden="false" customHeight="false" outlineLevel="0" collapsed="false">
      <c r="A198" s="12"/>
      <c r="B198" s="34"/>
      <c r="C198" s="12"/>
      <c r="D198" s="12"/>
      <c r="E198" s="12"/>
      <c r="F198" s="12"/>
      <c r="G198" s="18"/>
      <c r="H198" s="35"/>
      <c r="I198" s="35"/>
      <c r="J198" s="12"/>
      <c r="O198" s="12"/>
      <c r="P198" s="18"/>
      <c r="Q198" s="12"/>
      <c r="R198" s="12"/>
      <c r="S198" s="12"/>
      <c r="T198" s="36"/>
      <c r="U198" s="36"/>
      <c r="V198" s="12"/>
      <c r="W198" s="12"/>
      <c r="X198" s="12"/>
      <c r="Y198" s="12"/>
      <c r="Z198" s="12"/>
    </row>
    <row r="199" customFormat="false" ht="15.75" hidden="false" customHeight="false" outlineLevel="0" collapsed="false">
      <c r="A199" s="12"/>
      <c r="B199" s="34"/>
      <c r="C199" s="12"/>
      <c r="D199" s="12"/>
      <c r="E199" s="12"/>
      <c r="F199" s="12"/>
      <c r="G199" s="18"/>
      <c r="H199" s="35"/>
      <c r="I199" s="35"/>
      <c r="J199" s="12"/>
      <c r="O199" s="12"/>
      <c r="P199" s="18"/>
      <c r="Q199" s="12"/>
      <c r="R199" s="12"/>
      <c r="S199" s="12"/>
      <c r="T199" s="36"/>
      <c r="U199" s="36"/>
      <c r="V199" s="12"/>
      <c r="W199" s="12"/>
      <c r="X199" s="12"/>
      <c r="Y199" s="12"/>
      <c r="Z199" s="12"/>
    </row>
    <row r="200" customFormat="false" ht="15.75" hidden="false" customHeight="false" outlineLevel="0" collapsed="false">
      <c r="A200" s="12"/>
      <c r="B200" s="34"/>
      <c r="C200" s="12"/>
      <c r="D200" s="12"/>
      <c r="E200" s="12"/>
      <c r="F200" s="12"/>
      <c r="G200" s="18"/>
      <c r="H200" s="35"/>
      <c r="I200" s="35"/>
      <c r="J200" s="12"/>
      <c r="O200" s="12"/>
      <c r="P200" s="18"/>
      <c r="Q200" s="12"/>
      <c r="R200" s="12"/>
      <c r="S200" s="12"/>
      <c r="T200" s="36"/>
      <c r="U200" s="36"/>
      <c r="V200" s="12"/>
      <c r="W200" s="12"/>
      <c r="X200" s="12"/>
      <c r="Y200" s="12"/>
      <c r="Z200" s="12"/>
    </row>
    <row r="201" customFormat="false" ht="15.75" hidden="false" customHeight="false" outlineLevel="0" collapsed="false">
      <c r="A201" s="12"/>
      <c r="B201" s="34"/>
      <c r="C201" s="12"/>
      <c r="D201" s="12"/>
      <c r="E201" s="12"/>
      <c r="F201" s="12"/>
      <c r="G201" s="18"/>
      <c r="H201" s="35"/>
      <c r="I201" s="35"/>
      <c r="J201" s="12"/>
      <c r="O201" s="12"/>
      <c r="P201" s="18"/>
      <c r="Q201" s="12"/>
      <c r="R201" s="12"/>
      <c r="S201" s="12"/>
      <c r="T201" s="36"/>
      <c r="U201" s="36"/>
      <c r="V201" s="12"/>
      <c r="W201" s="12"/>
      <c r="X201" s="12"/>
      <c r="Y201" s="12"/>
      <c r="Z201" s="12"/>
    </row>
    <row r="202" customFormat="false" ht="15.75" hidden="false" customHeight="false" outlineLevel="0" collapsed="false">
      <c r="A202" s="12"/>
      <c r="B202" s="34"/>
      <c r="C202" s="12"/>
      <c r="D202" s="12"/>
      <c r="E202" s="12"/>
      <c r="F202" s="12"/>
      <c r="G202" s="18"/>
      <c r="H202" s="35"/>
      <c r="I202" s="35"/>
      <c r="J202" s="12"/>
      <c r="O202" s="12"/>
      <c r="P202" s="18"/>
      <c r="Q202" s="12"/>
      <c r="R202" s="12"/>
      <c r="S202" s="12"/>
      <c r="T202" s="36"/>
      <c r="U202" s="36"/>
      <c r="V202" s="12"/>
      <c r="W202" s="12"/>
      <c r="X202" s="12"/>
      <c r="Y202" s="12"/>
      <c r="Z202" s="12"/>
    </row>
    <row r="203" customFormat="false" ht="15.75" hidden="false" customHeight="false" outlineLevel="0" collapsed="false">
      <c r="A203" s="12"/>
      <c r="B203" s="34"/>
      <c r="C203" s="12"/>
      <c r="D203" s="12"/>
      <c r="E203" s="12"/>
      <c r="F203" s="12"/>
      <c r="G203" s="18"/>
      <c r="H203" s="35"/>
      <c r="I203" s="35"/>
      <c r="J203" s="12"/>
      <c r="O203" s="12"/>
      <c r="P203" s="18"/>
      <c r="Q203" s="12"/>
      <c r="R203" s="12"/>
      <c r="S203" s="12"/>
      <c r="T203" s="36"/>
      <c r="U203" s="36"/>
      <c r="V203" s="12"/>
      <c r="W203" s="12"/>
      <c r="X203" s="12"/>
      <c r="Y203" s="12"/>
      <c r="Z203" s="12"/>
    </row>
    <row r="204" customFormat="false" ht="15.75" hidden="false" customHeight="false" outlineLevel="0" collapsed="false">
      <c r="A204" s="12"/>
      <c r="B204" s="34"/>
      <c r="C204" s="12"/>
      <c r="D204" s="12"/>
      <c r="E204" s="12"/>
      <c r="F204" s="12"/>
      <c r="G204" s="18"/>
      <c r="H204" s="35"/>
      <c r="I204" s="35"/>
      <c r="J204" s="12"/>
      <c r="O204" s="12"/>
      <c r="P204" s="18"/>
      <c r="Q204" s="12"/>
      <c r="R204" s="12"/>
      <c r="S204" s="12"/>
      <c r="T204" s="36"/>
      <c r="U204" s="36"/>
      <c r="V204" s="12"/>
      <c r="W204" s="12"/>
      <c r="X204" s="12"/>
      <c r="Y204" s="12"/>
      <c r="Z204" s="12"/>
    </row>
    <row r="205" customFormat="false" ht="15.75" hidden="false" customHeight="false" outlineLevel="0" collapsed="false">
      <c r="A205" s="12"/>
      <c r="B205" s="34"/>
      <c r="C205" s="12"/>
      <c r="D205" s="12"/>
      <c r="E205" s="12"/>
      <c r="F205" s="12"/>
      <c r="G205" s="18"/>
      <c r="H205" s="35"/>
      <c r="I205" s="35"/>
      <c r="J205" s="12"/>
      <c r="O205" s="12"/>
      <c r="P205" s="18"/>
      <c r="Q205" s="12"/>
      <c r="R205" s="12"/>
      <c r="S205" s="12"/>
      <c r="T205" s="36"/>
      <c r="U205" s="36"/>
      <c r="V205" s="12"/>
      <c r="W205" s="12"/>
      <c r="X205" s="12"/>
      <c r="Y205" s="12"/>
      <c r="Z205" s="12"/>
    </row>
    <row r="206" customFormat="false" ht="15.75" hidden="false" customHeight="false" outlineLevel="0" collapsed="false">
      <c r="A206" s="12"/>
      <c r="B206" s="34"/>
      <c r="C206" s="12"/>
      <c r="D206" s="12"/>
      <c r="E206" s="12"/>
      <c r="F206" s="12"/>
      <c r="G206" s="18"/>
      <c r="H206" s="35"/>
      <c r="I206" s="35"/>
      <c r="J206" s="12"/>
      <c r="O206" s="12"/>
      <c r="P206" s="18"/>
      <c r="Q206" s="12"/>
      <c r="R206" s="12"/>
      <c r="S206" s="12"/>
      <c r="T206" s="36"/>
      <c r="U206" s="36"/>
      <c r="V206" s="12"/>
      <c r="W206" s="12"/>
      <c r="X206" s="12"/>
      <c r="Y206" s="12"/>
      <c r="Z206" s="12"/>
    </row>
    <row r="207" customFormat="false" ht="15.75" hidden="false" customHeight="false" outlineLevel="0" collapsed="false">
      <c r="A207" s="12"/>
      <c r="B207" s="34"/>
      <c r="C207" s="12"/>
      <c r="D207" s="12"/>
      <c r="E207" s="12"/>
      <c r="F207" s="12"/>
      <c r="G207" s="18"/>
      <c r="H207" s="35"/>
      <c r="I207" s="35"/>
      <c r="J207" s="12"/>
      <c r="O207" s="12"/>
      <c r="P207" s="18"/>
      <c r="Q207" s="12"/>
      <c r="R207" s="12"/>
      <c r="S207" s="12"/>
      <c r="T207" s="36"/>
      <c r="U207" s="36"/>
      <c r="V207" s="12"/>
      <c r="W207" s="12"/>
      <c r="X207" s="12"/>
      <c r="Y207" s="12"/>
      <c r="Z207" s="12"/>
    </row>
    <row r="208" customFormat="false" ht="15.75" hidden="false" customHeight="false" outlineLevel="0" collapsed="false">
      <c r="A208" s="12"/>
      <c r="B208" s="34"/>
      <c r="C208" s="12"/>
      <c r="D208" s="12"/>
      <c r="E208" s="12"/>
      <c r="F208" s="12"/>
      <c r="G208" s="18"/>
      <c r="H208" s="35"/>
      <c r="I208" s="35"/>
      <c r="J208" s="12"/>
      <c r="O208" s="12"/>
      <c r="P208" s="18"/>
      <c r="Q208" s="12"/>
      <c r="R208" s="12"/>
      <c r="S208" s="12"/>
      <c r="T208" s="36"/>
      <c r="U208" s="36"/>
      <c r="V208" s="12"/>
      <c r="W208" s="12"/>
      <c r="X208" s="12"/>
      <c r="Y208" s="12"/>
      <c r="Z208" s="12"/>
    </row>
    <row r="209" customFormat="false" ht="15.75" hidden="false" customHeight="false" outlineLevel="0" collapsed="false">
      <c r="A209" s="12"/>
      <c r="B209" s="34"/>
      <c r="C209" s="12"/>
      <c r="D209" s="12"/>
      <c r="E209" s="12"/>
      <c r="F209" s="12"/>
      <c r="G209" s="18"/>
      <c r="H209" s="35"/>
      <c r="I209" s="35"/>
      <c r="J209" s="12"/>
      <c r="O209" s="12"/>
      <c r="P209" s="18"/>
      <c r="Q209" s="12"/>
      <c r="R209" s="12"/>
      <c r="S209" s="12"/>
      <c r="T209" s="36"/>
      <c r="U209" s="36"/>
      <c r="V209" s="12"/>
      <c r="W209" s="12"/>
      <c r="X209" s="12"/>
      <c r="Y209" s="12"/>
      <c r="Z209" s="12"/>
    </row>
    <row r="210" customFormat="false" ht="15.75" hidden="false" customHeight="false" outlineLevel="0" collapsed="false">
      <c r="A210" s="12"/>
      <c r="B210" s="34"/>
      <c r="C210" s="12"/>
      <c r="D210" s="12"/>
      <c r="E210" s="12"/>
      <c r="F210" s="12"/>
      <c r="G210" s="18"/>
      <c r="H210" s="35"/>
      <c r="I210" s="35"/>
      <c r="J210" s="12"/>
      <c r="O210" s="12"/>
      <c r="P210" s="18"/>
      <c r="Q210" s="12"/>
      <c r="R210" s="12"/>
      <c r="S210" s="12"/>
      <c r="T210" s="36"/>
      <c r="U210" s="36"/>
      <c r="V210" s="12"/>
      <c r="W210" s="12"/>
      <c r="X210" s="12"/>
      <c r="Y210" s="12"/>
      <c r="Z210" s="12"/>
    </row>
    <row r="211" customFormat="false" ht="15.75" hidden="false" customHeight="false" outlineLevel="0" collapsed="false">
      <c r="A211" s="12"/>
      <c r="B211" s="34"/>
      <c r="C211" s="12"/>
      <c r="D211" s="12"/>
      <c r="E211" s="12"/>
      <c r="F211" s="12"/>
      <c r="G211" s="18"/>
      <c r="H211" s="35"/>
      <c r="I211" s="35"/>
      <c r="J211" s="12"/>
      <c r="O211" s="12"/>
      <c r="P211" s="18"/>
      <c r="Q211" s="12"/>
      <c r="R211" s="12"/>
      <c r="S211" s="12"/>
      <c r="T211" s="36"/>
      <c r="U211" s="36"/>
      <c r="V211" s="12"/>
      <c r="W211" s="12"/>
      <c r="X211" s="12"/>
      <c r="Y211" s="12"/>
      <c r="Z211" s="12"/>
    </row>
    <row r="212" customFormat="false" ht="15.75" hidden="false" customHeight="false" outlineLevel="0" collapsed="false">
      <c r="A212" s="12"/>
      <c r="B212" s="34"/>
      <c r="C212" s="12"/>
      <c r="D212" s="12"/>
      <c r="E212" s="12"/>
      <c r="F212" s="12"/>
      <c r="G212" s="18"/>
      <c r="H212" s="35"/>
      <c r="I212" s="35"/>
      <c r="J212" s="12"/>
      <c r="O212" s="12"/>
      <c r="P212" s="18"/>
      <c r="Q212" s="12"/>
      <c r="R212" s="12"/>
      <c r="S212" s="12"/>
      <c r="T212" s="36"/>
      <c r="U212" s="36"/>
      <c r="V212" s="12"/>
      <c r="W212" s="12"/>
      <c r="X212" s="12"/>
      <c r="Y212" s="12"/>
      <c r="Z212" s="12"/>
    </row>
    <row r="213" customFormat="false" ht="15.75" hidden="false" customHeight="false" outlineLevel="0" collapsed="false">
      <c r="A213" s="12"/>
      <c r="B213" s="34"/>
      <c r="C213" s="12"/>
      <c r="D213" s="12"/>
      <c r="E213" s="12"/>
      <c r="F213" s="12"/>
      <c r="G213" s="18"/>
      <c r="H213" s="35"/>
      <c r="I213" s="35"/>
      <c r="J213" s="12"/>
      <c r="O213" s="12"/>
      <c r="P213" s="18"/>
      <c r="Q213" s="12"/>
      <c r="R213" s="12"/>
      <c r="S213" s="12"/>
      <c r="T213" s="36"/>
      <c r="U213" s="36"/>
      <c r="V213" s="12"/>
      <c r="W213" s="12"/>
      <c r="X213" s="12"/>
      <c r="Y213" s="12"/>
      <c r="Z213" s="12"/>
    </row>
    <row r="214" customFormat="false" ht="15.75" hidden="false" customHeight="false" outlineLevel="0" collapsed="false">
      <c r="A214" s="12"/>
      <c r="B214" s="34"/>
      <c r="C214" s="12"/>
      <c r="D214" s="12"/>
      <c r="E214" s="12"/>
      <c r="F214" s="12"/>
      <c r="G214" s="18"/>
      <c r="H214" s="35"/>
      <c r="I214" s="35"/>
      <c r="J214" s="12"/>
      <c r="O214" s="12"/>
      <c r="P214" s="18"/>
      <c r="Q214" s="12"/>
      <c r="R214" s="12"/>
      <c r="S214" s="12"/>
      <c r="T214" s="36"/>
      <c r="U214" s="36"/>
      <c r="V214" s="12"/>
      <c r="W214" s="12"/>
      <c r="X214" s="12"/>
      <c r="Y214" s="12"/>
      <c r="Z214" s="12"/>
    </row>
    <row r="215" customFormat="false" ht="15.75" hidden="false" customHeight="false" outlineLevel="0" collapsed="false">
      <c r="A215" s="12"/>
      <c r="B215" s="34"/>
      <c r="C215" s="12"/>
      <c r="D215" s="12"/>
      <c r="E215" s="12"/>
      <c r="F215" s="12"/>
      <c r="G215" s="18"/>
      <c r="H215" s="35"/>
      <c r="I215" s="35"/>
      <c r="J215" s="12"/>
      <c r="O215" s="12"/>
      <c r="P215" s="18"/>
      <c r="Q215" s="12"/>
      <c r="R215" s="12"/>
      <c r="S215" s="12"/>
      <c r="T215" s="36"/>
      <c r="U215" s="36"/>
      <c r="V215" s="12"/>
      <c r="W215" s="12"/>
      <c r="X215" s="12"/>
      <c r="Y215" s="12"/>
      <c r="Z215" s="12"/>
    </row>
    <row r="216" customFormat="false" ht="15.75" hidden="false" customHeight="false" outlineLevel="0" collapsed="false">
      <c r="A216" s="12"/>
      <c r="B216" s="34"/>
      <c r="C216" s="12"/>
      <c r="D216" s="12"/>
      <c r="E216" s="12"/>
      <c r="F216" s="12"/>
      <c r="G216" s="18"/>
      <c r="H216" s="35"/>
      <c r="I216" s="35"/>
      <c r="J216" s="12"/>
      <c r="O216" s="12"/>
      <c r="P216" s="18"/>
      <c r="Q216" s="12"/>
      <c r="R216" s="12"/>
      <c r="S216" s="12"/>
      <c r="T216" s="36"/>
      <c r="U216" s="36"/>
      <c r="V216" s="12"/>
      <c r="W216" s="12"/>
      <c r="X216" s="12"/>
      <c r="Y216" s="12"/>
      <c r="Z216" s="12"/>
    </row>
    <row r="217" customFormat="false" ht="15.75" hidden="false" customHeight="false" outlineLevel="0" collapsed="false">
      <c r="A217" s="12"/>
      <c r="B217" s="34"/>
      <c r="C217" s="12"/>
      <c r="D217" s="12"/>
      <c r="E217" s="12"/>
      <c r="F217" s="12"/>
      <c r="G217" s="18"/>
      <c r="H217" s="35"/>
      <c r="I217" s="35"/>
      <c r="J217" s="12"/>
      <c r="O217" s="12"/>
      <c r="P217" s="18"/>
      <c r="Q217" s="12"/>
      <c r="R217" s="12"/>
      <c r="S217" s="12"/>
      <c r="T217" s="36"/>
      <c r="U217" s="36"/>
      <c r="V217" s="12"/>
      <c r="W217" s="12"/>
      <c r="X217" s="12"/>
      <c r="Y217" s="12"/>
      <c r="Z217" s="12"/>
    </row>
    <row r="218" customFormat="false" ht="15.75" hidden="false" customHeight="false" outlineLevel="0" collapsed="false">
      <c r="A218" s="12"/>
      <c r="B218" s="34"/>
      <c r="C218" s="12"/>
      <c r="D218" s="12"/>
      <c r="E218" s="12"/>
      <c r="F218" s="12"/>
      <c r="G218" s="18"/>
      <c r="H218" s="35"/>
      <c r="I218" s="35"/>
      <c r="J218" s="12"/>
      <c r="O218" s="12"/>
      <c r="P218" s="18"/>
      <c r="Q218" s="12"/>
      <c r="R218" s="12"/>
      <c r="S218" s="12"/>
      <c r="T218" s="36"/>
      <c r="U218" s="36"/>
      <c r="V218" s="12"/>
      <c r="W218" s="12"/>
      <c r="X218" s="12"/>
      <c r="Y218" s="12"/>
      <c r="Z218" s="12"/>
    </row>
    <row r="219" customFormat="false" ht="15.75" hidden="false" customHeight="false" outlineLevel="0" collapsed="false">
      <c r="A219" s="12"/>
      <c r="B219" s="34"/>
      <c r="C219" s="12"/>
      <c r="D219" s="12"/>
      <c r="E219" s="12"/>
      <c r="F219" s="12"/>
      <c r="G219" s="18"/>
      <c r="H219" s="35"/>
      <c r="I219" s="35"/>
      <c r="J219" s="12"/>
      <c r="O219" s="12"/>
      <c r="P219" s="18"/>
      <c r="Q219" s="12"/>
      <c r="R219" s="12"/>
      <c r="S219" s="12"/>
      <c r="T219" s="36"/>
      <c r="U219" s="36"/>
      <c r="V219" s="12"/>
      <c r="W219" s="12"/>
      <c r="X219" s="12"/>
      <c r="Y219" s="12"/>
      <c r="Z219" s="12"/>
    </row>
    <row r="220" customFormat="false" ht="15.75" hidden="false" customHeight="false" outlineLevel="0" collapsed="false">
      <c r="A220" s="12"/>
      <c r="B220" s="34"/>
      <c r="C220" s="12"/>
      <c r="D220" s="12"/>
      <c r="E220" s="12"/>
      <c r="F220" s="12"/>
      <c r="G220" s="18"/>
      <c r="H220" s="35"/>
      <c r="I220" s="35"/>
      <c r="J220" s="12"/>
      <c r="O220" s="12"/>
      <c r="P220" s="18"/>
      <c r="Q220" s="12"/>
      <c r="R220" s="12"/>
      <c r="S220" s="12"/>
      <c r="T220" s="36"/>
      <c r="U220" s="36"/>
      <c r="V220" s="12"/>
      <c r="W220" s="12"/>
      <c r="X220" s="12"/>
      <c r="Y220" s="12"/>
      <c r="Z220" s="12"/>
    </row>
    <row r="221" customFormat="false" ht="15.75" hidden="false" customHeight="false" outlineLevel="0" collapsed="false">
      <c r="A221" s="12"/>
      <c r="B221" s="34"/>
      <c r="C221" s="12"/>
      <c r="D221" s="12"/>
      <c r="E221" s="12"/>
      <c r="F221" s="12"/>
      <c r="G221" s="18"/>
      <c r="H221" s="35"/>
      <c r="I221" s="35"/>
      <c r="J221" s="12"/>
      <c r="O221" s="12"/>
      <c r="P221" s="18"/>
      <c r="Q221" s="12"/>
      <c r="R221" s="12"/>
      <c r="S221" s="12"/>
      <c r="T221" s="36"/>
      <c r="U221" s="36"/>
      <c r="V221" s="12"/>
      <c r="W221" s="12"/>
      <c r="X221" s="12"/>
      <c r="Y221" s="12"/>
      <c r="Z221" s="12"/>
    </row>
    <row r="222" customFormat="false" ht="15.75" hidden="false" customHeight="false" outlineLevel="0" collapsed="false">
      <c r="A222" s="12"/>
      <c r="B222" s="34"/>
      <c r="C222" s="12"/>
      <c r="D222" s="12"/>
      <c r="E222" s="12"/>
      <c r="F222" s="12"/>
      <c r="G222" s="18"/>
      <c r="H222" s="35"/>
      <c r="I222" s="35"/>
      <c r="J222" s="12"/>
      <c r="O222" s="12"/>
      <c r="P222" s="18"/>
      <c r="Q222" s="12"/>
      <c r="R222" s="12"/>
      <c r="S222" s="12"/>
      <c r="T222" s="36"/>
      <c r="U222" s="36"/>
      <c r="V222" s="12"/>
      <c r="W222" s="12"/>
      <c r="X222" s="12"/>
      <c r="Y222" s="12"/>
      <c r="Z222" s="12"/>
    </row>
    <row r="223" customFormat="false" ht="15.75" hidden="false" customHeight="false" outlineLevel="0" collapsed="false">
      <c r="A223" s="12"/>
      <c r="B223" s="34"/>
      <c r="C223" s="12"/>
      <c r="D223" s="12"/>
      <c r="E223" s="12"/>
      <c r="F223" s="12"/>
      <c r="G223" s="18"/>
      <c r="H223" s="35"/>
      <c r="I223" s="35"/>
      <c r="J223" s="12"/>
      <c r="O223" s="12"/>
      <c r="P223" s="18"/>
      <c r="Q223" s="12"/>
      <c r="R223" s="12"/>
      <c r="S223" s="12"/>
      <c r="T223" s="36"/>
      <c r="U223" s="36"/>
      <c r="V223" s="12"/>
      <c r="W223" s="12"/>
      <c r="X223" s="12"/>
      <c r="Y223" s="12"/>
      <c r="Z223" s="12"/>
    </row>
    <row r="224" customFormat="false" ht="15.75" hidden="false" customHeight="false" outlineLevel="0" collapsed="false">
      <c r="A224" s="12"/>
      <c r="B224" s="34"/>
      <c r="C224" s="12"/>
      <c r="D224" s="12"/>
      <c r="E224" s="12"/>
      <c r="F224" s="12"/>
      <c r="G224" s="18"/>
      <c r="H224" s="35"/>
      <c r="I224" s="35"/>
      <c r="J224" s="12"/>
      <c r="O224" s="12"/>
      <c r="P224" s="18"/>
      <c r="Q224" s="12"/>
      <c r="R224" s="12"/>
      <c r="S224" s="12"/>
      <c r="T224" s="36"/>
      <c r="U224" s="36"/>
      <c r="V224" s="12"/>
      <c r="W224" s="12"/>
      <c r="X224" s="12"/>
      <c r="Y224" s="12"/>
      <c r="Z224" s="12"/>
    </row>
    <row r="225" customFormat="false" ht="15.75" hidden="false" customHeight="false" outlineLevel="0" collapsed="false">
      <c r="A225" s="12"/>
      <c r="B225" s="34"/>
      <c r="C225" s="12"/>
      <c r="D225" s="12"/>
      <c r="E225" s="12"/>
      <c r="F225" s="12"/>
      <c r="G225" s="18"/>
      <c r="H225" s="35"/>
      <c r="I225" s="35"/>
      <c r="J225" s="12"/>
      <c r="O225" s="12"/>
      <c r="P225" s="18"/>
      <c r="Q225" s="12"/>
      <c r="R225" s="12"/>
      <c r="S225" s="12"/>
      <c r="T225" s="36"/>
      <c r="U225" s="36"/>
      <c r="V225" s="12"/>
      <c r="W225" s="12"/>
      <c r="X225" s="12"/>
      <c r="Y225" s="12"/>
      <c r="Z225" s="12"/>
    </row>
    <row r="226" customFormat="false" ht="15.75" hidden="false" customHeight="false" outlineLevel="0" collapsed="false">
      <c r="A226" s="12"/>
      <c r="B226" s="34"/>
      <c r="C226" s="12"/>
      <c r="D226" s="12"/>
      <c r="E226" s="12"/>
      <c r="F226" s="12"/>
      <c r="G226" s="18"/>
      <c r="H226" s="35"/>
      <c r="I226" s="35"/>
      <c r="J226" s="12"/>
      <c r="O226" s="12"/>
      <c r="P226" s="18"/>
      <c r="Q226" s="12"/>
      <c r="R226" s="12"/>
      <c r="S226" s="12"/>
      <c r="T226" s="36"/>
      <c r="U226" s="36"/>
      <c r="V226" s="12"/>
      <c r="W226" s="12"/>
      <c r="X226" s="12"/>
      <c r="Y226" s="12"/>
      <c r="Z226" s="12"/>
    </row>
    <row r="227" customFormat="false" ht="15.75" hidden="false" customHeight="false" outlineLevel="0" collapsed="false">
      <c r="A227" s="12"/>
      <c r="B227" s="34"/>
      <c r="C227" s="12"/>
      <c r="D227" s="12"/>
      <c r="E227" s="12"/>
      <c r="F227" s="12"/>
      <c r="G227" s="18"/>
      <c r="H227" s="35"/>
      <c r="I227" s="35"/>
      <c r="J227" s="12"/>
      <c r="O227" s="12"/>
      <c r="P227" s="18"/>
      <c r="Q227" s="12"/>
      <c r="R227" s="12"/>
      <c r="S227" s="12"/>
      <c r="T227" s="36"/>
      <c r="U227" s="36"/>
      <c r="V227" s="12"/>
      <c r="W227" s="12"/>
      <c r="X227" s="12"/>
      <c r="Y227" s="12"/>
      <c r="Z227" s="12"/>
    </row>
    <row r="228" customFormat="false" ht="15.75" hidden="false" customHeight="false" outlineLevel="0" collapsed="false">
      <c r="A228" s="12"/>
      <c r="B228" s="34"/>
      <c r="C228" s="12"/>
      <c r="D228" s="12"/>
      <c r="E228" s="12"/>
      <c r="F228" s="12"/>
      <c r="G228" s="18"/>
      <c r="H228" s="35"/>
      <c r="I228" s="35"/>
      <c r="J228" s="12"/>
      <c r="O228" s="12"/>
      <c r="P228" s="18"/>
      <c r="Q228" s="12"/>
      <c r="R228" s="12"/>
      <c r="S228" s="12"/>
      <c r="T228" s="36"/>
      <c r="U228" s="36"/>
      <c r="V228" s="12"/>
      <c r="W228" s="12"/>
      <c r="X228" s="12"/>
      <c r="Y228" s="12"/>
      <c r="Z228" s="12"/>
    </row>
    <row r="229" customFormat="false" ht="15.75" hidden="false" customHeight="false" outlineLevel="0" collapsed="false">
      <c r="A229" s="12"/>
      <c r="B229" s="34"/>
      <c r="C229" s="12"/>
      <c r="D229" s="12"/>
      <c r="E229" s="12"/>
      <c r="F229" s="12"/>
      <c r="G229" s="18"/>
      <c r="H229" s="35"/>
      <c r="I229" s="35"/>
      <c r="J229" s="12"/>
      <c r="O229" s="12"/>
      <c r="P229" s="18"/>
      <c r="Q229" s="12"/>
      <c r="R229" s="12"/>
      <c r="S229" s="12"/>
      <c r="T229" s="36"/>
      <c r="U229" s="36"/>
      <c r="V229" s="12"/>
      <c r="W229" s="12"/>
      <c r="X229" s="12"/>
      <c r="Y229" s="12"/>
      <c r="Z229" s="12"/>
    </row>
    <row r="230" customFormat="false" ht="15.75" hidden="false" customHeight="false" outlineLevel="0" collapsed="false">
      <c r="A230" s="12"/>
      <c r="B230" s="34"/>
      <c r="C230" s="12"/>
      <c r="D230" s="12"/>
      <c r="E230" s="12"/>
      <c r="F230" s="12"/>
      <c r="G230" s="18"/>
      <c r="H230" s="35"/>
      <c r="I230" s="35"/>
      <c r="J230" s="12"/>
      <c r="O230" s="12"/>
      <c r="P230" s="18"/>
      <c r="Q230" s="12"/>
      <c r="R230" s="12"/>
      <c r="S230" s="12"/>
      <c r="T230" s="36"/>
      <c r="U230" s="36"/>
      <c r="V230" s="12"/>
      <c r="W230" s="12"/>
      <c r="X230" s="12"/>
      <c r="Y230" s="12"/>
      <c r="Z230" s="12"/>
    </row>
    <row r="231" customFormat="false" ht="15.75" hidden="false" customHeight="false" outlineLevel="0" collapsed="false">
      <c r="A231" s="12"/>
      <c r="B231" s="34"/>
      <c r="C231" s="12"/>
      <c r="D231" s="12"/>
      <c r="E231" s="12"/>
      <c r="F231" s="12"/>
      <c r="G231" s="18"/>
      <c r="H231" s="35"/>
      <c r="I231" s="35"/>
      <c r="J231" s="12"/>
      <c r="O231" s="12"/>
      <c r="P231" s="18"/>
      <c r="Q231" s="12"/>
      <c r="R231" s="12"/>
      <c r="S231" s="12"/>
      <c r="T231" s="36"/>
      <c r="U231" s="36"/>
      <c r="V231" s="12"/>
      <c r="W231" s="12"/>
      <c r="X231" s="12"/>
      <c r="Y231" s="12"/>
      <c r="Z231" s="12"/>
    </row>
    <row r="232" customFormat="false" ht="15.75" hidden="false" customHeight="false" outlineLevel="0" collapsed="false">
      <c r="A232" s="12"/>
      <c r="B232" s="34"/>
      <c r="C232" s="12"/>
      <c r="D232" s="12"/>
      <c r="E232" s="12"/>
      <c r="F232" s="12"/>
      <c r="G232" s="18"/>
      <c r="H232" s="35"/>
      <c r="I232" s="35"/>
      <c r="J232" s="12"/>
      <c r="O232" s="12"/>
      <c r="P232" s="18"/>
      <c r="Q232" s="12"/>
      <c r="R232" s="12"/>
      <c r="S232" s="12"/>
      <c r="T232" s="36"/>
      <c r="U232" s="36"/>
      <c r="V232" s="12"/>
      <c r="W232" s="12"/>
      <c r="X232" s="12"/>
      <c r="Y232" s="12"/>
      <c r="Z232" s="12"/>
    </row>
    <row r="233" customFormat="false" ht="15.75" hidden="false" customHeight="false" outlineLevel="0" collapsed="false">
      <c r="A233" s="12"/>
      <c r="B233" s="34"/>
      <c r="C233" s="12"/>
      <c r="D233" s="12"/>
      <c r="E233" s="12"/>
      <c r="F233" s="12"/>
      <c r="G233" s="18"/>
      <c r="H233" s="35"/>
      <c r="I233" s="35"/>
      <c r="J233" s="12"/>
      <c r="O233" s="12"/>
      <c r="P233" s="18"/>
      <c r="Q233" s="12"/>
      <c r="R233" s="12"/>
      <c r="S233" s="12"/>
      <c r="T233" s="36"/>
      <c r="U233" s="36"/>
      <c r="V233" s="12"/>
      <c r="W233" s="12"/>
      <c r="X233" s="12"/>
      <c r="Y233" s="12"/>
      <c r="Z233" s="12"/>
    </row>
    <row r="234" customFormat="false" ht="15.75" hidden="false" customHeight="false" outlineLevel="0" collapsed="false">
      <c r="A234" s="12"/>
      <c r="B234" s="34"/>
      <c r="C234" s="12"/>
      <c r="D234" s="12"/>
      <c r="E234" s="12"/>
      <c r="F234" s="12"/>
      <c r="G234" s="18"/>
      <c r="H234" s="35"/>
      <c r="I234" s="35"/>
      <c r="J234" s="12"/>
      <c r="O234" s="12"/>
      <c r="P234" s="18"/>
      <c r="Q234" s="12"/>
      <c r="R234" s="12"/>
      <c r="S234" s="12"/>
      <c r="T234" s="36"/>
      <c r="U234" s="36"/>
      <c r="V234" s="12"/>
      <c r="W234" s="12"/>
      <c r="X234" s="12"/>
      <c r="Y234" s="12"/>
      <c r="Z234" s="12"/>
    </row>
    <row r="235" customFormat="false" ht="15.75" hidden="false" customHeight="false" outlineLevel="0" collapsed="false">
      <c r="A235" s="12"/>
      <c r="B235" s="34"/>
      <c r="C235" s="12"/>
      <c r="D235" s="12"/>
      <c r="E235" s="12"/>
      <c r="F235" s="12"/>
      <c r="G235" s="18"/>
      <c r="H235" s="35"/>
      <c r="I235" s="35"/>
      <c r="J235" s="12"/>
      <c r="O235" s="12"/>
      <c r="P235" s="18"/>
      <c r="Q235" s="12"/>
      <c r="R235" s="12"/>
      <c r="S235" s="12"/>
      <c r="T235" s="36"/>
      <c r="U235" s="36"/>
      <c r="V235" s="12"/>
      <c r="W235" s="12"/>
      <c r="X235" s="12"/>
      <c r="Y235" s="12"/>
      <c r="Z235" s="12"/>
    </row>
    <row r="236" customFormat="false" ht="15.75" hidden="false" customHeight="false" outlineLevel="0" collapsed="false">
      <c r="A236" s="12"/>
      <c r="B236" s="34"/>
      <c r="C236" s="12"/>
      <c r="D236" s="12"/>
      <c r="E236" s="12"/>
      <c r="F236" s="12"/>
      <c r="G236" s="18"/>
      <c r="H236" s="35"/>
      <c r="I236" s="35"/>
      <c r="J236" s="12"/>
      <c r="O236" s="12"/>
      <c r="P236" s="18"/>
      <c r="Q236" s="12"/>
      <c r="R236" s="12"/>
      <c r="S236" s="12"/>
      <c r="T236" s="36"/>
      <c r="U236" s="36"/>
      <c r="V236" s="12"/>
      <c r="W236" s="12"/>
      <c r="X236" s="12"/>
      <c r="Y236" s="12"/>
      <c r="Z236" s="12"/>
    </row>
    <row r="237" customFormat="false" ht="15.75" hidden="false" customHeight="false" outlineLevel="0" collapsed="false">
      <c r="A237" s="12"/>
      <c r="B237" s="34"/>
      <c r="C237" s="12"/>
      <c r="D237" s="12"/>
      <c r="E237" s="12"/>
      <c r="F237" s="12"/>
      <c r="G237" s="18"/>
      <c r="H237" s="35"/>
      <c r="I237" s="35"/>
      <c r="J237" s="12"/>
      <c r="O237" s="12"/>
      <c r="P237" s="18"/>
      <c r="Q237" s="12"/>
      <c r="R237" s="12"/>
      <c r="S237" s="12"/>
      <c r="T237" s="36"/>
      <c r="U237" s="36"/>
      <c r="V237" s="12"/>
      <c r="W237" s="12"/>
      <c r="X237" s="12"/>
      <c r="Y237" s="12"/>
      <c r="Z237" s="12"/>
    </row>
    <row r="238" customFormat="false" ht="15.75" hidden="false" customHeight="false" outlineLevel="0" collapsed="false">
      <c r="A238" s="12"/>
      <c r="B238" s="34"/>
      <c r="C238" s="12"/>
      <c r="D238" s="12"/>
      <c r="E238" s="12"/>
      <c r="F238" s="12"/>
      <c r="G238" s="18"/>
      <c r="H238" s="35"/>
      <c r="I238" s="35"/>
      <c r="J238" s="12"/>
      <c r="O238" s="12"/>
      <c r="P238" s="18"/>
      <c r="Q238" s="12"/>
      <c r="R238" s="12"/>
      <c r="S238" s="12"/>
      <c r="T238" s="36"/>
      <c r="U238" s="36"/>
      <c r="V238" s="12"/>
      <c r="W238" s="12"/>
      <c r="X238" s="12"/>
      <c r="Y238" s="12"/>
      <c r="Z238" s="12"/>
    </row>
    <row r="239" customFormat="false" ht="15.75" hidden="false" customHeight="false" outlineLevel="0" collapsed="false">
      <c r="A239" s="12"/>
      <c r="B239" s="34"/>
      <c r="C239" s="12"/>
      <c r="D239" s="12"/>
      <c r="E239" s="12"/>
      <c r="F239" s="12"/>
      <c r="G239" s="18"/>
      <c r="H239" s="35"/>
      <c r="I239" s="35"/>
      <c r="J239" s="12"/>
      <c r="O239" s="12"/>
      <c r="P239" s="18"/>
      <c r="Q239" s="12"/>
      <c r="R239" s="12"/>
      <c r="S239" s="12"/>
      <c r="T239" s="36"/>
      <c r="U239" s="36"/>
      <c r="V239" s="12"/>
      <c r="W239" s="12"/>
      <c r="X239" s="12"/>
      <c r="Y239" s="12"/>
      <c r="Z239" s="12"/>
    </row>
    <row r="240" customFormat="false" ht="15.75" hidden="false" customHeight="false" outlineLevel="0" collapsed="false">
      <c r="A240" s="12"/>
      <c r="B240" s="34"/>
      <c r="C240" s="12"/>
      <c r="D240" s="12"/>
      <c r="E240" s="12"/>
      <c r="F240" s="12"/>
      <c r="G240" s="18"/>
      <c r="H240" s="35"/>
      <c r="I240" s="35"/>
      <c r="J240" s="12"/>
      <c r="O240" s="12"/>
      <c r="P240" s="18"/>
      <c r="Q240" s="12"/>
      <c r="R240" s="12"/>
      <c r="S240" s="12"/>
      <c r="T240" s="36"/>
      <c r="U240" s="36"/>
      <c r="V240" s="12"/>
      <c r="W240" s="12"/>
      <c r="X240" s="12"/>
      <c r="Y240" s="12"/>
      <c r="Z240" s="12"/>
    </row>
    <row r="241" customFormat="false" ht="15.75" hidden="false" customHeight="false" outlineLevel="0" collapsed="false">
      <c r="A241" s="12"/>
      <c r="B241" s="34"/>
      <c r="C241" s="12"/>
      <c r="D241" s="12"/>
      <c r="E241" s="12"/>
      <c r="F241" s="12"/>
      <c r="G241" s="18"/>
      <c r="H241" s="35"/>
      <c r="I241" s="35"/>
      <c r="J241" s="12"/>
      <c r="O241" s="12"/>
      <c r="P241" s="18"/>
      <c r="Q241" s="12"/>
      <c r="R241" s="12"/>
      <c r="S241" s="12"/>
      <c r="T241" s="36"/>
      <c r="U241" s="36"/>
      <c r="V241" s="12"/>
      <c r="W241" s="12"/>
      <c r="X241" s="12"/>
      <c r="Y241" s="12"/>
      <c r="Z241" s="12"/>
    </row>
    <row r="242" customFormat="false" ht="15.75" hidden="false" customHeight="false" outlineLevel="0" collapsed="false">
      <c r="A242" s="12"/>
      <c r="B242" s="34"/>
      <c r="C242" s="12"/>
      <c r="D242" s="12"/>
      <c r="E242" s="12"/>
      <c r="F242" s="12"/>
      <c r="G242" s="18"/>
      <c r="H242" s="35"/>
      <c r="I242" s="35"/>
      <c r="J242" s="12"/>
      <c r="O242" s="12"/>
      <c r="P242" s="18"/>
      <c r="Q242" s="12"/>
      <c r="R242" s="12"/>
      <c r="S242" s="12"/>
      <c r="T242" s="36"/>
      <c r="U242" s="36"/>
      <c r="V242" s="12"/>
      <c r="W242" s="12"/>
      <c r="X242" s="12"/>
      <c r="Y242" s="12"/>
      <c r="Z242" s="12"/>
    </row>
    <row r="243" customFormat="false" ht="15.75" hidden="false" customHeight="false" outlineLevel="0" collapsed="false">
      <c r="A243" s="12"/>
      <c r="B243" s="34"/>
      <c r="C243" s="12"/>
      <c r="D243" s="12"/>
      <c r="E243" s="12"/>
      <c r="F243" s="12"/>
      <c r="G243" s="18"/>
      <c r="H243" s="35"/>
      <c r="I243" s="35"/>
      <c r="J243" s="12"/>
      <c r="O243" s="12"/>
      <c r="P243" s="18"/>
      <c r="Q243" s="12"/>
      <c r="R243" s="12"/>
      <c r="S243" s="12"/>
      <c r="T243" s="36"/>
      <c r="U243" s="36"/>
      <c r="V243" s="12"/>
      <c r="W243" s="12"/>
      <c r="X243" s="12"/>
      <c r="Y243" s="12"/>
      <c r="Z243" s="12"/>
    </row>
    <row r="244" customFormat="false" ht="15.75" hidden="false" customHeight="false" outlineLevel="0" collapsed="false">
      <c r="A244" s="12"/>
      <c r="B244" s="34"/>
      <c r="C244" s="12"/>
      <c r="D244" s="12"/>
      <c r="E244" s="12"/>
      <c r="F244" s="12"/>
      <c r="G244" s="18"/>
      <c r="H244" s="35"/>
      <c r="I244" s="35"/>
      <c r="J244" s="12"/>
      <c r="O244" s="12"/>
      <c r="P244" s="18"/>
      <c r="Q244" s="12"/>
      <c r="R244" s="12"/>
      <c r="S244" s="12"/>
      <c r="T244" s="36"/>
      <c r="U244" s="36"/>
      <c r="V244" s="12"/>
      <c r="W244" s="12"/>
      <c r="X244" s="12"/>
      <c r="Y244" s="12"/>
      <c r="Z244" s="12"/>
    </row>
    <row r="245" customFormat="false" ht="15.75" hidden="false" customHeight="false" outlineLevel="0" collapsed="false">
      <c r="A245" s="12"/>
      <c r="B245" s="34"/>
      <c r="C245" s="12"/>
      <c r="D245" s="12"/>
      <c r="E245" s="12"/>
      <c r="F245" s="12"/>
      <c r="G245" s="18"/>
      <c r="H245" s="35"/>
      <c r="I245" s="35"/>
      <c r="J245" s="12"/>
      <c r="O245" s="12"/>
      <c r="P245" s="18"/>
      <c r="Q245" s="12"/>
      <c r="R245" s="12"/>
      <c r="S245" s="12"/>
      <c r="T245" s="36"/>
      <c r="U245" s="36"/>
      <c r="V245" s="12"/>
      <c r="W245" s="12"/>
      <c r="X245" s="12"/>
      <c r="Y245" s="12"/>
      <c r="Z245" s="12"/>
    </row>
    <row r="246" customFormat="false" ht="15.75" hidden="false" customHeight="false" outlineLevel="0" collapsed="false">
      <c r="A246" s="12"/>
      <c r="B246" s="34"/>
      <c r="C246" s="12"/>
      <c r="D246" s="12"/>
      <c r="E246" s="12"/>
      <c r="F246" s="12"/>
      <c r="G246" s="18"/>
      <c r="H246" s="35"/>
      <c r="I246" s="35"/>
      <c r="J246" s="12"/>
      <c r="O246" s="12"/>
      <c r="P246" s="18"/>
      <c r="Q246" s="12"/>
      <c r="R246" s="12"/>
      <c r="S246" s="12"/>
      <c r="T246" s="36"/>
      <c r="U246" s="36"/>
      <c r="V246" s="12"/>
      <c r="W246" s="12"/>
      <c r="X246" s="12"/>
      <c r="Y246" s="12"/>
      <c r="Z246" s="12"/>
    </row>
    <row r="247" customFormat="false" ht="15.75" hidden="false" customHeight="false" outlineLevel="0" collapsed="false">
      <c r="A247" s="12"/>
      <c r="B247" s="34"/>
      <c r="C247" s="12"/>
      <c r="D247" s="12"/>
      <c r="E247" s="12"/>
      <c r="F247" s="12"/>
      <c r="G247" s="18"/>
      <c r="H247" s="35"/>
      <c r="I247" s="35"/>
      <c r="J247" s="12"/>
      <c r="O247" s="12"/>
      <c r="P247" s="18"/>
      <c r="Q247" s="12"/>
      <c r="R247" s="12"/>
      <c r="S247" s="12"/>
      <c r="T247" s="36"/>
      <c r="U247" s="36"/>
      <c r="V247" s="12"/>
      <c r="W247" s="12"/>
      <c r="X247" s="12"/>
      <c r="Y247" s="12"/>
      <c r="Z247" s="12"/>
    </row>
    <row r="248" customFormat="false" ht="15.75" hidden="false" customHeight="false" outlineLevel="0" collapsed="false">
      <c r="A248" s="12"/>
      <c r="B248" s="34"/>
      <c r="C248" s="12"/>
      <c r="D248" s="12"/>
      <c r="E248" s="12"/>
      <c r="F248" s="12"/>
      <c r="G248" s="18"/>
      <c r="H248" s="35"/>
      <c r="I248" s="35"/>
      <c r="J248" s="12"/>
      <c r="O248" s="12"/>
      <c r="P248" s="18"/>
      <c r="Q248" s="12"/>
      <c r="R248" s="12"/>
      <c r="S248" s="12"/>
      <c r="T248" s="36"/>
      <c r="U248" s="36"/>
      <c r="V248" s="12"/>
      <c r="W248" s="12"/>
      <c r="X248" s="12"/>
      <c r="Y248" s="12"/>
      <c r="Z248" s="12"/>
    </row>
    <row r="249" customFormat="false" ht="15.75" hidden="false" customHeight="false" outlineLevel="0" collapsed="false">
      <c r="A249" s="12"/>
      <c r="B249" s="34"/>
      <c r="C249" s="12"/>
      <c r="D249" s="12"/>
      <c r="E249" s="12"/>
      <c r="F249" s="12"/>
      <c r="G249" s="18"/>
      <c r="H249" s="35"/>
      <c r="I249" s="35"/>
      <c r="J249" s="12"/>
      <c r="O249" s="12"/>
      <c r="P249" s="18"/>
      <c r="Q249" s="12"/>
      <c r="R249" s="12"/>
      <c r="S249" s="12"/>
      <c r="T249" s="36"/>
      <c r="U249" s="36"/>
      <c r="V249" s="12"/>
      <c r="W249" s="12"/>
      <c r="X249" s="12"/>
      <c r="Y249" s="12"/>
      <c r="Z249" s="12"/>
    </row>
    <row r="250" customFormat="false" ht="15.75" hidden="false" customHeight="false" outlineLevel="0" collapsed="false">
      <c r="A250" s="12"/>
      <c r="B250" s="34"/>
      <c r="C250" s="12"/>
      <c r="D250" s="12"/>
      <c r="E250" s="12"/>
      <c r="F250" s="12"/>
      <c r="G250" s="18"/>
      <c r="H250" s="35"/>
      <c r="I250" s="35"/>
      <c r="J250" s="12"/>
      <c r="O250" s="12"/>
      <c r="P250" s="18"/>
      <c r="Q250" s="12"/>
      <c r="R250" s="12"/>
      <c r="S250" s="12"/>
      <c r="T250" s="36"/>
      <c r="U250" s="36"/>
      <c r="V250" s="12"/>
      <c r="W250" s="12"/>
      <c r="X250" s="12"/>
      <c r="Y250" s="12"/>
      <c r="Z250" s="12"/>
    </row>
    <row r="251" customFormat="false" ht="15.75" hidden="false" customHeight="false" outlineLevel="0" collapsed="false">
      <c r="A251" s="12"/>
      <c r="B251" s="34"/>
      <c r="C251" s="12"/>
      <c r="D251" s="12"/>
      <c r="E251" s="12"/>
      <c r="F251" s="12"/>
      <c r="G251" s="18"/>
      <c r="H251" s="35"/>
      <c r="I251" s="35"/>
      <c r="J251" s="12"/>
      <c r="O251" s="12"/>
      <c r="P251" s="18"/>
      <c r="Q251" s="12"/>
      <c r="R251" s="12"/>
      <c r="S251" s="12"/>
      <c r="T251" s="36"/>
      <c r="U251" s="36"/>
      <c r="V251" s="12"/>
      <c r="W251" s="12"/>
      <c r="X251" s="12"/>
      <c r="Y251" s="12"/>
      <c r="Z251" s="12"/>
    </row>
    <row r="252" customFormat="false" ht="15.75" hidden="false" customHeight="false" outlineLevel="0" collapsed="false">
      <c r="A252" s="12"/>
      <c r="B252" s="34"/>
      <c r="C252" s="12"/>
      <c r="D252" s="12"/>
      <c r="E252" s="12"/>
      <c r="F252" s="12"/>
      <c r="G252" s="18"/>
      <c r="H252" s="35"/>
      <c r="I252" s="35"/>
      <c r="J252" s="12"/>
      <c r="O252" s="12"/>
      <c r="P252" s="18"/>
      <c r="Q252" s="12"/>
      <c r="R252" s="12"/>
      <c r="S252" s="12"/>
      <c r="T252" s="36"/>
      <c r="U252" s="36"/>
      <c r="V252" s="12"/>
      <c r="W252" s="12"/>
      <c r="X252" s="12"/>
      <c r="Y252" s="12"/>
      <c r="Z252" s="12"/>
    </row>
    <row r="253" customFormat="false" ht="15.75" hidden="false" customHeight="false" outlineLevel="0" collapsed="false">
      <c r="A253" s="12"/>
      <c r="B253" s="34"/>
      <c r="C253" s="12"/>
      <c r="D253" s="12"/>
      <c r="E253" s="12"/>
      <c r="F253" s="12"/>
      <c r="G253" s="18"/>
      <c r="H253" s="35"/>
      <c r="I253" s="35"/>
      <c r="J253" s="12"/>
      <c r="O253" s="12"/>
      <c r="P253" s="18"/>
      <c r="Q253" s="12"/>
      <c r="R253" s="12"/>
      <c r="S253" s="12"/>
      <c r="T253" s="36"/>
      <c r="U253" s="36"/>
      <c r="V253" s="12"/>
      <c r="W253" s="12"/>
      <c r="X253" s="12"/>
      <c r="Y253" s="12"/>
      <c r="Z253" s="12"/>
    </row>
    <row r="254" customFormat="false" ht="15.75" hidden="false" customHeight="false" outlineLevel="0" collapsed="false">
      <c r="A254" s="12"/>
      <c r="B254" s="34"/>
      <c r="C254" s="12"/>
      <c r="D254" s="12"/>
      <c r="E254" s="12"/>
      <c r="F254" s="12"/>
      <c r="G254" s="18"/>
      <c r="H254" s="35"/>
      <c r="I254" s="35"/>
      <c r="J254" s="12"/>
      <c r="O254" s="12"/>
      <c r="P254" s="18"/>
      <c r="Q254" s="12"/>
      <c r="R254" s="12"/>
      <c r="S254" s="12"/>
      <c r="T254" s="36"/>
      <c r="U254" s="36"/>
      <c r="V254" s="12"/>
      <c r="W254" s="12"/>
      <c r="X254" s="12"/>
      <c r="Y254" s="12"/>
      <c r="Z254" s="12"/>
    </row>
    <row r="255" customFormat="false" ht="15.75" hidden="false" customHeight="false" outlineLevel="0" collapsed="false">
      <c r="A255" s="12"/>
      <c r="B255" s="34"/>
      <c r="C255" s="12"/>
      <c r="D255" s="12"/>
      <c r="E255" s="12"/>
      <c r="F255" s="12"/>
      <c r="G255" s="18"/>
      <c r="H255" s="35"/>
      <c r="I255" s="35"/>
      <c r="J255" s="12"/>
      <c r="O255" s="12"/>
      <c r="P255" s="18"/>
      <c r="Q255" s="12"/>
      <c r="R255" s="12"/>
      <c r="S255" s="12"/>
      <c r="T255" s="36"/>
      <c r="U255" s="36"/>
      <c r="V255" s="12"/>
      <c r="W255" s="12"/>
      <c r="X255" s="12"/>
      <c r="Y255" s="12"/>
      <c r="Z255" s="12"/>
    </row>
    <row r="256" customFormat="false" ht="15.75" hidden="false" customHeight="false" outlineLevel="0" collapsed="false">
      <c r="A256" s="12"/>
      <c r="B256" s="34"/>
      <c r="C256" s="12"/>
      <c r="D256" s="12"/>
      <c r="E256" s="12"/>
      <c r="F256" s="12"/>
      <c r="G256" s="18"/>
      <c r="H256" s="35"/>
      <c r="I256" s="35"/>
      <c r="J256" s="12"/>
      <c r="O256" s="12"/>
      <c r="P256" s="18"/>
      <c r="Q256" s="12"/>
      <c r="R256" s="12"/>
      <c r="S256" s="12"/>
      <c r="T256" s="36"/>
      <c r="U256" s="36"/>
      <c r="V256" s="12"/>
      <c r="W256" s="12"/>
      <c r="X256" s="12"/>
      <c r="Y256" s="12"/>
      <c r="Z256" s="12"/>
    </row>
    <row r="257" customFormat="false" ht="15.75" hidden="false" customHeight="false" outlineLevel="0" collapsed="false">
      <c r="A257" s="12"/>
      <c r="B257" s="34"/>
      <c r="C257" s="12"/>
      <c r="D257" s="12"/>
      <c r="E257" s="12"/>
      <c r="F257" s="12"/>
      <c r="G257" s="18"/>
      <c r="H257" s="35"/>
      <c r="I257" s="35"/>
      <c r="J257" s="12"/>
      <c r="O257" s="12"/>
      <c r="P257" s="18"/>
      <c r="Q257" s="12"/>
      <c r="R257" s="12"/>
      <c r="S257" s="12"/>
      <c r="T257" s="36"/>
      <c r="U257" s="36"/>
      <c r="V257" s="12"/>
      <c r="W257" s="12"/>
      <c r="X257" s="12"/>
      <c r="Y257" s="12"/>
      <c r="Z257" s="12"/>
    </row>
    <row r="258" customFormat="false" ht="15.75" hidden="false" customHeight="false" outlineLevel="0" collapsed="false">
      <c r="A258" s="12"/>
      <c r="B258" s="34"/>
      <c r="C258" s="12"/>
      <c r="D258" s="12"/>
      <c r="E258" s="12"/>
      <c r="F258" s="12"/>
      <c r="G258" s="18"/>
      <c r="H258" s="35"/>
      <c r="I258" s="35"/>
      <c r="J258" s="12"/>
      <c r="O258" s="12"/>
      <c r="P258" s="18"/>
      <c r="Q258" s="12"/>
      <c r="R258" s="12"/>
      <c r="S258" s="12"/>
      <c r="T258" s="36"/>
      <c r="U258" s="36"/>
      <c r="V258" s="12"/>
      <c r="W258" s="12"/>
      <c r="X258" s="12"/>
      <c r="Y258" s="12"/>
      <c r="Z258" s="12"/>
    </row>
    <row r="259" customFormat="false" ht="15.75" hidden="false" customHeight="false" outlineLevel="0" collapsed="false">
      <c r="A259" s="12"/>
      <c r="B259" s="34"/>
      <c r="C259" s="12"/>
      <c r="D259" s="12"/>
      <c r="E259" s="12"/>
      <c r="F259" s="12"/>
      <c r="G259" s="18"/>
      <c r="H259" s="35"/>
      <c r="I259" s="35"/>
      <c r="J259" s="12"/>
      <c r="O259" s="12"/>
      <c r="P259" s="18"/>
      <c r="Q259" s="12"/>
      <c r="R259" s="12"/>
      <c r="S259" s="12"/>
      <c r="T259" s="36"/>
      <c r="U259" s="36"/>
      <c r="V259" s="12"/>
      <c r="W259" s="12"/>
      <c r="X259" s="12"/>
      <c r="Y259" s="12"/>
      <c r="Z259" s="12"/>
    </row>
    <row r="260" customFormat="false" ht="15.75" hidden="false" customHeight="false" outlineLevel="0" collapsed="false">
      <c r="A260" s="12"/>
      <c r="B260" s="34"/>
      <c r="C260" s="12"/>
      <c r="D260" s="12"/>
      <c r="E260" s="12"/>
      <c r="F260" s="12"/>
      <c r="G260" s="18"/>
      <c r="H260" s="35"/>
      <c r="I260" s="35"/>
      <c r="J260" s="12"/>
      <c r="O260" s="12"/>
      <c r="P260" s="18"/>
      <c r="Q260" s="12"/>
      <c r="R260" s="12"/>
      <c r="S260" s="12"/>
      <c r="T260" s="36"/>
      <c r="U260" s="36"/>
      <c r="V260" s="12"/>
      <c r="W260" s="12"/>
      <c r="X260" s="12"/>
      <c r="Y260" s="12"/>
      <c r="Z260" s="12"/>
    </row>
    <row r="261" customFormat="false" ht="15.75" hidden="false" customHeight="false" outlineLevel="0" collapsed="false">
      <c r="A261" s="12"/>
      <c r="B261" s="34"/>
      <c r="C261" s="12"/>
      <c r="D261" s="12"/>
      <c r="E261" s="12"/>
      <c r="F261" s="12"/>
      <c r="G261" s="18"/>
      <c r="H261" s="35"/>
      <c r="I261" s="35"/>
      <c r="J261" s="12"/>
      <c r="O261" s="12"/>
      <c r="P261" s="18"/>
      <c r="Q261" s="12"/>
      <c r="R261" s="12"/>
      <c r="S261" s="12"/>
      <c r="T261" s="36"/>
      <c r="U261" s="36"/>
      <c r="V261" s="12"/>
      <c r="W261" s="12"/>
      <c r="X261" s="12"/>
      <c r="Y261" s="12"/>
      <c r="Z261" s="12"/>
    </row>
    <row r="262" customFormat="false" ht="15.75" hidden="false" customHeight="false" outlineLevel="0" collapsed="false">
      <c r="A262" s="12"/>
      <c r="B262" s="34"/>
      <c r="C262" s="12"/>
      <c r="D262" s="12"/>
      <c r="E262" s="12"/>
      <c r="F262" s="12"/>
      <c r="G262" s="18"/>
      <c r="H262" s="35"/>
      <c r="I262" s="35"/>
      <c r="J262" s="12"/>
      <c r="O262" s="12"/>
      <c r="P262" s="18"/>
      <c r="Q262" s="12"/>
      <c r="R262" s="12"/>
      <c r="S262" s="12"/>
      <c r="T262" s="36"/>
      <c r="U262" s="36"/>
      <c r="V262" s="12"/>
      <c r="W262" s="12"/>
      <c r="X262" s="12"/>
      <c r="Y262" s="12"/>
      <c r="Z262" s="12"/>
    </row>
    <row r="263" customFormat="false" ht="15.75" hidden="false" customHeight="false" outlineLevel="0" collapsed="false">
      <c r="A263" s="12"/>
      <c r="B263" s="34"/>
      <c r="C263" s="12"/>
      <c r="D263" s="12"/>
      <c r="E263" s="12"/>
      <c r="F263" s="12"/>
      <c r="G263" s="18"/>
      <c r="H263" s="35"/>
      <c r="I263" s="35"/>
      <c r="J263" s="12"/>
      <c r="O263" s="12"/>
      <c r="P263" s="18"/>
      <c r="Q263" s="12"/>
      <c r="R263" s="12"/>
      <c r="S263" s="12"/>
      <c r="T263" s="36"/>
      <c r="U263" s="36"/>
      <c r="V263" s="12"/>
      <c r="W263" s="12"/>
      <c r="X263" s="12"/>
      <c r="Y263" s="12"/>
      <c r="Z263" s="12"/>
    </row>
    <row r="264" customFormat="false" ht="15.75" hidden="false" customHeight="false" outlineLevel="0" collapsed="false">
      <c r="A264" s="12"/>
      <c r="B264" s="34"/>
      <c r="C264" s="12"/>
      <c r="D264" s="12"/>
      <c r="E264" s="12"/>
      <c r="F264" s="12"/>
      <c r="G264" s="18"/>
      <c r="H264" s="35"/>
      <c r="I264" s="35"/>
      <c r="J264" s="12"/>
      <c r="O264" s="12"/>
      <c r="P264" s="18"/>
      <c r="Q264" s="12"/>
      <c r="R264" s="12"/>
      <c r="S264" s="12"/>
      <c r="T264" s="36"/>
      <c r="U264" s="36"/>
      <c r="V264" s="12"/>
      <c r="W264" s="12"/>
      <c r="X264" s="12"/>
      <c r="Y264" s="12"/>
      <c r="Z264" s="12"/>
    </row>
    <row r="265" customFormat="false" ht="15.75" hidden="false" customHeight="false" outlineLevel="0" collapsed="false">
      <c r="A265" s="12"/>
      <c r="B265" s="34"/>
      <c r="C265" s="12"/>
      <c r="D265" s="12"/>
      <c r="E265" s="12"/>
      <c r="F265" s="12"/>
      <c r="G265" s="18"/>
      <c r="H265" s="35"/>
      <c r="I265" s="35"/>
      <c r="J265" s="12"/>
      <c r="O265" s="12"/>
      <c r="P265" s="18"/>
      <c r="Q265" s="12"/>
      <c r="R265" s="12"/>
      <c r="S265" s="12"/>
      <c r="T265" s="36"/>
      <c r="U265" s="36"/>
      <c r="V265" s="12"/>
      <c r="W265" s="12"/>
      <c r="X265" s="12"/>
      <c r="Y265" s="12"/>
      <c r="Z265" s="12"/>
    </row>
    <row r="266" customFormat="false" ht="15.75" hidden="false" customHeight="false" outlineLevel="0" collapsed="false">
      <c r="A266" s="12"/>
      <c r="B266" s="34"/>
      <c r="C266" s="12"/>
      <c r="D266" s="12"/>
      <c r="E266" s="12"/>
      <c r="F266" s="12"/>
      <c r="G266" s="18"/>
      <c r="H266" s="35"/>
      <c r="I266" s="35"/>
      <c r="J266" s="12"/>
      <c r="O266" s="12"/>
      <c r="P266" s="18"/>
      <c r="Q266" s="12"/>
      <c r="R266" s="12"/>
      <c r="S266" s="12"/>
      <c r="T266" s="36"/>
      <c r="U266" s="36"/>
      <c r="V266" s="12"/>
      <c r="W266" s="12"/>
      <c r="X266" s="12"/>
      <c r="Y266" s="12"/>
      <c r="Z266" s="12"/>
    </row>
    <row r="267" customFormat="false" ht="15.75" hidden="false" customHeight="false" outlineLevel="0" collapsed="false">
      <c r="A267" s="12"/>
      <c r="B267" s="34"/>
      <c r="C267" s="12"/>
      <c r="D267" s="12"/>
      <c r="E267" s="12"/>
      <c r="F267" s="12"/>
      <c r="G267" s="18"/>
      <c r="H267" s="35"/>
      <c r="I267" s="35"/>
      <c r="J267" s="12"/>
      <c r="O267" s="12"/>
      <c r="P267" s="18"/>
      <c r="Q267" s="12"/>
      <c r="R267" s="12"/>
      <c r="S267" s="12"/>
      <c r="T267" s="36"/>
      <c r="U267" s="36"/>
      <c r="V267" s="12"/>
      <c r="W267" s="12"/>
      <c r="X267" s="12"/>
      <c r="Y267" s="12"/>
      <c r="Z267" s="12"/>
    </row>
    <row r="268" customFormat="false" ht="15.75" hidden="false" customHeight="false" outlineLevel="0" collapsed="false">
      <c r="A268" s="12"/>
      <c r="B268" s="34"/>
      <c r="C268" s="12"/>
      <c r="D268" s="12"/>
      <c r="E268" s="12"/>
      <c r="F268" s="12"/>
      <c r="G268" s="18"/>
      <c r="H268" s="35"/>
      <c r="I268" s="35"/>
      <c r="J268" s="12"/>
      <c r="O268" s="12"/>
      <c r="P268" s="18"/>
      <c r="Q268" s="12"/>
      <c r="R268" s="12"/>
      <c r="S268" s="12"/>
      <c r="T268" s="36"/>
      <c r="U268" s="36"/>
      <c r="V268" s="12"/>
      <c r="W268" s="12"/>
      <c r="X268" s="12"/>
      <c r="Y268" s="12"/>
      <c r="Z268" s="12"/>
    </row>
    <row r="269" customFormat="false" ht="15.75" hidden="false" customHeight="false" outlineLevel="0" collapsed="false">
      <c r="A269" s="12"/>
      <c r="B269" s="34"/>
      <c r="C269" s="12"/>
      <c r="D269" s="12"/>
      <c r="E269" s="12"/>
      <c r="F269" s="12"/>
      <c r="G269" s="18"/>
      <c r="H269" s="35"/>
      <c r="I269" s="35"/>
      <c r="J269" s="12"/>
      <c r="O269" s="12"/>
      <c r="P269" s="18"/>
      <c r="Q269" s="12"/>
      <c r="R269" s="12"/>
      <c r="S269" s="12"/>
      <c r="T269" s="36"/>
      <c r="U269" s="36"/>
      <c r="V269" s="12"/>
      <c r="W269" s="12"/>
      <c r="X269" s="12"/>
      <c r="Y269" s="12"/>
      <c r="Z269" s="12"/>
    </row>
    <row r="270" customFormat="false" ht="15.75" hidden="false" customHeight="false" outlineLevel="0" collapsed="false">
      <c r="A270" s="12"/>
      <c r="B270" s="34"/>
      <c r="C270" s="12"/>
      <c r="D270" s="12"/>
      <c r="E270" s="12"/>
      <c r="F270" s="12"/>
      <c r="G270" s="18"/>
      <c r="H270" s="35"/>
      <c r="I270" s="35"/>
      <c r="J270" s="12"/>
      <c r="O270" s="12"/>
      <c r="P270" s="18"/>
      <c r="Q270" s="12"/>
      <c r="R270" s="12"/>
      <c r="S270" s="12"/>
      <c r="T270" s="36"/>
      <c r="U270" s="36"/>
      <c r="V270" s="12"/>
      <c r="W270" s="12"/>
      <c r="X270" s="12"/>
      <c r="Y270" s="12"/>
      <c r="Z270" s="12"/>
    </row>
    <row r="271" customFormat="false" ht="15.75" hidden="false" customHeight="false" outlineLevel="0" collapsed="false">
      <c r="A271" s="12"/>
      <c r="B271" s="34"/>
      <c r="C271" s="12"/>
      <c r="D271" s="12"/>
      <c r="E271" s="12"/>
      <c r="F271" s="12"/>
      <c r="G271" s="18"/>
      <c r="H271" s="35"/>
      <c r="I271" s="35"/>
      <c r="J271" s="12"/>
      <c r="O271" s="12"/>
      <c r="P271" s="18"/>
      <c r="Q271" s="12"/>
      <c r="R271" s="12"/>
      <c r="S271" s="12"/>
      <c r="T271" s="36"/>
      <c r="U271" s="36"/>
      <c r="V271" s="12"/>
      <c r="W271" s="12"/>
      <c r="X271" s="12"/>
      <c r="Y271" s="12"/>
      <c r="Z271" s="12"/>
    </row>
    <row r="272" customFormat="false" ht="15.75" hidden="false" customHeight="false" outlineLevel="0" collapsed="false">
      <c r="A272" s="12"/>
      <c r="B272" s="34"/>
      <c r="C272" s="12"/>
      <c r="D272" s="12"/>
      <c r="E272" s="12"/>
      <c r="F272" s="12"/>
      <c r="G272" s="18"/>
      <c r="H272" s="35"/>
      <c r="I272" s="35"/>
      <c r="J272" s="12"/>
      <c r="O272" s="12"/>
      <c r="P272" s="18"/>
      <c r="Q272" s="12"/>
      <c r="R272" s="12"/>
      <c r="S272" s="12"/>
      <c r="T272" s="36"/>
      <c r="U272" s="36"/>
      <c r="V272" s="12"/>
      <c r="W272" s="12"/>
      <c r="X272" s="12"/>
      <c r="Y272" s="12"/>
      <c r="Z272" s="12"/>
    </row>
    <row r="273" customFormat="false" ht="15.75" hidden="false" customHeight="false" outlineLevel="0" collapsed="false">
      <c r="A273" s="12"/>
      <c r="B273" s="34"/>
      <c r="C273" s="12"/>
      <c r="D273" s="12"/>
      <c r="E273" s="12"/>
      <c r="F273" s="12"/>
      <c r="G273" s="18"/>
      <c r="H273" s="35"/>
      <c r="I273" s="35"/>
      <c r="J273" s="12"/>
      <c r="O273" s="12"/>
      <c r="P273" s="18"/>
      <c r="Q273" s="12"/>
      <c r="R273" s="12"/>
      <c r="S273" s="12"/>
      <c r="T273" s="36"/>
      <c r="U273" s="36"/>
      <c r="V273" s="12"/>
      <c r="W273" s="12"/>
      <c r="X273" s="12"/>
      <c r="Y273" s="12"/>
      <c r="Z273" s="12"/>
    </row>
    <row r="274" customFormat="false" ht="15.75" hidden="false" customHeight="false" outlineLevel="0" collapsed="false">
      <c r="A274" s="12"/>
      <c r="B274" s="34"/>
      <c r="C274" s="12"/>
      <c r="D274" s="12"/>
      <c r="E274" s="12"/>
      <c r="F274" s="12"/>
      <c r="G274" s="18"/>
      <c r="H274" s="35"/>
      <c r="I274" s="35"/>
      <c r="J274" s="12"/>
      <c r="O274" s="12"/>
      <c r="P274" s="18"/>
      <c r="Q274" s="12"/>
      <c r="R274" s="12"/>
      <c r="S274" s="12"/>
      <c r="T274" s="36"/>
      <c r="U274" s="36"/>
      <c r="V274" s="12"/>
      <c r="W274" s="12"/>
      <c r="X274" s="12"/>
      <c r="Y274" s="12"/>
      <c r="Z274" s="12"/>
    </row>
    <row r="275" customFormat="false" ht="15.75" hidden="false" customHeight="false" outlineLevel="0" collapsed="false">
      <c r="A275" s="12"/>
      <c r="B275" s="34"/>
      <c r="C275" s="12"/>
      <c r="D275" s="12"/>
      <c r="E275" s="12"/>
      <c r="F275" s="12"/>
      <c r="G275" s="18"/>
      <c r="H275" s="35"/>
      <c r="I275" s="35"/>
      <c r="J275" s="12"/>
      <c r="O275" s="12"/>
      <c r="P275" s="18"/>
      <c r="Q275" s="12"/>
      <c r="R275" s="12"/>
      <c r="S275" s="12"/>
      <c r="T275" s="36"/>
      <c r="U275" s="36"/>
      <c r="V275" s="12"/>
      <c r="W275" s="12"/>
      <c r="X275" s="12"/>
      <c r="Y275" s="12"/>
      <c r="Z275" s="12"/>
    </row>
    <row r="276" customFormat="false" ht="15.75" hidden="false" customHeight="false" outlineLevel="0" collapsed="false">
      <c r="A276" s="12"/>
      <c r="B276" s="34"/>
      <c r="C276" s="12"/>
      <c r="D276" s="12"/>
      <c r="E276" s="12"/>
      <c r="F276" s="12"/>
      <c r="G276" s="18"/>
      <c r="H276" s="35"/>
      <c r="I276" s="35"/>
      <c r="J276" s="12"/>
      <c r="O276" s="12"/>
      <c r="P276" s="18"/>
      <c r="Q276" s="12"/>
      <c r="R276" s="12"/>
      <c r="S276" s="12"/>
      <c r="T276" s="36"/>
      <c r="U276" s="36"/>
      <c r="V276" s="12"/>
      <c r="W276" s="12"/>
      <c r="X276" s="12"/>
      <c r="Y276" s="12"/>
      <c r="Z276" s="12"/>
    </row>
    <row r="277" customFormat="false" ht="15.75" hidden="false" customHeight="false" outlineLevel="0" collapsed="false">
      <c r="A277" s="12"/>
      <c r="B277" s="34"/>
      <c r="C277" s="12"/>
      <c r="D277" s="12"/>
      <c r="E277" s="12"/>
      <c r="F277" s="12"/>
      <c r="G277" s="18"/>
      <c r="H277" s="35"/>
      <c r="I277" s="35"/>
      <c r="J277" s="12"/>
      <c r="O277" s="12"/>
      <c r="P277" s="18"/>
      <c r="Q277" s="12"/>
      <c r="R277" s="12"/>
      <c r="S277" s="12"/>
      <c r="T277" s="36"/>
      <c r="U277" s="36"/>
      <c r="V277" s="12"/>
      <c r="W277" s="12"/>
      <c r="X277" s="12"/>
      <c r="Y277" s="12"/>
      <c r="Z277" s="12"/>
    </row>
    <row r="278" customFormat="false" ht="15.75" hidden="false" customHeight="false" outlineLevel="0" collapsed="false">
      <c r="A278" s="12"/>
      <c r="B278" s="34"/>
      <c r="C278" s="12"/>
      <c r="D278" s="12"/>
      <c r="E278" s="12"/>
      <c r="F278" s="12"/>
      <c r="G278" s="18"/>
      <c r="H278" s="35"/>
      <c r="I278" s="35"/>
      <c r="J278" s="12"/>
      <c r="O278" s="12"/>
      <c r="P278" s="18"/>
      <c r="Q278" s="12"/>
      <c r="R278" s="12"/>
      <c r="S278" s="12"/>
      <c r="T278" s="36"/>
      <c r="U278" s="36"/>
      <c r="V278" s="12"/>
      <c r="W278" s="12"/>
      <c r="X278" s="12"/>
      <c r="Y278" s="12"/>
      <c r="Z278" s="12"/>
    </row>
    <row r="279" customFormat="false" ht="15.75" hidden="false" customHeight="false" outlineLevel="0" collapsed="false">
      <c r="A279" s="12"/>
      <c r="B279" s="34"/>
      <c r="C279" s="12"/>
      <c r="D279" s="12"/>
      <c r="E279" s="12"/>
      <c r="F279" s="12"/>
      <c r="G279" s="18"/>
      <c r="H279" s="35"/>
      <c r="I279" s="35"/>
      <c r="J279" s="12"/>
      <c r="O279" s="12"/>
      <c r="P279" s="18"/>
      <c r="Q279" s="12"/>
      <c r="R279" s="12"/>
      <c r="S279" s="12"/>
      <c r="T279" s="36"/>
      <c r="U279" s="36"/>
      <c r="V279" s="12"/>
      <c r="W279" s="12"/>
      <c r="X279" s="12"/>
      <c r="Y279" s="12"/>
      <c r="Z279" s="12"/>
    </row>
    <row r="280" customFormat="false" ht="15.75" hidden="false" customHeight="false" outlineLevel="0" collapsed="false">
      <c r="A280" s="12"/>
      <c r="B280" s="34"/>
      <c r="C280" s="12"/>
      <c r="D280" s="12"/>
      <c r="E280" s="12"/>
      <c r="F280" s="12"/>
      <c r="G280" s="18"/>
      <c r="H280" s="35"/>
      <c r="I280" s="35"/>
      <c r="J280" s="12"/>
      <c r="O280" s="12"/>
      <c r="P280" s="18"/>
      <c r="Q280" s="12"/>
      <c r="R280" s="12"/>
      <c r="S280" s="12"/>
      <c r="T280" s="36"/>
      <c r="U280" s="36"/>
      <c r="V280" s="12"/>
      <c r="W280" s="12"/>
      <c r="X280" s="12"/>
      <c r="Y280" s="12"/>
      <c r="Z280" s="12"/>
    </row>
    <row r="281" customFormat="false" ht="15.75" hidden="false" customHeight="false" outlineLevel="0" collapsed="false">
      <c r="A281" s="12"/>
      <c r="B281" s="34"/>
      <c r="C281" s="12"/>
      <c r="D281" s="12"/>
      <c r="E281" s="12"/>
      <c r="F281" s="12"/>
      <c r="G281" s="18"/>
      <c r="H281" s="35"/>
      <c r="I281" s="35"/>
      <c r="J281" s="12"/>
      <c r="O281" s="12"/>
      <c r="P281" s="18"/>
      <c r="Q281" s="12"/>
      <c r="R281" s="12"/>
      <c r="S281" s="12"/>
      <c r="T281" s="36"/>
      <c r="U281" s="36"/>
      <c r="V281" s="12"/>
      <c r="W281" s="12"/>
      <c r="X281" s="12"/>
      <c r="Y281" s="12"/>
      <c r="Z281" s="12"/>
    </row>
    <row r="282" customFormat="false" ht="15.75" hidden="false" customHeight="false" outlineLevel="0" collapsed="false">
      <c r="A282" s="12"/>
      <c r="B282" s="34"/>
      <c r="C282" s="12"/>
      <c r="D282" s="12"/>
      <c r="E282" s="12"/>
      <c r="F282" s="12"/>
      <c r="G282" s="18"/>
      <c r="H282" s="35"/>
      <c r="I282" s="35"/>
      <c r="J282" s="12"/>
      <c r="O282" s="12"/>
      <c r="P282" s="18"/>
      <c r="Q282" s="12"/>
      <c r="R282" s="12"/>
      <c r="S282" s="12"/>
      <c r="T282" s="36"/>
      <c r="U282" s="36"/>
      <c r="V282" s="12"/>
      <c r="W282" s="12"/>
      <c r="X282" s="12"/>
      <c r="Y282" s="12"/>
      <c r="Z282" s="12"/>
    </row>
    <row r="283" customFormat="false" ht="15.75" hidden="false" customHeight="false" outlineLevel="0" collapsed="false">
      <c r="A283" s="12"/>
      <c r="B283" s="34"/>
      <c r="C283" s="12"/>
      <c r="D283" s="12"/>
      <c r="E283" s="12"/>
      <c r="F283" s="12"/>
      <c r="G283" s="18"/>
      <c r="H283" s="35"/>
      <c r="I283" s="35"/>
      <c r="J283" s="12"/>
      <c r="O283" s="12"/>
      <c r="P283" s="18"/>
      <c r="Q283" s="12"/>
      <c r="R283" s="12"/>
      <c r="S283" s="12"/>
      <c r="T283" s="36"/>
      <c r="U283" s="36"/>
      <c r="V283" s="12"/>
      <c r="W283" s="12"/>
      <c r="X283" s="12"/>
      <c r="Y283" s="12"/>
      <c r="Z283" s="12"/>
    </row>
    <row r="284" customFormat="false" ht="15.75" hidden="false" customHeight="false" outlineLevel="0" collapsed="false">
      <c r="A284" s="12"/>
      <c r="B284" s="34"/>
      <c r="C284" s="12"/>
      <c r="D284" s="12"/>
      <c r="E284" s="12"/>
      <c r="F284" s="12"/>
      <c r="G284" s="18"/>
      <c r="H284" s="35"/>
      <c r="I284" s="35"/>
      <c r="J284" s="12"/>
      <c r="O284" s="12"/>
      <c r="P284" s="18"/>
      <c r="Q284" s="12"/>
      <c r="R284" s="12"/>
      <c r="S284" s="12"/>
      <c r="T284" s="36"/>
      <c r="U284" s="36"/>
      <c r="V284" s="12"/>
      <c r="W284" s="12"/>
      <c r="X284" s="12"/>
      <c r="Y284" s="12"/>
      <c r="Z284" s="12"/>
    </row>
    <row r="285" customFormat="false" ht="15.75" hidden="false" customHeight="false" outlineLevel="0" collapsed="false">
      <c r="A285" s="12"/>
      <c r="B285" s="34"/>
      <c r="C285" s="12"/>
      <c r="D285" s="12"/>
      <c r="E285" s="12"/>
      <c r="F285" s="12"/>
      <c r="G285" s="18"/>
      <c r="H285" s="35"/>
      <c r="I285" s="35"/>
      <c r="J285" s="12"/>
      <c r="O285" s="12"/>
      <c r="P285" s="18"/>
      <c r="Q285" s="12"/>
      <c r="R285" s="12"/>
      <c r="S285" s="12"/>
      <c r="T285" s="36"/>
      <c r="U285" s="36"/>
      <c r="V285" s="12"/>
      <c r="W285" s="12"/>
      <c r="X285" s="12"/>
      <c r="Y285" s="12"/>
      <c r="Z285" s="12"/>
    </row>
    <row r="286" customFormat="false" ht="15.75" hidden="false" customHeight="false" outlineLevel="0" collapsed="false">
      <c r="A286" s="12"/>
      <c r="B286" s="34"/>
      <c r="C286" s="12"/>
      <c r="D286" s="12"/>
      <c r="E286" s="12"/>
      <c r="F286" s="12"/>
      <c r="G286" s="18"/>
      <c r="H286" s="35"/>
      <c r="I286" s="35"/>
      <c r="J286" s="12"/>
      <c r="O286" s="12"/>
      <c r="P286" s="18"/>
      <c r="Q286" s="12"/>
      <c r="R286" s="12"/>
      <c r="S286" s="12"/>
      <c r="T286" s="36"/>
      <c r="U286" s="36"/>
      <c r="V286" s="12"/>
      <c r="W286" s="12"/>
      <c r="X286" s="12"/>
      <c r="Y286" s="12"/>
      <c r="Z286" s="12"/>
    </row>
    <row r="287" customFormat="false" ht="15.75" hidden="false" customHeight="false" outlineLevel="0" collapsed="false">
      <c r="A287" s="12"/>
      <c r="B287" s="34"/>
      <c r="C287" s="12"/>
      <c r="D287" s="12"/>
      <c r="E287" s="12"/>
      <c r="F287" s="12"/>
      <c r="G287" s="18"/>
      <c r="H287" s="35"/>
      <c r="I287" s="35"/>
      <c r="J287" s="12"/>
      <c r="O287" s="12"/>
      <c r="P287" s="18"/>
      <c r="Q287" s="12"/>
      <c r="R287" s="12"/>
      <c r="S287" s="12"/>
      <c r="T287" s="36"/>
      <c r="U287" s="36"/>
      <c r="V287" s="12"/>
      <c r="W287" s="12"/>
      <c r="X287" s="12"/>
      <c r="Y287" s="12"/>
      <c r="Z287" s="12"/>
    </row>
    <row r="288" customFormat="false" ht="15.75" hidden="false" customHeight="false" outlineLevel="0" collapsed="false">
      <c r="A288" s="12"/>
      <c r="B288" s="34"/>
      <c r="C288" s="12"/>
      <c r="D288" s="12"/>
      <c r="E288" s="12"/>
      <c r="F288" s="12"/>
      <c r="G288" s="18"/>
      <c r="H288" s="35"/>
      <c r="I288" s="35"/>
      <c r="J288" s="12"/>
      <c r="O288" s="12"/>
      <c r="P288" s="18"/>
      <c r="Q288" s="12"/>
      <c r="R288" s="12"/>
      <c r="S288" s="12"/>
      <c r="T288" s="36"/>
      <c r="U288" s="36"/>
      <c r="V288" s="12"/>
      <c r="W288" s="12"/>
      <c r="X288" s="12"/>
      <c r="Y288" s="12"/>
      <c r="Z288" s="12"/>
    </row>
    <row r="289" customFormat="false" ht="15.75" hidden="false" customHeight="false" outlineLevel="0" collapsed="false">
      <c r="A289" s="12"/>
      <c r="B289" s="34"/>
      <c r="C289" s="12"/>
      <c r="D289" s="12"/>
      <c r="E289" s="12"/>
      <c r="F289" s="12"/>
      <c r="G289" s="18"/>
      <c r="H289" s="35"/>
      <c r="I289" s="35"/>
      <c r="J289" s="12"/>
      <c r="O289" s="12"/>
      <c r="P289" s="18"/>
      <c r="Q289" s="12"/>
      <c r="R289" s="12"/>
      <c r="S289" s="12"/>
      <c r="T289" s="36"/>
      <c r="U289" s="36"/>
      <c r="V289" s="12"/>
      <c r="W289" s="12"/>
      <c r="X289" s="12"/>
      <c r="Y289" s="12"/>
      <c r="Z289" s="12"/>
    </row>
    <row r="290" customFormat="false" ht="15.75" hidden="false" customHeight="false" outlineLevel="0" collapsed="false">
      <c r="A290" s="12"/>
      <c r="B290" s="34"/>
      <c r="C290" s="12"/>
      <c r="D290" s="12"/>
      <c r="E290" s="12"/>
      <c r="F290" s="12"/>
      <c r="G290" s="18"/>
      <c r="H290" s="35"/>
      <c r="I290" s="35"/>
      <c r="J290" s="12"/>
      <c r="O290" s="12"/>
      <c r="P290" s="18"/>
      <c r="Q290" s="12"/>
      <c r="R290" s="12"/>
      <c r="S290" s="12"/>
      <c r="T290" s="36"/>
      <c r="U290" s="36"/>
      <c r="V290" s="12"/>
      <c r="W290" s="12"/>
      <c r="X290" s="12"/>
      <c r="Y290" s="12"/>
      <c r="Z290" s="12"/>
    </row>
    <row r="291" customFormat="false" ht="15.75" hidden="false" customHeight="false" outlineLevel="0" collapsed="false">
      <c r="A291" s="12"/>
      <c r="B291" s="34"/>
      <c r="C291" s="12"/>
      <c r="D291" s="12"/>
      <c r="E291" s="12"/>
      <c r="F291" s="12"/>
      <c r="G291" s="18"/>
      <c r="H291" s="35"/>
      <c r="I291" s="35"/>
      <c r="J291" s="12"/>
      <c r="O291" s="12"/>
      <c r="P291" s="18"/>
      <c r="Q291" s="12"/>
      <c r="R291" s="12"/>
      <c r="S291" s="12"/>
      <c r="T291" s="36"/>
      <c r="U291" s="36"/>
      <c r="V291" s="12"/>
      <c r="W291" s="12"/>
      <c r="X291" s="12"/>
      <c r="Y291" s="12"/>
      <c r="Z291" s="12"/>
    </row>
    <row r="292" customFormat="false" ht="15.75" hidden="false" customHeight="false" outlineLevel="0" collapsed="false">
      <c r="A292" s="12"/>
      <c r="B292" s="34"/>
      <c r="C292" s="12"/>
      <c r="D292" s="12"/>
      <c r="E292" s="12"/>
      <c r="F292" s="12"/>
      <c r="G292" s="18"/>
      <c r="H292" s="35"/>
      <c r="I292" s="35"/>
      <c r="J292" s="12"/>
      <c r="O292" s="12"/>
      <c r="P292" s="18"/>
      <c r="Q292" s="12"/>
      <c r="R292" s="12"/>
      <c r="S292" s="12"/>
      <c r="T292" s="36"/>
      <c r="U292" s="36"/>
      <c r="V292" s="12"/>
      <c r="W292" s="12"/>
      <c r="X292" s="12"/>
      <c r="Y292" s="12"/>
      <c r="Z292" s="12"/>
    </row>
    <row r="293" customFormat="false" ht="15.75" hidden="false" customHeight="false" outlineLevel="0" collapsed="false">
      <c r="A293" s="12"/>
      <c r="B293" s="34"/>
      <c r="C293" s="12"/>
      <c r="D293" s="12"/>
      <c r="E293" s="12"/>
      <c r="F293" s="12"/>
      <c r="G293" s="18"/>
      <c r="H293" s="35"/>
      <c r="I293" s="35"/>
      <c r="J293" s="12"/>
      <c r="O293" s="12"/>
      <c r="P293" s="18"/>
      <c r="Q293" s="12"/>
      <c r="R293" s="12"/>
      <c r="S293" s="12"/>
      <c r="T293" s="36"/>
      <c r="U293" s="36"/>
      <c r="V293" s="12"/>
      <c r="W293" s="12"/>
      <c r="X293" s="12"/>
      <c r="Y293" s="12"/>
      <c r="Z293" s="12"/>
    </row>
    <row r="294" customFormat="false" ht="15.75" hidden="false" customHeight="false" outlineLevel="0" collapsed="false">
      <c r="A294" s="12"/>
      <c r="B294" s="34"/>
      <c r="C294" s="12"/>
      <c r="D294" s="12"/>
      <c r="E294" s="12"/>
      <c r="F294" s="12"/>
      <c r="G294" s="18"/>
      <c r="H294" s="35"/>
      <c r="I294" s="35"/>
      <c r="J294" s="12"/>
      <c r="O294" s="12"/>
      <c r="P294" s="18"/>
      <c r="Q294" s="12"/>
      <c r="R294" s="12"/>
      <c r="S294" s="12"/>
      <c r="T294" s="36"/>
      <c r="U294" s="36"/>
      <c r="V294" s="12"/>
      <c r="W294" s="12"/>
      <c r="X294" s="12"/>
      <c r="Y294" s="12"/>
      <c r="Z294" s="12"/>
    </row>
    <row r="295" customFormat="false" ht="15.75" hidden="false" customHeight="false" outlineLevel="0" collapsed="false">
      <c r="A295" s="12"/>
      <c r="B295" s="34"/>
      <c r="C295" s="12"/>
      <c r="D295" s="12"/>
      <c r="E295" s="12"/>
      <c r="F295" s="12"/>
      <c r="G295" s="18"/>
      <c r="H295" s="35"/>
      <c r="I295" s="35"/>
      <c r="J295" s="12"/>
      <c r="O295" s="12"/>
      <c r="P295" s="18"/>
      <c r="Q295" s="12"/>
      <c r="R295" s="12"/>
      <c r="S295" s="12"/>
      <c r="T295" s="36"/>
      <c r="U295" s="36"/>
      <c r="V295" s="12"/>
      <c r="W295" s="12"/>
      <c r="X295" s="12"/>
      <c r="Y295" s="12"/>
      <c r="Z295" s="12"/>
    </row>
    <row r="296" customFormat="false" ht="15.75" hidden="false" customHeight="false" outlineLevel="0" collapsed="false">
      <c r="A296" s="12"/>
      <c r="B296" s="34"/>
      <c r="C296" s="12"/>
      <c r="D296" s="12"/>
      <c r="E296" s="12"/>
      <c r="F296" s="12"/>
      <c r="G296" s="18"/>
      <c r="H296" s="35"/>
      <c r="I296" s="35"/>
      <c r="J296" s="12"/>
      <c r="O296" s="12"/>
      <c r="P296" s="18"/>
      <c r="Q296" s="12"/>
      <c r="R296" s="12"/>
      <c r="S296" s="12"/>
      <c r="T296" s="36"/>
      <c r="U296" s="36"/>
      <c r="V296" s="12"/>
      <c r="W296" s="12"/>
      <c r="X296" s="12"/>
      <c r="Y296" s="12"/>
      <c r="Z296" s="12"/>
    </row>
    <row r="297" customFormat="false" ht="15.75" hidden="false" customHeight="false" outlineLevel="0" collapsed="false">
      <c r="A297" s="12"/>
      <c r="B297" s="34"/>
      <c r="C297" s="12"/>
      <c r="D297" s="12"/>
      <c r="E297" s="12"/>
      <c r="F297" s="12"/>
      <c r="G297" s="18"/>
      <c r="H297" s="35"/>
      <c r="I297" s="35"/>
      <c r="J297" s="12"/>
      <c r="O297" s="12"/>
      <c r="P297" s="18"/>
      <c r="Q297" s="12"/>
      <c r="R297" s="12"/>
      <c r="S297" s="12"/>
      <c r="T297" s="36"/>
      <c r="U297" s="36"/>
      <c r="V297" s="12"/>
      <c r="W297" s="12"/>
      <c r="X297" s="12"/>
      <c r="Y297" s="12"/>
      <c r="Z297" s="12"/>
    </row>
    <row r="298" customFormat="false" ht="15.75" hidden="false" customHeight="false" outlineLevel="0" collapsed="false">
      <c r="A298" s="12"/>
      <c r="B298" s="34"/>
      <c r="C298" s="12"/>
      <c r="D298" s="12"/>
      <c r="E298" s="12"/>
      <c r="F298" s="12"/>
      <c r="G298" s="18"/>
      <c r="H298" s="35"/>
      <c r="I298" s="35"/>
      <c r="J298" s="12"/>
      <c r="O298" s="12"/>
      <c r="P298" s="18"/>
      <c r="Q298" s="12"/>
      <c r="R298" s="12"/>
      <c r="S298" s="12"/>
      <c r="T298" s="36"/>
      <c r="U298" s="36"/>
      <c r="V298" s="12"/>
      <c r="W298" s="12"/>
      <c r="X298" s="12"/>
      <c r="Y298" s="12"/>
      <c r="Z298" s="12"/>
    </row>
    <row r="299" customFormat="false" ht="15.75" hidden="false" customHeight="false" outlineLevel="0" collapsed="false">
      <c r="A299" s="12"/>
      <c r="B299" s="34"/>
      <c r="C299" s="12"/>
      <c r="D299" s="12"/>
      <c r="E299" s="12"/>
      <c r="F299" s="12"/>
      <c r="G299" s="18"/>
      <c r="H299" s="35"/>
      <c r="I299" s="35"/>
      <c r="J299" s="12"/>
      <c r="O299" s="12"/>
      <c r="P299" s="18"/>
      <c r="Q299" s="12"/>
      <c r="R299" s="12"/>
      <c r="S299" s="12"/>
      <c r="T299" s="36"/>
      <c r="U299" s="36"/>
      <c r="V299" s="12"/>
      <c r="W299" s="12"/>
      <c r="X299" s="12"/>
      <c r="Y299" s="12"/>
      <c r="Z299" s="12"/>
    </row>
    <row r="300" customFormat="false" ht="15.75" hidden="false" customHeight="false" outlineLevel="0" collapsed="false">
      <c r="A300" s="12"/>
      <c r="B300" s="34"/>
      <c r="C300" s="12"/>
      <c r="D300" s="12"/>
      <c r="E300" s="12"/>
      <c r="F300" s="12"/>
      <c r="G300" s="18"/>
      <c r="H300" s="35"/>
      <c r="I300" s="35"/>
      <c r="J300" s="12"/>
      <c r="O300" s="12"/>
      <c r="P300" s="18"/>
      <c r="Q300" s="12"/>
      <c r="R300" s="12"/>
      <c r="S300" s="12"/>
      <c r="T300" s="36"/>
      <c r="U300" s="36"/>
      <c r="V300" s="12"/>
      <c r="W300" s="12"/>
      <c r="X300" s="12"/>
      <c r="Y300" s="12"/>
      <c r="Z300" s="12"/>
    </row>
    <row r="301" customFormat="false" ht="15.75" hidden="false" customHeight="false" outlineLevel="0" collapsed="false">
      <c r="A301" s="12"/>
      <c r="B301" s="34"/>
      <c r="C301" s="12"/>
      <c r="D301" s="12"/>
      <c r="E301" s="12"/>
      <c r="F301" s="12"/>
      <c r="G301" s="18"/>
      <c r="H301" s="35"/>
      <c r="I301" s="35"/>
      <c r="J301" s="12"/>
      <c r="O301" s="12"/>
      <c r="P301" s="18"/>
      <c r="Q301" s="12"/>
      <c r="R301" s="12"/>
      <c r="S301" s="12"/>
      <c r="T301" s="36"/>
      <c r="U301" s="36"/>
      <c r="V301" s="12"/>
      <c r="W301" s="12"/>
      <c r="X301" s="12"/>
      <c r="Y301" s="12"/>
      <c r="Z301" s="12"/>
    </row>
    <row r="302" customFormat="false" ht="15.75" hidden="false" customHeight="false" outlineLevel="0" collapsed="false">
      <c r="A302" s="12"/>
      <c r="B302" s="34"/>
      <c r="C302" s="12"/>
      <c r="D302" s="12"/>
      <c r="E302" s="12"/>
      <c r="F302" s="12"/>
      <c r="G302" s="18"/>
      <c r="H302" s="35"/>
      <c r="I302" s="35"/>
      <c r="J302" s="12"/>
      <c r="O302" s="12"/>
      <c r="P302" s="18"/>
      <c r="Q302" s="12"/>
      <c r="R302" s="12"/>
      <c r="S302" s="12"/>
      <c r="T302" s="36"/>
      <c r="U302" s="36"/>
      <c r="V302" s="12"/>
      <c r="W302" s="12"/>
      <c r="X302" s="12"/>
      <c r="Y302" s="12"/>
      <c r="Z302" s="12"/>
    </row>
    <row r="303" customFormat="false" ht="15.75" hidden="false" customHeight="false" outlineLevel="0" collapsed="false">
      <c r="A303" s="12"/>
      <c r="B303" s="34"/>
      <c r="C303" s="12"/>
      <c r="D303" s="12"/>
      <c r="E303" s="12"/>
      <c r="F303" s="12"/>
      <c r="G303" s="18"/>
      <c r="H303" s="35"/>
      <c r="I303" s="35"/>
      <c r="J303" s="12"/>
      <c r="O303" s="12"/>
      <c r="P303" s="18"/>
      <c r="Q303" s="12"/>
      <c r="R303" s="12"/>
      <c r="S303" s="12"/>
      <c r="T303" s="36"/>
      <c r="U303" s="36"/>
      <c r="V303" s="12"/>
      <c r="W303" s="12"/>
      <c r="X303" s="12"/>
      <c r="Y303" s="12"/>
      <c r="Z303" s="12"/>
    </row>
    <row r="304" customFormat="false" ht="15.75" hidden="false" customHeight="false" outlineLevel="0" collapsed="false">
      <c r="A304" s="12"/>
      <c r="B304" s="34"/>
      <c r="C304" s="12"/>
      <c r="D304" s="12"/>
      <c r="E304" s="12"/>
      <c r="F304" s="12"/>
      <c r="G304" s="18"/>
      <c r="H304" s="35"/>
      <c r="I304" s="35"/>
      <c r="J304" s="12"/>
      <c r="O304" s="12"/>
      <c r="P304" s="18"/>
      <c r="Q304" s="12"/>
      <c r="R304" s="12"/>
      <c r="S304" s="12"/>
      <c r="T304" s="36"/>
      <c r="U304" s="36"/>
      <c r="V304" s="12"/>
      <c r="W304" s="12"/>
      <c r="X304" s="12"/>
      <c r="Y304" s="12"/>
      <c r="Z304" s="12"/>
    </row>
    <row r="305" customFormat="false" ht="15.75" hidden="false" customHeight="false" outlineLevel="0" collapsed="false">
      <c r="A305" s="12"/>
      <c r="B305" s="34"/>
      <c r="C305" s="12"/>
      <c r="D305" s="12"/>
      <c r="E305" s="12"/>
      <c r="F305" s="12"/>
      <c r="G305" s="18"/>
      <c r="H305" s="35"/>
      <c r="I305" s="35"/>
      <c r="J305" s="12"/>
      <c r="O305" s="12"/>
      <c r="P305" s="18"/>
      <c r="Q305" s="12"/>
      <c r="R305" s="12"/>
      <c r="S305" s="12"/>
      <c r="T305" s="36"/>
      <c r="U305" s="36"/>
      <c r="V305" s="12"/>
      <c r="W305" s="12"/>
      <c r="X305" s="12"/>
      <c r="Y305" s="12"/>
      <c r="Z305" s="12"/>
    </row>
    <row r="306" customFormat="false" ht="15.75" hidden="false" customHeight="false" outlineLevel="0" collapsed="false">
      <c r="A306" s="12"/>
      <c r="B306" s="34"/>
      <c r="C306" s="12"/>
      <c r="D306" s="12"/>
      <c r="E306" s="12"/>
      <c r="F306" s="12"/>
      <c r="G306" s="18"/>
      <c r="H306" s="35"/>
      <c r="I306" s="35"/>
      <c r="J306" s="12"/>
      <c r="O306" s="12"/>
      <c r="P306" s="18"/>
      <c r="Q306" s="12"/>
      <c r="R306" s="12"/>
      <c r="S306" s="12"/>
      <c r="T306" s="36"/>
      <c r="U306" s="36"/>
      <c r="V306" s="12"/>
      <c r="W306" s="12"/>
      <c r="X306" s="12"/>
      <c r="Y306" s="12"/>
      <c r="Z306" s="12"/>
    </row>
    <row r="307" customFormat="false" ht="15.75" hidden="false" customHeight="false" outlineLevel="0" collapsed="false">
      <c r="A307" s="12"/>
      <c r="B307" s="34"/>
      <c r="C307" s="12"/>
      <c r="D307" s="12"/>
      <c r="E307" s="12"/>
      <c r="F307" s="12"/>
      <c r="G307" s="18"/>
      <c r="H307" s="35"/>
      <c r="I307" s="35"/>
      <c r="J307" s="12"/>
      <c r="O307" s="12"/>
      <c r="P307" s="18"/>
      <c r="Q307" s="12"/>
      <c r="R307" s="12"/>
      <c r="S307" s="12"/>
      <c r="T307" s="36"/>
      <c r="U307" s="36"/>
      <c r="V307" s="12"/>
      <c r="W307" s="12"/>
      <c r="X307" s="12"/>
      <c r="Y307" s="12"/>
      <c r="Z307" s="12"/>
    </row>
    <row r="308" customFormat="false" ht="15.75" hidden="false" customHeight="false" outlineLevel="0" collapsed="false">
      <c r="A308" s="12"/>
      <c r="B308" s="34"/>
      <c r="C308" s="12"/>
      <c r="D308" s="12"/>
      <c r="E308" s="12"/>
      <c r="F308" s="12"/>
      <c r="G308" s="18"/>
      <c r="H308" s="35"/>
      <c r="I308" s="35"/>
      <c r="J308" s="12"/>
      <c r="O308" s="12"/>
      <c r="P308" s="18"/>
      <c r="Q308" s="12"/>
      <c r="R308" s="12"/>
      <c r="S308" s="12"/>
      <c r="T308" s="36"/>
      <c r="U308" s="36"/>
      <c r="V308" s="12"/>
      <c r="W308" s="12"/>
      <c r="X308" s="12"/>
      <c r="Y308" s="12"/>
      <c r="Z308" s="12"/>
    </row>
    <row r="309" customFormat="false" ht="15.75" hidden="false" customHeight="false" outlineLevel="0" collapsed="false">
      <c r="A309" s="12"/>
      <c r="B309" s="34"/>
      <c r="C309" s="12"/>
      <c r="D309" s="12"/>
      <c r="E309" s="12"/>
      <c r="F309" s="12"/>
      <c r="G309" s="18"/>
      <c r="H309" s="35"/>
      <c r="I309" s="35"/>
      <c r="J309" s="12"/>
      <c r="O309" s="12"/>
      <c r="P309" s="18"/>
      <c r="Q309" s="12"/>
      <c r="R309" s="12"/>
      <c r="S309" s="12"/>
      <c r="T309" s="36"/>
      <c r="U309" s="36"/>
      <c r="V309" s="12"/>
      <c r="W309" s="12"/>
      <c r="X309" s="12"/>
      <c r="Y309" s="12"/>
      <c r="Z309" s="12"/>
    </row>
    <row r="310" customFormat="false" ht="15.75" hidden="false" customHeight="false" outlineLevel="0" collapsed="false">
      <c r="A310" s="12"/>
      <c r="B310" s="34"/>
      <c r="C310" s="12"/>
      <c r="D310" s="12"/>
      <c r="E310" s="12"/>
      <c r="F310" s="12"/>
      <c r="G310" s="18"/>
      <c r="H310" s="35"/>
      <c r="I310" s="35"/>
      <c r="J310" s="12"/>
      <c r="O310" s="12"/>
      <c r="P310" s="18"/>
      <c r="Q310" s="12"/>
      <c r="R310" s="12"/>
      <c r="S310" s="12"/>
      <c r="T310" s="36"/>
      <c r="U310" s="36"/>
      <c r="V310" s="12"/>
      <c r="W310" s="12"/>
      <c r="X310" s="12"/>
      <c r="Y310" s="12"/>
      <c r="Z310" s="12"/>
    </row>
    <row r="311" customFormat="false" ht="15.75" hidden="false" customHeight="false" outlineLevel="0" collapsed="false">
      <c r="A311" s="12"/>
      <c r="B311" s="34"/>
      <c r="C311" s="12"/>
      <c r="D311" s="12"/>
      <c r="E311" s="12"/>
      <c r="F311" s="12"/>
      <c r="G311" s="18"/>
      <c r="H311" s="35"/>
      <c r="I311" s="35"/>
      <c r="J311" s="12"/>
      <c r="O311" s="12"/>
      <c r="P311" s="18"/>
      <c r="Q311" s="12"/>
      <c r="R311" s="12"/>
      <c r="S311" s="12"/>
      <c r="T311" s="36"/>
      <c r="U311" s="36"/>
      <c r="V311" s="12"/>
      <c r="W311" s="12"/>
      <c r="X311" s="12"/>
      <c r="Y311" s="12"/>
      <c r="Z311" s="12"/>
    </row>
    <row r="312" customFormat="false" ht="15.75" hidden="false" customHeight="false" outlineLevel="0" collapsed="false">
      <c r="A312" s="12"/>
      <c r="B312" s="34"/>
      <c r="C312" s="12"/>
      <c r="D312" s="12"/>
      <c r="E312" s="12"/>
      <c r="F312" s="12"/>
      <c r="G312" s="18"/>
      <c r="H312" s="35"/>
      <c r="I312" s="35"/>
      <c r="J312" s="12"/>
      <c r="O312" s="12"/>
      <c r="P312" s="18"/>
      <c r="Q312" s="12"/>
      <c r="R312" s="12"/>
      <c r="S312" s="12"/>
      <c r="T312" s="36"/>
      <c r="U312" s="36"/>
      <c r="V312" s="12"/>
      <c r="W312" s="12"/>
      <c r="X312" s="12"/>
      <c r="Y312" s="12"/>
      <c r="Z312" s="12"/>
    </row>
    <row r="313" customFormat="false" ht="15.75" hidden="false" customHeight="false" outlineLevel="0" collapsed="false">
      <c r="A313" s="12"/>
      <c r="B313" s="34"/>
      <c r="C313" s="12"/>
      <c r="D313" s="12"/>
      <c r="E313" s="12"/>
      <c r="F313" s="12"/>
      <c r="G313" s="18"/>
      <c r="H313" s="35"/>
      <c r="I313" s="35"/>
      <c r="J313" s="12"/>
      <c r="O313" s="12"/>
      <c r="P313" s="18"/>
      <c r="Q313" s="12"/>
      <c r="R313" s="12"/>
      <c r="S313" s="12"/>
      <c r="T313" s="36"/>
      <c r="U313" s="36"/>
      <c r="V313" s="12"/>
      <c r="W313" s="12"/>
      <c r="X313" s="12"/>
      <c r="Y313" s="12"/>
      <c r="Z313" s="12"/>
    </row>
    <row r="314" customFormat="false" ht="15.75" hidden="false" customHeight="false" outlineLevel="0" collapsed="false">
      <c r="A314" s="12"/>
      <c r="B314" s="34"/>
      <c r="C314" s="12"/>
      <c r="D314" s="12"/>
      <c r="E314" s="12"/>
      <c r="F314" s="12"/>
      <c r="G314" s="18"/>
      <c r="H314" s="35"/>
      <c r="I314" s="35"/>
      <c r="J314" s="12"/>
      <c r="O314" s="12"/>
      <c r="P314" s="18"/>
      <c r="Q314" s="12"/>
      <c r="R314" s="12"/>
      <c r="S314" s="12"/>
      <c r="T314" s="36"/>
      <c r="U314" s="36"/>
      <c r="V314" s="12"/>
      <c r="W314" s="12"/>
      <c r="X314" s="12"/>
      <c r="Y314" s="12"/>
      <c r="Z314" s="12"/>
    </row>
    <row r="315" customFormat="false" ht="15.75" hidden="false" customHeight="false" outlineLevel="0" collapsed="false">
      <c r="A315" s="12"/>
      <c r="B315" s="34"/>
      <c r="C315" s="12"/>
      <c r="D315" s="12"/>
      <c r="E315" s="12"/>
      <c r="F315" s="12"/>
      <c r="G315" s="18"/>
      <c r="H315" s="35"/>
      <c r="I315" s="35"/>
      <c r="J315" s="12"/>
      <c r="O315" s="12"/>
      <c r="P315" s="18"/>
      <c r="Q315" s="12"/>
      <c r="R315" s="12"/>
      <c r="S315" s="12"/>
      <c r="T315" s="36"/>
      <c r="U315" s="36"/>
      <c r="V315" s="12"/>
      <c r="W315" s="12"/>
      <c r="X315" s="12"/>
      <c r="Y315" s="12"/>
      <c r="Z315" s="12"/>
    </row>
    <row r="316" customFormat="false" ht="15.75" hidden="false" customHeight="false" outlineLevel="0" collapsed="false">
      <c r="A316" s="12"/>
      <c r="B316" s="34"/>
      <c r="C316" s="12"/>
      <c r="D316" s="12"/>
      <c r="E316" s="12"/>
      <c r="F316" s="12"/>
      <c r="G316" s="18"/>
      <c r="H316" s="35"/>
      <c r="I316" s="35"/>
      <c r="J316" s="12"/>
      <c r="O316" s="12"/>
      <c r="P316" s="18"/>
      <c r="Q316" s="12"/>
      <c r="R316" s="12"/>
      <c r="S316" s="12"/>
      <c r="T316" s="36"/>
      <c r="U316" s="36"/>
      <c r="V316" s="12"/>
      <c r="W316" s="12"/>
      <c r="X316" s="12"/>
      <c r="Y316" s="12"/>
      <c r="Z316" s="12"/>
    </row>
    <row r="317" customFormat="false" ht="15.75" hidden="false" customHeight="false" outlineLevel="0" collapsed="false">
      <c r="A317" s="12"/>
      <c r="B317" s="34"/>
      <c r="C317" s="12"/>
      <c r="D317" s="12"/>
      <c r="E317" s="12"/>
      <c r="F317" s="12"/>
      <c r="G317" s="18"/>
      <c r="H317" s="35"/>
      <c r="I317" s="35"/>
      <c r="J317" s="12"/>
      <c r="O317" s="12"/>
      <c r="P317" s="18"/>
      <c r="Q317" s="12"/>
      <c r="R317" s="12"/>
      <c r="S317" s="12"/>
      <c r="T317" s="36"/>
      <c r="U317" s="36"/>
      <c r="V317" s="12"/>
      <c r="W317" s="12"/>
      <c r="X317" s="12"/>
      <c r="Y317" s="12"/>
      <c r="Z317" s="12"/>
    </row>
    <row r="318" customFormat="false" ht="15.75" hidden="false" customHeight="false" outlineLevel="0" collapsed="false">
      <c r="A318" s="12"/>
      <c r="B318" s="34"/>
      <c r="C318" s="12"/>
      <c r="D318" s="12"/>
      <c r="E318" s="12"/>
      <c r="F318" s="12"/>
      <c r="G318" s="18"/>
      <c r="H318" s="35"/>
      <c r="I318" s="35"/>
      <c r="J318" s="12"/>
      <c r="O318" s="12"/>
      <c r="P318" s="18"/>
      <c r="Q318" s="12"/>
      <c r="R318" s="12"/>
      <c r="S318" s="12"/>
      <c r="T318" s="36"/>
      <c r="U318" s="36"/>
      <c r="V318" s="12"/>
      <c r="W318" s="12"/>
      <c r="X318" s="12"/>
      <c r="Y318" s="12"/>
      <c r="Z318" s="12"/>
    </row>
    <row r="319" customFormat="false" ht="15.75" hidden="false" customHeight="false" outlineLevel="0" collapsed="false">
      <c r="A319" s="12"/>
      <c r="B319" s="34"/>
      <c r="C319" s="12"/>
      <c r="D319" s="12"/>
      <c r="E319" s="12"/>
      <c r="F319" s="12"/>
      <c r="G319" s="18"/>
      <c r="H319" s="35"/>
      <c r="I319" s="35"/>
      <c r="J319" s="12"/>
      <c r="O319" s="12"/>
      <c r="P319" s="18"/>
      <c r="Q319" s="12"/>
      <c r="R319" s="12"/>
      <c r="S319" s="12"/>
      <c r="T319" s="36"/>
      <c r="U319" s="36"/>
      <c r="V319" s="12"/>
      <c r="W319" s="12"/>
      <c r="X319" s="12"/>
      <c r="Y319" s="12"/>
      <c r="Z319" s="12"/>
    </row>
    <row r="320" customFormat="false" ht="15.75" hidden="false" customHeight="false" outlineLevel="0" collapsed="false">
      <c r="A320" s="12"/>
      <c r="B320" s="34"/>
      <c r="C320" s="12"/>
      <c r="D320" s="12"/>
      <c r="E320" s="12"/>
      <c r="F320" s="12"/>
      <c r="G320" s="18"/>
      <c r="H320" s="35"/>
      <c r="I320" s="35"/>
      <c r="J320" s="12"/>
      <c r="O320" s="12"/>
      <c r="P320" s="18"/>
      <c r="Q320" s="12"/>
      <c r="R320" s="12"/>
      <c r="S320" s="12"/>
      <c r="T320" s="36"/>
      <c r="U320" s="36"/>
      <c r="V320" s="12"/>
      <c r="W320" s="12"/>
      <c r="X320" s="12"/>
      <c r="Y320" s="12"/>
      <c r="Z320" s="12"/>
    </row>
    <row r="321" customFormat="false" ht="15.75" hidden="false" customHeight="false" outlineLevel="0" collapsed="false">
      <c r="A321" s="12"/>
      <c r="B321" s="34"/>
      <c r="C321" s="12"/>
      <c r="D321" s="12"/>
      <c r="E321" s="12"/>
      <c r="F321" s="12"/>
      <c r="G321" s="18"/>
      <c r="H321" s="35"/>
      <c r="I321" s="35"/>
      <c r="J321" s="12"/>
      <c r="O321" s="12"/>
      <c r="P321" s="18"/>
      <c r="Q321" s="12"/>
      <c r="R321" s="12"/>
      <c r="S321" s="12"/>
      <c r="T321" s="36"/>
      <c r="U321" s="36"/>
      <c r="V321" s="12"/>
      <c r="W321" s="12"/>
      <c r="X321" s="12"/>
      <c r="Y321" s="12"/>
      <c r="Z321" s="12"/>
    </row>
    <row r="322" customFormat="false" ht="15.75" hidden="false" customHeight="false" outlineLevel="0" collapsed="false">
      <c r="A322" s="12"/>
      <c r="B322" s="34"/>
      <c r="C322" s="12"/>
      <c r="D322" s="12"/>
      <c r="E322" s="12"/>
      <c r="F322" s="12"/>
      <c r="G322" s="18"/>
      <c r="H322" s="35"/>
      <c r="I322" s="35"/>
      <c r="J322" s="12"/>
      <c r="O322" s="12"/>
      <c r="P322" s="18"/>
      <c r="Q322" s="12"/>
      <c r="R322" s="12"/>
      <c r="S322" s="12"/>
      <c r="T322" s="36"/>
      <c r="U322" s="36"/>
      <c r="V322" s="12"/>
      <c r="W322" s="12"/>
      <c r="X322" s="12"/>
      <c r="Y322" s="12"/>
      <c r="Z322" s="12"/>
    </row>
    <row r="323" customFormat="false" ht="15.75" hidden="false" customHeight="false" outlineLevel="0" collapsed="false">
      <c r="A323" s="12"/>
      <c r="B323" s="34"/>
      <c r="C323" s="12"/>
      <c r="D323" s="12"/>
      <c r="E323" s="12"/>
      <c r="F323" s="12"/>
      <c r="G323" s="18"/>
      <c r="H323" s="35"/>
      <c r="I323" s="35"/>
      <c r="J323" s="12"/>
      <c r="O323" s="12"/>
      <c r="P323" s="18"/>
      <c r="Q323" s="12"/>
      <c r="R323" s="12"/>
      <c r="S323" s="12"/>
      <c r="T323" s="36"/>
      <c r="U323" s="36"/>
      <c r="V323" s="12"/>
      <c r="W323" s="12"/>
      <c r="X323" s="12"/>
      <c r="Y323" s="12"/>
      <c r="Z323" s="12"/>
    </row>
    <row r="324" customFormat="false" ht="15.75" hidden="false" customHeight="false" outlineLevel="0" collapsed="false">
      <c r="A324" s="12"/>
      <c r="B324" s="34"/>
      <c r="C324" s="12"/>
      <c r="D324" s="12"/>
      <c r="E324" s="12"/>
      <c r="F324" s="12"/>
      <c r="G324" s="18"/>
      <c r="H324" s="35"/>
      <c r="I324" s="35"/>
      <c r="J324" s="12"/>
      <c r="O324" s="12"/>
      <c r="P324" s="18"/>
      <c r="Q324" s="12"/>
      <c r="R324" s="12"/>
      <c r="S324" s="12"/>
      <c r="T324" s="36"/>
      <c r="U324" s="36"/>
      <c r="V324" s="12"/>
      <c r="W324" s="12"/>
      <c r="X324" s="12"/>
      <c r="Y324" s="12"/>
      <c r="Z324" s="12"/>
    </row>
    <row r="325" customFormat="false" ht="15.75" hidden="false" customHeight="false" outlineLevel="0" collapsed="false">
      <c r="A325" s="12"/>
      <c r="B325" s="34"/>
      <c r="C325" s="12"/>
      <c r="D325" s="12"/>
      <c r="E325" s="12"/>
      <c r="F325" s="12"/>
      <c r="G325" s="18"/>
      <c r="H325" s="35"/>
      <c r="I325" s="35"/>
      <c r="J325" s="12"/>
      <c r="O325" s="12"/>
      <c r="P325" s="18"/>
      <c r="Q325" s="12"/>
      <c r="R325" s="12"/>
      <c r="S325" s="12"/>
      <c r="T325" s="36"/>
      <c r="U325" s="36"/>
      <c r="V325" s="12"/>
      <c r="W325" s="12"/>
      <c r="X325" s="12"/>
      <c r="Y325" s="12"/>
      <c r="Z325" s="12"/>
    </row>
    <row r="326" customFormat="false" ht="15.75" hidden="false" customHeight="false" outlineLevel="0" collapsed="false">
      <c r="A326" s="12"/>
      <c r="B326" s="34"/>
      <c r="C326" s="12"/>
      <c r="D326" s="12"/>
      <c r="E326" s="12"/>
      <c r="F326" s="12"/>
      <c r="G326" s="18"/>
      <c r="H326" s="35"/>
      <c r="I326" s="35"/>
      <c r="J326" s="12"/>
      <c r="O326" s="12"/>
      <c r="P326" s="18"/>
      <c r="Q326" s="12"/>
      <c r="R326" s="12"/>
      <c r="S326" s="12"/>
      <c r="T326" s="36"/>
      <c r="U326" s="36"/>
      <c r="V326" s="12"/>
      <c r="W326" s="12"/>
      <c r="X326" s="12"/>
      <c r="Y326" s="12"/>
      <c r="Z326" s="12"/>
    </row>
    <row r="327" customFormat="false" ht="15.75" hidden="false" customHeight="false" outlineLevel="0" collapsed="false">
      <c r="A327" s="12"/>
      <c r="B327" s="34"/>
      <c r="C327" s="12"/>
      <c r="D327" s="12"/>
      <c r="E327" s="12"/>
      <c r="F327" s="12"/>
      <c r="G327" s="18"/>
      <c r="H327" s="35"/>
      <c r="I327" s="35"/>
      <c r="J327" s="12"/>
      <c r="O327" s="12"/>
      <c r="P327" s="18"/>
      <c r="Q327" s="12"/>
      <c r="R327" s="12"/>
      <c r="S327" s="12"/>
      <c r="T327" s="36"/>
      <c r="U327" s="36"/>
      <c r="V327" s="12"/>
      <c r="W327" s="12"/>
      <c r="X327" s="12"/>
      <c r="Y327" s="12"/>
      <c r="Z327" s="12"/>
    </row>
    <row r="328" customFormat="false" ht="15.75" hidden="false" customHeight="false" outlineLevel="0" collapsed="false">
      <c r="A328" s="12"/>
      <c r="B328" s="34"/>
      <c r="C328" s="12"/>
      <c r="D328" s="12"/>
      <c r="E328" s="12"/>
      <c r="F328" s="12"/>
      <c r="G328" s="18"/>
      <c r="H328" s="35"/>
      <c r="I328" s="35"/>
      <c r="J328" s="12"/>
      <c r="O328" s="12"/>
      <c r="P328" s="18"/>
      <c r="Q328" s="12"/>
      <c r="R328" s="12"/>
      <c r="S328" s="12"/>
      <c r="T328" s="36"/>
      <c r="U328" s="36"/>
      <c r="V328" s="12"/>
      <c r="W328" s="12"/>
      <c r="X328" s="12"/>
      <c r="Y328" s="12"/>
      <c r="Z328" s="12"/>
    </row>
    <row r="329" customFormat="false" ht="15.75" hidden="false" customHeight="false" outlineLevel="0" collapsed="false">
      <c r="A329" s="12"/>
      <c r="B329" s="34"/>
      <c r="C329" s="12"/>
      <c r="D329" s="12"/>
      <c r="E329" s="12"/>
      <c r="F329" s="12"/>
      <c r="G329" s="18"/>
      <c r="H329" s="35"/>
      <c r="I329" s="35"/>
      <c r="J329" s="12"/>
      <c r="O329" s="12"/>
      <c r="P329" s="18"/>
      <c r="Q329" s="12"/>
      <c r="R329" s="12"/>
      <c r="S329" s="12"/>
      <c r="T329" s="36"/>
      <c r="U329" s="36"/>
      <c r="V329" s="12"/>
      <c r="W329" s="12"/>
      <c r="X329" s="12"/>
      <c r="Y329" s="12"/>
      <c r="Z329" s="12"/>
    </row>
    <row r="330" customFormat="false" ht="15.75" hidden="false" customHeight="false" outlineLevel="0" collapsed="false">
      <c r="A330" s="12"/>
      <c r="B330" s="34"/>
      <c r="C330" s="12"/>
      <c r="D330" s="12"/>
      <c r="E330" s="12"/>
      <c r="F330" s="12"/>
      <c r="G330" s="18"/>
      <c r="H330" s="35"/>
      <c r="I330" s="35"/>
      <c r="J330" s="12"/>
      <c r="O330" s="12"/>
      <c r="P330" s="18"/>
      <c r="Q330" s="12"/>
      <c r="R330" s="12"/>
      <c r="S330" s="12"/>
      <c r="T330" s="36"/>
      <c r="U330" s="36"/>
      <c r="V330" s="12"/>
      <c r="W330" s="12"/>
      <c r="X330" s="12"/>
      <c r="Y330" s="12"/>
      <c r="Z330" s="12"/>
    </row>
    <row r="331" customFormat="false" ht="15.75" hidden="false" customHeight="false" outlineLevel="0" collapsed="false">
      <c r="A331" s="12"/>
      <c r="B331" s="34"/>
      <c r="C331" s="12"/>
      <c r="D331" s="12"/>
      <c r="E331" s="12"/>
      <c r="F331" s="12"/>
      <c r="G331" s="18"/>
      <c r="H331" s="35"/>
      <c r="I331" s="35"/>
      <c r="J331" s="12"/>
      <c r="O331" s="12"/>
      <c r="P331" s="18"/>
      <c r="Q331" s="12"/>
      <c r="R331" s="12"/>
      <c r="S331" s="12"/>
      <c r="T331" s="36"/>
      <c r="U331" s="36"/>
      <c r="V331" s="12"/>
      <c r="W331" s="12"/>
      <c r="X331" s="12"/>
      <c r="Y331" s="12"/>
      <c r="Z331" s="12"/>
    </row>
    <row r="332" customFormat="false" ht="15.75" hidden="false" customHeight="false" outlineLevel="0" collapsed="false">
      <c r="A332" s="12"/>
      <c r="B332" s="34"/>
      <c r="C332" s="12"/>
      <c r="D332" s="12"/>
      <c r="E332" s="12"/>
      <c r="F332" s="12"/>
      <c r="G332" s="18"/>
      <c r="H332" s="35"/>
      <c r="I332" s="35"/>
      <c r="J332" s="12"/>
      <c r="O332" s="12"/>
      <c r="P332" s="18"/>
      <c r="Q332" s="12"/>
      <c r="R332" s="12"/>
      <c r="S332" s="12"/>
      <c r="T332" s="36"/>
      <c r="U332" s="36"/>
      <c r="V332" s="12"/>
      <c r="W332" s="12"/>
      <c r="X332" s="12"/>
      <c r="Y332" s="12"/>
      <c r="Z332" s="12"/>
    </row>
    <row r="333" customFormat="false" ht="15.75" hidden="false" customHeight="false" outlineLevel="0" collapsed="false">
      <c r="A333" s="12"/>
      <c r="B333" s="34"/>
      <c r="C333" s="12"/>
      <c r="D333" s="12"/>
      <c r="E333" s="12"/>
      <c r="F333" s="12"/>
      <c r="G333" s="18"/>
      <c r="H333" s="35"/>
      <c r="I333" s="35"/>
      <c r="J333" s="12"/>
      <c r="O333" s="12"/>
      <c r="P333" s="18"/>
      <c r="Q333" s="12"/>
      <c r="R333" s="12"/>
      <c r="S333" s="12"/>
      <c r="T333" s="36"/>
      <c r="U333" s="36"/>
      <c r="V333" s="12"/>
      <c r="W333" s="12"/>
      <c r="X333" s="12"/>
      <c r="Y333" s="12"/>
      <c r="Z333" s="12"/>
    </row>
    <row r="334" customFormat="false" ht="15.75" hidden="false" customHeight="false" outlineLevel="0" collapsed="false">
      <c r="A334" s="12"/>
      <c r="B334" s="34"/>
      <c r="C334" s="12"/>
      <c r="D334" s="12"/>
      <c r="E334" s="12"/>
      <c r="F334" s="12"/>
      <c r="G334" s="18"/>
      <c r="H334" s="35"/>
      <c r="I334" s="35"/>
      <c r="J334" s="12"/>
      <c r="O334" s="12"/>
      <c r="P334" s="18"/>
      <c r="Q334" s="12"/>
      <c r="R334" s="12"/>
      <c r="S334" s="12"/>
      <c r="T334" s="36"/>
      <c r="U334" s="36"/>
      <c r="V334" s="12"/>
      <c r="W334" s="12"/>
      <c r="X334" s="12"/>
      <c r="Y334" s="12"/>
      <c r="Z334" s="12"/>
    </row>
    <row r="335" customFormat="false" ht="15.75" hidden="false" customHeight="false" outlineLevel="0" collapsed="false">
      <c r="A335" s="12"/>
      <c r="B335" s="34"/>
      <c r="C335" s="12"/>
      <c r="D335" s="12"/>
      <c r="E335" s="12"/>
      <c r="F335" s="12"/>
      <c r="G335" s="18"/>
      <c r="H335" s="35"/>
      <c r="I335" s="35"/>
      <c r="J335" s="12"/>
      <c r="O335" s="12"/>
      <c r="P335" s="18"/>
      <c r="Q335" s="12"/>
      <c r="R335" s="12"/>
      <c r="S335" s="12"/>
      <c r="T335" s="36"/>
      <c r="U335" s="36"/>
      <c r="V335" s="12"/>
      <c r="W335" s="12"/>
      <c r="X335" s="12"/>
      <c r="Y335" s="12"/>
      <c r="Z335" s="12"/>
    </row>
    <row r="336" customFormat="false" ht="15.75" hidden="false" customHeight="false" outlineLevel="0" collapsed="false">
      <c r="A336" s="12"/>
      <c r="B336" s="34"/>
      <c r="C336" s="12"/>
      <c r="D336" s="12"/>
      <c r="E336" s="12"/>
      <c r="F336" s="12"/>
      <c r="G336" s="18"/>
      <c r="H336" s="35"/>
      <c r="I336" s="35"/>
      <c r="J336" s="12"/>
      <c r="O336" s="12"/>
      <c r="P336" s="18"/>
      <c r="Q336" s="12"/>
      <c r="R336" s="12"/>
      <c r="S336" s="12"/>
      <c r="T336" s="36"/>
      <c r="U336" s="36"/>
      <c r="V336" s="12"/>
      <c r="W336" s="12"/>
      <c r="X336" s="12"/>
      <c r="Y336" s="12"/>
      <c r="Z336" s="12"/>
    </row>
    <row r="337" customFormat="false" ht="15.75" hidden="false" customHeight="false" outlineLevel="0" collapsed="false">
      <c r="A337" s="12"/>
      <c r="B337" s="34"/>
      <c r="C337" s="12"/>
      <c r="D337" s="12"/>
      <c r="E337" s="12"/>
      <c r="F337" s="12"/>
      <c r="G337" s="18"/>
      <c r="H337" s="35"/>
      <c r="I337" s="35"/>
      <c r="J337" s="12"/>
      <c r="O337" s="12"/>
      <c r="P337" s="18"/>
      <c r="Q337" s="12"/>
      <c r="R337" s="12"/>
      <c r="S337" s="12"/>
      <c r="T337" s="36"/>
      <c r="U337" s="36"/>
      <c r="V337" s="12"/>
      <c r="W337" s="12"/>
      <c r="X337" s="12"/>
      <c r="Y337" s="12"/>
      <c r="Z337" s="12"/>
    </row>
    <row r="338" customFormat="false" ht="15.75" hidden="false" customHeight="false" outlineLevel="0" collapsed="false">
      <c r="A338" s="12"/>
      <c r="B338" s="34"/>
      <c r="C338" s="12"/>
      <c r="D338" s="12"/>
      <c r="E338" s="12"/>
      <c r="F338" s="12"/>
      <c r="G338" s="18"/>
      <c r="H338" s="35"/>
      <c r="I338" s="35"/>
      <c r="J338" s="12"/>
      <c r="O338" s="12"/>
      <c r="P338" s="18"/>
      <c r="Q338" s="12"/>
      <c r="R338" s="12"/>
      <c r="S338" s="12"/>
      <c r="T338" s="36"/>
      <c r="U338" s="36"/>
      <c r="V338" s="12"/>
      <c r="W338" s="12"/>
      <c r="X338" s="12"/>
      <c r="Y338" s="12"/>
      <c r="Z338" s="12"/>
    </row>
    <row r="339" customFormat="false" ht="15.75" hidden="false" customHeight="false" outlineLevel="0" collapsed="false">
      <c r="A339" s="12"/>
      <c r="B339" s="34"/>
      <c r="C339" s="12"/>
      <c r="D339" s="12"/>
      <c r="E339" s="12"/>
      <c r="F339" s="12"/>
      <c r="G339" s="18"/>
      <c r="H339" s="35"/>
      <c r="I339" s="35"/>
      <c r="J339" s="12"/>
      <c r="O339" s="12"/>
      <c r="P339" s="18"/>
      <c r="Q339" s="12"/>
      <c r="R339" s="12"/>
      <c r="S339" s="12"/>
      <c r="T339" s="36"/>
      <c r="U339" s="36"/>
      <c r="V339" s="12"/>
      <c r="W339" s="12"/>
      <c r="X339" s="12"/>
      <c r="Y339" s="12"/>
      <c r="Z339" s="12"/>
    </row>
    <row r="340" customFormat="false" ht="15.75" hidden="false" customHeight="false" outlineLevel="0" collapsed="false">
      <c r="A340" s="12"/>
      <c r="B340" s="34"/>
      <c r="C340" s="12"/>
      <c r="D340" s="12"/>
      <c r="E340" s="12"/>
      <c r="F340" s="12"/>
      <c r="G340" s="18"/>
      <c r="H340" s="35"/>
      <c r="I340" s="35"/>
      <c r="J340" s="12"/>
      <c r="O340" s="12"/>
      <c r="P340" s="18"/>
      <c r="Q340" s="12"/>
      <c r="R340" s="12"/>
      <c r="S340" s="12"/>
      <c r="T340" s="36"/>
      <c r="U340" s="36"/>
      <c r="V340" s="12"/>
      <c r="W340" s="12"/>
      <c r="X340" s="12"/>
      <c r="Y340" s="12"/>
      <c r="Z340" s="12"/>
    </row>
    <row r="341" customFormat="false" ht="15.75" hidden="false" customHeight="false" outlineLevel="0" collapsed="false">
      <c r="A341" s="12"/>
      <c r="B341" s="34"/>
      <c r="C341" s="12"/>
      <c r="D341" s="12"/>
      <c r="E341" s="12"/>
      <c r="F341" s="12"/>
      <c r="G341" s="18"/>
      <c r="H341" s="35"/>
      <c r="I341" s="35"/>
      <c r="J341" s="12"/>
      <c r="O341" s="12"/>
      <c r="P341" s="18"/>
      <c r="Q341" s="12"/>
      <c r="R341" s="12"/>
      <c r="S341" s="12"/>
      <c r="T341" s="36"/>
      <c r="U341" s="36"/>
      <c r="V341" s="12"/>
      <c r="W341" s="12"/>
      <c r="X341" s="12"/>
      <c r="Y341" s="12"/>
      <c r="Z341" s="12"/>
    </row>
    <row r="342" customFormat="false" ht="15.75" hidden="false" customHeight="false" outlineLevel="0" collapsed="false">
      <c r="A342" s="12"/>
      <c r="B342" s="34"/>
      <c r="C342" s="12"/>
      <c r="D342" s="12"/>
      <c r="E342" s="12"/>
      <c r="F342" s="12"/>
      <c r="G342" s="18"/>
      <c r="H342" s="35"/>
      <c r="I342" s="35"/>
      <c r="J342" s="12"/>
      <c r="O342" s="12"/>
      <c r="P342" s="18"/>
      <c r="Q342" s="12"/>
      <c r="R342" s="12"/>
      <c r="S342" s="12"/>
      <c r="T342" s="36"/>
      <c r="U342" s="36"/>
      <c r="V342" s="12"/>
      <c r="W342" s="12"/>
      <c r="X342" s="12"/>
      <c r="Y342" s="12"/>
      <c r="Z342" s="12"/>
    </row>
    <row r="343" customFormat="false" ht="15.75" hidden="false" customHeight="false" outlineLevel="0" collapsed="false">
      <c r="A343" s="12"/>
      <c r="B343" s="34"/>
      <c r="C343" s="12"/>
      <c r="D343" s="12"/>
      <c r="E343" s="12"/>
      <c r="F343" s="12"/>
      <c r="G343" s="18"/>
      <c r="H343" s="35"/>
      <c r="I343" s="35"/>
      <c r="J343" s="12"/>
      <c r="O343" s="12"/>
      <c r="P343" s="18"/>
      <c r="Q343" s="12"/>
      <c r="R343" s="12"/>
      <c r="S343" s="12"/>
      <c r="T343" s="36"/>
      <c r="U343" s="36"/>
      <c r="V343" s="12"/>
      <c r="W343" s="12"/>
      <c r="X343" s="12"/>
      <c r="Y343" s="12"/>
      <c r="Z343" s="12"/>
    </row>
    <row r="344" customFormat="false" ht="15.75" hidden="false" customHeight="false" outlineLevel="0" collapsed="false">
      <c r="A344" s="12"/>
      <c r="B344" s="34"/>
      <c r="C344" s="12"/>
      <c r="D344" s="12"/>
      <c r="E344" s="12"/>
      <c r="F344" s="12"/>
      <c r="G344" s="18"/>
      <c r="H344" s="35"/>
      <c r="I344" s="35"/>
      <c r="J344" s="12"/>
      <c r="O344" s="12"/>
      <c r="P344" s="18"/>
      <c r="Q344" s="12"/>
      <c r="R344" s="12"/>
      <c r="S344" s="12"/>
      <c r="T344" s="36"/>
      <c r="U344" s="36"/>
      <c r="V344" s="12"/>
      <c r="W344" s="12"/>
      <c r="X344" s="12"/>
      <c r="Y344" s="12"/>
      <c r="Z344" s="12"/>
    </row>
    <row r="345" customFormat="false" ht="15.75" hidden="false" customHeight="false" outlineLevel="0" collapsed="false">
      <c r="A345" s="12"/>
      <c r="B345" s="34"/>
      <c r="C345" s="12"/>
      <c r="D345" s="12"/>
      <c r="E345" s="12"/>
      <c r="F345" s="12"/>
      <c r="G345" s="18"/>
      <c r="H345" s="35"/>
      <c r="I345" s="35"/>
      <c r="J345" s="12"/>
      <c r="O345" s="12"/>
      <c r="P345" s="18"/>
      <c r="Q345" s="12"/>
      <c r="R345" s="12"/>
      <c r="S345" s="12"/>
      <c r="T345" s="36"/>
      <c r="U345" s="36"/>
      <c r="V345" s="12"/>
      <c r="W345" s="12"/>
      <c r="X345" s="12"/>
      <c r="Y345" s="12"/>
      <c r="Z345" s="12"/>
    </row>
    <row r="346" customFormat="false" ht="15.75" hidden="false" customHeight="false" outlineLevel="0" collapsed="false">
      <c r="A346" s="12"/>
      <c r="B346" s="34"/>
      <c r="C346" s="12"/>
      <c r="D346" s="12"/>
      <c r="E346" s="12"/>
      <c r="F346" s="12"/>
      <c r="G346" s="18"/>
      <c r="H346" s="35"/>
      <c r="I346" s="35"/>
      <c r="J346" s="12"/>
      <c r="O346" s="12"/>
      <c r="P346" s="18"/>
      <c r="Q346" s="12"/>
      <c r="R346" s="12"/>
      <c r="S346" s="12"/>
      <c r="T346" s="36"/>
      <c r="U346" s="36"/>
      <c r="V346" s="12"/>
      <c r="W346" s="12"/>
      <c r="X346" s="12"/>
      <c r="Y346" s="12"/>
      <c r="Z346" s="12"/>
    </row>
    <row r="347" customFormat="false" ht="15.75" hidden="false" customHeight="false" outlineLevel="0" collapsed="false">
      <c r="A347" s="12"/>
      <c r="B347" s="34"/>
      <c r="C347" s="12"/>
      <c r="D347" s="12"/>
      <c r="E347" s="12"/>
      <c r="F347" s="12"/>
      <c r="G347" s="18"/>
      <c r="H347" s="35"/>
      <c r="I347" s="35"/>
      <c r="J347" s="12"/>
      <c r="O347" s="12"/>
      <c r="P347" s="18"/>
      <c r="Q347" s="12"/>
      <c r="R347" s="12"/>
      <c r="S347" s="12"/>
      <c r="T347" s="36"/>
      <c r="U347" s="36"/>
      <c r="V347" s="12"/>
      <c r="W347" s="12"/>
      <c r="X347" s="12"/>
      <c r="Y347" s="12"/>
      <c r="Z347" s="12"/>
    </row>
    <row r="348" customFormat="false" ht="15.75" hidden="false" customHeight="false" outlineLevel="0" collapsed="false">
      <c r="A348" s="12"/>
      <c r="B348" s="34"/>
      <c r="C348" s="12"/>
      <c r="D348" s="12"/>
      <c r="E348" s="12"/>
      <c r="F348" s="12"/>
      <c r="G348" s="18"/>
      <c r="H348" s="35"/>
      <c r="I348" s="35"/>
      <c r="J348" s="12"/>
      <c r="O348" s="12"/>
      <c r="P348" s="18"/>
      <c r="Q348" s="12"/>
      <c r="R348" s="12"/>
      <c r="S348" s="12"/>
      <c r="T348" s="36"/>
      <c r="U348" s="36"/>
      <c r="V348" s="12"/>
      <c r="W348" s="12"/>
      <c r="X348" s="12"/>
      <c r="Y348" s="12"/>
      <c r="Z348" s="12"/>
    </row>
    <row r="349" customFormat="false" ht="15.75" hidden="false" customHeight="false" outlineLevel="0" collapsed="false">
      <c r="A349" s="12"/>
      <c r="B349" s="34"/>
      <c r="C349" s="12"/>
      <c r="D349" s="12"/>
      <c r="E349" s="12"/>
      <c r="F349" s="12"/>
      <c r="G349" s="18"/>
      <c r="H349" s="35"/>
      <c r="I349" s="35"/>
      <c r="J349" s="12"/>
      <c r="O349" s="12"/>
      <c r="P349" s="18"/>
      <c r="Q349" s="12"/>
      <c r="R349" s="12"/>
      <c r="S349" s="12"/>
      <c r="T349" s="36"/>
      <c r="U349" s="36"/>
      <c r="V349" s="12"/>
      <c r="W349" s="12"/>
      <c r="X349" s="12"/>
      <c r="Y349" s="12"/>
      <c r="Z349" s="12"/>
    </row>
    <row r="350" customFormat="false" ht="15.75" hidden="false" customHeight="false" outlineLevel="0" collapsed="false">
      <c r="A350" s="12"/>
      <c r="B350" s="34"/>
      <c r="C350" s="12"/>
      <c r="D350" s="12"/>
      <c r="E350" s="12"/>
      <c r="F350" s="12"/>
      <c r="G350" s="18"/>
      <c r="H350" s="35"/>
      <c r="I350" s="35"/>
      <c r="J350" s="12"/>
      <c r="O350" s="12"/>
      <c r="P350" s="18"/>
      <c r="Q350" s="12"/>
      <c r="R350" s="12"/>
      <c r="S350" s="12"/>
      <c r="T350" s="36"/>
      <c r="U350" s="36"/>
      <c r="V350" s="12"/>
      <c r="W350" s="12"/>
      <c r="X350" s="12"/>
      <c r="Y350" s="12"/>
      <c r="Z350" s="12"/>
    </row>
    <row r="351" customFormat="false" ht="15.75" hidden="false" customHeight="false" outlineLevel="0" collapsed="false">
      <c r="A351" s="12"/>
      <c r="B351" s="34"/>
      <c r="C351" s="12"/>
      <c r="D351" s="12"/>
      <c r="E351" s="12"/>
      <c r="F351" s="12"/>
      <c r="G351" s="18"/>
      <c r="H351" s="35"/>
      <c r="I351" s="35"/>
      <c r="J351" s="12"/>
      <c r="O351" s="12"/>
      <c r="P351" s="18"/>
      <c r="Q351" s="12"/>
      <c r="R351" s="12"/>
      <c r="S351" s="12"/>
      <c r="T351" s="36"/>
      <c r="U351" s="36"/>
      <c r="V351" s="12"/>
      <c r="W351" s="12"/>
      <c r="X351" s="12"/>
      <c r="Y351" s="12"/>
      <c r="Z351" s="12"/>
    </row>
    <row r="352" customFormat="false" ht="15.75" hidden="false" customHeight="false" outlineLevel="0" collapsed="false">
      <c r="A352" s="12"/>
      <c r="B352" s="34"/>
      <c r="C352" s="12"/>
      <c r="D352" s="12"/>
      <c r="E352" s="12"/>
      <c r="F352" s="12"/>
      <c r="G352" s="18"/>
      <c r="H352" s="35"/>
      <c r="I352" s="35"/>
      <c r="J352" s="12"/>
      <c r="O352" s="12"/>
      <c r="P352" s="18"/>
      <c r="Q352" s="12"/>
      <c r="R352" s="12"/>
      <c r="S352" s="12"/>
      <c r="T352" s="36"/>
      <c r="U352" s="36"/>
      <c r="V352" s="12"/>
      <c r="W352" s="12"/>
      <c r="X352" s="12"/>
      <c r="Y352" s="12"/>
      <c r="Z352" s="12"/>
    </row>
    <row r="353" customFormat="false" ht="15.75" hidden="false" customHeight="false" outlineLevel="0" collapsed="false">
      <c r="A353" s="12"/>
      <c r="B353" s="34"/>
      <c r="C353" s="12"/>
      <c r="D353" s="12"/>
      <c r="E353" s="12"/>
      <c r="F353" s="12"/>
      <c r="G353" s="18"/>
      <c r="H353" s="35"/>
      <c r="I353" s="35"/>
      <c r="J353" s="12"/>
      <c r="O353" s="12"/>
      <c r="P353" s="18"/>
      <c r="Q353" s="12"/>
      <c r="R353" s="12"/>
      <c r="S353" s="12"/>
      <c r="T353" s="36"/>
      <c r="U353" s="36"/>
      <c r="V353" s="12"/>
      <c r="W353" s="12"/>
      <c r="X353" s="12"/>
      <c r="Y353" s="12"/>
      <c r="Z353" s="12"/>
    </row>
    <row r="354" customFormat="false" ht="15.75" hidden="false" customHeight="false" outlineLevel="0" collapsed="false">
      <c r="A354" s="12"/>
      <c r="B354" s="34"/>
      <c r="C354" s="12"/>
      <c r="D354" s="12"/>
      <c r="E354" s="12"/>
      <c r="F354" s="12"/>
      <c r="G354" s="18"/>
      <c r="H354" s="35"/>
      <c r="I354" s="35"/>
      <c r="J354" s="12"/>
      <c r="O354" s="12"/>
      <c r="P354" s="18"/>
      <c r="Q354" s="12"/>
      <c r="R354" s="12"/>
      <c r="S354" s="12"/>
      <c r="T354" s="36"/>
      <c r="U354" s="36"/>
      <c r="V354" s="12"/>
      <c r="W354" s="12"/>
      <c r="X354" s="12"/>
      <c r="Y354" s="12"/>
      <c r="Z354" s="12"/>
    </row>
    <row r="355" customFormat="false" ht="15.75" hidden="false" customHeight="false" outlineLevel="0" collapsed="false">
      <c r="A355" s="12"/>
      <c r="B355" s="34"/>
      <c r="C355" s="12"/>
      <c r="D355" s="12"/>
      <c r="E355" s="12"/>
      <c r="F355" s="12"/>
      <c r="G355" s="18"/>
      <c r="H355" s="35"/>
      <c r="I355" s="35"/>
      <c r="J355" s="12"/>
      <c r="O355" s="12"/>
      <c r="P355" s="18"/>
      <c r="Q355" s="12"/>
      <c r="R355" s="12"/>
      <c r="S355" s="12"/>
      <c r="T355" s="36"/>
      <c r="U355" s="36"/>
      <c r="V355" s="12"/>
      <c r="W355" s="12"/>
      <c r="X355" s="12"/>
      <c r="Y355" s="12"/>
      <c r="Z355" s="12"/>
    </row>
    <row r="356" customFormat="false" ht="15.75" hidden="false" customHeight="false" outlineLevel="0" collapsed="false">
      <c r="A356" s="12"/>
      <c r="B356" s="34"/>
      <c r="C356" s="12"/>
      <c r="D356" s="12"/>
      <c r="E356" s="12"/>
      <c r="F356" s="12"/>
      <c r="G356" s="18"/>
      <c r="H356" s="35"/>
      <c r="I356" s="35"/>
      <c r="J356" s="12"/>
      <c r="O356" s="12"/>
      <c r="P356" s="18"/>
      <c r="Q356" s="12"/>
      <c r="R356" s="12"/>
      <c r="S356" s="12"/>
      <c r="T356" s="36"/>
      <c r="U356" s="36"/>
      <c r="V356" s="12"/>
      <c r="W356" s="12"/>
      <c r="X356" s="12"/>
      <c r="Y356" s="12"/>
      <c r="Z356" s="12"/>
    </row>
    <row r="357" customFormat="false" ht="15.75" hidden="false" customHeight="false" outlineLevel="0" collapsed="false">
      <c r="A357" s="12"/>
      <c r="B357" s="34"/>
      <c r="C357" s="12"/>
      <c r="D357" s="12"/>
      <c r="E357" s="12"/>
      <c r="F357" s="12"/>
      <c r="G357" s="18"/>
      <c r="H357" s="35"/>
      <c r="I357" s="35"/>
      <c r="J357" s="12"/>
      <c r="O357" s="12"/>
      <c r="P357" s="18"/>
      <c r="Q357" s="12"/>
      <c r="R357" s="12"/>
      <c r="S357" s="12"/>
      <c r="T357" s="36"/>
      <c r="U357" s="36"/>
      <c r="V357" s="12"/>
      <c r="W357" s="12"/>
      <c r="X357" s="12"/>
      <c r="Y357" s="12"/>
      <c r="Z357" s="12"/>
    </row>
    <row r="358" customFormat="false" ht="15.75" hidden="false" customHeight="false" outlineLevel="0" collapsed="false">
      <c r="A358" s="12"/>
      <c r="B358" s="34"/>
      <c r="C358" s="12"/>
      <c r="D358" s="12"/>
      <c r="E358" s="12"/>
      <c r="F358" s="12"/>
      <c r="G358" s="18"/>
      <c r="H358" s="35"/>
      <c r="I358" s="35"/>
      <c r="J358" s="12"/>
      <c r="O358" s="12"/>
      <c r="P358" s="18"/>
      <c r="Q358" s="12"/>
      <c r="R358" s="12"/>
      <c r="S358" s="12"/>
      <c r="T358" s="36"/>
      <c r="U358" s="36"/>
      <c r="V358" s="12"/>
      <c r="W358" s="12"/>
      <c r="X358" s="12"/>
      <c r="Y358" s="12"/>
      <c r="Z358" s="12"/>
    </row>
    <row r="359" customFormat="false" ht="15.75" hidden="false" customHeight="false" outlineLevel="0" collapsed="false">
      <c r="A359" s="12"/>
      <c r="B359" s="34"/>
      <c r="C359" s="12"/>
      <c r="D359" s="12"/>
      <c r="E359" s="12"/>
      <c r="F359" s="12"/>
      <c r="G359" s="18"/>
      <c r="H359" s="35"/>
      <c r="I359" s="35"/>
      <c r="J359" s="12"/>
      <c r="O359" s="12"/>
      <c r="P359" s="18"/>
      <c r="Q359" s="12"/>
      <c r="R359" s="12"/>
      <c r="S359" s="12"/>
      <c r="T359" s="36"/>
      <c r="U359" s="36"/>
      <c r="V359" s="12"/>
      <c r="W359" s="12"/>
      <c r="X359" s="12"/>
      <c r="Y359" s="12"/>
      <c r="Z359" s="12"/>
    </row>
    <row r="360" customFormat="false" ht="15.75" hidden="false" customHeight="false" outlineLevel="0" collapsed="false">
      <c r="A360" s="12"/>
      <c r="B360" s="34"/>
      <c r="C360" s="12"/>
      <c r="D360" s="12"/>
      <c r="E360" s="12"/>
      <c r="F360" s="12"/>
      <c r="G360" s="18"/>
      <c r="H360" s="35"/>
      <c r="I360" s="35"/>
      <c r="J360" s="12"/>
      <c r="O360" s="12"/>
      <c r="P360" s="18"/>
      <c r="Q360" s="12"/>
      <c r="R360" s="12"/>
      <c r="S360" s="12"/>
      <c r="T360" s="36"/>
      <c r="U360" s="36"/>
      <c r="V360" s="12"/>
      <c r="W360" s="12"/>
      <c r="X360" s="12"/>
      <c r="Y360" s="12"/>
      <c r="Z360" s="12"/>
    </row>
    <row r="361" customFormat="false" ht="15.75" hidden="false" customHeight="false" outlineLevel="0" collapsed="false">
      <c r="A361" s="12"/>
      <c r="B361" s="34"/>
      <c r="C361" s="12"/>
      <c r="D361" s="12"/>
      <c r="E361" s="12"/>
      <c r="F361" s="12"/>
      <c r="G361" s="18"/>
      <c r="H361" s="35"/>
      <c r="I361" s="35"/>
      <c r="J361" s="12"/>
      <c r="O361" s="12"/>
      <c r="P361" s="18"/>
      <c r="Q361" s="12"/>
      <c r="R361" s="12"/>
      <c r="S361" s="12"/>
      <c r="T361" s="36"/>
      <c r="U361" s="36"/>
      <c r="V361" s="12"/>
      <c r="W361" s="12"/>
      <c r="X361" s="12"/>
      <c r="Y361" s="12"/>
      <c r="Z361" s="12"/>
    </row>
    <row r="362" customFormat="false" ht="15.75" hidden="false" customHeight="false" outlineLevel="0" collapsed="false">
      <c r="A362" s="12"/>
      <c r="B362" s="34"/>
      <c r="C362" s="12"/>
      <c r="D362" s="12"/>
      <c r="E362" s="12"/>
      <c r="F362" s="12"/>
      <c r="G362" s="18"/>
      <c r="H362" s="35"/>
      <c r="I362" s="35"/>
      <c r="J362" s="12"/>
      <c r="O362" s="12"/>
      <c r="P362" s="18"/>
      <c r="Q362" s="12"/>
      <c r="R362" s="12"/>
      <c r="S362" s="12"/>
      <c r="T362" s="36"/>
      <c r="U362" s="36"/>
      <c r="V362" s="12"/>
      <c r="W362" s="12"/>
      <c r="X362" s="12"/>
      <c r="Y362" s="12"/>
      <c r="Z362" s="12"/>
    </row>
    <row r="363" customFormat="false" ht="15.75" hidden="false" customHeight="false" outlineLevel="0" collapsed="false">
      <c r="A363" s="12"/>
      <c r="B363" s="34"/>
      <c r="C363" s="12"/>
      <c r="D363" s="12"/>
      <c r="E363" s="12"/>
      <c r="F363" s="12"/>
      <c r="G363" s="18"/>
      <c r="H363" s="35"/>
      <c r="I363" s="35"/>
      <c r="J363" s="12"/>
      <c r="O363" s="12"/>
      <c r="P363" s="18"/>
      <c r="Q363" s="12"/>
      <c r="R363" s="12"/>
      <c r="S363" s="12"/>
      <c r="T363" s="36"/>
      <c r="U363" s="36"/>
      <c r="V363" s="12"/>
      <c r="W363" s="12"/>
      <c r="X363" s="12"/>
      <c r="Y363" s="12"/>
      <c r="Z363" s="12"/>
    </row>
    <row r="364" customFormat="false" ht="15.75" hidden="false" customHeight="false" outlineLevel="0" collapsed="false">
      <c r="A364" s="12"/>
      <c r="B364" s="34"/>
      <c r="C364" s="12"/>
      <c r="D364" s="12"/>
      <c r="E364" s="12"/>
      <c r="F364" s="12"/>
      <c r="G364" s="18"/>
      <c r="H364" s="35"/>
      <c r="I364" s="35"/>
      <c r="J364" s="12"/>
      <c r="O364" s="12"/>
      <c r="P364" s="18"/>
      <c r="Q364" s="12"/>
      <c r="R364" s="12"/>
      <c r="S364" s="12"/>
      <c r="T364" s="36"/>
      <c r="U364" s="36"/>
      <c r="V364" s="12"/>
      <c r="W364" s="12"/>
      <c r="X364" s="12"/>
      <c r="Y364" s="12"/>
      <c r="Z364" s="12"/>
    </row>
    <row r="365" customFormat="false" ht="15.75" hidden="false" customHeight="false" outlineLevel="0" collapsed="false">
      <c r="A365" s="12"/>
      <c r="B365" s="34"/>
      <c r="C365" s="12"/>
      <c r="D365" s="12"/>
      <c r="E365" s="12"/>
      <c r="F365" s="12"/>
      <c r="G365" s="18"/>
      <c r="H365" s="35"/>
      <c r="I365" s="35"/>
      <c r="J365" s="12"/>
      <c r="O365" s="12"/>
      <c r="P365" s="18"/>
      <c r="Q365" s="12"/>
      <c r="R365" s="12"/>
      <c r="S365" s="12"/>
      <c r="T365" s="36"/>
      <c r="U365" s="36"/>
      <c r="V365" s="12"/>
      <c r="W365" s="12"/>
      <c r="X365" s="12"/>
      <c r="Y365" s="12"/>
      <c r="Z365" s="12"/>
    </row>
    <row r="366" customFormat="false" ht="15.75" hidden="false" customHeight="false" outlineLevel="0" collapsed="false">
      <c r="A366" s="12"/>
      <c r="B366" s="34"/>
      <c r="C366" s="12"/>
      <c r="D366" s="12"/>
      <c r="E366" s="12"/>
      <c r="F366" s="12"/>
      <c r="G366" s="18"/>
      <c r="H366" s="35"/>
      <c r="I366" s="35"/>
      <c r="J366" s="12"/>
      <c r="O366" s="12"/>
      <c r="P366" s="18"/>
      <c r="Q366" s="12"/>
      <c r="R366" s="12"/>
      <c r="S366" s="12"/>
      <c r="T366" s="36"/>
      <c r="U366" s="36"/>
      <c r="V366" s="12"/>
      <c r="W366" s="12"/>
      <c r="X366" s="12"/>
      <c r="Y366" s="12"/>
      <c r="Z366" s="12"/>
    </row>
    <row r="367" customFormat="false" ht="15.75" hidden="false" customHeight="false" outlineLevel="0" collapsed="false">
      <c r="A367" s="12"/>
      <c r="B367" s="34"/>
      <c r="C367" s="12"/>
      <c r="D367" s="12"/>
      <c r="E367" s="12"/>
      <c r="F367" s="12"/>
      <c r="G367" s="18"/>
      <c r="H367" s="35"/>
      <c r="I367" s="35"/>
      <c r="J367" s="12"/>
      <c r="O367" s="12"/>
      <c r="P367" s="18"/>
      <c r="Q367" s="12"/>
      <c r="R367" s="12"/>
      <c r="S367" s="12"/>
      <c r="T367" s="36"/>
      <c r="U367" s="36"/>
      <c r="V367" s="12"/>
      <c r="W367" s="12"/>
      <c r="X367" s="12"/>
      <c r="Y367" s="12"/>
      <c r="Z367" s="12"/>
    </row>
    <row r="368" customFormat="false" ht="15.75" hidden="false" customHeight="false" outlineLevel="0" collapsed="false">
      <c r="A368" s="12"/>
      <c r="B368" s="34"/>
      <c r="C368" s="12"/>
      <c r="D368" s="12"/>
      <c r="E368" s="12"/>
      <c r="F368" s="12"/>
      <c r="G368" s="18"/>
      <c r="H368" s="35"/>
      <c r="I368" s="35"/>
      <c r="J368" s="12"/>
      <c r="O368" s="12"/>
      <c r="P368" s="18"/>
      <c r="Q368" s="12"/>
      <c r="R368" s="12"/>
      <c r="S368" s="12"/>
      <c r="T368" s="36"/>
      <c r="U368" s="36"/>
      <c r="V368" s="12"/>
      <c r="W368" s="12"/>
      <c r="X368" s="12"/>
      <c r="Y368" s="12"/>
      <c r="Z368" s="12"/>
    </row>
    <row r="369" customFormat="false" ht="15.75" hidden="false" customHeight="false" outlineLevel="0" collapsed="false">
      <c r="A369" s="12"/>
      <c r="B369" s="34"/>
      <c r="C369" s="12"/>
      <c r="D369" s="12"/>
      <c r="E369" s="12"/>
      <c r="F369" s="12"/>
      <c r="G369" s="18"/>
      <c r="H369" s="35"/>
      <c r="I369" s="35"/>
      <c r="J369" s="12"/>
      <c r="O369" s="12"/>
      <c r="P369" s="18"/>
      <c r="Q369" s="12"/>
      <c r="R369" s="12"/>
      <c r="S369" s="12"/>
      <c r="T369" s="36"/>
      <c r="U369" s="36"/>
      <c r="V369" s="12"/>
      <c r="W369" s="12"/>
      <c r="X369" s="12"/>
      <c r="Y369" s="12"/>
      <c r="Z369" s="12"/>
    </row>
    <row r="370" customFormat="false" ht="15.75" hidden="false" customHeight="false" outlineLevel="0" collapsed="false">
      <c r="A370" s="12"/>
      <c r="B370" s="34"/>
      <c r="C370" s="12"/>
      <c r="D370" s="12"/>
      <c r="E370" s="12"/>
      <c r="F370" s="12"/>
      <c r="G370" s="18"/>
      <c r="H370" s="35"/>
      <c r="I370" s="35"/>
      <c r="J370" s="12"/>
      <c r="O370" s="12"/>
      <c r="P370" s="18"/>
      <c r="Q370" s="12"/>
      <c r="R370" s="12"/>
      <c r="S370" s="12"/>
      <c r="T370" s="36"/>
      <c r="U370" s="36"/>
      <c r="V370" s="12"/>
      <c r="W370" s="12"/>
      <c r="X370" s="12"/>
      <c r="Y370" s="12"/>
      <c r="Z370" s="12"/>
    </row>
    <row r="371" customFormat="false" ht="15.75" hidden="false" customHeight="false" outlineLevel="0" collapsed="false">
      <c r="A371" s="12"/>
      <c r="B371" s="34"/>
      <c r="C371" s="12"/>
      <c r="D371" s="12"/>
      <c r="E371" s="12"/>
      <c r="F371" s="12"/>
      <c r="G371" s="18"/>
      <c r="H371" s="35"/>
      <c r="I371" s="35"/>
      <c r="J371" s="12"/>
      <c r="O371" s="12"/>
      <c r="P371" s="18"/>
      <c r="Q371" s="12"/>
      <c r="R371" s="12"/>
      <c r="S371" s="12"/>
      <c r="T371" s="36"/>
      <c r="U371" s="36"/>
      <c r="V371" s="12"/>
      <c r="W371" s="12"/>
      <c r="X371" s="12"/>
      <c r="Y371" s="12"/>
      <c r="Z371" s="12"/>
    </row>
    <row r="372" customFormat="false" ht="15.75" hidden="false" customHeight="false" outlineLevel="0" collapsed="false">
      <c r="A372" s="12"/>
      <c r="B372" s="34"/>
      <c r="C372" s="12"/>
      <c r="D372" s="12"/>
      <c r="E372" s="12"/>
      <c r="F372" s="12"/>
      <c r="G372" s="18"/>
      <c r="H372" s="35"/>
      <c r="I372" s="35"/>
      <c r="J372" s="12"/>
      <c r="O372" s="12"/>
      <c r="P372" s="18"/>
      <c r="Q372" s="12"/>
      <c r="R372" s="12"/>
      <c r="S372" s="12"/>
      <c r="T372" s="36"/>
      <c r="U372" s="36"/>
      <c r="V372" s="12"/>
      <c r="W372" s="12"/>
      <c r="X372" s="12"/>
      <c r="Y372" s="12"/>
      <c r="Z372" s="12"/>
    </row>
    <row r="373" customFormat="false" ht="15.75" hidden="false" customHeight="false" outlineLevel="0" collapsed="false">
      <c r="A373" s="12"/>
      <c r="B373" s="34"/>
      <c r="C373" s="12"/>
      <c r="D373" s="12"/>
      <c r="E373" s="12"/>
      <c r="F373" s="12"/>
      <c r="G373" s="18"/>
      <c r="H373" s="35"/>
      <c r="I373" s="35"/>
      <c r="J373" s="12"/>
      <c r="O373" s="12"/>
      <c r="P373" s="18"/>
      <c r="Q373" s="12"/>
      <c r="R373" s="12"/>
      <c r="S373" s="12"/>
      <c r="T373" s="36"/>
      <c r="U373" s="36"/>
      <c r="V373" s="12"/>
      <c r="W373" s="12"/>
      <c r="X373" s="12"/>
      <c r="Y373" s="12"/>
      <c r="Z373" s="12"/>
    </row>
    <row r="374" customFormat="false" ht="15.75" hidden="false" customHeight="false" outlineLevel="0" collapsed="false">
      <c r="A374" s="12"/>
      <c r="B374" s="34"/>
      <c r="C374" s="12"/>
      <c r="D374" s="12"/>
      <c r="E374" s="12"/>
      <c r="F374" s="12"/>
      <c r="G374" s="18"/>
      <c r="H374" s="35"/>
      <c r="I374" s="35"/>
      <c r="J374" s="12"/>
      <c r="O374" s="12"/>
      <c r="P374" s="18"/>
      <c r="Q374" s="12"/>
      <c r="R374" s="12"/>
      <c r="S374" s="12"/>
      <c r="T374" s="36"/>
      <c r="U374" s="36"/>
      <c r="V374" s="12"/>
      <c r="W374" s="12"/>
      <c r="X374" s="12"/>
      <c r="Y374" s="12"/>
      <c r="Z374" s="12"/>
    </row>
    <row r="375" customFormat="false" ht="15.75" hidden="false" customHeight="false" outlineLevel="0" collapsed="false">
      <c r="A375" s="12"/>
      <c r="B375" s="34"/>
      <c r="C375" s="12"/>
      <c r="D375" s="12"/>
      <c r="E375" s="12"/>
      <c r="F375" s="12"/>
      <c r="G375" s="18"/>
      <c r="H375" s="35"/>
      <c r="I375" s="35"/>
      <c r="J375" s="12"/>
      <c r="O375" s="12"/>
      <c r="P375" s="18"/>
      <c r="Q375" s="12"/>
      <c r="R375" s="12"/>
      <c r="S375" s="12"/>
      <c r="T375" s="36"/>
      <c r="U375" s="36"/>
      <c r="V375" s="12"/>
      <c r="W375" s="12"/>
      <c r="X375" s="12"/>
      <c r="Y375" s="12"/>
      <c r="Z375" s="12"/>
    </row>
    <row r="376" customFormat="false" ht="15.75" hidden="false" customHeight="false" outlineLevel="0" collapsed="false">
      <c r="A376" s="12"/>
      <c r="B376" s="34"/>
      <c r="C376" s="12"/>
      <c r="D376" s="12"/>
      <c r="E376" s="12"/>
      <c r="F376" s="12"/>
      <c r="G376" s="18"/>
      <c r="H376" s="35"/>
      <c r="I376" s="35"/>
      <c r="J376" s="12"/>
      <c r="O376" s="12"/>
      <c r="P376" s="18"/>
      <c r="Q376" s="12"/>
      <c r="R376" s="12"/>
      <c r="S376" s="12"/>
      <c r="T376" s="36"/>
      <c r="U376" s="36"/>
      <c r="V376" s="12"/>
      <c r="W376" s="12"/>
      <c r="X376" s="12"/>
      <c r="Y376" s="12"/>
      <c r="Z376" s="12"/>
    </row>
    <row r="377" customFormat="false" ht="15.75" hidden="false" customHeight="false" outlineLevel="0" collapsed="false">
      <c r="A377" s="12"/>
      <c r="B377" s="34"/>
      <c r="C377" s="12"/>
      <c r="D377" s="12"/>
      <c r="E377" s="12"/>
      <c r="F377" s="12"/>
      <c r="G377" s="18"/>
      <c r="H377" s="35"/>
      <c r="I377" s="35"/>
      <c r="J377" s="12"/>
      <c r="O377" s="12"/>
      <c r="P377" s="18"/>
      <c r="Q377" s="12"/>
      <c r="R377" s="12"/>
      <c r="S377" s="12"/>
      <c r="T377" s="36"/>
      <c r="U377" s="36"/>
      <c r="V377" s="12"/>
      <c r="W377" s="12"/>
      <c r="X377" s="12"/>
      <c r="Y377" s="12"/>
      <c r="Z377" s="12"/>
    </row>
    <row r="378" customFormat="false" ht="15.75" hidden="false" customHeight="false" outlineLevel="0" collapsed="false">
      <c r="A378" s="12"/>
      <c r="B378" s="34"/>
      <c r="C378" s="12"/>
      <c r="D378" s="12"/>
      <c r="E378" s="12"/>
      <c r="F378" s="12"/>
      <c r="G378" s="18"/>
      <c r="H378" s="35"/>
      <c r="I378" s="35"/>
      <c r="J378" s="12"/>
      <c r="O378" s="12"/>
      <c r="P378" s="18"/>
      <c r="Q378" s="12"/>
      <c r="R378" s="12"/>
      <c r="S378" s="12"/>
      <c r="T378" s="36"/>
      <c r="U378" s="36"/>
      <c r="V378" s="12"/>
      <c r="W378" s="12"/>
      <c r="X378" s="12"/>
      <c r="Y378" s="12"/>
      <c r="Z378" s="12"/>
    </row>
    <row r="379" customFormat="false" ht="15.75" hidden="false" customHeight="false" outlineLevel="0" collapsed="false">
      <c r="A379" s="12"/>
      <c r="B379" s="34"/>
      <c r="C379" s="12"/>
      <c r="D379" s="12"/>
      <c r="E379" s="12"/>
      <c r="F379" s="12"/>
      <c r="G379" s="18"/>
      <c r="H379" s="35"/>
      <c r="I379" s="35"/>
      <c r="J379" s="12"/>
      <c r="O379" s="12"/>
      <c r="P379" s="18"/>
      <c r="Q379" s="12"/>
      <c r="R379" s="12"/>
      <c r="S379" s="12"/>
      <c r="T379" s="36"/>
      <c r="U379" s="36"/>
      <c r="V379" s="12"/>
      <c r="W379" s="12"/>
      <c r="X379" s="12"/>
      <c r="Y379" s="12"/>
      <c r="Z379" s="12"/>
    </row>
    <row r="380" customFormat="false" ht="15.75" hidden="false" customHeight="false" outlineLevel="0" collapsed="false">
      <c r="A380" s="12"/>
      <c r="B380" s="34"/>
      <c r="C380" s="12"/>
      <c r="D380" s="12"/>
      <c r="E380" s="12"/>
      <c r="F380" s="12"/>
      <c r="G380" s="18"/>
      <c r="H380" s="35"/>
      <c r="I380" s="35"/>
      <c r="J380" s="12"/>
      <c r="O380" s="12"/>
      <c r="P380" s="18"/>
      <c r="Q380" s="12"/>
      <c r="R380" s="12"/>
      <c r="S380" s="12"/>
      <c r="T380" s="36"/>
      <c r="U380" s="36"/>
      <c r="V380" s="12"/>
      <c r="W380" s="12"/>
      <c r="X380" s="12"/>
      <c r="Y380" s="12"/>
      <c r="Z380" s="12"/>
    </row>
    <row r="381" customFormat="false" ht="15.75" hidden="false" customHeight="false" outlineLevel="0" collapsed="false">
      <c r="A381" s="12"/>
      <c r="B381" s="34"/>
      <c r="C381" s="12"/>
      <c r="D381" s="12"/>
      <c r="E381" s="12"/>
      <c r="F381" s="12"/>
      <c r="G381" s="18"/>
      <c r="H381" s="35"/>
      <c r="I381" s="35"/>
      <c r="J381" s="12"/>
      <c r="O381" s="12"/>
      <c r="P381" s="18"/>
      <c r="Q381" s="12"/>
      <c r="R381" s="12"/>
      <c r="S381" s="12"/>
      <c r="T381" s="36"/>
      <c r="U381" s="36"/>
      <c r="V381" s="12"/>
      <c r="W381" s="12"/>
      <c r="X381" s="12"/>
      <c r="Y381" s="12"/>
      <c r="Z381" s="12"/>
    </row>
    <row r="382" customFormat="false" ht="15.75" hidden="false" customHeight="false" outlineLevel="0" collapsed="false">
      <c r="A382" s="12"/>
      <c r="B382" s="34"/>
      <c r="C382" s="12"/>
      <c r="D382" s="12"/>
      <c r="E382" s="12"/>
      <c r="F382" s="12"/>
      <c r="G382" s="18"/>
      <c r="H382" s="35"/>
      <c r="I382" s="35"/>
      <c r="J382" s="12"/>
      <c r="O382" s="12"/>
      <c r="P382" s="18"/>
      <c r="Q382" s="12"/>
      <c r="R382" s="12"/>
      <c r="S382" s="12"/>
      <c r="T382" s="36"/>
      <c r="U382" s="36"/>
      <c r="V382" s="12"/>
      <c r="W382" s="12"/>
      <c r="X382" s="12"/>
      <c r="Y382" s="12"/>
      <c r="Z382" s="12"/>
    </row>
    <row r="383" customFormat="false" ht="15.75" hidden="false" customHeight="false" outlineLevel="0" collapsed="false">
      <c r="A383" s="12"/>
      <c r="B383" s="34"/>
      <c r="C383" s="12"/>
      <c r="D383" s="12"/>
      <c r="E383" s="12"/>
      <c r="F383" s="12"/>
      <c r="G383" s="18"/>
      <c r="H383" s="35"/>
      <c r="I383" s="35"/>
      <c r="J383" s="12"/>
      <c r="O383" s="12"/>
      <c r="P383" s="18"/>
      <c r="Q383" s="12"/>
      <c r="R383" s="12"/>
      <c r="S383" s="12"/>
      <c r="T383" s="36"/>
      <c r="U383" s="36"/>
      <c r="V383" s="12"/>
      <c r="W383" s="12"/>
      <c r="X383" s="12"/>
      <c r="Y383" s="12"/>
      <c r="Z383" s="12"/>
    </row>
    <row r="384" customFormat="false" ht="15.75" hidden="false" customHeight="false" outlineLevel="0" collapsed="false">
      <c r="A384" s="12"/>
      <c r="B384" s="34"/>
      <c r="C384" s="12"/>
      <c r="D384" s="12"/>
      <c r="E384" s="12"/>
      <c r="F384" s="12"/>
      <c r="G384" s="18"/>
      <c r="H384" s="35"/>
      <c r="I384" s="35"/>
      <c r="J384" s="12"/>
      <c r="O384" s="12"/>
      <c r="P384" s="18"/>
      <c r="Q384" s="12"/>
      <c r="R384" s="12"/>
      <c r="S384" s="12"/>
      <c r="T384" s="36"/>
      <c r="U384" s="36"/>
      <c r="V384" s="12"/>
      <c r="W384" s="12"/>
      <c r="X384" s="12"/>
      <c r="Y384" s="12"/>
      <c r="Z384" s="12"/>
    </row>
    <row r="385" customFormat="false" ht="15.75" hidden="false" customHeight="false" outlineLevel="0" collapsed="false">
      <c r="A385" s="12"/>
      <c r="B385" s="34"/>
      <c r="C385" s="12"/>
      <c r="D385" s="12"/>
      <c r="E385" s="12"/>
      <c r="F385" s="12"/>
      <c r="G385" s="18"/>
      <c r="H385" s="35"/>
      <c r="I385" s="35"/>
      <c r="J385" s="12"/>
      <c r="O385" s="12"/>
      <c r="P385" s="18"/>
      <c r="Q385" s="12"/>
      <c r="R385" s="12"/>
      <c r="S385" s="12"/>
      <c r="T385" s="36"/>
      <c r="U385" s="36"/>
      <c r="V385" s="12"/>
      <c r="W385" s="12"/>
      <c r="X385" s="12"/>
      <c r="Y385" s="12"/>
      <c r="Z385" s="12"/>
    </row>
    <row r="386" customFormat="false" ht="15.75" hidden="false" customHeight="false" outlineLevel="0" collapsed="false">
      <c r="A386" s="12"/>
      <c r="B386" s="34"/>
      <c r="C386" s="12"/>
      <c r="D386" s="12"/>
      <c r="E386" s="12"/>
      <c r="F386" s="12"/>
      <c r="G386" s="18"/>
      <c r="H386" s="35"/>
      <c r="I386" s="35"/>
      <c r="J386" s="12"/>
      <c r="O386" s="12"/>
      <c r="P386" s="18"/>
      <c r="Q386" s="12"/>
      <c r="R386" s="12"/>
      <c r="S386" s="12"/>
      <c r="T386" s="36"/>
      <c r="U386" s="36"/>
      <c r="V386" s="12"/>
      <c r="W386" s="12"/>
      <c r="X386" s="12"/>
      <c r="Y386" s="12"/>
      <c r="Z386" s="12"/>
    </row>
    <row r="387" customFormat="false" ht="15.75" hidden="false" customHeight="false" outlineLevel="0" collapsed="false">
      <c r="A387" s="12"/>
      <c r="B387" s="34"/>
      <c r="C387" s="12"/>
      <c r="D387" s="12"/>
      <c r="E387" s="12"/>
      <c r="F387" s="12"/>
      <c r="G387" s="18"/>
      <c r="H387" s="35"/>
      <c r="I387" s="35"/>
      <c r="J387" s="12"/>
      <c r="O387" s="12"/>
      <c r="P387" s="18"/>
      <c r="Q387" s="12"/>
      <c r="R387" s="12"/>
      <c r="S387" s="12"/>
      <c r="T387" s="36"/>
      <c r="U387" s="36"/>
      <c r="V387" s="12"/>
      <c r="W387" s="12"/>
      <c r="X387" s="12"/>
      <c r="Y387" s="12"/>
      <c r="Z387" s="12"/>
    </row>
    <row r="388" customFormat="false" ht="15.75" hidden="false" customHeight="false" outlineLevel="0" collapsed="false">
      <c r="A388" s="12"/>
      <c r="B388" s="34"/>
      <c r="C388" s="12"/>
      <c r="D388" s="12"/>
      <c r="E388" s="12"/>
      <c r="F388" s="12"/>
      <c r="G388" s="18"/>
      <c r="H388" s="35"/>
      <c r="I388" s="35"/>
      <c r="J388" s="12"/>
      <c r="O388" s="12"/>
      <c r="P388" s="18"/>
      <c r="Q388" s="12"/>
      <c r="R388" s="12"/>
      <c r="S388" s="12"/>
      <c r="T388" s="36"/>
      <c r="U388" s="36"/>
      <c r="V388" s="12"/>
      <c r="W388" s="12"/>
      <c r="X388" s="12"/>
      <c r="Y388" s="12"/>
      <c r="Z388" s="12"/>
    </row>
    <row r="389" customFormat="false" ht="15.75" hidden="false" customHeight="false" outlineLevel="0" collapsed="false">
      <c r="A389" s="12"/>
      <c r="B389" s="34"/>
      <c r="C389" s="12"/>
      <c r="D389" s="12"/>
      <c r="E389" s="12"/>
      <c r="F389" s="12"/>
      <c r="G389" s="18"/>
      <c r="H389" s="35"/>
      <c r="I389" s="35"/>
      <c r="J389" s="12"/>
      <c r="O389" s="12"/>
      <c r="P389" s="18"/>
      <c r="Q389" s="12"/>
      <c r="R389" s="12"/>
      <c r="S389" s="12"/>
      <c r="T389" s="36"/>
      <c r="U389" s="36"/>
      <c r="V389" s="12"/>
      <c r="W389" s="12"/>
      <c r="X389" s="12"/>
      <c r="Y389" s="12"/>
      <c r="Z389" s="12"/>
    </row>
    <row r="390" customFormat="false" ht="15.75" hidden="false" customHeight="false" outlineLevel="0" collapsed="false">
      <c r="A390" s="12"/>
      <c r="B390" s="34"/>
      <c r="C390" s="12"/>
      <c r="D390" s="12"/>
      <c r="E390" s="12"/>
      <c r="F390" s="12"/>
      <c r="G390" s="18"/>
      <c r="H390" s="35"/>
      <c r="I390" s="35"/>
      <c r="J390" s="12"/>
      <c r="O390" s="12"/>
      <c r="P390" s="18"/>
      <c r="Q390" s="12"/>
      <c r="R390" s="12"/>
      <c r="S390" s="12"/>
      <c r="T390" s="36"/>
      <c r="U390" s="36"/>
      <c r="V390" s="12"/>
      <c r="W390" s="12"/>
      <c r="X390" s="12"/>
      <c r="Y390" s="12"/>
      <c r="Z390" s="12"/>
    </row>
    <row r="391" customFormat="false" ht="15.75" hidden="false" customHeight="false" outlineLevel="0" collapsed="false">
      <c r="A391" s="12"/>
      <c r="B391" s="34"/>
      <c r="C391" s="12"/>
      <c r="D391" s="12"/>
      <c r="E391" s="12"/>
      <c r="F391" s="12"/>
      <c r="G391" s="18"/>
      <c r="H391" s="35"/>
      <c r="I391" s="35"/>
      <c r="J391" s="12"/>
      <c r="O391" s="12"/>
      <c r="P391" s="18"/>
      <c r="Q391" s="12"/>
      <c r="R391" s="12"/>
      <c r="S391" s="12"/>
      <c r="T391" s="36"/>
      <c r="U391" s="36"/>
      <c r="V391" s="12"/>
      <c r="W391" s="12"/>
      <c r="X391" s="12"/>
      <c r="Y391" s="12"/>
      <c r="Z391" s="12"/>
    </row>
    <row r="392" customFormat="false" ht="15.75" hidden="false" customHeight="false" outlineLevel="0" collapsed="false">
      <c r="A392" s="12"/>
      <c r="B392" s="34"/>
      <c r="C392" s="12"/>
      <c r="D392" s="12"/>
      <c r="E392" s="12"/>
      <c r="F392" s="12"/>
      <c r="G392" s="18"/>
      <c r="H392" s="35"/>
      <c r="I392" s="35"/>
      <c r="J392" s="12"/>
      <c r="O392" s="12"/>
      <c r="P392" s="18"/>
      <c r="Q392" s="12"/>
      <c r="R392" s="12"/>
      <c r="S392" s="12"/>
      <c r="T392" s="36"/>
      <c r="U392" s="36"/>
      <c r="V392" s="12"/>
      <c r="W392" s="12"/>
      <c r="X392" s="12"/>
      <c r="Y392" s="12"/>
      <c r="Z392" s="12"/>
    </row>
    <row r="393" customFormat="false" ht="15.75" hidden="false" customHeight="false" outlineLevel="0" collapsed="false">
      <c r="A393" s="12"/>
      <c r="B393" s="34"/>
      <c r="C393" s="12"/>
      <c r="D393" s="12"/>
      <c r="E393" s="12"/>
      <c r="F393" s="12"/>
      <c r="G393" s="18"/>
      <c r="H393" s="35"/>
      <c r="I393" s="35"/>
      <c r="J393" s="12"/>
      <c r="O393" s="12"/>
      <c r="P393" s="18"/>
      <c r="Q393" s="12"/>
      <c r="R393" s="12"/>
      <c r="S393" s="12"/>
      <c r="T393" s="36"/>
      <c r="U393" s="36"/>
      <c r="V393" s="12"/>
      <c r="W393" s="12"/>
      <c r="X393" s="12"/>
      <c r="Y393" s="12"/>
      <c r="Z393" s="12"/>
    </row>
    <row r="394" customFormat="false" ht="15.75" hidden="false" customHeight="false" outlineLevel="0" collapsed="false">
      <c r="A394" s="12"/>
      <c r="B394" s="34"/>
      <c r="C394" s="12"/>
      <c r="D394" s="12"/>
      <c r="E394" s="12"/>
      <c r="F394" s="12"/>
      <c r="G394" s="18"/>
      <c r="H394" s="35"/>
      <c r="I394" s="35"/>
      <c r="J394" s="12"/>
      <c r="O394" s="12"/>
      <c r="P394" s="18"/>
      <c r="Q394" s="12"/>
      <c r="R394" s="12"/>
      <c r="S394" s="12"/>
      <c r="T394" s="36"/>
      <c r="U394" s="36"/>
      <c r="V394" s="12"/>
      <c r="W394" s="12"/>
      <c r="X394" s="12"/>
      <c r="Y394" s="12"/>
      <c r="Z394" s="12"/>
    </row>
    <row r="395" customFormat="false" ht="15.75" hidden="false" customHeight="false" outlineLevel="0" collapsed="false">
      <c r="A395" s="12"/>
      <c r="B395" s="34"/>
      <c r="C395" s="12"/>
      <c r="D395" s="12"/>
      <c r="E395" s="12"/>
      <c r="F395" s="12"/>
      <c r="G395" s="18"/>
      <c r="H395" s="35"/>
      <c r="I395" s="35"/>
      <c r="J395" s="12"/>
      <c r="O395" s="12"/>
      <c r="P395" s="18"/>
      <c r="Q395" s="12"/>
      <c r="R395" s="12"/>
      <c r="S395" s="12"/>
      <c r="T395" s="36"/>
      <c r="U395" s="36"/>
      <c r="V395" s="12"/>
      <c r="W395" s="12"/>
      <c r="X395" s="12"/>
      <c r="Y395" s="12"/>
      <c r="Z395" s="12"/>
    </row>
    <row r="396" customFormat="false" ht="15.75" hidden="false" customHeight="false" outlineLevel="0" collapsed="false">
      <c r="A396" s="12"/>
      <c r="B396" s="34"/>
      <c r="C396" s="12"/>
      <c r="D396" s="12"/>
      <c r="E396" s="12"/>
      <c r="F396" s="12"/>
      <c r="G396" s="18"/>
      <c r="H396" s="35"/>
      <c r="I396" s="35"/>
      <c r="J396" s="12"/>
      <c r="O396" s="12"/>
      <c r="P396" s="18"/>
      <c r="Q396" s="12"/>
      <c r="R396" s="12"/>
      <c r="S396" s="12"/>
      <c r="T396" s="36"/>
      <c r="U396" s="36"/>
      <c r="V396" s="12"/>
      <c r="W396" s="12"/>
      <c r="X396" s="12"/>
      <c r="Y396" s="12"/>
      <c r="Z396" s="12"/>
    </row>
    <row r="397" customFormat="false" ht="15.75" hidden="false" customHeight="false" outlineLevel="0" collapsed="false">
      <c r="A397" s="12"/>
      <c r="B397" s="34"/>
      <c r="C397" s="12"/>
      <c r="D397" s="12"/>
      <c r="E397" s="12"/>
      <c r="F397" s="12"/>
      <c r="G397" s="18"/>
      <c r="H397" s="35"/>
      <c r="I397" s="35"/>
      <c r="J397" s="12"/>
      <c r="O397" s="12"/>
      <c r="P397" s="18"/>
      <c r="Q397" s="12"/>
      <c r="R397" s="12"/>
      <c r="S397" s="12"/>
      <c r="T397" s="36"/>
      <c r="U397" s="36"/>
      <c r="V397" s="12"/>
      <c r="W397" s="12"/>
      <c r="X397" s="12"/>
      <c r="Y397" s="12"/>
      <c r="Z397" s="12"/>
    </row>
    <row r="398" customFormat="false" ht="15.75" hidden="false" customHeight="false" outlineLevel="0" collapsed="false">
      <c r="A398" s="12"/>
      <c r="B398" s="34"/>
      <c r="C398" s="12"/>
      <c r="D398" s="12"/>
      <c r="E398" s="12"/>
      <c r="F398" s="12"/>
      <c r="G398" s="18"/>
      <c r="H398" s="35"/>
      <c r="I398" s="35"/>
      <c r="J398" s="12"/>
      <c r="O398" s="12"/>
      <c r="P398" s="18"/>
      <c r="Q398" s="12"/>
      <c r="R398" s="12"/>
      <c r="S398" s="12"/>
      <c r="T398" s="36"/>
      <c r="U398" s="36"/>
      <c r="V398" s="12"/>
      <c r="W398" s="12"/>
      <c r="X398" s="12"/>
      <c r="Y398" s="12"/>
      <c r="Z398" s="12"/>
    </row>
    <row r="399" customFormat="false" ht="15.75" hidden="false" customHeight="false" outlineLevel="0" collapsed="false">
      <c r="A399" s="12"/>
      <c r="B399" s="34"/>
      <c r="C399" s="12"/>
      <c r="D399" s="12"/>
      <c r="E399" s="12"/>
      <c r="F399" s="12"/>
      <c r="G399" s="18"/>
      <c r="H399" s="35"/>
      <c r="I399" s="35"/>
      <c r="J399" s="12"/>
      <c r="O399" s="12"/>
      <c r="P399" s="18"/>
      <c r="Q399" s="12"/>
      <c r="R399" s="12"/>
      <c r="S399" s="12"/>
      <c r="T399" s="36"/>
      <c r="U399" s="36"/>
      <c r="V399" s="12"/>
      <c r="W399" s="12"/>
      <c r="X399" s="12"/>
      <c r="Y399" s="12"/>
      <c r="Z399" s="12"/>
    </row>
    <row r="400" customFormat="false" ht="15.75" hidden="false" customHeight="false" outlineLevel="0" collapsed="false">
      <c r="A400" s="12"/>
      <c r="B400" s="34"/>
      <c r="C400" s="12"/>
      <c r="D400" s="12"/>
      <c r="E400" s="12"/>
      <c r="F400" s="12"/>
      <c r="G400" s="18"/>
      <c r="H400" s="35"/>
      <c r="I400" s="35"/>
      <c r="J400" s="12"/>
      <c r="O400" s="12"/>
      <c r="P400" s="18"/>
      <c r="Q400" s="12"/>
      <c r="R400" s="12"/>
      <c r="S400" s="12"/>
      <c r="T400" s="36"/>
      <c r="U400" s="36"/>
      <c r="V400" s="12"/>
      <c r="W400" s="12"/>
      <c r="X400" s="12"/>
      <c r="Y400" s="12"/>
      <c r="Z400" s="12"/>
    </row>
    <row r="401" customFormat="false" ht="15.75" hidden="false" customHeight="false" outlineLevel="0" collapsed="false">
      <c r="A401" s="12"/>
      <c r="B401" s="34"/>
      <c r="C401" s="12"/>
      <c r="D401" s="12"/>
      <c r="E401" s="12"/>
      <c r="F401" s="12"/>
      <c r="G401" s="18"/>
      <c r="H401" s="35"/>
      <c r="I401" s="35"/>
      <c r="J401" s="12"/>
      <c r="O401" s="12"/>
      <c r="P401" s="18"/>
      <c r="Q401" s="12"/>
      <c r="R401" s="12"/>
      <c r="S401" s="12"/>
      <c r="T401" s="36"/>
      <c r="U401" s="36"/>
      <c r="V401" s="12"/>
      <c r="W401" s="12"/>
      <c r="X401" s="12"/>
      <c r="Y401" s="12"/>
      <c r="Z401" s="12"/>
    </row>
    <row r="402" customFormat="false" ht="15.75" hidden="false" customHeight="false" outlineLevel="0" collapsed="false">
      <c r="A402" s="12"/>
      <c r="B402" s="34"/>
      <c r="C402" s="12"/>
      <c r="D402" s="12"/>
      <c r="E402" s="12"/>
      <c r="F402" s="12"/>
      <c r="G402" s="18"/>
      <c r="H402" s="35"/>
      <c r="I402" s="35"/>
      <c r="J402" s="12"/>
      <c r="O402" s="12"/>
      <c r="P402" s="18"/>
      <c r="Q402" s="12"/>
      <c r="R402" s="12"/>
      <c r="S402" s="12"/>
      <c r="T402" s="36"/>
      <c r="U402" s="36"/>
      <c r="V402" s="12"/>
      <c r="W402" s="12"/>
      <c r="X402" s="12"/>
      <c r="Y402" s="12"/>
      <c r="Z402" s="12"/>
    </row>
    <row r="403" customFormat="false" ht="15.75" hidden="false" customHeight="false" outlineLevel="0" collapsed="false">
      <c r="A403" s="12"/>
      <c r="B403" s="34"/>
      <c r="C403" s="12"/>
      <c r="D403" s="12"/>
      <c r="E403" s="12"/>
      <c r="F403" s="12"/>
      <c r="G403" s="18"/>
      <c r="H403" s="35"/>
      <c r="I403" s="35"/>
      <c r="J403" s="12"/>
      <c r="O403" s="12"/>
      <c r="P403" s="18"/>
      <c r="Q403" s="12"/>
      <c r="R403" s="12"/>
      <c r="S403" s="12"/>
      <c r="T403" s="36"/>
      <c r="U403" s="36"/>
      <c r="V403" s="12"/>
      <c r="W403" s="12"/>
      <c r="X403" s="12"/>
      <c r="Y403" s="12"/>
      <c r="Z403" s="12"/>
    </row>
    <row r="404" customFormat="false" ht="15.75" hidden="false" customHeight="false" outlineLevel="0" collapsed="false">
      <c r="A404" s="12"/>
      <c r="B404" s="34"/>
      <c r="C404" s="12"/>
      <c r="D404" s="12"/>
      <c r="E404" s="12"/>
      <c r="F404" s="12"/>
      <c r="G404" s="18"/>
      <c r="H404" s="35"/>
      <c r="I404" s="35"/>
      <c r="J404" s="12"/>
      <c r="O404" s="12"/>
      <c r="P404" s="18"/>
      <c r="Q404" s="12"/>
      <c r="R404" s="12"/>
      <c r="S404" s="12"/>
      <c r="T404" s="36"/>
      <c r="U404" s="36"/>
      <c r="V404" s="12"/>
      <c r="W404" s="12"/>
      <c r="X404" s="12"/>
      <c r="Y404" s="12"/>
      <c r="Z404" s="12"/>
    </row>
    <row r="405" customFormat="false" ht="15.75" hidden="false" customHeight="false" outlineLevel="0" collapsed="false">
      <c r="A405" s="12"/>
      <c r="B405" s="34"/>
      <c r="C405" s="12"/>
      <c r="D405" s="12"/>
      <c r="E405" s="12"/>
      <c r="F405" s="12"/>
      <c r="G405" s="18"/>
      <c r="H405" s="35"/>
      <c r="I405" s="35"/>
      <c r="J405" s="12"/>
      <c r="O405" s="12"/>
      <c r="P405" s="18"/>
      <c r="Q405" s="12"/>
      <c r="R405" s="12"/>
      <c r="S405" s="12"/>
      <c r="T405" s="36"/>
      <c r="U405" s="36"/>
      <c r="V405" s="12"/>
      <c r="W405" s="12"/>
      <c r="X405" s="12"/>
      <c r="Y405" s="12"/>
      <c r="Z405" s="12"/>
    </row>
    <row r="406" customFormat="false" ht="15.75" hidden="false" customHeight="false" outlineLevel="0" collapsed="false">
      <c r="A406" s="12"/>
      <c r="B406" s="34"/>
      <c r="C406" s="12"/>
      <c r="D406" s="12"/>
      <c r="E406" s="12"/>
      <c r="F406" s="12"/>
      <c r="G406" s="18"/>
      <c r="H406" s="35"/>
      <c r="I406" s="35"/>
      <c r="J406" s="12"/>
      <c r="O406" s="12"/>
      <c r="P406" s="18"/>
      <c r="Q406" s="12"/>
      <c r="R406" s="12"/>
      <c r="S406" s="12"/>
      <c r="T406" s="36"/>
      <c r="U406" s="36"/>
      <c r="V406" s="12"/>
      <c r="W406" s="12"/>
      <c r="X406" s="12"/>
      <c r="Y406" s="12"/>
      <c r="Z406" s="12"/>
    </row>
    <row r="407" customFormat="false" ht="15.75" hidden="false" customHeight="false" outlineLevel="0" collapsed="false">
      <c r="A407" s="12"/>
      <c r="B407" s="34"/>
      <c r="C407" s="12"/>
      <c r="D407" s="12"/>
      <c r="E407" s="12"/>
      <c r="F407" s="12"/>
      <c r="G407" s="18"/>
      <c r="H407" s="35"/>
      <c r="I407" s="35"/>
      <c r="J407" s="12"/>
      <c r="O407" s="12"/>
      <c r="P407" s="18"/>
      <c r="Q407" s="12"/>
      <c r="R407" s="12"/>
      <c r="S407" s="12"/>
      <c r="T407" s="36"/>
      <c r="U407" s="36"/>
      <c r="V407" s="12"/>
      <c r="W407" s="12"/>
      <c r="X407" s="12"/>
      <c r="Y407" s="12"/>
      <c r="Z407" s="12"/>
    </row>
    <row r="408" customFormat="false" ht="15.75" hidden="false" customHeight="false" outlineLevel="0" collapsed="false">
      <c r="A408" s="12"/>
      <c r="B408" s="34"/>
      <c r="C408" s="12"/>
      <c r="D408" s="12"/>
      <c r="E408" s="12"/>
      <c r="F408" s="12"/>
      <c r="G408" s="18"/>
      <c r="H408" s="35"/>
      <c r="I408" s="35"/>
      <c r="J408" s="12"/>
      <c r="O408" s="12"/>
      <c r="P408" s="18"/>
      <c r="Q408" s="12"/>
      <c r="R408" s="12"/>
      <c r="S408" s="12"/>
      <c r="T408" s="36"/>
      <c r="U408" s="36"/>
      <c r="V408" s="12"/>
      <c r="W408" s="12"/>
      <c r="X408" s="12"/>
      <c r="Y408" s="12"/>
      <c r="Z408" s="12"/>
    </row>
    <row r="409" customFormat="false" ht="15.75" hidden="false" customHeight="false" outlineLevel="0" collapsed="false">
      <c r="A409" s="12"/>
      <c r="B409" s="34"/>
      <c r="C409" s="12"/>
      <c r="D409" s="12"/>
      <c r="E409" s="12"/>
      <c r="F409" s="12"/>
      <c r="G409" s="18"/>
      <c r="H409" s="35"/>
      <c r="I409" s="35"/>
      <c r="J409" s="12"/>
      <c r="O409" s="12"/>
      <c r="P409" s="18"/>
      <c r="Q409" s="12"/>
      <c r="R409" s="12"/>
      <c r="S409" s="12"/>
      <c r="T409" s="36"/>
      <c r="U409" s="36"/>
      <c r="V409" s="12"/>
      <c r="W409" s="12"/>
      <c r="X409" s="12"/>
      <c r="Y409" s="12"/>
      <c r="Z409" s="12"/>
    </row>
    <row r="410" customFormat="false" ht="15.75" hidden="false" customHeight="false" outlineLevel="0" collapsed="false">
      <c r="A410" s="12"/>
      <c r="B410" s="34"/>
      <c r="C410" s="12"/>
      <c r="D410" s="12"/>
      <c r="E410" s="12"/>
      <c r="F410" s="12"/>
      <c r="G410" s="18"/>
      <c r="H410" s="35"/>
      <c r="I410" s="35"/>
      <c r="J410" s="12"/>
      <c r="O410" s="12"/>
      <c r="P410" s="18"/>
      <c r="Q410" s="12"/>
      <c r="R410" s="12"/>
      <c r="S410" s="12"/>
      <c r="T410" s="36"/>
      <c r="U410" s="36"/>
      <c r="V410" s="12"/>
      <c r="W410" s="12"/>
      <c r="X410" s="12"/>
      <c r="Y410" s="12"/>
      <c r="Z410" s="12"/>
    </row>
    <row r="411" customFormat="false" ht="15.75" hidden="false" customHeight="false" outlineLevel="0" collapsed="false">
      <c r="A411" s="12"/>
      <c r="B411" s="34"/>
      <c r="C411" s="12"/>
      <c r="D411" s="12"/>
      <c r="E411" s="12"/>
      <c r="F411" s="12"/>
      <c r="G411" s="18"/>
      <c r="H411" s="35"/>
      <c r="I411" s="35"/>
      <c r="J411" s="12"/>
      <c r="O411" s="12"/>
      <c r="P411" s="18"/>
      <c r="Q411" s="12"/>
      <c r="R411" s="12"/>
      <c r="S411" s="12"/>
      <c r="T411" s="36"/>
      <c r="U411" s="36"/>
      <c r="V411" s="12"/>
      <c r="W411" s="12"/>
      <c r="X411" s="12"/>
      <c r="Y411" s="12"/>
      <c r="Z411" s="12"/>
    </row>
    <row r="412" customFormat="false" ht="15.75" hidden="false" customHeight="false" outlineLevel="0" collapsed="false">
      <c r="A412" s="12"/>
      <c r="B412" s="34"/>
      <c r="C412" s="12"/>
      <c r="D412" s="12"/>
      <c r="E412" s="12"/>
      <c r="F412" s="12"/>
      <c r="G412" s="18"/>
      <c r="H412" s="35"/>
      <c r="I412" s="35"/>
      <c r="J412" s="12"/>
      <c r="O412" s="12"/>
      <c r="P412" s="18"/>
      <c r="Q412" s="12"/>
      <c r="R412" s="12"/>
      <c r="S412" s="12"/>
      <c r="T412" s="36"/>
      <c r="U412" s="36"/>
      <c r="V412" s="12"/>
      <c r="W412" s="12"/>
      <c r="X412" s="12"/>
      <c r="Y412" s="12"/>
      <c r="Z412" s="12"/>
    </row>
    <row r="413" customFormat="false" ht="15.75" hidden="false" customHeight="false" outlineLevel="0" collapsed="false">
      <c r="A413" s="12"/>
      <c r="B413" s="34"/>
      <c r="C413" s="12"/>
      <c r="D413" s="12"/>
      <c r="E413" s="12"/>
      <c r="F413" s="12"/>
      <c r="G413" s="18"/>
      <c r="H413" s="35"/>
      <c r="I413" s="35"/>
      <c r="J413" s="12"/>
      <c r="O413" s="12"/>
      <c r="P413" s="18"/>
      <c r="Q413" s="12"/>
      <c r="R413" s="12"/>
      <c r="S413" s="12"/>
      <c r="T413" s="36"/>
      <c r="U413" s="36"/>
      <c r="V413" s="12"/>
      <c r="W413" s="12"/>
      <c r="X413" s="12"/>
      <c r="Y413" s="12"/>
      <c r="Z413" s="12"/>
    </row>
    <row r="414" customFormat="false" ht="15.75" hidden="false" customHeight="false" outlineLevel="0" collapsed="false">
      <c r="A414" s="12"/>
      <c r="B414" s="34"/>
      <c r="C414" s="12"/>
      <c r="D414" s="12"/>
      <c r="E414" s="12"/>
      <c r="F414" s="12"/>
      <c r="G414" s="18"/>
      <c r="H414" s="35"/>
      <c r="I414" s="35"/>
      <c r="J414" s="12"/>
      <c r="O414" s="12"/>
      <c r="P414" s="18"/>
      <c r="Q414" s="12"/>
      <c r="R414" s="12"/>
      <c r="S414" s="12"/>
      <c r="T414" s="36"/>
      <c r="U414" s="36"/>
      <c r="V414" s="12"/>
      <c r="W414" s="12"/>
      <c r="X414" s="12"/>
      <c r="Y414" s="12"/>
      <c r="Z414" s="12"/>
    </row>
    <row r="415" customFormat="false" ht="15.75" hidden="false" customHeight="false" outlineLevel="0" collapsed="false">
      <c r="A415" s="12"/>
      <c r="B415" s="34"/>
      <c r="C415" s="12"/>
      <c r="D415" s="12"/>
      <c r="E415" s="12"/>
      <c r="F415" s="12"/>
      <c r="G415" s="18"/>
      <c r="H415" s="35"/>
      <c r="I415" s="35"/>
      <c r="J415" s="12"/>
      <c r="O415" s="12"/>
      <c r="P415" s="18"/>
      <c r="Q415" s="12"/>
      <c r="R415" s="12"/>
      <c r="S415" s="12"/>
      <c r="T415" s="36"/>
      <c r="U415" s="36"/>
      <c r="V415" s="12"/>
      <c r="W415" s="12"/>
      <c r="X415" s="12"/>
      <c r="Y415" s="12"/>
      <c r="Z415" s="12"/>
    </row>
    <row r="416" customFormat="false" ht="15.75" hidden="false" customHeight="false" outlineLevel="0" collapsed="false">
      <c r="A416" s="12"/>
      <c r="B416" s="34"/>
      <c r="C416" s="12"/>
      <c r="D416" s="12"/>
      <c r="E416" s="12"/>
      <c r="F416" s="12"/>
      <c r="G416" s="18"/>
      <c r="H416" s="35"/>
      <c r="I416" s="35"/>
      <c r="J416" s="12"/>
      <c r="O416" s="12"/>
      <c r="P416" s="18"/>
      <c r="Q416" s="12"/>
      <c r="R416" s="12"/>
      <c r="S416" s="12"/>
      <c r="T416" s="36"/>
      <c r="U416" s="36"/>
      <c r="V416" s="12"/>
      <c r="W416" s="12"/>
      <c r="X416" s="12"/>
      <c r="Y416" s="12"/>
      <c r="Z416" s="12"/>
    </row>
    <row r="417" customFormat="false" ht="15.75" hidden="false" customHeight="false" outlineLevel="0" collapsed="false">
      <c r="A417" s="12"/>
      <c r="B417" s="34"/>
      <c r="C417" s="12"/>
      <c r="D417" s="12"/>
      <c r="E417" s="12"/>
      <c r="F417" s="12"/>
      <c r="G417" s="18"/>
      <c r="H417" s="35"/>
      <c r="I417" s="35"/>
      <c r="J417" s="12"/>
      <c r="O417" s="12"/>
      <c r="P417" s="18"/>
      <c r="Q417" s="12"/>
      <c r="R417" s="12"/>
      <c r="S417" s="12"/>
      <c r="T417" s="36"/>
      <c r="U417" s="36"/>
      <c r="V417" s="12"/>
      <c r="W417" s="12"/>
      <c r="X417" s="12"/>
      <c r="Y417" s="12"/>
      <c r="Z417" s="12"/>
    </row>
    <row r="418" customFormat="false" ht="15.75" hidden="false" customHeight="false" outlineLevel="0" collapsed="false">
      <c r="A418" s="12"/>
      <c r="B418" s="34"/>
      <c r="C418" s="12"/>
      <c r="D418" s="12"/>
      <c r="E418" s="12"/>
      <c r="F418" s="12"/>
      <c r="G418" s="18"/>
      <c r="H418" s="35"/>
      <c r="I418" s="35"/>
      <c r="J418" s="12"/>
      <c r="O418" s="12"/>
      <c r="P418" s="18"/>
      <c r="Q418" s="12"/>
      <c r="R418" s="12"/>
      <c r="S418" s="12"/>
      <c r="T418" s="36"/>
      <c r="U418" s="36"/>
      <c r="V418" s="12"/>
      <c r="W418" s="12"/>
      <c r="X418" s="12"/>
      <c r="Y418" s="12"/>
      <c r="Z418" s="12"/>
    </row>
    <row r="419" customFormat="false" ht="15.75" hidden="false" customHeight="false" outlineLevel="0" collapsed="false">
      <c r="A419" s="12"/>
      <c r="B419" s="34"/>
      <c r="C419" s="12"/>
      <c r="D419" s="12"/>
      <c r="E419" s="12"/>
      <c r="F419" s="12"/>
      <c r="G419" s="18"/>
      <c r="H419" s="35"/>
      <c r="I419" s="35"/>
      <c r="J419" s="12"/>
      <c r="O419" s="12"/>
      <c r="P419" s="18"/>
      <c r="Q419" s="12"/>
      <c r="R419" s="12"/>
      <c r="S419" s="12"/>
      <c r="T419" s="36"/>
      <c r="U419" s="36"/>
      <c r="V419" s="12"/>
      <c r="W419" s="12"/>
      <c r="X419" s="12"/>
      <c r="Y419" s="12"/>
      <c r="Z419" s="12"/>
    </row>
    <row r="420" customFormat="false" ht="15.75" hidden="false" customHeight="false" outlineLevel="0" collapsed="false">
      <c r="A420" s="12"/>
      <c r="B420" s="34"/>
      <c r="C420" s="12"/>
      <c r="D420" s="12"/>
      <c r="E420" s="12"/>
      <c r="F420" s="12"/>
      <c r="G420" s="18"/>
      <c r="H420" s="35"/>
      <c r="I420" s="35"/>
      <c r="J420" s="12"/>
      <c r="O420" s="12"/>
      <c r="P420" s="18"/>
      <c r="Q420" s="12"/>
      <c r="R420" s="12"/>
      <c r="S420" s="12"/>
      <c r="T420" s="36"/>
      <c r="U420" s="36"/>
      <c r="V420" s="12"/>
      <c r="W420" s="12"/>
      <c r="X420" s="12"/>
      <c r="Y420" s="12"/>
      <c r="Z420" s="12"/>
    </row>
    <row r="421" customFormat="false" ht="15.75" hidden="false" customHeight="false" outlineLevel="0" collapsed="false">
      <c r="A421" s="12"/>
      <c r="B421" s="34"/>
      <c r="C421" s="12"/>
      <c r="D421" s="12"/>
      <c r="E421" s="12"/>
      <c r="F421" s="12"/>
      <c r="G421" s="18"/>
      <c r="H421" s="35"/>
      <c r="I421" s="35"/>
      <c r="J421" s="12"/>
      <c r="O421" s="12"/>
      <c r="P421" s="18"/>
      <c r="Q421" s="12"/>
      <c r="R421" s="12"/>
      <c r="S421" s="12"/>
      <c r="T421" s="36"/>
      <c r="U421" s="36"/>
      <c r="V421" s="12"/>
      <c r="W421" s="12"/>
      <c r="X421" s="12"/>
      <c r="Y421" s="12"/>
      <c r="Z421" s="12"/>
    </row>
    <row r="422" customFormat="false" ht="15.75" hidden="false" customHeight="false" outlineLevel="0" collapsed="false">
      <c r="A422" s="12"/>
      <c r="B422" s="34"/>
      <c r="C422" s="12"/>
      <c r="D422" s="12"/>
      <c r="E422" s="12"/>
      <c r="F422" s="12"/>
      <c r="G422" s="18"/>
      <c r="H422" s="35"/>
      <c r="I422" s="35"/>
      <c r="J422" s="12"/>
      <c r="O422" s="12"/>
      <c r="P422" s="18"/>
      <c r="Q422" s="12"/>
      <c r="R422" s="12"/>
      <c r="S422" s="12"/>
      <c r="T422" s="36"/>
      <c r="U422" s="36"/>
      <c r="V422" s="12"/>
      <c r="W422" s="12"/>
      <c r="X422" s="12"/>
      <c r="Y422" s="12"/>
      <c r="Z422" s="12"/>
    </row>
    <row r="423" customFormat="false" ht="15.75" hidden="false" customHeight="false" outlineLevel="0" collapsed="false">
      <c r="A423" s="12"/>
      <c r="B423" s="34"/>
      <c r="C423" s="12"/>
      <c r="D423" s="12"/>
      <c r="E423" s="12"/>
      <c r="F423" s="12"/>
      <c r="G423" s="18"/>
      <c r="H423" s="35"/>
      <c r="I423" s="35"/>
      <c r="J423" s="12"/>
      <c r="O423" s="12"/>
      <c r="P423" s="18"/>
      <c r="Q423" s="12"/>
      <c r="R423" s="12"/>
      <c r="S423" s="12"/>
      <c r="T423" s="36"/>
      <c r="U423" s="36"/>
      <c r="V423" s="12"/>
      <c r="W423" s="12"/>
      <c r="X423" s="12"/>
      <c r="Y423" s="12"/>
      <c r="Z423" s="12"/>
    </row>
    <row r="424" customFormat="false" ht="15.75" hidden="false" customHeight="false" outlineLevel="0" collapsed="false">
      <c r="A424" s="12"/>
      <c r="B424" s="34"/>
      <c r="C424" s="12"/>
      <c r="D424" s="12"/>
      <c r="E424" s="12"/>
      <c r="F424" s="12"/>
      <c r="G424" s="18"/>
      <c r="H424" s="35"/>
      <c r="I424" s="35"/>
      <c r="J424" s="12"/>
      <c r="O424" s="12"/>
      <c r="P424" s="18"/>
      <c r="Q424" s="12"/>
      <c r="R424" s="12"/>
      <c r="S424" s="12"/>
      <c r="T424" s="36"/>
      <c r="U424" s="36"/>
      <c r="V424" s="12"/>
      <c r="W424" s="12"/>
      <c r="X424" s="12"/>
      <c r="Y424" s="12"/>
      <c r="Z424" s="12"/>
    </row>
    <row r="425" customFormat="false" ht="15.75" hidden="false" customHeight="false" outlineLevel="0" collapsed="false">
      <c r="A425" s="12"/>
      <c r="B425" s="34"/>
      <c r="C425" s="12"/>
      <c r="D425" s="12"/>
      <c r="E425" s="12"/>
      <c r="F425" s="12"/>
      <c r="G425" s="18"/>
      <c r="H425" s="35"/>
      <c r="I425" s="35"/>
      <c r="J425" s="12"/>
      <c r="O425" s="12"/>
      <c r="P425" s="18"/>
      <c r="Q425" s="12"/>
      <c r="R425" s="12"/>
      <c r="S425" s="12"/>
      <c r="T425" s="36"/>
      <c r="U425" s="36"/>
      <c r="V425" s="12"/>
      <c r="W425" s="12"/>
      <c r="X425" s="12"/>
      <c r="Y425" s="12"/>
      <c r="Z425" s="12"/>
    </row>
    <row r="426" customFormat="false" ht="15.75" hidden="false" customHeight="false" outlineLevel="0" collapsed="false">
      <c r="A426" s="12"/>
      <c r="B426" s="34"/>
      <c r="C426" s="12"/>
      <c r="D426" s="12"/>
      <c r="E426" s="12"/>
      <c r="F426" s="12"/>
      <c r="G426" s="18"/>
      <c r="H426" s="35"/>
      <c r="I426" s="35"/>
      <c r="J426" s="12"/>
      <c r="O426" s="12"/>
      <c r="P426" s="18"/>
      <c r="Q426" s="12"/>
      <c r="R426" s="12"/>
      <c r="S426" s="12"/>
      <c r="T426" s="36"/>
      <c r="U426" s="36"/>
      <c r="V426" s="12"/>
      <c r="W426" s="12"/>
      <c r="X426" s="12"/>
      <c r="Y426" s="12"/>
      <c r="Z426" s="12"/>
    </row>
    <row r="427" customFormat="false" ht="15.75" hidden="false" customHeight="false" outlineLevel="0" collapsed="false">
      <c r="A427" s="12"/>
      <c r="B427" s="34"/>
      <c r="C427" s="12"/>
      <c r="D427" s="12"/>
      <c r="E427" s="12"/>
      <c r="F427" s="12"/>
      <c r="G427" s="18"/>
      <c r="H427" s="35"/>
      <c r="I427" s="35"/>
      <c r="J427" s="12"/>
      <c r="O427" s="12"/>
      <c r="P427" s="18"/>
      <c r="Q427" s="12"/>
      <c r="R427" s="12"/>
      <c r="S427" s="12"/>
      <c r="T427" s="36"/>
      <c r="U427" s="36"/>
      <c r="V427" s="12"/>
      <c r="W427" s="12"/>
      <c r="X427" s="12"/>
      <c r="Y427" s="12"/>
      <c r="Z427" s="12"/>
    </row>
    <row r="428" customFormat="false" ht="15.75" hidden="false" customHeight="false" outlineLevel="0" collapsed="false">
      <c r="A428" s="12"/>
      <c r="B428" s="34"/>
      <c r="C428" s="12"/>
      <c r="D428" s="12"/>
      <c r="E428" s="12"/>
      <c r="F428" s="12"/>
      <c r="G428" s="18"/>
      <c r="H428" s="35"/>
      <c r="I428" s="35"/>
      <c r="J428" s="12"/>
      <c r="O428" s="12"/>
      <c r="P428" s="18"/>
      <c r="Q428" s="12"/>
      <c r="R428" s="12"/>
      <c r="S428" s="12"/>
      <c r="T428" s="36"/>
      <c r="U428" s="36"/>
      <c r="V428" s="12"/>
      <c r="W428" s="12"/>
      <c r="X428" s="12"/>
      <c r="Y428" s="12"/>
      <c r="Z428" s="12"/>
    </row>
    <row r="429" customFormat="false" ht="15.75" hidden="false" customHeight="false" outlineLevel="0" collapsed="false">
      <c r="A429" s="12"/>
      <c r="B429" s="34"/>
      <c r="C429" s="12"/>
      <c r="D429" s="12"/>
      <c r="E429" s="12"/>
      <c r="F429" s="12"/>
      <c r="G429" s="18"/>
      <c r="H429" s="35"/>
      <c r="I429" s="35"/>
      <c r="J429" s="12"/>
      <c r="O429" s="12"/>
      <c r="P429" s="18"/>
      <c r="Q429" s="12"/>
      <c r="R429" s="12"/>
      <c r="S429" s="12"/>
      <c r="T429" s="36"/>
      <c r="U429" s="36"/>
      <c r="V429" s="12"/>
      <c r="W429" s="12"/>
      <c r="X429" s="12"/>
      <c r="Y429" s="12"/>
      <c r="Z429" s="12"/>
    </row>
    <row r="430" customFormat="false" ht="15.75" hidden="false" customHeight="false" outlineLevel="0" collapsed="false">
      <c r="A430" s="12"/>
      <c r="B430" s="34"/>
      <c r="C430" s="12"/>
      <c r="D430" s="12"/>
      <c r="E430" s="12"/>
      <c r="F430" s="12"/>
      <c r="G430" s="18"/>
      <c r="H430" s="35"/>
      <c r="I430" s="35"/>
      <c r="J430" s="12"/>
      <c r="O430" s="12"/>
      <c r="P430" s="18"/>
      <c r="Q430" s="12"/>
      <c r="R430" s="12"/>
      <c r="S430" s="12"/>
      <c r="T430" s="36"/>
      <c r="U430" s="36"/>
      <c r="V430" s="12"/>
      <c r="W430" s="12"/>
      <c r="X430" s="12"/>
      <c r="Y430" s="12"/>
      <c r="Z430" s="12"/>
    </row>
    <row r="431" customFormat="false" ht="15.75" hidden="false" customHeight="false" outlineLevel="0" collapsed="false">
      <c r="A431" s="12"/>
      <c r="B431" s="34"/>
      <c r="C431" s="12"/>
      <c r="D431" s="12"/>
      <c r="E431" s="12"/>
      <c r="F431" s="12"/>
      <c r="G431" s="18"/>
      <c r="H431" s="35"/>
      <c r="I431" s="35"/>
      <c r="J431" s="12"/>
      <c r="O431" s="12"/>
      <c r="P431" s="18"/>
      <c r="Q431" s="12"/>
      <c r="R431" s="12"/>
      <c r="S431" s="12"/>
      <c r="T431" s="36"/>
      <c r="U431" s="36"/>
      <c r="V431" s="12"/>
      <c r="W431" s="12"/>
      <c r="X431" s="12"/>
      <c r="Y431" s="12"/>
      <c r="Z431" s="12"/>
    </row>
    <row r="432" customFormat="false" ht="15.75" hidden="false" customHeight="false" outlineLevel="0" collapsed="false">
      <c r="A432" s="12"/>
      <c r="B432" s="34"/>
      <c r="C432" s="12"/>
      <c r="D432" s="12"/>
      <c r="E432" s="12"/>
      <c r="F432" s="12"/>
      <c r="G432" s="18"/>
      <c r="H432" s="35"/>
      <c r="I432" s="35"/>
      <c r="J432" s="12"/>
      <c r="O432" s="12"/>
      <c r="P432" s="18"/>
      <c r="Q432" s="12"/>
      <c r="R432" s="12"/>
      <c r="S432" s="12"/>
      <c r="T432" s="36"/>
      <c r="U432" s="36"/>
      <c r="V432" s="12"/>
      <c r="W432" s="12"/>
      <c r="X432" s="12"/>
      <c r="Y432" s="12"/>
      <c r="Z432" s="12"/>
    </row>
    <row r="433" customFormat="false" ht="15.75" hidden="false" customHeight="false" outlineLevel="0" collapsed="false">
      <c r="A433" s="12"/>
      <c r="B433" s="34"/>
      <c r="C433" s="12"/>
      <c r="D433" s="12"/>
      <c r="E433" s="12"/>
      <c r="F433" s="12"/>
      <c r="G433" s="18"/>
      <c r="H433" s="35"/>
      <c r="I433" s="35"/>
      <c r="J433" s="12"/>
      <c r="O433" s="12"/>
      <c r="P433" s="18"/>
      <c r="Q433" s="12"/>
      <c r="R433" s="12"/>
      <c r="S433" s="12"/>
      <c r="T433" s="36"/>
      <c r="U433" s="36"/>
      <c r="V433" s="12"/>
      <c r="W433" s="12"/>
      <c r="X433" s="12"/>
      <c r="Y433" s="12"/>
      <c r="Z433" s="12"/>
    </row>
    <row r="434" customFormat="false" ht="15.75" hidden="false" customHeight="false" outlineLevel="0" collapsed="false">
      <c r="A434" s="12"/>
      <c r="B434" s="34"/>
      <c r="C434" s="12"/>
      <c r="D434" s="12"/>
      <c r="E434" s="12"/>
      <c r="F434" s="12"/>
      <c r="G434" s="18"/>
      <c r="H434" s="35"/>
      <c r="I434" s="35"/>
      <c r="J434" s="12"/>
      <c r="O434" s="12"/>
      <c r="P434" s="18"/>
      <c r="Q434" s="12"/>
      <c r="R434" s="12"/>
      <c r="S434" s="12"/>
      <c r="T434" s="36"/>
      <c r="U434" s="36"/>
      <c r="V434" s="12"/>
      <c r="W434" s="12"/>
      <c r="X434" s="12"/>
      <c r="Y434" s="12"/>
      <c r="Z434" s="12"/>
    </row>
    <row r="435" customFormat="false" ht="15.75" hidden="false" customHeight="false" outlineLevel="0" collapsed="false">
      <c r="A435" s="12"/>
      <c r="B435" s="34"/>
      <c r="C435" s="12"/>
      <c r="D435" s="12"/>
      <c r="E435" s="12"/>
      <c r="F435" s="12"/>
      <c r="G435" s="18"/>
      <c r="H435" s="35"/>
      <c r="I435" s="35"/>
      <c r="J435" s="12"/>
      <c r="O435" s="12"/>
      <c r="P435" s="18"/>
      <c r="Q435" s="12"/>
      <c r="R435" s="12"/>
      <c r="S435" s="12"/>
      <c r="T435" s="36"/>
      <c r="U435" s="36"/>
      <c r="V435" s="12"/>
      <c r="W435" s="12"/>
      <c r="X435" s="12"/>
      <c r="Y435" s="12"/>
      <c r="Z435" s="12"/>
    </row>
    <row r="436" customFormat="false" ht="15.75" hidden="false" customHeight="false" outlineLevel="0" collapsed="false">
      <c r="A436" s="12"/>
      <c r="B436" s="34"/>
      <c r="C436" s="12"/>
      <c r="D436" s="12"/>
      <c r="E436" s="12"/>
      <c r="F436" s="12"/>
      <c r="G436" s="18"/>
      <c r="H436" s="35"/>
      <c r="I436" s="35"/>
      <c r="J436" s="12"/>
      <c r="O436" s="12"/>
      <c r="P436" s="18"/>
      <c r="Q436" s="12"/>
      <c r="R436" s="12"/>
      <c r="S436" s="12"/>
      <c r="T436" s="36"/>
      <c r="U436" s="36"/>
      <c r="V436" s="12"/>
      <c r="W436" s="12"/>
      <c r="X436" s="12"/>
      <c r="Y436" s="12"/>
      <c r="Z436" s="12"/>
    </row>
    <row r="437" customFormat="false" ht="15.75" hidden="false" customHeight="false" outlineLevel="0" collapsed="false">
      <c r="A437" s="12"/>
      <c r="B437" s="34"/>
      <c r="C437" s="12"/>
      <c r="D437" s="12"/>
      <c r="E437" s="12"/>
      <c r="F437" s="12"/>
      <c r="G437" s="18"/>
      <c r="H437" s="35"/>
      <c r="I437" s="35"/>
      <c r="J437" s="12"/>
      <c r="O437" s="12"/>
      <c r="P437" s="18"/>
      <c r="Q437" s="12"/>
      <c r="R437" s="12"/>
      <c r="S437" s="12"/>
      <c r="T437" s="36"/>
      <c r="U437" s="36"/>
      <c r="V437" s="12"/>
      <c r="W437" s="12"/>
      <c r="X437" s="12"/>
      <c r="Y437" s="12"/>
      <c r="Z437" s="12"/>
    </row>
    <row r="438" customFormat="false" ht="15.75" hidden="false" customHeight="false" outlineLevel="0" collapsed="false">
      <c r="A438" s="12"/>
      <c r="B438" s="34"/>
      <c r="C438" s="12"/>
      <c r="D438" s="12"/>
      <c r="E438" s="12"/>
      <c r="F438" s="12"/>
      <c r="G438" s="18"/>
      <c r="H438" s="35"/>
      <c r="I438" s="35"/>
      <c r="J438" s="12"/>
      <c r="O438" s="12"/>
      <c r="P438" s="18"/>
      <c r="Q438" s="12"/>
      <c r="R438" s="12"/>
      <c r="S438" s="12"/>
      <c r="T438" s="36"/>
      <c r="U438" s="36"/>
      <c r="V438" s="12"/>
      <c r="W438" s="12"/>
      <c r="X438" s="12"/>
      <c r="Y438" s="12"/>
      <c r="Z438" s="12"/>
    </row>
    <row r="439" customFormat="false" ht="15.75" hidden="false" customHeight="false" outlineLevel="0" collapsed="false">
      <c r="A439" s="12"/>
      <c r="B439" s="34"/>
      <c r="C439" s="12"/>
      <c r="D439" s="12"/>
      <c r="E439" s="12"/>
      <c r="F439" s="12"/>
      <c r="G439" s="18"/>
      <c r="H439" s="35"/>
      <c r="I439" s="35"/>
      <c r="J439" s="12"/>
      <c r="O439" s="12"/>
      <c r="P439" s="18"/>
      <c r="Q439" s="12"/>
      <c r="R439" s="12"/>
      <c r="S439" s="12"/>
      <c r="T439" s="36"/>
      <c r="U439" s="36"/>
      <c r="V439" s="12"/>
      <c r="W439" s="12"/>
      <c r="X439" s="12"/>
      <c r="Y439" s="12"/>
      <c r="Z439" s="12"/>
    </row>
    <row r="440" customFormat="false" ht="15.75" hidden="false" customHeight="false" outlineLevel="0" collapsed="false">
      <c r="A440" s="12"/>
      <c r="B440" s="34"/>
      <c r="C440" s="12"/>
      <c r="D440" s="12"/>
      <c r="E440" s="12"/>
      <c r="F440" s="12"/>
      <c r="G440" s="18"/>
      <c r="H440" s="35"/>
      <c r="I440" s="35"/>
      <c r="J440" s="12"/>
      <c r="O440" s="12"/>
      <c r="P440" s="18"/>
      <c r="Q440" s="12"/>
      <c r="R440" s="12"/>
      <c r="S440" s="12"/>
      <c r="T440" s="36"/>
      <c r="U440" s="36"/>
      <c r="V440" s="12"/>
      <c r="W440" s="12"/>
      <c r="X440" s="12"/>
      <c r="Y440" s="12"/>
      <c r="Z440" s="12"/>
    </row>
    <row r="441" customFormat="false" ht="15.75" hidden="false" customHeight="false" outlineLevel="0" collapsed="false">
      <c r="A441" s="12"/>
      <c r="B441" s="34"/>
      <c r="C441" s="12"/>
      <c r="D441" s="12"/>
      <c r="E441" s="12"/>
      <c r="F441" s="12"/>
      <c r="G441" s="18"/>
      <c r="H441" s="35"/>
      <c r="I441" s="35"/>
      <c r="J441" s="12"/>
      <c r="O441" s="12"/>
      <c r="P441" s="18"/>
      <c r="Q441" s="12"/>
      <c r="R441" s="12"/>
      <c r="S441" s="12"/>
      <c r="T441" s="36"/>
      <c r="U441" s="36"/>
      <c r="V441" s="12"/>
      <c r="W441" s="12"/>
      <c r="X441" s="12"/>
      <c r="Y441" s="12"/>
      <c r="Z441" s="12"/>
    </row>
    <row r="442" customFormat="false" ht="15.75" hidden="false" customHeight="false" outlineLevel="0" collapsed="false">
      <c r="A442" s="12"/>
      <c r="B442" s="34"/>
      <c r="C442" s="12"/>
      <c r="D442" s="12"/>
      <c r="E442" s="12"/>
      <c r="F442" s="12"/>
      <c r="G442" s="18"/>
      <c r="H442" s="35"/>
      <c r="I442" s="35"/>
      <c r="J442" s="12"/>
      <c r="O442" s="12"/>
      <c r="P442" s="18"/>
      <c r="Q442" s="12"/>
      <c r="R442" s="12"/>
      <c r="S442" s="12"/>
      <c r="T442" s="36"/>
      <c r="U442" s="36"/>
      <c r="V442" s="12"/>
      <c r="W442" s="12"/>
      <c r="X442" s="12"/>
      <c r="Y442" s="12"/>
      <c r="Z442" s="12"/>
    </row>
    <row r="443" customFormat="false" ht="15.75" hidden="false" customHeight="false" outlineLevel="0" collapsed="false">
      <c r="A443" s="12"/>
      <c r="B443" s="34"/>
      <c r="C443" s="12"/>
      <c r="D443" s="12"/>
      <c r="E443" s="12"/>
      <c r="F443" s="12"/>
      <c r="G443" s="18"/>
      <c r="H443" s="35"/>
      <c r="I443" s="35"/>
      <c r="J443" s="12"/>
      <c r="O443" s="12"/>
      <c r="P443" s="18"/>
      <c r="Q443" s="12"/>
      <c r="R443" s="12"/>
      <c r="S443" s="12"/>
      <c r="T443" s="36"/>
      <c r="U443" s="36"/>
      <c r="V443" s="12"/>
      <c r="W443" s="12"/>
      <c r="X443" s="12"/>
      <c r="Y443" s="12"/>
      <c r="Z443" s="12"/>
    </row>
    <row r="444" customFormat="false" ht="15.75" hidden="false" customHeight="false" outlineLevel="0" collapsed="false">
      <c r="A444" s="12"/>
      <c r="B444" s="34"/>
      <c r="C444" s="12"/>
      <c r="D444" s="12"/>
      <c r="E444" s="12"/>
      <c r="F444" s="12"/>
      <c r="G444" s="18"/>
      <c r="H444" s="35"/>
      <c r="I444" s="35"/>
      <c r="J444" s="12"/>
      <c r="O444" s="12"/>
      <c r="P444" s="18"/>
      <c r="Q444" s="12"/>
      <c r="R444" s="12"/>
      <c r="S444" s="12"/>
      <c r="T444" s="36"/>
      <c r="U444" s="36"/>
      <c r="V444" s="12"/>
      <c r="W444" s="12"/>
      <c r="X444" s="12"/>
      <c r="Y444" s="12"/>
      <c r="Z444" s="12"/>
    </row>
    <row r="445" customFormat="false" ht="15.75" hidden="false" customHeight="false" outlineLevel="0" collapsed="false">
      <c r="A445" s="12"/>
      <c r="B445" s="34"/>
      <c r="C445" s="12"/>
      <c r="D445" s="12"/>
      <c r="E445" s="12"/>
      <c r="F445" s="12"/>
      <c r="G445" s="18"/>
      <c r="H445" s="35"/>
      <c r="I445" s="35"/>
      <c r="J445" s="12"/>
      <c r="O445" s="12"/>
      <c r="P445" s="18"/>
      <c r="Q445" s="12"/>
      <c r="R445" s="12"/>
      <c r="S445" s="12"/>
      <c r="T445" s="36"/>
      <c r="U445" s="36"/>
      <c r="V445" s="12"/>
      <c r="W445" s="12"/>
      <c r="X445" s="12"/>
      <c r="Y445" s="12"/>
      <c r="Z445" s="12"/>
    </row>
    <row r="446" customFormat="false" ht="15.75" hidden="false" customHeight="false" outlineLevel="0" collapsed="false">
      <c r="A446" s="12"/>
      <c r="B446" s="34"/>
      <c r="C446" s="12"/>
      <c r="D446" s="12"/>
      <c r="E446" s="12"/>
      <c r="F446" s="12"/>
      <c r="G446" s="18"/>
      <c r="H446" s="35"/>
      <c r="I446" s="35"/>
      <c r="J446" s="12"/>
      <c r="O446" s="12"/>
      <c r="P446" s="18"/>
      <c r="Q446" s="12"/>
      <c r="R446" s="12"/>
      <c r="S446" s="12"/>
      <c r="T446" s="36"/>
      <c r="U446" s="36"/>
      <c r="V446" s="12"/>
      <c r="W446" s="12"/>
      <c r="X446" s="12"/>
      <c r="Y446" s="12"/>
      <c r="Z446" s="12"/>
    </row>
    <row r="447" customFormat="false" ht="15.75" hidden="false" customHeight="false" outlineLevel="0" collapsed="false">
      <c r="A447" s="12"/>
      <c r="B447" s="34"/>
      <c r="C447" s="12"/>
      <c r="D447" s="12"/>
      <c r="E447" s="12"/>
      <c r="F447" s="12"/>
      <c r="G447" s="18"/>
      <c r="H447" s="35"/>
      <c r="I447" s="35"/>
      <c r="J447" s="12"/>
      <c r="O447" s="12"/>
      <c r="P447" s="18"/>
      <c r="Q447" s="12"/>
      <c r="R447" s="12"/>
      <c r="S447" s="12"/>
      <c r="T447" s="36"/>
      <c r="U447" s="36"/>
      <c r="V447" s="12"/>
      <c r="W447" s="12"/>
      <c r="X447" s="12"/>
      <c r="Y447" s="12"/>
      <c r="Z447" s="12"/>
    </row>
    <row r="448" customFormat="false" ht="15.75" hidden="false" customHeight="false" outlineLevel="0" collapsed="false">
      <c r="A448" s="12"/>
      <c r="B448" s="34"/>
      <c r="C448" s="12"/>
      <c r="D448" s="12"/>
      <c r="E448" s="12"/>
      <c r="F448" s="12"/>
      <c r="G448" s="18"/>
      <c r="H448" s="35"/>
      <c r="I448" s="35"/>
      <c r="J448" s="12"/>
      <c r="O448" s="12"/>
      <c r="P448" s="18"/>
      <c r="Q448" s="12"/>
      <c r="R448" s="12"/>
      <c r="S448" s="12"/>
      <c r="T448" s="36"/>
      <c r="U448" s="36"/>
      <c r="V448" s="12"/>
      <c r="W448" s="12"/>
      <c r="X448" s="12"/>
      <c r="Y448" s="12"/>
      <c r="Z448" s="12"/>
    </row>
    <row r="449" customFormat="false" ht="15.75" hidden="false" customHeight="false" outlineLevel="0" collapsed="false">
      <c r="A449" s="12"/>
      <c r="B449" s="34"/>
      <c r="C449" s="12"/>
      <c r="D449" s="12"/>
      <c r="E449" s="12"/>
      <c r="F449" s="12"/>
      <c r="G449" s="18"/>
      <c r="H449" s="35"/>
      <c r="I449" s="35"/>
      <c r="J449" s="12"/>
      <c r="O449" s="12"/>
      <c r="P449" s="18"/>
      <c r="Q449" s="12"/>
      <c r="R449" s="12"/>
      <c r="S449" s="12"/>
      <c r="T449" s="36"/>
      <c r="U449" s="36"/>
      <c r="V449" s="12"/>
      <c r="W449" s="12"/>
      <c r="X449" s="12"/>
      <c r="Y449" s="12"/>
      <c r="Z449" s="12"/>
    </row>
    <row r="450" customFormat="false" ht="15.75" hidden="false" customHeight="false" outlineLevel="0" collapsed="false">
      <c r="A450" s="12"/>
      <c r="B450" s="34"/>
      <c r="C450" s="12"/>
      <c r="D450" s="12"/>
      <c r="E450" s="12"/>
      <c r="F450" s="12"/>
      <c r="G450" s="18"/>
      <c r="H450" s="35"/>
      <c r="I450" s="35"/>
      <c r="J450" s="12"/>
      <c r="O450" s="12"/>
      <c r="P450" s="18"/>
      <c r="Q450" s="12"/>
      <c r="R450" s="12"/>
      <c r="S450" s="12"/>
      <c r="T450" s="36"/>
      <c r="U450" s="36"/>
      <c r="V450" s="12"/>
      <c r="W450" s="12"/>
      <c r="X450" s="12"/>
      <c r="Y450" s="12"/>
      <c r="Z450" s="12"/>
    </row>
    <row r="451" customFormat="false" ht="15.75" hidden="false" customHeight="false" outlineLevel="0" collapsed="false">
      <c r="A451" s="12"/>
      <c r="B451" s="34"/>
      <c r="C451" s="12"/>
      <c r="D451" s="12"/>
      <c r="E451" s="12"/>
      <c r="F451" s="12"/>
      <c r="G451" s="18"/>
      <c r="H451" s="35"/>
      <c r="I451" s="35"/>
      <c r="J451" s="12"/>
      <c r="O451" s="12"/>
      <c r="P451" s="18"/>
      <c r="Q451" s="12"/>
      <c r="R451" s="12"/>
      <c r="S451" s="12"/>
      <c r="T451" s="36"/>
      <c r="U451" s="36"/>
      <c r="V451" s="12"/>
      <c r="W451" s="12"/>
      <c r="X451" s="12"/>
      <c r="Y451" s="12"/>
      <c r="Z451" s="12"/>
    </row>
    <row r="452" customFormat="false" ht="15.75" hidden="false" customHeight="false" outlineLevel="0" collapsed="false">
      <c r="A452" s="12"/>
      <c r="B452" s="34"/>
      <c r="C452" s="12"/>
      <c r="D452" s="12"/>
      <c r="E452" s="12"/>
      <c r="F452" s="12"/>
      <c r="G452" s="18"/>
      <c r="H452" s="35"/>
      <c r="I452" s="35"/>
      <c r="J452" s="12"/>
      <c r="O452" s="12"/>
      <c r="P452" s="18"/>
      <c r="Q452" s="12"/>
      <c r="R452" s="12"/>
      <c r="S452" s="12"/>
      <c r="T452" s="36"/>
      <c r="U452" s="36"/>
      <c r="V452" s="12"/>
      <c r="W452" s="12"/>
      <c r="X452" s="12"/>
      <c r="Y452" s="12"/>
      <c r="Z452" s="12"/>
    </row>
    <row r="453" customFormat="false" ht="15.75" hidden="false" customHeight="false" outlineLevel="0" collapsed="false">
      <c r="A453" s="12"/>
      <c r="B453" s="34"/>
      <c r="C453" s="12"/>
      <c r="D453" s="12"/>
      <c r="E453" s="12"/>
      <c r="F453" s="12"/>
      <c r="G453" s="18"/>
      <c r="H453" s="35"/>
      <c r="I453" s="35"/>
      <c r="J453" s="12"/>
      <c r="O453" s="12"/>
      <c r="P453" s="18"/>
      <c r="Q453" s="12"/>
      <c r="R453" s="12"/>
      <c r="S453" s="12"/>
      <c r="T453" s="36"/>
      <c r="U453" s="36"/>
      <c r="V453" s="12"/>
      <c r="W453" s="12"/>
      <c r="X453" s="12"/>
      <c r="Y453" s="12"/>
      <c r="Z453" s="12"/>
    </row>
    <row r="454" customFormat="false" ht="15.75" hidden="false" customHeight="false" outlineLevel="0" collapsed="false">
      <c r="A454" s="12"/>
      <c r="B454" s="34"/>
      <c r="C454" s="12"/>
      <c r="D454" s="12"/>
      <c r="E454" s="12"/>
      <c r="F454" s="12"/>
      <c r="G454" s="18"/>
      <c r="H454" s="35"/>
      <c r="I454" s="35"/>
      <c r="J454" s="12"/>
      <c r="O454" s="12"/>
      <c r="P454" s="18"/>
      <c r="Q454" s="12"/>
      <c r="R454" s="12"/>
      <c r="S454" s="12"/>
      <c r="T454" s="36"/>
      <c r="U454" s="36"/>
      <c r="V454" s="12"/>
      <c r="W454" s="12"/>
      <c r="X454" s="12"/>
      <c r="Y454" s="12"/>
      <c r="Z454" s="12"/>
    </row>
    <row r="455" customFormat="false" ht="15.75" hidden="false" customHeight="false" outlineLevel="0" collapsed="false">
      <c r="A455" s="12"/>
      <c r="B455" s="34"/>
      <c r="C455" s="12"/>
      <c r="D455" s="12"/>
      <c r="E455" s="12"/>
      <c r="F455" s="12"/>
      <c r="G455" s="18"/>
      <c r="H455" s="35"/>
      <c r="I455" s="35"/>
      <c r="J455" s="12"/>
      <c r="O455" s="12"/>
      <c r="P455" s="18"/>
      <c r="Q455" s="12"/>
      <c r="R455" s="12"/>
      <c r="S455" s="12"/>
      <c r="T455" s="36"/>
      <c r="U455" s="36"/>
      <c r="V455" s="12"/>
      <c r="W455" s="12"/>
      <c r="X455" s="12"/>
      <c r="Y455" s="12"/>
      <c r="Z455" s="12"/>
    </row>
    <row r="456" customFormat="false" ht="15.75" hidden="false" customHeight="false" outlineLevel="0" collapsed="false">
      <c r="A456" s="12"/>
      <c r="B456" s="34"/>
      <c r="C456" s="12"/>
      <c r="D456" s="12"/>
      <c r="E456" s="12"/>
      <c r="F456" s="12"/>
      <c r="G456" s="18"/>
      <c r="H456" s="35"/>
      <c r="I456" s="35"/>
      <c r="J456" s="12"/>
      <c r="O456" s="12"/>
      <c r="P456" s="18"/>
      <c r="Q456" s="12"/>
      <c r="R456" s="12"/>
      <c r="S456" s="12"/>
      <c r="T456" s="36"/>
      <c r="U456" s="36"/>
      <c r="V456" s="12"/>
      <c r="W456" s="12"/>
      <c r="X456" s="12"/>
      <c r="Y456" s="12"/>
      <c r="Z456" s="12"/>
    </row>
    <row r="457" customFormat="false" ht="15.75" hidden="false" customHeight="false" outlineLevel="0" collapsed="false">
      <c r="A457" s="12"/>
      <c r="B457" s="34"/>
      <c r="C457" s="12"/>
      <c r="D457" s="12"/>
      <c r="E457" s="12"/>
      <c r="F457" s="12"/>
      <c r="G457" s="18"/>
      <c r="H457" s="35"/>
      <c r="I457" s="35"/>
      <c r="J457" s="12"/>
      <c r="O457" s="12"/>
      <c r="P457" s="18"/>
      <c r="Q457" s="12"/>
      <c r="R457" s="12"/>
      <c r="S457" s="12"/>
      <c r="T457" s="36"/>
      <c r="U457" s="36"/>
      <c r="V457" s="12"/>
      <c r="W457" s="12"/>
      <c r="X457" s="12"/>
      <c r="Y457" s="12"/>
      <c r="Z457" s="12"/>
    </row>
    <row r="458" customFormat="false" ht="15.75" hidden="false" customHeight="false" outlineLevel="0" collapsed="false">
      <c r="A458" s="12"/>
      <c r="B458" s="34"/>
      <c r="C458" s="12"/>
      <c r="D458" s="12"/>
      <c r="E458" s="12"/>
      <c r="F458" s="12"/>
      <c r="G458" s="18"/>
      <c r="H458" s="35"/>
      <c r="I458" s="35"/>
      <c r="J458" s="12"/>
      <c r="O458" s="12"/>
      <c r="P458" s="18"/>
      <c r="Q458" s="12"/>
      <c r="R458" s="12"/>
      <c r="S458" s="12"/>
      <c r="T458" s="36"/>
      <c r="U458" s="36"/>
      <c r="V458" s="12"/>
      <c r="W458" s="12"/>
      <c r="X458" s="12"/>
      <c r="Y458" s="12"/>
      <c r="Z458" s="12"/>
    </row>
    <row r="459" customFormat="false" ht="15.75" hidden="false" customHeight="false" outlineLevel="0" collapsed="false">
      <c r="A459" s="12"/>
      <c r="B459" s="34"/>
      <c r="C459" s="12"/>
      <c r="D459" s="12"/>
      <c r="E459" s="12"/>
      <c r="F459" s="12"/>
      <c r="G459" s="18"/>
      <c r="H459" s="35"/>
      <c r="I459" s="35"/>
      <c r="J459" s="12"/>
      <c r="O459" s="12"/>
      <c r="P459" s="18"/>
      <c r="Q459" s="12"/>
      <c r="R459" s="12"/>
      <c r="S459" s="12"/>
      <c r="T459" s="36"/>
      <c r="U459" s="36"/>
      <c r="V459" s="12"/>
      <c r="W459" s="12"/>
      <c r="X459" s="12"/>
      <c r="Y459" s="12"/>
      <c r="Z459" s="12"/>
    </row>
    <row r="460" customFormat="false" ht="15.75" hidden="false" customHeight="false" outlineLevel="0" collapsed="false">
      <c r="A460" s="12"/>
      <c r="B460" s="34"/>
      <c r="C460" s="12"/>
      <c r="D460" s="12"/>
      <c r="E460" s="12"/>
      <c r="F460" s="12"/>
      <c r="G460" s="18"/>
      <c r="H460" s="35"/>
      <c r="I460" s="35"/>
      <c r="J460" s="12"/>
      <c r="O460" s="12"/>
      <c r="P460" s="18"/>
      <c r="Q460" s="12"/>
      <c r="R460" s="12"/>
      <c r="S460" s="12"/>
      <c r="T460" s="36"/>
      <c r="U460" s="36"/>
      <c r="V460" s="12"/>
      <c r="W460" s="12"/>
      <c r="X460" s="12"/>
      <c r="Y460" s="12"/>
      <c r="Z460" s="12"/>
    </row>
    <row r="461" customFormat="false" ht="15.75" hidden="false" customHeight="false" outlineLevel="0" collapsed="false">
      <c r="A461" s="12"/>
      <c r="B461" s="34"/>
      <c r="C461" s="12"/>
      <c r="D461" s="12"/>
      <c r="E461" s="12"/>
      <c r="F461" s="12"/>
      <c r="G461" s="18"/>
      <c r="H461" s="35"/>
      <c r="I461" s="35"/>
      <c r="J461" s="12"/>
      <c r="O461" s="12"/>
      <c r="P461" s="18"/>
      <c r="Q461" s="12"/>
      <c r="R461" s="12"/>
      <c r="S461" s="12"/>
      <c r="T461" s="36"/>
      <c r="U461" s="36"/>
      <c r="V461" s="12"/>
      <c r="W461" s="12"/>
      <c r="X461" s="12"/>
      <c r="Y461" s="12"/>
      <c r="Z461" s="12"/>
    </row>
    <row r="462" customFormat="false" ht="15.75" hidden="false" customHeight="false" outlineLevel="0" collapsed="false">
      <c r="A462" s="12"/>
      <c r="B462" s="34"/>
      <c r="C462" s="12"/>
      <c r="D462" s="12"/>
      <c r="E462" s="12"/>
      <c r="F462" s="12"/>
      <c r="G462" s="18"/>
      <c r="H462" s="35"/>
      <c r="I462" s="35"/>
      <c r="J462" s="12"/>
      <c r="O462" s="12"/>
      <c r="P462" s="18"/>
      <c r="Q462" s="12"/>
      <c r="R462" s="12"/>
      <c r="S462" s="12"/>
      <c r="T462" s="36"/>
      <c r="U462" s="36"/>
      <c r="V462" s="12"/>
      <c r="W462" s="12"/>
      <c r="X462" s="12"/>
      <c r="Y462" s="12"/>
      <c r="Z462" s="12"/>
    </row>
    <row r="463" customFormat="false" ht="15.75" hidden="false" customHeight="false" outlineLevel="0" collapsed="false">
      <c r="A463" s="12"/>
      <c r="B463" s="34"/>
      <c r="C463" s="12"/>
      <c r="D463" s="12"/>
      <c r="E463" s="12"/>
      <c r="F463" s="12"/>
      <c r="G463" s="18"/>
      <c r="H463" s="35"/>
      <c r="I463" s="35"/>
      <c r="J463" s="12"/>
      <c r="O463" s="12"/>
      <c r="P463" s="18"/>
      <c r="Q463" s="12"/>
      <c r="R463" s="12"/>
      <c r="S463" s="12"/>
      <c r="T463" s="36"/>
      <c r="U463" s="36"/>
      <c r="V463" s="12"/>
      <c r="W463" s="12"/>
      <c r="X463" s="12"/>
      <c r="Y463" s="12"/>
      <c r="Z463" s="12"/>
    </row>
    <row r="464" customFormat="false" ht="15.75" hidden="false" customHeight="false" outlineLevel="0" collapsed="false">
      <c r="A464" s="12"/>
      <c r="B464" s="34"/>
      <c r="C464" s="12"/>
      <c r="D464" s="12"/>
      <c r="E464" s="12"/>
      <c r="F464" s="12"/>
      <c r="G464" s="18"/>
      <c r="H464" s="35"/>
      <c r="I464" s="35"/>
      <c r="J464" s="12"/>
      <c r="O464" s="12"/>
      <c r="P464" s="18"/>
      <c r="Q464" s="12"/>
      <c r="R464" s="12"/>
      <c r="S464" s="12"/>
      <c r="T464" s="36"/>
      <c r="U464" s="36"/>
      <c r="V464" s="12"/>
      <c r="W464" s="12"/>
      <c r="X464" s="12"/>
      <c r="Y464" s="12"/>
      <c r="Z464" s="12"/>
    </row>
    <row r="465" customFormat="false" ht="15.75" hidden="false" customHeight="false" outlineLevel="0" collapsed="false">
      <c r="A465" s="12"/>
      <c r="B465" s="34"/>
      <c r="C465" s="12"/>
      <c r="D465" s="12"/>
      <c r="E465" s="12"/>
      <c r="F465" s="12"/>
      <c r="G465" s="18"/>
      <c r="H465" s="35"/>
      <c r="I465" s="35"/>
      <c r="J465" s="12"/>
      <c r="O465" s="12"/>
      <c r="P465" s="18"/>
      <c r="Q465" s="12"/>
      <c r="R465" s="12"/>
      <c r="S465" s="12"/>
      <c r="T465" s="36"/>
      <c r="U465" s="36"/>
      <c r="V465" s="12"/>
      <c r="W465" s="12"/>
      <c r="X465" s="12"/>
      <c r="Y465" s="12"/>
      <c r="Z465" s="12"/>
    </row>
    <row r="466" customFormat="false" ht="15.75" hidden="false" customHeight="false" outlineLevel="0" collapsed="false">
      <c r="A466" s="12"/>
      <c r="B466" s="34"/>
      <c r="C466" s="12"/>
      <c r="D466" s="12"/>
      <c r="E466" s="12"/>
      <c r="F466" s="12"/>
      <c r="G466" s="18"/>
      <c r="H466" s="35"/>
      <c r="I466" s="35"/>
      <c r="J466" s="12"/>
      <c r="O466" s="12"/>
      <c r="P466" s="18"/>
      <c r="Q466" s="12"/>
      <c r="R466" s="12"/>
      <c r="S466" s="12"/>
      <c r="T466" s="36"/>
      <c r="U466" s="36"/>
      <c r="V466" s="12"/>
      <c r="W466" s="12"/>
      <c r="X466" s="12"/>
      <c r="Y466" s="12"/>
      <c r="Z466" s="12"/>
    </row>
    <row r="467" customFormat="false" ht="15.75" hidden="false" customHeight="false" outlineLevel="0" collapsed="false">
      <c r="A467" s="12"/>
      <c r="B467" s="34"/>
      <c r="C467" s="12"/>
      <c r="D467" s="12"/>
      <c r="E467" s="12"/>
      <c r="F467" s="12"/>
      <c r="G467" s="18"/>
      <c r="H467" s="35"/>
      <c r="I467" s="35"/>
      <c r="J467" s="12"/>
      <c r="O467" s="12"/>
      <c r="P467" s="18"/>
      <c r="Q467" s="12"/>
      <c r="R467" s="12"/>
      <c r="S467" s="12"/>
      <c r="T467" s="36"/>
      <c r="U467" s="36"/>
      <c r="V467" s="12"/>
      <c r="W467" s="12"/>
      <c r="X467" s="12"/>
      <c r="Y467" s="12"/>
      <c r="Z467" s="12"/>
    </row>
    <row r="468" customFormat="false" ht="15.75" hidden="false" customHeight="false" outlineLevel="0" collapsed="false">
      <c r="A468" s="12"/>
      <c r="B468" s="34"/>
      <c r="C468" s="12"/>
      <c r="D468" s="12"/>
      <c r="E468" s="12"/>
      <c r="F468" s="12"/>
      <c r="G468" s="18"/>
      <c r="H468" s="35"/>
      <c r="I468" s="35"/>
      <c r="J468" s="12"/>
      <c r="O468" s="12"/>
      <c r="P468" s="18"/>
      <c r="Q468" s="12"/>
      <c r="R468" s="12"/>
      <c r="S468" s="12"/>
      <c r="T468" s="36"/>
      <c r="U468" s="36"/>
      <c r="V468" s="12"/>
      <c r="W468" s="12"/>
      <c r="X468" s="12"/>
      <c r="Y468" s="12"/>
      <c r="Z468" s="12"/>
    </row>
    <row r="469" customFormat="false" ht="15.75" hidden="false" customHeight="false" outlineLevel="0" collapsed="false">
      <c r="A469" s="12"/>
      <c r="B469" s="34"/>
      <c r="C469" s="12"/>
      <c r="D469" s="12"/>
      <c r="E469" s="12"/>
      <c r="F469" s="12"/>
      <c r="G469" s="18"/>
      <c r="H469" s="35"/>
      <c r="I469" s="35"/>
      <c r="J469" s="12"/>
      <c r="O469" s="12"/>
      <c r="P469" s="18"/>
      <c r="Q469" s="12"/>
      <c r="R469" s="12"/>
      <c r="S469" s="12"/>
      <c r="T469" s="36"/>
      <c r="U469" s="36"/>
      <c r="V469" s="12"/>
      <c r="W469" s="12"/>
      <c r="X469" s="12"/>
      <c r="Y469" s="12"/>
      <c r="Z469" s="12"/>
    </row>
    <row r="470" customFormat="false" ht="15.75" hidden="false" customHeight="false" outlineLevel="0" collapsed="false">
      <c r="A470" s="12"/>
      <c r="B470" s="34"/>
      <c r="C470" s="12"/>
      <c r="D470" s="12"/>
      <c r="E470" s="12"/>
      <c r="F470" s="12"/>
      <c r="G470" s="18"/>
      <c r="H470" s="35"/>
      <c r="I470" s="35"/>
      <c r="J470" s="12"/>
      <c r="O470" s="12"/>
      <c r="P470" s="18"/>
      <c r="Q470" s="12"/>
      <c r="R470" s="12"/>
      <c r="S470" s="12"/>
      <c r="T470" s="36"/>
      <c r="U470" s="36"/>
      <c r="V470" s="12"/>
      <c r="W470" s="12"/>
      <c r="X470" s="12"/>
      <c r="Y470" s="12"/>
      <c r="Z470" s="12"/>
    </row>
    <row r="471" customFormat="false" ht="15.75" hidden="false" customHeight="false" outlineLevel="0" collapsed="false">
      <c r="A471" s="12"/>
      <c r="B471" s="34"/>
      <c r="C471" s="12"/>
      <c r="D471" s="12"/>
      <c r="E471" s="12"/>
      <c r="F471" s="12"/>
      <c r="G471" s="18"/>
      <c r="H471" s="35"/>
      <c r="I471" s="35"/>
      <c r="J471" s="12"/>
      <c r="O471" s="12"/>
      <c r="P471" s="18"/>
      <c r="Q471" s="12"/>
      <c r="R471" s="12"/>
      <c r="S471" s="12"/>
      <c r="T471" s="36"/>
      <c r="U471" s="36"/>
      <c r="V471" s="12"/>
      <c r="W471" s="12"/>
      <c r="X471" s="12"/>
      <c r="Y471" s="12"/>
      <c r="Z471" s="12"/>
    </row>
    <row r="472" customFormat="false" ht="15.75" hidden="false" customHeight="false" outlineLevel="0" collapsed="false">
      <c r="A472" s="12"/>
      <c r="B472" s="34"/>
      <c r="C472" s="12"/>
      <c r="D472" s="12"/>
      <c r="E472" s="12"/>
      <c r="F472" s="12"/>
      <c r="G472" s="18"/>
      <c r="H472" s="35"/>
      <c r="I472" s="35"/>
      <c r="J472" s="12"/>
      <c r="O472" s="12"/>
      <c r="P472" s="18"/>
      <c r="Q472" s="12"/>
      <c r="R472" s="12"/>
      <c r="S472" s="12"/>
      <c r="T472" s="36"/>
      <c r="U472" s="36"/>
      <c r="V472" s="12"/>
      <c r="W472" s="12"/>
      <c r="X472" s="12"/>
      <c r="Y472" s="12"/>
      <c r="Z472" s="12"/>
    </row>
    <row r="473" customFormat="false" ht="15.75" hidden="false" customHeight="false" outlineLevel="0" collapsed="false">
      <c r="A473" s="12"/>
      <c r="B473" s="34"/>
      <c r="C473" s="12"/>
      <c r="D473" s="12"/>
      <c r="E473" s="12"/>
      <c r="F473" s="12"/>
      <c r="G473" s="18"/>
      <c r="H473" s="35"/>
      <c r="I473" s="35"/>
      <c r="J473" s="12"/>
      <c r="O473" s="12"/>
      <c r="P473" s="18"/>
      <c r="Q473" s="12"/>
      <c r="R473" s="12"/>
      <c r="S473" s="12"/>
      <c r="T473" s="36"/>
      <c r="U473" s="36"/>
      <c r="V473" s="12"/>
      <c r="W473" s="12"/>
      <c r="X473" s="12"/>
      <c r="Y473" s="12"/>
      <c r="Z473" s="12"/>
    </row>
    <row r="474" customFormat="false" ht="15.75" hidden="false" customHeight="false" outlineLevel="0" collapsed="false">
      <c r="A474" s="12"/>
      <c r="B474" s="34"/>
      <c r="C474" s="12"/>
      <c r="D474" s="12"/>
      <c r="E474" s="12"/>
      <c r="F474" s="12"/>
      <c r="G474" s="18"/>
      <c r="H474" s="35"/>
      <c r="I474" s="35"/>
      <c r="J474" s="12"/>
      <c r="O474" s="12"/>
      <c r="P474" s="18"/>
      <c r="Q474" s="12"/>
      <c r="R474" s="12"/>
      <c r="S474" s="12"/>
      <c r="T474" s="36"/>
      <c r="U474" s="36"/>
      <c r="V474" s="12"/>
      <c r="W474" s="12"/>
      <c r="X474" s="12"/>
      <c r="Y474" s="12"/>
      <c r="Z474" s="12"/>
    </row>
    <row r="475" customFormat="false" ht="15.75" hidden="false" customHeight="false" outlineLevel="0" collapsed="false">
      <c r="A475" s="12"/>
      <c r="B475" s="34"/>
      <c r="C475" s="12"/>
      <c r="D475" s="12"/>
      <c r="E475" s="12"/>
      <c r="F475" s="12"/>
      <c r="G475" s="18"/>
      <c r="H475" s="35"/>
      <c r="I475" s="35"/>
      <c r="J475" s="12"/>
      <c r="O475" s="12"/>
      <c r="P475" s="18"/>
      <c r="Q475" s="12"/>
      <c r="R475" s="12"/>
      <c r="S475" s="12"/>
      <c r="T475" s="36"/>
      <c r="U475" s="36"/>
      <c r="V475" s="12"/>
      <c r="W475" s="12"/>
      <c r="X475" s="12"/>
      <c r="Y475" s="12"/>
      <c r="Z475" s="12"/>
    </row>
    <row r="476" customFormat="false" ht="15.75" hidden="false" customHeight="false" outlineLevel="0" collapsed="false">
      <c r="A476" s="12"/>
      <c r="B476" s="34"/>
      <c r="C476" s="12"/>
      <c r="D476" s="12"/>
      <c r="E476" s="12"/>
      <c r="F476" s="12"/>
      <c r="G476" s="18"/>
      <c r="H476" s="35"/>
      <c r="I476" s="35"/>
      <c r="J476" s="12"/>
      <c r="O476" s="12"/>
      <c r="P476" s="18"/>
      <c r="Q476" s="12"/>
      <c r="R476" s="12"/>
      <c r="S476" s="12"/>
      <c r="T476" s="36"/>
      <c r="U476" s="36"/>
      <c r="V476" s="12"/>
      <c r="W476" s="12"/>
      <c r="X476" s="12"/>
      <c r="Y476" s="12"/>
      <c r="Z476" s="12"/>
    </row>
    <row r="477" customFormat="false" ht="15.75" hidden="false" customHeight="false" outlineLevel="0" collapsed="false">
      <c r="A477" s="12"/>
      <c r="B477" s="34"/>
      <c r="C477" s="12"/>
      <c r="D477" s="12"/>
      <c r="E477" s="12"/>
      <c r="F477" s="12"/>
      <c r="G477" s="18"/>
      <c r="H477" s="35"/>
      <c r="I477" s="35"/>
      <c r="J477" s="12"/>
      <c r="O477" s="12"/>
      <c r="P477" s="18"/>
      <c r="Q477" s="12"/>
      <c r="R477" s="12"/>
      <c r="S477" s="12"/>
      <c r="T477" s="36"/>
      <c r="U477" s="36"/>
      <c r="V477" s="12"/>
      <c r="W477" s="12"/>
      <c r="X477" s="12"/>
      <c r="Y477" s="12"/>
      <c r="Z477" s="12"/>
    </row>
    <row r="478" customFormat="false" ht="15.75" hidden="false" customHeight="false" outlineLevel="0" collapsed="false">
      <c r="A478" s="12"/>
      <c r="B478" s="34"/>
      <c r="C478" s="12"/>
      <c r="D478" s="12"/>
      <c r="E478" s="12"/>
      <c r="F478" s="12"/>
      <c r="G478" s="18"/>
      <c r="H478" s="35"/>
      <c r="I478" s="35"/>
      <c r="J478" s="12"/>
      <c r="O478" s="12"/>
      <c r="P478" s="18"/>
      <c r="Q478" s="12"/>
      <c r="R478" s="12"/>
      <c r="S478" s="12"/>
      <c r="T478" s="36"/>
      <c r="U478" s="36"/>
      <c r="V478" s="12"/>
      <c r="W478" s="12"/>
      <c r="X478" s="12"/>
      <c r="Y478" s="12"/>
      <c r="Z478" s="12"/>
    </row>
    <row r="479" customFormat="false" ht="15.75" hidden="false" customHeight="false" outlineLevel="0" collapsed="false">
      <c r="A479" s="12"/>
      <c r="B479" s="34"/>
      <c r="C479" s="12"/>
      <c r="D479" s="12"/>
      <c r="E479" s="12"/>
      <c r="F479" s="12"/>
      <c r="G479" s="18"/>
      <c r="H479" s="35"/>
      <c r="I479" s="35"/>
      <c r="J479" s="12"/>
      <c r="O479" s="12"/>
      <c r="P479" s="18"/>
      <c r="Q479" s="12"/>
      <c r="R479" s="12"/>
      <c r="S479" s="12"/>
      <c r="T479" s="36"/>
      <c r="U479" s="36"/>
      <c r="V479" s="12"/>
      <c r="W479" s="12"/>
      <c r="X479" s="12"/>
      <c r="Y479" s="12"/>
      <c r="Z479" s="12"/>
    </row>
    <row r="480" customFormat="false" ht="15.75" hidden="false" customHeight="false" outlineLevel="0" collapsed="false">
      <c r="A480" s="12"/>
      <c r="B480" s="34"/>
      <c r="C480" s="12"/>
      <c r="D480" s="12"/>
      <c r="E480" s="12"/>
      <c r="F480" s="12"/>
      <c r="G480" s="18"/>
      <c r="H480" s="35"/>
      <c r="I480" s="35"/>
      <c r="J480" s="12"/>
      <c r="O480" s="12"/>
      <c r="P480" s="18"/>
      <c r="Q480" s="12"/>
      <c r="R480" s="12"/>
      <c r="S480" s="12"/>
      <c r="T480" s="36"/>
      <c r="U480" s="36"/>
      <c r="V480" s="12"/>
      <c r="W480" s="12"/>
      <c r="X480" s="12"/>
      <c r="Y480" s="12"/>
      <c r="Z480" s="12"/>
    </row>
    <row r="481" customFormat="false" ht="15.75" hidden="false" customHeight="false" outlineLevel="0" collapsed="false">
      <c r="A481" s="12"/>
      <c r="B481" s="34"/>
      <c r="C481" s="12"/>
      <c r="D481" s="12"/>
      <c r="E481" s="12"/>
      <c r="F481" s="12"/>
      <c r="G481" s="18"/>
      <c r="H481" s="35"/>
      <c r="I481" s="35"/>
      <c r="J481" s="12"/>
      <c r="O481" s="12"/>
      <c r="P481" s="18"/>
      <c r="Q481" s="12"/>
      <c r="R481" s="12"/>
      <c r="S481" s="12"/>
      <c r="T481" s="36"/>
      <c r="U481" s="36"/>
      <c r="V481" s="12"/>
      <c r="W481" s="12"/>
      <c r="X481" s="12"/>
      <c r="Y481" s="12"/>
      <c r="Z481" s="12"/>
    </row>
    <row r="482" customFormat="false" ht="15.75" hidden="false" customHeight="false" outlineLevel="0" collapsed="false">
      <c r="A482" s="12"/>
      <c r="B482" s="34"/>
      <c r="C482" s="12"/>
      <c r="D482" s="12"/>
      <c r="E482" s="12"/>
      <c r="F482" s="12"/>
      <c r="G482" s="18"/>
      <c r="H482" s="35"/>
      <c r="I482" s="35"/>
      <c r="J482" s="12"/>
      <c r="O482" s="12"/>
      <c r="P482" s="18"/>
      <c r="Q482" s="12"/>
      <c r="R482" s="12"/>
      <c r="S482" s="12"/>
      <c r="T482" s="36"/>
      <c r="U482" s="36"/>
      <c r="V482" s="12"/>
      <c r="W482" s="12"/>
      <c r="X482" s="12"/>
      <c r="Y482" s="12"/>
      <c r="Z482" s="12"/>
    </row>
    <row r="483" customFormat="false" ht="15.75" hidden="false" customHeight="false" outlineLevel="0" collapsed="false">
      <c r="A483" s="12"/>
      <c r="B483" s="34"/>
      <c r="C483" s="12"/>
      <c r="D483" s="12"/>
      <c r="E483" s="12"/>
      <c r="F483" s="12"/>
      <c r="G483" s="18"/>
      <c r="H483" s="35"/>
      <c r="I483" s="35"/>
      <c r="J483" s="12"/>
      <c r="O483" s="12"/>
      <c r="P483" s="18"/>
      <c r="Q483" s="12"/>
      <c r="R483" s="12"/>
      <c r="S483" s="12"/>
      <c r="T483" s="36"/>
      <c r="U483" s="36"/>
      <c r="V483" s="12"/>
      <c r="W483" s="12"/>
      <c r="X483" s="12"/>
      <c r="Y483" s="12"/>
      <c r="Z483" s="12"/>
    </row>
    <row r="484" customFormat="false" ht="15.75" hidden="false" customHeight="false" outlineLevel="0" collapsed="false">
      <c r="A484" s="12"/>
      <c r="B484" s="34"/>
      <c r="C484" s="12"/>
      <c r="D484" s="12"/>
      <c r="E484" s="12"/>
      <c r="F484" s="12"/>
      <c r="G484" s="18"/>
      <c r="H484" s="35"/>
      <c r="I484" s="35"/>
      <c r="J484" s="12"/>
      <c r="O484" s="12"/>
      <c r="P484" s="18"/>
      <c r="Q484" s="12"/>
      <c r="R484" s="12"/>
      <c r="S484" s="12"/>
      <c r="T484" s="36"/>
      <c r="U484" s="36"/>
      <c r="V484" s="12"/>
      <c r="W484" s="12"/>
      <c r="X484" s="12"/>
      <c r="Y484" s="12"/>
      <c r="Z484" s="12"/>
    </row>
    <row r="485" customFormat="false" ht="15.75" hidden="false" customHeight="false" outlineLevel="0" collapsed="false">
      <c r="A485" s="12"/>
      <c r="B485" s="34"/>
      <c r="C485" s="12"/>
      <c r="D485" s="12"/>
      <c r="E485" s="12"/>
      <c r="F485" s="12"/>
      <c r="G485" s="18"/>
      <c r="H485" s="35"/>
      <c r="I485" s="35"/>
      <c r="J485" s="12"/>
      <c r="O485" s="12"/>
      <c r="P485" s="18"/>
      <c r="Q485" s="12"/>
      <c r="R485" s="12"/>
      <c r="S485" s="12"/>
      <c r="T485" s="36"/>
      <c r="U485" s="36"/>
      <c r="V485" s="12"/>
      <c r="W485" s="12"/>
      <c r="X485" s="12"/>
      <c r="Y485" s="12"/>
      <c r="Z485" s="12"/>
    </row>
    <row r="486" customFormat="false" ht="15.75" hidden="false" customHeight="false" outlineLevel="0" collapsed="false">
      <c r="A486" s="12"/>
      <c r="B486" s="34"/>
      <c r="C486" s="12"/>
      <c r="D486" s="12"/>
      <c r="E486" s="12"/>
      <c r="F486" s="12"/>
      <c r="G486" s="18"/>
      <c r="H486" s="35"/>
      <c r="I486" s="35"/>
      <c r="J486" s="12"/>
      <c r="O486" s="12"/>
      <c r="P486" s="18"/>
      <c r="Q486" s="12"/>
      <c r="R486" s="12"/>
      <c r="S486" s="12"/>
      <c r="T486" s="36"/>
      <c r="U486" s="36"/>
      <c r="V486" s="12"/>
      <c r="W486" s="12"/>
      <c r="X486" s="12"/>
      <c r="Y486" s="12"/>
      <c r="Z486" s="12"/>
    </row>
    <row r="487" customFormat="false" ht="15.75" hidden="false" customHeight="false" outlineLevel="0" collapsed="false">
      <c r="A487" s="12"/>
      <c r="B487" s="34"/>
      <c r="C487" s="12"/>
      <c r="D487" s="12"/>
      <c r="E487" s="12"/>
      <c r="F487" s="12"/>
      <c r="G487" s="18"/>
      <c r="H487" s="35"/>
      <c r="I487" s="35"/>
      <c r="J487" s="12"/>
      <c r="O487" s="12"/>
      <c r="P487" s="18"/>
      <c r="Q487" s="12"/>
      <c r="R487" s="12"/>
      <c r="S487" s="12"/>
      <c r="T487" s="36"/>
      <c r="U487" s="36"/>
      <c r="V487" s="12"/>
      <c r="W487" s="12"/>
      <c r="X487" s="12"/>
      <c r="Y487" s="12"/>
      <c r="Z487" s="12"/>
    </row>
    <row r="488" customFormat="false" ht="15.75" hidden="false" customHeight="false" outlineLevel="0" collapsed="false">
      <c r="A488" s="12"/>
      <c r="B488" s="34"/>
      <c r="C488" s="12"/>
      <c r="D488" s="12"/>
      <c r="E488" s="12"/>
      <c r="F488" s="12"/>
      <c r="G488" s="18"/>
      <c r="H488" s="35"/>
      <c r="I488" s="35"/>
      <c r="J488" s="12"/>
      <c r="O488" s="12"/>
      <c r="P488" s="18"/>
      <c r="Q488" s="12"/>
      <c r="R488" s="12"/>
      <c r="S488" s="12"/>
      <c r="T488" s="36"/>
      <c r="U488" s="36"/>
      <c r="V488" s="12"/>
      <c r="W488" s="12"/>
      <c r="X488" s="12"/>
      <c r="Y488" s="12"/>
      <c r="Z488" s="12"/>
    </row>
    <row r="489" customFormat="false" ht="15.75" hidden="false" customHeight="false" outlineLevel="0" collapsed="false">
      <c r="A489" s="12"/>
      <c r="B489" s="34"/>
      <c r="C489" s="12"/>
      <c r="D489" s="12"/>
      <c r="E489" s="12"/>
      <c r="F489" s="12"/>
      <c r="G489" s="18"/>
      <c r="H489" s="35"/>
      <c r="I489" s="35"/>
      <c r="J489" s="12"/>
      <c r="O489" s="12"/>
      <c r="P489" s="18"/>
      <c r="Q489" s="12"/>
      <c r="R489" s="12"/>
      <c r="S489" s="12"/>
      <c r="T489" s="36"/>
      <c r="U489" s="36"/>
      <c r="V489" s="12"/>
      <c r="W489" s="12"/>
      <c r="X489" s="12"/>
      <c r="Y489" s="12"/>
      <c r="Z489" s="12"/>
    </row>
    <row r="490" customFormat="false" ht="15.75" hidden="false" customHeight="false" outlineLevel="0" collapsed="false">
      <c r="A490" s="12"/>
      <c r="B490" s="34"/>
      <c r="C490" s="12"/>
      <c r="D490" s="12"/>
      <c r="E490" s="12"/>
      <c r="F490" s="12"/>
      <c r="G490" s="18"/>
      <c r="H490" s="35"/>
      <c r="I490" s="35"/>
      <c r="J490" s="12"/>
      <c r="O490" s="12"/>
      <c r="P490" s="18"/>
      <c r="Q490" s="12"/>
      <c r="R490" s="12"/>
      <c r="S490" s="12"/>
      <c r="T490" s="36"/>
      <c r="U490" s="36"/>
      <c r="V490" s="12"/>
      <c r="W490" s="12"/>
      <c r="X490" s="12"/>
      <c r="Y490" s="12"/>
      <c r="Z490" s="12"/>
    </row>
    <row r="491" customFormat="false" ht="15.75" hidden="false" customHeight="false" outlineLevel="0" collapsed="false">
      <c r="A491" s="12"/>
      <c r="B491" s="34"/>
      <c r="C491" s="12"/>
      <c r="D491" s="12"/>
      <c r="E491" s="12"/>
      <c r="F491" s="12"/>
      <c r="G491" s="18"/>
      <c r="H491" s="35"/>
      <c r="I491" s="35"/>
      <c r="J491" s="12"/>
      <c r="O491" s="12"/>
      <c r="P491" s="18"/>
      <c r="Q491" s="12"/>
      <c r="R491" s="12"/>
      <c r="S491" s="12"/>
      <c r="T491" s="36"/>
      <c r="U491" s="36"/>
      <c r="V491" s="12"/>
      <c r="W491" s="12"/>
      <c r="X491" s="12"/>
      <c r="Y491" s="12"/>
      <c r="Z491" s="12"/>
    </row>
    <row r="492" customFormat="false" ht="15.75" hidden="false" customHeight="false" outlineLevel="0" collapsed="false">
      <c r="A492" s="12"/>
      <c r="B492" s="34"/>
      <c r="C492" s="12"/>
      <c r="D492" s="12"/>
      <c r="E492" s="12"/>
      <c r="F492" s="12"/>
      <c r="G492" s="18"/>
      <c r="H492" s="35"/>
      <c r="I492" s="35"/>
      <c r="J492" s="12"/>
      <c r="O492" s="12"/>
      <c r="P492" s="18"/>
      <c r="Q492" s="12"/>
      <c r="R492" s="12"/>
      <c r="S492" s="12"/>
      <c r="T492" s="36"/>
      <c r="U492" s="36"/>
      <c r="V492" s="12"/>
      <c r="W492" s="12"/>
      <c r="X492" s="12"/>
      <c r="Y492" s="12"/>
      <c r="Z492" s="12"/>
    </row>
    <row r="493" customFormat="false" ht="15.75" hidden="false" customHeight="false" outlineLevel="0" collapsed="false">
      <c r="A493" s="12"/>
      <c r="B493" s="34"/>
      <c r="C493" s="12"/>
      <c r="D493" s="12"/>
      <c r="E493" s="12"/>
      <c r="F493" s="12"/>
      <c r="G493" s="18"/>
      <c r="H493" s="35"/>
      <c r="I493" s="35"/>
      <c r="J493" s="12"/>
      <c r="O493" s="12"/>
      <c r="P493" s="18"/>
      <c r="Q493" s="12"/>
      <c r="R493" s="12"/>
      <c r="S493" s="12"/>
      <c r="T493" s="36"/>
      <c r="U493" s="36"/>
      <c r="V493" s="12"/>
      <c r="W493" s="12"/>
      <c r="X493" s="12"/>
      <c r="Y493" s="12"/>
      <c r="Z493" s="12"/>
    </row>
    <row r="494" customFormat="false" ht="15.75" hidden="false" customHeight="false" outlineLevel="0" collapsed="false">
      <c r="A494" s="12"/>
      <c r="B494" s="34"/>
      <c r="C494" s="12"/>
      <c r="D494" s="12"/>
      <c r="E494" s="12"/>
      <c r="F494" s="12"/>
      <c r="G494" s="18"/>
      <c r="H494" s="35"/>
      <c r="I494" s="35"/>
      <c r="J494" s="12"/>
      <c r="O494" s="12"/>
      <c r="P494" s="18"/>
      <c r="Q494" s="12"/>
      <c r="R494" s="12"/>
      <c r="S494" s="12"/>
      <c r="T494" s="36"/>
      <c r="U494" s="36"/>
      <c r="V494" s="12"/>
      <c r="W494" s="12"/>
      <c r="X494" s="12"/>
      <c r="Y494" s="12"/>
      <c r="Z494" s="12"/>
    </row>
    <row r="495" customFormat="false" ht="15.75" hidden="false" customHeight="false" outlineLevel="0" collapsed="false">
      <c r="A495" s="12"/>
      <c r="B495" s="34"/>
      <c r="C495" s="12"/>
      <c r="D495" s="12"/>
      <c r="E495" s="12"/>
      <c r="F495" s="12"/>
      <c r="G495" s="18"/>
      <c r="H495" s="35"/>
      <c r="I495" s="35"/>
      <c r="J495" s="12"/>
      <c r="O495" s="12"/>
      <c r="P495" s="18"/>
      <c r="Q495" s="12"/>
      <c r="R495" s="12"/>
      <c r="S495" s="12"/>
      <c r="T495" s="36"/>
      <c r="U495" s="36"/>
      <c r="V495" s="12"/>
      <c r="W495" s="12"/>
      <c r="X495" s="12"/>
      <c r="Y495" s="12"/>
      <c r="Z495" s="12"/>
    </row>
    <row r="496" customFormat="false" ht="15.75" hidden="false" customHeight="false" outlineLevel="0" collapsed="false">
      <c r="A496" s="12"/>
      <c r="B496" s="34"/>
      <c r="C496" s="12"/>
      <c r="D496" s="12"/>
      <c r="E496" s="12"/>
      <c r="F496" s="12"/>
      <c r="G496" s="18"/>
      <c r="H496" s="35"/>
      <c r="I496" s="35"/>
      <c r="J496" s="12"/>
      <c r="O496" s="12"/>
      <c r="P496" s="18"/>
      <c r="Q496" s="12"/>
      <c r="R496" s="12"/>
      <c r="S496" s="12"/>
      <c r="T496" s="36"/>
      <c r="U496" s="36"/>
      <c r="V496" s="12"/>
      <c r="W496" s="12"/>
      <c r="X496" s="12"/>
      <c r="Y496" s="12"/>
      <c r="Z496" s="12"/>
    </row>
    <row r="497" customFormat="false" ht="15.75" hidden="false" customHeight="false" outlineLevel="0" collapsed="false">
      <c r="A497" s="12"/>
      <c r="B497" s="34"/>
      <c r="C497" s="12"/>
      <c r="D497" s="12"/>
      <c r="E497" s="12"/>
      <c r="F497" s="12"/>
      <c r="G497" s="18"/>
      <c r="H497" s="35"/>
      <c r="I497" s="35"/>
      <c r="J497" s="12"/>
      <c r="O497" s="12"/>
      <c r="P497" s="18"/>
      <c r="Q497" s="12"/>
      <c r="R497" s="12"/>
      <c r="S497" s="12"/>
      <c r="T497" s="36"/>
      <c r="U497" s="36"/>
      <c r="V497" s="12"/>
      <c r="W497" s="12"/>
      <c r="X497" s="12"/>
      <c r="Y497" s="12"/>
      <c r="Z497" s="12"/>
    </row>
    <row r="498" customFormat="false" ht="15.75" hidden="false" customHeight="false" outlineLevel="0" collapsed="false">
      <c r="A498" s="12"/>
      <c r="B498" s="34"/>
      <c r="C498" s="12"/>
      <c r="D498" s="12"/>
      <c r="E498" s="12"/>
      <c r="F498" s="12"/>
      <c r="G498" s="18"/>
      <c r="H498" s="35"/>
      <c r="I498" s="35"/>
      <c r="J498" s="12"/>
      <c r="O498" s="12"/>
      <c r="P498" s="18"/>
      <c r="Q498" s="12"/>
      <c r="R498" s="12"/>
      <c r="S498" s="12"/>
      <c r="T498" s="36"/>
      <c r="U498" s="36"/>
      <c r="V498" s="12"/>
      <c r="W498" s="12"/>
      <c r="X498" s="12"/>
      <c r="Y498" s="12"/>
      <c r="Z498" s="12"/>
    </row>
    <row r="499" customFormat="false" ht="15.75" hidden="false" customHeight="false" outlineLevel="0" collapsed="false">
      <c r="A499" s="12"/>
      <c r="B499" s="34"/>
      <c r="C499" s="12"/>
      <c r="D499" s="12"/>
      <c r="E499" s="12"/>
      <c r="F499" s="12"/>
      <c r="G499" s="18"/>
      <c r="H499" s="35"/>
      <c r="I499" s="35"/>
      <c r="J499" s="12"/>
      <c r="O499" s="12"/>
      <c r="P499" s="18"/>
      <c r="Q499" s="12"/>
      <c r="R499" s="12"/>
      <c r="S499" s="12"/>
      <c r="T499" s="36"/>
      <c r="U499" s="36"/>
      <c r="V499" s="12"/>
      <c r="W499" s="12"/>
      <c r="X499" s="12"/>
      <c r="Y499" s="12"/>
      <c r="Z499" s="12"/>
    </row>
    <row r="500" customFormat="false" ht="15.75" hidden="false" customHeight="false" outlineLevel="0" collapsed="false">
      <c r="A500" s="12"/>
      <c r="B500" s="34"/>
      <c r="C500" s="12"/>
      <c r="D500" s="12"/>
      <c r="E500" s="12"/>
      <c r="F500" s="12"/>
      <c r="G500" s="18"/>
      <c r="H500" s="35"/>
      <c r="I500" s="35"/>
      <c r="J500" s="12"/>
      <c r="O500" s="12"/>
      <c r="P500" s="18"/>
      <c r="Q500" s="12"/>
      <c r="R500" s="12"/>
      <c r="S500" s="12"/>
      <c r="T500" s="36"/>
      <c r="U500" s="36"/>
      <c r="V500" s="12"/>
      <c r="W500" s="12"/>
      <c r="X500" s="12"/>
      <c r="Y500" s="12"/>
      <c r="Z500" s="12"/>
    </row>
    <row r="501" customFormat="false" ht="15.75" hidden="false" customHeight="false" outlineLevel="0" collapsed="false">
      <c r="A501" s="12"/>
      <c r="B501" s="34"/>
      <c r="C501" s="12"/>
      <c r="D501" s="12"/>
      <c r="E501" s="12"/>
      <c r="F501" s="12"/>
      <c r="G501" s="18"/>
      <c r="H501" s="35"/>
      <c r="I501" s="35"/>
      <c r="J501" s="12"/>
      <c r="O501" s="12"/>
      <c r="P501" s="18"/>
      <c r="Q501" s="12"/>
      <c r="R501" s="12"/>
      <c r="S501" s="12"/>
      <c r="T501" s="36"/>
      <c r="U501" s="36"/>
      <c r="V501" s="12"/>
      <c r="W501" s="12"/>
      <c r="X501" s="12"/>
      <c r="Y501" s="12"/>
      <c r="Z501" s="12"/>
    </row>
    <row r="502" customFormat="false" ht="15.75" hidden="false" customHeight="false" outlineLevel="0" collapsed="false">
      <c r="A502" s="12"/>
      <c r="B502" s="34"/>
      <c r="C502" s="12"/>
      <c r="D502" s="12"/>
      <c r="E502" s="12"/>
      <c r="F502" s="12"/>
      <c r="G502" s="18"/>
      <c r="H502" s="35"/>
      <c r="I502" s="35"/>
      <c r="J502" s="12"/>
      <c r="O502" s="12"/>
      <c r="P502" s="18"/>
      <c r="Q502" s="12"/>
      <c r="R502" s="12"/>
      <c r="S502" s="12"/>
      <c r="T502" s="36"/>
      <c r="U502" s="36"/>
      <c r="V502" s="12"/>
      <c r="W502" s="12"/>
      <c r="X502" s="12"/>
      <c r="Y502" s="12"/>
      <c r="Z502" s="12"/>
    </row>
    <row r="503" customFormat="false" ht="15.75" hidden="false" customHeight="false" outlineLevel="0" collapsed="false">
      <c r="A503" s="12"/>
      <c r="B503" s="34"/>
      <c r="C503" s="12"/>
      <c r="D503" s="12"/>
      <c r="E503" s="12"/>
      <c r="F503" s="12"/>
      <c r="G503" s="18"/>
      <c r="H503" s="35"/>
      <c r="I503" s="35"/>
      <c r="J503" s="12"/>
      <c r="O503" s="12"/>
      <c r="P503" s="18"/>
      <c r="Q503" s="12"/>
      <c r="R503" s="12"/>
      <c r="S503" s="12"/>
      <c r="T503" s="36"/>
      <c r="U503" s="36"/>
      <c r="V503" s="12"/>
      <c r="W503" s="12"/>
      <c r="X503" s="12"/>
      <c r="Y503" s="12"/>
      <c r="Z503" s="12"/>
    </row>
    <row r="504" customFormat="false" ht="15.75" hidden="false" customHeight="false" outlineLevel="0" collapsed="false">
      <c r="A504" s="12"/>
      <c r="B504" s="34"/>
      <c r="C504" s="12"/>
      <c r="D504" s="12"/>
      <c r="E504" s="12"/>
      <c r="F504" s="12"/>
      <c r="G504" s="18"/>
      <c r="H504" s="35"/>
      <c r="I504" s="35"/>
      <c r="J504" s="12"/>
      <c r="O504" s="12"/>
      <c r="P504" s="18"/>
      <c r="Q504" s="12"/>
      <c r="R504" s="12"/>
      <c r="S504" s="12"/>
      <c r="T504" s="36"/>
      <c r="U504" s="36"/>
      <c r="V504" s="12"/>
      <c r="W504" s="12"/>
      <c r="X504" s="12"/>
      <c r="Y504" s="12"/>
      <c r="Z504" s="12"/>
    </row>
    <row r="505" customFormat="false" ht="15.75" hidden="false" customHeight="false" outlineLevel="0" collapsed="false">
      <c r="A505" s="12"/>
      <c r="B505" s="34"/>
      <c r="C505" s="12"/>
      <c r="D505" s="12"/>
      <c r="E505" s="12"/>
      <c r="F505" s="12"/>
      <c r="G505" s="18"/>
      <c r="H505" s="35"/>
      <c r="I505" s="35"/>
      <c r="J505" s="12"/>
      <c r="O505" s="12"/>
      <c r="P505" s="18"/>
      <c r="Q505" s="12"/>
      <c r="R505" s="12"/>
      <c r="S505" s="12"/>
      <c r="T505" s="36"/>
      <c r="U505" s="36"/>
      <c r="V505" s="12"/>
      <c r="W505" s="12"/>
      <c r="X505" s="12"/>
      <c r="Y505" s="12"/>
      <c r="Z505" s="12"/>
    </row>
    <row r="506" customFormat="false" ht="15.75" hidden="false" customHeight="false" outlineLevel="0" collapsed="false">
      <c r="A506" s="12"/>
      <c r="B506" s="34"/>
      <c r="C506" s="12"/>
      <c r="D506" s="12"/>
      <c r="E506" s="12"/>
      <c r="F506" s="12"/>
      <c r="G506" s="18"/>
      <c r="H506" s="35"/>
      <c r="I506" s="35"/>
      <c r="J506" s="12"/>
      <c r="O506" s="12"/>
      <c r="P506" s="18"/>
      <c r="Q506" s="12"/>
      <c r="R506" s="12"/>
      <c r="S506" s="12"/>
      <c r="T506" s="36"/>
      <c r="U506" s="36"/>
      <c r="V506" s="12"/>
      <c r="W506" s="12"/>
      <c r="X506" s="12"/>
      <c r="Y506" s="12"/>
      <c r="Z506" s="12"/>
    </row>
    <row r="507" customFormat="false" ht="15.75" hidden="false" customHeight="false" outlineLevel="0" collapsed="false">
      <c r="A507" s="12"/>
      <c r="B507" s="34"/>
      <c r="C507" s="12"/>
      <c r="D507" s="12"/>
      <c r="E507" s="12"/>
      <c r="F507" s="12"/>
      <c r="G507" s="18"/>
      <c r="H507" s="35"/>
      <c r="I507" s="35"/>
      <c r="J507" s="12"/>
      <c r="O507" s="12"/>
      <c r="P507" s="18"/>
      <c r="Q507" s="12"/>
      <c r="R507" s="12"/>
      <c r="S507" s="12"/>
      <c r="T507" s="36"/>
      <c r="U507" s="36"/>
      <c r="V507" s="12"/>
      <c r="W507" s="12"/>
      <c r="X507" s="12"/>
      <c r="Y507" s="12"/>
      <c r="Z507" s="12"/>
    </row>
    <row r="508" customFormat="false" ht="15.75" hidden="false" customHeight="false" outlineLevel="0" collapsed="false">
      <c r="A508" s="12"/>
      <c r="B508" s="34"/>
      <c r="C508" s="12"/>
      <c r="D508" s="12"/>
      <c r="E508" s="12"/>
      <c r="F508" s="12"/>
      <c r="G508" s="18"/>
      <c r="H508" s="35"/>
      <c r="I508" s="35"/>
      <c r="J508" s="12"/>
      <c r="O508" s="12"/>
      <c r="P508" s="18"/>
      <c r="Q508" s="12"/>
      <c r="R508" s="12"/>
      <c r="S508" s="12"/>
      <c r="T508" s="36"/>
      <c r="U508" s="36"/>
      <c r="V508" s="12"/>
      <c r="W508" s="12"/>
      <c r="X508" s="12"/>
      <c r="Y508" s="12"/>
      <c r="Z508" s="12"/>
    </row>
    <row r="509" customFormat="false" ht="15.75" hidden="false" customHeight="false" outlineLevel="0" collapsed="false">
      <c r="A509" s="12"/>
      <c r="B509" s="34"/>
      <c r="C509" s="12"/>
      <c r="D509" s="12"/>
      <c r="E509" s="12"/>
      <c r="F509" s="12"/>
      <c r="G509" s="18"/>
      <c r="H509" s="35"/>
      <c r="I509" s="35"/>
      <c r="J509" s="12"/>
      <c r="O509" s="12"/>
      <c r="P509" s="18"/>
      <c r="Q509" s="12"/>
      <c r="R509" s="12"/>
      <c r="S509" s="12"/>
      <c r="T509" s="36"/>
      <c r="U509" s="36"/>
      <c r="V509" s="12"/>
      <c r="W509" s="12"/>
      <c r="X509" s="12"/>
      <c r="Y509" s="12"/>
      <c r="Z509" s="12"/>
    </row>
    <row r="510" customFormat="false" ht="15.75" hidden="false" customHeight="false" outlineLevel="0" collapsed="false">
      <c r="A510" s="12"/>
      <c r="B510" s="34"/>
      <c r="C510" s="12"/>
      <c r="D510" s="12"/>
      <c r="E510" s="12"/>
      <c r="F510" s="12"/>
      <c r="G510" s="18"/>
      <c r="H510" s="35"/>
      <c r="I510" s="35"/>
      <c r="J510" s="12"/>
      <c r="O510" s="12"/>
      <c r="P510" s="18"/>
      <c r="Q510" s="12"/>
      <c r="R510" s="12"/>
      <c r="S510" s="12"/>
      <c r="T510" s="36"/>
      <c r="U510" s="36"/>
      <c r="V510" s="12"/>
      <c r="W510" s="12"/>
      <c r="X510" s="12"/>
      <c r="Y510" s="12"/>
      <c r="Z510" s="12"/>
    </row>
    <row r="511" customFormat="false" ht="15.75" hidden="false" customHeight="false" outlineLevel="0" collapsed="false">
      <c r="A511" s="12"/>
      <c r="B511" s="34"/>
      <c r="C511" s="12"/>
      <c r="D511" s="12"/>
      <c r="E511" s="12"/>
      <c r="F511" s="12"/>
      <c r="G511" s="18"/>
      <c r="H511" s="35"/>
      <c r="I511" s="35"/>
      <c r="J511" s="12"/>
      <c r="O511" s="12"/>
      <c r="P511" s="18"/>
      <c r="Q511" s="12"/>
      <c r="R511" s="12"/>
      <c r="S511" s="12"/>
      <c r="T511" s="36"/>
      <c r="U511" s="36"/>
      <c r="V511" s="12"/>
      <c r="W511" s="12"/>
      <c r="X511" s="12"/>
      <c r="Y511" s="12"/>
      <c r="Z511" s="12"/>
    </row>
    <row r="512" customFormat="false" ht="15.75" hidden="false" customHeight="false" outlineLevel="0" collapsed="false">
      <c r="A512" s="12"/>
      <c r="B512" s="34"/>
      <c r="C512" s="12"/>
      <c r="D512" s="12"/>
      <c r="E512" s="12"/>
      <c r="F512" s="12"/>
      <c r="G512" s="18"/>
      <c r="H512" s="35"/>
      <c r="I512" s="35"/>
      <c r="J512" s="12"/>
      <c r="O512" s="12"/>
      <c r="P512" s="18"/>
      <c r="Q512" s="12"/>
      <c r="R512" s="12"/>
      <c r="S512" s="12"/>
      <c r="T512" s="36"/>
      <c r="U512" s="36"/>
      <c r="V512" s="12"/>
      <c r="W512" s="12"/>
      <c r="X512" s="12"/>
      <c r="Y512" s="12"/>
      <c r="Z512" s="12"/>
    </row>
    <row r="513" customFormat="false" ht="15.75" hidden="false" customHeight="false" outlineLevel="0" collapsed="false">
      <c r="A513" s="12"/>
      <c r="B513" s="34"/>
      <c r="C513" s="12"/>
      <c r="D513" s="12"/>
      <c r="E513" s="12"/>
      <c r="F513" s="12"/>
      <c r="G513" s="18"/>
      <c r="H513" s="35"/>
      <c r="I513" s="35"/>
      <c r="J513" s="12"/>
      <c r="O513" s="12"/>
      <c r="P513" s="18"/>
      <c r="Q513" s="12"/>
      <c r="R513" s="12"/>
      <c r="S513" s="12"/>
      <c r="T513" s="36"/>
      <c r="U513" s="36"/>
      <c r="V513" s="12"/>
      <c r="W513" s="12"/>
      <c r="X513" s="12"/>
      <c r="Y513" s="12"/>
      <c r="Z513" s="12"/>
    </row>
    <row r="514" customFormat="false" ht="15.75" hidden="false" customHeight="false" outlineLevel="0" collapsed="false">
      <c r="A514" s="12"/>
      <c r="B514" s="34"/>
      <c r="C514" s="12"/>
      <c r="D514" s="12"/>
      <c r="E514" s="12"/>
      <c r="F514" s="12"/>
      <c r="G514" s="18"/>
      <c r="H514" s="35"/>
      <c r="I514" s="35"/>
      <c r="J514" s="12"/>
      <c r="O514" s="12"/>
      <c r="P514" s="18"/>
      <c r="Q514" s="12"/>
      <c r="R514" s="12"/>
      <c r="S514" s="12"/>
      <c r="T514" s="36"/>
      <c r="U514" s="36"/>
      <c r="V514" s="12"/>
      <c r="W514" s="12"/>
      <c r="X514" s="12"/>
      <c r="Y514" s="12"/>
      <c r="Z514" s="12"/>
    </row>
    <row r="515" customFormat="false" ht="15.75" hidden="false" customHeight="false" outlineLevel="0" collapsed="false">
      <c r="A515" s="12"/>
      <c r="B515" s="34"/>
      <c r="C515" s="12"/>
      <c r="D515" s="12"/>
      <c r="E515" s="12"/>
      <c r="F515" s="12"/>
      <c r="G515" s="18"/>
      <c r="H515" s="35"/>
      <c r="I515" s="35"/>
      <c r="J515" s="12"/>
      <c r="O515" s="12"/>
      <c r="P515" s="18"/>
      <c r="Q515" s="12"/>
      <c r="R515" s="12"/>
      <c r="S515" s="12"/>
      <c r="T515" s="36"/>
      <c r="U515" s="36"/>
      <c r="V515" s="12"/>
      <c r="W515" s="12"/>
      <c r="X515" s="12"/>
      <c r="Y515" s="12"/>
      <c r="Z515" s="12"/>
    </row>
    <row r="516" customFormat="false" ht="15.75" hidden="false" customHeight="false" outlineLevel="0" collapsed="false">
      <c r="A516" s="12"/>
      <c r="B516" s="34"/>
      <c r="C516" s="12"/>
      <c r="D516" s="12"/>
      <c r="E516" s="12"/>
      <c r="F516" s="12"/>
      <c r="G516" s="18"/>
      <c r="H516" s="35"/>
      <c r="I516" s="35"/>
      <c r="J516" s="12"/>
      <c r="O516" s="12"/>
      <c r="P516" s="18"/>
      <c r="Q516" s="12"/>
      <c r="R516" s="12"/>
      <c r="S516" s="12"/>
      <c r="T516" s="36"/>
      <c r="U516" s="36"/>
      <c r="V516" s="12"/>
      <c r="W516" s="12"/>
      <c r="X516" s="12"/>
      <c r="Y516" s="12"/>
      <c r="Z516" s="12"/>
    </row>
    <row r="517" customFormat="false" ht="15.75" hidden="false" customHeight="false" outlineLevel="0" collapsed="false">
      <c r="A517" s="12"/>
      <c r="B517" s="34"/>
      <c r="C517" s="12"/>
      <c r="D517" s="12"/>
      <c r="E517" s="12"/>
      <c r="F517" s="12"/>
      <c r="G517" s="18"/>
      <c r="H517" s="35"/>
      <c r="I517" s="35"/>
      <c r="J517" s="12"/>
      <c r="O517" s="12"/>
      <c r="P517" s="18"/>
      <c r="Q517" s="12"/>
      <c r="R517" s="12"/>
      <c r="S517" s="12"/>
      <c r="T517" s="36"/>
      <c r="U517" s="36"/>
      <c r="V517" s="12"/>
      <c r="W517" s="12"/>
      <c r="X517" s="12"/>
      <c r="Y517" s="12"/>
      <c r="Z517" s="12"/>
    </row>
    <row r="518" customFormat="false" ht="15.75" hidden="false" customHeight="false" outlineLevel="0" collapsed="false">
      <c r="A518" s="12"/>
      <c r="B518" s="34"/>
      <c r="C518" s="12"/>
      <c r="D518" s="12"/>
      <c r="E518" s="12"/>
      <c r="F518" s="12"/>
      <c r="G518" s="18"/>
      <c r="H518" s="35"/>
      <c r="I518" s="35"/>
      <c r="J518" s="12"/>
      <c r="O518" s="12"/>
      <c r="P518" s="18"/>
      <c r="Q518" s="12"/>
      <c r="R518" s="12"/>
      <c r="S518" s="12"/>
      <c r="T518" s="36"/>
      <c r="U518" s="36"/>
      <c r="V518" s="12"/>
      <c r="W518" s="12"/>
      <c r="X518" s="12"/>
      <c r="Y518" s="12"/>
      <c r="Z518" s="12"/>
    </row>
    <row r="519" customFormat="false" ht="15.75" hidden="false" customHeight="false" outlineLevel="0" collapsed="false">
      <c r="A519" s="12"/>
      <c r="B519" s="34"/>
      <c r="C519" s="12"/>
      <c r="D519" s="12"/>
      <c r="E519" s="12"/>
      <c r="F519" s="12"/>
      <c r="G519" s="18"/>
      <c r="H519" s="35"/>
      <c r="I519" s="35"/>
      <c r="J519" s="12"/>
      <c r="O519" s="12"/>
      <c r="P519" s="18"/>
      <c r="Q519" s="12"/>
      <c r="R519" s="12"/>
      <c r="S519" s="12"/>
      <c r="T519" s="36"/>
      <c r="U519" s="36"/>
      <c r="V519" s="12"/>
      <c r="W519" s="12"/>
      <c r="X519" s="12"/>
      <c r="Y519" s="12"/>
      <c r="Z519" s="12"/>
    </row>
    <row r="520" customFormat="false" ht="15.75" hidden="false" customHeight="false" outlineLevel="0" collapsed="false">
      <c r="A520" s="12"/>
      <c r="B520" s="34"/>
      <c r="C520" s="12"/>
      <c r="D520" s="12"/>
      <c r="E520" s="12"/>
      <c r="F520" s="12"/>
      <c r="G520" s="18"/>
      <c r="H520" s="35"/>
      <c r="I520" s="35"/>
      <c r="J520" s="12"/>
      <c r="O520" s="12"/>
      <c r="P520" s="18"/>
      <c r="Q520" s="12"/>
      <c r="R520" s="12"/>
      <c r="S520" s="12"/>
      <c r="T520" s="36"/>
      <c r="U520" s="36"/>
      <c r="V520" s="12"/>
      <c r="W520" s="12"/>
      <c r="X520" s="12"/>
      <c r="Y520" s="12"/>
      <c r="Z520" s="12"/>
    </row>
    <row r="521" customFormat="false" ht="15.75" hidden="false" customHeight="false" outlineLevel="0" collapsed="false">
      <c r="A521" s="12"/>
      <c r="B521" s="34"/>
      <c r="C521" s="12"/>
      <c r="D521" s="12"/>
      <c r="E521" s="12"/>
      <c r="F521" s="12"/>
      <c r="G521" s="18"/>
      <c r="H521" s="35"/>
      <c r="I521" s="35"/>
      <c r="J521" s="12"/>
      <c r="O521" s="12"/>
      <c r="P521" s="18"/>
      <c r="Q521" s="12"/>
      <c r="R521" s="12"/>
      <c r="S521" s="12"/>
      <c r="T521" s="36"/>
      <c r="U521" s="36"/>
      <c r="V521" s="12"/>
      <c r="W521" s="12"/>
      <c r="X521" s="12"/>
      <c r="Y521" s="12"/>
      <c r="Z521" s="12"/>
    </row>
    <row r="522" customFormat="false" ht="15.75" hidden="false" customHeight="false" outlineLevel="0" collapsed="false">
      <c r="A522" s="12"/>
      <c r="B522" s="34"/>
      <c r="C522" s="12"/>
      <c r="D522" s="12"/>
      <c r="E522" s="12"/>
      <c r="F522" s="12"/>
      <c r="G522" s="18"/>
      <c r="H522" s="35"/>
      <c r="I522" s="35"/>
      <c r="J522" s="12"/>
      <c r="O522" s="12"/>
      <c r="P522" s="18"/>
      <c r="Q522" s="12"/>
      <c r="R522" s="12"/>
      <c r="S522" s="12"/>
      <c r="T522" s="36"/>
      <c r="U522" s="36"/>
      <c r="V522" s="12"/>
      <c r="W522" s="12"/>
      <c r="X522" s="12"/>
      <c r="Y522" s="12"/>
      <c r="Z522" s="12"/>
    </row>
    <row r="523" customFormat="false" ht="15.75" hidden="false" customHeight="false" outlineLevel="0" collapsed="false">
      <c r="A523" s="12"/>
      <c r="B523" s="34"/>
      <c r="C523" s="12"/>
      <c r="D523" s="12"/>
      <c r="E523" s="12"/>
      <c r="F523" s="12"/>
      <c r="G523" s="18"/>
      <c r="H523" s="35"/>
      <c r="I523" s="35"/>
      <c r="J523" s="12"/>
      <c r="O523" s="12"/>
      <c r="P523" s="18"/>
      <c r="Q523" s="12"/>
      <c r="R523" s="12"/>
      <c r="S523" s="12"/>
      <c r="T523" s="36"/>
      <c r="U523" s="36"/>
      <c r="V523" s="12"/>
      <c r="W523" s="12"/>
      <c r="X523" s="12"/>
      <c r="Y523" s="12"/>
      <c r="Z523" s="12"/>
    </row>
    <row r="524" customFormat="false" ht="15.75" hidden="false" customHeight="false" outlineLevel="0" collapsed="false">
      <c r="A524" s="12"/>
      <c r="B524" s="34"/>
      <c r="C524" s="12"/>
      <c r="D524" s="12"/>
      <c r="E524" s="12"/>
      <c r="F524" s="12"/>
      <c r="G524" s="18"/>
      <c r="H524" s="35"/>
      <c r="I524" s="35"/>
      <c r="J524" s="12"/>
      <c r="O524" s="12"/>
      <c r="P524" s="18"/>
      <c r="Q524" s="12"/>
      <c r="R524" s="12"/>
      <c r="S524" s="12"/>
      <c r="T524" s="36"/>
      <c r="U524" s="36"/>
      <c r="V524" s="12"/>
      <c r="W524" s="12"/>
      <c r="X524" s="12"/>
      <c r="Y524" s="12"/>
      <c r="Z524" s="12"/>
    </row>
    <row r="525" customFormat="false" ht="15.75" hidden="false" customHeight="false" outlineLevel="0" collapsed="false">
      <c r="A525" s="12"/>
      <c r="B525" s="34"/>
      <c r="C525" s="12"/>
      <c r="D525" s="12"/>
      <c r="E525" s="12"/>
      <c r="F525" s="12"/>
      <c r="G525" s="18"/>
      <c r="H525" s="35"/>
      <c r="I525" s="35"/>
      <c r="J525" s="12"/>
      <c r="O525" s="12"/>
      <c r="P525" s="18"/>
      <c r="Q525" s="12"/>
      <c r="R525" s="12"/>
      <c r="S525" s="12"/>
      <c r="T525" s="36"/>
      <c r="U525" s="36"/>
      <c r="V525" s="12"/>
      <c r="W525" s="12"/>
      <c r="X525" s="12"/>
      <c r="Y525" s="12"/>
      <c r="Z525" s="12"/>
    </row>
    <row r="526" customFormat="false" ht="15.75" hidden="false" customHeight="false" outlineLevel="0" collapsed="false">
      <c r="A526" s="12"/>
      <c r="B526" s="34"/>
      <c r="C526" s="12"/>
      <c r="D526" s="12"/>
      <c r="E526" s="12"/>
      <c r="F526" s="12"/>
      <c r="G526" s="18"/>
      <c r="H526" s="35"/>
      <c r="I526" s="35"/>
      <c r="J526" s="12"/>
      <c r="O526" s="12"/>
      <c r="P526" s="18"/>
      <c r="Q526" s="12"/>
      <c r="R526" s="12"/>
      <c r="S526" s="12"/>
      <c r="T526" s="36"/>
      <c r="U526" s="36"/>
      <c r="V526" s="12"/>
      <c r="W526" s="12"/>
      <c r="X526" s="12"/>
      <c r="Y526" s="12"/>
      <c r="Z526" s="12"/>
    </row>
    <row r="527" customFormat="false" ht="15.75" hidden="false" customHeight="false" outlineLevel="0" collapsed="false">
      <c r="A527" s="12"/>
      <c r="B527" s="34"/>
      <c r="C527" s="12"/>
      <c r="D527" s="12"/>
      <c r="E527" s="12"/>
      <c r="F527" s="12"/>
      <c r="G527" s="18"/>
      <c r="H527" s="35"/>
      <c r="I527" s="35"/>
      <c r="J527" s="12"/>
      <c r="O527" s="12"/>
      <c r="P527" s="18"/>
      <c r="Q527" s="12"/>
      <c r="R527" s="12"/>
      <c r="S527" s="12"/>
      <c r="T527" s="36"/>
      <c r="U527" s="36"/>
      <c r="V527" s="12"/>
      <c r="W527" s="12"/>
      <c r="X527" s="12"/>
      <c r="Y527" s="12"/>
      <c r="Z527" s="12"/>
    </row>
    <row r="528" customFormat="false" ht="15.75" hidden="false" customHeight="false" outlineLevel="0" collapsed="false">
      <c r="A528" s="12"/>
      <c r="B528" s="34"/>
      <c r="C528" s="12"/>
      <c r="D528" s="12"/>
      <c r="E528" s="12"/>
      <c r="F528" s="12"/>
      <c r="G528" s="18"/>
      <c r="H528" s="35"/>
      <c r="I528" s="35"/>
      <c r="J528" s="12"/>
      <c r="O528" s="12"/>
      <c r="P528" s="18"/>
      <c r="Q528" s="12"/>
      <c r="R528" s="12"/>
      <c r="S528" s="12"/>
      <c r="T528" s="36"/>
      <c r="U528" s="36"/>
      <c r="V528" s="12"/>
      <c r="W528" s="12"/>
      <c r="X528" s="12"/>
      <c r="Y528" s="12"/>
      <c r="Z528" s="12"/>
    </row>
    <row r="529" customFormat="false" ht="15.75" hidden="false" customHeight="false" outlineLevel="0" collapsed="false">
      <c r="A529" s="12"/>
      <c r="B529" s="34"/>
      <c r="C529" s="12"/>
      <c r="D529" s="12"/>
      <c r="E529" s="12"/>
      <c r="F529" s="12"/>
      <c r="G529" s="18"/>
      <c r="H529" s="35"/>
      <c r="I529" s="35"/>
      <c r="J529" s="12"/>
      <c r="O529" s="12"/>
      <c r="P529" s="18"/>
      <c r="Q529" s="12"/>
      <c r="R529" s="12"/>
      <c r="S529" s="12"/>
      <c r="T529" s="36"/>
      <c r="U529" s="36"/>
      <c r="V529" s="12"/>
      <c r="W529" s="12"/>
      <c r="X529" s="12"/>
      <c r="Y529" s="12"/>
      <c r="Z529" s="12"/>
    </row>
    <row r="530" customFormat="false" ht="15.75" hidden="false" customHeight="false" outlineLevel="0" collapsed="false">
      <c r="A530" s="12"/>
      <c r="B530" s="34"/>
      <c r="C530" s="12"/>
      <c r="D530" s="12"/>
      <c r="E530" s="12"/>
      <c r="F530" s="12"/>
      <c r="G530" s="18"/>
      <c r="H530" s="35"/>
      <c r="I530" s="35"/>
      <c r="J530" s="12"/>
      <c r="O530" s="12"/>
      <c r="P530" s="18"/>
      <c r="Q530" s="12"/>
      <c r="R530" s="12"/>
      <c r="S530" s="12"/>
      <c r="T530" s="36"/>
      <c r="U530" s="36"/>
      <c r="V530" s="12"/>
      <c r="W530" s="12"/>
      <c r="X530" s="12"/>
      <c r="Y530" s="12"/>
      <c r="Z530" s="12"/>
    </row>
    <row r="531" customFormat="false" ht="15.75" hidden="false" customHeight="false" outlineLevel="0" collapsed="false">
      <c r="A531" s="12"/>
      <c r="B531" s="34"/>
      <c r="C531" s="12"/>
      <c r="D531" s="12"/>
      <c r="E531" s="12"/>
      <c r="F531" s="12"/>
      <c r="G531" s="18"/>
      <c r="H531" s="35"/>
      <c r="I531" s="35"/>
      <c r="J531" s="12"/>
      <c r="O531" s="12"/>
      <c r="P531" s="18"/>
      <c r="Q531" s="12"/>
      <c r="R531" s="12"/>
      <c r="S531" s="12"/>
      <c r="T531" s="36"/>
      <c r="U531" s="36"/>
      <c r="V531" s="12"/>
      <c r="W531" s="12"/>
      <c r="X531" s="12"/>
      <c r="Y531" s="12"/>
      <c r="Z531" s="12"/>
    </row>
    <row r="532" customFormat="false" ht="15.75" hidden="false" customHeight="false" outlineLevel="0" collapsed="false">
      <c r="A532" s="12"/>
      <c r="B532" s="34"/>
      <c r="C532" s="12"/>
      <c r="D532" s="12"/>
      <c r="E532" s="12"/>
      <c r="F532" s="12"/>
      <c r="G532" s="18"/>
      <c r="H532" s="35"/>
      <c r="I532" s="35"/>
      <c r="J532" s="12"/>
      <c r="O532" s="12"/>
      <c r="P532" s="18"/>
      <c r="Q532" s="12"/>
      <c r="R532" s="12"/>
      <c r="S532" s="12"/>
      <c r="T532" s="36"/>
      <c r="U532" s="36"/>
      <c r="V532" s="12"/>
      <c r="W532" s="12"/>
      <c r="X532" s="12"/>
      <c r="Y532" s="12"/>
      <c r="Z532" s="12"/>
    </row>
    <row r="533" customFormat="false" ht="15.75" hidden="false" customHeight="false" outlineLevel="0" collapsed="false">
      <c r="A533" s="12"/>
      <c r="B533" s="34"/>
      <c r="C533" s="12"/>
      <c r="D533" s="12"/>
      <c r="E533" s="12"/>
      <c r="F533" s="12"/>
      <c r="G533" s="18"/>
      <c r="H533" s="35"/>
      <c r="I533" s="35"/>
      <c r="J533" s="12"/>
      <c r="O533" s="12"/>
      <c r="P533" s="18"/>
      <c r="Q533" s="12"/>
      <c r="R533" s="12"/>
      <c r="S533" s="12"/>
      <c r="T533" s="36"/>
      <c r="U533" s="36"/>
      <c r="V533" s="12"/>
      <c r="W533" s="12"/>
      <c r="X533" s="12"/>
      <c r="Y533" s="12"/>
      <c r="Z533" s="12"/>
    </row>
    <row r="534" customFormat="false" ht="15.75" hidden="false" customHeight="false" outlineLevel="0" collapsed="false">
      <c r="A534" s="12"/>
      <c r="B534" s="34"/>
      <c r="C534" s="12"/>
      <c r="D534" s="12"/>
      <c r="E534" s="12"/>
      <c r="F534" s="12"/>
      <c r="G534" s="18"/>
      <c r="H534" s="35"/>
      <c r="I534" s="35"/>
      <c r="J534" s="12"/>
      <c r="O534" s="12"/>
      <c r="P534" s="18"/>
      <c r="Q534" s="12"/>
      <c r="R534" s="12"/>
      <c r="S534" s="12"/>
      <c r="T534" s="36"/>
      <c r="U534" s="36"/>
      <c r="V534" s="12"/>
      <c r="W534" s="12"/>
      <c r="X534" s="12"/>
      <c r="Y534" s="12"/>
      <c r="Z534" s="12"/>
    </row>
    <row r="535" customFormat="false" ht="15.75" hidden="false" customHeight="false" outlineLevel="0" collapsed="false">
      <c r="A535" s="12"/>
      <c r="B535" s="34"/>
      <c r="C535" s="12"/>
      <c r="D535" s="12"/>
      <c r="E535" s="12"/>
      <c r="F535" s="12"/>
      <c r="G535" s="18"/>
      <c r="H535" s="35"/>
      <c r="I535" s="35"/>
      <c r="J535" s="12"/>
      <c r="O535" s="12"/>
      <c r="P535" s="18"/>
      <c r="Q535" s="12"/>
      <c r="R535" s="12"/>
      <c r="S535" s="12"/>
      <c r="T535" s="36"/>
      <c r="U535" s="36"/>
      <c r="V535" s="12"/>
      <c r="W535" s="12"/>
      <c r="X535" s="12"/>
      <c r="Y535" s="12"/>
      <c r="Z535" s="12"/>
    </row>
    <row r="536" customFormat="false" ht="15.75" hidden="false" customHeight="false" outlineLevel="0" collapsed="false">
      <c r="A536" s="12"/>
      <c r="B536" s="34"/>
      <c r="C536" s="12"/>
      <c r="D536" s="12"/>
      <c r="E536" s="12"/>
      <c r="F536" s="12"/>
      <c r="G536" s="18"/>
      <c r="H536" s="35"/>
      <c r="I536" s="35"/>
      <c r="J536" s="12"/>
      <c r="O536" s="12"/>
      <c r="P536" s="18"/>
      <c r="Q536" s="12"/>
      <c r="R536" s="12"/>
      <c r="S536" s="12"/>
      <c r="T536" s="36"/>
      <c r="U536" s="36"/>
      <c r="V536" s="12"/>
      <c r="W536" s="12"/>
      <c r="X536" s="12"/>
      <c r="Y536" s="12"/>
      <c r="Z536" s="12"/>
    </row>
    <row r="537" customFormat="false" ht="15.75" hidden="false" customHeight="false" outlineLevel="0" collapsed="false">
      <c r="A537" s="12"/>
      <c r="B537" s="34"/>
      <c r="C537" s="12"/>
      <c r="D537" s="12"/>
      <c r="E537" s="12"/>
      <c r="F537" s="12"/>
      <c r="G537" s="18"/>
      <c r="H537" s="35"/>
      <c r="I537" s="35"/>
      <c r="J537" s="12"/>
      <c r="O537" s="12"/>
      <c r="P537" s="18"/>
      <c r="Q537" s="12"/>
      <c r="R537" s="12"/>
      <c r="S537" s="12"/>
      <c r="T537" s="36"/>
      <c r="U537" s="36"/>
      <c r="V537" s="12"/>
      <c r="W537" s="12"/>
      <c r="X537" s="12"/>
      <c r="Y537" s="12"/>
      <c r="Z537" s="12"/>
    </row>
    <row r="538" customFormat="false" ht="15.75" hidden="false" customHeight="false" outlineLevel="0" collapsed="false">
      <c r="A538" s="12"/>
      <c r="B538" s="34"/>
      <c r="C538" s="12"/>
      <c r="D538" s="12"/>
      <c r="E538" s="12"/>
      <c r="F538" s="12"/>
      <c r="G538" s="18"/>
      <c r="H538" s="35"/>
      <c r="I538" s="35"/>
      <c r="J538" s="12"/>
      <c r="O538" s="12"/>
      <c r="P538" s="18"/>
      <c r="Q538" s="12"/>
      <c r="R538" s="12"/>
      <c r="S538" s="12"/>
      <c r="T538" s="36"/>
      <c r="U538" s="36"/>
      <c r="V538" s="12"/>
      <c r="W538" s="12"/>
      <c r="X538" s="12"/>
      <c r="Y538" s="12"/>
      <c r="Z538" s="12"/>
    </row>
    <row r="539" customFormat="false" ht="15.75" hidden="false" customHeight="false" outlineLevel="0" collapsed="false">
      <c r="A539" s="12"/>
      <c r="B539" s="34"/>
      <c r="C539" s="12"/>
      <c r="D539" s="12"/>
      <c r="E539" s="12"/>
      <c r="F539" s="12"/>
      <c r="G539" s="18"/>
      <c r="H539" s="35"/>
      <c r="I539" s="35"/>
      <c r="J539" s="12"/>
      <c r="O539" s="12"/>
      <c r="P539" s="18"/>
      <c r="Q539" s="12"/>
      <c r="R539" s="12"/>
      <c r="S539" s="12"/>
      <c r="T539" s="36"/>
      <c r="U539" s="36"/>
      <c r="V539" s="12"/>
      <c r="W539" s="12"/>
      <c r="X539" s="12"/>
      <c r="Y539" s="12"/>
      <c r="Z539" s="12"/>
    </row>
    <row r="540" customFormat="false" ht="15.75" hidden="false" customHeight="false" outlineLevel="0" collapsed="false">
      <c r="A540" s="12"/>
      <c r="B540" s="34"/>
      <c r="C540" s="12"/>
      <c r="D540" s="12"/>
      <c r="E540" s="12"/>
      <c r="F540" s="12"/>
      <c r="G540" s="18"/>
      <c r="H540" s="35"/>
      <c r="I540" s="35"/>
      <c r="J540" s="12"/>
      <c r="O540" s="12"/>
      <c r="P540" s="18"/>
      <c r="Q540" s="12"/>
      <c r="R540" s="12"/>
      <c r="S540" s="12"/>
      <c r="T540" s="36"/>
      <c r="U540" s="36"/>
      <c r="V540" s="12"/>
      <c r="W540" s="12"/>
      <c r="X540" s="12"/>
      <c r="Y540" s="12"/>
      <c r="Z540" s="12"/>
    </row>
    <row r="541" customFormat="false" ht="15.75" hidden="false" customHeight="false" outlineLevel="0" collapsed="false">
      <c r="A541" s="12"/>
      <c r="B541" s="34"/>
      <c r="C541" s="12"/>
      <c r="D541" s="12"/>
      <c r="E541" s="12"/>
      <c r="F541" s="12"/>
      <c r="G541" s="18"/>
      <c r="H541" s="35"/>
      <c r="I541" s="35"/>
      <c r="J541" s="12"/>
      <c r="O541" s="12"/>
      <c r="P541" s="18"/>
      <c r="Q541" s="12"/>
      <c r="R541" s="12"/>
      <c r="S541" s="12"/>
      <c r="T541" s="36"/>
      <c r="U541" s="36"/>
      <c r="V541" s="12"/>
      <c r="W541" s="12"/>
      <c r="X541" s="12"/>
      <c r="Y541" s="12"/>
      <c r="Z541" s="12"/>
    </row>
    <row r="542" customFormat="false" ht="15.75" hidden="false" customHeight="false" outlineLevel="0" collapsed="false">
      <c r="A542" s="12"/>
      <c r="B542" s="34"/>
      <c r="C542" s="12"/>
      <c r="D542" s="12"/>
      <c r="E542" s="12"/>
      <c r="F542" s="12"/>
      <c r="G542" s="18"/>
      <c r="H542" s="35"/>
      <c r="I542" s="35"/>
      <c r="J542" s="12"/>
      <c r="O542" s="12"/>
      <c r="P542" s="18"/>
      <c r="Q542" s="12"/>
      <c r="R542" s="12"/>
      <c r="S542" s="12"/>
      <c r="T542" s="36"/>
      <c r="U542" s="36"/>
      <c r="V542" s="12"/>
      <c r="W542" s="12"/>
      <c r="X542" s="12"/>
      <c r="Y542" s="12"/>
      <c r="Z542" s="12"/>
    </row>
    <row r="543" customFormat="false" ht="15.75" hidden="false" customHeight="false" outlineLevel="0" collapsed="false">
      <c r="A543" s="12"/>
      <c r="B543" s="34"/>
      <c r="C543" s="12"/>
      <c r="D543" s="12"/>
      <c r="E543" s="12"/>
      <c r="F543" s="12"/>
      <c r="G543" s="18"/>
      <c r="H543" s="35"/>
      <c r="I543" s="35"/>
      <c r="J543" s="12"/>
      <c r="O543" s="12"/>
      <c r="P543" s="18"/>
      <c r="Q543" s="12"/>
      <c r="R543" s="12"/>
      <c r="S543" s="12"/>
      <c r="T543" s="36"/>
      <c r="U543" s="36"/>
      <c r="V543" s="12"/>
      <c r="W543" s="12"/>
      <c r="X543" s="12"/>
      <c r="Y543" s="12"/>
      <c r="Z543" s="12"/>
    </row>
    <row r="544" customFormat="false" ht="15.75" hidden="false" customHeight="false" outlineLevel="0" collapsed="false">
      <c r="A544" s="12"/>
      <c r="B544" s="34"/>
      <c r="C544" s="12"/>
      <c r="D544" s="12"/>
      <c r="E544" s="12"/>
      <c r="F544" s="12"/>
      <c r="G544" s="18"/>
      <c r="H544" s="35"/>
      <c r="I544" s="35"/>
      <c r="J544" s="12"/>
      <c r="O544" s="12"/>
      <c r="P544" s="18"/>
      <c r="Q544" s="12"/>
      <c r="R544" s="12"/>
      <c r="S544" s="12"/>
      <c r="T544" s="36"/>
      <c r="U544" s="36"/>
      <c r="V544" s="12"/>
      <c r="W544" s="12"/>
      <c r="X544" s="12"/>
      <c r="Y544" s="12"/>
      <c r="Z544" s="12"/>
    </row>
    <row r="545" customFormat="false" ht="15.75" hidden="false" customHeight="false" outlineLevel="0" collapsed="false">
      <c r="A545" s="12"/>
      <c r="B545" s="34"/>
      <c r="C545" s="12"/>
      <c r="D545" s="12"/>
      <c r="E545" s="12"/>
      <c r="F545" s="12"/>
      <c r="G545" s="18"/>
      <c r="H545" s="35"/>
      <c r="I545" s="35"/>
      <c r="J545" s="12"/>
      <c r="O545" s="12"/>
      <c r="P545" s="18"/>
      <c r="Q545" s="12"/>
      <c r="R545" s="12"/>
      <c r="S545" s="12"/>
      <c r="T545" s="36"/>
      <c r="U545" s="36"/>
      <c r="V545" s="12"/>
      <c r="W545" s="12"/>
      <c r="X545" s="12"/>
      <c r="Y545" s="12"/>
      <c r="Z545" s="12"/>
    </row>
    <row r="546" customFormat="false" ht="15.75" hidden="false" customHeight="false" outlineLevel="0" collapsed="false">
      <c r="A546" s="12"/>
      <c r="B546" s="34"/>
      <c r="C546" s="12"/>
      <c r="D546" s="12"/>
      <c r="E546" s="12"/>
      <c r="F546" s="12"/>
      <c r="G546" s="18"/>
      <c r="H546" s="35"/>
      <c r="I546" s="35"/>
      <c r="J546" s="12"/>
      <c r="O546" s="12"/>
      <c r="P546" s="18"/>
      <c r="Q546" s="12"/>
      <c r="R546" s="12"/>
      <c r="S546" s="12"/>
      <c r="T546" s="36"/>
      <c r="U546" s="36"/>
      <c r="V546" s="12"/>
      <c r="W546" s="12"/>
      <c r="X546" s="12"/>
      <c r="Y546" s="12"/>
      <c r="Z546" s="12"/>
    </row>
    <row r="547" customFormat="false" ht="15.75" hidden="false" customHeight="false" outlineLevel="0" collapsed="false">
      <c r="A547" s="12"/>
      <c r="B547" s="34"/>
      <c r="C547" s="12"/>
      <c r="D547" s="12"/>
      <c r="E547" s="12"/>
      <c r="F547" s="12"/>
      <c r="G547" s="18"/>
      <c r="H547" s="35"/>
      <c r="I547" s="35"/>
      <c r="J547" s="12"/>
      <c r="O547" s="12"/>
      <c r="P547" s="18"/>
      <c r="Q547" s="12"/>
      <c r="R547" s="12"/>
      <c r="S547" s="12"/>
      <c r="T547" s="36"/>
      <c r="U547" s="36"/>
      <c r="V547" s="12"/>
      <c r="W547" s="12"/>
      <c r="X547" s="12"/>
      <c r="Y547" s="12"/>
      <c r="Z547" s="12"/>
    </row>
    <row r="548" customFormat="false" ht="15.75" hidden="false" customHeight="false" outlineLevel="0" collapsed="false">
      <c r="A548" s="12"/>
      <c r="B548" s="34"/>
      <c r="C548" s="12"/>
      <c r="D548" s="12"/>
      <c r="E548" s="12"/>
      <c r="F548" s="12"/>
      <c r="G548" s="18"/>
      <c r="H548" s="35"/>
      <c r="I548" s="35"/>
      <c r="J548" s="12"/>
      <c r="O548" s="12"/>
      <c r="P548" s="18"/>
      <c r="Q548" s="12"/>
      <c r="R548" s="12"/>
      <c r="S548" s="12"/>
      <c r="T548" s="36"/>
      <c r="U548" s="36"/>
      <c r="V548" s="12"/>
      <c r="W548" s="12"/>
      <c r="X548" s="12"/>
      <c r="Y548" s="12"/>
      <c r="Z548" s="12"/>
    </row>
    <row r="549" customFormat="false" ht="15.75" hidden="false" customHeight="false" outlineLevel="0" collapsed="false">
      <c r="A549" s="12"/>
      <c r="B549" s="34"/>
      <c r="C549" s="12"/>
      <c r="D549" s="12"/>
      <c r="E549" s="12"/>
      <c r="F549" s="12"/>
      <c r="G549" s="18"/>
      <c r="H549" s="35"/>
      <c r="I549" s="35"/>
      <c r="J549" s="12"/>
      <c r="O549" s="12"/>
      <c r="P549" s="18"/>
      <c r="Q549" s="12"/>
      <c r="R549" s="12"/>
      <c r="S549" s="12"/>
      <c r="T549" s="36"/>
      <c r="U549" s="36"/>
      <c r="V549" s="12"/>
      <c r="W549" s="12"/>
      <c r="X549" s="12"/>
      <c r="Y549" s="12"/>
      <c r="Z549" s="12"/>
    </row>
    <row r="550" customFormat="false" ht="15.75" hidden="false" customHeight="false" outlineLevel="0" collapsed="false">
      <c r="A550" s="12"/>
      <c r="B550" s="34"/>
      <c r="C550" s="12"/>
      <c r="D550" s="12"/>
      <c r="E550" s="12"/>
      <c r="F550" s="12"/>
      <c r="G550" s="18"/>
      <c r="H550" s="35"/>
      <c r="I550" s="35"/>
      <c r="J550" s="12"/>
      <c r="O550" s="12"/>
      <c r="P550" s="18"/>
      <c r="Q550" s="12"/>
      <c r="R550" s="12"/>
      <c r="S550" s="12"/>
      <c r="T550" s="36"/>
      <c r="U550" s="36"/>
      <c r="V550" s="12"/>
      <c r="W550" s="12"/>
      <c r="X550" s="12"/>
      <c r="Y550" s="12"/>
      <c r="Z550" s="12"/>
    </row>
    <row r="551" customFormat="false" ht="15.75" hidden="false" customHeight="false" outlineLevel="0" collapsed="false">
      <c r="A551" s="12"/>
      <c r="B551" s="34"/>
      <c r="C551" s="12"/>
      <c r="D551" s="12"/>
      <c r="E551" s="12"/>
      <c r="F551" s="12"/>
      <c r="G551" s="18"/>
      <c r="H551" s="35"/>
      <c r="I551" s="35"/>
      <c r="J551" s="12"/>
      <c r="O551" s="12"/>
      <c r="P551" s="18"/>
      <c r="Q551" s="12"/>
      <c r="R551" s="12"/>
      <c r="S551" s="12"/>
      <c r="T551" s="36"/>
      <c r="U551" s="36"/>
      <c r="V551" s="12"/>
      <c r="W551" s="12"/>
      <c r="X551" s="12"/>
      <c r="Y551" s="12"/>
      <c r="Z551" s="12"/>
    </row>
    <row r="552" customFormat="false" ht="15.75" hidden="false" customHeight="false" outlineLevel="0" collapsed="false">
      <c r="A552" s="12"/>
      <c r="B552" s="34"/>
      <c r="C552" s="12"/>
      <c r="D552" s="12"/>
      <c r="E552" s="12"/>
      <c r="F552" s="12"/>
      <c r="G552" s="18"/>
      <c r="H552" s="35"/>
      <c r="I552" s="35"/>
      <c r="J552" s="12"/>
      <c r="O552" s="12"/>
      <c r="P552" s="18"/>
      <c r="Q552" s="12"/>
      <c r="R552" s="12"/>
      <c r="S552" s="12"/>
      <c r="T552" s="36"/>
      <c r="U552" s="36"/>
      <c r="V552" s="12"/>
      <c r="W552" s="12"/>
      <c r="X552" s="12"/>
      <c r="Y552" s="12"/>
      <c r="Z552" s="12"/>
    </row>
    <row r="553" customFormat="false" ht="15.75" hidden="false" customHeight="false" outlineLevel="0" collapsed="false">
      <c r="A553" s="12"/>
      <c r="B553" s="34"/>
      <c r="C553" s="12"/>
      <c r="D553" s="12"/>
      <c r="E553" s="12"/>
      <c r="F553" s="12"/>
      <c r="G553" s="18"/>
      <c r="H553" s="35"/>
      <c r="I553" s="35"/>
      <c r="J553" s="12"/>
      <c r="O553" s="12"/>
      <c r="P553" s="18"/>
      <c r="Q553" s="12"/>
      <c r="R553" s="12"/>
      <c r="S553" s="12"/>
      <c r="T553" s="36"/>
      <c r="U553" s="36"/>
      <c r="V553" s="12"/>
      <c r="W553" s="12"/>
      <c r="X553" s="12"/>
      <c r="Y553" s="12"/>
      <c r="Z553" s="12"/>
    </row>
    <row r="554" customFormat="false" ht="15.75" hidden="false" customHeight="false" outlineLevel="0" collapsed="false">
      <c r="A554" s="12"/>
      <c r="B554" s="34"/>
      <c r="C554" s="12"/>
      <c r="D554" s="12"/>
      <c r="E554" s="12"/>
      <c r="F554" s="12"/>
      <c r="G554" s="18"/>
      <c r="H554" s="35"/>
      <c r="I554" s="35"/>
      <c r="J554" s="12"/>
      <c r="O554" s="12"/>
      <c r="P554" s="18"/>
      <c r="Q554" s="12"/>
      <c r="R554" s="12"/>
      <c r="S554" s="12"/>
      <c r="T554" s="36"/>
      <c r="U554" s="36"/>
      <c r="V554" s="12"/>
      <c r="W554" s="12"/>
      <c r="X554" s="12"/>
      <c r="Y554" s="12"/>
      <c r="Z554" s="12"/>
    </row>
    <row r="555" customFormat="false" ht="15.75" hidden="false" customHeight="false" outlineLevel="0" collapsed="false">
      <c r="A555" s="12"/>
      <c r="B555" s="34"/>
      <c r="C555" s="12"/>
      <c r="D555" s="12"/>
      <c r="E555" s="12"/>
      <c r="F555" s="12"/>
      <c r="G555" s="18"/>
      <c r="H555" s="35"/>
      <c r="I555" s="35"/>
      <c r="J555" s="12"/>
      <c r="O555" s="12"/>
      <c r="P555" s="18"/>
      <c r="Q555" s="12"/>
      <c r="R555" s="12"/>
      <c r="S555" s="12"/>
      <c r="T555" s="36"/>
      <c r="U555" s="36"/>
      <c r="V555" s="12"/>
      <c r="W555" s="12"/>
      <c r="X555" s="12"/>
      <c r="Y555" s="12"/>
      <c r="Z555" s="12"/>
    </row>
    <row r="556" customFormat="false" ht="15.75" hidden="false" customHeight="false" outlineLevel="0" collapsed="false">
      <c r="A556" s="12"/>
      <c r="B556" s="34"/>
      <c r="C556" s="12"/>
      <c r="D556" s="12"/>
      <c r="E556" s="12"/>
      <c r="F556" s="12"/>
      <c r="G556" s="18"/>
      <c r="H556" s="35"/>
      <c r="I556" s="35"/>
      <c r="J556" s="12"/>
      <c r="O556" s="12"/>
      <c r="P556" s="18"/>
      <c r="Q556" s="12"/>
      <c r="R556" s="12"/>
      <c r="S556" s="12"/>
      <c r="T556" s="36"/>
      <c r="U556" s="36"/>
      <c r="V556" s="12"/>
      <c r="W556" s="12"/>
      <c r="X556" s="12"/>
      <c r="Y556" s="12"/>
      <c r="Z556" s="12"/>
    </row>
    <row r="557" customFormat="false" ht="15.75" hidden="false" customHeight="false" outlineLevel="0" collapsed="false">
      <c r="A557" s="12"/>
      <c r="B557" s="34"/>
      <c r="C557" s="12"/>
      <c r="D557" s="12"/>
      <c r="E557" s="12"/>
      <c r="F557" s="12"/>
      <c r="G557" s="18"/>
      <c r="H557" s="35"/>
      <c r="I557" s="35"/>
      <c r="J557" s="12"/>
      <c r="O557" s="12"/>
      <c r="P557" s="18"/>
      <c r="Q557" s="12"/>
      <c r="R557" s="12"/>
      <c r="S557" s="12"/>
      <c r="T557" s="36"/>
      <c r="U557" s="36"/>
      <c r="V557" s="12"/>
      <c r="W557" s="12"/>
      <c r="X557" s="12"/>
      <c r="Y557" s="12"/>
      <c r="Z557" s="12"/>
    </row>
    <row r="558" customFormat="false" ht="15.75" hidden="false" customHeight="false" outlineLevel="0" collapsed="false">
      <c r="A558" s="12"/>
      <c r="B558" s="34"/>
      <c r="C558" s="12"/>
      <c r="D558" s="12"/>
      <c r="E558" s="12"/>
      <c r="F558" s="12"/>
      <c r="G558" s="18"/>
      <c r="H558" s="35"/>
      <c r="I558" s="35"/>
      <c r="J558" s="12"/>
      <c r="O558" s="12"/>
      <c r="P558" s="18"/>
      <c r="Q558" s="12"/>
      <c r="R558" s="12"/>
      <c r="S558" s="12"/>
      <c r="T558" s="36"/>
      <c r="U558" s="36"/>
      <c r="V558" s="12"/>
      <c r="W558" s="12"/>
      <c r="X558" s="12"/>
      <c r="Y558" s="12"/>
      <c r="Z558" s="12"/>
    </row>
    <row r="559" customFormat="false" ht="15.75" hidden="false" customHeight="false" outlineLevel="0" collapsed="false">
      <c r="A559" s="12"/>
      <c r="B559" s="34"/>
      <c r="C559" s="12"/>
      <c r="D559" s="12"/>
      <c r="E559" s="12"/>
      <c r="F559" s="12"/>
      <c r="G559" s="18"/>
      <c r="H559" s="35"/>
      <c r="I559" s="35"/>
      <c r="J559" s="12"/>
      <c r="O559" s="12"/>
      <c r="P559" s="18"/>
      <c r="Q559" s="12"/>
      <c r="R559" s="12"/>
      <c r="S559" s="12"/>
      <c r="T559" s="36"/>
      <c r="U559" s="36"/>
      <c r="V559" s="12"/>
      <c r="W559" s="12"/>
      <c r="X559" s="12"/>
      <c r="Y559" s="12"/>
      <c r="Z559" s="12"/>
    </row>
    <row r="560" customFormat="false" ht="15.75" hidden="false" customHeight="false" outlineLevel="0" collapsed="false">
      <c r="A560" s="12"/>
      <c r="B560" s="34"/>
      <c r="C560" s="12"/>
      <c r="D560" s="12"/>
      <c r="E560" s="12"/>
      <c r="F560" s="12"/>
      <c r="G560" s="18"/>
      <c r="H560" s="35"/>
      <c r="I560" s="35"/>
      <c r="J560" s="12"/>
      <c r="O560" s="12"/>
      <c r="P560" s="18"/>
      <c r="Q560" s="12"/>
      <c r="R560" s="12"/>
      <c r="S560" s="12"/>
      <c r="T560" s="36"/>
      <c r="U560" s="36"/>
      <c r="V560" s="12"/>
      <c r="W560" s="12"/>
      <c r="X560" s="12"/>
      <c r="Y560" s="12"/>
      <c r="Z560" s="12"/>
    </row>
    <row r="561" customFormat="false" ht="15.75" hidden="false" customHeight="false" outlineLevel="0" collapsed="false">
      <c r="A561" s="12"/>
      <c r="B561" s="34"/>
      <c r="C561" s="12"/>
      <c r="D561" s="12"/>
      <c r="E561" s="12"/>
      <c r="F561" s="12"/>
      <c r="G561" s="18"/>
      <c r="H561" s="35"/>
      <c r="I561" s="35"/>
      <c r="J561" s="12"/>
      <c r="O561" s="12"/>
      <c r="P561" s="18"/>
      <c r="Q561" s="12"/>
      <c r="R561" s="12"/>
      <c r="S561" s="12"/>
      <c r="T561" s="36"/>
      <c r="U561" s="36"/>
      <c r="V561" s="12"/>
      <c r="W561" s="12"/>
      <c r="X561" s="12"/>
      <c r="Y561" s="12"/>
      <c r="Z561" s="12"/>
    </row>
    <row r="562" customFormat="false" ht="15.75" hidden="false" customHeight="false" outlineLevel="0" collapsed="false">
      <c r="A562" s="12"/>
      <c r="B562" s="34"/>
      <c r="C562" s="12"/>
      <c r="D562" s="12"/>
      <c r="E562" s="12"/>
      <c r="F562" s="12"/>
      <c r="G562" s="18"/>
      <c r="H562" s="35"/>
      <c r="I562" s="35"/>
      <c r="J562" s="12"/>
      <c r="O562" s="12"/>
      <c r="P562" s="18"/>
      <c r="Q562" s="12"/>
      <c r="R562" s="12"/>
      <c r="S562" s="12"/>
      <c r="T562" s="36"/>
      <c r="U562" s="36"/>
      <c r="V562" s="12"/>
      <c r="W562" s="12"/>
      <c r="X562" s="12"/>
      <c r="Y562" s="12"/>
      <c r="Z562" s="12"/>
    </row>
    <row r="563" customFormat="false" ht="15.75" hidden="false" customHeight="false" outlineLevel="0" collapsed="false">
      <c r="A563" s="12"/>
      <c r="B563" s="34"/>
      <c r="C563" s="12"/>
      <c r="D563" s="12"/>
      <c r="E563" s="12"/>
      <c r="F563" s="12"/>
      <c r="G563" s="18"/>
      <c r="H563" s="35"/>
      <c r="I563" s="35"/>
      <c r="J563" s="12"/>
      <c r="O563" s="12"/>
      <c r="P563" s="18"/>
      <c r="Q563" s="12"/>
      <c r="R563" s="12"/>
      <c r="S563" s="12"/>
      <c r="T563" s="36"/>
      <c r="U563" s="36"/>
      <c r="V563" s="12"/>
      <c r="W563" s="12"/>
      <c r="X563" s="12"/>
      <c r="Y563" s="12"/>
      <c r="Z563" s="12"/>
    </row>
    <row r="564" customFormat="false" ht="15.75" hidden="false" customHeight="false" outlineLevel="0" collapsed="false">
      <c r="A564" s="12"/>
      <c r="B564" s="34"/>
      <c r="C564" s="12"/>
      <c r="D564" s="12"/>
      <c r="E564" s="12"/>
      <c r="F564" s="12"/>
      <c r="G564" s="18"/>
      <c r="H564" s="35"/>
      <c r="I564" s="35"/>
      <c r="J564" s="12"/>
      <c r="O564" s="12"/>
      <c r="P564" s="18"/>
      <c r="Q564" s="12"/>
      <c r="R564" s="12"/>
      <c r="S564" s="12"/>
      <c r="T564" s="36"/>
      <c r="U564" s="36"/>
      <c r="V564" s="12"/>
      <c r="W564" s="12"/>
      <c r="X564" s="12"/>
      <c r="Y564" s="12"/>
      <c r="Z564" s="12"/>
    </row>
    <row r="565" customFormat="false" ht="15.75" hidden="false" customHeight="false" outlineLevel="0" collapsed="false">
      <c r="A565" s="12"/>
      <c r="B565" s="34"/>
      <c r="C565" s="12"/>
      <c r="D565" s="12"/>
      <c r="E565" s="12"/>
      <c r="F565" s="12"/>
      <c r="G565" s="18"/>
      <c r="H565" s="35"/>
      <c r="I565" s="35"/>
      <c r="J565" s="12"/>
      <c r="O565" s="12"/>
      <c r="P565" s="18"/>
      <c r="Q565" s="12"/>
      <c r="R565" s="12"/>
      <c r="S565" s="12"/>
      <c r="T565" s="36"/>
      <c r="U565" s="36"/>
      <c r="V565" s="12"/>
      <c r="W565" s="12"/>
      <c r="X565" s="12"/>
      <c r="Y565" s="12"/>
      <c r="Z565" s="12"/>
    </row>
    <row r="566" customFormat="false" ht="15.75" hidden="false" customHeight="false" outlineLevel="0" collapsed="false">
      <c r="A566" s="12"/>
      <c r="B566" s="34"/>
      <c r="C566" s="12"/>
      <c r="D566" s="12"/>
      <c r="E566" s="12"/>
      <c r="F566" s="12"/>
      <c r="G566" s="18"/>
      <c r="H566" s="35"/>
      <c r="I566" s="35"/>
      <c r="J566" s="12"/>
      <c r="O566" s="12"/>
      <c r="P566" s="18"/>
      <c r="Q566" s="12"/>
      <c r="R566" s="12"/>
      <c r="S566" s="12"/>
      <c r="T566" s="36"/>
      <c r="U566" s="36"/>
      <c r="V566" s="12"/>
      <c r="W566" s="12"/>
      <c r="X566" s="12"/>
      <c r="Y566" s="12"/>
      <c r="Z566" s="12"/>
    </row>
    <row r="567" customFormat="false" ht="15.75" hidden="false" customHeight="false" outlineLevel="0" collapsed="false">
      <c r="A567" s="12"/>
      <c r="B567" s="34"/>
      <c r="C567" s="12"/>
      <c r="D567" s="12"/>
      <c r="E567" s="12"/>
      <c r="F567" s="12"/>
      <c r="G567" s="18"/>
      <c r="H567" s="35"/>
      <c r="I567" s="35"/>
      <c r="J567" s="12"/>
      <c r="O567" s="12"/>
      <c r="P567" s="18"/>
      <c r="Q567" s="12"/>
      <c r="R567" s="12"/>
      <c r="S567" s="12"/>
      <c r="T567" s="36"/>
      <c r="U567" s="36"/>
      <c r="V567" s="12"/>
      <c r="W567" s="12"/>
      <c r="X567" s="12"/>
      <c r="Y567" s="12"/>
      <c r="Z567" s="12"/>
    </row>
    <row r="568" customFormat="false" ht="15.75" hidden="false" customHeight="false" outlineLevel="0" collapsed="false">
      <c r="A568" s="12"/>
      <c r="B568" s="34"/>
      <c r="C568" s="12"/>
      <c r="D568" s="12"/>
      <c r="E568" s="12"/>
      <c r="F568" s="12"/>
      <c r="G568" s="18"/>
      <c r="H568" s="35"/>
      <c r="I568" s="35"/>
      <c r="J568" s="12"/>
      <c r="O568" s="12"/>
      <c r="P568" s="18"/>
      <c r="Q568" s="12"/>
      <c r="R568" s="12"/>
      <c r="S568" s="12"/>
      <c r="T568" s="36"/>
      <c r="U568" s="36"/>
      <c r="V568" s="12"/>
      <c r="W568" s="12"/>
      <c r="X568" s="12"/>
      <c r="Y568" s="12"/>
      <c r="Z568" s="12"/>
    </row>
    <row r="569" customFormat="false" ht="15.75" hidden="false" customHeight="false" outlineLevel="0" collapsed="false">
      <c r="A569" s="12"/>
      <c r="B569" s="34"/>
      <c r="C569" s="12"/>
      <c r="D569" s="12"/>
      <c r="E569" s="12"/>
      <c r="F569" s="12"/>
      <c r="G569" s="18"/>
      <c r="H569" s="35"/>
      <c r="I569" s="35"/>
      <c r="J569" s="12"/>
      <c r="O569" s="12"/>
      <c r="P569" s="18"/>
      <c r="Q569" s="12"/>
      <c r="R569" s="12"/>
      <c r="S569" s="12"/>
      <c r="T569" s="36"/>
      <c r="U569" s="36"/>
      <c r="V569" s="12"/>
      <c r="W569" s="12"/>
      <c r="X569" s="12"/>
      <c r="Y569" s="12"/>
      <c r="Z569" s="12"/>
    </row>
    <row r="570" customFormat="false" ht="15.75" hidden="false" customHeight="false" outlineLevel="0" collapsed="false">
      <c r="A570" s="12"/>
      <c r="B570" s="34"/>
      <c r="C570" s="12"/>
      <c r="D570" s="12"/>
      <c r="E570" s="12"/>
      <c r="F570" s="12"/>
      <c r="G570" s="18"/>
      <c r="H570" s="35"/>
      <c r="I570" s="35"/>
      <c r="J570" s="12"/>
      <c r="O570" s="12"/>
      <c r="P570" s="18"/>
      <c r="Q570" s="12"/>
      <c r="R570" s="12"/>
      <c r="S570" s="12"/>
      <c r="T570" s="36"/>
      <c r="U570" s="36"/>
      <c r="V570" s="12"/>
      <c r="W570" s="12"/>
      <c r="X570" s="12"/>
      <c r="Y570" s="12"/>
      <c r="Z570" s="12"/>
    </row>
    <row r="571" customFormat="false" ht="15.75" hidden="false" customHeight="false" outlineLevel="0" collapsed="false">
      <c r="A571" s="12"/>
      <c r="B571" s="34"/>
      <c r="C571" s="12"/>
      <c r="D571" s="12"/>
      <c r="E571" s="12"/>
      <c r="F571" s="12"/>
      <c r="G571" s="18"/>
      <c r="H571" s="35"/>
      <c r="I571" s="35"/>
      <c r="J571" s="12"/>
      <c r="O571" s="12"/>
      <c r="P571" s="18"/>
      <c r="Q571" s="12"/>
      <c r="R571" s="12"/>
      <c r="S571" s="12"/>
      <c r="T571" s="36"/>
      <c r="U571" s="36"/>
      <c r="V571" s="12"/>
      <c r="W571" s="12"/>
      <c r="X571" s="12"/>
      <c r="Y571" s="12"/>
      <c r="Z571" s="12"/>
    </row>
    <row r="572" customFormat="false" ht="15.75" hidden="false" customHeight="false" outlineLevel="0" collapsed="false">
      <c r="A572" s="12"/>
      <c r="B572" s="34"/>
      <c r="C572" s="12"/>
      <c r="D572" s="12"/>
      <c r="E572" s="12"/>
      <c r="F572" s="12"/>
      <c r="G572" s="18"/>
      <c r="H572" s="35"/>
      <c r="I572" s="35"/>
      <c r="J572" s="12"/>
      <c r="O572" s="12"/>
      <c r="P572" s="18"/>
      <c r="Q572" s="12"/>
      <c r="R572" s="12"/>
      <c r="S572" s="12"/>
      <c r="T572" s="36"/>
      <c r="U572" s="36"/>
      <c r="V572" s="12"/>
      <c r="W572" s="12"/>
      <c r="X572" s="12"/>
      <c r="Y572" s="12"/>
      <c r="Z572" s="12"/>
    </row>
    <row r="573" customFormat="false" ht="15.75" hidden="false" customHeight="false" outlineLevel="0" collapsed="false">
      <c r="A573" s="12"/>
      <c r="B573" s="34"/>
      <c r="C573" s="12"/>
      <c r="D573" s="12"/>
      <c r="E573" s="12"/>
      <c r="F573" s="12"/>
      <c r="G573" s="18"/>
      <c r="H573" s="35"/>
      <c r="I573" s="35"/>
      <c r="J573" s="12"/>
      <c r="O573" s="12"/>
      <c r="P573" s="18"/>
      <c r="Q573" s="12"/>
      <c r="R573" s="12"/>
      <c r="S573" s="12"/>
      <c r="T573" s="36"/>
      <c r="U573" s="36"/>
      <c r="V573" s="12"/>
      <c r="W573" s="12"/>
      <c r="X573" s="12"/>
      <c r="Y573" s="12"/>
      <c r="Z573" s="12"/>
    </row>
    <row r="574" customFormat="false" ht="15.75" hidden="false" customHeight="false" outlineLevel="0" collapsed="false">
      <c r="A574" s="12"/>
      <c r="B574" s="34"/>
      <c r="C574" s="12"/>
      <c r="D574" s="12"/>
      <c r="E574" s="12"/>
      <c r="F574" s="12"/>
      <c r="G574" s="18"/>
      <c r="H574" s="35"/>
      <c r="I574" s="35"/>
      <c r="J574" s="12"/>
      <c r="O574" s="12"/>
      <c r="P574" s="18"/>
      <c r="Q574" s="12"/>
      <c r="R574" s="12"/>
      <c r="S574" s="12"/>
      <c r="T574" s="36"/>
      <c r="U574" s="36"/>
      <c r="V574" s="12"/>
      <c r="W574" s="12"/>
      <c r="X574" s="12"/>
      <c r="Y574" s="12"/>
      <c r="Z574" s="12"/>
    </row>
    <row r="575" customFormat="false" ht="15.75" hidden="false" customHeight="false" outlineLevel="0" collapsed="false">
      <c r="A575" s="12"/>
      <c r="B575" s="34"/>
      <c r="C575" s="12"/>
      <c r="D575" s="12"/>
      <c r="E575" s="12"/>
      <c r="F575" s="12"/>
      <c r="G575" s="18"/>
      <c r="H575" s="35"/>
      <c r="I575" s="35"/>
      <c r="J575" s="12"/>
      <c r="O575" s="12"/>
      <c r="P575" s="18"/>
      <c r="Q575" s="12"/>
      <c r="R575" s="12"/>
      <c r="S575" s="12"/>
      <c r="T575" s="36"/>
      <c r="U575" s="36"/>
      <c r="V575" s="12"/>
      <c r="W575" s="12"/>
      <c r="X575" s="12"/>
      <c r="Y575" s="12"/>
      <c r="Z575" s="12"/>
    </row>
    <row r="576" customFormat="false" ht="15.75" hidden="false" customHeight="false" outlineLevel="0" collapsed="false">
      <c r="A576" s="12"/>
      <c r="B576" s="34"/>
      <c r="C576" s="12"/>
      <c r="D576" s="12"/>
      <c r="E576" s="12"/>
      <c r="F576" s="12"/>
      <c r="G576" s="18"/>
      <c r="H576" s="35"/>
      <c r="I576" s="35"/>
      <c r="J576" s="12"/>
      <c r="O576" s="12"/>
      <c r="P576" s="18"/>
      <c r="Q576" s="12"/>
      <c r="R576" s="12"/>
      <c r="S576" s="12"/>
      <c r="T576" s="36"/>
      <c r="U576" s="36"/>
      <c r="V576" s="12"/>
      <c r="W576" s="12"/>
      <c r="X576" s="12"/>
      <c r="Y576" s="12"/>
      <c r="Z576" s="12"/>
    </row>
    <row r="577" customFormat="false" ht="15.75" hidden="false" customHeight="false" outlineLevel="0" collapsed="false">
      <c r="A577" s="12"/>
      <c r="B577" s="34"/>
      <c r="C577" s="12"/>
      <c r="D577" s="12"/>
      <c r="E577" s="12"/>
      <c r="F577" s="12"/>
      <c r="G577" s="18"/>
      <c r="H577" s="35"/>
      <c r="I577" s="35"/>
      <c r="J577" s="12"/>
      <c r="O577" s="12"/>
      <c r="P577" s="18"/>
      <c r="Q577" s="12"/>
      <c r="R577" s="12"/>
      <c r="S577" s="12"/>
      <c r="T577" s="36"/>
      <c r="U577" s="36"/>
      <c r="V577" s="12"/>
      <c r="W577" s="12"/>
      <c r="X577" s="12"/>
      <c r="Y577" s="12"/>
      <c r="Z577" s="12"/>
    </row>
    <row r="578" customFormat="false" ht="15.75" hidden="false" customHeight="false" outlineLevel="0" collapsed="false">
      <c r="A578" s="12"/>
      <c r="B578" s="34"/>
      <c r="C578" s="12"/>
      <c r="D578" s="12"/>
      <c r="E578" s="12"/>
      <c r="F578" s="12"/>
      <c r="G578" s="18"/>
      <c r="H578" s="35"/>
      <c r="I578" s="35"/>
      <c r="J578" s="12"/>
      <c r="O578" s="12"/>
      <c r="P578" s="18"/>
      <c r="Q578" s="12"/>
      <c r="R578" s="12"/>
      <c r="S578" s="12"/>
      <c r="T578" s="36"/>
      <c r="U578" s="36"/>
      <c r="V578" s="12"/>
      <c r="W578" s="12"/>
      <c r="X578" s="12"/>
      <c r="Y578" s="12"/>
      <c r="Z578" s="12"/>
    </row>
    <row r="579" customFormat="false" ht="15.75" hidden="false" customHeight="false" outlineLevel="0" collapsed="false">
      <c r="A579" s="12"/>
      <c r="B579" s="34"/>
      <c r="C579" s="12"/>
      <c r="D579" s="12"/>
      <c r="E579" s="12"/>
      <c r="F579" s="12"/>
      <c r="G579" s="18"/>
      <c r="H579" s="35"/>
      <c r="I579" s="35"/>
      <c r="J579" s="12"/>
      <c r="O579" s="12"/>
      <c r="P579" s="18"/>
      <c r="Q579" s="12"/>
      <c r="R579" s="12"/>
      <c r="S579" s="12"/>
      <c r="T579" s="36"/>
      <c r="U579" s="36"/>
      <c r="V579" s="12"/>
      <c r="W579" s="12"/>
      <c r="X579" s="12"/>
      <c r="Y579" s="12"/>
      <c r="Z579" s="12"/>
    </row>
    <row r="580" customFormat="false" ht="15.75" hidden="false" customHeight="false" outlineLevel="0" collapsed="false">
      <c r="A580" s="12"/>
      <c r="B580" s="34"/>
      <c r="C580" s="12"/>
      <c r="D580" s="12"/>
      <c r="E580" s="12"/>
      <c r="F580" s="12"/>
      <c r="G580" s="18"/>
      <c r="H580" s="35"/>
      <c r="I580" s="35"/>
      <c r="J580" s="12"/>
      <c r="O580" s="12"/>
      <c r="P580" s="18"/>
      <c r="Q580" s="12"/>
      <c r="R580" s="12"/>
      <c r="S580" s="12"/>
      <c r="T580" s="36"/>
      <c r="U580" s="36"/>
      <c r="V580" s="12"/>
      <c r="W580" s="12"/>
      <c r="X580" s="12"/>
      <c r="Y580" s="12"/>
      <c r="Z580" s="12"/>
    </row>
    <row r="581" customFormat="false" ht="15.75" hidden="false" customHeight="false" outlineLevel="0" collapsed="false">
      <c r="A581" s="12"/>
      <c r="B581" s="34"/>
      <c r="C581" s="12"/>
      <c r="D581" s="12"/>
      <c r="E581" s="12"/>
      <c r="F581" s="12"/>
      <c r="G581" s="18"/>
      <c r="H581" s="35"/>
      <c r="I581" s="35"/>
      <c r="J581" s="12"/>
      <c r="O581" s="12"/>
      <c r="P581" s="18"/>
      <c r="Q581" s="12"/>
      <c r="R581" s="12"/>
      <c r="S581" s="12"/>
      <c r="T581" s="36"/>
      <c r="U581" s="36"/>
      <c r="V581" s="12"/>
      <c r="W581" s="12"/>
      <c r="X581" s="12"/>
      <c r="Y581" s="12"/>
      <c r="Z581" s="12"/>
    </row>
    <row r="582" customFormat="false" ht="15.75" hidden="false" customHeight="false" outlineLevel="0" collapsed="false">
      <c r="A582" s="12"/>
      <c r="B582" s="34"/>
      <c r="C582" s="12"/>
      <c r="D582" s="12"/>
      <c r="E582" s="12"/>
      <c r="F582" s="12"/>
      <c r="G582" s="18"/>
      <c r="H582" s="35"/>
      <c r="I582" s="35"/>
      <c r="J582" s="12"/>
      <c r="O582" s="12"/>
      <c r="P582" s="18"/>
      <c r="Q582" s="12"/>
      <c r="R582" s="12"/>
      <c r="S582" s="12"/>
      <c r="T582" s="36"/>
      <c r="U582" s="36"/>
      <c r="V582" s="12"/>
      <c r="W582" s="12"/>
      <c r="X582" s="12"/>
      <c r="Y582" s="12"/>
      <c r="Z582" s="12"/>
    </row>
    <row r="583" customFormat="false" ht="15.75" hidden="false" customHeight="false" outlineLevel="0" collapsed="false">
      <c r="A583" s="12"/>
      <c r="B583" s="34"/>
      <c r="C583" s="12"/>
      <c r="D583" s="12"/>
      <c r="E583" s="12"/>
      <c r="F583" s="12"/>
      <c r="G583" s="18"/>
      <c r="H583" s="35"/>
      <c r="I583" s="35"/>
      <c r="J583" s="12"/>
      <c r="O583" s="12"/>
      <c r="P583" s="18"/>
      <c r="Q583" s="12"/>
      <c r="R583" s="12"/>
      <c r="S583" s="12"/>
      <c r="T583" s="36"/>
      <c r="U583" s="36"/>
      <c r="V583" s="12"/>
      <c r="W583" s="12"/>
      <c r="X583" s="12"/>
      <c r="Y583" s="12"/>
      <c r="Z583" s="12"/>
    </row>
    <row r="584" customFormat="false" ht="15.75" hidden="false" customHeight="false" outlineLevel="0" collapsed="false">
      <c r="A584" s="12"/>
      <c r="B584" s="34"/>
      <c r="C584" s="12"/>
      <c r="D584" s="12"/>
      <c r="E584" s="12"/>
      <c r="F584" s="12"/>
      <c r="G584" s="18"/>
      <c r="H584" s="35"/>
      <c r="I584" s="35"/>
      <c r="J584" s="12"/>
      <c r="O584" s="12"/>
      <c r="P584" s="18"/>
      <c r="Q584" s="12"/>
      <c r="R584" s="12"/>
      <c r="S584" s="12"/>
      <c r="T584" s="36"/>
      <c r="U584" s="36"/>
      <c r="V584" s="12"/>
      <c r="W584" s="12"/>
      <c r="X584" s="12"/>
      <c r="Y584" s="12"/>
      <c r="Z584" s="12"/>
    </row>
    <row r="585" customFormat="false" ht="15.75" hidden="false" customHeight="false" outlineLevel="0" collapsed="false">
      <c r="A585" s="12"/>
      <c r="B585" s="34"/>
      <c r="C585" s="12"/>
      <c r="D585" s="12"/>
      <c r="E585" s="12"/>
      <c r="F585" s="12"/>
      <c r="G585" s="18"/>
      <c r="H585" s="35"/>
      <c r="I585" s="35"/>
      <c r="J585" s="12"/>
      <c r="O585" s="12"/>
      <c r="P585" s="18"/>
      <c r="Q585" s="12"/>
      <c r="R585" s="12"/>
      <c r="S585" s="12"/>
      <c r="T585" s="36"/>
      <c r="U585" s="36"/>
      <c r="V585" s="12"/>
      <c r="W585" s="12"/>
      <c r="X585" s="12"/>
      <c r="Y585" s="12"/>
      <c r="Z585" s="12"/>
    </row>
    <row r="586" customFormat="false" ht="15.75" hidden="false" customHeight="false" outlineLevel="0" collapsed="false">
      <c r="A586" s="12"/>
      <c r="B586" s="34"/>
      <c r="C586" s="12"/>
      <c r="D586" s="12"/>
      <c r="E586" s="12"/>
      <c r="F586" s="12"/>
      <c r="G586" s="18"/>
      <c r="H586" s="35"/>
      <c r="I586" s="35"/>
      <c r="J586" s="12"/>
      <c r="O586" s="12"/>
      <c r="P586" s="18"/>
      <c r="Q586" s="12"/>
      <c r="R586" s="12"/>
      <c r="S586" s="12"/>
      <c r="T586" s="36"/>
      <c r="U586" s="36"/>
      <c r="V586" s="12"/>
      <c r="W586" s="12"/>
      <c r="X586" s="12"/>
      <c r="Y586" s="12"/>
      <c r="Z586" s="12"/>
    </row>
    <row r="587" customFormat="false" ht="15.75" hidden="false" customHeight="false" outlineLevel="0" collapsed="false">
      <c r="A587" s="12"/>
      <c r="B587" s="34"/>
      <c r="C587" s="12"/>
      <c r="D587" s="12"/>
      <c r="E587" s="12"/>
      <c r="F587" s="12"/>
      <c r="G587" s="18"/>
      <c r="H587" s="35"/>
      <c r="I587" s="35"/>
      <c r="J587" s="12"/>
      <c r="O587" s="12"/>
      <c r="P587" s="18"/>
      <c r="Q587" s="12"/>
      <c r="R587" s="12"/>
      <c r="S587" s="12"/>
      <c r="T587" s="36"/>
      <c r="U587" s="36"/>
      <c r="V587" s="12"/>
      <c r="W587" s="12"/>
      <c r="X587" s="12"/>
      <c r="Y587" s="12"/>
      <c r="Z587" s="12"/>
    </row>
    <row r="588" customFormat="false" ht="15.75" hidden="false" customHeight="false" outlineLevel="0" collapsed="false">
      <c r="A588" s="12"/>
      <c r="B588" s="34"/>
      <c r="C588" s="12"/>
      <c r="D588" s="12"/>
      <c r="E588" s="12"/>
      <c r="F588" s="12"/>
      <c r="G588" s="18"/>
      <c r="H588" s="35"/>
      <c r="I588" s="35"/>
      <c r="J588" s="12"/>
      <c r="O588" s="12"/>
      <c r="P588" s="18"/>
      <c r="Q588" s="12"/>
      <c r="R588" s="12"/>
      <c r="S588" s="12"/>
      <c r="T588" s="36"/>
      <c r="U588" s="36"/>
      <c r="V588" s="12"/>
      <c r="W588" s="12"/>
      <c r="X588" s="12"/>
      <c r="Y588" s="12"/>
      <c r="Z588" s="12"/>
    </row>
    <row r="589" customFormat="false" ht="15.75" hidden="false" customHeight="false" outlineLevel="0" collapsed="false">
      <c r="A589" s="12"/>
      <c r="B589" s="34"/>
      <c r="C589" s="12"/>
      <c r="D589" s="12"/>
      <c r="E589" s="12"/>
      <c r="F589" s="12"/>
      <c r="G589" s="18"/>
      <c r="H589" s="35"/>
      <c r="I589" s="35"/>
      <c r="J589" s="12"/>
      <c r="O589" s="12"/>
      <c r="P589" s="18"/>
      <c r="Q589" s="12"/>
      <c r="R589" s="12"/>
      <c r="S589" s="12"/>
      <c r="T589" s="36"/>
      <c r="U589" s="36"/>
      <c r="V589" s="12"/>
      <c r="W589" s="12"/>
      <c r="X589" s="12"/>
      <c r="Y589" s="12"/>
      <c r="Z589" s="12"/>
    </row>
    <row r="590" customFormat="false" ht="15.75" hidden="false" customHeight="false" outlineLevel="0" collapsed="false">
      <c r="A590" s="12"/>
      <c r="B590" s="34"/>
      <c r="C590" s="12"/>
      <c r="D590" s="12"/>
      <c r="E590" s="12"/>
      <c r="F590" s="12"/>
      <c r="G590" s="18"/>
      <c r="H590" s="35"/>
      <c r="I590" s="35"/>
      <c r="J590" s="12"/>
      <c r="O590" s="12"/>
      <c r="P590" s="18"/>
      <c r="Q590" s="12"/>
      <c r="R590" s="12"/>
      <c r="S590" s="12"/>
      <c r="T590" s="36"/>
      <c r="U590" s="36"/>
      <c r="V590" s="12"/>
      <c r="W590" s="12"/>
      <c r="X590" s="12"/>
      <c r="Y590" s="12"/>
      <c r="Z590" s="12"/>
    </row>
    <row r="591" customFormat="false" ht="15.75" hidden="false" customHeight="false" outlineLevel="0" collapsed="false">
      <c r="A591" s="12"/>
      <c r="B591" s="34"/>
      <c r="C591" s="12"/>
      <c r="D591" s="12"/>
      <c r="E591" s="12"/>
      <c r="F591" s="12"/>
      <c r="G591" s="18"/>
      <c r="H591" s="35"/>
      <c r="I591" s="35"/>
      <c r="J591" s="12"/>
      <c r="O591" s="12"/>
      <c r="P591" s="18"/>
      <c r="Q591" s="12"/>
      <c r="R591" s="12"/>
      <c r="S591" s="12"/>
      <c r="T591" s="36"/>
      <c r="U591" s="36"/>
      <c r="V591" s="12"/>
      <c r="W591" s="12"/>
      <c r="X591" s="12"/>
      <c r="Y591" s="12"/>
      <c r="Z591" s="12"/>
    </row>
    <row r="592" customFormat="false" ht="15.75" hidden="false" customHeight="false" outlineLevel="0" collapsed="false">
      <c r="A592" s="12"/>
      <c r="B592" s="34"/>
      <c r="C592" s="12"/>
      <c r="D592" s="12"/>
      <c r="E592" s="12"/>
      <c r="F592" s="12"/>
      <c r="G592" s="18"/>
      <c r="H592" s="35"/>
      <c r="I592" s="35"/>
      <c r="J592" s="12"/>
      <c r="O592" s="12"/>
      <c r="P592" s="18"/>
      <c r="Q592" s="12"/>
      <c r="R592" s="12"/>
      <c r="S592" s="12"/>
      <c r="T592" s="36"/>
      <c r="U592" s="36"/>
      <c r="V592" s="12"/>
      <c r="W592" s="12"/>
      <c r="X592" s="12"/>
      <c r="Y592" s="12"/>
      <c r="Z592" s="12"/>
    </row>
    <row r="593" customFormat="false" ht="15.75" hidden="false" customHeight="false" outlineLevel="0" collapsed="false">
      <c r="A593" s="12"/>
      <c r="B593" s="34"/>
      <c r="C593" s="12"/>
      <c r="D593" s="12"/>
      <c r="E593" s="12"/>
      <c r="F593" s="12"/>
      <c r="G593" s="18"/>
      <c r="H593" s="35"/>
      <c r="I593" s="35"/>
      <c r="J593" s="12"/>
      <c r="O593" s="12"/>
      <c r="P593" s="18"/>
      <c r="Q593" s="12"/>
      <c r="R593" s="12"/>
      <c r="S593" s="12"/>
      <c r="T593" s="36"/>
      <c r="U593" s="36"/>
      <c r="V593" s="12"/>
      <c r="W593" s="12"/>
      <c r="X593" s="12"/>
      <c r="Y593" s="12"/>
      <c r="Z593" s="12"/>
    </row>
    <row r="594" customFormat="false" ht="15.75" hidden="false" customHeight="false" outlineLevel="0" collapsed="false">
      <c r="A594" s="12"/>
      <c r="B594" s="34"/>
      <c r="C594" s="12"/>
      <c r="D594" s="12"/>
      <c r="E594" s="12"/>
      <c r="F594" s="12"/>
      <c r="G594" s="18"/>
      <c r="H594" s="35"/>
      <c r="I594" s="35"/>
      <c r="J594" s="12"/>
      <c r="O594" s="12"/>
      <c r="P594" s="18"/>
      <c r="Q594" s="12"/>
      <c r="R594" s="12"/>
      <c r="S594" s="12"/>
      <c r="T594" s="36"/>
      <c r="U594" s="36"/>
      <c r="V594" s="12"/>
      <c r="W594" s="12"/>
      <c r="X594" s="12"/>
      <c r="Y594" s="12"/>
      <c r="Z594" s="12"/>
    </row>
    <row r="595" customFormat="false" ht="15.75" hidden="false" customHeight="false" outlineLevel="0" collapsed="false">
      <c r="A595" s="12"/>
      <c r="B595" s="34"/>
      <c r="C595" s="12"/>
      <c r="D595" s="12"/>
      <c r="E595" s="12"/>
      <c r="F595" s="12"/>
      <c r="G595" s="18"/>
      <c r="H595" s="35"/>
      <c r="I595" s="35"/>
      <c r="J595" s="12"/>
      <c r="O595" s="12"/>
      <c r="P595" s="18"/>
      <c r="Q595" s="12"/>
      <c r="R595" s="12"/>
      <c r="S595" s="12"/>
      <c r="T595" s="36"/>
      <c r="U595" s="36"/>
      <c r="V595" s="12"/>
      <c r="W595" s="12"/>
      <c r="X595" s="12"/>
      <c r="Y595" s="12"/>
      <c r="Z595" s="12"/>
    </row>
    <row r="596" customFormat="false" ht="15.75" hidden="false" customHeight="false" outlineLevel="0" collapsed="false">
      <c r="A596" s="12"/>
      <c r="B596" s="34"/>
      <c r="C596" s="12"/>
      <c r="D596" s="12"/>
      <c r="E596" s="12"/>
      <c r="F596" s="12"/>
      <c r="G596" s="18"/>
      <c r="H596" s="35"/>
      <c r="I596" s="35"/>
      <c r="J596" s="12"/>
      <c r="O596" s="12"/>
      <c r="P596" s="18"/>
      <c r="Q596" s="12"/>
      <c r="R596" s="12"/>
      <c r="S596" s="12"/>
      <c r="T596" s="36"/>
      <c r="U596" s="36"/>
      <c r="V596" s="12"/>
      <c r="W596" s="12"/>
      <c r="X596" s="12"/>
      <c r="Y596" s="12"/>
      <c r="Z596" s="12"/>
    </row>
    <row r="597" customFormat="false" ht="15.75" hidden="false" customHeight="false" outlineLevel="0" collapsed="false">
      <c r="A597" s="12"/>
      <c r="B597" s="34"/>
      <c r="C597" s="12"/>
      <c r="D597" s="12"/>
      <c r="E597" s="12"/>
      <c r="F597" s="12"/>
      <c r="G597" s="18"/>
      <c r="H597" s="35"/>
      <c r="I597" s="35"/>
      <c r="J597" s="12"/>
      <c r="O597" s="12"/>
      <c r="P597" s="18"/>
      <c r="Q597" s="12"/>
      <c r="R597" s="12"/>
      <c r="S597" s="12"/>
      <c r="T597" s="36"/>
      <c r="U597" s="36"/>
      <c r="V597" s="12"/>
      <c r="W597" s="12"/>
      <c r="X597" s="12"/>
      <c r="Y597" s="12"/>
      <c r="Z597" s="12"/>
    </row>
    <row r="598" customFormat="false" ht="15.75" hidden="false" customHeight="false" outlineLevel="0" collapsed="false">
      <c r="A598" s="12"/>
      <c r="B598" s="34"/>
      <c r="C598" s="12"/>
      <c r="D598" s="12"/>
      <c r="E598" s="12"/>
      <c r="F598" s="12"/>
      <c r="G598" s="18"/>
      <c r="H598" s="35"/>
      <c r="I598" s="35"/>
      <c r="J598" s="12"/>
      <c r="O598" s="12"/>
      <c r="P598" s="18"/>
      <c r="Q598" s="12"/>
      <c r="R598" s="12"/>
      <c r="S598" s="12"/>
      <c r="T598" s="36"/>
      <c r="U598" s="36"/>
      <c r="V598" s="12"/>
      <c r="W598" s="12"/>
      <c r="X598" s="12"/>
      <c r="Y598" s="12"/>
      <c r="Z598" s="12"/>
    </row>
    <row r="599" customFormat="false" ht="15.75" hidden="false" customHeight="false" outlineLevel="0" collapsed="false">
      <c r="A599" s="12"/>
      <c r="B599" s="34"/>
      <c r="C599" s="12"/>
      <c r="D599" s="12"/>
      <c r="E599" s="12"/>
      <c r="F599" s="12"/>
      <c r="G599" s="18"/>
      <c r="H599" s="35"/>
      <c r="I599" s="35"/>
      <c r="J599" s="12"/>
      <c r="O599" s="12"/>
      <c r="P599" s="18"/>
      <c r="Q599" s="12"/>
      <c r="R599" s="12"/>
      <c r="S599" s="12"/>
      <c r="T599" s="36"/>
      <c r="U599" s="36"/>
      <c r="V599" s="12"/>
      <c r="W599" s="12"/>
      <c r="X599" s="12"/>
      <c r="Y599" s="12"/>
      <c r="Z599" s="12"/>
    </row>
    <row r="600" customFormat="false" ht="15.75" hidden="false" customHeight="false" outlineLevel="0" collapsed="false">
      <c r="A600" s="12"/>
      <c r="B600" s="34"/>
      <c r="C600" s="12"/>
      <c r="D600" s="12"/>
      <c r="E600" s="12"/>
      <c r="F600" s="12"/>
      <c r="G600" s="18"/>
      <c r="H600" s="35"/>
      <c r="I600" s="35"/>
      <c r="J600" s="12"/>
      <c r="O600" s="12"/>
      <c r="P600" s="18"/>
      <c r="Q600" s="12"/>
      <c r="R600" s="12"/>
      <c r="S600" s="12"/>
      <c r="T600" s="36"/>
      <c r="U600" s="36"/>
      <c r="V600" s="12"/>
      <c r="W600" s="12"/>
      <c r="X600" s="12"/>
      <c r="Y600" s="12"/>
      <c r="Z600" s="12"/>
    </row>
    <row r="601" customFormat="false" ht="15.75" hidden="false" customHeight="false" outlineLevel="0" collapsed="false">
      <c r="A601" s="12"/>
      <c r="B601" s="34"/>
      <c r="C601" s="12"/>
      <c r="D601" s="12"/>
      <c r="E601" s="12"/>
      <c r="F601" s="12"/>
      <c r="G601" s="18"/>
      <c r="H601" s="35"/>
      <c r="I601" s="35"/>
      <c r="J601" s="12"/>
      <c r="O601" s="12"/>
      <c r="P601" s="18"/>
      <c r="Q601" s="12"/>
      <c r="R601" s="12"/>
      <c r="S601" s="12"/>
      <c r="T601" s="36"/>
      <c r="U601" s="36"/>
      <c r="V601" s="12"/>
      <c r="W601" s="12"/>
      <c r="X601" s="12"/>
      <c r="Y601" s="12"/>
      <c r="Z601" s="12"/>
    </row>
    <row r="602" customFormat="false" ht="15.75" hidden="false" customHeight="false" outlineLevel="0" collapsed="false">
      <c r="A602" s="12"/>
      <c r="B602" s="34"/>
      <c r="C602" s="12"/>
      <c r="D602" s="12"/>
      <c r="E602" s="12"/>
      <c r="F602" s="12"/>
      <c r="G602" s="18"/>
      <c r="H602" s="35"/>
      <c r="I602" s="35"/>
      <c r="J602" s="12"/>
      <c r="O602" s="12"/>
      <c r="P602" s="18"/>
      <c r="Q602" s="12"/>
      <c r="R602" s="12"/>
      <c r="S602" s="12"/>
      <c r="T602" s="36"/>
      <c r="U602" s="36"/>
      <c r="V602" s="12"/>
      <c r="W602" s="12"/>
      <c r="X602" s="12"/>
      <c r="Y602" s="12"/>
      <c r="Z602" s="12"/>
    </row>
    <row r="603" customFormat="false" ht="15.75" hidden="false" customHeight="false" outlineLevel="0" collapsed="false">
      <c r="A603" s="12"/>
      <c r="B603" s="34"/>
      <c r="C603" s="12"/>
      <c r="D603" s="12"/>
      <c r="E603" s="12"/>
      <c r="F603" s="12"/>
      <c r="G603" s="18"/>
      <c r="H603" s="35"/>
      <c r="I603" s="35"/>
      <c r="J603" s="12"/>
      <c r="O603" s="12"/>
      <c r="P603" s="18"/>
      <c r="Q603" s="12"/>
      <c r="R603" s="12"/>
      <c r="S603" s="12"/>
      <c r="T603" s="36"/>
      <c r="U603" s="36"/>
      <c r="V603" s="12"/>
      <c r="W603" s="12"/>
      <c r="X603" s="12"/>
      <c r="Y603" s="12"/>
      <c r="Z603" s="12"/>
    </row>
    <row r="604" customFormat="false" ht="15.75" hidden="false" customHeight="false" outlineLevel="0" collapsed="false">
      <c r="A604" s="12"/>
      <c r="B604" s="34"/>
      <c r="C604" s="12"/>
      <c r="D604" s="12"/>
      <c r="E604" s="12"/>
      <c r="F604" s="12"/>
      <c r="G604" s="18"/>
      <c r="H604" s="35"/>
      <c r="I604" s="35"/>
      <c r="J604" s="12"/>
      <c r="O604" s="12"/>
      <c r="P604" s="18"/>
      <c r="Q604" s="12"/>
      <c r="R604" s="12"/>
      <c r="S604" s="12"/>
      <c r="T604" s="36"/>
      <c r="U604" s="36"/>
      <c r="V604" s="12"/>
      <c r="W604" s="12"/>
      <c r="X604" s="12"/>
      <c r="Y604" s="12"/>
      <c r="Z604" s="12"/>
    </row>
    <row r="605" customFormat="false" ht="15.75" hidden="false" customHeight="false" outlineLevel="0" collapsed="false">
      <c r="A605" s="12"/>
      <c r="B605" s="34"/>
      <c r="C605" s="12"/>
      <c r="D605" s="12"/>
      <c r="E605" s="12"/>
      <c r="F605" s="12"/>
      <c r="G605" s="18"/>
      <c r="H605" s="35"/>
      <c r="I605" s="35"/>
      <c r="J605" s="12"/>
      <c r="O605" s="12"/>
      <c r="P605" s="18"/>
      <c r="Q605" s="12"/>
      <c r="R605" s="12"/>
      <c r="S605" s="12"/>
      <c r="T605" s="36"/>
      <c r="U605" s="36"/>
      <c r="V605" s="12"/>
      <c r="W605" s="12"/>
      <c r="X605" s="12"/>
      <c r="Y605" s="12"/>
      <c r="Z605" s="12"/>
    </row>
    <row r="606" customFormat="false" ht="15.75" hidden="false" customHeight="false" outlineLevel="0" collapsed="false">
      <c r="A606" s="12"/>
      <c r="B606" s="34"/>
      <c r="C606" s="12"/>
      <c r="D606" s="12"/>
      <c r="E606" s="12"/>
      <c r="F606" s="12"/>
      <c r="G606" s="18"/>
      <c r="H606" s="35"/>
      <c r="I606" s="35"/>
      <c r="J606" s="12"/>
      <c r="O606" s="12"/>
      <c r="P606" s="18"/>
      <c r="Q606" s="12"/>
      <c r="R606" s="12"/>
      <c r="S606" s="12"/>
      <c r="T606" s="36"/>
      <c r="U606" s="36"/>
      <c r="V606" s="12"/>
      <c r="W606" s="12"/>
      <c r="X606" s="12"/>
      <c r="Y606" s="12"/>
      <c r="Z606" s="12"/>
    </row>
    <row r="607" customFormat="false" ht="15.75" hidden="false" customHeight="false" outlineLevel="0" collapsed="false">
      <c r="A607" s="12"/>
      <c r="B607" s="34"/>
      <c r="C607" s="12"/>
      <c r="D607" s="12"/>
      <c r="E607" s="12"/>
      <c r="F607" s="12"/>
      <c r="G607" s="18"/>
      <c r="H607" s="35"/>
      <c r="I607" s="35"/>
      <c r="J607" s="12"/>
      <c r="O607" s="12"/>
      <c r="P607" s="18"/>
      <c r="Q607" s="12"/>
      <c r="R607" s="12"/>
      <c r="S607" s="12"/>
      <c r="T607" s="36"/>
      <c r="U607" s="36"/>
      <c r="V607" s="12"/>
      <c r="W607" s="12"/>
      <c r="X607" s="12"/>
      <c r="Y607" s="12"/>
      <c r="Z607" s="12"/>
    </row>
    <row r="608" customFormat="false" ht="15.75" hidden="false" customHeight="false" outlineLevel="0" collapsed="false">
      <c r="A608" s="12"/>
      <c r="B608" s="34"/>
      <c r="C608" s="12"/>
      <c r="D608" s="12"/>
      <c r="E608" s="12"/>
      <c r="F608" s="12"/>
      <c r="G608" s="18"/>
      <c r="H608" s="35"/>
      <c r="I608" s="35"/>
      <c r="J608" s="12"/>
      <c r="O608" s="12"/>
      <c r="P608" s="18"/>
      <c r="Q608" s="12"/>
      <c r="R608" s="12"/>
      <c r="S608" s="12"/>
      <c r="T608" s="36"/>
      <c r="U608" s="36"/>
      <c r="V608" s="12"/>
      <c r="W608" s="12"/>
      <c r="X608" s="12"/>
      <c r="Y608" s="12"/>
      <c r="Z608" s="12"/>
    </row>
    <row r="609" customFormat="false" ht="15.75" hidden="false" customHeight="false" outlineLevel="0" collapsed="false">
      <c r="A609" s="12"/>
      <c r="B609" s="34"/>
      <c r="C609" s="12"/>
      <c r="D609" s="12"/>
      <c r="E609" s="12"/>
      <c r="F609" s="12"/>
      <c r="G609" s="18"/>
      <c r="H609" s="35"/>
      <c r="I609" s="35"/>
      <c r="J609" s="12"/>
      <c r="O609" s="12"/>
      <c r="P609" s="18"/>
      <c r="Q609" s="12"/>
      <c r="R609" s="12"/>
      <c r="S609" s="12"/>
      <c r="T609" s="36"/>
      <c r="U609" s="36"/>
      <c r="V609" s="12"/>
      <c r="W609" s="12"/>
      <c r="X609" s="12"/>
      <c r="Y609" s="12"/>
      <c r="Z609" s="12"/>
    </row>
    <row r="610" customFormat="false" ht="15.75" hidden="false" customHeight="false" outlineLevel="0" collapsed="false">
      <c r="A610" s="12"/>
      <c r="B610" s="34"/>
      <c r="C610" s="12"/>
      <c r="D610" s="12"/>
      <c r="E610" s="12"/>
      <c r="F610" s="12"/>
      <c r="G610" s="18"/>
      <c r="H610" s="35"/>
      <c r="I610" s="35"/>
      <c r="J610" s="12"/>
      <c r="O610" s="12"/>
      <c r="P610" s="18"/>
      <c r="Q610" s="12"/>
      <c r="R610" s="12"/>
      <c r="S610" s="12"/>
      <c r="T610" s="36"/>
      <c r="U610" s="36"/>
      <c r="V610" s="12"/>
      <c r="W610" s="12"/>
      <c r="X610" s="12"/>
      <c r="Y610" s="12"/>
      <c r="Z610" s="12"/>
    </row>
    <row r="611" customFormat="false" ht="15.75" hidden="false" customHeight="false" outlineLevel="0" collapsed="false">
      <c r="A611" s="12"/>
      <c r="B611" s="34"/>
      <c r="C611" s="12"/>
      <c r="D611" s="12"/>
      <c r="E611" s="12"/>
      <c r="F611" s="12"/>
      <c r="G611" s="18"/>
      <c r="H611" s="35"/>
      <c r="I611" s="35"/>
      <c r="J611" s="12"/>
      <c r="O611" s="12"/>
      <c r="P611" s="18"/>
      <c r="Q611" s="12"/>
      <c r="R611" s="12"/>
      <c r="S611" s="12"/>
      <c r="T611" s="36"/>
      <c r="U611" s="36"/>
      <c r="V611" s="12"/>
      <c r="W611" s="12"/>
      <c r="X611" s="12"/>
      <c r="Y611" s="12"/>
      <c r="Z611" s="12"/>
    </row>
    <row r="612" customFormat="false" ht="15.75" hidden="false" customHeight="false" outlineLevel="0" collapsed="false">
      <c r="A612" s="12"/>
      <c r="B612" s="34"/>
      <c r="C612" s="12"/>
      <c r="D612" s="12"/>
      <c r="E612" s="12"/>
      <c r="F612" s="12"/>
      <c r="G612" s="18"/>
      <c r="H612" s="35"/>
      <c r="I612" s="35"/>
      <c r="J612" s="12"/>
      <c r="O612" s="12"/>
      <c r="P612" s="18"/>
      <c r="Q612" s="12"/>
      <c r="R612" s="12"/>
      <c r="S612" s="12"/>
      <c r="T612" s="36"/>
      <c r="U612" s="36"/>
      <c r="V612" s="12"/>
      <c r="W612" s="12"/>
      <c r="X612" s="12"/>
      <c r="Y612" s="12"/>
      <c r="Z612" s="12"/>
    </row>
    <row r="613" customFormat="false" ht="15.75" hidden="false" customHeight="false" outlineLevel="0" collapsed="false">
      <c r="A613" s="12"/>
      <c r="B613" s="34"/>
      <c r="C613" s="12"/>
      <c r="D613" s="12"/>
      <c r="E613" s="12"/>
      <c r="F613" s="12"/>
      <c r="G613" s="18"/>
      <c r="H613" s="35"/>
      <c r="I613" s="35"/>
      <c r="J613" s="12"/>
      <c r="O613" s="12"/>
      <c r="P613" s="18"/>
      <c r="Q613" s="12"/>
      <c r="R613" s="12"/>
      <c r="S613" s="12"/>
      <c r="T613" s="36"/>
      <c r="U613" s="36"/>
      <c r="V613" s="12"/>
      <c r="W613" s="12"/>
      <c r="X613" s="12"/>
      <c r="Y613" s="12"/>
      <c r="Z613" s="12"/>
    </row>
    <row r="614" customFormat="false" ht="15.75" hidden="false" customHeight="false" outlineLevel="0" collapsed="false">
      <c r="A614" s="12"/>
      <c r="B614" s="34"/>
      <c r="C614" s="12"/>
      <c r="D614" s="12"/>
      <c r="E614" s="12"/>
      <c r="F614" s="12"/>
      <c r="G614" s="18"/>
      <c r="H614" s="35"/>
      <c r="I614" s="35"/>
      <c r="J614" s="12"/>
      <c r="O614" s="12"/>
      <c r="P614" s="18"/>
      <c r="Q614" s="12"/>
      <c r="R614" s="12"/>
      <c r="S614" s="12"/>
      <c r="T614" s="36"/>
      <c r="U614" s="36"/>
      <c r="V614" s="12"/>
      <c r="W614" s="12"/>
      <c r="X614" s="12"/>
      <c r="Y614" s="12"/>
      <c r="Z614" s="12"/>
    </row>
    <row r="615" customFormat="false" ht="15.75" hidden="false" customHeight="false" outlineLevel="0" collapsed="false">
      <c r="A615" s="12"/>
      <c r="B615" s="34"/>
      <c r="C615" s="12"/>
      <c r="D615" s="12"/>
      <c r="E615" s="12"/>
      <c r="F615" s="12"/>
      <c r="G615" s="18"/>
      <c r="H615" s="35"/>
      <c r="I615" s="35"/>
      <c r="J615" s="12"/>
      <c r="O615" s="12"/>
      <c r="P615" s="18"/>
      <c r="Q615" s="12"/>
      <c r="R615" s="12"/>
      <c r="S615" s="12"/>
      <c r="T615" s="36"/>
      <c r="U615" s="36"/>
      <c r="V615" s="12"/>
      <c r="W615" s="12"/>
      <c r="X615" s="12"/>
      <c r="Y615" s="12"/>
      <c r="Z615" s="12"/>
    </row>
    <row r="616" customFormat="false" ht="15.75" hidden="false" customHeight="false" outlineLevel="0" collapsed="false">
      <c r="A616" s="12"/>
      <c r="B616" s="34"/>
      <c r="C616" s="12"/>
      <c r="D616" s="12"/>
      <c r="E616" s="12"/>
      <c r="F616" s="12"/>
      <c r="G616" s="18"/>
      <c r="H616" s="35"/>
      <c r="I616" s="35"/>
      <c r="J616" s="12"/>
      <c r="O616" s="12"/>
      <c r="P616" s="18"/>
      <c r="Q616" s="12"/>
      <c r="R616" s="12"/>
      <c r="S616" s="12"/>
      <c r="T616" s="36"/>
      <c r="U616" s="36"/>
      <c r="V616" s="12"/>
      <c r="W616" s="12"/>
      <c r="X616" s="12"/>
      <c r="Y616" s="12"/>
      <c r="Z616" s="12"/>
    </row>
    <row r="617" customFormat="false" ht="15.75" hidden="false" customHeight="false" outlineLevel="0" collapsed="false">
      <c r="A617" s="12"/>
      <c r="B617" s="34"/>
      <c r="C617" s="12"/>
      <c r="D617" s="12"/>
      <c r="E617" s="12"/>
      <c r="F617" s="12"/>
      <c r="G617" s="18"/>
      <c r="H617" s="35"/>
      <c r="I617" s="35"/>
      <c r="J617" s="12"/>
      <c r="O617" s="12"/>
      <c r="P617" s="18"/>
      <c r="Q617" s="12"/>
      <c r="R617" s="12"/>
      <c r="S617" s="12"/>
      <c r="T617" s="36"/>
      <c r="U617" s="36"/>
      <c r="V617" s="12"/>
      <c r="W617" s="12"/>
      <c r="X617" s="12"/>
      <c r="Y617" s="12"/>
      <c r="Z617" s="12"/>
    </row>
    <row r="618" customFormat="false" ht="15.75" hidden="false" customHeight="false" outlineLevel="0" collapsed="false">
      <c r="A618" s="12"/>
      <c r="B618" s="34"/>
      <c r="C618" s="12"/>
      <c r="D618" s="12"/>
      <c r="E618" s="12"/>
      <c r="F618" s="12"/>
      <c r="G618" s="18"/>
      <c r="H618" s="35"/>
      <c r="I618" s="35"/>
      <c r="J618" s="12"/>
      <c r="O618" s="12"/>
      <c r="P618" s="18"/>
      <c r="Q618" s="12"/>
      <c r="R618" s="12"/>
      <c r="S618" s="12"/>
      <c r="T618" s="36"/>
      <c r="U618" s="36"/>
      <c r="V618" s="12"/>
      <c r="W618" s="12"/>
      <c r="X618" s="12"/>
      <c r="Y618" s="12"/>
      <c r="Z618" s="12"/>
    </row>
    <row r="619" customFormat="false" ht="15.75" hidden="false" customHeight="false" outlineLevel="0" collapsed="false">
      <c r="A619" s="12"/>
      <c r="B619" s="34"/>
      <c r="C619" s="12"/>
      <c r="D619" s="12"/>
      <c r="E619" s="12"/>
      <c r="F619" s="12"/>
      <c r="G619" s="18"/>
      <c r="H619" s="35"/>
      <c r="I619" s="35"/>
      <c r="J619" s="12"/>
      <c r="O619" s="12"/>
      <c r="P619" s="18"/>
      <c r="Q619" s="12"/>
      <c r="R619" s="12"/>
      <c r="S619" s="12"/>
      <c r="T619" s="36"/>
      <c r="U619" s="36"/>
      <c r="V619" s="12"/>
      <c r="W619" s="12"/>
      <c r="X619" s="12"/>
      <c r="Y619" s="12"/>
      <c r="Z619" s="12"/>
    </row>
    <row r="1048575" customFormat="false" ht="12.8" hidden="false" customHeight="true" outlineLevel="0" collapsed="false"/>
    <row r="1048576" customFormat="false" ht="12.8" hidden="false" customHeight="true" outlineLevel="0" collapsed="false"/>
  </sheetData>
  <conditionalFormatting sqref="T2:T72 U2:U619 R73 T74:T619">
    <cfRule type="expression" priority="2" aboveAverage="0" equalAverage="0" bottom="0" percent="0" rank="0" text="" dxfId="0">
      <formula>LEN(TRIM(#ref!))&gt;0</formula>
    </cfRule>
  </conditionalFormatting>
  <conditionalFormatting sqref="S2:S3 S5:S58 S61:S619">
    <cfRule type="expression" priority="3" aboveAverage="0" equalAverage="0" bottom="0" percent="0" rank="0" text="" dxfId="0">
      <formula>LEN(TRIM(S2))&gt;0</formula>
    </cfRule>
  </conditionalFormatting>
  <conditionalFormatting sqref="G2:G619 P2:P619">
    <cfRule type="containsText" priority="4" operator="containsText" aboveAverage="0" equalAverage="0" bottom="0" percent="0" rank="0" text="x" dxfId="0">
      <formula>NOT(ISERROR(SEARCH("x",G2)))</formula>
    </cfRule>
  </conditionalFormatting>
  <conditionalFormatting sqref="V2:V619">
    <cfRule type="expression" priority="5" aboveAverage="0" equalAverage="0" bottom="0" percent="0" rank="0" text="" dxfId="0">
      <formula>LEN(TRIM(V2))&gt;0</formula>
    </cfRule>
  </conditionalFormatting>
  <conditionalFormatting sqref="Y2:Y619">
    <cfRule type="expression" priority="6" aboveAverage="0" equalAverage="0" bottom="0" percent="0" rank="0" text="" dxfId="0">
      <formula>LEN(TRIM(Y2))&gt;0</formula>
    </cfRule>
  </conditionalFormatting>
  <conditionalFormatting sqref="Z2:Z619 R29">
    <cfRule type="cellIs" priority="7" operator="equal" aboveAverage="0" equalAverage="0" bottom="0" percent="0" rank="0" text="" dxfId="0">
      <formula>"Completo"</formula>
    </cfRule>
    <cfRule type="cellIs" priority="8" operator="equal" aboveAverage="0" equalAverage="0" bottom="0" percent="0" rank="0" text="" dxfId="1">
      <formula>"No aplica"</formula>
    </cfRule>
  </conditionalFormatting>
  <conditionalFormatting sqref="G2:J619 Q2:Q619 R2:R72 W2:X619 Z2:Z619 R74:R619">
    <cfRule type="cellIs" priority="9" operator="equal" aboveAverage="0" equalAverage="0" bottom="0" percent="0" rank="0" text="" dxfId="0">
      <formula>"Completo"</formula>
    </cfRule>
    <cfRule type="cellIs" priority="10" operator="equal" aboveAverage="0" equalAverage="0" bottom="0" percent="0" rank="0" text="" dxfId="1">
      <formula>"No Aplica"</formula>
    </cfRule>
  </conditionalFormatting>
  <dataValidations count="6">
    <dataValidation allowBlank="true" errorStyle="stop" operator="between" showDropDown="false" showErrorMessage="true" showInputMessage="false" sqref="AA46:AA51" type="list">
      <formula1>"Aceptada,En espera,Rechazada,No aplica"</formula1>
      <formula2>0</formula2>
    </dataValidation>
    <dataValidation allowBlank="true" errorStyle="stop" operator="between" showDropDown="false" showErrorMessage="false" showInputMessage="false" sqref="V2:V619" type="list">
      <formula1>LEYENDA!$A$23:$A$24</formula1>
      <formula2>0</formula2>
    </dataValidation>
    <dataValidation allowBlank="true" errorStyle="stop" operator="between" showDropDown="false" showErrorMessage="false" showInputMessage="false" sqref="T2:T72 R73 T74:T619" type="list">
      <formula1>LEYENDA!$A$15:$A$21</formula1>
      <formula2>0</formula2>
    </dataValidation>
    <dataValidation allowBlank="true" errorStyle="stop" operator="between" showDropDown="false" showErrorMessage="true" showInputMessage="false" sqref="D2:D619" type="list">
      <formula1>LEYENDA!$B$2:$D$2</formula1>
      <formula2>0</formula2>
    </dataValidation>
    <dataValidation allowBlank="true" errorStyle="stop" operator="between" showDropDown="false" showErrorMessage="true" showInputMessage="false" sqref="H2:J619 Q2:R72 W2:X619 Z2:Z619 Q73 Q74:R619" type="list">
      <formula1>LEYENDA!$B$1:$C$1</formula1>
      <formula2>0</formula2>
    </dataValidation>
    <dataValidation allowBlank="true" errorStyle="stop" operator="between" showDropDown="false" showErrorMessage="false" showInputMessage="false" sqref="E2:E619" type="list">
      <formula1>LEYENDA!$A$8:$A$12</formula1>
      <formula2>0</formula2>
    </dataValidation>
  </dataValidations>
  <hyperlinks>
    <hyperlink ref="H2" r:id="rId1" display="Completo"/>
    <hyperlink ref="H3" r:id="rId2" display="Completo"/>
    <hyperlink ref="H4" r:id="rId3" display="Completo"/>
    <hyperlink ref="H5" r:id="rId4" display="Completo"/>
    <hyperlink ref="W5" r:id="rId5" display="Completo"/>
    <hyperlink ref="H6" r:id="rId6" display="Completo"/>
    <hyperlink ref="H7" r:id="rId7" display="Completo"/>
    <hyperlink ref="H8" r:id="rId8" display="Completo"/>
    <hyperlink ref="H11" r:id="rId9" display="Completo"/>
    <hyperlink ref="W11" r:id="rId10" display="Completo"/>
    <hyperlink ref="H12" r:id="rId11" display="Completo"/>
    <hyperlink ref="W12" r:id="rId12" display="Completo"/>
    <hyperlink ref="X12" r:id="rId13" display="Completo"/>
    <hyperlink ref="H13" r:id="rId14" display="Completo"/>
    <hyperlink ref="W13" r:id="rId15" display="Completo"/>
    <hyperlink ref="X13" r:id="rId16" display="Completo"/>
    <hyperlink ref="H17" r:id="rId17" display="Completo"/>
    <hyperlink ref="R18" r:id="rId18" display="Completo"/>
    <hyperlink ref="W18" r:id="rId19" display="Completo"/>
    <hyperlink ref="X18" r:id="rId20" display="Completo"/>
    <hyperlink ref="H19" r:id="rId21" display="Completo"/>
    <hyperlink ref="W19" r:id="rId22" display="Completo"/>
    <hyperlink ref="H20" r:id="rId23" display="Completo"/>
    <hyperlink ref="H28" r:id="rId24" display="Completo"/>
    <hyperlink ref="W28" r:id="rId25" display="Completo"/>
    <hyperlink ref="X28" r:id="rId26" display="Completo"/>
    <hyperlink ref="R36" r:id="rId27" display="Completo"/>
    <hyperlink ref="W46" r:id="rId28" display="Completo"/>
    <hyperlink ref="X46" r:id="rId29" display="Completo"/>
    <hyperlink ref="W47" r:id="rId30" display="Completo"/>
    <hyperlink ref="X47" r:id="rId31" display="Completo"/>
    <hyperlink ref="W48" r:id="rId32" display="Completo"/>
    <hyperlink ref="X48" r:id="rId33" display="Completo"/>
    <hyperlink ref="W49" r:id="rId34" display="Completo"/>
    <hyperlink ref="X49" r:id="rId35" display="Completo"/>
    <hyperlink ref="W50" r:id="rId36" display="Completo"/>
    <hyperlink ref="X50" r:id="rId37" display="Completo"/>
    <hyperlink ref="W51" r:id="rId38" display="Completo"/>
    <hyperlink ref="X51" r:id="rId39" display="Completo"/>
    <hyperlink ref="W52" r:id="rId40" display="Completo"/>
    <hyperlink ref="X52" r:id="rId41" display="Completo"/>
    <hyperlink ref="W53" r:id="rId42" display="Completo"/>
    <hyperlink ref="X53" r:id="rId43" display="Completo"/>
    <hyperlink ref="H57" r:id="rId44" display="Completo"/>
    <hyperlink ref="W57" r:id="rId45" display="Completo"/>
    <hyperlink ref="X57" r:id="rId46" display="Completo"/>
    <hyperlink ref="H58" r:id="rId47" display="Completo"/>
    <hyperlink ref="W58" r:id="rId48" display="Completo"/>
    <hyperlink ref="X58" r:id="rId49" display="Completo"/>
    <hyperlink ref="H59" r:id="rId50" display="Completo"/>
    <hyperlink ref="R59" r:id="rId51" display="Completo"/>
    <hyperlink ref="W59" r:id="rId52" display="Completo"/>
    <hyperlink ref="X59" r:id="rId53" display="Completo"/>
    <hyperlink ref="H65" r:id="rId54" display="Completo"/>
    <hyperlink ref="R65" r:id="rId55" display="Completo"/>
    <hyperlink ref="X65" r:id="rId56" display="Completo"/>
    <hyperlink ref="H67" r:id="rId57" display="Completo"/>
  </hyperlinks>
  <printOptions headings="false" gridLines="true" gridLinesSet="true" horizontalCentered="true" verticalCentered="false"/>
  <pageMargins left="0.7" right="0.7" top="0.75" bottom="0.75" header="0.511811023622047" footer="0.511811023622047"/>
  <pageSetup paperSize="9" scale="100" fitToWidth="1" fitToHeight="0" pageOrder="overThenDown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XFD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8" ySplit="3" topLeftCell="I4" activePane="bottomRight" state="frozen"/>
      <selection pane="topLeft" activeCell="A1" activeCellId="0" sqref="A1"/>
      <selection pane="topRight" activeCell="I1" activeCellId="0" sqref="I1"/>
      <selection pane="bottomLeft" activeCell="A4" activeCellId="0" sqref="A4"/>
      <selection pane="bottomRight" activeCell="E10" activeCellId="0" sqref="E10"/>
    </sheetView>
  </sheetViews>
  <sheetFormatPr defaultColWidth="12.6328125" defaultRowHeight="15.75" zeroHeight="false" outlineLevelRow="0" outlineLevelCol="0"/>
  <cols>
    <col collapsed="false" customWidth="true" hidden="false" outlineLevel="0" max="1" min="1" style="1" width="10.25"/>
    <col collapsed="false" customWidth="true" hidden="false" outlineLevel="0" max="2" min="2" style="1" width="10.38"/>
    <col collapsed="false" customWidth="true" hidden="false" outlineLevel="0" max="5" min="3" style="1" width="16.38"/>
    <col collapsed="false" customWidth="true" hidden="false" outlineLevel="0" max="6" min="6" style="1" width="26.25"/>
    <col collapsed="false" customWidth="true" hidden="false" outlineLevel="0" max="7" min="7" style="1" width="14.13"/>
    <col collapsed="false" customWidth="true" hidden="false" outlineLevel="0" max="8" min="8" style="1" width="10.13"/>
    <col collapsed="false" customWidth="true" hidden="false" outlineLevel="0" max="9" min="9" style="1" width="12.88"/>
    <col collapsed="false" customWidth="true" hidden="false" outlineLevel="0" max="11" min="10" style="1" width="12"/>
    <col collapsed="false" customWidth="true" hidden="false" outlineLevel="0" max="12" min="12" style="1" width="10"/>
    <col collapsed="false" customWidth="true" hidden="false" outlineLevel="0" max="13" min="13" style="1" width="12.25"/>
    <col collapsed="false" customWidth="true" hidden="false" outlineLevel="0" max="14" min="14" style="1" width="26.12"/>
    <col collapsed="false" customWidth="true" hidden="true" outlineLevel="0" max="15" min="15" style="1" width="18"/>
    <col collapsed="false" customWidth="true" hidden="false" outlineLevel="0" max="17" min="16" style="1" width="10.63"/>
    <col collapsed="false" customWidth="true" hidden="false" outlineLevel="0" max="18" min="18" style="1" width="8.5"/>
    <col collapsed="false" customWidth="true" hidden="false" outlineLevel="0" max="20" min="20" style="1" width="25.38"/>
    <col collapsed="false" customWidth="true" hidden="false" outlineLevel="0" max="21" min="21" style="1" width="10.75"/>
    <col collapsed="false" customWidth="true" hidden="false" outlineLevel="0" max="22" min="22" style="1" width="10.13"/>
    <col collapsed="false" customWidth="true" hidden="false" outlineLevel="0" max="23" min="23" style="1" width="11.38"/>
    <col collapsed="false" customWidth="true" hidden="false" outlineLevel="0" max="24" min="24" style="1" width="24.38"/>
    <col collapsed="false" customWidth="true" hidden="false" outlineLevel="0" max="16384" min="16383" style="1" width="11.53"/>
  </cols>
  <sheetData>
    <row r="1" customFormat="false" ht="42.5" hidden="false" customHeight="false" outlineLevel="0" collapsed="false">
      <c r="A1" s="2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/>
      <c r="J1" s="4" t="s">
        <v>8</v>
      </c>
      <c r="K1" s="2"/>
      <c r="L1" s="2" t="s">
        <v>9</v>
      </c>
      <c r="M1" s="2" t="s">
        <v>10</v>
      </c>
      <c r="N1" s="4" t="s">
        <v>11</v>
      </c>
      <c r="O1" s="3" t="s">
        <v>12</v>
      </c>
      <c r="P1" s="7" t="s">
        <v>13</v>
      </c>
      <c r="Q1" s="7" t="s">
        <v>14</v>
      </c>
      <c r="R1" s="7" t="s">
        <v>15</v>
      </c>
      <c r="S1" s="7" t="s">
        <v>16</v>
      </c>
      <c r="T1" s="7" t="s">
        <v>17</v>
      </c>
      <c r="U1" s="8" t="s">
        <v>18</v>
      </c>
      <c r="V1" s="9" t="s">
        <v>19</v>
      </c>
      <c r="W1" s="9" t="s">
        <v>20</v>
      </c>
      <c r="X1" s="10" t="s">
        <v>15</v>
      </c>
      <c r="Y1" s="11" t="s">
        <v>21</v>
      </c>
      <c r="Z1" s="11" t="s">
        <v>22</v>
      </c>
      <c r="AA1" s="12"/>
      <c r="AB1" s="12"/>
      <c r="AC1" s="12"/>
      <c r="AD1" s="12"/>
      <c r="AE1" s="12"/>
      <c r="AF1" s="12"/>
      <c r="XFC1" s="0"/>
      <c r="XFD1" s="0"/>
    </row>
    <row r="2" customFormat="false" ht="15.75" hidden="false" customHeight="false" outlineLevel="0" collapsed="false">
      <c r="A2" s="19" t="n">
        <v>7633</v>
      </c>
      <c r="B2" s="14" t="n">
        <v>45231</v>
      </c>
      <c r="C2" s="16" t="s">
        <v>587</v>
      </c>
      <c r="D2" s="30" t="s">
        <v>24</v>
      </c>
      <c r="E2" s="21" t="s">
        <v>34</v>
      </c>
      <c r="F2" s="21" t="s">
        <v>1187</v>
      </c>
      <c r="G2" s="30"/>
      <c r="H2" s="31"/>
      <c r="I2" s="21"/>
      <c r="J2" s="21"/>
      <c r="K2" s="21"/>
      <c r="L2" s="21"/>
      <c r="M2" s="21"/>
      <c r="N2" s="21"/>
      <c r="O2" s="30"/>
      <c r="P2" s="21"/>
      <c r="Q2" s="21"/>
      <c r="R2" s="21"/>
      <c r="S2" s="32"/>
      <c r="T2" s="20"/>
      <c r="U2" s="21"/>
      <c r="V2" s="21"/>
      <c r="W2" s="21"/>
      <c r="X2" s="21"/>
      <c r="Y2" s="21" t="s">
        <v>28</v>
      </c>
    </row>
    <row r="3" customFormat="false" ht="15.75" hidden="false" customHeight="false" outlineLevel="0" collapsed="false">
      <c r="A3" s="21" t="n">
        <v>7634</v>
      </c>
      <c r="B3" s="29" t="n">
        <v>45231</v>
      </c>
      <c r="C3" s="21" t="s">
        <v>188</v>
      </c>
      <c r="D3" s="30" t="s">
        <v>24</v>
      </c>
      <c r="E3" s="21" t="s">
        <v>34</v>
      </c>
      <c r="F3" s="21" t="s">
        <v>1188</v>
      </c>
      <c r="G3" s="30" t="s">
        <v>36</v>
      </c>
      <c r="H3" s="31" t="s">
        <v>37</v>
      </c>
      <c r="I3" s="21" t="s">
        <v>37</v>
      </c>
      <c r="J3" s="21" t="s">
        <v>36</v>
      </c>
      <c r="K3" s="21" t="s">
        <v>36</v>
      </c>
      <c r="L3" s="21" t="s">
        <v>36</v>
      </c>
      <c r="M3" s="21" t="s">
        <v>36</v>
      </c>
      <c r="N3" s="21" t="s">
        <v>1189</v>
      </c>
      <c r="O3" s="30"/>
      <c r="P3" s="21"/>
      <c r="Q3" s="21"/>
      <c r="R3" s="21"/>
      <c r="S3" s="32"/>
      <c r="T3" s="20"/>
      <c r="U3" s="21"/>
      <c r="V3" s="21"/>
      <c r="W3" s="21"/>
      <c r="X3" s="21"/>
      <c r="Y3" s="21" t="s">
        <v>28</v>
      </c>
    </row>
    <row r="4" customFormat="false" ht="15.75" hidden="false" customHeight="false" outlineLevel="0" collapsed="false">
      <c r="A4" s="24" t="n">
        <v>7635</v>
      </c>
      <c r="B4" s="29" t="n">
        <v>45231</v>
      </c>
      <c r="C4" s="21" t="s">
        <v>188</v>
      </c>
      <c r="D4" s="21" t="s">
        <v>24</v>
      </c>
      <c r="E4" s="21" t="s">
        <v>34</v>
      </c>
      <c r="F4" s="21" t="s">
        <v>1190</v>
      </c>
      <c r="G4" s="30" t="s">
        <v>36</v>
      </c>
      <c r="H4" s="31" t="s">
        <v>37</v>
      </c>
      <c r="I4" s="21" t="s">
        <v>37</v>
      </c>
      <c r="J4" s="21" t="s">
        <v>36</v>
      </c>
      <c r="K4" s="21" t="s">
        <v>36</v>
      </c>
      <c r="L4" s="21" t="s">
        <v>36</v>
      </c>
      <c r="M4" s="21" t="s">
        <v>36</v>
      </c>
      <c r="N4" s="21" t="s">
        <v>1189</v>
      </c>
      <c r="O4" s="30"/>
      <c r="P4" s="21"/>
      <c r="Q4" s="21"/>
      <c r="S4" s="32"/>
      <c r="T4" s="20"/>
      <c r="U4" s="21"/>
      <c r="V4" s="21"/>
      <c r="W4" s="21"/>
      <c r="X4" s="21"/>
      <c r="Y4" s="21" t="s">
        <v>28</v>
      </c>
    </row>
    <row r="5" customFormat="false" ht="15.75" hidden="false" customHeight="false" outlineLevel="0" collapsed="false">
      <c r="A5" s="24" t="n">
        <v>7636</v>
      </c>
      <c r="B5" s="29" t="n">
        <v>45232</v>
      </c>
      <c r="C5" s="21" t="s">
        <v>930</v>
      </c>
      <c r="D5" s="30" t="s">
        <v>24</v>
      </c>
      <c r="E5" s="21" t="s">
        <v>34</v>
      </c>
      <c r="F5" s="21" t="s">
        <v>1191</v>
      </c>
      <c r="G5" s="30"/>
      <c r="H5" s="31"/>
      <c r="I5" s="21"/>
      <c r="J5" s="21"/>
      <c r="K5" s="21"/>
      <c r="M5" s="21"/>
      <c r="N5" s="21"/>
      <c r="O5" s="30"/>
      <c r="P5" s="21"/>
      <c r="Q5" s="21"/>
      <c r="R5" s="21"/>
      <c r="S5" s="32"/>
      <c r="T5" s="32"/>
      <c r="U5" s="21"/>
      <c r="V5" s="21"/>
      <c r="W5" s="21"/>
      <c r="X5" s="21"/>
      <c r="Y5" s="21" t="s">
        <v>28</v>
      </c>
    </row>
    <row r="6" customFormat="false" ht="15.75" hidden="false" customHeight="false" outlineLevel="0" collapsed="false">
      <c r="A6" s="24" t="n">
        <v>7637</v>
      </c>
      <c r="B6" s="29" t="n">
        <v>45237</v>
      </c>
      <c r="C6" s="21" t="s">
        <v>716</v>
      </c>
      <c r="D6" s="21" t="s">
        <v>24</v>
      </c>
      <c r="E6" s="21" t="s">
        <v>34</v>
      </c>
      <c r="F6" s="21" t="s">
        <v>1192</v>
      </c>
      <c r="G6" s="30"/>
      <c r="H6" s="31"/>
      <c r="I6" s="21"/>
      <c r="J6" s="21"/>
      <c r="K6" s="21"/>
      <c r="L6" s="21"/>
      <c r="M6" s="21"/>
      <c r="N6" s="21"/>
      <c r="O6" s="30"/>
      <c r="P6" s="21"/>
      <c r="Q6" s="21"/>
      <c r="R6" s="21"/>
      <c r="S6" s="32"/>
      <c r="T6" s="32"/>
      <c r="U6" s="21" t="s">
        <v>58</v>
      </c>
      <c r="V6" s="46" t="s">
        <v>28</v>
      </c>
      <c r="W6" s="46" t="s">
        <v>28</v>
      </c>
      <c r="X6" s="21" t="s">
        <v>36</v>
      </c>
      <c r="Y6" s="21" t="s">
        <v>28</v>
      </c>
    </row>
    <row r="7" customFormat="false" ht="15.75" hidden="false" customHeight="false" outlineLevel="0" collapsed="false">
      <c r="A7" s="24" t="n">
        <v>7638</v>
      </c>
      <c r="B7" s="29" t="n">
        <v>45237</v>
      </c>
      <c r="C7" s="21" t="s">
        <v>814</v>
      </c>
      <c r="D7" s="21" t="s">
        <v>24</v>
      </c>
      <c r="E7" s="21" t="s">
        <v>25</v>
      </c>
      <c r="F7" s="21" t="s">
        <v>1193</v>
      </c>
      <c r="G7" s="30"/>
      <c r="H7" s="31" t="s">
        <v>28</v>
      </c>
      <c r="I7" s="21" t="s">
        <v>28</v>
      </c>
      <c r="J7" s="21"/>
      <c r="K7" s="21"/>
      <c r="L7" s="21"/>
      <c r="M7" s="21"/>
      <c r="N7" s="21"/>
      <c r="O7" s="30"/>
      <c r="P7" s="21"/>
      <c r="Q7" s="21"/>
      <c r="R7" s="21"/>
      <c r="S7" s="32"/>
      <c r="T7" s="32"/>
      <c r="U7" s="21"/>
      <c r="V7" s="21"/>
      <c r="W7" s="21"/>
      <c r="X7" s="21"/>
      <c r="Y7" s="21" t="s">
        <v>28</v>
      </c>
    </row>
    <row r="8" customFormat="false" ht="15.75" hidden="false" customHeight="false" outlineLevel="0" collapsed="false">
      <c r="A8" s="24" t="n">
        <v>7639</v>
      </c>
      <c r="B8" s="29" t="n">
        <v>45238</v>
      </c>
      <c r="C8" s="21" t="s">
        <v>1194</v>
      </c>
      <c r="D8" s="21" t="s">
        <v>24</v>
      </c>
      <c r="E8" s="21" t="s">
        <v>34</v>
      </c>
      <c r="F8" s="21" t="s">
        <v>1195</v>
      </c>
      <c r="G8" s="30"/>
      <c r="H8" s="31"/>
      <c r="I8" s="21"/>
      <c r="J8" s="21"/>
      <c r="K8" s="21"/>
      <c r="L8" s="21"/>
      <c r="M8" s="21"/>
      <c r="N8" s="21"/>
      <c r="O8" s="30"/>
      <c r="P8" s="21"/>
      <c r="Q8" s="21"/>
      <c r="R8" s="21"/>
      <c r="S8" s="32"/>
      <c r="T8" s="32"/>
      <c r="U8" s="21"/>
      <c r="V8" s="21"/>
      <c r="W8" s="21"/>
      <c r="X8" s="21"/>
      <c r="Y8" s="21" t="s">
        <v>28</v>
      </c>
    </row>
    <row r="9" customFormat="false" ht="15.75" hidden="false" customHeight="false" outlineLevel="0" collapsed="false">
      <c r="A9" s="24" t="n">
        <v>7640</v>
      </c>
      <c r="B9" s="29" t="n">
        <v>45243</v>
      </c>
      <c r="C9" s="21" t="s">
        <v>1196</v>
      </c>
      <c r="D9" s="21" t="s">
        <v>24</v>
      </c>
      <c r="E9" s="21" t="s">
        <v>34</v>
      </c>
      <c r="F9" s="21" t="s">
        <v>1197</v>
      </c>
      <c r="G9" s="30"/>
      <c r="H9" s="31"/>
      <c r="I9" s="21"/>
      <c r="J9" s="21"/>
      <c r="K9" s="21"/>
      <c r="L9" s="21"/>
      <c r="M9" s="21"/>
      <c r="N9" s="21"/>
      <c r="O9" s="30"/>
      <c r="P9" s="21"/>
      <c r="Q9" s="21"/>
      <c r="R9" s="21"/>
      <c r="S9" s="32"/>
      <c r="T9" s="32"/>
      <c r="U9" s="21"/>
      <c r="V9" s="21"/>
      <c r="W9" s="21"/>
      <c r="X9" s="21"/>
      <c r="Y9" s="21" t="s">
        <v>28</v>
      </c>
    </row>
    <row r="10" customFormat="false" ht="15.75" hidden="false" customHeight="false" outlineLevel="0" collapsed="false">
      <c r="A10" s="24" t="n">
        <v>7641</v>
      </c>
      <c r="B10" s="29" t="n">
        <v>45243</v>
      </c>
      <c r="C10" s="21" t="s">
        <v>1198</v>
      </c>
      <c r="D10" s="21" t="s">
        <v>24</v>
      </c>
      <c r="E10" s="21" t="s">
        <v>25</v>
      </c>
      <c r="F10" s="21" t="s">
        <v>1199</v>
      </c>
      <c r="G10" s="30" t="s">
        <v>1200</v>
      </c>
      <c r="H10" s="45" t="s">
        <v>28</v>
      </c>
      <c r="I10" s="21" t="s">
        <v>28</v>
      </c>
      <c r="J10" s="21" t="s">
        <v>29</v>
      </c>
      <c r="K10" s="21" t="s">
        <v>29</v>
      </c>
      <c r="L10" s="21" t="s">
        <v>29</v>
      </c>
      <c r="M10" s="21" t="n">
        <v>4555</v>
      </c>
      <c r="N10" s="21"/>
      <c r="O10" s="30"/>
      <c r="P10" s="21"/>
      <c r="Q10" s="21"/>
      <c r="R10" s="21"/>
      <c r="S10" s="32"/>
      <c r="T10" s="32"/>
      <c r="U10" s="21"/>
      <c r="V10" s="21"/>
      <c r="W10" s="21"/>
      <c r="X10" s="21"/>
      <c r="Y10" s="21" t="s">
        <v>28</v>
      </c>
    </row>
    <row r="11" customFormat="false" ht="15.75" hidden="false" customHeight="false" outlineLevel="0" collapsed="false">
      <c r="A11" s="24" t="n">
        <v>7642</v>
      </c>
      <c r="B11" s="29" t="n">
        <v>45245</v>
      </c>
      <c r="C11" s="21" t="s">
        <v>1201</v>
      </c>
      <c r="D11" s="21" t="s">
        <v>24</v>
      </c>
      <c r="E11" s="21" t="s">
        <v>25</v>
      </c>
      <c r="F11" s="21" t="s">
        <v>1202</v>
      </c>
      <c r="G11" s="30"/>
      <c r="H11" s="45" t="s">
        <v>28</v>
      </c>
      <c r="I11" s="21" t="s">
        <v>37</v>
      </c>
      <c r="J11" s="21" t="s">
        <v>29</v>
      </c>
      <c r="K11" s="21" t="s">
        <v>29</v>
      </c>
      <c r="L11" s="21" t="s">
        <v>29</v>
      </c>
      <c r="M11" s="21" t="s">
        <v>1203</v>
      </c>
      <c r="N11" s="21"/>
      <c r="O11" s="30"/>
      <c r="P11" s="21"/>
      <c r="Q11" s="21"/>
      <c r="R11" s="21"/>
      <c r="S11" s="32"/>
      <c r="T11" s="32"/>
      <c r="U11" s="21"/>
      <c r="V11" s="21"/>
      <c r="W11" s="21"/>
      <c r="X11" s="21"/>
      <c r="Y11" s="21" t="s">
        <v>28</v>
      </c>
    </row>
    <row r="12" customFormat="false" ht="15.75" hidden="false" customHeight="false" outlineLevel="0" collapsed="false">
      <c r="A12" s="24" t="n">
        <v>7643</v>
      </c>
      <c r="B12" s="29" t="n">
        <v>45245</v>
      </c>
      <c r="C12" s="21" t="s">
        <v>1204</v>
      </c>
      <c r="D12" s="21" t="s">
        <v>24</v>
      </c>
      <c r="E12" s="21" t="s">
        <v>25</v>
      </c>
      <c r="F12" s="21" t="s">
        <v>1205</v>
      </c>
      <c r="G12" s="30" t="s">
        <v>1206</v>
      </c>
      <c r="H12" s="45" t="s">
        <v>28</v>
      </c>
      <c r="I12" s="21" t="s">
        <v>28</v>
      </c>
      <c r="J12" s="21" t="s">
        <v>29</v>
      </c>
      <c r="K12" s="21" t="s">
        <v>29</v>
      </c>
      <c r="L12" s="21" t="s">
        <v>29</v>
      </c>
      <c r="M12" s="21" t="s">
        <v>1203</v>
      </c>
      <c r="N12" s="21"/>
      <c r="O12" s="30"/>
      <c r="P12" s="21"/>
      <c r="Q12" s="21"/>
      <c r="R12" s="21"/>
      <c r="S12" s="32"/>
      <c r="T12" s="32"/>
      <c r="U12" s="21" t="s">
        <v>74</v>
      </c>
      <c r="V12" s="46" t="s">
        <v>28</v>
      </c>
      <c r="W12" s="46" t="s">
        <v>28</v>
      </c>
      <c r="X12" s="21" t="s">
        <v>36</v>
      </c>
      <c r="Y12" s="21" t="s">
        <v>28</v>
      </c>
    </row>
    <row r="13" customFormat="false" ht="15.75" hidden="false" customHeight="false" outlineLevel="0" collapsed="false">
      <c r="A13" s="24" t="n">
        <v>7644</v>
      </c>
      <c r="B13" s="29" t="n">
        <v>45245</v>
      </c>
      <c r="C13" s="21" t="s">
        <v>1204</v>
      </c>
      <c r="D13" s="21" t="s">
        <v>24</v>
      </c>
      <c r="E13" s="21" t="s">
        <v>25</v>
      </c>
      <c r="F13" s="21" t="s">
        <v>1205</v>
      </c>
      <c r="G13" s="30" t="s">
        <v>1206</v>
      </c>
      <c r="H13" s="45" t="s">
        <v>28</v>
      </c>
      <c r="I13" s="21" t="s">
        <v>28</v>
      </c>
      <c r="J13" s="21" t="s">
        <v>29</v>
      </c>
      <c r="K13" s="21" t="s">
        <v>29</v>
      </c>
      <c r="L13" s="21" t="s">
        <v>29</v>
      </c>
      <c r="M13" s="21" t="s">
        <v>1203</v>
      </c>
      <c r="N13" s="21"/>
      <c r="O13" s="30"/>
      <c r="P13" s="21"/>
      <c r="Q13" s="21"/>
      <c r="R13" s="21"/>
      <c r="S13" s="32"/>
      <c r="T13" s="32"/>
      <c r="U13" s="21" t="s">
        <v>74</v>
      </c>
      <c r="V13" s="46" t="s">
        <v>28</v>
      </c>
      <c r="W13" s="46" t="s">
        <v>28</v>
      </c>
      <c r="X13" s="21" t="s">
        <v>36</v>
      </c>
      <c r="Y13" s="21" t="s">
        <v>28</v>
      </c>
    </row>
    <row r="14" customFormat="false" ht="15.75" hidden="false" customHeight="false" outlineLevel="0" collapsed="false">
      <c r="A14" s="24" t="n">
        <v>7645</v>
      </c>
      <c r="B14" s="29" t="n">
        <v>45245</v>
      </c>
      <c r="C14" s="21" t="s">
        <v>1207</v>
      </c>
      <c r="D14" s="21" t="s">
        <v>24</v>
      </c>
      <c r="E14" s="21" t="s">
        <v>25</v>
      </c>
      <c r="F14" s="21" t="s">
        <v>1208</v>
      </c>
      <c r="G14" s="30" t="s">
        <v>1209</v>
      </c>
      <c r="H14" s="45" t="s">
        <v>28</v>
      </c>
      <c r="I14" s="21" t="s">
        <v>28</v>
      </c>
      <c r="J14" s="21" t="s">
        <v>29</v>
      </c>
      <c r="K14" s="21" t="s">
        <v>29</v>
      </c>
      <c r="L14" s="21" t="s">
        <v>29</v>
      </c>
      <c r="M14" s="21" t="s">
        <v>29</v>
      </c>
      <c r="N14" s="21"/>
      <c r="O14" s="30"/>
      <c r="P14" s="21"/>
      <c r="Q14" s="21"/>
      <c r="R14" s="21"/>
      <c r="S14" s="32"/>
      <c r="T14" s="32"/>
      <c r="U14" s="21"/>
      <c r="V14" s="21"/>
      <c r="W14" s="21"/>
      <c r="X14" s="21"/>
      <c r="Y14" s="21" t="s">
        <v>28</v>
      </c>
    </row>
    <row r="15" customFormat="false" ht="15.75" hidden="false" customHeight="false" outlineLevel="0" collapsed="false">
      <c r="A15" s="24" t="n">
        <v>7646</v>
      </c>
      <c r="B15" s="29" t="n">
        <v>45245</v>
      </c>
      <c r="C15" s="21" t="s">
        <v>1207</v>
      </c>
      <c r="D15" s="21" t="s">
        <v>24</v>
      </c>
      <c r="E15" s="21" t="s">
        <v>25</v>
      </c>
      <c r="F15" s="21" t="s">
        <v>1210</v>
      </c>
      <c r="G15" s="30" t="s">
        <v>1209</v>
      </c>
      <c r="H15" s="45" t="s">
        <v>28</v>
      </c>
      <c r="I15" s="21" t="s">
        <v>28</v>
      </c>
      <c r="J15" s="21" t="s">
        <v>29</v>
      </c>
      <c r="K15" s="21" t="s">
        <v>29</v>
      </c>
      <c r="L15" s="21" t="s">
        <v>29</v>
      </c>
      <c r="M15" s="21" t="s">
        <v>29</v>
      </c>
      <c r="N15" s="21"/>
      <c r="O15" s="30"/>
      <c r="P15" s="21"/>
      <c r="Q15" s="21"/>
      <c r="R15" s="21"/>
      <c r="S15" s="32"/>
      <c r="T15" s="32"/>
      <c r="U15" s="21"/>
      <c r="V15" s="21"/>
      <c r="W15" s="21"/>
      <c r="X15" s="21"/>
      <c r="Y15" s="21" t="s">
        <v>28</v>
      </c>
    </row>
    <row r="16" customFormat="false" ht="15.75" hidden="false" customHeight="false" outlineLevel="0" collapsed="false">
      <c r="A16" s="24" t="n">
        <v>7647</v>
      </c>
      <c r="B16" s="29" t="n">
        <v>45245</v>
      </c>
      <c r="C16" s="21" t="s">
        <v>1207</v>
      </c>
      <c r="D16" s="21" t="s">
        <v>24</v>
      </c>
      <c r="E16" s="21" t="s">
        <v>25</v>
      </c>
      <c r="F16" s="21" t="s">
        <v>1211</v>
      </c>
      <c r="G16" s="30" t="s">
        <v>1212</v>
      </c>
      <c r="H16" s="45" t="s">
        <v>28</v>
      </c>
      <c r="I16" s="21" t="s">
        <v>28</v>
      </c>
      <c r="J16" s="21" t="s">
        <v>29</v>
      </c>
      <c r="K16" s="21" t="s">
        <v>29</v>
      </c>
      <c r="L16" s="21" t="s">
        <v>29</v>
      </c>
      <c r="M16" s="21" t="s">
        <v>29</v>
      </c>
      <c r="N16" s="21"/>
      <c r="O16" s="30"/>
      <c r="P16" s="21"/>
      <c r="Q16" s="21"/>
      <c r="R16" s="21"/>
      <c r="S16" s="32"/>
      <c r="T16" s="32"/>
      <c r="U16" s="21"/>
      <c r="V16" s="21"/>
      <c r="W16" s="21"/>
      <c r="X16" s="21"/>
      <c r="Y16" s="21" t="s">
        <v>28</v>
      </c>
    </row>
    <row r="17" customFormat="false" ht="15.75" hidden="false" customHeight="false" outlineLevel="0" collapsed="false">
      <c r="A17" s="24" t="n">
        <v>7648</v>
      </c>
      <c r="B17" s="29" t="n">
        <v>45245</v>
      </c>
      <c r="C17" s="21" t="s">
        <v>1207</v>
      </c>
      <c r="D17" s="21" t="s">
        <v>24</v>
      </c>
      <c r="E17" s="21" t="s">
        <v>25</v>
      </c>
      <c r="F17" s="21" t="s">
        <v>1213</v>
      </c>
      <c r="G17" s="30" t="s">
        <v>1212</v>
      </c>
      <c r="H17" s="45" t="s">
        <v>28</v>
      </c>
      <c r="I17" s="21" t="s">
        <v>28</v>
      </c>
      <c r="J17" s="21" t="s">
        <v>29</v>
      </c>
      <c r="K17" s="21" t="s">
        <v>29</v>
      </c>
      <c r="L17" s="21" t="s">
        <v>29</v>
      </c>
      <c r="M17" s="21" t="s">
        <v>29</v>
      </c>
      <c r="N17" s="21"/>
      <c r="O17" s="30"/>
      <c r="P17" s="21"/>
      <c r="Q17" s="21"/>
      <c r="R17" s="21"/>
      <c r="S17" s="32"/>
      <c r="T17" s="32"/>
      <c r="U17" s="21"/>
      <c r="V17" s="21"/>
      <c r="W17" s="21"/>
      <c r="X17" s="21"/>
      <c r="Y17" s="21" t="s">
        <v>28</v>
      </c>
    </row>
    <row r="18" customFormat="false" ht="15.75" hidden="false" customHeight="false" outlineLevel="0" collapsed="false">
      <c r="A18" s="24" t="n">
        <v>7649</v>
      </c>
      <c r="B18" s="29" t="n">
        <v>45245</v>
      </c>
      <c r="C18" s="21" t="s">
        <v>1207</v>
      </c>
      <c r="D18" s="21" t="s">
        <v>24</v>
      </c>
      <c r="E18" s="21" t="s">
        <v>25</v>
      </c>
      <c r="F18" s="21" t="s">
        <v>1214</v>
      </c>
      <c r="G18" s="30" t="s">
        <v>1212</v>
      </c>
      <c r="H18" s="45" t="s">
        <v>28</v>
      </c>
      <c r="I18" s="21" t="s">
        <v>28</v>
      </c>
      <c r="J18" s="21" t="s">
        <v>29</v>
      </c>
      <c r="K18" s="21" t="s">
        <v>29</v>
      </c>
      <c r="L18" s="21" t="s">
        <v>29</v>
      </c>
      <c r="M18" s="21" t="s">
        <v>29</v>
      </c>
      <c r="N18" s="21"/>
      <c r="O18" s="30"/>
      <c r="P18" s="21"/>
      <c r="Q18" s="21"/>
      <c r="R18" s="21"/>
      <c r="S18" s="32"/>
      <c r="T18" s="32"/>
      <c r="U18" s="21"/>
      <c r="V18" s="21"/>
      <c r="W18" s="21"/>
      <c r="X18" s="21"/>
      <c r="Y18" s="21" t="s">
        <v>28</v>
      </c>
    </row>
    <row r="19" customFormat="false" ht="15.75" hidden="false" customHeight="false" outlineLevel="0" collapsed="false">
      <c r="A19" s="24" t="n">
        <v>7650</v>
      </c>
      <c r="B19" s="54" t="n">
        <v>45245</v>
      </c>
      <c r="C19" s="21" t="s">
        <v>1215</v>
      </c>
      <c r="D19" s="21" t="s">
        <v>24</v>
      </c>
      <c r="E19" s="21" t="s">
        <v>25</v>
      </c>
      <c r="F19" s="21" t="s">
        <v>127</v>
      </c>
      <c r="G19" s="30" t="s">
        <v>1216</v>
      </c>
      <c r="H19" s="45" t="s">
        <v>28</v>
      </c>
      <c r="I19" s="21" t="s">
        <v>28</v>
      </c>
      <c r="J19" s="21" t="s">
        <v>29</v>
      </c>
      <c r="K19" s="21" t="s">
        <v>29</v>
      </c>
      <c r="L19" s="21" t="s">
        <v>29</v>
      </c>
      <c r="M19" s="21" t="s">
        <v>29</v>
      </c>
      <c r="N19" s="21"/>
      <c r="O19" s="30"/>
      <c r="P19" s="21"/>
      <c r="Q19" s="21"/>
      <c r="R19" s="21"/>
      <c r="S19" s="32"/>
      <c r="T19" s="32"/>
      <c r="U19" s="21" t="s">
        <v>74</v>
      </c>
      <c r="V19" s="46" t="s">
        <v>28</v>
      </c>
      <c r="W19" s="46" t="s">
        <v>28</v>
      </c>
      <c r="X19" s="21" t="s">
        <v>36</v>
      </c>
      <c r="Y19" s="21" t="s">
        <v>28</v>
      </c>
    </row>
    <row r="20" customFormat="false" ht="15.75" hidden="false" customHeight="false" outlineLevel="0" collapsed="false">
      <c r="A20" s="24" t="n">
        <v>7651</v>
      </c>
      <c r="B20" s="29" t="n">
        <v>45247</v>
      </c>
      <c r="C20" s="20" t="s">
        <v>571</v>
      </c>
      <c r="D20" s="21" t="s">
        <v>24</v>
      </c>
      <c r="E20" s="21" t="s">
        <v>25</v>
      </c>
      <c r="F20" s="21" t="s">
        <v>888</v>
      </c>
      <c r="G20" s="30" t="s">
        <v>1217</v>
      </c>
      <c r="H20" s="45" t="s">
        <v>28</v>
      </c>
      <c r="I20" s="21" t="s">
        <v>28</v>
      </c>
      <c r="J20" s="21" t="s">
        <v>29</v>
      </c>
      <c r="K20" s="21" t="s">
        <v>29</v>
      </c>
      <c r="L20" s="21" t="s">
        <v>29</v>
      </c>
      <c r="M20" s="21" t="n">
        <v>1582</v>
      </c>
      <c r="N20" s="21"/>
      <c r="O20" s="30"/>
      <c r="P20" s="21"/>
      <c r="Q20" s="21"/>
      <c r="R20" s="21"/>
      <c r="S20" s="32"/>
      <c r="T20" s="32"/>
      <c r="U20" s="21" t="s">
        <v>58</v>
      </c>
      <c r="V20" s="46" t="s">
        <v>28</v>
      </c>
      <c r="W20" s="46" t="s">
        <v>28</v>
      </c>
      <c r="X20" s="21" t="s">
        <v>36</v>
      </c>
      <c r="Y20" s="21" t="s">
        <v>28</v>
      </c>
    </row>
    <row r="21" customFormat="false" ht="15.75" hidden="false" customHeight="false" outlineLevel="0" collapsed="false">
      <c r="A21" s="24" t="n">
        <v>7652</v>
      </c>
      <c r="B21" s="29" t="n">
        <v>45251</v>
      </c>
      <c r="C21" s="20" t="s">
        <v>1218</v>
      </c>
      <c r="D21" s="21" t="s">
        <v>24</v>
      </c>
      <c r="E21" s="21" t="s">
        <v>25</v>
      </c>
      <c r="F21" s="21" t="s">
        <v>1219</v>
      </c>
      <c r="G21" s="30"/>
      <c r="H21" s="45" t="s">
        <v>28</v>
      </c>
      <c r="I21" s="21" t="s">
        <v>28</v>
      </c>
      <c r="J21" s="21" t="s">
        <v>29</v>
      </c>
      <c r="K21" s="21" t="s">
        <v>29</v>
      </c>
      <c r="L21" s="21" t="s">
        <v>29</v>
      </c>
      <c r="M21" s="21" t="n">
        <v>11610</v>
      </c>
      <c r="N21" s="21"/>
      <c r="O21" s="30"/>
      <c r="P21" s="21"/>
      <c r="Q21" s="21"/>
      <c r="R21" s="21"/>
      <c r="S21" s="32"/>
      <c r="T21" s="32"/>
      <c r="U21" s="21"/>
      <c r="V21" s="21"/>
      <c r="W21" s="21"/>
      <c r="X21" s="21"/>
      <c r="Y21" s="21" t="s">
        <v>28</v>
      </c>
    </row>
    <row r="22" customFormat="false" ht="15.75" hidden="false" customHeight="false" outlineLevel="0" collapsed="false">
      <c r="A22" s="53" t="n">
        <v>838599</v>
      </c>
      <c r="B22" s="29" t="n">
        <v>45253</v>
      </c>
      <c r="C22" s="21" t="s">
        <v>1220</v>
      </c>
      <c r="D22" s="21" t="s">
        <v>290</v>
      </c>
      <c r="E22" s="21" t="s">
        <v>25</v>
      </c>
      <c r="F22" s="21" t="s">
        <v>1221</v>
      </c>
      <c r="G22" s="30"/>
      <c r="H22" s="31" t="s">
        <v>28</v>
      </c>
      <c r="I22" s="21" t="s">
        <v>28</v>
      </c>
      <c r="J22" s="21" t="n">
        <v>30712272607</v>
      </c>
      <c r="K22" s="21" t="n">
        <v>3515493967</v>
      </c>
      <c r="L22" s="21" t="s">
        <v>1222</v>
      </c>
      <c r="M22" s="21"/>
      <c r="N22" s="21"/>
      <c r="O22" s="30"/>
      <c r="P22" s="21"/>
      <c r="Q22" s="21"/>
      <c r="R22" s="21"/>
      <c r="S22" s="32"/>
      <c r="T22" s="32"/>
      <c r="U22" s="21" t="s">
        <v>58</v>
      </c>
      <c r="V22" s="46" t="s">
        <v>28</v>
      </c>
      <c r="W22" s="21" t="s">
        <v>28</v>
      </c>
      <c r="X22" s="21" t="s">
        <v>36</v>
      </c>
      <c r="Y22" s="21" t="s">
        <v>28</v>
      </c>
    </row>
    <row r="23" customFormat="false" ht="15.75" hidden="false" customHeight="false" outlineLevel="0" collapsed="false">
      <c r="A23" s="24" t="n">
        <v>7653</v>
      </c>
      <c r="B23" s="29" t="n">
        <v>45254</v>
      </c>
      <c r="C23" s="21" t="s">
        <v>136</v>
      </c>
      <c r="D23" s="21" t="s">
        <v>24</v>
      </c>
      <c r="E23" s="21" t="s">
        <v>25</v>
      </c>
      <c r="F23" s="21" t="s">
        <v>127</v>
      </c>
      <c r="G23" s="30" t="s">
        <v>1223</v>
      </c>
      <c r="H23" s="45" t="s">
        <v>28</v>
      </c>
      <c r="I23" s="21" t="s">
        <v>28</v>
      </c>
      <c r="J23" s="21" t="s">
        <v>29</v>
      </c>
      <c r="K23" s="21" t="s">
        <v>29</v>
      </c>
      <c r="L23" s="21" t="s">
        <v>29</v>
      </c>
      <c r="M23" s="21" t="s">
        <v>29</v>
      </c>
      <c r="N23" s="21"/>
      <c r="O23" s="30"/>
      <c r="P23" s="21"/>
      <c r="Q23" s="21"/>
      <c r="R23" s="21"/>
      <c r="S23" s="32"/>
      <c r="T23" s="32"/>
      <c r="U23" s="21"/>
      <c r="V23" s="21"/>
      <c r="W23" s="21"/>
      <c r="X23" s="21"/>
      <c r="Y23" s="21" t="s">
        <v>37</v>
      </c>
    </row>
    <row r="24" customFormat="false" ht="15.75" hidden="false" customHeight="false" outlineLevel="0" collapsed="false">
      <c r="A24" s="24" t="n">
        <v>7654</v>
      </c>
      <c r="B24" s="29" t="n">
        <v>45254</v>
      </c>
      <c r="C24" s="21" t="s">
        <v>1224</v>
      </c>
      <c r="D24" s="21" t="s">
        <v>24</v>
      </c>
      <c r="E24" s="21" t="s">
        <v>25</v>
      </c>
      <c r="F24" s="21" t="s">
        <v>1225</v>
      </c>
      <c r="G24" s="30"/>
      <c r="H24" s="45" t="s">
        <v>28</v>
      </c>
      <c r="I24" s="21" t="s">
        <v>28</v>
      </c>
      <c r="J24" s="21"/>
      <c r="K24" s="21" t="s">
        <v>1226</v>
      </c>
      <c r="L24" s="21"/>
      <c r="M24" s="21" t="s">
        <v>29</v>
      </c>
      <c r="N24" s="21"/>
      <c r="O24" s="30"/>
      <c r="P24" s="21"/>
      <c r="Q24" s="21"/>
      <c r="R24" s="21"/>
      <c r="S24" s="32"/>
      <c r="T24" s="32"/>
      <c r="U24" s="21"/>
      <c r="V24" s="21"/>
      <c r="W24" s="21"/>
      <c r="X24" s="21"/>
      <c r="Y24" s="21" t="s">
        <v>28</v>
      </c>
    </row>
    <row r="25" customFormat="false" ht="15.75" hidden="false" customHeight="false" outlineLevel="0" collapsed="false">
      <c r="A25" s="53" t="n">
        <v>628219</v>
      </c>
      <c r="B25" s="29" t="n">
        <v>45254</v>
      </c>
      <c r="C25" s="21" t="s">
        <v>1227</v>
      </c>
      <c r="D25" s="21" t="s">
        <v>24</v>
      </c>
      <c r="E25" s="21" t="s">
        <v>25</v>
      </c>
      <c r="F25" s="21" t="s">
        <v>1228</v>
      </c>
      <c r="G25" s="30"/>
      <c r="H25" s="45" t="s">
        <v>28</v>
      </c>
      <c r="I25" s="21" t="s">
        <v>28</v>
      </c>
      <c r="J25" s="21" t="s">
        <v>29</v>
      </c>
      <c r="K25" s="21" t="s">
        <v>29</v>
      </c>
      <c r="L25" s="21" t="s">
        <v>29</v>
      </c>
      <c r="M25" s="21" t="n">
        <v>1404</v>
      </c>
      <c r="N25" s="21"/>
      <c r="O25" s="30"/>
      <c r="P25" s="21"/>
      <c r="Q25" s="21"/>
      <c r="R25" s="21"/>
      <c r="S25" s="32"/>
      <c r="T25" s="32"/>
      <c r="U25" s="21"/>
      <c r="V25" s="21"/>
      <c r="W25" s="21"/>
      <c r="X25" s="21"/>
      <c r="Y25" s="21" t="s">
        <v>28</v>
      </c>
    </row>
    <row r="26" customFormat="false" ht="15.75" hidden="false" customHeight="false" outlineLevel="0" collapsed="false">
      <c r="A26" s="24" t="n">
        <v>7655</v>
      </c>
      <c r="B26" s="29" t="n">
        <v>45254</v>
      </c>
      <c r="C26" s="21" t="s">
        <v>1229</v>
      </c>
      <c r="D26" s="21" t="s">
        <v>24</v>
      </c>
      <c r="E26" s="21" t="s">
        <v>25</v>
      </c>
      <c r="F26" s="21" t="s">
        <v>1230</v>
      </c>
      <c r="G26" s="30"/>
      <c r="H26" s="45" t="s">
        <v>28</v>
      </c>
      <c r="I26" s="21" t="s">
        <v>28</v>
      </c>
      <c r="J26" s="21" t="s">
        <v>29</v>
      </c>
      <c r="K26" s="21" t="s">
        <v>29</v>
      </c>
      <c r="L26" s="21" t="s">
        <v>29</v>
      </c>
      <c r="M26" s="21" t="s">
        <v>29</v>
      </c>
      <c r="N26" s="21"/>
      <c r="O26" s="30"/>
      <c r="P26" s="21"/>
      <c r="Q26" s="21"/>
      <c r="R26" s="21"/>
      <c r="S26" s="32"/>
      <c r="T26" s="32"/>
      <c r="U26" s="21"/>
      <c r="V26" s="21"/>
      <c r="W26" s="21"/>
      <c r="X26" s="21"/>
      <c r="Y26" s="21" t="s">
        <v>37</v>
      </c>
    </row>
    <row r="27" customFormat="false" ht="15.75" hidden="false" customHeight="false" outlineLevel="0" collapsed="false">
      <c r="A27" s="24" t="n">
        <v>7656</v>
      </c>
      <c r="B27" s="29" t="n">
        <v>45254</v>
      </c>
      <c r="C27" s="21" t="s">
        <v>1229</v>
      </c>
      <c r="D27" s="21" t="s">
        <v>24</v>
      </c>
      <c r="E27" s="21" t="s">
        <v>25</v>
      </c>
      <c r="F27" s="21" t="s">
        <v>1231</v>
      </c>
      <c r="G27" s="30"/>
      <c r="H27" s="45" t="s">
        <v>28</v>
      </c>
      <c r="I27" s="21" t="s">
        <v>28</v>
      </c>
      <c r="J27" s="21" t="s">
        <v>29</v>
      </c>
      <c r="K27" s="21" t="s">
        <v>1232</v>
      </c>
      <c r="L27" s="21"/>
      <c r="M27" s="21" t="s">
        <v>1233</v>
      </c>
      <c r="N27" s="21"/>
      <c r="O27" s="30"/>
      <c r="P27" s="21"/>
      <c r="Q27" s="21"/>
      <c r="R27" s="21"/>
      <c r="S27" s="32"/>
      <c r="T27" s="20"/>
      <c r="U27" s="21"/>
      <c r="V27" s="21"/>
      <c r="W27" s="21"/>
      <c r="X27" s="21"/>
      <c r="Y27" s="21" t="s">
        <v>28</v>
      </c>
    </row>
    <row r="28" customFormat="false" ht="15.75" hidden="false" customHeight="false" outlineLevel="0" collapsed="false">
      <c r="A28" s="24" t="n">
        <v>7657</v>
      </c>
      <c r="B28" s="54" t="n">
        <v>45257</v>
      </c>
      <c r="C28" s="12" t="s">
        <v>23</v>
      </c>
      <c r="D28" s="21" t="s">
        <v>24</v>
      </c>
      <c r="E28" s="21" t="s">
        <v>34</v>
      </c>
      <c r="F28" s="21" t="s">
        <v>1234</v>
      </c>
      <c r="G28" s="30"/>
      <c r="H28" s="31"/>
      <c r="I28" s="21"/>
      <c r="J28" s="21"/>
      <c r="K28" s="21"/>
      <c r="L28" s="21"/>
      <c r="M28" s="21"/>
      <c r="N28" s="21"/>
      <c r="O28" s="30"/>
      <c r="P28" s="21"/>
      <c r="Q28" s="21"/>
      <c r="R28" s="21"/>
      <c r="S28" s="32"/>
      <c r="T28" s="32"/>
      <c r="U28" s="21"/>
      <c r="V28" s="21"/>
      <c r="W28" s="21"/>
      <c r="X28" s="21"/>
      <c r="Y28" s="21" t="s">
        <v>28</v>
      </c>
    </row>
    <row r="29" customFormat="false" ht="15.75" hidden="false" customHeight="false" outlineLevel="0" collapsed="false">
      <c r="A29" s="24" t="n">
        <v>7658</v>
      </c>
      <c r="B29" s="29" t="n">
        <v>45260</v>
      </c>
      <c r="C29" s="21" t="s">
        <v>1235</v>
      </c>
      <c r="D29" s="21" t="s">
        <v>24</v>
      </c>
      <c r="E29" s="21" t="s">
        <v>34</v>
      </c>
      <c r="F29" s="21" t="s">
        <v>1236</v>
      </c>
      <c r="G29" s="30"/>
      <c r="H29" s="31"/>
      <c r="I29" s="21"/>
      <c r="J29" s="21"/>
      <c r="K29" s="21"/>
      <c r="L29" s="21"/>
      <c r="M29" s="21"/>
      <c r="N29" s="21"/>
      <c r="O29" s="30"/>
      <c r="P29" s="21"/>
      <c r="Q29" s="21"/>
      <c r="R29" s="21"/>
      <c r="S29" s="32"/>
      <c r="T29" s="32"/>
      <c r="U29" s="21"/>
      <c r="V29" s="21"/>
      <c r="W29" s="21"/>
      <c r="X29" s="21"/>
      <c r="Y29" s="21" t="s">
        <v>28</v>
      </c>
    </row>
    <row r="30" customFormat="false" ht="15.75" hidden="false" customHeight="false" outlineLevel="0" collapsed="false">
      <c r="A30" s="24"/>
      <c r="B30" s="29"/>
      <c r="C30" s="21"/>
      <c r="D30" s="21"/>
      <c r="E30" s="21"/>
      <c r="F30" s="21"/>
      <c r="G30" s="30"/>
      <c r="H30" s="31"/>
      <c r="I30" s="21"/>
      <c r="J30" s="21"/>
      <c r="K30" s="21"/>
      <c r="L30" s="21"/>
      <c r="M30" s="21"/>
      <c r="N30" s="21"/>
      <c r="O30" s="30"/>
      <c r="P30" s="21"/>
      <c r="Q30" s="21"/>
      <c r="R30" s="21"/>
      <c r="S30" s="32"/>
      <c r="T30" s="32"/>
      <c r="U30" s="21"/>
      <c r="V30" s="21"/>
      <c r="W30" s="21"/>
      <c r="X30" s="21"/>
      <c r="Y30" s="21"/>
    </row>
    <row r="31" customFormat="false" ht="15.75" hidden="false" customHeight="false" outlineLevel="0" collapsed="false">
      <c r="A31" s="24"/>
      <c r="B31" s="29"/>
      <c r="C31" s="21"/>
      <c r="D31" s="21"/>
      <c r="E31" s="21"/>
      <c r="F31" s="21"/>
      <c r="G31" s="30"/>
      <c r="H31" s="31"/>
      <c r="I31" s="21"/>
      <c r="J31" s="21"/>
      <c r="K31" s="21"/>
      <c r="L31" s="21"/>
      <c r="M31" s="21"/>
      <c r="N31" s="21"/>
      <c r="O31" s="30"/>
      <c r="P31" s="21"/>
      <c r="Q31" s="21"/>
      <c r="R31" s="21"/>
      <c r="S31" s="32"/>
      <c r="T31" s="32"/>
      <c r="U31" s="21"/>
      <c r="V31" s="21"/>
      <c r="W31" s="21"/>
      <c r="X31" s="21"/>
      <c r="Y31" s="21"/>
    </row>
    <row r="32" customFormat="false" ht="15.75" hidden="false" customHeight="false" outlineLevel="0" collapsed="false">
      <c r="A32" s="24"/>
      <c r="B32" s="29"/>
      <c r="C32" s="21"/>
      <c r="D32" s="21"/>
      <c r="E32" s="21"/>
      <c r="F32" s="21"/>
      <c r="G32" s="30"/>
      <c r="H32" s="31"/>
      <c r="I32" s="21"/>
      <c r="J32" s="21"/>
      <c r="K32" s="21"/>
      <c r="L32" s="21"/>
      <c r="M32" s="21"/>
      <c r="N32" s="21"/>
      <c r="O32" s="30"/>
      <c r="P32" s="21"/>
      <c r="Q32" s="21"/>
      <c r="R32" s="21"/>
      <c r="S32" s="32"/>
      <c r="T32" s="32"/>
      <c r="U32" s="21"/>
      <c r="V32" s="21"/>
      <c r="W32" s="21"/>
      <c r="X32" s="21"/>
      <c r="Y32" s="21"/>
    </row>
    <row r="33" customFormat="false" ht="15.75" hidden="false" customHeight="false" outlineLevel="0" collapsed="false">
      <c r="A33" s="24"/>
      <c r="B33" s="29"/>
      <c r="C33" s="21"/>
      <c r="D33" s="21"/>
      <c r="E33" s="21"/>
      <c r="F33" s="21"/>
      <c r="G33" s="30"/>
      <c r="H33" s="31"/>
      <c r="I33" s="21"/>
      <c r="J33" s="21"/>
      <c r="K33" s="21"/>
      <c r="L33" s="21"/>
      <c r="M33" s="21"/>
      <c r="N33" s="21"/>
      <c r="O33" s="30"/>
      <c r="P33" s="21"/>
      <c r="Q33" s="21"/>
      <c r="R33" s="21"/>
      <c r="S33" s="32"/>
      <c r="T33" s="32"/>
      <c r="U33" s="21"/>
      <c r="V33" s="21"/>
      <c r="W33" s="21"/>
      <c r="X33" s="21"/>
      <c r="Y33" s="21"/>
    </row>
    <row r="34" customFormat="false" ht="15.75" hidden="false" customHeight="false" outlineLevel="0" collapsed="false">
      <c r="A34" s="24"/>
      <c r="B34" s="29"/>
      <c r="C34" s="21"/>
      <c r="D34" s="21"/>
      <c r="E34" s="21"/>
      <c r="F34" s="21"/>
      <c r="G34" s="30"/>
      <c r="H34" s="31"/>
      <c r="I34" s="21"/>
      <c r="J34" s="21"/>
      <c r="K34" s="21"/>
      <c r="L34" s="21"/>
      <c r="M34" s="21"/>
      <c r="N34" s="21"/>
      <c r="O34" s="30"/>
      <c r="P34" s="21"/>
      <c r="Q34" s="21"/>
      <c r="R34" s="21"/>
      <c r="S34" s="32"/>
      <c r="T34" s="32"/>
      <c r="U34" s="21"/>
      <c r="V34" s="21"/>
      <c r="W34" s="21"/>
      <c r="X34" s="21"/>
      <c r="Y34" s="21"/>
    </row>
    <row r="35" customFormat="false" ht="15.75" hidden="false" customHeight="false" outlineLevel="0" collapsed="false">
      <c r="A35" s="24"/>
      <c r="B35" s="29"/>
      <c r="C35" s="21"/>
      <c r="D35" s="21"/>
      <c r="E35" s="21"/>
      <c r="F35" s="21"/>
      <c r="G35" s="30"/>
      <c r="H35" s="31"/>
      <c r="I35" s="21"/>
      <c r="J35" s="21"/>
      <c r="K35" s="21"/>
      <c r="L35" s="21"/>
      <c r="M35" s="21"/>
      <c r="N35" s="21"/>
      <c r="O35" s="30"/>
      <c r="P35" s="21"/>
      <c r="Q35" s="21"/>
      <c r="R35" s="21"/>
      <c r="S35" s="32"/>
      <c r="T35" s="32"/>
      <c r="U35" s="21"/>
      <c r="V35" s="21"/>
      <c r="W35" s="21"/>
      <c r="X35" s="21"/>
      <c r="Y35" s="21"/>
    </row>
    <row r="36" customFormat="false" ht="15.75" hidden="false" customHeight="false" outlineLevel="0" collapsed="false">
      <c r="A36" s="24"/>
      <c r="B36" s="29"/>
      <c r="C36" s="21"/>
      <c r="D36" s="21"/>
      <c r="E36" s="21"/>
      <c r="F36" s="21"/>
      <c r="G36" s="30"/>
      <c r="H36" s="31"/>
      <c r="I36" s="21"/>
      <c r="J36" s="21"/>
      <c r="K36" s="21"/>
      <c r="L36" s="21"/>
      <c r="M36" s="21"/>
      <c r="N36" s="21"/>
      <c r="O36" s="30"/>
      <c r="P36" s="21"/>
      <c r="Q36" s="21"/>
      <c r="R36" s="21"/>
      <c r="S36" s="32"/>
      <c r="T36" s="32"/>
      <c r="U36" s="21"/>
      <c r="V36" s="21"/>
      <c r="W36" s="21"/>
      <c r="X36" s="21"/>
      <c r="Y36" s="21"/>
    </row>
    <row r="37" customFormat="false" ht="15.75" hidden="false" customHeight="false" outlineLevel="0" collapsed="false">
      <c r="A37" s="24"/>
      <c r="B37" s="29"/>
      <c r="C37" s="21"/>
      <c r="D37" s="21"/>
      <c r="E37" s="21"/>
      <c r="F37" s="21"/>
      <c r="G37" s="30"/>
      <c r="H37" s="31"/>
      <c r="I37" s="21"/>
      <c r="J37" s="21"/>
      <c r="K37" s="21"/>
      <c r="L37" s="21"/>
      <c r="M37" s="21"/>
      <c r="N37" s="21"/>
      <c r="O37" s="30"/>
      <c r="P37" s="21"/>
      <c r="Q37" s="21"/>
      <c r="R37" s="21"/>
      <c r="S37" s="32"/>
      <c r="T37" s="32"/>
      <c r="U37" s="21"/>
      <c r="V37" s="21"/>
      <c r="W37" s="21"/>
      <c r="X37" s="21"/>
      <c r="Y37" s="21"/>
    </row>
    <row r="38" customFormat="false" ht="15.75" hidden="false" customHeight="false" outlineLevel="0" collapsed="false">
      <c r="A38" s="24"/>
      <c r="B38" s="29"/>
      <c r="C38" s="21"/>
      <c r="D38" s="21"/>
      <c r="E38" s="21"/>
      <c r="F38" s="21"/>
      <c r="G38" s="30"/>
      <c r="H38" s="31"/>
      <c r="I38" s="21"/>
      <c r="J38" s="21"/>
      <c r="K38" s="21"/>
      <c r="L38" s="21"/>
      <c r="M38" s="21"/>
      <c r="N38" s="21"/>
      <c r="O38" s="30"/>
      <c r="P38" s="21"/>
      <c r="Q38" s="21"/>
      <c r="R38" s="21"/>
      <c r="S38" s="32"/>
      <c r="T38" s="32"/>
      <c r="U38" s="21"/>
      <c r="V38" s="21"/>
      <c r="W38" s="21"/>
      <c r="X38" s="21"/>
      <c r="Y38" s="21"/>
    </row>
    <row r="39" customFormat="false" ht="15.75" hidden="false" customHeight="false" outlineLevel="0" collapsed="false">
      <c r="A39" s="53"/>
      <c r="B39" s="29"/>
      <c r="C39" s="21"/>
      <c r="D39" s="21"/>
      <c r="E39" s="21"/>
      <c r="F39" s="21"/>
      <c r="G39" s="30"/>
      <c r="H39" s="31"/>
      <c r="I39" s="21"/>
      <c r="J39" s="21"/>
      <c r="K39" s="21"/>
      <c r="L39" s="21"/>
      <c r="M39" s="21"/>
      <c r="N39" s="21"/>
      <c r="O39" s="30"/>
      <c r="P39" s="21"/>
      <c r="Q39" s="21"/>
      <c r="R39" s="21"/>
      <c r="S39" s="32"/>
      <c r="T39" s="32"/>
      <c r="U39" s="21"/>
      <c r="V39" s="21"/>
      <c r="W39" s="21"/>
      <c r="X39" s="21"/>
      <c r="Y39" s="21"/>
    </row>
    <row r="40" customFormat="false" ht="15.75" hidden="false" customHeight="false" outlineLevel="0" collapsed="false">
      <c r="A40" s="24"/>
      <c r="B40" s="29"/>
      <c r="C40" s="21"/>
      <c r="D40" s="21"/>
      <c r="E40" s="21"/>
      <c r="F40" s="21"/>
      <c r="G40" s="30"/>
      <c r="H40" s="31"/>
      <c r="I40" s="21"/>
      <c r="J40" s="21"/>
      <c r="K40" s="21"/>
      <c r="L40" s="21"/>
      <c r="M40" s="21"/>
      <c r="N40" s="21"/>
      <c r="O40" s="30"/>
      <c r="P40" s="21"/>
      <c r="Q40" s="21"/>
      <c r="R40" s="21"/>
      <c r="S40" s="32"/>
      <c r="T40" s="32"/>
      <c r="U40" s="21"/>
      <c r="V40" s="21"/>
      <c r="W40" s="21"/>
      <c r="X40" s="21"/>
      <c r="Y40" s="21"/>
    </row>
    <row r="41" customFormat="false" ht="15.75" hidden="false" customHeight="false" outlineLevel="0" collapsed="false">
      <c r="A41" s="24"/>
      <c r="B41" s="29"/>
      <c r="C41" s="21"/>
      <c r="D41" s="21"/>
      <c r="E41" s="21"/>
      <c r="F41" s="21"/>
      <c r="G41" s="30"/>
      <c r="H41" s="31"/>
      <c r="I41" s="21"/>
      <c r="J41" s="21"/>
      <c r="K41" s="21"/>
      <c r="L41" s="21"/>
      <c r="M41" s="21"/>
      <c r="N41" s="21"/>
      <c r="O41" s="30"/>
      <c r="P41" s="21"/>
      <c r="Q41" s="21"/>
      <c r="R41" s="21"/>
      <c r="S41" s="32"/>
      <c r="T41" s="32"/>
      <c r="U41" s="21"/>
      <c r="V41" s="21"/>
      <c r="W41" s="21"/>
      <c r="X41" s="21"/>
      <c r="Y41" s="21"/>
    </row>
    <row r="42" customFormat="false" ht="15.75" hidden="false" customHeight="false" outlineLevel="0" collapsed="false">
      <c r="A42" s="24"/>
      <c r="B42" s="4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</row>
    <row r="43" customFormat="false" ht="15.75" hidden="false" customHeight="false" outlineLevel="0" collapsed="false">
      <c r="A43" s="19"/>
      <c r="B43" s="14"/>
      <c r="C43" s="16"/>
      <c r="D43" s="21"/>
      <c r="E43" s="25"/>
      <c r="F43" s="25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</row>
    <row r="44" customFormat="false" ht="15.75" hidden="false" customHeight="false" outlineLevel="0" collapsed="false">
      <c r="A44" s="19"/>
      <c r="B44" s="14"/>
      <c r="C44" s="16"/>
      <c r="D44" s="16"/>
      <c r="E44" s="25"/>
      <c r="F44" s="25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</row>
    <row r="45" customFormat="false" ht="15.75" hidden="false" customHeight="false" outlineLevel="0" collapsed="false">
      <c r="A45" s="19"/>
      <c r="B45" s="14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</row>
    <row r="46" customFormat="false" ht="15.75" hidden="false" customHeight="false" outlineLevel="0" collapsed="false">
      <c r="A46" s="19"/>
      <c r="B46" s="14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</row>
    <row r="47" customFormat="false" ht="15.75" hidden="false" customHeight="false" outlineLevel="0" collapsed="false">
      <c r="A47" s="42"/>
      <c r="B47" s="14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</row>
    <row r="48" customFormat="false" ht="15.75" hidden="false" customHeight="false" outlineLevel="0" collapsed="false">
      <c r="A48" s="19"/>
      <c r="B48" s="14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</row>
    <row r="49" customFormat="false" ht="15.75" hidden="false" customHeight="false" outlineLevel="0" collapsed="false">
      <c r="A49" s="19"/>
      <c r="B49" s="14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</row>
    <row r="50" customFormat="false" ht="15.75" hidden="false" customHeight="false" outlineLevel="0" collapsed="false">
      <c r="A50" s="19"/>
      <c r="B50" s="14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</row>
    <row r="51" customFormat="false" ht="15.75" hidden="false" customHeight="false" outlineLevel="0" collapsed="false">
      <c r="A51" s="19"/>
      <c r="B51" s="14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</row>
    <row r="52" customFormat="false" ht="15.75" hidden="false" customHeight="false" outlineLevel="0" collapsed="false">
      <c r="A52" s="19"/>
      <c r="B52" s="14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</row>
    <row r="53" customFormat="false" ht="15.75" hidden="false" customHeight="false" outlineLevel="0" collapsed="false">
      <c r="A53" s="19"/>
      <c r="B53" s="14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</row>
    <row r="54" customFormat="false" ht="15.75" hidden="false" customHeight="false" outlineLevel="0" collapsed="false">
      <c r="A54" s="19"/>
      <c r="B54" s="14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</row>
    <row r="55" customFormat="false" ht="15.75" hidden="false" customHeight="false" outlineLevel="0" collapsed="false">
      <c r="A55" s="19"/>
      <c r="B55" s="14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</row>
    <row r="56" customFormat="false" ht="15.75" hidden="false" customHeight="false" outlineLevel="0" collapsed="false">
      <c r="A56" s="19"/>
      <c r="B56" s="14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</row>
    <row r="57" customFormat="false" ht="15.75" hidden="false" customHeight="false" outlineLevel="0" collapsed="false">
      <c r="A57" s="19"/>
      <c r="B57" s="14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</row>
    <row r="58" customFormat="false" ht="15.75" hidden="false" customHeight="false" outlineLevel="0" collapsed="false">
      <c r="A58" s="42"/>
      <c r="B58" s="14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</row>
    <row r="59" customFormat="false" ht="15.75" hidden="false" customHeight="false" outlineLevel="0" collapsed="false">
      <c r="A59" s="24"/>
      <c r="B59" s="49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S59" s="25"/>
      <c r="T59" s="25"/>
      <c r="U59" s="25"/>
      <c r="V59" s="25"/>
      <c r="W59" s="25"/>
      <c r="X59" s="25"/>
      <c r="Y59" s="25"/>
    </row>
    <row r="60" customFormat="false" ht="15.75" hidden="false" customHeight="false" outlineLevel="0" collapsed="false">
      <c r="A60" s="19"/>
      <c r="B60" s="14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S60" s="16"/>
      <c r="T60" s="16"/>
      <c r="U60" s="16"/>
      <c r="V60" s="16"/>
      <c r="W60" s="16"/>
      <c r="X60" s="16"/>
      <c r="Y60" s="16"/>
    </row>
    <row r="61" customFormat="false" ht="15.75" hidden="false" customHeight="false" outlineLevel="0" collapsed="false">
      <c r="A61" s="19"/>
      <c r="B61" s="14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</row>
    <row r="62" customFormat="false" ht="15.75" hidden="false" customHeight="false" outlineLevel="0" collapsed="false">
      <c r="A62" s="19"/>
      <c r="B62" s="14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</row>
    <row r="63" customFormat="false" ht="15.75" hidden="false" customHeight="false" outlineLevel="0" collapsed="false">
      <c r="A63" s="19"/>
      <c r="B63" s="14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</row>
    <row r="64" customFormat="false" ht="15.75" hidden="false" customHeight="false" outlineLevel="0" collapsed="false">
      <c r="A64" s="19"/>
      <c r="B64" s="14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</row>
    <row r="65" customFormat="false" ht="15.75" hidden="false" customHeight="false" outlineLevel="0" collapsed="false">
      <c r="A65" s="19"/>
      <c r="B65" s="14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</row>
    <row r="66" customFormat="false" ht="15.75" hidden="false" customHeight="false" outlineLevel="0" collapsed="false">
      <c r="A66" s="19"/>
      <c r="B66" s="14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</row>
    <row r="67" customFormat="false" ht="15.75" hidden="false" customHeight="false" outlineLevel="0" collapsed="false">
      <c r="A67" s="19"/>
      <c r="B67" s="14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</row>
    <row r="68" customFormat="false" ht="15.75" hidden="false" customHeight="false" outlineLevel="0" collapsed="false">
      <c r="A68" s="42"/>
      <c r="B68" s="14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</row>
    <row r="69" customFormat="false" ht="15.75" hidden="false" customHeight="false" outlineLevel="0" collapsed="false">
      <c r="A69" s="53"/>
      <c r="B69" s="29"/>
      <c r="C69" s="21"/>
      <c r="D69" s="21"/>
      <c r="E69" s="21"/>
      <c r="F69" s="21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</row>
    <row r="70" customFormat="false" ht="15.75" hidden="false" customHeight="false" outlineLevel="0" collapsed="false">
      <c r="A70" s="19"/>
      <c r="B70" s="14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</row>
    <row r="71" customFormat="false" ht="15.75" hidden="false" customHeight="false" outlineLevel="0" collapsed="false">
      <c r="A71" s="19"/>
      <c r="B71" s="14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</row>
    <row r="72" customFormat="false" ht="15.75" hidden="false" customHeight="false" outlineLevel="0" collapsed="false">
      <c r="A72" s="19"/>
      <c r="B72" s="14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</row>
    <row r="73" customFormat="false" ht="15.75" hidden="false" customHeight="false" outlineLevel="0" collapsed="false">
      <c r="A73" s="19"/>
      <c r="B73" s="14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T73" s="16"/>
      <c r="U73" s="16"/>
      <c r="V73" s="16"/>
      <c r="W73" s="16"/>
      <c r="X73" s="16"/>
      <c r="Y73" s="16"/>
    </row>
    <row r="74" customFormat="false" ht="15.75" hidden="false" customHeight="false" outlineLevel="0" collapsed="false">
      <c r="A74" s="19"/>
      <c r="B74" s="14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</row>
    <row r="75" customFormat="false" ht="15.75" hidden="false" customHeight="false" outlineLevel="0" collapsed="false">
      <c r="A75" s="19"/>
      <c r="B75" s="14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</row>
    <row r="76" customFormat="false" ht="15.75" hidden="false" customHeight="false" outlineLevel="0" collapsed="false">
      <c r="A76" s="24"/>
      <c r="B76" s="49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50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</row>
    <row r="77" customFormat="false" ht="15.75" hidden="false" customHeight="false" outlineLevel="0" collapsed="false">
      <c r="A77" s="19"/>
      <c r="B77" s="14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23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</row>
    <row r="78" customFormat="false" ht="15.75" hidden="false" customHeight="false" outlineLevel="0" collapsed="false">
      <c r="A78" s="19"/>
      <c r="B78" s="14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</row>
    <row r="79" customFormat="false" ht="15.75" hidden="false" customHeight="false" outlineLevel="0" collapsed="false">
      <c r="A79" s="19"/>
      <c r="B79" s="14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</row>
    <row r="80" customFormat="false" ht="15.75" hidden="false" customHeight="false" outlineLevel="0" collapsed="false">
      <c r="A80" s="19"/>
      <c r="B80" s="14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</row>
    <row r="81" customFormat="false" ht="15.75" hidden="false" customHeight="false" outlineLevel="0" collapsed="false">
      <c r="A81" s="19"/>
      <c r="B81" s="14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</row>
    <row r="82" customFormat="false" ht="15.75" hidden="false" customHeight="false" outlineLevel="0" collapsed="false">
      <c r="A82" s="42"/>
      <c r="B82" s="14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</row>
    <row r="83" customFormat="false" ht="15.75" hidden="false" customHeight="false" outlineLevel="0" collapsed="false">
      <c r="A83" s="19"/>
      <c r="B83" s="14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</row>
    <row r="84" customFormat="false" ht="15.75" hidden="false" customHeight="false" outlineLevel="0" collapsed="false">
      <c r="A84" s="19"/>
      <c r="B84" s="14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</row>
    <row r="85" customFormat="false" ht="15.75" hidden="false" customHeight="false" outlineLevel="0" collapsed="false">
      <c r="A85" s="19"/>
      <c r="B85" s="14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</row>
    <row r="86" customFormat="false" ht="15.75" hidden="false" customHeight="false" outlineLevel="0" collapsed="false">
      <c r="A86" s="19"/>
      <c r="B86" s="14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</row>
    <row r="87" customFormat="false" ht="15.75" hidden="false" customHeight="false" outlineLevel="0" collapsed="false">
      <c r="A87" s="19"/>
      <c r="B87" s="14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</row>
    <row r="88" customFormat="false" ht="15.75" hidden="false" customHeight="false" outlineLevel="0" collapsed="false">
      <c r="A88" s="19"/>
      <c r="B88" s="14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</row>
    <row r="89" customFormat="false" ht="15.75" hidden="false" customHeight="false" outlineLevel="0" collapsed="false">
      <c r="A89" s="19"/>
      <c r="B89" s="14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</row>
    <row r="90" customFormat="false" ht="15.75" hidden="false" customHeight="false" outlineLevel="0" collapsed="false">
      <c r="A90" s="19"/>
      <c r="B90" s="14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</row>
    <row r="91" customFormat="false" ht="15.75" hidden="false" customHeight="false" outlineLevel="0" collapsed="false">
      <c r="A91" s="19"/>
      <c r="B91" s="14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</row>
    <row r="92" customFormat="false" ht="15.75" hidden="false" customHeight="false" outlineLevel="0" collapsed="false">
      <c r="A92" s="19"/>
      <c r="B92" s="14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</row>
    <row r="93" customFormat="false" ht="15.75" hidden="false" customHeight="false" outlineLevel="0" collapsed="false">
      <c r="A93" s="24"/>
      <c r="B93" s="14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</row>
    <row r="94" customFormat="false" ht="15.75" hidden="false" customHeight="false" outlineLevel="0" collapsed="false">
      <c r="A94" s="19"/>
      <c r="B94" s="14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</row>
    <row r="95" customFormat="false" ht="15.75" hidden="false" customHeight="false" outlineLevel="0" collapsed="false">
      <c r="A95" s="19"/>
      <c r="B95" s="14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</row>
    <row r="96" customFormat="false" ht="15.75" hidden="false" customHeight="false" outlineLevel="0" collapsed="false">
      <c r="A96" s="19"/>
      <c r="B96" s="14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</row>
    <row r="97" customFormat="false" ht="15.75" hidden="false" customHeight="false" outlineLevel="0" collapsed="false">
      <c r="A97" s="13"/>
      <c r="B97" s="14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</row>
    <row r="98" customFormat="false" ht="15.75" hidden="false" customHeight="false" outlineLevel="0" collapsed="false">
      <c r="A98" s="13"/>
      <c r="B98" s="14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</row>
    <row r="99" customFormat="false" ht="15.75" hidden="false" customHeight="false" outlineLevel="0" collapsed="false">
      <c r="A99" s="13"/>
      <c r="B99" s="14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</row>
    <row r="100" customFormat="false" ht="15.75" hidden="false" customHeight="false" outlineLevel="0" collapsed="false">
      <c r="A100" s="13"/>
      <c r="B100" s="14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</row>
    <row r="101" customFormat="false" ht="15.75" hidden="false" customHeight="false" outlineLevel="0" collapsed="false">
      <c r="A101" s="13"/>
      <c r="B101" s="14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</row>
    <row r="102" customFormat="false" ht="15.75" hidden="false" customHeight="false" outlineLevel="0" collapsed="false">
      <c r="A102" s="13"/>
      <c r="B102" s="14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</row>
    <row r="103" customFormat="false" ht="15.75" hidden="false" customHeight="false" outlineLevel="0" collapsed="false">
      <c r="A103" s="13"/>
      <c r="B103" s="14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</row>
    <row r="104" customFormat="false" ht="15.75" hidden="false" customHeight="false" outlineLevel="0" collapsed="false">
      <c r="A104" s="13"/>
      <c r="B104" s="14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</row>
    <row r="105" customFormat="false" ht="15.75" hidden="false" customHeight="false" outlineLevel="0" collapsed="false">
      <c r="A105" s="13"/>
      <c r="B105" s="14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</row>
    <row r="106" customFormat="false" ht="15.75" hidden="false" customHeight="false" outlineLevel="0" collapsed="false">
      <c r="A106" s="13"/>
      <c r="B106" s="14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</row>
    <row r="107" customFormat="false" ht="15.75" hidden="false" customHeight="false" outlineLevel="0" collapsed="false">
      <c r="A107" s="13"/>
      <c r="B107" s="14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</row>
    <row r="108" customFormat="false" ht="15.75" hidden="false" customHeight="false" outlineLevel="0" collapsed="false">
      <c r="A108" s="13"/>
      <c r="B108" s="14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</row>
    <row r="109" customFormat="false" ht="15.75" hidden="false" customHeight="false" outlineLevel="0" collapsed="false">
      <c r="A109" s="13"/>
      <c r="B109" s="14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</row>
    <row r="110" customFormat="false" ht="15.75" hidden="false" customHeight="false" outlineLevel="0" collapsed="false">
      <c r="A110" s="12"/>
      <c r="B110" s="34"/>
      <c r="C110" s="12"/>
      <c r="D110" s="12"/>
      <c r="E110" s="12"/>
      <c r="F110" s="12"/>
      <c r="G110" s="18"/>
      <c r="H110" s="35"/>
      <c r="I110" s="12"/>
      <c r="O110" s="18"/>
      <c r="P110" s="12"/>
      <c r="Q110" s="12"/>
      <c r="R110" s="12"/>
      <c r="S110" s="36"/>
      <c r="T110" s="36"/>
      <c r="U110" s="12"/>
      <c r="V110" s="12"/>
      <c r="W110" s="12"/>
      <c r="X110" s="12"/>
      <c r="Y110" s="12"/>
    </row>
    <row r="111" customFormat="false" ht="15.75" hidden="false" customHeight="false" outlineLevel="0" collapsed="false">
      <c r="A111" s="12"/>
      <c r="B111" s="34"/>
      <c r="C111" s="12"/>
      <c r="D111" s="12"/>
      <c r="E111" s="12"/>
      <c r="F111" s="12"/>
      <c r="G111" s="18"/>
      <c r="H111" s="35"/>
      <c r="I111" s="12"/>
      <c r="O111" s="18"/>
      <c r="P111" s="12"/>
      <c r="Q111" s="12"/>
      <c r="R111" s="12"/>
      <c r="S111" s="36"/>
      <c r="T111" s="36"/>
      <c r="U111" s="12"/>
      <c r="V111" s="12"/>
      <c r="W111" s="12"/>
      <c r="X111" s="12"/>
      <c r="Y111" s="12"/>
    </row>
    <row r="112" customFormat="false" ht="15.75" hidden="false" customHeight="false" outlineLevel="0" collapsed="false">
      <c r="A112" s="12"/>
      <c r="B112" s="34"/>
      <c r="C112" s="12"/>
      <c r="D112" s="12"/>
      <c r="E112" s="12"/>
      <c r="F112" s="12"/>
      <c r="G112" s="18"/>
      <c r="H112" s="35"/>
      <c r="I112" s="12"/>
      <c r="O112" s="18"/>
      <c r="P112" s="12"/>
      <c r="Q112" s="12"/>
      <c r="R112" s="12"/>
      <c r="S112" s="36"/>
      <c r="T112" s="36"/>
      <c r="U112" s="12"/>
      <c r="V112" s="12"/>
      <c r="W112" s="12"/>
      <c r="X112" s="12"/>
      <c r="Y112" s="12"/>
    </row>
    <row r="113" customFormat="false" ht="15.75" hidden="false" customHeight="false" outlineLevel="0" collapsed="false">
      <c r="A113" s="12"/>
      <c r="B113" s="34"/>
      <c r="C113" s="12"/>
      <c r="D113" s="12"/>
      <c r="E113" s="12"/>
      <c r="F113" s="12"/>
      <c r="G113" s="18"/>
      <c r="H113" s="35"/>
      <c r="I113" s="12"/>
      <c r="O113" s="18"/>
      <c r="P113" s="12"/>
      <c r="Q113" s="12"/>
      <c r="R113" s="12"/>
      <c r="S113" s="36"/>
      <c r="T113" s="36"/>
      <c r="U113" s="12"/>
      <c r="V113" s="12"/>
      <c r="W113" s="12"/>
      <c r="X113" s="12"/>
      <c r="Y113" s="12"/>
    </row>
    <row r="114" customFormat="false" ht="15.75" hidden="false" customHeight="false" outlineLevel="0" collapsed="false">
      <c r="A114" s="12"/>
      <c r="B114" s="34"/>
      <c r="C114" s="12"/>
      <c r="D114" s="12"/>
      <c r="E114" s="12"/>
      <c r="F114" s="12"/>
      <c r="G114" s="18"/>
      <c r="H114" s="35"/>
      <c r="I114" s="12"/>
      <c r="O114" s="18"/>
      <c r="P114" s="12"/>
      <c r="Q114" s="12"/>
      <c r="R114" s="12"/>
      <c r="S114" s="36"/>
      <c r="T114" s="36"/>
      <c r="U114" s="12"/>
      <c r="V114" s="12"/>
      <c r="W114" s="12"/>
      <c r="X114" s="12"/>
      <c r="Y114" s="12"/>
    </row>
    <row r="115" customFormat="false" ht="15.75" hidden="false" customHeight="false" outlineLevel="0" collapsed="false">
      <c r="A115" s="12"/>
      <c r="B115" s="34"/>
      <c r="C115" s="12"/>
      <c r="D115" s="12"/>
      <c r="E115" s="12"/>
      <c r="F115" s="12"/>
      <c r="G115" s="18"/>
      <c r="H115" s="35"/>
      <c r="I115" s="12"/>
      <c r="O115" s="18"/>
      <c r="P115" s="12"/>
      <c r="Q115" s="12"/>
      <c r="R115" s="12"/>
      <c r="S115" s="36"/>
      <c r="T115" s="36"/>
      <c r="U115" s="12"/>
      <c r="V115" s="12"/>
      <c r="W115" s="12"/>
      <c r="X115" s="12"/>
      <c r="Y115" s="12"/>
    </row>
    <row r="116" customFormat="false" ht="15.75" hidden="false" customHeight="false" outlineLevel="0" collapsed="false">
      <c r="A116" s="12"/>
      <c r="B116" s="34"/>
      <c r="C116" s="12"/>
      <c r="D116" s="12"/>
      <c r="E116" s="12"/>
      <c r="F116" s="12"/>
      <c r="G116" s="18"/>
      <c r="H116" s="35"/>
      <c r="I116" s="12"/>
      <c r="O116" s="18"/>
      <c r="P116" s="12"/>
      <c r="Q116" s="12"/>
      <c r="R116" s="12"/>
      <c r="S116" s="36"/>
      <c r="T116" s="36"/>
      <c r="U116" s="12"/>
      <c r="V116" s="12"/>
      <c r="W116" s="12"/>
      <c r="X116" s="12"/>
      <c r="Y116" s="12"/>
    </row>
    <row r="117" customFormat="false" ht="15.75" hidden="false" customHeight="false" outlineLevel="0" collapsed="false">
      <c r="A117" s="12"/>
      <c r="B117" s="34"/>
      <c r="C117" s="12"/>
      <c r="D117" s="12"/>
      <c r="E117" s="12"/>
      <c r="F117" s="12"/>
      <c r="G117" s="18"/>
      <c r="H117" s="35"/>
      <c r="I117" s="12"/>
      <c r="O117" s="18"/>
      <c r="P117" s="12"/>
      <c r="Q117" s="12"/>
      <c r="R117" s="12"/>
      <c r="S117" s="36"/>
      <c r="T117" s="36"/>
      <c r="U117" s="12"/>
      <c r="V117" s="12"/>
      <c r="W117" s="12"/>
      <c r="X117" s="12"/>
      <c r="Y117" s="12"/>
    </row>
    <row r="118" customFormat="false" ht="15.75" hidden="false" customHeight="false" outlineLevel="0" collapsed="false">
      <c r="A118" s="12"/>
      <c r="B118" s="34"/>
      <c r="C118" s="12"/>
      <c r="D118" s="12"/>
      <c r="E118" s="12"/>
      <c r="F118" s="12"/>
      <c r="G118" s="18"/>
      <c r="H118" s="35"/>
      <c r="I118" s="12"/>
      <c r="O118" s="18"/>
      <c r="P118" s="12"/>
      <c r="Q118" s="12"/>
      <c r="R118" s="12"/>
      <c r="S118" s="36"/>
      <c r="T118" s="36"/>
      <c r="U118" s="12"/>
      <c r="V118" s="12"/>
      <c r="W118" s="12"/>
      <c r="X118" s="12"/>
      <c r="Y118" s="12"/>
    </row>
    <row r="119" customFormat="false" ht="15.75" hidden="false" customHeight="false" outlineLevel="0" collapsed="false">
      <c r="A119" s="12"/>
      <c r="B119" s="34"/>
      <c r="C119" s="12"/>
      <c r="D119" s="12"/>
      <c r="E119" s="12"/>
      <c r="F119" s="12"/>
      <c r="G119" s="18"/>
      <c r="H119" s="35"/>
      <c r="I119" s="12"/>
      <c r="O119" s="18"/>
      <c r="P119" s="12"/>
      <c r="Q119" s="12"/>
      <c r="R119" s="12"/>
      <c r="S119" s="36"/>
      <c r="T119" s="36"/>
      <c r="U119" s="12"/>
      <c r="V119" s="12"/>
      <c r="W119" s="12"/>
      <c r="X119" s="12"/>
      <c r="Y119" s="12"/>
    </row>
    <row r="120" customFormat="false" ht="15.75" hidden="false" customHeight="false" outlineLevel="0" collapsed="false">
      <c r="A120" s="12"/>
      <c r="B120" s="34"/>
      <c r="C120" s="12"/>
      <c r="D120" s="12"/>
      <c r="E120" s="12"/>
      <c r="F120" s="12"/>
      <c r="G120" s="18"/>
      <c r="H120" s="35"/>
      <c r="I120" s="12"/>
      <c r="O120" s="18"/>
      <c r="P120" s="12"/>
      <c r="Q120" s="12"/>
      <c r="R120" s="12"/>
      <c r="S120" s="36"/>
      <c r="T120" s="36"/>
      <c r="U120" s="12"/>
      <c r="V120" s="12"/>
      <c r="W120" s="12"/>
      <c r="X120" s="12"/>
      <c r="Y120" s="12"/>
    </row>
    <row r="121" customFormat="false" ht="15.75" hidden="false" customHeight="false" outlineLevel="0" collapsed="false">
      <c r="A121" s="12"/>
      <c r="B121" s="34"/>
      <c r="C121" s="12"/>
      <c r="D121" s="12"/>
      <c r="E121" s="12"/>
      <c r="F121" s="12"/>
      <c r="G121" s="18"/>
      <c r="H121" s="35"/>
      <c r="I121" s="12"/>
      <c r="O121" s="18"/>
      <c r="P121" s="12"/>
      <c r="Q121" s="12"/>
      <c r="R121" s="12"/>
      <c r="S121" s="36"/>
      <c r="T121" s="36"/>
      <c r="U121" s="12"/>
      <c r="V121" s="12"/>
      <c r="W121" s="12"/>
      <c r="X121" s="12"/>
      <c r="Y121" s="12"/>
    </row>
    <row r="122" customFormat="false" ht="15.75" hidden="false" customHeight="false" outlineLevel="0" collapsed="false">
      <c r="A122" s="12"/>
      <c r="B122" s="34"/>
      <c r="C122" s="12"/>
      <c r="D122" s="12"/>
      <c r="E122" s="12"/>
      <c r="F122" s="12"/>
      <c r="G122" s="18"/>
      <c r="H122" s="35"/>
      <c r="I122" s="12"/>
      <c r="O122" s="18"/>
      <c r="P122" s="12"/>
      <c r="Q122" s="12"/>
      <c r="R122" s="12"/>
      <c r="S122" s="36"/>
      <c r="T122" s="36"/>
      <c r="U122" s="12"/>
      <c r="V122" s="12"/>
      <c r="W122" s="12"/>
      <c r="X122" s="12"/>
      <c r="Y122" s="12"/>
    </row>
    <row r="123" customFormat="false" ht="15.75" hidden="false" customHeight="false" outlineLevel="0" collapsed="false">
      <c r="A123" s="12"/>
      <c r="B123" s="34"/>
      <c r="C123" s="12"/>
      <c r="D123" s="12"/>
      <c r="E123" s="12"/>
      <c r="F123" s="12"/>
      <c r="G123" s="18"/>
      <c r="H123" s="35"/>
      <c r="I123" s="12"/>
      <c r="O123" s="18"/>
      <c r="P123" s="12"/>
      <c r="Q123" s="12"/>
      <c r="R123" s="12"/>
      <c r="S123" s="36"/>
      <c r="T123" s="36"/>
      <c r="U123" s="12"/>
      <c r="V123" s="12"/>
      <c r="W123" s="12"/>
      <c r="X123" s="12"/>
      <c r="Y123" s="12"/>
    </row>
    <row r="124" customFormat="false" ht="15.75" hidden="false" customHeight="false" outlineLevel="0" collapsed="false">
      <c r="A124" s="12"/>
      <c r="B124" s="34"/>
      <c r="C124" s="12"/>
      <c r="D124" s="12"/>
      <c r="E124" s="12"/>
      <c r="F124" s="12"/>
      <c r="G124" s="18"/>
      <c r="H124" s="35"/>
      <c r="I124" s="12"/>
      <c r="O124" s="18"/>
      <c r="P124" s="12"/>
      <c r="Q124" s="12"/>
      <c r="R124" s="12"/>
      <c r="S124" s="36"/>
      <c r="T124" s="36"/>
      <c r="U124" s="12"/>
      <c r="V124" s="12"/>
      <c r="W124" s="12"/>
      <c r="X124" s="12"/>
      <c r="Y124" s="12"/>
    </row>
    <row r="125" customFormat="false" ht="15.75" hidden="false" customHeight="false" outlineLevel="0" collapsed="false">
      <c r="A125" s="12"/>
      <c r="B125" s="34"/>
      <c r="C125" s="12"/>
      <c r="D125" s="12"/>
      <c r="E125" s="12"/>
      <c r="F125" s="12"/>
      <c r="G125" s="18"/>
      <c r="H125" s="35"/>
      <c r="I125" s="12"/>
      <c r="O125" s="18"/>
      <c r="P125" s="12"/>
      <c r="Q125" s="12"/>
      <c r="R125" s="12"/>
      <c r="S125" s="36"/>
      <c r="T125" s="36"/>
      <c r="U125" s="12"/>
      <c r="V125" s="12"/>
      <c r="W125" s="12"/>
      <c r="X125" s="12"/>
      <c r="Y125" s="12"/>
    </row>
    <row r="126" customFormat="false" ht="15.75" hidden="false" customHeight="false" outlineLevel="0" collapsed="false">
      <c r="A126" s="12"/>
      <c r="B126" s="34"/>
      <c r="C126" s="12"/>
      <c r="D126" s="12"/>
      <c r="E126" s="12"/>
      <c r="F126" s="12"/>
      <c r="G126" s="18"/>
      <c r="H126" s="35"/>
      <c r="I126" s="12"/>
      <c r="N126" s="12"/>
      <c r="O126" s="18"/>
      <c r="P126" s="12"/>
      <c r="Q126" s="12"/>
      <c r="R126" s="12"/>
      <c r="S126" s="36"/>
      <c r="T126" s="36"/>
      <c r="U126" s="12"/>
      <c r="V126" s="12"/>
      <c r="W126" s="12"/>
      <c r="X126" s="12"/>
      <c r="Y126" s="12"/>
    </row>
    <row r="127" customFormat="false" ht="15.75" hidden="false" customHeight="false" outlineLevel="0" collapsed="false">
      <c r="A127" s="12"/>
      <c r="B127" s="34"/>
      <c r="C127" s="12"/>
      <c r="D127" s="12"/>
      <c r="E127" s="12"/>
      <c r="F127" s="12"/>
      <c r="G127" s="18"/>
      <c r="H127" s="35"/>
      <c r="I127" s="12"/>
      <c r="N127" s="12"/>
      <c r="O127" s="18"/>
      <c r="P127" s="12"/>
      <c r="Q127" s="12"/>
      <c r="R127" s="12"/>
      <c r="S127" s="36"/>
      <c r="T127" s="36"/>
      <c r="U127" s="12"/>
      <c r="V127" s="12"/>
      <c r="W127" s="12"/>
      <c r="X127" s="12"/>
      <c r="Y127" s="12"/>
    </row>
    <row r="128" customFormat="false" ht="15.75" hidden="false" customHeight="false" outlineLevel="0" collapsed="false">
      <c r="A128" s="12"/>
      <c r="B128" s="34"/>
      <c r="C128" s="12"/>
      <c r="D128" s="12"/>
      <c r="E128" s="12"/>
      <c r="F128" s="12"/>
      <c r="G128" s="18"/>
      <c r="H128" s="35"/>
      <c r="I128" s="12"/>
      <c r="N128" s="12"/>
      <c r="O128" s="18"/>
      <c r="P128" s="12"/>
      <c r="Q128" s="12"/>
      <c r="R128" s="12"/>
      <c r="S128" s="36"/>
      <c r="T128" s="36"/>
      <c r="U128" s="12"/>
      <c r="V128" s="12"/>
      <c r="W128" s="12"/>
      <c r="X128" s="12"/>
      <c r="Y128" s="12"/>
    </row>
    <row r="129" customFormat="false" ht="15.75" hidden="false" customHeight="false" outlineLevel="0" collapsed="false">
      <c r="A129" s="12"/>
      <c r="B129" s="34"/>
      <c r="C129" s="12"/>
      <c r="D129" s="12"/>
      <c r="E129" s="12"/>
      <c r="F129" s="12"/>
      <c r="G129" s="18"/>
      <c r="H129" s="35"/>
      <c r="I129" s="12"/>
      <c r="N129" s="12"/>
      <c r="O129" s="18"/>
      <c r="P129" s="12"/>
      <c r="Q129" s="12"/>
      <c r="R129" s="12"/>
      <c r="S129" s="36"/>
      <c r="T129" s="36"/>
      <c r="U129" s="12"/>
      <c r="V129" s="12"/>
      <c r="W129" s="12"/>
      <c r="X129" s="12"/>
      <c r="Y129" s="12"/>
    </row>
    <row r="130" customFormat="false" ht="15.75" hidden="false" customHeight="false" outlineLevel="0" collapsed="false">
      <c r="A130" s="12"/>
      <c r="B130" s="34"/>
      <c r="C130" s="12"/>
      <c r="D130" s="12"/>
      <c r="E130" s="12"/>
      <c r="F130" s="12"/>
      <c r="G130" s="18"/>
      <c r="H130" s="35"/>
      <c r="I130" s="12"/>
      <c r="N130" s="12"/>
      <c r="O130" s="18"/>
      <c r="P130" s="12"/>
      <c r="Q130" s="12"/>
      <c r="R130" s="12"/>
      <c r="S130" s="36"/>
      <c r="T130" s="36"/>
      <c r="U130" s="12"/>
      <c r="V130" s="12"/>
      <c r="W130" s="12"/>
      <c r="X130" s="12"/>
      <c r="Y130" s="12"/>
    </row>
    <row r="131" customFormat="false" ht="15.75" hidden="false" customHeight="false" outlineLevel="0" collapsed="false">
      <c r="A131" s="12"/>
      <c r="B131" s="34"/>
      <c r="C131" s="12"/>
      <c r="D131" s="12"/>
      <c r="E131" s="12"/>
      <c r="F131" s="12"/>
      <c r="G131" s="18"/>
      <c r="H131" s="35"/>
      <c r="I131" s="12"/>
      <c r="N131" s="12"/>
      <c r="O131" s="18"/>
      <c r="P131" s="12"/>
      <c r="Q131" s="12"/>
      <c r="R131" s="12"/>
      <c r="S131" s="36"/>
      <c r="T131" s="36"/>
      <c r="U131" s="12"/>
      <c r="V131" s="12"/>
      <c r="W131" s="12"/>
      <c r="X131" s="12"/>
      <c r="Y131" s="12"/>
    </row>
    <row r="132" customFormat="false" ht="15.75" hidden="false" customHeight="false" outlineLevel="0" collapsed="false">
      <c r="A132" s="12"/>
      <c r="B132" s="34"/>
      <c r="C132" s="12"/>
      <c r="D132" s="12"/>
      <c r="E132" s="12"/>
      <c r="F132" s="12"/>
      <c r="G132" s="18"/>
      <c r="H132" s="35"/>
      <c r="I132" s="12"/>
      <c r="N132" s="12"/>
      <c r="O132" s="18"/>
      <c r="P132" s="12"/>
      <c r="Q132" s="12"/>
      <c r="R132" s="12"/>
      <c r="S132" s="36"/>
      <c r="T132" s="36"/>
      <c r="U132" s="12"/>
      <c r="V132" s="12"/>
      <c r="W132" s="12"/>
      <c r="X132" s="12"/>
      <c r="Y132" s="12"/>
    </row>
    <row r="133" customFormat="false" ht="15.75" hidden="false" customHeight="false" outlineLevel="0" collapsed="false">
      <c r="A133" s="12"/>
      <c r="B133" s="34"/>
      <c r="C133" s="12"/>
      <c r="D133" s="12"/>
      <c r="E133" s="12"/>
      <c r="F133" s="12"/>
      <c r="G133" s="18"/>
      <c r="H133" s="35"/>
      <c r="I133" s="12"/>
      <c r="N133" s="12"/>
      <c r="O133" s="18"/>
      <c r="P133" s="12"/>
      <c r="Q133" s="12"/>
      <c r="R133" s="12"/>
      <c r="S133" s="36"/>
      <c r="T133" s="36"/>
      <c r="U133" s="12"/>
      <c r="V133" s="12"/>
      <c r="W133" s="12"/>
      <c r="X133" s="12"/>
      <c r="Y133" s="12"/>
    </row>
    <row r="134" customFormat="false" ht="15.75" hidden="false" customHeight="false" outlineLevel="0" collapsed="false">
      <c r="A134" s="12"/>
      <c r="B134" s="34"/>
      <c r="C134" s="12"/>
      <c r="D134" s="12"/>
      <c r="E134" s="12"/>
      <c r="F134" s="12"/>
      <c r="G134" s="18"/>
      <c r="H134" s="35"/>
      <c r="I134" s="12"/>
      <c r="N134" s="12"/>
      <c r="O134" s="18"/>
      <c r="P134" s="12"/>
      <c r="Q134" s="12"/>
      <c r="R134" s="12"/>
      <c r="S134" s="36"/>
      <c r="T134" s="36"/>
      <c r="U134" s="12"/>
      <c r="V134" s="12"/>
      <c r="W134" s="12"/>
      <c r="X134" s="12"/>
      <c r="Y134" s="12"/>
    </row>
    <row r="135" customFormat="false" ht="15.75" hidden="false" customHeight="false" outlineLevel="0" collapsed="false">
      <c r="A135" s="12"/>
      <c r="B135" s="34"/>
      <c r="C135" s="12"/>
      <c r="D135" s="12"/>
      <c r="E135" s="12"/>
      <c r="F135" s="12"/>
      <c r="G135" s="18"/>
      <c r="H135" s="35"/>
      <c r="I135" s="12"/>
      <c r="N135" s="12"/>
      <c r="O135" s="18"/>
      <c r="P135" s="12"/>
      <c r="Q135" s="12"/>
      <c r="R135" s="12"/>
      <c r="S135" s="36"/>
      <c r="T135" s="36"/>
      <c r="U135" s="12"/>
      <c r="V135" s="12"/>
      <c r="W135" s="12"/>
      <c r="X135" s="12"/>
      <c r="Y135" s="12"/>
    </row>
    <row r="136" customFormat="false" ht="15.75" hidden="false" customHeight="false" outlineLevel="0" collapsed="false">
      <c r="A136" s="12"/>
      <c r="B136" s="34"/>
      <c r="C136" s="12"/>
      <c r="D136" s="12"/>
      <c r="E136" s="12"/>
      <c r="F136" s="12"/>
      <c r="G136" s="18"/>
      <c r="H136" s="35"/>
      <c r="I136" s="12"/>
      <c r="N136" s="12"/>
      <c r="O136" s="18"/>
      <c r="P136" s="12"/>
      <c r="Q136" s="12"/>
      <c r="R136" s="12"/>
      <c r="S136" s="36"/>
      <c r="T136" s="36"/>
      <c r="U136" s="12"/>
      <c r="V136" s="12"/>
      <c r="W136" s="12"/>
      <c r="X136" s="12"/>
      <c r="Y136" s="12"/>
    </row>
    <row r="137" customFormat="false" ht="15.75" hidden="false" customHeight="false" outlineLevel="0" collapsed="false">
      <c r="A137" s="12"/>
      <c r="B137" s="34"/>
      <c r="C137" s="12"/>
      <c r="D137" s="12"/>
      <c r="E137" s="12"/>
      <c r="F137" s="12"/>
      <c r="G137" s="18"/>
      <c r="H137" s="35"/>
      <c r="I137" s="12"/>
      <c r="N137" s="12"/>
      <c r="O137" s="18"/>
      <c r="P137" s="12"/>
      <c r="Q137" s="12"/>
      <c r="R137" s="12"/>
      <c r="S137" s="36"/>
      <c r="T137" s="36"/>
      <c r="U137" s="12"/>
      <c r="V137" s="12"/>
      <c r="W137" s="12"/>
      <c r="X137" s="12"/>
      <c r="Y137" s="12"/>
    </row>
    <row r="138" customFormat="false" ht="15.75" hidden="false" customHeight="false" outlineLevel="0" collapsed="false">
      <c r="A138" s="12"/>
      <c r="B138" s="34"/>
      <c r="C138" s="12"/>
      <c r="D138" s="12"/>
      <c r="E138" s="12"/>
      <c r="F138" s="12"/>
      <c r="G138" s="18"/>
      <c r="H138" s="35"/>
      <c r="I138" s="12"/>
      <c r="N138" s="12"/>
      <c r="O138" s="18"/>
      <c r="P138" s="12"/>
      <c r="Q138" s="12"/>
      <c r="R138" s="12"/>
      <c r="S138" s="36"/>
      <c r="T138" s="36"/>
      <c r="U138" s="12"/>
      <c r="V138" s="12"/>
      <c r="W138" s="12"/>
      <c r="X138" s="12"/>
      <c r="Y138" s="12"/>
    </row>
    <row r="139" customFormat="false" ht="15.75" hidden="false" customHeight="false" outlineLevel="0" collapsed="false">
      <c r="A139" s="12"/>
      <c r="B139" s="34"/>
      <c r="C139" s="12"/>
      <c r="D139" s="12"/>
      <c r="E139" s="12"/>
      <c r="F139" s="12"/>
      <c r="G139" s="18"/>
      <c r="H139" s="35"/>
      <c r="I139" s="12"/>
      <c r="N139" s="12"/>
      <c r="O139" s="18"/>
      <c r="P139" s="12"/>
      <c r="Q139" s="12"/>
      <c r="R139" s="12"/>
      <c r="S139" s="36"/>
      <c r="T139" s="36"/>
      <c r="U139" s="12"/>
      <c r="V139" s="12"/>
      <c r="W139" s="12"/>
      <c r="X139" s="12"/>
      <c r="Y139" s="12"/>
    </row>
    <row r="140" customFormat="false" ht="15.75" hidden="false" customHeight="false" outlineLevel="0" collapsed="false">
      <c r="A140" s="12"/>
      <c r="B140" s="34"/>
      <c r="C140" s="12"/>
      <c r="D140" s="12"/>
      <c r="E140" s="12"/>
      <c r="F140" s="12"/>
      <c r="G140" s="18"/>
      <c r="H140" s="35"/>
      <c r="I140" s="12"/>
      <c r="N140" s="12"/>
      <c r="O140" s="18"/>
      <c r="P140" s="12"/>
      <c r="Q140" s="12"/>
      <c r="R140" s="12"/>
      <c r="S140" s="36"/>
      <c r="T140" s="36"/>
      <c r="U140" s="12"/>
      <c r="V140" s="12"/>
      <c r="W140" s="12"/>
      <c r="X140" s="12"/>
      <c r="Y140" s="12"/>
    </row>
    <row r="141" customFormat="false" ht="15.75" hidden="false" customHeight="false" outlineLevel="0" collapsed="false">
      <c r="A141" s="12"/>
      <c r="B141" s="34"/>
      <c r="C141" s="12"/>
      <c r="D141" s="12"/>
      <c r="E141" s="12"/>
      <c r="F141" s="12"/>
      <c r="G141" s="18"/>
      <c r="H141" s="35"/>
      <c r="I141" s="12"/>
      <c r="N141" s="12"/>
      <c r="O141" s="18"/>
      <c r="P141" s="12"/>
      <c r="Q141" s="12"/>
      <c r="R141" s="12"/>
      <c r="S141" s="36"/>
      <c r="T141" s="36"/>
      <c r="U141" s="12"/>
      <c r="V141" s="12"/>
      <c r="W141" s="12"/>
      <c r="X141" s="12"/>
      <c r="Y141" s="12"/>
    </row>
    <row r="142" customFormat="false" ht="15.75" hidden="false" customHeight="false" outlineLevel="0" collapsed="false">
      <c r="A142" s="12"/>
      <c r="B142" s="34"/>
      <c r="C142" s="12"/>
      <c r="D142" s="12"/>
      <c r="E142" s="12"/>
      <c r="F142" s="12"/>
      <c r="G142" s="18"/>
      <c r="H142" s="35"/>
      <c r="I142" s="12"/>
      <c r="N142" s="12"/>
      <c r="O142" s="18"/>
      <c r="P142" s="12"/>
      <c r="Q142" s="12"/>
      <c r="R142" s="12"/>
      <c r="S142" s="36"/>
      <c r="T142" s="36"/>
      <c r="U142" s="12"/>
      <c r="V142" s="12"/>
      <c r="W142" s="12"/>
      <c r="X142" s="12"/>
      <c r="Y142" s="12"/>
    </row>
    <row r="143" customFormat="false" ht="15.75" hidden="false" customHeight="false" outlineLevel="0" collapsed="false">
      <c r="A143" s="12"/>
      <c r="B143" s="34"/>
      <c r="C143" s="12"/>
      <c r="D143" s="12"/>
      <c r="E143" s="12"/>
      <c r="F143" s="12"/>
      <c r="G143" s="18"/>
      <c r="H143" s="35"/>
      <c r="I143" s="12"/>
      <c r="N143" s="12"/>
      <c r="O143" s="18"/>
      <c r="P143" s="12"/>
      <c r="Q143" s="12"/>
      <c r="R143" s="12"/>
      <c r="S143" s="36"/>
      <c r="T143" s="36"/>
      <c r="U143" s="12"/>
      <c r="V143" s="12"/>
      <c r="W143" s="12"/>
      <c r="X143" s="12"/>
      <c r="Y143" s="12"/>
    </row>
    <row r="144" customFormat="false" ht="15.75" hidden="false" customHeight="false" outlineLevel="0" collapsed="false">
      <c r="A144" s="12"/>
      <c r="B144" s="34"/>
      <c r="C144" s="12"/>
      <c r="D144" s="12"/>
      <c r="E144" s="12"/>
      <c r="F144" s="12"/>
      <c r="G144" s="18"/>
      <c r="H144" s="35"/>
      <c r="I144" s="12"/>
      <c r="N144" s="12"/>
      <c r="O144" s="18"/>
      <c r="P144" s="12"/>
      <c r="Q144" s="12"/>
      <c r="R144" s="12"/>
      <c r="S144" s="36"/>
      <c r="T144" s="36"/>
      <c r="U144" s="12"/>
      <c r="V144" s="12"/>
      <c r="W144" s="12"/>
      <c r="X144" s="12"/>
      <c r="Y144" s="12"/>
    </row>
    <row r="145" customFormat="false" ht="15.75" hidden="false" customHeight="false" outlineLevel="0" collapsed="false">
      <c r="A145" s="12"/>
      <c r="B145" s="34"/>
      <c r="C145" s="12"/>
      <c r="D145" s="12"/>
      <c r="E145" s="12"/>
      <c r="F145" s="12"/>
      <c r="G145" s="18"/>
      <c r="H145" s="35"/>
      <c r="I145" s="12"/>
      <c r="N145" s="12"/>
      <c r="O145" s="18"/>
      <c r="P145" s="12"/>
      <c r="Q145" s="12"/>
      <c r="R145" s="12"/>
      <c r="S145" s="36"/>
      <c r="T145" s="36"/>
      <c r="U145" s="12"/>
      <c r="V145" s="12"/>
      <c r="W145" s="12"/>
      <c r="X145" s="12"/>
      <c r="Y145" s="12"/>
    </row>
    <row r="146" customFormat="false" ht="15.75" hidden="false" customHeight="false" outlineLevel="0" collapsed="false">
      <c r="A146" s="12"/>
      <c r="B146" s="34"/>
      <c r="C146" s="12"/>
      <c r="D146" s="12"/>
      <c r="E146" s="12"/>
      <c r="F146" s="12"/>
      <c r="G146" s="18"/>
      <c r="H146" s="35"/>
      <c r="I146" s="12"/>
      <c r="N146" s="12"/>
      <c r="O146" s="18"/>
      <c r="P146" s="12"/>
      <c r="Q146" s="12"/>
      <c r="R146" s="12"/>
      <c r="S146" s="36"/>
      <c r="T146" s="36"/>
      <c r="U146" s="12"/>
      <c r="V146" s="12"/>
      <c r="W146" s="12"/>
      <c r="X146" s="12"/>
      <c r="Y146" s="12"/>
    </row>
    <row r="147" customFormat="false" ht="15.75" hidden="false" customHeight="false" outlineLevel="0" collapsed="false">
      <c r="A147" s="12"/>
      <c r="B147" s="34"/>
      <c r="C147" s="12"/>
      <c r="D147" s="12"/>
      <c r="E147" s="12"/>
      <c r="F147" s="12"/>
      <c r="G147" s="18"/>
      <c r="H147" s="35"/>
      <c r="I147" s="12"/>
      <c r="N147" s="12"/>
      <c r="O147" s="18"/>
      <c r="P147" s="12"/>
      <c r="Q147" s="12"/>
      <c r="R147" s="12"/>
      <c r="S147" s="36"/>
      <c r="T147" s="36"/>
      <c r="U147" s="12"/>
      <c r="V147" s="12"/>
      <c r="W147" s="12"/>
      <c r="X147" s="12"/>
      <c r="Y147" s="12"/>
    </row>
    <row r="148" customFormat="false" ht="15.75" hidden="false" customHeight="false" outlineLevel="0" collapsed="false">
      <c r="A148" s="12"/>
      <c r="B148" s="34"/>
      <c r="C148" s="12"/>
      <c r="D148" s="12"/>
      <c r="E148" s="12"/>
      <c r="F148" s="12"/>
      <c r="G148" s="18"/>
      <c r="H148" s="35"/>
      <c r="I148" s="12"/>
      <c r="N148" s="12"/>
      <c r="O148" s="18"/>
      <c r="P148" s="12"/>
      <c r="Q148" s="12"/>
      <c r="R148" s="12"/>
      <c r="S148" s="36"/>
      <c r="T148" s="36"/>
      <c r="U148" s="12"/>
      <c r="V148" s="12"/>
      <c r="W148" s="12"/>
      <c r="X148" s="12"/>
      <c r="Y148" s="12"/>
    </row>
    <row r="149" customFormat="false" ht="15.75" hidden="false" customHeight="false" outlineLevel="0" collapsed="false">
      <c r="A149" s="12"/>
      <c r="B149" s="34"/>
      <c r="C149" s="12"/>
      <c r="D149" s="12"/>
      <c r="E149" s="12"/>
      <c r="F149" s="12"/>
      <c r="G149" s="18"/>
      <c r="H149" s="35"/>
      <c r="I149" s="12"/>
      <c r="N149" s="12"/>
      <c r="O149" s="18"/>
      <c r="P149" s="12"/>
      <c r="Q149" s="12"/>
      <c r="R149" s="12"/>
      <c r="S149" s="36"/>
      <c r="T149" s="36"/>
      <c r="U149" s="12"/>
      <c r="V149" s="12"/>
      <c r="W149" s="12"/>
      <c r="X149" s="12"/>
      <c r="Y149" s="12"/>
    </row>
    <row r="150" customFormat="false" ht="15.75" hidden="false" customHeight="false" outlineLevel="0" collapsed="false">
      <c r="A150" s="12"/>
      <c r="B150" s="34"/>
      <c r="C150" s="12"/>
      <c r="D150" s="12"/>
      <c r="E150" s="12"/>
      <c r="F150" s="12"/>
      <c r="G150" s="18"/>
      <c r="H150" s="35"/>
      <c r="I150" s="12"/>
      <c r="N150" s="12"/>
      <c r="O150" s="18"/>
      <c r="P150" s="12"/>
      <c r="Q150" s="12"/>
      <c r="R150" s="12"/>
      <c r="S150" s="36"/>
      <c r="T150" s="36"/>
      <c r="U150" s="12"/>
      <c r="V150" s="12"/>
      <c r="W150" s="12"/>
      <c r="X150" s="12"/>
      <c r="Y150" s="12"/>
    </row>
    <row r="151" customFormat="false" ht="15.75" hidden="false" customHeight="false" outlineLevel="0" collapsed="false">
      <c r="A151" s="12"/>
      <c r="B151" s="34"/>
      <c r="C151" s="12"/>
      <c r="D151" s="12"/>
      <c r="E151" s="12"/>
      <c r="F151" s="12"/>
      <c r="G151" s="18"/>
      <c r="H151" s="35"/>
      <c r="I151" s="12"/>
      <c r="N151" s="12"/>
      <c r="O151" s="18"/>
      <c r="P151" s="12"/>
      <c r="Q151" s="12"/>
      <c r="R151" s="12"/>
      <c r="S151" s="36"/>
      <c r="T151" s="36"/>
      <c r="U151" s="12"/>
      <c r="V151" s="12"/>
      <c r="W151" s="12"/>
      <c r="X151" s="12"/>
      <c r="Y151" s="12"/>
    </row>
    <row r="152" customFormat="false" ht="15.75" hidden="false" customHeight="false" outlineLevel="0" collapsed="false">
      <c r="A152" s="12"/>
      <c r="B152" s="34"/>
      <c r="C152" s="12"/>
      <c r="D152" s="12"/>
      <c r="E152" s="12"/>
      <c r="F152" s="12"/>
      <c r="G152" s="18"/>
      <c r="H152" s="35"/>
      <c r="I152" s="12"/>
      <c r="N152" s="12"/>
      <c r="O152" s="18"/>
      <c r="P152" s="12"/>
      <c r="Q152" s="12"/>
      <c r="R152" s="12"/>
      <c r="S152" s="36"/>
      <c r="T152" s="36"/>
      <c r="U152" s="12"/>
      <c r="V152" s="12"/>
      <c r="W152" s="12"/>
      <c r="X152" s="12"/>
      <c r="Y152" s="12"/>
    </row>
    <row r="153" customFormat="false" ht="15.75" hidden="false" customHeight="false" outlineLevel="0" collapsed="false">
      <c r="A153" s="12"/>
      <c r="B153" s="34"/>
      <c r="C153" s="12"/>
      <c r="D153" s="12"/>
      <c r="E153" s="12"/>
      <c r="F153" s="12"/>
      <c r="G153" s="18"/>
      <c r="H153" s="35"/>
      <c r="I153" s="12"/>
      <c r="N153" s="12"/>
      <c r="O153" s="18"/>
      <c r="P153" s="12"/>
      <c r="Q153" s="12"/>
      <c r="R153" s="12"/>
      <c r="S153" s="36"/>
      <c r="T153" s="36"/>
      <c r="U153" s="12"/>
      <c r="V153" s="12"/>
      <c r="W153" s="12"/>
      <c r="X153" s="12"/>
      <c r="Y153" s="12"/>
    </row>
    <row r="154" customFormat="false" ht="15.75" hidden="false" customHeight="false" outlineLevel="0" collapsed="false">
      <c r="A154" s="12"/>
      <c r="B154" s="34"/>
      <c r="C154" s="12"/>
      <c r="D154" s="12"/>
      <c r="E154" s="12"/>
      <c r="F154" s="12"/>
      <c r="G154" s="18"/>
      <c r="H154" s="35"/>
      <c r="I154" s="12"/>
      <c r="N154" s="12"/>
      <c r="O154" s="18"/>
      <c r="P154" s="12"/>
      <c r="Q154" s="12"/>
      <c r="R154" s="12"/>
      <c r="S154" s="36"/>
      <c r="T154" s="36"/>
      <c r="U154" s="12"/>
      <c r="V154" s="12"/>
      <c r="W154" s="12"/>
      <c r="X154" s="12"/>
      <c r="Y154" s="12"/>
    </row>
    <row r="155" customFormat="false" ht="15.75" hidden="false" customHeight="false" outlineLevel="0" collapsed="false">
      <c r="A155" s="12"/>
      <c r="B155" s="34"/>
      <c r="C155" s="12"/>
      <c r="D155" s="12"/>
      <c r="E155" s="12"/>
      <c r="F155" s="12"/>
      <c r="G155" s="18"/>
      <c r="H155" s="35"/>
      <c r="I155" s="12"/>
      <c r="N155" s="12"/>
      <c r="O155" s="18"/>
      <c r="P155" s="12"/>
      <c r="Q155" s="12"/>
      <c r="R155" s="12"/>
      <c r="S155" s="36"/>
      <c r="T155" s="36"/>
      <c r="U155" s="12"/>
      <c r="V155" s="12"/>
      <c r="W155" s="12"/>
      <c r="X155" s="12"/>
      <c r="Y155" s="12"/>
    </row>
    <row r="156" customFormat="false" ht="15.75" hidden="false" customHeight="false" outlineLevel="0" collapsed="false">
      <c r="A156" s="12"/>
      <c r="B156" s="34"/>
      <c r="C156" s="12"/>
      <c r="D156" s="12"/>
      <c r="E156" s="12"/>
      <c r="F156" s="12"/>
      <c r="G156" s="18"/>
      <c r="H156" s="35"/>
      <c r="I156" s="12"/>
      <c r="N156" s="12"/>
      <c r="O156" s="18"/>
      <c r="P156" s="12"/>
      <c r="Q156" s="12"/>
      <c r="R156" s="12"/>
      <c r="S156" s="36"/>
      <c r="T156" s="36"/>
      <c r="U156" s="12"/>
      <c r="V156" s="12"/>
      <c r="W156" s="12"/>
      <c r="X156" s="12"/>
      <c r="Y156" s="12"/>
    </row>
    <row r="157" customFormat="false" ht="15.75" hidden="false" customHeight="false" outlineLevel="0" collapsed="false">
      <c r="A157" s="12"/>
      <c r="B157" s="34"/>
      <c r="C157" s="12"/>
      <c r="D157" s="12"/>
      <c r="E157" s="12"/>
      <c r="F157" s="12"/>
      <c r="G157" s="18"/>
      <c r="H157" s="35"/>
      <c r="I157" s="12"/>
      <c r="N157" s="12"/>
      <c r="O157" s="18"/>
      <c r="P157" s="12"/>
      <c r="Q157" s="12"/>
      <c r="R157" s="12"/>
      <c r="S157" s="36"/>
      <c r="T157" s="36"/>
      <c r="U157" s="12"/>
      <c r="V157" s="12"/>
      <c r="W157" s="12"/>
      <c r="X157" s="12"/>
      <c r="Y157" s="12"/>
    </row>
    <row r="158" customFormat="false" ht="15.75" hidden="false" customHeight="false" outlineLevel="0" collapsed="false">
      <c r="A158" s="12"/>
      <c r="B158" s="34"/>
      <c r="C158" s="12"/>
      <c r="D158" s="12"/>
      <c r="E158" s="12"/>
      <c r="F158" s="12"/>
      <c r="G158" s="18"/>
      <c r="H158" s="35"/>
      <c r="I158" s="12"/>
      <c r="N158" s="12"/>
      <c r="O158" s="18"/>
      <c r="P158" s="12"/>
      <c r="Q158" s="12"/>
      <c r="R158" s="12"/>
      <c r="S158" s="36"/>
      <c r="T158" s="36"/>
      <c r="U158" s="12"/>
      <c r="V158" s="12"/>
      <c r="W158" s="12"/>
      <c r="X158" s="12"/>
      <c r="Y158" s="12"/>
    </row>
    <row r="159" customFormat="false" ht="15.75" hidden="false" customHeight="false" outlineLevel="0" collapsed="false">
      <c r="A159" s="12"/>
      <c r="B159" s="34"/>
      <c r="C159" s="12"/>
      <c r="D159" s="12"/>
      <c r="E159" s="12"/>
      <c r="F159" s="12"/>
      <c r="G159" s="18"/>
      <c r="H159" s="35"/>
      <c r="I159" s="12"/>
      <c r="N159" s="12"/>
      <c r="O159" s="18"/>
      <c r="P159" s="12"/>
      <c r="Q159" s="12"/>
      <c r="R159" s="12"/>
      <c r="S159" s="36"/>
      <c r="T159" s="36"/>
      <c r="U159" s="12"/>
      <c r="V159" s="12"/>
      <c r="W159" s="12"/>
      <c r="X159" s="12"/>
      <c r="Y159" s="12"/>
    </row>
    <row r="160" customFormat="false" ht="15.75" hidden="false" customHeight="false" outlineLevel="0" collapsed="false">
      <c r="A160" s="12"/>
      <c r="B160" s="34"/>
      <c r="C160" s="12"/>
      <c r="D160" s="12"/>
      <c r="E160" s="12"/>
      <c r="F160" s="12"/>
      <c r="G160" s="18"/>
      <c r="H160" s="35"/>
      <c r="I160" s="12"/>
      <c r="N160" s="12"/>
      <c r="O160" s="18"/>
      <c r="P160" s="12"/>
      <c r="Q160" s="12"/>
      <c r="R160" s="12"/>
      <c r="S160" s="36"/>
      <c r="T160" s="36"/>
      <c r="U160" s="12"/>
      <c r="V160" s="12"/>
      <c r="W160" s="12"/>
      <c r="X160" s="12"/>
      <c r="Y160" s="12"/>
    </row>
    <row r="161" customFormat="false" ht="15.75" hidden="false" customHeight="false" outlineLevel="0" collapsed="false">
      <c r="A161" s="12"/>
      <c r="B161" s="34"/>
      <c r="C161" s="12"/>
      <c r="D161" s="12"/>
      <c r="E161" s="12"/>
      <c r="F161" s="12"/>
      <c r="G161" s="18"/>
      <c r="H161" s="35"/>
      <c r="I161" s="12"/>
      <c r="N161" s="12"/>
      <c r="O161" s="18"/>
      <c r="P161" s="12"/>
      <c r="Q161" s="12"/>
      <c r="R161" s="12"/>
      <c r="S161" s="36"/>
      <c r="T161" s="36"/>
      <c r="U161" s="12"/>
      <c r="V161" s="12"/>
      <c r="W161" s="12"/>
      <c r="X161" s="12"/>
      <c r="Y161" s="12"/>
    </row>
    <row r="162" customFormat="false" ht="15.75" hidden="false" customHeight="false" outlineLevel="0" collapsed="false">
      <c r="A162" s="12"/>
      <c r="B162" s="34"/>
      <c r="C162" s="12"/>
      <c r="D162" s="12"/>
      <c r="E162" s="12"/>
      <c r="F162" s="12"/>
      <c r="G162" s="18"/>
      <c r="H162" s="35"/>
      <c r="I162" s="12"/>
      <c r="N162" s="12"/>
      <c r="O162" s="18"/>
      <c r="P162" s="12"/>
      <c r="Q162" s="12"/>
      <c r="R162" s="12"/>
      <c r="S162" s="36"/>
      <c r="T162" s="36"/>
      <c r="U162" s="12"/>
      <c r="V162" s="12"/>
      <c r="W162" s="12"/>
      <c r="X162" s="12"/>
      <c r="Y162" s="12"/>
    </row>
    <row r="163" customFormat="false" ht="15.75" hidden="false" customHeight="false" outlineLevel="0" collapsed="false">
      <c r="A163" s="12"/>
      <c r="B163" s="34"/>
      <c r="C163" s="12"/>
      <c r="D163" s="12"/>
      <c r="E163" s="12"/>
      <c r="F163" s="12"/>
      <c r="G163" s="18"/>
      <c r="H163" s="35"/>
      <c r="I163" s="12"/>
      <c r="N163" s="12"/>
      <c r="O163" s="18"/>
      <c r="P163" s="12"/>
      <c r="Q163" s="12"/>
      <c r="R163" s="12"/>
      <c r="S163" s="36"/>
      <c r="T163" s="36"/>
      <c r="U163" s="12"/>
      <c r="V163" s="12"/>
      <c r="W163" s="12"/>
      <c r="X163" s="12"/>
      <c r="Y163" s="12"/>
    </row>
    <row r="164" customFormat="false" ht="15.75" hidden="false" customHeight="false" outlineLevel="0" collapsed="false">
      <c r="A164" s="12"/>
      <c r="B164" s="34"/>
      <c r="C164" s="12"/>
      <c r="D164" s="12"/>
      <c r="E164" s="12"/>
      <c r="F164" s="12"/>
      <c r="G164" s="18"/>
      <c r="H164" s="35"/>
      <c r="I164" s="12"/>
      <c r="N164" s="12"/>
      <c r="O164" s="18"/>
      <c r="P164" s="12"/>
      <c r="Q164" s="12"/>
      <c r="R164" s="12"/>
      <c r="S164" s="36"/>
      <c r="T164" s="36"/>
      <c r="U164" s="12"/>
      <c r="V164" s="12"/>
      <c r="W164" s="12"/>
      <c r="X164" s="12"/>
      <c r="Y164" s="12"/>
    </row>
    <row r="165" customFormat="false" ht="15.75" hidden="false" customHeight="false" outlineLevel="0" collapsed="false">
      <c r="A165" s="12"/>
      <c r="B165" s="34"/>
      <c r="C165" s="12"/>
      <c r="D165" s="12"/>
      <c r="E165" s="12"/>
      <c r="F165" s="12"/>
      <c r="G165" s="18"/>
      <c r="H165" s="35"/>
      <c r="I165" s="12"/>
      <c r="N165" s="12"/>
      <c r="O165" s="18"/>
      <c r="P165" s="12"/>
      <c r="Q165" s="12"/>
      <c r="R165" s="12"/>
      <c r="S165" s="36"/>
      <c r="T165" s="36"/>
      <c r="U165" s="12"/>
      <c r="V165" s="12"/>
      <c r="W165" s="12"/>
      <c r="X165" s="12"/>
      <c r="Y165" s="12"/>
    </row>
    <row r="166" customFormat="false" ht="15.75" hidden="false" customHeight="false" outlineLevel="0" collapsed="false">
      <c r="A166" s="12"/>
      <c r="B166" s="34"/>
      <c r="C166" s="12"/>
      <c r="D166" s="12"/>
      <c r="E166" s="12"/>
      <c r="F166" s="12"/>
      <c r="G166" s="18"/>
      <c r="H166" s="35"/>
      <c r="I166" s="12"/>
      <c r="N166" s="12"/>
      <c r="O166" s="18"/>
      <c r="P166" s="12"/>
      <c r="Q166" s="12"/>
      <c r="R166" s="12"/>
      <c r="S166" s="36"/>
      <c r="T166" s="36"/>
      <c r="U166" s="12"/>
      <c r="V166" s="12"/>
      <c r="W166" s="12"/>
      <c r="X166" s="12"/>
      <c r="Y166" s="12"/>
    </row>
    <row r="167" customFormat="false" ht="15.75" hidden="false" customHeight="false" outlineLevel="0" collapsed="false">
      <c r="A167" s="12"/>
      <c r="B167" s="34"/>
      <c r="C167" s="12"/>
      <c r="D167" s="12"/>
      <c r="E167" s="12"/>
      <c r="F167" s="12"/>
      <c r="G167" s="18"/>
      <c r="H167" s="35"/>
      <c r="I167" s="12"/>
      <c r="N167" s="12"/>
      <c r="O167" s="18"/>
      <c r="P167" s="12"/>
      <c r="Q167" s="12"/>
      <c r="R167" s="12"/>
      <c r="S167" s="36"/>
      <c r="T167" s="36"/>
      <c r="U167" s="12"/>
      <c r="V167" s="12"/>
      <c r="W167" s="12"/>
      <c r="X167" s="12"/>
      <c r="Y167" s="12"/>
    </row>
    <row r="168" customFormat="false" ht="15.75" hidden="false" customHeight="false" outlineLevel="0" collapsed="false">
      <c r="A168" s="12"/>
      <c r="B168" s="34"/>
      <c r="C168" s="12"/>
      <c r="D168" s="12"/>
      <c r="E168" s="12"/>
      <c r="F168" s="12"/>
      <c r="G168" s="18"/>
      <c r="H168" s="35"/>
      <c r="I168" s="12"/>
      <c r="N168" s="12"/>
      <c r="O168" s="18"/>
      <c r="P168" s="12"/>
      <c r="Q168" s="12"/>
      <c r="R168" s="12"/>
      <c r="S168" s="36"/>
      <c r="T168" s="36"/>
      <c r="U168" s="12"/>
      <c r="V168" s="12"/>
      <c r="W168" s="12"/>
      <c r="X168" s="12"/>
      <c r="Y168" s="12"/>
    </row>
    <row r="169" customFormat="false" ht="15.75" hidden="false" customHeight="false" outlineLevel="0" collapsed="false">
      <c r="A169" s="12"/>
      <c r="B169" s="34"/>
      <c r="C169" s="12"/>
      <c r="D169" s="12"/>
      <c r="E169" s="12"/>
      <c r="F169" s="12"/>
      <c r="G169" s="18"/>
      <c r="H169" s="35"/>
      <c r="I169" s="12"/>
      <c r="N169" s="12"/>
      <c r="O169" s="18"/>
      <c r="P169" s="12"/>
      <c r="Q169" s="12"/>
      <c r="R169" s="12"/>
      <c r="S169" s="36"/>
      <c r="T169" s="36"/>
      <c r="U169" s="12"/>
      <c r="V169" s="12"/>
      <c r="W169" s="12"/>
      <c r="X169" s="12"/>
      <c r="Y169" s="12"/>
    </row>
    <row r="170" customFormat="false" ht="15.75" hidden="false" customHeight="false" outlineLevel="0" collapsed="false">
      <c r="A170" s="12"/>
      <c r="B170" s="34"/>
      <c r="C170" s="12"/>
      <c r="D170" s="12"/>
      <c r="E170" s="12"/>
      <c r="F170" s="12"/>
      <c r="G170" s="18"/>
      <c r="H170" s="35"/>
      <c r="I170" s="12"/>
      <c r="N170" s="12"/>
      <c r="O170" s="18"/>
      <c r="P170" s="12"/>
      <c r="Q170" s="12"/>
      <c r="R170" s="12"/>
      <c r="S170" s="36"/>
      <c r="T170" s="36"/>
      <c r="U170" s="12"/>
      <c r="V170" s="12"/>
      <c r="W170" s="12"/>
      <c r="X170" s="12"/>
      <c r="Y170" s="12"/>
    </row>
    <row r="171" customFormat="false" ht="15.75" hidden="false" customHeight="false" outlineLevel="0" collapsed="false">
      <c r="A171" s="12"/>
      <c r="B171" s="34"/>
      <c r="C171" s="12"/>
      <c r="D171" s="12"/>
      <c r="E171" s="12"/>
      <c r="F171" s="12"/>
      <c r="G171" s="18"/>
      <c r="H171" s="35"/>
      <c r="I171" s="12"/>
      <c r="N171" s="12"/>
      <c r="O171" s="18"/>
      <c r="P171" s="12"/>
      <c r="Q171" s="12"/>
      <c r="R171" s="12"/>
      <c r="S171" s="36"/>
      <c r="T171" s="36"/>
      <c r="U171" s="12"/>
      <c r="V171" s="12"/>
      <c r="W171" s="12"/>
      <c r="X171" s="12"/>
      <c r="Y171" s="12"/>
    </row>
    <row r="172" customFormat="false" ht="15.75" hidden="false" customHeight="false" outlineLevel="0" collapsed="false">
      <c r="A172" s="12"/>
      <c r="B172" s="34"/>
      <c r="C172" s="12"/>
      <c r="D172" s="12"/>
      <c r="E172" s="12"/>
      <c r="F172" s="12"/>
      <c r="G172" s="18"/>
      <c r="H172" s="35"/>
      <c r="I172" s="12"/>
      <c r="N172" s="12"/>
      <c r="O172" s="18"/>
      <c r="P172" s="12"/>
      <c r="Q172" s="12"/>
      <c r="R172" s="12"/>
      <c r="S172" s="36"/>
      <c r="T172" s="36"/>
      <c r="U172" s="12"/>
      <c r="V172" s="12"/>
      <c r="W172" s="12"/>
      <c r="X172" s="12"/>
      <c r="Y172" s="12"/>
    </row>
    <row r="173" customFormat="false" ht="15.75" hidden="false" customHeight="false" outlineLevel="0" collapsed="false">
      <c r="A173" s="12"/>
      <c r="B173" s="34"/>
      <c r="C173" s="12"/>
      <c r="D173" s="12"/>
      <c r="E173" s="12"/>
      <c r="F173" s="12"/>
      <c r="G173" s="18"/>
      <c r="H173" s="35"/>
      <c r="I173" s="12"/>
      <c r="N173" s="12"/>
      <c r="O173" s="18"/>
      <c r="P173" s="12"/>
      <c r="Q173" s="12"/>
      <c r="R173" s="12"/>
      <c r="S173" s="36"/>
      <c r="T173" s="36"/>
      <c r="U173" s="12"/>
      <c r="V173" s="12"/>
      <c r="W173" s="12"/>
      <c r="X173" s="12"/>
      <c r="Y173" s="12"/>
    </row>
    <row r="174" customFormat="false" ht="15.75" hidden="false" customHeight="false" outlineLevel="0" collapsed="false">
      <c r="A174" s="12"/>
      <c r="B174" s="34"/>
      <c r="C174" s="12"/>
      <c r="D174" s="12"/>
      <c r="E174" s="12"/>
      <c r="F174" s="12"/>
      <c r="G174" s="18"/>
      <c r="H174" s="35"/>
      <c r="I174" s="12"/>
      <c r="N174" s="12"/>
      <c r="O174" s="18"/>
      <c r="P174" s="12"/>
      <c r="Q174" s="12"/>
      <c r="R174" s="12"/>
      <c r="S174" s="36"/>
      <c r="T174" s="36"/>
      <c r="U174" s="12"/>
      <c r="V174" s="12"/>
      <c r="W174" s="12"/>
      <c r="X174" s="12"/>
      <c r="Y174" s="12"/>
    </row>
    <row r="175" customFormat="false" ht="15.75" hidden="false" customHeight="false" outlineLevel="0" collapsed="false">
      <c r="A175" s="12"/>
      <c r="B175" s="34"/>
      <c r="C175" s="12"/>
      <c r="D175" s="12"/>
      <c r="E175" s="12"/>
      <c r="F175" s="12"/>
      <c r="G175" s="18"/>
      <c r="H175" s="35"/>
      <c r="I175" s="12"/>
      <c r="N175" s="12"/>
      <c r="O175" s="18"/>
      <c r="P175" s="12"/>
      <c r="Q175" s="12"/>
      <c r="R175" s="12"/>
      <c r="S175" s="36"/>
      <c r="T175" s="36"/>
      <c r="U175" s="12"/>
      <c r="V175" s="12"/>
      <c r="W175" s="12"/>
      <c r="X175" s="12"/>
      <c r="Y175" s="12"/>
    </row>
    <row r="176" customFormat="false" ht="15.75" hidden="false" customHeight="false" outlineLevel="0" collapsed="false">
      <c r="A176" s="12"/>
      <c r="B176" s="34"/>
      <c r="C176" s="12"/>
      <c r="D176" s="12"/>
      <c r="E176" s="12"/>
      <c r="F176" s="12"/>
      <c r="G176" s="18"/>
      <c r="H176" s="35"/>
      <c r="I176" s="12"/>
      <c r="N176" s="12"/>
      <c r="O176" s="18"/>
      <c r="P176" s="12"/>
      <c r="Q176" s="12"/>
      <c r="R176" s="12"/>
      <c r="S176" s="36"/>
      <c r="T176" s="36"/>
      <c r="U176" s="12"/>
      <c r="V176" s="12"/>
      <c r="W176" s="12"/>
      <c r="X176" s="12"/>
      <c r="Y176" s="12"/>
    </row>
    <row r="177" customFormat="false" ht="15.75" hidden="false" customHeight="false" outlineLevel="0" collapsed="false">
      <c r="A177" s="12"/>
      <c r="B177" s="34"/>
      <c r="C177" s="12"/>
      <c r="D177" s="12"/>
      <c r="E177" s="12"/>
      <c r="F177" s="12"/>
      <c r="G177" s="18"/>
      <c r="H177" s="35"/>
      <c r="I177" s="12"/>
      <c r="N177" s="12"/>
      <c r="O177" s="18"/>
      <c r="P177" s="12"/>
      <c r="Q177" s="12"/>
      <c r="R177" s="12"/>
      <c r="S177" s="36"/>
      <c r="T177" s="36"/>
      <c r="U177" s="12"/>
      <c r="V177" s="12"/>
      <c r="W177" s="12"/>
      <c r="X177" s="12"/>
      <c r="Y177" s="12"/>
    </row>
    <row r="178" customFormat="false" ht="15.75" hidden="false" customHeight="false" outlineLevel="0" collapsed="false">
      <c r="A178" s="12"/>
      <c r="B178" s="34"/>
      <c r="C178" s="12"/>
      <c r="D178" s="12"/>
      <c r="E178" s="12"/>
      <c r="F178" s="12"/>
      <c r="G178" s="18"/>
      <c r="H178" s="35"/>
      <c r="I178" s="12"/>
      <c r="N178" s="12"/>
      <c r="O178" s="18"/>
      <c r="P178" s="12"/>
      <c r="Q178" s="12"/>
      <c r="R178" s="12"/>
      <c r="S178" s="36"/>
      <c r="T178" s="36"/>
      <c r="U178" s="12"/>
      <c r="V178" s="12"/>
      <c r="W178" s="12"/>
      <c r="X178" s="12"/>
      <c r="Y178" s="12"/>
    </row>
    <row r="179" customFormat="false" ht="15.75" hidden="false" customHeight="false" outlineLevel="0" collapsed="false">
      <c r="A179" s="12"/>
      <c r="B179" s="34"/>
      <c r="C179" s="12"/>
      <c r="D179" s="12"/>
      <c r="E179" s="12"/>
      <c r="F179" s="12"/>
      <c r="G179" s="18"/>
      <c r="H179" s="35"/>
      <c r="I179" s="12"/>
      <c r="N179" s="12"/>
      <c r="O179" s="18"/>
      <c r="P179" s="12"/>
      <c r="Q179" s="12"/>
      <c r="R179" s="12"/>
      <c r="S179" s="36"/>
      <c r="T179" s="36"/>
      <c r="U179" s="12"/>
      <c r="V179" s="12"/>
      <c r="W179" s="12"/>
      <c r="X179" s="12"/>
      <c r="Y179" s="12"/>
    </row>
    <row r="180" customFormat="false" ht="15.75" hidden="false" customHeight="false" outlineLevel="0" collapsed="false">
      <c r="A180" s="12"/>
      <c r="B180" s="34"/>
      <c r="C180" s="12"/>
      <c r="D180" s="12"/>
      <c r="E180" s="12"/>
      <c r="F180" s="12"/>
      <c r="G180" s="18"/>
      <c r="H180" s="35"/>
      <c r="I180" s="12"/>
      <c r="N180" s="12"/>
      <c r="O180" s="18"/>
      <c r="P180" s="12"/>
      <c r="Q180" s="12"/>
      <c r="R180" s="12"/>
      <c r="S180" s="36"/>
      <c r="T180" s="36"/>
      <c r="U180" s="12"/>
      <c r="V180" s="12"/>
      <c r="W180" s="12"/>
      <c r="X180" s="12"/>
      <c r="Y180" s="12"/>
    </row>
    <row r="181" customFormat="false" ht="15.75" hidden="false" customHeight="false" outlineLevel="0" collapsed="false">
      <c r="A181" s="12"/>
      <c r="B181" s="34"/>
      <c r="C181" s="12"/>
      <c r="D181" s="12"/>
      <c r="E181" s="12"/>
      <c r="F181" s="12"/>
      <c r="G181" s="18"/>
      <c r="H181" s="35"/>
      <c r="I181" s="12"/>
      <c r="N181" s="12"/>
      <c r="O181" s="18"/>
      <c r="P181" s="12"/>
      <c r="Q181" s="12"/>
      <c r="R181" s="12"/>
      <c r="S181" s="36"/>
      <c r="T181" s="36"/>
      <c r="U181" s="12"/>
      <c r="V181" s="12"/>
      <c r="W181" s="12"/>
      <c r="X181" s="12"/>
      <c r="Y181" s="12"/>
    </row>
    <row r="182" customFormat="false" ht="15.75" hidden="false" customHeight="false" outlineLevel="0" collapsed="false">
      <c r="A182" s="12"/>
      <c r="B182" s="34"/>
      <c r="C182" s="12"/>
      <c r="D182" s="12"/>
      <c r="E182" s="12"/>
      <c r="F182" s="12"/>
      <c r="G182" s="18"/>
      <c r="H182" s="35"/>
      <c r="I182" s="12"/>
      <c r="N182" s="12"/>
      <c r="O182" s="18"/>
      <c r="P182" s="12"/>
      <c r="Q182" s="12"/>
      <c r="R182" s="12"/>
      <c r="S182" s="36"/>
      <c r="T182" s="36"/>
      <c r="U182" s="12"/>
      <c r="V182" s="12"/>
      <c r="W182" s="12"/>
      <c r="X182" s="12"/>
      <c r="Y182" s="12"/>
    </row>
    <row r="183" customFormat="false" ht="15.75" hidden="false" customHeight="false" outlineLevel="0" collapsed="false">
      <c r="A183" s="12"/>
      <c r="B183" s="34"/>
      <c r="C183" s="12"/>
      <c r="D183" s="12"/>
      <c r="E183" s="12"/>
      <c r="F183" s="12"/>
      <c r="G183" s="18"/>
      <c r="H183" s="35"/>
      <c r="I183" s="12"/>
      <c r="N183" s="12"/>
      <c r="O183" s="18"/>
      <c r="P183" s="12"/>
      <c r="Q183" s="12"/>
      <c r="R183" s="12"/>
      <c r="S183" s="36"/>
      <c r="T183" s="36"/>
      <c r="U183" s="12"/>
      <c r="V183" s="12"/>
      <c r="W183" s="12"/>
      <c r="X183" s="12"/>
      <c r="Y183" s="12"/>
    </row>
    <row r="184" customFormat="false" ht="15.75" hidden="false" customHeight="false" outlineLevel="0" collapsed="false">
      <c r="A184" s="12"/>
      <c r="B184" s="34"/>
      <c r="C184" s="12"/>
      <c r="D184" s="12"/>
      <c r="E184" s="12"/>
      <c r="F184" s="12"/>
      <c r="G184" s="18"/>
      <c r="H184" s="35"/>
      <c r="I184" s="12"/>
      <c r="N184" s="12"/>
      <c r="O184" s="18"/>
      <c r="P184" s="12"/>
      <c r="Q184" s="12"/>
      <c r="R184" s="12"/>
      <c r="S184" s="36"/>
      <c r="T184" s="36"/>
      <c r="U184" s="12"/>
      <c r="V184" s="12"/>
      <c r="W184" s="12"/>
      <c r="X184" s="12"/>
      <c r="Y184" s="12"/>
    </row>
    <row r="185" customFormat="false" ht="15.75" hidden="false" customHeight="false" outlineLevel="0" collapsed="false">
      <c r="A185" s="12"/>
      <c r="B185" s="34"/>
      <c r="C185" s="12"/>
      <c r="D185" s="12"/>
      <c r="E185" s="12"/>
      <c r="F185" s="12"/>
      <c r="G185" s="18"/>
      <c r="H185" s="35"/>
      <c r="I185" s="12"/>
      <c r="N185" s="12"/>
      <c r="O185" s="18"/>
      <c r="P185" s="12"/>
      <c r="Q185" s="12"/>
      <c r="R185" s="12"/>
      <c r="S185" s="36"/>
      <c r="T185" s="36"/>
      <c r="U185" s="12"/>
      <c r="V185" s="12"/>
      <c r="W185" s="12"/>
      <c r="X185" s="12"/>
      <c r="Y185" s="12"/>
    </row>
    <row r="186" customFormat="false" ht="15.75" hidden="false" customHeight="false" outlineLevel="0" collapsed="false">
      <c r="A186" s="12"/>
      <c r="B186" s="34"/>
      <c r="C186" s="12"/>
      <c r="D186" s="12"/>
      <c r="E186" s="12"/>
      <c r="F186" s="12"/>
      <c r="G186" s="18"/>
      <c r="H186" s="35"/>
      <c r="I186" s="12"/>
      <c r="N186" s="12"/>
      <c r="O186" s="18"/>
      <c r="P186" s="12"/>
      <c r="Q186" s="12"/>
      <c r="R186" s="12"/>
      <c r="S186" s="36"/>
      <c r="T186" s="36"/>
      <c r="U186" s="12"/>
      <c r="V186" s="12"/>
      <c r="W186" s="12"/>
      <c r="X186" s="12"/>
      <c r="Y186" s="12"/>
    </row>
    <row r="187" customFormat="false" ht="15.75" hidden="false" customHeight="false" outlineLevel="0" collapsed="false">
      <c r="A187" s="12"/>
      <c r="B187" s="34"/>
      <c r="C187" s="12"/>
      <c r="D187" s="12"/>
      <c r="E187" s="12"/>
      <c r="F187" s="12"/>
      <c r="G187" s="18"/>
      <c r="H187" s="35"/>
      <c r="I187" s="12"/>
      <c r="N187" s="12"/>
      <c r="O187" s="18"/>
      <c r="P187" s="12"/>
      <c r="Q187" s="12"/>
      <c r="R187" s="12"/>
      <c r="S187" s="36"/>
      <c r="T187" s="36"/>
      <c r="U187" s="12"/>
      <c r="V187" s="12"/>
      <c r="W187" s="12"/>
      <c r="X187" s="12"/>
      <c r="Y187" s="12"/>
    </row>
    <row r="188" customFormat="false" ht="15.75" hidden="false" customHeight="false" outlineLevel="0" collapsed="false">
      <c r="A188" s="12"/>
      <c r="B188" s="34"/>
      <c r="C188" s="12"/>
      <c r="D188" s="12"/>
      <c r="E188" s="12"/>
      <c r="F188" s="12"/>
      <c r="G188" s="18"/>
      <c r="H188" s="35"/>
      <c r="I188" s="12"/>
      <c r="N188" s="12"/>
      <c r="O188" s="18"/>
      <c r="P188" s="12"/>
      <c r="Q188" s="12"/>
      <c r="R188" s="12"/>
      <c r="S188" s="36"/>
      <c r="T188" s="36"/>
      <c r="U188" s="12"/>
      <c r="V188" s="12"/>
      <c r="W188" s="12"/>
      <c r="X188" s="12"/>
      <c r="Y188" s="12"/>
    </row>
    <row r="189" customFormat="false" ht="15.75" hidden="false" customHeight="false" outlineLevel="0" collapsed="false">
      <c r="A189" s="12"/>
      <c r="B189" s="34"/>
      <c r="C189" s="12"/>
      <c r="D189" s="12"/>
      <c r="E189" s="12"/>
      <c r="F189" s="12"/>
      <c r="G189" s="18"/>
      <c r="H189" s="35"/>
      <c r="I189" s="12"/>
      <c r="N189" s="12"/>
      <c r="O189" s="18"/>
      <c r="P189" s="12"/>
      <c r="Q189" s="12"/>
      <c r="R189" s="12"/>
      <c r="S189" s="36"/>
      <c r="T189" s="36"/>
      <c r="U189" s="12"/>
      <c r="V189" s="12"/>
      <c r="W189" s="12"/>
      <c r="X189" s="12"/>
      <c r="Y189" s="12"/>
    </row>
    <row r="190" customFormat="false" ht="15.75" hidden="false" customHeight="false" outlineLevel="0" collapsed="false">
      <c r="A190" s="12"/>
      <c r="B190" s="34"/>
      <c r="C190" s="12"/>
      <c r="D190" s="12"/>
      <c r="E190" s="12"/>
      <c r="F190" s="12"/>
      <c r="G190" s="18"/>
      <c r="H190" s="35"/>
      <c r="I190" s="12"/>
      <c r="N190" s="12"/>
      <c r="O190" s="18"/>
      <c r="P190" s="12"/>
      <c r="Q190" s="12"/>
      <c r="R190" s="12"/>
      <c r="S190" s="36"/>
      <c r="T190" s="36"/>
      <c r="U190" s="12"/>
      <c r="V190" s="12"/>
      <c r="W190" s="12"/>
      <c r="X190" s="12"/>
      <c r="Y190" s="12"/>
    </row>
    <row r="191" customFormat="false" ht="15.75" hidden="false" customHeight="false" outlineLevel="0" collapsed="false">
      <c r="A191" s="12"/>
      <c r="B191" s="34"/>
      <c r="C191" s="12"/>
      <c r="D191" s="12"/>
      <c r="E191" s="12"/>
      <c r="F191" s="12"/>
      <c r="G191" s="18"/>
      <c r="H191" s="35"/>
      <c r="I191" s="12"/>
      <c r="N191" s="12"/>
      <c r="O191" s="18"/>
      <c r="P191" s="12"/>
      <c r="Q191" s="12"/>
      <c r="R191" s="12"/>
      <c r="S191" s="36"/>
      <c r="T191" s="36"/>
      <c r="U191" s="12"/>
      <c r="V191" s="12"/>
      <c r="W191" s="12"/>
      <c r="X191" s="12"/>
      <c r="Y191" s="12"/>
    </row>
    <row r="192" customFormat="false" ht="15.75" hidden="false" customHeight="false" outlineLevel="0" collapsed="false">
      <c r="A192" s="12"/>
      <c r="B192" s="34"/>
      <c r="C192" s="12"/>
      <c r="D192" s="12"/>
      <c r="E192" s="12"/>
      <c r="F192" s="12"/>
      <c r="G192" s="18"/>
      <c r="H192" s="35"/>
      <c r="I192" s="12"/>
      <c r="N192" s="12"/>
      <c r="O192" s="18"/>
      <c r="P192" s="12"/>
      <c r="Q192" s="12"/>
      <c r="R192" s="12"/>
      <c r="S192" s="36"/>
      <c r="T192" s="36"/>
      <c r="U192" s="12"/>
      <c r="V192" s="12"/>
      <c r="W192" s="12"/>
      <c r="X192" s="12"/>
      <c r="Y192" s="12"/>
    </row>
    <row r="193" customFormat="false" ht="15.75" hidden="false" customHeight="false" outlineLevel="0" collapsed="false">
      <c r="A193" s="12"/>
      <c r="B193" s="34"/>
      <c r="C193" s="12"/>
      <c r="D193" s="12"/>
      <c r="E193" s="12"/>
      <c r="F193" s="12"/>
      <c r="G193" s="18"/>
      <c r="H193" s="35"/>
      <c r="I193" s="12"/>
      <c r="N193" s="12"/>
      <c r="O193" s="18"/>
      <c r="P193" s="12"/>
      <c r="Q193" s="12"/>
      <c r="R193" s="12"/>
      <c r="S193" s="36"/>
      <c r="T193" s="36"/>
      <c r="U193" s="12"/>
      <c r="V193" s="12"/>
      <c r="W193" s="12"/>
      <c r="X193" s="12"/>
      <c r="Y193" s="12"/>
    </row>
    <row r="194" customFormat="false" ht="15.75" hidden="false" customHeight="false" outlineLevel="0" collapsed="false">
      <c r="A194" s="12"/>
      <c r="B194" s="34"/>
      <c r="C194" s="12"/>
      <c r="D194" s="12"/>
      <c r="E194" s="12"/>
      <c r="F194" s="12"/>
      <c r="G194" s="18"/>
      <c r="H194" s="35"/>
      <c r="I194" s="12"/>
      <c r="N194" s="12"/>
      <c r="O194" s="18"/>
      <c r="P194" s="12"/>
      <c r="Q194" s="12"/>
      <c r="R194" s="12"/>
      <c r="S194" s="36"/>
      <c r="T194" s="36"/>
      <c r="U194" s="12"/>
      <c r="V194" s="12"/>
      <c r="W194" s="12"/>
      <c r="X194" s="12"/>
      <c r="Y194" s="12"/>
    </row>
    <row r="195" customFormat="false" ht="15.75" hidden="false" customHeight="false" outlineLevel="0" collapsed="false">
      <c r="A195" s="12"/>
      <c r="B195" s="34"/>
      <c r="C195" s="12"/>
      <c r="D195" s="12"/>
      <c r="E195" s="12"/>
      <c r="F195" s="12"/>
      <c r="G195" s="18"/>
      <c r="H195" s="35"/>
      <c r="I195" s="12"/>
      <c r="N195" s="12"/>
      <c r="O195" s="18"/>
      <c r="P195" s="12"/>
      <c r="Q195" s="12"/>
      <c r="R195" s="12"/>
      <c r="S195" s="36"/>
      <c r="T195" s="36"/>
      <c r="U195" s="12"/>
      <c r="V195" s="12"/>
      <c r="W195" s="12"/>
      <c r="X195" s="12"/>
      <c r="Y195" s="12"/>
    </row>
    <row r="196" customFormat="false" ht="15.75" hidden="false" customHeight="false" outlineLevel="0" collapsed="false">
      <c r="A196" s="12"/>
      <c r="B196" s="34"/>
      <c r="C196" s="12"/>
      <c r="D196" s="12"/>
      <c r="E196" s="12"/>
      <c r="F196" s="12"/>
      <c r="G196" s="18"/>
      <c r="H196" s="35"/>
      <c r="I196" s="12"/>
      <c r="N196" s="12"/>
      <c r="O196" s="18"/>
      <c r="P196" s="12"/>
      <c r="Q196" s="12"/>
      <c r="R196" s="12"/>
      <c r="S196" s="36"/>
      <c r="T196" s="36"/>
      <c r="U196" s="12"/>
      <c r="V196" s="12"/>
      <c r="W196" s="12"/>
      <c r="X196" s="12"/>
      <c r="Y196" s="12"/>
    </row>
    <row r="197" customFormat="false" ht="15.75" hidden="false" customHeight="false" outlineLevel="0" collapsed="false">
      <c r="A197" s="12"/>
      <c r="B197" s="34"/>
      <c r="C197" s="12"/>
      <c r="D197" s="12"/>
      <c r="E197" s="12"/>
      <c r="F197" s="12"/>
      <c r="G197" s="18"/>
      <c r="H197" s="35"/>
      <c r="I197" s="12"/>
      <c r="N197" s="12"/>
      <c r="O197" s="18"/>
      <c r="P197" s="12"/>
      <c r="Q197" s="12"/>
      <c r="R197" s="12"/>
      <c r="S197" s="36"/>
      <c r="T197" s="36"/>
      <c r="U197" s="12"/>
      <c r="V197" s="12"/>
      <c r="W197" s="12"/>
      <c r="X197" s="12"/>
      <c r="Y197" s="12"/>
    </row>
    <row r="198" customFormat="false" ht="15.75" hidden="false" customHeight="false" outlineLevel="0" collapsed="false">
      <c r="A198" s="12"/>
      <c r="B198" s="34"/>
      <c r="C198" s="12"/>
      <c r="D198" s="12"/>
      <c r="E198" s="12"/>
      <c r="F198" s="12"/>
      <c r="G198" s="18"/>
      <c r="H198" s="35"/>
      <c r="I198" s="12"/>
      <c r="N198" s="12"/>
      <c r="O198" s="18"/>
      <c r="P198" s="12"/>
      <c r="Q198" s="12"/>
      <c r="R198" s="12"/>
      <c r="S198" s="36"/>
      <c r="T198" s="36"/>
      <c r="U198" s="12"/>
      <c r="V198" s="12"/>
      <c r="W198" s="12"/>
      <c r="X198" s="12"/>
      <c r="Y198" s="12"/>
    </row>
    <row r="199" customFormat="false" ht="15.75" hidden="false" customHeight="false" outlineLevel="0" collapsed="false">
      <c r="A199" s="12"/>
      <c r="B199" s="34"/>
      <c r="C199" s="12"/>
      <c r="D199" s="12"/>
      <c r="E199" s="12"/>
      <c r="F199" s="12"/>
      <c r="G199" s="18"/>
      <c r="H199" s="35"/>
      <c r="I199" s="12"/>
      <c r="N199" s="12"/>
      <c r="O199" s="18"/>
      <c r="P199" s="12"/>
      <c r="Q199" s="12"/>
      <c r="R199" s="12"/>
      <c r="S199" s="36"/>
      <c r="T199" s="36"/>
      <c r="U199" s="12"/>
      <c r="V199" s="12"/>
      <c r="W199" s="12"/>
      <c r="X199" s="12"/>
      <c r="Y199" s="12"/>
    </row>
    <row r="200" customFormat="false" ht="15.75" hidden="false" customHeight="false" outlineLevel="0" collapsed="false">
      <c r="A200" s="12"/>
      <c r="B200" s="34"/>
      <c r="C200" s="12"/>
      <c r="D200" s="12"/>
      <c r="E200" s="12"/>
      <c r="F200" s="12"/>
      <c r="G200" s="18"/>
      <c r="H200" s="35"/>
      <c r="I200" s="12"/>
      <c r="N200" s="12"/>
      <c r="O200" s="18"/>
      <c r="P200" s="12"/>
      <c r="Q200" s="12"/>
      <c r="R200" s="12"/>
      <c r="S200" s="36"/>
      <c r="T200" s="36"/>
      <c r="U200" s="12"/>
      <c r="V200" s="12"/>
      <c r="W200" s="12"/>
      <c r="X200" s="12"/>
      <c r="Y200" s="12"/>
    </row>
    <row r="201" customFormat="false" ht="15.75" hidden="false" customHeight="false" outlineLevel="0" collapsed="false">
      <c r="A201" s="12"/>
      <c r="B201" s="34"/>
      <c r="C201" s="12"/>
      <c r="D201" s="12"/>
      <c r="E201" s="12"/>
      <c r="F201" s="12"/>
      <c r="G201" s="18"/>
      <c r="H201" s="35"/>
      <c r="I201" s="12"/>
      <c r="N201" s="12"/>
      <c r="O201" s="18"/>
      <c r="P201" s="12"/>
      <c r="Q201" s="12"/>
      <c r="R201" s="12"/>
      <c r="S201" s="36"/>
      <c r="T201" s="36"/>
      <c r="U201" s="12"/>
      <c r="V201" s="12"/>
      <c r="W201" s="12"/>
      <c r="X201" s="12"/>
      <c r="Y201" s="12"/>
    </row>
    <row r="202" customFormat="false" ht="15.75" hidden="false" customHeight="false" outlineLevel="0" collapsed="false">
      <c r="A202" s="12"/>
      <c r="B202" s="34"/>
      <c r="C202" s="12"/>
      <c r="D202" s="12"/>
      <c r="E202" s="12"/>
      <c r="F202" s="12"/>
      <c r="G202" s="18"/>
      <c r="H202" s="35"/>
      <c r="I202" s="12"/>
      <c r="N202" s="12"/>
      <c r="O202" s="18"/>
      <c r="P202" s="12"/>
      <c r="Q202" s="12"/>
      <c r="R202" s="12"/>
      <c r="S202" s="36"/>
      <c r="T202" s="36"/>
      <c r="U202" s="12"/>
      <c r="V202" s="12"/>
      <c r="W202" s="12"/>
      <c r="X202" s="12"/>
      <c r="Y202" s="12"/>
    </row>
    <row r="203" customFormat="false" ht="15.75" hidden="false" customHeight="false" outlineLevel="0" collapsed="false">
      <c r="A203" s="12"/>
      <c r="B203" s="34"/>
      <c r="C203" s="12"/>
      <c r="D203" s="12"/>
      <c r="E203" s="12"/>
      <c r="F203" s="12"/>
      <c r="G203" s="18"/>
      <c r="H203" s="35"/>
      <c r="I203" s="12"/>
      <c r="N203" s="12"/>
      <c r="O203" s="18"/>
      <c r="P203" s="12"/>
      <c r="Q203" s="12"/>
      <c r="R203" s="12"/>
      <c r="S203" s="36"/>
      <c r="T203" s="36"/>
      <c r="U203" s="12"/>
      <c r="V203" s="12"/>
      <c r="W203" s="12"/>
      <c r="X203" s="12"/>
      <c r="Y203" s="12"/>
    </row>
    <row r="204" customFormat="false" ht="15.75" hidden="false" customHeight="false" outlineLevel="0" collapsed="false">
      <c r="A204" s="12"/>
      <c r="B204" s="34"/>
      <c r="C204" s="12"/>
      <c r="D204" s="12"/>
      <c r="E204" s="12"/>
      <c r="F204" s="12"/>
      <c r="G204" s="18"/>
      <c r="H204" s="35"/>
      <c r="I204" s="12"/>
      <c r="N204" s="12"/>
      <c r="O204" s="18"/>
      <c r="P204" s="12"/>
      <c r="Q204" s="12"/>
      <c r="R204" s="12"/>
      <c r="S204" s="36"/>
      <c r="T204" s="36"/>
      <c r="U204" s="12"/>
      <c r="V204" s="12"/>
      <c r="W204" s="12"/>
      <c r="X204" s="12"/>
      <c r="Y204" s="12"/>
    </row>
    <row r="205" customFormat="false" ht="15.75" hidden="false" customHeight="false" outlineLevel="0" collapsed="false">
      <c r="A205" s="12"/>
      <c r="B205" s="34"/>
      <c r="C205" s="12"/>
      <c r="D205" s="12"/>
      <c r="E205" s="12"/>
      <c r="F205" s="12"/>
      <c r="G205" s="18"/>
      <c r="H205" s="35"/>
      <c r="I205" s="12"/>
      <c r="N205" s="12"/>
      <c r="O205" s="18"/>
      <c r="P205" s="12"/>
      <c r="Q205" s="12"/>
      <c r="R205" s="12"/>
      <c r="S205" s="36"/>
      <c r="T205" s="36"/>
      <c r="U205" s="12"/>
      <c r="V205" s="12"/>
      <c r="W205" s="12"/>
      <c r="X205" s="12"/>
      <c r="Y205" s="12"/>
    </row>
    <row r="206" customFormat="false" ht="15.75" hidden="false" customHeight="false" outlineLevel="0" collapsed="false">
      <c r="A206" s="12"/>
      <c r="B206" s="34"/>
      <c r="C206" s="12"/>
      <c r="D206" s="12"/>
      <c r="E206" s="12"/>
      <c r="F206" s="12"/>
      <c r="G206" s="18"/>
      <c r="H206" s="35"/>
      <c r="I206" s="12"/>
      <c r="N206" s="12"/>
      <c r="O206" s="18"/>
      <c r="P206" s="12"/>
      <c r="Q206" s="12"/>
      <c r="R206" s="12"/>
      <c r="S206" s="36"/>
      <c r="T206" s="36"/>
      <c r="U206" s="12"/>
      <c r="V206" s="12"/>
      <c r="W206" s="12"/>
      <c r="X206" s="12"/>
      <c r="Y206" s="12"/>
    </row>
    <row r="207" customFormat="false" ht="15.75" hidden="false" customHeight="false" outlineLevel="0" collapsed="false">
      <c r="A207" s="12"/>
      <c r="B207" s="34"/>
      <c r="C207" s="12"/>
      <c r="D207" s="12"/>
      <c r="E207" s="12"/>
      <c r="F207" s="12"/>
      <c r="G207" s="18"/>
      <c r="H207" s="35"/>
      <c r="I207" s="12"/>
      <c r="N207" s="12"/>
      <c r="O207" s="18"/>
      <c r="P207" s="12"/>
      <c r="Q207" s="12"/>
      <c r="R207" s="12"/>
      <c r="S207" s="36"/>
      <c r="T207" s="36"/>
      <c r="U207" s="12"/>
      <c r="V207" s="12"/>
      <c r="W207" s="12"/>
      <c r="X207" s="12"/>
      <c r="Y207" s="12"/>
    </row>
    <row r="208" customFormat="false" ht="15.75" hidden="false" customHeight="false" outlineLevel="0" collapsed="false">
      <c r="A208" s="12"/>
      <c r="B208" s="34"/>
      <c r="C208" s="12"/>
      <c r="D208" s="12"/>
      <c r="E208" s="12"/>
      <c r="F208" s="12"/>
      <c r="G208" s="18"/>
      <c r="H208" s="35"/>
      <c r="I208" s="12"/>
      <c r="N208" s="12"/>
      <c r="O208" s="18"/>
      <c r="P208" s="12"/>
      <c r="Q208" s="12"/>
      <c r="R208" s="12"/>
      <c r="S208" s="36"/>
      <c r="T208" s="36"/>
      <c r="U208" s="12"/>
      <c r="V208" s="12"/>
      <c r="W208" s="12"/>
      <c r="X208" s="12"/>
      <c r="Y208" s="12"/>
    </row>
    <row r="209" customFormat="false" ht="15.75" hidden="false" customHeight="false" outlineLevel="0" collapsed="false">
      <c r="A209" s="12"/>
      <c r="B209" s="34"/>
      <c r="C209" s="12"/>
      <c r="D209" s="12"/>
      <c r="E209" s="12"/>
      <c r="F209" s="12"/>
      <c r="G209" s="18"/>
      <c r="H209" s="35"/>
      <c r="I209" s="12"/>
      <c r="N209" s="12"/>
      <c r="O209" s="18"/>
      <c r="P209" s="12"/>
      <c r="Q209" s="12"/>
      <c r="R209" s="12"/>
      <c r="S209" s="36"/>
      <c r="T209" s="36"/>
      <c r="U209" s="12"/>
      <c r="V209" s="12"/>
      <c r="W209" s="12"/>
      <c r="X209" s="12"/>
      <c r="Y209" s="12"/>
    </row>
    <row r="210" customFormat="false" ht="15.75" hidden="false" customHeight="false" outlineLevel="0" collapsed="false">
      <c r="A210" s="12"/>
      <c r="B210" s="34"/>
      <c r="C210" s="12"/>
      <c r="D210" s="12"/>
      <c r="E210" s="12"/>
      <c r="F210" s="12"/>
      <c r="G210" s="18"/>
      <c r="H210" s="35"/>
      <c r="I210" s="12"/>
      <c r="N210" s="12"/>
      <c r="O210" s="18"/>
      <c r="P210" s="12"/>
      <c r="Q210" s="12"/>
      <c r="R210" s="12"/>
      <c r="S210" s="36"/>
      <c r="T210" s="36"/>
      <c r="U210" s="12"/>
      <c r="V210" s="12"/>
      <c r="W210" s="12"/>
      <c r="X210" s="12"/>
      <c r="Y210" s="12"/>
    </row>
    <row r="211" customFormat="false" ht="15.75" hidden="false" customHeight="false" outlineLevel="0" collapsed="false">
      <c r="A211" s="12"/>
      <c r="B211" s="34"/>
      <c r="C211" s="12"/>
      <c r="D211" s="12"/>
      <c r="E211" s="12"/>
      <c r="F211" s="12"/>
      <c r="G211" s="18"/>
      <c r="H211" s="35"/>
      <c r="I211" s="12"/>
      <c r="N211" s="12"/>
      <c r="O211" s="18"/>
      <c r="P211" s="12"/>
      <c r="Q211" s="12"/>
      <c r="R211" s="12"/>
      <c r="S211" s="36"/>
      <c r="T211" s="36"/>
      <c r="U211" s="12"/>
      <c r="V211" s="12"/>
      <c r="W211" s="12"/>
      <c r="X211" s="12"/>
      <c r="Y211" s="12"/>
    </row>
    <row r="212" customFormat="false" ht="15.75" hidden="false" customHeight="false" outlineLevel="0" collapsed="false">
      <c r="A212" s="12"/>
      <c r="B212" s="34"/>
      <c r="C212" s="12"/>
      <c r="D212" s="12"/>
      <c r="E212" s="12"/>
      <c r="F212" s="12"/>
      <c r="G212" s="18"/>
      <c r="H212" s="35"/>
      <c r="I212" s="12"/>
      <c r="N212" s="12"/>
      <c r="O212" s="18"/>
      <c r="P212" s="12"/>
      <c r="Q212" s="12"/>
      <c r="R212" s="12"/>
      <c r="S212" s="36"/>
      <c r="T212" s="36"/>
      <c r="U212" s="12"/>
      <c r="V212" s="12"/>
      <c r="W212" s="12"/>
      <c r="X212" s="12"/>
      <c r="Y212" s="12"/>
    </row>
    <row r="213" customFormat="false" ht="15.75" hidden="false" customHeight="false" outlineLevel="0" collapsed="false">
      <c r="A213" s="12"/>
      <c r="B213" s="34"/>
      <c r="C213" s="12"/>
      <c r="D213" s="12"/>
      <c r="E213" s="12"/>
      <c r="F213" s="12"/>
      <c r="G213" s="18"/>
      <c r="H213" s="35"/>
      <c r="I213" s="12"/>
      <c r="N213" s="12"/>
      <c r="O213" s="18"/>
      <c r="P213" s="12"/>
      <c r="Q213" s="12"/>
      <c r="R213" s="12"/>
      <c r="S213" s="36"/>
      <c r="T213" s="36"/>
      <c r="U213" s="12"/>
      <c r="V213" s="12"/>
      <c r="W213" s="12"/>
      <c r="X213" s="12"/>
      <c r="Y213" s="12"/>
    </row>
    <row r="214" customFormat="false" ht="15.75" hidden="false" customHeight="false" outlineLevel="0" collapsed="false">
      <c r="A214" s="12"/>
      <c r="B214" s="34"/>
      <c r="C214" s="12"/>
      <c r="D214" s="12"/>
      <c r="E214" s="12"/>
      <c r="F214" s="12"/>
      <c r="G214" s="18"/>
      <c r="H214" s="35"/>
      <c r="I214" s="12"/>
      <c r="N214" s="12"/>
      <c r="O214" s="18"/>
      <c r="P214" s="12"/>
      <c r="Q214" s="12"/>
      <c r="R214" s="12"/>
      <c r="S214" s="36"/>
      <c r="T214" s="36"/>
      <c r="U214" s="12"/>
      <c r="V214" s="12"/>
      <c r="W214" s="12"/>
      <c r="X214" s="12"/>
      <c r="Y214" s="12"/>
    </row>
    <row r="215" customFormat="false" ht="15.75" hidden="false" customHeight="false" outlineLevel="0" collapsed="false">
      <c r="A215" s="12"/>
      <c r="B215" s="34"/>
      <c r="C215" s="12"/>
      <c r="D215" s="12"/>
      <c r="E215" s="12"/>
      <c r="F215" s="12"/>
      <c r="G215" s="18"/>
      <c r="H215" s="35"/>
      <c r="I215" s="12"/>
      <c r="N215" s="12"/>
      <c r="O215" s="18"/>
      <c r="P215" s="12"/>
      <c r="Q215" s="12"/>
      <c r="R215" s="12"/>
      <c r="S215" s="36"/>
      <c r="T215" s="36"/>
      <c r="U215" s="12"/>
      <c r="V215" s="12"/>
      <c r="W215" s="12"/>
      <c r="X215" s="12"/>
      <c r="Y215" s="12"/>
    </row>
    <row r="216" customFormat="false" ht="15.75" hidden="false" customHeight="false" outlineLevel="0" collapsed="false">
      <c r="A216" s="12"/>
      <c r="B216" s="34"/>
      <c r="C216" s="12"/>
      <c r="D216" s="12"/>
      <c r="E216" s="12"/>
      <c r="F216" s="12"/>
      <c r="G216" s="18"/>
      <c r="H216" s="35"/>
      <c r="I216" s="12"/>
      <c r="N216" s="12"/>
      <c r="O216" s="18"/>
      <c r="P216" s="12"/>
      <c r="Q216" s="12"/>
      <c r="R216" s="12"/>
      <c r="S216" s="36"/>
      <c r="T216" s="36"/>
      <c r="U216" s="12"/>
      <c r="V216" s="12"/>
      <c r="W216" s="12"/>
      <c r="X216" s="12"/>
      <c r="Y216" s="12"/>
    </row>
    <row r="217" customFormat="false" ht="15.75" hidden="false" customHeight="false" outlineLevel="0" collapsed="false">
      <c r="A217" s="12"/>
      <c r="B217" s="34"/>
      <c r="C217" s="12"/>
      <c r="D217" s="12"/>
      <c r="E217" s="12"/>
      <c r="F217" s="12"/>
      <c r="G217" s="18"/>
      <c r="H217" s="35"/>
      <c r="I217" s="12"/>
      <c r="N217" s="12"/>
      <c r="O217" s="18"/>
      <c r="P217" s="12"/>
      <c r="Q217" s="12"/>
      <c r="R217" s="12"/>
      <c r="S217" s="36"/>
      <c r="T217" s="36"/>
      <c r="U217" s="12"/>
      <c r="V217" s="12"/>
      <c r="W217" s="12"/>
      <c r="X217" s="12"/>
      <c r="Y217" s="12"/>
    </row>
    <row r="218" customFormat="false" ht="15.75" hidden="false" customHeight="false" outlineLevel="0" collapsed="false">
      <c r="A218" s="12"/>
      <c r="B218" s="34"/>
      <c r="C218" s="12"/>
      <c r="D218" s="12"/>
      <c r="E218" s="12"/>
      <c r="F218" s="12"/>
      <c r="G218" s="18"/>
      <c r="H218" s="35"/>
      <c r="I218" s="12"/>
      <c r="N218" s="12"/>
      <c r="O218" s="18"/>
      <c r="P218" s="12"/>
      <c r="Q218" s="12"/>
      <c r="R218" s="12"/>
      <c r="S218" s="36"/>
      <c r="T218" s="36"/>
      <c r="U218" s="12"/>
      <c r="V218" s="12"/>
      <c r="W218" s="12"/>
      <c r="X218" s="12"/>
      <c r="Y218" s="12"/>
    </row>
    <row r="219" customFormat="false" ht="15.75" hidden="false" customHeight="false" outlineLevel="0" collapsed="false">
      <c r="A219" s="12"/>
      <c r="B219" s="34"/>
      <c r="C219" s="12"/>
      <c r="D219" s="12"/>
      <c r="E219" s="12"/>
      <c r="F219" s="12"/>
      <c r="G219" s="18"/>
      <c r="H219" s="35"/>
      <c r="I219" s="12"/>
      <c r="N219" s="12"/>
      <c r="O219" s="18"/>
      <c r="P219" s="12"/>
      <c r="Q219" s="12"/>
      <c r="R219" s="12"/>
      <c r="S219" s="36"/>
      <c r="T219" s="36"/>
      <c r="U219" s="12"/>
      <c r="V219" s="12"/>
      <c r="W219" s="12"/>
      <c r="X219" s="12"/>
      <c r="Y219" s="12"/>
    </row>
    <row r="220" customFormat="false" ht="15.75" hidden="false" customHeight="false" outlineLevel="0" collapsed="false">
      <c r="A220" s="12"/>
      <c r="B220" s="34"/>
      <c r="C220" s="12"/>
      <c r="D220" s="12"/>
      <c r="E220" s="12"/>
      <c r="F220" s="12"/>
      <c r="G220" s="18"/>
      <c r="H220" s="35"/>
      <c r="I220" s="12"/>
      <c r="N220" s="12"/>
      <c r="O220" s="18"/>
      <c r="P220" s="12"/>
      <c r="Q220" s="12"/>
      <c r="R220" s="12"/>
      <c r="S220" s="36"/>
      <c r="T220" s="36"/>
      <c r="U220" s="12"/>
      <c r="V220" s="12"/>
      <c r="W220" s="12"/>
      <c r="X220" s="12"/>
      <c r="Y220" s="12"/>
    </row>
    <row r="221" customFormat="false" ht="15.75" hidden="false" customHeight="false" outlineLevel="0" collapsed="false">
      <c r="A221" s="12"/>
      <c r="B221" s="34"/>
      <c r="C221" s="12"/>
      <c r="D221" s="12"/>
      <c r="E221" s="12"/>
      <c r="F221" s="12"/>
      <c r="G221" s="18"/>
      <c r="H221" s="35"/>
      <c r="I221" s="12"/>
      <c r="N221" s="12"/>
      <c r="O221" s="18"/>
      <c r="P221" s="12"/>
      <c r="Q221" s="12"/>
      <c r="R221" s="12"/>
      <c r="S221" s="36"/>
      <c r="T221" s="36"/>
      <c r="U221" s="12"/>
      <c r="V221" s="12"/>
      <c r="W221" s="12"/>
      <c r="X221" s="12"/>
      <c r="Y221" s="12"/>
    </row>
    <row r="222" customFormat="false" ht="15.75" hidden="false" customHeight="false" outlineLevel="0" collapsed="false">
      <c r="A222" s="12"/>
      <c r="B222" s="34"/>
      <c r="C222" s="12"/>
      <c r="D222" s="12"/>
      <c r="E222" s="12"/>
      <c r="F222" s="12"/>
      <c r="G222" s="18"/>
      <c r="H222" s="35"/>
      <c r="I222" s="12"/>
      <c r="N222" s="12"/>
      <c r="O222" s="18"/>
      <c r="P222" s="12"/>
      <c r="Q222" s="12"/>
      <c r="R222" s="12"/>
      <c r="S222" s="36"/>
      <c r="T222" s="36"/>
      <c r="U222" s="12"/>
      <c r="V222" s="12"/>
      <c r="W222" s="12"/>
      <c r="X222" s="12"/>
      <c r="Y222" s="12"/>
    </row>
    <row r="223" customFormat="false" ht="15.75" hidden="false" customHeight="false" outlineLevel="0" collapsed="false">
      <c r="A223" s="12"/>
      <c r="B223" s="34"/>
      <c r="C223" s="12"/>
      <c r="D223" s="12"/>
      <c r="E223" s="12"/>
      <c r="F223" s="12"/>
      <c r="G223" s="18"/>
      <c r="H223" s="35"/>
      <c r="I223" s="12"/>
      <c r="N223" s="12"/>
      <c r="O223" s="18"/>
      <c r="P223" s="12"/>
      <c r="Q223" s="12"/>
      <c r="R223" s="12"/>
      <c r="S223" s="36"/>
      <c r="T223" s="36"/>
      <c r="U223" s="12"/>
      <c r="V223" s="12"/>
      <c r="W223" s="12"/>
      <c r="X223" s="12"/>
      <c r="Y223" s="12"/>
    </row>
    <row r="224" customFormat="false" ht="15.75" hidden="false" customHeight="false" outlineLevel="0" collapsed="false">
      <c r="A224" s="12"/>
      <c r="B224" s="34"/>
      <c r="C224" s="12"/>
      <c r="D224" s="12"/>
      <c r="E224" s="12"/>
      <c r="F224" s="12"/>
      <c r="G224" s="18"/>
      <c r="H224" s="35"/>
      <c r="I224" s="12"/>
      <c r="N224" s="12"/>
      <c r="O224" s="18"/>
      <c r="P224" s="12"/>
      <c r="Q224" s="12"/>
      <c r="R224" s="12"/>
      <c r="S224" s="36"/>
      <c r="T224" s="36"/>
      <c r="U224" s="12"/>
      <c r="V224" s="12"/>
      <c r="W224" s="12"/>
      <c r="X224" s="12"/>
      <c r="Y224" s="12"/>
    </row>
    <row r="225" customFormat="false" ht="15.75" hidden="false" customHeight="false" outlineLevel="0" collapsed="false">
      <c r="A225" s="12"/>
      <c r="B225" s="34"/>
      <c r="C225" s="12"/>
      <c r="D225" s="12"/>
      <c r="E225" s="12"/>
      <c r="F225" s="12"/>
      <c r="G225" s="18"/>
      <c r="H225" s="35"/>
      <c r="I225" s="12"/>
      <c r="N225" s="12"/>
      <c r="O225" s="18"/>
      <c r="P225" s="12"/>
      <c r="Q225" s="12"/>
      <c r="R225" s="12"/>
      <c r="S225" s="36"/>
      <c r="T225" s="36"/>
      <c r="U225" s="12"/>
      <c r="V225" s="12"/>
      <c r="W225" s="12"/>
      <c r="X225" s="12"/>
      <c r="Y225" s="12"/>
    </row>
    <row r="226" customFormat="false" ht="15.75" hidden="false" customHeight="false" outlineLevel="0" collapsed="false">
      <c r="A226" s="12"/>
      <c r="B226" s="34"/>
      <c r="C226" s="12"/>
      <c r="D226" s="12"/>
      <c r="E226" s="12"/>
      <c r="F226" s="12"/>
      <c r="G226" s="18"/>
      <c r="H226" s="35"/>
      <c r="I226" s="12"/>
      <c r="N226" s="12"/>
      <c r="O226" s="18"/>
      <c r="P226" s="12"/>
      <c r="Q226" s="12"/>
      <c r="R226" s="12"/>
      <c r="S226" s="36"/>
      <c r="T226" s="36"/>
      <c r="U226" s="12"/>
      <c r="V226" s="12"/>
      <c r="W226" s="12"/>
      <c r="X226" s="12"/>
      <c r="Y226" s="12"/>
    </row>
    <row r="227" customFormat="false" ht="15.75" hidden="false" customHeight="false" outlineLevel="0" collapsed="false">
      <c r="A227" s="12"/>
      <c r="B227" s="34"/>
      <c r="C227" s="12"/>
      <c r="D227" s="12"/>
      <c r="E227" s="12"/>
      <c r="F227" s="12"/>
      <c r="G227" s="18"/>
      <c r="H227" s="35"/>
      <c r="I227" s="12"/>
      <c r="N227" s="12"/>
      <c r="O227" s="18"/>
      <c r="P227" s="12"/>
      <c r="Q227" s="12"/>
      <c r="R227" s="12"/>
      <c r="S227" s="36"/>
      <c r="T227" s="36"/>
      <c r="U227" s="12"/>
      <c r="V227" s="12"/>
      <c r="W227" s="12"/>
      <c r="X227" s="12"/>
      <c r="Y227" s="12"/>
    </row>
    <row r="228" customFormat="false" ht="15.75" hidden="false" customHeight="false" outlineLevel="0" collapsed="false">
      <c r="A228" s="12"/>
      <c r="B228" s="34"/>
      <c r="C228" s="12"/>
      <c r="D228" s="12"/>
      <c r="E228" s="12"/>
      <c r="F228" s="12"/>
      <c r="G228" s="18"/>
      <c r="H228" s="35"/>
      <c r="I228" s="12"/>
      <c r="N228" s="12"/>
      <c r="O228" s="18"/>
      <c r="P228" s="12"/>
      <c r="Q228" s="12"/>
      <c r="R228" s="12"/>
      <c r="S228" s="36"/>
      <c r="T228" s="36"/>
      <c r="U228" s="12"/>
      <c r="V228" s="12"/>
      <c r="W228" s="12"/>
      <c r="X228" s="12"/>
      <c r="Y228" s="12"/>
    </row>
    <row r="229" customFormat="false" ht="15.75" hidden="false" customHeight="false" outlineLevel="0" collapsed="false">
      <c r="A229" s="12"/>
      <c r="B229" s="34"/>
      <c r="C229" s="12"/>
      <c r="D229" s="12"/>
      <c r="E229" s="12"/>
      <c r="F229" s="12"/>
      <c r="G229" s="18"/>
      <c r="H229" s="35"/>
      <c r="I229" s="12"/>
      <c r="N229" s="12"/>
      <c r="O229" s="18"/>
      <c r="P229" s="12"/>
      <c r="Q229" s="12"/>
      <c r="R229" s="12"/>
      <c r="S229" s="36"/>
      <c r="T229" s="36"/>
      <c r="U229" s="12"/>
      <c r="V229" s="12"/>
      <c r="W229" s="12"/>
      <c r="X229" s="12"/>
      <c r="Y229" s="12"/>
    </row>
    <row r="230" customFormat="false" ht="15.75" hidden="false" customHeight="false" outlineLevel="0" collapsed="false">
      <c r="A230" s="12"/>
      <c r="B230" s="34"/>
      <c r="C230" s="12"/>
      <c r="D230" s="12"/>
      <c r="E230" s="12"/>
      <c r="F230" s="12"/>
      <c r="G230" s="18"/>
      <c r="H230" s="35"/>
      <c r="I230" s="12"/>
      <c r="N230" s="12"/>
      <c r="O230" s="18"/>
      <c r="P230" s="12"/>
      <c r="Q230" s="12"/>
      <c r="R230" s="12"/>
      <c r="S230" s="36"/>
      <c r="T230" s="36"/>
      <c r="U230" s="12"/>
      <c r="V230" s="12"/>
      <c r="W230" s="12"/>
      <c r="X230" s="12"/>
      <c r="Y230" s="12"/>
    </row>
    <row r="231" customFormat="false" ht="15.75" hidden="false" customHeight="false" outlineLevel="0" collapsed="false">
      <c r="A231" s="12"/>
      <c r="B231" s="34"/>
      <c r="C231" s="12"/>
      <c r="D231" s="12"/>
      <c r="E231" s="12"/>
      <c r="F231" s="12"/>
      <c r="G231" s="18"/>
      <c r="H231" s="35"/>
      <c r="I231" s="12"/>
      <c r="N231" s="12"/>
      <c r="O231" s="18"/>
      <c r="P231" s="12"/>
      <c r="Q231" s="12"/>
      <c r="R231" s="12"/>
      <c r="S231" s="36"/>
      <c r="T231" s="36"/>
      <c r="U231" s="12"/>
      <c r="V231" s="12"/>
      <c r="W231" s="12"/>
      <c r="X231" s="12"/>
      <c r="Y231" s="12"/>
    </row>
    <row r="232" customFormat="false" ht="15.75" hidden="false" customHeight="false" outlineLevel="0" collapsed="false">
      <c r="A232" s="12"/>
      <c r="B232" s="34"/>
      <c r="C232" s="12"/>
      <c r="D232" s="12"/>
      <c r="E232" s="12"/>
      <c r="F232" s="12"/>
      <c r="G232" s="18"/>
      <c r="H232" s="35"/>
      <c r="I232" s="12"/>
      <c r="N232" s="12"/>
      <c r="O232" s="18"/>
      <c r="P232" s="12"/>
      <c r="Q232" s="12"/>
      <c r="R232" s="12"/>
      <c r="S232" s="36"/>
      <c r="T232" s="36"/>
      <c r="U232" s="12"/>
      <c r="V232" s="12"/>
      <c r="W232" s="12"/>
      <c r="X232" s="12"/>
      <c r="Y232" s="12"/>
    </row>
    <row r="233" customFormat="false" ht="15.75" hidden="false" customHeight="false" outlineLevel="0" collapsed="false">
      <c r="A233" s="12"/>
      <c r="B233" s="34"/>
      <c r="C233" s="12"/>
      <c r="D233" s="12"/>
      <c r="E233" s="12"/>
      <c r="F233" s="12"/>
      <c r="G233" s="18"/>
      <c r="H233" s="35"/>
      <c r="I233" s="12"/>
      <c r="N233" s="12"/>
      <c r="O233" s="18"/>
      <c r="P233" s="12"/>
      <c r="Q233" s="12"/>
      <c r="R233" s="12"/>
      <c r="S233" s="36"/>
      <c r="T233" s="36"/>
      <c r="U233" s="12"/>
      <c r="V233" s="12"/>
      <c r="W233" s="12"/>
      <c r="X233" s="12"/>
      <c r="Y233" s="12"/>
    </row>
    <row r="234" customFormat="false" ht="15.75" hidden="false" customHeight="false" outlineLevel="0" collapsed="false">
      <c r="A234" s="12"/>
      <c r="B234" s="34"/>
      <c r="C234" s="12"/>
      <c r="D234" s="12"/>
      <c r="E234" s="12"/>
      <c r="F234" s="12"/>
      <c r="G234" s="18"/>
      <c r="H234" s="35"/>
      <c r="I234" s="12"/>
      <c r="N234" s="12"/>
      <c r="O234" s="18"/>
      <c r="P234" s="12"/>
      <c r="Q234" s="12"/>
      <c r="R234" s="12"/>
      <c r="S234" s="36"/>
      <c r="T234" s="36"/>
      <c r="U234" s="12"/>
      <c r="V234" s="12"/>
      <c r="W234" s="12"/>
      <c r="X234" s="12"/>
      <c r="Y234" s="12"/>
    </row>
    <row r="235" customFormat="false" ht="15.75" hidden="false" customHeight="false" outlineLevel="0" collapsed="false">
      <c r="A235" s="12"/>
      <c r="B235" s="34"/>
      <c r="C235" s="12"/>
      <c r="D235" s="12"/>
      <c r="E235" s="12"/>
      <c r="F235" s="12"/>
      <c r="G235" s="18"/>
      <c r="H235" s="35"/>
      <c r="I235" s="12"/>
      <c r="N235" s="12"/>
      <c r="O235" s="18"/>
      <c r="P235" s="12"/>
      <c r="Q235" s="12"/>
      <c r="R235" s="12"/>
      <c r="S235" s="36"/>
      <c r="T235" s="36"/>
      <c r="U235" s="12"/>
      <c r="V235" s="12"/>
      <c r="W235" s="12"/>
      <c r="X235" s="12"/>
      <c r="Y235" s="12"/>
    </row>
    <row r="236" customFormat="false" ht="15.75" hidden="false" customHeight="false" outlineLevel="0" collapsed="false">
      <c r="A236" s="12"/>
      <c r="B236" s="34"/>
      <c r="C236" s="12"/>
      <c r="D236" s="12"/>
      <c r="E236" s="12"/>
      <c r="F236" s="12"/>
      <c r="G236" s="18"/>
      <c r="H236" s="35"/>
      <c r="I236" s="12"/>
      <c r="N236" s="12"/>
      <c r="O236" s="18"/>
      <c r="P236" s="12"/>
      <c r="Q236" s="12"/>
      <c r="R236" s="12"/>
      <c r="S236" s="36"/>
      <c r="T236" s="36"/>
      <c r="U236" s="12"/>
      <c r="V236" s="12"/>
      <c r="W236" s="12"/>
      <c r="X236" s="12"/>
      <c r="Y236" s="12"/>
    </row>
    <row r="237" customFormat="false" ht="15.75" hidden="false" customHeight="false" outlineLevel="0" collapsed="false">
      <c r="A237" s="12"/>
      <c r="B237" s="34"/>
      <c r="C237" s="12"/>
      <c r="D237" s="12"/>
      <c r="E237" s="12"/>
      <c r="F237" s="12"/>
      <c r="G237" s="18"/>
      <c r="H237" s="35"/>
      <c r="I237" s="12"/>
      <c r="N237" s="12"/>
      <c r="O237" s="18"/>
      <c r="P237" s="12"/>
      <c r="Q237" s="12"/>
      <c r="R237" s="12"/>
      <c r="S237" s="36"/>
      <c r="T237" s="36"/>
      <c r="U237" s="12"/>
      <c r="V237" s="12"/>
      <c r="W237" s="12"/>
      <c r="X237" s="12"/>
      <c r="Y237" s="12"/>
    </row>
    <row r="238" customFormat="false" ht="15.75" hidden="false" customHeight="false" outlineLevel="0" collapsed="false">
      <c r="A238" s="12"/>
      <c r="B238" s="34"/>
      <c r="C238" s="12"/>
      <c r="D238" s="12"/>
      <c r="E238" s="12"/>
      <c r="F238" s="12"/>
      <c r="G238" s="18"/>
      <c r="H238" s="35"/>
      <c r="I238" s="12"/>
      <c r="N238" s="12"/>
      <c r="O238" s="18"/>
      <c r="P238" s="12"/>
      <c r="Q238" s="12"/>
      <c r="R238" s="12"/>
      <c r="S238" s="36"/>
      <c r="T238" s="36"/>
      <c r="U238" s="12"/>
      <c r="V238" s="12"/>
      <c r="W238" s="12"/>
      <c r="X238" s="12"/>
      <c r="Y238" s="12"/>
    </row>
    <row r="239" customFormat="false" ht="15.75" hidden="false" customHeight="false" outlineLevel="0" collapsed="false">
      <c r="A239" s="12"/>
      <c r="B239" s="34"/>
      <c r="C239" s="12"/>
      <c r="D239" s="12"/>
      <c r="E239" s="12"/>
      <c r="F239" s="12"/>
      <c r="G239" s="18"/>
      <c r="H239" s="35"/>
      <c r="I239" s="12"/>
      <c r="N239" s="12"/>
      <c r="O239" s="18"/>
      <c r="P239" s="12"/>
      <c r="Q239" s="12"/>
      <c r="R239" s="12"/>
      <c r="S239" s="36"/>
      <c r="T239" s="36"/>
      <c r="U239" s="12"/>
      <c r="V239" s="12"/>
      <c r="W239" s="12"/>
      <c r="X239" s="12"/>
      <c r="Y239" s="12"/>
    </row>
    <row r="240" customFormat="false" ht="15.75" hidden="false" customHeight="false" outlineLevel="0" collapsed="false">
      <c r="A240" s="12"/>
      <c r="B240" s="34"/>
      <c r="C240" s="12"/>
      <c r="D240" s="12"/>
      <c r="E240" s="12"/>
      <c r="F240" s="12"/>
      <c r="G240" s="18"/>
      <c r="H240" s="35"/>
      <c r="I240" s="12"/>
      <c r="N240" s="12"/>
      <c r="O240" s="18"/>
      <c r="P240" s="12"/>
      <c r="Q240" s="12"/>
      <c r="R240" s="12"/>
      <c r="S240" s="36"/>
      <c r="T240" s="36"/>
      <c r="U240" s="12"/>
      <c r="V240" s="12"/>
      <c r="W240" s="12"/>
      <c r="X240" s="12"/>
      <c r="Y240" s="12"/>
    </row>
    <row r="241" customFormat="false" ht="15.75" hidden="false" customHeight="false" outlineLevel="0" collapsed="false">
      <c r="A241" s="12"/>
      <c r="B241" s="34"/>
      <c r="C241" s="12"/>
      <c r="D241" s="12"/>
      <c r="E241" s="12"/>
      <c r="F241" s="12"/>
      <c r="G241" s="18"/>
      <c r="H241" s="35"/>
      <c r="I241" s="12"/>
      <c r="N241" s="12"/>
      <c r="O241" s="18"/>
      <c r="P241" s="12"/>
      <c r="Q241" s="12"/>
      <c r="R241" s="12"/>
      <c r="S241" s="36"/>
      <c r="T241" s="36"/>
      <c r="U241" s="12"/>
      <c r="V241" s="12"/>
      <c r="W241" s="12"/>
      <c r="X241" s="12"/>
      <c r="Y241" s="12"/>
    </row>
    <row r="242" customFormat="false" ht="15.75" hidden="false" customHeight="false" outlineLevel="0" collapsed="false">
      <c r="A242" s="12"/>
      <c r="B242" s="34"/>
      <c r="C242" s="12"/>
      <c r="D242" s="12"/>
      <c r="E242" s="12"/>
      <c r="F242" s="12"/>
      <c r="G242" s="18"/>
      <c r="H242" s="35"/>
      <c r="I242" s="12"/>
      <c r="N242" s="12"/>
      <c r="O242" s="18"/>
      <c r="P242" s="12"/>
      <c r="Q242" s="12"/>
      <c r="R242" s="12"/>
      <c r="S242" s="36"/>
      <c r="T242" s="36"/>
      <c r="U242" s="12"/>
      <c r="V242" s="12"/>
      <c r="W242" s="12"/>
      <c r="X242" s="12"/>
      <c r="Y242" s="12"/>
    </row>
    <row r="243" customFormat="false" ht="15.75" hidden="false" customHeight="false" outlineLevel="0" collapsed="false">
      <c r="A243" s="12"/>
      <c r="B243" s="34"/>
      <c r="C243" s="12"/>
      <c r="D243" s="12"/>
      <c r="E243" s="12"/>
      <c r="F243" s="12"/>
      <c r="G243" s="18"/>
      <c r="H243" s="35"/>
      <c r="I243" s="12"/>
      <c r="N243" s="12"/>
      <c r="O243" s="18"/>
      <c r="P243" s="12"/>
      <c r="Q243" s="12"/>
      <c r="R243" s="12"/>
      <c r="S243" s="36"/>
      <c r="T243" s="36"/>
      <c r="U243" s="12"/>
      <c r="V243" s="12"/>
      <c r="W243" s="12"/>
      <c r="X243" s="12"/>
      <c r="Y243" s="12"/>
    </row>
    <row r="244" customFormat="false" ht="15.75" hidden="false" customHeight="false" outlineLevel="0" collapsed="false">
      <c r="A244" s="12"/>
      <c r="B244" s="34"/>
      <c r="C244" s="12"/>
      <c r="D244" s="12"/>
      <c r="E244" s="12"/>
      <c r="F244" s="12"/>
      <c r="G244" s="18"/>
      <c r="H244" s="35"/>
      <c r="I244" s="12"/>
      <c r="N244" s="12"/>
      <c r="O244" s="18"/>
      <c r="P244" s="12"/>
      <c r="Q244" s="12"/>
      <c r="R244" s="12"/>
      <c r="S244" s="36"/>
      <c r="T244" s="36"/>
      <c r="U244" s="12"/>
      <c r="V244" s="12"/>
      <c r="W244" s="12"/>
      <c r="X244" s="12"/>
      <c r="Y244" s="12"/>
    </row>
    <row r="245" customFormat="false" ht="15.75" hidden="false" customHeight="false" outlineLevel="0" collapsed="false">
      <c r="A245" s="12"/>
      <c r="B245" s="34"/>
      <c r="C245" s="12"/>
      <c r="D245" s="12"/>
      <c r="E245" s="12"/>
      <c r="F245" s="12"/>
      <c r="G245" s="18"/>
      <c r="H245" s="35"/>
      <c r="I245" s="12"/>
      <c r="N245" s="12"/>
      <c r="O245" s="18"/>
      <c r="P245" s="12"/>
      <c r="Q245" s="12"/>
      <c r="R245" s="12"/>
      <c r="S245" s="36"/>
      <c r="T245" s="36"/>
      <c r="U245" s="12"/>
      <c r="V245" s="12"/>
      <c r="W245" s="12"/>
      <c r="X245" s="12"/>
      <c r="Y245" s="12"/>
    </row>
    <row r="246" customFormat="false" ht="15.75" hidden="false" customHeight="false" outlineLevel="0" collapsed="false">
      <c r="A246" s="12"/>
      <c r="B246" s="34"/>
      <c r="C246" s="12"/>
      <c r="D246" s="12"/>
      <c r="E246" s="12"/>
      <c r="F246" s="12"/>
      <c r="G246" s="18"/>
      <c r="H246" s="35"/>
      <c r="I246" s="12"/>
      <c r="N246" s="12"/>
      <c r="O246" s="18"/>
      <c r="P246" s="12"/>
      <c r="Q246" s="12"/>
      <c r="R246" s="12"/>
      <c r="S246" s="36"/>
      <c r="T246" s="36"/>
      <c r="U246" s="12"/>
      <c r="V246" s="12"/>
      <c r="W246" s="12"/>
      <c r="X246" s="12"/>
      <c r="Y246" s="12"/>
    </row>
    <row r="247" customFormat="false" ht="15.75" hidden="false" customHeight="false" outlineLevel="0" collapsed="false">
      <c r="A247" s="12"/>
      <c r="B247" s="34"/>
      <c r="C247" s="12"/>
      <c r="D247" s="12"/>
      <c r="E247" s="12"/>
      <c r="F247" s="12"/>
      <c r="G247" s="18"/>
      <c r="H247" s="35"/>
      <c r="I247" s="12"/>
      <c r="N247" s="12"/>
      <c r="O247" s="18"/>
      <c r="P247" s="12"/>
      <c r="Q247" s="12"/>
      <c r="R247" s="12"/>
      <c r="S247" s="36"/>
      <c r="T247" s="36"/>
      <c r="U247" s="12"/>
      <c r="V247" s="12"/>
      <c r="W247" s="12"/>
      <c r="X247" s="12"/>
      <c r="Y247" s="12"/>
    </row>
    <row r="248" customFormat="false" ht="15.75" hidden="false" customHeight="false" outlineLevel="0" collapsed="false">
      <c r="A248" s="12"/>
      <c r="B248" s="34"/>
      <c r="C248" s="12"/>
      <c r="D248" s="12"/>
      <c r="E248" s="12"/>
      <c r="F248" s="12"/>
      <c r="G248" s="18"/>
      <c r="H248" s="35"/>
      <c r="I248" s="12"/>
      <c r="N248" s="12"/>
      <c r="O248" s="18"/>
      <c r="P248" s="12"/>
      <c r="Q248" s="12"/>
      <c r="R248" s="12"/>
      <c r="S248" s="36"/>
      <c r="T248" s="36"/>
      <c r="U248" s="12"/>
      <c r="V248" s="12"/>
      <c r="W248" s="12"/>
      <c r="X248" s="12"/>
      <c r="Y248" s="12"/>
    </row>
    <row r="249" customFormat="false" ht="15.75" hidden="false" customHeight="false" outlineLevel="0" collapsed="false">
      <c r="A249" s="12"/>
      <c r="B249" s="34"/>
      <c r="C249" s="12"/>
      <c r="D249" s="12"/>
      <c r="E249" s="12"/>
      <c r="F249" s="12"/>
      <c r="G249" s="18"/>
      <c r="H249" s="35"/>
      <c r="I249" s="12"/>
      <c r="N249" s="12"/>
      <c r="O249" s="18"/>
      <c r="P249" s="12"/>
      <c r="Q249" s="12"/>
      <c r="R249" s="12"/>
      <c r="S249" s="36"/>
      <c r="T249" s="36"/>
      <c r="U249" s="12"/>
      <c r="V249" s="12"/>
      <c r="W249" s="12"/>
      <c r="X249" s="12"/>
      <c r="Y249" s="12"/>
    </row>
    <row r="250" customFormat="false" ht="15.75" hidden="false" customHeight="false" outlineLevel="0" collapsed="false">
      <c r="A250" s="12"/>
      <c r="B250" s="34"/>
      <c r="C250" s="12"/>
      <c r="D250" s="12"/>
      <c r="E250" s="12"/>
      <c r="F250" s="12"/>
      <c r="G250" s="18"/>
      <c r="H250" s="35"/>
      <c r="I250" s="12"/>
      <c r="N250" s="12"/>
      <c r="O250" s="18"/>
      <c r="P250" s="12"/>
      <c r="Q250" s="12"/>
      <c r="R250" s="12"/>
      <c r="S250" s="36"/>
      <c r="T250" s="36"/>
      <c r="U250" s="12"/>
      <c r="V250" s="12"/>
      <c r="W250" s="12"/>
      <c r="X250" s="12"/>
      <c r="Y250" s="12"/>
    </row>
    <row r="251" customFormat="false" ht="15.75" hidden="false" customHeight="false" outlineLevel="0" collapsed="false">
      <c r="A251" s="12"/>
      <c r="B251" s="34"/>
      <c r="C251" s="12"/>
      <c r="D251" s="12"/>
      <c r="E251" s="12"/>
      <c r="F251" s="12"/>
      <c r="G251" s="18"/>
      <c r="H251" s="35"/>
      <c r="I251" s="12"/>
      <c r="N251" s="12"/>
      <c r="O251" s="18"/>
      <c r="P251" s="12"/>
      <c r="Q251" s="12"/>
      <c r="R251" s="12"/>
      <c r="S251" s="36"/>
      <c r="T251" s="36"/>
      <c r="U251" s="12"/>
      <c r="V251" s="12"/>
      <c r="W251" s="12"/>
      <c r="X251" s="12"/>
      <c r="Y251" s="12"/>
    </row>
    <row r="252" customFormat="false" ht="15.75" hidden="false" customHeight="false" outlineLevel="0" collapsed="false">
      <c r="A252" s="12"/>
      <c r="B252" s="34"/>
      <c r="C252" s="12"/>
      <c r="D252" s="12"/>
      <c r="E252" s="12"/>
      <c r="F252" s="12"/>
      <c r="G252" s="18"/>
      <c r="H252" s="35"/>
      <c r="I252" s="12"/>
      <c r="N252" s="12"/>
      <c r="O252" s="18"/>
      <c r="P252" s="12"/>
      <c r="Q252" s="12"/>
      <c r="R252" s="12"/>
      <c r="S252" s="36"/>
      <c r="T252" s="36"/>
      <c r="U252" s="12"/>
      <c r="V252" s="12"/>
      <c r="W252" s="12"/>
      <c r="X252" s="12"/>
      <c r="Y252" s="12"/>
    </row>
    <row r="253" customFormat="false" ht="15.75" hidden="false" customHeight="false" outlineLevel="0" collapsed="false">
      <c r="A253" s="12"/>
      <c r="B253" s="34"/>
      <c r="C253" s="12"/>
      <c r="D253" s="12"/>
      <c r="E253" s="12"/>
      <c r="F253" s="12"/>
      <c r="G253" s="18"/>
      <c r="H253" s="35"/>
      <c r="I253" s="12"/>
      <c r="N253" s="12"/>
      <c r="O253" s="18"/>
      <c r="P253" s="12"/>
      <c r="Q253" s="12"/>
      <c r="R253" s="12"/>
      <c r="S253" s="36"/>
      <c r="T253" s="36"/>
      <c r="U253" s="12"/>
      <c r="V253" s="12"/>
      <c r="W253" s="12"/>
      <c r="X253" s="12"/>
      <c r="Y253" s="12"/>
    </row>
    <row r="254" customFormat="false" ht="15.75" hidden="false" customHeight="false" outlineLevel="0" collapsed="false">
      <c r="A254" s="12"/>
      <c r="B254" s="34"/>
      <c r="C254" s="12"/>
      <c r="D254" s="12"/>
      <c r="E254" s="12"/>
      <c r="F254" s="12"/>
      <c r="G254" s="18"/>
      <c r="H254" s="35"/>
      <c r="I254" s="12"/>
      <c r="N254" s="12"/>
      <c r="O254" s="18"/>
      <c r="P254" s="12"/>
      <c r="Q254" s="12"/>
      <c r="R254" s="12"/>
      <c r="S254" s="36"/>
      <c r="T254" s="36"/>
      <c r="U254" s="12"/>
      <c r="V254" s="12"/>
      <c r="W254" s="12"/>
      <c r="X254" s="12"/>
      <c r="Y254" s="12"/>
    </row>
    <row r="255" customFormat="false" ht="15.75" hidden="false" customHeight="false" outlineLevel="0" collapsed="false">
      <c r="A255" s="12"/>
      <c r="B255" s="34"/>
      <c r="C255" s="12"/>
      <c r="D255" s="12"/>
      <c r="E255" s="12"/>
      <c r="F255" s="12"/>
      <c r="G255" s="18"/>
      <c r="H255" s="35"/>
      <c r="I255" s="12"/>
      <c r="N255" s="12"/>
      <c r="O255" s="18"/>
      <c r="P255" s="12"/>
      <c r="Q255" s="12"/>
      <c r="R255" s="12"/>
      <c r="S255" s="36"/>
      <c r="T255" s="36"/>
      <c r="U255" s="12"/>
      <c r="V255" s="12"/>
      <c r="W255" s="12"/>
      <c r="X255" s="12"/>
      <c r="Y255" s="12"/>
    </row>
    <row r="256" customFormat="false" ht="15.75" hidden="false" customHeight="false" outlineLevel="0" collapsed="false">
      <c r="A256" s="12"/>
      <c r="B256" s="34"/>
      <c r="C256" s="12"/>
      <c r="D256" s="12"/>
      <c r="E256" s="12"/>
      <c r="F256" s="12"/>
      <c r="G256" s="18"/>
      <c r="H256" s="35"/>
      <c r="I256" s="12"/>
      <c r="N256" s="12"/>
      <c r="O256" s="18"/>
      <c r="P256" s="12"/>
      <c r="Q256" s="12"/>
      <c r="R256" s="12"/>
      <c r="S256" s="36"/>
      <c r="T256" s="36"/>
      <c r="U256" s="12"/>
      <c r="V256" s="12"/>
      <c r="W256" s="12"/>
      <c r="X256" s="12"/>
      <c r="Y256" s="12"/>
    </row>
    <row r="257" customFormat="false" ht="15.75" hidden="false" customHeight="false" outlineLevel="0" collapsed="false">
      <c r="A257" s="12"/>
      <c r="B257" s="34"/>
      <c r="C257" s="12"/>
      <c r="D257" s="12"/>
      <c r="E257" s="12"/>
      <c r="F257" s="12"/>
      <c r="G257" s="18"/>
      <c r="H257" s="35"/>
      <c r="I257" s="12"/>
      <c r="N257" s="12"/>
      <c r="O257" s="18"/>
      <c r="P257" s="12"/>
      <c r="Q257" s="12"/>
      <c r="R257" s="12"/>
      <c r="S257" s="36"/>
      <c r="T257" s="36"/>
      <c r="U257" s="12"/>
      <c r="V257" s="12"/>
      <c r="W257" s="12"/>
      <c r="X257" s="12"/>
      <c r="Y257" s="12"/>
    </row>
    <row r="258" customFormat="false" ht="15.75" hidden="false" customHeight="false" outlineLevel="0" collapsed="false">
      <c r="A258" s="12"/>
      <c r="B258" s="34"/>
      <c r="C258" s="12"/>
      <c r="D258" s="12"/>
      <c r="E258" s="12"/>
      <c r="F258" s="12"/>
      <c r="G258" s="18"/>
      <c r="H258" s="35"/>
      <c r="I258" s="12"/>
      <c r="N258" s="12"/>
      <c r="O258" s="18"/>
      <c r="P258" s="12"/>
      <c r="Q258" s="12"/>
      <c r="R258" s="12"/>
      <c r="S258" s="36"/>
      <c r="T258" s="36"/>
      <c r="U258" s="12"/>
      <c r="V258" s="12"/>
      <c r="W258" s="12"/>
      <c r="X258" s="12"/>
      <c r="Y258" s="12"/>
    </row>
    <row r="259" customFormat="false" ht="15.75" hidden="false" customHeight="false" outlineLevel="0" collapsed="false">
      <c r="A259" s="12"/>
      <c r="B259" s="34"/>
      <c r="C259" s="12"/>
      <c r="D259" s="12"/>
      <c r="E259" s="12"/>
      <c r="F259" s="12"/>
      <c r="G259" s="18"/>
      <c r="H259" s="35"/>
      <c r="I259" s="12"/>
      <c r="N259" s="12"/>
      <c r="O259" s="18"/>
      <c r="P259" s="12"/>
      <c r="Q259" s="12"/>
      <c r="R259" s="12"/>
      <c r="S259" s="36"/>
      <c r="T259" s="36"/>
      <c r="U259" s="12"/>
      <c r="V259" s="12"/>
      <c r="W259" s="12"/>
      <c r="X259" s="12"/>
      <c r="Y259" s="12"/>
    </row>
    <row r="260" customFormat="false" ht="15.75" hidden="false" customHeight="false" outlineLevel="0" collapsed="false">
      <c r="A260" s="12"/>
      <c r="B260" s="34"/>
      <c r="C260" s="12"/>
      <c r="D260" s="12"/>
      <c r="E260" s="12"/>
      <c r="F260" s="12"/>
      <c r="G260" s="18"/>
      <c r="H260" s="35"/>
      <c r="I260" s="12"/>
      <c r="N260" s="12"/>
      <c r="O260" s="18"/>
      <c r="P260" s="12"/>
      <c r="Q260" s="12"/>
      <c r="R260" s="12"/>
      <c r="S260" s="36"/>
      <c r="T260" s="36"/>
      <c r="U260" s="12"/>
      <c r="V260" s="12"/>
      <c r="W260" s="12"/>
      <c r="X260" s="12"/>
      <c r="Y260" s="12"/>
    </row>
    <row r="261" customFormat="false" ht="15.75" hidden="false" customHeight="false" outlineLevel="0" collapsed="false">
      <c r="A261" s="12"/>
      <c r="B261" s="34"/>
      <c r="C261" s="12"/>
      <c r="D261" s="12"/>
      <c r="E261" s="12"/>
      <c r="F261" s="12"/>
      <c r="G261" s="18"/>
      <c r="H261" s="35"/>
      <c r="I261" s="12"/>
      <c r="N261" s="12"/>
      <c r="O261" s="18"/>
      <c r="P261" s="12"/>
      <c r="Q261" s="12"/>
      <c r="R261" s="12"/>
      <c r="S261" s="36"/>
      <c r="T261" s="36"/>
      <c r="U261" s="12"/>
      <c r="V261" s="12"/>
      <c r="W261" s="12"/>
      <c r="X261" s="12"/>
      <c r="Y261" s="12"/>
    </row>
    <row r="262" customFormat="false" ht="15.75" hidden="false" customHeight="false" outlineLevel="0" collapsed="false">
      <c r="A262" s="12"/>
      <c r="B262" s="34"/>
      <c r="C262" s="12"/>
      <c r="D262" s="12"/>
      <c r="E262" s="12"/>
      <c r="F262" s="12"/>
      <c r="G262" s="18"/>
      <c r="H262" s="35"/>
      <c r="I262" s="12"/>
      <c r="N262" s="12"/>
      <c r="O262" s="18"/>
      <c r="P262" s="12"/>
      <c r="Q262" s="12"/>
      <c r="R262" s="12"/>
      <c r="S262" s="36"/>
      <c r="T262" s="36"/>
      <c r="U262" s="12"/>
      <c r="V262" s="12"/>
      <c r="W262" s="12"/>
      <c r="X262" s="12"/>
      <c r="Y262" s="12"/>
    </row>
    <row r="263" customFormat="false" ht="15.75" hidden="false" customHeight="false" outlineLevel="0" collapsed="false">
      <c r="A263" s="12"/>
      <c r="B263" s="34"/>
      <c r="C263" s="12"/>
      <c r="D263" s="12"/>
      <c r="E263" s="12"/>
      <c r="F263" s="12"/>
      <c r="G263" s="18"/>
      <c r="H263" s="35"/>
      <c r="I263" s="12"/>
      <c r="N263" s="12"/>
      <c r="O263" s="18"/>
      <c r="P263" s="12"/>
      <c r="Q263" s="12"/>
      <c r="R263" s="12"/>
      <c r="S263" s="36"/>
      <c r="T263" s="36"/>
      <c r="U263" s="12"/>
      <c r="V263" s="12"/>
      <c r="W263" s="12"/>
      <c r="X263" s="12"/>
      <c r="Y263" s="12"/>
    </row>
    <row r="264" customFormat="false" ht="15.75" hidden="false" customHeight="false" outlineLevel="0" collapsed="false">
      <c r="A264" s="12"/>
      <c r="B264" s="34"/>
      <c r="C264" s="12"/>
      <c r="D264" s="12"/>
      <c r="E264" s="12"/>
      <c r="F264" s="12"/>
      <c r="G264" s="18"/>
      <c r="H264" s="35"/>
      <c r="I264" s="12"/>
      <c r="N264" s="12"/>
      <c r="O264" s="18"/>
      <c r="P264" s="12"/>
      <c r="Q264" s="12"/>
      <c r="R264" s="12"/>
      <c r="S264" s="36"/>
      <c r="T264" s="36"/>
      <c r="U264" s="12"/>
      <c r="V264" s="12"/>
      <c r="W264" s="12"/>
      <c r="X264" s="12"/>
      <c r="Y264" s="12"/>
    </row>
    <row r="265" customFormat="false" ht="15.75" hidden="false" customHeight="false" outlineLevel="0" collapsed="false">
      <c r="A265" s="12"/>
      <c r="B265" s="34"/>
      <c r="C265" s="12"/>
      <c r="D265" s="12"/>
      <c r="E265" s="12"/>
      <c r="F265" s="12"/>
      <c r="G265" s="18"/>
      <c r="H265" s="35"/>
      <c r="I265" s="12"/>
      <c r="N265" s="12"/>
      <c r="O265" s="18"/>
      <c r="P265" s="12"/>
      <c r="Q265" s="12"/>
      <c r="R265" s="12"/>
      <c r="S265" s="36"/>
      <c r="T265" s="36"/>
      <c r="U265" s="12"/>
      <c r="V265" s="12"/>
      <c r="W265" s="12"/>
      <c r="X265" s="12"/>
      <c r="Y265" s="12"/>
    </row>
    <row r="266" customFormat="false" ht="15.75" hidden="false" customHeight="false" outlineLevel="0" collapsed="false">
      <c r="A266" s="12"/>
      <c r="B266" s="34"/>
      <c r="C266" s="12"/>
      <c r="D266" s="12"/>
      <c r="E266" s="12"/>
      <c r="F266" s="12"/>
      <c r="G266" s="18"/>
      <c r="H266" s="35"/>
      <c r="I266" s="12"/>
      <c r="N266" s="12"/>
      <c r="O266" s="18"/>
      <c r="P266" s="12"/>
      <c r="Q266" s="12"/>
      <c r="R266" s="12"/>
      <c r="S266" s="36"/>
      <c r="T266" s="36"/>
      <c r="U266" s="12"/>
      <c r="V266" s="12"/>
      <c r="W266" s="12"/>
      <c r="X266" s="12"/>
      <c r="Y266" s="12"/>
    </row>
    <row r="267" customFormat="false" ht="15.75" hidden="false" customHeight="false" outlineLevel="0" collapsed="false">
      <c r="A267" s="12"/>
      <c r="B267" s="34"/>
      <c r="C267" s="12"/>
      <c r="D267" s="12"/>
      <c r="E267" s="12"/>
      <c r="F267" s="12"/>
      <c r="G267" s="18"/>
      <c r="H267" s="35"/>
      <c r="I267" s="12"/>
      <c r="N267" s="12"/>
      <c r="O267" s="18"/>
      <c r="P267" s="12"/>
      <c r="Q267" s="12"/>
      <c r="R267" s="12"/>
      <c r="S267" s="36"/>
      <c r="T267" s="36"/>
      <c r="U267" s="12"/>
      <c r="V267" s="12"/>
      <c r="W267" s="12"/>
      <c r="X267" s="12"/>
      <c r="Y267" s="12"/>
    </row>
    <row r="268" customFormat="false" ht="15.75" hidden="false" customHeight="false" outlineLevel="0" collapsed="false">
      <c r="A268" s="12"/>
      <c r="B268" s="34"/>
      <c r="C268" s="12"/>
      <c r="D268" s="12"/>
      <c r="E268" s="12"/>
      <c r="F268" s="12"/>
      <c r="G268" s="18"/>
      <c r="H268" s="35"/>
      <c r="I268" s="12"/>
      <c r="N268" s="12"/>
      <c r="O268" s="18"/>
      <c r="P268" s="12"/>
      <c r="Q268" s="12"/>
      <c r="R268" s="12"/>
      <c r="S268" s="36"/>
      <c r="T268" s="36"/>
      <c r="U268" s="12"/>
      <c r="V268" s="12"/>
      <c r="W268" s="12"/>
      <c r="X268" s="12"/>
      <c r="Y268" s="12"/>
    </row>
    <row r="269" customFormat="false" ht="15.75" hidden="false" customHeight="false" outlineLevel="0" collapsed="false">
      <c r="A269" s="12"/>
      <c r="B269" s="34"/>
      <c r="C269" s="12"/>
      <c r="D269" s="12"/>
      <c r="E269" s="12"/>
      <c r="F269" s="12"/>
      <c r="G269" s="18"/>
      <c r="H269" s="35"/>
      <c r="I269" s="12"/>
      <c r="N269" s="12"/>
      <c r="O269" s="18"/>
      <c r="P269" s="12"/>
      <c r="Q269" s="12"/>
      <c r="R269" s="12"/>
      <c r="S269" s="36"/>
      <c r="T269" s="36"/>
      <c r="U269" s="12"/>
      <c r="V269" s="12"/>
      <c r="W269" s="12"/>
      <c r="X269" s="12"/>
      <c r="Y269" s="12"/>
    </row>
    <row r="270" customFormat="false" ht="15.75" hidden="false" customHeight="false" outlineLevel="0" collapsed="false">
      <c r="A270" s="12"/>
      <c r="B270" s="34"/>
      <c r="C270" s="12"/>
      <c r="D270" s="12"/>
      <c r="E270" s="12"/>
      <c r="F270" s="12"/>
      <c r="G270" s="18"/>
      <c r="H270" s="35"/>
      <c r="I270" s="12"/>
      <c r="N270" s="12"/>
      <c r="O270" s="18"/>
      <c r="P270" s="12"/>
      <c r="Q270" s="12"/>
      <c r="R270" s="12"/>
      <c r="S270" s="36"/>
      <c r="T270" s="36"/>
      <c r="U270" s="12"/>
      <c r="V270" s="12"/>
      <c r="W270" s="12"/>
      <c r="X270" s="12"/>
      <c r="Y270" s="12"/>
    </row>
    <row r="271" customFormat="false" ht="15.75" hidden="false" customHeight="false" outlineLevel="0" collapsed="false">
      <c r="A271" s="12"/>
      <c r="B271" s="34"/>
      <c r="C271" s="12"/>
      <c r="D271" s="12"/>
      <c r="E271" s="12"/>
      <c r="F271" s="12"/>
      <c r="G271" s="18"/>
      <c r="H271" s="35"/>
      <c r="I271" s="12"/>
      <c r="N271" s="12"/>
      <c r="O271" s="18"/>
      <c r="P271" s="12"/>
      <c r="Q271" s="12"/>
      <c r="R271" s="12"/>
      <c r="S271" s="36"/>
      <c r="T271" s="36"/>
      <c r="U271" s="12"/>
      <c r="V271" s="12"/>
      <c r="W271" s="12"/>
      <c r="X271" s="12"/>
      <c r="Y271" s="12"/>
    </row>
    <row r="272" customFormat="false" ht="15.75" hidden="false" customHeight="false" outlineLevel="0" collapsed="false">
      <c r="A272" s="12"/>
      <c r="B272" s="34"/>
      <c r="C272" s="12"/>
      <c r="D272" s="12"/>
      <c r="E272" s="12"/>
      <c r="F272" s="12"/>
      <c r="G272" s="18"/>
      <c r="H272" s="35"/>
      <c r="I272" s="12"/>
      <c r="N272" s="12"/>
      <c r="O272" s="18"/>
      <c r="P272" s="12"/>
      <c r="Q272" s="12"/>
      <c r="R272" s="12"/>
      <c r="S272" s="36"/>
      <c r="T272" s="36"/>
      <c r="U272" s="12"/>
      <c r="V272" s="12"/>
      <c r="W272" s="12"/>
      <c r="X272" s="12"/>
      <c r="Y272" s="12"/>
    </row>
    <row r="273" customFormat="false" ht="15.75" hidden="false" customHeight="false" outlineLevel="0" collapsed="false">
      <c r="A273" s="12"/>
      <c r="B273" s="34"/>
      <c r="C273" s="12"/>
      <c r="D273" s="12"/>
      <c r="E273" s="12"/>
      <c r="F273" s="12"/>
      <c r="G273" s="18"/>
      <c r="H273" s="35"/>
      <c r="I273" s="12"/>
      <c r="N273" s="12"/>
      <c r="O273" s="18"/>
      <c r="P273" s="12"/>
      <c r="Q273" s="12"/>
      <c r="R273" s="12"/>
      <c r="S273" s="36"/>
      <c r="T273" s="36"/>
      <c r="U273" s="12"/>
      <c r="V273" s="12"/>
      <c r="W273" s="12"/>
      <c r="X273" s="12"/>
      <c r="Y273" s="12"/>
    </row>
    <row r="274" customFormat="false" ht="15.75" hidden="false" customHeight="false" outlineLevel="0" collapsed="false">
      <c r="A274" s="12"/>
      <c r="B274" s="34"/>
      <c r="C274" s="12"/>
      <c r="D274" s="12"/>
      <c r="E274" s="12"/>
      <c r="F274" s="12"/>
      <c r="G274" s="18"/>
      <c r="H274" s="35"/>
      <c r="I274" s="12"/>
      <c r="N274" s="12"/>
      <c r="O274" s="18"/>
      <c r="P274" s="12"/>
      <c r="Q274" s="12"/>
      <c r="R274" s="12"/>
      <c r="S274" s="36"/>
      <c r="T274" s="36"/>
      <c r="U274" s="12"/>
      <c r="V274" s="12"/>
      <c r="W274" s="12"/>
      <c r="X274" s="12"/>
      <c r="Y274" s="12"/>
    </row>
    <row r="275" customFormat="false" ht="15.75" hidden="false" customHeight="false" outlineLevel="0" collapsed="false">
      <c r="A275" s="12"/>
      <c r="B275" s="34"/>
      <c r="C275" s="12"/>
      <c r="D275" s="12"/>
      <c r="E275" s="12"/>
      <c r="F275" s="12"/>
      <c r="G275" s="18"/>
      <c r="H275" s="35"/>
      <c r="I275" s="12"/>
      <c r="N275" s="12"/>
      <c r="O275" s="18"/>
      <c r="P275" s="12"/>
      <c r="Q275" s="12"/>
      <c r="R275" s="12"/>
      <c r="S275" s="36"/>
      <c r="T275" s="36"/>
      <c r="U275" s="12"/>
      <c r="V275" s="12"/>
      <c r="W275" s="12"/>
      <c r="X275" s="12"/>
      <c r="Y275" s="12"/>
    </row>
    <row r="276" customFormat="false" ht="15.75" hidden="false" customHeight="false" outlineLevel="0" collapsed="false">
      <c r="A276" s="12"/>
      <c r="B276" s="34"/>
      <c r="C276" s="12"/>
      <c r="D276" s="12"/>
      <c r="E276" s="12"/>
      <c r="F276" s="12"/>
      <c r="G276" s="18"/>
      <c r="H276" s="35"/>
      <c r="I276" s="12"/>
      <c r="N276" s="12"/>
      <c r="O276" s="18"/>
      <c r="P276" s="12"/>
      <c r="Q276" s="12"/>
      <c r="R276" s="12"/>
      <c r="S276" s="36"/>
      <c r="T276" s="36"/>
      <c r="U276" s="12"/>
      <c r="V276" s="12"/>
      <c r="W276" s="12"/>
      <c r="X276" s="12"/>
      <c r="Y276" s="12"/>
    </row>
    <row r="277" customFormat="false" ht="15.75" hidden="false" customHeight="false" outlineLevel="0" collapsed="false">
      <c r="A277" s="12"/>
      <c r="B277" s="34"/>
      <c r="C277" s="12"/>
      <c r="D277" s="12"/>
      <c r="E277" s="12"/>
      <c r="F277" s="12"/>
      <c r="G277" s="18"/>
      <c r="H277" s="35"/>
      <c r="I277" s="12"/>
      <c r="N277" s="12"/>
      <c r="O277" s="18"/>
      <c r="P277" s="12"/>
      <c r="Q277" s="12"/>
      <c r="R277" s="12"/>
      <c r="S277" s="36"/>
      <c r="T277" s="36"/>
      <c r="U277" s="12"/>
      <c r="V277" s="12"/>
      <c r="W277" s="12"/>
      <c r="X277" s="12"/>
      <c r="Y277" s="12"/>
    </row>
    <row r="278" customFormat="false" ht="15.75" hidden="false" customHeight="false" outlineLevel="0" collapsed="false">
      <c r="A278" s="12"/>
      <c r="B278" s="34"/>
      <c r="C278" s="12"/>
      <c r="D278" s="12"/>
      <c r="E278" s="12"/>
      <c r="F278" s="12"/>
      <c r="G278" s="18"/>
      <c r="H278" s="35"/>
      <c r="I278" s="12"/>
      <c r="N278" s="12"/>
      <c r="O278" s="18"/>
      <c r="P278" s="12"/>
      <c r="Q278" s="12"/>
      <c r="R278" s="12"/>
      <c r="S278" s="36"/>
      <c r="T278" s="36"/>
      <c r="U278" s="12"/>
      <c r="V278" s="12"/>
      <c r="W278" s="12"/>
      <c r="X278" s="12"/>
      <c r="Y278" s="12"/>
    </row>
    <row r="279" customFormat="false" ht="15.75" hidden="false" customHeight="false" outlineLevel="0" collapsed="false">
      <c r="A279" s="12"/>
      <c r="B279" s="34"/>
      <c r="C279" s="12"/>
      <c r="D279" s="12"/>
      <c r="E279" s="12"/>
      <c r="F279" s="12"/>
      <c r="G279" s="18"/>
      <c r="H279" s="35"/>
      <c r="I279" s="12"/>
      <c r="N279" s="12"/>
      <c r="O279" s="18"/>
      <c r="P279" s="12"/>
      <c r="Q279" s="12"/>
      <c r="R279" s="12"/>
      <c r="S279" s="36"/>
      <c r="T279" s="36"/>
      <c r="U279" s="12"/>
      <c r="V279" s="12"/>
      <c r="W279" s="12"/>
      <c r="X279" s="12"/>
      <c r="Y279" s="12"/>
    </row>
    <row r="280" customFormat="false" ht="15.75" hidden="false" customHeight="false" outlineLevel="0" collapsed="false">
      <c r="A280" s="12"/>
      <c r="B280" s="34"/>
      <c r="C280" s="12"/>
      <c r="D280" s="12"/>
      <c r="E280" s="12"/>
      <c r="F280" s="12"/>
      <c r="G280" s="18"/>
      <c r="H280" s="35"/>
      <c r="I280" s="12"/>
      <c r="N280" s="12"/>
      <c r="O280" s="18"/>
      <c r="P280" s="12"/>
      <c r="Q280" s="12"/>
      <c r="R280" s="12"/>
      <c r="S280" s="36"/>
      <c r="T280" s="36"/>
      <c r="U280" s="12"/>
      <c r="V280" s="12"/>
      <c r="W280" s="12"/>
      <c r="X280" s="12"/>
      <c r="Y280" s="12"/>
    </row>
    <row r="281" customFormat="false" ht="15.75" hidden="false" customHeight="false" outlineLevel="0" collapsed="false">
      <c r="A281" s="12"/>
      <c r="B281" s="34"/>
      <c r="C281" s="12"/>
      <c r="D281" s="12"/>
      <c r="E281" s="12"/>
      <c r="F281" s="12"/>
      <c r="G281" s="18"/>
      <c r="H281" s="35"/>
      <c r="I281" s="12"/>
      <c r="N281" s="12"/>
      <c r="O281" s="18"/>
      <c r="P281" s="12"/>
      <c r="Q281" s="12"/>
      <c r="R281" s="12"/>
      <c r="S281" s="36"/>
      <c r="T281" s="36"/>
      <c r="U281" s="12"/>
      <c r="V281" s="12"/>
      <c r="W281" s="12"/>
      <c r="X281" s="12"/>
      <c r="Y281" s="12"/>
    </row>
    <row r="282" customFormat="false" ht="15.75" hidden="false" customHeight="false" outlineLevel="0" collapsed="false">
      <c r="A282" s="12"/>
      <c r="B282" s="34"/>
      <c r="C282" s="12"/>
      <c r="D282" s="12"/>
      <c r="E282" s="12"/>
      <c r="F282" s="12"/>
      <c r="G282" s="18"/>
      <c r="H282" s="35"/>
      <c r="I282" s="12"/>
      <c r="N282" s="12"/>
      <c r="O282" s="18"/>
      <c r="P282" s="12"/>
      <c r="Q282" s="12"/>
      <c r="R282" s="12"/>
      <c r="S282" s="36"/>
      <c r="T282" s="36"/>
      <c r="U282" s="12"/>
      <c r="V282" s="12"/>
      <c r="W282" s="12"/>
      <c r="X282" s="12"/>
      <c r="Y282" s="12"/>
    </row>
    <row r="283" customFormat="false" ht="15.75" hidden="false" customHeight="false" outlineLevel="0" collapsed="false">
      <c r="A283" s="12"/>
      <c r="B283" s="34"/>
      <c r="C283" s="12"/>
      <c r="D283" s="12"/>
      <c r="E283" s="12"/>
      <c r="F283" s="12"/>
      <c r="G283" s="18"/>
      <c r="H283" s="35"/>
      <c r="I283" s="12"/>
      <c r="N283" s="12"/>
      <c r="O283" s="18"/>
      <c r="P283" s="12"/>
      <c r="Q283" s="12"/>
      <c r="R283" s="12"/>
      <c r="S283" s="36"/>
      <c r="T283" s="36"/>
      <c r="U283" s="12"/>
      <c r="V283" s="12"/>
      <c r="W283" s="12"/>
      <c r="X283" s="12"/>
      <c r="Y283" s="12"/>
    </row>
    <row r="284" customFormat="false" ht="15.75" hidden="false" customHeight="false" outlineLevel="0" collapsed="false">
      <c r="A284" s="12"/>
      <c r="B284" s="34"/>
      <c r="C284" s="12"/>
      <c r="D284" s="12"/>
      <c r="E284" s="12"/>
      <c r="F284" s="12"/>
      <c r="G284" s="18"/>
      <c r="H284" s="35"/>
      <c r="I284" s="12"/>
      <c r="N284" s="12"/>
      <c r="O284" s="18"/>
      <c r="P284" s="12"/>
      <c r="Q284" s="12"/>
      <c r="R284" s="12"/>
      <c r="S284" s="36"/>
      <c r="T284" s="36"/>
      <c r="U284" s="12"/>
      <c r="V284" s="12"/>
      <c r="W284" s="12"/>
      <c r="X284" s="12"/>
      <c r="Y284" s="12"/>
    </row>
    <row r="285" customFormat="false" ht="15.75" hidden="false" customHeight="false" outlineLevel="0" collapsed="false">
      <c r="A285" s="12"/>
      <c r="B285" s="34"/>
      <c r="C285" s="12"/>
      <c r="D285" s="12"/>
      <c r="E285" s="12"/>
      <c r="F285" s="12"/>
      <c r="G285" s="18"/>
      <c r="H285" s="35"/>
      <c r="I285" s="12"/>
      <c r="N285" s="12"/>
      <c r="O285" s="18"/>
      <c r="P285" s="12"/>
      <c r="Q285" s="12"/>
      <c r="R285" s="12"/>
      <c r="S285" s="36"/>
      <c r="T285" s="36"/>
      <c r="U285" s="12"/>
      <c r="V285" s="12"/>
      <c r="W285" s="12"/>
      <c r="X285" s="12"/>
      <c r="Y285" s="12"/>
    </row>
    <row r="286" customFormat="false" ht="15.75" hidden="false" customHeight="false" outlineLevel="0" collapsed="false">
      <c r="A286" s="12"/>
      <c r="B286" s="34"/>
      <c r="C286" s="12"/>
      <c r="D286" s="12"/>
      <c r="E286" s="12"/>
      <c r="F286" s="12"/>
      <c r="G286" s="18"/>
      <c r="H286" s="35"/>
      <c r="I286" s="12"/>
      <c r="N286" s="12"/>
      <c r="O286" s="18"/>
      <c r="P286" s="12"/>
      <c r="Q286" s="12"/>
      <c r="R286" s="12"/>
      <c r="S286" s="36"/>
      <c r="T286" s="36"/>
      <c r="U286" s="12"/>
      <c r="V286" s="12"/>
      <c r="W286" s="12"/>
      <c r="X286" s="12"/>
      <c r="Y286" s="12"/>
    </row>
    <row r="287" customFormat="false" ht="15.75" hidden="false" customHeight="false" outlineLevel="0" collapsed="false">
      <c r="A287" s="12"/>
      <c r="B287" s="34"/>
      <c r="C287" s="12"/>
      <c r="D287" s="12"/>
      <c r="E287" s="12"/>
      <c r="F287" s="12"/>
      <c r="G287" s="18"/>
      <c r="H287" s="35"/>
      <c r="I287" s="12"/>
      <c r="N287" s="12"/>
      <c r="O287" s="18"/>
      <c r="P287" s="12"/>
      <c r="Q287" s="12"/>
      <c r="R287" s="12"/>
      <c r="S287" s="36"/>
      <c r="T287" s="36"/>
      <c r="U287" s="12"/>
      <c r="V287" s="12"/>
      <c r="W287" s="12"/>
      <c r="X287" s="12"/>
      <c r="Y287" s="12"/>
    </row>
    <row r="288" customFormat="false" ht="15.75" hidden="false" customHeight="false" outlineLevel="0" collapsed="false">
      <c r="A288" s="12"/>
      <c r="B288" s="34"/>
      <c r="C288" s="12"/>
      <c r="D288" s="12"/>
      <c r="E288" s="12"/>
      <c r="F288" s="12"/>
      <c r="G288" s="18"/>
      <c r="H288" s="35"/>
      <c r="I288" s="12"/>
      <c r="N288" s="12"/>
      <c r="O288" s="18"/>
      <c r="P288" s="12"/>
      <c r="Q288" s="12"/>
      <c r="R288" s="12"/>
      <c r="S288" s="36"/>
      <c r="T288" s="36"/>
      <c r="U288" s="12"/>
      <c r="V288" s="12"/>
      <c r="W288" s="12"/>
      <c r="X288" s="12"/>
      <c r="Y288" s="12"/>
    </row>
    <row r="289" customFormat="false" ht="15.75" hidden="false" customHeight="false" outlineLevel="0" collapsed="false">
      <c r="A289" s="12"/>
      <c r="B289" s="34"/>
      <c r="C289" s="12"/>
      <c r="D289" s="12"/>
      <c r="E289" s="12"/>
      <c r="F289" s="12"/>
      <c r="G289" s="18"/>
      <c r="H289" s="35"/>
      <c r="I289" s="12"/>
      <c r="N289" s="12"/>
      <c r="O289" s="18"/>
      <c r="P289" s="12"/>
      <c r="Q289" s="12"/>
      <c r="R289" s="12"/>
      <c r="S289" s="36"/>
      <c r="T289" s="36"/>
      <c r="U289" s="12"/>
      <c r="V289" s="12"/>
      <c r="W289" s="12"/>
      <c r="X289" s="12"/>
      <c r="Y289" s="12"/>
    </row>
    <row r="290" customFormat="false" ht="15.75" hidden="false" customHeight="false" outlineLevel="0" collapsed="false">
      <c r="A290" s="12"/>
      <c r="B290" s="34"/>
      <c r="C290" s="12"/>
      <c r="D290" s="12"/>
      <c r="E290" s="12"/>
      <c r="F290" s="12"/>
      <c r="G290" s="18"/>
      <c r="H290" s="35"/>
      <c r="I290" s="12"/>
      <c r="N290" s="12"/>
      <c r="O290" s="18"/>
      <c r="P290" s="12"/>
      <c r="Q290" s="12"/>
      <c r="R290" s="12"/>
      <c r="S290" s="36"/>
      <c r="T290" s="36"/>
      <c r="U290" s="12"/>
      <c r="V290" s="12"/>
      <c r="W290" s="12"/>
      <c r="X290" s="12"/>
      <c r="Y290" s="12"/>
    </row>
    <row r="291" customFormat="false" ht="15.75" hidden="false" customHeight="false" outlineLevel="0" collapsed="false">
      <c r="A291" s="12"/>
      <c r="B291" s="34"/>
      <c r="C291" s="12"/>
      <c r="D291" s="12"/>
      <c r="E291" s="12"/>
      <c r="F291" s="12"/>
      <c r="G291" s="18"/>
      <c r="H291" s="35"/>
      <c r="I291" s="12"/>
      <c r="N291" s="12"/>
      <c r="O291" s="18"/>
      <c r="P291" s="12"/>
      <c r="Q291" s="12"/>
      <c r="R291" s="12"/>
      <c r="S291" s="36"/>
      <c r="T291" s="36"/>
      <c r="U291" s="12"/>
      <c r="V291" s="12"/>
      <c r="W291" s="12"/>
      <c r="X291" s="12"/>
      <c r="Y291" s="12"/>
    </row>
    <row r="292" customFormat="false" ht="15.75" hidden="false" customHeight="false" outlineLevel="0" collapsed="false">
      <c r="A292" s="12"/>
      <c r="B292" s="34"/>
      <c r="C292" s="12"/>
      <c r="D292" s="12"/>
      <c r="E292" s="12"/>
      <c r="F292" s="12"/>
      <c r="G292" s="18"/>
      <c r="H292" s="35"/>
      <c r="I292" s="12"/>
      <c r="N292" s="12"/>
      <c r="O292" s="18"/>
      <c r="P292" s="12"/>
      <c r="Q292" s="12"/>
      <c r="R292" s="12"/>
      <c r="S292" s="36"/>
      <c r="T292" s="36"/>
      <c r="U292" s="12"/>
      <c r="V292" s="12"/>
      <c r="W292" s="12"/>
      <c r="X292" s="12"/>
      <c r="Y292" s="12"/>
    </row>
    <row r="293" customFormat="false" ht="15.75" hidden="false" customHeight="false" outlineLevel="0" collapsed="false">
      <c r="A293" s="12"/>
      <c r="B293" s="34"/>
      <c r="C293" s="12"/>
      <c r="D293" s="12"/>
      <c r="E293" s="12"/>
      <c r="F293" s="12"/>
      <c r="G293" s="18"/>
      <c r="H293" s="35"/>
      <c r="I293" s="12"/>
      <c r="N293" s="12"/>
      <c r="O293" s="18"/>
      <c r="P293" s="12"/>
      <c r="Q293" s="12"/>
      <c r="R293" s="12"/>
      <c r="S293" s="36"/>
      <c r="T293" s="36"/>
      <c r="U293" s="12"/>
      <c r="V293" s="12"/>
      <c r="W293" s="12"/>
      <c r="X293" s="12"/>
      <c r="Y293" s="12"/>
    </row>
    <row r="294" customFormat="false" ht="15.75" hidden="false" customHeight="false" outlineLevel="0" collapsed="false">
      <c r="A294" s="12"/>
      <c r="B294" s="34"/>
      <c r="C294" s="12"/>
      <c r="D294" s="12"/>
      <c r="E294" s="12"/>
      <c r="F294" s="12"/>
      <c r="G294" s="18"/>
      <c r="H294" s="35"/>
      <c r="I294" s="12"/>
      <c r="N294" s="12"/>
      <c r="O294" s="18"/>
      <c r="P294" s="12"/>
      <c r="Q294" s="12"/>
      <c r="R294" s="12"/>
      <c r="S294" s="36"/>
      <c r="T294" s="36"/>
      <c r="U294" s="12"/>
      <c r="V294" s="12"/>
      <c r="W294" s="12"/>
      <c r="X294" s="12"/>
      <c r="Y294" s="12"/>
    </row>
    <row r="295" customFormat="false" ht="15.75" hidden="false" customHeight="false" outlineLevel="0" collapsed="false">
      <c r="A295" s="12"/>
      <c r="B295" s="34"/>
      <c r="C295" s="12"/>
      <c r="D295" s="12"/>
      <c r="E295" s="12"/>
      <c r="F295" s="12"/>
      <c r="G295" s="18"/>
      <c r="H295" s="35"/>
      <c r="I295" s="12"/>
      <c r="N295" s="12"/>
      <c r="O295" s="18"/>
      <c r="P295" s="12"/>
      <c r="Q295" s="12"/>
      <c r="R295" s="12"/>
      <c r="S295" s="36"/>
      <c r="T295" s="36"/>
      <c r="U295" s="12"/>
      <c r="V295" s="12"/>
      <c r="W295" s="12"/>
      <c r="X295" s="12"/>
      <c r="Y295" s="12"/>
    </row>
    <row r="296" customFormat="false" ht="15.75" hidden="false" customHeight="false" outlineLevel="0" collapsed="false">
      <c r="A296" s="12"/>
      <c r="B296" s="34"/>
      <c r="C296" s="12"/>
      <c r="D296" s="12"/>
      <c r="E296" s="12"/>
      <c r="F296" s="12"/>
      <c r="G296" s="18"/>
      <c r="H296" s="35"/>
      <c r="I296" s="12"/>
      <c r="N296" s="12"/>
      <c r="O296" s="18"/>
      <c r="P296" s="12"/>
      <c r="Q296" s="12"/>
      <c r="R296" s="12"/>
      <c r="S296" s="36"/>
      <c r="T296" s="36"/>
      <c r="U296" s="12"/>
      <c r="V296" s="12"/>
      <c r="W296" s="12"/>
      <c r="X296" s="12"/>
      <c r="Y296" s="12"/>
    </row>
    <row r="297" customFormat="false" ht="15.75" hidden="false" customHeight="false" outlineLevel="0" collapsed="false">
      <c r="A297" s="12"/>
      <c r="B297" s="34"/>
      <c r="C297" s="12"/>
      <c r="D297" s="12"/>
      <c r="E297" s="12"/>
      <c r="F297" s="12"/>
      <c r="G297" s="18"/>
      <c r="H297" s="35"/>
      <c r="I297" s="12"/>
      <c r="N297" s="12"/>
      <c r="O297" s="18"/>
      <c r="P297" s="12"/>
      <c r="Q297" s="12"/>
      <c r="R297" s="12"/>
      <c r="S297" s="36"/>
      <c r="T297" s="36"/>
      <c r="U297" s="12"/>
      <c r="V297" s="12"/>
      <c r="W297" s="12"/>
      <c r="X297" s="12"/>
      <c r="Y297" s="12"/>
    </row>
    <row r="298" customFormat="false" ht="15.75" hidden="false" customHeight="false" outlineLevel="0" collapsed="false">
      <c r="A298" s="12"/>
      <c r="B298" s="34"/>
      <c r="C298" s="12"/>
      <c r="D298" s="12"/>
      <c r="E298" s="12"/>
      <c r="F298" s="12"/>
      <c r="G298" s="18"/>
      <c r="H298" s="35"/>
      <c r="I298" s="12"/>
      <c r="N298" s="12"/>
      <c r="O298" s="18"/>
      <c r="P298" s="12"/>
      <c r="Q298" s="12"/>
      <c r="R298" s="12"/>
      <c r="S298" s="36"/>
      <c r="T298" s="36"/>
      <c r="U298" s="12"/>
      <c r="V298" s="12"/>
      <c r="W298" s="12"/>
      <c r="X298" s="12"/>
      <c r="Y298" s="12"/>
    </row>
    <row r="299" customFormat="false" ht="15.75" hidden="false" customHeight="false" outlineLevel="0" collapsed="false">
      <c r="A299" s="12"/>
      <c r="B299" s="34"/>
      <c r="C299" s="12"/>
      <c r="D299" s="12"/>
      <c r="E299" s="12"/>
      <c r="F299" s="12"/>
      <c r="G299" s="18"/>
      <c r="H299" s="35"/>
      <c r="I299" s="12"/>
      <c r="N299" s="12"/>
      <c r="O299" s="18"/>
      <c r="P299" s="12"/>
      <c r="Q299" s="12"/>
      <c r="R299" s="12"/>
      <c r="S299" s="36"/>
      <c r="T299" s="36"/>
      <c r="U299" s="12"/>
      <c r="V299" s="12"/>
      <c r="W299" s="12"/>
      <c r="X299" s="12"/>
      <c r="Y299" s="12"/>
    </row>
    <row r="300" customFormat="false" ht="15.75" hidden="false" customHeight="false" outlineLevel="0" collapsed="false">
      <c r="A300" s="12"/>
      <c r="B300" s="34"/>
      <c r="C300" s="12"/>
      <c r="D300" s="12"/>
      <c r="E300" s="12"/>
      <c r="F300" s="12"/>
      <c r="G300" s="18"/>
      <c r="H300" s="35"/>
      <c r="I300" s="12"/>
      <c r="N300" s="12"/>
      <c r="O300" s="18"/>
      <c r="P300" s="12"/>
      <c r="Q300" s="12"/>
      <c r="R300" s="12"/>
      <c r="S300" s="36"/>
      <c r="T300" s="36"/>
      <c r="U300" s="12"/>
      <c r="V300" s="12"/>
      <c r="W300" s="12"/>
      <c r="X300" s="12"/>
      <c r="Y300" s="12"/>
    </row>
    <row r="301" customFormat="false" ht="15.75" hidden="false" customHeight="false" outlineLevel="0" collapsed="false">
      <c r="A301" s="12"/>
      <c r="B301" s="34"/>
      <c r="C301" s="12"/>
      <c r="D301" s="12"/>
      <c r="E301" s="12"/>
      <c r="F301" s="12"/>
      <c r="G301" s="18"/>
      <c r="H301" s="35"/>
      <c r="I301" s="12"/>
      <c r="N301" s="12"/>
      <c r="O301" s="18"/>
      <c r="P301" s="12"/>
      <c r="Q301" s="12"/>
      <c r="R301" s="12"/>
      <c r="S301" s="36"/>
      <c r="T301" s="36"/>
      <c r="U301" s="12"/>
      <c r="V301" s="12"/>
      <c r="W301" s="12"/>
      <c r="X301" s="12"/>
      <c r="Y301" s="12"/>
    </row>
    <row r="302" customFormat="false" ht="15.75" hidden="false" customHeight="false" outlineLevel="0" collapsed="false">
      <c r="A302" s="12"/>
      <c r="B302" s="34"/>
      <c r="C302" s="12"/>
      <c r="D302" s="12"/>
      <c r="E302" s="12"/>
      <c r="F302" s="12"/>
      <c r="G302" s="18"/>
      <c r="H302" s="35"/>
      <c r="I302" s="12"/>
      <c r="N302" s="12"/>
      <c r="O302" s="18"/>
      <c r="P302" s="12"/>
      <c r="Q302" s="12"/>
      <c r="R302" s="12"/>
      <c r="S302" s="36"/>
      <c r="T302" s="36"/>
      <c r="U302" s="12"/>
      <c r="V302" s="12"/>
      <c r="W302" s="12"/>
      <c r="X302" s="12"/>
      <c r="Y302" s="12"/>
    </row>
    <row r="303" customFormat="false" ht="15.75" hidden="false" customHeight="false" outlineLevel="0" collapsed="false">
      <c r="A303" s="12"/>
      <c r="B303" s="34"/>
      <c r="C303" s="12"/>
      <c r="D303" s="12"/>
      <c r="E303" s="12"/>
      <c r="F303" s="12"/>
      <c r="G303" s="18"/>
      <c r="H303" s="35"/>
      <c r="I303" s="12"/>
      <c r="N303" s="12"/>
      <c r="O303" s="18"/>
      <c r="P303" s="12"/>
      <c r="Q303" s="12"/>
      <c r="R303" s="12"/>
      <c r="S303" s="36"/>
      <c r="T303" s="36"/>
      <c r="U303" s="12"/>
      <c r="V303" s="12"/>
      <c r="W303" s="12"/>
      <c r="X303" s="12"/>
      <c r="Y303" s="12"/>
    </row>
    <row r="304" customFormat="false" ht="15.75" hidden="false" customHeight="false" outlineLevel="0" collapsed="false">
      <c r="A304" s="12"/>
      <c r="B304" s="34"/>
      <c r="C304" s="12"/>
      <c r="D304" s="12"/>
      <c r="E304" s="12"/>
      <c r="F304" s="12"/>
      <c r="G304" s="18"/>
      <c r="H304" s="35"/>
      <c r="I304" s="12"/>
      <c r="N304" s="12"/>
      <c r="O304" s="18"/>
      <c r="P304" s="12"/>
      <c r="Q304" s="12"/>
      <c r="R304" s="12"/>
      <c r="S304" s="36"/>
      <c r="T304" s="36"/>
      <c r="U304" s="12"/>
      <c r="V304" s="12"/>
      <c r="W304" s="12"/>
      <c r="X304" s="12"/>
      <c r="Y304" s="12"/>
    </row>
    <row r="305" customFormat="false" ht="15.75" hidden="false" customHeight="false" outlineLevel="0" collapsed="false">
      <c r="A305" s="12"/>
      <c r="B305" s="34"/>
      <c r="C305" s="12"/>
      <c r="D305" s="12"/>
      <c r="E305" s="12"/>
      <c r="F305" s="12"/>
      <c r="G305" s="18"/>
      <c r="H305" s="35"/>
      <c r="I305" s="12"/>
      <c r="N305" s="12"/>
      <c r="O305" s="18"/>
      <c r="P305" s="12"/>
      <c r="Q305" s="12"/>
      <c r="R305" s="12"/>
      <c r="S305" s="36"/>
      <c r="T305" s="36"/>
      <c r="U305" s="12"/>
      <c r="V305" s="12"/>
      <c r="W305" s="12"/>
      <c r="X305" s="12"/>
      <c r="Y305" s="12"/>
    </row>
    <row r="306" customFormat="false" ht="15.75" hidden="false" customHeight="false" outlineLevel="0" collapsed="false">
      <c r="A306" s="12"/>
      <c r="B306" s="34"/>
      <c r="C306" s="12"/>
      <c r="D306" s="12"/>
      <c r="E306" s="12"/>
      <c r="F306" s="12"/>
      <c r="G306" s="18"/>
      <c r="H306" s="35"/>
      <c r="I306" s="12"/>
      <c r="N306" s="12"/>
      <c r="O306" s="18"/>
      <c r="P306" s="12"/>
      <c r="Q306" s="12"/>
      <c r="R306" s="12"/>
      <c r="S306" s="36"/>
      <c r="T306" s="36"/>
      <c r="U306" s="12"/>
      <c r="V306" s="12"/>
      <c r="W306" s="12"/>
      <c r="X306" s="12"/>
      <c r="Y306" s="12"/>
    </row>
    <row r="307" customFormat="false" ht="15.75" hidden="false" customHeight="false" outlineLevel="0" collapsed="false">
      <c r="A307" s="12"/>
      <c r="B307" s="34"/>
      <c r="C307" s="12"/>
      <c r="D307" s="12"/>
      <c r="E307" s="12"/>
      <c r="F307" s="12"/>
      <c r="G307" s="18"/>
      <c r="H307" s="35"/>
      <c r="I307" s="12"/>
      <c r="N307" s="12"/>
      <c r="O307" s="18"/>
      <c r="P307" s="12"/>
      <c r="Q307" s="12"/>
      <c r="R307" s="12"/>
      <c r="S307" s="36"/>
      <c r="T307" s="36"/>
      <c r="U307" s="12"/>
      <c r="V307" s="12"/>
      <c r="W307" s="12"/>
      <c r="X307" s="12"/>
      <c r="Y307" s="12"/>
    </row>
    <row r="308" customFormat="false" ht="15.75" hidden="false" customHeight="false" outlineLevel="0" collapsed="false">
      <c r="A308" s="12"/>
      <c r="B308" s="34"/>
      <c r="C308" s="12"/>
      <c r="D308" s="12"/>
      <c r="E308" s="12"/>
      <c r="F308" s="12"/>
      <c r="G308" s="18"/>
      <c r="H308" s="35"/>
      <c r="I308" s="12"/>
      <c r="N308" s="12"/>
      <c r="O308" s="18"/>
      <c r="P308" s="12"/>
      <c r="Q308" s="12"/>
      <c r="R308" s="12"/>
      <c r="S308" s="36"/>
      <c r="T308" s="36"/>
      <c r="U308" s="12"/>
      <c r="V308" s="12"/>
      <c r="W308" s="12"/>
      <c r="X308" s="12"/>
      <c r="Y308" s="12"/>
    </row>
    <row r="309" customFormat="false" ht="15.75" hidden="false" customHeight="false" outlineLevel="0" collapsed="false">
      <c r="A309" s="12"/>
      <c r="B309" s="34"/>
      <c r="C309" s="12"/>
      <c r="D309" s="12"/>
      <c r="E309" s="12"/>
      <c r="F309" s="12"/>
      <c r="G309" s="18"/>
      <c r="H309" s="35"/>
      <c r="I309" s="12"/>
      <c r="N309" s="12"/>
      <c r="O309" s="18"/>
      <c r="P309" s="12"/>
      <c r="Q309" s="12"/>
      <c r="R309" s="12"/>
      <c r="S309" s="36"/>
      <c r="T309" s="36"/>
      <c r="U309" s="12"/>
      <c r="V309" s="12"/>
      <c r="W309" s="12"/>
      <c r="X309" s="12"/>
      <c r="Y309" s="12"/>
    </row>
    <row r="310" customFormat="false" ht="15.75" hidden="false" customHeight="false" outlineLevel="0" collapsed="false">
      <c r="A310" s="12"/>
      <c r="B310" s="34"/>
      <c r="C310" s="12"/>
      <c r="D310" s="12"/>
      <c r="E310" s="12"/>
      <c r="F310" s="12"/>
      <c r="G310" s="18"/>
      <c r="H310" s="35"/>
      <c r="I310" s="12"/>
      <c r="N310" s="12"/>
      <c r="O310" s="18"/>
      <c r="P310" s="12"/>
      <c r="Q310" s="12"/>
      <c r="R310" s="12"/>
      <c r="S310" s="36"/>
      <c r="T310" s="36"/>
      <c r="U310" s="12"/>
      <c r="V310" s="12"/>
      <c r="W310" s="12"/>
      <c r="X310" s="12"/>
      <c r="Y310" s="12"/>
    </row>
    <row r="311" customFormat="false" ht="15.75" hidden="false" customHeight="false" outlineLevel="0" collapsed="false">
      <c r="A311" s="12"/>
      <c r="B311" s="34"/>
      <c r="C311" s="12"/>
      <c r="D311" s="12"/>
      <c r="E311" s="12"/>
      <c r="F311" s="12"/>
      <c r="G311" s="18"/>
      <c r="H311" s="35"/>
      <c r="I311" s="12"/>
      <c r="N311" s="12"/>
      <c r="O311" s="18"/>
      <c r="P311" s="12"/>
      <c r="Q311" s="12"/>
      <c r="R311" s="12"/>
      <c r="S311" s="36"/>
      <c r="T311" s="36"/>
      <c r="U311" s="12"/>
      <c r="V311" s="12"/>
      <c r="W311" s="12"/>
      <c r="X311" s="12"/>
      <c r="Y311" s="12"/>
    </row>
    <row r="312" customFormat="false" ht="15.75" hidden="false" customHeight="false" outlineLevel="0" collapsed="false">
      <c r="A312" s="12"/>
      <c r="B312" s="34"/>
      <c r="C312" s="12"/>
      <c r="D312" s="12"/>
      <c r="E312" s="12"/>
      <c r="F312" s="12"/>
      <c r="G312" s="18"/>
      <c r="H312" s="35"/>
      <c r="I312" s="12"/>
      <c r="N312" s="12"/>
      <c r="O312" s="18"/>
      <c r="P312" s="12"/>
      <c r="Q312" s="12"/>
      <c r="R312" s="12"/>
      <c r="S312" s="36"/>
      <c r="T312" s="36"/>
      <c r="U312" s="12"/>
      <c r="V312" s="12"/>
      <c r="W312" s="12"/>
      <c r="X312" s="12"/>
      <c r="Y312" s="12"/>
    </row>
    <row r="313" customFormat="false" ht="15.75" hidden="false" customHeight="false" outlineLevel="0" collapsed="false">
      <c r="A313" s="12"/>
      <c r="B313" s="34"/>
      <c r="C313" s="12"/>
      <c r="D313" s="12"/>
      <c r="E313" s="12"/>
      <c r="F313" s="12"/>
      <c r="G313" s="18"/>
      <c r="H313" s="35"/>
      <c r="I313" s="12"/>
      <c r="N313" s="12"/>
      <c r="O313" s="18"/>
      <c r="P313" s="12"/>
      <c r="Q313" s="12"/>
      <c r="R313" s="12"/>
      <c r="S313" s="36"/>
      <c r="T313" s="36"/>
      <c r="U313" s="12"/>
      <c r="V313" s="12"/>
      <c r="W313" s="12"/>
      <c r="X313" s="12"/>
      <c r="Y313" s="12"/>
    </row>
    <row r="314" customFormat="false" ht="15.75" hidden="false" customHeight="false" outlineLevel="0" collapsed="false">
      <c r="A314" s="12"/>
      <c r="B314" s="34"/>
      <c r="C314" s="12"/>
      <c r="D314" s="12"/>
      <c r="E314" s="12"/>
      <c r="F314" s="12"/>
      <c r="G314" s="18"/>
      <c r="H314" s="35"/>
      <c r="I314" s="12"/>
      <c r="N314" s="12"/>
      <c r="O314" s="18"/>
      <c r="P314" s="12"/>
      <c r="Q314" s="12"/>
      <c r="R314" s="12"/>
      <c r="S314" s="36"/>
      <c r="T314" s="36"/>
      <c r="U314" s="12"/>
      <c r="V314" s="12"/>
      <c r="W314" s="12"/>
      <c r="X314" s="12"/>
      <c r="Y314" s="12"/>
    </row>
    <row r="315" customFormat="false" ht="15.75" hidden="false" customHeight="false" outlineLevel="0" collapsed="false">
      <c r="A315" s="12"/>
      <c r="B315" s="34"/>
      <c r="C315" s="12"/>
      <c r="D315" s="12"/>
      <c r="E315" s="12"/>
      <c r="F315" s="12"/>
      <c r="G315" s="18"/>
      <c r="H315" s="35"/>
      <c r="I315" s="12"/>
      <c r="N315" s="12"/>
      <c r="O315" s="18"/>
      <c r="P315" s="12"/>
      <c r="Q315" s="12"/>
      <c r="R315" s="12"/>
      <c r="S315" s="36"/>
      <c r="T315" s="36"/>
      <c r="U315" s="12"/>
      <c r="V315" s="12"/>
      <c r="W315" s="12"/>
      <c r="X315" s="12"/>
      <c r="Y315" s="12"/>
    </row>
    <row r="316" customFormat="false" ht="15.75" hidden="false" customHeight="false" outlineLevel="0" collapsed="false">
      <c r="A316" s="12"/>
      <c r="B316" s="34"/>
      <c r="C316" s="12"/>
      <c r="D316" s="12"/>
      <c r="E316" s="12"/>
      <c r="F316" s="12"/>
      <c r="G316" s="18"/>
      <c r="H316" s="35"/>
      <c r="I316" s="12"/>
      <c r="N316" s="12"/>
      <c r="O316" s="18"/>
      <c r="P316" s="12"/>
      <c r="Q316" s="12"/>
      <c r="R316" s="12"/>
      <c r="S316" s="36"/>
      <c r="T316" s="36"/>
      <c r="U316" s="12"/>
      <c r="V316" s="12"/>
      <c r="W316" s="12"/>
      <c r="X316" s="12"/>
      <c r="Y316" s="12"/>
    </row>
    <row r="317" customFormat="false" ht="15.75" hidden="false" customHeight="false" outlineLevel="0" collapsed="false">
      <c r="A317" s="12"/>
      <c r="B317" s="34"/>
      <c r="C317" s="12"/>
      <c r="D317" s="12"/>
      <c r="E317" s="12"/>
      <c r="F317" s="12"/>
      <c r="G317" s="18"/>
      <c r="H317" s="35"/>
      <c r="I317" s="12"/>
      <c r="N317" s="12"/>
      <c r="O317" s="18"/>
      <c r="P317" s="12"/>
      <c r="Q317" s="12"/>
      <c r="R317" s="12"/>
      <c r="S317" s="36"/>
      <c r="T317" s="36"/>
      <c r="U317" s="12"/>
      <c r="V317" s="12"/>
      <c r="W317" s="12"/>
      <c r="X317" s="12"/>
      <c r="Y317" s="12"/>
    </row>
    <row r="318" customFormat="false" ht="15.75" hidden="false" customHeight="false" outlineLevel="0" collapsed="false">
      <c r="A318" s="12"/>
      <c r="B318" s="34"/>
      <c r="C318" s="12"/>
      <c r="D318" s="12"/>
      <c r="E318" s="12"/>
      <c r="F318" s="12"/>
      <c r="G318" s="18"/>
      <c r="H318" s="35"/>
      <c r="I318" s="12"/>
      <c r="N318" s="12"/>
      <c r="O318" s="18"/>
      <c r="P318" s="12"/>
      <c r="Q318" s="12"/>
      <c r="R318" s="12"/>
      <c r="S318" s="36"/>
      <c r="T318" s="36"/>
      <c r="U318" s="12"/>
      <c r="V318" s="12"/>
      <c r="W318" s="12"/>
      <c r="X318" s="12"/>
      <c r="Y318" s="12"/>
    </row>
    <row r="319" customFormat="false" ht="15.75" hidden="false" customHeight="false" outlineLevel="0" collapsed="false">
      <c r="A319" s="12"/>
      <c r="B319" s="34"/>
      <c r="C319" s="12"/>
      <c r="D319" s="12"/>
      <c r="E319" s="12"/>
      <c r="F319" s="12"/>
      <c r="G319" s="18"/>
      <c r="H319" s="35"/>
      <c r="I319" s="12"/>
      <c r="N319" s="12"/>
      <c r="O319" s="18"/>
      <c r="P319" s="12"/>
      <c r="Q319" s="12"/>
      <c r="R319" s="12"/>
      <c r="S319" s="36"/>
      <c r="T319" s="36"/>
      <c r="U319" s="12"/>
      <c r="V319" s="12"/>
      <c r="W319" s="12"/>
      <c r="X319" s="12"/>
      <c r="Y319" s="12"/>
    </row>
    <row r="320" customFormat="false" ht="15.75" hidden="false" customHeight="false" outlineLevel="0" collapsed="false">
      <c r="A320" s="12"/>
      <c r="B320" s="34"/>
      <c r="C320" s="12"/>
      <c r="D320" s="12"/>
      <c r="E320" s="12"/>
      <c r="F320" s="12"/>
      <c r="G320" s="18"/>
      <c r="H320" s="35"/>
      <c r="I320" s="12"/>
      <c r="N320" s="12"/>
      <c r="O320" s="18"/>
      <c r="P320" s="12"/>
      <c r="Q320" s="12"/>
      <c r="R320" s="12"/>
      <c r="S320" s="36"/>
      <c r="T320" s="36"/>
      <c r="U320" s="12"/>
      <c r="V320" s="12"/>
      <c r="W320" s="12"/>
      <c r="X320" s="12"/>
      <c r="Y320" s="12"/>
    </row>
    <row r="321" customFormat="false" ht="15.75" hidden="false" customHeight="false" outlineLevel="0" collapsed="false">
      <c r="A321" s="12"/>
      <c r="B321" s="34"/>
      <c r="C321" s="12"/>
      <c r="D321" s="12"/>
      <c r="E321" s="12"/>
      <c r="F321" s="12"/>
      <c r="G321" s="18"/>
      <c r="H321" s="35"/>
      <c r="I321" s="12"/>
      <c r="N321" s="12"/>
      <c r="O321" s="18"/>
      <c r="P321" s="12"/>
      <c r="Q321" s="12"/>
      <c r="R321" s="12"/>
      <c r="S321" s="36"/>
      <c r="T321" s="36"/>
      <c r="U321" s="12"/>
      <c r="V321" s="12"/>
      <c r="W321" s="12"/>
      <c r="X321" s="12"/>
      <c r="Y321" s="12"/>
    </row>
    <row r="322" customFormat="false" ht="15.75" hidden="false" customHeight="false" outlineLevel="0" collapsed="false">
      <c r="A322" s="12"/>
      <c r="B322" s="34"/>
      <c r="C322" s="12"/>
      <c r="D322" s="12"/>
      <c r="E322" s="12"/>
      <c r="F322" s="12"/>
      <c r="G322" s="18"/>
      <c r="H322" s="35"/>
      <c r="I322" s="12"/>
      <c r="N322" s="12"/>
      <c r="O322" s="18"/>
      <c r="P322" s="12"/>
      <c r="Q322" s="12"/>
      <c r="R322" s="12"/>
      <c r="S322" s="36"/>
      <c r="T322" s="36"/>
      <c r="U322" s="12"/>
      <c r="V322" s="12"/>
      <c r="W322" s="12"/>
      <c r="X322" s="12"/>
      <c r="Y322" s="12"/>
    </row>
    <row r="323" customFormat="false" ht="15.75" hidden="false" customHeight="false" outlineLevel="0" collapsed="false">
      <c r="A323" s="12"/>
      <c r="B323" s="34"/>
      <c r="C323" s="12"/>
      <c r="D323" s="12"/>
      <c r="E323" s="12"/>
      <c r="F323" s="12"/>
      <c r="G323" s="18"/>
      <c r="H323" s="35"/>
      <c r="I323" s="12"/>
      <c r="N323" s="12"/>
      <c r="O323" s="18"/>
      <c r="P323" s="12"/>
      <c r="Q323" s="12"/>
      <c r="R323" s="12"/>
      <c r="S323" s="36"/>
      <c r="T323" s="36"/>
      <c r="U323" s="12"/>
      <c r="V323" s="12"/>
      <c r="W323" s="12"/>
      <c r="X323" s="12"/>
      <c r="Y323" s="12"/>
    </row>
    <row r="324" customFormat="false" ht="15.75" hidden="false" customHeight="false" outlineLevel="0" collapsed="false">
      <c r="A324" s="12"/>
      <c r="B324" s="34"/>
      <c r="C324" s="12"/>
      <c r="D324" s="12"/>
      <c r="E324" s="12"/>
      <c r="F324" s="12"/>
      <c r="G324" s="18"/>
      <c r="H324" s="35"/>
      <c r="I324" s="12"/>
      <c r="N324" s="12"/>
      <c r="O324" s="18"/>
      <c r="P324" s="12"/>
      <c r="Q324" s="12"/>
      <c r="R324" s="12"/>
      <c r="S324" s="36"/>
      <c r="T324" s="36"/>
      <c r="U324" s="12"/>
      <c r="V324" s="12"/>
      <c r="W324" s="12"/>
      <c r="X324" s="12"/>
      <c r="Y324" s="12"/>
    </row>
    <row r="325" customFormat="false" ht="15.75" hidden="false" customHeight="false" outlineLevel="0" collapsed="false">
      <c r="A325" s="12"/>
      <c r="B325" s="34"/>
      <c r="C325" s="12"/>
      <c r="D325" s="12"/>
      <c r="E325" s="12"/>
      <c r="F325" s="12"/>
      <c r="G325" s="18"/>
      <c r="H325" s="35"/>
      <c r="I325" s="12"/>
      <c r="N325" s="12"/>
      <c r="O325" s="18"/>
      <c r="P325" s="12"/>
      <c r="Q325" s="12"/>
      <c r="R325" s="12"/>
      <c r="S325" s="36"/>
      <c r="T325" s="36"/>
      <c r="U325" s="12"/>
      <c r="V325" s="12"/>
      <c r="W325" s="12"/>
      <c r="X325" s="12"/>
      <c r="Y325" s="12"/>
    </row>
    <row r="326" customFormat="false" ht="15.75" hidden="false" customHeight="false" outlineLevel="0" collapsed="false">
      <c r="A326" s="12"/>
      <c r="B326" s="34"/>
      <c r="C326" s="12"/>
      <c r="D326" s="12"/>
      <c r="E326" s="12"/>
      <c r="F326" s="12"/>
      <c r="G326" s="18"/>
      <c r="H326" s="35"/>
      <c r="I326" s="12"/>
      <c r="N326" s="12"/>
      <c r="O326" s="18"/>
      <c r="P326" s="12"/>
      <c r="Q326" s="12"/>
      <c r="R326" s="12"/>
      <c r="S326" s="36"/>
      <c r="T326" s="36"/>
      <c r="U326" s="12"/>
      <c r="V326" s="12"/>
      <c r="W326" s="12"/>
      <c r="X326" s="12"/>
      <c r="Y326" s="12"/>
    </row>
    <row r="327" customFormat="false" ht="15.75" hidden="false" customHeight="false" outlineLevel="0" collapsed="false">
      <c r="A327" s="12"/>
      <c r="B327" s="34"/>
      <c r="C327" s="12"/>
      <c r="D327" s="12"/>
      <c r="E327" s="12"/>
      <c r="F327" s="12"/>
      <c r="G327" s="18"/>
      <c r="H327" s="35"/>
      <c r="I327" s="12"/>
      <c r="N327" s="12"/>
      <c r="O327" s="18"/>
      <c r="P327" s="12"/>
      <c r="Q327" s="12"/>
      <c r="R327" s="12"/>
      <c r="S327" s="36"/>
      <c r="T327" s="36"/>
      <c r="U327" s="12"/>
      <c r="V327" s="12"/>
      <c r="W327" s="12"/>
      <c r="X327" s="12"/>
      <c r="Y327" s="12"/>
    </row>
    <row r="328" customFormat="false" ht="15.75" hidden="false" customHeight="false" outlineLevel="0" collapsed="false">
      <c r="A328" s="12"/>
      <c r="B328" s="34"/>
      <c r="C328" s="12"/>
      <c r="D328" s="12"/>
      <c r="E328" s="12"/>
      <c r="F328" s="12"/>
      <c r="G328" s="18"/>
      <c r="H328" s="35"/>
      <c r="I328" s="12"/>
      <c r="N328" s="12"/>
      <c r="O328" s="18"/>
      <c r="P328" s="12"/>
      <c r="Q328" s="12"/>
      <c r="R328" s="12"/>
      <c r="S328" s="36"/>
      <c r="T328" s="36"/>
      <c r="U328" s="12"/>
      <c r="V328" s="12"/>
      <c r="W328" s="12"/>
      <c r="X328" s="12"/>
      <c r="Y328" s="12"/>
    </row>
    <row r="329" customFormat="false" ht="15.75" hidden="false" customHeight="false" outlineLevel="0" collapsed="false">
      <c r="A329" s="12"/>
      <c r="B329" s="34"/>
      <c r="C329" s="12"/>
      <c r="D329" s="12"/>
      <c r="E329" s="12"/>
      <c r="F329" s="12"/>
      <c r="G329" s="18"/>
      <c r="H329" s="35"/>
      <c r="I329" s="12"/>
      <c r="N329" s="12"/>
      <c r="O329" s="18"/>
      <c r="P329" s="12"/>
      <c r="Q329" s="12"/>
      <c r="R329" s="12"/>
      <c r="S329" s="36"/>
      <c r="T329" s="36"/>
      <c r="U329" s="12"/>
      <c r="V329" s="12"/>
      <c r="W329" s="12"/>
      <c r="X329" s="12"/>
      <c r="Y329" s="12"/>
    </row>
    <row r="330" customFormat="false" ht="15.75" hidden="false" customHeight="false" outlineLevel="0" collapsed="false">
      <c r="A330" s="12"/>
      <c r="B330" s="34"/>
      <c r="C330" s="12"/>
      <c r="D330" s="12"/>
      <c r="E330" s="12"/>
      <c r="F330" s="12"/>
      <c r="G330" s="18"/>
      <c r="H330" s="35"/>
      <c r="I330" s="12"/>
      <c r="N330" s="12"/>
      <c r="O330" s="18"/>
      <c r="P330" s="12"/>
      <c r="Q330" s="12"/>
      <c r="R330" s="12"/>
      <c r="S330" s="36"/>
      <c r="T330" s="36"/>
      <c r="U330" s="12"/>
      <c r="V330" s="12"/>
      <c r="W330" s="12"/>
      <c r="X330" s="12"/>
      <c r="Y330" s="12"/>
    </row>
    <row r="331" customFormat="false" ht="15.75" hidden="false" customHeight="false" outlineLevel="0" collapsed="false">
      <c r="A331" s="12"/>
      <c r="B331" s="34"/>
      <c r="C331" s="12"/>
      <c r="D331" s="12"/>
      <c r="E331" s="12"/>
      <c r="F331" s="12"/>
      <c r="G331" s="18"/>
      <c r="H331" s="35"/>
      <c r="I331" s="12"/>
      <c r="N331" s="12"/>
      <c r="O331" s="18"/>
      <c r="P331" s="12"/>
      <c r="Q331" s="12"/>
      <c r="R331" s="12"/>
      <c r="S331" s="36"/>
      <c r="T331" s="36"/>
      <c r="U331" s="12"/>
      <c r="V331" s="12"/>
      <c r="W331" s="12"/>
      <c r="X331" s="12"/>
      <c r="Y331" s="12"/>
    </row>
    <row r="332" customFormat="false" ht="15.75" hidden="false" customHeight="false" outlineLevel="0" collapsed="false">
      <c r="A332" s="12"/>
      <c r="B332" s="34"/>
      <c r="C332" s="12"/>
      <c r="D332" s="12"/>
      <c r="E332" s="12"/>
      <c r="F332" s="12"/>
      <c r="G332" s="18"/>
      <c r="H332" s="35"/>
      <c r="I332" s="12"/>
      <c r="N332" s="12"/>
      <c r="O332" s="18"/>
      <c r="P332" s="12"/>
      <c r="Q332" s="12"/>
      <c r="R332" s="12"/>
      <c r="S332" s="36"/>
      <c r="T332" s="36"/>
      <c r="U332" s="12"/>
      <c r="V332" s="12"/>
      <c r="W332" s="12"/>
      <c r="X332" s="12"/>
      <c r="Y332" s="12"/>
    </row>
    <row r="333" customFormat="false" ht="15.75" hidden="false" customHeight="false" outlineLevel="0" collapsed="false">
      <c r="A333" s="12"/>
      <c r="B333" s="34"/>
      <c r="C333" s="12"/>
      <c r="D333" s="12"/>
      <c r="E333" s="12"/>
      <c r="F333" s="12"/>
      <c r="G333" s="18"/>
      <c r="H333" s="35"/>
      <c r="I333" s="12"/>
      <c r="N333" s="12"/>
      <c r="O333" s="18"/>
      <c r="P333" s="12"/>
      <c r="Q333" s="12"/>
      <c r="R333" s="12"/>
      <c r="S333" s="36"/>
      <c r="T333" s="36"/>
      <c r="U333" s="12"/>
      <c r="V333" s="12"/>
      <c r="W333" s="12"/>
      <c r="X333" s="12"/>
      <c r="Y333" s="12"/>
    </row>
    <row r="334" customFormat="false" ht="15.75" hidden="false" customHeight="false" outlineLevel="0" collapsed="false">
      <c r="A334" s="12"/>
      <c r="B334" s="34"/>
      <c r="C334" s="12"/>
      <c r="D334" s="12"/>
      <c r="E334" s="12"/>
      <c r="F334" s="12"/>
      <c r="G334" s="18"/>
      <c r="H334" s="35"/>
      <c r="I334" s="12"/>
      <c r="N334" s="12"/>
      <c r="O334" s="18"/>
      <c r="P334" s="12"/>
      <c r="Q334" s="12"/>
      <c r="R334" s="12"/>
      <c r="S334" s="36"/>
      <c r="T334" s="36"/>
      <c r="U334" s="12"/>
      <c r="V334" s="12"/>
      <c r="W334" s="12"/>
      <c r="X334" s="12"/>
      <c r="Y334" s="12"/>
    </row>
    <row r="335" customFormat="false" ht="15.75" hidden="false" customHeight="false" outlineLevel="0" collapsed="false">
      <c r="A335" s="12"/>
      <c r="B335" s="34"/>
      <c r="C335" s="12"/>
      <c r="D335" s="12"/>
      <c r="E335" s="12"/>
      <c r="F335" s="12"/>
      <c r="G335" s="18"/>
      <c r="H335" s="35"/>
      <c r="I335" s="12"/>
      <c r="N335" s="12"/>
      <c r="O335" s="18"/>
      <c r="P335" s="12"/>
      <c r="Q335" s="12"/>
      <c r="R335" s="12"/>
      <c r="S335" s="36"/>
      <c r="T335" s="36"/>
      <c r="U335" s="12"/>
      <c r="V335" s="12"/>
      <c r="W335" s="12"/>
      <c r="X335" s="12"/>
      <c r="Y335" s="12"/>
    </row>
    <row r="336" customFormat="false" ht="15.75" hidden="false" customHeight="false" outlineLevel="0" collapsed="false">
      <c r="A336" s="12"/>
      <c r="B336" s="34"/>
      <c r="C336" s="12"/>
      <c r="D336" s="12"/>
      <c r="E336" s="12"/>
      <c r="F336" s="12"/>
      <c r="G336" s="18"/>
      <c r="H336" s="35"/>
      <c r="I336" s="12"/>
      <c r="N336" s="12"/>
      <c r="O336" s="18"/>
      <c r="P336" s="12"/>
      <c r="Q336" s="12"/>
      <c r="R336" s="12"/>
      <c r="S336" s="36"/>
      <c r="T336" s="36"/>
      <c r="U336" s="12"/>
      <c r="V336" s="12"/>
      <c r="W336" s="12"/>
      <c r="X336" s="12"/>
      <c r="Y336" s="12"/>
    </row>
    <row r="337" customFormat="false" ht="15.75" hidden="false" customHeight="false" outlineLevel="0" collapsed="false">
      <c r="A337" s="12"/>
      <c r="B337" s="34"/>
      <c r="C337" s="12"/>
      <c r="D337" s="12"/>
      <c r="E337" s="12"/>
      <c r="F337" s="12"/>
      <c r="G337" s="18"/>
      <c r="H337" s="35"/>
      <c r="I337" s="12"/>
      <c r="N337" s="12"/>
      <c r="O337" s="18"/>
      <c r="P337" s="12"/>
      <c r="Q337" s="12"/>
      <c r="R337" s="12"/>
      <c r="S337" s="36"/>
      <c r="T337" s="36"/>
      <c r="U337" s="12"/>
      <c r="V337" s="12"/>
      <c r="W337" s="12"/>
      <c r="X337" s="12"/>
      <c r="Y337" s="12"/>
    </row>
    <row r="338" customFormat="false" ht="15.75" hidden="false" customHeight="false" outlineLevel="0" collapsed="false">
      <c r="A338" s="12"/>
      <c r="B338" s="34"/>
      <c r="C338" s="12"/>
      <c r="D338" s="12"/>
      <c r="E338" s="12"/>
      <c r="F338" s="12"/>
      <c r="G338" s="18"/>
      <c r="H338" s="35"/>
      <c r="I338" s="12"/>
      <c r="N338" s="12"/>
      <c r="O338" s="18"/>
      <c r="P338" s="12"/>
      <c r="Q338" s="12"/>
      <c r="R338" s="12"/>
      <c r="S338" s="36"/>
      <c r="T338" s="36"/>
      <c r="U338" s="12"/>
      <c r="V338" s="12"/>
      <c r="W338" s="12"/>
      <c r="X338" s="12"/>
      <c r="Y338" s="12"/>
    </row>
    <row r="339" customFormat="false" ht="15.75" hidden="false" customHeight="false" outlineLevel="0" collapsed="false">
      <c r="A339" s="12"/>
      <c r="B339" s="34"/>
      <c r="C339" s="12"/>
      <c r="D339" s="12"/>
      <c r="E339" s="12"/>
      <c r="F339" s="12"/>
      <c r="G339" s="18"/>
      <c r="H339" s="35"/>
      <c r="I339" s="12"/>
      <c r="N339" s="12"/>
      <c r="O339" s="18"/>
      <c r="P339" s="12"/>
      <c r="Q339" s="12"/>
      <c r="R339" s="12"/>
      <c r="S339" s="36"/>
      <c r="T339" s="36"/>
      <c r="U339" s="12"/>
      <c r="V339" s="12"/>
      <c r="W339" s="12"/>
      <c r="X339" s="12"/>
      <c r="Y339" s="12"/>
    </row>
    <row r="340" customFormat="false" ht="15.75" hidden="false" customHeight="false" outlineLevel="0" collapsed="false">
      <c r="A340" s="12"/>
      <c r="B340" s="34"/>
      <c r="C340" s="12"/>
      <c r="D340" s="12"/>
      <c r="E340" s="12"/>
      <c r="F340" s="12"/>
      <c r="G340" s="18"/>
      <c r="H340" s="35"/>
      <c r="I340" s="12"/>
      <c r="N340" s="12"/>
      <c r="O340" s="18"/>
      <c r="P340" s="12"/>
      <c r="Q340" s="12"/>
      <c r="R340" s="12"/>
      <c r="S340" s="36"/>
      <c r="T340" s="36"/>
      <c r="U340" s="12"/>
      <c r="V340" s="12"/>
      <c r="W340" s="12"/>
      <c r="X340" s="12"/>
      <c r="Y340" s="12"/>
    </row>
    <row r="341" customFormat="false" ht="15.75" hidden="false" customHeight="false" outlineLevel="0" collapsed="false">
      <c r="A341" s="12"/>
      <c r="B341" s="34"/>
      <c r="C341" s="12"/>
      <c r="D341" s="12"/>
      <c r="E341" s="12"/>
      <c r="F341" s="12"/>
      <c r="G341" s="18"/>
      <c r="H341" s="35"/>
      <c r="I341" s="12"/>
      <c r="N341" s="12"/>
      <c r="O341" s="18"/>
      <c r="P341" s="12"/>
      <c r="Q341" s="12"/>
      <c r="R341" s="12"/>
      <c r="S341" s="36"/>
      <c r="T341" s="36"/>
      <c r="U341" s="12"/>
      <c r="V341" s="12"/>
      <c r="W341" s="12"/>
      <c r="X341" s="12"/>
      <c r="Y341" s="12"/>
    </row>
    <row r="342" customFormat="false" ht="15.75" hidden="false" customHeight="false" outlineLevel="0" collapsed="false">
      <c r="A342" s="12"/>
      <c r="B342" s="34"/>
      <c r="C342" s="12"/>
      <c r="D342" s="12"/>
      <c r="E342" s="12"/>
      <c r="F342" s="12"/>
      <c r="G342" s="18"/>
      <c r="H342" s="35"/>
      <c r="I342" s="12"/>
      <c r="N342" s="12"/>
      <c r="O342" s="18"/>
      <c r="P342" s="12"/>
      <c r="Q342" s="12"/>
      <c r="R342" s="12"/>
      <c r="S342" s="36"/>
      <c r="T342" s="36"/>
      <c r="U342" s="12"/>
      <c r="V342" s="12"/>
      <c r="W342" s="12"/>
      <c r="X342" s="12"/>
      <c r="Y342" s="12"/>
    </row>
    <row r="343" customFormat="false" ht="15.75" hidden="false" customHeight="false" outlineLevel="0" collapsed="false">
      <c r="A343" s="12"/>
      <c r="B343" s="34"/>
      <c r="C343" s="12"/>
      <c r="D343" s="12"/>
      <c r="E343" s="12"/>
      <c r="F343" s="12"/>
      <c r="G343" s="18"/>
      <c r="H343" s="35"/>
      <c r="I343" s="12"/>
      <c r="N343" s="12"/>
      <c r="O343" s="18"/>
      <c r="P343" s="12"/>
      <c r="Q343" s="12"/>
      <c r="R343" s="12"/>
      <c r="S343" s="36"/>
      <c r="T343" s="36"/>
      <c r="U343" s="12"/>
      <c r="V343" s="12"/>
      <c r="W343" s="12"/>
      <c r="X343" s="12"/>
      <c r="Y343" s="12"/>
    </row>
    <row r="344" customFormat="false" ht="15.75" hidden="false" customHeight="false" outlineLevel="0" collapsed="false">
      <c r="A344" s="12"/>
      <c r="B344" s="34"/>
      <c r="C344" s="12"/>
      <c r="D344" s="12"/>
      <c r="E344" s="12"/>
      <c r="F344" s="12"/>
      <c r="G344" s="18"/>
      <c r="H344" s="35"/>
      <c r="I344" s="12"/>
      <c r="N344" s="12"/>
      <c r="O344" s="18"/>
      <c r="P344" s="12"/>
      <c r="Q344" s="12"/>
      <c r="R344" s="12"/>
      <c r="S344" s="36"/>
      <c r="T344" s="36"/>
      <c r="U344" s="12"/>
      <c r="V344" s="12"/>
      <c r="W344" s="12"/>
      <c r="X344" s="12"/>
      <c r="Y344" s="12"/>
    </row>
    <row r="345" customFormat="false" ht="15.75" hidden="false" customHeight="false" outlineLevel="0" collapsed="false">
      <c r="A345" s="12"/>
      <c r="B345" s="34"/>
      <c r="C345" s="12"/>
      <c r="D345" s="12"/>
      <c r="E345" s="12"/>
      <c r="F345" s="12"/>
      <c r="G345" s="18"/>
      <c r="H345" s="35"/>
      <c r="I345" s="12"/>
      <c r="N345" s="12"/>
      <c r="O345" s="18"/>
      <c r="P345" s="12"/>
      <c r="Q345" s="12"/>
      <c r="R345" s="12"/>
      <c r="S345" s="36"/>
      <c r="T345" s="36"/>
      <c r="U345" s="12"/>
      <c r="V345" s="12"/>
      <c r="W345" s="12"/>
      <c r="X345" s="12"/>
      <c r="Y345" s="12"/>
    </row>
    <row r="346" customFormat="false" ht="15.75" hidden="false" customHeight="false" outlineLevel="0" collapsed="false">
      <c r="A346" s="12"/>
      <c r="B346" s="34"/>
      <c r="C346" s="12"/>
      <c r="D346" s="12"/>
      <c r="E346" s="12"/>
      <c r="F346" s="12"/>
      <c r="G346" s="18"/>
      <c r="H346" s="35"/>
      <c r="I346" s="12"/>
      <c r="N346" s="12"/>
      <c r="O346" s="18"/>
      <c r="P346" s="12"/>
      <c r="Q346" s="12"/>
      <c r="R346" s="12"/>
      <c r="S346" s="36"/>
      <c r="T346" s="36"/>
      <c r="U346" s="12"/>
      <c r="V346" s="12"/>
      <c r="W346" s="12"/>
      <c r="X346" s="12"/>
      <c r="Y346" s="12"/>
    </row>
    <row r="347" customFormat="false" ht="15.75" hidden="false" customHeight="false" outlineLevel="0" collapsed="false">
      <c r="A347" s="12"/>
      <c r="B347" s="34"/>
      <c r="C347" s="12"/>
      <c r="D347" s="12"/>
      <c r="E347" s="12"/>
      <c r="F347" s="12"/>
      <c r="G347" s="18"/>
      <c r="H347" s="35"/>
      <c r="I347" s="12"/>
      <c r="N347" s="12"/>
      <c r="O347" s="18"/>
      <c r="P347" s="12"/>
      <c r="Q347" s="12"/>
      <c r="R347" s="12"/>
      <c r="S347" s="36"/>
      <c r="T347" s="36"/>
      <c r="U347" s="12"/>
      <c r="V347" s="12"/>
      <c r="W347" s="12"/>
      <c r="X347" s="12"/>
      <c r="Y347" s="12"/>
    </row>
    <row r="348" customFormat="false" ht="15.75" hidden="false" customHeight="false" outlineLevel="0" collapsed="false">
      <c r="A348" s="12"/>
      <c r="B348" s="34"/>
      <c r="C348" s="12"/>
      <c r="D348" s="12"/>
      <c r="E348" s="12"/>
      <c r="F348" s="12"/>
      <c r="G348" s="18"/>
      <c r="H348" s="35"/>
      <c r="I348" s="12"/>
      <c r="N348" s="12"/>
      <c r="O348" s="18"/>
      <c r="P348" s="12"/>
      <c r="Q348" s="12"/>
      <c r="R348" s="12"/>
      <c r="S348" s="36"/>
      <c r="T348" s="36"/>
      <c r="U348" s="12"/>
      <c r="V348" s="12"/>
      <c r="W348" s="12"/>
      <c r="X348" s="12"/>
      <c r="Y348" s="12"/>
    </row>
    <row r="349" customFormat="false" ht="15.75" hidden="false" customHeight="false" outlineLevel="0" collapsed="false">
      <c r="A349" s="12"/>
      <c r="B349" s="34"/>
      <c r="C349" s="12"/>
      <c r="D349" s="12"/>
      <c r="E349" s="12"/>
      <c r="F349" s="12"/>
      <c r="G349" s="18"/>
      <c r="H349" s="35"/>
      <c r="I349" s="12"/>
      <c r="N349" s="12"/>
      <c r="O349" s="18"/>
      <c r="P349" s="12"/>
      <c r="Q349" s="12"/>
      <c r="R349" s="12"/>
      <c r="S349" s="36"/>
      <c r="T349" s="36"/>
      <c r="U349" s="12"/>
      <c r="V349" s="12"/>
      <c r="W349" s="12"/>
      <c r="X349" s="12"/>
      <c r="Y349" s="12"/>
    </row>
    <row r="350" customFormat="false" ht="15.75" hidden="false" customHeight="false" outlineLevel="0" collapsed="false">
      <c r="A350" s="12"/>
      <c r="B350" s="34"/>
      <c r="C350" s="12"/>
      <c r="D350" s="12"/>
      <c r="E350" s="12"/>
      <c r="F350" s="12"/>
      <c r="G350" s="18"/>
      <c r="H350" s="35"/>
      <c r="I350" s="12"/>
      <c r="N350" s="12"/>
      <c r="O350" s="18"/>
      <c r="P350" s="12"/>
      <c r="Q350" s="12"/>
      <c r="R350" s="12"/>
      <c r="S350" s="36"/>
      <c r="T350" s="36"/>
      <c r="U350" s="12"/>
      <c r="V350" s="12"/>
      <c r="W350" s="12"/>
      <c r="X350" s="12"/>
      <c r="Y350" s="12"/>
    </row>
    <row r="351" customFormat="false" ht="15.75" hidden="false" customHeight="false" outlineLevel="0" collapsed="false">
      <c r="A351" s="12"/>
      <c r="B351" s="34"/>
      <c r="C351" s="12"/>
      <c r="D351" s="12"/>
      <c r="E351" s="12"/>
      <c r="F351" s="12"/>
      <c r="G351" s="18"/>
      <c r="H351" s="35"/>
      <c r="I351" s="12"/>
      <c r="N351" s="12"/>
      <c r="O351" s="18"/>
      <c r="P351" s="12"/>
      <c r="Q351" s="12"/>
      <c r="R351" s="12"/>
      <c r="S351" s="36"/>
      <c r="T351" s="36"/>
      <c r="U351" s="12"/>
      <c r="V351" s="12"/>
      <c r="W351" s="12"/>
      <c r="X351" s="12"/>
      <c r="Y351" s="12"/>
    </row>
    <row r="352" customFormat="false" ht="15.75" hidden="false" customHeight="false" outlineLevel="0" collapsed="false">
      <c r="A352" s="12"/>
      <c r="B352" s="34"/>
      <c r="C352" s="12"/>
      <c r="D352" s="12"/>
      <c r="E352" s="12"/>
      <c r="F352" s="12"/>
      <c r="G352" s="18"/>
      <c r="H352" s="35"/>
      <c r="I352" s="12"/>
      <c r="N352" s="12"/>
      <c r="O352" s="18"/>
      <c r="P352" s="12"/>
      <c r="Q352" s="12"/>
      <c r="R352" s="12"/>
      <c r="S352" s="36"/>
      <c r="T352" s="36"/>
      <c r="U352" s="12"/>
      <c r="V352" s="12"/>
      <c r="W352" s="12"/>
      <c r="X352" s="12"/>
      <c r="Y352" s="12"/>
    </row>
    <row r="353" customFormat="false" ht="15.75" hidden="false" customHeight="false" outlineLevel="0" collapsed="false">
      <c r="A353" s="12"/>
      <c r="B353" s="34"/>
      <c r="C353" s="12"/>
      <c r="D353" s="12"/>
      <c r="E353" s="12"/>
      <c r="F353" s="12"/>
      <c r="G353" s="18"/>
      <c r="H353" s="35"/>
      <c r="I353" s="12"/>
      <c r="N353" s="12"/>
      <c r="O353" s="18"/>
      <c r="P353" s="12"/>
      <c r="Q353" s="12"/>
      <c r="R353" s="12"/>
      <c r="S353" s="36"/>
      <c r="T353" s="36"/>
      <c r="U353" s="12"/>
      <c r="V353" s="12"/>
      <c r="W353" s="12"/>
      <c r="X353" s="12"/>
      <c r="Y353" s="12"/>
    </row>
    <row r="354" customFormat="false" ht="15.75" hidden="false" customHeight="false" outlineLevel="0" collapsed="false">
      <c r="A354" s="12"/>
      <c r="B354" s="34"/>
      <c r="C354" s="12"/>
      <c r="D354" s="12"/>
      <c r="E354" s="12"/>
      <c r="F354" s="12"/>
      <c r="G354" s="18"/>
      <c r="H354" s="35"/>
      <c r="I354" s="12"/>
      <c r="N354" s="12"/>
      <c r="O354" s="18"/>
      <c r="P354" s="12"/>
      <c r="Q354" s="12"/>
      <c r="R354" s="12"/>
      <c r="S354" s="36"/>
      <c r="T354" s="36"/>
      <c r="U354" s="12"/>
      <c r="V354" s="12"/>
      <c r="W354" s="12"/>
      <c r="X354" s="12"/>
      <c r="Y354" s="12"/>
    </row>
    <row r="355" customFormat="false" ht="15.75" hidden="false" customHeight="false" outlineLevel="0" collapsed="false">
      <c r="A355" s="12"/>
      <c r="B355" s="34"/>
      <c r="C355" s="12"/>
      <c r="D355" s="12"/>
      <c r="E355" s="12"/>
      <c r="F355" s="12"/>
      <c r="G355" s="18"/>
      <c r="H355" s="35"/>
      <c r="I355" s="12"/>
      <c r="N355" s="12"/>
      <c r="O355" s="18"/>
      <c r="P355" s="12"/>
      <c r="Q355" s="12"/>
      <c r="R355" s="12"/>
      <c r="S355" s="36"/>
      <c r="T355" s="36"/>
      <c r="U355" s="12"/>
      <c r="V355" s="12"/>
      <c r="W355" s="12"/>
      <c r="X355" s="12"/>
      <c r="Y355" s="12"/>
    </row>
    <row r="356" customFormat="false" ht="15.75" hidden="false" customHeight="false" outlineLevel="0" collapsed="false">
      <c r="A356" s="12"/>
      <c r="B356" s="34"/>
      <c r="C356" s="12"/>
      <c r="D356" s="12"/>
      <c r="E356" s="12"/>
      <c r="F356" s="12"/>
      <c r="G356" s="18"/>
      <c r="H356" s="35"/>
      <c r="I356" s="12"/>
      <c r="N356" s="12"/>
      <c r="O356" s="18"/>
      <c r="P356" s="12"/>
      <c r="Q356" s="12"/>
      <c r="R356" s="12"/>
      <c r="S356" s="36"/>
      <c r="T356" s="36"/>
      <c r="U356" s="12"/>
      <c r="V356" s="12"/>
      <c r="W356" s="12"/>
      <c r="X356" s="12"/>
      <c r="Y356" s="12"/>
    </row>
    <row r="357" customFormat="false" ht="15.75" hidden="false" customHeight="false" outlineLevel="0" collapsed="false">
      <c r="A357" s="12"/>
      <c r="B357" s="34"/>
      <c r="C357" s="12"/>
      <c r="D357" s="12"/>
      <c r="E357" s="12"/>
      <c r="F357" s="12"/>
      <c r="G357" s="18"/>
      <c r="H357" s="35"/>
      <c r="I357" s="12"/>
      <c r="N357" s="12"/>
      <c r="O357" s="18"/>
      <c r="P357" s="12"/>
      <c r="Q357" s="12"/>
      <c r="R357" s="12"/>
      <c r="S357" s="36"/>
      <c r="T357" s="36"/>
      <c r="U357" s="12"/>
      <c r="V357" s="12"/>
      <c r="W357" s="12"/>
      <c r="X357" s="12"/>
      <c r="Y357" s="12"/>
    </row>
    <row r="358" customFormat="false" ht="15.75" hidden="false" customHeight="false" outlineLevel="0" collapsed="false">
      <c r="A358" s="12"/>
      <c r="B358" s="34"/>
      <c r="C358" s="12"/>
      <c r="D358" s="12"/>
      <c r="E358" s="12"/>
      <c r="F358" s="12"/>
      <c r="G358" s="18"/>
      <c r="H358" s="35"/>
      <c r="I358" s="12"/>
      <c r="N358" s="12"/>
      <c r="O358" s="18"/>
      <c r="P358" s="12"/>
      <c r="Q358" s="12"/>
      <c r="R358" s="12"/>
      <c r="S358" s="36"/>
      <c r="T358" s="36"/>
      <c r="U358" s="12"/>
      <c r="V358" s="12"/>
      <c r="W358" s="12"/>
      <c r="X358" s="12"/>
      <c r="Y358" s="12"/>
    </row>
    <row r="359" customFormat="false" ht="15.75" hidden="false" customHeight="false" outlineLevel="0" collapsed="false">
      <c r="A359" s="12"/>
      <c r="B359" s="34"/>
      <c r="C359" s="12"/>
      <c r="D359" s="12"/>
      <c r="E359" s="12"/>
      <c r="F359" s="12"/>
      <c r="G359" s="18"/>
      <c r="H359" s="35"/>
      <c r="I359" s="12"/>
      <c r="N359" s="12"/>
      <c r="O359" s="18"/>
      <c r="P359" s="12"/>
      <c r="Q359" s="12"/>
      <c r="R359" s="12"/>
      <c r="S359" s="36"/>
      <c r="T359" s="36"/>
      <c r="U359" s="12"/>
      <c r="V359" s="12"/>
      <c r="W359" s="12"/>
      <c r="X359" s="12"/>
      <c r="Y359" s="12"/>
    </row>
    <row r="360" customFormat="false" ht="15.75" hidden="false" customHeight="false" outlineLevel="0" collapsed="false">
      <c r="A360" s="12"/>
      <c r="B360" s="34"/>
      <c r="C360" s="12"/>
      <c r="D360" s="12"/>
      <c r="E360" s="12"/>
      <c r="F360" s="12"/>
      <c r="G360" s="18"/>
      <c r="H360" s="35"/>
      <c r="I360" s="12"/>
      <c r="N360" s="12"/>
      <c r="O360" s="18"/>
      <c r="P360" s="12"/>
      <c r="Q360" s="12"/>
      <c r="R360" s="12"/>
      <c r="S360" s="36"/>
      <c r="T360" s="36"/>
      <c r="U360" s="12"/>
      <c r="V360" s="12"/>
      <c r="W360" s="12"/>
      <c r="X360" s="12"/>
      <c r="Y360" s="12"/>
    </row>
    <row r="361" customFormat="false" ht="15.75" hidden="false" customHeight="false" outlineLevel="0" collapsed="false">
      <c r="A361" s="12"/>
      <c r="B361" s="34"/>
      <c r="C361" s="12"/>
      <c r="D361" s="12"/>
      <c r="E361" s="12"/>
      <c r="F361" s="12"/>
      <c r="G361" s="18"/>
      <c r="H361" s="35"/>
      <c r="I361" s="12"/>
      <c r="N361" s="12"/>
      <c r="O361" s="18"/>
      <c r="P361" s="12"/>
      <c r="Q361" s="12"/>
      <c r="R361" s="12"/>
      <c r="S361" s="36"/>
      <c r="T361" s="36"/>
      <c r="U361" s="12"/>
      <c r="V361" s="12"/>
      <c r="W361" s="12"/>
      <c r="X361" s="12"/>
      <c r="Y361" s="12"/>
    </row>
    <row r="362" customFormat="false" ht="15.75" hidden="false" customHeight="false" outlineLevel="0" collapsed="false">
      <c r="A362" s="12"/>
      <c r="B362" s="34"/>
      <c r="C362" s="12"/>
      <c r="D362" s="12"/>
      <c r="E362" s="12"/>
      <c r="F362" s="12"/>
      <c r="G362" s="18"/>
      <c r="H362" s="35"/>
      <c r="I362" s="12"/>
      <c r="N362" s="12"/>
      <c r="O362" s="18"/>
      <c r="P362" s="12"/>
      <c r="Q362" s="12"/>
      <c r="R362" s="12"/>
      <c r="S362" s="36"/>
      <c r="T362" s="36"/>
      <c r="U362" s="12"/>
      <c r="V362" s="12"/>
      <c r="W362" s="12"/>
      <c r="X362" s="12"/>
      <c r="Y362" s="12"/>
    </row>
    <row r="363" customFormat="false" ht="15.75" hidden="false" customHeight="false" outlineLevel="0" collapsed="false">
      <c r="A363" s="12"/>
      <c r="B363" s="34"/>
      <c r="C363" s="12"/>
      <c r="D363" s="12"/>
      <c r="E363" s="12"/>
      <c r="F363" s="12"/>
      <c r="G363" s="18"/>
      <c r="H363" s="35"/>
      <c r="I363" s="12"/>
      <c r="N363" s="12"/>
      <c r="O363" s="18"/>
      <c r="P363" s="12"/>
      <c r="Q363" s="12"/>
      <c r="R363" s="12"/>
      <c r="S363" s="36"/>
      <c r="T363" s="36"/>
      <c r="U363" s="12"/>
      <c r="V363" s="12"/>
      <c r="W363" s="12"/>
      <c r="X363" s="12"/>
      <c r="Y363" s="12"/>
    </row>
    <row r="364" customFormat="false" ht="15.75" hidden="false" customHeight="false" outlineLevel="0" collapsed="false">
      <c r="A364" s="12"/>
      <c r="B364" s="34"/>
      <c r="C364" s="12"/>
      <c r="D364" s="12"/>
      <c r="E364" s="12"/>
      <c r="F364" s="12"/>
      <c r="G364" s="18"/>
      <c r="H364" s="35"/>
      <c r="I364" s="12"/>
      <c r="N364" s="12"/>
      <c r="O364" s="18"/>
      <c r="P364" s="12"/>
      <c r="Q364" s="12"/>
      <c r="R364" s="12"/>
      <c r="S364" s="36"/>
      <c r="T364" s="36"/>
      <c r="U364" s="12"/>
      <c r="V364" s="12"/>
      <c r="W364" s="12"/>
      <c r="X364" s="12"/>
      <c r="Y364" s="12"/>
    </row>
    <row r="365" customFormat="false" ht="15.75" hidden="false" customHeight="false" outlineLevel="0" collapsed="false">
      <c r="A365" s="12"/>
      <c r="B365" s="34"/>
      <c r="C365" s="12"/>
      <c r="D365" s="12"/>
      <c r="E365" s="12"/>
      <c r="F365" s="12"/>
      <c r="G365" s="18"/>
      <c r="H365" s="35"/>
      <c r="I365" s="12"/>
      <c r="N365" s="12"/>
      <c r="O365" s="18"/>
      <c r="P365" s="12"/>
      <c r="Q365" s="12"/>
      <c r="R365" s="12"/>
      <c r="S365" s="36"/>
      <c r="T365" s="36"/>
      <c r="U365" s="12"/>
      <c r="V365" s="12"/>
      <c r="W365" s="12"/>
      <c r="X365" s="12"/>
      <c r="Y365" s="12"/>
    </row>
    <row r="366" customFormat="false" ht="15.75" hidden="false" customHeight="false" outlineLevel="0" collapsed="false">
      <c r="A366" s="12"/>
      <c r="B366" s="34"/>
      <c r="C366" s="12"/>
      <c r="D366" s="12"/>
      <c r="E366" s="12"/>
      <c r="F366" s="12"/>
      <c r="G366" s="18"/>
      <c r="H366" s="35"/>
      <c r="I366" s="12"/>
      <c r="N366" s="12"/>
      <c r="O366" s="18"/>
      <c r="P366" s="12"/>
      <c r="Q366" s="12"/>
      <c r="R366" s="12"/>
      <c r="S366" s="36"/>
      <c r="T366" s="36"/>
      <c r="U366" s="12"/>
      <c r="V366" s="12"/>
      <c r="W366" s="12"/>
      <c r="X366" s="12"/>
      <c r="Y366" s="12"/>
    </row>
    <row r="367" customFormat="false" ht="15.75" hidden="false" customHeight="false" outlineLevel="0" collapsed="false">
      <c r="A367" s="12"/>
      <c r="B367" s="34"/>
      <c r="C367" s="12"/>
      <c r="D367" s="12"/>
      <c r="E367" s="12"/>
      <c r="F367" s="12"/>
      <c r="G367" s="18"/>
      <c r="H367" s="35"/>
      <c r="I367" s="12"/>
      <c r="N367" s="12"/>
      <c r="O367" s="18"/>
      <c r="P367" s="12"/>
      <c r="Q367" s="12"/>
      <c r="R367" s="12"/>
      <c r="S367" s="36"/>
      <c r="T367" s="36"/>
      <c r="U367" s="12"/>
      <c r="V367" s="12"/>
      <c r="W367" s="12"/>
      <c r="X367" s="12"/>
      <c r="Y367" s="12"/>
    </row>
    <row r="368" customFormat="false" ht="15.75" hidden="false" customHeight="false" outlineLevel="0" collapsed="false">
      <c r="A368" s="12"/>
      <c r="B368" s="34"/>
      <c r="C368" s="12"/>
      <c r="D368" s="12"/>
      <c r="E368" s="12"/>
      <c r="F368" s="12"/>
      <c r="G368" s="18"/>
      <c r="H368" s="35"/>
      <c r="I368" s="12"/>
      <c r="N368" s="12"/>
      <c r="O368" s="18"/>
      <c r="P368" s="12"/>
      <c r="Q368" s="12"/>
      <c r="R368" s="12"/>
      <c r="S368" s="36"/>
      <c r="T368" s="36"/>
      <c r="U368" s="12"/>
      <c r="V368" s="12"/>
      <c r="W368" s="12"/>
      <c r="X368" s="12"/>
      <c r="Y368" s="12"/>
    </row>
    <row r="369" customFormat="false" ht="15.75" hidden="false" customHeight="false" outlineLevel="0" collapsed="false">
      <c r="A369" s="12"/>
      <c r="B369" s="34"/>
      <c r="C369" s="12"/>
      <c r="D369" s="12"/>
      <c r="E369" s="12"/>
      <c r="F369" s="12"/>
      <c r="G369" s="18"/>
      <c r="H369" s="35"/>
      <c r="I369" s="12"/>
      <c r="N369" s="12"/>
      <c r="O369" s="18"/>
      <c r="P369" s="12"/>
      <c r="Q369" s="12"/>
      <c r="R369" s="12"/>
      <c r="S369" s="36"/>
      <c r="T369" s="36"/>
      <c r="U369" s="12"/>
      <c r="V369" s="12"/>
      <c r="W369" s="12"/>
      <c r="X369" s="12"/>
      <c r="Y369" s="12"/>
    </row>
    <row r="370" customFormat="false" ht="15.75" hidden="false" customHeight="false" outlineLevel="0" collapsed="false">
      <c r="A370" s="12"/>
      <c r="B370" s="34"/>
      <c r="C370" s="12"/>
      <c r="D370" s="12"/>
      <c r="E370" s="12"/>
      <c r="F370" s="12"/>
      <c r="G370" s="18"/>
      <c r="H370" s="35"/>
      <c r="I370" s="12"/>
      <c r="N370" s="12"/>
      <c r="O370" s="18"/>
      <c r="P370" s="12"/>
      <c r="Q370" s="12"/>
      <c r="R370" s="12"/>
      <c r="S370" s="36"/>
      <c r="T370" s="36"/>
      <c r="U370" s="12"/>
      <c r="V370" s="12"/>
      <c r="W370" s="12"/>
      <c r="X370" s="12"/>
      <c r="Y370" s="12"/>
    </row>
    <row r="371" customFormat="false" ht="15.75" hidden="false" customHeight="false" outlineLevel="0" collapsed="false">
      <c r="A371" s="12"/>
      <c r="B371" s="34"/>
      <c r="C371" s="12"/>
      <c r="D371" s="12"/>
      <c r="E371" s="12"/>
      <c r="F371" s="12"/>
      <c r="G371" s="18"/>
      <c r="H371" s="35"/>
      <c r="I371" s="12"/>
      <c r="N371" s="12"/>
      <c r="O371" s="18"/>
      <c r="P371" s="12"/>
      <c r="Q371" s="12"/>
      <c r="R371" s="12"/>
      <c r="S371" s="36"/>
      <c r="T371" s="36"/>
      <c r="U371" s="12"/>
      <c r="V371" s="12"/>
      <c r="W371" s="12"/>
      <c r="X371" s="12"/>
      <c r="Y371" s="12"/>
    </row>
    <row r="372" customFormat="false" ht="15.75" hidden="false" customHeight="false" outlineLevel="0" collapsed="false">
      <c r="A372" s="12"/>
      <c r="B372" s="34"/>
      <c r="C372" s="12"/>
      <c r="D372" s="12"/>
      <c r="E372" s="12"/>
      <c r="F372" s="12"/>
      <c r="G372" s="18"/>
      <c r="H372" s="35"/>
      <c r="I372" s="12"/>
      <c r="N372" s="12"/>
      <c r="O372" s="18"/>
      <c r="P372" s="12"/>
      <c r="Q372" s="12"/>
      <c r="R372" s="12"/>
      <c r="S372" s="36"/>
      <c r="T372" s="36"/>
      <c r="U372" s="12"/>
      <c r="V372" s="12"/>
      <c r="W372" s="12"/>
      <c r="X372" s="12"/>
      <c r="Y372" s="12"/>
    </row>
    <row r="373" customFormat="false" ht="15.75" hidden="false" customHeight="false" outlineLevel="0" collapsed="false">
      <c r="A373" s="12"/>
      <c r="B373" s="34"/>
      <c r="C373" s="12"/>
      <c r="D373" s="12"/>
      <c r="E373" s="12"/>
      <c r="F373" s="12"/>
      <c r="G373" s="18"/>
      <c r="H373" s="35"/>
      <c r="I373" s="12"/>
      <c r="N373" s="12"/>
      <c r="O373" s="18"/>
      <c r="P373" s="12"/>
      <c r="Q373" s="12"/>
      <c r="R373" s="12"/>
      <c r="S373" s="36"/>
      <c r="T373" s="36"/>
      <c r="U373" s="12"/>
      <c r="V373" s="12"/>
      <c r="W373" s="12"/>
      <c r="X373" s="12"/>
      <c r="Y373" s="12"/>
    </row>
    <row r="374" customFormat="false" ht="15.75" hidden="false" customHeight="false" outlineLevel="0" collapsed="false">
      <c r="A374" s="12"/>
      <c r="B374" s="34"/>
      <c r="C374" s="12"/>
      <c r="D374" s="12"/>
      <c r="E374" s="12"/>
      <c r="F374" s="12"/>
      <c r="G374" s="18"/>
      <c r="H374" s="35"/>
      <c r="I374" s="12"/>
      <c r="N374" s="12"/>
      <c r="O374" s="18"/>
      <c r="P374" s="12"/>
      <c r="Q374" s="12"/>
      <c r="R374" s="12"/>
      <c r="S374" s="36"/>
      <c r="T374" s="36"/>
      <c r="U374" s="12"/>
      <c r="V374" s="12"/>
      <c r="W374" s="12"/>
      <c r="X374" s="12"/>
      <c r="Y374" s="12"/>
    </row>
    <row r="375" customFormat="false" ht="15.75" hidden="false" customHeight="false" outlineLevel="0" collapsed="false">
      <c r="A375" s="12"/>
      <c r="B375" s="34"/>
      <c r="C375" s="12"/>
      <c r="D375" s="12"/>
      <c r="E375" s="12"/>
      <c r="F375" s="12"/>
      <c r="G375" s="18"/>
      <c r="H375" s="35"/>
      <c r="I375" s="12"/>
      <c r="N375" s="12"/>
      <c r="O375" s="18"/>
      <c r="P375" s="12"/>
      <c r="Q375" s="12"/>
      <c r="R375" s="12"/>
      <c r="S375" s="36"/>
      <c r="T375" s="36"/>
      <c r="U375" s="12"/>
      <c r="V375" s="12"/>
      <c r="W375" s="12"/>
      <c r="X375" s="12"/>
      <c r="Y375" s="12"/>
    </row>
    <row r="376" customFormat="false" ht="15.75" hidden="false" customHeight="false" outlineLevel="0" collapsed="false">
      <c r="A376" s="12"/>
      <c r="B376" s="34"/>
      <c r="C376" s="12"/>
      <c r="D376" s="12"/>
      <c r="E376" s="12"/>
      <c r="F376" s="12"/>
      <c r="G376" s="18"/>
      <c r="H376" s="35"/>
      <c r="I376" s="12"/>
      <c r="N376" s="12"/>
      <c r="O376" s="18"/>
      <c r="P376" s="12"/>
      <c r="Q376" s="12"/>
      <c r="R376" s="12"/>
      <c r="S376" s="36"/>
      <c r="T376" s="36"/>
      <c r="U376" s="12"/>
      <c r="V376" s="12"/>
      <c r="W376" s="12"/>
      <c r="X376" s="12"/>
      <c r="Y376" s="12"/>
    </row>
    <row r="377" customFormat="false" ht="15.75" hidden="false" customHeight="false" outlineLevel="0" collapsed="false">
      <c r="A377" s="12"/>
      <c r="B377" s="34"/>
      <c r="C377" s="12"/>
      <c r="D377" s="12"/>
      <c r="E377" s="12"/>
      <c r="F377" s="12"/>
      <c r="G377" s="18"/>
      <c r="H377" s="35"/>
      <c r="I377" s="12"/>
      <c r="N377" s="12"/>
      <c r="O377" s="18"/>
      <c r="P377" s="12"/>
      <c r="Q377" s="12"/>
      <c r="R377" s="12"/>
      <c r="S377" s="36"/>
      <c r="T377" s="36"/>
      <c r="U377" s="12"/>
      <c r="V377" s="12"/>
      <c r="W377" s="12"/>
      <c r="X377" s="12"/>
      <c r="Y377" s="12"/>
    </row>
    <row r="378" customFormat="false" ht="15.75" hidden="false" customHeight="false" outlineLevel="0" collapsed="false">
      <c r="A378" s="12"/>
      <c r="B378" s="34"/>
      <c r="C378" s="12"/>
      <c r="D378" s="12"/>
      <c r="E378" s="12"/>
      <c r="F378" s="12"/>
      <c r="G378" s="18"/>
      <c r="H378" s="35"/>
      <c r="I378" s="12"/>
      <c r="N378" s="12"/>
      <c r="O378" s="18"/>
      <c r="P378" s="12"/>
      <c r="Q378" s="12"/>
      <c r="R378" s="12"/>
      <c r="S378" s="36"/>
      <c r="T378" s="36"/>
      <c r="U378" s="12"/>
      <c r="V378" s="12"/>
      <c r="W378" s="12"/>
      <c r="X378" s="12"/>
      <c r="Y378" s="12"/>
    </row>
    <row r="379" customFormat="false" ht="15.75" hidden="false" customHeight="false" outlineLevel="0" collapsed="false">
      <c r="A379" s="12"/>
      <c r="B379" s="34"/>
      <c r="C379" s="12"/>
      <c r="D379" s="12"/>
      <c r="E379" s="12"/>
      <c r="F379" s="12"/>
      <c r="G379" s="18"/>
      <c r="H379" s="35"/>
      <c r="I379" s="12"/>
      <c r="N379" s="12"/>
      <c r="O379" s="18"/>
      <c r="P379" s="12"/>
      <c r="Q379" s="12"/>
      <c r="R379" s="12"/>
      <c r="S379" s="36"/>
      <c r="T379" s="36"/>
      <c r="U379" s="12"/>
      <c r="V379" s="12"/>
      <c r="W379" s="12"/>
      <c r="X379" s="12"/>
      <c r="Y379" s="12"/>
    </row>
    <row r="380" customFormat="false" ht="15.75" hidden="false" customHeight="false" outlineLevel="0" collapsed="false">
      <c r="A380" s="12"/>
      <c r="B380" s="34"/>
      <c r="C380" s="12"/>
      <c r="D380" s="12"/>
      <c r="E380" s="12"/>
      <c r="F380" s="12"/>
      <c r="G380" s="18"/>
      <c r="H380" s="35"/>
      <c r="I380" s="12"/>
      <c r="N380" s="12"/>
      <c r="O380" s="18"/>
      <c r="P380" s="12"/>
      <c r="Q380" s="12"/>
      <c r="R380" s="12"/>
      <c r="S380" s="36"/>
      <c r="T380" s="36"/>
      <c r="U380" s="12"/>
      <c r="V380" s="12"/>
      <c r="W380" s="12"/>
      <c r="X380" s="12"/>
      <c r="Y380" s="12"/>
    </row>
    <row r="381" customFormat="false" ht="15.75" hidden="false" customHeight="false" outlineLevel="0" collapsed="false">
      <c r="A381" s="12"/>
      <c r="B381" s="34"/>
      <c r="C381" s="12"/>
      <c r="D381" s="12"/>
      <c r="E381" s="12"/>
      <c r="F381" s="12"/>
      <c r="G381" s="18"/>
      <c r="H381" s="35"/>
      <c r="I381" s="12"/>
      <c r="N381" s="12"/>
      <c r="O381" s="18"/>
      <c r="P381" s="12"/>
      <c r="Q381" s="12"/>
      <c r="R381" s="12"/>
      <c r="S381" s="36"/>
      <c r="T381" s="36"/>
      <c r="U381" s="12"/>
      <c r="V381" s="12"/>
      <c r="W381" s="12"/>
      <c r="X381" s="12"/>
      <c r="Y381" s="12"/>
    </row>
    <row r="382" customFormat="false" ht="15.75" hidden="false" customHeight="false" outlineLevel="0" collapsed="false">
      <c r="A382" s="12"/>
      <c r="B382" s="34"/>
      <c r="C382" s="12"/>
      <c r="D382" s="12"/>
      <c r="E382" s="12"/>
      <c r="F382" s="12"/>
      <c r="G382" s="18"/>
      <c r="H382" s="35"/>
      <c r="I382" s="12"/>
      <c r="N382" s="12"/>
      <c r="O382" s="18"/>
      <c r="P382" s="12"/>
      <c r="Q382" s="12"/>
      <c r="R382" s="12"/>
      <c r="S382" s="36"/>
      <c r="T382" s="36"/>
      <c r="U382" s="12"/>
      <c r="V382" s="12"/>
      <c r="W382" s="12"/>
      <c r="X382" s="12"/>
      <c r="Y382" s="12"/>
    </row>
    <row r="383" customFormat="false" ht="15.75" hidden="false" customHeight="false" outlineLevel="0" collapsed="false">
      <c r="A383" s="12"/>
      <c r="B383" s="34"/>
      <c r="C383" s="12"/>
      <c r="D383" s="12"/>
      <c r="E383" s="12"/>
      <c r="F383" s="12"/>
      <c r="G383" s="18"/>
      <c r="H383" s="35"/>
      <c r="I383" s="12"/>
      <c r="N383" s="12"/>
      <c r="O383" s="18"/>
      <c r="P383" s="12"/>
      <c r="Q383" s="12"/>
      <c r="R383" s="12"/>
      <c r="S383" s="36"/>
      <c r="T383" s="36"/>
      <c r="U383" s="12"/>
      <c r="V383" s="12"/>
      <c r="W383" s="12"/>
      <c r="X383" s="12"/>
      <c r="Y383" s="12"/>
    </row>
    <row r="384" customFormat="false" ht="15.75" hidden="false" customHeight="false" outlineLevel="0" collapsed="false">
      <c r="A384" s="12"/>
      <c r="B384" s="34"/>
      <c r="C384" s="12"/>
      <c r="D384" s="12"/>
      <c r="E384" s="12"/>
      <c r="F384" s="12"/>
      <c r="G384" s="18"/>
      <c r="H384" s="35"/>
      <c r="I384" s="12"/>
      <c r="N384" s="12"/>
      <c r="O384" s="18"/>
      <c r="P384" s="12"/>
      <c r="Q384" s="12"/>
      <c r="R384" s="12"/>
      <c r="S384" s="36"/>
      <c r="T384" s="36"/>
      <c r="U384" s="12"/>
      <c r="V384" s="12"/>
      <c r="W384" s="12"/>
      <c r="X384" s="12"/>
      <c r="Y384" s="12"/>
    </row>
    <row r="385" customFormat="false" ht="15.75" hidden="false" customHeight="false" outlineLevel="0" collapsed="false">
      <c r="A385" s="12"/>
      <c r="B385" s="34"/>
      <c r="C385" s="12"/>
      <c r="D385" s="12"/>
      <c r="E385" s="12"/>
      <c r="F385" s="12"/>
      <c r="G385" s="18"/>
      <c r="H385" s="35"/>
      <c r="I385" s="12"/>
      <c r="N385" s="12"/>
      <c r="O385" s="18"/>
      <c r="P385" s="12"/>
      <c r="Q385" s="12"/>
      <c r="R385" s="12"/>
      <c r="S385" s="36"/>
      <c r="T385" s="36"/>
      <c r="U385" s="12"/>
      <c r="V385" s="12"/>
      <c r="W385" s="12"/>
      <c r="X385" s="12"/>
      <c r="Y385" s="12"/>
    </row>
    <row r="386" customFormat="false" ht="15.75" hidden="false" customHeight="false" outlineLevel="0" collapsed="false">
      <c r="A386" s="12"/>
      <c r="B386" s="34"/>
      <c r="C386" s="12"/>
      <c r="D386" s="12"/>
      <c r="E386" s="12"/>
      <c r="F386" s="12"/>
      <c r="G386" s="18"/>
      <c r="H386" s="35"/>
      <c r="I386" s="12"/>
      <c r="N386" s="12"/>
      <c r="O386" s="18"/>
      <c r="P386" s="12"/>
      <c r="Q386" s="12"/>
      <c r="R386" s="12"/>
      <c r="S386" s="36"/>
      <c r="T386" s="36"/>
      <c r="U386" s="12"/>
      <c r="V386" s="12"/>
      <c r="W386" s="12"/>
      <c r="X386" s="12"/>
      <c r="Y386" s="12"/>
    </row>
    <row r="387" customFormat="false" ht="15.75" hidden="false" customHeight="false" outlineLevel="0" collapsed="false">
      <c r="A387" s="12"/>
      <c r="B387" s="34"/>
      <c r="C387" s="12"/>
      <c r="D387" s="12"/>
      <c r="E387" s="12"/>
      <c r="F387" s="12"/>
      <c r="G387" s="18"/>
      <c r="H387" s="35"/>
      <c r="I387" s="12"/>
      <c r="N387" s="12"/>
      <c r="O387" s="18"/>
      <c r="P387" s="12"/>
      <c r="Q387" s="12"/>
      <c r="R387" s="12"/>
      <c r="S387" s="36"/>
      <c r="T387" s="36"/>
      <c r="U387" s="12"/>
      <c r="V387" s="12"/>
      <c r="W387" s="12"/>
      <c r="X387" s="12"/>
      <c r="Y387" s="12"/>
    </row>
    <row r="388" customFormat="false" ht="15.75" hidden="false" customHeight="false" outlineLevel="0" collapsed="false">
      <c r="A388" s="12"/>
      <c r="B388" s="34"/>
      <c r="C388" s="12"/>
      <c r="D388" s="12"/>
      <c r="E388" s="12"/>
      <c r="F388" s="12"/>
      <c r="G388" s="18"/>
      <c r="H388" s="35"/>
      <c r="I388" s="12"/>
      <c r="N388" s="12"/>
      <c r="O388" s="18"/>
      <c r="P388" s="12"/>
      <c r="Q388" s="12"/>
      <c r="R388" s="12"/>
      <c r="S388" s="36"/>
      <c r="T388" s="36"/>
      <c r="U388" s="12"/>
      <c r="V388" s="12"/>
      <c r="W388" s="12"/>
      <c r="X388" s="12"/>
      <c r="Y388" s="12"/>
    </row>
    <row r="389" customFormat="false" ht="15.75" hidden="false" customHeight="false" outlineLevel="0" collapsed="false">
      <c r="A389" s="12"/>
      <c r="B389" s="34"/>
      <c r="C389" s="12"/>
      <c r="D389" s="12"/>
      <c r="E389" s="12"/>
      <c r="F389" s="12"/>
      <c r="G389" s="18"/>
      <c r="H389" s="35"/>
      <c r="I389" s="12"/>
      <c r="N389" s="12"/>
      <c r="O389" s="18"/>
      <c r="P389" s="12"/>
      <c r="Q389" s="12"/>
      <c r="R389" s="12"/>
      <c r="S389" s="36"/>
      <c r="T389" s="36"/>
      <c r="U389" s="12"/>
      <c r="V389" s="12"/>
      <c r="W389" s="12"/>
      <c r="X389" s="12"/>
      <c r="Y389" s="12"/>
    </row>
    <row r="390" customFormat="false" ht="15.75" hidden="false" customHeight="false" outlineLevel="0" collapsed="false">
      <c r="A390" s="12"/>
      <c r="B390" s="34"/>
      <c r="C390" s="12"/>
      <c r="D390" s="12"/>
      <c r="E390" s="12"/>
      <c r="F390" s="12"/>
      <c r="G390" s="18"/>
      <c r="H390" s="35"/>
      <c r="I390" s="12"/>
      <c r="N390" s="12"/>
      <c r="O390" s="18"/>
      <c r="P390" s="12"/>
      <c r="Q390" s="12"/>
      <c r="R390" s="12"/>
      <c r="S390" s="36"/>
      <c r="T390" s="36"/>
      <c r="U390" s="12"/>
      <c r="V390" s="12"/>
      <c r="W390" s="12"/>
      <c r="X390" s="12"/>
      <c r="Y390" s="12"/>
    </row>
    <row r="391" customFormat="false" ht="15.75" hidden="false" customHeight="false" outlineLevel="0" collapsed="false">
      <c r="A391" s="12"/>
      <c r="B391" s="34"/>
      <c r="C391" s="12"/>
      <c r="D391" s="12"/>
      <c r="E391" s="12"/>
      <c r="F391" s="12"/>
      <c r="G391" s="18"/>
      <c r="H391" s="35"/>
      <c r="I391" s="12"/>
      <c r="N391" s="12"/>
      <c r="O391" s="18"/>
      <c r="P391" s="12"/>
      <c r="Q391" s="12"/>
      <c r="R391" s="12"/>
      <c r="S391" s="36"/>
      <c r="T391" s="36"/>
      <c r="U391" s="12"/>
      <c r="V391" s="12"/>
      <c r="W391" s="12"/>
      <c r="X391" s="12"/>
      <c r="Y391" s="12"/>
    </row>
    <row r="392" customFormat="false" ht="15.75" hidden="false" customHeight="false" outlineLevel="0" collapsed="false">
      <c r="A392" s="12"/>
      <c r="B392" s="34"/>
      <c r="C392" s="12"/>
      <c r="D392" s="12"/>
      <c r="E392" s="12"/>
      <c r="F392" s="12"/>
      <c r="G392" s="18"/>
      <c r="H392" s="35"/>
      <c r="I392" s="12"/>
      <c r="N392" s="12"/>
      <c r="O392" s="18"/>
      <c r="P392" s="12"/>
      <c r="Q392" s="12"/>
      <c r="R392" s="12"/>
      <c r="S392" s="36"/>
      <c r="T392" s="36"/>
      <c r="U392" s="12"/>
      <c r="V392" s="12"/>
      <c r="W392" s="12"/>
      <c r="X392" s="12"/>
      <c r="Y392" s="12"/>
    </row>
    <row r="393" customFormat="false" ht="15.75" hidden="false" customHeight="false" outlineLevel="0" collapsed="false">
      <c r="A393" s="12"/>
      <c r="B393" s="34"/>
      <c r="C393" s="12"/>
      <c r="D393" s="12"/>
      <c r="E393" s="12"/>
      <c r="F393" s="12"/>
      <c r="G393" s="18"/>
      <c r="H393" s="35"/>
      <c r="I393" s="12"/>
      <c r="N393" s="12"/>
      <c r="O393" s="18"/>
      <c r="P393" s="12"/>
      <c r="Q393" s="12"/>
      <c r="R393" s="12"/>
      <c r="S393" s="36"/>
      <c r="T393" s="36"/>
      <c r="U393" s="12"/>
      <c r="V393" s="12"/>
      <c r="W393" s="12"/>
      <c r="X393" s="12"/>
      <c r="Y393" s="12"/>
    </row>
    <row r="394" customFormat="false" ht="15.75" hidden="false" customHeight="false" outlineLevel="0" collapsed="false">
      <c r="A394" s="12"/>
      <c r="B394" s="34"/>
      <c r="C394" s="12"/>
      <c r="D394" s="12"/>
      <c r="E394" s="12"/>
      <c r="F394" s="12"/>
      <c r="G394" s="18"/>
      <c r="H394" s="35"/>
      <c r="I394" s="12"/>
      <c r="N394" s="12"/>
      <c r="O394" s="18"/>
      <c r="P394" s="12"/>
      <c r="Q394" s="12"/>
      <c r="R394" s="12"/>
      <c r="S394" s="36"/>
      <c r="T394" s="36"/>
      <c r="U394" s="12"/>
      <c r="V394" s="12"/>
      <c r="W394" s="12"/>
      <c r="X394" s="12"/>
      <c r="Y394" s="12"/>
    </row>
    <row r="395" customFormat="false" ht="15.75" hidden="false" customHeight="false" outlineLevel="0" collapsed="false">
      <c r="A395" s="12"/>
      <c r="B395" s="34"/>
      <c r="C395" s="12"/>
      <c r="D395" s="12"/>
      <c r="E395" s="12"/>
      <c r="F395" s="12"/>
      <c r="G395" s="18"/>
      <c r="H395" s="35"/>
      <c r="I395" s="12"/>
      <c r="N395" s="12"/>
      <c r="O395" s="18"/>
      <c r="P395" s="12"/>
      <c r="Q395" s="12"/>
      <c r="R395" s="12"/>
      <c r="S395" s="36"/>
      <c r="T395" s="36"/>
      <c r="U395" s="12"/>
      <c r="V395" s="12"/>
      <c r="W395" s="12"/>
      <c r="X395" s="12"/>
      <c r="Y395" s="12"/>
    </row>
    <row r="396" customFormat="false" ht="15.75" hidden="false" customHeight="false" outlineLevel="0" collapsed="false">
      <c r="A396" s="12"/>
      <c r="B396" s="34"/>
      <c r="C396" s="12"/>
      <c r="D396" s="12"/>
      <c r="E396" s="12"/>
      <c r="F396" s="12"/>
      <c r="G396" s="18"/>
      <c r="H396" s="35"/>
      <c r="I396" s="12"/>
      <c r="N396" s="12"/>
      <c r="O396" s="18"/>
      <c r="P396" s="12"/>
      <c r="Q396" s="12"/>
      <c r="R396" s="12"/>
      <c r="S396" s="36"/>
      <c r="T396" s="36"/>
      <c r="U396" s="12"/>
      <c r="V396" s="12"/>
      <c r="W396" s="12"/>
      <c r="X396" s="12"/>
      <c r="Y396" s="12"/>
    </row>
    <row r="397" customFormat="false" ht="15.75" hidden="false" customHeight="false" outlineLevel="0" collapsed="false">
      <c r="A397" s="12"/>
      <c r="B397" s="34"/>
      <c r="C397" s="12"/>
      <c r="D397" s="12"/>
      <c r="E397" s="12"/>
      <c r="F397" s="12"/>
      <c r="G397" s="18"/>
      <c r="H397" s="35"/>
      <c r="I397" s="12"/>
      <c r="N397" s="12"/>
      <c r="O397" s="18"/>
      <c r="P397" s="12"/>
      <c r="Q397" s="12"/>
      <c r="R397" s="12"/>
      <c r="S397" s="36"/>
      <c r="T397" s="36"/>
      <c r="U397" s="12"/>
      <c r="V397" s="12"/>
      <c r="W397" s="12"/>
      <c r="X397" s="12"/>
      <c r="Y397" s="12"/>
    </row>
    <row r="398" customFormat="false" ht="15.75" hidden="false" customHeight="false" outlineLevel="0" collapsed="false">
      <c r="A398" s="12"/>
      <c r="B398" s="34"/>
      <c r="C398" s="12"/>
      <c r="D398" s="12"/>
      <c r="E398" s="12"/>
      <c r="F398" s="12"/>
      <c r="G398" s="18"/>
      <c r="H398" s="35"/>
      <c r="I398" s="12"/>
      <c r="N398" s="12"/>
      <c r="O398" s="18"/>
      <c r="P398" s="12"/>
      <c r="Q398" s="12"/>
      <c r="R398" s="12"/>
      <c r="S398" s="36"/>
      <c r="T398" s="36"/>
      <c r="U398" s="12"/>
      <c r="V398" s="12"/>
      <c r="W398" s="12"/>
      <c r="X398" s="12"/>
      <c r="Y398" s="12"/>
    </row>
    <row r="399" customFormat="false" ht="15.75" hidden="false" customHeight="false" outlineLevel="0" collapsed="false">
      <c r="A399" s="12"/>
      <c r="B399" s="34"/>
      <c r="C399" s="12"/>
      <c r="D399" s="12"/>
      <c r="E399" s="12"/>
      <c r="F399" s="12"/>
      <c r="G399" s="18"/>
      <c r="H399" s="35"/>
      <c r="I399" s="12"/>
      <c r="N399" s="12"/>
      <c r="O399" s="18"/>
      <c r="P399" s="12"/>
      <c r="Q399" s="12"/>
      <c r="R399" s="12"/>
      <c r="S399" s="36"/>
      <c r="T399" s="36"/>
      <c r="U399" s="12"/>
      <c r="V399" s="12"/>
      <c r="W399" s="12"/>
      <c r="X399" s="12"/>
      <c r="Y399" s="12"/>
    </row>
    <row r="400" customFormat="false" ht="15.75" hidden="false" customHeight="false" outlineLevel="0" collapsed="false">
      <c r="A400" s="12"/>
      <c r="B400" s="34"/>
      <c r="C400" s="12"/>
      <c r="D400" s="12"/>
      <c r="E400" s="12"/>
      <c r="F400" s="12"/>
      <c r="G400" s="18"/>
      <c r="H400" s="35"/>
      <c r="I400" s="12"/>
      <c r="N400" s="12"/>
      <c r="O400" s="18"/>
      <c r="P400" s="12"/>
      <c r="Q400" s="12"/>
      <c r="R400" s="12"/>
      <c r="S400" s="36"/>
      <c r="T400" s="36"/>
      <c r="U400" s="12"/>
      <c r="V400" s="12"/>
      <c r="W400" s="12"/>
      <c r="X400" s="12"/>
      <c r="Y400" s="12"/>
    </row>
    <row r="401" customFormat="false" ht="15.75" hidden="false" customHeight="false" outlineLevel="0" collapsed="false">
      <c r="A401" s="12"/>
      <c r="B401" s="34"/>
      <c r="C401" s="12"/>
      <c r="D401" s="12"/>
      <c r="E401" s="12"/>
      <c r="F401" s="12"/>
      <c r="G401" s="18"/>
      <c r="H401" s="35"/>
      <c r="I401" s="12"/>
      <c r="N401" s="12"/>
      <c r="O401" s="18"/>
      <c r="P401" s="12"/>
      <c r="Q401" s="12"/>
      <c r="R401" s="12"/>
      <c r="S401" s="36"/>
      <c r="T401" s="36"/>
      <c r="U401" s="12"/>
      <c r="V401" s="12"/>
      <c r="W401" s="12"/>
      <c r="X401" s="12"/>
      <c r="Y401" s="12"/>
    </row>
    <row r="402" customFormat="false" ht="15.75" hidden="false" customHeight="false" outlineLevel="0" collapsed="false">
      <c r="A402" s="12"/>
      <c r="B402" s="34"/>
      <c r="C402" s="12"/>
      <c r="D402" s="12"/>
      <c r="E402" s="12"/>
      <c r="F402" s="12"/>
      <c r="G402" s="18"/>
      <c r="H402" s="35"/>
      <c r="I402" s="12"/>
      <c r="N402" s="12"/>
      <c r="O402" s="18"/>
      <c r="P402" s="12"/>
      <c r="Q402" s="12"/>
      <c r="R402" s="12"/>
      <c r="S402" s="36"/>
      <c r="T402" s="36"/>
      <c r="U402" s="12"/>
      <c r="V402" s="12"/>
      <c r="W402" s="12"/>
      <c r="X402" s="12"/>
      <c r="Y402" s="12"/>
    </row>
    <row r="403" customFormat="false" ht="15.75" hidden="false" customHeight="false" outlineLevel="0" collapsed="false">
      <c r="A403" s="12"/>
      <c r="B403" s="34"/>
      <c r="C403" s="12"/>
      <c r="D403" s="12"/>
      <c r="E403" s="12"/>
      <c r="F403" s="12"/>
      <c r="G403" s="18"/>
      <c r="H403" s="35"/>
      <c r="I403" s="12"/>
      <c r="N403" s="12"/>
      <c r="O403" s="18"/>
      <c r="P403" s="12"/>
      <c r="Q403" s="12"/>
      <c r="R403" s="12"/>
      <c r="S403" s="36"/>
      <c r="T403" s="36"/>
      <c r="U403" s="12"/>
      <c r="V403" s="12"/>
      <c r="W403" s="12"/>
      <c r="X403" s="12"/>
      <c r="Y403" s="12"/>
    </row>
    <row r="404" customFormat="false" ht="15.75" hidden="false" customHeight="false" outlineLevel="0" collapsed="false">
      <c r="A404" s="12"/>
      <c r="B404" s="34"/>
      <c r="C404" s="12"/>
      <c r="D404" s="12"/>
      <c r="E404" s="12"/>
      <c r="F404" s="12"/>
      <c r="G404" s="18"/>
      <c r="H404" s="35"/>
      <c r="I404" s="12"/>
      <c r="N404" s="12"/>
      <c r="O404" s="18"/>
      <c r="P404" s="12"/>
      <c r="Q404" s="12"/>
      <c r="R404" s="12"/>
      <c r="S404" s="36"/>
      <c r="T404" s="36"/>
      <c r="U404" s="12"/>
      <c r="V404" s="12"/>
      <c r="W404" s="12"/>
      <c r="X404" s="12"/>
      <c r="Y404" s="12"/>
    </row>
    <row r="405" customFormat="false" ht="15.75" hidden="false" customHeight="false" outlineLevel="0" collapsed="false">
      <c r="A405" s="12"/>
      <c r="B405" s="34"/>
      <c r="C405" s="12"/>
      <c r="D405" s="12"/>
      <c r="E405" s="12"/>
      <c r="F405" s="12"/>
      <c r="G405" s="18"/>
      <c r="H405" s="35"/>
      <c r="I405" s="12"/>
      <c r="N405" s="12"/>
      <c r="O405" s="18"/>
      <c r="P405" s="12"/>
      <c r="Q405" s="12"/>
      <c r="R405" s="12"/>
      <c r="S405" s="36"/>
      <c r="T405" s="36"/>
      <c r="U405" s="12"/>
      <c r="V405" s="12"/>
      <c r="W405" s="12"/>
      <c r="X405" s="12"/>
      <c r="Y405" s="12"/>
    </row>
    <row r="406" customFormat="false" ht="15.75" hidden="false" customHeight="false" outlineLevel="0" collapsed="false">
      <c r="A406" s="12"/>
      <c r="B406" s="34"/>
      <c r="C406" s="12"/>
      <c r="D406" s="12"/>
      <c r="E406" s="12"/>
      <c r="F406" s="12"/>
      <c r="G406" s="18"/>
      <c r="H406" s="35"/>
      <c r="I406" s="12"/>
      <c r="N406" s="12"/>
      <c r="O406" s="18"/>
      <c r="P406" s="12"/>
      <c r="Q406" s="12"/>
      <c r="R406" s="12"/>
      <c r="S406" s="36"/>
      <c r="T406" s="36"/>
      <c r="U406" s="12"/>
      <c r="V406" s="12"/>
      <c r="W406" s="12"/>
      <c r="X406" s="12"/>
      <c r="Y406" s="12"/>
    </row>
    <row r="407" customFormat="false" ht="15.75" hidden="false" customHeight="false" outlineLevel="0" collapsed="false">
      <c r="A407" s="12"/>
      <c r="B407" s="34"/>
      <c r="C407" s="12"/>
      <c r="D407" s="12"/>
      <c r="E407" s="12"/>
      <c r="F407" s="12"/>
      <c r="G407" s="18"/>
      <c r="H407" s="35"/>
      <c r="I407" s="12"/>
      <c r="N407" s="12"/>
      <c r="O407" s="18"/>
      <c r="P407" s="12"/>
      <c r="Q407" s="12"/>
      <c r="R407" s="12"/>
      <c r="S407" s="36"/>
      <c r="T407" s="36"/>
      <c r="U407" s="12"/>
      <c r="V407" s="12"/>
      <c r="W407" s="12"/>
      <c r="X407" s="12"/>
      <c r="Y407" s="12"/>
    </row>
    <row r="408" customFormat="false" ht="15.75" hidden="false" customHeight="false" outlineLevel="0" collapsed="false">
      <c r="A408" s="12"/>
      <c r="B408" s="34"/>
      <c r="C408" s="12"/>
      <c r="D408" s="12"/>
      <c r="E408" s="12"/>
      <c r="F408" s="12"/>
      <c r="G408" s="18"/>
      <c r="H408" s="35"/>
      <c r="I408" s="12"/>
      <c r="N408" s="12"/>
      <c r="O408" s="18"/>
      <c r="P408" s="12"/>
      <c r="Q408" s="12"/>
      <c r="R408" s="12"/>
      <c r="S408" s="36"/>
      <c r="T408" s="36"/>
      <c r="U408" s="12"/>
      <c r="V408" s="12"/>
      <c r="W408" s="12"/>
      <c r="X408" s="12"/>
      <c r="Y408" s="12"/>
    </row>
    <row r="409" customFormat="false" ht="15.75" hidden="false" customHeight="false" outlineLevel="0" collapsed="false">
      <c r="A409" s="12"/>
      <c r="B409" s="34"/>
      <c r="C409" s="12"/>
      <c r="D409" s="12"/>
      <c r="E409" s="12"/>
      <c r="F409" s="12"/>
      <c r="G409" s="18"/>
      <c r="H409" s="35"/>
      <c r="I409" s="12"/>
      <c r="N409" s="12"/>
      <c r="O409" s="18"/>
      <c r="P409" s="12"/>
      <c r="Q409" s="12"/>
      <c r="R409" s="12"/>
      <c r="S409" s="36"/>
      <c r="T409" s="36"/>
      <c r="U409" s="12"/>
      <c r="V409" s="12"/>
      <c r="W409" s="12"/>
      <c r="X409" s="12"/>
      <c r="Y409" s="12"/>
    </row>
    <row r="410" customFormat="false" ht="15.75" hidden="false" customHeight="false" outlineLevel="0" collapsed="false">
      <c r="A410" s="12"/>
      <c r="B410" s="34"/>
      <c r="C410" s="12"/>
      <c r="D410" s="12"/>
      <c r="E410" s="12"/>
      <c r="F410" s="12"/>
      <c r="G410" s="18"/>
      <c r="H410" s="35"/>
      <c r="I410" s="12"/>
      <c r="N410" s="12"/>
      <c r="O410" s="18"/>
      <c r="P410" s="12"/>
      <c r="Q410" s="12"/>
      <c r="R410" s="12"/>
      <c r="S410" s="36"/>
      <c r="T410" s="36"/>
      <c r="U410" s="12"/>
      <c r="V410" s="12"/>
      <c r="W410" s="12"/>
      <c r="X410" s="12"/>
      <c r="Y410" s="12"/>
    </row>
    <row r="411" customFormat="false" ht="15.75" hidden="false" customHeight="false" outlineLevel="0" collapsed="false">
      <c r="A411" s="12"/>
      <c r="B411" s="34"/>
      <c r="C411" s="12"/>
      <c r="D411" s="12"/>
      <c r="E411" s="12"/>
      <c r="F411" s="12"/>
      <c r="G411" s="18"/>
      <c r="H411" s="35"/>
      <c r="I411" s="12"/>
      <c r="N411" s="12"/>
      <c r="O411" s="18"/>
      <c r="P411" s="12"/>
      <c r="Q411" s="12"/>
      <c r="R411" s="12"/>
      <c r="S411" s="36"/>
      <c r="T411" s="36"/>
      <c r="U411" s="12"/>
      <c r="V411" s="12"/>
      <c r="W411" s="12"/>
      <c r="X411" s="12"/>
      <c r="Y411" s="12"/>
    </row>
    <row r="412" customFormat="false" ht="15.75" hidden="false" customHeight="false" outlineLevel="0" collapsed="false">
      <c r="A412" s="12"/>
      <c r="B412" s="34"/>
      <c r="C412" s="12"/>
      <c r="D412" s="12"/>
      <c r="E412" s="12"/>
      <c r="F412" s="12"/>
      <c r="G412" s="18"/>
      <c r="H412" s="35"/>
      <c r="I412" s="12"/>
      <c r="N412" s="12"/>
      <c r="O412" s="18"/>
      <c r="P412" s="12"/>
      <c r="Q412" s="12"/>
      <c r="R412" s="12"/>
      <c r="S412" s="36"/>
      <c r="T412" s="36"/>
      <c r="U412" s="12"/>
      <c r="V412" s="12"/>
      <c r="W412" s="12"/>
      <c r="X412" s="12"/>
      <c r="Y412" s="12"/>
    </row>
    <row r="413" customFormat="false" ht="15.75" hidden="false" customHeight="false" outlineLevel="0" collapsed="false">
      <c r="A413" s="12"/>
      <c r="B413" s="34"/>
      <c r="C413" s="12"/>
      <c r="D413" s="12"/>
      <c r="E413" s="12"/>
      <c r="F413" s="12"/>
      <c r="G413" s="18"/>
      <c r="H413" s="35"/>
      <c r="I413" s="12"/>
      <c r="N413" s="12"/>
      <c r="O413" s="18"/>
      <c r="P413" s="12"/>
      <c r="Q413" s="12"/>
      <c r="R413" s="12"/>
      <c r="S413" s="36"/>
      <c r="T413" s="36"/>
      <c r="U413" s="12"/>
      <c r="V413" s="12"/>
      <c r="W413" s="12"/>
      <c r="X413" s="12"/>
      <c r="Y413" s="12"/>
    </row>
    <row r="414" customFormat="false" ht="15.75" hidden="false" customHeight="false" outlineLevel="0" collapsed="false">
      <c r="A414" s="12"/>
      <c r="B414" s="34"/>
      <c r="C414" s="12"/>
      <c r="D414" s="12"/>
      <c r="E414" s="12"/>
      <c r="F414" s="12"/>
      <c r="G414" s="18"/>
      <c r="H414" s="35"/>
      <c r="I414" s="12"/>
      <c r="N414" s="12"/>
      <c r="O414" s="18"/>
      <c r="P414" s="12"/>
      <c r="Q414" s="12"/>
      <c r="R414" s="12"/>
      <c r="S414" s="36"/>
      <c r="T414" s="36"/>
      <c r="U414" s="12"/>
      <c r="V414" s="12"/>
      <c r="W414" s="12"/>
      <c r="X414" s="12"/>
      <c r="Y414" s="12"/>
    </row>
    <row r="415" customFormat="false" ht="15.75" hidden="false" customHeight="false" outlineLevel="0" collapsed="false">
      <c r="A415" s="12"/>
      <c r="B415" s="34"/>
      <c r="C415" s="12"/>
      <c r="D415" s="12"/>
      <c r="E415" s="12"/>
      <c r="F415" s="12"/>
      <c r="G415" s="18"/>
      <c r="H415" s="35"/>
      <c r="I415" s="12"/>
      <c r="N415" s="12"/>
      <c r="O415" s="18"/>
      <c r="P415" s="12"/>
      <c r="Q415" s="12"/>
      <c r="R415" s="12"/>
      <c r="S415" s="36"/>
      <c r="T415" s="36"/>
      <c r="U415" s="12"/>
      <c r="V415" s="12"/>
      <c r="W415" s="12"/>
      <c r="X415" s="12"/>
      <c r="Y415" s="12"/>
    </row>
    <row r="416" customFormat="false" ht="15.75" hidden="false" customHeight="false" outlineLevel="0" collapsed="false">
      <c r="A416" s="12"/>
      <c r="B416" s="34"/>
      <c r="C416" s="12"/>
      <c r="D416" s="12"/>
      <c r="E416" s="12"/>
      <c r="F416" s="12"/>
      <c r="G416" s="18"/>
      <c r="H416" s="35"/>
      <c r="I416" s="12"/>
      <c r="N416" s="12"/>
      <c r="O416" s="18"/>
      <c r="P416" s="12"/>
      <c r="Q416" s="12"/>
      <c r="R416" s="12"/>
      <c r="S416" s="36"/>
      <c r="T416" s="36"/>
      <c r="U416" s="12"/>
      <c r="V416" s="12"/>
      <c r="W416" s="12"/>
      <c r="X416" s="12"/>
      <c r="Y416" s="12"/>
    </row>
    <row r="417" customFormat="false" ht="15.75" hidden="false" customHeight="false" outlineLevel="0" collapsed="false">
      <c r="A417" s="12"/>
      <c r="B417" s="34"/>
      <c r="C417" s="12"/>
      <c r="D417" s="12"/>
      <c r="E417" s="12"/>
      <c r="F417" s="12"/>
      <c r="G417" s="18"/>
      <c r="H417" s="35"/>
      <c r="I417" s="12"/>
      <c r="N417" s="12"/>
      <c r="O417" s="18"/>
      <c r="P417" s="12"/>
      <c r="Q417" s="12"/>
      <c r="R417" s="12"/>
      <c r="S417" s="36"/>
      <c r="T417" s="36"/>
      <c r="U417" s="12"/>
      <c r="V417" s="12"/>
      <c r="W417" s="12"/>
      <c r="X417" s="12"/>
      <c r="Y417" s="12"/>
    </row>
    <row r="418" customFormat="false" ht="15.75" hidden="false" customHeight="false" outlineLevel="0" collapsed="false">
      <c r="A418" s="12"/>
      <c r="B418" s="34"/>
      <c r="C418" s="12"/>
      <c r="D418" s="12"/>
      <c r="E418" s="12"/>
      <c r="F418" s="12"/>
      <c r="G418" s="18"/>
      <c r="H418" s="35"/>
      <c r="I418" s="12"/>
      <c r="N418" s="12"/>
      <c r="O418" s="18"/>
      <c r="P418" s="12"/>
      <c r="Q418" s="12"/>
      <c r="R418" s="12"/>
      <c r="S418" s="36"/>
      <c r="T418" s="36"/>
      <c r="U418" s="12"/>
      <c r="V418" s="12"/>
      <c r="W418" s="12"/>
      <c r="X418" s="12"/>
      <c r="Y418" s="12"/>
    </row>
    <row r="419" customFormat="false" ht="15.75" hidden="false" customHeight="false" outlineLevel="0" collapsed="false">
      <c r="A419" s="12"/>
      <c r="B419" s="34"/>
      <c r="C419" s="12"/>
      <c r="D419" s="12"/>
      <c r="E419" s="12"/>
      <c r="F419" s="12"/>
      <c r="G419" s="18"/>
      <c r="H419" s="35"/>
      <c r="I419" s="12"/>
      <c r="N419" s="12"/>
      <c r="O419" s="18"/>
      <c r="P419" s="12"/>
      <c r="Q419" s="12"/>
      <c r="R419" s="12"/>
      <c r="S419" s="36"/>
      <c r="T419" s="36"/>
      <c r="U419" s="12"/>
      <c r="V419" s="12"/>
      <c r="W419" s="12"/>
      <c r="X419" s="12"/>
      <c r="Y419" s="12"/>
    </row>
    <row r="420" customFormat="false" ht="15.75" hidden="false" customHeight="false" outlineLevel="0" collapsed="false">
      <c r="A420" s="12"/>
      <c r="B420" s="34"/>
      <c r="C420" s="12"/>
      <c r="D420" s="12"/>
      <c r="E420" s="12"/>
      <c r="F420" s="12"/>
      <c r="G420" s="18"/>
      <c r="H420" s="35"/>
      <c r="I420" s="12"/>
      <c r="N420" s="12"/>
      <c r="O420" s="18"/>
      <c r="P420" s="12"/>
      <c r="Q420" s="12"/>
      <c r="R420" s="12"/>
      <c r="S420" s="36"/>
      <c r="T420" s="36"/>
      <c r="U420" s="12"/>
      <c r="V420" s="12"/>
      <c r="W420" s="12"/>
      <c r="X420" s="12"/>
      <c r="Y420" s="12"/>
    </row>
    <row r="421" customFormat="false" ht="15.75" hidden="false" customHeight="false" outlineLevel="0" collapsed="false">
      <c r="A421" s="12"/>
      <c r="B421" s="34"/>
      <c r="C421" s="12"/>
      <c r="D421" s="12"/>
      <c r="E421" s="12"/>
      <c r="F421" s="12"/>
      <c r="G421" s="18"/>
      <c r="H421" s="35"/>
      <c r="I421" s="12"/>
      <c r="N421" s="12"/>
      <c r="O421" s="18"/>
      <c r="P421" s="12"/>
      <c r="Q421" s="12"/>
      <c r="R421" s="12"/>
      <c r="S421" s="36"/>
      <c r="T421" s="36"/>
      <c r="U421" s="12"/>
      <c r="V421" s="12"/>
      <c r="W421" s="12"/>
      <c r="X421" s="12"/>
      <c r="Y421" s="12"/>
    </row>
    <row r="422" customFormat="false" ht="15.75" hidden="false" customHeight="false" outlineLevel="0" collapsed="false">
      <c r="A422" s="12"/>
      <c r="B422" s="34"/>
      <c r="C422" s="12"/>
      <c r="D422" s="12"/>
      <c r="E422" s="12"/>
      <c r="F422" s="12"/>
      <c r="G422" s="18"/>
      <c r="H422" s="35"/>
      <c r="I422" s="12"/>
      <c r="N422" s="12"/>
      <c r="O422" s="18"/>
      <c r="P422" s="12"/>
      <c r="Q422" s="12"/>
      <c r="R422" s="12"/>
      <c r="S422" s="36"/>
      <c r="T422" s="36"/>
      <c r="U422" s="12"/>
      <c r="V422" s="12"/>
      <c r="W422" s="12"/>
      <c r="X422" s="12"/>
      <c r="Y422" s="12"/>
    </row>
    <row r="423" customFormat="false" ht="15.75" hidden="false" customHeight="false" outlineLevel="0" collapsed="false">
      <c r="A423" s="12"/>
      <c r="B423" s="34"/>
      <c r="C423" s="12"/>
      <c r="D423" s="12"/>
      <c r="E423" s="12"/>
      <c r="F423" s="12"/>
      <c r="G423" s="18"/>
      <c r="H423" s="35"/>
      <c r="I423" s="12"/>
      <c r="N423" s="12"/>
      <c r="O423" s="18"/>
      <c r="P423" s="12"/>
      <c r="Q423" s="12"/>
      <c r="R423" s="12"/>
      <c r="S423" s="36"/>
      <c r="T423" s="36"/>
      <c r="U423" s="12"/>
      <c r="V423" s="12"/>
      <c r="W423" s="12"/>
      <c r="X423" s="12"/>
      <c r="Y423" s="12"/>
    </row>
    <row r="424" customFormat="false" ht="15.75" hidden="false" customHeight="false" outlineLevel="0" collapsed="false">
      <c r="A424" s="12"/>
      <c r="B424" s="34"/>
      <c r="C424" s="12"/>
      <c r="D424" s="12"/>
      <c r="E424" s="12"/>
      <c r="F424" s="12"/>
      <c r="G424" s="18"/>
      <c r="H424" s="35"/>
      <c r="I424" s="12"/>
      <c r="N424" s="12"/>
      <c r="O424" s="18"/>
      <c r="P424" s="12"/>
      <c r="Q424" s="12"/>
      <c r="R424" s="12"/>
      <c r="S424" s="36"/>
      <c r="T424" s="36"/>
      <c r="U424" s="12"/>
      <c r="V424" s="12"/>
      <c r="W424" s="12"/>
      <c r="X424" s="12"/>
      <c r="Y424" s="12"/>
    </row>
    <row r="425" customFormat="false" ht="15.75" hidden="false" customHeight="false" outlineLevel="0" collapsed="false">
      <c r="A425" s="12"/>
      <c r="B425" s="34"/>
      <c r="C425" s="12"/>
      <c r="D425" s="12"/>
      <c r="E425" s="12"/>
      <c r="F425" s="12"/>
      <c r="G425" s="18"/>
      <c r="H425" s="35"/>
      <c r="I425" s="12"/>
      <c r="N425" s="12"/>
      <c r="O425" s="18"/>
      <c r="P425" s="12"/>
      <c r="Q425" s="12"/>
      <c r="R425" s="12"/>
      <c r="S425" s="36"/>
      <c r="T425" s="36"/>
      <c r="U425" s="12"/>
      <c r="V425" s="12"/>
      <c r="W425" s="12"/>
      <c r="X425" s="12"/>
      <c r="Y425" s="12"/>
    </row>
    <row r="426" customFormat="false" ht="15.75" hidden="false" customHeight="false" outlineLevel="0" collapsed="false">
      <c r="A426" s="12"/>
      <c r="B426" s="34"/>
      <c r="C426" s="12"/>
      <c r="D426" s="12"/>
      <c r="E426" s="12"/>
      <c r="F426" s="12"/>
      <c r="G426" s="18"/>
      <c r="H426" s="35"/>
      <c r="I426" s="12"/>
      <c r="N426" s="12"/>
      <c r="O426" s="18"/>
      <c r="P426" s="12"/>
      <c r="Q426" s="12"/>
      <c r="R426" s="12"/>
      <c r="S426" s="36"/>
      <c r="T426" s="36"/>
      <c r="U426" s="12"/>
      <c r="V426" s="12"/>
      <c r="W426" s="12"/>
      <c r="X426" s="12"/>
      <c r="Y426" s="12"/>
    </row>
    <row r="427" customFormat="false" ht="15.75" hidden="false" customHeight="false" outlineLevel="0" collapsed="false">
      <c r="A427" s="12"/>
      <c r="B427" s="34"/>
      <c r="C427" s="12"/>
      <c r="D427" s="12"/>
      <c r="E427" s="12"/>
      <c r="F427" s="12"/>
      <c r="G427" s="18"/>
      <c r="H427" s="35"/>
      <c r="I427" s="12"/>
      <c r="N427" s="12"/>
      <c r="O427" s="18"/>
      <c r="P427" s="12"/>
      <c r="Q427" s="12"/>
      <c r="R427" s="12"/>
      <c r="S427" s="36"/>
      <c r="T427" s="36"/>
      <c r="U427" s="12"/>
      <c r="V427" s="12"/>
      <c r="W427" s="12"/>
      <c r="X427" s="12"/>
      <c r="Y427" s="12"/>
    </row>
    <row r="428" customFormat="false" ht="15.75" hidden="false" customHeight="false" outlineLevel="0" collapsed="false">
      <c r="A428" s="12"/>
      <c r="B428" s="34"/>
      <c r="C428" s="12"/>
      <c r="D428" s="12"/>
      <c r="E428" s="12"/>
      <c r="F428" s="12"/>
      <c r="G428" s="18"/>
      <c r="H428" s="35"/>
      <c r="I428" s="12"/>
      <c r="N428" s="12"/>
      <c r="O428" s="18"/>
      <c r="P428" s="12"/>
      <c r="Q428" s="12"/>
      <c r="R428" s="12"/>
      <c r="S428" s="36"/>
      <c r="T428" s="36"/>
      <c r="U428" s="12"/>
      <c r="V428" s="12"/>
      <c r="W428" s="12"/>
      <c r="X428" s="12"/>
      <c r="Y428" s="12"/>
    </row>
    <row r="429" customFormat="false" ht="15.75" hidden="false" customHeight="false" outlineLevel="0" collapsed="false">
      <c r="A429" s="12"/>
      <c r="B429" s="34"/>
      <c r="C429" s="12"/>
      <c r="D429" s="12"/>
      <c r="E429" s="12"/>
      <c r="F429" s="12"/>
      <c r="G429" s="18"/>
      <c r="H429" s="35"/>
      <c r="I429" s="12"/>
      <c r="N429" s="12"/>
      <c r="O429" s="18"/>
      <c r="P429" s="12"/>
      <c r="Q429" s="12"/>
      <c r="R429" s="12"/>
      <c r="S429" s="36"/>
      <c r="T429" s="36"/>
      <c r="U429" s="12"/>
      <c r="V429" s="12"/>
      <c r="W429" s="12"/>
      <c r="X429" s="12"/>
      <c r="Y429" s="12"/>
    </row>
    <row r="430" customFormat="false" ht="15.75" hidden="false" customHeight="false" outlineLevel="0" collapsed="false">
      <c r="A430" s="12"/>
      <c r="B430" s="34"/>
      <c r="C430" s="12"/>
      <c r="D430" s="12"/>
      <c r="E430" s="12"/>
      <c r="F430" s="12"/>
      <c r="G430" s="18"/>
      <c r="H430" s="35"/>
      <c r="I430" s="12"/>
      <c r="N430" s="12"/>
      <c r="O430" s="18"/>
      <c r="P430" s="12"/>
      <c r="Q430" s="12"/>
      <c r="R430" s="12"/>
      <c r="S430" s="36"/>
      <c r="T430" s="36"/>
      <c r="U430" s="12"/>
      <c r="V430" s="12"/>
      <c r="W430" s="12"/>
      <c r="X430" s="12"/>
      <c r="Y430" s="12"/>
    </row>
    <row r="431" customFormat="false" ht="15.75" hidden="false" customHeight="false" outlineLevel="0" collapsed="false">
      <c r="A431" s="12"/>
      <c r="B431" s="34"/>
      <c r="C431" s="12"/>
      <c r="D431" s="12"/>
      <c r="E431" s="12"/>
      <c r="F431" s="12"/>
      <c r="G431" s="18"/>
      <c r="H431" s="35"/>
      <c r="I431" s="12"/>
      <c r="N431" s="12"/>
      <c r="O431" s="18"/>
      <c r="P431" s="12"/>
      <c r="Q431" s="12"/>
      <c r="R431" s="12"/>
      <c r="S431" s="36"/>
      <c r="T431" s="36"/>
      <c r="U431" s="12"/>
      <c r="V431" s="12"/>
      <c r="W431" s="12"/>
      <c r="X431" s="12"/>
      <c r="Y431" s="12"/>
    </row>
    <row r="432" customFormat="false" ht="15.75" hidden="false" customHeight="false" outlineLevel="0" collapsed="false">
      <c r="A432" s="12"/>
      <c r="B432" s="34"/>
      <c r="C432" s="12"/>
      <c r="D432" s="12"/>
      <c r="E432" s="12"/>
      <c r="F432" s="12"/>
      <c r="G432" s="18"/>
      <c r="H432" s="35"/>
      <c r="I432" s="12"/>
      <c r="N432" s="12"/>
      <c r="O432" s="18"/>
      <c r="P432" s="12"/>
      <c r="Q432" s="12"/>
      <c r="R432" s="12"/>
      <c r="S432" s="36"/>
      <c r="T432" s="36"/>
      <c r="U432" s="12"/>
      <c r="V432" s="12"/>
      <c r="W432" s="12"/>
      <c r="X432" s="12"/>
      <c r="Y432" s="12"/>
    </row>
    <row r="433" customFormat="false" ht="15.75" hidden="false" customHeight="false" outlineLevel="0" collapsed="false">
      <c r="A433" s="12"/>
      <c r="B433" s="34"/>
      <c r="C433" s="12"/>
      <c r="D433" s="12"/>
      <c r="E433" s="12"/>
      <c r="F433" s="12"/>
      <c r="G433" s="18"/>
      <c r="H433" s="35"/>
      <c r="I433" s="12"/>
      <c r="N433" s="12"/>
      <c r="O433" s="18"/>
      <c r="P433" s="12"/>
      <c r="Q433" s="12"/>
      <c r="R433" s="12"/>
      <c r="S433" s="36"/>
      <c r="T433" s="36"/>
      <c r="U433" s="12"/>
      <c r="V433" s="12"/>
      <c r="W433" s="12"/>
      <c r="X433" s="12"/>
      <c r="Y433" s="12"/>
    </row>
    <row r="434" customFormat="false" ht="15.75" hidden="false" customHeight="false" outlineLevel="0" collapsed="false">
      <c r="A434" s="12"/>
      <c r="B434" s="34"/>
      <c r="C434" s="12"/>
      <c r="D434" s="12"/>
      <c r="E434" s="12"/>
      <c r="F434" s="12"/>
      <c r="G434" s="18"/>
      <c r="H434" s="35"/>
      <c r="I434" s="12"/>
      <c r="N434" s="12"/>
      <c r="O434" s="18"/>
      <c r="P434" s="12"/>
      <c r="Q434" s="12"/>
      <c r="R434" s="12"/>
      <c r="S434" s="36"/>
      <c r="T434" s="36"/>
      <c r="U434" s="12"/>
      <c r="V434" s="12"/>
      <c r="W434" s="12"/>
      <c r="X434" s="12"/>
      <c r="Y434" s="12"/>
    </row>
    <row r="435" customFormat="false" ht="15.75" hidden="false" customHeight="false" outlineLevel="0" collapsed="false">
      <c r="A435" s="12"/>
      <c r="B435" s="34"/>
      <c r="C435" s="12"/>
      <c r="D435" s="12"/>
      <c r="E435" s="12"/>
      <c r="F435" s="12"/>
      <c r="G435" s="18"/>
      <c r="H435" s="35"/>
      <c r="I435" s="12"/>
      <c r="N435" s="12"/>
      <c r="O435" s="18"/>
      <c r="P435" s="12"/>
      <c r="Q435" s="12"/>
      <c r="R435" s="12"/>
      <c r="S435" s="36"/>
      <c r="T435" s="36"/>
      <c r="U435" s="12"/>
      <c r="V435" s="12"/>
      <c r="W435" s="12"/>
      <c r="X435" s="12"/>
      <c r="Y435" s="12"/>
    </row>
    <row r="436" customFormat="false" ht="15.75" hidden="false" customHeight="false" outlineLevel="0" collapsed="false">
      <c r="A436" s="12"/>
      <c r="B436" s="34"/>
      <c r="C436" s="12"/>
      <c r="D436" s="12"/>
      <c r="E436" s="12"/>
      <c r="F436" s="12"/>
      <c r="G436" s="18"/>
      <c r="H436" s="35"/>
      <c r="I436" s="12"/>
      <c r="N436" s="12"/>
      <c r="O436" s="18"/>
      <c r="P436" s="12"/>
      <c r="Q436" s="12"/>
      <c r="R436" s="12"/>
      <c r="S436" s="36"/>
      <c r="T436" s="36"/>
      <c r="U436" s="12"/>
      <c r="V436" s="12"/>
      <c r="W436" s="12"/>
      <c r="X436" s="12"/>
      <c r="Y436" s="12"/>
    </row>
    <row r="437" customFormat="false" ht="15.75" hidden="false" customHeight="false" outlineLevel="0" collapsed="false">
      <c r="A437" s="12"/>
      <c r="B437" s="34"/>
      <c r="C437" s="12"/>
      <c r="D437" s="12"/>
      <c r="E437" s="12"/>
      <c r="F437" s="12"/>
      <c r="G437" s="18"/>
      <c r="H437" s="35"/>
      <c r="I437" s="12"/>
      <c r="N437" s="12"/>
      <c r="O437" s="18"/>
      <c r="P437" s="12"/>
      <c r="Q437" s="12"/>
      <c r="R437" s="12"/>
      <c r="S437" s="36"/>
      <c r="T437" s="36"/>
      <c r="U437" s="12"/>
      <c r="V437" s="12"/>
      <c r="W437" s="12"/>
      <c r="X437" s="12"/>
      <c r="Y437" s="12"/>
    </row>
    <row r="438" customFormat="false" ht="15.75" hidden="false" customHeight="false" outlineLevel="0" collapsed="false">
      <c r="A438" s="12"/>
      <c r="B438" s="34"/>
      <c r="C438" s="12"/>
      <c r="D438" s="12"/>
      <c r="E438" s="12"/>
      <c r="F438" s="12"/>
      <c r="G438" s="18"/>
      <c r="H438" s="35"/>
      <c r="I438" s="12"/>
      <c r="N438" s="12"/>
      <c r="O438" s="18"/>
      <c r="P438" s="12"/>
      <c r="Q438" s="12"/>
      <c r="R438" s="12"/>
      <c r="S438" s="36"/>
      <c r="T438" s="36"/>
      <c r="U438" s="12"/>
      <c r="V438" s="12"/>
      <c r="W438" s="12"/>
      <c r="X438" s="12"/>
      <c r="Y438" s="12"/>
    </row>
    <row r="439" customFormat="false" ht="15.75" hidden="false" customHeight="false" outlineLevel="0" collapsed="false">
      <c r="A439" s="12"/>
      <c r="B439" s="34"/>
      <c r="C439" s="12"/>
      <c r="D439" s="12"/>
      <c r="E439" s="12"/>
      <c r="F439" s="12"/>
      <c r="G439" s="18"/>
      <c r="H439" s="35"/>
      <c r="I439" s="12"/>
      <c r="N439" s="12"/>
      <c r="O439" s="18"/>
      <c r="P439" s="12"/>
      <c r="Q439" s="12"/>
      <c r="R439" s="12"/>
      <c r="S439" s="36"/>
      <c r="T439" s="36"/>
      <c r="U439" s="12"/>
      <c r="V439" s="12"/>
      <c r="W439" s="12"/>
      <c r="X439" s="12"/>
      <c r="Y439" s="12"/>
    </row>
    <row r="440" customFormat="false" ht="15.75" hidden="false" customHeight="false" outlineLevel="0" collapsed="false">
      <c r="A440" s="12"/>
      <c r="B440" s="34"/>
      <c r="C440" s="12"/>
      <c r="D440" s="12"/>
      <c r="E440" s="12"/>
      <c r="F440" s="12"/>
      <c r="G440" s="18"/>
      <c r="H440" s="35"/>
      <c r="I440" s="12"/>
      <c r="N440" s="12"/>
      <c r="O440" s="18"/>
      <c r="P440" s="12"/>
      <c r="Q440" s="12"/>
      <c r="R440" s="12"/>
      <c r="S440" s="36"/>
      <c r="T440" s="36"/>
      <c r="U440" s="12"/>
      <c r="V440" s="12"/>
      <c r="W440" s="12"/>
      <c r="X440" s="12"/>
      <c r="Y440" s="12"/>
    </row>
    <row r="441" customFormat="false" ht="15.75" hidden="false" customHeight="false" outlineLevel="0" collapsed="false">
      <c r="A441" s="12"/>
      <c r="B441" s="34"/>
      <c r="C441" s="12"/>
      <c r="D441" s="12"/>
      <c r="E441" s="12"/>
      <c r="F441" s="12"/>
      <c r="G441" s="18"/>
      <c r="H441" s="35"/>
      <c r="I441" s="12"/>
      <c r="N441" s="12"/>
      <c r="O441" s="18"/>
      <c r="P441" s="12"/>
      <c r="Q441" s="12"/>
      <c r="R441" s="12"/>
      <c r="S441" s="36"/>
      <c r="T441" s="36"/>
      <c r="U441" s="12"/>
      <c r="V441" s="12"/>
      <c r="W441" s="12"/>
      <c r="X441" s="12"/>
      <c r="Y441" s="12"/>
    </row>
    <row r="442" customFormat="false" ht="15.75" hidden="false" customHeight="false" outlineLevel="0" collapsed="false">
      <c r="A442" s="12"/>
      <c r="B442" s="34"/>
      <c r="C442" s="12"/>
      <c r="D442" s="12"/>
      <c r="E442" s="12"/>
      <c r="F442" s="12"/>
      <c r="G442" s="18"/>
      <c r="H442" s="35"/>
      <c r="I442" s="12"/>
      <c r="N442" s="12"/>
      <c r="O442" s="18"/>
      <c r="P442" s="12"/>
      <c r="Q442" s="12"/>
      <c r="R442" s="12"/>
      <c r="S442" s="36"/>
      <c r="T442" s="36"/>
      <c r="U442" s="12"/>
      <c r="V442" s="12"/>
      <c r="W442" s="12"/>
      <c r="X442" s="12"/>
      <c r="Y442" s="12"/>
    </row>
    <row r="443" customFormat="false" ht="15.75" hidden="false" customHeight="false" outlineLevel="0" collapsed="false">
      <c r="A443" s="12"/>
      <c r="B443" s="34"/>
      <c r="C443" s="12"/>
      <c r="D443" s="12"/>
      <c r="E443" s="12"/>
      <c r="F443" s="12"/>
      <c r="G443" s="18"/>
      <c r="H443" s="35"/>
      <c r="I443" s="12"/>
      <c r="N443" s="12"/>
      <c r="O443" s="18"/>
      <c r="P443" s="12"/>
      <c r="Q443" s="12"/>
      <c r="R443" s="12"/>
      <c r="S443" s="36"/>
      <c r="T443" s="36"/>
      <c r="U443" s="12"/>
      <c r="V443" s="12"/>
      <c r="W443" s="12"/>
      <c r="X443" s="12"/>
      <c r="Y443" s="12"/>
    </row>
    <row r="444" customFormat="false" ht="15.75" hidden="false" customHeight="false" outlineLevel="0" collapsed="false">
      <c r="A444" s="12"/>
      <c r="B444" s="34"/>
      <c r="C444" s="12"/>
      <c r="D444" s="12"/>
      <c r="E444" s="12"/>
      <c r="F444" s="12"/>
      <c r="G444" s="18"/>
      <c r="H444" s="35"/>
      <c r="I444" s="12"/>
      <c r="N444" s="12"/>
      <c r="O444" s="18"/>
      <c r="P444" s="12"/>
      <c r="Q444" s="12"/>
      <c r="R444" s="12"/>
      <c r="S444" s="36"/>
      <c r="T444" s="36"/>
      <c r="U444" s="12"/>
      <c r="V444" s="12"/>
      <c r="W444" s="12"/>
      <c r="X444" s="12"/>
      <c r="Y444" s="12"/>
    </row>
    <row r="445" customFormat="false" ht="15.75" hidden="false" customHeight="false" outlineLevel="0" collapsed="false">
      <c r="A445" s="12"/>
      <c r="B445" s="34"/>
      <c r="C445" s="12"/>
      <c r="D445" s="12"/>
      <c r="E445" s="12"/>
      <c r="F445" s="12"/>
      <c r="G445" s="18"/>
      <c r="H445" s="35"/>
      <c r="I445" s="12"/>
      <c r="N445" s="12"/>
      <c r="O445" s="18"/>
      <c r="P445" s="12"/>
      <c r="Q445" s="12"/>
      <c r="R445" s="12"/>
      <c r="S445" s="36"/>
      <c r="T445" s="36"/>
      <c r="U445" s="12"/>
      <c r="V445" s="12"/>
      <c r="W445" s="12"/>
      <c r="X445" s="12"/>
      <c r="Y445" s="12"/>
    </row>
    <row r="446" customFormat="false" ht="15.75" hidden="false" customHeight="false" outlineLevel="0" collapsed="false">
      <c r="A446" s="12"/>
      <c r="B446" s="34"/>
      <c r="C446" s="12"/>
      <c r="D446" s="12"/>
      <c r="E446" s="12"/>
      <c r="F446" s="12"/>
      <c r="G446" s="18"/>
      <c r="H446" s="35"/>
      <c r="I446" s="12"/>
      <c r="N446" s="12"/>
      <c r="O446" s="18"/>
      <c r="P446" s="12"/>
      <c r="Q446" s="12"/>
      <c r="R446" s="12"/>
      <c r="S446" s="36"/>
      <c r="T446" s="36"/>
      <c r="U446" s="12"/>
      <c r="V446" s="12"/>
      <c r="W446" s="12"/>
      <c r="X446" s="12"/>
      <c r="Y446" s="12"/>
    </row>
    <row r="447" customFormat="false" ht="15.75" hidden="false" customHeight="false" outlineLevel="0" collapsed="false">
      <c r="A447" s="12"/>
      <c r="B447" s="34"/>
      <c r="C447" s="12"/>
      <c r="D447" s="12"/>
      <c r="E447" s="12"/>
      <c r="F447" s="12"/>
      <c r="G447" s="18"/>
      <c r="H447" s="35"/>
      <c r="I447" s="12"/>
      <c r="N447" s="12"/>
      <c r="O447" s="18"/>
      <c r="P447" s="12"/>
      <c r="Q447" s="12"/>
      <c r="R447" s="12"/>
      <c r="S447" s="36"/>
      <c r="T447" s="36"/>
      <c r="U447" s="12"/>
      <c r="V447" s="12"/>
      <c r="W447" s="12"/>
      <c r="X447" s="12"/>
      <c r="Y447" s="12"/>
    </row>
    <row r="448" customFormat="false" ht="15.75" hidden="false" customHeight="false" outlineLevel="0" collapsed="false">
      <c r="A448" s="12"/>
      <c r="B448" s="34"/>
      <c r="C448" s="12"/>
      <c r="D448" s="12"/>
      <c r="E448" s="12"/>
      <c r="F448" s="12"/>
      <c r="G448" s="18"/>
      <c r="H448" s="35"/>
      <c r="I448" s="12"/>
      <c r="N448" s="12"/>
      <c r="O448" s="18"/>
      <c r="P448" s="12"/>
      <c r="Q448" s="12"/>
      <c r="R448" s="12"/>
      <c r="S448" s="36"/>
      <c r="T448" s="36"/>
      <c r="U448" s="12"/>
      <c r="V448" s="12"/>
      <c r="W448" s="12"/>
      <c r="X448" s="12"/>
      <c r="Y448" s="12"/>
    </row>
    <row r="449" customFormat="false" ht="15.75" hidden="false" customHeight="false" outlineLevel="0" collapsed="false">
      <c r="A449" s="12"/>
      <c r="B449" s="34"/>
      <c r="C449" s="12"/>
      <c r="D449" s="12"/>
      <c r="E449" s="12"/>
      <c r="F449" s="12"/>
      <c r="G449" s="18"/>
      <c r="H449" s="35"/>
      <c r="I449" s="12"/>
      <c r="N449" s="12"/>
      <c r="O449" s="18"/>
      <c r="P449" s="12"/>
      <c r="Q449" s="12"/>
      <c r="R449" s="12"/>
      <c r="S449" s="36"/>
      <c r="T449" s="36"/>
      <c r="U449" s="12"/>
      <c r="V449" s="12"/>
      <c r="W449" s="12"/>
      <c r="X449" s="12"/>
      <c r="Y449" s="12"/>
    </row>
    <row r="450" customFormat="false" ht="15.75" hidden="false" customHeight="false" outlineLevel="0" collapsed="false">
      <c r="A450" s="12"/>
      <c r="B450" s="34"/>
      <c r="C450" s="12"/>
      <c r="D450" s="12"/>
      <c r="E450" s="12"/>
      <c r="F450" s="12"/>
      <c r="G450" s="18"/>
      <c r="H450" s="35"/>
      <c r="I450" s="12"/>
      <c r="N450" s="12"/>
      <c r="O450" s="18"/>
      <c r="P450" s="12"/>
      <c r="Q450" s="12"/>
      <c r="R450" s="12"/>
      <c r="S450" s="36"/>
      <c r="T450" s="36"/>
      <c r="U450" s="12"/>
      <c r="V450" s="12"/>
      <c r="W450" s="12"/>
      <c r="X450" s="12"/>
      <c r="Y450" s="12"/>
    </row>
    <row r="451" customFormat="false" ht="15.75" hidden="false" customHeight="false" outlineLevel="0" collapsed="false">
      <c r="A451" s="12"/>
      <c r="B451" s="34"/>
      <c r="C451" s="12"/>
      <c r="D451" s="12"/>
      <c r="E451" s="12"/>
      <c r="F451" s="12"/>
      <c r="G451" s="18"/>
      <c r="H451" s="35"/>
      <c r="I451" s="12"/>
      <c r="N451" s="12"/>
      <c r="O451" s="18"/>
      <c r="P451" s="12"/>
      <c r="Q451" s="12"/>
      <c r="R451" s="12"/>
      <c r="S451" s="36"/>
      <c r="T451" s="36"/>
      <c r="U451" s="12"/>
      <c r="V451" s="12"/>
      <c r="W451" s="12"/>
      <c r="X451" s="12"/>
      <c r="Y451" s="12"/>
    </row>
    <row r="452" customFormat="false" ht="15.75" hidden="false" customHeight="false" outlineLevel="0" collapsed="false">
      <c r="A452" s="12"/>
      <c r="B452" s="34"/>
      <c r="C452" s="12"/>
      <c r="D452" s="12"/>
      <c r="E452" s="12"/>
      <c r="F452" s="12"/>
      <c r="G452" s="18"/>
      <c r="H452" s="35"/>
      <c r="I452" s="12"/>
      <c r="N452" s="12"/>
      <c r="O452" s="18"/>
      <c r="P452" s="12"/>
      <c r="Q452" s="12"/>
      <c r="R452" s="12"/>
      <c r="S452" s="36"/>
      <c r="T452" s="36"/>
      <c r="U452" s="12"/>
      <c r="V452" s="12"/>
      <c r="W452" s="12"/>
      <c r="X452" s="12"/>
      <c r="Y452" s="12"/>
    </row>
    <row r="453" customFormat="false" ht="15.75" hidden="false" customHeight="false" outlineLevel="0" collapsed="false">
      <c r="A453" s="12"/>
      <c r="B453" s="34"/>
      <c r="C453" s="12"/>
      <c r="D453" s="12"/>
      <c r="E453" s="12"/>
      <c r="F453" s="12"/>
      <c r="G453" s="18"/>
      <c r="H453" s="35"/>
      <c r="I453" s="12"/>
      <c r="N453" s="12"/>
      <c r="O453" s="18"/>
      <c r="P453" s="12"/>
      <c r="Q453" s="12"/>
      <c r="R453" s="12"/>
      <c r="S453" s="36"/>
      <c r="T453" s="36"/>
      <c r="U453" s="12"/>
      <c r="V453" s="12"/>
      <c r="W453" s="12"/>
      <c r="X453" s="12"/>
      <c r="Y453" s="12"/>
    </row>
    <row r="454" customFormat="false" ht="15.75" hidden="false" customHeight="false" outlineLevel="0" collapsed="false">
      <c r="A454" s="12"/>
      <c r="B454" s="34"/>
      <c r="C454" s="12"/>
      <c r="D454" s="12"/>
      <c r="E454" s="12"/>
      <c r="F454" s="12"/>
      <c r="G454" s="18"/>
      <c r="H454" s="35"/>
      <c r="I454" s="12"/>
      <c r="N454" s="12"/>
      <c r="O454" s="18"/>
      <c r="P454" s="12"/>
      <c r="Q454" s="12"/>
      <c r="R454" s="12"/>
      <c r="S454" s="36"/>
      <c r="T454" s="36"/>
      <c r="U454" s="12"/>
      <c r="V454" s="12"/>
      <c r="W454" s="12"/>
      <c r="X454" s="12"/>
      <c r="Y454" s="12"/>
    </row>
    <row r="455" customFormat="false" ht="15.75" hidden="false" customHeight="false" outlineLevel="0" collapsed="false">
      <c r="A455" s="12"/>
      <c r="B455" s="34"/>
      <c r="C455" s="12"/>
      <c r="D455" s="12"/>
      <c r="E455" s="12"/>
      <c r="F455" s="12"/>
      <c r="G455" s="18"/>
      <c r="H455" s="35"/>
      <c r="I455" s="12"/>
      <c r="N455" s="12"/>
      <c r="O455" s="18"/>
      <c r="P455" s="12"/>
      <c r="Q455" s="12"/>
      <c r="R455" s="12"/>
      <c r="S455" s="36"/>
      <c r="T455" s="36"/>
      <c r="U455" s="12"/>
      <c r="V455" s="12"/>
      <c r="W455" s="12"/>
      <c r="X455" s="12"/>
      <c r="Y455" s="12"/>
    </row>
    <row r="456" customFormat="false" ht="15.75" hidden="false" customHeight="false" outlineLevel="0" collapsed="false">
      <c r="A456" s="12"/>
      <c r="B456" s="34"/>
      <c r="C456" s="12"/>
      <c r="D456" s="12"/>
      <c r="E456" s="12"/>
      <c r="F456" s="12"/>
      <c r="G456" s="18"/>
      <c r="H456" s="35"/>
      <c r="I456" s="12"/>
      <c r="N456" s="12"/>
      <c r="O456" s="18"/>
      <c r="P456" s="12"/>
      <c r="Q456" s="12"/>
      <c r="R456" s="12"/>
      <c r="S456" s="36"/>
      <c r="T456" s="36"/>
      <c r="U456" s="12"/>
      <c r="V456" s="12"/>
      <c r="W456" s="12"/>
      <c r="X456" s="12"/>
      <c r="Y456" s="12"/>
    </row>
    <row r="457" customFormat="false" ht="15.75" hidden="false" customHeight="false" outlineLevel="0" collapsed="false">
      <c r="A457" s="12"/>
      <c r="B457" s="34"/>
      <c r="C457" s="12"/>
      <c r="D457" s="12"/>
      <c r="E457" s="12"/>
      <c r="F457" s="12"/>
      <c r="G457" s="18"/>
      <c r="H457" s="35"/>
      <c r="I457" s="12"/>
      <c r="N457" s="12"/>
      <c r="O457" s="18"/>
      <c r="P457" s="12"/>
      <c r="Q457" s="12"/>
      <c r="R457" s="12"/>
      <c r="S457" s="36"/>
      <c r="T457" s="36"/>
      <c r="U457" s="12"/>
      <c r="V457" s="12"/>
      <c r="W457" s="12"/>
      <c r="X457" s="12"/>
      <c r="Y457" s="12"/>
    </row>
    <row r="458" customFormat="false" ht="15.75" hidden="false" customHeight="false" outlineLevel="0" collapsed="false">
      <c r="A458" s="12"/>
      <c r="B458" s="34"/>
      <c r="C458" s="12"/>
      <c r="D458" s="12"/>
      <c r="E458" s="12"/>
      <c r="F458" s="12"/>
      <c r="G458" s="18"/>
      <c r="H458" s="35"/>
      <c r="I458" s="12"/>
      <c r="N458" s="12"/>
      <c r="O458" s="18"/>
      <c r="P458" s="12"/>
      <c r="Q458" s="12"/>
      <c r="R458" s="12"/>
      <c r="S458" s="36"/>
      <c r="T458" s="36"/>
      <c r="U458" s="12"/>
      <c r="V458" s="12"/>
      <c r="W458" s="12"/>
      <c r="X458" s="12"/>
      <c r="Y458" s="12"/>
    </row>
    <row r="459" customFormat="false" ht="15.75" hidden="false" customHeight="false" outlineLevel="0" collapsed="false">
      <c r="A459" s="12"/>
      <c r="B459" s="34"/>
      <c r="C459" s="12"/>
      <c r="D459" s="12"/>
      <c r="E459" s="12"/>
      <c r="F459" s="12"/>
      <c r="G459" s="18"/>
      <c r="H459" s="35"/>
      <c r="I459" s="12"/>
      <c r="N459" s="12"/>
      <c r="O459" s="18"/>
      <c r="P459" s="12"/>
      <c r="Q459" s="12"/>
      <c r="R459" s="12"/>
      <c r="S459" s="36"/>
      <c r="T459" s="36"/>
      <c r="U459" s="12"/>
      <c r="V459" s="12"/>
      <c r="W459" s="12"/>
      <c r="X459" s="12"/>
      <c r="Y459" s="12"/>
    </row>
    <row r="460" customFormat="false" ht="15.75" hidden="false" customHeight="false" outlineLevel="0" collapsed="false">
      <c r="A460" s="12"/>
      <c r="B460" s="34"/>
      <c r="C460" s="12"/>
      <c r="D460" s="12"/>
      <c r="E460" s="12"/>
      <c r="F460" s="12"/>
      <c r="G460" s="18"/>
      <c r="H460" s="35"/>
      <c r="I460" s="12"/>
      <c r="N460" s="12"/>
      <c r="O460" s="18"/>
      <c r="P460" s="12"/>
      <c r="Q460" s="12"/>
      <c r="R460" s="12"/>
      <c r="S460" s="36"/>
      <c r="T460" s="36"/>
      <c r="U460" s="12"/>
      <c r="V460" s="12"/>
      <c r="W460" s="12"/>
      <c r="X460" s="12"/>
      <c r="Y460" s="12"/>
    </row>
    <row r="461" customFormat="false" ht="15.75" hidden="false" customHeight="false" outlineLevel="0" collapsed="false">
      <c r="A461" s="12"/>
      <c r="B461" s="34"/>
      <c r="C461" s="12"/>
      <c r="D461" s="12"/>
      <c r="E461" s="12"/>
      <c r="F461" s="12"/>
      <c r="G461" s="18"/>
      <c r="H461" s="35"/>
      <c r="I461" s="12"/>
      <c r="N461" s="12"/>
      <c r="O461" s="18"/>
      <c r="P461" s="12"/>
      <c r="Q461" s="12"/>
      <c r="R461" s="12"/>
      <c r="S461" s="36"/>
      <c r="T461" s="36"/>
      <c r="U461" s="12"/>
      <c r="V461" s="12"/>
      <c r="W461" s="12"/>
      <c r="X461" s="12"/>
      <c r="Y461" s="12"/>
    </row>
    <row r="462" customFormat="false" ht="15.75" hidden="false" customHeight="false" outlineLevel="0" collapsed="false">
      <c r="A462" s="12"/>
      <c r="B462" s="34"/>
      <c r="C462" s="12"/>
      <c r="D462" s="12"/>
      <c r="E462" s="12"/>
      <c r="F462" s="12"/>
      <c r="G462" s="18"/>
      <c r="H462" s="35"/>
      <c r="I462" s="12"/>
      <c r="N462" s="12"/>
      <c r="O462" s="18"/>
      <c r="P462" s="12"/>
      <c r="Q462" s="12"/>
      <c r="R462" s="12"/>
      <c r="S462" s="36"/>
      <c r="T462" s="36"/>
      <c r="U462" s="12"/>
      <c r="V462" s="12"/>
      <c r="W462" s="12"/>
      <c r="X462" s="12"/>
      <c r="Y462" s="12"/>
    </row>
    <row r="463" customFormat="false" ht="15.75" hidden="false" customHeight="false" outlineLevel="0" collapsed="false">
      <c r="A463" s="12"/>
      <c r="B463" s="34"/>
      <c r="C463" s="12"/>
      <c r="D463" s="12"/>
      <c r="E463" s="12"/>
      <c r="F463" s="12"/>
      <c r="G463" s="18"/>
      <c r="H463" s="35"/>
      <c r="I463" s="12"/>
      <c r="N463" s="12"/>
      <c r="O463" s="18"/>
      <c r="P463" s="12"/>
      <c r="Q463" s="12"/>
      <c r="R463" s="12"/>
      <c r="S463" s="36"/>
      <c r="T463" s="36"/>
      <c r="U463" s="12"/>
      <c r="V463" s="12"/>
      <c r="W463" s="12"/>
      <c r="X463" s="12"/>
      <c r="Y463" s="12"/>
    </row>
    <row r="464" customFormat="false" ht="15.75" hidden="false" customHeight="false" outlineLevel="0" collapsed="false">
      <c r="A464" s="12"/>
      <c r="B464" s="34"/>
      <c r="C464" s="12"/>
      <c r="D464" s="12"/>
      <c r="E464" s="12"/>
      <c r="F464" s="12"/>
      <c r="G464" s="18"/>
      <c r="H464" s="35"/>
      <c r="I464" s="12"/>
      <c r="N464" s="12"/>
      <c r="O464" s="18"/>
      <c r="P464" s="12"/>
      <c r="Q464" s="12"/>
      <c r="R464" s="12"/>
      <c r="S464" s="36"/>
      <c r="T464" s="36"/>
      <c r="U464" s="12"/>
      <c r="V464" s="12"/>
      <c r="W464" s="12"/>
      <c r="X464" s="12"/>
      <c r="Y464" s="12"/>
    </row>
    <row r="465" customFormat="false" ht="15.75" hidden="false" customHeight="false" outlineLevel="0" collapsed="false">
      <c r="A465" s="12"/>
      <c r="B465" s="34"/>
      <c r="C465" s="12"/>
      <c r="D465" s="12"/>
      <c r="E465" s="12"/>
      <c r="F465" s="12"/>
      <c r="G465" s="18"/>
      <c r="H465" s="35"/>
      <c r="I465" s="12"/>
      <c r="N465" s="12"/>
      <c r="O465" s="18"/>
      <c r="P465" s="12"/>
      <c r="Q465" s="12"/>
      <c r="R465" s="12"/>
      <c r="S465" s="36"/>
      <c r="T465" s="36"/>
      <c r="U465" s="12"/>
      <c r="V465" s="12"/>
      <c r="W465" s="12"/>
      <c r="X465" s="12"/>
      <c r="Y465" s="12"/>
    </row>
    <row r="466" customFormat="false" ht="15.75" hidden="false" customHeight="false" outlineLevel="0" collapsed="false">
      <c r="A466" s="12"/>
      <c r="B466" s="34"/>
      <c r="C466" s="12"/>
      <c r="D466" s="12"/>
      <c r="E466" s="12"/>
      <c r="F466" s="12"/>
      <c r="G466" s="18"/>
      <c r="H466" s="35"/>
      <c r="I466" s="12"/>
      <c r="N466" s="12"/>
      <c r="O466" s="18"/>
      <c r="P466" s="12"/>
      <c r="Q466" s="12"/>
      <c r="R466" s="12"/>
      <c r="S466" s="36"/>
      <c r="T466" s="36"/>
      <c r="U466" s="12"/>
      <c r="V466" s="12"/>
      <c r="W466" s="12"/>
      <c r="X466" s="12"/>
      <c r="Y466" s="12"/>
    </row>
    <row r="467" customFormat="false" ht="15.75" hidden="false" customHeight="false" outlineLevel="0" collapsed="false">
      <c r="A467" s="12"/>
      <c r="B467" s="34"/>
      <c r="C467" s="12"/>
      <c r="D467" s="12"/>
      <c r="E467" s="12"/>
      <c r="F467" s="12"/>
      <c r="G467" s="18"/>
      <c r="H467" s="35"/>
      <c r="I467" s="12"/>
      <c r="N467" s="12"/>
      <c r="O467" s="18"/>
      <c r="P467" s="12"/>
      <c r="Q467" s="12"/>
      <c r="R467" s="12"/>
      <c r="S467" s="36"/>
      <c r="T467" s="36"/>
      <c r="U467" s="12"/>
      <c r="V467" s="12"/>
      <c r="W467" s="12"/>
      <c r="X467" s="12"/>
      <c r="Y467" s="12"/>
    </row>
    <row r="468" customFormat="false" ht="15.75" hidden="false" customHeight="false" outlineLevel="0" collapsed="false">
      <c r="A468" s="12"/>
      <c r="B468" s="34"/>
      <c r="C468" s="12"/>
      <c r="D468" s="12"/>
      <c r="E468" s="12"/>
      <c r="F468" s="12"/>
      <c r="G468" s="18"/>
      <c r="H468" s="35"/>
      <c r="I468" s="12"/>
      <c r="N468" s="12"/>
      <c r="O468" s="18"/>
      <c r="P468" s="12"/>
      <c r="Q468" s="12"/>
      <c r="R468" s="12"/>
      <c r="S468" s="36"/>
      <c r="T468" s="36"/>
      <c r="U468" s="12"/>
      <c r="V468" s="12"/>
      <c r="W468" s="12"/>
      <c r="X468" s="12"/>
      <c r="Y468" s="12"/>
    </row>
    <row r="469" customFormat="false" ht="15.75" hidden="false" customHeight="false" outlineLevel="0" collapsed="false">
      <c r="A469" s="12"/>
      <c r="B469" s="34"/>
      <c r="C469" s="12"/>
      <c r="D469" s="12"/>
      <c r="E469" s="12"/>
      <c r="F469" s="12"/>
      <c r="G469" s="18"/>
      <c r="H469" s="35"/>
      <c r="I469" s="12"/>
      <c r="N469" s="12"/>
      <c r="O469" s="18"/>
      <c r="P469" s="12"/>
      <c r="Q469" s="12"/>
      <c r="R469" s="12"/>
      <c r="S469" s="36"/>
      <c r="T469" s="36"/>
      <c r="U469" s="12"/>
      <c r="V469" s="12"/>
      <c r="W469" s="12"/>
      <c r="X469" s="12"/>
      <c r="Y469" s="12"/>
    </row>
    <row r="470" customFormat="false" ht="15.75" hidden="false" customHeight="false" outlineLevel="0" collapsed="false">
      <c r="A470" s="12"/>
      <c r="B470" s="34"/>
      <c r="C470" s="12"/>
      <c r="D470" s="12"/>
      <c r="E470" s="12"/>
      <c r="F470" s="12"/>
      <c r="G470" s="18"/>
      <c r="H470" s="35"/>
      <c r="I470" s="12"/>
      <c r="N470" s="12"/>
      <c r="O470" s="18"/>
      <c r="P470" s="12"/>
      <c r="Q470" s="12"/>
      <c r="R470" s="12"/>
      <c r="S470" s="36"/>
      <c r="T470" s="36"/>
      <c r="U470" s="12"/>
      <c r="V470" s="12"/>
      <c r="W470" s="12"/>
      <c r="X470" s="12"/>
      <c r="Y470" s="12"/>
    </row>
    <row r="471" customFormat="false" ht="15.75" hidden="false" customHeight="false" outlineLevel="0" collapsed="false">
      <c r="A471" s="12"/>
      <c r="B471" s="34"/>
      <c r="C471" s="12"/>
      <c r="D471" s="12"/>
      <c r="E471" s="12"/>
      <c r="F471" s="12"/>
      <c r="G471" s="18"/>
      <c r="H471" s="35"/>
      <c r="I471" s="12"/>
      <c r="N471" s="12"/>
      <c r="O471" s="18"/>
      <c r="P471" s="12"/>
      <c r="Q471" s="12"/>
      <c r="R471" s="12"/>
      <c r="S471" s="36"/>
      <c r="T471" s="36"/>
      <c r="U471" s="12"/>
      <c r="V471" s="12"/>
      <c r="W471" s="12"/>
      <c r="X471" s="12"/>
      <c r="Y471" s="12"/>
    </row>
    <row r="472" customFormat="false" ht="15.75" hidden="false" customHeight="false" outlineLevel="0" collapsed="false">
      <c r="A472" s="12"/>
      <c r="B472" s="34"/>
      <c r="C472" s="12"/>
      <c r="D472" s="12"/>
      <c r="E472" s="12"/>
      <c r="F472" s="12"/>
      <c r="G472" s="18"/>
      <c r="H472" s="35"/>
      <c r="I472" s="12"/>
      <c r="N472" s="12"/>
      <c r="O472" s="18"/>
      <c r="P472" s="12"/>
      <c r="Q472" s="12"/>
      <c r="R472" s="12"/>
      <c r="S472" s="36"/>
      <c r="T472" s="36"/>
      <c r="U472" s="12"/>
      <c r="V472" s="12"/>
      <c r="W472" s="12"/>
      <c r="X472" s="12"/>
      <c r="Y472" s="12"/>
    </row>
    <row r="473" customFormat="false" ht="15.75" hidden="false" customHeight="false" outlineLevel="0" collapsed="false">
      <c r="A473" s="12"/>
      <c r="B473" s="34"/>
      <c r="C473" s="12"/>
      <c r="D473" s="12"/>
      <c r="E473" s="12"/>
      <c r="F473" s="12"/>
      <c r="G473" s="18"/>
      <c r="H473" s="35"/>
      <c r="I473" s="12"/>
      <c r="N473" s="12"/>
      <c r="O473" s="18"/>
      <c r="P473" s="12"/>
      <c r="Q473" s="12"/>
      <c r="R473" s="12"/>
      <c r="S473" s="36"/>
      <c r="T473" s="36"/>
      <c r="U473" s="12"/>
      <c r="V473" s="12"/>
      <c r="W473" s="12"/>
      <c r="X473" s="12"/>
      <c r="Y473" s="12"/>
    </row>
    <row r="474" customFormat="false" ht="15.75" hidden="false" customHeight="false" outlineLevel="0" collapsed="false">
      <c r="A474" s="12"/>
      <c r="B474" s="34"/>
      <c r="C474" s="12"/>
      <c r="D474" s="12"/>
      <c r="E474" s="12"/>
      <c r="F474" s="12"/>
      <c r="G474" s="18"/>
      <c r="H474" s="35"/>
      <c r="I474" s="12"/>
      <c r="N474" s="12"/>
      <c r="O474" s="18"/>
      <c r="P474" s="12"/>
      <c r="Q474" s="12"/>
      <c r="R474" s="12"/>
      <c r="S474" s="36"/>
      <c r="T474" s="36"/>
      <c r="U474" s="12"/>
      <c r="V474" s="12"/>
      <c r="W474" s="12"/>
      <c r="X474" s="12"/>
      <c r="Y474" s="12"/>
    </row>
    <row r="475" customFormat="false" ht="15.75" hidden="false" customHeight="false" outlineLevel="0" collapsed="false">
      <c r="A475" s="12"/>
      <c r="B475" s="34"/>
      <c r="C475" s="12"/>
      <c r="D475" s="12"/>
      <c r="E475" s="12"/>
      <c r="F475" s="12"/>
      <c r="G475" s="18"/>
      <c r="H475" s="35"/>
      <c r="I475" s="12"/>
      <c r="N475" s="12"/>
      <c r="O475" s="18"/>
      <c r="P475" s="12"/>
      <c r="Q475" s="12"/>
      <c r="R475" s="12"/>
      <c r="S475" s="36"/>
      <c r="T475" s="36"/>
      <c r="U475" s="12"/>
      <c r="V475" s="12"/>
      <c r="W475" s="12"/>
      <c r="X475" s="12"/>
      <c r="Y475" s="12"/>
    </row>
    <row r="476" customFormat="false" ht="15.75" hidden="false" customHeight="false" outlineLevel="0" collapsed="false">
      <c r="A476" s="12"/>
      <c r="B476" s="34"/>
      <c r="C476" s="12"/>
      <c r="D476" s="12"/>
      <c r="E476" s="12"/>
      <c r="F476" s="12"/>
      <c r="G476" s="18"/>
      <c r="H476" s="35"/>
      <c r="I476" s="12"/>
      <c r="N476" s="12"/>
      <c r="O476" s="18"/>
      <c r="P476" s="12"/>
      <c r="Q476" s="12"/>
      <c r="R476" s="12"/>
      <c r="S476" s="36"/>
      <c r="T476" s="36"/>
      <c r="U476" s="12"/>
      <c r="V476" s="12"/>
      <c r="W476" s="12"/>
      <c r="X476" s="12"/>
      <c r="Y476" s="12"/>
    </row>
    <row r="477" customFormat="false" ht="15.75" hidden="false" customHeight="false" outlineLevel="0" collapsed="false">
      <c r="A477" s="12"/>
      <c r="B477" s="34"/>
      <c r="C477" s="12"/>
      <c r="D477" s="12"/>
      <c r="E477" s="12"/>
      <c r="F477" s="12"/>
      <c r="G477" s="18"/>
      <c r="H477" s="35"/>
      <c r="I477" s="12"/>
      <c r="N477" s="12"/>
      <c r="O477" s="18"/>
      <c r="P477" s="12"/>
      <c r="Q477" s="12"/>
      <c r="R477" s="12"/>
      <c r="S477" s="36"/>
      <c r="T477" s="36"/>
      <c r="U477" s="12"/>
      <c r="V477" s="12"/>
      <c r="W477" s="12"/>
      <c r="X477" s="12"/>
      <c r="Y477" s="12"/>
    </row>
    <row r="478" customFormat="false" ht="15.75" hidden="false" customHeight="false" outlineLevel="0" collapsed="false">
      <c r="A478" s="12"/>
      <c r="B478" s="34"/>
      <c r="C478" s="12"/>
      <c r="D478" s="12"/>
      <c r="E478" s="12"/>
      <c r="F478" s="12"/>
      <c r="G478" s="18"/>
      <c r="H478" s="35"/>
      <c r="I478" s="12"/>
      <c r="N478" s="12"/>
      <c r="O478" s="18"/>
      <c r="P478" s="12"/>
      <c r="Q478" s="12"/>
      <c r="R478" s="12"/>
      <c r="S478" s="36"/>
      <c r="T478" s="36"/>
      <c r="U478" s="12"/>
      <c r="V478" s="12"/>
      <c r="W478" s="12"/>
      <c r="X478" s="12"/>
      <c r="Y478" s="12"/>
    </row>
    <row r="479" customFormat="false" ht="15.75" hidden="false" customHeight="false" outlineLevel="0" collapsed="false">
      <c r="A479" s="12"/>
      <c r="B479" s="34"/>
      <c r="C479" s="12"/>
      <c r="D479" s="12"/>
      <c r="E479" s="12"/>
      <c r="F479" s="12"/>
      <c r="G479" s="18"/>
      <c r="H479" s="35"/>
      <c r="I479" s="12"/>
      <c r="N479" s="12"/>
      <c r="O479" s="18"/>
      <c r="P479" s="12"/>
      <c r="Q479" s="12"/>
      <c r="R479" s="12"/>
      <c r="S479" s="36"/>
      <c r="T479" s="36"/>
      <c r="U479" s="12"/>
      <c r="V479" s="12"/>
      <c r="W479" s="12"/>
      <c r="X479" s="12"/>
      <c r="Y479" s="12"/>
    </row>
    <row r="480" customFormat="false" ht="15.75" hidden="false" customHeight="false" outlineLevel="0" collapsed="false">
      <c r="A480" s="12"/>
      <c r="B480" s="34"/>
      <c r="C480" s="12"/>
      <c r="D480" s="12"/>
      <c r="E480" s="12"/>
      <c r="F480" s="12"/>
      <c r="G480" s="18"/>
      <c r="H480" s="35"/>
      <c r="I480" s="12"/>
      <c r="N480" s="12"/>
      <c r="O480" s="18"/>
      <c r="P480" s="12"/>
      <c r="Q480" s="12"/>
      <c r="R480" s="12"/>
      <c r="S480" s="36"/>
      <c r="T480" s="36"/>
      <c r="U480" s="12"/>
      <c r="V480" s="12"/>
      <c r="W480" s="12"/>
      <c r="X480" s="12"/>
      <c r="Y480" s="12"/>
    </row>
    <row r="481" customFormat="false" ht="15.75" hidden="false" customHeight="false" outlineLevel="0" collapsed="false">
      <c r="A481" s="12"/>
      <c r="B481" s="34"/>
      <c r="C481" s="12"/>
      <c r="D481" s="12"/>
      <c r="E481" s="12"/>
      <c r="F481" s="12"/>
      <c r="G481" s="18"/>
      <c r="H481" s="35"/>
      <c r="I481" s="12"/>
      <c r="N481" s="12"/>
      <c r="O481" s="18"/>
      <c r="P481" s="12"/>
      <c r="Q481" s="12"/>
      <c r="R481" s="12"/>
      <c r="S481" s="36"/>
      <c r="T481" s="36"/>
      <c r="U481" s="12"/>
      <c r="V481" s="12"/>
      <c r="W481" s="12"/>
      <c r="X481" s="12"/>
      <c r="Y481" s="12"/>
    </row>
    <row r="482" customFormat="false" ht="15.75" hidden="false" customHeight="false" outlineLevel="0" collapsed="false">
      <c r="A482" s="12"/>
      <c r="B482" s="34"/>
      <c r="C482" s="12"/>
      <c r="D482" s="12"/>
      <c r="E482" s="12"/>
      <c r="F482" s="12"/>
      <c r="G482" s="18"/>
      <c r="H482" s="35"/>
      <c r="I482" s="12"/>
      <c r="N482" s="12"/>
      <c r="O482" s="18"/>
      <c r="P482" s="12"/>
      <c r="Q482" s="12"/>
      <c r="R482" s="12"/>
      <c r="S482" s="36"/>
      <c r="T482" s="36"/>
      <c r="U482" s="12"/>
      <c r="V482" s="12"/>
      <c r="W482" s="12"/>
      <c r="X482" s="12"/>
      <c r="Y482" s="12"/>
    </row>
    <row r="483" customFormat="false" ht="15.75" hidden="false" customHeight="false" outlineLevel="0" collapsed="false">
      <c r="A483" s="12"/>
      <c r="B483" s="34"/>
      <c r="C483" s="12"/>
      <c r="D483" s="12"/>
      <c r="E483" s="12"/>
      <c r="F483" s="12"/>
      <c r="G483" s="18"/>
      <c r="H483" s="35"/>
      <c r="I483" s="12"/>
      <c r="N483" s="12"/>
      <c r="O483" s="18"/>
      <c r="P483" s="12"/>
      <c r="Q483" s="12"/>
      <c r="R483" s="12"/>
      <c r="S483" s="36"/>
      <c r="T483" s="36"/>
      <c r="U483" s="12"/>
      <c r="V483" s="12"/>
      <c r="W483" s="12"/>
      <c r="X483" s="12"/>
      <c r="Y483" s="12"/>
    </row>
    <row r="484" customFormat="false" ht="15.75" hidden="false" customHeight="false" outlineLevel="0" collapsed="false">
      <c r="A484" s="12"/>
      <c r="B484" s="34"/>
      <c r="C484" s="12"/>
      <c r="D484" s="12"/>
      <c r="E484" s="12"/>
      <c r="F484" s="12"/>
      <c r="G484" s="18"/>
      <c r="H484" s="35"/>
      <c r="I484" s="12"/>
      <c r="N484" s="12"/>
      <c r="O484" s="18"/>
      <c r="P484" s="12"/>
      <c r="Q484" s="12"/>
      <c r="R484" s="12"/>
      <c r="S484" s="36"/>
      <c r="T484" s="36"/>
      <c r="U484" s="12"/>
      <c r="V484" s="12"/>
      <c r="W484" s="12"/>
      <c r="X484" s="12"/>
      <c r="Y484" s="12"/>
    </row>
    <row r="485" customFormat="false" ht="15.75" hidden="false" customHeight="false" outlineLevel="0" collapsed="false">
      <c r="A485" s="12"/>
      <c r="B485" s="34"/>
      <c r="C485" s="12"/>
      <c r="D485" s="12"/>
      <c r="E485" s="12"/>
      <c r="F485" s="12"/>
      <c r="G485" s="18"/>
      <c r="H485" s="35"/>
      <c r="I485" s="12"/>
      <c r="N485" s="12"/>
      <c r="O485" s="18"/>
      <c r="P485" s="12"/>
      <c r="Q485" s="12"/>
      <c r="R485" s="12"/>
      <c r="S485" s="36"/>
      <c r="T485" s="36"/>
      <c r="U485" s="12"/>
      <c r="V485" s="12"/>
      <c r="W485" s="12"/>
      <c r="X485" s="12"/>
      <c r="Y485" s="12"/>
    </row>
    <row r="486" customFormat="false" ht="15.75" hidden="false" customHeight="false" outlineLevel="0" collapsed="false">
      <c r="A486" s="12"/>
      <c r="B486" s="34"/>
      <c r="C486" s="12"/>
      <c r="D486" s="12"/>
      <c r="E486" s="12"/>
      <c r="F486" s="12"/>
      <c r="G486" s="18"/>
      <c r="H486" s="35"/>
      <c r="I486" s="12"/>
      <c r="N486" s="12"/>
      <c r="O486" s="18"/>
      <c r="P486" s="12"/>
      <c r="Q486" s="12"/>
      <c r="R486" s="12"/>
      <c r="S486" s="36"/>
      <c r="T486" s="36"/>
      <c r="U486" s="12"/>
      <c r="V486" s="12"/>
      <c r="W486" s="12"/>
      <c r="X486" s="12"/>
      <c r="Y486" s="12"/>
    </row>
    <row r="487" customFormat="false" ht="15.75" hidden="false" customHeight="false" outlineLevel="0" collapsed="false">
      <c r="A487" s="12"/>
      <c r="B487" s="34"/>
      <c r="C487" s="12"/>
      <c r="D487" s="12"/>
      <c r="E487" s="12"/>
      <c r="F487" s="12"/>
      <c r="G487" s="18"/>
      <c r="H487" s="35"/>
      <c r="I487" s="12"/>
      <c r="N487" s="12"/>
      <c r="O487" s="18"/>
      <c r="P487" s="12"/>
      <c r="Q487" s="12"/>
      <c r="R487" s="12"/>
      <c r="S487" s="36"/>
      <c r="T487" s="36"/>
      <c r="U487" s="12"/>
      <c r="V487" s="12"/>
      <c r="W487" s="12"/>
      <c r="X487" s="12"/>
      <c r="Y487" s="12"/>
    </row>
    <row r="488" customFormat="false" ht="15.75" hidden="false" customHeight="false" outlineLevel="0" collapsed="false">
      <c r="A488" s="12"/>
      <c r="B488" s="34"/>
      <c r="C488" s="12"/>
      <c r="D488" s="12"/>
      <c r="E488" s="12"/>
      <c r="F488" s="12"/>
      <c r="G488" s="18"/>
      <c r="H488" s="35"/>
      <c r="I488" s="12"/>
      <c r="N488" s="12"/>
      <c r="O488" s="18"/>
      <c r="P488" s="12"/>
      <c r="Q488" s="12"/>
      <c r="R488" s="12"/>
      <c r="S488" s="36"/>
      <c r="T488" s="36"/>
      <c r="U488" s="12"/>
      <c r="V488" s="12"/>
      <c r="W488" s="12"/>
      <c r="X488" s="12"/>
      <c r="Y488" s="12"/>
    </row>
    <row r="489" customFormat="false" ht="15.75" hidden="false" customHeight="false" outlineLevel="0" collapsed="false">
      <c r="A489" s="12"/>
      <c r="B489" s="34"/>
      <c r="C489" s="12"/>
      <c r="D489" s="12"/>
      <c r="E489" s="12"/>
      <c r="F489" s="12"/>
      <c r="G489" s="18"/>
      <c r="H489" s="35"/>
      <c r="I489" s="12"/>
      <c r="N489" s="12"/>
      <c r="O489" s="18"/>
      <c r="P489" s="12"/>
      <c r="Q489" s="12"/>
      <c r="R489" s="12"/>
      <c r="S489" s="36"/>
      <c r="T489" s="36"/>
      <c r="U489" s="12"/>
      <c r="V489" s="12"/>
      <c r="W489" s="12"/>
      <c r="X489" s="12"/>
      <c r="Y489" s="12"/>
    </row>
    <row r="490" customFormat="false" ht="15.75" hidden="false" customHeight="false" outlineLevel="0" collapsed="false">
      <c r="A490" s="12"/>
      <c r="B490" s="34"/>
      <c r="C490" s="12"/>
      <c r="D490" s="12"/>
      <c r="E490" s="12"/>
      <c r="F490" s="12"/>
      <c r="G490" s="18"/>
      <c r="H490" s="35"/>
      <c r="I490" s="12"/>
      <c r="N490" s="12"/>
      <c r="O490" s="18"/>
      <c r="P490" s="12"/>
      <c r="Q490" s="12"/>
      <c r="R490" s="12"/>
      <c r="S490" s="36"/>
      <c r="T490" s="36"/>
      <c r="U490" s="12"/>
      <c r="V490" s="12"/>
      <c r="W490" s="12"/>
      <c r="X490" s="12"/>
      <c r="Y490" s="12"/>
    </row>
    <row r="491" customFormat="false" ht="15.75" hidden="false" customHeight="false" outlineLevel="0" collapsed="false">
      <c r="A491" s="12"/>
      <c r="B491" s="34"/>
      <c r="C491" s="12"/>
      <c r="D491" s="12"/>
      <c r="E491" s="12"/>
      <c r="F491" s="12"/>
      <c r="G491" s="18"/>
      <c r="H491" s="35"/>
      <c r="I491" s="12"/>
      <c r="N491" s="12"/>
      <c r="O491" s="18"/>
      <c r="P491" s="12"/>
      <c r="Q491" s="12"/>
      <c r="R491" s="12"/>
      <c r="S491" s="36"/>
      <c r="T491" s="36"/>
      <c r="U491" s="12"/>
      <c r="V491" s="12"/>
      <c r="W491" s="12"/>
      <c r="X491" s="12"/>
      <c r="Y491" s="12"/>
    </row>
    <row r="492" customFormat="false" ht="15.75" hidden="false" customHeight="false" outlineLevel="0" collapsed="false">
      <c r="A492" s="12"/>
      <c r="B492" s="34"/>
      <c r="C492" s="12"/>
      <c r="D492" s="12"/>
      <c r="E492" s="12"/>
      <c r="F492" s="12"/>
      <c r="G492" s="18"/>
      <c r="H492" s="35"/>
      <c r="I492" s="12"/>
      <c r="N492" s="12"/>
      <c r="O492" s="18"/>
      <c r="P492" s="12"/>
      <c r="Q492" s="12"/>
      <c r="R492" s="12"/>
      <c r="S492" s="36"/>
      <c r="T492" s="36"/>
      <c r="U492" s="12"/>
      <c r="V492" s="12"/>
      <c r="W492" s="12"/>
      <c r="X492" s="12"/>
      <c r="Y492" s="12"/>
    </row>
    <row r="493" customFormat="false" ht="15.75" hidden="false" customHeight="false" outlineLevel="0" collapsed="false">
      <c r="A493" s="12"/>
      <c r="B493" s="34"/>
      <c r="C493" s="12"/>
      <c r="D493" s="12"/>
      <c r="E493" s="12"/>
      <c r="F493" s="12"/>
      <c r="G493" s="18"/>
      <c r="H493" s="35"/>
      <c r="I493" s="12"/>
      <c r="N493" s="12"/>
      <c r="O493" s="18"/>
      <c r="P493" s="12"/>
      <c r="Q493" s="12"/>
      <c r="R493" s="12"/>
      <c r="S493" s="36"/>
      <c r="T493" s="36"/>
      <c r="U493" s="12"/>
      <c r="V493" s="12"/>
      <c r="W493" s="12"/>
      <c r="X493" s="12"/>
      <c r="Y493" s="12"/>
    </row>
    <row r="494" customFormat="false" ht="15.75" hidden="false" customHeight="false" outlineLevel="0" collapsed="false">
      <c r="A494" s="12"/>
      <c r="B494" s="34"/>
      <c r="C494" s="12"/>
      <c r="D494" s="12"/>
      <c r="E494" s="12"/>
      <c r="F494" s="12"/>
      <c r="G494" s="18"/>
      <c r="H494" s="35"/>
      <c r="I494" s="12"/>
      <c r="N494" s="12"/>
      <c r="O494" s="18"/>
      <c r="P494" s="12"/>
      <c r="Q494" s="12"/>
      <c r="R494" s="12"/>
      <c r="S494" s="36"/>
      <c r="T494" s="36"/>
      <c r="U494" s="12"/>
      <c r="V494" s="12"/>
      <c r="W494" s="12"/>
      <c r="X494" s="12"/>
      <c r="Y494" s="12"/>
    </row>
    <row r="495" customFormat="false" ht="15.75" hidden="false" customHeight="false" outlineLevel="0" collapsed="false">
      <c r="A495" s="12"/>
      <c r="B495" s="34"/>
      <c r="C495" s="12"/>
      <c r="D495" s="12"/>
      <c r="E495" s="12"/>
      <c r="F495" s="12"/>
      <c r="G495" s="18"/>
      <c r="H495" s="35"/>
      <c r="I495" s="12"/>
      <c r="N495" s="12"/>
      <c r="O495" s="18"/>
      <c r="P495" s="12"/>
      <c r="Q495" s="12"/>
      <c r="R495" s="12"/>
      <c r="S495" s="36"/>
      <c r="T495" s="36"/>
      <c r="U495" s="12"/>
      <c r="V495" s="12"/>
      <c r="W495" s="12"/>
      <c r="X495" s="12"/>
      <c r="Y495" s="12"/>
    </row>
    <row r="496" customFormat="false" ht="15.75" hidden="false" customHeight="false" outlineLevel="0" collapsed="false">
      <c r="A496" s="12"/>
      <c r="B496" s="34"/>
      <c r="C496" s="12"/>
      <c r="D496" s="12"/>
      <c r="E496" s="12"/>
      <c r="F496" s="12"/>
      <c r="G496" s="18"/>
      <c r="H496" s="35"/>
      <c r="I496" s="12"/>
      <c r="N496" s="12"/>
      <c r="O496" s="18"/>
      <c r="P496" s="12"/>
      <c r="Q496" s="12"/>
      <c r="R496" s="12"/>
      <c r="S496" s="36"/>
      <c r="T496" s="36"/>
      <c r="U496" s="12"/>
      <c r="V496" s="12"/>
      <c r="W496" s="12"/>
      <c r="X496" s="12"/>
      <c r="Y496" s="12"/>
    </row>
    <row r="497" customFormat="false" ht="15.75" hidden="false" customHeight="false" outlineLevel="0" collapsed="false">
      <c r="A497" s="12"/>
      <c r="B497" s="34"/>
      <c r="C497" s="12"/>
      <c r="D497" s="12"/>
      <c r="E497" s="12"/>
      <c r="F497" s="12"/>
      <c r="G497" s="18"/>
      <c r="H497" s="35"/>
      <c r="I497" s="12"/>
      <c r="N497" s="12"/>
      <c r="O497" s="18"/>
      <c r="P497" s="12"/>
      <c r="Q497" s="12"/>
      <c r="R497" s="12"/>
      <c r="S497" s="36"/>
      <c r="T497" s="36"/>
      <c r="U497" s="12"/>
      <c r="V497" s="12"/>
      <c r="W497" s="12"/>
      <c r="X497" s="12"/>
      <c r="Y497" s="12"/>
    </row>
    <row r="498" customFormat="false" ht="15.75" hidden="false" customHeight="false" outlineLevel="0" collapsed="false">
      <c r="A498" s="12"/>
      <c r="B498" s="34"/>
      <c r="C498" s="12"/>
      <c r="D498" s="12"/>
      <c r="E498" s="12"/>
      <c r="F498" s="12"/>
      <c r="G498" s="18"/>
      <c r="H498" s="35"/>
      <c r="I498" s="12"/>
      <c r="N498" s="12"/>
      <c r="O498" s="18"/>
      <c r="P498" s="12"/>
      <c r="Q498" s="12"/>
      <c r="R498" s="12"/>
      <c r="S498" s="36"/>
      <c r="T498" s="36"/>
      <c r="U498" s="12"/>
      <c r="V498" s="12"/>
      <c r="W498" s="12"/>
      <c r="X498" s="12"/>
      <c r="Y498" s="12"/>
    </row>
    <row r="499" customFormat="false" ht="15.75" hidden="false" customHeight="false" outlineLevel="0" collapsed="false">
      <c r="A499" s="12"/>
      <c r="B499" s="34"/>
      <c r="C499" s="12"/>
      <c r="D499" s="12"/>
      <c r="E499" s="12"/>
      <c r="F499" s="12"/>
      <c r="G499" s="18"/>
      <c r="H499" s="35"/>
      <c r="I499" s="12"/>
      <c r="N499" s="12"/>
      <c r="O499" s="18"/>
      <c r="P499" s="12"/>
      <c r="Q499" s="12"/>
      <c r="R499" s="12"/>
      <c r="S499" s="36"/>
      <c r="T499" s="36"/>
      <c r="U499" s="12"/>
      <c r="V499" s="12"/>
      <c r="W499" s="12"/>
      <c r="X499" s="12"/>
      <c r="Y499" s="12"/>
    </row>
    <row r="500" customFormat="false" ht="15.75" hidden="false" customHeight="false" outlineLevel="0" collapsed="false">
      <c r="A500" s="12"/>
      <c r="B500" s="34"/>
      <c r="C500" s="12"/>
      <c r="D500" s="12"/>
      <c r="E500" s="12"/>
      <c r="F500" s="12"/>
      <c r="G500" s="18"/>
      <c r="H500" s="35"/>
      <c r="I500" s="12"/>
      <c r="N500" s="12"/>
      <c r="O500" s="18"/>
      <c r="P500" s="12"/>
      <c r="Q500" s="12"/>
      <c r="R500" s="12"/>
      <c r="S500" s="36"/>
      <c r="T500" s="36"/>
      <c r="U500" s="12"/>
      <c r="V500" s="12"/>
      <c r="W500" s="12"/>
      <c r="X500" s="12"/>
      <c r="Y500" s="12"/>
    </row>
    <row r="501" customFormat="false" ht="15.75" hidden="false" customHeight="false" outlineLevel="0" collapsed="false">
      <c r="A501" s="12"/>
      <c r="B501" s="34"/>
      <c r="C501" s="12"/>
      <c r="D501" s="12"/>
      <c r="E501" s="12"/>
      <c r="F501" s="12"/>
      <c r="G501" s="18"/>
      <c r="H501" s="35"/>
      <c r="I501" s="12"/>
      <c r="N501" s="12"/>
      <c r="O501" s="18"/>
      <c r="P501" s="12"/>
      <c r="Q501" s="12"/>
      <c r="R501" s="12"/>
      <c r="S501" s="36"/>
      <c r="T501" s="36"/>
      <c r="U501" s="12"/>
      <c r="V501" s="12"/>
      <c r="W501" s="12"/>
      <c r="X501" s="12"/>
      <c r="Y501" s="12"/>
    </row>
    <row r="502" customFormat="false" ht="15.75" hidden="false" customHeight="false" outlineLevel="0" collapsed="false">
      <c r="A502" s="12"/>
      <c r="B502" s="34"/>
      <c r="C502" s="12"/>
      <c r="D502" s="12"/>
      <c r="E502" s="12"/>
      <c r="F502" s="12"/>
      <c r="G502" s="18"/>
      <c r="H502" s="35"/>
      <c r="I502" s="12"/>
      <c r="N502" s="12"/>
      <c r="O502" s="18"/>
      <c r="P502" s="12"/>
      <c r="Q502" s="12"/>
      <c r="R502" s="12"/>
      <c r="S502" s="36"/>
      <c r="T502" s="36"/>
      <c r="U502" s="12"/>
      <c r="V502" s="12"/>
      <c r="W502" s="12"/>
      <c r="X502" s="12"/>
      <c r="Y502" s="12"/>
    </row>
    <row r="503" customFormat="false" ht="15.75" hidden="false" customHeight="false" outlineLevel="0" collapsed="false">
      <c r="A503" s="12"/>
      <c r="B503" s="34"/>
      <c r="C503" s="12"/>
      <c r="D503" s="12"/>
      <c r="E503" s="12"/>
      <c r="F503" s="12"/>
      <c r="G503" s="18"/>
      <c r="H503" s="35"/>
      <c r="I503" s="12"/>
      <c r="N503" s="12"/>
      <c r="O503" s="18"/>
      <c r="P503" s="12"/>
      <c r="Q503" s="12"/>
      <c r="R503" s="12"/>
      <c r="S503" s="36"/>
      <c r="T503" s="36"/>
      <c r="U503" s="12"/>
      <c r="V503" s="12"/>
      <c r="W503" s="12"/>
      <c r="X503" s="12"/>
      <c r="Y503" s="12"/>
    </row>
    <row r="504" customFormat="false" ht="15.75" hidden="false" customHeight="false" outlineLevel="0" collapsed="false">
      <c r="A504" s="12"/>
      <c r="B504" s="34"/>
      <c r="C504" s="12"/>
      <c r="D504" s="12"/>
      <c r="E504" s="12"/>
      <c r="F504" s="12"/>
      <c r="G504" s="18"/>
      <c r="H504" s="35"/>
      <c r="I504" s="12"/>
      <c r="N504" s="12"/>
      <c r="O504" s="18"/>
      <c r="P504" s="12"/>
      <c r="Q504" s="12"/>
      <c r="R504" s="12"/>
      <c r="S504" s="36"/>
      <c r="T504" s="36"/>
      <c r="U504" s="12"/>
      <c r="V504" s="12"/>
      <c r="W504" s="12"/>
      <c r="X504" s="12"/>
      <c r="Y504" s="12"/>
    </row>
    <row r="505" customFormat="false" ht="15.75" hidden="false" customHeight="false" outlineLevel="0" collapsed="false">
      <c r="A505" s="12"/>
      <c r="B505" s="34"/>
      <c r="C505" s="12"/>
      <c r="D505" s="12"/>
      <c r="E505" s="12"/>
      <c r="F505" s="12"/>
      <c r="G505" s="18"/>
      <c r="H505" s="35"/>
      <c r="I505" s="12"/>
      <c r="N505" s="12"/>
      <c r="O505" s="18"/>
      <c r="P505" s="12"/>
      <c r="Q505" s="12"/>
      <c r="R505" s="12"/>
      <c r="S505" s="36"/>
      <c r="T505" s="36"/>
      <c r="U505" s="12"/>
      <c r="V505" s="12"/>
      <c r="W505" s="12"/>
      <c r="X505" s="12"/>
      <c r="Y505" s="12"/>
    </row>
    <row r="506" customFormat="false" ht="15.75" hidden="false" customHeight="false" outlineLevel="0" collapsed="false">
      <c r="A506" s="12"/>
      <c r="B506" s="34"/>
      <c r="C506" s="12"/>
      <c r="D506" s="12"/>
      <c r="E506" s="12"/>
      <c r="F506" s="12"/>
      <c r="G506" s="18"/>
      <c r="H506" s="35"/>
      <c r="I506" s="12"/>
      <c r="N506" s="12"/>
      <c r="O506" s="18"/>
      <c r="P506" s="12"/>
      <c r="Q506" s="12"/>
      <c r="R506" s="12"/>
      <c r="S506" s="36"/>
      <c r="T506" s="36"/>
      <c r="U506" s="12"/>
      <c r="V506" s="12"/>
      <c r="W506" s="12"/>
      <c r="X506" s="12"/>
      <c r="Y506" s="12"/>
    </row>
    <row r="507" customFormat="false" ht="15.75" hidden="false" customHeight="false" outlineLevel="0" collapsed="false">
      <c r="A507" s="12"/>
      <c r="B507" s="34"/>
      <c r="C507" s="12"/>
      <c r="D507" s="12"/>
      <c r="E507" s="12"/>
      <c r="F507" s="12"/>
      <c r="G507" s="18"/>
      <c r="H507" s="35"/>
      <c r="I507" s="12"/>
      <c r="N507" s="12"/>
      <c r="O507" s="18"/>
      <c r="P507" s="12"/>
      <c r="Q507" s="12"/>
      <c r="R507" s="12"/>
      <c r="S507" s="36"/>
      <c r="T507" s="36"/>
      <c r="U507" s="12"/>
      <c r="V507" s="12"/>
      <c r="W507" s="12"/>
      <c r="X507" s="12"/>
      <c r="Y507" s="12"/>
    </row>
    <row r="508" customFormat="false" ht="15.75" hidden="false" customHeight="false" outlineLevel="0" collapsed="false">
      <c r="A508" s="12"/>
      <c r="B508" s="34"/>
      <c r="C508" s="12"/>
      <c r="D508" s="12"/>
      <c r="E508" s="12"/>
      <c r="F508" s="12"/>
      <c r="G508" s="18"/>
      <c r="H508" s="35"/>
      <c r="I508" s="12"/>
      <c r="N508" s="12"/>
      <c r="O508" s="18"/>
      <c r="P508" s="12"/>
      <c r="Q508" s="12"/>
      <c r="R508" s="12"/>
      <c r="S508" s="36"/>
      <c r="T508" s="36"/>
      <c r="U508" s="12"/>
      <c r="V508" s="12"/>
      <c r="W508" s="12"/>
      <c r="X508" s="12"/>
      <c r="Y508" s="12"/>
    </row>
    <row r="509" customFormat="false" ht="15.75" hidden="false" customHeight="false" outlineLevel="0" collapsed="false">
      <c r="A509" s="12"/>
      <c r="B509" s="34"/>
      <c r="C509" s="12"/>
      <c r="D509" s="12"/>
      <c r="E509" s="12"/>
      <c r="F509" s="12"/>
      <c r="G509" s="18"/>
      <c r="H509" s="35"/>
      <c r="I509" s="12"/>
      <c r="N509" s="12"/>
      <c r="O509" s="18"/>
      <c r="P509" s="12"/>
      <c r="Q509" s="12"/>
      <c r="R509" s="12"/>
      <c r="S509" s="36"/>
      <c r="T509" s="36"/>
      <c r="U509" s="12"/>
      <c r="V509" s="12"/>
      <c r="W509" s="12"/>
      <c r="X509" s="12"/>
      <c r="Y509" s="12"/>
    </row>
    <row r="510" customFormat="false" ht="15.75" hidden="false" customHeight="false" outlineLevel="0" collapsed="false">
      <c r="A510" s="12"/>
      <c r="B510" s="34"/>
      <c r="C510" s="12"/>
      <c r="D510" s="12"/>
      <c r="E510" s="12"/>
      <c r="F510" s="12"/>
      <c r="G510" s="18"/>
      <c r="H510" s="35"/>
      <c r="I510" s="12"/>
      <c r="N510" s="12"/>
      <c r="O510" s="18"/>
      <c r="P510" s="12"/>
      <c r="Q510" s="12"/>
      <c r="R510" s="12"/>
      <c r="S510" s="36"/>
      <c r="T510" s="36"/>
      <c r="U510" s="12"/>
      <c r="V510" s="12"/>
      <c r="W510" s="12"/>
      <c r="X510" s="12"/>
      <c r="Y510" s="12"/>
    </row>
    <row r="511" customFormat="false" ht="15.75" hidden="false" customHeight="false" outlineLevel="0" collapsed="false">
      <c r="A511" s="12"/>
      <c r="B511" s="34"/>
      <c r="C511" s="12"/>
      <c r="D511" s="12"/>
      <c r="E511" s="12"/>
      <c r="F511" s="12"/>
      <c r="G511" s="18"/>
      <c r="H511" s="35"/>
      <c r="I511" s="12"/>
      <c r="N511" s="12"/>
      <c r="O511" s="18"/>
      <c r="P511" s="12"/>
      <c r="Q511" s="12"/>
      <c r="R511" s="12"/>
      <c r="S511" s="36"/>
      <c r="T511" s="36"/>
      <c r="U511" s="12"/>
      <c r="V511" s="12"/>
      <c r="W511" s="12"/>
      <c r="X511" s="12"/>
      <c r="Y511" s="12"/>
    </row>
    <row r="512" customFormat="false" ht="15.75" hidden="false" customHeight="false" outlineLevel="0" collapsed="false">
      <c r="A512" s="12"/>
      <c r="B512" s="34"/>
      <c r="C512" s="12"/>
      <c r="D512" s="12"/>
      <c r="E512" s="12"/>
      <c r="F512" s="12"/>
      <c r="G512" s="18"/>
      <c r="H512" s="35"/>
      <c r="I512" s="12"/>
      <c r="N512" s="12"/>
      <c r="O512" s="18"/>
      <c r="P512" s="12"/>
      <c r="Q512" s="12"/>
      <c r="R512" s="12"/>
      <c r="S512" s="36"/>
      <c r="T512" s="36"/>
      <c r="U512" s="12"/>
      <c r="V512" s="12"/>
      <c r="W512" s="12"/>
      <c r="X512" s="12"/>
      <c r="Y512" s="12"/>
    </row>
    <row r="513" customFormat="false" ht="15.75" hidden="false" customHeight="false" outlineLevel="0" collapsed="false">
      <c r="A513" s="12"/>
      <c r="B513" s="34"/>
      <c r="C513" s="12"/>
      <c r="D513" s="12"/>
      <c r="E513" s="12"/>
      <c r="F513" s="12"/>
      <c r="G513" s="18"/>
      <c r="H513" s="35"/>
      <c r="I513" s="12"/>
      <c r="N513" s="12"/>
      <c r="O513" s="18"/>
      <c r="P513" s="12"/>
      <c r="Q513" s="12"/>
      <c r="R513" s="12"/>
      <c r="S513" s="36"/>
      <c r="T513" s="36"/>
      <c r="U513" s="12"/>
      <c r="V513" s="12"/>
      <c r="W513" s="12"/>
      <c r="X513" s="12"/>
      <c r="Y513" s="12"/>
    </row>
    <row r="514" customFormat="false" ht="15.75" hidden="false" customHeight="false" outlineLevel="0" collapsed="false">
      <c r="A514" s="12"/>
      <c r="B514" s="34"/>
      <c r="C514" s="12"/>
      <c r="D514" s="12"/>
      <c r="E514" s="12"/>
      <c r="F514" s="12"/>
      <c r="G514" s="18"/>
      <c r="H514" s="35"/>
      <c r="I514" s="12"/>
      <c r="N514" s="12"/>
      <c r="O514" s="18"/>
      <c r="P514" s="12"/>
      <c r="Q514" s="12"/>
      <c r="R514" s="12"/>
      <c r="S514" s="36"/>
      <c r="T514" s="36"/>
      <c r="U514" s="12"/>
      <c r="V514" s="12"/>
      <c r="W514" s="12"/>
      <c r="X514" s="12"/>
      <c r="Y514" s="12"/>
    </row>
    <row r="515" customFormat="false" ht="15.75" hidden="false" customHeight="false" outlineLevel="0" collapsed="false">
      <c r="A515" s="12"/>
      <c r="B515" s="34"/>
      <c r="C515" s="12"/>
      <c r="D515" s="12"/>
      <c r="E515" s="12"/>
      <c r="F515" s="12"/>
      <c r="G515" s="18"/>
      <c r="H515" s="35"/>
      <c r="I515" s="12"/>
      <c r="N515" s="12"/>
      <c r="O515" s="18"/>
      <c r="P515" s="12"/>
      <c r="Q515" s="12"/>
      <c r="R515" s="12"/>
      <c r="S515" s="36"/>
      <c r="T515" s="36"/>
      <c r="U515" s="12"/>
      <c r="V515" s="12"/>
      <c r="W515" s="12"/>
      <c r="X515" s="12"/>
      <c r="Y515" s="12"/>
    </row>
    <row r="516" customFormat="false" ht="15.75" hidden="false" customHeight="false" outlineLevel="0" collapsed="false">
      <c r="A516" s="12"/>
      <c r="B516" s="34"/>
      <c r="C516" s="12"/>
      <c r="D516" s="12"/>
      <c r="E516" s="12"/>
      <c r="F516" s="12"/>
      <c r="G516" s="18"/>
      <c r="H516" s="35"/>
      <c r="I516" s="12"/>
      <c r="N516" s="12"/>
      <c r="O516" s="18"/>
      <c r="P516" s="12"/>
      <c r="Q516" s="12"/>
      <c r="R516" s="12"/>
      <c r="S516" s="36"/>
      <c r="T516" s="36"/>
      <c r="U516" s="12"/>
      <c r="V516" s="12"/>
      <c r="W516" s="12"/>
      <c r="X516" s="12"/>
      <c r="Y516" s="12"/>
    </row>
    <row r="517" customFormat="false" ht="15.75" hidden="false" customHeight="false" outlineLevel="0" collapsed="false">
      <c r="A517" s="12"/>
      <c r="B517" s="34"/>
      <c r="C517" s="12"/>
      <c r="D517" s="12"/>
      <c r="E517" s="12"/>
      <c r="F517" s="12"/>
      <c r="G517" s="18"/>
      <c r="H517" s="35"/>
      <c r="I517" s="12"/>
      <c r="N517" s="12"/>
      <c r="O517" s="18"/>
      <c r="P517" s="12"/>
      <c r="Q517" s="12"/>
      <c r="R517" s="12"/>
      <c r="S517" s="36"/>
      <c r="T517" s="36"/>
      <c r="U517" s="12"/>
      <c r="V517" s="12"/>
      <c r="W517" s="12"/>
      <c r="X517" s="12"/>
      <c r="Y517" s="12"/>
    </row>
    <row r="518" customFormat="false" ht="15.75" hidden="false" customHeight="false" outlineLevel="0" collapsed="false">
      <c r="A518" s="12"/>
      <c r="B518" s="34"/>
      <c r="C518" s="12"/>
      <c r="D518" s="12"/>
      <c r="E518" s="12"/>
      <c r="F518" s="12"/>
      <c r="G518" s="18"/>
      <c r="H518" s="35"/>
      <c r="I518" s="12"/>
      <c r="N518" s="12"/>
      <c r="O518" s="18"/>
      <c r="P518" s="12"/>
      <c r="Q518" s="12"/>
      <c r="R518" s="12"/>
      <c r="S518" s="36"/>
      <c r="T518" s="36"/>
      <c r="U518" s="12"/>
      <c r="V518" s="12"/>
      <c r="W518" s="12"/>
      <c r="X518" s="12"/>
      <c r="Y518" s="12"/>
    </row>
    <row r="519" customFormat="false" ht="15.75" hidden="false" customHeight="false" outlineLevel="0" collapsed="false">
      <c r="A519" s="12"/>
      <c r="B519" s="34"/>
      <c r="C519" s="12"/>
      <c r="D519" s="12"/>
      <c r="E519" s="12"/>
      <c r="F519" s="12"/>
      <c r="G519" s="18"/>
      <c r="H519" s="35"/>
      <c r="I519" s="12"/>
      <c r="N519" s="12"/>
      <c r="O519" s="18"/>
      <c r="P519" s="12"/>
      <c r="Q519" s="12"/>
      <c r="R519" s="12"/>
      <c r="S519" s="36"/>
      <c r="T519" s="36"/>
      <c r="U519" s="12"/>
      <c r="V519" s="12"/>
      <c r="W519" s="12"/>
      <c r="X519" s="12"/>
      <c r="Y519" s="12"/>
    </row>
    <row r="520" customFormat="false" ht="15.75" hidden="false" customHeight="false" outlineLevel="0" collapsed="false">
      <c r="A520" s="12"/>
      <c r="B520" s="34"/>
      <c r="C520" s="12"/>
      <c r="D520" s="12"/>
      <c r="E520" s="12"/>
      <c r="F520" s="12"/>
      <c r="G520" s="18"/>
      <c r="H520" s="35"/>
      <c r="I520" s="12"/>
      <c r="N520" s="12"/>
      <c r="O520" s="18"/>
      <c r="P520" s="12"/>
      <c r="Q520" s="12"/>
      <c r="R520" s="12"/>
      <c r="S520" s="36"/>
      <c r="T520" s="36"/>
      <c r="U520" s="12"/>
      <c r="V520" s="12"/>
      <c r="W520" s="12"/>
      <c r="X520" s="12"/>
      <c r="Y520" s="12"/>
    </row>
    <row r="521" customFormat="false" ht="15.75" hidden="false" customHeight="false" outlineLevel="0" collapsed="false">
      <c r="A521" s="12"/>
      <c r="B521" s="34"/>
      <c r="C521" s="12"/>
      <c r="D521" s="12"/>
      <c r="E521" s="12"/>
      <c r="F521" s="12"/>
      <c r="G521" s="18"/>
      <c r="H521" s="35"/>
      <c r="I521" s="12"/>
      <c r="N521" s="12"/>
      <c r="O521" s="18"/>
      <c r="P521" s="12"/>
      <c r="Q521" s="12"/>
      <c r="R521" s="12"/>
      <c r="S521" s="36"/>
      <c r="T521" s="36"/>
      <c r="U521" s="12"/>
      <c r="V521" s="12"/>
      <c r="W521" s="12"/>
      <c r="X521" s="12"/>
      <c r="Y521" s="12"/>
    </row>
    <row r="522" customFormat="false" ht="15.75" hidden="false" customHeight="false" outlineLevel="0" collapsed="false">
      <c r="A522" s="12"/>
      <c r="B522" s="34"/>
      <c r="C522" s="12"/>
      <c r="D522" s="12"/>
      <c r="E522" s="12"/>
      <c r="F522" s="12"/>
      <c r="G522" s="18"/>
      <c r="H522" s="35"/>
      <c r="I522" s="12"/>
      <c r="N522" s="12"/>
      <c r="O522" s="18"/>
      <c r="P522" s="12"/>
      <c r="Q522" s="12"/>
      <c r="R522" s="12"/>
      <c r="S522" s="36"/>
      <c r="T522" s="36"/>
      <c r="U522" s="12"/>
      <c r="V522" s="12"/>
      <c r="W522" s="12"/>
      <c r="X522" s="12"/>
      <c r="Y522" s="12"/>
    </row>
    <row r="523" customFormat="false" ht="15.75" hidden="false" customHeight="false" outlineLevel="0" collapsed="false">
      <c r="A523" s="12"/>
      <c r="B523" s="34"/>
      <c r="C523" s="12"/>
      <c r="D523" s="12"/>
      <c r="E523" s="12"/>
      <c r="F523" s="12"/>
      <c r="G523" s="18"/>
      <c r="H523" s="35"/>
      <c r="I523" s="12"/>
      <c r="N523" s="12"/>
      <c r="O523" s="18"/>
      <c r="P523" s="12"/>
      <c r="Q523" s="12"/>
      <c r="R523" s="12"/>
      <c r="S523" s="36"/>
      <c r="T523" s="36"/>
      <c r="U523" s="12"/>
      <c r="V523" s="12"/>
      <c r="W523" s="12"/>
      <c r="X523" s="12"/>
      <c r="Y523" s="12"/>
    </row>
    <row r="524" customFormat="false" ht="15.75" hidden="false" customHeight="false" outlineLevel="0" collapsed="false">
      <c r="A524" s="12"/>
      <c r="B524" s="34"/>
      <c r="C524" s="12"/>
      <c r="D524" s="12"/>
      <c r="E524" s="12"/>
      <c r="F524" s="12"/>
      <c r="G524" s="18"/>
      <c r="H524" s="35"/>
      <c r="I524" s="12"/>
      <c r="N524" s="12"/>
      <c r="O524" s="18"/>
      <c r="P524" s="12"/>
      <c r="Q524" s="12"/>
      <c r="R524" s="12"/>
      <c r="S524" s="36"/>
      <c r="T524" s="36"/>
      <c r="U524" s="12"/>
      <c r="V524" s="12"/>
      <c r="W524" s="12"/>
      <c r="X524" s="12"/>
      <c r="Y524" s="12"/>
    </row>
    <row r="525" customFormat="false" ht="15.75" hidden="false" customHeight="false" outlineLevel="0" collapsed="false">
      <c r="A525" s="12"/>
      <c r="B525" s="34"/>
      <c r="C525" s="12"/>
      <c r="D525" s="12"/>
      <c r="E525" s="12"/>
      <c r="F525" s="12"/>
      <c r="G525" s="18"/>
      <c r="H525" s="35"/>
      <c r="I525" s="12"/>
      <c r="N525" s="12"/>
      <c r="O525" s="18"/>
      <c r="P525" s="12"/>
      <c r="Q525" s="12"/>
      <c r="R525" s="12"/>
      <c r="S525" s="36"/>
      <c r="T525" s="36"/>
      <c r="U525" s="12"/>
      <c r="V525" s="12"/>
      <c r="W525" s="12"/>
      <c r="X525" s="12"/>
      <c r="Y525" s="12"/>
    </row>
    <row r="526" customFormat="false" ht="15.75" hidden="false" customHeight="false" outlineLevel="0" collapsed="false">
      <c r="A526" s="12"/>
      <c r="B526" s="34"/>
      <c r="C526" s="12"/>
      <c r="D526" s="12"/>
      <c r="E526" s="12"/>
      <c r="F526" s="12"/>
      <c r="G526" s="18"/>
      <c r="H526" s="35"/>
      <c r="I526" s="12"/>
      <c r="N526" s="12"/>
      <c r="O526" s="18"/>
      <c r="P526" s="12"/>
      <c r="Q526" s="12"/>
      <c r="R526" s="12"/>
      <c r="S526" s="36"/>
      <c r="T526" s="36"/>
      <c r="U526" s="12"/>
      <c r="V526" s="12"/>
      <c r="W526" s="12"/>
      <c r="X526" s="12"/>
      <c r="Y526" s="12"/>
    </row>
    <row r="527" customFormat="false" ht="15.75" hidden="false" customHeight="false" outlineLevel="0" collapsed="false">
      <c r="A527" s="12"/>
      <c r="B527" s="34"/>
      <c r="C527" s="12"/>
      <c r="D527" s="12"/>
      <c r="E527" s="12"/>
      <c r="F527" s="12"/>
      <c r="G527" s="18"/>
      <c r="H527" s="35"/>
      <c r="I527" s="12"/>
      <c r="N527" s="12"/>
      <c r="O527" s="18"/>
      <c r="P527" s="12"/>
      <c r="Q527" s="12"/>
      <c r="R527" s="12"/>
      <c r="S527" s="36"/>
      <c r="T527" s="36"/>
      <c r="U527" s="12"/>
      <c r="V527" s="12"/>
      <c r="W527" s="12"/>
      <c r="X527" s="12"/>
      <c r="Y527" s="12"/>
    </row>
    <row r="528" customFormat="false" ht="15.75" hidden="false" customHeight="false" outlineLevel="0" collapsed="false">
      <c r="A528" s="12"/>
      <c r="B528" s="34"/>
      <c r="C528" s="12"/>
      <c r="D528" s="12"/>
      <c r="E528" s="12"/>
      <c r="F528" s="12"/>
      <c r="G528" s="18"/>
      <c r="H528" s="35"/>
      <c r="I528" s="12"/>
      <c r="N528" s="12"/>
      <c r="O528" s="18"/>
      <c r="P528" s="12"/>
      <c r="Q528" s="12"/>
      <c r="R528" s="12"/>
      <c r="S528" s="36"/>
      <c r="T528" s="36"/>
      <c r="U528" s="12"/>
      <c r="V528" s="12"/>
      <c r="W528" s="12"/>
      <c r="X528" s="12"/>
      <c r="Y528" s="12"/>
    </row>
    <row r="529" customFormat="false" ht="15.75" hidden="false" customHeight="false" outlineLevel="0" collapsed="false">
      <c r="A529" s="12"/>
      <c r="B529" s="34"/>
      <c r="C529" s="12"/>
      <c r="D529" s="12"/>
      <c r="E529" s="12"/>
      <c r="F529" s="12"/>
      <c r="G529" s="18"/>
      <c r="H529" s="35"/>
      <c r="I529" s="12"/>
      <c r="N529" s="12"/>
      <c r="O529" s="18"/>
      <c r="P529" s="12"/>
      <c r="Q529" s="12"/>
      <c r="R529" s="12"/>
      <c r="S529" s="36"/>
      <c r="T529" s="36"/>
      <c r="U529" s="12"/>
      <c r="V529" s="12"/>
      <c r="W529" s="12"/>
      <c r="X529" s="12"/>
      <c r="Y529" s="12"/>
    </row>
    <row r="530" customFormat="false" ht="15.75" hidden="false" customHeight="false" outlineLevel="0" collapsed="false">
      <c r="A530" s="12"/>
      <c r="B530" s="34"/>
      <c r="C530" s="12"/>
      <c r="D530" s="12"/>
      <c r="E530" s="12"/>
      <c r="F530" s="12"/>
      <c r="G530" s="18"/>
      <c r="H530" s="35"/>
      <c r="I530" s="12"/>
      <c r="N530" s="12"/>
      <c r="O530" s="18"/>
      <c r="P530" s="12"/>
      <c r="Q530" s="12"/>
      <c r="R530" s="12"/>
      <c r="S530" s="36"/>
      <c r="T530" s="36"/>
      <c r="U530" s="12"/>
      <c r="V530" s="12"/>
      <c r="W530" s="12"/>
      <c r="X530" s="12"/>
      <c r="Y530" s="12"/>
    </row>
    <row r="531" customFormat="false" ht="15.75" hidden="false" customHeight="false" outlineLevel="0" collapsed="false">
      <c r="A531" s="12"/>
      <c r="B531" s="34"/>
      <c r="C531" s="12"/>
      <c r="D531" s="12"/>
      <c r="E531" s="12"/>
      <c r="F531" s="12"/>
      <c r="G531" s="18"/>
      <c r="H531" s="35"/>
      <c r="I531" s="12"/>
      <c r="N531" s="12"/>
      <c r="O531" s="18"/>
      <c r="P531" s="12"/>
      <c r="Q531" s="12"/>
      <c r="R531" s="12"/>
      <c r="S531" s="36"/>
      <c r="T531" s="36"/>
      <c r="U531" s="12"/>
      <c r="V531" s="12"/>
      <c r="W531" s="12"/>
      <c r="X531" s="12"/>
      <c r="Y531" s="12"/>
    </row>
    <row r="532" customFormat="false" ht="15.75" hidden="false" customHeight="false" outlineLevel="0" collapsed="false">
      <c r="A532" s="12"/>
      <c r="B532" s="34"/>
      <c r="C532" s="12"/>
      <c r="D532" s="12"/>
      <c r="E532" s="12"/>
      <c r="F532" s="12"/>
      <c r="G532" s="18"/>
      <c r="H532" s="35"/>
      <c r="I532" s="12"/>
      <c r="N532" s="12"/>
      <c r="O532" s="18"/>
      <c r="P532" s="12"/>
      <c r="Q532" s="12"/>
      <c r="R532" s="12"/>
      <c r="S532" s="36"/>
      <c r="T532" s="36"/>
      <c r="U532" s="12"/>
      <c r="V532" s="12"/>
      <c r="W532" s="12"/>
      <c r="X532" s="12"/>
      <c r="Y532" s="12"/>
    </row>
    <row r="533" customFormat="false" ht="15.75" hidden="false" customHeight="false" outlineLevel="0" collapsed="false">
      <c r="A533" s="12"/>
      <c r="B533" s="34"/>
      <c r="C533" s="12"/>
      <c r="D533" s="12"/>
      <c r="E533" s="12"/>
      <c r="F533" s="12"/>
      <c r="G533" s="18"/>
      <c r="H533" s="35"/>
      <c r="I533" s="12"/>
      <c r="N533" s="12"/>
      <c r="O533" s="18"/>
      <c r="P533" s="12"/>
      <c r="Q533" s="12"/>
      <c r="R533" s="12"/>
      <c r="S533" s="36"/>
      <c r="T533" s="36"/>
      <c r="U533" s="12"/>
      <c r="V533" s="12"/>
      <c r="W533" s="12"/>
      <c r="X533" s="12"/>
      <c r="Y533" s="12"/>
    </row>
    <row r="534" customFormat="false" ht="15.75" hidden="false" customHeight="false" outlineLevel="0" collapsed="false">
      <c r="A534" s="12"/>
      <c r="B534" s="34"/>
      <c r="C534" s="12"/>
      <c r="D534" s="12"/>
      <c r="E534" s="12"/>
      <c r="F534" s="12"/>
      <c r="G534" s="18"/>
      <c r="H534" s="35"/>
      <c r="I534" s="12"/>
      <c r="N534" s="12"/>
      <c r="O534" s="18"/>
      <c r="P534" s="12"/>
      <c r="Q534" s="12"/>
      <c r="R534" s="12"/>
      <c r="S534" s="36"/>
      <c r="T534" s="36"/>
      <c r="U534" s="12"/>
      <c r="V534" s="12"/>
      <c r="W534" s="12"/>
      <c r="X534" s="12"/>
      <c r="Y534" s="12"/>
    </row>
    <row r="535" customFormat="false" ht="15.75" hidden="false" customHeight="false" outlineLevel="0" collapsed="false">
      <c r="A535" s="12"/>
      <c r="B535" s="34"/>
      <c r="C535" s="12"/>
      <c r="D535" s="12"/>
      <c r="E535" s="12"/>
      <c r="F535" s="12"/>
      <c r="G535" s="18"/>
      <c r="H535" s="35"/>
      <c r="I535" s="12"/>
      <c r="N535" s="12"/>
      <c r="O535" s="18"/>
      <c r="P535" s="12"/>
      <c r="Q535" s="12"/>
      <c r="R535" s="12"/>
      <c r="S535" s="36"/>
      <c r="T535" s="36"/>
      <c r="U535" s="12"/>
      <c r="V535" s="12"/>
      <c r="W535" s="12"/>
      <c r="X535" s="12"/>
      <c r="Y535" s="12"/>
    </row>
    <row r="536" customFormat="false" ht="15.75" hidden="false" customHeight="false" outlineLevel="0" collapsed="false">
      <c r="A536" s="12"/>
      <c r="B536" s="34"/>
      <c r="C536" s="12"/>
      <c r="D536" s="12"/>
      <c r="E536" s="12"/>
      <c r="F536" s="12"/>
      <c r="G536" s="18"/>
      <c r="H536" s="35"/>
      <c r="I536" s="12"/>
      <c r="N536" s="12"/>
      <c r="O536" s="18"/>
      <c r="P536" s="12"/>
      <c r="Q536" s="12"/>
      <c r="R536" s="12"/>
      <c r="S536" s="36"/>
      <c r="T536" s="36"/>
      <c r="U536" s="12"/>
      <c r="V536" s="12"/>
      <c r="W536" s="12"/>
      <c r="X536" s="12"/>
      <c r="Y536" s="12"/>
    </row>
    <row r="537" customFormat="false" ht="15.75" hidden="false" customHeight="false" outlineLevel="0" collapsed="false">
      <c r="A537" s="12"/>
      <c r="B537" s="34"/>
      <c r="C537" s="12"/>
      <c r="D537" s="12"/>
      <c r="E537" s="12"/>
      <c r="F537" s="12"/>
      <c r="G537" s="18"/>
      <c r="H537" s="35"/>
      <c r="I537" s="12"/>
      <c r="N537" s="12"/>
      <c r="O537" s="18"/>
      <c r="P537" s="12"/>
      <c r="Q537" s="12"/>
      <c r="R537" s="12"/>
      <c r="S537" s="36"/>
      <c r="T537" s="36"/>
      <c r="U537" s="12"/>
      <c r="V537" s="12"/>
      <c r="W537" s="12"/>
      <c r="X537" s="12"/>
      <c r="Y537" s="12"/>
    </row>
    <row r="538" customFormat="false" ht="15.75" hidden="false" customHeight="false" outlineLevel="0" collapsed="false">
      <c r="A538" s="12"/>
      <c r="B538" s="34"/>
      <c r="C538" s="12"/>
      <c r="D538" s="12"/>
      <c r="E538" s="12"/>
      <c r="F538" s="12"/>
      <c r="G538" s="18"/>
      <c r="H538" s="35"/>
      <c r="I538" s="12"/>
      <c r="N538" s="12"/>
      <c r="O538" s="18"/>
      <c r="P538" s="12"/>
      <c r="Q538" s="12"/>
      <c r="R538" s="12"/>
      <c r="S538" s="36"/>
      <c r="T538" s="36"/>
      <c r="U538" s="12"/>
      <c r="V538" s="12"/>
      <c r="W538" s="12"/>
      <c r="X538" s="12"/>
      <c r="Y538" s="12"/>
    </row>
    <row r="539" customFormat="false" ht="15.75" hidden="false" customHeight="false" outlineLevel="0" collapsed="false">
      <c r="A539" s="12"/>
      <c r="B539" s="34"/>
      <c r="C539" s="12"/>
      <c r="D539" s="12"/>
      <c r="E539" s="12"/>
      <c r="F539" s="12"/>
      <c r="G539" s="18"/>
      <c r="H539" s="35"/>
      <c r="I539" s="12"/>
      <c r="N539" s="12"/>
      <c r="O539" s="18"/>
      <c r="P539" s="12"/>
      <c r="Q539" s="12"/>
      <c r="R539" s="12"/>
      <c r="S539" s="36"/>
      <c r="T539" s="36"/>
      <c r="U539" s="12"/>
      <c r="V539" s="12"/>
      <c r="W539" s="12"/>
      <c r="X539" s="12"/>
      <c r="Y539" s="12"/>
    </row>
    <row r="540" customFormat="false" ht="15.75" hidden="false" customHeight="false" outlineLevel="0" collapsed="false">
      <c r="A540" s="12"/>
      <c r="B540" s="34"/>
      <c r="C540" s="12"/>
      <c r="D540" s="12"/>
      <c r="E540" s="12"/>
      <c r="F540" s="12"/>
      <c r="G540" s="18"/>
      <c r="H540" s="35"/>
      <c r="I540" s="12"/>
      <c r="N540" s="12"/>
      <c r="O540" s="18"/>
      <c r="P540" s="12"/>
      <c r="Q540" s="12"/>
      <c r="R540" s="12"/>
      <c r="S540" s="36"/>
      <c r="T540" s="36"/>
      <c r="U540" s="12"/>
      <c r="V540" s="12"/>
      <c r="W540" s="12"/>
      <c r="X540" s="12"/>
      <c r="Y540" s="12"/>
    </row>
    <row r="541" customFormat="false" ht="15.75" hidden="false" customHeight="false" outlineLevel="0" collapsed="false">
      <c r="A541" s="12"/>
      <c r="B541" s="34"/>
      <c r="C541" s="12"/>
      <c r="D541" s="12"/>
      <c r="E541" s="12"/>
      <c r="F541" s="12"/>
      <c r="G541" s="18"/>
      <c r="H541" s="35"/>
      <c r="I541" s="12"/>
      <c r="N541" s="12"/>
      <c r="O541" s="18"/>
      <c r="P541" s="12"/>
      <c r="Q541" s="12"/>
      <c r="R541" s="12"/>
      <c r="S541" s="36"/>
      <c r="T541" s="36"/>
      <c r="U541" s="12"/>
      <c r="V541" s="12"/>
      <c r="W541" s="12"/>
      <c r="X541" s="12"/>
      <c r="Y541" s="12"/>
    </row>
    <row r="542" customFormat="false" ht="15.75" hidden="false" customHeight="false" outlineLevel="0" collapsed="false">
      <c r="A542" s="12"/>
      <c r="B542" s="34"/>
      <c r="C542" s="12"/>
      <c r="D542" s="12"/>
      <c r="E542" s="12"/>
      <c r="F542" s="12"/>
      <c r="G542" s="18"/>
      <c r="H542" s="35"/>
      <c r="I542" s="12"/>
      <c r="N542" s="12"/>
      <c r="O542" s="18"/>
      <c r="P542" s="12"/>
      <c r="Q542" s="12"/>
      <c r="R542" s="12"/>
      <c r="S542" s="36"/>
      <c r="T542" s="36"/>
      <c r="U542" s="12"/>
      <c r="V542" s="12"/>
      <c r="W542" s="12"/>
      <c r="X542" s="12"/>
      <c r="Y542" s="12"/>
    </row>
    <row r="543" customFormat="false" ht="15.75" hidden="false" customHeight="false" outlineLevel="0" collapsed="false">
      <c r="A543" s="12"/>
      <c r="B543" s="34"/>
      <c r="C543" s="12"/>
      <c r="D543" s="12"/>
      <c r="E543" s="12"/>
      <c r="F543" s="12"/>
      <c r="G543" s="18"/>
      <c r="H543" s="35"/>
      <c r="I543" s="12"/>
      <c r="N543" s="12"/>
      <c r="O543" s="18"/>
      <c r="P543" s="12"/>
      <c r="Q543" s="12"/>
      <c r="R543" s="12"/>
      <c r="S543" s="36"/>
      <c r="T543" s="36"/>
      <c r="U543" s="12"/>
      <c r="V543" s="12"/>
      <c r="W543" s="12"/>
      <c r="X543" s="12"/>
      <c r="Y543" s="12"/>
    </row>
    <row r="544" customFormat="false" ht="15.75" hidden="false" customHeight="false" outlineLevel="0" collapsed="false">
      <c r="A544" s="12"/>
      <c r="B544" s="34"/>
      <c r="C544" s="12"/>
      <c r="D544" s="12"/>
      <c r="E544" s="12"/>
      <c r="F544" s="12"/>
      <c r="G544" s="18"/>
      <c r="H544" s="35"/>
      <c r="I544" s="12"/>
      <c r="N544" s="12"/>
      <c r="O544" s="18"/>
      <c r="P544" s="12"/>
      <c r="Q544" s="12"/>
      <c r="R544" s="12"/>
      <c r="S544" s="36"/>
      <c r="T544" s="36"/>
      <c r="U544" s="12"/>
      <c r="V544" s="12"/>
      <c r="W544" s="12"/>
      <c r="X544" s="12"/>
      <c r="Y544" s="12"/>
    </row>
    <row r="545" customFormat="false" ht="15.75" hidden="false" customHeight="false" outlineLevel="0" collapsed="false">
      <c r="A545" s="12"/>
      <c r="B545" s="34"/>
      <c r="C545" s="12"/>
      <c r="D545" s="12"/>
      <c r="E545" s="12"/>
      <c r="F545" s="12"/>
      <c r="G545" s="18"/>
      <c r="H545" s="35"/>
      <c r="I545" s="12"/>
      <c r="N545" s="12"/>
      <c r="O545" s="18"/>
      <c r="P545" s="12"/>
      <c r="Q545" s="12"/>
      <c r="R545" s="12"/>
      <c r="S545" s="36"/>
      <c r="T545" s="36"/>
      <c r="U545" s="12"/>
      <c r="V545" s="12"/>
      <c r="W545" s="12"/>
      <c r="X545" s="12"/>
      <c r="Y545" s="12"/>
    </row>
    <row r="546" customFormat="false" ht="15.75" hidden="false" customHeight="false" outlineLevel="0" collapsed="false">
      <c r="A546" s="12"/>
      <c r="B546" s="34"/>
      <c r="C546" s="12"/>
      <c r="D546" s="12"/>
      <c r="E546" s="12"/>
      <c r="F546" s="12"/>
      <c r="G546" s="18"/>
      <c r="H546" s="35"/>
      <c r="I546" s="12"/>
      <c r="N546" s="12"/>
      <c r="O546" s="18"/>
      <c r="P546" s="12"/>
      <c r="Q546" s="12"/>
      <c r="R546" s="12"/>
      <c r="S546" s="36"/>
      <c r="T546" s="36"/>
      <c r="U546" s="12"/>
      <c r="V546" s="12"/>
      <c r="W546" s="12"/>
      <c r="X546" s="12"/>
      <c r="Y546" s="12"/>
    </row>
    <row r="547" customFormat="false" ht="15.75" hidden="false" customHeight="false" outlineLevel="0" collapsed="false">
      <c r="A547" s="12"/>
      <c r="B547" s="34"/>
      <c r="C547" s="12"/>
      <c r="D547" s="12"/>
      <c r="E547" s="12"/>
      <c r="F547" s="12"/>
      <c r="G547" s="18"/>
      <c r="H547" s="35"/>
      <c r="I547" s="12"/>
      <c r="N547" s="12"/>
      <c r="O547" s="18"/>
      <c r="P547" s="12"/>
      <c r="Q547" s="12"/>
      <c r="R547" s="12"/>
      <c r="S547" s="36"/>
      <c r="T547" s="36"/>
      <c r="U547" s="12"/>
      <c r="V547" s="12"/>
      <c r="W547" s="12"/>
      <c r="X547" s="12"/>
      <c r="Y547" s="12"/>
    </row>
    <row r="548" customFormat="false" ht="15.75" hidden="false" customHeight="false" outlineLevel="0" collapsed="false">
      <c r="A548" s="12"/>
      <c r="B548" s="34"/>
      <c r="C548" s="12"/>
      <c r="D548" s="12"/>
      <c r="E548" s="12"/>
      <c r="F548" s="12"/>
      <c r="G548" s="18"/>
      <c r="H548" s="35"/>
      <c r="I548" s="12"/>
      <c r="N548" s="12"/>
      <c r="O548" s="18"/>
      <c r="P548" s="12"/>
      <c r="Q548" s="12"/>
      <c r="R548" s="12"/>
      <c r="S548" s="36"/>
      <c r="T548" s="36"/>
      <c r="U548" s="12"/>
      <c r="V548" s="12"/>
      <c r="W548" s="12"/>
      <c r="X548" s="12"/>
      <c r="Y548" s="12"/>
    </row>
    <row r="549" customFormat="false" ht="15.75" hidden="false" customHeight="false" outlineLevel="0" collapsed="false">
      <c r="A549" s="12"/>
      <c r="B549" s="34"/>
      <c r="C549" s="12"/>
      <c r="D549" s="12"/>
      <c r="E549" s="12"/>
      <c r="F549" s="12"/>
      <c r="G549" s="18"/>
      <c r="H549" s="35"/>
      <c r="I549" s="12"/>
      <c r="N549" s="12"/>
      <c r="O549" s="18"/>
      <c r="P549" s="12"/>
      <c r="Q549" s="12"/>
      <c r="R549" s="12"/>
      <c r="S549" s="36"/>
      <c r="T549" s="36"/>
      <c r="U549" s="12"/>
      <c r="V549" s="12"/>
      <c r="W549" s="12"/>
      <c r="X549" s="12"/>
      <c r="Y549" s="12"/>
    </row>
    <row r="550" customFormat="false" ht="15.75" hidden="false" customHeight="false" outlineLevel="0" collapsed="false">
      <c r="A550" s="12"/>
      <c r="B550" s="34"/>
      <c r="C550" s="12"/>
      <c r="D550" s="12"/>
      <c r="E550" s="12"/>
      <c r="F550" s="12"/>
      <c r="G550" s="18"/>
      <c r="H550" s="35"/>
      <c r="I550" s="12"/>
      <c r="N550" s="12"/>
      <c r="O550" s="18"/>
      <c r="P550" s="12"/>
      <c r="Q550" s="12"/>
      <c r="R550" s="12"/>
      <c r="S550" s="36"/>
      <c r="T550" s="36"/>
      <c r="U550" s="12"/>
      <c r="V550" s="12"/>
      <c r="W550" s="12"/>
      <c r="X550" s="12"/>
      <c r="Y550" s="12"/>
    </row>
    <row r="551" customFormat="false" ht="15.75" hidden="false" customHeight="false" outlineLevel="0" collapsed="false">
      <c r="A551" s="12"/>
      <c r="B551" s="34"/>
      <c r="C551" s="12"/>
      <c r="D551" s="12"/>
      <c r="E551" s="12"/>
      <c r="F551" s="12"/>
      <c r="G551" s="18"/>
      <c r="H551" s="35"/>
      <c r="I551" s="12"/>
      <c r="N551" s="12"/>
      <c r="O551" s="18"/>
      <c r="P551" s="12"/>
      <c r="Q551" s="12"/>
      <c r="R551" s="12"/>
      <c r="S551" s="36"/>
      <c r="T551" s="36"/>
      <c r="U551" s="12"/>
      <c r="V551" s="12"/>
      <c r="W551" s="12"/>
      <c r="X551" s="12"/>
      <c r="Y551" s="12"/>
    </row>
    <row r="552" customFormat="false" ht="15.75" hidden="false" customHeight="false" outlineLevel="0" collapsed="false">
      <c r="A552" s="12"/>
      <c r="B552" s="34"/>
      <c r="C552" s="12"/>
      <c r="D552" s="12"/>
      <c r="E552" s="12"/>
      <c r="F552" s="12"/>
      <c r="G552" s="18"/>
      <c r="H552" s="35"/>
      <c r="I552" s="12"/>
      <c r="N552" s="12"/>
      <c r="O552" s="18"/>
      <c r="P552" s="12"/>
      <c r="Q552" s="12"/>
      <c r="R552" s="12"/>
      <c r="S552" s="36"/>
      <c r="T552" s="36"/>
      <c r="U552" s="12"/>
      <c r="V552" s="12"/>
      <c r="W552" s="12"/>
      <c r="X552" s="12"/>
      <c r="Y552" s="12"/>
    </row>
    <row r="553" customFormat="false" ht="15.75" hidden="false" customHeight="false" outlineLevel="0" collapsed="false">
      <c r="A553" s="12"/>
      <c r="B553" s="34"/>
      <c r="C553" s="12"/>
      <c r="D553" s="12"/>
      <c r="E553" s="12"/>
      <c r="F553" s="12"/>
      <c r="G553" s="18"/>
      <c r="H553" s="35"/>
      <c r="I553" s="12"/>
      <c r="N553" s="12"/>
      <c r="O553" s="18"/>
      <c r="P553" s="12"/>
      <c r="Q553" s="12"/>
      <c r="R553" s="12"/>
      <c r="S553" s="36"/>
      <c r="T553" s="36"/>
      <c r="U553" s="12"/>
      <c r="V553" s="12"/>
      <c r="W553" s="12"/>
      <c r="X553" s="12"/>
      <c r="Y553" s="12"/>
    </row>
    <row r="554" customFormat="false" ht="15.75" hidden="false" customHeight="false" outlineLevel="0" collapsed="false">
      <c r="A554" s="12"/>
      <c r="B554" s="34"/>
      <c r="C554" s="12"/>
      <c r="D554" s="12"/>
      <c r="E554" s="12"/>
      <c r="F554" s="12"/>
      <c r="G554" s="18"/>
      <c r="H554" s="35"/>
      <c r="I554" s="12"/>
      <c r="N554" s="12"/>
      <c r="O554" s="18"/>
      <c r="P554" s="12"/>
      <c r="Q554" s="12"/>
      <c r="R554" s="12"/>
      <c r="S554" s="36"/>
      <c r="T554" s="36"/>
      <c r="U554" s="12"/>
      <c r="V554" s="12"/>
      <c r="W554" s="12"/>
      <c r="X554" s="12"/>
      <c r="Y554" s="12"/>
    </row>
    <row r="555" customFormat="false" ht="15.75" hidden="false" customHeight="false" outlineLevel="0" collapsed="false">
      <c r="A555" s="12"/>
      <c r="B555" s="34"/>
      <c r="C555" s="12"/>
      <c r="D555" s="12"/>
      <c r="E555" s="12"/>
      <c r="F555" s="12"/>
      <c r="G555" s="18"/>
      <c r="H555" s="35"/>
      <c r="I555" s="12"/>
      <c r="N555" s="12"/>
      <c r="O555" s="18"/>
      <c r="P555" s="12"/>
      <c r="Q555" s="12"/>
      <c r="R555" s="12"/>
      <c r="S555" s="36"/>
      <c r="T555" s="36"/>
      <c r="U555" s="12"/>
      <c r="V555" s="12"/>
      <c r="W555" s="12"/>
      <c r="X555" s="12"/>
      <c r="Y555" s="12"/>
    </row>
    <row r="556" customFormat="false" ht="15.75" hidden="false" customHeight="false" outlineLevel="0" collapsed="false">
      <c r="A556" s="12"/>
      <c r="B556" s="34"/>
      <c r="C556" s="12"/>
      <c r="D556" s="12"/>
      <c r="E556" s="12"/>
      <c r="F556" s="12"/>
      <c r="G556" s="18"/>
      <c r="H556" s="35"/>
      <c r="I556" s="12"/>
      <c r="N556" s="12"/>
      <c r="O556" s="18"/>
      <c r="P556" s="12"/>
      <c r="Q556" s="12"/>
      <c r="R556" s="12"/>
      <c r="S556" s="36"/>
      <c r="T556" s="36"/>
      <c r="U556" s="12"/>
      <c r="V556" s="12"/>
      <c r="W556" s="12"/>
      <c r="X556" s="12"/>
      <c r="Y556" s="12"/>
    </row>
    <row r="557" customFormat="false" ht="15.75" hidden="false" customHeight="false" outlineLevel="0" collapsed="false">
      <c r="A557" s="12"/>
      <c r="B557" s="34"/>
      <c r="C557" s="12"/>
      <c r="D557" s="12"/>
      <c r="E557" s="12"/>
      <c r="F557" s="12"/>
      <c r="G557" s="18"/>
      <c r="H557" s="35"/>
      <c r="I557" s="12"/>
      <c r="N557" s="12"/>
      <c r="O557" s="18"/>
      <c r="P557" s="12"/>
      <c r="Q557" s="12"/>
      <c r="R557" s="12"/>
      <c r="S557" s="36"/>
      <c r="T557" s="36"/>
      <c r="U557" s="12"/>
      <c r="V557" s="12"/>
      <c r="W557" s="12"/>
      <c r="X557" s="12"/>
      <c r="Y557" s="12"/>
    </row>
    <row r="558" customFormat="false" ht="15.75" hidden="false" customHeight="false" outlineLevel="0" collapsed="false">
      <c r="A558" s="12"/>
      <c r="B558" s="34"/>
      <c r="C558" s="12"/>
      <c r="D558" s="12"/>
      <c r="E558" s="12"/>
      <c r="F558" s="12"/>
      <c r="G558" s="18"/>
      <c r="H558" s="35"/>
      <c r="I558" s="12"/>
      <c r="N558" s="12"/>
      <c r="O558" s="18"/>
      <c r="P558" s="12"/>
      <c r="Q558" s="12"/>
      <c r="R558" s="12"/>
      <c r="S558" s="36"/>
      <c r="T558" s="36"/>
      <c r="U558" s="12"/>
      <c r="V558" s="12"/>
      <c r="W558" s="12"/>
      <c r="X558" s="12"/>
      <c r="Y558" s="12"/>
    </row>
    <row r="559" customFormat="false" ht="15.75" hidden="false" customHeight="false" outlineLevel="0" collapsed="false">
      <c r="A559" s="12"/>
      <c r="B559" s="34"/>
      <c r="C559" s="12"/>
      <c r="D559" s="12"/>
      <c r="E559" s="12"/>
      <c r="F559" s="12"/>
      <c r="G559" s="18"/>
      <c r="H559" s="35"/>
      <c r="I559" s="12"/>
      <c r="N559" s="12"/>
      <c r="O559" s="18"/>
      <c r="P559" s="12"/>
      <c r="Q559" s="12"/>
      <c r="R559" s="12"/>
      <c r="S559" s="36"/>
      <c r="T559" s="36"/>
      <c r="U559" s="12"/>
      <c r="V559" s="12"/>
      <c r="W559" s="12"/>
      <c r="X559" s="12"/>
      <c r="Y559" s="12"/>
    </row>
    <row r="560" customFormat="false" ht="15.75" hidden="false" customHeight="false" outlineLevel="0" collapsed="false">
      <c r="A560" s="12"/>
      <c r="B560" s="34"/>
      <c r="C560" s="12"/>
      <c r="D560" s="12"/>
      <c r="E560" s="12"/>
      <c r="F560" s="12"/>
      <c r="G560" s="18"/>
      <c r="H560" s="35"/>
      <c r="I560" s="12"/>
      <c r="N560" s="12"/>
      <c r="O560" s="18"/>
      <c r="P560" s="12"/>
      <c r="Q560" s="12"/>
      <c r="R560" s="12"/>
      <c r="S560" s="36"/>
      <c r="T560" s="36"/>
      <c r="U560" s="12"/>
      <c r="V560" s="12"/>
      <c r="W560" s="12"/>
      <c r="X560" s="12"/>
      <c r="Y560" s="12"/>
    </row>
    <row r="561" customFormat="false" ht="15.75" hidden="false" customHeight="false" outlineLevel="0" collapsed="false">
      <c r="A561" s="12"/>
      <c r="B561" s="34"/>
      <c r="C561" s="12"/>
      <c r="D561" s="12"/>
      <c r="E561" s="12"/>
      <c r="F561" s="12"/>
      <c r="G561" s="18"/>
      <c r="H561" s="35"/>
      <c r="I561" s="12"/>
      <c r="N561" s="12"/>
      <c r="O561" s="18"/>
      <c r="P561" s="12"/>
      <c r="Q561" s="12"/>
      <c r="R561" s="12"/>
      <c r="S561" s="36"/>
      <c r="T561" s="36"/>
      <c r="U561" s="12"/>
      <c r="V561" s="12"/>
      <c r="W561" s="12"/>
      <c r="X561" s="12"/>
      <c r="Y561" s="12"/>
    </row>
    <row r="562" customFormat="false" ht="15.75" hidden="false" customHeight="false" outlineLevel="0" collapsed="false">
      <c r="A562" s="12"/>
      <c r="B562" s="34"/>
      <c r="C562" s="12"/>
      <c r="D562" s="12"/>
      <c r="E562" s="12"/>
      <c r="F562" s="12"/>
      <c r="G562" s="18"/>
      <c r="H562" s="35"/>
      <c r="I562" s="12"/>
      <c r="N562" s="12"/>
      <c r="O562" s="18"/>
      <c r="P562" s="12"/>
      <c r="Q562" s="12"/>
      <c r="R562" s="12"/>
      <c r="S562" s="36"/>
      <c r="T562" s="36"/>
      <c r="U562" s="12"/>
      <c r="V562" s="12"/>
      <c r="W562" s="12"/>
      <c r="X562" s="12"/>
      <c r="Y562" s="12"/>
    </row>
    <row r="563" customFormat="false" ht="15.75" hidden="false" customHeight="false" outlineLevel="0" collapsed="false">
      <c r="A563" s="12"/>
      <c r="B563" s="34"/>
      <c r="C563" s="12"/>
      <c r="D563" s="12"/>
      <c r="E563" s="12"/>
      <c r="F563" s="12"/>
      <c r="G563" s="18"/>
      <c r="H563" s="35"/>
      <c r="I563" s="12"/>
      <c r="N563" s="12"/>
      <c r="O563" s="18"/>
      <c r="P563" s="12"/>
      <c r="Q563" s="12"/>
      <c r="R563" s="12"/>
      <c r="S563" s="36"/>
      <c r="T563" s="36"/>
      <c r="U563" s="12"/>
      <c r="V563" s="12"/>
      <c r="W563" s="12"/>
      <c r="X563" s="12"/>
      <c r="Y563" s="12"/>
    </row>
    <row r="564" customFormat="false" ht="15.75" hidden="false" customHeight="false" outlineLevel="0" collapsed="false">
      <c r="A564" s="12"/>
      <c r="B564" s="34"/>
      <c r="C564" s="12"/>
      <c r="D564" s="12"/>
      <c r="E564" s="12"/>
      <c r="F564" s="12"/>
      <c r="G564" s="18"/>
      <c r="H564" s="35"/>
      <c r="I564" s="12"/>
      <c r="N564" s="12"/>
      <c r="O564" s="18"/>
      <c r="P564" s="12"/>
      <c r="Q564" s="12"/>
      <c r="R564" s="12"/>
      <c r="S564" s="36"/>
      <c r="T564" s="36"/>
      <c r="U564" s="12"/>
      <c r="V564" s="12"/>
      <c r="W564" s="12"/>
      <c r="X564" s="12"/>
      <c r="Y564" s="12"/>
    </row>
    <row r="565" customFormat="false" ht="15.75" hidden="false" customHeight="false" outlineLevel="0" collapsed="false">
      <c r="A565" s="12"/>
      <c r="B565" s="34"/>
      <c r="C565" s="12"/>
      <c r="D565" s="12"/>
      <c r="E565" s="12"/>
      <c r="F565" s="12"/>
      <c r="G565" s="18"/>
      <c r="H565" s="35"/>
      <c r="I565" s="12"/>
      <c r="N565" s="12"/>
      <c r="O565" s="18"/>
      <c r="P565" s="12"/>
      <c r="Q565" s="12"/>
      <c r="R565" s="12"/>
      <c r="S565" s="36"/>
      <c r="T565" s="36"/>
      <c r="U565" s="12"/>
      <c r="V565" s="12"/>
      <c r="W565" s="12"/>
      <c r="X565" s="12"/>
      <c r="Y565" s="12"/>
    </row>
    <row r="566" customFormat="false" ht="15.75" hidden="false" customHeight="false" outlineLevel="0" collapsed="false">
      <c r="A566" s="12"/>
      <c r="B566" s="34"/>
      <c r="C566" s="12"/>
      <c r="D566" s="12"/>
      <c r="E566" s="12"/>
      <c r="F566" s="12"/>
      <c r="G566" s="18"/>
      <c r="H566" s="35"/>
      <c r="I566" s="12"/>
      <c r="N566" s="12"/>
      <c r="O566" s="18"/>
      <c r="P566" s="12"/>
      <c r="Q566" s="12"/>
      <c r="R566" s="12"/>
      <c r="S566" s="36"/>
      <c r="T566" s="36"/>
      <c r="U566" s="12"/>
      <c r="V566" s="12"/>
      <c r="W566" s="12"/>
      <c r="X566" s="12"/>
      <c r="Y566" s="12"/>
    </row>
    <row r="567" customFormat="false" ht="15.75" hidden="false" customHeight="false" outlineLevel="0" collapsed="false">
      <c r="A567" s="12"/>
      <c r="B567" s="34"/>
      <c r="C567" s="12"/>
      <c r="D567" s="12"/>
      <c r="E567" s="12"/>
      <c r="F567" s="12"/>
      <c r="G567" s="18"/>
      <c r="H567" s="35"/>
      <c r="I567" s="12"/>
      <c r="N567" s="12"/>
      <c r="O567" s="18"/>
      <c r="P567" s="12"/>
      <c r="Q567" s="12"/>
      <c r="R567" s="12"/>
      <c r="S567" s="36"/>
      <c r="T567" s="36"/>
      <c r="U567" s="12"/>
      <c r="V567" s="12"/>
      <c r="W567" s="12"/>
      <c r="X567" s="12"/>
      <c r="Y567" s="12"/>
    </row>
    <row r="568" customFormat="false" ht="15.75" hidden="false" customHeight="false" outlineLevel="0" collapsed="false">
      <c r="A568" s="12"/>
      <c r="B568" s="34"/>
      <c r="C568" s="12"/>
      <c r="D568" s="12"/>
      <c r="E568" s="12"/>
      <c r="F568" s="12"/>
      <c r="G568" s="18"/>
      <c r="H568" s="35"/>
      <c r="I568" s="12"/>
      <c r="N568" s="12"/>
      <c r="O568" s="18"/>
      <c r="P568" s="12"/>
      <c r="Q568" s="12"/>
      <c r="R568" s="12"/>
      <c r="S568" s="36"/>
      <c r="T568" s="36"/>
      <c r="U568" s="12"/>
      <c r="V568" s="12"/>
      <c r="W568" s="12"/>
      <c r="X568" s="12"/>
      <c r="Y568" s="12"/>
    </row>
    <row r="569" customFormat="false" ht="15.75" hidden="false" customHeight="false" outlineLevel="0" collapsed="false">
      <c r="A569" s="12"/>
      <c r="B569" s="34"/>
      <c r="C569" s="12"/>
      <c r="D569" s="12"/>
      <c r="E569" s="12"/>
      <c r="F569" s="12"/>
      <c r="G569" s="18"/>
      <c r="H569" s="35"/>
      <c r="I569" s="12"/>
      <c r="N569" s="12"/>
      <c r="O569" s="18"/>
      <c r="P569" s="12"/>
      <c r="Q569" s="12"/>
      <c r="R569" s="12"/>
      <c r="S569" s="36"/>
      <c r="T569" s="36"/>
      <c r="U569" s="12"/>
      <c r="V569" s="12"/>
      <c r="W569" s="12"/>
      <c r="X569" s="12"/>
      <c r="Y569" s="12"/>
    </row>
    <row r="570" customFormat="false" ht="15.75" hidden="false" customHeight="false" outlineLevel="0" collapsed="false">
      <c r="A570" s="12"/>
      <c r="B570" s="34"/>
      <c r="C570" s="12"/>
      <c r="D570" s="12"/>
      <c r="E570" s="12"/>
      <c r="F570" s="12"/>
      <c r="G570" s="18"/>
      <c r="H570" s="35"/>
      <c r="I570" s="12"/>
      <c r="N570" s="12"/>
      <c r="O570" s="18"/>
      <c r="P570" s="12"/>
      <c r="Q570" s="12"/>
      <c r="R570" s="12"/>
      <c r="S570" s="36"/>
      <c r="T570" s="36"/>
      <c r="U570" s="12"/>
      <c r="V570" s="12"/>
      <c r="W570" s="12"/>
      <c r="X570" s="12"/>
      <c r="Y570" s="12"/>
    </row>
    <row r="571" customFormat="false" ht="15.75" hidden="false" customHeight="false" outlineLevel="0" collapsed="false">
      <c r="A571" s="12"/>
      <c r="B571" s="34"/>
      <c r="C571" s="12"/>
      <c r="D571" s="12"/>
      <c r="E571" s="12"/>
      <c r="F571" s="12"/>
      <c r="G571" s="18"/>
      <c r="H571" s="35"/>
      <c r="I571" s="12"/>
      <c r="N571" s="12"/>
      <c r="O571" s="18"/>
      <c r="P571" s="12"/>
      <c r="Q571" s="12"/>
      <c r="R571" s="12"/>
      <c r="S571" s="36"/>
      <c r="T571" s="36"/>
      <c r="U571" s="12"/>
      <c r="V571" s="12"/>
      <c r="W571" s="12"/>
      <c r="X571" s="12"/>
      <c r="Y571" s="12"/>
    </row>
    <row r="572" customFormat="false" ht="15.75" hidden="false" customHeight="false" outlineLevel="0" collapsed="false">
      <c r="A572" s="12"/>
      <c r="B572" s="34"/>
      <c r="C572" s="12"/>
      <c r="D572" s="12"/>
      <c r="E572" s="12"/>
      <c r="F572" s="12"/>
      <c r="G572" s="18"/>
      <c r="H572" s="35"/>
      <c r="I572" s="12"/>
      <c r="N572" s="12"/>
      <c r="O572" s="18"/>
      <c r="P572" s="12"/>
      <c r="Q572" s="12"/>
      <c r="R572" s="12"/>
      <c r="S572" s="36"/>
      <c r="T572" s="36"/>
      <c r="U572" s="12"/>
      <c r="V572" s="12"/>
      <c r="W572" s="12"/>
      <c r="X572" s="12"/>
      <c r="Y572" s="12"/>
    </row>
    <row r="573" customFormat="false" ht="15.75" hidden="false" customHeight="false" outlineLevel="0" collapsed="false">
      <c r="A573" s="12"/>
      <c r="B573" s="34"/>
      <c r="C573" s="12"/>
      <c r="D573" s="12"/>
      <c r="E573" s="12"/>
      <c r="F573" s="12"/>
      <c r="G573" s="18"/>
      <c r="H573" s="35"/>
      <c r="I573" s="12"/>
      <c r="N573" s="12"/>
      <c r="O573" s="18"/>
      <c r="P573" s="12"/>
      <c r="Q573" s="12"/>
      <c r="R573" s="12"/>
      <c r="S573" s="36"/>
      <c r="T573" s="36"/>
      <c r="U573" s="12"/>
      <c r="V573" s="12"/>
      <c r="W573" s="12"/>
      <c r="X573" s="12"/>
      <c r="Y573" s="12"/>
    </row>
    <row r="574" customFormat="false" ht="15.75" hidden="false" customHeight="false" outlineLevel="0" collapsed="false">
      <c r="A574" s="12"/>
      <c r="B574" s="34"/>
      <c r="C574" s="12"/>
      <c r="D574" s="12"/>
      <c r="E574" s="12"/>
      <c r="F574" s="12"/>
      <c r="G574" s="18"/>
      <c r="H574" s="35"/>
      <c r="I574" s="12"/>
      <c r="N574" s="12"/>
      <c r="O574" s="18"/>
      <c r="P574" s="12"/>
      <c r="Q574" s="12"/>
      <c r="R574" s="12"/>
      <c r="S574" s="36"/>
      <c r="T574" s="36"/>
      <c r="U574" s="12"/>
      <c r="V574" s="12"/>
      <c r="W574" s="12"/>
      <c r="X574" s="12"/>
      <c r="Y574" s="12"/>
    </row>
    <row r="575" customFormat="false" ht="15.75" hidden="false" customHeight="false" outlineLevel="0" collapsed="false">
      <c r="A575" s="12"/>
      <c r="B575" s="34"/>
      <c r="C575" s="12"/>
      <c r="D575" s="12"/>
      <c r="E575" s="12"/>
      <c r="F575" s="12"/>
      <c r="G575" s="18"/>
      <c r="H575" s="35"/>
      <c r="I575" s="12"/>
      <c r="N575" s="12"/>
      <c r="O575" s="18"/>
      <c r="P575" s="12"/>
      <c r="Q575" s="12"/>
      <c r="R575" s="12"/>
      <c r="S575" s="36"/>
      <c r="T575" s="36"/>
      <c r="U575" s="12"/>
      <c r="V575" s="12"/>
      <c r="W575" s="12"/>
      <c r="X575" s="12"/>
      <c r="Y575" s="12"/>
    </row>
    <row r="576" customFormat="false" ht="15.75" hidden="false" customHeight="false" outlineLevel="0" collapsed="false">
      <c r="A576" s="12"/>
      <c r="B576" s="34"/>
      <c r="C576" s="12"/>
      <c r="D576" s="12"/>
      <c r="E576" s="12"/>
      <c r="F576" s="12"/>
      <c r="G576" s="18"/>
      <c r="H576" s="35"/>
      <c r="I576" s="12"/>
      <c r="N576" s="12"/>
      <c r="O576" s="18"/>
      <c r="P576" s="12"/>
      <c r="Q576" s="12"/>
      <c r="R576" s="12"/>
      <c r="S576" s="36"/>
      <c r="T576" s="36"/>
      <c r="U576" s="12"/>
      <c r="V576" s="12"/>
      <c r="W576" s="12"/>
      <c r="X576" s="12"/>
      <c r="Y576" s="12"/>
    </row>
    <row r="577" customFormat="false" ht="15.75" hidden="false" customHeight="false" outlineLevel="0" collapsed="false">
      <c r="A577" s="12"/>
      <c r="B577" s="34"/>
      <c r="C577" s="12"/>
      <c r="D577" s="12"/>
      <c r="E577" s="12"/>
      <c r="F577" s="12"/>
      <c r="G577" s="18"/>
      <c r="H577" s="35"/>
      <c r="I577" s="12"/>
      <c r="N577" s="12"/>
      <c r="O577" s="18"/>
      <c r="P577" s="12"/>
      <c r="Q577" s="12"/>
      <c r="R577" s="12"/>
      <c r="S577" s="36"/>
      <c r="T577" s="36"/>
      <c r="U577" s="12"/>
      <c r="V577" s="12"/>
      <c r="W577" s="12"/>
      <c r="X577" s="12"/>
      <c r="Y577" s="12"/>
    </row>
    <row r="578" customFormat="false" ht="15.75" hidden="false" customHeight="false" outlineLevel="0" collapsed="false">
      <c r="A578" s="12"/>
      <c r="B578" s="34"/>
      <c r="C578" s="12"/>
      <c r="D578" s="12"/>
      <c r="E578" s="12"/>
      <c r="F578" s="12"/>
      <c r="G578" s="18"/>
      <c r="H578" s="35"/>
      <c r="I578" s="12"/>
      <c r="N578" s="12"/>
      <c r="O578" s="18"/>
      <c r="P578" s="12"/>
      <c r="Q578" s="12"/>
      <c r="R578" s="12"/>
      <c r="S578" s="36"/>
      <c r="T578" s="36"/>
      <c r="U578" s="12"/>
      <c r="V578" s="12"/>
      <c r="W578" s="12"/>
      <c r="X578" s="12"/>
      <c r="Y578" s="12"/>
    </row>
    <row r="579" customFormat="false" ht="15.75" hidden="false" customHeight="false" outlineLevel="0" collapsed="false">
      <c r="A579" s="12"/>
      <c r="B579" s="34"/>
      <c r="C579" s="12"/>
      <c r="D579" s="12"/>
      <c r="E579" s="12"/>
      <c r="F579" s="12"/>
      <c r="G579" s="18"/>
      <c r="H579" s="35"/>
      <c r="I579" s="12"/>
      <c r="N579" s="12"/>
      <c r="O579" s="18"/>
      <c r="P579" s="12"/>
      <c r="Q579" s="12"/>
      <c r="R579" s="12"/>
      <c r="S579" s="36"/>
      <c r="T579" s="36"/>
      <c r="U579" s="12"/>
      <c r="V579" s="12"/>
      <c r="W579" s="12"/>
      <c r="X579" s="12"/>
      <c r="Y579" s="12"/>
    </row>
    <row r="580" customFormat="false" ht="15.75" hidden="false" customHeight="false" outlineLevel="0" collapsed="false">
      <c r="A580" s="12"/>
      <c r="B580" s="34"/>
      <c r="C580" s="12"/>
      <c r="D580" s="12"/>
      <c r="E580" s="12"/>
      <c r="F580" s="12"/>
      <c r="G580" s="18"/>
      <c r="H580" s="35"/>
      <c r="I580" s="12"/>
      <c r="N580" s="12"/>
      <c r="O580" s="18"/>
      <c r="P580" s="12"/>
      <c r="Q580" s="12"/>
      <c r="R580" s="12"/>
      <c r="S580" s="36"/>
      <c r="T580" s="36"/>
      <c r="U580" s="12"/>
      <c r="V580" s="12"/>
      <c r="W580" s="12"/>
      <c r="X580" s="12"/>
      <c r="Y580" s="12"/>
    </row>
    <row r="581" customFormat="false" ht="15.75" hidden="false" customHeight="false" outlineLevel="0" collapsed="false">
      <c r="A581" s="12"/>
      <c r="B581" s="34"/>
      <c r="C581" s="12"/>
      <c r="D581" s="12"/>
      <c r="E581" s="12"/>
      <c r="F581" s="12"/>
      <c r="G581" s="18"/>
      <c r="H581" s="35"/>
      <c r="I581" s="12"/>
      <c r="N581" s="12"/>
      <c r="O581" s="18"/>
      <c r="P581" s="12"/>
      <c r="Q581" s="12"/>
      <c r="R581" s="12"/>
      <c r="S581" s="36"/>
      <c r="T581" s="36"/>
      <c r="U581" s="12"/>
      <c r="V581" s="12"/>
      <c r="W581" s="12"/>
      <c r="X581" s="12"/>
      <c r="Y581" s="12"/>
    </row>
    <row r="582" customFormat="false" ht="15.75" hidden="false" customHeight="false" outlineLevel="0" collapsed="false">
      <c r="A582" s="12"/>
      <c r="B582" s="34"/>
      <c r="C582" s="12"/>
      <c r="D582" s="12"/>
      <c r="E582" s="12"/>
      <c r="F582" s="12"/>
      <c r="G582" s="18"/>
      <c r="H582" s="35"/>
      <c r="I582" s="12"/>
      <c r="N582" s="12"/>
      <c r="O582" s="18"/>
      <c r="P582" s="12"/>
      <c r="Q582" s="12"/>
      <c r="R582" s="12"/>
      <c r="S582" s="36"/>
      <c r="T582" s="36"/>
      <c r="U582" s="12"/>
      <c r="V582" s="12"/>
      <c r="W582" s="12"/>
      <c r="X582" s="12"/>
      <c r="Y582" s="12"/>
    </row>
    <row r="583" customFormat="false" ht="15.75" hidden="false" customHeight="false" outlineLevel="0" collapsed="false">
      <c r="A583" s="12"/>
      <c r="B583" s="34"/>
      <c r="C583" s="12"/>
      <c r="D583" s="12"/>
      <c r="E583" s="12"/>
      <c r="F583" s="12"/>
      <c r="G583" s="18"/>
      <c r="H583" s="35"/>
      <c r="I583" s="12"/>
      <c r="N583" s="12"/>
      <c r="O583" s="18"/>
      <c r="P583" s="12"/>
      <c r="Q583" s="12"/>
      <c r="R583" s="12"/>
      <c r="S583" s="36"/>
      <c r="T583" s="36"/>
      <c r="U583" s="12"/>
      <c r="V583" s="12"/>
      <c r="W583" s="12"/>
      <c r="X583" s="12"/>
      <c r="Y583" s="12"/>
    </row>
    <row r="584" customFormat="false" ht="15.75" hidden="false" customHeight="false" outlineLevel="0" collapsed="false">
      <c r="A584" s="12"/>
      <c r="B584" s="34"/>
      <c r="C584" s="12"/>
      <c r="D584" s="12"/>
      <c r="E584" s="12"/>
      <c r="F584" s="12"/>
      <c r="G584" s="18"/>
      <c r="H584" s="35"/>
      <c r="I584" s="12"/>
      <c r="N584" s="12"/>
      <c r="O584" s="18"/>
      <c r="P584" s="12"/>
      <c r="Q584" s="12"/>
      <c r="R584" s="12"/>
      <c r="S584" s="36"/>
      <c r="T584" s="36"/>
      <c r="U584" s="12"/>
      <c r="V584" s="12"/>
      <c r="W584" s="12"/>
      <c r="X584" s="12"/>
      <c r="Y584" s="12"/>
    </row>
    <row r="585" customFormat="false" ht="15.75" hidden="false" customHeight="false" outlineLevel="0" collapsed="false">
      <c r="A585" s="12"/>
      <c r="B585" s="34"/>
      <c r="C585" s="12"/>
      <c r="D585" s="12"/>
      <c r="E585" s="12"/>
      <c r="F585" s="12"/>
      <c r="G585" s="18"/>
      <c r="H585" s="35"/>
      <c r="I585" s="12"/>
      <c r="N585" s="12"/>
      <c r="O585" s="18"/>
      <c r="P585" s="12"/>
      <c r="Q585" s="12"/>
      <c r="R585" s="12"/>
      <c r="S585" s="36"/>
      <c r="T585" s="36"/>
      <c r="U585" s="12"/>
      <c r="V585" s="12"/>
      <c r="W585" s="12"/>
      <c r="X585" s="12"/>
      <c r="Y585" s="12"/>
    </row>
    <row r="586" customFormat="false" ht="15.75" hidden="false" customHeight="false" outlineLevel="0" collapsed="false">
      <c r="A586" s="12"/>
      <c r="B586" s="34"/>
      <c r="C586" s="12"/>
      <c r="D586" s="12"/>
      <c r="E586" s="12"/>
      <c r="F586" s="12"/>
      <c r="G586" s="18"/>
      <c r="H586" s="35"/>
      <c r="I586" s="12"/>
      <c r="N586" s="12"/>
      <c r="O586" s="18"/>
      <c r="P586" s="12"/>
      <c r="Q586" s="12"/>
      <c r="R586" s="12"/>
      <c r="S586" s="36"/>
      <c r="T586" s="36"/>
      <c r="U586" s="12"/>
      <c r="V586" s="12"/>
      <c r="W586" s="12"/>
      <c r="X586" s="12"/>
      <c r="Y586" s="12"/>
    </row>
    <row r="587" customFormat="false" ht="15.75" hidden="false" customHeight="false" outlineLevel="0" collapsed="false">
      <c r="A587" s="12"/>
      <c r="B587" s="34"/>
      <c r="C587" s="12"/>
      <c r="D587" s="12"/>
      <c r="E587" s="12"/>
      <c r="F587" s="12"/>
      <c r="G587" s="18"/>
      <c r="H587" s="35"/>
      <c r="I587" s="12"/>
      <c r="N587" s="12"/>
      <c r="O587" s="18"/>
      <c r="P587" s="12"/>
      <c r="Q587" s="12"/>
      <c r="R587" s="12"/>
      <c r="S587" s="36"/>
      <c r="T587" s="36"/>
      <c r="U587" s="12"/>
      <c r="V587" s="12"/>
      <c r="W587" s="12"/>
      <c r="X587" s="12"/>
      <c r="Y587" s="12"/>
    </row>
    <row r="588" customFormat="false" ht="15.75" hidden="false" customHeight="false" outlineLevel="0" collapsed="false">
      <c r="A588" s="12"/>
      <c r="B588" s="34"/>
      <c r="C588" s="12"/>
      <c r="D588" s="12"/>
      <c r="E588" s="12"/>
      <c r="F588" s="12"/>
      <c r="G588" s="18"/>
      <c r="H588" s="35"/>
      <c r="I588" s="12"/>
      <c r="N588" s="12"/>
      <c r="O588" s="18"/>
      <c r="P588" s="12"/>
      <c r="Q588" s="12"/>
      <c r="R588" s="12"/>
      <c r="S588" s="36"/>
      <c r="T588" s="36"/>
      <c r="U588" s="12"/>
      <c r="V588" s="12"/>
      <c r="W588" s="12"/>
      <c r="X588" s="12"/>
      <c r="Y588" s="12"/>
    </row>
    <row r="589" customFormat="false" ht="15.75" hidden="false" customHeight="false" outlineLevel="0" collapsed="false">
      <c r="A589" s="12"/>
      <c r="B589" s="34"/>
      <c r="C589" s="12"/>
      <c r="D589" s="12"/>
      <c r="E589" s="12"/>
      <c r="F589" s="12"/>
      <c r="G589" s="18"/>
      <c r="H589" s="35"/>
      <c r="I589" s="12"/>
      <c r="N589" s="12"/>
      <c r="O589" s="18"/>
      <c r="P589" s="12"/>
      <c r="Q589" s="12"/>
      <c r="R589" s="12"/>
      <c r="S589" s="36"/>
      <c r="T589" s="36"/>
      <c r="U589" s="12"/>
      <c r="V589" s="12"/>
      <c r="W589" s="12"/>
      <c r="X589" s="12"/>
      <c r="Y589" s="12"/>
    </row>
    <row r="590" customFormat="false" ht="15.75" hidden="false" customHeight="false" outlineLevel="0" collapsed="false">
      <c r="A590" s="12"/>
      <c r="B590" s="34"/>
      <c r="C590" s="12"/>
      <c r="D590" s="12"/>
      <c r="E590" s="12"/>
      <c r="F590" s="12"/>
      <c r="G590" s="18"/>
      <c r="H590" s="35"/>
      <c r="I590" s="12"/>
      <c r="N590" s="12"/>
      <c r="O590" s="18"/>
      <c r="P590" s="12"/>
      <c r="Q590" s="12"/>
      <c r="R590" s="12"/>
      <c r="S590" s="36"/>
      <c r="T590" s="36"/>
      <c r="U590" s="12"/>
      <c r="V590" s="12"/>
      <c r="W590" s="12"/>
      <c r="X590" s="12"/>
      <c r="Y590" s="12"/>
    </row>
    <row r="591" customFormat="false" ht="15.75" hidden="false" customHeight="false" outlineLevel="0" collapsed="false">
      <c r="A591" s="12"/>
      <c r="B591" s="34"/>
      <c r="C591" s="12"/>
      <c r="D591" s="12"/>
      <c r="E591" s="12"/>
      <c r="F591" s="12"/>
      <c r="G591" s="18"/>
      <c r="H591" s="35"/>
      <c r="I591" s="12"/>
      <c r="N591" s="12"/>
      <c r="O591" s="18"/>
      <c r="P591" s="12"/>
      <c r="Q591" s="12"/>
      <c r="R591" s="12"/>
      <c r="S591" s="36"/>
      <c r="T591" s="36"/>
      <c r="U591" s="12"/>
      <c r="V591" s="12"/>
      <c r="W591" s="12"/>
      <c r="X591" s="12"/>
      <c r="Y591" s="12"/>
    </row>
    <row r="592" customFormat="false" ht="15.75" hidden="false" customHeight="false" outlineLevel="0" collapsed="false">
      <c r="A592" s="12"/>
      <c r="B592" s="34"/>
      <c r="C592" s="12"/>
      <c r="D592" s="12"/>
      <c r="E592" s="12"/>
      <c r="F592" s="12"/>
      <c r="G592" s="18"/>
      <c r="H592" s="35"/>
      <c r="I592" s="12"/>
      <c r="N592" s="12"/>
      <c r="O592" s="18"/>
      <c r="P592" s="12"/>
      <c r="Q592" s="12"/>
      <c r="R592" s="12"/>
      <c r="S592" s="36"/>
      <c r="T592" s="36"/>
      <c r="U592" s="12"/>
      <c r="V592" s="12"/>
      <c r="W592" s="12"/>
      <c r="X592" s="12"/>
      <c r="Y592" s="12"/>
    </row>
    <row r="593" customFormat="false" ht="15.75" hidden="false" customHeight="false" outlineLevel="0" collapsed="false">
      <c r="A593" s="12"/>
      <c r="B593" s="34"/>
      <c r="C593" s="12"/>
      <c r="D593" s="12"/>
      <c r="E593" s="12"/>
      <c r="F593" s="12"/>
      <c r="G593" s="18"/>
      <c r="H593" s="35"/>
      <c r="I593" s="12"/>
      <c r="N593" s="12"/>
      <c r="O593" s="18"/>
      <c r="P593" s="12"/>
      <c r="Q593" s="12"/>
      <c r="R593" s="12"/>
      <c r="S593" s="36"/>
      <c r="T593" s="36"/>
      <c r="U593" s="12"/>
      <c r="V593" s="12"/>
      <c r="W593" s="12"/>
      <c r="X593" s="12"/>
      <c r="Y593" s="12"/>
    </row>
    <row r="594" customFormat="false" ht="15.75" hidden="false" customHeight="false" outlineLevel="0" collapsed="false">
      <c r="A594" s="12"/>
      <c r="B594" s="34"/>
      <c r="C594" s="12"/>
      <c r="D594" s="12"/>
      <c r="E594" s="12"/>
      <c r="F594" s="12"/>
      <c r="G594" s="18"/>
      <c r="H594" s="35"/>
      <c r="I594" s="12"/>
      <c r="N594" s="12"/>
      <c r="O594" s="18"/>
      <c r="P594" s="12"/>
      <c r="Q594" s="12"/>
      <c r="R594" s="12"/>
      <c r="S594" s="36"/>
      <c r="T594" s="36"/>
      <c r="U594" s="12"/>
      <c r="V594" s="12"/>
      <c r="W594" s="12"/>
      <c r="X594" s="12"/>
      <c r="Y594" s="12"/>
    </row>
    <row r="595" customFormat="false" ht="15.75" hidden="false" customHeight="false" outlineLevel="0" collapsed="false">
      <c r="A595" s="12"/>
      <c r="B595" s="34"/>
      <c r="C595" s="12"/>
      <c r="D595" s="12"/>
      <c r="E595" s="12"/>
      <c r="F595" s="12"/>
      <c r="G595" s="18"/>
      <c r="H595" s="35"/>
      <c r="I595" s="12"/>
      <c r="N595" s="12"/>
      <c r="O595" s="18"/>
      <c r="P595" s="12"/>
      <c r="Q595" s="12"/>
      <c r="R595" s="12"/>
      <c r="S595" s="36"/>
      <c r="T595" s="36"/>
      <c r="U595" s="12"/>
      <c r="V595" s="12"/>
      <c r="W595" s="12"/>
      <c r="X595" s="12"/>
      <c r="Y595" s="12"/>
    </row>
    <row r="596" customFormat="false" ht="15.75" hidden="false" customHeight="false" outlineLevel="0" collapsed="false">
      <c r="A596" s="12"/>
      <c r="B596" s="34"/>
      <c r="C596" s="12"/>
      <c r="D596" s="12"/>
      <c r="E596" s="12"/>
      <c r="F596" s="12"/>
      <c r="G596" s="18"/>
      <c r="H596" s="35"/>
      <c r="I596" s="12"/>
      <c r="N596" s="12"/>
      <c r="O596" s="18"/>
      <c r="P596" s="12"/>
      <c r="Q596" s="12"/>
      <c r="R596" s="12"/>
      <c r="S596" s="36"/>
      <c r="T596" s="36"/>
      <c r="U596" s="12"/>
      <c r="V596" s="12"/>
      <c r="W596" s="12"/>
      <c r="X596" s="12"/>
      <c r="Y596" s="12"/>
    </row>
    <row r="597" customFormat="false" ht="15.75" hidden="false" customHeight="false" outlineLevel="0" collapsed="false">
      <c r="A597" s="12"/>
      <c r="B597" s="34"/>
      <c r="C597" s="12"/>
      <c r="D597" s="12"/>
      <c r="E597" s="12"/>
      <c r="F597" s="12"/>
      <c r="G597" s="18"/>
      <c r="H597" s="35"/>
      <c r="I597" s="12"/>
      <c r="N597" s="12"/>
      <c r="O597" s="18"/>
      <c r="P597" s="12"/>
      <c r="Q597" s="12"/>
      <c r="R597" s="12"/>
      <c r="S597" s="36"/>
      <c r="T597" s="36"/>
      <c r="U597" s="12"/>
      <c r="V597" s="12"/>
      <c r="W597" s="12"/>
      <c r="X597" s="12"/>
      <c r="Y597" s="12"/>
    </row>
    <row r="598" customFormat="false" ht="15.75" hidden="false" customHeight="false" outlineLevel="0" collapsed="false">
      <c r="A598" s="12"/>
      <c r="B598" s="34"/>
      <c r="C598" s="12"/>
      <c r="D598" s="12"/>
      <c r="E598" s="12"/>
      <c r="F598" s="12"/>
      <c r="G598" s="18"/>
      <c r="H598" s="35"/>
      <c r="I598" s="12"/>
      <c r="N598" s="12"/>
      <c r="O598" s="18"/>
      <c r="P598" s="12"/>
      <c r="Q598" s="12"/>
      <c r="R598" s="12"/>
      <c r="S598" s="36"/>
      <c r="T598" s="36"/>
      <c r="U598" s="12"/>
      <c r="V598" s="12"/>
      <c r="W598" s="12"/>
      <c r="X598" s="12"/>
      <c r="Y598" s="12"/>
    </row>
    <row r="599" customFormat="false" ht="15.75" hidden="false" customHeight="false" outlineLevel="0" collapsed="false">
      <c r="A599" s="12"/>
      <c r="B599" s="34"/>
      <c r="C599" s="12"/>
      <c r="D599" s="12"/>
      <c r="E599" s="12"/>
      <c r="F599" s="12"/>
      <c r="G599" s="18"/>
      <c r="H599" s="35"/>
      <c r="I599" s="12"/>
      <c r="N599" s="12"/>
      <c r="O599" s="18"/>
      <c r="P599" s="12"/>
      <c r="Q599" s="12"/>
      <c r="R599" s="12"/>
      <c r="S599" s="36"/>
      <c r="T599" s="36"/>
      <c r="U599" s="12"/>
      <c r="V599" s="12"/>
      <c r="W599" s="12"/>
      <c r="X599" s="12"/>
      <c r="Y599" s="12"/>
    </row>
    <row r="600" customFormat="false" ht="15.75" hidden="false" customHeight="false" outlineLevel="0" collapsed="false">
      <c r="A600" s="12"/>
      <c r="B600" s="34"/>
      <c r="C600" s="12"/>
      <c r="D600" s="12"/>
      <c r="E600" s="12"/>
      <c r="F600" s="12"/>
      <c r="G600" s="18"/>
      <c r="H600" s="35"/>
      <c r="I600" s="12"/>
      <c r="N600" s="12"/>
      <c r="O600" s="18"/>
      <c r="P600" s="12"/>
      <c r="Q600" s="12"/>
      <c r="R600" s="12"/>
      <c r="S600" s="36"/>
      <c r="T600" s="36"/>
      <c r="U600" s="12"/>
      <c r="V600" s="12"/>
      <c r="W600" s="12"/>
      <c r="X600" s="12"/>
      <c r="Y600" s="12"/>
    </row>
    <row r="601" customFormat="false" ht="15.75" hidden="false" customHeight="false" outlineLevel="0" collapsed="false">
      <c r="A601" s="12"/>
      <c r="B601" s="34"/>
      <c r="C601" s="12"/>
      <c r="D601" s="12"/>
      <c r="E601" s="12"/>
      <c r="F601" s="12"/>
      <c r="G601" s="18"/>
      <c r="H601" s="35"/>
      <c r="I601" s="12"/>
      <c r="N601" s="12"/>
      <c r="O601" s="18"/>
      <c r="P601" s="12"/>
      <c r="Q601" s="12"/>
      <c r="R601" s="12"/>
      <c r="S601" s="36"/>
      <c r="T601" s="36"/>
      <c r="U601" s="12"/>
      <c r="V601" s="12"/>
      <c r="W601" s="12"/>
      <c r="X601" s="12"/>
      <c r="Y601" s="12"/>
    </row>
    <row r="602" customFormat="false" ht="15.75" hidden="false" customHeight="false" outlineLevel="0" collapsed="false">
      <c r="A602" s="12"/>
      <c r="B602" s="34"/>
      <c r="C602" s="12"/>
      <c r="D602" s="12"/>
      <c r="E602" s="12"/>
      <c r="F602" s="12"/>
      <c r="G602" s="18"/>
      <c r="H602" s="35"/>
      <c r="I602" s="12"/>
      <c r="N602" s="12"/>
      <c r="O602" s="18"/>
      <c r="P602" s="12"/>
      <c r="Q602" s="12"/>
      <c r="R602" s="12"/>
      <c r="S602" s="36"/>
      <c r="T602" s="36"/>
      <c r="U602" s="12"/>
      <c r="V602" s="12"/>
      <c r="W602" s="12"/>
      <c r="X602" s="12"/>
      <c r="Y602" s="12"/>
    </row>
    <row r="603" customFormat="false" ht="15.75" hidden="false" customHeight="false" outlineLevel="0" collapsed="false">
      <c r="A603" s="12"/>
      <c r="B603" s="34"/>
      <c r="C603" s="12"/>
      <c r="D603" s="12"/>
      <c r="E603" s="12"/>
      <c r="F603" s="12"/>
      <c r="G603" s="18"/>
      <c r="H603" s="35"/>
      <c r="I603" s="12"/>
      <c r="N603" s="12"/>
      <c r="O603" s="18"/>
      <c r="P603" s="12"/>
      <c r="Q603" s="12"/>
      <c r="R603" s="12"/>
      <c r="S603" s="36"/>
      <c r="T603" s="36"/>
      <c r="U603" s="12"/>
      <c r="V603" s="12"/>
      <c r="W603" s="12"/>
      <c r="X603" s="12"/>
      <c r="Y603" s="12"/>
    </row>
    <row r="604" customFormat="false" ht="15.75" hidden="false" customHeight="false" outlineLevel="0" collapsed="false">
      <c r="A604" s="12"/>
      <c r="B604" s="34"/>
      <c r="C604" s="12"/>
      <c r="D604" s="12"/>
      <c r="E604" s="12"/>
      <c r="F604" s="12"/>
      <c r="G604" s="18"/>
      <c r="H604" s="35"/>
      <c r="I604" s="12"/>
      <c r="N604" s="12"/>
      <c r="O604" s="18"/>
      <c r="P604" s="12"/>
      <c r="Q604" s="12"/>
      <c r="R604" s="12"/>
      <c r="S604" s="36"/>
      <c r="T604" s="36"/>
      <c r="U604" s="12"/>
      <c r="V604" s="12"/>
      <c r="W604" s="12"/>
      <c r="X604" s="12"/>
      <c r="Y604" s="12"/>
    </row>
    <row r="605" customFormat="false" ht="15.75" hidden="false" customHeight="false" outlineLevel="0" collapsed="false">
      <c r="A605" s="12"/>
      <c r="B605" s="34"/>
      <c r="C605" s="12"/>
      <c r="D605" s="12"/>
      <c r="E605" s="12"/>
      <c r="F605" s="12"/>
      <c r="G605" s="18"/>
      <c r="H605" s="35"/>
      <c r="I605" s="12"/>
      <c r="N605" s="12"/>
      <c r="O605" s="18"/>
      <c r="P605" s="12"/>
      <c r="Q605" s="12"/>
      <c r="R605" s="12"/>
      <c r="S605" s="36"/>
      <c r="T605" s="36"/>
      <c r="U605" s="12"/>
      <c r="V605" s="12"/>
      <c r="W605" s="12"/>
      <c r="X605" s="12"/>
      <c r="Y605" s="12"/>
    </row>
    <row r="606" customFormat="false" ht="15.75" hidden="false" customHeight="false" outlineLevel="0" collapsed="false">
      <c r="A606" s="12"/>
      <c r="B606" s="34"/>
      <c r="C606" s="12"/>
      <c r="D606" s="12"/>
      <c r="E606" s="12"/>
      <c r="F606" s="12"/>
      <c r="G606" s="18"/>
      <c r="H606" s="35"/>
      <c r="I606" s="12"/>
      <c r="N606" s="12"/>
      <c r="O606" s="18"/>
      <c r="P606" s="12"/>
      <c r="Q606" s="12"/>
      <c r="R606" s="12"/>
      <c r="S606" s="36"/>
      <c r="T606" s="36"/>
      <c r="U606" s="12"/>
      <c r="V606" s="12"/>
      <c r="W606" s="12"/>
      <c r="X606" s="12"/>
      <c r="Y606" s="12"/>
    </row>
    <row r="607" customFormat="false" ht="15.75" hidden="false" customHeight="false" outlineLevel="0" collapsed="false">
      <c r="A607" s="12"/>
      <c r="B607" s="34"/>
      <c r="C607" s="12"/>
      <c r="D607" s="12"/>
      <c r="E607" s="12"/>
      <c r="F607" s="12"/>
      <c r="G607" s="18"/>
      <c r="H607" s="35"/>
      <c r="I607" s="12"/>
      <c r="N607" s="12"/>
      <c r="O607" s="18"/>
      <c r="P607" s="12"/>
      <c r="Q607" s="12"/>
      <c r="R607" s="12"/>
      <c r="S607" s="36"/>
      <c r="T607" s="36"/>
      <c r="U607" s="12"/>
      <c r="V607" s="12"/>
      <c r="W607" s="12"/>
      <c r="X607" s="12"/>
      <c r="Y607" s="12"/>
    </row>
    <row r="608" customFormat="false" ht="15.75" hidden="false" customHeight="false" outlineLevel="0" collapsed="false">
      <c r="A608" s="12"/>
      <c r="B608" s="34"/>
      <c r="C608" s="12"/>
      <c r="D608" s="12"/>
      <c r="E608" s="12"/>
      <c r="F608" s="12"/>
      <c r="G608" s="18"/>
      <c r="H608" s="35"/>
      <c r="I608" s="12"/>
      <c r="N608" s="12"/>
      <c r="O608" s="18"/>
      <c r="P608" s="12"/>
      <c r="Q608" s="12"/>
      <c r="R608" s="12"/>
      <c r="S608" s="36"/>
      <c r="T608" s="36"/>
      <c r="U608" s="12"/>
      <c r="V608" s="12"/>
      <c r="W608" s="12"/>
      <c r="X608" s="12"/>
      <c r="Y608" s="12"/>
    </row>
    <row r="609" customFormat="false" ht="15.75" hidden="false" customHeight="false" outlineLevel="0" collapsed="false">
      <c r="A609" s="12"/>
      <c r="B609" s="34"/>
      <c r="C609" s="12"/>
      <c r="D609" s="12"/>
      <c r="E609" s="12"/>
      <c r="F609" s="12"/>
      <c r="G609" s="18"/>
      <c r="H609" s="35"/>
      <c r="I609" s="12"/>
      <c r="N609" s="12"/>
      <c r="O609" s="18"/>
      <c r="P609" s="12"/>
      <c r="Q609" s="12"/>
      <c r="R609" s="12"/>
      <c r="S609" s="36"/>
      <c r="T609" s="36"/>
      <c r="U609" s="12"/>
      <c r="V609" s="12"/>
      <c r="W609" s="12"/>
      <c r="X609" s="12"/>
      <c r="Y609" s="12"/>
    </row>
    <row r="610" customFormat="false" ht="15.75" hidden="false" customHeight="false" outlineLevel="0" collapsed="false">
      <c r="A610" s="12"/>
      <c r="B610" s="34"/>
      <c r="C610" s="12"/>
      <c r="D610" s="12"/>
      <c r="E610" s="12"/>
      <c r="F610" s="12"/>
      <c r="G610" s="18"/>
      <c r="H610" s="35"/>
      <c r="I610" s="12"/>
      <c r="N610" s="12"/>
      <c r="O610" s="18"/>
      <c r="P610" s="12"/>
      <c r="Q610" s="12"/>
      <c r="R610" s="12"/>
      <c r="S610" s="36"/>
      <c r="T610" s="36"/>
      <c r="U610" s="12"/>
      <c r="V610" s="12"/>
      <c r="W610" s="12"/>
      <c r="X610" s="12"/>
      <c r="Y610" s="12"/>
    </row>
    <row r="611" customFormat="false" ht="15.75" hidden="false" customHeight="false" outlineLevel="0" collapsed="false">
      <c r="A611" s="12"/>
      <c r="B611" s="34"/>
      <c r="C611" s="12"/>
      <c r="D611" s="12"/>
      <c r="E611" s="12"/>
      <c r="F611" s="12"/>
      <c r="G611" s="18"/>
      <c r="H611" s="35"/>
      <c r="I611" s="12"/>
      <c r="N611" s="12"/>
      <c r="O611" s="18"/>
      <c r="P611" s="12"/>
      <c r="Q611" s="12"/>
      <c r="R611" s="12"/>
      <c r="S611" s="36"/>
      <c r="T611" s="36"/>
      <c r="U611" s="12"/>
      <c r="V611" s="12"/>
      <c r="W611" s="12"/>
      <c r="X611" s="12"/>
      <c r="Y611" s="12"/>
    </row>
    <row r="612" customFormat="false" ht="15.75" hidden="false" customHeight="false" outlineLevel="0" collapsed="false">
      <c r="A612" s="12"/>
      <c r="B612" s="34"/>
      <c r="C612" s="12"/>
      <c r="D612" s="12"/>
      <c r="E612" s="12"/>
      <c r="F612" s="12"/>
      <c r="G612" s="18"/>
      <c r="H612" s="35"/>
      <c r="I612" s="12"/>
      <c r="N612" s="12"/>
      <c r="O612" s="18"/>
      <c r="P612" s="12"/>
      <c r="Q612" s="12"/>
      <c r="R612" s="12"/>
      <c r="S612" s="36"/>
      <c r="T612" s="36"/>
      <c r="U612" s="12"/>
      <c r="V612" s="12"/>
      <c r="W612" s="12"/>
      <c r="X612" s="12"/>
      <c r="Y612" s="12"/>
    </row>
    <row r="613" customFormat="false" ht="15.75" hidden="false" customHeight="false" outlineLevel="0" collapsed="false">
      <c r="A613" s="12"/>
      <c r="B613" s="34"/>
      <c r="C613" s="12"/>
      <c r="D613" s="12"/>
      <c r="E613" s="12"/>
      <c r="F613" s="12"/>
      <c r="G613" s="18"/>
      <c r="H613" s="35"/>
      <c r="I613" s="12"/>
      <c r="N613" s="12"/>
      <c r="O613" s="18"/>
      <c r="P613" s="12"/>
      <c r="Q613" s="12"/>
      <c r="R613" s="12"/>
      <c r="S613" s="36"/>
      <c r="T613" s="36"/>
      <c r="U613" s="12"/>
      <c r="V613" s="12"/>
      <c r="W613" s="12"/>
      <c r="X613" s="12"/>
      <c r="Y613" s="12"/>
    </row>
    <row r="614" customFormat="false" ht="15.75" hidden="false" customHeight="false" outlineLevel="0" collapsed="false">
      <c r="A614" s="12"/>
      <c r="B614" s="34"/>
      <c r="C614" s="12"/>
      <c r="D614" s="12"/>
      <c r="E614" s="12"/>
      <c r="F614" s="12"/>
      <c r="G614" s="18"/>
      <c r="H614" s="35"/>
      <c r="I614" s="12"/>
      <c r="N614" s="12"/>
      <c r="O614" s="18"/>
      <c r="P614" s="12"/>
      <c r="Q614" s="12"/>
      <c r="R614" s="12"/>
      <c r="S614" s="36"/>
      <c r="T614" s="36"/>
      <c r="U614" s="12"/>
      <c r="V614" s="12"/>
      <c r="W614" s="12"/>
      <c r="X614" s="12"/>
      <c r="Y614" s="12"/>
    </row>
    <row r="615" customFormat="false" ht="15.75" hidden="false" customHeight="false" outlineLevel="0" collapsed="false">
      <c r="A615" s="12"/>
      <c r="B615" s="34"/>
      <c r="C615" s="12"/>
      <c r="D615" s="12"/>
      <c r="E615" s="12"/>
      <c r="F615" s="12"/>
      <c r="G615" s="18"/>
      <c r="H615" s="35"/>
      <c r="I615" s="12"/>
      <c r="N615" s="12"/>
      <c r="O615" s="18"/>
      <c r="P615" s="12"/>
      <c r="Q615" s="12"/>
      <c r="R615" s="12"/>
      <c r="S615" s="36"/>
      <c r="T615" s="36"/>
      <c r="U615" s="12"/>
      <c r="V615" s="12"/>
      <c r="W615" s="12"/>
      <c r="X615" s="12"/>
      <c r="Y615" s="12"/>
    </row>
    <row r="616" customFormat="false" ht="15.75" hidden="false" customHeight="false" outlineLevel="0" collapsed="false">
      <c r="A616" s="12"/>
      <c r="B616" s="34"/>
      <c r="C616" s="12"/>
      <c r="D616" s="12"/>
      <c r="E616" s="12"/>
      <c r="F616" s="12"/>
      <c r="G616" s="18"/>
      <c r="H616" s="35"/>
      <c r="I616" s="12"/>
      <c r="N616" s="12"/>
      <c r="O616" s="18"/>
      <c r="P616" s="12"/>
      <c r="Q616" s="12"/>
      <c r="R616" s="12"/>
      <c r="S616" s="36"/>
      <c r="T616" s="36"/>
      <c r="U616" s="12"/>
      <c r="V616" s="12"/>
      <c r="W616" s="12"/>
      <c r="X616" s="12"/>
      <c r="Y616" s="12"/>
    </row>
    <row r="617" customFormat="false" ht="15.75" hidden="false" customHeight="false" outlineLevel="0" collapsed="false">
      <c r="A617" s="12"/>
      <c r="B617" s="34"/>
      <c r="C617" s="12"/>
      <c r="D617" s="12"/>
      <c r="E617" s="12"/>
      <c r="F617" s="12"/>
      <c r="G617" s="18"/>
      <c r="H617" s="35"/>
      <c r="I617" s="12"/>
      <c r="N617" s="12"/>
      <c r="O617" s="18"/>
      <c r="P617" s="12"/>
      <c r="Q617" s="12"/>
      <c r="R617" s="12"/>
      <c r="S617" s="36"/>
      <c r="T617" s="36"/>
      <c r="U617" s="12"/>
      <c r="V617" s="12"/>
      <c r="W617" s="12"/>
      <c r="X617" s="12"/>
      <c r="Y617" s="12"/>
    </row>
    <row r="618" customFormat="false" ht="15.75" hidden="false" customHeight="false" outlineLevel="0" collapsed="false">
      <c r="A618" s="12"/>
      <c r="B618" s="34"/>
      <c r="C618" s="12"/>
      <c r="D618" s="12"/>
      <c r="E618" s="12"/>
      <c r="F618" s="12"/>
      <c r="G618" s="18"/>
      <c r="H618" s="35"/>
      <c r="I618" s="12"/>
      <c r="N618" s="12"/>
      <c r="O618" s="18"/>
      <c r="P618" s="12"/>
      <c r="Q618" s="12"/>
      <c r="R618" s="12"/>
      <c r="S618" s="36"/>
      <c r="T618" s="36"/>
      <c r="U618" s="12"/>
      <c r="V618" s="12"/>
      <c r="W618" s="12"/>
      <c r="X618" s="12"/>
      <c r="Y618" s="12"/>
    </row>
    <row r="619" customFormat="false" ht="15.75" hidden="false" customHeight="false" outlineLevel="0" collapsed="false">
      <c r="A619" s="12"/>
      <c r="B619" s="34"/>
      <c r="C619" s="12"/>
      <c r="D619" s="12"/>
      <c r="E619" s="12"/>
      <c r="F619" s="12"/>
      <c r="G619" s="18"/>
      <c r="H619" s="35"/>
      <c r="I619" s="12"/>
      <c r="N619" s="12"/>
      <c r="O619" s="18"/>
      <c r="P619" s="12"/>
      <c r="Q619" s="12"/>
      <c r="R619" s="12"/>
      <c r="S619" s="36"/>
      <c r="T619" s="36"/>
      <c r="U619" s="12"/>
      <c r="V619" s="12"/>
      <c r="W619" s="12"/>
      <c r="X619" s="12"/>
      <c r="Y619" s="12"/>
    </row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AF76"/>
  <conditionalFormatting sqref="S2:S72 T2:T619 Q73 S74:S619">
    <cfRule type="expression" priority="2" aboveAverage="0" equalAverage="0" bottom="0" percent="0" rank="0" text="" dxfId="0">
      <formula>LEN(TRIM(#ref!))&gt;0</formula>
    </cfRule>
  </conditionalFormatting>
  <conditionalFormatting sqref="R2:R3 R5:R58 R61:R619">
    <cfRule type="expression" priority="3" aboveAverage="0" equalAverage="0" bottom="0" percent="0" rank="0" text="" dxfId="0">
      <formula>LEN(TRIM(R2))&gt;0</formula>
    </cfRule>
  </conditionalFormatting>
  <conditionalFormatting sqref="G2:G619 O2:O619">
    <cfRule type="containsText" priority="4" operator="containsText" aboveAverage="0" equalAverage="0" bottom="0" percent="0" rank="0" text="x" dxfId="0">
      <formula>NOT(ISERROR(SEARCH("x",G2)))</formula>
    </cfRule>
  </conditionalFormatting>
  <conditionalFormatting sqref="U2:U619">
    <cfRule type="expression" priority="5" aboveAverage="0" equalAverage="0" bottom="0" percent="0" rank="0" text="" dxfId="0">
      <formula>LEN(TRIM(U2))&gt;0</formula>
    </cfRule>
  </conditionalFormatting>
  <conditionalFormatting sqref="X2:X619">
    <cfRule type="expression" priority="6" aboveAverage="0" equalAverage="0" bottom="0" percent="0" rank="0" text="" dxfId="0">
      <formula>LEN(TRIM(X2))&gt;0</formula>
    </cfRule>
  </conditionalFormatting>
  <conditionalFormatting sqref="Y2:Y619 Q29">
    <cfRule type="cellIs" priority="7" operator="equal" aboveAverage="0" equalAverage="0" bottom="0" percent="0" rank="0" text="" dxfId="0">
      <formula>"Completo"</formula>
    </cfRule>
    <cfRule type="cellIs" priority="8" operator="equal" aboveAverage="0" equalAverage="0" bottom="0" percent="0" rank="0" text="" dxfId="1">
      <formula>"No aplica"</formula>
    </cfRule>
  </conditionalFormatting>
  <conditionalFormatting sqref="G2:I619 P2:P619 Q2:Q72 V2:W619 Y2:Y619 Q74:Q619">
    <cfRule type="cellIs" priority="9" operator="equal" aboveAverage="0" equalAverage="0" bottom="0" percent="0" rank="0" text="" dxfId="0">
      <formula>"Completo"</formula>
    </cfRule>
    <cfRule type="cellIs" priority="10" operator="equal" aboveAverage="0" equalAverage="0" bottom="0" percent="0" rank="0" text="" dxfId="1">
      <formula>"No Aplica"</formula>
    </cfRule>
  </conditionalFormatting>
  <dataValidations count="5">
    <dataValidation allowBlank="true" errorStyle="stop" operator="between" showDropDown="false" showErrorMessage="false" showInputMessage="false" sqref="U2:U619" type="list">
      <formula1>LEYENDA!$A$23:$A$24</formula1>
      <formula2>0</formula2>
    </dataValidation>
    <dataValidation allowBlank="true" errorStyle="stop" operator="between" showDropDown="false" showErrorMessage="false" showInputMessage="false" sqref="S2:S72 Q73 S74:S619" type="list">
      <formula1>LEYENDA!$A$15:$A$21</formula1>
      <formula2>0</formula2>
    </dataValidation>
    <dataValidation allowBlank="true" errorStyle="stop" operator="between" showDropDown="false" showErrorMessage="true" showInputMessage="false" sqref="D2:D619" type="list">
      <formula1>LEYENDA!$B$2:$D$2</formula1>
      <formula2>0</formula2>
    </dataValidation>
    <dataValidation allowBlank="true" errorStyle="stop" operator="between" showDropDown="false" showErrorMessage="true" showInputMessage="false" sqref="H2:I619 P2:Q72 V2:W619 Y2:Y619 P73 P74:Q619" type="list">
      <formula1>LEYENDA!$B$1:$C$1</formula1>
      <formula2>0</formula2>
    </dataValidation>
    <dataValidation allowBlank="true" errorStyle="stop" operator="between" showDropDown="false" showErrorMessage="false" showInputMessage="false" sqref="E2:E619" type="list">
      <formula1>LEYENDA!$A$8:$A$12</formula1>
      <formula2>0</formula2>
    </dataValidation>
  </dataValidations>
  <hyperlinks>
    <hyperlink ref="V6" r:id="rId1" display="Completo"/>
    <hyperlink ref="W6" r:id="rId2" display="Completo"/>
    <hyperlink ref="H10" r:id="rId3" display="Completo"/>
    <hyperlink ref="H11" r:id="rId4" display="Completo"/>
    <hyperlink ref="H12" r:id="rId5" display="Completo"/>
    <hyperlink ref="V12" r:id="rId6" display="Completo"/>
    <hyperlink ref="W12" r:id="rId7" display="Completo"/>
    <hyperlink ref="H13" r:id="rId8" display="Completo"/>
    <hyperlink ref="V13" r:id="rId9" display="Completo"/>
    <hyperlink ref="W13" r:id="rId10" display="Completo"/>
    <hyperlink ref="H14" r:id="rId11" display="Completo"/>
    <hyperlink ref="H15" r:id="rId12" display="Completo"/>
    <hyperlink ref="H16" r:id="rId13" display="Completo"/>
    <hyperlink ref="H17" r:id="rId14" display="Completo"/>
    <hyperlink ref="H18" r:id="rId15" display="Completo"/>
    <hyperlink ref="H19" r:id="rId16" display="Completo"/>
    <hyperlink ref="V19" r:id="rId17" display="Completo"/>
    <hyperlink ref="W19" r:id="rId18" display="Completo"/>
    <hyperlink ref="H20" r:id="rId19" display="Completo"/>
    <hyperlink ref="V20" r:id="rId20" display="Completo"/>
    <hyperlink ref="W20" r:id="rId21" display="Completo"/>
    <hyperlink ref="H21" r:id="rId22" display="Completo"/>
    <hyperlink ref="V22" r:id="rId23" display="Completo"/>
    <hyperlink ref="H23" r:id="rId24" display="Completo"/>
    <hyperlink ref="H24" r:id="rId25" display="Completo"/>
    <hyperlink ref="H25" r:id="rId26" display="Completo"/>
    <hyperlink ref="H26" r:id="rId27" display="Completo"/>
    <hyperlink ref="H27" r:id="rId28" display="Completo"/>
  </hyperlinks>
  <printOptions headings="false" gridLines="true" gridLinesSet="true" horizontalCentered="true" verticalCentered="false"/>
  <pageMargins left="0.7" right="0.7" top="0.75" bottom="0.75" header="0.511811023622047" footer="0.511811023622047"/>
  <pageSetup paperSize="9" scale="100" fitToWidth="1" fitToHeight="0" pageOrder="overThenDown" orientation="landscape" blackAndWhite="false" draft="false" cellComments="none" horizontalDpi="300" verticalDpi="300" copies="1"/>
  <headerFooter differentFirst="false" differentOddEven="false">
    <oddHeader/>
    <oddFooter/>
  </headerFooter>
  <drawing r:id="rId29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XFD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8" ySplit="3" topLeftCell="I4" activePane="bottomRight" state="frozen"/>
      <selection pane="topLeft" activeCell="A1" activeCellId="0" sqref="A1"/>
      <selection pane="topRight" activeCell="I1" activeCellId="0" sqref="I1"/>
      <selection pane="bottomLeft" activeCell="A4" activeCellId="0" sqref="A4"/>
      <selection pane="bottomRight" activeCell="D8" activeCellId="0" sqref="D8"/>
    </sheetView>
  </sheetViews>
  <sheetFormatPr defaultColWidth="12.6328125" defaultRowHeight="15.75" zeroHeight="false" outlineLevelRow="0" outlineLevelCol="0"/>
  <cols>
    <col collapsed="false" customWidth="true" hidden="false" outlineLevel="0" max="1" min="1" style="1" width="10.25"/>
    <col collapsed="false" customWidth="true" hidden="false" outlineLevel="0" max="2" min="2" style="1" width="10.38"/>
    <col collapsed="false" customWidth="true" hidden="false" outlineLevel="0" max="5" min="3" style="1" width="16.38"/>
    <col collapsed="false" customWidth="true" hidden="false" outlineLevel="0" max="6" min="6" style="1" width="26.25"/>
    <col collapsed="false" customWidth="true" hidden="false" outlineLevel="0" max="7" min="7" style="1" width="14.13"/>
    <col collapsed="false" customWidth="true" hidden="false" outlineLevel="0" max="8" min="8" style="1" width="10.13"/>
    <col collapsed="false" customWidth="true" hidden="false" outlineLevel="0" max="9" min="9" style="1" width="12.88"/>
    <col collapsed="false" customWidth="true" hidden="false" outlineLevel="0" max="11" min="10" style="1" width="12"/>
    <col collapsed="false" customWidth="true" hidden="false" outlineLevel="0" max="12" min="12" style="1" width="10"/>
    <col collapsed="false" customWidth="true" hidden="false" outlineLevel="0" max="13" min="13" style="1" width="12.25"/>
    <col collapsed="false" customWidth="true" hidden="false" outlineLevel="0" max="14" min="14" style="1" width="26.12"/>
    <col collapsed="false" customWidth="true" hidden="true" outlineLevel="0" max="15" min="15" style="1" width="18"/>
    <col collapsed="false" customWidth="true" hidden="false" outlineLevel="0" max="17" min="16" style="1" width="10.63"/>
    <col collapsed="false" customWidth="true" hidden="false" outlineLevel="0" max="18" min="18" style="1" width="8.5"/>
    <col collapsed="false" customWidth="true" hidden="false" outlineLevel="0" max="20" min="20" style="1" width="25.38"/>
    <col collapsed="false" customWidth="true" hidden="false" outlineLevel="0" max="21" min="21" style="1" width="10.75"/>
    <col collapsed="false" customWidth="true" hidden="false" outlineLevel="0" max="22" min="22" style="1" width="10.13"/>
    <col collapsed="false" customWidth="true" hidden="false" outlineLevel="0" max="23" min="23" style="1" width="11.38"/>
    <col collapsed="false" customWidth="true" hidden="false" outlineLevel="0" max="24" min="24" style="1" width="24.38"/>
    <col collapsed="false" customWidth="true" hidden="false" outlineLevel="0" max="16384" min="16383" style="1" width="11.53"/>
  </cols>
  <sheetData>
    <row r="1" customFormat="false" ht="42.5" hidden="false" customHeight="false" outlineLevel="0" collapsed="false">
      <c r="A1" s="2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/>
      <c r="J1" s="4" t="s">
        <v>8</v>
      </c>
      <c r="K1" s="2"/>
      <c r="L1" s="2" t="s">
        <v>9</v>
      </c>
      <c r="M1" s="2" t="s">
        <v>10</v>
      </c>
      <c r="N1" s="4" t="s">
        <v>11</v>
      </c>
      <c r="O1" s="3" t="s">
        <v>12</v>
      </c>
      <c r="P1" s="7" t="s">
        <v>13</v>
      </c>
      <c r="Q1" s="7" t="s">
        <v>14</v>
      </c>
      <c r="R1" s="7" t="s">
        <v>15</v>
      </c>
      <c r="S1" s="7" t="s">
        <v>16</v>
      </c>
      <c r="T1" s="7" t="s">
        <v>17</v>
      </c>
      <c r="U1" s="8" t="s">
        <v>18</v>
      </c>
      <c r="V1" s="9" t="s">
        <v>19</v>
      </c>
      <c r="W1" s="9" t="s">
        <v>20</v>
      </c>
      <c r="X1" s="10" t="s">
        <v>15</v>
      </c>
      <c r="Y1" s="11" t="s">
        <v>21</v>
      </c>
      <c r="Z1" s="11" t="s">
        <v>22</v>
      </c>
      <c r="AA1" s="12"/>
      <c r="AB1" s="12"/>
      <c r="AC1" s="12"/>
      <c r="AD1" s="12"/>
      <c r="AE1" s="12"/>
      <c r="AF1" s="12"/>
      <c r="XFC1" s="0"/>
      <c r="XFD1" s="0"/>
    </row>
    <row r="2" customFormat="false" ht="15.75" hidden="false" customHeight="false" outlineLevel="0" collapsed="false">
      <c r="A2" s="19" t="n">
        <v>7568</v>
      </c>
      <c r="B2" s="14" t="n">
        <v>45201</v>
      </c>
      <c r="C2" s="16" t="s">
        <v>1237</v>
      </c>
      <c r="D2" s="30" t="s">
        <v>24</v>
      </c>
      <c r="E2" s="21" t="s">
        <v>25</v>
      </c>
      <c r="F2" s="21" t="s">
        <v>1238</v>
      </c>
      <c r="G2" s="30" t="s">
        <v>1239</v>
      </c>
      <c r="H2" s="45" t="s">
        <v>28</v>
      </c>
      <c r="I2" s="21" t="s">
        <v>28</v>
      </c>
      <c r="J2" s="21"/>
      <c r="K2" s="21" t="n">
        <v>3413452413</v>
      </c>
      <c r="L2" s="21" t="s">
        <v>29</v>
      </c>
      <c r="M2" s="21" t="s">
        <v>29</v>
      </c>
      <c r="N2" s="21"/>
      <c r="O2" s="30"/>
      <c r="P2" s="21" t="s">
        <v>28</v>
      </c>
      <c r="Q2" s="21"/>
      <c r="R2" s="21"/>
      <c r="S2" s="32" t="s">
        <v>30</v>
      </c>
      <c r="T2" s="20" t="s">
        <v>1240</v>
      </c>
      <c r="U2" s="21"/>
      <c r="V2" s="21"/>
      <c r="W2" s="21"/>
      <c r="X2" s="21"/>
      <c r="Y2" s="21" t="s">
        <v>28</v>
      </c>
    </row>
    <row r="3" customFormat="false" ht="15.75" hidden="false" customHeight="false" outlineLevel="0" collapsed="false">
      <c r="A3" s="21" t="n">
        <v>7569</v>
      </c>
      <c r="B3" s="29" t="n">
        <v>45201</v>
      </c>
      <c r="C3" s="21" t="s">
        <v>1237</v>
      </c>
      <c r="D3" s="30" t="s">
        <v>24</v>
      </c>
      <c r="E3" s="21" t="s">
        <v>25</v>
      </c>
      <c r="F3" s="21" t="s">
        <v>1238</v>
      </c>
      <c r="G3" s="30" t="s">
        <v>1239</v>
      </c>
      <c r="H3" s="45" t="s">
        <v>28</v>
      </c>
      <c r="I3" s="21" t="s">
        <v>28</v>
      </c>
      <c r="J3" s="21"/>
      <c r="K3" s="21" t="s">
        <v>29</v>
      </c>
      <c r="L3" s="21" t="s">
        <v>29</v>
      </c>
      <c r="M3" s="21" t="s">
        <v>29</v>
      </c>
      <c r="N3" s="21"/>
      <c r="O3" s="30"/>
      <c r="P3" s="21" t="s">
        <v>28</v>
      </c>
      <c r="Q3" s="21"/>
      <c r="R3" s="21"/>
      <c r="S3" s="32" t="s">
        <v>30</v>
      </c>
      <c r="T3" s="20" t="s">
        <v>1240</v>
      </c>
      <c r="U3" s="21"/>
      <c r="V3" s="21"/>
      <c r="W3" s="21"/>
      <c r="X3" s="21"/>
      <c r="Y3" s="21" t="s">
        <v>28</v>
      </c>
    </row>
    <row r="4" customFormat="false" ht="15.75" hidden="false" customHeight="false" outlineLevel="0" collapsed="false">
      <c r="A4" s="24" t="n">
        <v>7570</v>
      </c>
      <c r="B4" s="29" t="n">
        <v>45201</v>
      </c>
      <c r="C4" s="21" t="s">
        <v>1237</v>
      </c>
      <c r="D4" s="21" t="s">
        <v>24</v>
      </c>
      <c r="E4" s="21" t="s">
        <v>25</v>
      </c>
      <c r="F4" s="21" t="s">
        <v>1238</v>
      </c>
      <c r="G4" s="30" t="s">
        <v>1239</v>
      </c>
      <c r="H4" s="45" t="s">
        <v>28</v>
      </c>
      <c r="I4" s="21" t="s">
        <v>28</v>
      </c>
      <c r="J4" s="21"/>
      <c r="K4" s="21" t="s">
        <v>29</v>
      </c>
      <c r="L4" s="21" t="s">
        <v>29</v>
      </c>
      <c r="M4" s="21" t="s">
        <v>29</v>
      </c>
      <c r="N4" s="21"/>
      <c r="O4" s="30"/>
      <c r="P4" s="21" t="s">
        <v>28</v>
      </c>
      <c r="Q4" s="21"/>
      <c r="S4" s="32" t="s">
        <v>30</v>
      </c>
      <c r="T4" s="20" t="s">
        <v>1240</v>
      </c>
      <c r="U4" s="21"/>
      <c r="V4" s="21"/>
      <c r="W4" s="21"/>
      <c r="X4" s="21"/>
      <c r="Y4" s="21" t="s">
        <v>28</v>
      </c>
    </row>
    <row r="5" customFormat="false" ht="15.75" hidden="false" customHeight="false" outlineLevel="0" collapsed="false">
      <c r="A5" s="24" t="n">
        <v>7571</v>
      </c>
      <c r="B5" s="29" t="n">
        <v>45203</v>
      </c>
      <c r="C5" s="21" t="s">
        <v>867</v>
      </c>
      <c r="D5" s="21" t="s">
        <v>24</v>
      </c>
      <c r="E5" s="21" t="s">
        <v>25</v>
      </c>
      <c r="F5" s="21" t="s">
        <v>1241</v>
      </c>
      <c r="G5" s="30" t="s">
        <v>1242</v>
      </c>
      <c r="H5" s="45" t="s">
        <v>28</v>
      </c>
      <c r="I5" s="21" t="s">
        <v>28</v>
      </c>
      <c r="J5" s="21"/>
      <c r="K5" s="21" t="s">
        <v>29</v>
      </c>
      <c r="L5" s="12" t="s">
        <v>29</v>
      </c>
      <c r="M5" s="21" t="s">
        <v>1243</v>
      </c>
      <c r="N5" s="21"/>
      <c r="O5" s="30"/>
      <c r="P5" s="21"/>
      <c r="Q5" s="21"/>
      <c r="R5" s="21"/>
      <c r="S5" s="32"/>
      <c r="T5" s="32"/>
      <c r="U5" s="21"/>
      <c r="V5" s="21"/>
      <c r="W5" s="21"/>
      <c r="X5" s="21"/>
      <c r="Y5" s="21" t="s">
        <v>28</v>
      </c>
    </row>
    <row r="6" customFormat="false" ht="15.75" hidden="false" customHeight="false" outlineLevel="0" collapsed="false">
      <c r="A6" s="24" t="n">
        <v>7572</v>
      </c>
      <c r="B6" s="29" t="n">
        <v>45203</v>
      </c>
      <c r="C6" s="21" t="s">
        <v>841</v>
      </c>
      <c r="D6" s="21" t="s">
        <v>24</v>
      </c>
      <c r="E6" s="21" t="s">
        <v>34</v>
      </c>
      <c r="F6" s="21" t="s">
        <v>1244</v>
      </c>
      <c r="G6" s="30"/>
      <c r="H6" s="31"/>
      <c r="I6" s="21"/>
      <c r="J6" s="21"/>
      <c r="K6" s="21"/>
      <c r="L6" s="21"/>
      <c r="M6" s="21"/>
      <c r="N6" s="21"/>
      <c r="O6" s="30"/>
      <c r="P6" s="21"/>
      <c r="Q6" s="21"/>
      <c r="R6" s="21"/>
      <c r="S6" s="32"/>
      <c r="T6" s="32"/>
      <c r="U6" s="21"/>
      <c r="V6" s="21"/>
      <c r="W6" s="21"/>
      <c r="X6" s="21"/>
      <c r="Y6" s="21" t="s">
        <v>28</v>
      </c>
    </row>
    <row r="7" customFormat="false" ht="15.75" hidden="false" customHeight="false" outlineLevel="0" collapsed="false">
      <c r="A7" s="24" t="n">
        <v>7573</v>
      </c>
      <c r="B7" s="29" t="n">
        <v>45203</v>
      </c>
      <c r="C7" s="21" t="s">
        <v>136</v>
      </c>
      <c r="D7" s="21" t="s">
        <v>24</v>
      </c>
      <c r="E7" s="21" t="s">
        <v>34</v>
      </c>
      <c r="F7" s="21" t="s">
        <v>1245</v>
      </c>
      <c r="G7" s="30"/>
      <c r="H7" s="31"/>
      <c r="I7" s="21"/>
      <c r="J7" s="21"/>
      <c r="K7" s="21"/>
      <c r="L7" s="21"/>
      <c r="M7" s="21"/>
      <c r="N7" s="21"/>
      <c r="O7" s="30"/>
      <c r="P7" s="21"/>
      <c r="Q7" s="21"/>
      <c r="R7" s="21"/>
      <c r="S7" s="32"/>
      <c r="T7" s="32"/>
      <c r="U7" s="21"/>
      <c r="V7" s="21"/>
      <c r="W7" s="21"/>
      <c r="X7" s="21"/>
      <c r="Y7" s="21" t="s">
        <v>28</v>
      </c>
    </row>
    <row r="8" customFormat="false" ht="15.75" hidden="false" customHeight="false" outlineLevel="0" collapsed="false">
      <c r="A8" s="24" t="n">
        <v>7574</v>
      </c>
      <c r="B8" s="29" t="n">
        <v>45203</v>
      </c>
      <c r="C8" s="21" t="s">
        <v>587</v>
      </c>
      <c r="D8" s="21" t="s">
        <v>24</v>
      </c>
      <c r="E8" s="21" t="s">
        <v>34</v>
      </c>
      <c r="F8" s="21" t="s">
        <v>1246</v>
      </c>
      <c r="G8" s="30"/>
      <c r="H8" s="31"/>
      <c r="I8" s="21"/>
      <c r="J8" s="21"/>
      <c r="K8" s="21"/>
      <c r="L8" s="21"/>
      <c r="M8" s="21"/>
      <c r="N8" s="21"/>
      <c r="O8" s="30"/>
      <c r="P8" s="21"/>
      <c r="Q8" s="21"/>
      <c r="R8" s="21"/>
      <c r="S8" s="32"/>
      <c r="T8" s="32"/>
      <c r="U8" s="21"/>
      <c r="V8" s="21"/>
      <c r="W8" s="21"/>
      <c r="X8" s="21"/>
      <c r="Y8" s="21" t="s">
        <v>28</v>
      </c>
    </row>
    <row r="9" customFormat="false" ht="15.75" hidden="false" customHeight="false" outlineLevel="0" collapsed="false">
      <c r="A9" s="24" t="n">
        <v>7575</v>
      </c>
      <c r="B9" s="29" t="n">
        <v>45203</v>
      </c>
      <c r="C9" s="21" t="s">
        <v>67</v>
      </c>
      <c r="D9" s="21" t="s">
        <v>24</v>
      </c>
      <c r="E9" s="21" t="s">
        <v>34</v>
      </c>
      <c r="F9" s="21" t="s">
        <v>1247</v>
      </c>
      <c r="G9" s="30"/>
      <c r="H9" s="31"/>
      <c r="I9" s="21"/>
      <c r="J9" s="21"/>
      <c r="K9" s="21"/>
      <c r="L9" s="21"/>
      <c r="M9" s="21"/>
      <c r="N9" s="21"/>
      <c r="O9" s="30"/>
      <c r="P9" s="21"/>
      <c r="Q9" s="21"/>
      <c r="R9" s="21"/>
      <c r="S9" s="32"/>
      <c r="T9" s="32"/>
      <c r="U9" s="21"/>
      <c r="V9" s="21"/>
      <c r="W9" s="21"/>
      <c r="X9" s="21"/>
      <c r="Y9" s="21" t="s">
        <v>28</v>
      </c>
    </row>
    <row r="10" customFormat="false" ht="15.75" hidden="false" customHeight="false" outlineLevel="0" collapsed="false">
      <c r="A10" s="24" t="n">
        <v>7576</v>
      </c>
      <c r="B10" s="29" t="n">
        <v>45204</v>
      </c>
      <c r="C10" s="21" t="s">
        <v>1248</v>
      </c>
      <c r="D10" s="21" t="s">
        <v>24</v>
      </c>
      <c r="E10" s="21" t="s">
        <v>25</v>
      </c>
      <c r="F10" s="21" t="s">
        <v>1249</v>
      </c>
      <c r="G10" s="30"/>
      <c r="H10" s="45" t="s">
        <v>28</v>
      </c>
      <c r="I10" s="21" t="s">
        <v>28</v>
      </c>
      <c r="J10" s="21"/>
      <c r="K10" s="21" t="s">
        <v>29</v>
      </c>
      <c r="L10" s="21" t="s">
        <v>29</v>
      </c>
      <c r="M10" s="21" t="n">
        <v>19078</v>
      </c>
      <c r="N10" s="21"/>
      <c r="O10" s="30"/>
      <c r="P10" s="21"/>
      <c r="Q10" s="21"/>
      <c r="R10" s="21"/>
      <c r="S10" s="32"/>
      <c r="T10" s="32"/>
      <c r="U10" s="21"/>
      <c r="V10" s="21"/>
      <c r="W10" s="21"/>
      <c r="X10" s="21"/>
      <c r="Y10" s="21" t="s">
        <v>28</v>
      </c>
    </row>
    <row r="11" customFormat="false" ht="15.75" hidden="false" customHeight="false" outlineLevel="0" collapsed="false">
      <c r="A11" s="24" t="n">
        <v>7577</v>
      </c>
      <c r="B11" s="29" t="n">
        <v>45205</v>
      </c>
      <c r="C11" s="21" t="s">
        <v>389</v>
      </c>
      <c r="D11" s="21" t="s">
        <v>24</v>
      </c>
      <c r="E11" s="21" t="s">
        <v>34</v>
      </c>
      <c r="F11" s="21" t="s">
        <v>1250</v>
      </c>
      <c r="G11" s="30"/>
      <c r="H11" s="31"/>
      <c r="I11" s="21"/>
      <c r="J11" s="21"/>
      <c r="K11" s="21"/>
      <c r="L11" s="21"/>
      <c r="M11" s="21"/>
      <c r="N11" s="21"/>
      <c r="O11" s="30"/>
      <c r="P11" s="21"/>
      <c r="Q11" s="21"/>
      <c r="R11" s="21"/>
      <c r="S11" s="32"/>
      <c r="T11" s="32"/>
      <c r="U11" s="21"/>
      <c r="V11" s="21"/>
      <c r="W11" s="21"/>
      <c r="X11" s="21"/>
      <c r="Y11" s="21" t="s">
        <v>28</v>
      </c>
    </row>
    <row r="12" customFormat="false" ht="15.75" hidden="false" customHeight="false" outlineLevel="0" collapsed="false">
      <c r="A12" s="24" t="n">
        <v>7578</v>
      </c>
      <c r="B12" s="29" t="n">
        <v>45208</v>
      </c>
      <c r="C12" s="21" t="s">
        <v>1251</v>
      </c>
      <c r="D12" s="21" t="s">
        <v>24</v>
      </c>
      <c r="E12" s="21" t="s">
        <v>34</v>
      </c>
      <c r="F12" s="21" t="s">
        <v>1252</v>
      </c>
      <c r="G12" s="30"/>
      <c r="H12" s="31"/>
      <c r="I12" s="21"/>
      <c r="J12" s="21"/>
      <c r="K12" s="21"/>
      <c r="L12" s="21"/>
      <c r="M12" s="21"/>
      <c r="N12" s="21"/>
      <c r="O12" s="30"/>
      <c r="P12" s="21"/>
      <c r="Q12" s="21"/>
      <c r="R12" s="21"/>
      <c r="S12" s="32"/>
      <c r="T12" s="32"/>
      <c r="U12" s="21"/>
      <c r="V12" s="21"/>
      <c r="W12" s="21"/>
      <c r="X12" s="21"/>
      <c r="Y12" s="21" t="s">
        <v>28</v>
      </c>
    </row>
    <row r="13" customFormat="false" ht="15.75" hidden="false" customHeight="false" outlineLevel="0" collapsed="false">
      <c r="A13" s="24" t="n">
        <v>7579</v>
      </c>
      <c r="B13" s="29" t="n">
        <v>45208</v>
      </c>
      <c r="C13" s="21" t="s">
        <v>1251</v>
      </c>
      <c r="D13" s="21" t="s">
        <v>24</v>
      </c>
      <c r="E13" s="21" t="s">
        <v>34</v>
      </c>
      <c r="F13" s="21" t="s">
        <v>1252</v>
      </c>
      <c r="G13" s="30"/>
      <c r="H13" s="31"/>
      <c r="I13" s="21"/>
      <c r="J13" s="21"/>
      <c r="K13" s="21"/>
      <c r="L13" s="21"/>
      <c r="M13" s="21"/>
      <c r="N13" s="21"/>
      <c r="O13" s="30"/>
      <c r="P13" s="21"/>
      <c r="Q13" s="21"/>
      <c r="R13" s="21"/>
      <c r="S13" s="32"/>
      <c r="T13" s="32"/>
      <c r="U13" s="21"/>
      <c r="V13" s="21"/>
      <c r="W13" s="21"/>
      <c r="X13" s="21"/>
      <c r="Y13" s="21" t="s">
        <v>28</v>
      </c>
    </row>
    <row r="14" customFormat="false" ht="15.75" hidden="false" customHeight="false" outlineLevel="0" collapsed="false">
      <c r="A14" s="24" t="n">
        <v>7580</v>
      </c>
      <c r="B14" s="29" t="n">
        <v>45208</v>
      </c>
      <c r="C14" s="21" t="s">
        <v>1251</v>
      </c>
      <c r="D14" s="21" t="s">
        <v>24</v>
      </c>
      <c r="E14" s="21" t="s">
        <v>34</v>
      </c>
      <c r="F14" s="21" t="s">
        <v>1252</v>
      </c>
      <c r="G14" s="30"/>
      <c r="H14" s="31"/>
      <c r="I14" s="21"/>
      <c r="J14" s="21"/>
      <c r="K14" s="21"/>
      <c r="L14" s="21"/>
      <c r="M14" s="21"/>
      <c r="N14" s="21"/>
      <c r="O14" s="30"/>
      <c r="P14" s="21"/>
      <c r="Q14" s="21"/>
      <c r="R14" s="21"/>
      <c r="S14" s="32"/>
      <c r="T14" s="32"/>
      <c r="U14" s="21"/>
      <c r="V14" s="21"/>
      <c r="W14" s="21"/>
      <c r="X14" s="21"/>
      <c r="Y14" s="21" t="s">
        <v>28</v>
      </c>
    </row>
    <row r="15" customFormat="false" ht="15.75" hidden="false" customHeight="false" outlineLevel="0" collapsed="false">
      <c r="A15" s="24" t="n">
        <v>7581</v>
      </c>
      <c r="B15" s="29" t="n">
        <v>45208</v>
      </c>
      <c r="C15" s="21" t="s">
        <v>1251</v>
      </c>
      <c r="D15" s="21" t="s">
        <v>24</v>
      </c>
      <c r="E15" s="21" t="s">
        <v>34</v>
      </c>
      <c r="F15" s="21" t="s">
        <v>902</v>
      </c>
      <c r="G15" s="30"/>
      <c r="H15" s="31"/>
      <c r="I15" s="21"/>
      <c r="J15" s="21"/>
      <c r="K15" s="21"/>
      <c r="L15" s="21"/>
      <c r="M15" s="21"/>
      <c r="N15" s="21"/>
      <c r="O15" s="30"/>
      <c r="P15" s="21"/>
      <c r="Q15" s="21"/>
      <c r="R15" s="21"/>
      <c r="S15" s="32"/>
      <c r="T15" s="32"/>
      <c r="U15" s="21"/>
      <c r="V15" s="21"/>
      <c r="W15" s="21"/>
      <c r="X15" s="21"/>
      <c r="Y15" s="21" t="s">
        <v>28</v>
      </c>
    </row>
    <row r="16" customFormat="false" ht="15.75" hidden="false" customHeight="false" outlineLevel="0" collapsed="false">
      <c r="A16" s="24" t="n">
        <v>7582</v>
      </c>
      <c r="B16" s="29" t="n">
        <v>45208</v>
      </c>
      <c r="C16" s="21" t="s">
        <v>1251</v>
      </c>
      <c r="D16" s="21" t="s">
        <v>24</v>
      </c>
      <c r="E16" s="21" t="s">
        <v>34</v>
      </c>
      <c r="F16" s="21" t="s">
        <v>902</v>
      </c>
      <c r="G16" s="30"/>
      <c r="H16" s="31"/>
      <c r="I16" s="21"/>
      <c r="J16" s="21"/>
      <c r="K16" s="21"/>
      <c r="L16" s="21"/>
      <c r="M16" s="21"/>
      <c r="N16" s="21"/>
      <c r="O16" s="30"/>
      <c r="P16" s="21"/>
      <c r="Q16" s="21"/>
      <c r="R16" s="21"/>
      <c r="S16" s="32"/>
      <c r="T16" s="32"/>
      <c r="U16" s="21"/>
      <c r="V16" s="21"/>
      <c r="W16" s="21"/>
      <c r="X16" s="21"/>
      <c r="Y16" s="21" t="s">
        <v>28</v>
      </c>
    </row>
    <row r="17" customFormat="false" ht="15.75" hidden="false" customHeight="false" outlineLevel="0" collapsed="false">
      <c r="A17" s="24" t="n">
        <v>7583</v>
      </c>
      <c r="B17" s="29" t="n">
        <v>45208</v>
      </c>
      <c r="C17" s="21" t="s">
        <v>1251</v>
      </c>
      <c r="D17" s="21" t="s">
        <v>24</v>
      </c>
      <c r="E17" s="21" t="s">
        <v>34</v>
      </c>
      <c r="F17" s="21" t="s">
        <v>1253</v>
      </c>
      <c r="G17" s="30"/>
      <c r="H17" s="31"/>
      <c r="I17" s="21"/>
      <c r="J17" s="21"/>
      <c r="K17" s="21"/>
      <c r="L17" s="21"/>
      <c r="M17" s="21"/>
      <c r="N17" s="21"/>
      <c r="O17" s="30"/>
      <c r="P17" s="21"/>
      <c r="Q17" s="21"/>
      <c r="R17" s="21"/>
      <c r="S17" s="32"/>
      <c r="T17" s="32"/>
      <c r="U17" s="21"/>
      <c r="V17" s="21"/>
      <c r="W17" s="21"/>
      <c r="X17" s="21"/>
      <c r="Y17" s="21" t="s">
        <v>28</v>
      </c>
    </row>
    <row r="18" customFormat="false" ht="15.75" hidden="false" customHeight="false" outlineLevel="0" collapsed="false">
      <c r="A18" s="24" t="n">
        <v>7584</v>
      </c>
      <c r="B18" s="29" t="n">
        <v>45208</v>
      </c>
      <c r="C18" s="21" t="s">
        <v>1254</v>
      </c>
      <c r="D18" s="21" t="s">
        <v>24</v>
      </c>
      <c r="E18" s="21" t="s">
        <v>25</v>
      </c>
      <c r="F18" s="21" t="s">
        <v>1255</v>
      </c>
      <c r="G18" s="30" t="s">
        <v>1256</v>
      </c>
      <c r="H18" s="45" t="s">
        <v>28</v>
      </c>
      <c r="I18" s="21" t="s">
        <v>28</v>
      </c>
      <c r="J18" s="21"/>
      <c r="K18" s="21" t="s">
        <v>29</v>
      </c>
      <c r="L18" s="21" t="s">
        <v>29</v>
      </c>
      <c r="M18" s="21" t="s">
        <v>29</v>
      </c>
      <c r="N18" s="21"/>
      <c r="O18" s="30"/>
      <c r="P18" s="21"/>
      <c r="Q18" s="21"/>
      <c r="R18" s="21"/>
      <c r="S18" s="32"/>
      <c r="T18" s="32"/>
      <c r="U18" s="21"/>
      <c r="V18" s="21"/>
      <c r="W18" s="21"/>
      <c r="X18" s="21"/>
      <c r="Y18" s="21" t="s">
        <v>28</v>
      </c>
    </row>
    <row r="19" customFormat="false" ht="15.75" hidden="false" customHeight="false" outlineLevel="0" collapsed="false">
      <c r="A19" s="24" t="n">
        <v>7585</v>
      </c>
      <c r="B19" s="29" t="n">
        <v>45208</v>
      </c>
      <c r="C19" s="21" t="s">
        <v>1257</v>
      </c>
      <c r="D19" s="21" t="s">
        <v>24</v>
      </c>
      <c r="E19" s="21" t="s">
        <v>25</v>
      </c>
      <c r="F19" s="21" t="s">
        <v>127</v>
      </c>
      <c r="G19" s="30" t="s">
        <v>1258</v>
      </c>
      <c r="H19" s="45" t="s">
        <v>28</v>
      </c>
      <c r="I19" s="21" t="s">
        <v>28</v>
      </c>
      <c r="J19" s="21"/>
      <c r="K19" s="21" t="s">
        <v>29</v>
      </c>
      <c r="L19" s="21" t="s">
        <v>29</v>
      </c>
      <c r="M19" s="21" t="s">
        <v>29</v>
      </c>
      <c r="N19" s="21"/>
      <c r="O19" s="30"/>
      <c r="P19" s="21"/>
      <c r="Q19" s="21"/>
      <c r="R19" s="21"/>
      <c r="S19" s="32"/>
      <c r="T19" s="32"/>
      <c r="U19" s="21"/>
      <c r="V19" s="21"/>
      <c r="W19" s="21"/>
      <c r="X19" s="21"/>
      <c r="Y19" s="21" t="s">
        <v>28</v>
      </c>
    </row>
    <row r="20" customFormat="false" ht="15.75" hidden="false" customHeight="false" outlineLevel="0" collapsed="false">
      <c r="A20" s="24" t="n">
        <v>7586</v>
      </c>
      <c r="B20" s="29" t="n">
        <v>45209</v>
      </c>
      <c r="C20" s="20" t="s">
        <v>1259</v>
      </c>
      <c r="D20" s="21" t="s">
        <v>24</v>
      </c>
      <c r="E20" s="21" t="s">
        <v>25</v>
      </c>
      <c r="F20" s="21" t="s">
        <v>1260</v>
      </c>
      <c r="G20" s="30"/>
      <c r="H20" s="45" t="s">
        <v>28</v>
      </c>
      <c r="I20" s="21" t="s">
        <v>28</v>
      </c>
      <c r="J20" s="21"/>
      <c r="K20" s="21" t="s">
        <v>29</v>
      </c>
      <c r="L20" s="21" t="s">
        <v>29</v>
      </c>
      <c r="M20" s="21" t="n">
        <v>17383</v>
      </c>
      <c r="N20" s="21" t="s">
        <v>29</v>
      </c>
      <c r="O20" s="30"/>
      <c r="P20" s="21"/>
      <c r="Q20" s="21"/>
      <c r="R20" s="21"/>
      <c r="S20" s="32"/>
      <c r="T20" s="32"/>
      <c r="U20" s="21"/>
      <c r="V20" s="21"/>
      <c r="W20" s="21"/>
      <c r="X20" s="21"/>
      <c r="Y20" s="21" t="s">
        <v>28</v>
      </c>
    </row>
    <row r="21" customFormat="false" ht="15.75" hidden="false" customHeight="false" outlineLevel="0" collapsed="false">
      <c r="A21" s="24" t="n">
        <v>7587</v>
      </c>
      <c r="B21" s="29" t="n">
        <v>45209</v>
      </c>
      <c r="C21" s="20" t="s">
        <v>412</v>
      </c>
      <c r="D21" s="21" t="s">
        <v>24</v>
      </c>
      <c r="E21" s="21" t="s">
        <v>25</v>
      </c>
      <c r="F21" s="21" t="s">
        <v>1261</v>
      </c>
      <c r="G21" s="30"/>
      <c r="H21" s="45" t="s">
        <v>28</v>
      </c>
      <c r="I21" s="21" t="s">
        <v>28</v>
      </c>
      <c r="J21" s="21"/>
      <c r="K21" s="21" t="s">
        <v>29</v>
      </c>
      <c r="L21" s="21" t="s">
        <v>29</v>
      </c>
      <c r="M21" s="21" t="n">
        <v>17382</v>
      </c>
      <c r="N21" s="21"/>
      <c r="O21" s="30"/>
      <c r="P21" s="21"/>
      <c r="Q21" s="21"/>
      <c r="R21" s="21"/>
      <c r="S21" s="32"/>
      <c r="T21" s="32"/>
      <c r="U21" s="21"/>
      <c r="V21" s="21"/>
      <c r="W21" s="21"/>
      <c r="X21" s="21"/>
      <c r="Y21" s="21" t="s">
        <v>28</v>
      </c>
    </row>
    <row r="22" customFormat="false" ht="15.75" hidden="false" customHeight="false" outlineLevel="0" collapsed="false">
      <c r="A22" s="24" t="n">
        <v>7588</v>
      </c>
      <c r="B22" s="29" t="n">
        <v>45209</v>
      </c>
      <c r="C22" s="21" t="s">
        <v>412</v>
      </c>
      <c r="D22" s="21" t="s">
        <v>24</v>
      </c>
      <c r="E22" s="21" t="s">
        <v>25</v>
      </c>
      <c r="F22" s="21" t="s">
        <v>1262</v>
      </c>
      <c r="G22" s="30"/>
      <c r="H22" s="45" t="s">
        <v>28</v>
      </c>
      <c r="I22" s="21" t="s">
        <v>28</v>
      </c>
      <c r="J22" s="21"/>
      <c r="K22" s="21" t="s">
        <v>29</v>
      </c>
      <c r="L22" s="21" t="s">
        <v>29</v>
      </c>
      <c r="M22" s="21" t="n">
        <v>17381</v>
      </c>
      <c r="N22" s="21"/>
      <c r="O22" s="30"/>
      <c r="P22" s="21"/>
      <c r="Q22" s="21"/>
      <c r="R22" s="21"/>
      <c r="S22" s="32"/>
      <c r="T22" s="32"/>
      <c r="U22" s="21"/>
      <c r="V22" s="21"/>
      <c r="W22" s="21"/>
      <c r="X22" s="21"/>
      <c r="Y22" s="21" t="s">
        <v>28</v>
      </c>
    </row>
    <row r="23" customFormat="false" ht="15.75" hidden="false" customHeight="false" outlineLevel="0" collapsed="false">
      <c r="A23" s="24" t="n">
        <v>7589</v>
      </c>
      <c r="B23" s="29" t="n">
        <v>45209</v>
      </c>
      <c r="C23" s="21" t="s">
        <v>412</v>
      </c>
      <c r="D23" s="21" t="s">
        <v>24</v>
      </c>
      <c r="E23" s="21" t="s">
        <v>25</v>
      </c>
      <c r="F23" s="21" t="s">
        <v>1263</v>
      </c>
      <c r="G23" s="30"/>
      <c r="H23" s="45" t="s">
        <v>28</v>
      </c>
      <c r="I23" s="21" t="s">
        <v>28</v>
      </c>
      <c r="J23" s="21"/>
      <c r="K23" s="21" t="s">
        <v>29</v>
      </c>
      <c r="L23" s="21" t="s">
        <v>29</v>
      </c>
      <c r="M23" s="21" t="n">
        <v>17384</v>
      </c>
      <c r="N23" s="21"/>
      <c r="O23" s="30"/>
      <c r="P23" s="21"/>
      <c r="Q23" s="21"/>
      <c r="R23" s="21"/>
      <c r="S23" s="32"/>
      <c r="T23" s="32"/>
      <c r="U23" s="21"/>
      <c r="V23" s="21"/>
      <c r="W23" s="21"/>
      <c r="X23" s="21"/>
      <c r="Y23" s="21" t="s">
        <v>28</v>
      </c>
    </row>
    <row r="24" customFormat="false" ht="15.75" hidden="false" customHeight="false" outlineLevel="0" collapsed="false">
      <c r="A24" s="24" t="n">
        <v>7590</v>
      </c>
      <c r="B24" s="29" t="n">
        <v>45209</v>
      </c>
      <c r="C24" s="21" t="s">
        <v>412</v>
      </c>
      <c r="D24" s="21" t="s">
        <v>24</v>
      </c>
      <c r="E24" s="21" t="s">
        <v>25</v>
      </c>
      <c r="F24" s="21" t="s">
        <v>666</v>
      </c>
      <c r="G24" s="30"/>
      <c r="H24" s="45" t="s">
        <v>28</v>
      </c>
      <c r="I24" s="21" t="s">
        <v>28</v>
      </c>
      <c r="J24" s="21"/>
      <c r="K24" s="21" t="s">
        <v>29</v>
      </c>
      <c r="L24" s="21" t="s">
        <v>29</v>
      </c>
      <c r="M24" s="21" t="n">
        <v>17385</v>
      </c>
      <c r="N24" s="21"/>
      <c r="O24" s="30"/>
      <c r="P24" s="21"/>
      <c r="Q24" s="21"/>
      <c r="R24" s="21"/>
      <c r="S24" s="32"/>
      <c r="T24" s="32"/>
      <c r="U24" s="21"/>
      <c r="V24" s="21"/>
      <c r="W24" s="21"/>
      <c r="X24" s="21"/>
      <c r="Y24" s="21" t="s">
        <v>28</v>
      </c>
    </row>
    <row r="25" customFormat="false" ht="15.75" hidden="false" customHeight="false" outlineLevel="0" collapsed="false">
      <c r="A25" s="24" t="s">
        <v>1264</v>
      </c>
      <c r="B25" s="29" t="n">
        <v>45209</v>
      </c>
      <c r="C25" s="21" t="s">
        <v>412</v>
      </c>
      <c r="D25" s="21" t="s">
        <v>578</v>
      </c>
      <c r="E25" s="21" t="s">
        <v>25</v>
      </c>
      <c r="F25" s="21" t="s">
        <v>666</v>
      </c>
      <c r="G25" s="30"/>
      <c r="H25" s="45" t="s">
        <v>28</v>
      </c>
      <c r="I25" s="21" t="s">
        <v>28</v>
      </c>
      <c r="J25" s="21"/>
      <c r="K25" s="21" t="s">
        <v>29</v>
      </c>
      <c r="L25" s="21" t="s">
        <v>29</v>
      </c>
      <c r="M25" s="21" t="n">
        <v>17380</v>
      </c>
      <c r="N25" s="21"/>
      <c r="O25" s="30"/>
      <c r="P25" s="21"/>
      <c r="Q25" s="21"/>
      <c r="R25" s="21"/>
      <c r="S25" s="32"/>
      <c r="T25" s="32"/>
      <c r="U25" s="21"/>
      <c r="V25" s="21"/>
      <c r="W25" s="21"/>
      <c r="X25" s="21"/>
      <c r="Y25" s="21" t="s">
        <v>37</v>
      </c>
    </row>
    <row r="26" customFormat="false" ht="15.75" hidden="false" customHeight="false" outlineLevel="0" collapsed="false">
      <c r="A26" s="24" t="n">
        <v>7591</v>
      </c>
      <c r="B26" s="29" t="n">
        <v>45209</v>
      </c>
      <c r="C26" s="21" t="s">
        <v>616</v>
      </c>
      <c r="D26" s="21" t="s">
        <v>24</v>
      </c>
      <c r="E26" s="21" t="s">
        <v>25</v>
      </c>
      <c r="F26" s="21" t="s">
        <v>1265</v>
      </c>
      <c r="G26" s="30" t="s">
        <v>1266</v>
      </c>
      <c r="H26" s="45" t="s">
        <v>28</v>
      </c>
      <c r="I26" s="21" t="s">
        <v>28</v>
      </c>
      <c r="J26" s="21"/>
      <c r="K26" s="21" t="s">
        <v>29</v>
      </c>
      <c r="L26" s="21" t="s">
        <v>29</v>
      </c>
      <c r="M26" s="21" t="n">
        <v>1480</v>
      </c>
      <c r="N26" s="21"/>
      <c r="O26" s="30"/>
      <c r="P26" s="21" t="s">
        <v>28</v>
      </c>
      <c r="Q26" s="21"/>
      <c r="R26" s="21"/>
      <c r="S26" s="32" t="s">
        <v>30</v>
      </c>
      <c r="T26" s="32" t="s">
        <v>1240</v>
      </c>
      <c r="U26" s="21"/>
      <c r="V26" s="21"/>
      <c r="W26" s="21"/>
      <c r="X26" s="21"/>
      <c r="Y26" s="21" t="s">
        <v>28</v>
      </c>
    </row>
    <row r="27" customFormat="false" ht="15.75" hidden="false" customHeight="false" outlineLevel="0" collapsed="false">
      <c r="A27" s="24" t="n">
        <v>7592</v>
      </c>
      <c r="B27" s="29" t="n">
        <v>45209</v>
      </c>
      <c r="C27" s="21" t="s">
        <v>616</v>
      </c>
      <c r="D27" s="21" t="s">
        <v>24</v>
      </c>
      <c r="E27" s="21" t="s">
        <v>25</v>
      </c>
      <c r="F27" s="21" t="s">
        <v>1265</v>
      </c>
      <c r="G27" s="30" t="s">
        <v>1266</v>
      </c>
      <c r="H27" s="45" t="s">
        <v>28</v>
      </c>
      <c r="I27" s="21" t="s">
        <v>28</v>
      </c>
      <c r="J27" s="21"/>
      <c r="K27" s="21" t="s">
        <v>29</v>
      </c>
      <c r="L27" s="21" t="s">
        <v>29</v>
      </c>
      <c r="M27" s="21" t="n">
        <v>1481</v>
      </c>
      <c r="N27" s="21"/>
      <c r="O27" s="30"/>
      <c r="P27" s="21" t="s">
        <v>28</v>
      </c>
      <c r="Q27" s="21"/>
      <c r="R27" s="21"/>
      <c r="S27" s="32" t="s">
        <v>30</v>
      </c>
      <c r="T27" s="20" t="s">
        <v>1240</v>
      </c>
      <c r="U27" s="21"/>
      <c r="V27" s="21"/>
      <c r="W27" s="21"/>
      <c r="X27" s="21"/>
      <c r="Y27" s="21" t="s">
        <v>28</v>
      </c>
    </row>
    <row r="28" customFormat="false" ht="15.75" hidden="false" customHeight="false" outlineLevel="0" collapsed="false">
      <c r="A28" s="24" t="n">
        <v>7593</v>
      </c>
      <c r="B28" s="54" t="n">
        <v>45209</v>
      </c>
      <c r="C28" s="12" t="s">
        <v>389</v>
      </c>
      <c r="D28" s="21" t="s">
        <v>24</v>
      </c>
      <c r="E28" s="21" t="s">
        <v>34</v>
      </c>
      <c r="F28" s="21" t="s">
        <v>1267</v>
      </c>
      <c r="G28" s="30"/>
      <c r="H28" s="31"/>
      <c r="I28" s="21"/>
      <c r="J28" s="21"/>
      <c r="K28" s="21"/>
      <c r="L28" s="21"/>
      <c r="M28" s="21"/>
      <c r="N28" s="21"/>
      <c r="O28" s="30"/>
      <c r="P28" s="21"/>
      <c r="Q28" s="21"/>
      <c r="R28" s="21"/>
      <c r="S28" s="32"/>
      <c r="T28" s="32"/>
      <c r="U28" s="21"/>
      <c r="V28" s="21"/>
      <c r="W28" s="21"/>
      <c r="X28" s="21"/>
      <c r="Y28" s="21" t="s">
        <v>28</v>
      </c>
    </row>
    <row r="29" customFormat="false" ht="15.75" hidden="false" customHeight="false" outlineLevel="0" collapsed="false">
      <c r="A29" s="24" t="n">
        <v>7594</v>
      </c>
      <c r="B29" s="29" t="n">
        <v>45212</v>
      </c>
      <c r="C29" s="21" t="s">
        <v>841</v>
      </c>
      <c r="D29" s="21" t="s">
        <v>24</v>
      </c>
      <c r="E29" s="21" t="s">
        <v>25</v>
      </c>
      <c r="F29" s="21" t="s">
        <v>1268</v>
      </c>
      <c r="G29" s="30"/>
      <c r="H29" s="45" t="s">
        <v>28</v>
      </c>
      <c r="I29" s="21" t="s">
        <v>28</v>
      </c>
      <c r="J29" s="21" t="s">
        <v>29</v>
      </c>
      <c r="K29" s="21" t="s">
        <v>29</v>
      </c>
      <c r="L29" s="21" t="s">
        <v>29</v>
      </c>
      <c r="M29" s="21" t="s">
        <v>1269</v>
      </c>
      <c r="N29" s="21"/>
      <c r="O29" s="30"/>
      <c r="P29" s="21"/>
      <c r="Q29" s="21"/>
      <c r="R29" s="21"/>
      <c r="S29" s="32"/>
      <c r="T29" s="32"/>
      <c r="U29" s="21"/>
      <c r="V29" s="21"/>
      <c r="W29" s="21"/>
      <c r="X29" s="21"/>
      <c r="Y29" s="21" t="s">
        <v>28</v>
      </c>
    </row>
    <row r="30" customFormat="false" ht="15.75" hidden="false" customHeight="false" outlineLevel="0" collapsed="false">
      <c r="A30" s="24" t="n">
        <v>7595</v>
      </c>
      <c r="B30" s="29" t="n">
        <v>45216</v>
      </c>
      <c r="C30" s="21" t="s">
        <v>1270</v>
      </c>
      <c r="D30" s="21" t="s">
        <v>24</v>
      </c>
      <c r="E30" s="21" t="s">
        <v>25</v>
      </c>
      <c r="F30" s="21" t="s">
        <v>1271</v>
      </c>
      <c r="G30" s="30" t="s">
        <v>1272</v>
      </c>
      <c r="H30" s="45" t="s">
        <v>28</v>
      </c>
      <c r="I30" s="21" t="s">
        <v>28</v>
      </c>
      <c r="J30" s="21" t="s">
        <v>29</v>
      </c>
      <c r="K30" s="21" t="s">
        <v>29</v>
      </c>
      <c r="L30" s="21" t="n">
        <v>1495</v>
      </c>
      <c r="M30" s="21"/>
      <c r="N30" s="21"/>
      <c r="O30" s="30"/>
      <c r="P30" s="21"/>
      <c r="Q30" s="21"/>
      <c r="R30" s="21"/>
      <c r="S30" s="32"/>
      <c r="T30" s="32"/>
      <c r="U30" s="21"/>
      <c r="V30" s="21"/>
      <c r="W30" s="21"/>
      <c r="X30" s="21"/>
      <c r="Y30" s="21" t="s">
        <v>28</v>
      </c>
    </row>
    <row r="31" customFormat="false" ht="15.75" hidden="false" customHeight="false" outlineLevel="0" collapsed="false">
      <c r="A31" s="24" t="n">
        <v>7596</v>
      </c>
      <c r="B31" s="29" t="n">
        <v>45216</v>
      </c>
      <c r="C31" s="21" t="s">
        <v>1273</v>
      </c>
      <c r="D31" s="21" t="s">
        <v>24</v>
      </c>
      <c r="E31" s="21" t="s">
        <v>25</v>
      </c>
      <c r="F31" s="21" t="s">
        <v>1274</v>
      </c>
      <c r="G31" s="30"/>
      <c r="H31" s="45" t="s">
        <v>28</v>
      </c>
      <c r="I31" s="21" t="s">
        <v>28</v>
      </c>
      <c r="J31" s="21" t="s">
        <v>29</v>
      </c>
      <c r="K31" s="21" t="s">
        <v>29</v>
      </c>
      <c r="L31" s="21" t="n">
        <v>322</v>
      </c>
      <c r="M31" s="21"/>
      <c r="N31" s="21"/>
      <c r="O31" s="30"/>
      <c r="P31" s="21"/>
      <c r="Q31" s="21"/>
      <c r="R31" s="21"/>
      <c r="S31" s="32"/>
      <c r="T31" s="32"/>
      <c r="U31" s="21"/>
      <c r="V31" s="21"/>
      <c r="W31" s="21"/>
      <c r="X31" s="21"/>
      <c r="Y31" s="21" t="s">
        <v>28</v>
      </c>
    </row>
    <row r="32" customFormat="false" ht="15.75" hidden="false" customHeight="false" outlineLevel="0" collapsed="false">
      <c r="A32" s="24" t="n">
        <v>7597</v>
      </c>
      <c r="B32" s="29" t="n">
        <v>45216</v>
      </c>
      <c r="C32" s="21" t="s">
        <v>1273</v>
      </c>
      <c r="D32" s="21" t="s">
        <v>24</v>
      </c>
      <c r="E32" s="21" t="s">
        <v>25</v>
      </c>
      <c r="F32" s="21" t="s">
        <v>1275</v>
      </c>
      <c r="G32" s="30"/>
      <c r="H32" s="45" t="s">
        <v>28</v>
      </c>
      <c r="I32" s="21" t="s">
        <v>28</v>
      </c>
      <c r="J32" s="21" t="s">
        <v>29</v>
      </c>
      <c r="K32" s="21" t="s">
        <v>29</v>
      </c>
      <c r="L32" s="21" t="n">
        <v>322</v>
      </c>
      <c r="M32" s="21"/>
      <c r="N32" s="21"/>
      <c r="O32" s="30"/>
      <c r="P32" s="21"/>
      <c r="Q32" s="21"/>
      <c r="R32" s="21"/>
      <c r="S32" s="32"/>
      <c r="T32" s="32"/>
      <c r="U32" s="21"/>
      <c r="V32" s="21"/>
      <c r="W32" s="21"/>
      <c r="X32" s="21"/>
      <c r="Y32" s="21" t="s">
        <v>28</v>
      </c>
    </row>
    <row r="33" customFormat="false" ht="15.75" hidden="false" customHeight="false" outlineLevel="0" collapsed="false">
      <c r="A33" s="24" t="n">
        <v>7598</v>
      </c>
      <c r="B33" s="29" t="n">
        <v>45217</v>
      </c>
      <c r="C33" s="21" t="s">
        <v>1270</v>
      </c>
      <c r="D33" s="21" t="s">
        <v>24</v>
      </c>
      <c r="E33" s="21" t="s">
        <v>25</v>
      </c>
      <c r="F33" s="21" t="s">
        <v>1276</v>
      </c>
      <c r="G33" s="30" t="s">
        <v>1277</v>
      </c>
      <c r="H33" s="45" t="s">
        <v>28</v>
      </c>
      <c r="I33" s="21" t="s">
        <v>28</v>
      </c>
      <c r="J33" s="21" t="s">
        <v>29</v>
      </c>
      <c r="K33" s="21" t="s">
        <v>29</v>
      </c>
      <c r="L33" s="21" t="s">
        <v>29</v>
      </c>
      <c r="M33" s="21"/>
      <c r="N33" s="21"/>
      <c r="O33" s="30"/>
      <c r="P33" s="21"/>
      <c r="Q33" s="21"/>
      <c r="R33" s="21"/>
      <c r="S33" s="32"/>
      <c r="T33" s="32"/>
      <c r="U33" s="21" t="s">
        <v>74</v>
      </c>
      <c r="V33" s="46" t="s">
        <v>28</v>
      </c>
      <c r="W33" s="46" t="s">
        <v>28</v>
      </c>
      <c r="X33" s="21" t="s">
        <v>36</v>
      </c>
      <c r="Y33" s="21" t="s">
        <v>28</v>
      </c>
    </row>
    <row r="34" customFormat="false" ht="15.75" hidden="false" customHeight="false" outlineLevel="0" collapsed="false">
      <c r="A34" s="24" t="n">
        <v>7599</v>
      </c>
      <c r="B34" s="29" t="n">
        <v>45217</v>
      </c>
      <c r="C34" s="21" t="s">
        <v>1278</v>
      </c>
      <c r="D34" s="21" t="s">
        <v>24</v>
      </c>
      <c r="E34" s="21" t="s">
        <v>25</v>
      </c>
      <c r="F34" s="21" t="s">
        <v>1279</v>
      </c>
      <c r="G34" s="30"/>
      <c r="H34" s="45" t="s">
        <v>28</v>
      </c>
      <c r="I34" s="21" t="s">
        <v>28</v>
      </c>
      <c r="J34" s="21" t="n">
        <v>30694309328</v>
      </c>
      <c r="K34" s="21" t="s">
        <v>1280</v>
      </c>
      <c r="L34" s="21"/>
      <c r="M34" s="21"/>
      <c r="N34" s="21"/>
      <c r="O34" s="30"/>
      <c r="P34" s="21"/>
      <c r="Q34" s="21"/>
      <c r="R34" s="21"/>
      <c r="S34" s="32"/>
      <c r="T34" s="32"/>
      <c r="U34" s="21"/>
      <c r="V34" s="21"/>
      <c r="W34" s="21"/>
      <c r="X34" s="21"/>
      <c r="Y34" s="21" t="s">
        <v>28</v>
      </c>
    </row>
    <row r="35" customFormat="false" ht="15.75" hidden="false" customHeight="false" outlineLevel="0" collapsed="false">
      <c r="A35" s="24" t="n">
        <v>7600</v>
      </c>
      <c r="B35" s="29" t="n">
        <v>45217</v>
      </c>
      <c r="C35" s="21" t="s">
        <v>394</v>
      </c>
      <c r="D35" s="21" t="s">
        <v>24</v>
      </c>
      <c r="E35" s="21" t="s">
        <v>34</v>
      </c>
      <c r="F35" s="21" t="s">
        <v>1281</v>
      </c>
      <c r="G35" s="30"/>
      <c r="H35" s="31"/>
      <c r="I35" s="21"/>
      <c r="J35" s="21"/>
      <c r="K35" s="21"/>
      <c r="L35" s="21"/>
      <c r="M35" s="21"/>
      <c r="N35" s="21"/>
      <c r="O35" s="30"/>
      <c r="P35" s="21"/>
      <c r="Q35" s="21"/>
      <c r="R35" s="21"/>
      <c r="S35" s="32"/>
      <c r="T35" s="32"/>
      <c r="U35" s="21"/>
      <c r="V35" s="21"/>
      <c r="W35" s="21"/>
      <c r="X35" s="21"/>
      <c r="Y35" s="21" t="s">
        <v>37</v>
      </c>
    </row>
    <row r="36" customFormat="false" ht="15.75" hidden="false" customHeight="false" outlineLevel="0" collapsed="false">
      <c r="A36" s="24" t="n">
        <v>7601</v>
      </c>
      <c r="B36" s="29" t="n">
        <v>45219</v>
      </c>
      <c r="C36" s="21" t="s">
        <v>350</v>
      </c>
      <c r="D36" s="21" t="s">
        <v>24</v>
      </c>
      <c r="E36" s="21" t="s">
        <v>34</v>
      </c>
      <c r="F36" s="21" t="s">
        <v>1282</v>
      </c>
      <c r="G36" s="30"/>
      <c r="H36" s="31"/>
      <c r="I36" s="21"/>
      <c r="J36" s="21"/>
      <c r="K36" s="21"/>
      <c r="L36" s="21"/>
      <c r="M36" s="21"/>
      <c r="N36" s="21"/>
      <c r="O36" s="30"/>
      <c r="P36" s="21"/>
      <c r="Q36" s="21"/>
      <c r="R36" s="21"/>
      <c r="S36" s="32"/>
      <c r="T36" s="32"/>
      <c r="U36" s="21"/>
      <c r="V36" s="21"/>
      <c r="W36" s="21"/>
      <c r="X36" s="21"/>
      <c r="Y36" s="21" t="s">
        <v>28</v>
      </c>
    </row>
    <row r="37" customFormat="false" ht="15.75" hidden="false" customHeight="false" outlineLevel="0" collapsed="false">
      <c r="A37" s="24" t="n">
        <v>7602</v>
      </c>
      <c r="B37" s="29" t="n">
        <v>45219</v>
      </c>
      <c r="C37" s="21" t="s">
        <v>23</v>
      </c>
      <c r="D37" s="21" t="s">
        <v>24</v>
      </c>
      <c r="E37" s="21" t="s">
        <v>25</v>
      </c>
      <c r="F37" s="21" t="s">
        <v>337</v>
      </c>
      <c r="G37" s="30" t="s">
        <v>1283</v>
      </c>
      <c r="H37" s="45" t="s">
        <v>28</v>
      </c>
      <c r="I37" s="21" t="s">
        <v>28</v>
      </c>
      <c r="J37" s="21" t="s">
        <v>29</v>
      </c>
      <c r="K37" s="21" t="s">
        <v>29</v>
      </c>
      <c r="L37" s="21" t="s">
        <v>29</v>
      </c>
      <c r="M37" s="21"/>
      <c r="N37" s="21"/>
      <c r="O37" s="30"/>
      <c r="P37" s="21"/>
      <c r="Q37" s="21"/>
      <c r="R37" s="21"/>
      <c r="S37" s="32"/>
      <c r="T37" s="32"/>
      <c r="U37" s="21"/>
      <c r="V37" s="21"/>
      <c r="W37" s="21"/>
      <c r="X37" s="21"/>
      <c r="Y37" s="21" t="s">
        <v>37</v>
      </c>
    </row>
    <row r="38" customFormat="false" ht="15.75" hidden="false" customHeight="false" outlineLevel="0" collapsed="false">
      <c r="A38" s="24" t="n">
        <v>7603</v>
      </c>
      <c r="B38" s="29" t="n">
        <v>45219</v>
      </c>
      <c r="C38" s="21" t="s">
        <v>23</v>
      </c>
      <c r="D38" s="21" t="s">
        <v>24</v>
      </c>
      <c r="E38" s="21" t="s">
        <v>25</v>
      </c>
      <c r="F38" s="21" t="s">
        <v>1284</v>
      </c>
      <c r="G38" s="30" t="s">
        <v>1285</v>
      </c>
      <c r="H38" s="45" t="s">
        <v>28</v>
      </c>
      <c r="I38" s="21" t="s">
        <v>28</v>
      </c>
      <c r="J38" s="21"/>
      <c r="K38" s="21"/>
      <c r="L38" s="21"/>
      <c r="M38" s="21"/>
      <c r="N38" s="21"/>
      <c r="O38" s="30"/>
      <c r="P38" s="21"/>
      <c r="Q38" s="21"/>
      <c r="R38" s="21"/>
      <c r="S38" s="32"/>
      <c r="T38" s="32"/>
      <c r="U38" s="21"/>
      <c r="V38" s="21"/>
      <c r="W38" s="21"/>
      <c r="X38" s="21"/>
      <c r="Y38" s="21" t="s">
        <v>37</v>
      </c>
    </row>
    <row r="39" customFormat="false" ht="15.75" hidden="false" customHeight="false" outlineLevel="0" collapsed="false">
      <c r="A39" s="53" t="n">
        <v>1604513</v>
      </c>
      <c r="B39" s="29" t="n">
        <v>45219</v>
      </c>
      <c r="C39" s="21" t="s">
        <v>1286</v>
      </c>
      <c r="D39" s="21" t="s">
        <v>290</v>
      </c>
      <c r="E39" s="21" t="s">
        <v>25</v>
      </c>
      <c r="F39" s="21" t="s">
        <v>1287</v>
      </c>
      <c r="G39" s="30" t="s">
        <v>1288</v>
      </c>
      <c r="H39" s="45" t="s">
        <v>28</v>
      </c>
      <c r="I39" s="21" t="s">
        <v>28</v>
      </c>
      <c r="J39" s="21" t="s">
        <v>29</v>
      </c>
      <c r="K39" s="21" t="s">
        <v>29</v>
      </c>
      <c r="L39" s="21" t="n">
        <v>17388</v>
      </c>
      <c r="M39" s="21"/>
      <c r="N39" s="21"/>
      <c r="O39" s="30"/>
      <c r="P39" s="21"/>
      <c r="Q39" s="21"/>
      <c r="R39" s="21"/>
      <c r="S39" s="32"/>
      <c r="T39" s="32"/>
      <c r="U39" s="21"/>
      <c r="V39" s="21"/>
      <c r="W39" s="21"/>
      <c r="X39" s="21"/>
      <c r="Y39" s="21" t="s">
        <v>28</v>
      </c>
    </row>
    <row r="40" customFormat="false" ht="15.75" hidden="false" customHeight="false" outlineLevel="0" collapsed="false">
      <c r="A40" s="24" t="n">
        <v>7604</v>
      </c>
      <c r="B40" s="29" t="n">
        <v>45219</v>
      </c>
      <c r="C40" s="21" t="s">
        <v>412</v>
      </c>
      <c r="D40" s="21" t="s">
        <v>24</v>
      </c>
      <c r="E40" s="21" t="s">
        <v>25</v>
      </c>
      <c r="F40" s="21" t="s">
        <v>1289</v>
      </c>
      <c r="G40" s="30"/>
      <c r="H40" s="45" t="s">
        <v>28</v>
      </c>
      <c r="I40" s="21" t="s">
        <v>28</v>
      </c>
      <c r="J40" s="21" t="s">
        <v>29</v>
      </c>
      <c r="K40" s="21" t="s">
        <v>29</v>
      </c>
      <c r="L40" s="21" t="n">
        <v>17388</v>
      </c>
      <c r="M40" s="21"/>
      <c r="N40" s="21"/>
      <c r="O40" s="30"/>
      <c r="P40" s="21"/>
      <c r="Q40" s="21"/>
      <c r="R40" s="21"/>
      <c r="S40" s="32"/>
      <c r="T40" s="32"/>
      <c r="U40" s="21"/>
      <c r="V40" s="21"/>
      <c r="W40" s="21"/>
      <c r="X40" s="21"/>
      <c r="Y40" s="21" t="s">
        <v>28</v>
      </c>
    </row>
    <row r="41" customFormat="false" ht="15.75" hidden="false" customHeight="false" outlineLevel="0" collapsed="false">
      <c r="A41" s="24" t="n">
        <v>7605</v>
      </c>
      <c r="B41" s="29" t="n">
        <v>45219</v>
      </c>
      <c r="C41" s="21" t="s">
        <v>1290</v>
      </c>
      <c r="D41" s="21" t="s">
        <v>24</v>
      </c>
      <c r="E41" s="21" t="s">
        <v>25</v>
      </c>
      <c r="F41" s="21" t="s">
        <v>127</v>
      </c>
      <c r="G41" s="30" t="s">
        <v>1291</v>
      </c>
      <c r="H41" s="45" t="s">
        <v>28</v>
      </c>
      <c r="I41" s="21" t="s">
        <v>28</v>
      </c>
      <c r="J41" s="21" t="s">
        <v>29</v>
      </c>
      <c r="K41" s="21" t="s">
        <v>29</v>
      </c>
      <c r="L41" s="21" t="s">
        <v>1292</v>
      </c>
      <c r="M41" s="21"/>
      <c r="N41" s="21"/>
      <c r="O41" s="30"/>
      <c r="P41" s="21" t="s">
        <v>28</v>
      </c>
      <c r="Q41" s="21" t="s">
        <v>28</v>
      </c>
      <c r="R41" s="21" t="s">
        <v>29</v>
      </c>
      <c r="S41" s="32" t="s">
        <v>25</v>
      </c>
      <c r="T41" s="32"/>
      <c r="U41" s="21"/>
      <c r="V41" s="21"/>
      <c r="W41" s="21"/>
      <c r="X41" s="21"/>
      <c r="Y41" s="21" t="s">
        <v>28</v>
      </c>
    </row>
    <row r="42" customFormat="false" ht="15.75" hidden="false" customHeight="false" outlineLevel="0" collapsed="false">
      <c r="A42" s="24" t="n">
        <v>7606</v>
      </c>
      <c r="B42" s="49" t="n">
        <v>45219</v>
      </c>
      <c r="C42" s="25" t="s">
        <v>50</v>
      </c>
      <c r="D42" s="25" t="s">
        <v>24</v>
      </c>
      <c r="E42" s="25" t="s">
        <v>25</v>
      </c>
      <c r="F42" s="25" t="s">
        <v>1293</v>
      </c>
      <c r="G42" s="25" t="s">
        <v>1294</v>
      </c>
      <c r="H42" s="26" t="s">
        <v>28</v>
      </c>
      <c r="I42" s="25" t="s">
        <v>28</v>
      </c>
      <c r="J42" s="25" t="s">
        <v>29</v>
      </c>
      <c r="K42" s="25" t="s">
        <v>29</v>
      </c>
      <c r="L42" s="25" t="n">
        <v>20097</v>
      </c>
      <c r="M42" s="25"/>
      <c r="N42" s="25"/>
      <c r="O42" s="25"/>
      <c r="P42" s="25"/>
      <c r="Q42" s="25"/>
      <c r="R42" s="25"/>
      <c r="S42" s="25"/>
      <c r="T42" s="25"/>
      <c r="U42" s="25" t="s">
        <v>74</v>
      </c>
      <c r="V42" s="26" t="s">
        <v>28</v>
      </c>
      <c r="W42" s="25" t="s">
        <v>37</v>
      </c>
      <c r="X42" s="25" t="s">
        <v>1295</v>
      </c>
      <c r="Y42" s="25" t="s">
        <v>28</v>
      </c>
    </row>
    <row r="43" customFormat="false" ht="15.75" hidden="false" customHeight="false" outlineLevel="0" collapsed="false">
      <c r="A43" s="19" t="n">
        <v>7607</v>
      </c>
      <c r="B43" s="14" t="n">
        <v>45219</v>
      </c>
      <c r="C43" s="16" t="s">
        <v>50</v>
      </c>
      <c r="D43" s="21" t="s">
        <v>24</v>
      </c>
      <c r="E43" s="25" t="s">
        <v>25</v>
      </c>
      <c r="F43" s="25" t="s">
        <v>1293</v>
      </c>
      <c r="G43" s="16" t="s">
        <v>1294</v>
      </c>
      <c r="H43" s="17" t="s">
        <v>28</v>
      </c>
      <c r="I43" s="16" t="s">
        <v>28</v>
      </c>
      <c r="J43" s="16" t="s">
        <v>29</v>
      </c>
      <c r="K43" s="16" t="s">
        <v>29</v>
      </c>
      <c r="L43" s="16" t="n">
        <v>20097</v>
      </c>
      <c r="M43" s="16"/>
      <c r="N43" s="16"/>
      <c r="O43" s="16"/>
      <c r="P43" s="16"/>
      <c r="Q43" s="16"/>
      <c r="R43" s="16"/>
      <c r="S43" s="16"/>
      <c r="T43" s="16"/>
      <c r="U43" s="16" t="s">
        <v>74</v>
      </c>
      <c r="V43" s="17" t="s">
        <v>28</v>
      </c>
      <c r="W43" s="16" t="s">
        <v>37</v>
      </c>
      <c r="X43" s="16" t="s">
        <v>1295</v>
      </c>
      <c r="Y43" s="16" t="s">
        <v>28</v>
      </c>
    </row>
    <row r="44" customFormat="false" ht="15.75" hidden="false" customHeight="false" outlineLevel="0" collapsed="false">
      <c r="A44" s="19" t="n">
        <v>7608</v>
      </c>
      <c r="B44" s="14" t="n">
        <v>45219</v>
      </c>
      <c r="C44" s="16" t="s">
        <v>1296</v>
      </c>
      <c r="D44" s="16" t="s">
        <v>24</v>
      </c>
      <c r="E44" s="25" t="s">
        <v>25</v>
      </c>
      <c r="F44" s="25" t="s">
        <v>1297</v>
      </c>
      <c r="G44" s="16" t="s">
        <v>1298</v>
      </c>
      <c r="H44" s="17" t="s">
        <v>28</v>
      </c>
      <c r="I44" s="16" t="s">
        <v>28</v>
      </c>
      <c r="J44" s="16" t="s">
        <v>29</v>
      </c>
      <c r="K44" s="16" t="s">
        <v>29</v>
      </c>
      <c r="L44" s="16" t="s">
        <v>29</v>
      </c>
      <c r="M44" s="16"/>
      <c r="N44" s="16"/>
      <c r="O44" s="16"/>
      <c r="P44" s="16"/>
      <c r="Q44" s="16"/>
      <c r="R44" s="16"/>
      <c r="S44" s="16"/>
      <c r="T44" s="16"/>
      <c r="U44" s="16" t="s">
        <v>74</v>
      </c>
      <c r="V44" s="17" t="s">
        <v>28</v>
      </c>
      <c r="W44" s="17" t="s">
        <v>28</v>
      </c>
      <c r="X44" s="16" t="s">
        <v>36</v>
      </c>
      <c r="Y44" s="16" t="s">
        <v>28</v>
      </c>
    </row>
    <row r="45" customFormat="false" ht="15.75" hidden="false" customHeight="false" outlineLevel="0" collapsed="false">
      <c r="A45" s="19" t="n">
        <v>7609</v>
      </c>
      <c r="B45" s="14" t="n">
        <v>45219</v>
      </c>
      <c r="C45" s="16" t="s">
        <v>1296</v>
      </c>
      <c r="D45" s="16" t="s">
        <v>24</v>
      </c>
      <c r="E45" s="16" t="s">
        <v>25</v>
      </c>
      <c r="F45" s="16" t="s">
        <v>1299</v>
      </c>
      <c r="G45" s="16" t="s">
        <v>1298</v>
      </c>
      <c r="H45" s="17" t="s">
        <v>28</v>
      </c>
      <c r="I45" s="16" t="s">
        <v>28</v>
      </c>
      <c r="J45" s="16" t="s">
        <v>29</v>
      </c>
      <c r="K45" s="16" t="s">
        <v>29</v>
      </c>
      <c r="L45" s="16" t="s">
        <v>29</v>
      </c>
      <c r="M45" s="16"/>
      <c r="N45" s="16"/>
      <c r="O45" s="16"/>
      <c r="P45" s="16"/>
      <c r="Q45" s="16"/>
      <c r="R45" s="16"/>
      <c r="S45" s="16"/>
      <c r="T45" s="16"/>
      <c r="U45" s="16" t="s">
        <v>74</v>
      </c>
      <c r="V45" s="17" t="s">
        <v>28</v>
      </c>
      <c r="W45" s="17" t="s">
        <v>28</v>
      </c>
      <c r="X45" s="16" t="s">
        <v>36</v>
      </c>
      <c r="Y45" s="16" t="s">
        <v>28</v>
      </c>
    </row>
    <row r="46" customFormat="false" ht="15.75" hidden="false" customHeight="false" outlineLevel="0" collapsed="false">
      <c r="A46" s="19" t="n">
        <v>7610</v>
      </c>
      <c r="B46" s="14" t="n">
        <v>45219</v>
      </c>
      <c r="C46" s="16" t="s">
        <v>1296</v>
      </c>
      <c r="D46" s="16" t="s">
        <v>290</v>
      </c>
      <c r="E46" s="16" t="s">
        <v>25</v>
      </c>
      <c r="F46" s="16" t="s">
        <v>1300</v>
      </c>
      <c r="G46" s="16" t="s">
        <v>1301</v>
      </c>
      <c r="H46" s="17" t="s">
        <v>28</v>
      </c>
      <c r="I46" s="16" t="s">
        <v>28</v>
      </c>
      <c r="J46" s="16" t="s">
        <v>29</v>
      </c>
      <c r="K46" s="16" t="s">
        <v>29</v>
      </c>
      <c r="L46" s="16" t="s">
        <v>29</v>
      </c>
      <c r="M46" s="16"/>
      <c r="N46" s="16"/>
      <c r="O46" s="16"/>
      <c r="P46" s="16"/>
      <c r="Q46" s="16"/>
      <c r="R46" s="16"/>
      <c r="S46" s="16"/>
      <c r="T46" s="16"/>
      <c r="U46" s="16" t="s">
        <v>74</v>
      </c>
      <c r="V46" s="17" t="s">
        <v>28</v>
      </c>
      <c r="W46" s="17" t="s">
        <v>28</v>
      </c>
      <c r="X46" s="16" t="s">
        <v>36</v>
      </c>
      <c r="Y46" s="16" t="s">
        <v>28</v>
      </c>
    </row>
    <row r="47" customFormat="false" ht="15.75" hidden="false" customHeight="false" outlineLevel="0" collapsed="false">
      <c r="A47" s="42" t="n">
        <v>439753</v>
      </c>
      <c r="B47" s="14" t="n">
        <v>45219</v>
      </c>
      <c r="C47" s="16" t="s">
        <v>1302</v>
      </c>
      <c r="D47" s="16" t="s">
        <v>24</v>
      </c>
      <c r="E47" s="16" t="s">
        <v>25</v>
      </c>
      <c r="F47" s="16" t="s">
        <v>1303</v>
      </c>
      <c r="G47" s="16" t="s">
        <v>1301</v>
      </c>
      <c r="H47" s="17" t="s">
        <v>28</v>
      </c>
      <c r="I47" s="16" t="s">
        <v>28</v>
      </c>
      <c r="J47" s="16" t="s">
        <v>29</v>
      </c>
      <c r="K47" s="16" t="s">
        <v>29</v>
      </c>
      <c r="L47" s="16" t="s">
        <v>29</v>
      </c>
      <c r="M47" s="16"/>
      <c r="N47" s="16"/>
      <c r="O47" s="16"/>
      <c r="P47" s="16"/>
      <c r="Q47" s="16"/>
      <c r="R47" s="16"/>
      <c r="S47" s="16"/>
      <c r="T47" s="16"/>
      <c r="U47" s="16" t="s">
        <v>74</v>
      </c>
      <c r="V47" s="17" t="s">
        <v>28</v>
      </c>
      <c r="W47" s="16" t="s">
        <v>28</v>
      </c>
      <c r="X47" s="16" t="s">
        <v>36</v>
      </c>
      <c r="Y47" s="16" t="s">
        <v>28</v>
      </c>
    </row>
    <row r="48" customFormat="false" ht="15.75" hidden="false" customHeight="false" outlineLevel="0" collapsed="false">
      <c r="A48" s="19" t="n">
        <v>7611</v>
      </c>
      <c r="B48" s="14" t="n">
        <v>45223</v>
      </c>
      <c r="C48" s="16" t="s">
        <v>841</v>
      </c>
      <c r="D48" s="16" t="s">
        <v>24</v>
      </c>
      <c r="E48" s="16" t="s">
        <v>34</v>
      </c>
      <c r="F48" s="16" t="s">
        <v>1304</v>
      </c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 t="s">
        <v>28</v>
      </c>
    </row>
    <row r="49" customFormat="false" ht="15.75" hidden="false" customHeight="false" outlineLevel="0" collapsed="false">
      <c r="A49" s="19" t="n">
        <v>7612</v>
      </c>
      <c r="B49" s="14" t="n">
        <v>45223</v>
      </c>
      <c r="C49" s="16" t="s">
        <v>1305</v>
      </c>
      <c r="D49" s="16" t="s">
        <v>24</v>
      </c>
      <c r="E49" s="16" t="s">
        <v>25</v>
      </c>
      <c r="F49" s="16" t="s">
        <v>1306</v>
      </c>
      <c r="G49" s="16"/>
      <c r="H49" s="17" t="s">
        <v>28</v>
      </c>
      <c r="I49" s="16" t="s">
        <v>28</v>
      </c>
      <c r="J49" s="16" t="s">
        <v>29</v>
      </c>
      <c r="K49" s="16" t="s">
        <v>29</v>
      </c>
      <c r="L49" s="16" t="s">
        <v>29</v>
      </c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 t="s">
        <v>37</v>
      </c>
    </row>
    <row r="50" customFormat="false" ht="15.75" hidden="false" customHeight="false" outlineLevel="0" collapsed="false">
      <c r="A50" s="19" t="n">
        <v>7613</v>
      </c>
      <c r="B50" s="14" t="n">
        <v>45223</v>
      </c>
      <c r="C50" s="16" t="s">
        <v>904</v>
      </c>
      <c r="D50" s="16" t="s">
        <v>24</v>
      </c>
      <c r="E50" s="16" t="s">
        <v>25</v>
      </c>
      <c r="F50" s="16" t="s">
        <v>1307</v>
      </c>
      <c r="G50" s="16"/>
      <c r="H50" s="17" t="s">
        <v>28</v>
      </c>
      <c r="I50" s="16" t="s">
        <v>28</v>
      </c>
      <c r="J50" s="16" t="s">
        <v>29</v>
      </c>
      <c r="K50" s="16" t="s">
        <v>29</v>
      </c>
      <c r="L50" s="16" t="s">
        <v>29</v>
      </c>
      <c r="M50" s="16" t="n">
        <v>1515</v>
      </c>
      <c r="N50" s="16"/>
      <c r="O50" s="16"/>
      <c r="P50" s="16"/>
      <c r="Q50" s="16"/>
      <c r="R50" s="16"/>
      <c r="S50" s="16"/>
      <c r="T50" s="16"/>
      <c r="U50" s="16" t="s">
        <v>58</v>
      </c>
      <c r="V50" s="17" t="s">
        <v>28</v>
      </c>
      <c r="W50" s="17" t="s">
        <v>28</v>
      </c>
      <c r="X50" s="16" t="s">
        <v>36</v>
      </c>
      <c r="Y50" s="16" t="s">
        <v>28</v>
      </c>
    </row>
    <row r="51" customFormat="false" ht="15.75" hidden="false" customHeight="false" outlineLevel="0" collapsed="false">
      <c r="A51" s="19" t="n">
        <v>7614</v>
      </c>
      <c r="B51" s="14" t="n">
        <v>45223</v>
      </c>
      <c r="C51" s="16" t="s">
        <v>904</v>
      </c>
      <c r="D51" s="16" t="s">
        <v>24</v>
      </c>
      <c r="E51" s="16" t="s">
        <v>25</v>
      </c>
      <c r="F51" s="16" t="s">
        <v>1307</v>
      </c>
      <c r="G51" s="16"/>
      <c r="H51" s="17" t="s">
        <v>28</v>
      </c>
      <c r="I51" s="16" t="s">
        <v>28</v>
      </c>
      <c r="J51" s="16" t="s">
        <v>29</v>
      </c>
      <c r="K51" s="16" t="s">
        <v>29</v>
      </c>
      <c r="L51" s="16" t="s">
        <v>29</v>
      </c>
      <c r="M51" s="16" t="n">
        <v>1515</v>
      </c>
      <c r="N51" s="16"/>
      <c r="O51" s="16"/>
      <c r="P51" s="16"/>
      <c r="Q51" s="16"/>
      <c r="R51" s="16"/>
      <c r="S51" s="16"/>
      <c r="T51" s="16"/>
      <c r="U51" s="16" t="s">
        <v>58</v>
      </c>
      <c r="V51" s="17" t="s">
        <v>28</v>
      </c>
      <c r="W51" s="17" t="s">
        <v>28</v>
      </c>
      <c r="X51" s="16" t="s">
        <v>36</v>
      </c>
      <c r="Y51" s="16" t="s">
        <v>28</v>
      </c>
    </row>
    <row r="52" customFormat="false" ht="15.75" hidden="false" customHeight="false" outlineLevel="0" collapsed="false">
      <c r="A52" s="19" t="n">
        <v>7615</v>
      </c>
      <c r="B52" s="14" t="n">
        <v>45223</v>
      </c>
      <c r="C52" s="16" t="s">
        <v>904</v>
      </c>
      <c r="D52" s="16" t="s">
        <v>24</v>
      </c>
      <c r="E52" s="16" t="s">
        <v>25</v>
      </c>
      <c r="F52" s="16" t="s">
        <v>1307</v>
      </c>
      <c r="G52" s="16"/>
      <c r="H52" s="17" t="s">
        <v>28</v>
      </c>
      <c r="I52" s="16" t="s">
        <v>28</v>
      </c>
      <c r="J52" s="16" t="s">
        <v>29</v>
      </c>
      <c r="K52" s="16" t="s">
        <v>29</v>
      </c>
      <c r="L52" s="16" t="s">
        <v>29</v>
      </c>
      <c r="M52" s="16" t="n">
        <v>1516</v>
      </c>
      <c r="N52" s="16"/>
      <c r="O52" s="16"/>
      <c r="P52" s="16"/>
      <c r="Q52" s="16"/>
      <c r="R52" s="16"/>
      <c r="S52" s="16"/>
      <c r="T52" s="16"/>
      <c r="U52" s="16" t="s">
        <v>58</v>
      </c>
      <c r="V52" s="17" t="s">
        <v>28</v>
      </c>
      <c r="W52" s="17" t="s">
        <v>28</v>
      </c>
      <c r="X52" s="16" t="s">
        <v>36</v>
      </c>
      <c r="Y52" s="16" t="s">
        <v>28</v>
      </c>
    </row>
    <row r="53" customFormat="false" ht="15.75" hidden="false" customHeight="false" outlineLevel="0" collapsed="false">
      <c r="A53" s="19" t="n">
        <v>7616</v>
      </c>
      <c r="B53" s="14" t="n">
        <v>45223</v>
      </c>
      <c r="C53" s="16" t="s">
        <v>904</v>
      </c>
      <c r="D53" s="16" t="s">
        <v>24</v>
      </c>
      <c r="E53" s="16" t="s">
        <v>25</v>
      </c>
      <c r="F53" s="16" t="s">
        <v>1307</v>
      </c>
      <c r="G53" s="16"/>
      <c r="H53" s="17" t="s">
        <v>28</v>
      </c>
      <c r="I53" s="16" t="s">
        <v>28</v>
      </c>
      <c r="J53" s="16" t="s">
        <v>29</v>
      </c>
      <c r="K53" s="16" t="s">
        <v>29</v>
      </c>
      <c r="L53" s="16" t="s">
        <v>29</v>
      </c>
      <c r="M53" s="16" t="n">
        <v>1516</v>
      </c>
      <c r="N53" s="16"/>
      <c r="O53" s="16"/>
      <c r="P53" s="16"/>
      <c r="Q53" s="16"/>
      <c r="R53" s="16"/>
      <c r="S53" s="16"/>
      <c r="T53" s="16"/>
      <c r="U53" s="16" t="s">
        <v>58</v>
      </c>
      <c r="V53" s="17" t="s">
        <v>28</v>
      </c>
      <c r="W53" s="17" t="s">
        <v>28</v>
      </c>
      <c r="X53" s="16" t="s">
        <v>36</v>
      </c>
      <c r="Y53" s="16" t="s">
        <v>28</v>
      </c>
    </row>
    <row r="54" customFormat="false" ht="15.75" hidden="false" customHeight="false" outlineLevel="0" collapsed="false">
      <c r="A54" s="19" t="n">
        <v>7617</v>
      </c>
      <c r="B54" s="14" t="n">
        <v>45223</v>
      </c>
      <c r="C54" s="16" t="s">
        <v>571</v>
      </c>
      <c r="D54" s="16" t="s">
        <v>24</v>
      </c>
      <c r="E54" s="16" t="s">
        <v>25</v>
      </c>
      <c r="F54" s="16" t="s">
        <v>1307</v>
      </c>
      <c r="G54" s="16"/>
      <c r="H54" s="17" t="s">
        <v>28</v>
      </c>
      <c r="I54" s="16" t="s">
        <v>28</v>
      </c>
      <c r="J54" s="16" t="s">
        <v>29</v>
      </c>
      <c r="K54" s="16" t="s">
        <v>29</v>
      </c>
      <c r="L54" s="16" t="s">
        <v>29</v>
      </c>
      <c r="M54" s="16" t="n">
        <v>1516</v>
      </c>
      <c r="N54" s="16"/>
      <c r="O54" s="16"/>
      <c r="P54" s="16"/>
      <c r="Q54" s="16"/>
      <c r="R54" s="16"/>
      <c r="S54" s="16"/>
      <c r="T54" s="16"/>
      <c r="U54" s="16" t="s">
        <v>58</v>
      </c>
      <c r="V54" s="17" t="s">
        <v>28</v>
      </c>
      <c r="W54" s="17" t="s">
        <v>28</v>
      </c>
      <c r="X54" s="16" t="s">
        <v>36</v>
      </c>
      <c r="Y54" s="16" t="s">
        <v>28</v>
      </c>
    </row>
    <row r="55" customFormat="false" ht="15.75" hidden="false" customHeight="false" outlineLevel="0" collapsed="false">
      <c r="A55" s="19" t="n">
        <v>7618</v>
      </c>
      <c r="B55" s="14" t="n">
        <v>45223</v>
      </c>
      <c r="C55" s="16" t="s">
        <v>1308</v>
      </c>
      <c r="D55" s="16" t="s">
        <v>24</v>
      </c>
      <c r="E55" s="16" t="s">
        <v>25</v>
      </c>
      <c r="F55" s="16" t="s">
        <v>1309</v>
      </c>
      <c r="G55" s="16" t="s">
        <v>1310</v>
      </c>
      <c r="H55" s="17" t="s">
        <v>28</v>
      </c>
      <c r="I55" s="16" t="s">
        <v>28</v>
      </c>
      <c r="J55" s="16" t="s">
        <v>29</v>
      </c>
      <c r="K55" s="16" t="s">
        <v>29</v>
      </c>
      <c r="L55" s="16" t="s">
        <v>29</v>
      </c>
      <c r="M55" s="16" t="n">
        <v>23501</v>
      </c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 t="s">
        <v>28</v>
      </c>
    </row>
    <row r="56" customFormat="false" ht="15.75" hidden="false" customHeight="false" outlineLevel="0" collapsed="false">
      <c r="A56" s="19" t="n">
        <v>7619</v>
      </c>
      <c r="B56" s="14" t="n">
        <v>45223</v>
      </c>
      <c r="C56" s="16" t="s">
        <v>1311</v>
      </c>
      <c r="D56" s="16" t="s">
        <v>24</v>
      </c>
      <c r="E56" s="16" t="s">
        <v>34</v>
      </c>
      <c r="F56" s="16" t="s">
        <v>1312</v>
      </c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 t="s">
        <v>28</v>
      </c>
    </row>
    <row r="57" customFormat="false" ht="15.75" hidden="false" customHeight="false" outlineLevel="0" collapsed="false">
      <c r="A57" s="19" t="n">
        <v>7620</v>
      </c>
      <c r="B57" s="14" t="n">
        <v>45223</v>
      </c>
      <c r="C57" s="16" t="s">
        <v>1270</v>
      </c>
      <c r="D57" s="16" t="s">
        <v>24</v>
      </c>
      <c r="E57" s="16" t="s">
        <v>25</v>
      </c>
      <c r="F57" s="16" t="s">
        <v>1313</v>
      </c>
      <c r="G57" s="16"/>
      <c r="H57" s="17" t="s">
        <v>28</v>
      </c>
      <c r="I57" s="16" t="s">
        <v>28</v>
      </c>
      <c r="J57" s="16" t="s">
        <v>29</v>
      </c>
      <c r="K57" s="16" t="s">
        <v>29</v>
      </c>
      <c r="L57" s="16" t="s">
        <v>29</v>
      </c>
      <c r="M57" s="16" t="n">
        <v>1508</v>
      </c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 t="s">
        <v>28</v>
      </c>
    </row>
    <row r="58" customFormat="false" ht="15.75" hidden="false" customHeight="false" outlineLevel="0" collapsed="false">
      <c r="A58" s="42" t="n">
        <v>1860944</v>
      </c>
      <c r="B58" s="14" t="n">
        <v>45222</v>
      </c>
      <c r="C58" s="16" t="s">
        <v>75</v>
      </c>
      <c r="D58" s="16" t="s">
        <v>290</v>
      </c>
      <c r="E58" s="16" t="s">
        <v>34</v>
      </c>
      <c r="F58" s="16" t="s">
        <v>1314</v>
      </c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 t="s">
        <v>28</v>
      </c>
    </row>
    <row r="59" customFormat="false" ht="15.75" hidden="false" customHeight="false" outlineLevel="0" collapsed="false">
      <c r="A59" s="24" t="n">
        <v>7621</v>
      </c>
      <c r="B59" s="49" t="n">
        <v>45224</v>
      </c>
      <c r="C59" s="25" t="s">
        <v>841</v>
      </c>
      <c r="D59" s="25" t="s">
        <v>24</v>
      </c>
      <c r="E59" s="25" t="s">
        <v>25</v>
      </c>
      <c r="F59" s="25" t="s">
        <v>1315</v>
      </c>
      <c r="G59" s="25" t="s">
        <v>1316</v>
      </c>
      <c r="H59" s="26" t="s">
        <v>28</v>
      </c>
      <c r="I59" s="25" t="s">
        <v>28</v>
      </c>
      <c r="J59" s="25" t="s">
        <v>29</v>
      </c>
      <c r="K59" s="25" t="s">
        <v>29</v>
      </c>
      <c r="L59" s="25" t="s">
        <v>29</v>
      </c>
      <c r="M59" s="25" t="n">
        <v>560</v>
      </c>
      <c r="N59" s="25" t="s">
        <v>1317</v>
      </c>
      <c r="O59" s="25"/>
      <c r="P59" s="25"/>
      <c r="Q59" s="25"/>
      <c r="S59" s="25"/>
      <c r="T59" s="25"/>
      <c r="U59" s="25"/>
      <c r="V59" s="25"/>
      <c r="W59" s="25"/>
      <c r="X59" s="25"/>
      <c r="Y59" s="25" t="s">
        <v>28</v>
      </c>
    </row>
    <row r="60" customFormat="false" ht="15.75" hidden="false" customHeight="false" outlineLevel="0" collapsed="false">
      <c r="A60" s="19" t="n">
        <v>7622</v>
      </c>
      <c r="B60" s="14" t="n">
        <v>45224</v>
      </c>
      <c r="C60" s="16" t="s">
        <v>841</v>
      </c>
      <c r="D60" s="16" t="s">
        <v>24</v>
      </c>
      <c r="E60" s="16" t="s">
        <v>25</v>
      </c>
      <c r="F60" s="16" t="s">
        <v>1318</v>
      </c>
      <c r="G60" s="16" t="s">
        <v>1316</v>
      </c>
      <c r="H60" s="17" t="s">
        <v>28</v>
      </c>
      <c r="I60" s="16" t="s">
        <v>28</v>
      </c>
      <c r="J60" s="16" t="s">
        <v>29</v>
      </c>
      <c r="K60" s="16" t="s">
        <v>29</v>
      </c>
      <c r="L60" s="16" t="s">
        <v>29</v>
      </c>
      <c r="M60" s="16" t="n">
        <v>560</v>
      </c>
      <c r="N60" s="16" t="s">
        <v>1317</v>
      </c>
      <c r="O60" s="16"/>
      <c r="P60" s="16"/>
      <c r="Q60" s="16"/>
      <c r="S60" s="16"/>
      <c r="T60" s="16"/>
      <c r="U60" s="16"/>
      <c r="V60" s="16"/>
      <c r="W60" s="16"/>
      <c r="X60" s="16"/>
      <c r="Y60" s="16" t="s">
        <v>37</v>
      </c>
    </row>
    <row r="61" customFormat="false" ht="15.75" hidden="false" customHeight="false" outlineLevel="0" collapsed="false">
      <c r="A61" s="19" t="n">
        <v>7623</v>
      </c>
      <c r="B61" s="14" t="n">
        <v>45225</v>
      </c>
      <c r="C61" s="16" t="s">
        <v>412</v>
      </c>
      <c r="D61" s="16" t="s">
        <v>24</v>
      </c>
      <c r="E61" s="16" t="s">
        <v>25</v>
      </c>
      <c r="F61" s="16" t="s">
        <v>1319</v>
      </c>
      <c r="G61" s="16"/>
      <c r="H61" s="17" t="s">
        <v>28</v>
      </c>
      <c r="I61" s="16" t="s">
        <v>28</v>
      </c>
      <c r="J61" s="16" t="s">
        <v>29</v>
      </c>
      <c r="K61" s="16" t="s">
        <v>29</v>
      </c>
      <c r="L61" s="16" t="s">
        <v>29</v>
      </c>
      <c r="M61" s="16" t="n">
        <v>17398</v>
      </c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 t="s">
        <v>28</v>
      </c>
    </row>
    <row r="62" customFormat="false" ht="15.75" hidden="false" customHeight="false" outlineLevel="0" collapsed="false">
      <c r="A62" s="19" t="n">
        <v>7624</v>
      </c>
      <c r="B62" s="14" t="n">
        <v>45225</v>
      </c>
      <c r="C62" s="16" t="s">
        <v>412</v>
      </c>
      <c r="D62" s="16" t="s">
        <v>24</v>
      </c>
      <c r="E62" s="16" t="s">
        <v>25</v>
      </c>
      <c r="F62" s="16" t="s">
        <v>1320</v>
      </c>
      <c r="G62" s="16"/>
      <c r="H62" s="17" t="s">
        <v>28</v>
      </c>
      <c r="I62" s="16" t="s">
        <v>28</v>
      </c>
      <c r="J62" s="16" t="s">
        <v>29</v>
      </c>
      <c r="K62" s="16" t="s">
        <v>29</v>
      </c>
      <c r="L62" s="16" t="s">
        <v>29</v>
      </c>
      <c r="M62" s="16" t="n">
        <v>17398</v>
      </c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 t="s">
        <v>28</v>
      </c>
    </row>
    <row r="63" customFormat="false" ht="15.75" hidden="false" customHeight="false" outlineLevel="0" collapsed="false">
      <c r="A63" s="19" t="n">
        <v>7625</v>
      </c>
      <c r="B63" s="14" t="n">
        <v>45225</v>
      </c>
      <c r="C63" s="16" t="s">
        <v>412</v>
      </c>
      <c r="D63" s="16" t="s">
        <v>290</v>
      </c>
      <c r="E63" s="16" t="s">
        <v>25</v>
      </c>
      <c r="F63" s="16" t="s">
        <v>1321</v>
      </c>
      <c r="G63" s="16"/>
      <c r="H63" s="17" t="s">
        <v>28</v>
      </c>
      <c r="I63" s="16" t="s">
        <v>28</v>
      </c>
      <c r="J63" s="16" t="s">
        <v>29</v>
      </c>
      <c r="K63" s="16" t="s">
        <v>29</v>
      </c>
      <c r="L63" s="16" t="s">
        <v>29</v>
      </c>
      <c r="M63" s="16" t="n">
        <v>17398</v>
      </c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 t="s">
        <v>28</v>
      </c>
    </row>
    <row r="64" customFormat="false" ht="15.75" hidden="false" customHeight="false" outlineLevel="0" collapsed="false">
      <c r="A64" s="19" t="n">
        <v>7626</v>
      </c>
      <c r="B64" s="14" t="n">
        <v>45225</v>
      </c>
      <c r="C64" s="16" t="s">
        <v>412</v>
      </c>
      <c r="D64" s="16" t="s">
        <v>24</v>
      </c>
      <c r="E64" s="16" t="s">
        <v>25</v>
      </c>
      <c r="F64" s="16" t="s">
        <v>1063</v>
      </c>
      <c r="G64" s="16" t="s">
        <v>1322</v>
      </c>
      <c r="H64" s="17" t="s">
        <v>28</v>
      </c>
      <c r="I64" s="16" t="s">
        <v>28</v>
      </c>
      <c r="J64" s="16" t="s">
        <v>29</v>
      </c>
      <c r="K64" s="16" t="s">
        <v>29</v>
      </c>
      <c r="L64" s="16" t="s">
        <v>29</v>
      </c>
      <c r="M64" s="16" t="n">
        <v>17398</v>
      </c>
      <c r="N64" s="16"/>
      <c r="O64" s="16"/>
      <c r="P64" s="16"/>
      <c r="Q64" s="16"/>
      <c r="R64" s="16"/>
      <c r="S64" s="16"/>
      <c r="T64" s="16"/>
      <c r="U64" s="16" t="s">
        <v>58</v>
      </c>
      <c r="V64" s="17" t="s">
        <v>28</v>
      </c>
      <c r="W64" s="17" t="s">
        <v>28</v>
      </c>
      <c r="X64" s="16" t="s">
        <v>36</v>
      </c>
      <c r="Y64" s="16" t="s">
        <v>28</v>
      </c>
    </row>
    <row r="65" customFormat="false" ht="15.75" hidden="false" customHeight="false" outlineLevel="0" collapsed="false">
      <c r="A65" s="19" t="n">
        <v>7627</v>
      </c>
      <c r="B65" s="14" t="n">
        <v>45225</v>
      </c>
      <c r="C65" s="16" t="s">
        <v>412</v>
      </c>
      <c r="D65" s="16" t="s">
        <v>24</v>
      </c>
      <c r="E65" s="16" t="s">
        <v>25</v>
      </c>
      <c r="F65" s="16" t="s">
        <v>1323</v>
      </c>
      <c r="G65" s="16"/>
      <c r="H65" s="17" t="s">
        <v>28</v>
      </c>
      <c r="I65" s="16" t="s">
        <v>28</v>
      </c>
      <c r="J65" s="16" t="s">
        <v>29</v>
      </c>
      <c r="K65" s="16" t="s">
        <v>29</v>
      </c>
      <c r="L65" s="16" t="s">
        <v>29</v>
      </c>
      <c r="M65" s="16" t="n">
        <v>17398</v>
      </c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 t="s">
        <v>28</v>
      </c>
    </row>
    <row r="66" customFormat="false" ht="15.75" hidden="false" customHeight="false" outlineLevel="0" collapsed="false">
      <c r="A66" s="19" t="n">
        <v>7628</v>
      </c>
      <c r="B66" s="14" t="n">
        <v>45225</v>
      </c>
      <c r="C66" s="16" t="s">
        <v>412</v>
      </c>
      <c r="D66" s="16" t="s">
        <v>24</v>
      </c>
      <c r="E66" s="16" t="s">
        <v>25</v>
      </c>
      <c r="F66" s="16" t="s">
        <v>1323</v>
      </c>
      <c r="G66" s="16"/>
      <c r="H66" s="17" t="s">
        <v>28</v>
      </c>
      <c r="I66" s="16" t="s">
        <v>28</v>
      </c>
      <c r="J66" s="16" t="s">
        <v>29</v>
      </c>
      <c r="K66" s="16" t="s">
        <v>29</v>
      </c>
      <c r="L66" s="16" t="s">
        <v>29</v>
      </c>
      <c r="M66" s="16" t="n">
        <v>17398</v>
      </c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 t="s">
        <v>28</v>
      </c>
    </row>
    <row r="67" customFormat="false" ht="15.75" hidden="false" customHeight="false" outlineLevel="0" collapsed="false">
      <c r="A67" s="19" t="n">
        <v>7629</v>
      </c>
      <c r="B67" s="14" t="n">
        <v>45225</v>
      </c>
      <c r="C67" s="16" t="s">
        <v>1324</v>
      </c>
      <c r="D67" s="16" t="s">
        <v>24</v>
      </c>
      <c r="E67" s="16" t="s">
        <v>25</v>
      </c>
      <c r="F67" s="16" t="s">
        <v>1325</v>
      </c>
      <c r="G67" s="16" t="s">
        <v>1326</v>
      </c>
      <c r="H67" s="17" t="s">
        <v>28</v>
      </c>
      <c r="I67" s="16" t="s">
        <v>28</v>
      </c>
      <c r="J67" s="16" t="s">
        <v>29</v>
      </c>
      <c r="K67" s="16" t="s">
        <v>29</v>
      </c>
      <c r="L67" s="16" t="s">
        <v>29</v>
      </c>
      <c r="M67" s="16" t="s">
        <v>29</v>
      </c>
      <c r="N67" s="16"/>
      <c r="O67" s="16"/>
      <c r="P67" s="16"/>
      <c r="Q67" s="16"/>
      <c r="R67" s="16"/>
      <c r="S67" s="16"/>
      <c r="T67" s="16"/>
      <c r="U67" s="16" t="s">
        <v>58</v>
      </c>
      <c r="V67" s="17" t="s">
        <v>28</v>
      </c>
      <c r="W67" s="17" t="s">
        <v>28</v>
      </c>
      <c r="X67" s="16" t="s">
        <v>36</v>
      </c>
      <c r="Y67" s="16" t="s">
        <v>28</v>
      </c>
    </row>
    <row r="68" customFormat="false" ht="15.75" hidden="false" customHeight="false" outlineLevel="0" collapsed="false">
      <c r="A68" s="42" t="n">
        <v>1294056</v>
      </c>
      <c r="B68" s="14" t="n">
        <v>45225</v>
      </c>
      <c r="C68" s="16" t="s">
        <v>412</v>
      </c>
      <c r="D68" s="16" t="s">
        <v>290</v>
      </c>
      <c r="E68" s="16" t="s">
        <v>25</v>
      </c>
      <c r="F68" s="16" t="s">
        <v>804</v>
      </c>
      <c r="G68" s="16"/>
      <c r="H68" s="17" t="s">
        <v>28</v>
      </c>
      <c r="I68" s="16" t="s">
        <v>28</v>
      </c>
      <c r="J68" s="16" t="s">
        <v>29</v>
      </c>
      <c r="K68" s="16" t="s">
        <v>29</v>
      </c>
      <c r="L68" s="16" t="s">
        <v>29</v>
      </c>
      <c r="M68" s="16" t="n">
        <v>17398</v>
      </c>
      <c r="N68" s="16"/>
      <c r="O68" s="16"/>
      <c r="P68" s="16"/>
      <c r="Q68" s="16"/>
      <c r="R68" s="16"/>
      <c r="S68" s="16"/>
      <c r="T68" s="16"/>
      <c r="U68" s="16" t="s">
        <v>58</v>
      </c>
      <c r="V68" s="17" t="s">
        <v>28</v>
      </c>
      <c r="W68" s="17" t="s">
        <v>28</v>
      </c>
      <c r="X68" s="16" t="s">
        <v>36</v>
      </c>
      <c r="Y68" s="16" t="s">
        <v>28</v>
      </c>
    </row>
    <row r="69" customFormat="false" ht="15.75" hidden="false" customHeight="false" outlineLevel="0" collapsed="false">
      <c r="A69" s="53" t="n">
        <v>1294421</v>
      </c>
      <c r="B69" s="29" t="n">
        <v>45225</v>
      </c>
      <c r="C69" s="21" t="s">
        <v>412</v>
      </c>
      <c r="D69" s="21" t="s">
        <v>290</v>
      </c>
      <c r="E69" s="21" t="s">
        <v>25</v>
      </c>
      <c r="F69" s="21" t="s">
        <v>804</v>
      </c>
      <c r="G69" s="16"/>
      <c r="H69" s="17" t="s">
        <v>28</v>
      </c>
      <c r="I69" s="16" t="s">
        <v>28</v>
      </c>
      <c r="J69" s="16" t="s">
        <v>29</v>
      </c>
      <c r="K69" s="16" t="s">
        <v>29</v>
      </c>
      <c r="L69" s="16" t="s">
        <v>29</v>
      </c>
      <c r="M69" s="16" t="n">
        <v>17398</v>
      </c>
      <c r="N69" s="16"/>
      <c r="O69" s="16"/>
      <c r="P69" s="16"/>
      <c r="Q69" s="16"/>
      <c r="R69" s="16"/>
      <c r="S69" s="16"/>
      <c r="T69" s="16"/>
      <c r="U69" s="16" t="s">
        <v>58</v>
      </c>
      <c r="V69" s="17" t="s">
        <v>28</v>
      </c>
      <c r="W69" s="17" t="s">
        <v>28</v>
      </c>
      <c r="X69" s="16" t="s">
        <v>36</v>
      </c>
      <c r="Y69" s="16" t="s">
        <v>28</v>
      </c>
    </row>
    <row r="70" customFormat="false" ht="15.75" hidden="false" customHeight="false" outlineLevel="0" collapsed="false">
      <c r="A70" s="19" t="s">
        <v>1327</v>
      </c>
      <c r="B70" s="14" t="n">
        <v>45225</v>
      </c>
      <c r="C70" s="16" t="s">
        <v>1328</v>
      </c>
      <c r="D70" s="16" t="s">
        <v>290</v>
      </c>
      <c r="E70" s="16" t="s">
        <v>25</v>
      </c>
      <c r="F70" s="16" t="s">
        <v>1329</v>
      </c>
      <c r="G70" s="16" t="s">
        <v>1330</v>
      </c>
      <c r="H70" s="17" t="s">
        <v>28</v>
      </c>
      <c r="I70" s="16" t="s">
        <v>28</v>
      </c>
      <c r="J70" s="16" t="s">
        <v>29</v>
      </c>
      <c r="K70" s="16" t="s">
        <v>29</v>
      </c>
      <c r="L70" s="16" t="s">
        <v>29</v>
      </c>
      <c r="M70" s="16" t="s">
        <v>1331</v>
      </c>
      <c r="N70" s="16"/>
      <c r="O70" s="16"/>
      <c r="P70" s="16" t="s">
        <v>28</v>
      </c>
      <c r="Q70" s="16"/>
      <c r="R70" s="16"/>
      <c r="S70" s="16"/>
      <c r="T70" s="16"/>
      <c r="U70" s="16"/>
      <c r="V70" s="16"/>
      <c r="W70" s="16"/>
      <c r="X70" s="16"/>
      <c r="Y70" s="16" t="s">
        <v>28</v>
      </c>
    </row>
    <row r="71" customFormat="false" ht="15.75" hidden="false" customHeight="false" outlineLevel="0" collapsed="false">
      <c r="A71" s="19" t="n">
        <v>7630</v>
      </c>
      <c r="B71" s="14" t="n">
        <v>45230</v>
      </c>
      <c r="C71" s="16" t="s">
        <v>1332</v>
      </c>
      <c r="D71" s="16" t="s">
        <v>24</v>
      </c>
      <c r="E71" s="16" t="s">
        <v>25</v>
      </c>
      <c r="F71" s="16" t="s">
        <v>1333</v>
      </c>
      <c r="G71" s="16" t="s">
        <v>1334</v>
      </c>
      <c r="H71" s="17" t="s">
        <v>28</v>
      </c>
      <c r="I71" s="16" t="s">
        <v>28</v>
      </c>
      <c r="J71" s="16" t="s">
        <v>29</v>
      </c>
      <c r="K71" s="16" t="s">
        <v>29</v>
      </c>
      <c r="L71" s="16" t="s">
        <v>29</v>
      </c>
      <c r="M71" s="16" t="n">
        <v>49509</v>
      </c>
      <c r="N71" s="16"/>
      <c r="O71" s="16"/>
      <c r="P71" s="16" t="s">
        <v>28</v>
      </c>
      <c r="Q71" s="17" t="s">
        <v>28</v>
      </c>
      <c r="R71" s="16"/>
      <c r="S71" s="16" t="s">
        <v>30</v>
      </c>
      <c r="T71" s="16"/>
      <c r="U71" s="16" t="s">
        <v>74</v>
      </c>
      <c r="V71" s="17" t="s">
        <v>28</v>
      </c>
      <c r="W71" s="17" t="s">
        <v>28</v>
      </c>
      <c r="X71" s="16" t="s">
        <v>36</v>
      </c>
      <c r="Y71" s="16" t="s">
        <v>28</v>
      </c>
    </row>
    <row r="72" customFormat="false" ht="15.75" hidden="false" customHeight="false" outlineLevel="0" collapsed="false">
      <c r="A72" s="19" t="n">
        <v>7631</v>
      </c>
      <c r="B72" s="14" t="n">
        <v>45230</v>
      </c>
      <c r="C72" s="16" t="s">
        <v>1332</v>
      </c>
      <c r="D72" s="16" t="s">
        <v>24</v>
      </c>
      <c r="E72" s="16" t="s">
        <v>25</v>
      </c>
      <c r="F72" s="16" t="s">
        <v>1335</v>
      </c>
      <c r="G72" s="16" t="s">
        <v>1334</v>
      </c>
      <c r="H72" s="17" t="s">
        <v>28</v>
      </c>
      <c r="I72" s="16" t="s">
        <v>28</v>
      </c>
      <c r="J72" s="16" t="s">
        <v>29</v>
      </c>
      <c r="K72" s="16" t="s">
        <v>29</v>
      </c>
      <c r="L72" s="16" t="s">
        <v>29</v>
      </c>
      <c r="M72" s="16" t="n">
        <v>49509</v>
      </c>
      <c r="N72" s="16"/>
      <c r="O72" s="16"/>
      <c r="P72" s="16" t="s">
        <v>28</v>
      </c>
      <c r="Q72" s="17" t="s">
        <v>28</v>
      </c>
      <c r="R72" s="16"/>
      <c r="S72" s="16" t="s">
        <v>30</v>
      </c>
      <c r="T72" s="16"/>
      <c r="U72" s="16" t="s">
        <v>58</v>
      </c>
      <c r="V72" s="17" t="s">
        <v>28</v>
      </c>
      <c r="W72" s="17" t="s">
        <v>28</v>
      </c>
      <c r="X72" s="16" t="s">
        <v>36</v>
      </c>
      <c r="Y72" s="16" t="s">
        <v>28</v>
      </c>
    </row>
    <row r="73" customFormat="false" ht="15.75" hidden="false" customHeight="false" outlineLevel="0" collapsed="false">
      <c r="A73" s="19" t="n">
        <v>7632</v>
      </c>
      <c r="B73" s="14" t="n">
        <v>45230</v>
      </c>
      <c r="C73" s="16" t="s">
        <v>1332</v>
      </c>
      <c r="D73" s="16" t="s">
        <v>24</v>
      </c>
      <c r="E73" s="16" t="s">
        <v>25</v>
      </c>
      <c r="F73" s="16" t="s">
        <v>1336</v>
      </c>
      <c r="G73" s="16" t="s">
        <v>1337</v>
      </c>
      <c r="H73" s="17" t="s">
        <v>28</v>
      </c>
      <c r="I73" s="16" t="s">
        <v>28</v>
      </c>
      <c r="J73" s="16" t="s">
        <v>29</v>
      </c>
      <c r="K73" s="16" t="s">
        <v>29</v>
      </c>
      <c r="L73" s="16" t="s">
        <v>29</v>
      </c>
      <c r="M73" s="16" t="n">
        <v>49509</v>
      </c>
      <c r="N73" s="16"/>
      <c r="O73" s="16"/>
      <c r="P73" s="16" t="s">
        <v>28</v>
      </c>
      <c r="Q73" s="17" t="s">
        <v>30</v>
      </c>
      <c r="R73" s="16"/>
      <c r="S73" s="16" t="s">
        <v>30</v>
      </c>
      <c r="T73" s="16"/>
      <c r="U73" s="16" t="s">
        <v>74</v>
      </c>
      <c r="V73" s="17" t="s">
        <v>28</v>
      </c>
      <c r="W73" s="17" t="s">
        <v>28</v>
      </c>
      <c r="X73" s="16" t="s">
        <v>36</v>
      </c>
      <c r="Y73" s="16" t="s">
        <v>28</v>
      </c>
    </row>
    <row r="74" customFormat="false" ht="15.75" hidden="false" customHeight="false" outlineLevel="0" collapsed="false">
      <c r="A74" s="19" t="s">
        <v>1338</v>
      </c>
      <c r="B74" s="14" t="n">
        <v>45230</v>
      </c>
      <c r="C74" s="16" t="s">
        <v>930</v>
      </c>
      <c r="D74" s="16" t="s">
        <v>24</v>
      </c>
      <c r="E74" s="16" t="s">
        <v>34</v>
      </c>
      <c r="F74" s="16" t="s">
        <v>1339</v>
      </c>
      <c r="G74" s="16"/>
      <c r="H74" s="16"/>
      <c r="I74" s="16"/>
      <c r="J74" s="16" t="s">
        <v>36</v>
      </c>
      <c r="K74" s="16" t="s">
        <v>36</v>
      </c>
      <c r="L74" s="16" t="s">
        <v>36</v>
      </c>
      <c r="M74" s="16" t="s">
        <v>36</v>
      </c>
      <c r="N74" s="16" t="s">
        <v>1340</v>
      </c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 t="s">
        <v>37</v>
      </c>
    </row>
    <row r="75" customFormat="false" ht="15.75" hidden="false" customHeight="false" outlineLevel="0" collapsed="false">
      <c r="A75" s="19"/>
      <c r="B75" s="14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</row>
    <row r="76" customFormat="false" ht="15.75" hidden="false" customHeight="false" outlineLevel="0" collapsed="false">
      <c r="A76" s="24"/>
      <c r="B76" s="49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50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</row>
    <row r="77" customFormat="false" ht="15.75" hidden="false" customHeight="false" outlineLevel="0" collapsed="false">
      <c r="A77" s="19"/>
      <c r="B77" s="14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23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</row>
    <row r="78" customFormat="false" ht="15.75" hidden="false" customHeight="false" outlineLevel="0" collapsed="false">
      <c r="A78" s="19"/>
      <c r="B78" s="14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</row>
    <row r="79" customFormat="false" ht="15.75" hidden="false" customHeight="false" outlineLevel="0" collapsed="false">
      <c r="A79" s="19"/>
      <c r="B79" s="14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</row>
    <row r="80" customFormat="false" ht="15.75" hidden="false" customHeight="false" outlineLevel="0" collapsed="false">
      <c r="A80" s="19"/>
      <c r="B80" s="14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</row>
    <row r="81" customFormat="false" ht="15.75" hidden="false" customHeight="false" outlineLevel="0" collapsed="false">
      <c r="A81" s="19"/>
      <c r="B81" s="14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</row>
    <row r="82" customFormat="false" ht="15.75" hidden="false" customHeight="false" outlineLevel="0" collapsed="false">
      <c r="A82" s="42"/>
      <c r="B82" s="14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</row>
    <row r="83" customFormat="false" ht="15.75" hidden="false" customHeight="false" outlineLevel="0" collapsed="false">
      <c r="A83" s="19"/>
      <c r="B83" s="14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</row>
    <row r="84" customFormat="false" ht="15.75" hidden="false" customHeight="false" outlineLevel="0" collapsed="false">
      <c r="A84" s="19"/>
      <c r="B84" s="14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</row>
    <row r="85" customFormat="false" ht="15.75" hidden="false" customHeight="false" outlineLevel="0" collapsed="false">
      <c r="A85" s="19"/>
      <c r="B85" s="14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</row>
    <row r="86" customFormat="false" ht="15.75" hidden="false" customHeight="false" outlineLevel="0" collapsed="false">
      <c r="A86" s="19"/>
      <c r="B86" s="14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</row>
    <row r="87" customFormat="false" ht="15.75" hidden="false" customHeight="false" outlineLevel="0" collapsed="false">
      <c r="A87" s="19"/>
      <c r="B87" s="14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</row>
    <row r="88" customFormat="false" ht="15.75" hidden="false" customHeight="false" outlineLevel="0" collapsed="false">
      <c r="A88" s="19"/>
      <c r="B88" s="14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</row>
    <row r="89" customFormat="false" ht="15.75" hidden="false" customHeight="false" outlineLevel="0" collapsed="false">
      <c r="A89" s="19"/>
      <c r="B89" s="14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</row>
    <row r="90" customFormat="false" ht="15.75" hidden="false" customHeight="false" outlineLevel="0" collapsed="false">
      <c r="A90" s="19"/>
      <c r="B90" s="14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</row>
    <row r="91" customFormat="false" ht="15.75" hidden="false" customHeight="false" outlineLevel="0" collapsed="false">
      <c r="A91" s="19"/>
      <c r="B91" s="14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</row>
    <row r="92" customFormat="false" ht="15.75" hidden="false" customHeight="false" outlineLevel="0" collapsed="false">
      <c r="A92" s="19"/>
      <c r="B92" s="14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</row>
    <row r="93" customFormat="false" ht="15.75" hidden="false" customHeight="false" outlineLevel="0" collapsed="false">
      <c r="A93" s="24"/>
      <c r="B93" s="14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</row>
    <row r="94" customFormat="false" ht="15.75" hidden="false" customHeight="false" outlineLevel="0" collapsed="false">
      <c r="A94" s="19"/>
      <c r="B94" s="14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</row>
    <row r="95" customFormat="false" ht="15.75" hidden="false" customHeight="false" outlineLevel="0" collapsed="false">
      <c r="A95" s="19"/>
      <c r="B95" s="14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</row>
    <row r="96" customFormat="false" ht="15.75" hidden="false" customHeight="false" outlineLevel="0" collapsed="false">
      <c r="A96" s="19"/>
      <c r="B96" s="14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</row>
    <row r="97" customFormat="false" ht="15.75" hidden="false" customHeight="false" outlineLevel="0" collapsed="false">
      <c r="A97" s="13"/>
      <c r="B97" s="14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</row>
    <row r="98" customFormat="false" ht="15.75" hidden="false" customHeight="false" outlineLevel="0" collapsed="false">
      <c r="A98" s="13"/>
      <c r="B98" s="14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</row>
    <row r="99" customFormat="false" ht="15.75" hidden="false" customHeight="false" outlineLevel="0" collapsed="false">
      <c r="A99" s="13"/>
      <c r="B99" s="14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</row>
    <row r="100" customFormat="false" ht="15.75" hidden="false" customHeight="false" outlineLevel="0" collapsed="false">
      <c r="A100" s="13"/>
      <c r="B100" s="14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</row>
    <row r="101" customFormat="false" ht="15.75" hidden="false" customHeight="false" outlineLevel="0" collapsed="false">
      <c r="A101" s="13"/>
      <c r="B101" s="14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</row>
    <row r="102" customFormat="false" ht="15.75" hidden="false" customHeight="false" outlineLevel="0" collapsed="false">
      <c r="A102" s="13"/>
      <c r="B102" s="14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</row>
    <row r="103" customFormat="false" ht="15.75" hidden="false" customHeight="false" outlineLevel="0" collapsed="false">
      <c r="A103" s="13"/>
      <c r="B103" s="14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</row>
    <row r="104" customFormat="false" ht="15.75" hidden="false" customHeight="false" outlineLevel="0" collapsed="false">
      <c r="A104" s="13"/>
      <c r="B104" s="14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</row>
    <row r="105" customFormat="false" ht="15.75" hidden="false" customHeight="false" outlineLevel="0" collapsed="false">
      <c r="A105" s="13"/>
      <c r="B105" s="14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</row>
    <row r="106" customFormat="false" ht="15.75" hidden="false" customHeight="false" outlineLevel="0" collapsed="false">
      <c r="A106" s="13"/>
      <c r="B106" s="14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</row>
    <row r="107" customFormat="false" ht="15.75" hidden="false" customHeight="false" outlineLevel="0" collapsed="false">
      <c r="A107" s="13"/>
      <c r="B107" s="14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</row>
    <row r="108" customFormat="false" ht="15.75" hidden="false" customHeight="false" outlineLevel="0" collapsed="false">
      <c r="A108" s="13"/>
      <c r="B108" s="14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</row>
    <row r="109" customFormat="false" ht="15.75" hidden="false" customHeight="false" outlineLevel="0" collapsed="false">
      <c r="A109" s="13"/>
      <c r="B109" s="14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</row>
    <row r="110" customFormat="false" ht="15.75" hidden="false" customHeight="false" outlineLevel="0" collapsed="false">
      <c r="A110" s="12"/>
      <c r="B110" s="34"/>
      <c r="C110" s="12"/>
      <c r="D110" s="12"/>
      <c r="E110" s="12"/>
      <c r="F110" s="12"/>
      <c r="G110" s="18"/>
      <c r="H110" s="35"/>
      <c r="I110" s="12"/>
      <c r="O110" s="18"/>
      <c r="P110" s="12"/>
      <c r="Q110" s="12"/>
      <c r="R110" s="12"/>
      <c r="S110" s="36"/>
      <c r="T110" s="36"/>
      <c r="U110" s="12"/>
      <c r="V110" s="12"/>
      <c r="W110" s="12"/>
      <c r="X110" s="12"/>
      <c r="Y110" s="12"/>
    </row>
    <row r="111" customFormat="false" ht="15.75" hidden="false" customHeight="false" outlineLevel="0" collapsed="false">
      <c r="A111" s="12"/>
      <c r="B111" s="34"/>
      <c r="C111" s="12"/>
      <c r="D111" s="12"/>
      <c r="E111" s="12"/>
      <c r="F111" s="12"/>
      <c r="G111" s="18"/>
      <c r="H111" s="35"/>
      <c r="I111" s="12"/>
      <c r="O111" s="18"/>
      <c r="P111" s="12"/>
      <c r="Q111" s="12"/>
      <c r="R111" s="12"/>
      <c r="S111" s="36"/>
      <c r="T111" s="36"/>
      <c r="U111" s="12"/>
      <c r="V111" s="12"/>
      <c r="W111" s="12"/>
      <c r="X111" s="12"/>
      <c r="Y111" s="12"/>
    </row>
    <row r="112" customFormat="false" ht="15.75" hidden="false" customHeight="false" outlineLevel="0" collapsed="false">
      <c r="A112" s="12"/>
      <c r="B112" s="34"/>
      <c r="C112" s="12"/>
      <c r="D112" s="12"/>
      <c r="E112" s="12"/>
      <c r="F112" s="12"/>
      <c r="G112" s="18"/>
      <c r="H112" s="35"/>
      <c r="I112" s="12"/>
      <c r="O112" s="18"/>
      <c r="P112" s="12"/>
      <c r="Q112" s="12"/>
      <c r="R112" s="12"/>
      <c r="S112" s="36"/>
      <c r="T112" s="36"/>
      <c r="U112" s="12"/>
      <c r="V112" s="12"/>
      <c r="W112" s="12"/>
      <c r="X112" s="12"/>
      <c r="Y112" s="12"/>
    </row>
    <row r="113" customFormat="false" ht="15.75" hidden="false" customHeight="false" outlineLevel="0" collapsed="false">
      <c r="A113" s="12"/>
      <c r="B113" s="34"/>
      <c r="C113" s="12"/>
      <c r="D113" s="12"/>
      <c r="E113" s="12"/>
      <c r="F113" s="12"/>
      <c r="G113" s="18"/>
      <c r="H113" s="35"/>
      <c r="I113" s="12"/>
      <c r="O113" s="18"/>
      <c r="P113" s="12"/>
      <c r="Q113" s="12"/>
      <c r="R113" s="12"/>
      <c r="S113" s="36"/>
      <c r="T113" s="36"/>
      <c r="U113" s="12"/>
      <c r="V113" s="12"/>
      <c r="W113" s="12"/>
      <c r="X113" s="12"/>
      <c r="Y113" s="12"/>
    </row>
    <row r="114" customFormat="false" ht="15.75" hidden="false" customHeight="false" outlineLevel="0" collapsed="false">
      <c r="A114" s="12"/>
      <c r="B114" s="34"/>
      <c r="C114" s="12"/>
      <c r="D114" s="12"/>
      <c r="E114" s="12"/>
      <c r="F114" s="12"/>
      <c r="G114" s="18"/>
      <c r="H114" s="35"/>
      <c r="I114" s="12"/>
      <c r="O114" s="18"/>
      <c r="P114" s="12"/>
      <c r="Q114" s="12"/>
      <c r="R114" s="12"/>
      <c r="S114" s="36"/>
      <c r="T114" s="36"/>
      <c r="U114" s="12"/>
      <c r="V114" s="12"/>
      <c r="W114" s="12"/>
      <c r="X114" s="12"/>
      <c r="Y114" s="12"/>
    </row>
    <row r="115" customFormat="false" ht="15.75" hidden="false" customHeight="false" outlineLevel="0" collapsed="false">
      <c r="A115" s="12"/>
      <c r="B115" s="34"/>
      <c r="C115" s="12"/>
      <c r="D115" s="12"/>
      <c r="E115" s="12"/>
      <c r="F115" s="12"/>
      <c r="G115" s="18"/>
      <c r="H115" s="35"/>
      <c r="I115" s="12"/>
      <c r="O115" s="18"/>
      <c r="P115" s="12"/>
      <c r="Q115" s="12"/>
      <c r="R115" s="12"/>
      <c r="S115" s="36"/>
      <c r="T115" s="36"/>
      <c r="U115" s="12"/>
      <c r="V115" s="12"/>
      <c r="W115" s="12"/>
      <c r="X115" s="12"/>
      <c r="Y115" s="12"/>
    </row>
    <row r="116" customFormat="false" ht="15.75" hidden="false" customHeight="false" outlineLevel="0" collapsed="false">
      <c r="A116" s="12"/>
      <c r="B116" s="34"/>
      <c r="C116" s="12"/>
      <c r="D116" s="12"/>
      <c r="E116" s="12"/>
      <c r="F116" s="12"/>
      <c r="G116" s="18"/>
      <c r="H116" s="35"/>
      <c r="I116" s="12"/>
      <c r="O116" s="18"/>
      <c r="P116" s="12"/>
      <c r="Q116" s="12"/>
      <c r="R116" s="12"/>
      <c r="S116" s="36"/>
      <c r="T116" s="36"/>
      <c r="U116" s="12"/>
      <c r="V116" s="12"/>
      <c r="W116" s="12"/>
      <c r="X116" s="12"/>
      <c r="Y116" s="12"/>
    </row>
    <row r="117" customFormat="false" ht="15.75" hidden="false" customHeight="false" outlineLevel="0" collapsed="false">
      <c r="A117" s="12"/>
      <c r="B117" s="34"/>
      <c r="C117" s="12"/>
      <c r="D117" s="12"/>
      <c r="E117" s="12"/>
      <c r="F117" s="12"/>
      <c r="G117" s="18"/>
      <c r="H117" s="35"/>
      <c r="I117" s="12"/>
      <c r="O117" s="18"/>
      <c r="P117" s="12"/>
      <c r="Q117" s="12"/>
      <c r="R117" s="12"/>
      <c r="S117" s="36"/>
      <c r="T117" s="36"/>
      <c r="U117" s="12"/>
      <c r="V117" s="12"/>
      <c r="W117" s="12"/>
      <c r="X117" s="12"/>
      <c r="Y117" s="12"/>
    </row>
    <row r="118" customFormat="false" ht="15.75" hidden="false" customHeight="false" outlineLevel="0" collapsed="false">
      <c r="A118" s="12"/>
      <c r="B118" s="34"/>
      <c r="C118" s="12"/>
      <c r="D118" s="12"/>
      <c r="E118" s="12"/>
      <c r="F118" s="12"/>
      <c r="G118" s="18"/>
      <c r="H118" s="35"/>
      <c r="I118" s="12"/>
      <c r="O118" s="18"/>
      <c r="P118" s="12"/>
      <c r="Q118" s="12"/>
      <c r="R118" s="12"/>
      <c r="S118" s="36"/>
      <c r="T118" s="36"/>
      <c r="U118" s="12"/>
      <c r="V118" s="12"/>
      <c r="W118" s="12"/>
      <c r="X118" s="12"/>
      <c r="Y118" s="12"/>
    </row>
    <row r="119" customFormat="false" ht="15.75" hidden="false" customHeight="false" outlineLevel="0" collapsed="false">
      <c r="A119" s="12"/>
      <c r="B119" s="34"/>
      <c r="C119" s="12"/>
      <c r="D119" s="12"/>
      <c r="E119" s="12"/>
      <c r="F119" s="12"/>
      <c r="G119" s="18"/>
      <c r="H119" s="35"/>
      <c r="I119" s="12"/>
      <c r="O119" s="18"/>
      <c r="P119" s="12"/>
      <c r="Q119" s="12"/>
      <c r="R119" s="12"/>
      <c r="S119" s="36"/>
      <c r="T119" s="36"/>
      <c r="U119" s="12"/>
      <c r="V119" s="12"/>
      <c r="W119" s="12"/>
      <c r="X119" s="12"/>
      <c r="Y119" s="12"/>
    </row>
    <row r="120" customFormat="false" ht="15.75" hidden="false" customHeight="false" outlineLevel="0" collapsed="false">
      <c r="A120" s="12"/>
      <c r="B120" s="34"/>
      <c r="C120" s="12"/>
      <c r="D120" s="12"/>
      <c r="E120" s="12"/>
      <c r="F120" s="12"/>
      <c r="G120" s="18"/>
      <c r="H120" s="35"/>
      <c r="I120" s="12"/>
      <c r="O120" s="18"/>
      <c r="P120" s="12"/>
      <c r="Q120" s="12"/>
      <c r="R120" s="12"/>
      <c r="S120" s="36"/>
      <c r="T120" s="36"/>
      <c r="U120" s="12"/>
      <c r="V120" s="12"/>
      <c r="W120" s="12"/>
      <c r="X120" s="12"/>
      <c r="Y120" s="12"/>
    </row>
    <row r="121" customFormat="false" ht="15.75" hidden="false" customHeight="false" outlineLevel="0" collapsed="false">
      <c r="A121" s="12"/>
      <c r="B121" s="34"/>
      <c r="C121" s="12"/>
      <c r="D121" s="12"/>
      <c r="E121" s="12"/>
      <c r="F121" s="12"/>
      <c r="G121" s="18"/>
      <c r="H121" s="35"/>
      <c r="I121" s="12"/>
      <c r="O121" s="18"/>
      <c r="P121" s="12"/>
      <c r="Q121" s="12"/>
      <c r="R121" s="12"/>
      <c r="S121" s="36"/>
      <c r="T121" s="36"/>
      <c r="U121" s="12"/>
      <c r="V121" s="12"/>
      <c r="W121" s="12"/>
      <c r="X121" s="12"/>
      <c r="Y121" s="12"/>
    </row>
    <row r="122" customFormat="false" ht="15.75" hidden="false" customHeight="false" outlineLevel="0" collapsed="false">
      <c r="A122" s="12"/>
      <c r="B122" s="34"/>
      <c r="C122" s="12"/>
      <c r="D122" s="12"/>
      <c r="E122" s="12"/>
      <c r="F122" s="12"/>
      <c r="G122" s="18"/>
      <c r="H122" s="35"/>
      <c r="I122" s="12"/>
      <c r="O122" s="18"/>
      <c r="P122" s="12"/>
      <c r="Q122" s="12"/>
      <c r="R122" s="12"/>
      <c r="S122" s="36"/>
      <c r="T122" s="36"/>
      <c r="U122" s="12"/>
      <c r="V122" s="12"/>
      <c r="W122" s="12"/>
      <c r="X122" s="12"/>
      <c r="Y122" s="12"/>
    </row>
    <row r="123" customFormat="false" ht="15.75" hidden="false" customHeight="false" outlineLevel="0" collapsed="false">
      <c r="A123" s="12"/>
      <c r="B123" s="34"/>
      <c r="C123" s="12"/>
      <c r="D123" s="12"/>
      <c r="E123" s="12"/>
      <c r="F123" s="12"/>
      <c r="G123" s="18"/>
      <c r="H123" s="35"/>
      <c r="I123" s="12"/>
      <c r="O123" s="18"/>
      <c r="P123" s="12"/>
      <c r="Q123" s="12"/>
      <c r="R123" s="12"/>
      <c r="S123" s="36"/>
      <c r="T123" s="36"/>
      <c r="U123" s="12"/>
      <c r="V123" s="12"/>
      <c r="W123" s="12"/>
      <c r="X123" s="12"/>
      <c r="Y123" s="12"/>
    </row>
    <row r="124" customFormat="false" ht="15.75" hidden="false" customHeight="false" outlineLevel="0" collapsed="false">
      <c r="A124" s="12"/>
      <c r="B124" s="34"/>
      <c r="C124" s="12"/>
      <c r="D124" s="12"/>
      <c r="E124" s="12"/>
      <c r="F124" s="12"/>
      <c r="G124" s="18"/>
      <c r="H124" s="35"/>
      <c r="I124" s="12"/>
      <c r="O124" s="18"/>
      <c r="P124" s="12"/>
      <c r="Q124" s="12"/>
      <c r="R124" s="12"/>
      <c r="S124" s="36"/>
      <c r="T124" s="36"/>
      <c r="U124" s="12"/>
      <c r="V124" s="12"/>
      <c r="W124" s="12"/>
      <c r="X124" s="12"/>
      <c r="Y124" s="12"/>
    </row>
    <row r="125" customFormat="false" ht="15.75" hidden="false" customHeight="false" outlineLevel="0" collapsed="false">
      <c r="A125" s="12"/>
      <c r="B125" s="34"/>
      <c r="C125" s="12"/>
      <c r="D125" s="12"/>
      <c r="E125" s="12"/>
      <c r="F125" s="12"/>
      <c r="G125" s="18"/>
      <c r="H125" s="35"/>
      <c r="I125" s="12"/>
      <c r="O125" s="18"/>
      <c r="P125" s="12"/>
      <c r="Q125" s="12"/>
      <c r="R125" s="12"/>
      <c r="S125" s="36"/>
      <c r="T125" s="36"/>
      <c r="U125" s="12"/>
      <c r="V125" s="12"/>
      <c r="W125" s="12"/>
      <c r="X125" s="12"/>
      <c r="Y125" s="12"/>
    </row>
    <row r="126" customFormat="false" ht="15.75" hidden="false" customHeight="false" outlineLevel="0" collapsed="false">
      <c r="A126" s="12"/>
      <c r="B126" s="34"/>
      <c r="C126" s="12"/>
      <c r="D126" s="12"/>
      <c r="E126" s="12"/>
      <c r="F126" s="12"/>
      <c r="G126" s="18"/>
      <c r="H126" s="35"/>
      <c r="I126" s="12"/>
      <c r="N126" s="12"/>
      <c r="O126" s="18"/>
      <c r="P126" s="12"/>
      <c r="Q126" s="12"/>
      <c r="R126" s="12"/>
      <c r="S126" s="36"/>
      <c r="T126" s="36"/>
      <c r="U126" s="12"/>
      <c r="V126" s="12"/>
      <c r="W126" s="12"/>
      <c r="X126" s="12"/>
      <c r="Y126" s="12"/>
    </row>
    <row r="127" customFormat="false" ht="15.75" hidden="false" customHeight="false" outlineLevel="0" collapsed="false">
      <c r="A127" s="12"/>
      <c r="B127" s="34"/>
      <c r="C127" s="12"/>
      <c r="D127" s="12"/>
      <c r="E127" s="12"/>
      <c r="F127" s="12"/>
      <c r="G127" s="18"/>
      <c r="H127" s="35"/>
      <c r="I127" s="12"/>
      <c r="N127" s="12"/>
      <c r="O127" s="18"/>
      <c r="P127" s="12"/>
      <c r="Q127" s="12"/>
      <c r="R127" s="12"/>
      <c r="S127" s="36"/>
      <c r="T127" s="36"/>
      <c r="U127" s="12"/>
      <c r="V127" s="12"/>
      <c r="W127" s="12"/>
      <c r="X127" s="12"/>
      <c r="Y127" s="12"/>
    </row>
    <row r="128" customFormat="false" ht="15.75" hidden="false" customHeight="false" outlineLevel="0" collapsed="false">
      <c r="A128" s="12"/>
      <c r="B128" s="34"/>
      <c r="C128" s="12"/>
      <c r="D128" s="12"/>
      <c r="E128" s="12"/>
      <c r="F128" s="12"/>
      <c r="G128" s="18"/>
      <c r="H128" s="35"/>
      <c r="I128" s="12"/>
      <c r="N128" s="12"/>
      <c r="O128" s="18"/>
      <c r="P128" s="12"/>
      <c r="Q128" s="12"/>
      <c r="R128" s="12"/>
      <c r="S128" s="36"/>
      <c r="T128" s="36"/>
      <c r="U128" s="12"/>
      <c r="V128" s="12"/>
      <c r="W128" s="12"/>
      <c r="X128" s="12"/>
      <c r="Y128" s="12"/>
    </row>
    <row r="129" customFormat="false" ht="15.75" hidden="false" customHeight="false" outlineLevel="0" collapsed="false">
      <c r="A129" s="12"/>
      <c r="B129" s="34"/>
      <c r="C129" s="12"/>
      <c r="D129" s="12"/>
      <c r="E129" s="12"/>
      <c r="F129" s="12"/>
      <c r="G129" s="18"/>
      <c r="H129" s="35"/>
      <c r="I129" s="12"/>
      <c r="N129" s="12"/>
      <c r="O129" s="18"/>
      <c r="P129" s="12"/>
      <c r="Q129" s="12"/>
      <c r="R129" s="12"/>
      <c r="S129" s="36"/>
      <c r="T129" s="36"/>
      <c r="U129" s="12"/>
      <c r="V129" s="12"/>
      <c r="W129" s="12"/>
      <c r="X129" s="12"/>
      <c r="Y129" s="12"/>
    </row>
    <row r="130" customFormat="false" ht="15.75" hidden="false" customHeight="false" outlineLevel="0" collapsed="false">
      <c r="A130" s="12"/>
      <c r="B130" s="34"/>
      <c r="C130" s="12"/>
      <c r="D130" s="12"/>
      <c r="E130" s="12"/>
      <c r="F130" s="12"/>
      <c r="G130" s="18"/>
      <c r="H130" s="35"/>
      <c r="I130" s="12"/>
      <c r="N130" s="12"/>
      <c r="O130" s="18"/>
      <c r="P130" s="12"/>
      <c r="Q130" s="12"/>
      <c r="R130" s="12"/>
      <c r="S130" s="36"/>
      <c r="T130" s="36"/>
      <c r="U130" s="12"/>
      <c r="V130" s="12"/>
      <c r="W130" s="12"/>
      <c r="X130" s="12"/>
      <c r="Y130" s="12"/>
    </row>
    <row r="131" customFormat="false" ht="15.75" hidden="false" customHeight="false" outlineLevel="0" collapsed="false">
      <c r="A131" s="12"/>
      <c r="B131" s="34"/>
      <c r="C131" s="12"/>
      <c r="D131" s="12"/>
      <c r="E131" s="12"/>
      <c r="F131" s="12"/>
      <c r="G131" s="18"/>
      <c r="H131" s="35"/>
      <c r="I131" s="12"/>
      <c r="N131" s="12"/>
      <c r="O131" s="18"/>
      <c r="P131" s="12"/>
      <c r="Q131" s="12"/>
      <c r="R131" s="12"/>
      <c r="S131" s="36"/>
      <c r="T131" s="36"/>
      <c r="U131" s="12"/>
      <c r="V131" s="12"/>
      <c r="W131" s="12"/>
      <c r="X131" s="12"/>
      <c r="Y131" s="12"/>
    </row>
    <row r="132" customFormat="false" ht="15.75" hidden="false" customHeight="false" outlineLevel="0" collapsed="false">
      <c r="A132" s="12"/>
      <c r="B132" s="34"/>
      <c r="C132" s="12"/>
      <c r="D132" s="12"/>
      <c r="E132" s="12"/>
      <c r="F132" s="12"/>
      <c r="G132" s="18"/>
      <c r="H132" s="35"/>
      <c r="I132" s="12"/>
      <c r="N132" s="12"/>
      <c r="O132" s="18"/>
      <c r="P132" s="12"/>
      <c r="Q132" s="12"/>
      <c r="R132" s="12"/>
      <c r="S132" s="36"/>
      <c r="T132" s="36"/>
      <c r="U132" s="12"/>
      <c r="V132" s="12"/>
      <c r="W132" s="12"/>
      <c r="X132" s="12"/>
      <c r="Y132" s="12"/>
    </row>
    <row r="133" customFormat="false" ht="15.75" hidden="false" customHeight="false" outlineLevel="0" collapsed="false">
      <c r="A133" s="12"/>
      <c r="B133" s="34"/>
      <c r="C133" s="12"/>
      <c r="D133" s="12"/>
      <c r="E133" s="12"/>
      <c r="F133" s="12"/>
      <c r="G133" s="18"/>
      <c r="H133" s="35"/>
      <c r="I133" s="12"/>
      <c r="N133" s="12"/>
      <c r="O133" s="18"/>
      <c r="P133" s="12"/>
      <c r="Q133" s="12"/>
      <c r="R133" s="12"/>
      <c r="S133" s="36"/>
      <c r="T133" s="36"/>
      <c r="U133" s="12"/>
      <c r="V133" s="12"/>
      <c r="W133" s="12"/>
      <c r="X133" s="12"/>
      <c r="Y133" s="12"/>
    </row>
    <row r="134" customFormat="false" ht="15.75" hidden="false" customHeight="false" outlineLevel="0" collapsed="false">
      <c r="A134" s="12"/>
      <c r="B134" s="34"/>
      <c r="C134" s="12"/>
      <c r="D134" s="12"/>
      <c r="E134" s="12"/>
      <c r="F134" s="12"/>
      <c r="G134" s="18"/>
      <c r="H134" s="35"/>
      <c r="I134" s="12"/>
      <c r="N134" s="12"/>
      <c r="O134" s="18"/>
      <c r="P134" s="12"/>
      <c r="Q134" s="12"/>
      <c r="R134" s="12"/>
      <c r="S134" s="36"/>
      <c r="T134" s="36"/>
      <c r="U134" s="12"/>
      <c r="V134" s="12"/>
      <c r="W134" s="12"/>
      <c r="X134" s="12"/>
      <c r="Y134" s="12"/>
    </row>
    <row r="135" customFormat="false" ht="15.75" hidden="false" customHeight="false" outlineLevel="0" collapsed="false">
      <c r="A135" s="12"/>
      <c r="B135" s="34"/>
      <c r="C135" s="12"/>
      <c r="D135" s="12"/>
      <c r="E135" s="12"/>
      <c r="F135" s="12"/>
      <c r="G135" s="18"/>
      <c r="H135" s="35"/>
      <c r="I135" s="12"/>
      <c r="N135" s="12"/>
      <c r="O135" s="18"/>
      <c r="P135" s="12"/>
      <c r="Q135" s="12"/>
      <c r="R135" s="12"/>
      <c r="S135" s="36"/>
      <c r="T135" s="36"/>
      <c r="U135" s="12"/>
      <c r="V135" s="12"/>
      <c r="W135" s="12"/>
      <c r="X135" s="12"/>
      <c r="Y135" s="12"/>
    </row>
    <row r="136" customFormat="false" ht="15.75" hidden="false" customHeight="false" outlineLevel="0" collapsed="false">
      <c r="A136" s="12"/>
      <c r="B136" s="34"/>
      <c r="C136" s="12"/>
      <c r="D136" s="12"/>
      <c r="E136" s="12"/>
      <c r="F136" s="12"/>
      <c r="G136" s="18"/>
      <c r="H136" s="35"/>
      <c r="I136" s="12"/>
      <c r="N136" s="12"/>
      <c r="O136" s="18"/>
      <c r="P136" s="12"/>
      <c r="Q136" s="12"/>
      <c r="R136" s="12"/>
      <c r="S136" s="36"/>
      <c r="T136" s="36"/>
      <c r="U136" s="12"/>
      <c r="V136" s="12"/>
      <c r="W136" s="12"/>
      <c r="X136" s="12"/>
      <c r="Y136" s="12"/>
    </row>
    <row r="137" customFormat="false" ht="15.75" hidden="false" customHeight="false" outlineLevel="0" collapsed="false">
      <c r="A137" s="12"/>
      <c r="B137" s="34"/>
      <c r="C137" s="12"/>
      <c r="D137" s="12"/>
      <c r="E137" s="12"/>
      <c r="F137" s="12"/>
      <c r="G137" s="18"/>
      <c r="H137" s="35"/>
      <c r="I137" s="12"/>
      <c r="N137" s="12"/>
      <c r="O137" s="18"/>
      <c r="P137" s="12"/>
      <c r="Q137" s="12"/>
      <c r="R137" s="12"/>
      <c r="S137" s="36"/>
      <c r="T137" s="36"/>
      <c r="U137" s="12"/>
      <c r="V137" s="12"/>
      <c r="W137" s="12"/>
      <c r="X137" s="12"/>
      <c r="Y137" s="12"/>
    </row>
    <row r="138" customFormat="false" ht="15.75" hidden="false" customHeight="false" outlineLevel="0" collapsed="false">
      <c r="A138" s="12"/>
      <c r="B138" s="34"/>
      <c r="C138" s="12"/>
      <c r="D138" s="12"/>
      <c r="E138" s="12"/>
      <c r="F138" s="12"/>
      <c r="G138" s="18"/>
      <c r="H138" s="35"/>
      <c r="I138" s="12"/>
      <c r="N138" s="12"/>
      <c r="O138" s="18"/>
      <c r="P138" s="12"/>
      <c r="Q138" s="12"/>
      <c r="R138" s="12"/>
      <c r="S138" s="36"/>
      <c r="T138" s="36"/>
      <c r="U138" s="12"/>
      <c r="V138" s="12"/>
      <c r="W138" s="12"/>
      <c r="X138" s="12"/>
      <c r="Y138" s="12"/>
    </row>
    <row r="139" customFormat="false" ht="15.75" hidden="false" customHeight="false" outlineLevel="0" collapsed="false">
      <c r="A139" s="12"/>
      <c r="B139" s="34"/>
      <c r="C139" s="12"/>
      <c r="D139" s="12"/>
      <c r="E139" s="12"/>
      <c r="F139" s="12"/>
      <c r="G139" s="18"/>
      <c r="H139" s="35"/>
      <c r="I139" s="12"/>
      <c r="N139" s="12"/>
      <c r="O139" s="18"/>
      <c r="P139" s="12"/>
      <c r="Q139" s="12"/>
      <c r="R139" s="12"/>
      <c r="S139" s="36"/>
      <c r="T139" s="36"/>
      <c r="U139" s="12"/>
      <c r="V139" s="12"/>
      <c r="W139" s="12"/>
      <c r="X139" s="12"/>
      <c r="Y139" s="12"/>
    </row>
    <row r="140" customFormat="false" ht="15.75" hidden="false" customHeight="false" outlineLevel="0" collapsed="false">
      <c r="A140" s="12"/>
      <c r="B140" s="34"/>
      <c r="C140" s="12"/>
      <c r="D140" s="12"/>
      <c r="E140" s="12"/>
      <c r="F140" s="12"/>
      <c r="G140" s="18"/>
      <c r="H140" s="35"/>
      <c r="I140" s="12"/>
      <c r="N140" s="12"/>
      <c r="O140" s="18"/>
      <c r="P140" s="12"/>
      <c r="Q140" s="12"/>
      <c r="R140" s="12"/>
      <c r="S140" s="36"/>
      <c r="T140" s="36"/>
      <c r="U140" s="12"/>
      <c r="V140" s="12"/>
      <c r="W140" s="12"/>
      <c r="X140" s="12"/>
      <c r="Y140" s="12"/>
    </row>
    <row r="141" customFormat="false" ht="15.75" hidden="false" customHeight="false" outlineLevel="0" collapsed="false">
      <c r="A141" s="12"/>
      <c r="B141" s="34"/>
      <c r="C141" s="12"/>
      <c r="D141" s="12"/>
      <c r="E141" s="12"/>
      <c r="F141" s="12"/>
      <c r="G141" s="18"/>
      <c r="H141" s="35"/>
      <c r="I141" s="12"/>
      <c r="N141" s="12"/>
      <c r="O141" s="18"/>
      <c r="P141" s="12"/>
      <c r="Q141" s="12"/>
      <c r="R141" s="12"/>
      <c r="S141" s="36"/>
      <c r="T141" s="36"/>
      <c r="U141" s="12"/>
      <c r="V141" s="12"/>
      <c r="W141" s="12"/>
      <c r="X141" s="12"/>
      <c r="Y141" s="12"/>
    </row>
    <row r="142" customFormat="false" ht="15.75" hidden="false" customHeight="false" outlineLevel="0" collapsed="false">
      <c r="A142" s="12"/>
      <c r="B142" s="34"/>
      <c r="C142" s="12"/>
      <c r="D142" s="12"/>
      <c r="E142" s="12"/>
      <c r="F142" s="12"/>
      <c r="G142" s="18"/>
      <c r="H142" s="35"/>
      <c r="I142" s="12"/>
      <c r="N142" s="12"/>
      <c r="O142" s="18"/>
      <c r="P142" s="12"/>
      <c r="Q142" s="12"/>
      <c r="R142" s="12"/>
      <c r="S142" s="36"/>
      <c r="T142" s="36"/>
      <c r="U142" s="12"/>
      <c r="V142" s="12"/>
      <c r="W142" s="12"/>
      <c r="X142" s="12"/>
      <c r="Y142" s="12"/>
    </row>
    <row r="143" customFormat="false" ht="15.75" hidden="false" customHeight="false" outlineLevel="0" collapsed="false">
      <c r="A143" s="12"/>
      <c r="B143" s="34"/>
      <c r="C143" s="12"/>
      <c r="D143" s="12"/>
      <c r="E143" s="12"/>
      <c r="F143" s="12"/>
      <c r="G143" s="18"/>
      <c r="H143" s="35"/>
      <c r="I143" s="12"/>
      <c r="N143" s="12"/>
      <c r="O143" s="18"/>
      <c r="P143" s="12"/>
      <c r="Q143" s="12"/>
      <c r="R143" s="12"/>
      <c r="S143" s="36"/>
      <c r="T143" s="36"/>
      <c r="U143" s="12"/>
      <c r="V143" s="12"/>
      <c r="W143" s="12"/>
      <c r="X143" s="12"/>
      <c r="Y143" s="12"/>
    </row>
    <row r="144" customFormat="false" ht="15.75" hidden="false" customHeight="false" outlineLevel="0" collapsed="false">
      <c r="A144" s="12"/>
      <c r="B144" s="34"/>
      <c r="C144" s="12"/>
      <c r="D144" s="12"/>
      <c r="E144" s="12"/>
      <c r="F144" s="12"/>
      <c r="G144" s="18"/>
      <c r="H144" s="35"/>
      <c r="I144" s="12"/>
      <c r="N144" s="12"/>
      <c r="O144" s="18"/>
      <c r="P144" s="12"/>
      <c r="Q144" s="12"/>
      <c r="R144" s="12"/>
      <c r="S144" s="36"/>
      <c r="T144" s="36"/>
      <c r="U144" s="12"/>
      <c r="V144" s="12"/>
      <c r="W144" s="12"/>
      <c r="X144" s="12"/>
      <c r="Y144" s="12"/>
    </row>
    <row r="145" customFormat="false" ht="15.75" hidden="false" customHeight="false" outlineLevel="0" collapsed="false">
      <c r="A145" s="12"/>
      <c r="B145" s="34"/>
      <c r="C145" s="12"/>
      <c r="D145" s="12"/>
      <c r="E145" s="12"/>
      <c r="F145" s="12"/>
      <c r="G145" s="18"/>
      <c r="H145" s="35"/>
      <c r="I145" s="12"/>
      <c r="N145" s="12"/>
      <c r="O145" s="18"/>
      <c r="P145" s="12"/>
      <c r="Q145" s="12"/>
      <c r="R145" s="12"/>
      <c r="S145" s="36"/>
      <c r="T145" s="36"/>
      <c r="U145" s="12"/>
      <c r="V145" s="12"/>
      <c r="W145" s="12"/>
      <c r="X145" s="12"/>
      <c r="Y145" s="12"/>
    </row>
    <row r="146" customFormat="false" ht="15.75" hidden="false" customHeight="false" outlineLevel="0" collapsed="false">
      <c r="A146" s="12"/>
      <c r="B146" s="34"/>
      <c r="C146" s="12"/>
      <c r="D146" s="12"/>
      <c r="E146" s="12"/>
      <c r="F146" s="12"/>
      <c r="G146" s="18"/>
      <c r="H146" s="35"/>
      <c r="I146" s="12"/>
      <c r="N146" s="12"/>
      <c r="O146" s="18"/>
      <c r="P146" s="12"/>
      <c r="Q146" s="12"/>
      <c r="R146" s="12"/>
      <c r="S146" s="36"/>
      <c r="T146" s="36"/>
      <c r="U146" s="12"/>
      <c r="V146" s="12"/>
      <c r="W146" s="12"/>
      <c r="X146" s="12"/>
      <c r="Y146" s="12"/>
    </row>
    <row r="147" customFormat="false" ht="15.75" hidden="false" customHeight="false" outlineLevel="0" collapsed="false">
      <c r="A147" s="12"/>
      <c r="B147" s="34"/>
      <c r="C147" s="12"/>
      <c r="D147" s="12"/>
      <c r="E147" s="12"/>
      <c r="F147" s="12"/>
      <c r="G147" s="18"/>
      <c r="H147" s="35"/>
      <c r="I147" s="12"/>
      <c r="N147" s="12"/>
      <c r="O147" s="18"/>
      <c r="P147" s="12"/>
      <c r="Q147" s="12"/>
      <c r="R147" s="12"/>
      <c r="S147" s="36"/>
      <c r="T147" s="36"/>
      <c r="U147" s="12"/>
      <c r="V147" s="12"/>
      <c r="W147" s="12"/>
      <c r="X147" s="12"/>
      <c r="Y147" s="12"/>
    </row>
    <row r="148" customFormat="false" ht="15.75" hidden="false" customHeight="false" outlineLevel="0" collapsed="false">
      <c r="A148" s="12"/>
      <c r="B148" s="34"/>
      <c r="C148" s="12"/>
      <c r="D148" s="12"/>
      <c r="E148" s="12"/>
      <c r="F148" s="12"/>
      <c r="G148" s="18"/>
      <c r="H148" s="35"/>
      <c r="I148" s="12"/>
      <c r="N148" s="12"/>
      <c r="O148" s="18"/>
      <c r="P148" s="12"/>
      <c r="Q148" s="12"/>
      <c r="R148" s="12"/>
      <c r="S148" s="36"/>
      <c r="T148" s="36"/>
      <c r="U148" s="12"/>
      <c r="V148" s="12"/>
      <c r="W148" s="12"/>
      <c r="X148" s="12"/>
      <c r="Y148" s="12"/>
    </row>
    <row r="149" customFormat="false" ht="15.75" hidden="false" customHeight="false" outlineLevel="0" collapsed="false">
      <c r="A149" s="12"/>
      <c r="B149" s="34"/>
      <c r="C149" s="12"/>
      <c r="D149" s="12"/>
      <c r="E149" s="12"/>
      <c r="F149" s="12"/>
      <c r="G149" s="18"/>
      <c r="H149" s="35"/>
      <c r="I149" s="12"/>
      <c r="N149" s="12"/>
      <c r="O149" s="18"/>
      <c r="P149" s="12"/>
      <c r="Q149" s="12"/>
      <c r="R149" s="12"/>
      <c r="S149" s="36"/>
      <c r="T149" s="36"/>
      <c r="U149" s="12"/>
      <c r="V149" s="12"/>
      <c r="W149" s="12"/>
      <c r="X149" s="12"/>
      <c r="Y149" s="12"/>
    </row>
    <row r="150" customFormat="false" ht="15.75" hidden="false" customHeight="false" outlineLevel="0" collapsed="false">
      <c r="A150" s="12"/>
      <c r="B150" s="34"/>
      <c r="C150" s="12"/>
      <c r="D150" s="12"/>
      <c r="E150" s="12"/>
      <c r="F150" s="12"/>
      <c r="G150" s="18"/>
      <c r="H150" s="35"/>
      <c r="I150" s="12"/>
      <c r="N150" s="12"/>
      <c r="O150" s="18"/>
      <c r="P150" s="12"/>
      <c r="Q150" s="12"/>
      <c r="R150" s="12"/>
      <c r="S150" s="36"/>
      <c r="T150" s="36"/>
      <c r="U150" s="12"/>
      <c r="V150" s="12"/>
      <c r="W150" s="12"/>
      <c r="X150" s="12"/>
      <c r="Y150" s="12"/>
    </row>
    <row r="151" customFormat="false" ht="15.75" hidden="false" customHeight="false" outlineLevel="0" collapsed="false">
      <c r="A151" s="12"/>
      <c r="B151" s="34"/>
      <c r="C151" s="12"/>
      <c r="D151" s="12"/>
      <c r="E151" s="12"/>
      <c r="F151" s="12"/>
      <c r="G151" s="18"/>
      <c r="H151" s="35"/>
      <c r="I151" s="12"/>
      <c r="N151" s="12"/>
      <c r="O151" s="18"/>
      <c r="P151" s="12"/>
      <c r="Q151" s="12"/>
      <c r="R151" s="12"/>
      <c r="S151" s="36"/>
      <c r="T151" s="36"/>
      <c r="U151" s="12"/>
      <c r="V151" s="12"/>
      <c r="W151" s="12"/>
      <c r="X151" s="12"/>
      <c r="Y151" s="12"/>
    </row>
    <row r="152" customFormat="false" ht="15.75" hidden="false" customHeight="false" outlineLevel="0" collapsed="false">
      <c r="A152" s="12"/>
      <c r="B152" s="34"/>
      <c r="C152" s="12"/>
      <c r="D152" s="12"/>
      <c r="E152" s="12"/>
      <c r="F152" s="12"/>
      <c r="G152" s="18"/>
      <c r="H152" s="35"/>
      <c r="I152" s="12"/>
      <c r="N152" s="12"/>
      <c r="O152" s="18"/>
      <c r="P152" s="12"/>
      <c r="Q152" s="12"/>
      <c r="R152" s="12"/>
      <c r="S152" s="36"/>
      <c r="T152" s="36"/>
      <c r="U152" s="12"/>
      <c r="V152" s="12"/>
      <c r="W152" s="12"/>
      <c r="X152" s="12"/>
      <c r="Y152" s="12"/>
    </row>
    <row r="153" customFormat="false" ht="15.75" hidden="false" customHeight="false" outlineLevel="0" collapsed="false">
      <c r="A153" s="12"/>
      <c r="B153" s="34"/>
      <c r="C153" s="12"/>
      <c r="D153" s="12"/>
      <c r="E153" s="12"/>
      <c r="F153" s="12"/>
      <c r="G153" s="18"/>
      <c r="H153" s="35"/>
      <c r="I153" s="12"/>
      <c r="N153" s="12"/>
      <c r="O153" s="18"/>
      <c r="P153" s="12"/>
      <c r="Q153" s="12"/>
      <c r="R153" s="12"/>
      <c r="S153" s="36"/>
      <c r="T153" s="36"/>
      <c r="U153" s="12"/>
      <c r="V153" s="12"/>
      <c r="W153" s="12"/>
      <c r="X153" s="12"/>
      <c r="Y153" s="12"/>
    </row>
    <row r="154" customFormat="false" ht="15.75" hidden="false" customHeight="false" outlineLevel="0" collapsed="false">
      <c r="A154" s="12"/>
      <c r="B154" s="34"/>
      <c r="C154" s="12"/>
      <c r="D154" s="12"/>
      <c r="E154" s="12"/>
      <c r="F154" s="12"/>
      <c r="G154" s="18"/>
      <c r="H154" s="35"/>
      <c r="I154" s="12"/>
      <c r="N154" s="12"/>
      <c r="O154" s="18"/>
      <c r="P154" s="12"/>
      <c r="Q154" s="12"/>
      <c r="R154" s="12"/>
      <c r="S154" s="36"/>
      <c r="T154" s="36"/>
      <c r="U154" s="12"/>
      <c r="V154" s="12"/>
      <c r="W154" s="12"/>
      <c r="X154" s="12"/>
      <c r="Y154" s="12"/>
    </row>
    <row r="155" customFormat="false" ht="15.75" hidden="false" customHeight="false" outlineLevel="0" collapsed="false">
      <c r="A155" s="12"/>
      <c r="B155" s="34"/>
      <c r="C155" s="12"/>
      <c r="D155" s="12"/>
      <c r="E155" s="12"/>
      <c r="F155" s="12"/>
      <c r="G155" s="18"/>
      <c r="H155" s="35"/>
      <c r="I155" s="12"/>
      <c r="N155" s="12"/>
      <c r="O155" s="18"/>
      <c r="P155" s="12"/>
      <c r="Q155" s="12"/>
      <c r="R155" s="12"/>
      <c r="S155" s="36"/>
      <c r="T155" s="36"/>
      <c r="U155" s="12"/>
      <c r="V155" s="12"/>
      <c r="W155" s="12"/>
      <c r="X155" s="12"/>
      <c r="Y155" s="12"/>
    </row>
    <row r="156" customFormat="false" ht="15.75" hidden="false" customHeight="false" outlineLevel="0" collapsed="false">
      <c r="A156" s="12"/>
      <c r="B156" s="34"/>
      <c r="C156" s="12"/>
      <c r="D156" s="12"/>
      <c r="E156" s="12"/>
      <c r="F156" s="12"/>
      <c r="G156" s="18"/>
      <c r="H156" s="35"/>
      <c r="I156" s="12"/>
      <c r="N156" s="12"/>
      <c r="O156" s="18"/>
      <c r="P156" s="12"/>
      <c r="Q156" s="12"/>
      <c r="R156" s="12"/>
      <c r="S156" s="36"/>
      <c r="T156" s="36"/>
      <c r="U156" s="12"/>
      <c r="V156" s="12"/>
      <c r="W156" s="12"/>
      <c r="X156" s="12"/>
      <c r="Y156" s="12"/>
    </row>
    <row r="157" customFormat="false" ht="15.75" hidden="false" customHeight="false" outlineLevel="0" collapsed="false">
      <c r="A157" s="12"/>
      <c r="B157" s="34"/>
      <c r="C157" s="12"/>
      <c r="D157" s="12"/>
      <c r="E157" s="12"/>
      <c r="F157" s="12"/>
      <c r="G157" s="18"/>
      <c r="H157" s="35"/>
      <c r="I157" s="12"/>
      <c r="N157" s="12"/>
      <c r="O157" s="18"/>
      <c r="P157" s="12"/>
      <c r="Q157" s="12"/>
      <c r="R157" s="12"/>
      <c r="S157" s="36"/>
      <c r="T157" s="36"/>
      <c r="U157" s="12"/>
      <c r="V157" s="12"/>
      <c r="W157" s="12"/>
      <c r="X157" s="12"/>
      <c r="Y157" s="12"/>
    </row>
    <row r="158" customFormat="false" ht="15.75" hidden="false" customHeight="false" outlineLevel="0" collapsed="false">
      <c r="A158" s="12"/>
      <c r="B158" s="34"/>
      <c r="C158" s="12"/>
      <c r="D158" s="12"/>
      <c r="E158" s="12"/>
      <c r="F158" s="12"/>
      <c r="G158" s="18"/>
      <c r="H158" s="35"/>
      <c r="I158" s="12"/>
      <c r="N158" s="12"/>
      <c r="O158" s="18"/>
      <c r="P158" s="12"/>
      <c r="Q158" s="12"/>
      <c r="R158" s="12"/>
      <c r="S158" s="36"/>
      <c r="T158" s="36"/>
      <c r="U158" s="12"/>
      <c r="V158" s="12"/>
      <c r="W158" s="12"/>
      <c r="X158" s="12"/>
      <c r="Y158" s="12"/>
    </row>
    <row r="159" customFormat="false" ht="15.75" hidden="false" customHeight="false" outlineLevel="0" collapsed="false">
      <c r="A159" s="12"/>
      <c r="B159" s="34"/>
      <c r="C159" s="12"/>
      <c r="D159" s="12"/>
      <c r="E159" s="12"/>
      <c r="F159" s="12"/>
      <c r="G159" s="18"/>
      <c r="H159" s="35"/>
      <c r="I159" s="12"/>
      <c r="N159" s="12"/>
      <c r="O159" s="18"/>
      <c r="P159" s="12"/>
      <c r="Q159" s="12"/>
      <c r="R159" s="12"/>
      <c r="S159" s="36"/>
      <c r="T159" s="36"/>
      <c r="U159" s="12"/>
      <c r="V159" s="12"/>
      <c r="W159" s="12"/>
      <c r="X159" s="12"/>
      <c r="Y159" s="12"/>
    </row>
    <row r="160" customFormat="false" ht="15.75" hidden="false" customHeight="false" outlineLevel="0" collapsed="false">
      <c r="A160" s="12"/>
      <c r="B160" s="34"/>
      <c r="C160" s="12"/>
      <c r="D160" s="12"/>
      <c r="E160" s="12"/>
      <c r="F160" s="12"/>
      <c r="G160" s="18"/>
      <c r="H160" s="35"/>
      <c r="I160" s="12"/>
      <c r="N160" s="12"/>
      <c r="O160" s="18"/>
      <c r="P160" s="12"/>
      <c r="Q160" s="12"/>
      <c r="R160" s="12"/>
      <c r="S160" s="36"/>
      <c r="T160" s="36"/>
      <c r="U160" s="12"/>
      <c r="V160" s="12"/>
      <c r="W160" s="12"/>
      <c r="X160" s="12"/>
      <c r="Y160" s="12"/>
    </row>
    <row r="161" customFormat="false" ht="15.75" hidden="false" customHeight="false" outlineLevel="0" collapsed="false">
      <c r="A161" s="12"/>
      <c r="B161" s="34"/>
      <c r="C161" s="12"/>
      <c r="D161" s="12"/>
      <c r="E161" s="12"/>
      <c r="F161" s="12"/>
      <c r="G161" s="18"/>
      <c r="H161" s="35"/>
      <c r="I161" s="12"/>
      <c r="N161" s="12"/>
      <c r="O161" s="18"/>
      <c r="P161" s="12"/>
      <c r="Q161" s="12"/>
      <c r="R161" s="12"/>
      <c r="S161" s="36"/>
      <c r="T161" s="36"/>
      <c r="U161" s="12"/>
      <c r="V161" s="12"/>
      <c r="W161" s="12"/>
      <c r="X161" s="12"/>
      <c r="Y161" s="12"/>
    </row>
    <row r="162" customFormat="false" ht="15.75" hidden="false" customHeight="false" outlineLevel="0" collapsed="false">
      <c r="A162" s="12"/>
      <c r="B162" s="34"/>
      <c r="C162" s="12"/>
      <c r="D162" s="12"/>
      <c r="E162" s="12"/>
      <c r="F162" s="12"/>
      <c r="G162" s="18"/>
      <c r="H162" s="35"/>
      <c r="I162" s="12"/>
      <c r="N162" s="12"/>
      <c r="O162" s="18"/>
      <c r="P162" s="12"/>
      <c r="Q162" s="12"/>
      <c r="R162" s="12"/>
      <c r="S162" s="36"/>
      <c r="T162" s="36"/>
      <c r="U162" s="12"/>
      <c r="V162" s="12"/>
      <c r="W162" s="12"/>
      <c r="X162" s="12"/>
      <c r="Y162" s="12"/>
    </row>
    <row r="163" customFormat="false" ht="15.75" hidden="false" customHeight="false" outlineLevel="0" collapsed="false">
      <c r="A163" s="12"/>
      <c r="B163" s="34"/>
      <c r="C163" s="12"/>
      <c r="D163" s="12"/>
      <c r="E163" s="12"/>
      <c r="F163" s="12"/>
      <c r="G163" s="18"/>
      <c r="H163" s="35"/>
      <c r="I163" s="12"/>
      <c r="N163" s="12"/>
      <c r="O163" s="18"/>
      <c r="P163" s="12"/>
      <c r="Q163" s="12"/>
      <c r="R163" s="12"/>
      <c r="S163" s="36"/>
      <c r="T163" s="36"/>
      <c r="U163" s="12"/>
      <c r="V163" s="12"/>
      <c r="W163" s="12"/>
      <c r="X163" s="12"/>
      <c r="Y163" s="12"/>
    </row>
    <row r="164" customFormat="false" ht="15.75" hidden="false" customHeight="false" outlineLevel="0" collapsed="false">
      <c r="A164" s="12"/>
      <c r="B164" s="34"/>
      <c r="C164" s="12"/>
      <c r="D164" s="12"/>
      <c r="E164" s="12"/>
      <c r="F164" s="12"/>
      <c r="G164" s="18"/>
      <c r="H164" s="35"/>
      <c r="I164" s="12"/>
      <c r="N164" s="12"/>
      <c r="O164" s="18"/>
      <c r="P164" s="12"/>
      <c r="Q164" s="12"/>
      <c r="R164" s="12"/>
      <c r="S164" s="36"/>
      <c r="T164" s="36"/>
      <c r="U164" s="12"/>
      <c r="V164" s="12"/>
      <c r="W164" s="12"/>
      <c r="X164" s="12"/>
      <c r="Y164" s="12"/>
    </row>
    <row r="165" customFormat="false" ht="15.75" hidden="false" customHeight="false" outlineLevel="0" collapsed="false">
      <c r="A165" s="12"/>
      <c r="B165" s="34"/>
      <c r="C165" s="12"/>
      <c r="D165" s="12"/>
      <c r="E165" s="12"/>
      <c r="F165" s="12"/>
      <c r="G165" s="18"/>
      <c r="H165" s="35"/>
      <c r="I165" s="12"/>
      <c r="N165" s="12"/>
      <c r="O165" s="18"/>
      <c r="P165" s="12"/>
      <c r="Q165" s="12"/>
      <c r="R165" s="12"/>
      <c r="S165" s="36"/>
      <c r="T165" s="36"/>
      <c r="U165" s="12"/>
      <c r="V165" s="12"/>
      <c r="W165" s="12"/>
      <c r="X165" s="12"/>
      <c r="Y165" s="12"/>
    </row>
    <row r="166" customFormat="false" ht="15.75" hidden="false" customHeight="false" outlineLevel="0" collapsed="false">
      <c r="A166" s="12"/>
      <c r="B166" s="34"/>
      <c r="C166" s="12"/>
      <c r="D166" s="12"/>
      <c r="E166" s="12"/>
      <c r="F166" s="12"/>
      <c r="G166" s="18"/>
      <c r="H166" s="35"/>
      <c r="I166" s="12"/>
      <c r="N166" s="12"/>
      <c r="O166" s="18"/>
      <c r="P166" s="12"/>
      <c r="Q166" s="12"/>
      <c r="R166" s="12"/>
      <c r="S166" s="36"/>
      <c r="T166" s="36"/>
      <c r="U166" s="12"/>
      <c r="V166" s="12"/>
      <c r="W166" s="12"/>
      <c r="X166" s="12"/>
      <c r="Y166" s="12"/>
    </row>
    <row r="167" customFormat="false" ht="15.75" hidden="false" customHeight="false" outlineLevel="0" collapsed="false">
      <c r="A167" s="12"/>
      <c r="B167" s="34"/>
      <c r="C167" s="12"/>
      <c r="D167" s="12"/>
      <c r="E167" s="12"/>
      <c r="F167" s="12"/>
      <c r="G167" s="18"/>
      <c r="H167" s="35"/>
      <c r="I167" s="12"/>
      <c r="N167" s="12"/>
      <c r="O167" s="18"/>
      <c r="P167" s="12"/>
      <c r="Q167" s="12"/>
      <c r="R167" s="12"/>
      <c r="S167" s="36"/>
      <c r="T167" s="36"/>
      <c r="U167" s="12"/>
      <c r="V167" s="12"/>
      <c r="W167" s="12"/>
      <c r="X167" s="12"/>
      <c r="Y167" s="12"/>
    </row>
    <row r="168" customFormat="false" ht="15.75" hidden="false" customHeight="false" outlineLevel="0" collapsed="false">
      <c r="A168" s="12"/>
      <c r="B168" s="34"/>
      <c r="C168" s="12"/>
      <c r="D168" s="12"/>
      <c r="E168" s="12"/>
      <c r="F168" s="12"/>
      <c r="G168" s="18"/>
      <c r="H168" s="35"/>
      <c r="I168" s="12"/>
      <c r="N168" s="12"/>
      <c r="O168" s="18"/>
      <c r="P168" s="12"/>
      <c r="Q168" s="12"/>
      <c r="R168" s="12"/>
      <c r="S168" s="36"/>
      <c r="T168" s="36"/>
      <c r="U168" s="12"/>
      <c r="V168" s="12"/>
      <c r="W168" s="12"/>
      <c r="X168" s="12"/>
      <c r="Y168" s="12"/>
    </row>
    <row r="169" customFormat="false" ht="15.75" hidden="false" customHeight="false" outlineLevel="0" collapsed="false">
      <c r="A169" s="12"/>
      <c r="B169" s="34"/>
      <c r="C169" s="12"/>
      <c r="D169" s="12"/>
      <c r="E169" s="12"/>
      <c r="F169" s="12"/>
      <c r="G169" s="18"/>
      <c r="H169" s="35"/>
      <c r="I169" s="12"/>
      <c r="N169" s="12"/>
      <c r="O169" s="18"/>
      <c r="P169" s="12"/>
      <c r="Q169" s="12"/>
      <c r="R169" s="12"/>
      <c r="S169" s="36"/>
      <c r="T169" s="36"/>
      <c r="U169" s="12"/>
      <c r="V169" s="12"/>
      <c r="W169" s="12"/>
      <c r="X169" s="12"/>
      <c r="Y169" s="12"/>
    </row>
    <row r="170" customFormat="false" ht="15.75" hidden="false" customHeight="false" outlineLevel="0" collapsed="false">
      <c r="A170" s="12"/>
      <c r="B170" s="34"/>
      <c r="C170" s="12"/>
      <c r="D170" s="12"/>
      <c r="E170" s="12"/>
      <c r="F170" s="12"/>
      <c r="G170" s="18"/>
      <c r="H170" s="35"/>
      <c r="I170" s="12"/>
      <c r="N170" s="12"/>
      <c r="O170" s="18"/>
      <c r="P170" s="12"/>
      <c r="Q170" s="12"/>
      <c r="R170" s="12"/>
      <c r="S170" s="36"/>
      <c r="T170" s="36"/>
      <c r="U170" s="12"/>
      <c r="V170" s="12"/>
      <c r="W170" s="12"/>
      <c r="X170" s="12"/>
      <c r="Y170" s="12"/>
    </row>
    <row r="171" customFormat="false" ht="15.75" hidden="false" customHeight="false" outlineLevel="0" collapsed="false">
      <c r="A171" s="12"/>
      <c r="B171" s="34"/>
      <c r="C171" s="12"/>
      <c r="D171" s="12"/>
      <c r="E171" s="12"/>
      <c r="F171" s="12"/>
      <c r="G171" s="18"/>
      <c r="H171" s="35"/>
      <c r="I171" s="12"/>
      <c r="N171" s="12"/>
      <c r="O171" s="18"/>
      <c r="P171" s="12"/>
      <c r="Q171" s="12"/>
      <c r="R171" s="12"/>
      <c r="S171" s="36"/>
      <c r="T171" s="36"/>
      <c r="U171" s="12"/>
      <c r="V171" s="12"/>
      <c r="W171" s="12"/>
      <c r="X171" s="12"/>
      <c r="Y171" s="12"/>
    </row>
    <row r="172" customFormat="false" ht="15.75" hidden="false" customHeight="false" outlineLevel="0" collapsed="false">
      <c r="A172" s="12"/>
      <c r="B172" s="34"/>
      <c r="C172" s="12"/>
      <c r="D172" s="12"/>
      <c r="E172" s="12"/>
      <c r="F172" s="12"/>
      <c r="G172" s="18"/>
      <c r="H172" s="35"/>
      <c r="I172" s="12"/>
      <c r="N172" s="12"/>
      <c r="O172" s="18"/>
      <c r="P172" s="12"/>
      <c r="Q172" s="12"/>
      <c r="R172" s="12"/>
      <c r="S172" s="36"/>
      <c r="T172" s="36"/>
      <c r="U172" s="12"/>
      <c r="V172" s="12"/>
      <c r="W172" s="12"/>
      <c r="X172" s="12"/>
      <c r="Y172" s="12"/>
    </row>
    <row r="173" customFormat="false" ht="15.75" hidden="false" customHeight="false" outlineLevel="0" collapsed="false">
      <c r="A173" s="12"/>
      <c r="B173" s="34"/>
      <c r="C173" s="12"/>
      <c r="D173" s="12"/>
      <c r="E173" s="12"/>
      <c r="F173" s="12"/>
      <c r="G173" s="18"/>
      <c r="H173" s="35"/>
      <c r="I173" s="12"/>
      <c r="N173" s="12"/>
      <c r="O173" s="18"/>
      <c r="P173" s="12"/>
      <c r="Q173" s="12"/>
      <c r="R173" s="12"/>
      <c r="S173" s="36"/>
      <c r="T173" s="36"/>
      <c r="U173" s="12"/>
      <c r="V173" s="12"/>
      <c r="W173" s="12"/>
      <c r="X173" s="12"/>
      <c r="Y173" s="12"/>
    </row>
    <row r="174" customFormat="false" ht="15.75" hidden="false" customHeight="false" outlineLevel="0" collapsed="false">
      <c r="A174" s="12"/>
      <c r="B174" s="34"/>
      <c r="C174" s="12"/>
      <c r="D174" s="12"/>
      <c r="E174" s="12"/>
      <c r="F174" s="12"/>
      <c r="G174" s="18"/>
      <c r="H174" s="35"/>
      <c r="I174" s="12"/>
      <c r="N174" s="12"/>
      <c r="O174" s="18"/>
      <c r="P174" s="12"/>
      <c r="Q174" s="12"/>
      <c r="R174" s="12"/>
      <c r="S174" s="36"/>
      <c r="T174" s="36"/>
      <c r="U174" s="12"/>
      <c r="V174" s="12"/>
      <c r="W174" s="12"/>
      <c r="X174" s="12"/>
      <c r="Y174" s="12"/>
    </row>
    <row r="175" customFormat="false" ht="15.75" hidden="false" customHeight="false" outlineLevel="0" collapsed="false">
      <c r="A175" s="12"/>
      <c r="B175" s="34"/>
      <c r="C175" s="12"/>
      <c r="D175" s="12"/>
      <c r="E175" s="12"/>
      <c r="F175" s="12"/>
      <c r="G175" s="18"/>
      <c r="H175" s="35"/>
      <c r="I175" s="12"/>
      <c r="N175" s="12"/>
      <c r="O175" s="18"/>
      <c r="P175" s="12"/>
      <c r="Q175" s="12"/>
      <c r="R175" s="12"/>
      <c r="S175" s="36"/>
      <c r="T175" s="36"/>
      <c r="U175" s="12"/>
      <c r="V175" s="12"/>
      <c r="W175" s="12"/>
      <c r="X175" s="12"/>
      <c r="Y175" s="12"/>
    </row>
    <row r="176" customFormat="false" ht="15.75" hidden="false" customHeight="false" outlineLevel="0" collapsed="false">
      <c r="A176" s="12"/>
      <c r="B176" s="34"/>
      <c r="C176" s="12"/>
      <c r="D176" s="12"/>
      <c r="E176" s="12"/>
      <c r="F176" s="12"/>
      <c r="G176" s="18"/>
      <c r="H176" s="35"/>
      <c r="I176" s="12"/>
      <c r="N176" s="12"/>
      <c r="O176" s="18"/>
      <c r="P176" s="12"/>
      <c r="Q176" s="12"/>
      <c r="R176" s="12"/>
      <c r="S176" s="36"/>
      <c r="T176" s="36"/>
      <c r="U176" s="12"/>
      <c r="V176" s="12"/>
      <c r="W176" s="12"/>
      <c r="X176" s="12"/>
      <c r="Y176" s="12"/>
    </row>
    <row r="177" customFormat="false" ht="15.75" hidden="false" customHeight="false" outlineLevel="0" collapsed="false">
      <c r="A177" s="12"/>
      <c r="B177" s="34"/>
      <c r="C177" s="12"/>
      <c r="D177" s="12"/>
      <c r="E177" s="12"/>
      <c r="F177" s="12"/>
      <c r="G177" s="18"/>
      <c r="H177" s="35"/>
      <c r="I177" s="12"/>
      <c r="N177" s="12"/>
      <c r="O177" s="18"/>
      <c r="P177" s="12"/>
      <c r="Q177" s="12"/>
      <c r="R177" s="12"/>
      <c r="S177" s="36"/>
      <c r="T177" s="36"/>
      <c r="U177" s="12"/>
      <c r="V177" s="12"/>
      <c r="W177" s="12"/>
      <c r="X177" s="12"/>
      <c r="Y177" s="12"/>
    </row>
    <row r="178" customFormat="false" ht="15.75" hidden="false" customHeight="false" outlineLevel="0" collapsed="false">
      <c r="A178" s="12"/>
      <c r="B178" s="34"/>
      <c r="C178" s="12"/>
      <c r="D178" s="12"/>
      <c r="E178" s="12"/>
      <c r="F178" s="12"/>
      <c r="G178" s="18"/>
      <c r="H178" s="35"/>
      <c r="I178" s="12"/>
      <c r="N178" s="12"/>
      <c r="O178" s="18"/>
      <c r="P178" s="12"/>
      <c r="Q178" s="12"/>
      <c r="R178" s="12"/>
      <c r="S178" s="36"/>
      <c r="T178" s="36"/>
      <c r="U178" s="12"/>
      <c r="V178" s="12"/>
      <c r="W178" s="12"/>
      <c r="X178" s="12"/>
      <c r="Y178" s="12"/>
    </row>
    <row r="179" customFormat="false" ht="15.75" hidden="false" customHeight="false" outlineLevel="0" collapsed="false">
      <c r="A179" s="12"/>
      <c r="B179" s="34"/>
      <c r="C179" s="12"/>
      <c r="D179" s="12"/>
      <c r="E179" s="12"/>
      <c r="F179" s="12"/>
      <c r="G179" s="18"/>
      <c r="H179" s="35"/>
      <c r="I179" s="12"/>
      <c r="N179" s="12"/>
      <c r="O179" s="18"/>
      <c r="P179" s="12"/>
      <c r="Q179" s="12"/>
      <c r="R179" s="12"/>
      <c r="S179" s="36"/>
      <c r="T179" s="36"/>
      <c r="U179" s="12"/>
      <c r="V179" s="12"/>
      <c r="W179" s="12"/>
      <c r="X179" s="12"/>
      <c r="Y179" s="12"/>
    </row>
    <row r="180" customFormat="false" ht="15.75" hidden="false" customHeight="false" outlineLevel="0" collapsed="false">
      <c r="A180" s="12"/>
      <c r="B180" s="34"/>
      <c r="C180" s="12"/>
      <c r="D180" s="12"/>
      <c r="E180" s="12"/>
      <c r="F180" s="12"/>
      <c r="G180" s="18"/>
      <c r="H180" s="35"/>
      <c r="I180" s="12"/>
      <c r="N180" s="12"/>
      <c r="O180" s="18"/>
      <c r="P180" s="12"/>
      <c r="Q180" s="12"/>
      <c r="R180" s="12"/>
      <c r="S180" s="36"/>
      <c r="T180" s="36"/>
      <c r="U180" s="12"/>
      <c r="V180" s="12"/>
      <c r="W180" s="12"/>
      <c r="X180" s="12"/>
      <c r="Y180" s="12"/>
    </row>
    <row r="181" customFormat="false" ht="15.75" hidden="false" customHeight="false" outlineLevel="0" collapsed="false">
      <c r="A181" s="12"/>
      <c r="B181" s="34"/>
      <c r="C181" s="12"/>
      <c r="D181" s="12"/>
      <c r="E181" s="12"/>
      <c r="F181" s="12"/>
      <c r="G181" s="18"/>
      <c r="H181" s="35"/>
      <c r="I181" s="12"/>
      <c r="N181" s="12"/>
      <c r="O181" s="18"/>
      <c r="P181" s="12"/>
      <c r="Q181" s="12"/>
      <c r="R181" s="12"/>
      <c r="S181" s="36"/>
      <c r="T181" s="36"/>
      <c r="U181" s="12"/>
      <c r="V181" s="12"/>
      <c r="W181" s="12"/>
      <c r="X181" s="12"/>
      <c r="Y181" s="12"/>
    </row>
    <row r="182" customFormat="false" ht="15.75" hidden="false" customHeight="false" outlineLevel="0" collapsed="false">
      <c r="A182" s="12"/>
      <c r="B182" s="34"/>
      <c r="C182" s="12"/>
      <c r="D182" s="12"/>
      <c r="E182" s="12"/>
      <c r="F182" s="12"/>
      <c r="G182" s="18"/>
      <c r="H182" s="35"/>
      <c r="I182" s="12"/>
      <c r="N182" s="12"/>
      <c r="O182" s="18"/>
      <c r="P182" s="12"/>
      <c r="Q182" s="12"/>
      <c r="R182" s="12"/>
      <c r="S182" s="36"/>
      <c r="T182" s="36"/>
      <c r="U182" s="12"/>
      <c r="V182" s="12"/>
      <c r="W182" s="12"/>
      <c r="X182" s="12"/>
      <c r="Y182" s="12"/>
    </row>
    <row r="183" customFormat="false" ht="15.75" hidden="false" customHeight="false" outlineLevel="0" collapsed="false">
      <c r="A183" s="12"/>
      <c r="B183" s="34"/>
      <c r="C183" s="12"/>
      <c r="D183" s="12"/>
      <c r="E183" s="12"/>
      <c r="F183" s="12"/>
      <c r="G183" s="18"/>
      <c r="H183" s="35"/>
      <c r="I183" s="12"/>
      <c r="N183" s="12"/>
      <c r="O183" s="18"/>
      <c r="P183" s="12"/>
      <c r="Q183" s="12"/>
      <c r="R183" s="12"/>
      <c r="S183" s="36"/>
      <c r="T183" s="36"/>
      <c r="U183" s="12"/>
      <c r="V183" s="12"/>
      <c r="W183" s="12"/>
      <c r="X183" s="12"/>
      <c r="Y183" s="12"/>
    </row>
    <row r="184" customFormat="false" ht="15.75" hidden="false" customHeight="false" outlineLevel="0" collapsed="false">
      <c r="A184" s="12"/>
      <c r="B184" s="34"/>
      <c r="C184" s="12"/>
      <c r="D184" s="12"/>
      <c r="E184" s="12"/>
      <c r="F184" s="12"/>
      <c r="G184" s="18"/>
      <c r="H184" s="35"/>
      <c r="I184" s="12"/>
      <c r="N184" s="12"/>
      <c r="O184" s="18"/>
      <c r="P184" s="12"/>
      <c r="Q184" s="12"/>
      <c r="R184" s="12"/>
      <c r="S184" s="36"/>
      <c r="T184" s="36"/>
      <c r="U184" s="12"/>
      <c r="V184" s="12"/>
      <c r="W184" s="12"/>
      <c r="X184" s="12"/>
      <c r="Y184" s="12"/>
    </row>
    <row r="185" customFormat="false" ht="15.75" hidden="false" customHeight="false" outlineLevel="0" collapsed="false">
      <c r="A185" s="12"/>
      <c r="B185" s="34"/>
      <c r="C185" s="12"/>
      <c r="D185" s="12"/>
      <c r="E185" s="12"/>
      <c r="F185" s="12"/>
      <c r="G185" s="18"/>
      <c r="H185" s="35"/>
      <c r="I185" s="12"/>
      <c r="N185" s="12"/>
      <c r="O185" s="18"/>
      <c r="P185" s="12"/>
      <c r="Q185" s="12"/>
      <c r="R185" s="12"/>
      <c r="S185" s="36"/>
      <c r="T185" s="36"/>
      <c r="U185" s="12"/>
      <c r="V185" s="12"/>
      <c r="W185" s="12"/>
      <c r="X185" s="12"/>
      <c r="Y185" s="12"/>
    </row>
    <row r="186" customFormat="false" ht="15.75" hidden="false" customHeight="false" outlineLevel="0" collapsed="false">
      <c r="A186" s="12"/>
      <c r="B186" s="34"/>
      <c r="C186" s="12"/>
      <c r="D186" s="12"/>
      <c r="E186" s="12"/>
      <c r="F186" s="12"/>
      <c r="G186" s="18"/>
      <c r="H186" s="35"/>
      <c r="I186" s="12"/>
      <c r="N186" s="12"/>
      <c r="O186" s="18"/>
      <c r="P186" s="12"/>
      <c r="Q186" s="12"/>
      <c r="R186" s="12"/>
      <c r="S186" s="36"/>
      <c r="T186" s="36"/>
      <c r="U186" s="12"/>
      <c r="V186" s="12"/>
      <c r="W186" s="12"/>
      <c r="X186" s="12"/>
      <c r="Y186" s="12"/>
    </row>
    <row r="187" customFormat="false" ht="15.75" hidden="false" customHeight="false" outlineLevel="0" collapsed="false">
      <c r="A187" s="12"/>
      <c r="B187" s="34"/>
      <c r="C187" s="12"/>
      <c r="D187" s="12"/>
      <c r="E187" s="12"/>
      <c r="F187" s="12"/>
      <c r="G187" s="18"/>
      <c r="H187" s="35"/>
      <c r="I187" s="12"/>
      <c r="N187" s="12"/>
      <c r="O187" s="18"/>
      <c r="P187" s="12"/>
      <c r="Q187" s="12"/>
      <c r="R187" s="12"/>
      <c r="S187" s="36"/>
      <c r="T187" s="36"/>
      <c r="U187" s="12"/>
      <c r="V187" s="12"/>
      <c r="W187" s="12"/>
      <c r="X187" s="12"/>
      <c r="Y187" s="12"/>
    </row>
    <row r="188" customFormat="false" ht="15.75" hidden="false" customHeight="false" outlineLevel="0" collapsed="false">
      <c r="A188" s="12"/>
      <c r="B188" s="34"/>
      <c r="C188" s="12"/>
      <c r="D188" s="12"/>
      <c r="E188" s="12"/>
      <c r="F188" s="12"/>
      <c r="G188" s="18"/>
      <c r="H188" s="35"/>
      <c r="I188" s="12"/>
      <c r="N188" s="12"/>
      <c r="O188" s="18"/>
      <c r="P188" s="12"/>
      <c r="Q188" s="12"/>
      <c r="R188" s="12"/>
      <c r="S188" s="36"/>
      <c r="T188" s="36"/>
      <c r="U188" s="12"/>
      <c r="V188" s="12"/>
      <c r="W188" s="12"/>
      <c r="X188" s="12"/>
      <c r="Y188" s="12"/>
    </row>
    <row r="189" customFormat="false" ht="15.75" hidden="false" customHeight="false" outlineLevel="0" collapsed="false">
      <c r="A189" s="12"/>
      <c r="B189" s="34"/>
      <c r="C189" s="12"/>
      <c r="D189" s="12"/>
      <c r="E189" s="12"/>
      <c r="F189" s="12"/>
      <c r="G189" s="18"/>
      <c r="H189" s="35"/>
      <c r="I189" s="12"/>
      <c r="N189" s="12"/>
      <c r="O189" s="18"/>
      <c r="P189" s="12"/>
      <c r="Q189" s="12"/>
      <c r="R189" s="12"/>
      <c r="S189" s="36"/>
      <c r="T189" s="36"/>
      <c r="U189" s="12"/>
      <c r="V189" s="12"/>
      <c r="W189" s="12"/>
      <c r="X189" s="12"/>
      <c r="Y189" s="12"/>
    </row>
    <row r="190" customFormat="false" ht="15.75" hidden="false" customHeight="false" outlineLevel="0" collapsed="false">
      <c r="A190" s="12"/>
      <c r="B190" s="34"/>
      <c r="C190" s="12"/>
      <c r="D190" s="12"/>
      <c r="E190" s="12"/>
      <c r="F190" s="12"/>
      <c r="G190" s="18"/>
      <c r="H190" s="35"/>
      <c r="I190" s="12"/>
      <c r="N190" s="12"/>
      <c r="O190" s="18"/>
      <c r="P190" s="12"/>
      <c r="Q190" s="12"/>
      <c r="R190" s="12"/>
      <c r="S190" s="36"/>
      <c r="T190" s="36"/>
      <c r="U190" s="12"/>
      <c r="V190" s="12"/>
      <c r="W190" s="12"/>
      <c r="X190" s="12"/>
      <c r="Y190" s="12"/>
    </row>
    <row r="191" customFormat="false" ht="15.75" hidden="false" customHeight="false" outlineLevel="0" collapsed="false">
      <c r="A191" s="12"/>
      <c r="B191" s="34"/>
      <c r="C191" s="12"/>
      <c r="D191" s="12"/>
      <c r="E191" s="12"/>
      <c r="F191" s="12"/>
      <c r="G191" s="18"/>
      <c r="H191" s="35"/>
      <c r="I191" s="12"/>
      <c r="N191" s="12"/>
      <c r="O191" s="18"/>
      <c r="P191" s="12"/>
      <c r="Q191" s="12"/>
      <c r="R191" s="12"/>
      <c r="S191" s="36"/>
      <c r="T191" s="36"/>
      <c r="U191" s="12"/>
      <c r="V191" s="12"/>
      <c r="W191" s="12"/>
      <c r="X191" s="12"/>
      <c r="Y191" s="12"/>
    </row>
    <row r="192" customFormat="false" ht="15.75" hidden="false" customHeight="false" outlineLevel="0" collapsed="false">
      <c r="A192" s="12"/>
      <c r="B192" s="34"/>
      <c r="C192" s="12"/>
      <c r="D192" s="12"/>
      <c r="E192" s="12"/>
      <c r="F192" s="12"/>
      <c r="G192" s="18"/>
      <c r="H192" s="35"/>
      <c r="I192" s="12"/>
      <c r="N192" s="12"/>
      <c r="O192" s="18"/>
      <c r="P192" s="12"/>
      <c r="Q192" s="12"/>
      <c r="R192" s="12"/>
      <c r="S192" s="36"/>
      <c r="T192" s="36"/>
      <c r="U192" s="12"/>
      <c r="V192" s="12"/>
      <c r="W192" s="12"/>
      <c r="X192" s="12"/>
      <c r="Y192" s="12"/>
    </row>
    <row r="193" customFormat="false" ht="15.75" hidden="false" customHeight="false" outlineLevel="0" collapsed="false">
      <c r="A193" s="12"/>
      <c r="B193" s="34"/>
      <c r="C193" s="12"/>
      <c r="D193" s="12"/>
      <c r="E193" s="12"/>
      <c r="F193" s="12"/>
      <c r="G193" s="18"/>
      <c r="H193" s="35"/>
      <c r="I193" s="12"/>
      <c r="N193" s="12"/>
      <c r="O193" s="18"/>
      <c r="P193" s="12"/>
      <c r="Q193" s="12"/>
      <c r="R193" s="12"/>
      <c r="S193" s="36"/>
      <c r="T193" s="36"/>
      <c r="U193" s="12"/>
      <c r="V193" s="12"/>
      <c r="W193" s="12"/>
      <c r="X193" s="12"/>
      <c r="Y193" s="12"/>
    </row>
    <row r="194" customFormat="false" ht="15.75" hidden="false" customHeight="false" outlineLevel="0" collapsed="false">
      <c r="A194" s="12"/>
      <c r="B194" s="34"/>
      <c r="C194" s="12"/>
      <c r="D194" s="12"/>
      <c r="E194" s="12"/>
      <c r="F194" s="12"/>
      <c r="G194" s="18"/>
      <c r="H194" s="35"/>
      <c r="I194" s="12"/>
      <c r="N194" s="12"/>
      <c r="O194" s="18"/>
      <c r="P194" s="12"/>
      <c r="Q194" s="12"/>
      <c r="R194" s="12"/>
      <c r="S194" s="36"/>
      <c r="T194" s="36"/>
      <c r="U194" s="12"/>
      <c r="V194" s="12"/>
      <c r="W194" s="12"/>
      <c r="X194" s="12"/>
      <c r="Y194" s="12"/>
    </row>
    <row r="195" customFormat="false" ht="15.75" hidden="false" customHeight="false" outlineLevel="0" collapsed="false">
      <c r="A195" s="12"/>
      <c r="B195" s="34"/>
      <c r="C195" s="12"/>
      <c r="D195" s="12"/>
      <c r="E195" s="12"/>
      <c r="F195" s="12"/>
      <c r="G195" s="18"/>
      <c r="H195" s="35"/>
      <c r="I195" s="12"/>
      <c r="N195" s="12"/>
      <c r="O195" s="18"/>
      <c r="P195" s="12"/>
      <c r="Q195" s="12"/>
      <c r="R195" s="12"/>
      <c r="S195" s="36"/>
      <c r="T195" s="36"/>
      <c r="U195" s="12"/>
      <c r="V195" s="12"/>
      <c r="W195" s="12"/>
      <c r="X195" s="12"/>
      <c r="Y195" s="12"/>
    </row>
    <row r="196" customFormat="false" ht="15.75" hidden="false" customHeight="false" outlineLevel="0" collapsed="false">
      <c r="A196" s="12"/>
      <c r="B196" s="34"/>
      <c r="C196" s="12"/>
      <c r="D196" s="12"/>
      <c r="E196" s="12"/>
      <c r="F196" s="12"/>
      <c r="G196" s="18"/>
      <c r="H196" s="35"/>
      <c r="I196" s="12"/>
      <c r="N196" s="12"/>
      <c r="O196" s="18"/>
      <c r="P196" s="12"/>
      <c r="Q196" s="12"/>
      <c r="R196" s="12"/>
      <c r="S196" s="36"/>
      <c r="T196" s="36"/>
      <c r="U196" s="12"/>
      <c r="V196" s="12"/>
      <c r="W196" s="12"/>
      <c r="X196" s="12"/>
      <c r="Y196" s="12"/>
    </row>
    <row r="197" customFormat="false" ht="15.75" hidden="false" customHeight="false" outlineLevel="0" collapsed="false">
      <c r="A197" s="12"/>
      <c r="B197" s="34"/>
      <c r="C197" s="12"/>
      <c r="D197" s="12"/>
      <c r="E197" s="12"/>
      <c r="F197" s="12"/>
      <c r="G197" s="18"/>
      <c r="H197" s="35"/>
      <c r="I197" s="12"/>
      <c r="N197" s="12"/>
      <c r="O197" s="18"/>
      <c r="P197" s="12"/>
      <c r="Q197" s="12"/>
      <c r="R197" s="12"/>
      <c r="S197" s="36"/>
      <c r="T197" s="36"/>
      <c r="U197" s="12"/>
      <c r="V197" s="12"/>
      <c r="W197" s="12"/>
      <c r="X197" s="12"/>
      <c r="Y197" s="12"/>
    </row>
    <row r="198" customFormat="false" ht="15.75" hidden="false" customHeight="false" outlineLevel="0" collapsed="false">
      <c r="A198" s="12"/>
      <c r="B198" s="34"/>
      <c r="C198" s="12"/>
      <c r="D198" s="12"/>
      <c r="E198" s="12"/>
      <c r="F198" s="12"/>
      <c r="G198" s="18"/>
      <c r="H198" s="35"/>
      <c r="I198" s="12"/>
      <c r="N198" s="12"/>
      <c r="O198" s="18"/>
      <c r="P198" s="12"/>
      <c r="Q198" s="12"/>
      <c r="R198" s="12"/>
      <c r="S198" s="36"/>
      <c r="T198" s="36"/>
      <c r="U198" s="12"/>
      <c r="V198" s="12"/>
      <c r="W198" s="12"/>
      <c r="X198" s="12"/>
      <c r="Y198" s="12"/>
    </row>
    <row r="199" customFormat="false" ht="15.75" hidden="false" customHeight="false" outlineLevel="0" collapsed="false">
      <c r="A199" s="12"/>
      <c r="B199" s="34"/>
      <c r="C199" s="12"/>
      <c r="D199" s="12"/>
      <c r="E199" s="12"/>
      <c r="F199" s="12"/>
      <c r="G199" s="18"/>
      <c r="H199" s="35"/>
      <c r="I199" s="12"/>
      <c r="N199" s="12"/>
      <c r="O199" s="18"/>
      <c r="P199" s="12"/>
      <c r="Q199" s="12"/>
      <c r="R199" s="12"/>
      <c r="S199" s="36"/>
      <c r="T199" s="36"/>
      <c r="U199" s="12"/>
      <c r="V199" s="12"/>
      <c r="W199" s="12"/>
      <c r="X199" s="12"/>
      <c r="Y199" s="12"/>
    </row>
    <row r="200" customFormat="false" ht="15.75" hidden="false" customHeight="false" outlineLevel="0" collapsed="false">
      <c r="A200" s="12"/>
      <c r="B200" s="34"/>
      <c r="C200" s="12"/>
      <c r="D200" s="12"/>
      <c r="E200" s="12"/>
      <c r="F200" s="12"/>
      <c r="G200" s="18"/>
      <c r="H200" s="35"/>
      <c r="I200" s="12"/>
      <c r="N200" s="12"/>
      <c r="O200" s="18"/>
      <c r="P200" s="12"/>
      <c r="Q200" s="12"/>
      <c r="R200" s="12"/>
      <c r="S200" s="36"/>
      <c r="T200" s="36"/>
      <c r="U200" s="12"/>
      <c r="V200" s="12"/>
      <c r="W200" s="12"/>
      <c r="X200" s="12"/>
      <c r="Y200" s="12"/>
    </row>
    <row r="201" customFormat="false" ht="15.75" hidden="false" customHeight="false" outlineLevel="0" collapsed="false">
      <c r="A201" s="12"/>
      <c r="B201" s="34"/>
      <c r="C201" s="12"/>
      <c r="D201" s="12"/>
      <c r="E201" s="12"/>
      <c r="F201" s="12"/>
      <c r="G201" s="18"/>
      <c r="H201" s="35"/>
      <c r="I201" s="12"/>
      <c r="N201" s="12"/>
      <c r="O201" s="18"/>
      <c r="P201" s="12"/>
      <c r="Q201" s="12"/>
      <c r="R201" s="12"/>
      <c r="S201" s="36"/>
      <c r="T201" s="36"/>
      <c r="U201" s="12"/>
      <c r="V201" s="12"/>
      <c r="W201" s="12"/>
      <c r="X201" s="12"/>
      <c r="Y201" s="12"/>
    </row>
    <row r="202" customFormat="false" ht="15.75" hidden="false" customHeight="false" outlineLevel="0" collapsed="false">
      <c r="A202" s="12"/>
      <c r="B202" s="34"/>
      <c r="C202" s="12"/>
      <c r="D202" s="12"/>
      <c r="E202" s="12"/>
      <c r="F202" s="12"/>
      <c r="G202" s="18"/>
      <c r="H202" s="35"/>
      <c r="I202" s="12"/>
      <c r="N202" s="12"/>
      <c r="O202" s="18"/>
      <c r="P202" s="12"/>
      <c r="Q202" s="12"/>
      <c r="R202" s="12"/>
      <c r="S202" s="36"/>
      <c r="T202" s="36"/>
      <c r="U202" s="12"/>
      <c r="V202" s="12"/>
      <c r="W202" s="12"/>
      <c r="X202" s="12"/>
      <c r="Y202" s="12"/>
    </row>
    <row r="203" customFormat="false" ht="15.75" hidden="false" customHeight="false" outlineLevel="0" collapsed="false">
      <c r="A203" s="12"/>
      <c r="B203" s="34"/>
      <c r="C203" s="12"/>
      <c r="D203" s="12"/>
      <c r="E203" s="12"/>
      <c r="F203" s="12"/>
      <c r="G203" s="18"/>
      <c r="H203" s="35"/>
      <c r="I203" s="12"/>
      <c r="N203" s="12"/>
      <c r="O203" s="18"/>
      <c r="P203" s="12"/>
      <c r="Q203" s="12"/>
      <c r="R203" s="12"/>
      <c r="S203" s="36"/>
      <c r="T203" s="36"/>
      <c r="U203" s="12"/>
      <c r="V203" s="12"/>
      <c r="W203" s="12"/>
      <c r="X203" s="12"/>
      <c r="Y203" s="12"/>
    </row>
    <row r="204" customFormat="false" ht="15.75" hidden="false" customHeight="false" outlineLevel="0" collapsed="false">
      <c r="A204" s="12"/>
      <c r="B204" s="34"/>
      <c r="C204" s="12"/>
      <c r="D204" s="12"/>
      <c r="E204" s="12"/>
      <c r="F204" s="12"/>
      <c r="G204" s="18"/>
      <c r="H204" s="35"/>
      <c r="I204" s="12"/>
      <c r="N204" s="12"/>
      <c r="O204" s="18"/>
      <c r="P204" s="12"/>
      <c r="Q204" s="12"/>
      <c r="R204" s="12"/>
      <c r="S204" s="36"/>
      <c r="T204" s="36"/>
      <c r="U204" s="12"/>
      <c r="V204" s="12"/>
      <c r="W204" s="12"/>
      <c r="X204" s="12"/>
      <c r="Y204" s="12"/>
    </row>
    <row r="205" customFormat="false" ht="15.75" hidden="false" customHeight="false" outlineLevel="0" collapsed="false">
      <c r="A205" s="12"/>
      <c r="B205" s="34"/>
      <c r="C205" s="12"/>
      <c r="D205" s="12"/>
      <c r="E205" s="12"/>
      <c r="F205" s="12"/>
      <c r="G205" s="18"/>
      <c r="H205" s="35"/>
      <c r="I205" s="12"/>
      <c r="N205" s="12"/>
      <c r="O205" s="18"/>
      <c r="P205" s="12"/>
      <c r="Q205" s="12"/>
      <c r="R205" s="12"/>
      <c r="S205" s="36"/>
      <c r="T205" s="36"/>
      <c r="U205" s="12"/>
      <c r="V205" s="12"/>
      <c r="W205" s="12"/>
      <c r="X205" s="12"/>
      <c r="Y205" s="12"/>
    </row>
    <row r="206" customFormat="false" ht="15.75" hidden="false" customHeight="false" outlineLevel="0" collapsed="false">
      <c r="A206" s="12"/>
      <c r="B206" s="34"/>
      <c r="C206" s="12"/>
      <c r="D206" s="12"/>
      <c r="E206" s="12"/>
      <c r="F206" s="12"/>
      <c r="G206" s="18"/>
      <c r="H206" s="35"/>
      <c r="I206" s="12"/>
      <c r="N206" s="12"/>
      <c r="O206" s="18"/>
      <c r="P206" s="12"/>
      <c r="Q206" s="12"/>
      <c r="R206" s="12"/>
      <c r="S206" s="36"/>
      <c r="T206" s="36"/>
      <c r="U206" s="12"/>
      <c r="V206" s="12"/>
      <c r="W206" s="12"/>
      <c r="X206" s="12"/>
      <c r="Y206" s="12"/>
    </row>
    <row r="207" customFormat="false" ht="15.75" hidden="false" customHeight="false" outlineLevel="0" collapsed="false">
      <c r="A207" s="12"/>
      <c r="B207" s="34"/>
      <c r="C207" s="12"/>
      <c r="D207" s="12"/>
      <c r="E207" s="12"/>
      <c r="F207" s="12"/>
      <c r="G207" s="18"/>
      <c r="H207" s="35"/>
      <c r="I207" s="12"/>
      <c r="N207" s="12"/>
      <c r="O207" s="18"/>
      <c r="P207" s="12"/>
      <c r="Q207" s="12"/>
      <c r="R207" s="12"/>
      <c r="S207" s="36"/>
      <c r="T207" s="36"/>
      <c r="U207" s="12"/>
      <c r="V207" s="12"/>
      <c r="W207" s="12"/>
      <c r="X207" s="12"/>
      <c r="Y207" s="12"/>
    </row>
    <row r="208" customFormat="false" ht="15.75" hidden="false" customHeight="false" outlineLevel="0" collapsed="false">
      <c r="A208" s="12"/>
      <c r="B208" s="34"/>
      <c r="C208" s="12"/>
      <c r="D208" s="12"/>
      <c r="E208" s="12"/>
      <c r="F208" s="12"/>
      <c r="G208" s="18"/>
      <c r="H208" s="35"/>
      <c r="I208" s="12"/>
      <c r="N208" s="12"/>
      <c r="O208" s="18"/>
      <c r="P208" s="12"/>
      <c r="Q208" s="12"/>
      <c r="R208" s="12"/>
      <c r="S208" s="36"/>
      <c r="T208" s="36"/>
      <c r="U208" s="12"/>
      <c r="V208" s="12"/>
      <c r="W208" s="12"/>
      <c r="X208" s="12"/>
      <c r="Y208" s="12"/>
    </row>
    <row r="209" customFormat="false" ht="15.75" hidden="false" customHeight="false" outlineLevel="0" collapsed="false">
      <c r="A209" s="12"/>
      <c r="B209" s="34"/>
      <c r="C209" s="12"/>
      <c r="D209" s="12"/>
      <c r="E209" s="12"/>
      <c r="F209" s="12"/>
      <c r="G209" s="18"/>
      <c r="H209" s="35"/>
      <c r="I209" s="12"/>
      <c r="N209" s="12"/>
      <c r="O209" s="18"/>
      <c r="P209" s="12"/>
      <c r="Q209" s="12"/>
      <c r="R209" s="12"/>
      <c r="S209" s="36"/>
      <c r="T209" s="36"/>
      <c r="U209" s="12"/>
      <c r="V209" s="12"/>
      <c r="W209" s="12"/>
      <c r="X209" s="12"/>
      <c r="Y209" s="12"/>
    </row>
    <row r="210" customFormat="false" ht="15.75" hidden="false" customHeight="false" outlineLevel="0" collapsed="false">
      <c r="A210" s="12"/>
      <c r="B210" s="34"/>
      <c r="C210" s="12"/>
      <c r="D210" s="12"/>
      <c r="E210" s="12"/>
      <c r="F210" s="12"/>
      <c r="G210" s="18"/>
      <c r="H210" s="35"/>
      <c r="I210" s="12"/>
      <c r="N210" s="12"/>
      <c r="O210" s="18"/>
      <c r="P210" s="12"/>
      <c r="Q210" s="12"/>
      <c r="R210" s="12"/>
      <c r="S210" s="36"/>
      <c r="T210" s="36"/>
      <c r="U210" s="12"/>
      <c r="V210" s="12"/>
      <c r="W210" s="12"/>
      <c r="X210" s="12"/>
      <c r="Y210" s="12"/>
    </row>
    <row r="211" customFormat="false" ht="15.75" hidden="false" customHeight="false" outlineLevel="0" collapsed="false">
      <c r="A211" s="12"/>
      <c r="B211" s="34"/>
      <c r="C211" s="12"/>
      <c r="D211" s="12"/>
      <c r="E211" s="12"/>
      <c r="F211" s="12"/>
      <c r="G211" s="18"/>
      <c r="H211" s="35"/>
      <c r="I211" s="12"/>
      <c r="N211" s="12"/>
      <c r="O211" s="18"/>
      <c r="P211" s="12"/>
      <c r="Q211" s="12"/>
      <c r="R211" s="12"/>
      <c r="S211" s="36"/>
      <c r="T211" s="36"/>
      <c r="U211" s="12"/>
      <c r="V211" s="12"/>
      <c r="W211" s="12"/>
      <c r="X211" s="12"/>
      <c r="Y211" s="12"/>
    </row>
    <row r="212" customFormat="false" ht="15.75" hidden="false" customHeight="false" outlineLevel="0" collapsed="false">
      <c r="A212" s="12"/>
      <c r="B212" s="34"/>
      <c r="C212" s="12"/>
      <c r="D212" s="12"/>
      <c r="E212" s="12"/>
      <c r="F212" s="12"/>
      <c r="G212" s="18"/>
      <c r="H212" s="35"/>
      <c r="I212" s="12"/>
      <c r="N212" s="12"/>
      <c r="O212" s="18"/>
      <c r="P212" s="12"/>
      <c r="Q212" s="12"/>
      <c r="R212" s="12"/>
      <c r="S212" s="36"/>
      <c r="T212" s="36"/>
      <c r="U212" s="12"/>
      <c r="V212" s="12"/>
      <c r="W212" s="12"/>
      <c r="X212" s="12"/>
      <c r="Y212" s="12"/>
    </row>
    <row r="213" customFormat="false" ht="15.75" hidden="false" customHeight="false" outlineLevel="0" collapsed="false">
      <c r="A213" s="12"/>
      <c r="B213" s="34"/>
      <c r="C213" s="12"/>
      <c r="D213" s="12"/>
      <c r="E213" s="12"/>
      <c r="F213" s="12"/>
      <c r="G213" s="18"/>
      <c r="H213" s="35"/>
      <c r="I213" s="12"/>
      <c r="N213" s="12"/>
      <c r="O213" s="18"/>
      <c r="P213" s="12"/>
      <c r="Q213" s="12"/>
      <c r="R213" s="12"/>
      <c r="S213" s="36"/>
      <c r="T213" s="36"/>
      <c r="U213" s="12"/>
      <c r="V213" s="12"/>
      <c r="W213" s="12"/>
      <c r="X213" s="12"/>
      <c r="Y213" s="12"/>
    </row>
    <row r="214" customFormat="false" ht="15.75" hidden="false" customHeight="false" outlineLevel="0" collapsed="false">
      <c r="A214" s="12"/>
      <c r="B214" s="34"/>
      <c r="C214" s="12"/>
      <c r="D214" s="12"/>
      <c r="E214" s="12"/>
      <c r="F214" s="12"/>
      <c r="G214" s="18"/>
      <c r="H214" s="35"/>
      <c r="I214" s="12"/>
      <c r="N214" s="12"/>
      <c r="O214" s="18"/>
      <c r="P214" s="12"/>
      <c r="Q214" s="12"/>
      <c r="R214" s="12"/>
      <c r="S214" s="36"/>
      <c r="T214" s="36"/>
      <c r="U214" s="12"/>
      <c r="V214" s="12"/>
      <c r="W214" s="12"/>
      <c r="X214" s="12"/>
      <c r="Y214" s="12"/>
    </row>
    <row r="215" customFormat="false" ht="15.75" hidden="false" customHeight="false" outlineLevel="0" collapsed="false">
      <c r="A215" s="12"/>
      <c r="B215" s="34"/>
      <c r="C215" s="12"/>
      <c r="D215" s="12"/>
      <c r="E215" s="12"/>
      <c r="F215" s="12"/>
      <c r="G215" s="18"/>
      <c r="H215" s="35"/>
      <c r="I215" s="12"/>
      <c r="N215" s="12"/>
      <c r="O215" s="18"/>
      <c r="P215" s="12"/>
      <c r="Q215" s="12"/>
      <c r="R215" s="12"/>
      <c r="S215" s="36"/>
      <c r="T215" s="36"/>
      <c r="U215" s="12"/>
      <c r="V215" s="12"/>
      <c r="W215" s="12"/>
      <c r="X215" s="12"/>
      <c r="Y215" s="12"/>
    </row>
    <row r="216" customFormat="false" ht="15.75" hidden="false" customHeight="false" outlineLevel="0" collapsed="false">
      <c r="A216" s="12"/>
      <c r="B216" s="34"/>
      <c r="C216" s="12"/>
      <c r="D216" s="12"/>
      <c r="E216" s="12"/>
      <c r="F216" s="12"/>
      <c r="G216" s="18"/>
      <c r="H216" s="35"/>
      <c r="I216" s="12"/>
      <c r="N216" s="12"/>
      <c r="O216" s="18"/>
      <c r="P216" s="12"/>
      <c r="Q216" s="12"/>
      <c r="R216" s="12"/>
      <c r="S216" s="36"/>
      <c r="T216" s="36"/>
      <c r="U216" s="12"/>
      <c r="V216" s="12"/>
      <c r="W216" s="12"/>
      <c r="X216" s="12"/>
      <c r="Y216" s="12"/>
    </row>
    <row r="217" customFormat="false" ht="15.75" hidden="false" customHeight="false" outlineLevel="0" collapsed="false">
      <c r="A217" s="12"/>
      <c r="B217" s="34"/>
      <c r="C217" s="12"/>
      <c r="D217" s="12"/>
      <c r="E217" s="12"/>
      <c r="F217" s="12"/>
      <c r="G217" s="18"/>
      <c r="H217" s="35"/>
      <c r="I217" s="12"/>
      <c r="N217" s="12"/>
      <c r="O217" s="18"/>
      <c r="P217" s="12"/>
      <c r="Q217" s="12"/>
      <c r="R217" s="12"/>
      <c r="S217" s="36"/>
      <c r="T217" s="36"/>
      <c r="U217" s="12"/>
      <c r="V217" s="12"/>
      <c r="W217" s="12"/>
      <c r="X217" s="12"/>
      <c r="Y217" s="12"/>
    </row>
    <row r="218" customFormat="false" ht="15.75" hidden="false" customHeight="false" outlineLevel="0" collapsed="false">
      <c r="A218" s="12"/>
      <c r="B218" s="34"/>
      <c r="C218" s="12"/>
      <c r="D218" s="12"/>
      <c r="E218" s="12"/>
      <c r="F218" s="12"/>
      <c r="G218" s="18"/>
      <c r="H218" s="35"/>
      <c r="I218" s="12"/>
      <c r="N218" s="12"/>
      <c r="O218" s="18"/>
      <c r="P218" s="12"/>
      <c r="Q218" s="12"/>
      <c r="R218" s="12"/>
      <c r="S218" s="36"/>
      <c r="T218" s="36"/>
      <c r="U218" s="12"/>
      <c r="V218" s="12"/>
      <c r="W218" s="12"/>
      <c r="X218" s="12"/>
      <c r="Y218" s="12"/>
    </row>
    <row r="219" customFormat="false" ht="15.75" hidden="false" customHeight="false" outlineLevel="0" collapsed="false">
      <c r="A219" s="12"/>
      <c r="B219" s="34"/>
      <c r="C219" s="12"/>
      <c r="D219" s="12"/>
      <c r="E219" s="12"/>
      <c r="F219" s="12"/>
      <c r="G219" s="18"/>
      <c r="H219" s="35"/>
      <c r="I219" s="12"/>
      <c r="N219" s="12"/>
      <c r="O219" s="18"/>
      <c r="P219" s="12"/>
      <c r="Q219" s="12"/>
      <c r="R219" s="12"/>
      <c r="S219" s="36"/>
      <c r="T219" s="36"/>
      <c r="U219" s="12"/>
      <c r="V219" s="12"/>
      <c r="W219" s="12"/>
      <c r="X219" s="12"/>
      <c r="Y219" s="12"/>
    </row>
    <row r="220" customFormat="false" ht="15.75" hidden="false" customHeight="false" outlineLevel="0" collapsed="false">
      <c r="A220" s="12"/>
      <c r="B220" s="34"/>
      <c r="C220" s="12"/>
      <c r="D220" s="12"/>
      <c r="E220" s="12"/>
      <c r="F220" s="12"/>
      <c r="G220" s="18"/>
      <c r="H220" s="35"/>
      <c r="I220" s="12"/>
      <c r="N220" s="12"/>
      <c r="O220" s="18"/>
      <c r="P220" s="12"/>
      <c r="Q220" s="12"/>
      <c r="R220" s="12"/>
      <c r="S220" s="36"/>
      <c r="T220" s="36"/>
      <c r="U220" s="12"/>
      <c r="V220" s="12"/>
      <c r="W220" s="12"/>
      <c r="X220" s="12"/>
      <c r="Y220" s="12"/>
    </row>
    <row r="221" customFormat="false" ht="15.75" hidden="false" customHeight="false" outlineLevel="0" collapsed="false">
      <c r="A221" s="12"/>
      <c r="B221" s="34"/>
      <c r="C221" s="12"/>
      <c r="D221" s="12"/>
      <c r="E221" s="12"/>
      <c r="F221" s="12"/>
      <c r="G221" s="18"/>
      <c r="H221" s="35"/>
      <c r="I221" s="12"/>
      <c r="N221" s="12"/>
      <c r="O221" s="18"/>
      <c r="P221" s="12"/>
      <c r="Q221" s="12"/>
      <c r="R221" s="12"/>
      <c r="S221" s="36"/>
      <c r="T221" s="36"/>
      <c r="U221" s="12"/>
      <c r="V221" s="12"/>
      <c r="W221" s="12"/>
      <c r="X221" s="12"/>
      <c r="Y221" s="12"/>
    </row>
    <row r="222" customFormat="false" ht="15.75" hidden="false" customHeight="false" outlineLevel="0" collapsed="false">
      <c r="A222" s="12"/>
      <c r="B222" s="34"/>
      <c r="C222" s="12"/>
      <c r="D222" s="12"/>
      <c r="E222" s="12"/>
      <c r="F222" s="12"/>
      <c r="G222" s="18"/>
      <c r="H222" s="35"/>
      <c r="I222" s="12"/>
      <c r="N222" s="12"/>
      <c r="O222" s="18"/>
      <c r="P222" s="12"/>
      <c r="Q222" s="12"/>
      <c r="R222" s="12"/>
      <c r="S222" s="36"/>
      <c r="T222" s="36"/>
      <c r="U222" s="12"/>
      <c r="V222" s="12"/>
      <c r="W222" s="12"/>
      <c r="X222" s="12"/>
      <c r="Y222" s="12"/>
    </row>
    <row r="223" customFormat="false" ht="15.75" hidden="false" customHeight="false" outlineLevel="0" collapsed="false">
      <c r="A223" s="12"/>
      <c r="B223" s="34"/>
      <c r="C223" s="12"/>
      <c r="D223" s="12"/>
      <c r="E223" s="12"/>
      <c r="F223" s="12"/>
      <c r="G223" s="18"/>
      <c r="H223" s="35"/>
      <c r="I223" s="12"/>
      <c r="N223" s="12"/>
      <c r="O223" s="18"/>
      <c r="P223" s="12"/>
      <c r="Q223" s="12"/>
      <c r="R223" s="12"/>
      <c r="S223" s="36"/>
      <c r="T223" s="36"/>
      <c r="U223" s="12"/>
      <c r="V223" s="12"/>
      <c r="W223" s="12"/>
      <c r="X223" s="12"/>
      <c r="Y223" s="12"/>
    </row>
    <row r="224" customFormat="false" ht="15.75" hidden="false" customHeight="false" outlineLevel="0" collapsed="false">
      <c r="A224" s="12"/>
      <c r="B224" s="34"/>
      <c r="C224" s="12"/>
      <c r="D224" s="12"/>
      <c r="E224" s="12"/>
      <c r="F224" s="12"/>
      <c r="G224" s="18"/>
      <c r="H224" s="35"/>
      <c r="I224" s="12"/>
      <c r="N224" s="12"/>
      <c r="O224" s="18"/>
      <c r="P224" s="12"/>
      <c r="Q224" s="12"/>
      <c r="R224" s="12"/>
      <c r="S224" s="36"/>
      <c r="T224" s="36"/>
      <c r="U224" s="12"/>
      <c r="V224" s="12"/>
      <c r="W224" s="12"/>
      <c r="X224" s="12"/>
      <c r="Y224" s="12"/>
    </row>
    <row r="225" customFormat="false" ht="15.75" hidden="false" customHeight="false" outlineLevel="0" collapsed="false">
      <c r="A225" s="12"/>
      <c r="B225" s="34"/>
      <c r="C225" s="12"/>
      <c r="D225" s="12"/>
      <c r="E225" s="12"/>
      <c r="F225" s="12"/>
      <c r="G225" s="18"/>
      <c r="H225" s="35"/>
      <c r="I225" s="12"/>
      <c r="N225" s="12"/>
      <c r="O225" s="18"/>
      <c r="P225" s="12"/>
      <c r="Q225" s="12"/>
      <c r="R225" s="12"/>
      <c r="S225" s="36"/>
      <c r="T225" s="36"/>
      <c r="U225" s="12"/>
      <c r="V225" s="12"/>
      <c r="W225" s="12"/>
      <c r="X225" s="12"/>
      <c r="Y225" s="12"/>
    </row>
    <row r="226" customFormat="false" ht="15.75" hidden="false" customHeight="false" outlineLevel="0" collapsed="false">
      <c r="A226" s="12"/>
      <c r="B226" s="34"/>
      <c r="C226" s="12"/>
      <c r="D226" s="12"/>
      <c r="E226" s="12"/>
      <c r="F226" s="12"/>
      <c r="G226" s="18"/>
      <c r="H226" s="35"/>
      <c r="I226" s="12"/>
      <c r="N226" s="12"/>
      <c r="O226" s="18"/>
      <c r="P226" s="12"/>
      <c r="Q226" s="12"/>
      <c r="R226" s="12"/>
      <c r="S226" s="36"/>
      <c r="T226" s="36"/>
      <c r="U226" s="12"/>
      <c r="V226" s="12"/>
      <c r="W226" s="12"/>
      <c r="X226" s="12"/>
      <c r="Y226" s="12"/>
    </row>
    <row r="227" customFormat="false" ht="15.75" hidden="false" customHeight="false" outlineLevel="0" collapsed="false">
      <c r="A227" s="12"/>
      <c r="B227" s="34"/>
      <c r="C227" s="12"/>
      <c r="D227" s="12"/>
      <c r="E227" s="12"/>
      <c r="F227" s="12"/>
      <c r="G227" s="18"/>
      <c r="H227" s="35"/>
      <c r="I227" s="12"/>
      <c r="N227" s="12"/>
      <c r="O227" s="18"/>
      <c r="P227" s="12"/>
      <c r="Q227" s="12"/>
      <c r="R227" s="12"/>
      <c r="S227" s="36"/>
      <c r="T227" s="36"/>
      <c r="U227" s="12"/>
      <c r="V227" s="12"/>
      <c r="W227" s="12"/>
      <c r="X227" s="12"/>
      <c r="Y227" s="12"/>
    </row>
    <row r="228" customFormat="false" ht="15.75" hidden="false" customHeight="false" outlineLevel="0" collapsed="false">
      <c r="A228" s="12"/>
      <c r="B228" s="34"/>
      <c r="C228" s="12"/>
      <c r="D228" s="12"/>
      <c r="E228" s="12"/>
      <c r="F228" s="12"/>
      <c r="G228" s="18"/>
      <c r="H228" s="35"/>
      <c r="I228" s="12"/>
      <c r="N228" s="12"/>
      <c r="O228" s="18"/>
      <c r="P228" s="12"/>
      <c r="Q228" s="12"/>
      <c r="R228" s="12"/>
      <c r="S228" s="36"/>
      <c r="T228" s="36"/>
      <c r="U228" s="12"/>
      <c r="V228" s="12"/>
      <c r="W228" s="12"/>
      <c r="X228" s="12"/>
      <c r="Y228" s="12"/>
    </row>
    <row r="229" customFormat="false" ht="15.75" hidden="false" customHeight="false" outlineLevel="0" collapsed="false">
      <c r="A229" s="12"/>
      <c r="B229" s="34"/>
      <c r="C229" s="12"/>
      <c r="D229" s="12"/>
      <c r="E229" s="12"/>
      <c r="F229" s="12"/>
      <c r="G229" s="18"/>
      <c r="H229" s="35"/>
      <c r="I229" s="12"/>
      <c r="N229" s="12"/>
      <c r="O229" s="18"/>
      <c r="P229" s="12"/>
      <c r="Q229" s="12"/>
      <c r="R229" s="12"/>
      <c r="S229" s="36"/>
      <c r="T229" s="36"/>
      <c r="U229" s="12"/>
      <c r="V229" s="12"/>
      <c r="W229" s="12"/>
      <c r="X229" s="12"/>
      <c r="Y229" s="12"/>
    </row>
    <row r="230" customFormat="false" ht="15.75" hidden="false" customHeight="false" outlineLevel="0" collapsed="false">
      <c r="A230" s="12"/>
      <c r="B230" s="34"/>
      <c r="C230" s="12"/>
      <c r="D230" s="12"/>
      <c r="E230" s="12"/>
      <c r="F230" s="12"/>
      <c r="G230" s="18"/>
      <c r="H230" s="35"/>
      <c r="I230" s="12"/>
      <c r="N230" s="12"/>
      <c r="O230" s="18"/>
      <c r="P230" s="12"/>
      <c r="Q230" s="12"/>
      <c r="R230" s="12"/>
      <c r="S230" s="36"/>
      <c r="T230" s="36"/>
      <c r="U230" s="12"/>
      <c r="V230" s="12"/>
      <c r="W230" s="12"/>
      <c r="X230" s="12"/>
      <c r="Y230" s="12"/>
    </row>
    <row r="231" customFormat="false" ht="15.75" hidden="false" customHeight="false" outlineLevel="0" collapsed="false">
      <c r="A231" s="12"/>
      <c r="B231" s="34"/>
      <c r="C231" s="12"/>
      <c r="D231" s="12"/>
      <c r="E231" s="12"/>
      <c r="F231" s="12"/>
      <c r="G231" s="18"/>
      <c r="H231" s="35"/>
      <c r="I231" s="12"/>
      <c r="N231" s="12"/>
      <c r="O231" s="18"/>
      <c r="P231" s="12"/>
      <c r="Q231" s="12"/>
      <c r="R231" s="12"/>
      <c r="S231" s="36"/>
      <c r="T231" s="36"/>
      <c r="U231" s="12"/>
      <c r="V231" s="12"/>
      <c r="W231" s="12"/>
      <c r="X231" s="12"/>
      <c r="Y231" s="12"/>
    </row>
    <row r="232" customFormat="false" ht="15.75" hidden="false" customHeight="false" outlineLevel="0" collapsed="false">
      <c r="A232" s="12"/>
      <c r="B232" s="34"/>
      <c r="C232" s="12"/>
      <c r="D232" s="12"/>
      <c r="E232" s="12"/>
      <c r="F232" s="12"/>
      <c r="G232" s="18"/>
      <c r="H232" s="35"/>
      <c r="I232" s="12"/>
      <c r="N232" s="12"/>
      <c r="O232" s="18"/>
      <c r="P232" s="12"/>
      <c r="Q232" s="12"/>
      <c r="R232" s="12"/>
      <c r="S232" s="36"/>
      <c r="T232" s="36"/>
      <c r="U232" s="12"/>
      <c r="V232" s="12"/>
      <c r="W232" s="12"/>
      <c r="X232" s="12"/>
      <c r="Y232" s="12"/>
    </row>
    <row r="233" customFormat="false" ht="15.75" hidden="false" customHeight="false" outlineLevel="0" collapsed="false">
      <c r="A233" s="12"/>
      <c r="B233" s="34"/>
      <c r="C233" s="12"/>
      <c r="D233" s="12"/>
      <c r="E233" s="12"/>
      <c r="F233" s="12"/>
      <c r="G233" s="18"/>
      <c r="H233" s="35"/>
      <c r="I233" s="12"/>
      <c r="N233" s="12"/>
      <c r="O233" s="18"/>
      <c r="P233" s="12"/>
      <c r="Q233" s="12"/>
      <c r="R233" s="12"/>
      <c r="S233" s="36"/>
      <c r="T233" s="36"/>
      <c r="U233" s="12"/>
      <c r="V233" s="12"/>
      <c r="W233" s="12"/>
      <c r="X233" s="12"/>
      <c r="Y233" s="12"/>
    </row>
    <row r="234" customFormat="false" ht="15.75" hidden="false" customHeight="false" outlineLevel="0" collapsed="false">
      <c r="A234" s="12"/>
      <c r="B234" s="34"/>
      <c r="C234" s="12"/>
      <c r="D234" s="12"/>
      <c r="E234" s="12"/>
      <c r="F234" s="12"/>
      <c r="G234" s="18"/>
      <c r="H234" s="35"/>
      <c r="I234" s="12"/>
      <c r="N234" s="12"/>
      <c r="O234" s="18"/>
      <c r="P234" s="12"/>
      <c r="Q234" s="12"/>
      <c r="R234" s="12"/>
      <c r="S234" s="36"/>
      <c r="T234" s="36"/>
      <c r="U234" s="12"/>
      <c r="V234" s="12"/>
      <c r="W234" s="12"/>
      <c r="X234" s="12"/>
      <c r="Y234" s="12"/>
    </row>
    <row r="235" customFormat="false" ht="15.75" hidden="false" customHeight="false" outlineLevel="0" collapsed="false">
      <c r="A235" s="12"/>
      <c r="B235" s="34"/>
      <c r="C235" s="12"/>
      <c r="D235" s="12"/>
      <c r="E235" s="12"/>
      <c r="F235" s="12"/>
      <c r="G235" s="18"/>
      <c r="H235" s="35"/>
      <c r="I235" s="12"/>
      <c r="N235" s="12"/>
      <c r="O235" s="18"/>
      <c r="P235" s="12"/>
      <c r="Q235" s="12"/>
      <c r="R235" s="12"/>
      <c r="S235" s="36"/>
      <c r="T235" s="36"/>
      <c r="U235" s="12"/>
      <c r="V235" s="12"/>
      <c r="W235" s="12"/>
      <c r="X235" s="12"/>
      <c r="Y235" s="12"/>
    </row>
    <row r="236" customFormat="false" ht="15.75" hidden="false" customHeight="false" outlineLevel="0" collapsed="false">
      <c r="A236" s="12"/>
      <c r="B236" s="34"/>
      <c r="C236" s="12"/>
      <c r="D236" s="12"/>
      <c r="E236" s="12"/>
      <c r="F236" s="12"/>
      <c r="G236" s="18"/>
      <c r="H236" s="35"/>
      <c r="I236" s="12"/>
      <c r="N236" s="12"/>
      <c r="O236" s="18"/>
      <c r="P236" s="12"/>
      <c r="Q236" s="12"/>
      <c r="R236" s="12"/>
      <c r="S236" s="36"/>
      <c r="T236" s="36"/>
      <c r="U236" s="12"/>
      <c r="V236" s="12"/>
      <c r="W236" s="12"/>
      <c r="X236" s="12"/>
      <c r="Y236" s="12"/>
    </row>
    <row r="237" customFormat="false" ht="15.75" hidden="false" customHeight="false" outlineLevel="0" collapsed="false">
      <c r="A237" s="12"/>
      <c r="B237" s="34"/>
      <c r="C237" s="12"/>
      <c r="D237" s="12"/>
      <c r="E237" s="12"/>
      <c r="F237" s="12"/>
      <c r="G237" s="18"/>
      <c r="H237" s="35"/>
      <c r="I237" s="12"/>
      <c r="N237" s="12"/>
      <c r="O237" s="18"/>
      <c r="P237" s="12"/>
      <c r="Q237" s="12"/>
      <c r="R237" s="12"/>
      <c r="S237" s="36"/>
      <c r="T237" s="36"/>
      <c r="U237" s="12"/>
      <c r="V237" s="12"/>
      <c r="W237" s="12"/>
      <c r="X237" s="12"/>
      <c r="Y237" s="12"/>
    </row>
    <row r="238" customFormat="false" ht="15.75" hidden="false" customHeight="false" outlineLevel="0" collapsed="false">
      <c r="A238" s="12"/>
      <c r="B238" s="34"/>
      <c r="C238" s="12"/>
      <c r="D238" s="12"/>
      <c r="E238" s="12"/>
      <c r="F238" s="12"/>
      <c r="G238" s="18"/>
      <c r="H238" s="35"/>
      <c r="I238" s="12"/>
      <c r="N238" s="12"/>
      <c r="O238" s="18"/>
      <c r="P238" s="12"/>
      <c r="Q238" s="12"/>
      <c r="R238" s="12"/>
      <c r="S238" s="36"/>
      <c r="T238" s="36"/>
      <c r="U238" s="12"/>
      <c r="V238" s="12"/>
      <c r="W238" s="12"/>
      <c r="X238" s="12"/>
      <c r="Y238" s="12"/>
    </row>
    <row r="239" customFormat="false" ht="15.75" hidden="false" customHeight="false" outlineLevel="0" collapsed="false">
      <c r="A239" s="12"/>
      <c r="B239" s="34"/>
      <c r="C239" s="12"/>
      <c r="D239" s="12"/>
      <c r="E239" s="12"/>
      <c r="F239" s="12"/>
      <c r="G239" s="18"/>
      <c r="H239" s="35"/>
      <c r="I239" s="12"/>
      <c r="N239" s="12"/>
      <c r="O239" s="18"/>
      <c r="P239" s="12"/>
      <c r="Q239" s="12"/>
      <c r="R239" s="12"/>
      <c r="S239" s="36"/>
      <c r="T239" s="36"/>
      <c r="U239" s="12"/>
      <c r="V239" s="12"/>
      <c r="W239" s="12"/>
      <c r="X239" s="12"/>
      <c r="Y239" s="12"/>
    </row>
    <row r="240" customFormat="false" ht="15.75" hidden="false" customHeight="false" outlineLevel="0" collapsed="false">
      <c r="A240" s="12"/>
      <c r="B240" s="34"/>
      <c r="C240" s="12"/>
      <c r="D240" s="12"/>
      <c r="E240" s="12"/>
      <c r="F240" s="12"/>
      <c r="G240" s="18"/>
      <c r="H240" s="35"/>
      <c r="I240" s="12"/>
      <c r="N240" s="12"/>
      <c r="O240" s="18"/>
      <c r="P240" s="12"/>
      <c r="Q240" s="12"/>
      <c r="R240" s="12"/>
      <c r="S240" s="36"/>
      <c r="T240" s="36"/>
      <c r="U240" s="12"/>
      <c r="V240" s="12"/>
      <c r="W240" s="12"/>
      <c r="X240" s="12"/>
      <c r="Y240" s="12"/>
    </row>
    <row r="241" customFormat="false" ht="15.75" hidden="false" customHeight="false" outlineLevel="0" collapsed="false">
      <c r="A241" s="12"/>
      <c r="B241" s="34"/>
      <c r="C241" s="12"/>
      <c r="D241" s="12"/>
      <c r="E241" s="12"/>
      <c r="F241" s="12"/>
      <c r="G241" s="18"/>
      <c r="H241" s="35"/>
      <c r="I241" s="12"/>
      <c r="N241" s="12"/>
      <c r="O241" s="18"/>
      <c r="P241" s="12"/>
      <c r="Q241" s="12"/>
      <c r="R241" s="12"/>
      <c r="S241" s="36"/>
      <c r="T241" s="36"/>
      <c r="U241" s="12"/>
      <c r="V241" s="12"/>
      <c r="W241" s="12"/>
      <c r="X241" s="12"/>
      <c r="Y241" s="12"/>
    </row>
    <row r="242" customFormat="false" ht="15.75" hidden="false" customHeight="false" outlineLevel="0" collapsed="false">
      <c r="A242" s="12"/>
      <c r="B242" s="34"/>
      <c r="C242" s="12"/>
      <c r="D242" s="12"/>
      <c r="E242" s="12"/>
      <c r="F242" s="12"/>
      <c r="G242" s="18"/>
      <c r="H242" s="35"/>
      <c r="I242" s="12"/>
      <c r="N242" s="12"/>
      <c r="O242" s="18"/>
      <c r="P242" s="12"/>
      <c r="Q242" s="12"/>
      <c r="R242" s="12"/>
      <c r="S242" s="36"/>
      <c r="T242" s="36"/>
      <c r="U242" s="12"/>
      <c r="V242" s="12"/>
      <c r="W242" s="12"/>
      <c r="X242" s="12"/>
      <c r="Y242" s="12"/>
    </row>
    <row r="243" customFormat="false" ht="15.75" hidden="false" customHeight="false" outlineLevel="0" collapsed="false">
      <c r="A243" s="12"/>
      <c r="B243" s="34"/>
      <c r="C243" s="12"/>
      <c r="D243" s="12"/>
      <c r="E243" s="12"/>
      <c r="F243" s="12"/>
      <c r="G243" s="18"/>
      <c r="H243" s="35"/>
      <c r="I243" s="12"/>
      <c r="N243" s="12"/>
      <c r="O243" s="18"/>
      <c r="P243" s="12"/>
      <c r="Q243" s="12"/>
      <c r="R243" s="12"/>
      <c r="S243" s="36"/>
      <c r="T243" s="36"/>
      <c r="U243" s="12"/>
      <c r="V243" s="12"/>
      <c r="W243" s="12"/>
      <c r="X243" s="12"/>
      <c r="Y243" s="12"/>
    </row>
    <row r="244" customFormat="false" ht="15.75" hidden="false" customHeight="false" outlineLevel="0" collapsed="false">
      <c r="A244" s="12"/>
      <c r="B244" s="34"/>
      <c r="C244" s="12"/>
      <c r="D244" s="12"/>
      <c r="E244" s="12"/>
      <c r="F244" s="12"/>
      <c r="G244" s="18"/>
      <c r="H244" s="35"/>
      <c r="I244" s="12"/>
      <c r="N244" s="12"/>
      <c r="O244" s="18"/>
      <c r="P244" s="12"/>
      <c r="Q244" s="12"/>
      <c r="R244" s="12"/>
      <c r="S244" s="36"/>
      <c r="T244" s="36"/>
      <c r="U244" s="12"/>
      <c r="V244" s="12"/>
      <c r="W244" s="12"/>
      <c r="X244" s="12"/>
      <c r="Y244" s="12"/>
    </row>
    <row r="245" customFormat="false" ht="15.75" hidden="false" customHeight="false" outlineLevel="0" collapsed="false">
      <c r="A245" s="12"/>
      <c r="B245" s="34"/>
      <c r="C245" s="12"/>
      <c r="D245" s="12"/>
      <c r="E245" s="12"/>
      <c r="F245" s="12"/>
      <c r="G245" s="18"/>
      <c r="H245" s="35"/>
      <c r="I245" s="12"/>
      <c r="N245" s="12"/>
      <c r="O245" s="18"/>
      <c r="P245" s="12"/>
      <c r="Q245" s="12"/>
      <c r="R245" s="12"/>
      <c r="S245" s="36"/>
      <c r="T245" s="36"/>
      <c r="U245" s="12"/>
      <c r="V245" s="12"/>
      <c r="W245" s="12"/>
      <c r="X245" s="12"/>
      <c r="Y245" s="12"/>
    </row>
    <row r="246" customFormat="false" ht="15.75" hidden="false" customHeight="false" outlineLevel="0" collapsed="false">
      <c r="A246" s="12"/>
      <c r="B246" s="34"/>
      <c r="C246" s="12"/>
      <c r="D246" s="12"/>
      <c r="E246" s="12"/>
      <c r="F246" s="12"/>
      <c r="G246" s="18"/>
      <c r="H246" s="35"/>
      <c r="I246" s="12"/>
      <c r="N246" s="12"/>
      <c r="O246" s="18"/>
      <c r="P246" s="12"/>
      <c r="Q246" s="12"/>
      <c r="R246" s="12"/>
      <c r="S246" s="36"/>
      <c r="T246" s="36"/>
      <c r="U246" s="12"/>
      <c r="V246" s="12"/>
      <c r="W246" s="12"/>
      <c r="X246" s="12"/>
      <c r="Y246" s="12"/>
    </row>
    <row r="247" customFormat="false" ht="15.75" hidden="false" customHeight="false" outlineLevel="0" collapsed="false">
      <c r="A247" s="12"/>
      <c r="B247" s="34"/>
      <c r="C247" s="12"/>
      <c r="D247" s="12"/>
      <c r="E247" s="12"/>
      <c r="F247" s="12"/>
      <c r="G247" s="18"/>
      <c r="H247" s="35"/>
      <c r="I247" s="12"/>
      <c r="N247" s="12"/>
      <c r="O247" s="18"/>
      <c r="P247" s="12"/>
      <c r="Q247" s="12"/>
      <c r="R247" s="12"/>
      <c r="S247" s="36"/>
      <c r="T247" s="36"/>
      <c r="U247" s="12"/>
      <c r="V247" s="12"/>
      <c r="W247" s="12"/>
      <c r="X247" s="12"/>
      <c r="Y247" s="12"/>
    </row>
    <row r="248" customFormat="false" ht="15.75" hidden="false" customHeight="false" outlineLevel="0" collapsed="false">
      <c r="A248" s="12"/>
      <c r="B248" s="34"/>
      <c r="C248" s="12"/>
      <c r="D248" s="12"/>
      <c r="E248" s="12"/>
      <c r="F248" s="12"/>
      <c r="G248" s="18"/>
      <c r="H248" s="35"/>
      <c r="I248" s="12"/>
      <c r="N248" s="12"/>
      <c r="O248" s="18"/>
      <c r="P248" s="12"/>
      <c r="Q248" s="12"/>
      <c r="R248" s="12"/>
      <c r="S248" s="36"/>
      <c r="T248" s="36"/>
      <c r="U248" s="12"/>
      <c r="V248" s="12"/>
      <c r="W248" s="12"/>
      <c r="X248" s="12"/>
      <c r="Y248" s="12"/>
    </row>
    <row r="249" customFormat="false" ht="15.75" hidden="false" customHeight="false" outlineLevel="0" collapsed="false">
      <c r="A249" s="12"/>
      <c r="B249" s="34"/>
      <c r="C249" s="12"/>
      <c r="D249" s="12"/>
      <c r="E249" s="12"/>
      <c r="F249" s="12"/>
      <c r="G249" s="18"/>
      <c r="H249" s="35"/>
      <c r="I249" s="12"/>
      <c r="N249" s="12"/>
      <c r="O249" s="18"/>
      <c r="P249" s="12"/>
      <c r="Q249" s="12"/>
      <c r="R249" s="12"/>
      <c r="S249" s="36"/>
      <c r="T249" s="36"/>
      <c r="U249" s="12"/>
      <c r="V249" s="12"/>
      <c r="W249" s="12"/>
      <c r="X249" s="12"/>
      <c r="Y249" s="12"/>
    </row>
    <row r="250" customFormat="false" ht="15.75" hidden="false" customHeight="false" outlineLevel="0" collapsed="false">
      <c r="A250" s="12"/>
      <c r="B250" s="34"/>
      <c r="C250" s="12"/>
      <c r="D250" s="12"/>
      <c r="E250" s="12"/>
      <c r="F250" s="12"/>
      <c r="G250" s="18"/>
      <c r="H250" s="35"/>
      <c r="I250" s="12"/>
      <c r="N250" s="12"/>
      <c r="O250" s="18"/>
      <c r="P250" s="12"/>
      <c r="Q250" s="12"/>
      <c r="R250" s="12"/>
      <c r="S250" s="36"/>
      <c r="T250" s="36"/>
      <c r="U250" s="12"/>
      <c r="V250" s="12"/>
      <c r="W250" s="12"/>
      <c r="X250" s="12"/>
      <c r="Y250" s="12"/>
    </row>
    <row r="251" customFormat="false" ht="15.75" hidden="false" customHeight="false" outlineLevel="0" collapsed="false">
      <c r="A251" s="12"/>
      <c r="B251" s="34"/>
      <c r="C251" s="12"/>
      <c r="D251" s="12"/>
      <c r="E251" s="12"/>
      <c r="F251" s="12"/>
      <c r="G251" s="18"/>
      <c r="H251" s="35"/>
      <c r="I251" s="12"/>
      <c r="N251" s="12"/>
      <c r="O251" s="18"/>
      <c r="P251" s="12"/>
      <c r="Q251" s="12"/>
      <c r="R251" s="12"/>
      <c r="S251" s="36"/>
      <c r="T251" s="36"/>
      <c r="U251" s="12"/>
      <c r="V251" s="12"/>
      <c r="W251" s="12"/>
      <c r="X251" s="12"/>
      <c r="Y251" s="12"/>
    </row>
    <row r="252" customFormat="false" ht="15.75" hidden="false" customHeight="false" outlineLevel="0" collapsed="false">
      <c r="A252" s="12"/>
      <c r="B252" s="34"/>
      <c r="C252" s="12"/>
      <c r="D252" s="12"/>
      <c r="E252" s="12"/>
      <c r="F252" s="12"/>
      <c r="G252" s="18"/>
      <c r="H252" s="35"/>
      <c r="I252" s="12"/>
      <c r="N252" s="12"/>
      <c r="O252" s="18"/>
      <c r="P252" s="12"/>
      <c r="Q252" s="12"/>
      <c r="R252" s="12"/>
      <c r="S252" s="36"/>
      <c r="T252" s="36"/>
      <c r="U252" s="12"/>
      <c r="V252" s="12"/>
      <c r="W252" s="12"/>
      <c r="X252" s="12"/>
      <c r="Y252" s="12"/>
    </row>
    <row r="253" customFormat="false" ht="15.75" hidden="false" customHeight="false" outlineLevel="0" collapsed="false">
      <c r="A253" s="12"/>
      <c r="B253" s="34"/>
      <c r="C253" s="12"/>
      <c r="D253" s="12"/>
      <c r="E253" s="12"/>
      <c r="F253" s="12"/>
      <c r="G253" s="18"/>
      <c r="H253" s="35"/>
      <c r="I253" s="12"/>
      <c r="N253" s="12"/>
      <c r="O253" s="18"/>
      <c r="P253" s="12"/>
      <c r="Q253" s="12"/>
      <c r="R253" s="12"/>
      <c r="S253" s="36"/>
      <c r="T253" s="36"/>
      <c r="U253" s="12"/>
      <c r="V253" s="12"/>
      <c r="W253" s="12"/>
      <c r="X253" s="12"/>
      <c r="Y253" s="12"/>
    </row>
    <row r="254" customFormat="false" ht="15.75" hidden="false" customHeight="false" outlineLevel="0" collapsed="false">
      <c r="A254" s="12"/>
      <c r="B254" s="34"/>
      <c r="C254" s="12"/>
      <c r="D254" s="12"/>
      <c r="E254" s="12"/>
      <c r="F254" s="12"/>
      <c r="G254" s="18"/>
      <c r="H254" s="35"/>
      <c r="I254" s="12"/>
      <c r="N254" s="12"/>
      <c r="O254" s="18"/>
      <c r="P254" s="12"/>
      <c r="Q254" s="12"/>
      <c r="R254" s="12"/>
      <c r="S254" s="36"/>
      <c r="T254" s="36"/>
      <c r="U254" s="12"/>
      <c r="V254" s="12"/>
      <c r="W254" s="12"/>
      <c r="X254" s="12"/>
      <c r="Y254" s="12"/>
    </row>
    <row r="255" customFormat="false" ht="15.75" hidden="false" customHeight="false" outlineLevel="0" collapsed="false">
      <c r="A255" s="12"/>
      <c r="B255" s="34"/>
      <c r="C255" s="12"/>
      <c r="D255" s="12"/>
      <c r="E255" s="12"/>
      <c r="F255" s="12"/>
      <c r="G255" s="18"/>
      <c r="H255" s="35"/>
      <c r="I255" s="12"/>
      <c r="N255" s="12"/>
      <c r="O255" s="18"/>
      <c r="P255" s="12"/>
      <c r="Q255" s="12"/>
      <c r="R255" s="12"/>
      <c r="S255" s="36"/>
      <c r="T255" s="36"/>
      <c r="U255" s="12"/>
      <c r="V255" s="12"/>
      <c r="W255" s="12"/>
      <c r="X255" s="12"/>
      <c r="Y255" s="12"/>
    </row>
    <row r="256" customFormat="false" ht="15.75" hidden="false" customHeight="false" outlineLevel="0" collapsed="false">
      <c r="A256" s="12"/>
      <c r="B256" s="34"/>
      <c r="C256" s="12"/>
      <c r="D256" s="12"/>
      <c r="E256" s="12"/>
      <c r="F256" s="12"/>
      <c r="G256" s="18"/>
      <c r="H256" s="35"/>
      <c r="I256" s="12"/>
      <c r="N256" s="12"/>
      <c r="O256" s="18"/>
      <c r="P256" s="12"/>
      <c r="Q256" s="12"/>
      <c r="R256" s="12"/>
      <c r="S256" s="36"/>
      <c r="T256" s="36"/>
      <c r="U256" s="12"/>
      <c r="V256" s="12"/>
      <c r="W256" s="12"/>
      <c r="X256" s="12"/>
      <c r="Y256" s="12"/>
    </row>
    <row r="257" customFormat="false" ht="15.75" hidden="false" customHeight="false" outlineLevel="0" collapsed="false">
      <c r="A257" s="12"/>
      <c r="B257" s="34"/>
      <c r="C257" s="12"/>
      <c r="D257" s="12"/>
      <c r="E257" s="12"/>
      <c r="F257" s="12"/>
      <c r="G257" s="18"/>
      <c r="H257" s="35"/>
      <c r="I257" s="12"/>
      <c r="N257" s="12"/>
      <c r="O257" s="18"/>
      <c r="P257" s="12"/>
      <c r="Q257" s="12"/>
      <c r="R257" s="12"/>
      <c r="S257" s="36"/>
      <c r="T257" s="36"/>
      <c r="U257" s="12"/>
      <c r="V257" s="12"/>
      <c r="W257" s="12"/>
      <c r="X257" s="12"/>
      <c r="Y257" s="12"/>
    </row>
    <row r="258" customFormat="false" ht="15.75" hidden="false" customHeight="false" outlineLevel="0" collapsed="false">
      <c r="A258" s="12"/>
      <c r="B258" s="34"/>
      <c r="C258" s="12"/>
      <c r="D258" s="12"/>
      <c r="E258" s="12"/>
      <c r="F258" s="12"/>
      <c r="G258" s="18"/>
      <c r="H258" s="35"/>
      <c r="I258" s="12"/>
      <c r="N258" s="12"/>
      <c r="O258" s="18"/>
      <c r="P258" s="12"/>
      <c r="Q258" s="12"/>
      <c r="R258" s="12"/>
      <c r="S258" s="36"/>
      <c r="T258" s="36"/>
      <c r="U258" s="12"/>
      <c r="V258" s="12"/>
      <c r="W258" s="12"/>
      <c r="X258" s="12"/>
      <c r="Y258" s="12"/>
    </row>
    <row r="259" customFormat="false" ht="15.75" hidden="false" customHeight="false" outlineLevel="0" collapsed="false">
      <c r="A259" s="12"/>
      <c r="B259" s="34"/>
      <c r="C259" s="12"/>
      <c r="D259" s="12"/>
      <c r="E259" s="12"/>
      <c r="F259" s="12"/>
      <c r="G259" s="18"/>
      <c r="H259" s="35"/>
      <c r="I259" s="12"/>
      <c r="N259" s="12"/>
      <c r="O259" s="18"/>
      <c r="P259" s="12"/>
      <c r="Q259" s="12"/>
      <c r="R259" s="12"/>
      <c r="S259" s="36"/>
      <c r="T259" s="36"/>
      <c r="U259" s="12"/>
      <c r="V259" s="12"/>
      <c r="W259" s="12"/>
      <c r="X259" s="12"/>
      <c r="Y259" s="12"/>
    </row>
    <row r="260" customFormat="false" ht="15.75" hidden="false" customHeight="false" outlineLevel="0" collapsed="false">
      <c r="A260" s="12"/>
      <c r="B260" s="34"/>
      <c r="C260" s="12"/>
      <c r="D260" s="12"/>
      <c r="E260" s="12"/>
      <c r="F260" s="12"/>
      <c r="G260" s="18"/>
      <c r="H260" s="35"/>
      <c r="I260" s="12"/>
      <c r="N260" s="12"/>
      <c r="O260" s="18"/>
      <c r="P260" s="12"/>
      <c r="Q260" s="12"/>
      <c r="R260" s="12"/>
      <c r="S260" s="36"/>
      <c r="T260" s="36"/>
      <c r="U260" s="12"/>
      <c r="V260" s="12"/>
      <c r="W260" s="12"/>
      <c r="X260" s="12"/>
      <c r="Y260" s="12"/>
    </row>
    <row r="261" customFormat="false" ht="15.75" hidden="false" customHeight="false" outlineLevel="0" collapsed="false">
      <c r="A261" s="12"/>
      <c r="B261" s="34"/>
      <c r="C261" s="12"/>
      <c r="D261" s="12"/>
      <c r="E261" s="12"/>
      <c r="F261" s="12"/>
      <c r="G261" s="18"/>
      <c r="H261" s="35"/>
      <c r="I261" s="12"/>
      <c r="N261" s="12"/>
      <c r="O261" s="18"/>
      <c r="P261" s="12"/>
      <c r="Q261" s="12"/>
      <c r="R261" s="12"/>
      <c r="S261" s="36"/>
      <c r="T261" s="36"/>
      <c r="U261" s="12"/>
      <c r="V261" s="12"/>
      <c r="W261" s="12"/>
      <c r="X261" s="12"/>
      <c r="Y261" s="12"/>
    </row>
    <row r="262" customFormat="false" ht="15.75" hidden="false" customHeight="false" outlineLevel="0" collapsed="false">
      <c r="A262" s="12"/>
      <c r="B262" s="34"/>
      <c r="C262" s="12"/>
      <c r="D262" s="12"/>
      <c r="E262" s="12"/>
      <c r="F262" s="12"/>
      <c r="G262" s="18"/>
      <c r="H262" s="35"/>
      <c r="I262" s="12"/>
      <c r="N262" s="12"/>
      <c r="O262" s="18"/>
      <c r="P262" s="12"/>
      <c r="Q262" s="12"/>
      <c r="R262" s="12"/>
      <c r="S262" s="36"/>
      <c r="T262" s="36"/>
      <c r="U262" s="12"/>
      <c r="V262" s="12"/>
      <c r="W262" s="12"/>
      <c r="X262" s="12"/>
      <c r="Y262" s="12"/>
    </row>
    <row r="263" customFormat="false" ht="15.75" hidden="false" customHeight="false" outlineLevel="0" collapsed="false">
      <c r="A263" s="12"/>
      <c r="B263" s="34"/>
      <c r="C263" s="12"/>
      <c r="D263" s="12"/>
      <c r="E263" s="12"/>
      <c r="F263" s="12"/>
      <c r="G263" s="18"/>
      <c r="H263" s="35"/>
      <c r="I263" s="12"/>
      <c r="N263" s="12"/>
      <c r="O263" s="18"/>
      <c r="P263" s="12"/>
      <c r="Q263" s="12"/>
      <c r="R263" s="12"/>
      <c r="S263" s="36"/>
      <c r="T263" s="36"/>
      <c r="U263" s="12"/>
      <c r="V263" s="12"/>
      <c r="W263" s="12"/>
      <c r="X263" s="12"/>
      <c r="Y263" s="12"/>
    </row>
    <row r="264" customFormat="false" ht="15.75" hidden="false" customHeight="false" outlineLevel="0" collapsed="false">
      <c r="A264" s="12"/>
      <c r="B264" s="34"/>
      <c r="C264" s="12"/>
      <c r="D264" s="12"/>
      <c r="E264" s="12"/>
      <c r="F264" s="12"/>
      <c r="G264" s="18"/>
      <c r="H264" s="35"/>
      <c r="I264" s="12"/>
      <c r="N264" s="12"/>
      <c r="O264" s="18"/>
      <c r="P264" s="12"/>
      <c r="Q264" s="12"/>
      <c r="R264" s="12"/>
      <c r="S264" s="36"/>
      <c r="T264" s="36"/>
      <c r="U264" s="12"/>
      <c r="V264" s="12"/>
      <c r="W264" s="12"/>
      <c r="X264" s="12"/>
      <c r="Y264" s="12"/>
    </row>
    <row r="265" customFormat="false" ht="15.75" hidden="false" customHeight="false" outlineLevel="0" collapsed="false">
      <c r="A265" s="12"/>
      <c r="B265" s="34"/>
      <c r="C265" s="12"/>
      <c r="D265" s="12"/>
      <c r="E265" s="12"/>
      <c r="F265" s="12"/>
      <c r="G265" s="18"/>
      <c r="H265" s="35"/>
      <c r="I265" s="12"/>
      <c r="N265" s="12"/>
      <c r="O265" s="18"/>
      <c r="P265" s="12"/>
      <c r="Q265" s="12"/>
      <c r="R265" s="12"/>
      <c r="S265" s="36"/>
      <c r="T265" s="36"/>
      <c r="U265" s="12"/>
      <c r="V265" s="12"/>
      <c r="W265" s="12"/>
      <c r="X265" s="12"/>
      <c r="Y265" s="12"/>
    </row>
    <row r="266" customFormat="false" ht="15.75" hidden="false" customHeight="false" outlineLevel="0" collapsed="false">
      <c r="A266" s="12"/>
      <c r="B266" s="34"/>
      <c r="C266" s="12"/>
      <c r="D266" s="12"/>
      <c r="E266" s="12"/>
      <c r="F266" s="12"/>
      <c r="G266" s="18"/>
      <c r="H266" s="35"/>
      <c r="I266" s="12"/>
      <c r="N266" s="12"/>
      <c r="O266" s="18"/>
      <c r="P266" s="12"/>
      <c r="Q266" s="12"/>
      <c r="R266" s="12"/>
      <c r="S266" s="36"/>
      <c r="T266" s="36"/>
      <c r="U266" s="12"/>
      <c r="V266" s="12"/>
      <c r="W266" s="12"/>
      <c r="X266" s="12"/>
      <c r="Y266" s="12"/>
    </row>
    <row r="267" customFormat="false" ht="15.75" hidden="false" customHeight="false" outlineLevel="0" collapsed="false">
      <c r="A267" s="12"/>
      <c r="B267" s="34"/>
      <c r="C267" s="12"/>
      <c r="D267" s="12"/>
      <c r="E267" s="12"/>
      <c r="F267" s="12"/>
      <c r="G267" s="18"/>
      <c r="H267" s="35"/>
      <c r="I267" s="12"/>
      <c r="N267" s="12"/>
      <c r="O267" s="18"/>
      <c r="P267" s="12"/>
      <c r="Q267" s="12"/>
      <c r="R267" s="12"/>
      <c r="S267" s="36"/>
      <c r="T267" s="36"/>
      <c r="U267" s="12"/>
      <c r="V267" s="12"/>
      <c r="W267" s="12"/>
      <c r="X267" s="12"/>
      <c r="Y267" s="12"/>
    </row>
    <row r="268" customFormat="false" ht="15.75" hidden="false" customHeight="false" outlineLevel="0" collapsed="false">
      <c r="A268" s="12"/>
      <c r="B268" s="34"/>
      <c r="C268" s="12"/>
      <c r="D268" s="12"/>
      <c r="E268" s="12"/>
      <c r="F268" s="12"/>
      <c r="G268" s="18"/>
      <c r="H268" s="35"/>
      <c r="I268" s="12"/>
      <c r="N268" s="12"/>
      <c r="O268" s="18"/>
      <c r="P268" s="12"/>
      <c r="Q268" s="12"/>
      <c r="R268" s="12"/>
      <c r="S268" s="36"/>
      <c r="T268" s="36"/>
      <c r="U268" s="12"/>
      <c r="V268" s="12"/>
      <c r="W268" s="12"/>
      <c r="X268" s="12"/>
      <c r="Y268" s="12"/>
    </row>
    <row r="269" customFormat="false" ht="15.75" hidden="false" customHeight="false" outlineLevel="0" collapsed="false">
      <c r="A269" s="12"/>
      <c r="B269" s="34"/>
      <c r="C269" s="12"/>
      <c r="D269" s="12"/>
      <c r="E269" s="12"/>
      <c r="F269" s="12"/>
      <c r="G269" s="18"/>
      <c r="H269" s="35"/>
      <c r="I269" s="12"/>
      <c r="N269" s="12"/>
      <c r="O269" s="18"/>
      <c r="P269" s="12"/>
      <c r="Q269" s="12"/>
      <c r="R269" s="12"/>
      <c r="S269" s="36"/>
      <c r="T269" s="36"/>
      <c r="U269" s="12"/>
      <c r="V269" s="12"/>
      <c r="W269" s="12"/>
      <c r="X269" s="12"/>
      <c r="Y269" s="12"/>
    </row>
    <row r="270" customFormat="false" ht="15.75" hidden="false" customHeight="false" outlineLevel="0" collapsed="false">
      <c r="A270" s="12"/>
      <c r="B270" s="34"/>
      <c r="C270" s="12"/>
      <c r="D270" s="12"/>
      <c r="E270" s="12"/>
      <c r="F270" s="12"/>
      <c r="G270" s="18"/>
      <c r="H270" s="35"/>
      <c r="I270" s="12"/>
      <c r="N270" s="12"/>
      <c r="O270" s="18"/>
      <c r="P270" s="12"/>
      <c r="Q270" s="12"/>
      <c r="R270" s="12"/>
      <c r="S270" s="36"/>
      <c r="T270" s="36"/>
      <c r="U270" s="12"/>
      <c r="V270" s="12"/>
      <c r="W270" s="12"/>
      <c r="X270" s="12"/>
      <c r="Y270" s="12"/>
    </row>
    <row r="271" customFormat="false" ht="15.75" hidden="false" customHeight="false" outlineLevel="0" collapsed="false">
      <c r="A271" s="12"/>
      <c r="B271" s="34"/>
      <c r="C271" s="12"/>
      <c r="D271" s="12"/>
      <c r="E271" s="12"/>
      <c r="F271" s="12"/>
      <c r="G271" s="18"/>
      <c r="H271" s="35"/>
      <c r="I271" s="12"/>
      <c r="N271" s="12"/>
      <c r="O271" s="18"/>
      <c r="P271" s="12"/>
      <c r="Q271" s="12"/>
      <c r="R271" s="12"/>
      <c r="S271" s="36"/>
      <c r="T271" s="36"/>
      <c r="U271" s="12"/>
      <c r="V271" s="12"/>
      <c r="W271" s="12"/>
      <c r="X271" s="12"/>
      <c r="Y271" s="12"/>
    </row>
    <row r="272" customFormat="false" ht="15.75" hidden="false" customHeight="false" outlineLevel="0" collapsed="false">
      <c r="A272" s="12"/>
      <c r="B272" s="34"/>
      <c r="C272" s="12"/>
      <c r="D272" s="12"/>
      <c r="E272" s="12"/>
      <c r="F272" s="12"/>
      <c r="G272" s="18"/>
      <c r="H272" s="35"/>
      <c r="I272" s="12"/>
      <c r="N272" s="12"/>
      <c r="O272" s="18"/>
      <c r="P272" s="12"/>
      <c r="Q272" s="12"/>
      <c r="R272" s="12"/>
      <c r="S272" s="36"/>
      <c r="T272" s="36"/>
      <c r="U272" s="12"/>
      <c r="V272" s="12"/>
      <c r="W272" s="12"/>
      <c r="X272" s="12"/>
      <c r="Y272" s="12"/>
    </row>
    <row r="273" customFormat="false" ht="15.75" hidden="false" customHeight="false" outlineLevel="0" collapsed="false">
      <c r="A273" s="12"/>
      <c r="B273" s="34"/>
      <c r="C273" s="12"/>
      <c r="D273" s="12"/>
      <c r="E273" s="12"/>
      <c r="F273" s="12"/>
      <c r="G273" s="18"/>
      <c r="H273" s="35"/>
      <c r="I273" s="12"/>
      <c r="N273" s="12"/>
      <c r="O273" s="18"/>
      <c r="P273" s="12"/>
      <c r="Q273" s="12"/>
      <c r="R273" s="12"/>
      <c r="S273" s="36"/>
      <c r="T273" s="36"/>
      <c r="U273" s="12"/>
      <c r="V273" s="12"/>
      <c r="W273" s="12"/>
      <c r="X273" s="12"/>
      <c r="Y273" s="12"/>
    </row>
    <row r="274" customFormat="false" ht="15.75" hidden="false" customHeight="false" outlineLevel="0" collapsed="false">
      <c r="A274" s="12"/>
      <c r="B274" s="34"/>
      <c r="C274" s="12"/>
      <c r="D274" s="12"/>
      <c r="E274" s="12"/>
      <c r="F274" s="12"/>
      <c r="G274" s="18"/>
      <c r="H274" s="35"/>
      <c r="I274" s="12"/>
      <c r="N274" s="12"/>
      <c r="O274" s="18"/>
      <c r="P274" s="12"/>
      <c r="Q274" s="12"/>
      <c r="R274" s="12"/>
      <c r="S274" s="36"/>
      <c r="T274" s="36"/>
      <c r="U274" s="12"/>
      <c r="V274" s="12"/>
      <c r="W274" s="12"/>
      <c r="X274" s="12"/>
      <c r="Y274" s="12"/>
    </row>
    <row r="275" customFormat="false" ht="15.75" hidden="false" customHeight="false" outlineLevel="0" collapsed="false">
      <c r="A275" s="12"/>
      <c r="B275" s="34"/>
      <c r="C275" s="12"/>
      <c r="D275" s="12"/>
      <c r="E275" s="12"/>
      <c r="F275" s="12"/>
      <c r="G275" s="18"/>
      <c r="H275" s="35"/>
      <c r="I275" s="12"/>
      <c r="N275" s="12"/>
      <c r="O275" s="18"/>
      <c r="P275" s="12"/>
      <c r="Q275" s="12"/>
      <c r="R275" s="12"/>
      <c r="S275" s="36"/>
      <c r="T275" s="36"/>
      <c r="U275" s="12"/>
      <c r="V275" s="12"/>
      <c r="W275" s="12"/>
      <c r="X275" s="12"/>
      <c r="Y275" s="12"/>
    </row>
    <row r="276" customFormat="false" ht="15.75" hidden="false" customHeight="false" outlineLevel="0" collapsed="false">
      <c r="A276" s="12"/>
      <c r="B276" s="34"/>
      <c r="C276" s="12"/>
      <c r="D276" s="12"/>
      <c r="E276" s="12"/>
      <c r="F276" s="12"/>
      <c r="G276" s="18"/>
      <c r="H276" s="35"/>
      <c r="I276" s="12"/>
      <c r="N276" s="12"/>
      <c r="O276" s="18"/>
      <c r="P276" s="12"/>
      <c r="Q276" s="12"/>
      <c r="R276" s="12"/>
      <c r="S276" s="36"/>
      <c r="T276" s="36"/>
      <c r="U276" s="12"/>
      <c r="V276" s="12"/>
      <c r="W276" s="12"/>
      <c r="X276" s="12"/>
      <c r="Y276" s="12"/>
    </row>
    <row r="277" customFormat="false" ht="15.75" hidden="false" customHeight="false" outlineLevel="0" collapsed="false">
      <c r="A277" s="12"/>
      <c r="B277" s="34"/>
      <c r="C277" s="12"/>
      <c r="D277" s="12"/>
      <c r="E277" s="12"/>
      <c r="F277" s="12"/>
      <c r="G277" s="18"/>
      <c r="H277" s="35"/>
      <c r="I277" s="12"/>
      <c r="N277" s="12"/>
      <c r="O277" s="18"/>
      <c r="P277" s="12"/>
      <c r="Q277" s="12"/>
      <c r="R277" s="12"/>
      <c r="S277" s="36"/>
      <c r="T277" s="36"/>
      <c r="U277" s="12"/>
      <c r="V277" s="12"/>
      <c r="W277" s="12"/>
      <c r="X277" s="12"/>
      <c r="Y277" s="12"/>
    </row>
    <row r="278" customFormat="false" ht="15.75" hidden="false" customHeight="false" outlineLevel="0" collapsed="false">
      <c r="A278" s="12"/>
      <c r="B278" s="34"/>
      <c r="C278" s="12"/>
      <c r="D278" s="12"/>
      <c r="E278" s="12"/>
      <c r="F278" s="12"/>
      <c r="G278" s="18"/>
      <c r="H278" s="35"/>
      <c r="I278" s="12"/>
      <c r="N278" s="12"/>
      <c r="O278" s="18"/>
      <c r="P278" s="12"/>
      <c r="Q278" s="12"/>
      <c r="R278" s="12"/>
      <c r="S278" s="36"/>
      <c r="T278" s="36"/>
      <c r="U278" s="12"/>
      <c r="V278" s="12"/>
      <c r="W278" s="12"/>
      <c r="X278" s="12"/>
      <c r="Y278" s="12"/>
    </row>
    <row r="279" customFormat="false" ht="15.75" hidden="false" customHeight="false" outlineLevel="0" collapsed="false">
      <c r="A279" s="12"/>
      <c r="B279" s="34"/>
      <c r="C279" s="12"/>
      <c r="D279" s="12"/>
      <c r="E279" s="12"/>
      <c r="F279" s="12"/>
      <c r="G279" s="18"/>
      <c r="H279" s="35"/>
      <c r="I279" s="12"/>
      <c r="N279" s="12"/>
      <c r="O279" s="18"/>
      <c r="P279" s="12"/>
      <c r="Q279" s="12"/>
      <c r="R279" s="12"/>
      <c r="S279" s="36"/>
      <c r="T279" s="36"/>
      <c r="U279" s="12"/>
      <c r="V279" s="12"/>
      <c r="W279" s="12"/>
      <c r="X279" s="12"/>
      <c r="Y279" s="12"/>
    </row>
    <row r="280" customFormat="false" ht="15.75" hidden="false" customHeight="false" outlineLevel="0" collapsed="false">
      <c r="A280" s="12"/>
      <c r="B280" s="34"/>
      <c r="C280" s="12"/>
      <c r="D280" s="12"/>
      <c r="E280" s="12"/>
      <c r="F280" s="12"/>
      <c r="G280" s="18"/>
      <c r="H280" s="35"/>
      <c r="I280" s="12"/>
      <c r="N280" s="12"/>
      <c r="O280" s="18"/>
      <c r="P280" s="12"/>
      <c r="Q280" s="12"/>
      <c r="R280" s="12"/>
      <c r="S280" s="36"/>
      <c r="T280" s="36"/>
      <c r="U280" s="12"/>
      <c r="V280" s="12"/>
      <c r="W280" s="12"/>
      <c r="X280" s="12"/>
      <c r="Y280" s="12"/>
    </row>
    <row r="281" customFormat="false" ht="15.75" hidden="false" customHeight="false" outlineLevel="0" collapsed="false">
      <c r="A281" s="12"/>
      <c r="B281" s="34"/>
      <c r="C281" s="12"/>
      <c r="D281" s="12"/>
      <c r="E281" s="12"/>
      <c r="F281" s="12"/>
      <c r="G281" s="18"/>
      <c r="H281" s="35"/>
      <c r="I281" s="12"/>
      <c r="N281" s="12"/>
      <c r="O281" s="18"/>
      <c r="P281" s="12"/>
      <c r="Q281" s="12"/>
      <c r="R281" s="12"/>
      <c r="S281" s="36"/>
      <c r="T281" s="36"/>
      <c r="U281" s="12"/>
      <c r="V281" s="12"/>
      <c r="W281" s="12"/>
      <c r="X281" s="12"/>
      <c r="Y281" s="12"/>
    </row>
    <row r="282" customFormat="false" ht="15.75" hidden="false" customHeight="false" outlineLevel="0" collapsed="false">
      <c r="A282" s="12"/>
      <c r="B282" s="34"/>
      <c r="C282" s="12"/>
      <c r="D282" s="12"/>
      <c r="E282" s="12"/>
      <c r="F282" s="12"/>
      <c r="G282" s="18"/>
      <c r="H282" s="35"/>
      <c r="I282" s="12"/>
      <c r="N282" s="12"/>
      <c r="O282" s="18"/>
      <c r="P282" s="12"/>
      <c r="Q282" s="12"/>
      <c r="R282" s="12"/>
      <c r="S282" s="36"/>
      <c r="T282" s="36"/>
      <c r="U282" s="12"/>
      <c r="V282" s="12"/>
      <c r="W282" s="12"/>
      <c r="X282" s="12"/>
      <c r="Y282" s="12"/>
    </row>
    <row r="283" customFormat="false" ht="15.75" hidden="false" customHeight="false" outlineLevel="0" collapsed="false">
      <c r="A283" s="12"/>
      <c r="B283" s="34"/>
      <c r="C283" s="12"/>
      <c r="D283" s="12"/>
      <c r="E283" s="12"/>
      <c r="F283" s="12"/>
      <c r="G283" s="18"/>
      <c r="H283" s="35"/>
      <c r="I283" s="12"/>
      <c r="N283" s="12"/>
      <c r="O283" s="18"/>
      <c r="P283" s="12"/>
      <c r="Q283" s="12"/>
      <c r="R283" s="12"/>
      <c r="S283" s="36"/>
      <c r="T283" s="36"/>
      <c r="U283" s="12"/>
      <c r="V283" s="12"/>
      <c r="W283" s="12"/>
      <c r="X283" s="12"/>
      <c r="Y283" s="12"/>
    </row>
    <row r="284" customFormat="false" ht="15.75" hidden="false" customHeight="false" outlineLevel="0" collapsed="false">
      <c r="A284" s="12"/>
      <c r="B284" s="34"/>
      <c r="C284" s="12"/>
      <c r="D284" s="12"/>
      <c r="E284" s="12"/>
      <c r="F284" s="12"/>
      <c r="G284" s="18"/>
      <c r="H284" s="35"/>
      <c r="I284" s="12"/>
      <c r="N284" s="12"/>
      <c r="O284" s="18"/>
      <c r="P284" s="12"/>
      <c r="Q284" s="12"/>
      <c r="R284" s="12"/>
      <c r="S284" s="36"/>
      <c r="T284" s="36"/>
      <c r="U284" s="12"/>
      <c r="V284" s="12"/>
      <c r="W284" s="12"/>
      <c r="X284" s="12"/>
      <c r="Y284" s="12"/>
    </row>
    <row r="285" customFormat="false" ht="15.75" hidden="false" customHeight="false" outlineLevel="0" collapsed="false">
      <c r="A285" s="12"/>
      <c r="B285" s="34"/>
      <c r="C285" s="12"/>
      <c r="D285" s="12"/>
      <c r="E285" s="12"/>
      <c r="F285" s="12"/>
      <c r="G285" s="18"/>
      <c r="H285" s="35"/>
      <c r="I285" s="12"/>
      <c r="N285" s="12"/>
      <c r="O285" s="18"/>
      <c r="P285" s="12"/>
      <c r="Q285" s="12"/>
      <c r="R285" s="12"/>
      <c r="S285" s="36"/>
      <c r="T285" s="36"/>
      <c r="U285" s="12"/>
      <c r="V285" s="12"/>
      <c r="W285" s="12"/>
      <c r="X285" s="12"/>
      <c r="Y285" s="12"/>
    </row>
    <row r="286" customFormat="false" ht="15.75" hidden="false" customHeight="false" outlineLevel="0" collapsed="false">
      <c r="A286" s="12"/>
      <c r="B286" s="34"/>
      <c r="C286" s="12"/>
      <c r="D286" s="12"/>
      <c r="E286" s="12"/>
      <c r="F286" s="12"/>
      <c r="G286" s="18"/>
      <c r="H286" s="35"/>
      <c r="I286" s="12"/>
      <c r="N286" s="12"/>
      <c r="O286" s="18"/>
      <c r="P286" s="12"/>
      <c r="Q286" s="12"/>
      <c r="R286" s="12"/>
      <c r="S286" s="36"/>
      <c r="T286" s="36"/>
      <c r="U286" s="12"/>
      <c r="V286" s="12"/>
      <c r="W286" s="12"/>
      <c r="X286" s="12"/>
      <c r="Y286" s="12"/>
    </row>
    <row r="287" customFormat="false" ht="15.75" hidden="false" customHeight="false" outlineLevel="0" collapsed="false">
      <c r="A287" s="12"/>
      <c r="B287" s="34"/>
      <c r="C287" s="12"/>
      <c r="D287" s="12"/>
      <c r="E287" s="12"/>
      <c r="F287" s="12"/>
      <c r="G287" s="18"/>
      <c r="H287" s="35"/>
      <c r="I287" s="12"/>
      <c r="N287" s="12"/>
      <c r="O287" s="18"/>
      <c r="P287" s="12"/>
      <c r="Q287" s="12"/>
      <c r="R287" s="12"/>
      <c r="S287" s="36"/>
      <c r="T287" s="36"/>
      <c r="U287" s="12"/>
      <c r="V287" s="12"/>
      <c r="W287" s="12"/>
      <c r="X287" s="12"/>
      <c r="Y287" s="12"/>
    </row>
    <row r="288" customFormat="false" ht="15.75" hidden="false" customHeight="false" outlineLevel="0" collapsed="false">
      <c r="A288" s="12"/>
      <c r="B288" s="34"/>
      <c r="C288" s="12"/>
      <c r="D288" s="12"/>
      <c r="E288" s="12"/>
      <c r="F288" s="12"/>
      <c r="G288" s="18"/>
      <c r="H288" s="35"/>
      <c r="I288" s="12"/>
      <c r="N288" s="12"/>
      <c r="O288" s="18"/>
      <c r="P288" s="12"/>
      <c r="Q288" s="12"/>
      <c r="R288" s="12"/>
      <c r="S288" s="36"/>
      <c r="T288" s="36"/>
      <c r="U288" s="12"/>
      <c r="V288" s="12"/>
      <c r="W288" s="12"/>
      <c r="X288" s="12"/>
      <c r="Y288" s="12"/>
    </row>
    <row r="289" customFormat="false" ht="15.75" hidden="false" customHeight="false" outlineLevel="0" collapsed="false">
      <c r="A289" s="12"/>
      <c r="B289" s="34"/>
      <c r="C289" s="12"/>
      <c r="D289" s="12"/>
      <c r="E289" s="12"/>
      <c r="F289" s="12"/>
      <c r="G289" s="18"/>
      <c r="H289" s="35"/>
      <c r="I289" s="12"/>
      <c r="N289" s="12"/>
      <c r="O289" s="18"/>
      <c r="P289" s="12"/>
      <c r="Q289" s="12"/>
      <c r="R289" s="12"/>
      <c r="S289" s="36"/>
      <c r="T289" s="36"/>
      <c r="U289" s="12"/>
      <c r="V289" s="12"/>
      <c r="W289" s="12"/>
      <c r="X289" s="12"/>
      <c r="Y289" s="12"/>
    </row>
    <row r="290" customFormat="false" ht="15.75" hidden="false" customHeight="false" outlineLevel="0" collapsed="false">
      <c r="A290" s="12"/>
      <c r="B290" s="34"/>
      <c r="C290" s="12"/>
      <c r="D290" s="12"/>
      <c r="E290" s="12"/>
      <c r="F290" s="12"/>
      <c r="G290" s="18"/>
      <c r="H290" s="35"/>
      <c r="I290" s="12"/>
      <c r="N290" s="12"/>
      <c r="O290" s="18"/>
      <c r="P290" s="12"/>
      <c r="Q290" s="12"/>
      <c r="R290" s="12"/>
      <c r="S290" s="36"/>
      <c r="T290" s="36"/>
      <c r="U290" s="12"/>
      <c r="V290" s="12"/>
      <c r="W290" s="12"/>
      <c r="X290" s="12"/>
      <c r="Y290" s="12"/>
    </row>
    <row r="291" customFormat="false" ht="15.75" hidden="false" customHeight="false" outlineLevel="0" collapsed="false">
      <c r="A291" s="12"/>
      <c r="B291" s="34"/>
      <c r="C291" s="12"/>
      <c r="D291" s="12"/>
      <c r="E291" s="12"/>
      <c r="F291" s="12"/>
      <c r="G291" s="18"/>
      <c r="H291" s="35"/>
      <c r="I291" s="12"/>
      <c r="N291" s="12"/>
      <c r="O291" s="18"/>
      <c r="P291" s="12"/>
      <c r="Q291" s="12"/>
      <c r="R291" s="12"/>
      <c r="S291" s="36"/>
      <c r="T291" s="36"/>
      <c r="U291" s="12"/>
      <c r="V291" s="12"/>
      <c r="W291" s="12"/>
      <c r="X291" s="12"/>
      <c r="Y291" s="12"/>
    </row>
    <row r="292" customFormat="false" ht="15.75" hidden="false" customHeight="false" outlineLevel="0" collapsed="false">
      <c r="A292" s="12"/>
      <c r="B292" s="34"/>
      <c r="C292" s="12"/>
      <c r="D292" s="12"/>
      <c r="E292" s="12"/>
      <c r="F292" s="12"/>
      <c r="G292" s="18"/>
      <c r="H292" s="35"/>
      <c r="I292" s="12"/>
      <c r="N292" s="12"/>
      <c r="O292" s="18"/>
      <c r="P292" s="12"/>
      <c r="Q292" s="12"/>
      <c r="R292" s="12"/>
      <c r="S292" s="36"/>
      <c r="T292" s="36"/>
      <c r="U292" s="12"/>
      <c r="V292" s="12"/>
      <c r="W292" s="12"/>
      <c r="X292" s="12"/>
      <c r="Y292" s="12"/>
    </row>
    <row r="293" customFormat="false" ht="15.75" hidden="false" customHeight="false" outlineLevel="0" collapsed="false">
      <c r="A293" s="12"/>
      <c r="B293" s="34"/>
      <c r="C293" s="12"/>
      <c r="D293" s="12"/>
      <c r="E293" s="12"/>
      <c r="F293" s="12"/>
      <c r="G293" s="18"/>
      <c r="H293" s="35"/>
      <c r="I293" s="12"/>
      <c r="N293" s="12"/>
      <c r="O293" s="18"/>
      <c r="P293" s="12"/>
      <c r="Q293" s="12"/>
      <c r="R293" s="12"/>
      <c r="S293" s="36"/>
      <c r="T293" s="36"/>
      <c r="U293" s="12"/>
      <c r="V293" s="12"/>
      <c r="W293" s="12"/>
      <c r="X293" s="12"/>
      <c r="Y293" s="12"/>
    </row>
    <row r="294" customFormat="false" ht="15.75" hidden="false" customHeight="false" outlineLevel="0" collapsed="false">
      <c r="A294" s="12"/>
      <c r="B294" s="34"/>
      <c r="C294" s="12"/>
      <c r="D294" s="12"/>
      <c r="E294" s="12"/>
      <c r="F294" s="12"/>
      <c r="G294" s="18"/>
      <c r="H294" s="35"/>
      <c r="I294" s="12"/>
      <c r="N294" s="12"/>
      <c r="O294" s="18"/>
      <c r="P294" s="12"/>
      <c r="Q294" s="12"/>
      <c r="R294" s="12"/>
      <c r="S294" s="36"/>
      <c r="T294" s="36"/>
      <c r="U294" s="12"/>
      <c r="V294" s="12"/>
      <c r="W294" s="12"/>
      <c r="X294" s="12"/>
      <c r="Y294" s="12"/>
    </row>
    <row r="295" customFormat="false" ht="15.75" hidden="false" customHeight="false" outlineLevel="0" collapsed="false">
      <c r="A295" s="12"/>
      <c r="B295" s="34"/>
      <c r="C295" s="12"/>
      <c r="D295" s="12"/>
      <c r="E295" s="12"/>
      <c r="F295" s="12"/>
      <c r="G295" s="18"/>
      <c r="H295" s="35"/>
      <c r="I295" s="12"/>
      <c r="N295" s="12"/>
      <c r="O295" s="18"/>
      <c r="P295" s="12"/>
      <c r="Q295" s="12"/>
      <c r="R295" s="12"/>
      <c r="S295" s="36"/>
      <c r="T295" s="36"/>
      <c r="U295" s="12"/>
      <c r="V295" s="12"/>
      <c r="W295" s="12"/>
      <c r="X295" s="12"/>
      <c r="Y295" s="12"/>
    </row>
    <row r="296" customFormat="false" ht="15.75" hidden="false" customHeight="false" outlineLevel="0" collapsed="false">
      <c r="A296" s="12"/>
      <c r="B296" s="34"/>
      <c r="C296" s="12"/>
      <c r="D296" s="12"/>
      <c r="E296" s="12"/>
      <c r="F296" s="12"/>
      <c r="G296" s="18"/>
      <c r="H296" s="35"/>
      <c r="I296" s="12"/>
      <c r="N296" s="12"/>
      <c r="O296" s="18"/>
      <c r="P296" s="12"/>
      <c r="Q296" s="12"/>
      <c r="R296" s="12"/>
      <c r="S296" s="36"/>
      <c r="T296" s="36"/>
      <c r="U296" s="12"/>
      <c r="V296" s="12"/>
      <c r="W296" s="12"/>
      <c r="X296" s="12"/>
      <c r="Y296" s="12"/>
    </row>
    <row r="297" customFormat="false" ht="15.75" hidden="false" customHeight="false" outlineLevel="0" collapsed="false">
      <c r="A297" s="12"/>
      <c r="B297" s="34"/>
      <c r="C297" s="12"/>
      <c r="D297" s="12"/>
      <c r="E297" s="12"/>
      <c r="F297" s="12"/>
      <c r="G297" s="18"/>
      <c r="H297" s="35"/>
      <c r="I297" s="12"/>
      <c r="N297" s="12"/>
      <c r="O297" s="18"/>
      <c r="P297" s="12"/>
      <c r="Q297" s="12"/>
      <c r="R297" s="12"/>
      <c r="S297" s="36"/>
      <c r="T297" s="36"/>
      <c r="U297" s="12"/>
      <c r="V297" s="12"/>
      <c r="W297" s="12"/>
      <c r="X297" s="12"/>
      <c r="Y297" s="12"/>
    </row>
    <row r="298" customFormat="false" ht="15.75" hidden="false" customHeight="false" outlineLevel="0" collapsed="false">
      <c r="A298" s="12"/>
      <c r="B298" s="34"/>
      <c r="C298" s="12"/>
      <c r="D298" s="12"/>
      <c r="E298" s="12"/>
      <c r="F298" s="12"/>
      <c r="G298" s="18"/>
      <c r="H298" s="35"/>
      <c r="I298" s="12"/>
      <c r="N298" s="12"/>
      <c r="O298" s="18"/>
      <c r="P298" s="12"/>
      <c r="Q298" s="12"/>
      <c r="R298" s="12"/>
      <c r="S298" s="36"/>
      <c r="T298" s="36"/>
      <c r="U298" s="12"/>
      <c r="V298" s="12"/>
      <c r="W298" s="12"/>
      <c r="X298" s="12"/>
      <c r="Y298" s="12"/>
    </row>
    <row r="299" customFormat="false" ht="15.75" hidden="false" customHeight="false" outlineLevel="0" collapsed="false">
      <c r="A299" s="12"/>
      <c r="B299" s="34"/>
      <c r="C299" s="12"/>
      <c r="D299" s="12"/>
      <c r="E299" s="12"/>
      <c r="F299" s="12"/>
      <c r="G299" s="18"/>
      <c r="H299" s="35"/>
      <c r="I299" s="12"/>
      <c r="N299" s="12"/>
      <c r="O299" s="18"/>
      <c r="P299" s="12"/>
      <c r="Q299" s="12"/>
      <c r="R299" s="12"/>
      <c r="S299" s="36"/>
      <c r="T299" s="36"/>
      <c r="U299" s="12"/>
      <c r="V299" s="12"/>
      <c r="W299" s="12"/>
      <c r="X299" s="12"/>
      <c r="Y299" s="12"/>
    </row>
    <row r="300" customFormat="false" ht="15.75" hidden="false" customHeight="false" outlineLevel="0" collapsed="false">
      <c r="A300" s="12"/>
      <c r="B300" s="34"/>
      <c r="C300" s="12"/>
      <c r="D300" s="12"/>
      <c r="E300" s="12"/>
      <c r="F300" s="12"/>
      <c r="G300" s="18"/>
      <c r="H300" s="35"/>
      <c r="I300" s="12"/>
      <c r="N300" s="12"/>
      <c r="O300" s="18"/>
      <c r="P300" s="12"/>
      <c r="Q300" s="12"/>
      <c r="R300" s="12"/>
      <c r="S300" s="36"/>
      <c r="T300" s="36"/>
      <c r="U300" s="12"/>
      <c r="V300" s="12"/>
      <c r="W300" s="12"/>
      <c r="X300" s="12"/>
      <c r="Y300" s="12"/>
    </row>
    <row r="301" customFormat="false" ht="15.75" hidden="false" customHeight="false" outlineLevel="0" collapsed="false">
      <c r="A301" s="12"/>
      <c r="B301" s="34"/>
      <c r="C301" s="12"/>
      <c r="D301" s="12"/>
      <c r="E301" s="12"/>
      <c r="F301" s="12"/>
      <c r="G301" s="18"/>
      <c r="H301" s="35"/>
      <c r="I301" s="12"/>
      <c r="N301" s="12"/>
      <c r="O301" s="18"/>
      <c r="P301" s="12"/>
      <c r="Q301" s="12"/>
      <c r="R301" s="12"/>
      <c r="S301" s="36"/>
      <c r="T301" s="36"/>
      <c r="U301" s="12"/>
      <c r="V301" s="12"/>
      <c r="W301" s="12"/>
      <c r="X301" s="12"/>
      <c r="Y301" s="12"/>
    </row>
    <row r="302" customFormat="false" ht="15.75" hidden="false" customHeight="false" outlineLevel="0" collapsed="false">
      <c r="A302" s="12"/>
      <c r="B302" s="34"/>
      <c r="C302" s="12"/>
      <c r="D302" s="12"/>
      <c r="E302" s="12"/>
      <c r="F302" s="12"/>
      <c r="G302" s="18"/>
      <c r="H302" s="35"/>
      <c r="I302" s="12"/>
      <c r="N302" s="12"/>
      <c r="O302" s="18"/>
      <c r="P302" s="12"/>
      <c r="Q302" s="12"/>
      <c r="R302" s="12"/>
      <c r="S302" s="36"/>
      <c r="T302" s="36"/>
      <c r="U302" s="12"/>
      <c r="V302" s="12"/>
      <c r="W302" s="12"/>
      <c r="X302" s="12"/>
      <c r="Y302" s="12"/>
    </row>
    <row r="303" customFormat="false" ht="15.75" hidden="false" customHeight="false" outlineLevel="0" collapsed="false">
      <c r="A303" s="12"/>
      <c r="B303" s="34"/>
      <c r="C303" s="12"/>
      <c r="D303" s="12"/>
      <c r="E303" s="12"/>
      <c r="F303" s="12"/>
      <c r="G303" s="18"/>
      <c r="H303" s="35"/>
      <c r="I303" s="12"/>
      <c r="N303" s="12"/>
      <c r="O303" s="18"/>
      <c r="P303" s="12"/>
      <c r="Q303" s="12"/>
      <c r="R303" s="12"/>
      <c r="S303" s="36"/>
      <c r="T303" s="36"/>
      <c r="U303" s="12"/>
      <c r="V303" s="12"/>
      <c r="W303" s="12"/>
      <c r="X303" s="12"/>
      <c r="Y303" s="12"/>
    </row>
    <row r="304" customFormat="false" ht="15.75" hidden="false" customHeight="false" outlineLevel="0" collapsed="false">
      <c r="A304" s="12"/>
      <c r="B304" s="34"/>
      <c r="C304" s="12"/>
      <c r="D304" s="12"/>
      <c r="E304" s="12"/>
      <c r="F304" s="12"/>
      <c r="G304" s="18"/>
      <c r="H304" s="35"/>
      <c r="I304" s="12"/>
      <c r="N304" s="12"/>
      <c r="O304" s="18"/>
      <c r="P304" s="12"/>
      <c r="Q304" s="12"/>
      <c r="R304" s="12"/>
      <c r="S304" s="36"/>
      <c r="T304" s="36"/>
      <c r="U304" s="12"/>
      <c r="V304" s="12"/>
      <c r="W304" s="12"/>
      <c r="X304" s="12"/>
      <c r="Y304" s="12"/>
    </row>
    <row r="305" customFormat="false" ht="15.75" hidden="false" customHeight="false" outlineLevel="0" collapsed="false">
      <c r="A305" s="12"/>
      <c r="B305" s="34"/>
      <c r="C305" s="12"/>
      <c r="D305" s="12"/>
      <c r="E305" s="12"/>
      <c r="F305" s="12"/>
      <c r="G305" s="18"/>
      <c r="H305" s="35"/>
      <c r="I305" s="12"/>
      <c r="N305" s="12"/>
      <c r="O305" s="18"/>
      <c r="P305" s="12"/>
      <c r="Q305" s="12"/>
      <c r="R305" s="12"/>
      <c r="S305" s="36"/>
      <c r="T305" s="36"/>
      <c r="U305" s="12"/>
      <c r="V305" s="12"/>
      <c r="W305" s="12"/>
      <c r="X305" s="12"/>
      <c r="Y305" s="12"/>
    </row>
    <row r="306" customFormat="false" ht="15.75" hidden="false" customHeight="false" outlineLevel="0" collapsed="false">
      <c r="A306" s="12"/>
      <c r="B306" s="34"/>
      <c r="C306" s="12"/>
      <c r="D306" s="12"/>
      <c r="E306" s="12"/>
      <c r="F306" s="12"/>
      <c r="G306" s="18"/>
      <c r="H306" s="35"/>
      <c r="I306" s="12"/>
      <c r="N306" s="12"/>
      <c r="O306" s="18"/>
      <c r="P306" s="12"/>
      <c r="Q306" s="12"/>
      <c r="R306" s="12"/>
      <c r="S306" s="36"/>
      <c r="T306" s="36"/>
      <c r="U306" s="12"/>
      <c r="V306" s="12"/>
      <c r="W306" s="12"/>
      <c r="X306" s="12"/>
      <c r="Y306" s="12"/>
    </row>
    <row r="307" customFormat="false" ht="15.75" hidden="false" customHeight="false" outlineLevel="0" collapsed="false">
      <c r="A307" s="12"/>
      <c r="B307" s="34"/>
      <c r="C307" s="12"/>
      <c r="D307" s="12"/>
      <c r="E307" s="12"/>
      <c r="F307" s="12"/>
      <c r="G307" s="18"/>
      <c r="H307" s="35"/>
      <c r="I307" s="12"/>
      <c r="N307" s="12"/>
      <c r="O307" s="18"/>
      <c r="P307" s="12"/>
      <c r="Q307" s="12"/>
      <c r="R307" s="12"/>
      <c r="S307" s="36"/>
      <c r="T307" s="36"/>
      <c r="U307" s="12"/>
      <c r="V307" s="12"/>
      <c r="W307" s="12"/>
      <c r="X307" s="12"/>
      <c r="Y307" s="12"/>
    </row>
    <row r="308" customFormat="false" ht="15.75" hidden="false" customHeight="false" outlineLevel="0" collapsed="false">
      <c r="A308" s="12"/>
      <c r="B308" s="34"/>
      <c r="C308" s="12"/>
      <c r="D308" s="12"/>
      <c r="E308" s="12"/>
      <c r="F308" s="12"/>
      <c r="G308" s="18"/>
      <c r="H308" s="35"/>
      <c r="I308" s="12"/>
      <c r="N308" s="12"/>
      <c r="O308" s="18"/>
      <c r="P308" s="12"/>
      <c r="Q308" s="12"/>
      <c r="R308" s="12"/>
      <c r="S308" s="36"/>
      <c r="T308" s="36"/>
      <c r="U308" s="12"/>
      <c r="V308" s="12"/>
      <c r="W308" s="12"/>
      <c r="X308" s="12"/>
      <c r="Y308" s="12"/>
    </row>
    <row r="309" customFormat="false" ht="15.75" hidden="false" customHeight="false" outlineLevel="0" collapsed="false">
      <c r="A309" s="12"/>
      <c r="B309" s="34"/>
      <c r="C309" s="12"/>
      <c r="D309" s="12"/>
      <c r="E309" s="12"/>
      <c r="F309" s="12"/>
      <c r="G309" s="18"/>
      <c r="H309" s="35"/>
      <c r="I309" s="12"/>
      <c r="N309" s="12"/>
      <c r="O309" s="18"/>
      <c r="P309" s="12"/>
      <c r="Q309" s="12"/>
      <c r="R309" s="12"/>
      <c r="S309" s="36"/>
      <c r="T309" s="36"/>
      <c r="U309" s="12"/>
      <c r="V309" s="12"/>
      <c r="W309" s="12"/>
      <c r="X309" s="12"/>
      <c r="Y309" s="12"/>
    </row>
    <row r="310" customFormat="false" ht="15.75" hidden="false" customHeight="false" outlineLevel="0" collapsed="false">
      <c r="A310" s="12"/>
      <c r="B310" s="34"/>
      <c r="C310" s="12"/>
      <c r="D310" s="12"/>
      <c r="E310" s="12"/>
      <c r="F310" s="12"/>
      <c r="G310" s="18"/>
      <c r="H310" s="35"/>
      <c r="I310" s="12"/>
      <c r="N310" s="12"/>
      <c r="O310" s="18"/>
      <c r="P310" s="12"/>
      <c r="Q310" s="12"/>
      <c r="R310" s="12"/>
      <c r="S310" s="36"/>
      <c r="T310" s="36"/>
      <c r="U310" s="12"/>
      <c r="V310" s="12"/>
      <c r="W310" s="12"/>
      <c r="X310" s="12"/>
      <c r="Y310" s="12"/>
    </row>
    <row r="311" customFormat="false" ht="15.75" hidden="false" customHeight="false" outlineLevel="0" collapsed="false">
      <c r="A311" s="12"/>
      <c r="B311" s="34"/>
      <c r="C311" s="12"/>
      <c r="D311" s="12"/>
      <c r="E311" s="12"/>
      <c r="F311" s="12"/>
      <c r="G311" s="18"/>
      <c r="H311" s="35"/>
      <c r="I311" s="12"/>
      <c r="N311" s="12"/>
      <c r="O311" s="18"/>
      <c r="P311" s="12"/>
      <c r="Q311" s="12"/>
      <c r="R311" s="12"/>
      <c r="S311" s="36"/>
      <c r="T311" s="36"/>
      <c r="U311" s="12"/>
      <c r="V311" s="12"/>
      <c r="W311" s="12"/>
      <c r="X311" s="12"/>
      <c r="Y311" s="12"/>
    </row>
    <row r="312" customFormat="false" ht="15.75" hidden="false" customHeight="false" outlineLevel="0" collapsed="false">
      <c r="A312" s="12"/>
      <c r="B312" s="34"/>
      <c r="C312" s="12"/>
      <c r="D312" s="12"/>
      <c r="E312" s="12"/>
      <c r="F312" s="12"/>
      <c r="G312" s="18"/>
      <c r="H312" s="35"/>
      <c r="I312" s="12"/>
      <c r="N312" s="12"/>
      <c r="O312" s="18"/>
      <c r="P312" s="12"/>
      <c r="Q312" s="12"/>
      <c r="R312" s="12"/>
      <c r="S312" s="36"/>
      <c r="T312" s="36"/>
      <c r="U312" s="12"/>
      <c r="V312" s="12"/>
      <c r="W312" s="12"/>
      <c r="X312" s="12"/>
      <c r="Y312" s="12"/>
    </row>
    <row r="313" customFormat="false" ht="15.75" hidden="false" customHeight="false" outlineLevel="0" collapsed="false">
      <c r="A313" s="12"/>
      <c r="B313" s="34"/>
      <c r="C313" s="12"/>
      <c r="D313" s="12"/>
      <c r="E313" s="12"/>
      <c r="F313" s="12"/>
      <c r="G313" s="18"/>
      <c r="H313" s="35"/>
      <c r="I313" s="12"/>
      <c r="N313" s="12"/>
      <c r="O313" s="18"/>
      <c r="P313" s="12"/>
      <c r="Q313" s="12"/>
      <c r="R313" s="12"/>
      <c r="S313" s="36"/>
      <c r="T313" s="36"/>
      <c r="U313" s="12"/>
      <c r="V313" s="12"/>
      <c r="W313" s="12"/>
      <c r="X313" s="12"/>
      <c r="Y313" s="12"/>
    </row>
    <row r="314" customFormat="false" ht="15.75" hidden="false" customHeight="false" outlineLevel="0" collapsed="false">
      <c r="A314" s="12"/>
      <c r="B314" s="34"/>
      <c r="C314" s="12"/>
      <c r="D314" s="12"/>
      <c r="E314" s="12"/>
      <c r="F314" s="12"/>
      <c r="G314" s="18"/>
      <c r="H314" s="35"/>
      <c r="I314" s="12"/>
      <c r="N314" s="12"/>
      <c r="O314" s="18"/>
      <c r="P314" s="12"/>
      <c r="Q314" s="12"/>
      <c r="R314" s="12"/>
      <c r="S314" s="36"/>
      <c r="T314" s="36"/>
      <c r="U314" s="12"/>
      <c r="V314" s="12"/>
      <c r="W314" s="12"/>
      <c r="X314" s="12"/>
      <c r="Y314" s="12"/>
    </row>
    <row r="315" customFormat="false" ht="15.75" hidden="false" customHeight="false" outlineLevel="0" collapsed="false">
      <c r="A315" s="12"/>
      <c r="B315" s="34"/>
      <c r="C315" s="12"/>
      <c r="D315" s="12"/>
      <c r="E315" s="12"/>
      <c r="F315" s="12"/>
      <c r="G315" s="18"/>
      <c r="H315" s="35"/>
      <c r="I315" s="12"/>
      <c r="N315" s="12"/>
      <c r="O315" s="18"/>
      <c r="P315" s="12"/>
      <c r="Q315" s="12"/>
      <c r="R315" s="12"/>
      <c r="S315" s="36"/>
      <c r="T315" s="36"/>
      <c r="U315" s="12"/>
      <c r="V315" s="12"/>
      <c r="W315" s="12"/>
      <c r="X315" s="12"/>
      <c r="Y315" s="12"/>
    </row>
    <row r="316" customFormat="false" ht="15.75" hidden="false" customHeight="false" outlineLevel="0" collapsed="false">
      <c r="A316" s="12"/>
      <c r="B316" s="34"/>
      <c r="C316" s="12"/>
      <c r="D316" s="12"/>
      <c r="E316" s="12"/>
      <c r="F316" s="12"/>
      <c r="G316" s="18"/>
      <c r="H316" s="35"/>
      <c r="I316" s="12"/>
      <c r="N316" s="12"/>
      <c r="O316" s="18"/>
      <c r="P316" s="12"/>
      <c r="Q316" s="12"/>
      <c r="R316" s="12"/>
      <c r="S316" s="36"/>
      <c r="T316" s="36"/>
      <c r="U316" s="12"/>
      <c r="V316" s="12"/>
      <c r="W316" s="12"/>
      <c r="X316" s="12"/>
      <c r="Y316" s="12"/>
    </row>
    <row r="317" customFormat="false" ht="15.75" hidden="false" customHeight="false" outlineLevel="0" collapsed="false">
      <c r="A317" s="12"/>
      <c r="B317" s="34"/>
      <c r="C317" s="12"/>
      <c r="D317" s="12"/>
      <c r="E317" s="12"/>
      <c r="F317" s="12"/>
      <c r="G317" s="18"/>
      <c r="H317" s="35"/>
      <c r="I317" s="12"/>
      <c r="N317" s="12"/>
      <c r="O317" s="18"/>
      <c r="P317" s="12"/>
      <c r="Q317" s="12"/>
      <c r="R317" s="12"/>
      <c r="S317" s="36"/>
      <c r="T317" s="36"/>
      <c r="U317" s="12"/>
      <c r="V317" s="12"/>
      <c r="W317" s="12"/>
      <c r="X317" s="12"/>
      <c r="Y317" s="12"/>
    </row>
    <row r="318" customFormat="false" ht="15.75" hidden="false" customHeight="false" outlineLevel="0" collapsed="false">
      <c r="A318" s="12"/>
      <c r="B318" s="34"/>
      <c r="C318" s="12"/>
      <c r="D318" s="12"/>
      <c r="E318" s="12"/>
      <c r="F318" s="12"/>
      <c r="G318" s="18"/>
      <c r="H318" s="35"/>
      <c r="I318" s="12"/>
      <c r="N318" s="12"/>
      <c r="O318" s="18"/>
      <c r="P318" s="12"/>
      <c r="Q318" s="12"/>
      <c r="R318" s="12"/>
      <c r="S318" s="36"/>
      <c r="T318" s="36"/>
      <c r="U318" s="12"/>
      <c r="V318" s="12"/>
      <c r="W318" s="12"/>
      <c r="X318" s="12"/>
      <c r="Y318" s="12"/>
    </row>
    <row r="319" customFormat="false" ht="15.75" hidden="false" customHeight="false" outlineLevel="0" collapsed="false">
      <c r="A319" s="12"/>
      <c r="B319" s="34"/>
      <c r="C319" s="12"/>
      <c r="D319" s="12"/>
      <c r="E319" s="12"/>
      <c r="F319" s="12"/>
      <c r="G319" s="18"/>
      <c r="H319" s="35"/>
      <c r="I319" s="12"/>
      <c r="N319" s="12"/>
      <c r="O319" s="18"/>
      <c r="P319" s="12"/>
      <c r="Q319" s="12"/>
      <c r="R319" s="12"/>
      <c r="S319" s="36"/>
      <c r="T319" s="36"/>
      <c r="U319" s="12"/>
      <c r="V319" s="12"/>
      <c r="W319" s="12"/>
      <c r="X319" s="12"/>
      <c r="Y319" s="12"/>
    </row>
    <row r="320" customFormat="false" ht="15.75" hidden="false" customHeight="false" outlineLevel="0" collapsed="false">
      <c r="A320" s="12"/>
      <c r="B320" s="34"/>
      <c r="C320" s="12"/>
      <c r="D320" s="12"/>
      <c r="E320" s="12"/>
      <c r="F320" s="12"/>
      <c r="G320" s="18"/>
      <c r="H320" s="35"/>
      <c r="I320" s="12"/>
      <c r="N320" s="12"/>
      <c r="O320" s="18"/>
      <c r="P320" s="12"/>
      <c r="Q320" s="12"/>
      <c r="R320" s="12"/>
      <c r="S320" s="36"/>
      <c r="T320" s="36"/>
      <c r="U320" s="12"/>
      <c r="V320" s="12"/>
      <c r="W320" s="12"/>
      <c r="X320" s="12"/>
      <c r="Y320" s="12"/>
    </row>
    <row r="321" customFormat="false" ht="15.75" hidden="false" customHeight="false" outlineLevel="0" collapsed="false">
      <c r="A321" s="12"/>
      <c r="B321" s="34"/>
      <c r="C321" s="12"/>
      <c r="D321" s="12"/>
      <c r="E321" s="12"/>
      <c r="F321" s="12"/>
      <c r="G321" s="18"/>
      <c r="H321" s="35"/>
      <c r="I321" s="12"/>
      <c r="N321" s="12"/>
      <c r="O321" s="18"/>
      <c r="P321" s="12"/>
      <c r="Q321" s="12"/>
      <c r="R321" s="12"/>
      <c r="S321" s="36"/>
      <c r="T321" s="36"/>
      <c r="U321" s="12"/>
      <c r="V321" s="12"/>
      <c r="W321" s="12"/>
      <c r="X321" s="12"/>
      <c r="Y321" s="12"/>
    </row>
    <row r="322" customFormat="false" ht="15.75" hidden="false" customHeight="false" outlineLevel="0" collapsed="false">
      <c r="A322" s="12"/>
      <c r="B322" s="34"/>
      <c r="C322" s="12"/>
      <c r="D322" s="12"/>
      <c r="E322" s="12"/>
      <c r="F322" s="12"/>
      <c r="G322" s="18"/>
      <c r="H322" s="35"/>
      <c r="I322" s="12"/>
      <c r="N322" s="12"/>
      <c r="O322" s="18"/>
      <c r="P322" s="12"/>
      <c r="Q322" s="12"/>
      <c r="R322" s="12"/>
      <c r="S322" s="36"/>
      <c r="T322" s="36"/>
      <c r="U322" s="12"/>
      <c r="V322" s="12"/>
      <c r="W322" s="12"/>
      <c r="X322" s="12"/>
      <c r="Y322" s="12"/>
    </row>
    <row r="323" customFormat="false" ht="15.75" hidden="false" customHeight="false" outlineLevel="0" collapsed="false">
      <c r="A323" s="12"/>
      <c r="B323" s="34"/>
      <c r="C323" s="12"/>
      <c r="D323" s="12"/>
      <c r="E323" s="12"/>
      <c r="F323" s="12"/>
      <c r="G323" s="18"/>
      <c r="H323" s="35"/>
      <c r="I323" s="12"/>
      <c r="N323" s="12"/>
      <c r="O323" s="18"/>
      <c r="P323" s="12"/>
      <c r="Q323" s="12"/>
      <c r="R323" s="12"/>
      <c r="S323" s="36"/>
      <c r="T323" s="36"/>
      <c r="U323" s="12"/>
      <c r="V323" s="12"/>
      <c r="W323" s="12"/>
      <c r="X323" s="12"/>
      <c r="Y323" s="12"/>
    </row>
    <row r="324" customFormat="false" ht="15.75" hidden="false" customHeight="false" outlineLevel="0" collapsed="false">
      <c r="A324" s="12"/>
      <c r="B324" s="34"/>
      <c r="C324" s="12"/>
      <c r="D324" s="12"/>
      <c r="E324" s="12"/>
      <c r="F324" s="12"/>
      <c r="G324" s="18"/>
      <c r="H324" s="35"/>
      <c r="I324" s="12"/>
      <c r="N324" s="12"/>
      <c r="O324" s="18"/>
      <c r="P324" s="12"/>
      <c r="Q324" s="12"/>
      <c r="R324" s="12"/>
      <c r="S324" s="36"/>
      <c r="T324" s="36"/>
      <c r="U324" s="12"/>
      <c r="V324" s="12"/>
      <c r="W324" s="12"/>
      <c r="X324" s="12"/>
      <c r="Y324" s="12"/>
    </row>
    <row r="325" customFormat="false" ht="15.75" hidden="false" customHeight="false" outlineLevel="0" collapsed="false">
      <c r="A325" s="12"/>
      <c r="B325" s="34"/>
      <c r="C325" s="12"/>
      <c r="D325" s="12"/>
      <c r="E325" s="12"/>
      <c r="F325" s="12"/>
      <c r="G325" s="18"/>
      <c r="H325" s="35"/>
      <c r="I325" s="12"/>
      <c r="N325" s="12"/>
      <c r="O325" s="18"/>
      <c r="P325" s="12"/>
      <c r="Q325" s="12"/>
      <c r="R325" s="12"/>
      <c r="S325" s="36"/>
      <c r="T325" s="36"/>
      <c r="U325" s="12"/>
      <c r="V325" s="12"/>
      <c r="W325" s="12"/>
      <c r="X325" s="12"/>
      <c r="Y325" s="12"/>
    </row>
    <row r="326" customFormat="false" ht="15.75" hidden="false" customHeight="false" outlineLevel="0" collapsed="false">
      <c r="A326" s="12"/>
      <c r="B326" s="34"/>
      <c r="C326" s="12"/>
      <c r="D326" s="12"/>
      <c r="E326" s="12"/>
      <c r="F326" s="12"/>
      <c r="G326" s="18"/>
      <c r="H326" s="35"/>
      <c r="I326" s="12"/>
      <c r="N326" s="12"/>
      <c r="O326" s="18"/>
      <c r="P326" s="12"/>
      <c r="Q326" s="12"/>
      <c r="R326" s="12"/>
      <c r="S326" s="36"/>
      <c r="T326" s="36"/>
      <c r="U326" s="12"/>
      <c r="V326" s="12"/>
      <c r="W326" s="12"/>
      <c r="X326" s="12"/>
      <c r="Y326" s="12"/>
    </row>
    <row r="327" customFormat="false" ht="15.75" hidden="false" customHeight="false" outlineLevel="0" collapsed="false">
      <c r="A327" s="12"/>
      <c r="B327" s="34"/>
      <c r="C327" s="12"/>
      <c r="D327" s="12"/>
      <c r="E327" s="12"/>
      <c r="F327" s="12"/>
      <c r="G327" s="18"/>
      <c r="H327" s="35"/>
      <c r="I327" s="12"/>
      <c r="N327" s="12"/>
      <c r="O327" s="18"/>
      <c r="P327" s="12"/>
      <c r="Q327" s="12"/>
      <c r="R327" s="12"/>
      <c r="S327" s="36"/>
      <c r="T327" s="36"/>
      <c r="U327" s="12"/>
      <c r="V327" s="12"/>
      <c r="W327" s="12"/>
      <c r="X327" s="12"/>
      <c r="Y327" s="12"/>
    </row>
    <row r="328" customFormat="false" ht="15.75" hidden="false" customHeight="false" outlineLevel="0" collapsed="false">
      <c r="A328" s="12"/>
      <c r="B328" s="34"/>
      <c r="C328" s="12"/>
      <c r="D328" s="12"/>
      <c r="E328" s="12"/>
      <c r="F328" s="12"/>
      <c r="G328" s="18"/>
      <c r="H328" s="35"/>
      <c r="I328" s="12"/>
      <c r="N328" s="12"/>
      <c r="O328" s="18"/>
      <c r="P328" s="12"/>
      <c r="Q328" s="12"/>
      <c r="R328" s="12"/>
      <c r="S328" s="36"/>
      <c r="T328" s="36"/>
      <c r="U328" s="12"/>
      <c r="V328" s="12"/>
      <c r="W328" s="12"/>
      <c r="X328" s="12"/>
      <c r="Y328" s="12"/>
    </row>
    <row r="329" customFormat="false" ht="15.75" hidden="false" customHeight="false" outlineLevel="0" collapsed="false">
      <c r="A329" s="12"/>
      <c r="B329" s="34"/>
      <c r="C329" s="12"/>
      <c r="D329" s="12"/>
      <c r="E329" s="12"/>
      <c r="F329" s="12"/>
      <c r="G329" s="18"/>
      <c r="H329" s="35"/>
      <c r="I329" s="12"/>
      <c r="N329" s="12"/>
      <c r="O329" s="18"/>
      <c r="P329" s="12"/>
      <c r="Q329" s="12"/>
      <c r="R329" s="12"/>
      <c r="S329" s="36"/>
      <c r="T329" s="36"/>
      <c r="U329" s="12"/>
      <c r="V329" s="12"/>
      <c r="W329" s="12"/>
      <c r="X329" s="12"/>
      <c r="Y329" s="12"/>
    </row>
    <row r="330" customFormat="false" ht="15.75" hidden="false" customHeight="false" outlineLevel="0" collapsed="false">
      <c r="A330" s="12"/>
      <c r="B330" s="34"/>
      <c r="C330" s="12"/>
      <c r="D330" s="12"/>
      <c r="E330" s="12"/>
      <c r="F330" s="12"/>
      <c r="G330" s="18"/>
      <c r="H330" s="35"/>
      <c r="I330" s="12"/>
      <c r="N330" s="12"/>
      <c r="O330" s="18"/>
      <c r="P330" s="12"/>
      <c r="Q330" s="12"/>
      <c r="R330" s="12"/>
      <c r="S330" s="36"/>
      <c r="T330" s="36"/>
      <c r="U330" s="12"/>
      <c r="V330" s="12"/>
      <c r="W330" s="12"/>
      <c r="X330" s="12"/>
      <c r="Y330" s="12"/>
    </row>
    <row r="331" customFormat="false" ht="15.75" hidden="false" customHeight="false" outlineLevel="0" collapsed="false">
      <c r="A331" s="12"/>
      <c r="B331" s="34"/>
      <c r="C331" s="12"/>
      <c r="D331" s="12"/>
      <c r="E331" s="12"/>
      <c r="F331" s="12"/>
      <c r="G331" s="18"/>
      <c r="H331" s="35"/>
      <c r="I331" s="12"/>
      <c r="N331" s="12"/>
      <c r="O331" s="18"/>
      <c r="P331" s="12"/>
      <c r="Q331" s="12"/>
      <c r="R331" s="12"/>
      <c r="S331" s="36"/>
      <c r="T331" s="36"/>
      <c r="U331" s="12"/>
      <c r="V331" s="12"/>
      <c r="W331" s="12"/>
      <c r="X331" s="12"/>
      <c r="Y331" s="12"/>
    </row>
    <row r="332" customFormat="false" ht="15.75" hidden="false" customHeight="false" outlineLevel="0" collapsed="false">
      <c r="A332" s="12"/>
      <c r="B332" s="34"/>
      <c r="C332" s="12"/>
      <c r="D332" s="12"/>
      <c r="E332" s="12"/>
      <c r="F332" s="12"/>
      <c r="G332" s="18"/>
      <c r="H332" s="35"/>
      <c r="I332" s="12"/>
      <c r="N332" s="12"/>
      <c r="O332" s="18"/>
      <c r="P332" s="12"/>
      <c r="Q332" s="12"/>
      <c r="R332" s="12"/>
      <c r="S332" s="36"/>
      <c r="T332" s="36"/>
      <c r="U332" s="12"/>
      <c r="V332" s="12"/>
      <c r="W332" s="12"/>
      <c r="X332" s="12"/>
      <c r="Y332" s="12"/>
    </row>
    <row r="333" customFormat="false" ht="15.75" hidden="false" customHeight="false" outlineLevel="0" collapsed="false">
      <c r="A333" s="12"/>
      <c r="B333" s="34"/>
      <c r="C333" s="12"/>
      <c r="D333" s="12"/>
      <c r="E333" s="12"/>
      <c r="F333" s="12"/>
      <c r="G333" s="18"/>
      <c r="H333" s="35"/>
      <c r="I333" s="12"/>
      <c r="N333" s="12"/>
      <c r="O333" s="18"/>
      <c r="P333" s="12"/>
      <c r="Q333" s="12"/>
      <c r="R333" s="12"/>
      <c r="S333" s="36"/>
      <c r="T333" s="36"/>
      <c r="U333" s="12"/>
      <c r="V333" s="12"/>
      <c r="W333" s="12"/>
      <c r="X333" s="12"/>
      <c r="Y333" s="12"/>
    </row>
    <row r="334" customFormat="false" ht="15.75" hidden="false" customHeight="false" outlineLevel="0" collapsed="false">
      <c r="A334" s="12"/>
      <c r="B334" s="34"/>
      <c r="C334" s="12"/>
      <c r="D334" s="12"/>
      <c r="E334" s="12"/>
      <c r="F334" s="12"/>
      <c r="G334" s="18"/>
      <c r="H334" s="35"/>
      <c r="I334" s="12"/>
      <c r="N334" s="12"/>
      <c r="O334" s="18"/>
      <c r="P334" s="12"/>
      <c r="Q334" s="12"/>
      <c r="R334" s="12"/>
      <c r="S334" s="36"/>
      <c r="T334" s="36"/>
      <c r="U334" s="12"/>
      <c r="V334" s="12"/>
      <c r="W334" s="12"/>
      <c r="X334" s="12"/>
      <c r="Y334" s="12"/>
    </row>
    <row r="335" customFormat="false" ht="15.75" hidden="false" customHeight="false" outlineLevel="0" collapsed="false">
      <c r="A335" s="12"/>
      <c r="B335" s="34"/>
      <c r="C335" s="12"/>
      <c r="D335" s="12"/>
      <c r="E335" s="12"/>
      <c r="F335" s="12"/>
      <c r="G335" s="18"/>
      <c r="H335" s="35"/>
      <c r="I335" s="12"/>
      <c r="N335" s="12"/>
      <c r="O335" s="18"/>
      <c r="P335" s="12"/>
      <c r="Q335" s="12"/>
      <c r="R335" s="12"/>
      <c r="S335" s="36"/>
      <c r="T335" s="36"/>
      <c r="U335" s="12"/>
      <c r="V335" s="12"/>
      <c r="W335" s="12"/>
      <c r="X335" s="12"/>
      <c r="Y335" s="12"/>
    </row>
    <row r="336" customFormat="false" ht="15.75" hidden="false" customHeight="false" outlineLevel="0" collapsed="false">
      <c r="A336" s="12"/>
      <c r="B336" s="34"/>
      <c r="C336" s="12"/>
      <c r="D336" s="12"/>
      <c r="E336" s="12"/>
      <c r="F336" s="12"/>
      <c r="G336" s="18"/>
      <c r="H336" s="35"/>
      <c r="I336" s="12"/>
      <c r="N336" s="12"/>
      <c r="O336" s="18"/>
      <c r="P336" s="12"/>
      <c r="Q336" s="12"/>
      <c r="R336" s="12"/>
      <c r="S336" s="36"/>
      <c r="T336" s="36"/>
      <c r="U336" s="12"/>
      <c r="V336" s="12"/>
      <c r="W336" s="12"/>
      <c r="X336" s="12"/>
      <c r="Y336" s="12"/>
    </row>
    <row r="337" customFormat="false" ht="15.75" hidden="false" customHeight="false" outlineLevel="0" collapsed="false">
      <c r="A337" s="12"/>
      <c r="B337" s="34"/>
      <c r="C337" s="12"/>
      <c r="D337" s="12"/>
      <c r="E337" s="12"/>
      <c r="F337" s="12"/>
      <c r="G337" s="18"/>
      <c r="H337" s="35"/>
      <c r="I337" s="12"/>
      <c r="N337" s="12"/>
      <c r="O337" s="18"/>
      <c r="P337" s="12"/>
      <c r="Q337" s="12"/>
      <c r="R337" s="12"/>
      <c r="S337" s="36"/>
      <c r="T337" s="36"/>
      <c r="U337" s="12"/>
      <c r="V337" s="12"/>
      <c r="W337" s="12"/>
      <c r="X337" s="12"/>
      <c r="Y337" s="12"/>
    </row>
    <row r="338" customFormat="false" ht="15.75" hidden="false" customHeight="false" outlineLevel="0" collapsed="false">
      <c r="A338" s="12"/>
      <c r="B338" s="34"/>
      <c r="C338" s="12"/>
      <c r="D338" s="12"/>
      <c r="E338" s="12"/>
      <c r="F338" s="12"/>
      <c r="G338" s="18"/>
      <c r="H338" s="35"/>
      <c r="I338" s="12"/>
      <c r="N338" s="12"/>
      <c r="O338" s="18"/>
      <c r="P338" s="12"/>
      <c r="Q338" s="12"/>
      <c r="R338" s="12"/>
      <c r="S338" s="36"/>
      <c r="T338" s="36"/>
      <c r="U338" s="12"/>
      <c r="V338" s="12"/>
      <c r="W338" s="12"/>
      <c r="X338" s="12"/>
      <c r="Y338" s="12"/>
    </row>
    <row r="339" customFormat="false" ht="15.75" hidden="false" customHeight="false" outlineLevel="0" collapsed="false">
      <c r="A339" s="12"/>
      <c r="B339" s="34"/>
      <c r="C339" s="12"/>
      <c r="D339" s="12"/>
      <c r="E339" s="12"/>
      <c r="F339" s="12"/>
      <c r="G339" s="18"/>
      <c r="H339" s="35"/>
      <c r="I339" s="12"/>
      <c r="N339" s="12"/>
      <c r="O339" s="18"/>
      <c r="P339" s="12"/>
      <c r="Q339" s="12"/>
      <c r="R339" s="12"/>
      <c r="S339" s="36"/>
      <c r="T339" s="36"/>
      <c r="U339" s="12"/>
      <c r="V339" s="12"/>
      <c r="W339" s="12"/>
      <c r="X339" s="12"/>
      <c r="Y339" s="12"/>
    </row>
    <row r="340" customFormat="false" ht="15.75" hidden="false" customHeight="false" outlineLevel="0" collapsed="false">
      <c r="A340" s="12"/>
      <c r="B340" s="34"/>
      <c r="C340" s="12"/>
      <c r="D340" s="12"/>
      <c r="E340" s="12"/>
      <c r="F340" s="12"/>
      <c r="G340" s="18"/>
      <c r="H340" s="35"/>
      <c r="I340" s="12"/>
      <c r="N340" s="12"/>
      <c r="O340" s="18"/>
      <c r="P340" s="12"/>
      <c r="Q340" s="12"/>
      <c r="R340" s="12"/>
      <c r="S340" s="36"/>
      <c r="T340" s="36"/>
      <c r="U340" s="12"/>
      <c r="V340" s="12"/>
      <c r="W340" s="12"/>
      <c r="X340" s="12"/>
      <c r="Y340" s="12"/>
    </row>
    <row r="341" customFormat="false" ht="15.75" hidden="false" customHeight="false" outlineLevel="0" collapsed="false">
      <c r="A341" s="12"/>
      <c r="B341" s="34"/>
      <c r="C341" s="12"/>
      <c r="D341" s="12"/>
      <c r="E341" s="12"/>
      <c r="F341" s="12"/>
      <c r="G341" s="18"/>
      <c r="H341" s="35"/>
      <c r="I341" s="12"/>
      <c r="N341" s="12"/>
      <c r="O341" s="18"/>
      <c r="P341" s="12"/>
      <c r="Q341" s="12"/>
      <c r="R341" s="12"/>
      <c r="S341" s="36"/>
      <c r="T341" s="36"/>
      <c r="U341" s="12"/>
      <c r="V341" s="12"/>
      <c r="W341" s="12"/>
      <c r="X341" s="12"/>
      <c r="Y341" s="12"/>
    </row>
    <row r="342" customFormat="false" ht="15.75" hidden="false" customHeight="false" outlineLevel="0" collapsed="false">
      <c r="A342" s="12"/>
      <c r="B342" s="34"/>
      <c r="C342" s="12"/>
      <c r="D342" s="12"/>
      <c r="E342" s="12"/>
      <c r="F342" s="12"/>
      <c r="G342" s="18"/>
      <c r="H342" s="35"/>
      <c r="I342" s="12"/>
      <c r="N342" s="12"/>
      <c r="O342" s="18"/>
      <c r="P342" s="12"/>
      <c r="Q342" s="12"/>
      <c r="R342" s="12"/>
      <c r="S342" s="36"/>
      <c r="T342" s="36"/>
      <c r="U342" s="12"/>
      <c r="V342" s="12"/>
      <c r="W342" s="12"/>
      <c r="X342" s="12"/>
      <c r="Y342" s="12"/>
    </row>
    <row r="343" customFormat="false" ht="15.75" hidden="false" customHeight="false" outlineLevel="0" collapsed="false">
      <c r="A343" s="12"/>
      <c r="B343" s="34"/>
      <c r="C343" s="12"/>
      <c r="D343" s="12"/>
      <c r="E343" s="12"/>
      <c r="F343" s="12"/>
      <c r="G343" s="18"/>
      <c r="H343" s="35"/>
      <c r="I343" s="12"/>
      <c r="N343" s="12"/>
      <c r="O343" s="18"/>
      <c r="P343" s="12"/>
      <c r="Q343" s="12"/>
      <c r="R343" s="12"/>
      <c r="S343" s="36"/>
      <c r="T343" s="36"/>
      <c r="U343" s="12"/>
      <c r="V343" s="12"/>
      <c r="W343" s="12"/>
      <c r="X343" s="12"/>
      <c r="Y343" s="12"/>
    </row>
    <row r="344" customFormat="false" ht="15.75" hidden="false" customHeight="false" outlineLevel="0" collapsed="false">
      <c r="A344" s="12"/>
      <c r="B344" s="34"/>
      <c r="C344" s="12"/>
      <c r="D344" s="12"/>
      <c r="E344" s="12"/>
      <c r="F344" s="12"/>
      <c r="G344" s="18"/>
      <c r="H344" s="35"/>
      <c r="I344" s="12"/>
      <c r="N344" s="12"/>
      <c r="O344" s="18"/>
      <c r="P344" s="12"/>
      <c r="Q344" s="12"/>
      <c r="R344" s="12"/>
      <c r="S344" s="36"/>
      <c r="T344" s="36"/>
      <c r="U344" s="12"/>
      <c r="V344" s="12"/>
      <c r="W344" s="12"/>
      <c r="X344" s="12"/>
      <c r="Y344" s="12"/>
    </row>
    <row r="345" customFormat="false" ht="15.75" hidden="false" customHeight="false" outlineLevel="0" collapsed="false">
      <c r="A345" s="12"/>
      <c r="B345" s="34"/>
      <c r="C345" s="12"/>
      <c r="D345" s="12"/>
      <c r="E345" s="12"/>
      <c r="F345" s="12"/>
      <c r="G345" s="18"/>
      <c r="H345" s="35"/>
      <c r="I345" s="12"/>
      <c r="N345" s="12"/>
      <c r="O345" s="18"/>
      <c r="P345" s="12"/>
      <c r="Q345" s="12"/>
      <c r="R345" s="12"/>
      <c r="S345" s="36"/>
      <c r="T345" s="36"/>
      <c r="U345" s="12"/>
      <c r="V345" s="12"/>
      <c r="W345" s="12"/>
      <c r="X345" s="12"/>
      <c r="Y345" s="12"/>
    </row>
    <row r="346" customFormat="false" ht="15.75" hidden="false" customHeight="false" outlineLevel="0" collapsed="false">
      <c r="A346" s="12"/>
      <c r="B346" s="34"/>
      <c r="C346" s="12"/>
      <c r="D346" s="12"/>
      <c r="E346" s="12"/>
      <c r="F346" s="12"/>
      <c r="G346" s="18"/>
      <c r="H346" s="35"/>
      <c r="I346" s="12"/>
      <c r="N346" s="12"/>
      <c r="O346" s="18"/>
      <c r="P346" s="12"/>
      <c r="Q346" s="12"/>
      <c r="R346" s="12"/>
      <c r="S346" s="36"/>
      <c r="T346" s="36"/>
      <c r="U346" s="12"/>
      <c r="V346" s="12"/>
      <c r="W346" s="12"/>
      <c r="X346" s="12"/>
      <c r="Y346" s="12"/>
    </row>
    <row r="347" customFormat="false" ht="15.75" hidden="false" customHeight="false" outlineLevel="0" collapsed="false">
      <c r="A347" s="12"/>
      <c r="B347" s="34"/>
      <c r="C347" s="12"/>
      <c r="D347" s="12"/>
      <c r="E347" s="12"/>
      <c r="F347" s="12"/>
      <c r="G347" s="18"/>
      <c r="H347" s="35"/>
      <c r="I347" s="12"/>
      <c r="N347" s="12"/>
      <c r="O347" s="18"/>
      <c r="P347" s="12"/>
      <c r="Q347" s="12"/>
      <c r="R347" s="12"/>
      <c r="S347" s="36"/>
      <c r="T347" s="36"/>
      <c r="U347" s="12"/>
      <c r="V347" s="12"/>
      <c r="W347" s="12"/>
      <c r="X347" s="12"/>
      <c r="Y347" s="12"/>
    </row>
    <row r="348" customFormat="false" ht="15.75" hidden="false" customHeight="false" outlineLevel="0" collapsed="false">
      <c r="A348" s="12"/>
      <c r="B348" s="34"/>
      <c r="C348" s="12"/>
      <c r="D348" s="12"/>
      <c r="E348" s="12"/>
      <c r="F348" s="12"/>
      <c r="G348" s="18"/>
      <c r="H348" s="35"/>
      <c r="I348" s="12"/>
      <c r="N348" s="12"/>
      <c r="O348" s="18"/>
      <c r="P348" s="12"/>
      <c r="Q348" s="12"/>
      <c r="R348" s="12"/>
      <c r="S348" s="36"/>
      <c r="T348" s="36"/>
      <c r="U348" s="12"/>
      <c r="V348" s="12"/>
      <c r="W348" s="12"/>
      <c r="X348" s="12"/>
      <c r="Y348" s="12"/>
    </row>
    <row r="349" customFormat="false" ht="15.75" hidden="false" customHeight="false" outlineLevel="0" collapsed="false">
      <c r="A349" s="12"/>
      <c r="B349" s="34"/>
      <c r="C349" s="12"/>
      <c r="D349" s="12"/>
      <c r="E349" s="12"/>
      <c r="F349" s="12"/>
      <c r="G349" s="18"/>
      <c r="H349" s="35"/>
      <c r="I349" s="12"/>
      <c r="N349" s="12"/>
      <c r="O349" s="18"/>
      <c r="P349" s="12"/>
      <c r="Q349" s="12"/>
      <c r="R349" s="12"/>
      <c r="S349" s="36"/>
      <c r="T349" s="36"/>
      <c r="U349" s="12"/>
      <c r="V349" s="12"/>
      <c r="W349" s="12"/>
      <c r="X349" s="12"/>
      <c r="Y349" s="12"/>
    </row>
    <row r="350" customFormat="false" ht="15.75" hidden="false" customHeight="false" outlineLevel="0" collapsed="false">
      <c r="A350" s="12"/>
      <c r="B350" s="34"/>
      <c r="C350" s="12"/>
      <c r="D350" s="12"/>
      <c r="E350" s="12"/>
      <c r="F350" s="12"/>
      <c r="G350" s="18"/>
      <c r="H350" s="35"/>
      <c r="I350" s="12"/>
      <c r="N350" s="12"/>
      <c r="O350" s="18"/>
      <c r="P350" s="12"/>
      <c r="Q350" s="12"/>
      <c r="R350" s="12"/>
      <c r="S350" s="36"/>
      <c r="T350" s="36"/>
      <c r="U350" s="12"/>
      <c r="V350" s="12"/>
      <c r="W350" s="12"/>
      <c r="X350" s="12"/>
      <c r="Y350" s="12"/>
    </row>
    <row r="351" customFormat="false" ht="15.75" hidden="false" customHeight="false" outlineLevel="0" collapsed="false">
      <c r="A351" s="12"/>
      <c r="B351" s="34"/>
      <c r="C351" s="12"/>
      <c r="D351" s="12"/>
      <c r="E351" s="12"/>
      <c r="F351" s="12"/>
      <c r="G351" s="18"/>
      <c r="H351" s="35"/>
      <c r="I351" s="12"/>
      <c r="N351" s="12"/>
      <c r="O351" s="18"/>
      <c r="P351" s="12"/>
      <c r="Q351" s="12"/>
      <c r="R351" s="12"/>
      <c r="S351" s="36"/>
      <c r="T351" s="36"/>
      <c r="U351" s="12"/>
      <c r="V351" s="12"/>
      <c r="W351" s="12"/>
      <c r="X351" s="12"/>
      <c r="Y351" s="12"/>
    </row>
    <row r="352" customFormat="false" ht="15.75" hidden="false" customHeight="false" outlineLevel="0" collapsed="false">
      <c r="A352" s="12"/>
      <c r="B352" s="34"/>
      <c r="C352" s="12"/>
      <c r="D352" s="12"/>
      <c r="E352" s="12"/>
      <c r="F352" s="12"/>
      <c r="G352" s="18"/>
      <c r="H352" s="35"/>
      <c r="I352" s="12"/>
      <c r="N352" s="12"/>
      <c r="O352" s="18"/>
      <c r="P352" s="12"/>
      <c r="Q352" s="12"/>
      <c r="R352" s="12"/>
      <c r="S352" s="36"/>
      <c r="T352" s="36"/>
      <c r="U352" s="12"/>
      <c r="V352" s="12"/>
      <c r="W352" s="12"/>
      <c r="X352" s="12"/>
      <c r="Y352" s="12"/>
    </row>
    <row r="353" customFormat="false" ht="15.75" hidden="false" customHeight="false" outlineLevel="0" collapsed="false">
      <c r="A353" s="12"/>
      <c r="B353" s="34"/>
      <c r="C353" s="12"/>
      <c r="D353" s="12"/>
      <c r="E353" s="12"/>
      <c r="F353" s="12"/>
      <c r="G353" s="18"/>
      <c r="H353" s="35"/>
      <c r="I353" s="12"/>
      <c r="N353" s="12"/>
      <c r="O353" s="18"/>
      <c r="P353" s="12"/>
      <c r="Q353" s="12"/>
      <c r="R353" s="12"/>
      <c r="S353" s="36"/>
      <c r="T353" s="36"/>
      <c r="U353" s="12"/>
      <c r="V353" s="12"/>
      <c r="W353" s="12"/>
      <c r="X353" s="12"/>
      <c r="Y353" s="12"/>
    </row>
    <row r="354" customFormat="false" ht="15.75" hidden="false" customHeight="false" outlineLevel="0" collapsed="false">
      <c r="A354" s="12"/>
      <c r="B354" s="34"/>
      <c r="C354" s="12"/>
      <c r="D354" s="12"/>
      <c r="E354" s="12"/>
      <c r="F354" s="12"/>
      <c r="G354" s="18"/>
      <c r="H354" s="35"/>
      <c r="I354" s="12"/>
      <c r="N354" s="12"/>
      <c r="O354" s="18"/>
      <c r="P354" s="12"/>
      <c r="Q354" s="12"/>
      <c r="R354" s="12"/>
      <c r="S354" s="36"/>
      <c r="T354" s="36"/>
      <c r="U354" s="12"/>
      <c r="V354" s="12"/>
      <c r="W354" s="12"/>
      <c r="X354" s="12"/>
      <c r="Y354" s="12"/>
    </row>
    <row r="355" customFormat="false" ht="15.75" hidden="false" customHeight="false" outlineLevel="0" collapsed="false">
      <c r="A355" s="12"/>
      <c r="B355" s="34"/>
      <c r="C355" s="12"/>
      <c r="D355" s="12"/>
      <c r="E355" s="12"/>
      <c r="F355" s="12"/>
      <c r="G355" s="18"/>
      <c r="H355" s="35"/>
      <c r="I355" s="12"/>
      <c r="N355" s="12"/>
      <c r="O355" s="18"/>
      <c r="P355" s="12"/>
      <c r="Q355" s="12"/>
      <c r="R355" s="12"/>
      <c r="S355" s="36"/>
      <c r="T355" s="36"/>
      <c r="U355" s="12"/>
      <c r="V355" s="12"/>
      <c r="W355" s="12"/>
      <c r="X355" s="12"/>
      <c r="Y355" s="12"/>
    </row>
    <row r="356" customFormat="false" ht="15.75" hidden="false" customHeight="false" outlineLevel="0" collapsed="false">
      <c r="A356" s="12"/>
      <c r="B356" s="34"/>
      <c r="C356" s="12"/>
      <c r="D356" s="12"/>
      <c r="E356" s="12"/>
      <c r="F356" s="12"/>
      <c r="G356" s="18"/>
      <c r="H356" s="35"/>
      <c r="I356" s="12"/>
      <c r="N356" s="12"/>
      <c r="O356" s="18"/>
      <c r="P356" s="12"/>
      <c r="Q356" s="12"/>
      <c r="R356" s="12"/>
      <c r="S356" s="36"/>
      <c r="T356" s="36"/>
      <c r="U356" s="12"/>
      <c r="V356" s="12"/>
      <c r="W356" s="12"/>
      <c r="X356" s="12"/>
      <c r="Y356" s="12"/>
    </row>
    <row r="357" customFormat="false" ht="15.75" hidden="false" customHeight="false" outlineLevel="0" collapsed="false">
      <c r="A357" s="12"/>
      <c r="B357" s="34"/>
      <c r="C357" s="12"/>
      <c r="D357" s="12"/>
      <c r="E357" s="12"/>
      <c r="F357" s="12"/>
      <c r="G357" s="18"/>
      <c r="H357" s="35"/>
      <c r="I357" s="12"/>
      <c r="N357" s="12"/>
      <c r="O357" s="18"/>
      <c r="P357" s="12"/>
      <c r="Q357" s="12"/>
      <c r="R357" s="12"/>
      <c r="S357" s="36"/>
      <c r="T357" s="36"/>
      <c r="U357" s="12"/>
      <c r="V357" s="12"/>
      <c r="W357" s="12"/>
      <c r="X357" s="12"/>
      <c r="Y357" s="12"/>
    </row>
    <row r="358" customFormat="false" ht="15.75" hidden="false" customHeight="false" outlineLevel="0" collapsed="false">
      <c r="A358" s="12"/>
      <c r="B358" s="34"/>
      <c r="C358" s="12"/>
      <c r="D358" s="12"/>
      <c r="E358" s="12"/>
      <c r="F358" s="12"/>
      <c r="G358" s="18"/>
      <c r="H358" s="35"/>
      <c r="I358" s="12"/>
      <c r="N358" s="12"/>
      <c r="O358" s="18"/>
      <c r="P358" s="12"/>
      <c r="Q358" s="12"/>
      <c r="R358" s="12"/>
      <c r="S358" s="36"/>
      <c r="T358" s="36"/>
      <c r="U358" s="12"/>
      <c r="V358" s="12"/>
      <c r="W358" s="12"/>
      <c r="X358" s="12"/>
      <c r="Y358" s="12"/>
    </row>
    <row r="359" customFormat="false" ht="15.75" hidden="false" customHeight="false" outlineLevel="0" collapsed="false">
      <c r="A359" s="12"/>
      <c r="B359" s="34"/>
      <c r="C359" s="12"/>
      <c r="D359" s="12"/>
      <c r="E359" s="12"/>
      <c r="F359" s="12"/>
      <c r="G359" s="18"/>
      <c r="H359" s="35"/>
      <c r="I359" s="12"/>
      <c r="N359" s="12"/>
      <c r="O359" s="18"/>
      <c r="P359" s="12"/>
      <c r="Q359" s="12"/>
      <c r="R359" s="12"/>
      <c r="S359" s="36"/>
      <c r="T359" s="36"/>
      <c r="U359" s="12"/>
      <c r="V359" s="12"/>
      <c r="W359" s="12"/>
      <c r="X359" s="12"/>
      <c r="Y359" s="12"/>
    </row>
    <row r="360" customFormat="false" ht="15.75" hidden="false" customHeight="false" outlineLevel="0" collapsed="false">
      <c r="A360" s="12"/>
      <c r="B360" s="34"/>
      <c r="C360" s="12"/>
      <c r="D360" s="12"/>
      <c r="E360" s="12"/>
      <c r="F360" s="12"/>
      <c r="G360" s="18"/>
      <c r="H360" s="35"/>
      <c r="I360" s="12"/>
      <c r="N360" s="12"/>
      <c r="O360" s="18"/>
      <c r="P360" s="12"/>
      <c r="Q360" s="12"/>
      <c r="R360" s="12"/>
      <c r="S360" s="36"/>
      <c r="T360" s="36"/>
      <c r="U360" s="12"/>
      <c r="V360" s="12"/>
      <c r="W360" s="12"/>
      <c r="X360" s="12"/>
      <c r="Y360" s="12"/>
    </row>
    <row r="361" customFormat="false" ht="15.75" hidden="false" customHeight="false" outlineLevel="0" collapsed="false">
      <c r="A361" s="12"/>
      <c r="B361" s="34"/>
      <c r="C361" s="12"/>
      <c r="D361" s="12"/>
      <c r="E361" s="12"/>
      <c r="F361" s="12"/>
      <c r="G361" s="18"/>
      <c r="H361" s="35"/>
      <c r="I361" s="12"/>
      <c r="N361" s="12"/>
      <c r="O361" s="18"/>
      <c r="P361" s="12"/>
      <c r="Q361" s="12"/>
      <c r="R361" s="12"/>
      <c r="S361" s="36"/>
      <c r="T361" s="36"/>
      <c r="U361" s="12"/>
      <c r="V361" s="12"/>
      <c r="W361" s="12"/>
      <c r="X361" s="12"/>
      <c r="Y361" s="12"/>
    </row>
    <row r="362" customFormat="false" ht="15.75" hidden="false" customHeight="false" outlineLevel="0" collapsed="false">
      <c r="A362" s="12"/>
      <c r="B362" s="34"/>
      <c r="C362" s="12"/>
      <c r="D362" s="12"/>
      <c r="E362" s="12"/>
      <c r="F362" s="12"/>
      <c r="G362" s="18"/>
      <c r="H362" s="35"/>
      <c r="I362" s="12"/>
      <c r="N362" s="12"/>
      <c r="O362" s="18"/>
      <c r="P362" s="12"/>
      <c r="Q362" s="12"/>
      <c r="R362" s="12"/>
      <c r="S362" s="36"/>
      <c r="T362" s="36"/>
      <c r="U362" s="12"/>
      <c r="V362" s="12"/>
      <c r="W362" s="12"/>
      <c r="X362" s="12"/>
      <c r="Y362" s="12"/>
    </row>
    <row r="363" customFormat="false" ht="15.75" hidden="false" customHeight="false" outlineLevel="0" collapsed="false">
      <c r="A363" s="12"/>
      <c r="B363" s="34"/>
      <c r="C363" s="12"/>
      <c r="D363" s="12"/>
      <c r="E363" s="12"/>
      <c r="F363" s="12"/>
      <c r="G363" s="18"/>
      <c r="H363" s="35"/>
      <c r="I363" s="12"/>
      <c r="N363" s="12"/>
      <c r="O363" s="18"/>
      <c r="P363" s="12"/>
      <c r="Q363" s="12"/>
      <c r="R363" s="12"/>
      <c r="S363" s="36"/>
      <c r="T363" s="36"/>
      <c r="U363" s="12"/>
      <c r="V363" s="12"/>
      <c r="W363" s="12"/>
      <c r="X363" s="12"/>
      <c r="Y363" s="12"/>
    </row>
    <row r="364" customFormat="false" ht="15.75" hidden="false" customHeight="false" outlineLevel="0" collapsed="false">
      <c r="A364" s="12"/>
      <c r="B364" s="34"/>
      <c r="C364" s="12"/>
      <c r="D364" s="12"/>
      <c r="E364" s="12"/>
      <c r="F364" s="12"/>
      <c r="G364" s="18"/>
      <c r="H364" s="35"/>
      <c r="I364" s="12"/>
      <c r="N364" s="12"/>
      <c r="O364" s="18"/>
      <c r="P364" s="12"/>
      <c r="Q364" s="12"/>
      <c r="R364" s="12"/>
      <c r="S364" s="36"/>
      <c r="T364" s="36"/>
      <c r="U364" s="12"/>
      <c r="V364" s="12"/>
      <c r="W364" s="12"/>
      <c r="X364" s="12"/>
      <c r="Y364" s="12"/>
    </row>
    <row r="365" customFormat="false" ht="15.75" hidden="false" customHeight="false" outlineLevel="0" collapsed="false">
      <c r="A365" s="12"/>
      <c r="B365" s="34"/>
      <c r="C365" s="12"/>
      <c r="D365" s="12"/>
      <c r="E365" s="12"/>
      <c r="F365" s="12"/>
      <c r="G365" s="18"/>
      <c r="H365" s="35"/>
      <c r="I365" s="12"/>
      <c r="N365" s="12"/>
      <c r="O365" s="18"/>
      <c r="P365" s="12"/>
      <c r="Q365" s="12"/>
      <c r="R365" s="12"/>
      <c r="S365" s="36"/>
      <c r="T365" s="36"/>
      <c r="U365" s="12"/>
      <c r="V365" s="12"/>
      <c r="W365" s="12"/>
      <c r="X365" s="12"/>
      <c r="Y365" s="12"/>
    </row>
    <row r="366" customFormat="false" ht="15.75" hidden="false" customHeight="false" outlineLevel="0" collapsed="false">
      <c r="A366" s="12"/>
      <c r="B366" s="34"/>
      <c r="C366" s="12"/>
      <c r="D366" s="12"/>
      <c r="E366" s="12"/>
      <c r="F366" s="12"/>
      <c r="G366" s="18"/>
      <c r="H366" s="35"/>
      <c r="I366" s="12"/>
      <c r="N366" s="12"/>
      <c r="O366" s="18"/>
      <c r="P366" s="12"/>
      <c r="Q366" s="12"/>
      <c r="R366" s="12"/>
      <c r="S366" s="36"/>
      <c r="T366" s="36"/>
      <c r="U366" s="12"/>
      <c r="V366" s="12"/>
      <c r="W366" s="12"/>
      <c r="X366" s="12"/>
      <c r="Y366" s="12"/>
    </row>
    <row r="367" customFormat="false" ht="15.75" hidden="false" customHeight="false" outlineLevel="0" collapsed="false">
      <c r="A367" s="12"/>
      <c r="B367" s="34"/>
      <c r="C367" s="12"/>
      <c r="D367" s="12"/>
      <c r="E367" s="12"/>
      <c r="F367" s="12"/>
      <c r="G367" s="18"/>
      <c r="H367" s="35"/>
      <c r="I367" s="12"/>
      <c r="N367" s="12"/>
      <c r="O367" s="18"/>
      <c r="P367" s="12"/>
      <c r="Q367" s="12"/>
      <c r="R367" s="12"/>
      <c r="S367" s="36"/>
      <c r="T367" s="36"/>
      <c r="U367" s="12"/>
      <c r="V367" s="12"/>
      <c r="W367" s="12"/>
      <c r="X367" s="12"/>
      <c r="Y367" s="12"/>
    </row>
    <row r="368" customFormat="false" ht="15.75" hidden="false" customHeight="false" outlineLevel="0" collapsed="false">
      <c r="A368" s="12"/>
      <c r="B368" s="34"/>
      <c r="C368" s="12"/>
      <c r="D368" s="12"/>
      <c r="E368" s="12"/>
      <c r="F368" s="12"/>
      <c r="G368" s="18"/>
      <c r="H368" s="35"/>
      <c r="I368" s="12"/>
      <c r="N368" s="12"/>
      <c r="O368" s="18"/>
      <c r="P368" s="12"/>
      <c r="Q368" s="12"/>
      <c r="R368" s="12"/>
      <c r="S368" s="36"/>
      <c r="T368" s="36"/>
      <c r="U368" s="12"/>
      <c r="V368" s="12"/>
      <c r="W368" s="12"/>
      <c r="X368" s="12"/>
      <c r="Y368" s="12"/>
    </row>
    <row r="369" customFormat="false" ht="15.75" hidden="false" customHeight="false" outlineLevel="0" collapsed="false">
      <c r="A369" s="12"/>
      <c r="B369" s="34"/>
      <c r="C369" s="12"/>
      <c r="D369" s="12"/>
      <c r="E369" s="12"/>
      <c r="F369" s="12"/>
      <c r="G369" s="18"/>
      <c r="H369" s="35"/>
      <c r="I369" s="12"/>
      <c r="N369" s="12"/>
      <c r="O369" s="18"/>
      <c r="P369" s="12"/>
      <c r="Q369" s="12"/>
      <c r="R369" s="12"/>
      <c r="S369" s="36"/>
      <c r="T369" s="36"/>
      <c r="U369" s="12"/>
      <c r="V369" s="12"/>
      <c r="W369" s="12"/>
      <c r="X369" s="12"/>
      <c r="Y369" s="12"/>
    </row>
    <row r="370" customFormat="false" ht="15.75" hidden="false" customHeight="false" outlineLevel="0" collapsed="false">
      <c r="A370" s="12"/>
      <c r="B370" s="34"/>
      <c r="C370" s="12"/>
      <c r="D370" s="12"/>
      <c r="E370" s="12"/>
      <c r="F370" s="12"/>
      <c r="G370" s="18"/>
      <c r="H370" s="35"/>
      <c r="I370" s="12"/>
      <c r="N370" s="12"/>
      <c r="O370" s="18"/>
      <c r="P370" s="12"/>
      <c r="Q370" s="12"/>
      <c r="R370" s="12"/>
      <c r="S370" s="36"/>
      <c r="T370" s="36"/>
      <c r="U370" s="12"/>
      <c r="V370" s="12"/>
      <c r="W370" s="12"/>
      <c r="X370" s="12"/>
      <c r="Y370" s="12"/>
    </row>
    <row r="371" customFormat="false" ht="15.75" hidden="false" customHeight="false" outlineLevel="0" collapsed="false">
      <c r="A371" s="12"/>
      <c r="B371" s="34"/>
      <c r="C371" s="12"/>
      <c r="D371" s="12"/>
      <c r="E371" s="12"/>
      <c r="F371" s="12"/>
      <c r="G371" s="18"/>
      <c r="H371" s="35"/>
      <c r="I371" s="12"/>
      <c r="N371" s="12"/>
      <c r="O371" s="18"/>
      <c r="P371" s="12"/>
      <c r="Q371" s="12"/>
      <c r="R371" s="12"/>
      <c r="S371" s="36"/>
      <c r="T371" s="36"/>
      <c r="U371" s="12"/>
      <c r="V371" s="12"/>
      <c r="W371" s="12"/>
      <c r="X371" s="12"/>
      <c r="Y371" s="12"/>
    </row>
    <row r="372" customFormat="false" ht="15.75" hidden="false" customHeight="false" outlineLevel="0" collapsed="false">
      <c r="A372" s="12"/>
      <c r="B372" s="34"/>
      <c r="C372" s="12"/>
      <c r="D372" s="12"/>
      <c r="E372" s="12"/>
      <c r="F372" s="12"/>
      <c r="G372" s="18"/>
      <c r="H372" s="35"/>
      <c r="I372" s="12"/>
      <c r="N372" s="12"/>
      <c r="O372" s="18"/>
      <c r="P372" s="12"/>
      <c r="Q372" s="12"/>
      <c r="R372" s="12"/>
      <c r="S372" s="36"/>
      <c r="T372" s="36"/>
      <c r="U372" s="12"/>
      <c r="V372" s="12"/>
      <c r="W372" s="12"/>
      <c r="X372" s="12"/>
      <c r="Y372" s="12"/>
    </row>
    <row r="373" customFormat="false" ht="15.75" hidden="false" customHeight="false" outlineLevel="0" collapsed="false">
      <c r="A373" s="12"/>
      <c r="B373" s="34"/>
      <c r="C373" s="12"/>
      <c r="D373" s="12"/>
      <c r="E373" s="12"/>
      <c r="F373" s="12"/>
      <c r="G373" s="18"/>
      <c r="H373" s="35"/>
      <c r="I373" s="12"/>
      <c r="N373" s="12"/>
      <c r="O373" s="18"/>
      <c r="P373" s="12"/>
      <c r="Q373" s="12"/>
      <c r="R373" s="12"/>
      <c r="S373" s="36"/>
      <c r="T373" s="36"/>
      <c r="U373" s="12"/>
      <c r="V373" s="12"/>
      <c r="W373" s="12"/>
      <c r="X373" s="12"/>
      <c r="Y373" s="12"/>
    </row>
    <row r="374" customFormat="false" ht="15.75" hidden="false" customHeight="false" outlineLevel="0" collapsed="false">
      <c r="A374" s="12"/>
      <c r="B374" s="34"/>
      <c r="C374" s="12"/>
      <c r="D374" s="12"/>
      <c r="E374" s="12"/>
      <c r="F374" s="12"/>
      <c r="G374" s="18"/>
      <c r="H374" s="35"/>
      <c r="I374" s="12"/>
      <c r="N374" s="12"/>
      <c r="O374" s="18"/>
      <c r="P374" s="12"/>
      <c r="Q374" s="12"/>
      <c r="R374" s="12"/>
      <c r="S374" s="36"/>
      <c r="T374" s="36"/>
      <c r="U374" s="12"/>
      <c r="V374" s="12"/>
      <c r="W374" s="12"/>
      <c r="X374" s="12"/>
      <c r="Y374" s="12"/>
    </row>
    <row r="375" customFormat="false" ht="15.75" hidden="false" customHeight="false" outlineLevel="0" collapsed="false">
      <c r="A375" s="12"/>
      <c r="B375" s="34"/>
      <c r="C375" s="12"/>
      <c r="D375" s="12"/>
      <c r="E375" s="12"/>
      <c r="F375" s="12"/>
      <c r="G375" s="18"/>
      <c r="H375" s="35"/>
      <c r="I375" s="12"/>
      <c r="N375" s="12"/>
      <c r="O375" s="18"/>
      <c r="P375" s="12"/>
      <c r="Q375" s="12"/>
      <c r="R375" s="12"/>
      <c r="S375" s="36"/>
      <c r="T375" s="36"/>
      <c r="U375" s="12"/>
      <c r="V375" s="12"/>
      <c r="W375" s="12"/>
      <c r="X375" s="12"/>
      <c r="Y375" s="12"/>
    </row>
    <row r="376" customFormat="false" ht="15.75" hidden="false" customHeight="false" outlineLevel="0" collapsed="false">
      <c r="A376" s="12"/>
      <c r="B376" s="34"/>
      <c r="C376" s="12"/>
      <c r="D376" s="12"/>
      <c r="E376" s="12"/>
      <c r="F376" s="12"/>
      <c r="G376" s="18"/>
      <c r="H376" s="35"/>
      <c r="I376" s="12"/>
      <c r="N376" s="12"/>
      <c r="O376" s="18"/>
      <c r="P376" s="12"/>
      <c r="Q376" s="12"/>
      <c r="R376" s="12"/>
      <c r="S376" s="36"/>
      <c r="T376" s="36"/>
      <c r="U376" s="12"/>
      <c r="V376" s="12"/>
      <c r="W376" s="12"/>
      <c r="X376" s="12"/>
      <c r="Y376" s="12"/>
    </row>
    <row r="377" customFormat="false" ht="15.75" hidden="false" customHeight="false" outlineLevel="0" collapsed="false">
      <c r="A377" s="12"/>
      <c r="B377" s="34"/>
      <c r="C377" s="12"/>
      <c r="D377" s="12"/>
      <c r="E377" s="12"/>
      <c r="F377" s="12"/>
      <c r="G377" s="18"/>
      <c r="H377" s="35"/>
      <c r="I377" s="12"/>
      <c r="N377" s="12"/>
      <c r="O377" s="18"/>
      <c r="P377" s="12"/>
      <c r="Q377" s="12"/>
      <c r="R377" s="12"/>
      <c r="S377" s="36"/>
      <c r="T377" s="36"/>
      <c r="U377" s="12"/>
      <c r="V377" s="12"/>
      <c r="W377" s="12"/>
      <c r="X377" s="12"/>
      <c r="Y377" s="12"/>
    </row>
    <row r="378" customFormat="false" ht="15.75" hidden="false" customHeight="false" outlineLevel="0" collapsed="false">
      <c r="A378" s="12"/>
      <c r="B378" s="34"/>
      <c r="C378" s="12"/>
      <c r="D378" s="12"/>
      <c r="E378" s="12"/>
      <c r="F378" s="12"/>
      <c r="G378" s="18"/>
      <c r="H378" s="35"/>
      <c r="I378" s="12"/>
      <c r="N378" s="12"/>
      <c r="O378" s="18"/>
      <c r="P378" s="12"/>
      <c r="Q378" s="12"/>
      <c r="R378" s="12"/>
      <c r="S378" s="36"/>
      <c r="T378" s="36"/>
      <c r="U378" s="12"/>
      <c r="V378" s="12"/>
      <c r="W378" s="12"/>
      <c r="X378" s="12"/>
      <c r="Y378" s="12"/>
    </row>
    <row r="379" customFormat="false" ht="15.75" hidden="false" customHeight="false" outlineLevel="0" collapsed="false">
      <c r="A379" s="12"/>
      <c r="B379" s="34"/>
      <c r="C379" s="12"/>
      <c r="D379" s="12"/>
      <c r="E379" s="12"/>
      <c r="F379" s="12"/>
      <c r="G379" s="18"/>
      <c r="H379" s="35"/>
      <c r="I379" s="12"/>
      <c r="N379" s="12"/>
      <c r="O379" s="18"/>
      <c r="P379" s="12"/>
      <c r="Q379" s="12"/>
      <c r="R379" s="12"/>
      <c r="S379" s="36"/>
      <c r="T379" s="36"/>
      <c r="U379" s="12"/>
      <c r="V379" s="12"/>
      <c r="W379" s="12"/>
      <c r="X379" s="12"/>
      <c r="Y379" s="12"/>
    </row>
    <row r="380" customFormat="false" ht="15.75" hidden="false" customHeight="false" outlineLevel="0" collapsed="false">
      <c r="A380" s="12"/>
      <c r="B380" s="34"/>
      <c r="C380" s="12"/>
      <c r="D380" s="12"/>
      <c r="E380" s="12"/>
      <c r="F380" s="12"/>
      <c r="G380" s="18"/>
      <c r="H380" s="35"/>
      <c r="I380" s="12"/>
      <c r="N380" s="12"/>
      <c r="O380" s="18"/>
      <c r="P380" s="12"/>
      <c r="Q380" s="12"/>
      <c r="R380" s="12"/>
      <c r="S380" s="36"/>
      <c r="T380" s="36"/>
      <c r="U380" s="12"/>
      <c r="V380" s="12"/>
      <c r="W380" s="12"/>
      <c r="X380" s="12"/>
      <c r="Y380" s="12"/>
    </row>
    <row r="381" customFormat="false" ht="15.75" hidden="false" customHeight="false" outlineLevel="0" collapsed="false">
      <c r="A381" s="12"/>
      <c r="B381" s="34"/>
      <c r="C381" s="12"/>
      <c r="D381" s="12"/>
      <c r="E381" s="12"/>
      <c r="F381" s="12"/>
      <c r="G381" s="18"/>
      <c r="H381" s="35"/>
      <c r="I381" s="12"/>
      <c r="N381" s="12"/>
      <c r="O381" s="18"/>
      <c r="P381" s="12"/>
      <c r="Q381" s="12"/>
      <c r="R381" s="12"/>
      <c r="S381" s="36"/>
      <c r="T381" s="36"/>
      <c r="U381" s="12"/>
      <c r="V381" s="12"/>
      <c r="W381" s="12"/>
      <c r="X381" s="12"/>
      <c r="Y381" s="12"/>
    </row>
    <row r="382" customFormat="false" ht="15.75" hidden="false" customHeight="false" outlineLevel="0" collapsed="false">
      <c r="A382" s="12"/>
      <c r="B382" s="34"/>
      <c r="C382" s="12"/>
      <c r="D382" s="12"/>
      <c r="E382" s="12"/>
      <c r="F382" s="12"/>
      <c r="G382" s="18"/>
      <c r="H382" s="35"/>
      <c r="I382" s="12"/>
      <c r="N382" s="12"/>
      <c r="O382" s="18"/>
      <c r="P382" s="12"/>
      <c r="Q382" s="12"/>
      <c r="R382" s="12"/>
      <c r="S382" s="36"/>
      <c r="T382" s="36"/>
      <c r="U382" s="12"/>
      <c r="V382" s="12"/>
      <c r="W382" s="12"/>
      <c r="X382" s="12"/>
      <c r="Y382" s="12"/>
    </row>
    <row r="383" customFormat="false" ht="15.75" hidden="false" customHeight="false" outlineLevel="0" collapsed="false">
      <c r="A383" s="12"/>
      <c r="B383" s="34"/>
      <c r="C383" s="12"/>
      <c r="D383" s="12"/>
      <c r="E383" s="12"/>
      <c r="F383" s="12"/>
      <c r="G383" s="18"/>
      <c r="H383" s="35"/>
      <c r="I383" s="12"/>
      <c r="N383" s="12"/>
      <c r="O383" s="18"/>
      <c r="P383" s="12"/>
      <c r="Q383" s="12"/>
      <c r="R383" s="12"/>
      <c r="S383" s="36"/>
      <c r="T383" s="36"/>
      <c r="U383" s="12"/>
      <c r="V383" s="12"/>
      <c r="W383" s="12"/>
      <c r="X383" s="12"/>
      <c r="Y383" s="12"/>
    </row>
    <row r="384" customFormat="false" ht="15.75" hidden="false" customHeight="false" outlineLevel="0" collapsed="false">
      <c r="A384" s="12"/>
      <c r="B384" s="34"/>
      <c r="C384" s="12"/>
      <c r="D384" s="12"/>
      <c r="E384" s="12"/>
      <c r="F384" s="12"/>
      <c r="G384" s="18"/>
      <c r="H384" s="35"/>
      <c r="I384" s="12"/>
      <c r="N384" s="12"/>
      <c r="O384" s="18"/>
      <c r="P384" s="12"/>
      <c r="Q384" s="12"/>
      <c r="R384" s="12"/>
      <c r="S384" s="36"/>
      <c r="T384" s="36"/>
      <c r="U384" s="12"/>
      <c r="V384" s="12"/>
      <c r="W384" s="12"/>
      <c r="X384" s="12"/>
      <c r="Y384" s="12"/>
    </row>
    <row r="385" customFormat="false" ht="15.75" hidden="false" customHeight="false" outlineLevel="0" collapsed="false">
      <c r="A385" s="12"/>
      <c r="B385" s="34"/>
      <c r="C385" s="12"/>
      <c r="D385" s="12"/>
      <c r="E385" s="12"/>
      <c r="F385" s="12"/>
      <c r="G385" s="18"/>
      <c r="H385" s="35"/>
      <c r="I385" s="12"/>
      <c r="N385" s="12"/>
      <c r="O385" s="18"/>
      <c r="P385" s="12"/>
      <c r="Q385" s="12"/>
      <c r="R385" s="12"/>
      <c r="S385" s="36"/>
      <c r="T385" s="36"/>
      <c r="U385" s="12"/>
      <c r="V385" s="12"/>
      <c r="W385" s="12"/>
      <c r="X385" s="12"/>
      <c r="Y385" s="12"/>
    </row>
    <row r="386" customFormat="false" ht="15.75" hidden="false" customHeight="false" outlineLevel="0" collapsed="false">
      <c r="A386" s="12"/>
      <c r="B386" s="34"/>
      <c r="C386" s="12"/>
      <c r="D386" s="12"/>
      <c r="E386" s="12"/>
      <c r="F386" s="12"/>
      <c r="G386" s="18"/>
      <c r="H386" s="35"/>
      <c r="I386" s="12"/>
      <c r="N386" s="12"/>
      <c r="O386" s="18"/>
      <c r="P386" s="12"/>
      <c r="Q386" s="12"/>
      <c r="R386" s="12"/>
      <c r="S386" s="36"/>
      <c r="T386" s="36"/>
      <c r="U386" s="12"/>
      <c r="V386" s="12"/>
      <c r="W386" s="12"/>
      <c r="X386" s="12"/>
      <c r="Y386" s="12"/>
    </row>
    <row r="387" customFormat="false" ht="15.75" hidden="false" customHeight="false" outlineLevel="0" collapsed="false">
      <c r="A387" s="12"/>
      <c r="B387" s="34"/>
      <c r="C387" s="12"/>
      <c r="D387" s="12"/>
      <c r="E387" s="12"/>
      <c r="F387" s="12"/>
      <c r="G387" s="18"/>
      <c r="H387" s="35"/>
      <c r="I387" s="12"/>
      <c r="N387" s="12"/>
      <c r="O387" s="18"/>
      <c r="P387" s="12"/>
      <c r="Q387" s="12"/>
      <c r="R387" s="12"/>
      <c r="S387" s="36"/>
      <c r="T387" s="36"/>
      <c r="U387" s="12"/>
      <c r="V387" s="12"/>
      <c r="W387" s="12"/>
      <c r="X387" s="12"/>
      <c r="Y387" s="12"/>
    </row>
    <row r="388" customFormat="false" ht="15.75" hidden="false" customHeight="false" outlineLevel="0" collapsed="false">
      <c r="A388" s="12"/>
      <c r="B388" s="34"/>
      <c r="C388" s="12"/>
      <c r="D388" s="12"/>
      <c r="E388" s="12"/>
      <c r="F388" s="12"/>
      <c r="G388" s="18"/>
      <c r="H388" s="35"/>
      <c r="I388" s="12"/>
      <c r="N388" s="12"/>
      <c r="O388" s="18"/>
      <c r="P388" s="12"/>
      <c r="Q388" s="12"/>
      <c r="R388" s="12"/>
      <c r="S388" s="36"/>
      <c r="T388" s="36"/>
      <c r="U388" s="12"/>
      <c r="V388" s="12"/>
      <c r="W388" s="12"/>
      <c r="X388" s="12"/>
      <c r="Y388" s="12"/>
    </row>
    <row r="389" customFormat="false" ht="15.75" hidden="false" customHeight="false" outlineLevel="0" collapsed="false">
      <c r="A389" s="12"/>
      <c r="B389" s="34"/>
      <c r="C389" s="12"/>
      <c r="D389" s="12"/>
      <c r="E389" s="12"/>
      <c r="F389" s="12"/>
      <c r="G389" s="18"/>
      <c r="H389" s="35"/>
      <c r="I389" s="12"/>
      <c r="N389" s="12"/>
      <c r="O389" s="18"/>
      <c r="P389" s="12"/>
      <c r="Q389" s="12"/>
      <c r="R389" s="12"/>
      <c r="S389" s="36"/>
      <c r="T389" s="36"/>
      <c r="U389" s="12"/>
      <c r="V389" s="12"/>
      <c r="W389" s="12"/>
      <c r="X389" s="12"/>
      <c r="Y389" s="12"/>
    </row>
    <row r="390" customFormat="false" ht="15.75" hidden="false" customHeight="false" outlineLevel="0" collapsed="false">
      <c r="A390" s="12"/>
      <c r="B390" s="34"/>
      <c r="C390" s="12"/>
      <c r="D390" s="12"/>
      <c r="E390" s="12"/>
      <c r="F390" s="12"/>
      <c r="G390" s="18"/>
      <c r="H390" s="35"/>
      <c r="I390" s="12"/>
      <c r="N390" s="12"/>
      <c r="O390" s="18"/>
      <c r="P390" s="12"/>
      <c r="Q390" s="12"/>
      <c r="R390" s="12"/>
      <c r="S390" s="36"/>
      <c r="T390" s="36"/>
      <c r="U390" s="12"/>
      <c r="V390" s="12"/>
      <c r="W390" s="12"/>
      <c r="X390" s="12"/>
      <c r="Y390" s="12"/>
    </row>
    <row r="391" customFormat="false" ht="15.75" hidden="false" customHeight="false" outlineLevel="0" collapsed="false">
      <c r="A391" s="12"/>
      <c r="B391" s="34"/>
      <c r="C391" s="12"/>
      <c r="D391" s="12"/>
      <c r="E391" s="12"/>
      <c r="F391" s="12"/>
      <c r="G391" s="18"/>
      <c r="H391" s="35"/>
      <c r="I391" s="12"/>
      <c r="N391" s="12"/>
      <c r="O391" s="18"/>
      <c r="P391" s="12"/>
      <c r="Q391" s="12"/>
      <c r="R391" s="12"/>
      <c r="S391" s="36"/>
      <c r="T391" s="36"/>
      <c r="U391" s="12"/>
      <c r="V391" s="12"/>
      <c r="W391" s="12"/>
      <c r="X391" s="12"/>
      <c r="Y391" s="12"/>
    </row>
    <row r="392" customFormat="false" ht="15.75" hidden="false" customHeight="false" outlineLevel="0" collapsed="false">
      <c r="A392" s="12"/>
      <c r="B392" s="34"/>
      <c r="C392" s="12"/>
      <c r="D392" s="12"/>
      <c r="E392" s="12"/>
      <c r="F392" s="12"/>
      <c r="G392" s="18"/>
      <c r="H392" s="35"/>
      <c r="I392" s="12"/>
      <c r="N392" s="12"/>
      <c r="O392" s="18"/>
      <c r="P392" s="12"/>
      <c r="Q392" s="12"/>
      <c r="R392" s="12"/>
      <c r="S392" s="36"/>
      <c r="T392" s="36"/>
      <c r="U392" s="12"/>
      <c r="V392" s="12"/>
      <c r="W392" s="12"/>
      <c r="X392" s="12"/>
      <c r="Y392" s="12"/>
    </row>
    <row r="393" customFormat="false" ht="15.75" hidden="false" customHeight="false" outlineLevel="0" collapsed="false">
      <c r="A393" s="12"/>
      <c r="B393" s="34"/>
      <c r="C393" s="12"/>
      <c r="D393" s="12"/>
      <c r="E393" s="12"/>
      <c r="F393" s="12"/>
      <c r="G393" s="18"/>
      <c r="H393" s="35"/>
      <c r="I393" s="12"/>
      <c r="N393" s="12"/>
      <c r="O393" s="18"/>
      <c r="P393" s="12"/>
      <c r="Q393" s="12"/>
      <c r="R393" s="12"/>
      <c r="S393" s="36"/>
      <c r="T393" s="36"/>
      <c r="U393" s="12"/>
      <c r="V393" s="12"/>
      <c r="W393" s="12"/>
      <c r="X393" s="12"/>
      <c r="Y393" s="12"/>
    </row>
    <row r="394" customFormat="false" ht="15.75" hidden="false" customHeight="false" outlineLevel="0" collapsed="false">
      <c r="A394" s="12"/>
      <c r="B394" s="34"/>
      <c r="C394" s="12"/>
      <c r="D394" s="12"/>
      <c r="E394" s="12"/>
      <c r="F394" s="12"/>
      <c r="G394" s="18"/>
      <c r="H394" s="35"/>
      <c r="I394" s="12"/>
      <c r="N394" s="12"/>
      <c r="O394" s="18"/>
      <c r="P394" s="12"/>
      <c r="Q394" s="12"/>
      <c r="R394" s="12"/>
      <c r="S394" s="36"/>
      <c r="T394" s="36"/>
      <c r="U394" s="12"/>
      <c r="V394" s="12"/>
      <c r="W394" s="12"/>
      <c r="X394" s="12"/>
      <c r="Y394" s="12"/>
    </row>
    <row r="395" customFormat="false" ht="15.75" hidden="false" customHeight="false" outlineLevel="0" collapsed="false">
      <c r="A395" s="12"/>
      <c r="B395" s="34"/>
      <c r="C395" s="12"/>
      <c r="D395" s="12"/>
      <c r="E395" s="12"/>
      <c r="F395" s="12"/>
      <c r="G395" s="18"/>
      <c r="H395" s="35"/>
      <c r="I395" s="12"/>
      <c r="N395" s="12"/>
      <c r="O395" s="18"/>
      <c r="P395" s="12"/>
      <c r="Q395" s="12"/>
      <c r="R395" s="12"/>
      <c r="S395" s="36"/>
      <c r="T395" s="36"/>
      <c r="U395" s="12"/>
      <c r="V395" s="12"/>
      <c r="W395" s="12"/>
      <c r="X395" s="12"/>
      <c r="Y395" s="12"/>
    </row>
    <row r="396" customFormat="false" ht="15.75" hidden="false" customHeight="false" outlineLevel="0" collapsed="false">
      <c r="A396" s="12"/>
      <c r="B396" s="34"/>
      <c r="C396" s="12"/>
      <c r="D396" s="12"/>
      <c r="E396" s="12"/>
      <c r="F396" s="12"/>
      <c r="G396" s="18"/>
      <c r="H396" s="35"/>
      <c r="I396" s="12"/>
      <c r="N396" s="12"/>
      <c r="O396" s="18"/>
      <c r="P396" s="12"/>
      <c r="Q396" s="12"/>
      <c r="R396" s="12"/>
      <c r="S396" s="36"/>
      <c r="T396" s="36"/>
      <c r="U396" s="12"/>
      <c r="V396" s="12"/>
      <c r="W396" s="12"/>
      <c r="X396" s="12"/>
      <c r="Y396" s="12"/>
    </row>
    <row r="397" customFormat="false" ht="15.75" hidden="false" customHeight="false" outlineLevel="0" collapsed="false">
      <c r="A397" s="12"/>
      <c r="B397" s="34"/>
      <c r="C397" s="12"/>
      <c r="D397" s="12"/>
      <c r="E397" s="12"/>
      <c r="F397" s="12"/>
      <c r="G397" s="18"/>
      <c r="H397" s="35"/>
      <c r="I397" s="12"/>
      <c r="N397" s="12"/>
      <c r="O397" s="18"/>
      <c r="P397" s="12"/>
      <c r="Q397" s="12"/>
      <c r="R397" s="12"/>
      <c r="S397" s="36"/>
      <c r="T397" s="36"/>
      <c r="U397" s="12"/>
      <c r="V397" s="12"/>
      <c r="W397" s="12"/>
      <c r="X397" s="12"/>
      <c r="Y397" s="12"/>
    </row>
    <row r="398" customFormat="false" ht="15.75" hidden="false" customHeight="false" outlineLevel="0" collapsed="false">
      <c r="A398" s="12"/>
      <c r="B398" s="34"/>
      <c r="C398" s="12"/>
      <c r="D398" s="12"/>
      <c r="E398" s="12"/>
      <c r="F398" s="12"/>
      <c r="G398" s="18"/>
      <c r="H398" s="35"/>
      <c r="I398" s="12"/>
      <c r="N398" s="12"/>
      <c r="O398" s="18"/>
      <c r="P398" s="12"/>
      <c r="Q398" s="12"/>
      <c r="R398" s="12"/>
      <c r="S398" s="36"/>
      <c r="T398" s="36"/>
      <c r="U398" s="12"/>
      <c r="V398" s="12"/>
      <c r="W398" s="12"/>
      <c r="X398" s="12"/>
      <c r="Y398" s="12"/>
    </row>
    <row r="399" customFormat="false" ht="15.75" hidden="false" customHeight="false" outlineLevel="0" collapsed="false">
      <c r="A399" s="12"/>
      <c r="B399" s="34"/>
      <c r="C399" s="12"/>
      <c r="D399" s="12"/>
      <c r="E399" s="12"/>
      <c r="F399" s="12"/>
      <c r="G399" s="18"/>
      <c r="H399" s="35"/>
      <c r="I399" s="12"/>
      <c r="N399" s="12"/>
      <c r="O399" s="18"/>
      <c r="P399" s="12"/>
      <c r="Q399" s="12"/>
      <c r="R399" s="12"/>
      <c r="S399" s="36"/>
      <c r="T399" s="36"/>
      <c r="U399" s="12"/>
      <c r="V399" s="12"/>
      <c r="W399" s="12"/>
      <c r="X399" s="12"/>
      <c r="Y399" s="12"/>
    </row>
    <row r="400" customFormat="false" ht="15.75" hidden="false" customHeight="false" outlineLevel="0" collapsed="false">
      <c r="A400" s="12"/>
      <c r="B400" s="34"/>
      <c r="C400" s="12"/>
      <c r="D400" s="12"/>
      <c r="E400" s="12"/>
      <c r="F400" s="12"/>
      <c r="G400" s="18"/>
      <c r="H400" s="35"/>
      <c r="I400" s="12"/>
      <c r="N400" s="12"/>
      <c r="O400" s="18"/>
      <c r="P400" s="12"/>
      <c r="Q400" s="12"/>
      <c r="R400" s="12"/>
      <c r="S400" s="36"/>
      <c r="T400" s="36"/>
      <c r="U400" s="12"/>
      <c r="V400" s="12"/>
      <c r="W400" s="12"/>
      <c r="X400" s="12"/>
      <c r="Y400" s="12"/>
    </row>
    <row r="401" customFormat="false" ht="15.75" hidden="false" customHeight="false" outlineLevel="0" collapsed="false">
      <c r="A401" s="12"/>
      <c r="B401" s="34"/>
      <c r="C401" s="12"/>
      <c r="D401" s="12"/>
      <c r="E401" s="12"/>
      <c r="F401" s="12"/>
      <c r="G401" s="18"/>
      <c r="H401" s="35"/>
      <c r="I401" s="12"/>
      <c r="N401" s="12"/>
      <c r="O401" s="18"/>
      <c r="P401" s="12"/>
      <c r="Q401" s="12"/>
      <c r="R401" s="12"/>
      <c r="S401" s="36"/>
      <c r="T401" s="36"/>
      <c r="U401" s="12"/>
      <c r="V401" s="12"/>
      <c r="W401" s="12"/>
      <c r="X401" s="12"/>
      <c r="Y401" s="12"/>
    </row>
    <row r="402" customFormat="false" ht="15.75" hidden="false" customHeight="false" outlineLevel="0" collapsed="false">
      <c r="A402" s="12"/>
      <c r="B402" s="34"/>
      <c r="C402" s="12"/>
      <c r="D402" s="12"/>
      <c r="E402" s="12"/>
      <c r="F402" s="12"/>
      <c r="G402" s="18"/>
      <c r="H402" s="35"/>
      <c r="I402" s="12"/>
      <c r="N402" s="12"/>
      <c r="O402" s="18"/>
      <c r="P402" s="12"/>
      <c r="Q402" s="12"/>
      <c r="R402" s="12"/>
      <c r="S402" s="36"/>
      <c r="T402" s="36"/>
      <c r="U402" s="12"/>
      <c r="V402" s="12"/>
      <c r="W402" s="12"/>
      <c r="X402" s="12"/>
      <c r="Y402" s="12"/>
    </row>
    <row r="403" customFormat="false" ht="15.75" hidden="false" customHeight="false" outlineLevel="0" collapsed="false">
      <c r="A403" s="12"/>
      <c r="B403" s="34"/>
      <c r="C403" s="12"/>
      <c r="D403" s="12"/>
      <c r="E403" s="12"/>
      <c r="F403" s="12"/>
      <c r="G403" s="18"/>
      <c r="H403" s="35"/>
      <c r="I403" s="12"/>
      <c r="N403" s="12"/>
      <c r="O403" s="18"/>
      <c r="P403" s="12"/>
      <c r="Q403" s="12"/>
      <c r="R403" s="12"/>
      <c r="S403" s="36"/>
      <c r="T403" s="36"/>
      <c r="U403" s="12"/>
      <c r="V403" s="12"/>
      <c r="W403" s="12"/>
      <c r="X403" s="12"/>
      <c r="Y403" s="12"/>
    </row>
    <row r="404" customFormat="false" ht="15.75" hidden="false" customHeight="false" outlineLevel="0" collapsed="false">
      <c r="A404" s="12"/>
      <c r="B404" s="34"/>
      <c r="C404" s="12"/>
      <c r="D404" s="12"/>
      <c r="E404" s="12"/>
      <c r="F404" s="12"/>
      <c r="G404" s="18"/>
      <c r="H404" s="35"/>
      <c r="I404" s="12"/>
      <c r="N404" s="12"/>
      <c r="O404" s="18"/>
      <c r="P404" s="12"/>
      <c r="Q404" s="12"/>
      <c r="R404" s="12"/>
      <c r="S404" s="36"/>
      <c r="T404" s="36"/>
      <c r="U404" s="12"/>
      <c r="V404" s="12"/>
      <c r="W404" s="12"/>
      <c r="X404" s="12"/>
      <c r="Y404" s="12"/>
    </row>
    <row r="405" customFormat="false" ht="15.75" hidden="false" customHeight="false" outlineLevel="0" collapsed="false">
      <c r="A405" s="12"/>
      <c r="B405" s="34"/>
      <c r="C405" s="12"/>
      <c r="D405" s="12"/>
      <c r="E405" s="12"/>
      <c r="F405" s="12"/>
      <c r="G405" s="18"/>
      <c r="H405" s="35"/>
      <c r="I405" s="12"/>
      <c r="N405" s="12"/>
      <c r="O405" s="18"/>
      <c r="P405" s="12"/>
      <c r="Q405" s="12"/>
      <c r="R405" s="12"/>
      <c r="S405" s="36"/>
      <c r="T405" s="36"/>
      <c r="U405" s="12"/>
      <c r="V405" s="12"/>
      <c r="W405" s="12"/>
      <c r="X405" s="12"/>
      <c r="Y405" s="12"/>
    </row>
    <row r="406" customFormat="false" ht="15.75" hidden="false" customHeight="false" outlineLevel="0" collapsed="false">
      <c r="A406" s="12"/>
      <c r="B406" s="34"/>
      <c r="C406" s="12"/>
      <c r="D406" s="12"/>
      <c r="E406" s="12"/>
      <c r="F406" s="12"/>
      <c r="G406" s="18"/>
      <c r="H406" s="35"/>
      <c r="I406" s="12"/>
      <c r="N406" s="12"/>
      <c r="O406" s="18"/>
      <c r="P406" s="12"/>
      <c r="Q406" s="12"/>
      <c r="R406" s="12"/>
      <c r="S406" s="36"/>
      <c r="T406" s="36"/>
      <c r="U406" s="12"/>
      <c r="V406" s="12"/>
      <c r="W406" s="12"/>
      <c r="X406" s="12"/>
      <c r="Y406" s="12"/>
    </row>
    <row r="407" customFormat="false" ht="15.75" hidden="false" customHeight="false" outlineLevel="0" collapsed="false">
      <c r="A407" s="12"/>
      <c r="B407" s="34"/>
      <c r="C407" s="12"/>
      <c r="D407" s="12"/>
      <c r="E407" s="12"/>
      <c r="F407" s="12"/>
      <c r="G407" s="18"/>
      <c r="H407" s="35"/>
      <c r="I407" s="12"/>
      <c r="N407" s="12"/>
      <c r="O407" s="18"/>
      <c r="P407" s="12"/>
      <c r="Q407" s="12"/>
      <c r="R407" s="12"/>
      <c r="S407" s="36"/>
      <c r="T407" s="36"/>
      <c r="U407" s="12"/>
      <c r="V407" s="12"/>
      <c r="W407" s="12"/>
      <c r="X407" s="12"/>
      <c r="Y407" s="12"/>
    </row>
    <row r="408" customFormat="false" ht="15.75" hidden="false" customHeight="false" outlineLevel="0" collapsed="false">
      <c r="A408" s="12"/>
      <c r="B408" s="34"/>
      <c r="C408" s="12"/>
      <c r="D408" s="12"/>
      <c r="E408" s="12"/>
      <c r="F408" s="12"/>
      <c r="G408" s="18"/>
      <c r="H408" s="35"/>
      <c r="I408" s="12"/>
      <c r="N408" s="12"/>
      <c r="O408" s="18"/>
      <c r="P408" s="12"/>
      <c r="Q408" s="12"/>
      <c r="R408" s="12"/>
      <c r="S408" s="36"/>
      <c r="T408" s="36"/>
      <c r="U408" s="12"/>
      <c r="V408" s="12"/>
      <c r="W408" s="12"/>
      <c r="X408" s="12"/>
      <c r="Y408" s="12"/>
    </row>
    <row r="409" customFormat="false" ht="15.75" hidden="false" customHeight="false" outlineLevel="0" collapsed="false">
      <c r="A409" s="12"/>
      <c r="B409" s="34"/>
      <c r="C409" s="12"/>
      <c r="D409" s="12"/>
      <c r="E409" s="12"/>
      <c r="F409" s="12"/>
      <c r="G409" s="18"/>
      <c r="H409" s="35"/>
      <c r="I409" s="12"/>
      <c r="N409" s="12"/>
      <c r="O409" s="18"/>
      <c r="P409" s="12"/>
      <c r="Q409" s="12"/>
      <c r="R409" s="12"/>
      <c r="S409" s="36"/>
      <c r="T409" s="36"/>
      <c r="U409" s="12"/>
      <c r="V409" s="12"/>
      <c r="W409" s="12"/>
      <c r="X409" s="12"/>
      <c r="Y409" s="12"/>
    </row>
    <row r="410" customFormat="false" ht="15.75" hidden="false" customHeight="false" outlineLevel="0" collapsed="false">
      <c r="A410" s="12"/>
      <c r="B410" s="34"/>
      <c r="C410" s="12"/>
      <c r="D410" s="12"/>
      <c r="E410" s="12"/>
      <c r="F410" s="12"/>
      <c r="G410" s="18"/>
      <c r="H410" s="35"/>
      <c r="I410" s="12"/>
      <c r="N410" s="12"/>
      <c r="O410" s="18"/>
      <c r="P410" s="12"/>
      <c r="Q410" s="12"/>
      <c r="R410" s="12"/>
      <c r="S410" s="36"/>
      <c r="T410" s="36"/>
      <c r="U410" s="12"/>
      <c r="V410" s="12"/>
      <c r="W410" s="12"/>
      <c r="X410" s="12"/>
      <c r="Y410" s="12"/>
    </row>
    <row r="411" customFormat="false" ht="15.75" hidden="false" customHeight="false" outlineLevel="0" collapsed="false">
      <c r="A411" s="12"/>
      <c r="B411" s="34"/>
      <c r="C411" s="12"/>
      <c r="D411" s="12"/>
      <c r="E411" s="12"/>
      <c r="F411" s="12"/>
      <c r="G411" s="18"/>
      <c r="H411" s="35"/>
      <c r="I411" s="12"/>
      <c r="N411" s="12"/>
      <c r="O411" s="18"/>
      <c r="P411" s="12"/>
      <c r="Q411" s="12"/>
      <c r="R411" s="12"/>
      <c r="S411" s="36"/>
      <c r="T411" s="36"/>
      <c r="U411" s="12"/>
      <c r="V411" s="12"/>
      <c r="W411" s="12"/>
      <c r="X411" s="12"/>
      <c r="Y411" s="12"/>
    </row>
    <row r="412" customFormat="false" ht="15.75" hidden="false" customHeight="false" outlineLevel="0" collapsed="false">
      <c r="A412" s="12"/>
      <c r="B412" s="34"/>
      <c r="C412" s="12"/>
      <c r="D412" s="12"/>
      <c r="E412" s="12"/>
      <c r="F412" s="12"/>
      <c r="G412" s="18"/>
      <c r="H412" s="35"/>
      <c r="I412" s="12"/>
      <c r="N412" s="12"/>
      <c r="O412" s="18"/>
      <c r="P412" s="12"/>
      <c r="Q412" s="12"/>
      <c r="R412" s="12"/>
      <c r="S412" s="36"/>
      <c r="T412" s="36"/>
      <c r="U412" s="12"/>
      <c r="V412" s="12"/>
      <c r="W412" s="12"/>
      <c r="X412" s="12"/>
      <c r="Y412" s="12"/>
    </row>
    <row r="413" customFormat="false" ht="15.75" hidden="false" customHeight="false" outlineLevel="0" collapsed="false">
      <c r="A413" s="12"/>
      <c r="B413" s="34"/>
      <c r="C413" s="12"/>
      <c r="D413" s="12"/>
      <c r="E413" s="12"/>
      <c r="F413" s="12"/>
      <c r="G413" s="18"/>
      <c r="H413" s="35"/>
      <c r="I413" s="12"/>
      <c r="N413" s="12"/>
      <c r="O413" s="18"/>
      <c r="P413" s="12"/>
      <c r="Q413" s="12"/>
      <c r="R413" s="12"/>
      <c r="S413" s="36"/>
      <c r="T413" s="36"/>
      <c r="U413" s="12"/>
      <c r="V413" s="12"/>
      <c r="W413" s="12"/>
      <c r="X413" s="12"/>
      <c r="Y413" s="12"/>
    </row>
    <row r="414" customFormat="false" ht="15.75" hidden="false" customHeight="false" outlineLevel="0" collapsed="false">
      <c r="A414" s="12"/>
      <c r="B414" s="34"/>
      <c r="C414" s="12"/>
      <c r="D414" s="12"/>
      <c r="E414" s="12"/>
      <c r="F414" s="12"/>
      <c r="G414" s="18"/>
      <c r="H414" s="35"/>
      <c r="I414" s="12"/>
      <c r="N414" s="12"/>
      <c r="O414" s="18"/>
      <c r="P414" s="12"/>
      <c r="Q414" s="12"/>
      <c r="R414" s="12"/>
      <c r="S414" s="36"/>
      <c r="T414" s="36"/>
      <c r="U414" s="12"/>
      <c r="V414" s="12"/>
      <c r="W414" s="12"/>
      <c r="X414" s="12"/>
      <c r="Y414" s="12"/>
    </row>
    <row r="415" customFormat="false" ht="15.75" hidden="false" customHeight="false" outlineLevel="0" collapsed="false">
      <c r="A415" s="12"/>
      <c r="B415" s="34"/>
      <c r="C415" s="12"/>
      <c r="D415" s="12"/>
      <c r="E415" s="12"/>
      <c r="F415" s="12"/>
      <c r="G415" s="18"/>
      <c r="H415" s="35"/>
      <c r="I415" s="12"/>
      <c r="N415" s="12"/>
      <c r="O415" s="18"/>
      <c r="P415" s="12"/>
      <c r="Q415" s="12"/>
      <c r="R415" s="12"/>
      <c r="S415" s="36"/>
      <c r="T415" s="36"/>
      <c r="U415" s="12"/>
      <c r="V415" s="12"/>
      <c r="W415" s="12"/>
      <c r="X415" s="12"/>
      <c r="Y415" s="12"/>
    </row>
    <row r="416" customFormat="false" ht="15.75" hidden="false" customHeight="false" outlineLevel="0" collapsed="false">
      <c r="A416" s="12"/>
      <c r="B416" s="34"/>
      <c r="C416" s="12"/>
      <c r="D416" s="12"/>
      <c r="E416" s="12"/>
      <c r="F416" s="12"/>
      <c r="G416" s="18"/>
      <c r="H416" s="35"/>
      <c r="I416" s="12"/>
      <c r="N416" s="12"/>
      <c r="O416" s="18"/>
      <c r="P416" s="12"/>
      <c r="Q416" s="12"/>
      <c r="R416" s="12"/>
      <c r="S416" s="36"/>
      <c r="T416" s="36"/>
      <c r="U416" s="12"/>
      <c r="V416" s="12"/>
      <c r="W416" s="12"/>
      <c r="X416" s="12"/>
      <c r="Y416" s="12"/>
    </row>
    <row r="417" customFormat="false" ht="15.75" hidden="false" customHeight="false" outlineLevel="0" collapsed="false">
      <c r="A417" s="12"/>
      <c r="B417" s="34"/>
      <c r="C417" s="12"/>
      <c r="D417" s="12"/>
      <c r="E417" s="12"/>
      <c r="F417" s="12"/>
      <c r="G417" s="18"/>
      <c r="H417" s="35"/>
      <c r="I417" s="12"/>
      <c r="N417" s="12"/>
      <c r="O417" s="18"/>
      <c r="P417" s="12"/>
      <c r="Q417" s="12"/>
      <c r="R417" s="12"/>
      <c r="S417" s="36"/>
      <c r="T417" s="36"/>
      <c r="U417" s="12"/>
      <c r="V417" s="12"/>
      <c r="W417" s="12"/>
      <c r="X417" s="12"/>
      <c r="Y417" s="12"/>
    </row>
    <row r="418" customFormat="false" ht="15.75" hidden="false" customHeight="false" outlineLevel="0" collapsed="false">
      <c r="A418" s="12"/>
      <c r="B418" s="34"/>
      <c r="C418" s="12"/>
      <c r="D418" s="12"/>
      <c r="E418" s="12"/>
      <c r="F418" s="12"/>
      <c r="G418" s="18"/>
      <c r="H418" s="35"/>
      <c r="I418" s="12"/>
      <c r="N418" s="12"/>
      <c r="O418" s="18"/>
      <c r="P418" s="12"/>
      <c r="Q418" s="12"/>
      <c r="R418" s="12"/>
      <c r="S418" s="36"/>
      <c r="T418" s="36"/>
      <c r="U418" s="12"/>
      <c r="V418" s="12"/>
      <c r="W418" s="12"/>
      <c r="X418" s="12"/>
      <c r="Y418" s="12"/>
    </row>
    <row r="419" customFormat="false" ht="15.75" hidden="false" customHeight="false" outlineLevel="0" collapsed="false">
      <c r="A419" s="12"/>
      <c r="B419" s="34"/>
      <c r="C419" s="12"/>
      <c r="D419" s="12"/>
      <c r="E419" s="12"/>
      <c r="F419" s="12"/>
      <c r="G419" s="18"/>
      <c r="H419" s="35"/>
      <c r="I419" s="12"/>
      <c r="N419" s="12"/>
      <c r="O419" s="18"/>
      <c r="P419" s="12"/>
      <c r="Q419" s="12"/>
      <c r="R419" s="12"/>
      <c r="S419" s="36"/>
      <c r="T419" s="36"/>
      <c r="U419" s="12"/>
      <c r="V419" s="12"/>
      <c r="W419" s="12"/>
      <c r="X419" s="12"/>
      <c r="Y419" s="12"/>
    </row>
    <row r="420" customFormat="false" ht="15.75" hidden="false" customHeight="false" outlineLevel="0" collapsed="false">
      <c r="A420" s="12"/>
      <c r="B420" s="34"/>
      <c r="C420" s="12"/>
      <c r="D420" s="12"/>
      <c r="E420" s="12"/>
      <c r="F420" s="12"/>
      <c r="G420" s="18"/>
      <c r="H420" s="35"/>
      <c r="I420" s="12"/>
      <c r="N420" s="12"/>
      <c r="O420" s="18"/>
      <c r="P420" s="12"/>
      <c r="Q420" s="12"/>
      <c r="R420" s="12"/>
      <c r="S420" s="36"/>
      <c r="T420" s="36"/>
      <c r="U420" s="12"/>
      <c r="V420" s="12"/>
      <c r="W420" s="12"/>
      <c r="X420" s="12"/>
      <c r="Y420" s="12"/>
    </row>
    <row r="421" customFormat="false" ht="15.75" hidden="false" customHeight="false" outlineLevel="0" collapsed="false">
      <c r="A421" s="12"/>
      <c r="B421" s="34"/>
      <c r="C421" s="12"/>
      <c r="D421" s="12"/>
      <c r="E421" s="12"/>
      <c r="F421" s="12"/>
      <c r="G421" s="18"/>
      <c r="H421" s="35"/>
      <c r="I421" s="12"/>
      <c r="N421" s="12"/>
      <c r="O421" s="18"/>
      <c r="P421" s="12"/>
      <c r="Q421" s="12"/>
      <c r="R421" s="12"/>
      <c r="S421" s="36"/>
      <c r="T421" s="36"/>
      <c r="U421" s="12"/>
      <c r="V421" s="12"/>
      <c r="W421" s="12"/>
      <c r="X421" s="12"/>
      <c r="Y421" s="12"/>
    </row>
    <row r="422" customFormat="false" ht="15.75" hidden="false" customHeight="false" outlineLevel="0" collapsed="false">
      <c r="A422" s="12"/>
      <c r="B422" s="34"/>
      <c r="C422" s="12"/>
      <c r="D422" s="12"/>
      <c r="E422" s="12"/>
      <c r="F422" s="12"/>
      <c r="G422" s="18"/>
      <c r="H422" s="35"/>
      <c r="I422" s="12"/>
      <c r="N422" s="12"/>
      <c r="O422" s="18"/>
      <c r="P422" s="12"/>
      <c r="Q422" s="12"/>
      <c r="R422" s="12"/>
      <c r="S422" s="36"/>
      <c r="T422" s="36"/>
      <c r="U422" s="12"/>
      <c r="V422" s="12"/>
      <c r="W422" s="12"/>
      <c r="X422" s="12"/>
      <c r="Y422" s="12"/>
    </row>
    <row r="423" customFormat="false" ht="15.75" hidden="false" customHeight="false" outlineLevel="0" collapsed="false">
      <c r="A423" s="12"/>
      <c r="B423" s="34"/>
      <c r="C423" s="12"/>
      <c r="D423" s="12"/>
      <c r="E423" s="12"/>
      <c r="F423" s="12"/>
      <c r="G423" s="18"/>
      <c r="H423" s="35"/>
      <c r="I423" s="12"/>
      <c r="N423" s="12"/>
      <c r="O423" s="18"/>
      <c r="P423" s="12"/>
      <c r="Q423" s="12"/>
      <c r="R423" s="12"/>
      <c r="S423" s="36"/>
      <c r="T423" s="36"/>
      <c r="U423" s="12"/>
      <c r="V423" s="12"/>
      <c r="W423" s="12"/>
      <c r="X423" s="12"/>
      <c r="Y423" s="12"/>
    </row>
    <row r="424" customFormat="false" ht="15.75" hidden="false" customHeight="false" outlineLevel="0" collapsed="false">
      <c r="A424" s="12"/>
      <c r="B424" s="34"/>
      <c r="C424" s="12"/>
      <c r="D424" s="12"/>
      <c r="E424" s="12"/>
      <c r="F424" s="12"/>
      <c r="G424" s="18"/>
      <c r="H424" s="35"/>
      <c r="I424" s="12"/>
      <c r="N424" s="12"/>
      <c r="O424" s="18"/>
      <c r="P424" s="12"/>
      <c r="Q424" s="12"/>
      <c r="R424" s="12"/>
      <c r="S424" s="36"/>
      <c r="T424" s="36"/>
      <c r="U424" s="12"/>
      <c r="V424" s="12"/>
      <c r="W424" s="12"/>
      <c r="X424" s="12"/>
      <c r="Y424" s="12"/>
    </row>
    <row r="425" customFormat="false" ht="15.75" hidden="false" customHeight="false" outlineLevel="0" collapsed="false">
      <c r="A425" s="12"/>
      <c r="B425" s="34"/>
      <c r="C425" s="12"/>
      <c r="D425" s="12"/>
      <c r="E425" s="12"/>
      <c r="F425" s="12"/>
      <c r="G425" s="18"/>
      <c r="H425" s="35"/>
      <c r="I425" s="12"/>
      <c r="N425" s="12"/>
      <c r="O425" s="18"/>
      <c r="P425" s="12"/>
      <c r="Q425" s="12"/>
      <c r="R425" s="12"/>
      <c r="S425" s="36"/>
      <c r="T425" s="36"/>
      <c r="U425" s="12"/>
      <c r="V425" s="12"/>
      <c r="W425" s="12"/>
      <c r="X425" s="12"/>
      <c r="Y425" s="12"/>
    </row>
    <row r="426" customFormat="false" ht="15.75" hidden="false" customHeight="false" outlineLevel="0" collapsed="false">
      <c r="A426" s="12"/>
      <c r="B426" s="34"/>
      <c r="C426" s="12"/>
      <c r="D426" s="12"/>
      <c r="E426" s="12"/>
      <c r="F426" s="12"/>
      <c r="G426" s="18"/>
      <c r="H426" s="35"/>
      <c r="I426" s="12"/>
      <c r="N426" s="12"/>
      <c r="O426" s="18"/>
      <c r="P426" s="12"/>
      <c r="Q426" s="12"/>
      <c r="R426" s="12"/>
      <c r="S426" s="36"/>
      <c r="T426" s="36"/>
      <c r="U426" s="12"/>
      <c r="V426" s="12"/>
      <c r="W426" s="12"/>
      <c r="X426" s="12"/>
      <c r="Y426" s="12"/>
    </row>
    <row r="427" customFormat="false" ht="15.75" hidden="false" customHeight="false" outlineLevel="0" collapsed="false">
      <c r="A427" s="12"/>
      <c r="B427" s="34"/>
      <c r="C427" s="12"/>
      <c r="D427" s="12"/>
      <c r="E427" s="12"/>
      <c r="F427" s="12"/>
      <c r="G427" s="18"/>
      <c r="H427" s="35"/>
      <c r="I427" s="12"/>
      <c r="N427" s="12"/>
      <c r="O427" s="18"/>
      <c r="P427" s="12"/>
      <c r="Q427" s="12"/>
      <c r="R427" s="12"/>
      <c r="S427" s="36"/>
      <c r="T427" s="36"/>
      <c r="U427" s="12"/>
      <c r="V427" s="12"/>
      <c r="W427" s="12"/>
      <c r="X427" s="12"/>
      <c r="Y427" s="12"/>
    </row>
    <row r="428" customFormat="false" ht="15.75" hidden="false" customHeight="false" outlineLevel="0" collapsed="false">
      <c r="A428" s="12"/>
      <c r="B428" s="34"/>
      <c r="C428" s="12"/>
      <c r="D428" s="12"/>
      <c r="E428" s="12"/>
      <c r="F428" s="12"/>
      <c r="G428" s="18"/>
      <c r="H428" s="35"/>
      <c r="I428" s="12"/>
      <c r="N428" s="12"/>
      <c r="O428" s="18"/>
      <c r="P428" s="12"/>
      <c r="Q428" s="12"/>
      <c r="R428" s="12"/>
      <c r="S428" s="36"/>
      <c r="T428" s="36"/>
      <c r="U428" s="12"/>
      <c r="V428" s="12"/>
      <c r="W428" s="12"/>
      <c r="X428" s="12"/>
      <c r="Y428" s="12"/>
    </row>
    <row r="429" customFormat="false" ht="15.75" hidden="false" customHeight="false" outlineLevel="0" collapsed="false">
      <c r="A429" s="12"/>
      <c r="B429" s="34"/>
      <c r="C429" s="12"/>
      <c r="D429" s="12"/>
      <c r="E429" s="12"/>
      <c r="F429" s="12"/>
      <c r="G429" s="18"/>
      <c r="H429" s="35"/>
      <c r="I429" s="12"/>
      <c r="N429" s="12"/>
      <c r="O429" s="18"/>
      <c r="P429" s="12"/>
      <c r="Q429" s="12"/>
      <c r="R429" s="12"/>
      <c r="S429" s="36"/>
      <c r="T429" s="36"/>
      <c r="U429" s="12"/>
      <c r="V429" s="12"/>
      <c r="W429" s="12"/>
      <c r="X429" s="12"/>
      <c r="Y429" s="12"/>
    </row>
    <row r="430" customFormat="false" ht="15.75" hidden="false" customHeight="false" outlineLevel="0" collapsed="false">
      <c r="A430" s="12"/>
      <c r="B430" s="34"/>
      <c r="C430" s="12"/>
      <c r="D430" s="12"/>
      <c r="E430" s="12"/>
      <c r="F430" s="12"/>
      <c r="G430" s="18"/>
      <c r="H430" s="35"/>
      <c r="I430" s="12"/>
      <c r="N430" s="12"/>
      <c r="O430" s="18"/>
      <c r="P430" s="12"/>
      <c r="Q430" s="12"/>
      <c r="R430" s="12"/>
      <c r="S430" s="36"/>
      <c r="T430" s="36"/>
      <c r="U430" s="12"/>
      <c r="V430" s="12"/>
      <c r="W430" s="12"/>
      <c r="X430" s="12"/>
      <c r="Y430" s="12"/>
    </row>
    <row r="431" customFormat="false" ht="15.75" hidden="false" customHeight="false" outlineLevel="0" collapsed="false">
      <c r="A431" s="12"/>
      <c r="B431" s="34"/>
      <c r="C431" s="12"/>
      <c r="D431" s="12"/>
      <c r="E431" s="12"/>
      <c r="F431" s="12"/>
      <c r="G431" s="18"/>
      <c r="H431" s="35"/>
      <c r="I431" s="12"/>
      <c r="N431" s="12"/>
      <c r="O431" s="18"/>
      <c r="P431" s="12"/>
      <c r="Q431" s="12"/>
      <c r="R431" s="12"/>
      <c r="S431" s="36"/>
      <c r="T431" s="36"/>
      <c r="U431" s="12"/>
      <c r="V431" s="12"/>
      <c r="W431" s="12"/>
      <c r="X431" s="12"/>
      <c r="Y431" s="12"/>
    </row>
    <row r="432" customFormat="false" ht="15.75" hidden="false" customHeight="false" outlineLevel="0" collapsed="false">
      <c r="A432" s="12"/>
      <c r="B432" s="34"/>
      <c r="C432" s="12"/>
      <c r="D432" s="12"/>
      <c r="E432" s="12"/>
      <c r="F432" s="12"/>
      <c r="G432" s="18"/>
      <c r="H432" s="35"/>
      <c r="I432" s="12"/>
      <c r="N432" s="12"/>
      <c r="O432" s="18"/>
      <c r="P432" s="12"/>
      <c r="Q432" s="12"/>
      <c r="R432" s="12"/>
      <c r="S432" s="36"/>
      <c r="T432" s="36"/>
      <c r="U432" s="12"/>
      <c r="V432" s="12"/>
      <c r="W432" s="12"/>
      <c r="X432" s="12"/>
      <c r="Y432" s="12"/>
    </row>
    <row r="433" customFormat="false" ht="15.75" hidden="false" customHeight="false" outlineLevel="0" collapsed="false">
      <c r="A433" s="12"/>
      <c r="B433" s="34"/>
      <c r="C433" s="12"/>
      <c r="D433" s="12"/>
      <c r="E433" s="12"/>
      <c r="F433" s="12"/>
      <c r="G433" s="18"/>
      <c r="H433" s="35"/>
      <c r="I433" s="12"/>
      <c r="N433" s="12"/>
      <c r="O433" s="18"/>
      <c r="P433" s="12"/>
      <c r="Q433" s="12"/>
      <c r="R433" s="12"/>
      <c r="S433" s="36"/>
      <c r="T433" s="36"/>
      <c r="U433" s="12"/>
      <c r="V433" s="12"/>
      <c r="W433" s="12"/>
      <c r="X433" s="12"/>
      <c r="Y433" s="12"/>
    </row>
    <row r="434" customFormat="false" ht="15.75" hidden="false" customHeight="false" outlineLevel="0" collapsed="false">
      <c r="A434" s="12"/>
      <c r="B434" s="34"/>
      <c r="C434" s="12"/>
      <c r="D434" s="12"/>
      <c r="E434" s="12"/>
      <c r="F434" s="12"/>
      <c r="G434" s="18"/>
      <c r="H434" s="35"/>
      <c r="I434" s="12"/>
      <c r="N434" s="12"/>
      <c r="O434" s="18"/>
      <c r="P434" s="12"/>
      <c r="Q434" s="12"/>
      <c r="R434" s="12"/>
      <c r="S434" s="36"/>
      <c r="T434" s="36"/>
      <c r="U434" s="12"/>
      <c r="V434" s="12"/>
      <c r="W434" s="12"/>
      <c r="X434" s="12"/>
      <c r="Y434" s="12"/>
    </row>
    <row r="435" customFormat="false" ht="15.75" hidden="false" customHeight="false" outlineLevel="0" collapsed="false">
      <c r="A435" s="12"/>
      <c r="B435" s="34"/>
      <c r="C435" s="12"/>
      <c r="D435" s="12"/>
      <c r="E435" s="12"/>
      <c r="F435" s="12"/>
      <c r="G435" s="18"/>
      <c r="H435" s="35"/>
      <c r="I435" s="12"/>
      <c r="N435" s="12"/>
      <c r="O435" s="18"/>
      <c r="P435" s="12"/>
      <c r="Q435" s="12"/>
      <c r="R435" s="12"/>
      <c r="S435" s="36"/>
      <c r="T435" s="36"/>
      <c r="U435" s="12"/>
      <c r="V435" s="12"/>
      <c r="W435" s="12"/>
      <c r="X435" s="12"/>
      <c r="Y435" s="12"/>
    </row>
    <row r="436" customFormat="false" ht="15.75" hidden="false" customHeight="false" outlineLevel="0" collapsed="false">
      <c r="A436" s="12"/>
      <c r="B436" s="34"/>
      <c r="C436" s="12"/>
      <c r="D436" s="12"/>
      <c r="E436" s="12"/>
      <c r="F436" s="12"/>
      <c r="G436" s="18"/>
      <c r="H436" s="35"/>
      <c r="I436" s="12"/>
      <c r="N436" s="12"/>
      <c r="O436" s="18"/>
      <c r="P436" s="12"/>
      <c r="Q436" s="12"/>
      <c r="R436" s="12"/>
      <c r="S436" s="36"/>
      <c r="T436" s="36"/>
      <c r="U436" s="12"/>
      <c r="V436" s="12"/>
      <c r="W436" s="12"/>
      <c r="X436" s="12"/>
      <c r="Y436" s="12"/>
    </row>
    <row r="437" customFormat="false" ht="15.75" hidden="false" customHeight="false" outlineLevel="0" collapsed="false">
      <c r="A437" s="12"/>
      <c r="B437" s="34"/>
      <c r="C437" s="12"/>
      <c r="D437" s="12"/>
      <c r="E437" s="12"/>
      <c r="F437" s="12"/>
      <c r="G437" s="18"/>
      <c r="H437" s="35"/>
      <c r="I437" s="12"/>
      <c r="N437" s="12"/>
      <c r="O437" s="18"/>
      <c r="P437" s="12"/>
      <c r="Q437" s="12"/>
      <c r="R437" s="12"/>
      <c r="S437" s="36"/>
      <c r="T437" s="36"/>
      <c r="U437" s="12"/>
      <c r="V437" s="12"/>
      <c r="W437" s="12"/>
      <c r="X437" s="12"/>
      <c r="Y437" s="12"/>
    </row>
    <row r="438" customFormat="false" ht="15.75" hidden="false" customHeight="false" outlineLevel="0" collapsed="false">
      <c r="A438" s="12"/>
      <c r="B438" s="34"/>
      <c r="C438" s="12"/>
      <c r="D438" s="12"/>
      <c r="E438" s="12"/>
      <c r="F438" s="12"/>
      <c r="G438" s="18"/>
      <c r="H438" s="35"/>
      <c r="I438" s="12"/>
      <c r="N438" s="12"/>
      <c r="O438" s="18"/>
      <c r="P438" s="12"/>
      <c r="Q438" s="12"/>
      <c r="R438" s="12"/>
      <c r="S438" s="36"/>
      <c r="T438" s="36"/>
      <c r="U438" s="12"/>
      <c r="V438" s="12"/>
      <c r="W438" s="12"/>
      <c r="X438" s="12"/>
      <c r="Y438" s="12"/>
    </row>
    <row r="439" customFormat="false" ht="15.75" hidden="false" customHeight="false" outlineLevel="0" collapsed="false">
      <c r="A439" s="12"/>
      <c r="B439" s="34"/>
      <c r="C439" s="12"/>
      <c r="D439" s="12"/>
      <c r="E439" s="12"/>
      <c r="F439" s="12"/>
      <c r="G439" s="18"/>
      <c r="H439" s="35"/>
      <c r="I439" s="12"/>
      <c r="N439" s="12"/>
      <c r="O439" s="18"/>
      <c r="P439" s="12"/>
      <c r="Q439" s="12"/>
      <c r="R439" s="12"/>
      <c r="S439" s="36"/>
      <c r="T439" s="36"/>
      <c r="U439" s="12"/>
      <c r="V439" s="12"/>
      <c r="W439" s="12"/>
      <c r="X439" s="12"/>
      <c r="Y439" s="12"/>
    </row>
    <row r="440" customFormat="false" ht="15.75" hidden="false" customHeight="false" outlineLevel="0" collapsed="false">
      <c r="A440" s="12"/>
      <c r="B440" s="34"/>
      <c r="C440" s="12"/>
      <c r="D440" s="12"/>
      <c r="E440" s="12"/>
      <c r="F440" s="12"/>
      <c r="G440" s="18"/>
      <c r="H440" s="35"/>
      <c r="I440" s="12"/>
      <c r="N440" s="12"/>
      <c r="O440" s="18"/>
      <c r="P440" s="12"/>
      <c r="Q440" s="12"/>
      <c r="R440" s="12"/>
      <c r="S440" s="36"/>
      <c r="T440" s="36"/>
      <c r="U440" s="12"/>
      <c r="V440" s="12"/>
      <c r="W440" s="12"/>
      <c r="X440" s="12"/>
      <c r="Y440" s="12"/>
    </row>
    <row r="441" customFormat="false" ht="15.75" hidden="false" customHeight="false" outlineLevel="0" collapsed="false">
      <c r="A441" s="12"/>
      <c r="B441" s="34"/>
      <c r="C441" s="12"/>
      <c r="D441" s="12"/>
      <c r="E441" s="12"/>
      <c r="F441" s="12"/>
      <c r="G441" s="18"/>
      <c r="H441" s="35"/>
      <c r="I441" s="12"/>
      <c r="N441" s="12"/>
      <c r="O441" s="18"/>
      <c r="P441" s="12"/>
      <c r="Q441" s="12"/>
      <c r="R441" s="12"/>
      <c r="S441" s="36"/>
      <c r="T441" s="36"/>
      <c r="U441" s="12"/>
      <c r="V441" s="12"/>
      <c r="W441" s="12"/>
      <c r="X441" s="12"/>
      <c r="Y441" s="12"/>
    </row>
    <row r="442" customFormat="false" ht="15.75" hidden="false" customHeight="false" outlineLevel="0" collapsed="false">
      <c r="A442" s="12"/>
      <c r="B442" s="34"/>
      <c r="C442" s="12"/>
      <c r="D442" s="12"/>
      <c r="E442" s="12"/>
      <c r="F442" s="12"/>
      <c r="G442" s="18"/>
      <c r="H442" s="35"/>
      <c r="I442" s="12"/>
      <c r="N442" s="12"/>
      <c r="O442" s="18"/>
      <c r="P442" s="12"/>
      <c r="Q442" s="12"/>
      <c r="R442" s="12"/>
      <c r="S442" s="36"/>
      <c r="T442" s="36"/>
      <c r="U442" s="12"/>
      <c r="V442" s="12"/>
      <c r="W442" s="12"/>
      <c r="X442" s="12"/>
      <c r="Y442" s="12"/>
    </row>
    <row r="443" customFormat="false" ht="15.75" hidden="false" customHeight="false" outlineLevel="0" collapsed="false">
      <c r="A443" s="12"/>
      <c r="B443" s="34"/>
      <c r="C443" s="12"/>
      <c r="D443" s="12"/>
      <c r="E443" s="12"/>
      <c r="F443" s="12"/>
      <c r="G443" s="18"/>
      <c r="H443" s="35"/>
      <c r="I443" s="12"/>
      <c r="N443" s="12"/>
      <c r="O443" s="18"/>
      <c r="P443" s="12"/>
      <c r="Q443" s="12"/>
      <c r="R443" s="12"/>
      <c r="S443" s="36"/>
      <c r="T443" s="36"/>
      <c r="U443" s="12"/>
      <c r="V443" s="12"/>
      <c r="W443" s="12"/>
      <c r="X443" s="12"/>
      <c r="Y443" s="12"/>
    </row>
    <row r="444" customFormat="false" ht="15.75" hidden="false" customHeight="false" outlineLevel="0" collapsed="false">
      <c r="A444" s="12"/>
      <c r="B444" s="34"/>
      <c r="C444" s="12"/>
      <c r="D444" s="12"/>
      <c r="E444" s="12"/>
      <c r="F444" s="12"/>
      <c r="G444" s="18"/>
      <c r="H444" s="35"/>
      <c r="I444" s="12"/>
      <c r="N444" s="12"/>
      <c r="O444" s="18"/>
      <c r="P444" s="12"/>
      <c r="Q444" s="12"/>
      <c r="R444" s="12"/>
      <c r="S444" s="36"/>
      <c r="T444" s="36"/>
      <c r="U444" s="12"/>
      <c r="V444" s="12"/>
      <c r="W444" s="12"/>
      <c r="X444" s="12"/>
      <c r="Y444" s="12"/>
    </row>
    <row r="445" customFormat="false" ht="15.75" hidden="false" customHeight="false" outlineLevel="0" collapsed="false">
      <c r="A445" s="12"/>
      <c r="B445" s="34"/>
      <c r="C445" s="12"/>
      <c r="D445" s="12"/>
      <c r="E445" s="12"/>
      <c r="F445" s="12"/>
      <c r="G445" s="18"/>
      <c r="H445" s="35"/>
      <c r="I445" s="12"/>
      <c r="N445" s="12"/>
      <c r="O445" s="18"/>
      <c r="P445" s="12"/>
      <c r="Q445" s="12"/>
      <c r="R445" s="12"/>
      <c r="S445" s="36"/>
      <c r="T445" s="36"/>
      <c r="U445" s="12"/>
      <c r="V445" s="12"/>
      <c r="W445" s="12"/>
      <c r="X445" s="12"/>
      <c r="Y445" s="12"/>
    </row>
    <row r="446" customFormat="false" ht="15.75" hidden="false" customHeight="false" outlineLevel="0" collapsed="false">
      <c r="A446" s="12"/>
      <c r="B446" s="34"/>
      <c r="C446" s="12"/>
      <c r="D446" s="12"/>
      <c r="E446" s="12"/>
      <c r="F446" s="12"/>
      <c r="G446" s="18"/>
      <c r="H446" s="35"/>
      <c r="I446" s="12"/>
      <c r="N446" s="12"/>
      <c r="O446" s="18"/>
      <c r="P446" s="12"/>
      <c r="Q446" s="12"/>
      <c r="R446" s="12"/>
      <c r="S446" s="36"/>
      <c r="T446" s="36"/>
      <c r="U446" s="12"/>
      <c r="V446" s="12"/>
      <c r="W446" s="12"/>
      <c r="X446" s="12"/>
      <c r="Y446" s="12"/>
    </row>
    <row r="447" customFormat="false" ht="15.75" hidden="false" customHeight="false" outlineLevel="0" collapsed="false">
      <c r="A447" s="12"/>
      <c r="B447" s="34"/>
      <c r="C447" s="12"/>
      <c r="D447" s="12"/>
      <c r="E447" s="12"/>
      <c r="F447" s="12"/>
      <c r="G447" s="18"/>
      <c r="H447" s="35"/>
      <c r="I447" s="12"/>
      <c r="N447" s="12"/>
      <c r="O447" s="18"/>
      <c r="P447" s="12"/>
      <c r="Q447" s="12"/>
      <c r="R447" s="12"/>
      <c r="S447" s="36"/>
      <c r="T447" s="36"/>
      <c r="U447" s="12"/>
      <c r="V447" s="12"/>
      <c r="W447" s="12"/>
      <c r="X447" s="12"/>
      <c r="Y447" s="12"/>
    </row>
    <row r="448" customFormat="false" ht="15.75" hidden="false" customHeight="false" outlineLevel="0" collapsed="false">
      <c r="A448" s="12"/>
      <c r="B448" s="34"/>
      <c r="C448" s="12"/>
      <c r="D448" s="12"/>
      <c r="E448" s="12"/>
      <c r="F448" s="12"/>
      <c r="G448" s="18"/>
      <c r="H448" s="35"/>
      <c r="I448" s="12"/>
      <c r="N448" s="12"/>
      <c r="O448" s="18"/>
      <c r="P448" s="12"/>
      <c r="Q448" s="12"/>
      <c r="R448" s="12"/>
      <c r="S448" s="36"/>
      <c r="T448" s="36"/>
      <c r="U448" s="12"/>
      <c r="V448" s="12"/>
      <c r="W448" s="12"/>
      <c r="X448" s="12"/>
      <c r="Y448" s="12"/>
    </row>
    <row r="449" customFormat="false" ht="15.75" hidden="false" customHeight="false" outlineLevel="0" collapsed="false">
      <c r="A449" s="12"/>
      <c r="B449" s="34"/>
      <c r="C449" s="12"/>
      <c r="D449" s="12"/>
      <c r="E449" s="12"/>
      <c r="F449" s="12"/>
      <c r="G449" s="18"/>
      <c r="H449" s="35"/>
      <c r="I449" s="12"/>
      <c r="N449" s="12"/>
      <c r="O449" s="18"/>
      <c r="P449" s="12"/>
      <c r="Q449" s="12"/>
      <c r="R449" s="12"/>
      <c r="S449" s="36"/>
      <c r="T449" s="36"/>
      <c r="U449" s="12"/>
      <c r="V449" s="12"/>
      <c r="W449" s="12"/>
      <c r="X449" s="12"/>
      <c r="Y449" s="12"/>
    </row>
    <row r="450" customFormat="false" ht="15.75" hidden="false" customHeight="false" outlineLevel="0" collapsed="false">
      <c r="A450" s="12"/>
      <c r="B450" s="34"/>
      <c r="C450" s="12"/>
      <c r="D450" s="12"/>
      <c r="E450" s="12"/>
      <c r="F450" s="12"/>
      <c r="G450" s="18"/>
      <c r="H450" s="35"/>
      <c r="I450" s="12"/>
      <c r="N450" s="12"/>
      <c r="O450" s="18"/>
      <c r="P450" s="12"/>
      <c r="Q450" s="12"/>
      <c r="R450" s="12"/>
      <c r="S450" s="36"/>
      <c r="T450" s="36"/>
      <c r="U450" s="12"/>
      <c r="V450" s="12"/>
      <c r="W450" s="12"/>
      <c r="X450" s="12"/>
      <c r="Y450" s="12"/>
    </row>
    <row r="451" customFormat="false" ht="15.75" hidden="false" customHeight="false" outlineLevel="0" collapsed="false">
      <c r="A451" s="12"/>
      <c r="B451" s="34"/>
      <c r="C451" s="12"/>
      <c r="D451" s="12"/>
      <c r="E451" s="12"/>
      <c r="F451" s="12"/>
      <c r="G451" s="18"/>
      <c r="H451" s="35"/>
      <c r="I451" s="12"/>
      <c r="N451" s="12"/>
      <c r="O451" s="18"/>
      <c r="P451" s="12"/>
      <c r="Q451" s="12"/>
      <c r="R451" s="12"/>
      <c r="S451" s="36"/>
      <c r="T451" s="36"/>
      <c r="U451" s="12"/>
      <c r="V451" s="12"/>
      <c r="W451" s="12"/>
      <c r="X451" s="12"/>
      <c r="Y451" s="12"/>
    </row>
    <row r="452" customFormat="false" ht="15.75" hidden="false" customHeight="false" outlineLevel="0" collapsed="false">
      <c r="A452" s="12"/>
      <c r="B452" s="34"/>
      <c r="C452" s="12"/>
      <c r="D452" s="12"/>
      <c r="E452" s="12"/>
      <c r="F452" s="12"/>
      <c r="G452" s="18"/>
      <c r="H452" s="35"/>
      <c r="I452" s="12"/>
      <c r="N452" s="12"/>
      <c r="O452" s="18"/>
      <c r="P452" s="12"/>
      <c r="Q452" s="12"/>
      <c r="R452" s="12"/>
      <c r="S452" s="36"/>
      <c r="T452" s="36"/>
      <c r="U452" s="12"/>
      <c r="V452" s="12"/>
      <c r="W452" s="12"/>
      <c r="X452" s="12"/>
      <c r="Y452" s="12"/>
    </row>
    <row r="453" customFormat="false" ht="15.75" hidden="false" customHeight="false" outlineLevel="0" collapsed="false">
      <c r="A453" s="12"/>
      <c r="B453" s="34"/>
      <c r="C453" s="12"/>
      <c r="D453" s="12"/>
      <c r="E453" s="12"/>
      <c r="F453" s="12"/>
      <c r="G453" s="18"/>
      <c r="H453" s="35"/>
      <c r="I453" s="12"/>
      <c r="N453" s="12"/>
      <c r="O453" s="18"/>
      <c r="P453" s="12"/>
      <c r="Q453" s="12"/>
      <c r="R453" s="12"/>
      <c r="S453" s="36"/>
      <c r="T453" s="36"/>
      <c r="U453" s="12"/>
      <c r="V453" s="12"/>
      <c r="W453" s="12"/>
      <c r="X453" s="12"/>
      <c r="Y453" s="12"/>
    </row>
    <row r="454" customFormat="false" ht="15.75" hidden="false" customHeight="false" outlineLevel="0" collapsed="false">
      <c r="A454" s="12"/>
      <c r="B454" s="34"/>
      <c r="C454" s="12"/>
      <c r="D454" s="12"/>
      <c r="E454" s="12"/>
      <c r="F454" s="12"/>
      <c r="G454" s="18"/>
      <c r="H454" s="35"/>
      <c r="I454" s="12"/>
      <c r="N454" s="12"/>
      <c r="O454" s="18"/>
      <c r="P454" s="12"/>
      <c r="Q454" s="12"/>
      <c r="R454" s="12"/>
      <c r="S454" s="36"/>
      <c r="T454" s="36"/>
      <c r="U454" s="12"/>
      <c r="V454" s="12"/>
      <c r="W454" s="12"/>
      <c r="X454" s="12"/>
      <c r="Y454" s="12"/>
    </row>
    <row r="455" customFormat="false" ht="15.75" hidden="false" customHeight="false" outlineLevel="0" collapsed="false">
      <c r="A455" s="12"/>
      <c r="B455" s="34"/>
      <c r="C455" s="12"/>
      <c r="D455" s="12"/>
      <c r="E455" s="12"/>
      <c r="F455" s="12"/>
      <c r="G455" s="18"/>
      <c r="H455" s="35"/>
      <c r="I455" s="12"/>
      <c r="N455" s="12"/>
      <c r="O455" s="18"/>
      <c r="P455" s="12"/>
      <c r="Q455" s="12"/>
      <c r="R455" s="12"/>
      <c r="S455" s="36"/>
      <c r="T455" s="36"/>
      <c r="U455" s="12"/>
      <c r="V455" s="12"/>
      <c r="W455" s="12"/>
      <c r="X455" s="12"/>
      <c r="Y455" s="12"/>
    </row>
    <row r="456" customFormat="false" ht="15.75" hidden="false" customHeight="false" outlineLevel="0" collapsed="false">
      <c r="A456" s="12"/>
      <c r="B456" s="34"/>
      <c r="C456" s="12"/>
      <c r="D456" s="12"/>
      <c r="E456" s="12"/>
      <c r="F456" s="12"/>
      <c r="G456" s="18"/>
      <c r="H456" s="35"/>
      <c r="I456" s="12"/>
      <c r="N456" s="12"/>
      <c r="O456" s="18"/>
      <c r="P456" s="12"/>
      <c r="Q456" s="12"/>
      <c r="R456" s="12"/>
      <c r="S456" s="36"/>
      <c r="T456" s="36"/>
      <c r="U456" s="12"/>
      <c r="V456" s="12"/>
      <c r="W456" s="12"/>
      <c r="X456" s="12"/>
      <c r="Y456" s="12"/>
    </row>
    <row r="457" customFormat="false" ht="15.75" hidden="false" customHeight="false" outlineLevel="0" collapsed="false">
      <c r="A457" s="12"/>
      <c r="B457" s="34"/>
      <c r="C457" s="12"/>
      <c r="D457" s="12"/>
      <c r="E457" s="12"/>
      <c r="F457" s="12"/>
      <c r="G457" s="18"/>
      <c r="H457" s="35"/>
      <c r="I457" s="12"/>
      <c r="N457" s="12"/>
      <c r="O457" s="18"/>
      <c r="P457" s="12"/>
      <c r="Q457" s="12"/>
      <c r="R457" s="12"/>
      <c r="S457" s="36"/>
      <c r="T457" s="36"/>
      <c r="U457" s="12"/>
      <c r="V457" s="12"/>
      <c r="W457" s="12"/>
      <c r="X457" s="12"/>
      <c r="Y457" s="12"/>
    </row>
    <row r="458" customFormat="false" ht="15.75" hidden="false" customHeight="false" outlineLevel="0" collapsed="false">
      <c r="A458" s="12"/>
      <c r="B458" s="34"/>
      <c r="C458" s="12"/>
      <c r="D458" s="12"/>
      <c r="E458" s="12"/>
      <c r="F458" s="12"/>
      <c r="G458" s="18"/>
      <c r="H458" s="35"/>
      <c r="I458" s="12"/>
      <c r="N458" s="12"/>
      <c r="O458" s="18"/>
      <c r="P458" s="12"/>
      <c r="Q458" s="12"/>
      <c r="R458" s="12"/>
      <c r="S458" s="36"/>
      <c r="T458" s="36"/>
      <c r="U458" s="12"/>
      <c r="V458" s="12"/>
      <c r="W458" s="12"/>
      <c r="X458" s="12"/>
      <c r="Y458" s="12"/>
    </row>
    <row r="459" customFormat="false" ht="15.75" hidden="false" customHeight="false" outlineLevel="0" collapsed="false">
      <c r="A459" s="12"/>
      <c r="B459" s="34"/>
      <c r="C459" s="12"/>
      <c r="D459" s="12"/>
      <c r="E459" s="12"/>
      <c r="F459" s="12"/>
      <c r="G459" s="18"/>
      <c r="H459" s="35"/>
      <c r="I459" s="12"/>
      <c r="N459" s="12"/>
      <c r="O459" s="18"/>
      <c r="P459" s="12"/>
      <c r="Q459" s="12"/>
      <c r="R459" s="12"/>
      <c r="S459" s="36"/>
      <c r="T459" s="36"/>
      <c r="U459" s="12"/>
      <c r="V459" s="12"/>
      <c r="W459" s="12"/>
      <c r="X459" s="12"/>
      <c r="Y459" s="12"/>
    </row>
    <row r="460" customFormat="false" ht="15.75" hidden="false" customHeight="false" outlineLevel="0" collapsed="false">
      <c r="A460" s="12"/>
      <c r="B460" s="34"/>
      <c r="C460" s="12"/>
      <c r="D460" s="12"/>
      <c r="E460" s="12"/>
      <c r="F460" s="12"/>
      <c r="G460" s="18"/>
      <c r="H460" s="35"/>
      <c r="I460" s="12"/>
      <c r="N460" s="12"/>
      <c r="O460" s="18"/>
      <c r="P460" s="12"/>
      <c r="Q460" s="12"/>
      <c r="R460" s="12"/>
      <c r="S460" s="36"/>
      <c r="T460" s="36"/>
      <c r="U460" s="12"/>
      <c r="V460" s="12"/>
      <c r="W460" s="12"/>
      <c r="X460" s="12"/>
      <c r="Y460" s="12"/>
    </row>
    <row r="461" customFormat="false" ht="15.75" hidden="false" customHeight="false" outlineLevel="0" collapsed="false">
      <c r="A461" s="12"/>
      <c r="B461" s="34"/>
      <c r="C461" s="12"/>
      <c r="D461" s="12"/>
      <c r="E461" s="12"/>
      <c r="F461" s="12"/>
      <c r="G461" s="18"/>
      <c r="H461" s="35"/>
      <c r="I461" s="12"/>
      <c r="N461" s="12"/>
      <c r="O461" s="18"/>
      <c r="P461" s="12"/>
      <c r="Q461" s="12"/>
      <c r="R461" s="12"/>
      <c r="S461" s="36"/>
      <c r="T461" s="36"/>
      <c r="U461" s="12"/>
      <c r="V461" s="12"/>
      <c r="W461" s="12"/>
      <c r="X461" s="12"/>
      <c r="Y461" s="12"/>
    </row>
    <row r="462" customFormat="false" ht="15.75" hidden="false" customHeight="false" outlineLevel="0" collapsed="false">
      <c r="A462" s="12"/>
      <c r="B462" s="34"/>
      <c r="C462" s="12"/>
      <c r="D462" s="12"/>
      <c r="E462" s="12"/>
      <c r="F462" s="12"/>
      <c r="G462" s="18"/>
      <c r="H462" s="35"/>
      <c r="I462" s="12"/>
      <c r="N462" s="12"/>
      <c r="O462" s="18"/>
      <c r="P462" s="12"/>
      <c r="Q462" s="12"/>
      <c r="R462" s="12"/>
      <c r="S462" s="36"/>
      <c r="T462" s="36"/>
      <c r="U462" s="12"/>
      <c r="V462" s="12"/>
      <c r="W462" s="12"/>
      <c r="X462" s="12"/>
      <c r="Y462" s="12"/>
    </row>
    <row r="463" customFormat="false" ht="15.75" hidden="false" customHeight="false" outlineLevel="0" collapsed="false">
      <c r="A463" s="12"/>
      <c r="B463" s="34"/>
      <c r="C463" s="12"/>
      <c r="D463" s="12"/>
      <c r="E463" s="12"/>
      <c r="F463" s="12"/>
      <c r="G463" s="18"/>
      <c r="H463" s="35"/>
      <c r="I463" s="12"/>
      <c r="N463" s="12"/>
      <c r="O463" s="18"/>
      <c r="P463" s="12"/>
      <c r="Q463" s="12"/>
      <c r="R463" s="12"/>
      <c r="S463" s="36"/>
      <c r="T463" s="36"/>
      <c r="U463" s="12"/>
      <c r="V463" s="12"/>
      <c r="W463" s="12"/>
      <c r="X463" s="12"/>
      <c r="Y463" s="12"/>
    </row>
    <row r="464" customFormat="false" ht="15.75" hidden="false" customHeight="false" outlineLevel="0" collapsed="false">
      <c r="A464" s="12"/>
      <c r="B464" s="34"/>
      <c r="C464" s="12"/>
      <c r="D464" s="12"/>
      <c r="E464" s="12"/>
      <c r="F464" s="12"/>
      <c r="G464" s="18"/>
      <c r="H464" s="35"/>
      <c r="I464" s="12"/>
      <c r="N464" s="12"/>
      <c r="O464" s="18"/>
      <c r="P464" s="12"/>
      <c r="Q464" s="12"/>
      <c r="R464" s="12"/>
      <c r="S464" s="36"/>
      <c r="T464" s="36"/>
      <c r="U464" s="12"/>
      <c r="V464" s="12"/>
      <c r="W464" s="12"/>
      <c r="X464" s="12"/>
      <c r="Y464" s="12"/>
    </row>
    <row r="465" customFormat="false" ht="15.75" hidden="false" customHeight="false" outlineLevel="0" collapsed="false">
      <c r="A465" s="12"/>
      <c r="B465" s="34"/>
      <c r="C465" s="12"/>
      <c r="D465" s="12"/>
      <c r="E465" s="12"/>
      <c r="F465" s="12"/>
      <c r="G465" s="18"/>
      <c r="H465" s="35"/>
      <c r="I465" s="12"/>
      <c r="N465" s="12"/>
      <c r="O465" s="18"/>
      <c r="P465" s="12"/>
      <c r="Q465" s="12"/>
      <c r="R465" s="12"/>
      <c r="S465" s="36"/>
      <c r="T465" s="36"/>
      <c r="U465" s="12"/>
      <c r="V465" s="12"/>
      <c r="W465" s="12"/>
      <c r="X465" s="12"/>
      <c r="Y465" s="12"/>
    </row>
    <row r="466" customFormat="false" ht="15.75" hidden="false" customHeight="false" outlineLevel="0" collapsed="false">
      <c r="A466" s="12"/>
      <c r="B466" s="34"/>
      <c r="C466" s="12"/>
      <c r="D466" s="12"/>
      <c r="E466" s="12"/>
      <c r="F466" s="12"/>
      <c r="G466" s="18"/>
      <c r="H466" s="35"/>
      <c r="I466" s="12"/>
      <c r="N466" s="12"/>
      <c r="O466" s="18"/>
      <c r="P466" s="12"/>
      <c r="Q466" s="12"/>
      <c r="R466" s="12"/>
      <c r="S466" s="36"/>
      <c r="T466" s="36"/>
      <c r="U466" s="12"/>
      <c r="V466" s="12"/>
      <c r="W466" s="12"/>
      <c r="X466" s="12"/>
      <c r="Y466" s="12"/>
    </row>
    <row r="467" customFormat="false" ht="15.75" hidden="false" customHeight="false" outlineLevel="0" collapsed="false">
      <c r="A467" s="12"/>
      <c r="B467" s="34"/>
      <c r="C467" s="12"/>
      <c r="D467" s="12"/>
      <c r="E467" s="12"/>
      <c r="F467" s="12"/>
      <c r="G467" s="18"/>
      <c r="H467" s="35"/>
      <c r="I467" s="12"/>
      <c r="N467" s="12"/>
      <c r="O467" s="18"/>
      <c r="P467" s="12"/>
      <c r="Q467" s="12"/>
      <c r="R467" s="12"/>
      <c r="S467" s="36"/>
      <c r="T467" s="36"/>
      <c r="U467" s="12"/>
      <c r="V467" s="12"/>
      <c r="W467" s="12"/>
      <c r="X467" s="12"/>
      <c r="Y467" s="12"/>
    </row>
    <row r="468" customFormat="false" ht="15.75" hidden="false" customHeight="false" outlineLevel="0" collapsed="false">
      <c r="A468" s="12"/>
      <c r="B468" s="34"/>
      <c r="C468" s="12"/>
      <c r="D468" s="12"/>
      <c r="E468" s="12"/>
      <c r="F468" s="12"/>
      <c r="G468" s="18"/>
      <c r="H468" s="35"/>
      <c r="I468" s="12"/>
      <c r="N468" s="12"/>
      <c r="O468" s="18"/>
      <c r="P468" s="12"/>
      <c r="Q468" s="12"/>
      <c r="R468" s="12"/>
      <c r="S468" s="36"/>
      <c r="T468" s="36"/>
      <c r="U468" s="12"/>
      <c r="V468" s="12"/>
      <c r="W468" s="12"/>
      <c r="X468" s="12"/>
      <c r="Y468" s="12"/>
    </row>
    <row r="469" customFormat="false" ht="15.75" hidden="false" customHeight="false" outlineLevel="0" collapsed="false">
      <c r="A469" s="12"/>
      <c r="B469" s="34"/>
      <c r="C469" s="12"/>
      <c r="D469" s="12"/>
      <c r="E469" s="12"/>
      <c r="F469" s="12"/>
      <c r="G469" s="18"/>
      <c r="H469" s="35"/>
      <c r="I469" s="12"/>
      <c r="N469" s="12"/>
      <c r="O469" s="18"/>
      <c r="P469" s="12"/>
      <c r="Q469" s="12"/>
      <c r="R469" s="12"/>
      <c r="S469" s="36"/>
      <c r="T469" s="36"/>
      <c r="U469" s="12"/>
      <c r="V469" s="12"/>
      <c r="W469" s="12"/>
      <c r="X469" s="12"/>
      <c r="Y469" s="12"/>
    </row>
    <row r="470" customFormat="false" ht="15.75" hidden="false" customHeight="false" outlineLevel="0" collapsed="false">
      <c r="A470" s="12"/>
      <c r="B470" s="34"/>
      <c r="C470" s="12"/>
      <c r="D470" s="12"/>
      <c r="E470" s="12"/>
      <c r="F470" s="12"/>
      <c r="G470" s="18"/>
      <c r="H470" s="35"/>
      <c r="I470" s="12"/>
      <c r="N470" s="12"/>
      <c r="O470" s="18"/>
      <c r="P470" s="12"/>
      <c r="Q470" s="12"/>
      <c r="R470" s="12"/>
      <c r="S470" s="36"/>
      <c r="T470" s="36"/>
      <c r="U470" s="12"/>
      <c r="V470" s="12"/>
      <c r="W470" s="12"/>
      <c r="X470" s="12"/>
      <c r="Y470" s="12"/>
    </row>
    <row r="471" customFormat="false" ht="15.75" hidden="false" customHeight="false" outlineLevel="0" collapsed="false">
      <c r="A471" s="12"/>
      <c r="B471" s="34"/>
      <c r="C471" s="12"/>
      <c r="D471" s="12"/>
      <c r="E471" s="12"/>
      <c r="F471" s="12"/>
      <c r="G471" s="18"/>
      <c r="H471" s="35"/>
      <c r="I471" s="12"/>
      <c r="N471" s="12"/>
      <c r="O471" s="18"/>
      <c r="P471" s="12"/>
      <c r="Q471" s="12"/>
      <c r="R471" s="12"/>
      <c r="S471" s="36"/>
      <c r="T471" s="36"/>
      <c r="U471" s="12"/>
      <c r="V471" s="12"/>
      <c r="W471" s="12"/>
      <c r="X471" s="12"/>
      <c r="Y471" s="12"/>
    </row>
    <row r="472" customFormat="false" ht="15.75" hidden="false" customHeight="false" outlineLevel="0" collapsed="false">
      <c r="A472" s="12"/>
      <c r="B472" s="34"/>
      <c r="C472" s="12"/>
      <c r="D472" s="12"/>
      <c r="E472" s="12"/>
      <c r="F472" s="12"/>
      <c r="G472" s="18"/>
      <c r="H472" s="35"/>
      <c r="I472" s="12"/>
      <c r="N472" s="12"/>
      <c r="O472" s="18"/>
      <c r="P472" s="12"/>
      <c r="Q472" s="12"/>
      <c r="R472" s="12"/>
      <c r="S472" s="36"/>
      <c r="T472" s="36"/>
      <c r="U472" s="12"/>
      <c r="V472" s="12"/>
      <c r="W472" s="12"/>
      <c r="X472" s="12"/>
      <c r="Y472" s="12"/>
    </row>
    <row r="473" customFormat="false" ht="15.75" hidden="false" customHeight="false" outlineLevel="0" collapsed="false">
      <c r="A473" s="12"/>
      <c r="B473" s="34"/>
      <c r="C473" s="12"/>
      <c r="D473" s="12"/>
      <c r="E473" s="12"/>
      <c r="F473" s="12"/>
      <c r="G473" s="18"/>
      <c r="H473" s="35"/>
      <c r="I473" s="12"/>
      <c r="N473" s="12"/>
      <c r="O473" s="18"/>
      <c r="P473" s="12"/>
      <c r="Q473" s="12"/>
      <c r="R473" s="12"/>
      <c r="S473" s="36"/>
      <c r="T473" s="36"/>
      <c r="U473" s="12"/>
      <c r="V473" s="12"/>
      <c r="W473" s="12"/>
      <c r="X473" s="12"/>
      <c r="Y473" s="12"/>
    </row>
    <row r="474" customFormat="false" ht="15.75" hidden="false" customHeight="false" outlineLevel="0" collapsed="false">
      <c r="A474" s="12"/>
      <c r="B474" s="34"/>
      <c r="C474" s="12"/>
      <c r="D474" s="12"/>
      <c r="E474" s="12"/>
      <c r="F474" s="12"/>
      <c r="G474" s="18"/>
      <c r="H474" s="35"/>
      <c r="I474" s="12"/>
      <c r="N474" s="12"/>
      <c r="O474" s="18"/>
      <c r="P474" s="12"/>
      <c r="Q474" s="12"/>
      <c r="R474" s="12"/>
      <c r="S474" s="36"/>
      <c r="T474" s="36"/>
      <c r="U474" s="12"/>
      <c r="V474" s="12"/>
      <c r="W474" s="12"/>
      <c r="X474" s="12"/>
      <c r="Y474" s="12"/>
    </row>
    <row r="475" customFormat="false" ht="15.75" hidden="false" customHeight="false" outlineLevel="0" collapsed="false">
      <c r="A475" s="12"/>
      <c r="B475" s="34"/>
      <c r="C475" s="12"/>
      <c r="D475" s="12"/>
      <c r="E475" s="12"/>
      <c r="F475" s="12"/>
      <c r="G475" s="18"/>
      <c r="H475" s="35"/>
      <c r="I475" s="12"/>
      <c r="N475" s="12"/>
      <c r="O475" s="18"/>
      <c r="P475" s="12"/>
      <c r="Q475" s="12"/>
      <c r="R475" s="12"/>
      <c r="S475" s="36"/>
      <c r="T475" s="36"/>
      <c r="U475" s="12"/>
      <c r="V475" s="12"/>
      <c r="W475" s="12"/>
      <c r="X475" s="12"/>
      <c r="Y475" s="12"/>
    </row>
    <row r="476" customFormat="false" ht="15.75" hidden="false" customHeight="false" outlineLevel="0" collapsed="false">
      <c r="A476" s="12"/>
      <c r="B476" s="34"/>
      <c r="C476" s="12"/>
      <c r="D476" s="12"/>
      <c r="E476" s="12"/>
      <c r="F476" s="12"/>
      <c r="G476" s="18"/>
      <c r="H476" s="35"/>
      <c r="I476" s="12"/>
      <c r="N476" s="12"/>
      <c r="O476" s="18"/>
      <c r="P476" s="12"/>
      <c r="Q476" s="12"/>
      <c r="R476" s="12"/>
      <c r="S476" s="36"/>
      <c r="T476" s="36"/>
      <c r="U476" s="12"/>
      <c r="V476" s="12"/>
      <c r="W476" s="12"/>
      <c r="X476" s="12"/>
      <c r="Y476" s="12"/>
    </row>
    <row r="477" customFormat="false" ht="15.75" hidden="false" customHeight="false" outlineLevel="0" collapsed="false">
      <c r="A477" s="12"/>
      <c r="B477" s="34"/>
      <c r="C477" s="12"/>
      <c r="D477" s="12"/>
      <c r="E477" s="12"/>
      <c r="F477" s="12"/>
      <c r="G477" s="18"/>
      <c r="H477" s="35"/>
      <c r="I477" s="12"/>
      <c r="N477" s="12"/>
      <c r="O477" s="18"/>
      <c r="P477" s="12"/>
      <c r="Q477" s="12"/>
      <c r="R477" s="12"/>
      <c r="S477" s="36"/>
      <c r="T477" s="36"/>
      <c r="U477" s="12"/>
      <c r="V477" s="12"/>
      <c r="W477" s="12"/>
      <c r="X477" s="12"/>
      <c r="Y477" s="12"/>
    </row>
    <row r="478" customFormat="false" ht="15.75" hidden="false" customHeight="false" outlineLevel="0" collapsed="false">
      <c r="A478" s="12"/>
      <c r="B478" s="34"/>
      <c r="C478" s="12"/>
      <c r="D478" s="12"/>
      <c r="E478" s="12"/>
      <c r="F478" s="12"/>
      <c r="G478" s="18"/>
      <c r="H478" s="35"/>
      <c r="I478" s="12"/>
      <c r="N478" s="12"/>
      <c r="O478" s="18"/>
      <c r="P478" s="12"/>
      <c r="Q478" s="12"/>
      <c r="R478" s="12"/>
      <c r="S478" s="36"/>
      <c r="T478" s="36"/>
      <c r="U478" s="12"/>
      <c r="V478" s="12"/>
      <c r="W478" s="12"/>
      <c r="X478" s="12"/>
      <c r="Y478" s="12"/>
    </row>
    <row r="479" customFormat="false" ht="15.75" hidden="false" customHeight="false" outlineLevel="0" collapsed="false">
      <c r="A479" s="12"/>
      <c r="B479" s="34"/>
      <c r="C479" s="12"/>
      <c r="D479" s="12"/>
      <c r="E479" s="12"/>
      <c r="F479" s="12"/>
      <c r="G479" s="18"/>
      <c r="H479" s="35"/>
      <c r="I479" s="12"/>
      <c r="N479" s="12"/>
      <c r="O479" s="18"/>
      <c r="P479" s="12"/>
      <c r="Q479" s="12"/>
      <c r="R479" s="12"/>
      <c r="S479" s="36"/>
      <c r="T479" s="36"/>
      <c r="U479" s="12"/>
      <c r="V479" s="12"/>
      <c r="W479" s="12"/>
      <c r="X479" s="12"/>
      <c r="Y479" s="12"/>
    </row>
    <row r="480" customFormat="false" ht="15.75" hidden="false" customHeight="false" outlineLevel="0" collapsed="false">
      <c r="A480" s="12"/>
      <c r="B480" s="34"/>
      <c r="C480" s="12"/>
      <c r="D480" s="12"/>
      <c r="E480" s="12"/>
      <c r="F480" s="12"/>
      <c r="G480" s="18"/>
      <c r="H480" s="35"/>
      <c r="I480" s="12"/>
      <c r="N480" s="12"/>
      <c r="O480" s="18"/>
      <c r="P480" s="12"/>
      <c r="Q480" s="12"/>
      <c r="R480" s="12"/>
      <c r="S480" s="36"/>
      <c r="T480" s="36"/>
      <c r="U480" s="12"/>
      <c r="V480" s="12"/>
      <c r="W480" s="12"/>
      <c r="X480" s="12"/>
      <c r="Y480" s="12"/>
    </row>
    <row r="481" customFormat="false" ht="15.75" hidden="false" customHeight="false" outlineLevel="0" collapsed="false">
      <c r="A481" s="12"/>
      <c r="B481" s="34"/>
      <c r="C481" s="12"/>
      <c r="D481" s="12"/>
      <c r="E481" s="12"/>
      <c r="F481" s="12"/>
      <c r="G481" s="18"/>
      <c r="H481" s="35"/>
      <c r="I481" s="12"/>
      <c r="N481" s="12"/>
      <c r="O481" s="18"/>
      <c r="P481" s="12"/>
      <c r="Q481" s="12"/>
      <c r="R481" s="12"/>
      <c r="S481" s="36"/>
      <c r="T481" s="36"/>
      <c r="U481" s="12"/>
      <c r="V481" s="12"/>
      <c r="W481" s="12"/>
      <c r="X481" s="12"/>
      <c r="Y481" s="12"/>
    </row>
    <row r="482" customFormat="false" ht="15.75" hidden="false" customHeight="false" outlineLevel="0" collapsed="false">
      <c r="A482" s="12"/>
      <c r="B482" s="34"/>
      <c r="C482" s="12"/>
      <c r="D482" s="12"/>
      <c r="E482" s="12"/>
      <c r="F482" s="12"/>
      <c r="G482" s="18"/>
      <c r="H482" s="35"/>
      <c r="I482" s="12"/>
      <c r="N482" s="12"/>
      <c r="O482" s="18"/>
      <c r="P482" s="12"/>
      <c r="Q482" s="12"/>
      <c r="R482" s="12"/>
      <c r="S482" s="36"/>
      <c r="T482" s="36"/>
      <c r="U482" s="12"/>
      <c r="V482" s="12"/>
      <c r="W482" s="12"/>
      <c r="X482" s="12"/>
      <c r="Y482" s="12"/>
    </row>
    <row r="483" customFormat="false" ht="15.75" hidden="false" customHeight="false" outlineLevel="0" collapsed="false">
      <c r="A483" s="12"/>
      <c r="B483" s="34"/>
      <c r="C483" s="12"/>
      <c r="D483" s="12"/>
      <c r="E483" s="12"/>
      <c r="F483" s="12"/>
      <c r="G483" s="18"/>
      <c r="H483" s="35"/>
      <c r="I483" s="12"/>
      <c r="N483" s="12"/>
      <c r="O483" s="18"/>
      <c r="P483" s="12"/>
      <c r="Q483" s="12"/>
      <c r="R483" s="12"/>
      <c r="S483" s="36"/>
      <c r="T483" s="36"/>
      <c r="U483" s="12"/>
      <c r="V483" s="12"/>
      <c r="W483" s="12"/>
      <c r="X483" s="12"/>
      <c r="Y483" s="12"/>
    </row>
    <row r="484" customFormat="false" ht="15.75" hidden="false" customHeight="false" outlineLevel="0" collapsed="false">
      <c r="A484" s="12"/>
      <c r="B484" s="34"/>
      <c r="C484" s="12"/>
      <c r="D484" s="12"/>
      <c r="E484" s="12"/>
      <c r="F484" s="12"/>
      <c r="G484" s="18"/>
      <c r="H484" s="35"/>
      <c r="I484" s="12"/>
      <c r="N484" s="12"/>
      <c r="O484" s="18"/>
      <c r="P484" s="12"/>
      <c r="Q484" s="12"/>
      <c r="R484" s="12"/>
      <c r="S484" s="36"/>
      <c r="T484" s="36"/>
      <c r="U484" s="12"/>
      <c r="V484" s="12"/>
      <c r="W484" s="12"/>
      <c r="X484" s="12"/>
      <c r="Y484" s="12"/>
    </row>
    <row r="485" customFormat="false" ht="15.75" hidden="false" customHeight="false" outlineLevel="0" collapsed="false">
      <c r="A485" s="12"/>
      <c r="B485" s="34"/>
      <c r="C485" s="12"/>
      <c r="D485" s="12"/>
      <c r="E485" s="12"/>
      <c r="F485" s="12"/>
      <c r="G485" s="18"/>
      <c r="H485" s="35"/>
      <c r="I485" s="12"/>
      <c r="N485" s="12"/>
      <c r="O485" s="18"/>
      <c r="P485" s="12"/>
      <c r="Q485" s="12"/>
      <c r="R485" s="12"/>
      <c r="S485" s="36"/>
      <c r="T485" s="36"/>
      <c r="U485" s="12"/>
      <c r="V485" s="12"/>
      <c r="W485" s="12"/>
      <c r="X485" s="12"/>
      <c r="Y485" s="12"/>
    </row>
    <row r="486" customFormat="false" ht="15.75" hidden="false" customHeight="false" outlineLevel="0" collapsed="false">
      <c r="A486" s="12"/>
      <c r="B486" s="34"/>
      <c r="C486" s="12"/>
      <c r="D486" s="12"/>
      <c r="E486" s="12"/>
      <c r="F486" s="12"/>
      <c r="G486" s="18"/>
      <c r="H486" s="35"/>
      <c r="I486" s="12"/>
      <c r="N486" s="12"/>
      <c r="O486" s="18"/>
      <c r="P486" s="12"/>
      <c r="Q486" s="12"/>
      <c r="R486" s="12"/>
      <c r="S486" s="36"/>
      <c r="T486" s="36"/>
      <c r="U486" s="12"/>
      <c r="V486" s="12"/>
      <c r="W486" s="12"/>
      <c r="X486" s="12"/>
      <c r="Y486" s="12"/>
    </row>
    <row r="487" customFormat="false" ht="15.75" hidden="false" customHeight="false" outlineLevel="0" collapsed="false">
      <c r="A487" s="12"/>
      <c r="B487" s="34"/>
      <c r="C487" s="12"/>
      <c r="D487" s="12"/>
      <c r="E487" s="12"/>
      <c r="F487" s="12"/>
      <c r="G487" s="18"/>
      <c r="H487" s="35"/>
      <c r="I487" s="12"/>
      <c r="N487" s="12"/>
      <c r="O487" s="18"/>
      <c r="P487" s="12"/>
      <c r="Q487" s="12"/>
      <c r="R487" s="12"/>
      <c r="S487" s="36"/>
      <c r="T487" s="36"/>
      <c r="U487" s="12"/>
      <c r="V487" s="12"/>
      <c r="W487" s="12"/>
      <c r="X487" s="12"/>
      <c r="Y487" s="12"/>
    </row>
    <row r="488" customFormat="false" ht="15.75" hidden="false" customHeight="false" outlineLevel="0" collapsed="false">
      <c r="A488" s="12"/>
      <c r="B488" s="34"/>
      <c r="C488" s="12"/>
      <c r="D488" s="12"/>
      <c r="E488" s="12"/>
      <c r="F488" s="12"/>
      <c r="G488" s="18"/>
      <c r="H488" s="35"/>
      <c r="I488" s="12"/>
      <c r="N488" s="12"/>
      <c r="O488" s="18"/>
      <c r="P488" s="12"/>
      <c r="Q488" s="12"/>
      <c r="R488" s="12"/>
      <c r="S488" s="36"/>
      <c r="T488" s="36"/>
      <c r="U488" s="12"/>
      <c r="V488" s="12"/>
      <c r="W488" s="12"/>
      <c r="X488" s="12"/>
      <c r="Y488" s="12"/>
    </row>
    <row r="489" customFormat="false" ht="15.75" hidden="false" customHeight="false" outlineLevel="0" collapsed="false">
      <c r="A489" s="12"/>
      <c r="B489" s="34"/>
      <c r="C489" s="12"/>
      <c r="D489" s="12"/>
      <c r="E489" s="12"/>
      <c r="F489" s="12"/>
      <c r="G489" s="18"/>
      <c r="H489" s="35"/>
      <c r="I489" s="12"/>
      <c r="N489" s="12"/>
      <c r="O489" s="18"/>
      <c r="P489" s="12"/>
      <c r="Q489" s="12"/>
      <c r="R489" s="12"/>
      <c r="S489" s="36"/>
      <c r="T489" s="36"/>
      <c r="U489" s="12"/>
      <c r="V489" s="12"/>
      <c r="W489" s="12"/>
      <c r="X489" s="12"/>
      <c r="Y489" s="12"/>
    </row>
    <row r="490" customFormat="false" ht="15.75" hidden="false" customHeight="false" outlineLevel="0" collapsed="false">
      <c r="A490" s="12"/>
      <c r="B490" s="34"/>
      <c r="C490" s="12"/>
      <c r="D490" s="12"/>
      <c r="E490" s="12"/>
      <c r="F490" s="12"/>
      <c r="G490" s="18"/>
      <c r="H490" s="35"/>
      <c r="I490" s="12"/>
      <c r="N490" s="12"/>
      <c r="O490" s="18"/>
      <c r="P490" s="12"/>
      <c r="Q490" s="12"/>
      <c r="R490" s="12"/>
      <c r="S490" s="36"/>
      <c r="T490" s="36"/>
      <c r="U490" s="12"/>
      <c r="V490" s="12"/>
      <c r="W490" s="12"/>
      <c r="X490" s="12"/>
      <c r="Y490" s="12"/>
    </row>
    <row r="491" customFormat="false" ht="15.75" hidden="false" customHeight="false" outlineLevel="0" collapsed="false">
      <c r="A491" s="12"/>
      <c r="B491" s="34"/>
      <c r="C491" s="12"/>
      <c r="D491" s="12"/>
      <c r="E491" s="12"/>
      <c r="F491" s="12"/>
      <c r="G491" s="18"/>
      <c r="H491" s="35"/>
      <c r="I491" s="12"/>
      <c r="N491" s="12"/>
      <c r="O491" s="18"/>
      <c r="P491" s="12"/>
      <c r="Q491" s="12"/>
      <c r="R491" s="12"/>
      <c r="S491" s="36"/>
      <c r="T491" s="36"/>
      <c r="U491" s="12"/>
      <c r="V491" s="12"/>
      <c r="W491" s="12"/>
      <c r="X491" s="12"/>
      <c r="Y491" s="12"/>
    </row>
    <row r="492" customFormat="false" ht="15.75" hidden="false" customHeight="false" outlineLevel="0" collapsed="false">
      <c r="A492" s="12"/>
      <c r="B492" s="34"/>
      <c r="C492" s="12"/>
      <c r="D492" s="12"/>
      <c r="E492" s="12"/>
      <c r="F492" s="12"/>
      <c r="G492" s="18"/>
      <c r="H492" s="35"/>
      <c r="I492" s="12"/>
      <c r="N492" s="12"/>
      <c r="O492" s="18"/>
      <c r="P492" s="12"/>
      <c r="Q492" s="12"/>
      <c r="R492" s="12"/>
      <c r="S492" s="36"/>
      <c r="T492" s="36"/>
      <c r="U492" s="12"/>
      <c r="V492" s="12"/>
      <c r="W492" s="12"/>
      <c r="X492" s="12"/>
      <c r="Y492" s="12"/>
    </row>
    <row r="493" customFormat="false" ht="15.75" hidden="false" customHeight="false" outlineLevel="0" collapsed="false">
      <c r="A493" s="12"/>
      <c r="B493" s="34"/>
      <c r="C493" s="12"/>
      <c r="D493" s="12"/>
      <c r="E493" s="12"/>
      <c r="F493" s="12"/>
      <c r="G493" s="18"/>
      <c r="H493" s="35"/>
      <c r="I493" s="12"/>
      <c r="N493" s="12"/>
      <c r="O493" s="18"/>
      <c r="P493" s="12"/>
      <c r="Q493" s="12"/>
      <c r="R493" s="12"/>
      <c r="S493" s="36"/>
      <c r="T493" s="36"/>
      <c r="U493" s="12"/>
      <c r="V493" s="12"/>
      <c r="W493" s="12"/>
      <c r="X493" s="12"/>
      <c r="Y493" s="12"/>
    </row>
    <row r="494" customFormat="false" ht="15.75" hidden="false" customHeight="false" outlineLevel="0" collapsed="false">
      <c r="A494" s="12"/>
      <c r="B494" s="34"/>
      <c r="C494" s="12"/>
      <c r="D494" s="12"/>
      <c r="E494" s="12"/>
      <c r="F494" s="12"/>
      <c r="G494" s="18"/>
      <c r="H494" s="35"/>
      <c r="I494" s="12"/>
      <c r="N494" s="12"/>
      <c r="O494" s="18"/>
      <c r="P494" s="12"/>
      <c r="Q494" s="12"/>
      <c r="R494" s="12"/>
      <c r="S494" s="36"/>
      <c r="T494" s="36"/>
      <c r="U494" s="12"/>
      <c r="V494" s="12"/>
      <c r="W494" s="12"/>
      <c r="X494" s="12"/>
      <c r="Y494" s="12"/>
    </row>
    <row r="495" customFormat="false" ht="15.75" hidden="false" customHeight="false" outlineLevel="0" collapsed="false">
      <c r="A495" s="12"/>
      <c r="B495" s="34"/>
      <c r="C495" s="12"/>
      <c r="D495" s="12"/>
      <c r="E495" s="12"/>
      <c r="F495" s="12"/>
      <c r="G495" s="18"/>
      <c r="H495" s="35"/>
      <c r="I495" s="12"/>
      <c r="N495" s="12"/>
      <c r="O495" s="18"/>
      <c r="P495" s="12"/>
      <c r="Q495" s="12"/>
      <c r="R495" s="12"/>
      <c r="S495" s="36"/>
      <c r="T495" s="36"/>
      <c r="U495" s="12"/>
      <c r="V495" s="12"/>
      <c r="W495" s="12"/>
      <c r="X495" s="12"/>
      <c r="Y495" s="12"/>
    </row>
    <row r="496" customFormat="false" ht="15.75" hidden="false" customHeight="false" outlineLevel="0" collapsed="false">
      <c r="A496" s="12"/>
      <c r="B496" s="34"/>
      <c r="C496" s="12"/>
      <c r="D496" s="12"/>
      <c r="E496" s="12"/>
      <c r="F496" s="12"/>
      <c r="G496" s="18"/>
      <c r="H496" s="35"/>
      <c r="I496" s="12"/>
      <c r="N496" s="12"/>
      <c r="O496" s="18"/>
      <c r="P496" s="12"/>
      <c r="Q496" s="12"/>
      <c r="R496" s="12"/>
      <c r="S496" s="36"/>
      <c r="T496" s="36"/>
      <c r="U496" s="12"/>
      <c r="V496" s="12"/>
      <c r="W496" s="12"/>
      <c r="X496" s="12"/>
      <c r="Y496" s="12"/>
    </row>
    <row r="497" customFormat="false" ht="15.75" hidden="false" customHeight="false" outlineLevel="0" collapsed="false">
      <c r="A497" s="12"/>
      <c r="B497" s="34"/>
      <c r="C497" s="12"/>
      <c r="D497" s="12"/>
      <c r="E497" s="12"/>
      <c r="F497" s="12"/>
      <c r="G497" s="18"/>
      <c r="H497" s="35"/>
      <c r="I497" s="12"/>
      <c r="N497" s="12"/>
      <c r="O497" s="18"/>
      <c r="P497" s="12"/>
      <c r="Q497" s="12"/>
      <c r="R497" s="12"/>
      <c r="S497" s="36"/>
      <c r="T497" s="36"/>
      <c r="U497" s="12"/>
      <c r="V497" s="12"/>
      <c r="W497" s="12"/>
      <c r="X497" s="12"/>
      <c r="Y497" s="12"/>
    </row>
    <row r="498" customFormat="false" ht="15.75" hidden="false" customHeight="false" outlineLevel="0" collapsed="false">
      <c r="A498" s="12"/>
      <c r="B498" s="34"/>
      <c r="C498" s="12"/>
      <c r="D498" s="12"/>
      <c r="E498" s="12"/>
      <c r="F498" s="12"/>
      <c r="G498" s="18"/>
      <c r="H498" s="35"/>
      <c r="I498" s="12"/>
      <c r="N498" s="12"/>
      <c r="O498" s="18"/>
      <c r="P498" s="12"/>
      <c r="Q498" s="12"/>
      <c r="R498" s="12"/>
      <c r="S498" s="36"/>
      <c r="T498" s="36"/>
      <c r="U498" s="12"/>
      <c r="V498" s="12"/>
      <c r="W498" s="12"/>
      <c r="X498" s="12"/>
      <c r="Y498" s="12"/>
    </row>
    <row r="499" customFormat="false" ht="15.75" hidden="false" customHeight="false" outlineLevel="0" collapsed="false">
      <c r="A499" s="12"/>
      <c r="B499" s="34"/>
      <c r="C499" s="12"/>
      <c r="D499" s="12"/>
      <c r="E499" s="12"/>
      <c r="F499" s="12"/>
      <c r="G499" s="18"/>
      <c r="H499" s="35"/>
      <c r="I499" s="12"/>
      <c r="N499" s="12"/>
      <c r="O499" s="18"/>
      <c r="P499" s="12"/>
      <c r="Q499" s="12"/>
      <c r="R499" s="12"/>
      <c r="S499" s="36"/>
      <c r="T499" s="36"/>
      <c r="U499" s="12"/>
      <c r="V499" s="12"/>
      <c r="W499" s="12"/>
      <c r="X499" s="12"/>
      <c r="Y499" s="12"/>
    </row>
    <row r="500" customFormat="false" ht="15.75" hidden="false" customHeight="false" outlineLevel="0" collapsed="false">
      <c r="A500" s="12"/>
      <c r="B500" s="34"/>
      <c r="C500" s="12"/>
      <c r="D500" s="12"/>
      <c r="E500" s="12"/>
      <c r="F500" s="12"/>
      <c r="G500" s="18"/>
      <c r="H500" s="35"/>
      <c r="I500" s="12"/>
      <c r="N500" s="12"/>
      <c r="O500" s="18"/>
      <c r="P500" s="12"/>
      <c r="Q500" s="12"/>
      <c r="R500" s="12"/>
      <c r="S500" s="36"/>
      <c r="T500" s="36"/>
      <c r="U500" s="12"/>
      <c r="V500" s="12"/>
      <c r="W500" s="12"/>
      <c r="X500" s="12"/>
      <c r="Y500" s="12"/>
    </row>
    <row r="501" customFormat="false" ht="15.75" hidden="false" customHeight="false" outlineLevel="0" collapsed="false">
      <c r="A501" s="12"/>
      <c r="B501" s="34"/>
      <c r="C501" s="12"/>
      <c r="D501" s="12"/>
      <c r="E501" s="12"/>
      <c r="F501" s="12"/>
      <c r="G501" s="18"/>
      <c r="H501" s="35"/>
      <c r="I501" s="12"/>
      <c r="N501" s="12"/>
      <c r="O501" s="18"/>
      <c r="P501" s="12"/>
      <c r="Q501" s="12"/>
      <c r="R501" s="12"/>
      <c r="S501" s="36"/>
      <c r="T501" s="36"/>
      <c r="U501" s="12"/>
      <c r="V501" s="12"/>
      <c r="W501" s="12"/>
      <c r="X501" s="12"/>
      <c r="Y501" s="12"/>
    </row>
    <row r="502" customFormat="false" ht="15.75" hidden="false" customHeight="false" outlineLevel="0" collapsed="false">
      <c r="A502" s="12"/>
      <c r="B502" s="34"/>
      <c r="C502" s="12"/>
      <c r="D502" s="12"/>
      <c r="E502" s="12"/>
      <c r="F502" s="12"/>
      <c r="G502" s="18"/>
      <c r="H502" s="35"/>
      <c r="I502" s="12"/>
      <c r="N502" s="12"/>
      <c r="O502" s="18"/>
      <c r="P502" s="12"/>
      <c r="Q502" s="12"/>
      <c r="R502" s="12"/>
      <c r="S502" s="36"/>
      <c r="T502" s="36"/>
      <c r="U502" s="12"/>
      <c r="V502" s="12"/>
      <c r="W502" s="12"/>
      <c r="X502" s="12"/>
      <c r="Y502" s="12"/>
    </row>
    <row r="503" customFormat="false" ht="15.75" hidden="false" customHeight="false" outlineLevel="0" collapsed="false">
      <c r="A503" s="12"/>
      <c r="B503" s="34"/>
      <c r="C503" s="12"/>
      <c r="D503" s="12"/>
      <c r="E503" s="12"/>
      <c r="F503" s="12"/>
      <c r="G503" s="18"/>
      <c r="H503" s="35"/>
      <c r="I503" s="12"/>
      <c r="N503" s="12"/>
      <c r="O503" s="18"/>
      <c r="P503" s="12"/>
      <c r="Q503" s="12"/>
      <c r="R503" s="12"/>
      <c r="S503" s="36"/>
      <c r="T503" s="36"/>
      <c r="U503" s="12"/>
      <c r="V503" s="12"/>
      <c r="W503" s="12"/>
      <c r="X503" s="12"/>
      <c r="Y503" s="12"/>
    </row>
    <row r="504" customFormat="false" ht="15.75" hidden="false" customHeight="false" outlineLevel="0" collapsed="false">
      <c r="A504" s="12"/>
      <c r="B504" s="34"/>
      <c r="C504" s="12"/>
      <c r="D504" s="12"/>
      <c r="E504" s="12"/>
      <c r="F504" s="12"/>
      <c r="G504" s="18"/>
      <c r="H504" s="35"/>
      <c r="I504" s="12"/>
      <c r="N504" s="12"/>
      <c r="O504" s="18"/>
      <c r="P504" s="12"/>
      <c r="Q504" s="12"/>
      <c r="R504" s="12"/>
      <c r="S504" s="36"/>
      <c r="T504" s="36"/>
      <c r="U504" s="12"/>
      <c r="V504" s="12"/>
      <c r="W504" s="12"/>
      <c r="X504" s="12"/>
      <c r="Y504" s="12"/>
    </row>
    <row r="505" customFormat="false" ht="15.75" hidden="false" customHeight="false" outlineLevel="0" collapsed="false">
      <c r="A505" s="12"/>
      <c r="B505" s="34"/>
      <c r="C505" s="12"/>
      <c r="D505" s="12"/>
      <c r="E505" s="12"/>
      <c r="F505" s="12"/>
      <c r="G505" s="18"/>
      <c r="H505" s="35"/>
      <c r="I505" s="12"/>
      <c r="N505" s="12"/>
      <c r="O505" s="18"/>
      <c r="P505" s="12"/>
      <c r="Q505" s="12"/>
      <c r="R505" s="12"/>
      <c r="S505" s="36"/>
      <c r="T505" s="36"/>
      <c r="U505" s="12"/>
      <c r="V505" s="12"/>
      <c r="W505" s="12"/>
      <c r="X505" s="12"/>
      <c r="Y505" s="12"/>
    </row>
    <row r="506" customFormat="false" ht="15.75" hidden="false" customHeight="false" outlineLevel="0" collapsed="false">
      <c r="A506" s="12"/>
      <c r="B506" s="34"/>
      <c r="C506" s="12"/>
      <c r="D506" s="12"/>
      <c r="E506" s="12"/>
      <c r="F506" s="12"/>
      <c r="G506" s="18"/>
      <c r="H506" s="35"/>
      <c r="I506" s="12"/>
      <c r="N506" s="12"/>
      <c r="O506" s="18"/>
      <c r="P506" s="12"/>
      <c r="Q506" s="12"/>
      <c r="R506" s="12"/>
      <c r="S506" s="36"/>
      <c r="T506" s="36"/>
      <c r="U506" s="12"/>
      <c r="V506" s="12"/>
      <c r="W506" s="12"/>
      <c r="X506" s="12"/>
      <c r="Y506" s="12"/>
    </row>
    <row r="507" customFormat="false" ht="15.75" hidden="false" customHeight="false" outlineLevel="0" collapsed="false">
      <c r="A507" s="12"/>
      <c r="B507" s="34"/>
      <c r="C507" s="12"/>
      <c r="D507" s="12"/>
      <c r="E507" s="12"/>
      <c r="F507" s="12"/>
      <c r="G507" s="18"/>
      <c r="H507" s="35"/>
      <c r="I507" s="12"/>
      <c r="N507" s="12"/>
      <c r="O507" s="18"/>
      <c r="P507" s="12"/>
      <c r="Q507" s="12"/>
      <c r="R507" s="12"/>
      <c r="S507" s="36"/>
      <c r="T507" s="36"/>
      <c r="U507" s="12"/>
      <c r="V507" s="12"/>
      <c r="W507" s="12"/>
      <c r="X507" s="12"/>
      <c r="Y507" s="12"/>
    </row>
    <row r="508" customFormat="false" ht="15.75" hidden="false" customHeight="false" outlineLevel="0" collapsed="false">
      <c r="A508" s="12"/>
      <c r="B508" s="34"/>
      <c r="C508" s="12"/>
      <c r="D508" s="12"/>
      <c r="E508" s="12"/>
      <c r="F508" s="12"/>
      <c r="G508" s="18"/>
      <c r="H508" s="35"/>
      <c r="I508" s="12"/>
      <c r="N508" s="12"/>
      <c r="O508" s="18"/>
      <c r="P508" s="12"/>
      <c r="Q508" s="12"/>
      <c r="R508" s="12"/>
      <c r="S508" s="36"/>
      <c r="T508" s="36"/>
      <c r="U508" s="12"/>
      <c r="V508" s="12"/>
      <c r="W508" s="12"/>
      <c r="X508" s="12"/>
      <c r="Y508" s="12"/>
    </row>
    <row r="509" customFormat="false" ht="15.75" hidden="false" customHeight="false" outlineLevel="0" collapsed="false">
      <c r="A509" s="12"/>
      <c r="B509" s="34"/>
      <c r="C509" s="12"/>
      <c r="D509" s="12"/>
      <c r="E509" s="12"/>
      <c r="F509" s="12"/>
      <c r="G509" s="18"/>
      <c r="H509" s="35"/>
      <c r="I509" s="12"/>
      <c r="N509" s="12"/>
      <c r="O509" s="18"/>
      <c r="P509" s="12"/>
      <c r="Q509" s="12"/>
      <c r="R509" s="12"/>
      <c r="S509" s="36"/>
      <c r="T509" s="36"/>
      <c r="U509" s="12"/>
      <c r="V509" s="12"/>
      <c r="W509" s="12"/>
      <c r="X509" s="12"/>
      <c r="Y509" s="12"/>
    </row>
    <row r="510" customFormat="false" ht="15.75" hidden="false" customHeight="false" outlineLevel="0" collapsed="false">
      <c r="A510" s="12"/>
      <c r="B510" s="34"/>
      <c r="C510" s="12"/>
      <c r="D510" s="12"/>
      <c r="E510" s="12"/>
      <c r="F510" s="12"/>
      <c r="G510" s="18"/>
      <c r="H510" s="35"/>
      <c r="I510" s="12"/>
      <c r="N510" s="12"/>
      <c r="O510" s="18"/>
      <c r="P510" s="12"/>
      <c r="Q510" s="12"/>
      <c r="R510" s="12"/>
      <c r="S510" s="36"/>
      <c r="T510" s="36"/>
      <c r="U510" s="12"/>
      <c r="V510" s="12"/>
      <c r="W510" s="12"/>
      <c r="X510" s="12"/>
      <c r="Y510" s="12"/>
    </row>
    <row r="511" customFormat="false" ht="15.75" hidden="false" customHeight="false" outlineLevel="0" collapsed="false">
      <c r="A511" s="12"/>
      <c r="B511" s="34"/>
      <c r="C511" s="12"/>
      <c r="D511" s="12"/>
      <c r="E511" s="12"/>
      <c r="F511" s="12"/>
      <c r="G511" s="18"/>
      <c r="H511" s="35"/>
      <c r="I511" s="12"/>
      <c r="N511" s="12"/>
      <c r="O511" s="18"/>
      <c r="P511" s="12"/>
      <c r="Q511" s="12"/>
      <c r="R511" s="12"/>
      <c r="S511" s="36"/>
      <c r="T511" s="36"/>
      <c r="U511" s="12"/>
      <c r="V511" s="12"/>
      <c r="W511" s="12"/>
      <c r="X511" s="12"/>
      <c r="Y511" s="12"/>
    </row>
    <row r="512" customFormat="false" ht="15.75" hidden="false" customHeight="false" outlineLevel="0" collapsed="false">
      <c r="A512" s="12"/>
      <c r="B512" s="34"/>
      <c r="C512" s="12"/>
      <c r="D512" s="12"/>
      <c r="E512" s="12"/>
      <c r="F512" s="12"/>
      <c r="G512" s="18"/>
      <c r="H512" s="35"/>
      <c r="I512" s="12"/>
      <c r="N512" s="12"/>
      <c r="O512" s="18"/>
      <c r="P512" s="12"/>
      <c r="Q512" s="12"/>
      <c r="R512" s="12"/>
      <c r="S512" s="36"/>
      <c r="T512" s="36"/>
      <c r="U512" s="12"/>
      <c r="V512" s="12"/>
      <c r="W512" s="12"/>
      <c r="X512" s="12"/>
      <c r="Y512" s="12"/>
    </row>
    <row r="513" customFormat="false" ht="15.75" hidden="false" customHeight="false" outlineLevel="0" collapsed="false">
      <c r="A513" s="12"/>
      <c r="B513" s="34"/>
      <c r="C513" s="12"/>
      <c r="D513" s="12"/>
      <c r="E513" s="12"/>
      <c r="F513" s="12"/>
      <c r="G513" s="18"/>
      <c r="H513" s="35"/>
      <c r="I513" s="12"/>
      <c r="N513" s="12"/>
      <c r="O513" s="18"/>
      <c r="P513" s="12"/>
      <c r="Q513" s="12"/>
      <c r="R513" s="12"/>
      <c r="S513" s="36"/>
      <c r="T513" s="36"/>
      <c r="U513" s="12"/>
      <c r="V513" s="12"/>
      <c r="W513" s="12"/>
      <c r="X513" s="12"/>
      <c r="Y513" s="12"/>
    </row>
    <row r="514" customFormat="false" ht="15.75" hidden="false" customHeight="false" outlineLevel="0" collapsed="false">
      <c r="A514" s="12"/>
      <c r="B514" s="34"/>
      <c r="C514" s="12"/>
      <c r="D514" s="12"/>
      <c r="E514" s="12"/>
      <c r="F514" s="12"/>
      <c r="G514" s="18"/>
      <c r="H514" s="35"/>
      <c r="I514" s="12"/>
      <c r="N514" s="12"/>
      <c r="O514" s="18"/>
      <c r="P514" s="12"/>
      <c r="Q514" s="12"/>
      <c r="R514" s="12"/>
      <c r="S514" s="36"/>
      <c r="T514" s="36"/>
      <c r="U514" s="12"/>
      <c r="V514" s="12"/>
      <c r="W514" s="12"/>
      <c r="X514" s="12"/>
      <c r="Y514" s="12"/>
    </row>
    <row r="515" customFormat="false" ht="15.75" hidden="false" customHeight="false" outlineLevel="0" collapsed="false">
      <c r="A515" s="12"/>
      <c r="B515" s="34"/>
      <c r="C515" s="12"/>
      <c r="D515" s="12"/>
      <c r="E515" s="12"/>
      <c r="F515" s="12"/>
      <c r="G515" s="18"/>
      <c r="H515" s="35"/>
      <c r="I515" s="12"/>
      <c r="N515" s="12"/>
      <c r="O515" s="18"/>
      <c r="P515" s="12"/>
      <c r="Q515" s="12"/>
      <c r="R515" s="12"/>
      <c r="S515" s="36"/>
      <c r="T515" s="36"/>
      <c r="U515" s="12"/>
      <c r="V515" s="12"/>
      <c r="W515" s="12"/>
      <c r="X515" s="12"/>
      <c r="Y515" s="12"/>
    </row>
    <row r="516" customFormat="false" ht="15.75" hidden="false" customHeight="false" outlineLevel="0" collapsed="false">
      <c r="A516" s="12"/>
      <c r="B516" s="34"/>
      <c r="C516" s="12"/>
      <c r="D516" s="12"/>
      <c r="E516" s="12"/>
      <c r="F516" s="12"/>
      <c r="G516" s="18"/>
      <c r="H516" s="35"/>
      <c r="I516" s="12"/>
      <c r="N516" s="12"/>
      <c r="O516" s="18"/>
      <c r="P516" s="12"/>
      <c r="Q516" s="12"/>
      <c r="R516" s="12"/>
      <c r="S516" s="36"/>
      <c r="T516" s="36"/>
      <c r="U516" s="12"/>
      <c r="V516" s="12"/>
      <c r="W516" s="12"/>
      <c r="X516" s="12"/>
      <c r="Y516" s="12"/>
    </row>
    <row r="517" customFormat="false" ht="15.75" hidden="false" customHeight="false" outlineLevel="0" collapsed="false">
      <c r="A517" s="12"/>
      <c r="B517" s="34"/>
      <c r="C517" s="12"/>
      <c r="D517" s="12"/>
      <c r="E517" s="12"/>
      <c r="F517" s="12"/>
      <c r="G517" s="18"/>
      <c r="H517" s="35"/>
      <c r="I517" s="12"/>
      <c r="N517" s="12"/>
      <c r="O517" s="18"/>
      <c r="P517" s="12"/>
      <c r="Q517" s="12"/>
      <c r="R517" s="12"/>
      <c r="S517" s="36"/>
      <c r="T517" s="36"/>
      <c r="U517" s="12"/>
      <c r="V517" s="12"/>
      <c r="W517" s="12"/>
      <c r="X517" s="12"/>
      <c r="Y517" s="12"/>
    </row>
    <row r="518" customFormat="false" ht="15.75" hidden="false" customHeight="false" outlineLevel="0" collapsed="false">
      <c r="A518" s="12"/>
      <c r="B518" s="34"/>
      <c r="C518" s="12"/>
      <c r="D518" s="12"/>
      <c r="E518" s="12"/>
      <c r="F518" s="12"/>
      <c r="G518" s="18"/>
      <c r="H518" s="35"/>
      <c r="I518" s="12"/>
      <c r="N518" s="12"/>
      <c r="O518" s="18"/>
      <c r="P518" s="12"/>
      <c r="Q518" s="12"/>
      <c r="R518" s="12"/>
      <c r="S518" s="36"/>
      <c r="T518" s="36"/>
      <c r="U518" s="12"/>
      <c r="V518" s="12"/>
      <c r="W518" s="12"/>
      <c r="X518" s="12"/>
      <c r="Y518" s="12"/>
    </row>
    <row r="519" customFormat="false" ht="15.75" hidden="false" customHeight="false" outlineLevel="0" collapsed="false">
      <c r="A519" s="12"/>
      <c r="B519" s="34"/>
      <c r="C519" s="12"/>
      <c r="D519" s="12"/>
      <c r="E519" s="12"/>
      <c r="F519" s="12"/>
      <c r="G519" s="18"/>
      <c r="H519" s="35"/>
      <c r="I519" s="12"/>
      <c r="N519" s="12"/>
      <c r="O519" s="18"/>
      <c r="P519" s="12"/>
      <c r="Q519" s="12"/>
      <c r="R519" s="12"/>
      <c r="S519" s="36"/>
      <c r="T519" s="36"/>
      <c r="U519" s="12"/>
      <c r="V519" s="12"/>
      <c r="W519" s="12"/>
      <c r="X519" s="12"/>
      <c r="Y519" s="12"/>
    </row>
    <row r="520" customFormat="false" ht="15.75" hidden="false" customHeight="false" outlineLevel="0" collapsed="false">
      <c r="A520" s="12"/>
      <c r="B520" s="34"/>
      <c r="C520" s="12"/>
      <c r="D520" s="12"/>
      <c r="E520" s="12"/>
      <c r="F520" s="12"/>
      <c r="G520" s="18"/>
      <c r="H520" s="35"/>
      <c r="I520" s="12"/>
      <c r="N520" s="12"/>
      <c r="O520" s="18"/>
      <c r="P520" s="12"/>
      <c r="Q520" s="12"/>
      <c r="R520" s="12"/>
      <c r="S520" s="36"/>
      <c r="T520" s="36"/>
      <c r="U520" s="12"/>
      <c r="V520" s="12"/>
      <c r="W520" s="12"/>
      <c r="X520" s="12"/>
      <c r="Y520" s="12"/>
    </row>
    <row r="521" customFormat="false" ht="15.75" hidden="false" customHeight="false" outlineLevel="0" collapsed="false">
      <c r="A521" s="12"/>
      <c r="B521" s="34"/>
      <c r="C521" s="12"/>
      <c r="D521" s="12"/>
      <c r="E521" s="12"/>
      <c r="F521" s="12"/>
      <c r="G521" s="18"/>
      <c r="H521" s="35"/>
      <c r="I521" s="12"/>
      <c r="N521" s="12"/>
      <c r="O521" s="18"/>
      <c r="P521" s="12"/>
      <c r="Q521" s="12"/>
      <c r="R521" s="12"/>
      <c r="S521" s="36"/>
      <c r="T521" s="36"/>
      <c r="U521" s="12"/>
      <c r="V521" s="12"/>
      <c r="W521" s="12"/>
      <c r="X521" s="12"/>
      <c r="Y521" s="12"/>
    </row>
    <row r="522" customFormat="false" ht="15.75" hidden="false" customHeight="false" outlineLevel="0" collapsed="false">
      <c r="A522" s="12"/>
      <c r="B522" s="34"/>
      <c r="C522" s="12"/>
      <c r="D522" s="12"/>
      <c r="E522" s="12"/>
      <c r="F522" s="12"/>
      <c r="G522" s="18"/>
      <c r="H522" s="35"/>
      <c r="I522" s="12"/>
      <c r="N522" s="12"/>
      <c r="O522" s="18"/>
      <c r="P522" s="12"/>
      <c r="Q522" s="12"/>
      <c r="R522" s="12"/>
      <c r="S522" s="36"/>
      <c r="T522" s="36"/>
      <c r="U522" s="12"/>
      <c r="V522" s="12"/>
      <c r="W522" s="12"/>
      <c r="X522" s="12"/>
      <c r="Y522" s="12"/>
    </row>
    <row r="523" customFormat="false" ht="15.75" hidden="false" customHeight="false" outlineLevel="0" collapsed="false">
      <c r="A523" s="12"/>
      <c r="B523" s="34"/>
      <c r="C523" s="12"/>
      <c r="D523" s="12"/>
      <c r="E523" s="12"/>
      <c r="F523" s="12"/>
      <c r="G523" s="18"/>
      <c r="H523" s="35"/>
      <c r="I523" s="12"/>
      <c r="N523" s="12"/>
      <c r="O523" s="18"/>
      <c r="P523" s="12"/>
      <c r="Q523" s="12"/>
      <c r="R523" s="12"/>
      <c r="S523" s="36"/>
      <c r="T523" s="36"/>
      <c r="U523" s="12"/>
      <c r="V523" s="12"/>
      <c r="W523" s="12"/>
      <c r="X523" s="12"/>
      <c r="Y523" s="12"/>
    </row>
    <row r="524" customFormat="false" ht="15.75" hidden="false" customHeight="false" outlineLevel="0" collapsed="false">
      <c r="A524" s="12"/>
      <c r="B524" s="34"/>
      <c r="C524" s="12"/>
      <c r="D524" s="12"/>
      <c r="E524" s="12"/>
      <c r="F524" s="12"/>
      <c r="G524" s="18"/>
      <c r="H524" s="35"/>
      <c r="I524" s="12"/>
      <c r="N524" s="12"/>
      <c r="O524" s="18"/>
      <c r="P524" s="12"/>
      <c r="Q524" s="12"/>
      <c r="R524" s="12"/>
      <c r="S524" s="36"/>
      <c r="T524" s="36"/>
      <c r="U524" s="12"/>
      <c r="V524" s="12"/>
      <c r="W524" s="12"/>
      <c r="X524" s="12"/>
      <c r="Y524" s="12"/>
    </row>
    <row r="525" customFormat="false" ht="15.75" hidden="false" customHeight="false" outlineLevel="0" collapsed="false">
      <c r="A525" s="12"/>
      <c r="B525" s="34"/>
      <c r="C525" s="12"/>
      <c r="D525" s="12"/>
      <c r="E525" s="12"/>
      <c r="F525" s="12"/>
      <c r="G525" s="18"/>
      <c r="H525" s="35"/>
      <c r="I525" s="12"/>
      <c r="N525" s="12"/>
      <c r="O525" s="18"/>
      <c r="P525" s="12"/>
      <c r="Q525" s="12"/>
      <c r="R525" s="12"/>
      <c r="S525" s="36"/>
      <c r="T525" s="36"/>
      <c r="U525" s="12"/>
      <c r="V525" s="12"/>
      <c r="W525" s="12"/>
      <c r="X525" s="12"/>
      <c r="Y525" s="12"/>
    </row>
    <row r="526" customFormat="false" ht="15.75" hidden="false" customHeight="false" outlineLevel="0" collapsed="false">
      <c r="A526" s="12"/>
      <c r="B526" s="34"/>
      <c r="C526" s="12"/>
      <c r="D526" s="12"/>
      <c r="E526" s="12"/>
      <c r="F526" s="12"/>
      <c r="G526" s="18"/>
      <c r="H526" s="35"/>
      <c r="I526" s="12"/>
      <c r="N526" s="12"/>
      <c r="O526" s="18"/>
      <c r="P526" s="12"/>
      <c r="Q526" s="12"/>
      <c r="R526" s="12"/>
      <c r="S526" s="36"/>
      <c r="T526" s="36"/>
      <c r="U526" s="12"/>
      <c r="V526" s="12"/>
      <c r="W526" s="12"/>
      <c r="X526" s="12"/>
      <c r="Y526" s="12"/>
    </row>
    <row r="527" customFormat="false" ht="15.75" hidden="false" customHeight="false" outlineLevel="0" collapsed="false">
      <c r="A527" s="12"/>
      <c r="B527" s="34"/>
      <c r="C527" s="12"/>
      <c r="D527" s="12"/>
      <c r="E527" s="12"/>
      <c r="F527" s="12"/>
      <c r="G527" s="18"/>
      <c r="H527" s="35"/>
      <c r="I527" s="12"/>
      <c r="N527" s="12"/>
      <c r="O527" s="18"/>
      <c r="P527" s="12"/>
      <c r="Q527" s="12"/>
      <c r="R527" s="12"/>
      <c r="S527" s="36"/>
      <c r="T527" s="36"/>
      <c r="U527" s="12"/>
      <c r="V527" s="12"/>
      <c r="W527" s="12"/>
      <c r="X527" s="12"/>
      <c r="Y527" s="12"/>
    </row>
    <row r="528" customFormat="false" ht="15.75" hidden="false" customHeight="false" outlineLevel="0" collapsed="false">
      <c r="A528" s="12"/>
      <c r="B528" s="34"/>
      <c r="C528" s="12"/>
      <c r="D528" s="12"/>
      <c r="E528" s="12"/>
      <c r="F528" s="12"/>
      <c r="G528" s="18"/>
      <c r="H528" s="35"/>
      <c r="I528" s="12"/>
      <c r="N528" s="12"/>
      <c r="O528" s="18"/>
      <c r="P528" s="12"/>
      <c r="Q528" s="12"/>
      <c r="R528" s="12"/>
      <c r="S528" s="36"/>
      <c r="T528" s="36"/>
      <c r="U528" s="12"/>
      <c r="V528" s="12"/>
      <c r="W528" s="12"/>
      <c r="X528" s="12"/>
      <c r="Y528" s="12"/>
    </row>
    <row r="529" customFormat="false" ht="15.75" hidden="false" customHeight="false" outlineLevel="0" collapsed="false">
      <c r="A529" s="12"/>
      <c r="B529" s="34"/>
      <c r="C529" s="12"/>
      <c r="D529" s="12"/>
      <c r="E529" s="12"/>
      <c r="F529" s="12"/>
      <c r="G529" s="18"/>
      <c r="H529" s="35"/>
      <c r="I529" s="12"/>
      <c r="N529" s="12"/>
      <c r="O529" s="18"/>
      <c r="P529" s="12"/>
      <c r="Q529" s="12"/>
      <c r="R529" s="12"/>
      <c r="S529" s="36"/>
      <c r="T529" s="36"/>
      <c r="U529" s="12"/>
      <c r="V529" s="12"/>
      <c r="W529" s="12"/>
      <c r="X529" s="12"/>
      <c r="Y529" s="12"/>
    </row>
    <row r="530" customFormat="false" ht="15.75" hidden="false" customHeight="false" outlineLevel="0" collapsed="false">
      <c r="A530" s="12"/>
      <c r="B530" s="34"/>
      <c r="C530" s="12"/>
      <c r="D530" s="12"/>
      <c r="E530" s="12"/>
      <c r="F530" s="12"/>
      <c r="G530" s="18"/>
      <c r="H530" s="35"/>
      <c r="I530" s="12"/>
      <c r="N530" s="12"/>
      <c r="O530" s="18"/>
      <c r="P530" s="12"/>
      <c r="Q530" s="12"/>
      <c r="R530" s="12"/>
      <c r="S530" s="36"/>
      <c r="T530" s="36"/>
      <c r="U530" s="12"/>
      <c r="V530" s="12"/>
      <c r="W530" s="12"/>
      <c r="X530" s="12"/>
      <c r="Y530" s="12"/>
    </row>
    <row r="531" customFormat="false" ht="15.75" hidden="false" customHeight="false" outlineLevel="0" collapsed="false">
      <c r="A531" s="12"/>
      <c r="B531" s="34"/>
      <c r="C531" s="12"/>
      <c r="D531" s="12"/>
      <c r="E531" s="12"/>
      <c r="F531" s="12"/>
      <c r="G531" s="18"/>
      <c r="H531" s="35"/>
      <c r="I531" s="12"/>
      <c r="N531" s="12"/>
      <c r="O531" s="18"/>
      <c r="P531" s="12"/>
      <c r="Q531" s="12"/>
      <c r="R531" s="12"/>
      <c r="S531" s="36"/>
      <c r="T531" s="36"/>
      <c r="U531" s="12"/>
      <c r="V531" s="12"/>
      <c r="W531" s="12"/>
      <c r="X531" s="12"/>
      <c r="Y531" s="12"/>
    </row>
    <row r="532" customFormat="false" ht="15.75" hidden="false" customHeight="false" outlineLevel="0" collapsed="false">
      <c r="A532" s="12"/>
      <c r="B532" s="34"/>
      <c r="C532" s="12"/>
      <c r="D532" s="12"/>
      <c r="E532" s="12"/>
      <c r="F532" s="12"/>
      <c r="G532" s="18"/>
      <c r="H532" s="35"/>
      <c r="I532" s="12"/>
      <c r="N532" s="12"/>
      <c r="O532" s="18"/>
      <c r="P532" s="12"/>
      <c r="Q532" s="12"/>
      <c r="R532" s="12"/>
      <c r="S532" s="36"/>
      <c r="T532" s="36"/>
      <c r="U532" s="12"/>
      <c r="V532" s="12"/>
      <c r="W532" s="12"/>
      <c r="X532" s="12"/>
      <c r="Y532" s="12"/>
    </row>
    <row r="533" customFormat="false" ht="15.75" hidden="false" customHeight="false" outlineLevel="0" collapsed="false">
      <c r="A533" s="12"/>
      <c r="B533" s="34"/>
      <c r="C533" s="12"/>
      <c r="D533" s="12"/>
      <c r="E533" s="12"/>
      <c r="F533" s="12"/>
      <c r="G533" s="18"/>
      <c r="H533" s="35"/>
      <c r="I533" s="12"/>
      <c r="N533" s="12"/>
      <c r="O533" s="18"/>
      <c r="P533" s="12"/>
      <c r="Q533" s="12"/>
      <c r="R533" s="12"/>
      <c r="S533" s="36"/>
      <c r="T533" s="36"/>
      <c r="U533" s="12"/>
      <c r="V533" s="12"/>
      <c r="W533" s="12"/>
      <c r="X533" s="12"/>
      <c r="Y533" s="12"/>
    </row>
    <row r="534" customFormat="false" ht="15.75" hidden="false" customHeight="false" outlineLevel="0" collapsed="false">
      <c r="A534" s="12"/>
      <c r="B534" s="34"/>
      <c r="C534" s="12"/>
      <c r="D534" s="12"/>
      <c r="E534" s="12"/>
      <c r="F534" s="12"/>
      <c r="G534" s="18"/>
      <c r="H534" s="35"/>
      <c r="I534" s="12"/>
      <c r="N534" s="12"/>
      <c r="O534" s="18"/>
      <c r="P534" s="12"/>
      <c r="Q534" s="12"/>
      <c r="R534" s="12"/>
      <c r="S534" s="36"/>
      <c r="T534" s="36"/>
      <c r="U534" s="12"/>
      <c r="V534" s="12"/>
      <c r="W534" s="12"/>
      <c r="X534" s="12"/>
      <c r="Y534" s="12"/>
    </row>
    <row r="535" customFormat="false" ht="15.75" hidden="false" customHeight="false" outlineLevel="0" collapsed="false">
      <c r="A535" s="12"/>
      <c r="B535" s="34"/>
      <c r="C535" s="12"/>
      <c r="D535" s="12"/>
      <c r="E535" s="12"/>
      <c r="F535" s="12"/>
      <c r="G535" s="18"/>
      <c r="H535" s="35"/>
      <c r="I535" s="12"/>
      <c r="N535" s="12"/>
      <c r="O535" s="18"/>
      <c r="P535" s="12"/>
      <c r="Q535" s="12"/>
      <c r="R535" s="12"/>
      <c r="S535" s="36"/>
      <c r="T535" s="36"/>
      <c r="U535" s="12"/>
      <c r="V535" s="12"/>
      <c r="W535" s="12"/>
      <c r="X535" s="12"/>
      <c r="Y535" s="12"/>
    </row>
    <row r="536" customFormat="false" ht="15.75" hidden="false" customHeight="false" outlineLevel="0" collapsed="false">
      <c r="A536" s="12"/>
      <c r="B536" s="34"/>
      <c r="C536" s="12"/>
      <c r="D536" s="12"/>
      <c r="E536" s="12"/>
      <c r="F536" s="12"/>
      <c r="G536" s="18"/>
      <c r="H536" s="35"/>
      <c r="I536" s="12"/>
      <c r="N536" s="12"/>
      <c r="O536" s="18"/>
      <c r="P536" s="12"/>
      <c r="Q536" s="12"/>
      <c r="R536" s="12"/>
      <c r="S536" s="36"/>
      <c r="T536" s="36"/>
      <c r="U536" s="12"/>
      <c r="V536" s="12"/>
      <c r="W536" s="12"/>
      <c r="X536" s="12"/>
      <c r="Y536" s="12"/>
    </row>
    <row r="537" customFormat="false" ht="15.75" hidden="false" customHeight="false" outlineLevel="0" collapsed="false">
      <c r="A537" s="12"/>
      <c r="B537" s="34"/>
      <c r="C537" s="12"/>
      <c r="D537" s="12"/>
      <c r="E537" s="12"/>
      <c r="F537" s="12"/>
      <c r="G537" s="18"/>
      <c r="H537" s="35"/>
      <c r="I537" s="12"/>
      <c r="N537" s="12"/>
      <c r="O537" s="18"/>
      <c r="P537" s="12"/>
      <c r="Q537" s="12"/>
      <c r="R537" s="12"/>
      <c r="S537" s="36"/>
      <c r="T537" s="36"/>
      <c r="U537" s="12"/>
      <c r="V537" s="12"/>
      <c r="W537" s="12"/>
      <c r="X537" s="12"/>
      <c r="Y537" s="12"/>
    </row>
    <row r="538" customFormat="false" ht="15.75" hidden="false" customHeight="false" outlineLevel="0" collapsed="false">
      <c r="A538" s="12"/>
      <c r="B538" s="34"/>
      <c r="C538" s="12"/>
      <c r="D538" s="12"/>
      <c r="E538" s="12"/>
      <c r="F538" s="12"/>
      <c r="G538" s="18"/>
      <c r="H538" s="35"/>
      <c r="I538" s="12"/>
      <c r="N538" s="12"/>
      <c r="O538" s="18"/>
      <c r="P538" s="12"/>
      <c r="Q538" s="12"/>
      <c r="R538" s="12"/>
      <c r="S538" s="36"/>
      <c r="T538" s="36"/>
      <c r="U538" s="12"/>
      <c r="V538" s="12"/>
      <c r="W538" s="12"/>
      <c r="X538" s="12"/>
      <c r="Y538" s="12"/>
    </row>
    <row r="539" customFormat="false" ht="15.75" hidden="false" customHeight="false" outlineLevel="0" collapsed="false">
      <c r="A539" s="12"/>
      <c r="B539" s="34"/>
      <c r="C539" s="12"/>
      <c r="D539" s="12"/>
      <c r="E539" s="12"/>
      <c r="F539" s="12"/>
      <c r="G539" s="18"/>
      <c r="H539" s="35"/>
      <c r="I539" s="12"/>
      <c r="N539" s="12"/>
      <c r="O539" s="18"/>
      <c r="P539" s="12"/>
      <c r="Q539" s="12"/>
      <c r="R539" s="12"/>
      <c r="S539" s="36"/>
      <c r="T539" s="36"/>
      <c r="U539" s="12"/>
      <c r="V539" s="12"/>
      <c r="W539" s="12"/>
      <c r="X539" s="12"/>
      <c r="Y539" s="12"/>
    </row>
    <row r="540" customFormat="false" ht="15.75" hidden="false" customHeight="false" outlineLevel="0" collapsed="false">
      <c r="A540" s="12"/>
      <c r="B540" s="34"/>
      <c r="C540" s="12"/>
      <c r="D540" s="12"/>
      <c r="E540" s="12"/>
      <c r="F540" s="12"/>
      <c r="G540" s="18"/>
      <c r="H540" s="35"/>
      <c r="I540" s="12"/>
      <c r="N540" s="12"/>
      <c r="O540" s="18"/>
      <c r="P540" s="12"/>
      <c r="Q540" s="12"/>
      <c r="R540" s="12"/>
      <c r="S540" s="36"/>
      <c r="T540" s="36"/>
      <c r="U540" s="12"/>
      <c r="V540" s="12"/>
      <c r="W540" s="12"/>
      <c r="X540" s="12"/>
      <c r="Y540" s="12"/>
    </row>
    <row r="541" customFormat="false" ht="15.75" hidden="false" customHeight="false" outlineLevel="0" collapsed="false">
      <c r="A541" s="12"/>
      <c r="B541" s="34"/>
      <c r="C541" s="12"/>
      <c r="D541" s="12"/>
      <c r="E541" s="12"/>
      <c r="F541" s="12"/>
      <c r="G541" s="18"/>
      <c r="H541" s="35"/>
      <c r="I541" s="12"/>
      <c r="N541" s="12"/>
      <c r="O541" s="18"/>
      <c r="P541" s="12"/>
      <c r="Q541" s="12"/>
      <c r="R541" s="12"/>
      <c r="S541" s="36"/>
      <c r="T541" s="36"/>
      <c r="U541" s="12"/>
      <c r="V541" s="12"/>
      <c r="W541" s="12"/>
      <c r="X541" s="12"/>
      <c r="Y541" s="12"/>
    </row>
    <row r="542" customFormat="false" ht="15.75" hidden="false" customHeight="false" outlineLevel="0" collapsed="false">
      <c r="A542" s="12"/>
      <c r="B542" s="34"/>
      <c r="C542" s="12"/>
      <c r="D542" s="12"/>
      <c r="E542" s="12"/>
      <c r="F542" s="12"/>
      <c r="G542" s="18"/>
      <c r="H542" s="35"/>
      <c r="I542" s="12"/>
      <c r="N542" s="12"/>
      <c r="O542" s="18"/>
      <c r="P542" s="12"/>
      <c r="Q542" s="12"/>
      <c r="R542" s="12"/>
      <c r="S542" s="36"/>
      <c r="T542" s="36"/>
      <c r="U542" s="12"/>
      <c r="V542" s="12"/>
      <c r="W542" s="12"/>
      <c r="X542" s="12"/>
      <c r="Y542" s="12"/>
    </row>
    <row r="543" customFormat="false" ht="15.75" hidden="false" customHeight="false" outlineLevel="0" collapsed="false">
      <c r="A543" s="12"/>
      <c r="B543" s="34"/>
      <c r="C543" s="12"/>
      <c r="D543" s="12"/>
      <c r="E543" s="12"/>
      <c r="F543" s="12"/>
      <c r="G543" s="18"/>
      <c r="H543" s="35"/>
      <c r="I543" s="12"/>
      <c r="N543" s="12"/>
      <c r="O543" s="18"/>
      <c r="P543" s="12"/>
      <c r="Q543" s="12"/>
      <c r="R543" s="12"/>
      <c r="S543" s="36"/>
      <c r="T543" s="36"/>
      <c r="U543" s="12"/>
      <c r="V543" s="12"/>
      <c r="W543" s="12"/>
      <c r="X543" s="12"/>
      <c r="Y543" s="12"/>
    </row>
    <row r="544" customFormat="false" ht="15.75" hidden="false" customHeight="false" outlineLevel="0" collapsed="false">
      <c r="A544" s="12"/>
      <c r="B544" s="34"/>
      <c r="C544" s="12"/>
      <c r="D544" s="12"/>
      <c r="E544" s="12"/>
      <c r="F544" s="12"/>
      <c r="G544" s="18"/>
      <c r="H544" s="35"/>
      <c r="I544" s="12"/>
      <c r="N544" s="12"/>
      <c r="O544" s="18"/>
      <c r="P544" s="12"/>
      <c r="Q544" s="12"/>
      <c r="R544" s="12"/>
      <c r="S544" s="36"/>
      <c r="T544" s="36"/>
      <c r="U544" s="12"/>
      <c r="V544" s="12"/>
      <c r="W544" s="12"/>
      <c r="X544" s="12"/>
      <c r="Y544" s="12"/>
    </row>
    <row r="545" customFormat="false" ht="15.75" hidden="false" customHeight="false" outlineLevel="0" collapsed="false">
      <c r="A545" s="12"/>
      <c r="B545" s="34"/>
      <c r="C545" s="12"/>
      <c r="D545" s="12"/>
      <c r="E545" s="12"/>
      <c r="F545" s="12"/>
      <c r="G545" s="18"/>
      <c r="H545" s="35"/>
      <c r="I545" s="12"/>
      <c r="N545" s="12"/>
      <c r="O545" s="18"/>
      <c r="P545" s="12"/>
      <c r="Q545" s="12"/>
      <c r="R545" s="12"/>
      <c r="S545" s="36"/>
      <c r="T545" s="36"/>
      <c r="U545" s="12"/>
      <c r="V545" s="12"/>
      <c r="W545" s="12"/>
      <c r="X545" s="12"/>
      <c r="Y545" s="12"/>
    </row>
    <row r="546" customFormat="false" ht="15.75" hidden="false" customHeight="false" outlineLevel="0" collapsed="false">
      <c r="A546" s="12"/>
      <c r="B546" s="34"/>
      <c r="C546" s="12"/>
      <c r="D546" s="12"/>
      <c r="E546" s="12"/>
      <c r="F546" s="12"/>
      <c r="G546" s="18"/>
      <c r="H546" s="35"/>
      <c r="I546" s="12"/>
      <c r="N546" s="12"/>
      <c r="O546" s="18"/>
      <c r="P546" s="12"/>
      <c r="Q546" s="12"/>
      <c r="R546" s="12"/>
      <c r="S546" s="36"/>
      <c r="T546" s="36"/>
      <c r="U546" s="12"/>
      <c r="V546" s="12"/>
      <c r="W546" s="12"/>
      <c r="X546" s="12"/>
      <c r="Y546" s="12"/>
    </row>
    <row r="547" customFormat="false" ht="15.75" hidden="false" customHeight="false" outlineLevel="0" collapsed="false">
      <c r="A547" s="12"/>
      <c r="B547" s="34"/>
      <c r="C547" s="12"/>
      <c r="D547" s="12"/>
      <c r="E547" s="12"/>
      <c r="F547" s="12"/>
      <c r="G547" s="18"/>
      <c r="H547" s="35"/>
      <c r="I547" s="12"/>
      <c r="N547" s="12"/>
      <c r="O547" s="18"/>
      <c r="P547" s="12"/>
      <c r="Q547" s="12"/>
      <c r="R547" s="12"/>
      <c r="S547" s="36"/>
      <c r="T547" s="36"/>
      <c r="U547" s="12"/>
      <c r="V547" s="12"/>
      <c r="W547" s="12"/>
      <c r="X547" s="12"/>
      <c r="Y547" s="12"/>
    </row>
    <row r="548" customFormat="false" ht="15.75" hidden="false" customHeight="false" outlineLevel="0" collapsed="false">
      <c r="A548" s="12"/>
      <c r="B548" s="34"/>
      <c r="C548" s="12"/>
      <c r="D548" s="12"/>
      <c r="E548" s="12"/>
      <c r="F548" s="12"/>
      <c r="G548" s="18"/>
      <c r="H548" s="35"/>
      <c r="I548" s="12"/>
      <c r="N548" s="12"/>
      <c r="O548" s="18"/>
      <c r="P548" s="12"/>
      <c r="Q548" s="12"/>
      <c r="R548" s="12"/>
      <c r="S548" s="36"/>
      <c r="T548" s="36"/>
      <c r="U548" s="12"/>
      <c r="V548" s="12"/>
      <c r="W548" s="12"/>
      <c r="X548" s="12"/>
      <c r="Y548" s="12"/>
    </row>
    <row r="549" customFormat="false" ht="15.75" hidden="false" customHeight="false" outlineLevel="0" collapsed="false">
      <c r="A549" s="12"/>
      <c r="B549" s="34"/>
      <c r="C549" s="12"/>
      <c r="D549" s="12"/>
      <c r="E549" s="12"/>
      <c r="F549" s="12"/>
      <c r="G549" s="18"/>
      <c r="H549" s="35"/>
      <c r="I549" s="12"/>
      <c r="N549" s="12"/>
      <c r="O549" s="18"/>
      <c r="P549" s="12"/>
      <c r="Q549" s="12"/>
      <c r="R549" s="12"/>
      <c r="S549" s="36"/>
      <c r="T549" s="36"/>
      <c r="U549" s="12"/>
      <c r="V549" s="12"/>
      <c r="W549" s="12"/>
      <c r="X549" s="12"/>
      <c r="Y549" s="12"/>
    </row>
    <row r="550" customFormat="false" ht="15.75" hidden="false" customHeight="false" outlineLevel="0" collapsed="false">
      <c r="A550" s="12"/>
      <c r="B550" s="34"/>
      <c r="C550" s="12"/>
      <c r="D550" s="12"/>
      <c r="E550" s="12"/>
      <c r="F550" s="12"/>
      <c r="G550" s="18"/>
      <c r="H550" s="35"/>
      <c r="I550" s="12"/>
      <c r="N550" s="12"/>
      <c r="O550" s="18"/>
      <c r="P550" s="12"/>
      <c r="Q550" s="12"/>
      <c r="R550" s="12"/>
      <c r="S550" s="36"/>
      <c r="T550" s="36"/>
      <c r="U550" s="12"/>
      <c r="V550" s="12"/>
      <c r="W550" s="12"/>
      <c r="X550" s="12"/>
      <c r="Y550" s="12"/>
    </row>
    <row r="551" customFormat="false" ht="15.75" hidden="false" customHeight="false" outlineLevel="0" collapsed="false">
      <c r="A551" s="12"/>
      <c r="B551" s="34"/>
      <c r="C551" s="12"/>
      <c r="D551" s="12"/>
      <c r="E551" s="12"/>
      <c r="F551" s="12"/>
      <c r="G551" s="18"/>
      <c r="H551" s="35"/>
      <c r="I551" s="12"/>
      <c r="N551" s="12"/>
      <c r="O551" s="18"/>
      <c r="P551" s="12"/>
      <c r="Q551" s="12"/>
      <c r="R551" s="12"/>
      <c r="S551" s="36"/>
      <c r="T551" s="36"/>
      <c r="U551" s="12"/>
      <c r="V551" s="12"/>
      <c r="W551" s="12"/>
      <c r="X551" s="12"/>
      <c r="Y551" s="12"/>
    </row>
    <row r="552" customFormat="false" ht="15.75" hidden="false" customHeight="false" outlineLevel="0" collapsed="false">
      <c r="A552" s="12"/>
      <c r="B552" s="34"/>
      <c r="C552" s="12"/>
      <c r="D552" s="12"/>
      <c r="E552" s="12"/>
      <c r="F552" s="12"/>
      <c r="G552" s="18"/>
      <c r="H552" s="35"/>
      <c r="I552" s="12"/>
      <c r="N552" s="12"/>
      <c r="O552" s="18"/>
      <c r="P552" s="12"/>
      <c r="Q552" s="12"/>
      <c r="R552" s="12"/>
      <c r="S552" s="36"/>
      <c r="T552" s="36"/>
      <c r="U552" s="12"/>
      <c r="V552" s="12"/>
      <c r="W552" s="12"/>
      <c r="X552" s="12"/>
      <c r="Y552" s="12"/>
    </row>
    <row r="553" customFormat="false" ht="15.75" hidden="false" customHeight="false" outlineLevel="0" collapsed="false">
      <c r="A553" s="12"/>
      <c r="B553" s="34"/>
      <c r="C553" s="12"/>
      <c r="D553" s="12"/>
      <c r="E553" s="12"/>
      <c r="F553" s="12"/>
      <c r="G553" s="18"/>
      <c r="H553" s="35"/>
      <c r="I553" s="12"/>
      <c r="N553" s="12"/>
      <c r="O553" s="18"/>
      <c r="P553" s="12"/>
      <c r="Q553" s="12"/>
      <c r="R553" s="12"/>
      <c r="S553" s="36"/>
      <c r="T553" s="36"/>
      <c r="U553" s="12"/>
      <c r="V553" s="12"/>
      <c r="W553" s="12"/>
      <c r="X553" s="12"/>
      <c r="Y553" s="12"/>
    </row>
    <row r="554" customFormat="false" ht="15.75" hidden="false" customHeight="false" outlineLevel="0" collapsed="false">
      <c r="A554" s="12"/>
      <c r="B554" s="34"/>
      <c r="C554" s="12"/>
      <c r="D554" s="12"/>
      <c r="E554" s="12"/>
      <c r="F554" s="12"/>
      <c r="G554" s="18"/>
      <c r="H554" s="35"/>
      <c r="I554" s="12"/>
      <c r="N554" s="12"/>
      <c r="O554" s="18"/>
      <c r="P554" s="12"/>
      <c r="Q554" s="12"/>
      <c r="R554" s="12"/>
      <c r="S554" s="36"/>
      <c r="T554" s="36"/>
      <c r="U554" s="12"/>
      <c r="V554" s="12"/>
      <c r="W554" s="12"/>
      <c r="X554" s="12"/>
      <c r="Y554" s="12"/>
    </row>
    <row r="555" customFormat="false" ht="15.75" hidden="false" customHeight="false" outlineLevel="0" collapsed="false">
      <c r="A555" s="12"/>
      <c r="B555" s="34"/>
      <c r="C555" s="12"/>
      <c r="D555" s="12"/>
      <c r="E555" s="12"/>
      <c r="F555" s="12"/>
      <c r="G555" s="18"/>
      <c r="H555" s="35"/>
      <c r="I555" s="12"/>
      <c r="N555" s="12"/>
      <c r="O555" s="18"/>
      <c r="P555" s="12"/>
      <c r="Q555" s="12"/>
      <c r="R555" s="12"/>
      <c r="S555" s="36"/>
      <c r="T555" s="36"/>
      <c r="U555" s="12"/>
      <c r="V555" s="12"/>
      <c r="W555" s="12"/>
      <c r="X555" s="12"/>
      <c r="Y555" s="12"/>
    </row>
    <row r="556" customFormat="false" ht="15.75" hidden="false" customHeight="false" outlineLevel="0" collapsed="false">
      <c r="A556" s="12"/>
      <c r="B556" s="34"/>
      <c r="C556" s="12"/>
      <c r="D556" s="12"/>
      <c r="E556" s="12"/>
      <c r="F556" s="12"/>
      <c r="G556" s="18"/>
      <c r="H556" s="35"/>
      <c r="I556" s="12"/>
      <c r="N556" s="12"/>
      <c r="O556" s="18"/>
      <c r="P556" s="12"/>
      <c r="Q556" s="12"/>
      <c r="R556" s="12"/>
      <c r="S556" s="36"/>
      <c r="T556" s="36"/>
      <c r="U556" s="12"/>
      <c r="V556" s="12"/>
      <c r="W556" s="12"/>
      <c r="X556" s="12"/>
      <c r="Y556" s="12"/>
    </row>
    <row r="557" customFormat="false" ht="15.75" hidden="false" customHeight="false" outlineLevel="0" collapsed="false">
      <c r="A557" s="12"/>
      <c r="B557" s="34"/>
      <c r="C557" s="12"/>
      <c r="D557" s="12"/>
      <c r="E557" s="12"/>
      <c r="F557" s="12"/>
      <c r="G557" s="18"/>
      <c r="H557" s="35"/>
      <c r="I557" s="12"/>
      <c r="N557" s="12"/>
      <c r="O557" s="18"/>
      <c r="P557" s="12"/>
      <c r="Q557" s="12"/>
      <c r="R557" s="12"/>
      <c r="S557" s="36"/>
      <c r="T557" s="36"/>
      <c r="U557" s="12"/>
      <c r="V557" s="12"/>
      <c r="W557" s="12"/>
      <c r="X557" s="12"/>
      <c r="Y557" s="12"/>
    </row>
    <row r="558" customFormat="false" ht="15.75" hidden="false" customHeight="false" outlineLevel="0" collapsed="false">
      <c r="A558" s="12"/>
      <c r="B558" s="34"/>
      <c r="C558" s="12"/>
      <c r="D558" s="12"/>
      <c r="E558" s="12"/>
      <c r="F558" s="12"/>
      <c r="G558" s="18"/>
      <c r="H558" s="35"/>
      <c r="I558" s="12"/>
      <c r="N558" s="12"/>
      <c r="O558" s="18"/>
      <c r="P558" s="12"/>
      <c r="Q558" s="12"/>
      <c r="R558" s="12"/>
      <c r="S558" s="36"/>
      <c r="T558" s="36"/>
      <c r="U558" s="12"/>
      <c r="V558" s="12"/>
      <c r="W558" s="12"/>
      <c r="X558" s="12"/>
      <c r="Y558" s="12"/>
    </row>
    <row r="559" customFormat="false" ht="15.75" hidden="false" customHeight="false" outlineLevel="0" collapsed="false">
      <c r="A559" s="12"/>
      <c r="B559" s="34"/>
      <c r="C559" s="12"/>
      <c r="D559" s="12"/>
      <c r="E559" s="12"/>
      <c r="F559" s="12"/>
      <c r="G559" s="18"/>
      <c r="H559" s="35"/>
      <c r="I559" s="12"/>
      <c r="N559" s="12"/>
      <c r="O559" s="18"/>
      <c r="P559" s="12"/>
      <c r="Q559" s="12"/>
      <c r="R559" s="12"/>
      <c r="S559" s="36"/>
      <c r="T559" s="36"/>
      <c r="U559" s="12"/>
      <c r="V559" s="12"/>
      <c r="W559" s="12"/>
      <c r="X559" s="12"/>
      <c r="Y559" s="12"/>
    </row>
    <row r="560" customFormat="false" ht="15.75" hidden="false" customHeight="false" outlineLevel="0" collapsed="false">
      <c r="A560" s="12"/>
      <c r="B560" s="34"/>
      <c r="C560" s="12"/>
      <c r="D560" s="12"/>
      <c r="E560" s="12"/>
      <c r="F560" s="12"/>
      <c r="G560" s="18"/>
      <c r="H560" s="35"/>
      <c r="I560" s="12"/>
      <c r="N560" s="12"/>
      <c r="O560" s="18"/>
      <c r="P560" s="12"/>
      <c r="Q560" s="12"/>
      <c r="R560" s="12"/>
      <c r="S560" s="36"/>
      <c r="T560" s="36"/>
      <c r="U560" s="12"/>
      <c r="V560" s="12"/>
      <c r="W560" s="12"/>
      <c r="X560" s="12"/>
      <c r="Y560" s="12"/>
    </row>
    <row r="561" customFormat="false" ht="15.75" hidden="false" customHeight="false" outlineLevel="0" collapsed="false">
      <c r="A561" s="12"/>
      <c r="B561" s="34"/>
      <c r="C561" s="12"/>
      <c r="D561" s="12"/>
      <c r="E561" s="12"/>
      <c r="F561" s="12"/>
      <c r="G561" s="18"/>
      <c r="H561" s="35"/>
      <c r="I561" s="12"/>
      <c r="N561" s="12"/>
      <c r="O561" s="18"/>
      <c r="P561" s="12"/>
      <c r="Q561" s="12"/>
      <c r="R561" s="12"/>
      <c r="S561" s="36"/>
      <c r="T561" s="36"/>
      <c r="U561" s="12"/>
      <c r="V561" s="12"/>
      <c r="W561" s="12"/>
      <c r="X561" s="12"/>
      <c r="Y561" s="12"/>
    </row>
    <row r="562" customFormat="false" ht="15.75" hidden="false" customHeight="false" outlineLevel="0" collapsed="false">
      <c r="A562" s="12"/>
      <c r="B562" s="34"/>
      <c r="C562" s="12"/>
      <c r="D562" s="12"/>
      <c r="E562" s="12"/>
      <c r="F562" s="12"/>
      <c r="G562" s="18"/>
      <c r="H562" s="35"/>
      <c r="I562" s="12"/>
      <c r="N562" s="12"/>
      <c r="O562" s="18"/>
      <c r="P562" s="12"/>
      <c r="Q562" s="12"/>
      <c r="R562" s="12"/>
      <c r="S562" s="36"/>
      <c r="T562" s="36"/>
      <c r="U562" s="12"/>
      <c r="V562" s="12"/>
      <c r="W562" s="12"/>
      <c r="X562" s="12"/>
      <c r="Y562" s="12"/>
    </row>
    <row r="563" customFormat="false" ht="15.75" hidden="false" customHeight="false" outlineLevel="0" collapsed="false">
      <c r="A563" s="12"/>
      <c r="B563" s="34"/>
      <c r="C563" s="12"/>
      <c r="D563" s="12"/>
      <c r="E563" s="12"/>
      <c r="F563" s="12"/>
      <c r="G563" s="18"/>
      <c r="H563" s="35"/>
      <c r="I563" s="12"/>
      <c r="N563" s="12"/>
      <c r="O563" s="18"/>
      <c r="P563" s="12"/>
      <c r="Q563" s="12"/>
      <c r="R563" s="12"/>
      <c r="S563" s="36"/>
      <c r="T563" s="36"/>
      <c r="U563" s="12"/>
      <c r="V563" s="12"/>
      <c r="W563" s="12"/>
      <c r="X563" s="12"/>
      <c r="Y563" s="12"/>
    </row>
    <row r="564" customFormat="false" ht="15.75" hidden="false" customHeight="false" outlineLevel="0" collapsed="false">
      <c r="A564" s="12"/>
      <c r="B564" s="34"/>
      <c r="C564" s="12"/>
      <c r="D564" s="12"/>
      <c r="E564" s="12"/>
      <c r="F564" s="12"/>
      <c r="G564" s="18"/>
      <c r="H564" s="35"/>
      <c r="I564" s="12"/>
      <c r="N564" s="12"/>
      <c r="O564" s="18"/>
      <c r="P564" s="12"/>
      <c r="Q564" s="12"/>
      <c r="R564" s="12"/>
      <c r="S564" s="36"/>
      <c r="T564" s="36"/>
      <c r="U564" s="12"/>
      <c r="V564" s="12"/>
      <c r="W564" s="12"/>
      <c r="X564" s="12"/>
      <c r="Y564" s="12"/>
    </row>
    <row r="565" customFormat="false" ht="15.75" hidden="false" customHeight="false" outlineLevel="0" collapsed="false">
      <c r="A565" s="12"/>
      <c r="B565" s="34"/>
      <c r="C565" s="12"/>
      <c r="D565" s="12"/>
      <c r="E565" s="12"/>
      <c r="F565" s="12"/>
      <c r="G565" s="18"/>
      <c r="H565" s="35"/>
      <c r="I565" s="12"/>
      <c r="N565" s="12"/>
      <c r="O565" s="18"/>
      <c r="P565" s="12"/>
      <c r="Q565" s="12"/>
      <c r="R565" s="12"/>
      <c r="S565" s="36"/>
      <c r="T565" s="36"/>
      <c r="U565" s="12"/>
      <c r="V565" s="12"/>
      <c r="W565" s="12"/>
      <c r="X565" s="12"/>
      <c r="Y565" s="12"/>
    </row>
    <row r="566" customFormat="false" ht="15.75" hidden="false" customHeight="false" outlineLevel="0" collapsed="false">
      <c r="A566" s="12"/>
      <c r="B566" s="34"/>
      <c r="C566" s="12"/>
      <c r="D566" s="12"/>
      <c r="E566" s="12"/>
      <c r="F566" s="12"/>
      <c r="G566" s="18"/>
      <c r="H566" s="35"/>
      <c r="I566" s="12"/>
      <c r="N566" s="12"/>
      <c r="O566" s="18"/>
      <c r="P566" s="12"/>
      <c r="Q566" s="12"/>
      <c r="R566" s="12"/>
      <c r="S566" s="36"/>
      <c r="T566" s="36"/>
      <c r="U566" s="12"/>
      <c r="V566" s="12"/>
      <c r="W566" s="12"/>
      <c r="X566" s="12"/>
      <c r="Y566" s="12"/>
    </row>
    <row r="567" customFormat="false" ht="15.75" hidden="false" customHeight="false" outlineLevel="0" collapsed="false">
      <c r="A567" s="12"/>
      <c r="B567" s="34"/>
      <c r="C567" s="12"/>
      <c r="D567" s="12"/>
      <c r="E567" s="12"/>
      <c r="F567" s="12"/>
      <c r="G567" s="18"/>
      <c r="H567" s="35"/>
      <c r="I567" s="12"/>
      <c r="N567" s="12"/>
      <c r="O567" s="18"/>
      <c r="P567" s="12"/>
      <c r="Q567" s="12"/>
      <c r="R567" s="12"/>
      <c r="S567" s="36"/>
      <c r="T567" s="36"/>
      <c r="U567" s="12"/>
      <c r="V567" s="12"/>
      <c r="W567" s="12"/>
      <c r="X567" s="12"/>
      <c r="Y567" s="12"/>
    </row>
    <row r="568" customFormat="false" ht="15.75" hidden="false" customHeight="false" outlineLevel="0" collapsed="false">
      <c r="A568" s="12"/>
      <c r="B568" s="34"/>
      <c r="C568" s="12"/>
      <c r="D568" s="12"/>
      <c r="E568" s="12"/>
      <c r="F568" s="12"/>
      <c r="G568" s="18"/>
      <c r="H568" s="35"/>
      <c r="I568" s="12"/>
      <c r="N568" s="12"/>
      <c r="O568" s="18"/>
      <c r="P568" s="12"/>
      <c r="Q568" s="12"/>
      <c r="R568" s="12"/>
      <c r="S568" s="36"/>
      <c r="T568" s="36"/>
      <c r="U568" s="12"/>
      <c r="V568" s="12"/>
      <c r="W568" s="12"/>
      <c r="X568" s="12"/>
      <c r="Y568" s="12"/>
    </row>
    <row r="569" customFormat="false" ht="15.75" hidden="false" customHeight="false" outlineLevel="0" collapsed="false">
      <c r="A569" s="12"/>
      <c r="B569" s="34"/>
      <c r="C569" s="12"/>
      <c r="D569" s="12"/>
      <c r="E569" s="12"/>
      <c r="F569" s="12"/>
      <c r="G569" s="18"/>
      <c r="H569" s="35"/>
      <c r="I569" s="12"/>
      <c r="N569" s="12"/>
      <c r="O569" s="18"/>
      <c r="P569" s="12"/>
      <c r="Q569" s="12"/>
      <c r="R569" s="12"/>
      <c r="S569" s="36"/>
      <c r="T569" s="36"/>
      <c r="U569" s="12"/>
      <c r="V569" s="12"/>
      <c r="W569" s="12"/>
      <c r="X569" s="12"/>
      <c r="Y569" s="12"/>
    </row>
    <row r="570" customFormat="false" ht="15.75" hidden="false" customHeight="false" outlineLevel="0" collapsed="false">
      <c r="A570" s="12"/>
      <c r="B570" s="34"/>
      <c r="C570" s="12"/>
      <c r="D570" s="12"/>
      <c r="E570" s="12"/>
      <c r="F570" s="12"/>
      <c r="G570" s="18"/>
      <c r="H570" s="35"/>
      <c r="I570" s="12"/>
      <c r="N570" s="12"/>
      <c r="O570" s="18"/>
      <c r="P570" s="12"/>
      <c r="Q570" s="12"/>
      <c r="R570" s="12"/>
      <c r="S570" s="36"/>
      <c r="T570" s="36"/>
      <c r="U570" s="12"/>
      <c r="V570" s="12"/>
      <c r="W570" s="12"/>
      <c r="X570" s="12"/>
      <c r="Y570" s="12"/>
    </row>
    <row r="571" customFormat="false" ht="15.75" hidden="false" customHeight="false" outlineLevel="0" collapsed="false">
      <c r="A571" s="12"/>
      <c r="B571" s="34"/>
      <c r="C571" s="12"/>
      <c r="D571" s="12"/>
      <c r="E571" s="12"/>
      <c r="F571" s="12"/>
      <c r="G571" s="18"/>
      <c r="H571" s="35"/>
      <c r="I571" s="12"/>
      <c r="N571" s="12"/>
      <c r="O571" s="18"/>
      <c r="P571" s="12"/>
      <c r="Q571" s="12"/>
      <c r="R571" s="12"/>
      <c r="S571" s="36"/>
      <c r="T571" s="36"/>
      <c r="U571" s="12"/>
      <c r="V571" s="12"/>
      <c r="W571" s="12"/>
      <c r="X571" s="12"/>
      <c r="Y571" s="12"/>
    </row>
    <row r="572" customFormat="false" ht="15.75" hidden="false" customHeight="false" outlineLevel="0" collapsed="false">
      <c r="A572" s="12"/>
      <c r="B572" s="34"/>
      <c r="C572" s="12"/>
      <c r="D572" s="12"/>
      <c r="E572" s="12"/>
      <c r="F572" s="12"/>
      <c r="G572" s="18"/>
      <c r="H572" s="35"/>
      <c r="I572" s="12"/>
      <c r="N572" s="12"/>
      <c r="O572" s="18"/>
      <c r="P572" s="12"/>
      <c r="Q572" s="12"/>
      <c r="R572" s="12"/>
      <c r="S572" s="36"/>
      <c r="T572" s="36"/>
      <c r="U572" s="12"/>
      <c r="V572" s="12"/>
      <c r="W572" s="12"/>
      <c r="X572" s="12"/>
      <c r="Y572" s="12"/>
    </row>
    <row r="573" customFormat="false" ht="15.75" hidden="false" customHeight="false" outlineLevel="0" collapsed="false">
      <c r="A573" s="12"/>
      <c r="B573" s="34"/>
      <c r="C573" s="12"/>
      <c r="D573" s="12"/>
      <c r="E573" s="12"/>
      <c r="F573" s="12"/>
      <c r="G573" s="18"/>
      <c r="H573" s="35"/>
      <c r="I573" s="12"/>
      <c r="N573" s="12"/>
      <c r="O573" s="18"/>
      <c r="P573" s="12"/>
      <c r="Q573" s="12"/>
      <c r="R573" s="12"/>
      <c r="S573" s="36"/>
      <c r="T573" s="36"/>
      <c r="U573" s="12"/>
      <c r="V573" s="12"/>
      <c r="W573" s="12"/>
      <c r="X573" s="12"/>
      <c r="Y573" s="12"/>
    </row>
    <row r="574" customFormat="false" ht="15.75" hidden="false" customHeight="false" outlineLevel="0" collapsed="false">
      <c r="A574" s="12"/>
      <c r="B574" s="34"/>
      <c r="C574" s="12"/>
      <c r="D574" s="12"/>
      <c r="E574" s="12"/>
      <c r="F574" s="12"/>
      <c r="G574" s="18"/>
      <c r="H574" s="35"/>
      <c r="I574" s="12"/>
      <c r="N574" s="12"/>
      <c r="O574" s="18"/>
      <c r="P574" s="12"/>
      <c r="Q574" s="12"/>
      <c r="R574" s="12"/>
      <c r="S574" s="36"/>
      <c r="T574" s="36"/>
      <c r="U574" s="12"/>
      <c r="V574" s="12"/>
      <c r="W574" s="12"/>
      <c r="X574" s="12"/>
      <c r="Y574" s="12"/>
    </row>
    <row r="575" customFormat="false" ht="15.75" hidden="false" customHeight="false" outlineLevel="0" collapsed="false">
      <c r="A575" s="12"/>
      <c r="B575" s="34"/>
      <c r="C575" s="12"/>
      <c r="D575" s="12"/>
      <c r="E575" s="12"/>
      <c r="F575" s="12"/>
      <c r="G575" s="18"/>
      <c r="H575" s="35"/>
      <c r="I575" s="12"/>
      <c r="N575" s="12"/>
      <c r="O575" s="18"/>
      <c r="P575" s="12"/>
      <c r="Q575" s="12"/>
      <c r="R575" s="12"/>
      <c r="S575" s="36"/>
      <c r="T575" s="36"/>
      <c r="U575" s="12"/>
      <c r="V575" s="12"/>
      <c r="W575" s="12"/>
      <c r="X575" s="12"/>
      <c r="Y575" s="12"/>
    </row>
    <row r="576" customFormat="false" ht="15.75" hidden="false" customHeight="false" outlineLevel="0" collapsed="false">
      <c r="A576" s="12"/>
      <c r="B576" s="34"/>
      <c r="C576" s="12"/>
      <c r="D576" s="12"/>
      <c r="E576" s="12"/>
      <c r="F576" s="12"/>
      <c r="G576" s="18"/>
      <c r="H576" s="35"/>
      <c r="I576" s="12"/>
      <c r="N576" s="12"/>
      <c r="O576" s="18"/>
      <c r="P576" s="12"/>
      <c r="Q576" s="12"/>
      <c r="R576" s="12"/>
      <c r="S576" s="36"/>
      <c r="T576" s="36"/>
      <c r="U576" s="12"/>
      <c r="V576" s="12"/>
      <c r="W576" s="12"/>
      <c r="X576" s="12"/>
      <c r="Y576" s="12"/>
    </row>
    <row r="577" customFormat="false" ht="15.75" hidden="false" customHeight="false" outlineLevel="0" collapsed="false">
      <c r="A577" s="12"/>
      <c r="B577" s="34"/>
      <c r="C577" s="12"/>
      <c r="D577" s="12"/>
      <c r="E577" s="12"/>
      <c r="F577" s="12"/>
      <c r="G577" s="18"/>
      <c r="H577" s="35"/>
      <c r="I577" s="12"/>
      <c r="N577" s="12"/>
      <c r="O577" s="18"/>
      <c r="P577" s="12"/>
      <c r="Q577" s="12"/>
      <c r="R577" s="12"/>
      <c r="S577" s="36"/>
      <c r="T577" s="36"/>
      <c r="U577" s="12"/>
      <c r="V577" s="12"/>
      <c r="W577" s="12"/>
      <c r="X577" s="12"/>
      <c r="Y577" s="12"/>
    </row>
    <row r="578" customFormat="false" ht="15.75" hidden="false" customHeight="false" outlineLevel="0" collapsed="false">
      <c r="A578" s="12"/>
      <c r="B578" s="34"/>
      <c r="C578" s="12"/>
      <c r="D578" s="12"/>
      <c r="E578" s="12"/>
      <c r="F578" s="12"/>
      <c r="G578" s="18"/>
      <c r="H578" s="35"/>
      <c r="I578" s="12"/>
      <c r="N578" s="12"/>
      <c r="O578" s="18"/>
      <c r="P578" s="12"/>
      <c r="Q578" s="12"/>
      <c r="R578" s="12"/>
      <c r="S578" s="36"/>
      <c r="T578" s="36"/>
      <c r="U578" s="12"/>
      <c r="V578" s="12"/>
      <c r="W578" s="12"/>
      <c r="X578" s="12"/>
      <c r="Y578" s="12"/>
    </row>
    <row r="579" customFormat="false" ht="15.75" hidden="false" customHeight="false" outlineLevel="0" collapsed="false">
      <c r="A579" s="12"/>
      <c r="B579" s="34"/>
      <c r="C579" s="12"/>
      <c r="D579" s="12"/>
      <c r="E579" s="12"/>
      <c r="F579" s="12"/>
      <c r="G579" s="18"/>
      <c r="H579" s="35"/>
      <c r="I579" s="12"/>
      <c r="N579" s="12"/>
      <c r="O579" s="18"/>
      <c r="P579" s="12"/>
      <c r="Q579" s="12"/>
      <c r="R579" s="12"/>
      <c r="S579" s="36"/>
      <c r="T579" s="36"/>
      <c r="U579" s="12"/>
      <c r="V579" s="12"/>
      <c r="W579" s="12"/>
      <c r="X579" s="12"/>
      <c r="Y579" s="12"/>
    </row>
    <row r="580" customFormat="false" ht="15.75" hidden="false" customHeight="false" outlineLevel="0" collapsed="false">
      <c r="A580" s="12"/>
      <c r="B580" s="34"/>
      <c r="C580" s="12"/>
      <c r="D580" s="12"/>
      <c r="E580" s="12"/>
      <c r="F580" s="12"/>
      <c r="G580" s="18"/>
      <c r="H580" s="35"/>
      <c r="I580" s="12"/>
      <c r="N580" s="12"/>
      <c r="O580" s="18"/>
      <c r="P580" s="12"/>
      <c r="Q580" s="12"/>
      <c r="R580" s="12"/>
      <c r="S580" s="36"/>
      <c r="T580" s="36"/>
      <c r="U580" s="12"/>
      <c r="V580" s="12"/>
      <c r="W580" s="12"/>
      <c r="X580" s="12"/>
      <c r="Y580" s="12"/>
    </row>
    <row r="581" customFormat="false" ht="15.75" hidden="false" customHeight="false" outlineLevel="0" collapsed="false">
      <c r="A581" s="12"/>
      <c r="B581" s="34"/>
      <c r="C581" s="12"/>
      <c r="D581" s="12"/>
      <c r="E581" s="12"/>
      <c r="F581" s="12"/>
      <c r="G581" s="18"/>
      <c r="H581" s="35"/>
      <c r="I581" s="12"/>
      <c r="N581" s="12"/>
      <c r="O581" s="18"/>
      <c r="P581" s="12"/>
      <c r="Q581" s="12"/>
      <c r="R581" s="12"/>
      <c r="S581" s="36"/>
      <c r="T581" s="36"/>
      <c r="U581" s="12"/>
      <c r="V581" s="12"/>
      <c r="W581" s="12"/>
      <c r="X581" s="12"/>
      <c r="Y581" s="12"/>
    </row>
    <row r="582" customFormat="false" ht="15.75" hidden="false" customHeight="false" outlineLevel="0" collapsed="false">
      <c r="A582" s="12"/>
      <c r="B582" s="34"/>
      <c r="C582" s="12"/>
      <c r="D582" s="12"/>
      <c r="E582" s="12"/>
      <c r="F582" s="12"/>
      <c r="G582" s="18"/>
      <c r="H582" s="35"/>
      <c r="I582" s="12"/>
      <c r="N582" s="12"/>
      <c r="O582" s="18"/>
      <c r="P582" s="12"/>
      <c r="Q582" s="12"/>
      <c r="R582" s="12"/>
      <c r="S582" s="36"/>
      <c r="T582" s="36"/>
      <c r="U582" s="12"/>
      <c r="V582" s="12"/>
      <c r="W582" s="12"/>
      <c r="X582" s="12"/>
      <c r="Y582" s="12"/>
    </row>
    <row r="583" customFormat="false" ht="15.75" hidden="false" customHeight="false" outlineLevel="0" collapsed="false">
      <c r="A583" s="12"/>
      <c r="B583" s="34"/>
      <c r="C583" s="12"/>
      <c r="D583" s="12"/>
      <c r="E583" s="12"/>
      <c r="F583" s="12"/>
      <c r="G583" s="18"/>
      <c r="H583" s="35"/>
      <c r="I583" s="12"/>
      <c r="N583" s="12"/>
      <c r="O583" s="18"/>
      <c r="P583" s="12"/>
      <c r="Q583" s="12"/>
      <c r="R583" s="12"/>
      <c r="S583" s="36"/>
      <c r="T583" s="36"/>
      <c r="U583" s="12"/>
      <c r="V583" s="12"/>
      <c r="W583" s="12"/>
      <c r="X583" s="12"/>
      <c r="Y583" s="12"/>
    </row>
    <row r="584" customFormat="false" ht="15.75" hidden="false" customHeight="false" outlineLevel="0" collapsed="false">
      <c r="A584" s="12"/>
      <c r="B584" s="34"/>
      <c r="C584" s="12"/>
      <c r="D584" s="12"/>
      <c r="E584" s="12"/>
      <c r="F584" s="12"/>
      <c r="G584" s="18"/>
      <c r="H584" s="35"/>
      <c r="I584" s="12"/>
      <c r="N584" s="12"/>
      <c r="O584" s="18"/>
      <c r="P584" s="12"/>
      <c r="Q584" s="12"/>
      <c r="R584" s="12"/>
      <c r="S584" s="36"/>
      <c r="T584" s="36"/>
      <c r="U584" s="12"/>
      <c r="V584" s="12"/>
      <c r="W584" s="12"/>
      <c r="X584" s="12"/>
      <c r="Y584" s="12"/>
    </row>
    <row r="585" customFormat="false" ht="15.75" hidden="false" customHeight="false" outlineLevel="0" collapsed="false">
      <c r="A585" s="12"/>
      <c r="B585" s="34"/>
      <c r="C585" s="12"/>
      <c r="D585" s="12"/>
      <c r="E585" s="12"/>
      <c r="F585" s="12"/>
      <c r="G585" s="18"/>
      <c r="H585" s="35"/>
      <c r="I585" s="12"/>
      <c r="N585" s="12"/>
      <c r="O585" s="18"/>
      <c r="P585" s="12"/>
      <c r="Q585" s="12"/>
      <c r="R585" s="12"/>
      <c r="S585" s="36"/>
      <c r="T585" s="36"/>
      <c r="U585" s="12"/>
      <c r="V585" s="12"/>
      <c r="W585" s="12"/>
      <c r="X585" s="12"/>
      <c r="Y585" s="12"/>
    </row>
    <row r="586" customFormat="false" ht="15.75" hidden="false" customHeight="false" outlineLevel="0" collapsed="false">
      <c r="A586" s="12"/>
      <c r="B586" s="34"/>
      <c r="C586" s="12"/>
      <c r="D586" s="12"/>
      <c r="E586" s="12"/>
      <c r="F586" s="12"/>
      <c r="G586" s="18"/>
      <c r="H586" s="35"/>
      <c r="I586" s="12"/>
      <c r="N586" s="12"/>
      <c r="O586" s="18"/>
      <c r="P586" s="12"/>
      <c r="Q586" s="12"/>
      <c r="R586" s="12"/>
      <c r="S586" s="36"/>
      <c r="T586" s="36"/>
      <c r="U586" s="12"/>
      <c r="V586" s="12"/>
      <c r="W586" s="12"/>
      <c r="X586" s="12"/>
      <c r="Y586" s="12"/>
    </row>
    <row r="587" customFormat="false" ht="15.75" hidden="false" customHeight="false" outlineLevel="0" collapsed="false">
      <c r="A587" s="12"/>
      <c r="B587" s="34"/>
      <c r="C587" s="12"/>
      <c r="D587" s="12"/>
      <c r="E587" s="12"/>
      <c r="F587" s="12"/>
      <c r="G587" s="18"/>
      <c r="H587" s="35"/>
      <c r="I587" s="12"/>
      <c r="N587" s="12"/>
      <c r="O587" s="18"/>
      <c r="P587" s="12"/>
      <c r="Q587" s="12"/>
      <c r="R587" s="12"/>
      <c r="S587" s="36"/>
      <c r="T587" s="36"/>
      <c r="U587" s="12"/>
      <c r="V587" s="12"/>
      <c r="W587" s="12"/>
      <c r="X587" s="12"/>
      <c r="Y587" s="12"/>
    </row>
    <row r="588" customFormat="false" ht="15.75" hidden="false" customHeight="false" outlineLevel="0" collapsed="false">
      <c r="A588" s="12"/>
      <c r="B588" s="34"/>
      <c r="C588" s="12"/>
      <c r="D588" s="12"/>
      <c r="E588" s="12"/>
      <c r="F588" s="12"/>
      <c r="G588" s="18"/>
      <c r="H588" s="35"/>
      <c r="I588" s="12"/>
      <c r="N588" s="12"/>
      <c r="O588" s="18"/>
      <c r="P588" s="12"/>
      <c r="Q588" s="12"/>
      <c r="R588" s="12"/>
      <c r="S588" s="36"/>
      <c r="T588" s="36"/>
      <c r="U588" s="12"/>
      <c r="V588" s="12"/>
      <c r="W588" s="12"/>
      <c r="X588" s="12"/>
      <c r="Y588" s="12"/>
    </row>
    <row r="589" customFormat="false" ht="15.75" hidden="false" customHeight="false" outlineLevel="0" collapsed="false">
      <c r="A589" s="12"/>
      <c r="B589" s="34"/>
      <c r="C589" s="12"/>
      <c r="D589" s="12"/>
      <c r="E589" s="12"/>
      <c r="F589" s="12"/>
      <c r="G589" s="18"/>
      <c r="H589" s="35"/>
      <c r="I589" s="12"/>
      <c r="N589" s="12"/>
      <c r="O589" s="18"/>
      <c r="P589" s="12"/>
      <c r="Q589" s="12"/>
      <c r="R589" s="12"/>
      <c r="S589" s="36"/>
      <c r="T589" s="36"/>
      <c r="U589" s="12"/>
      <c r="V589" s="12"/>
      <c r="W589" s="12"/>
      <c r="X589" s="12"/>
      <c r="Y589" s="12"/>
    </row>
    <row r="590" customFormat="false" ht="15.75" hidden="false" customHeight="false" outlineLevel="0" collapsed="false">
      <c r="A590" s="12"/>
      <c r="B590" s="34"/>
      <c r="C590" s="12"/>
      <c r="D590" s="12"/>
      <c r="E590" s="12"/>
      <c r="F590" s="12"/>
      <c r="G590" s="18"/>
      <c r="H590" s="35"/>
      <c r="I590" s="12"/>
      <c r="N590" s="12"/>
      <c r="O590" s="18"/>
      <c r="P590" s="12"/>
      <c r="Q590" s="12"/>
      <c r="R590" s="12"/>
      <c r="S590" s="36"/>
      <c r="T590" s="36"/>
      <c r="U590" s="12"/>
      <c r="V590" s="12"/>
      <c r="W590" s="12"/>
      <c r="X590" s="12"/>
      <c r="Y590" s="12"/>
    </row>
    <row r="591" customFormat="false" ht="15.75" hidden="false" customHeight="false" outlineLevel="0" collapsed="false">
      <c r="A591" s="12"/>
      <c r="B591" s="34"/>
      <c r="C591" s="12"/>
      <c r="D591" s="12"/>
      <c r="E591" s="12"/>
      <c r="F591" s="12"/>
      <c r="G591" s="18"/>
      <c r="H591" s="35"/>
      <c r="I591" s="12"/>
      <c r="N591" s="12"/>
      <c r="O591" s="18"/>
      <c r="P591" s="12"/>
      <c r="Q591" s="12"/>
      <c r="R591" s="12"/>
      <c r="S591" s="36"/>
      <c r="T591" s="36"/>
      <c r="U591" s="12"/>
      <c r="V591" s="12"/>
      <c r="W591" s="12"/>
      <c r="X591" s="12"/>
      <c r="Y591" s="12"/>
    </row>
    <row r="592" customFormat="false" ht="15.75" hidden="false" customHeight="false" outlineLevel="0" collapsed="false">
      <c r="A592" s="12"/>
      <c r="B592" s="34"/>
      <c r="C592" s="12"/>
      <c r="D592" s="12"/>
      <c r="E592" s="12"/>
      <c r="F592" s="12"/>
      <c r="G592" s="18"/>
      <c r="H592" s="35"/>
      <c r="I592" s="12"/>
      <c r="N592" s="12"/>
      <c r="O592" s="18"/>
      <c r="P592" s="12"/>
      <c r="Q592" s="12"/>
      <c r="R592" s="12"/>
      <c r="S592" s="36"/>
      <c r="T592" s="36"/>
      <c r="U592" s="12"/>
      <c r="V592" s="12"/>
      <c r="W592" s="12"/>
      <c r="X592" s="12"/>
      <c r="Y592" s="12"/>
    </row>
    <row r="593" customFormat="false" ht="15.75" hidden="false" customHeight="false" outlineLevel="0" collapsed="false">
      <c r="A593" s="12"/>
      <c r="B593" s="34"/>
      <c r="C593" s="12"/>
      <c r="D593" s="12"/>
      <c r="E593" s="12"/>
      <c r="F593" s="12"/>
      <c r="G593" s="18"/>
      <c r="H593" s="35"/>
      <c r="I593" s="12"/>
      <c r="N593" s="12"/>
      <c r="O593" s="18"/>
      <c r="P593" s="12"/>
      <c r="Q593" s="12"/>
      <c r="R593" s="12"/>
      <c r="S593" s="36"/>
      <c r="T593" s="36"/>
      <c r="U593" s="12"/>
      <c r="V593" s="12"/>
      <c r="W593" s="12"/>
      <c r="X593" s="12"/>
      <c r="Y593" s="12"/>
    </row>
    <row r="594" customFormat="false" ht="15.75" hidden="false" customHeight="false" outlineLevel="0" collapsed="false">
      <c r="A594" s="12"/>
      <c r="B594" s="34"/>
      <c r="C594" s="12"/>
      <c r="D594" s="12"/>
      <c r="E594" s="12"/>
      <c r="F594" s="12"/>
      <c r="G594" s="18"/>
      <c r="H594" s="35"/>
      <c r="I594" s="12"/>
      <c r="N594" s="12"/>
      <c r="O594" s="18"/>
      <c r="P594" s="12"/>
      <c r="Q594" s="12"/>
      <c r="R594" s="12"/>
      <c r="S594" s="36"/>
      <c r="T594" s="36"/>
      <c r="U594" s="12"/>
      <c r="V594" s="12"/>
      <c r="W594" s="12"/>
      <c r="X594" s="12"/>
      <c r="Y594" s="12"/>
    </row>
    <row r="595" customFormat="false" ht="15.75" hidden="false" customHeight="false" outlineLevel="0" collapsed="false">
      <c r="A595" s="12"/>
      <c r="B595" s="34"/>
      <c r="C595" s="12"/>
      <c r="D595" s="12"/>
      <c r="E595" s="12"/>
      <c r="F595" s="12"/>
      <c r="G595" s="18"/>
      <c r="H595" s="35"/>
      <c r="I595" s="12"/>
      <c r="N595" s="12"/>
      <c r="O595" s="18"/>
      <c r="P595" s="12"/>
      <c r="Q595" s="12"/>
      <c r="R595" s="12"/>
      <c r="S595" s="36"/>
      <c r="T595" s="36"/>
      <c r="U595" s="12"/>
      <c r="V595" s="12"/>
      <c r="W595" s="12"/>
      <c r="X595" s="12"/>
      <c r="Y595" s="12"/>
    </row>
    <row r="596" customFormat="false" ht="15.75" hidden="false" customHeight="false" outlineLevel="0" collapsed="false">
      <c r="A596" s="12"/>
      <c r="B596" s="34"/>
      <c r="C596" s="12"/>
      <c r="D596" s="12"/>
      <c r="E596" s="12"/>
      <c r="F596" s="12"/>
      <c r="G596" s="18"/>
      <c r="H596" s="35"/>
      <c r="I596" s="12"/>
      <c r="N596" s="12"/>
      <c r="O596" s="18"/>
      <c r="P596" s="12"/>
      <c r="Q596" s="12"/>
      <c r="R596" s="12"/>
      <c r="S596" s="36"/>
      <c r="T596" s="36"/>
      <c r="U596" s="12"/>
      <c r="V596" s="12"/>
      <c r="W596" s="12"/>
      <c r="X596" s="12"/>
      <c r="Y596" s="12"/>
    </row>
    <row r="597" customFormat="false" ht="15.75" hidden="false" customHeight="false" outlineLevel="0" collapsed="false">
      <c r="A597" s="12"/>
      <c r="B597" s="34"/>
      <c r="C597" s="12"/>
      <c r="D597" s="12"/>
      <c r="E597" s="12"/>
      <c r="F597" s="12"/>
      <c r="G597" s="18"/>
      <c r="H597" s="35"/>
      <c r="I597" s="12"/>
      <c r="N597" s="12"/>
      <c r="O597" s="18"/>
      <c r="P597" s="12"/>
      <c r="Q597" s="12"/>
      <c r="R597" s="12"/>
      <c r="S597" s="36"/>
      <c r="T597" s="36"/>
      <c r="U597" s="12"/>
      <c r="V597" s="12"/>
      <c r="W597" s="12"/>
      <c r="X597" s="12"/>
      <c r="Y597" s="12"/>
    </row>
    <row r="598" customFormat="false" ht="15.75" hidden="false" customHeight="false" outlineLevel="0" collapsed="false">
      <c r="A598" s="12"/>
      <c r="B598" s="34"/>
      <c r="C598" s="12"/>
      <c r="D598" s="12"/>
      <c r="E598" s="12"/>
      <c r="F598" s="12"/>
      <c r="G598" s="18"/>
      <c r="H598" s="35"/>
      <c r="I598" s="12"/>
      <c r="N598" s="12"/>
      <c r="O598" s="18"/>
      <c r="P598" s="12"/>
      <c r="Q598" s="12"/>
      <c r="R598" s="12"/>
      <c r="S598" s="36"/>
      <c r="T598" s="36"/>
      <c r="U598" s="12"/>
      <c r="V598" s="12"/>
      <c r="W598" s="12"/>
      <c r="X598" s="12"/>
      <c r="Y598" s="12"/>
    </row>
    <row r="599" customFormat="false" ht="15.75" hidden="false" customHeight="false" outlineLevel="0" collapsed="false">
      <c r="A599" s="12"/>
      <c r="B599" s="34"/>
      <c r="C599" s="12"/>
      <c r="D599" s="12"/>
      <c r="E599" s="12"/>
      <c r="F599" s="12"/>
      <c r="G599" s="18"/>
      <c r="H599" s="35"/>
      <c r="I599" s="12"/>
      <c r="N599" s="12"/>
      <c r="O599" s="18"/>
      <c r="P599" s="12"/>
      <c r="Q599" s="12"/>
      <c r="R599" s="12"/>
      <c r="S599" s="36"/>
      <c r="T599" s="36"/>
      <c r="U599" s="12"/>
      <c r="V599" s="12"/>
      <c r="W599" s="12"/>
      <c r="X599" s="12"/>
      <c r="Y599" s="12"/>
    </row>
    <row r="600" customFormat="false" ht="15.75" hidden="false" customHeight="false" outlineLevel="0" collapsed="false">
      <c r="A600" s="12"/>
      <c r="B600" s="34"/>
      <c r="C600" s="12"/>
      <c r="D600" s="12"/>
      <c r="E600" s="12"/>
      <c r="F600" s="12"/>
      <c r="G600" s="18"/>
      <c r="H600" s="35"/>
      <c r="I600" s="12"/>
      <c r="N600" s="12"/>
      <c r="O600" s="18"/>
      <c r="P600" s="12"/>
      <c r="Q600" s="12"/>
      <c r="R600" s="12"/>
      <c r="S600" s="36"/>
      <c r="T600" s="36"/>
      <c r="U600" s="12"/>
      <c r="V600" s="12"/>
      <c r="W600" s="12"/>
      <c r="X600" s="12"/>
      <c r="Y600" s="12"/>
    </row>
    <row r="601" customFormat="false" ht="15.75" hidden="false" customHeight="false" outlineLevel="0" collapsed="false">
      <c r="A601" s="12"/>
      <c r="B601" s="34"/>
      <c r="C601" s="12"/>
      <c r="D601" s="12"/>
      <c r="E601" s="12"/>
      <c r="F601" s="12"/>
      <c r="G601" s="18"/>
      <c r="H601" s="35"/>
      <c r="I601" s="12"/>
      <c r="N601" s="12"/>
      <c r="O601" s="18"/>
      <c r="P601" s="12"/>
      <c r="Q601" s="12"/>
      <c r="R601" s="12"/>
      <c r="S601" s="36"/>
      <c r="T601" s="36"/>
      <c r="U601" s="12"/>
      <c r="V601" s="12"/>
      <c r="W601" s="12"/>
      <c r="X601" s="12"/>
      <c r="Y601" s="12"/>
    </row>
    <row r="602" customFormat="false" ht="15.75" hidden="false" customHeight="false" outlineLevel="0" collapsed="false">
      <c r="A602" s="12"/>
      <c r="B602" s="34"/>
      <c r="C602" s="12"/>
      <c r="D602" s="12"/>
      <c r="E602" s="12"/>
      <c r="F602" s="12"/>
      <c r="G602" s="18"/>
      <c r="H602" s="35"/>
      <c r="I602" s="12"/>
      <c r="N602" s="12"/>
      <c r="O602" s="18"/>
      <c r="P602" s="12"/>
      <c r="Q602" s="12"/>
      <c r="R602" s="12"/>
      <c r="S602" s="36"/>
      <c r="T602" s="36"/>
      <c r="U602" s="12"/>
      <c r="V602" s="12"/>
      <c r="W602" s="12"/>
      <c r="X602" s="12"/>
      <c r="Y602" s="12"/>
    </row>
    <row r="603" customFormat="false" ht="15.75" hidden="false" customHeight="false" outlineLevel="0" collapsed="false">
      <c r="A603" s="12"/>
      <c r="B603" s="34"/>
      <c r="C603" s="12"/>
      <c r="D603" s="12"/>
      <c r="E603" s="12"/>
      <c r="F603" s="12"/>
      <c r="G603" s="18"/>
      <c r="H603" s="35"/>
      <c r="I603" s="12"/>
      <c r="N603" s="12"/>
      <c r="O603" s="18"/>
      <c r="P603" s="12"/>
      <c r="Q603" s="12"/>
      <c r="R603" s="12"/>
      <c r="S603" s="36"/>
      <c r="T603" s="36"/>
      <c r="U603" s="12"/>
      <c r="V603" s="12"/>
      <c r="W603" s="12"/>
      <c r="X603" s="12"/>
      <c r="Y603" s="12"/>
    </row>
    <row r="604" customFormat="false" ht="15.75" hidden="false" customHeight="false" outlineLevel="0" collapsed="false">
      <c r="A604" s="12"/>
      <c r="B604" s="34"/>
      <c r="C604" s="12"/>
      <c r="D604" s="12"/>
      <c r="E604" s="12"/>
      <c r="F604" s="12"/>
      <c r="G604" s="18"/>
      <c r="H604" s="35"/>
      <c r="I604" s="12"/>
      <c r="N604" s="12"/>
      <c r="O604" s="18"/>
      <c r="P604" s="12"/>
      <c r="Q604" s="12"/>
      <c r="R604" s="12"/>
      <c r="S604" s="36"/>
      <c r="T604" s="36"/>
      <c r="U604" s="12"/>
      <c r="V604" s="12"/>
      <c r="W604" s="12"/>
      <c r="X604" s="12"/>
      <c r="Y604" s="12"/>
    </row>
    <row r="605" customFormat="false" ht="15.75" hidden="false" customHeight="false" outlineLevel="0" collapsed="false">
      <c r="A605" s="12"/>
      <c r="B605" s="34"/>
      <c r="C605" s="12"/>
      <c r="D605" s="12"/>
      <c r="E605" s="12"/>
      <c r="F605" s="12"/>
      <c r="G605" s="18"/>
      <c r="H605" s="35"/>
      <c r="I605" s="12"/>
      <c r="N605" s="12"/>
      <c r="O605" s="18"/>
      <c r="P605" s="12"/>
      <c r="Q605" s="12"/>
      <c r="R605" s="12"/>
      <c r="S605" s="36"/>
      <c r="T605" s="36"/>
      <c r="U605" s="12"/>
      <c r="V605" s="12"/>
      <c r="W605" s="12"/>
      <c r="X605" s="12"/>
      <c r="Y605" s="12"/>
    </row>
    <row r="606" customFormat="false" ht="15.75" hidden="false" customHeight="false" outlineLevel="0" collapsed="false">
      <c r="A606" s="12"/>
      <c r="B606" s="34"/>
      <c r="C606" s="12"/>
      <c r="D606" s="12"/>
      <c r="E606" s="12"/>
      <c r="F606" s="12"/>
      <c r="G606" s="18"/>
      <c r="H606" s="35"/>
      <c r="I606" s="12"/>
      <c r="N606" s="12"/>
      <c r="O606" s="18"/>
      <c r="P606" s="12"/>
      <c r="Q606" s="12"/>
      <c r="R606" s="12"/>
      <c r="S606" s="36"/>
      <c r="T606" s="36"/>
      <c r="U606" s="12"/>
      <c r="V606" s="12"/>
      <c r="W606" s="12"/>
      <c r="X606" s="12"/>
      <c r="Y606" s="12"/>
    </row>
    <row r="607" customFormat="false" ht="15.75" hidden="false" customHeight="false" outlineLevel="0" collapsed="false">
      <c r="A607" s="12"/>
      <c r="B607" s="34"/>
      <c r="C607" s="12"/>
      <c r="D607" s="12"/>
      <c r="E607" s="12"/>
      <c r="F607" s="12"/>
      <c r="G607" s="18"/>
      <c r="H607" s="35"/>
      <c r="I607" s="12"/>
      <c r="N607" s="12"/>
      <c r="O607" s="18"/>
      <c r="P607" s="12"/>
      <c r="Q607" s="12"/>
      <c r="R607" s="12"/>
      <c r="S607" s="36"/>
      <c r="T607" s="36"/>
      <c r="U607" s="12"/>
      <c r="V607" s="12"/>
      <c r="W607" s="12"/>
      <c r="X607" s="12"/>
      <c r="Y607" s="12"/>
    </row>
    <row r="608" customFormat="false" ht="15.75" hidden="false" customHeight="false" outlineLevel="0" collapsed="false">
      <c r="A608" s="12"/>
      <c r="B608" s="34"/>
      <c r="C608" s="12"/>
      <c r="D608" s="12"/>
      <c r="E608" s="12"/>
      <c r="F608" s="12"/>
      <c r="G608" s="18"/>
      <c r="H608" s="35"/>
      <c r="I608" s="12"/>
      <c r="N608" s="12"/>
      <c r="O608" s="18"/>
      <c r="P608" s="12"/>
      <c r="Q608" s="12"/>
      <c r="R608" s="12"/>
      <c r="S608" s="36"/>
      <c r="T608" s="36"/>
      <c r="U608" s="12"/>
      <c r="V608" s="12"/>
      <c r="W608" s="12"/>
      <c r="X608" s="12"/>
      <c r="Y608" s="12"/>
    </row>
    <row r="609" customFormat="false" ht="15.75" hidden="false" customHeight="false" outlineLevel="0" collapsed="false">
      <c r="A609" s="12"/>
      <c r="B609" s="34"/>
      <c r="C609" s="12"/>
      <c r="D609" s="12"/>
      <c r="E609" s="12"/>
      <c r="F609" s="12"/>
      <c r="G609" s="18"/>
      <c r="H609" s="35"/>
      <c r="I609" s="12"/>
      <c r="N609" s="12"/>
      <c r="O609" s="18"/>
      <c r="P609" s="12"/>
      <c r="Q609" s="12"/>
      <c r="R609" s="12"/>
      <c r="S609" s="36"/>
      <c r="T609" s="36"/>
      <c r="U609" s="12"/>
      <c r="V609" s="12"/>
      <c r="W609" s="12"/>
      <c r="X609" s="12"/>
      <c r="Y609" s="12"/>
    </row>
    <row r="610" customFormat="false" ht="15.75" hidden="false" customHeight="false" outlineLevel="0" collapsed="false">
      <c r="A610" s="12"/>
      <c r="B610" s="34"/>
      <c r="C610" s="12"/>
      <c r="D610" s="12"/>
      <c r="E610" s="12"/>
      <c r="F610" s="12"/>
      <c r="G610" s="18"/>
      <c r="H610" s="35"/>
      <c r="I610" s="12"/>
      <c r="N610" s="12"/>
      <c r="O610" s="18"/>
      <c r="P610" s="12"/>
      <c r="Q610" s="12"/>
      <c r="R610" s="12"/>
      <c r="S610" s="36"/>
      <c r="T610" s="36"/>
      <c r="U610" s="12"/>
      <c r="V610" s="12"/>
      <c r="W610" s="12"/>
      <c r="X610" s="12"/>
      <c r="Y610" s="12"/>
    </row>
    <row r="611" customFormat="false" ht="15.75" hidden="false" customHeight="false" outlineLevel="0" collapsed="false">
      <c r="A611" s="12"/>
      <c r="B611" s="34"/>
      <c r="C611" s="12"/>
      <c r="D611" s="12"/>
      <c r="E611" s="12"/>
      <c r="F611" s="12"/>
      <c r="G611" s="18"/>
      <c r="H611" s="35"/>
      <c r="I611" s="12"/>
      <c r="N611" s="12"/>
      <c r="O611" s="18"/>
      <c r="P611" s="12"/>
      <c r="Q611" s="12"/>
      <c r="R611" s="12"/>
      <c r="S611" s="36"/>
      <c r="T611" s="36"/>
      <c r="U611" s="12"/>
      <c r="V611" s="12"/>
      <c r="W611" s="12"/>
      <c r="X611" s="12"/>
      <c r="Y611" s="12"/>
    </row>
    <row r="612" customFormat="false" ht="15.75" hidden="false" customHeight="false" outlineLevel="0" collapsed="false">
      <c r="A612" s="12"/>
      <c r="B612" s="34"/>
      <c r="C612" s="12"/>
      <c r="D612" s="12"/>
      <c r="E612" s="12"/>
      <c r="F612" s="12"/>
      <c r="G612" s="18"/>
      <c r="H612" s="35"/>
      <c r="I612" s="12"/>
      <c r="N612" s="12"/>
      <c r="O612" s="18"/>
      <c r="P612" s="12"/>
      <c r="Q612" s="12"/>
      <c r="R612" s="12"/>
      <c r="S612" s="36"/>
      <c r="T612" s="36"/>
      <c r="U612" s="12"/>
      <c r="V612" s="12"/>
      <c r="W612" s="12"/>
      <c r="X612" s="12"/>
      <c r="Y612" s="12"/>
    </row>
    <row r="613" customFormat="false" ht="15.75" hidden="false" customHeight="false" outlineLevel="0" collapsed="false">
      <c r="A613" s="12"/>
      <c r="B613" s="34"/>
      <c r="C613" s="12"/>
      <c r="D613" s="12"/>
      <c r="E613" s="12"/>
      <c r="F613" s="12"/>
      <c r="G613" s="18"/>
      <c r="H613" s="35"/>
      <c r="I613" s="12"/>
      <c r="N613" s="12"/>
      <c r="O613" s="18"/>
      <c r="P613" s="12"/>
      <c r="Q613" s="12"/>
      <c r="R613" s="12"/>
      <c r="S613" s="36"/>
      <c r="T613" s="36"/>
      <c r="U613" s="12"/>
      <c r="V613" s="12"/>
      <c r="W613" s="12"/>
      <c r="X613" s="12"/>
      <c r="Y613" s="12"/>
    </row>
    <row r="614" customFormat="false" ht="15.75" hidden="false" customHeight="false" outlineLevel="0" collapsed="false">
      <c r="A614" s="12"/>
      <c r="B614" s="34"/>
      <c r="C614" s="12"/>
      <c r="D614" s="12"/>
      <c r="E614" s="12"/>
      <c r="F614" s="12"/>
      <c r="G614" s="18"/>
      <c r="H614" s="35"/>
      <c r="I614" s="12"/>
      <c r="N614" s="12"/>
      <c r="O614" s="18"/>
      <c r="P614" s="12"/>
      <c r="Q614" s="12"/>
      <c r="R614" s="12"/>
      <c r="S614" s="36"/>
      <c r="T614" s="36"/>
      <c r="U614" s="12"/>
      <c r="V614" s="12"/>
      <c r="W614" s="12"/>
      <c r="X614" s="12"/>
      <c r="Y614" s="12"/>
    </row>
    <row r="615" customFormat="false" ht="15.75" hidden="false" customHeight="false" outlineLevel="0" collapsed="false">
      <c r="A615" s="12"/>
      <c r="B615" s="34"/>
      <c r="C615" s="12"/>
      <c r="D615" s="12"/>
      <c r="E615" s="12"/>
      <c r="F615" s="12"/>
      <c r="G615" s="18"/>
      <c r="H615" s="35"/>
      <c r="I615" s="12"/>
      <c r="N615" s="12"/>
      <c r="O615" s="18"/>
      <c r="P615" s="12"/>
      <c r="Q615" s="12"/>
      <c r="R615" s="12"/>
      <c r="S615" s="36"/>
      <c r="T615" s="36"/>
      <c r="U615" s="12"/>
      <c r="V615" s="12"/>
      <c r="W615" s="12"/>
      <c r="X615" s="12"/>
      <c r="Y615" s="12"/>
    </row>
    <row r="616" customFormat="false" ht="15.75" hidden="false" customHeight="false" outlineLevel="0" collapsed="false">
      <c r="A616" s="12"/>
      <c r="B616" s="34"/>
      <c r="C616" s="12"/>
      <c r="D616" s="12"/>
      <c r="E616" s="12"/>
      <c r="F616" s="12"/>
      <c r="G616" s="18"/>
      <c r="H616" s="35"/>
      <c r="I616" s="12"/>
      <c r="N616" s="12"/>
      <c r="O616" s="18"/>
      <c r="P616" s="12"/>
      <c r="Q616" s="12"/>
      <c r="R616" s="12"/>
      <c r="S616" s="36"/>
      <c r="T616" s="36"/>
      <c r="U616" s="12"/>
      <c r="V616" s="12"/>
      <c r="W616" s="12"/>
      <c r="X616" s="12"/>
      <c r="Y616" s="12"/>
    </row>
    <row r="617" customFormat="false" ht="15.75" hidden="false" customHeight="false" outlineLevel="0" collapsed="false">
      <c r="A617" s="12"/>
      <c r="B617" s="34"/>
      <c r="C617" s="12"/>
      <c r="D617" s="12"/>
      <c r="E617" s="12"/>
      <c r="F617" s="12"/>
      <c r="G617" s="18"/>
      <c r="H617" s="35"/>
      <c r="I617" s="12"/>
      <c r="N617" s="12"/>
      <c r="O617" s="18"/>
      <c r="P617" s="12"/>
      <c r="Q617" s="12"/>
      <c r="R617" s="12"/>
      <c r="S617" s="36"/>
      <c r="T617" s="36"/>
      <c r="U617" s="12"/>
      <c r="V617" s="12"/>
      <c r="W617" s="12"/>
      <c r="X617" s="12"/>
      <c r="Y617" s="12"/>
    </row>
    <row r="618" customFormat="false" ht="15.75" hidden="false" customHeight="false" outlineLevel="0" collapsed="false">
      <c r="A618" s="12"/>
      <c r="B618" s="34"/>
      <c r="C618" s="12"/>
      <c r="D618" s="12"/>
      <c r="E618" s="12"/>
      <c r="F618" s="12"/>
      <c r="G618" s="18"/>
      <c r="H618" s="35"/>
      <c r="I618" s="12"/>
      <c r="N618" s="12"/>
      <c r="O618" s="18"/>
      <c r="P618" s="12"/>
      <c r="Q618" s="12"/>
      <c r="R618" s="12"/>
      <c r="S618" s="36"/>
      <c r="T618" s="36"/>
      <c r="U618" s="12"/>
      <c r="V618" s="12"/>
      <c r="W618" s="12"/>
      <c r="X618" s="12"/>
      <c r="Y618" s="12"/>
    </row>
    <row r="619" customFormat="false" ht="15.75" hidden="false" customHeight="false" outlineLevel="0" collapsed="false">
      <c r="A619" s="12"/>
      <c r="B619" s="34"/>
      <c r="C619" s="12"/>
      <c r="D619" s="12"/>
      <c r="E619" s="12"/>
      <c r="F619" s="12"/>
      <c r="G619" s="18"/>
      <c r="H619" s="35"/>
      <c r="I619" s="12"/>
      <c r="N619" s="12"/>
      <c r="O619" s="18"/>
      <c r="P619" s="12"/>
      <c r="Q619" s="12"/>
      <c r="R619" s="12"/>
      <c r="S619" s="36"/>
      <c r="T619" s="36"/>
      <c r="U619" s="12"/>
      <c r="V619" s="12"/>
      <c r="W619" s="12"/>
      <c r="X619" s="12"/>
      <c r="Y619" s="12"/>
    </row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AF76"/>
  <conditionalFormatting sqref="S2:T619 Q73">
    <cfRule type="expression" priority="2" aboveAverage="0" equalAverage="0" bottom="0" percent="0" rank="0" text="" dxfId="0">
      <formula>LEN(TRIM(#ref!))&gt;0</formula>
    </cfRule>
  </conditionalFormatting>
  <conditionalFormatting sqref="R2:R3 R5:R58 R61:R619">
    <cfRule type="expression" priority="3" aboveAverage="0" equalAverage="0" bottom="0" percent="0" rank="0" text="" dxfId="0">
      <formula>LEN(TRIM(R2))&gt;0</formula>
    </cfRule>
  </conditionalFormatting>
  <conditionalFormatting sqref="G2:G619 O2:O619">
    <cfRule type="containsText" priority="4" operator="containsText" aboveAverage="0" equalAverage="0" bottom="0" percent="0" rank="0" text="x" dxfId="0">
      <formula>NOT(ISERROR(SEARCH("x",G2)))</formula>
    </cfRule>
  </conditionalFormatting>
  <conditionalFormatting sqref="U2:U619">
    <cfRule type="expression" priority="5" aboveAverage="0" equalAverage="0" bottom="0" percent="0" rank="0" text="" dxfId="0">
      <formula>LEN(TRIM(U2))&gt;0</formula>
    </cfRule>
  </conditionalFormatting>
  <conditionalFormatting sqref="X2:X619">
    <cfRule type="expression" priority="6" aboveAverage="0" equalAverage="0" bottom="0" percent="0" rank="0" text="" dxfId="0">
      <formula>LEN(TRIM(X2))&gt;0</formula>
    </cfRule>
  </conditionalFormatting>
  <conditionalFormatting sqref="Y2:Y619 Q29">
    <cfRule type="cellIs" priority="7" operator="equal" aboveAverage="0" equalAverage="0" bottom="0" percent="0" rank="0" text="" dxfId="0">
      <formula>"Completo"</formula>
    </cfRule>
    <cfRule type="cellIs" priority="8" operator="equal" aboveAverage="0" equalAverage="0" bottom="0" percent="0" rank="0" text="" dxfId="1">
      <formula>"No aplica"</formula>
    </cfRule>
  </conditionalFormatting>
  <conditionalFormatting sqref="G2:I619 P2:P619 Q2:Q72 V2:W619 Y2:Y619 Q74:Q619">
    <cfRule type="cellIs" priority="9" operator="equal" aboveAverage="0" equalAverage="0" bottom="0" percent="0" rank="0" text="" dxfId="0">
      <formula>"Completo"</formula>
    </cfRule>
    <cfRule type="cellIs" priority="10" operator="equal" aboveAverage="0" equalAverage="0" bottom="0" percent="0" rank="0" text="" dxfId="1">
      <formula>"No Aplica"</formula>
    </cfRule>
  </conditionalFormatting>
  <dataValidations count="5">
    <dataValidation allowBlank="true" errorStyle="stop" operator="between" showDropDown="false" showErrorMessage="false" showInputMessage="false" sqref="U2:U619" type="list">
      <formula1>LEYENDA!$A$23:$A$24</formula1>
      <formula2>0</formula2>
    </dataValidation>
    <dataValidation allowBlank="true" errorStyle="stop" operator="between" showDropDown="false" showErrorMessage="false" showInputMessage="false" sqref="S2:S74 Q73 S75:S619" type="list">
      <formula1>LEYENDA!$A$15:$A$21</formula1>
      <formula2>0</formula2>
    </dataValidation>
    <dataValidation allowBlank="true" errorStyle="stop" operator="between" showDropDown="false" showErrorMessage="true" showInputMessage="false" sqref="D2:D619" type="list">
      <formula1>LEYENDA!$B$2:$D$2</formula1>
      <formula2>0</formula2>
    </dataValidation>
    <dataValidation allowBlank="true" errorStyle="stop" operator="between" showDropDown="false" showErrorMessage="true" showInputMessage="false" sqref="H2:I619 P2:Q72 V2:W619 Y2:Y619 P73 P74:Q619" type="list">
      <formula1>LEYENDA!$B$1:$C$1</formula1>
      <formula2>0</formula2>
    </dataValidation>
    <dataValidation allowBlank="true" errorStyle="stop" operator="between" showDropDown="false" showErrorMessage="false" showInputMessage="false" sqref="E2:E619" type="list">
      <formula1>LEYENDA!$A$8:$A$12</formula1>
      <formula2>0</formula2>
    </dataValidation>
  </dataValidations>
  <hyperlinks>
    <hyperlink ref="H2" r:id="rId1" display="Completo"/>
    <hyperlink ref="H3" r:id="rId2" display="Completo"/>
    <hyperlink ref="H4" r:id="rId3" display="Completo"/>
    <hyperlink ref="H5" r:id="rId4" display="Completo"/>
    <hyperlink ref="H10" r:id="rId5" display="Completo"/>
    <hyperlink ref="H18" r:id="rId6" display="Completo"/>
    <hyperlink ref="H19" r:id="rId7" display="Completo"/>
    <hyperlink ref="H20" r:id="rId8" display="Completo"/>
    <hyperlink ref="H21" r:id="rId9" display="Completo"/>
    <hyperlink ref="H22" r:id="rId10" display="Completo"/>
    <hyperlink ref="H23" r:id="rId11" display="Completo"/>
    <hyperlink ref="H24" r:id="rId12" display="Completo"/>
    <hyperlink ref="H25" r:id="rId13" display="Completo"/>
    <hyperlink ref="H26" r:id="rId14" display="Completo"/>
    <hyperlink ref="H27" r:id="rId15" display="Completo"/>
    <hyperlink ref="H29" r:id="rId16" display="Completo"/>
    <hyperlink ref="H30" r:id="rId17" display="Completo"/>
    <hyperlink ref="H31" r:id="rId18" display="Completo"/>
    <hyperlink ref="H32" r:id="rId19" display="Completo"/>
    <hyperlink ref="H33" r:id="rId20" display="Completo"/>
    <hyperlink ref="V33" r:id="rId21" display="Completo"/>
    <hyperlink ref="W33" r:id="rId22" display="Completo"/>
    <hyperlink ref="H34" r:id="rId23" display="Completo"/>
    <hyperlink ref="H37" r:id="rId24" display="Completo"/>
    <hyperlink ref="H38" r:id="rId25" display="Completo"/>
    <hyperlink ref="H39" r:id="rId26" display="Completo"/>
    <hyperlink ref="H40" r:id="rId27" display="Completo"/>
    <hyperlink ref="H41" r:id="rId28" display="Completo"/>
    <hyperlink ref="H42" r:id="rId29" display="Completo"/>
    <hyperlink ref="V42" r:id="rId30" display="Completo"/>
    <hyperlink ref="H43" r:id="rId31" display="Completo"/>
    <hyperlink ref="V43" r:id="rId32" display="Completo"/>
    <hyperlink ref="H44" r:id="rId33" display="Completo"/>
    <hyperlink ref="V44" r:id="rId34" display="Completo"/>
    <hyperlink ref="W44" r:id="rId35" display="Completo"/>
    <hyperlink ref="H45" r:id="rId36" display="Completo"/>
    <hyperlink ref="V45" r:id="rId37" display="Completo"/>
    <hyperlink ref="W45" r:id="rId38" display="Completo"/>
    <hyperlink ref="H46" r:id="rId39" display="Completo"/>
    <hyperlink ref="V46" r:id="rId40" display="Completo"/>
    <hyperlink ref="W46" r:id="rId41" display="Completo"/>
    <hyperlink ref="H47" r:id="rId42" display="Completo"/>
    <hyperlink ref="V47" r:id="rId43" display="Completo"/>
    <hyperlink ref="H49" r:id="rId44" display="Completo"/>
    <hyperlink ref="H50" r:id="rId45" display="Completo"/>
    <hyperlink ref="V50" r:id="rId46" display="Completo"/>
    <hyperlink ref="W50" r:id="rId47" display="Completo"/>
    <hyperlink ref="H51" r:id="rId48" display="Completo"/>
    <hyperlink ref="V51" r:id="rId49" display="Completo"/>
    <hyperlink ref="W51" r:id="rId50" display="Completo"/>
    <hyperlink ref="H52" r:id="rId51" display="Completo"/>
    <hyperlink ref="V52" r:id="rId52" display="Completo"/>
    <hyperlink ref="W52" r:id="rId53" display="Completo"/>
    <hyperlink ref="H53" r:id="rId54" display="Completo"/>
    <hyperlink ref="V53" r:id="rId55" display="Completo"/>
    <hyperlink ref="W53" r:id="rId56" display="Completo"/>
    <hyperlink ref="H54" r:id="rId57" display="Completo"/>
    <hyperlink ref="V54" r:id="rId58" display="Completo"/>
    <hyperlink ref="W54" r:id="rId59" display="Completo"/>
    <hyperlink ref="H55" r:id="rId60" display="Completo"/>
    <hyperlink ref="H57" r:id="rId61" display="Completo"/>
    <hyperlink ref="H59" r:id="rId62" display="Completo"/>
    <hyperlink ref="H60" r:id="rId63" display="Completo"/>
    <hyperlink ref="H61" r:id="rId64" display="Completo"/>
    <hyperlink ref="H62" r:id="rId65" display="Completo"/>
    <hyperlink ref="H63" r:id="rId66" display="Completo"/>
    <hyperlink ref="H64" r:id="rId67" display="Completo"/>
    <hyperlink ref="V64" r:id="rId68" display="Completo"/>
    <hyperlink ref="W64" r:id="rId69" display="Completo"/>
    <hyperlink ref="H65" r:id="rId70" display="Completo"/>
    <hyperlink ref="H66" r:id="rId71" display="Completo"/>
    <hyperlink ref="H67" r:id="rId72" display="Completo"/>
    <hyperlink ref="V67" r:id="rId73" display="Completo"/>
    <hyperlink ref="W67" r:id="rId74" display="Completo"/>
    <hyperlink ref="H68" r:id="rId75" display="Completo"/>
    <hyperlink ref="V68" r:id="rId76" display="Completo"/>
    <hyperlink ref="W68" r:id="rId77" display="Completo"/>
    <hyperlink ref="H69" r:id="rId78" display="Completo"/>
    <hyperlink ref="V69" r:id="rId79" display="Completo"/>
    <hyperlink ref="W69" r:id="rId80" display="Completo"/>
    <hyperlink ref="H70" r:id="rId81" display="Completo"/>
    <hyperlink ref="H71" r:id="rId82" display="Completo"/>
    <hyperlink ref="Q71" r:id="rId83" display="Completo"/>
    <hyperlink ref="V71" r:id="rId84" display="Completo"/>
    <hyperlink ref="W71" r:id="rId85" display="Completo"/>
    <hyperlink ref="H72" r:id="rId86" display="Completo"/>
    <hyperlink ref="Q72" r:id="rId87" display="Completo"/>
    <hyperlink ref="V72" r:id="rId88" display="Completo"/>
    <hyperlink ref="W72" r:id="rId89" display="Completo"/>
    <hyperlink ref="H73" r:id="rId90" display="Completo"/>
    <hyperlink ref="Q73" r:id="rId91" display="Mauricio Fernandez"/>
    <hyperlink ref="V73" r:id="rId92" display="Completo"/>
    <hyperlink ref="W73" r:id="rId93" display="Completo"/>
  </hyperlinks>
  <printOptions headings="false" gridLines="true" gridLinesSet="true" horizontalCentered="true" verticalCentered="false"/>
  <pageMargins left="0.7" right="0.7" top="0.75" bottom="0.75" header="0.511811023622047" footer="0.511811023622047"/>
  <pageSetup paperSize="9" scale="100" fitToWidth="1" fitToHeight="0" pageOrder="overThenDown" orientation="landscape" blackAndWhite="false" draft="false" cellComments="none" horizontalDpi="300" verticalDpi="300" copies="1"/>
  <headerFooter differentFirst="false" differentOddEven="false">
    <oddHeader/>
    <oddFooter/>
  </headerFooter>
  <drawing r:id="rId94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XFD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8" ySplit="3" topLeftCell="I4" activePane="bottomRight" state="frozen"/>
      <selection pane="topLeft" activeCell="A1" activeCellId="0" sqref="A1"/>
      <selection pane="topRight" activeCell="I1" activeCellId="0" sqref="I1"/>
      <selection pane="bottomLeft" activeCell="A4" activeCellId="0" sqref="A4"/>
      <selection pane="bottomRight" activeCell="F8" activeCellId="0" sqref="F8"/>
    </sheetView>
  </sheetViews>
  <sheetFormatPr defaultColWidth="12.6328125" defaultRowHeight="15.75" zeroHeight="false" outlineLevelRow="0" outlineLevelCol="0"/>
  <cols>
    <col collapsed="false" customWidth="true" hidden="false" outlineLevel="0" max="1" min="1" style="1" width="10.25"/>
    <col collapsed="false" customWidth="true" hidden="false" outlineLevel="0" max="2" min="2" style="1" width="10.38"/>
    <col collapsed="false" customWidth="true" hidden="false" outlineLevel="0" max="3" min="3" style="1" width="29.63"/>
    <col collapsed="false" customWidth="true" hidden="false" outlineLevel="0" max="4" min="4" style="1" width="11.25"/>
    <col collapsed="false" customWidth="true" hidden="false" outlineLevel="0" max="5" min="5" style="1" width="17.13"/>
    <col collapsed="false" customWidth="true" hidden="false" outlineLevel="0" max="6" min="6" style="1" width="36.5"/>
    <col collapsed="false" customWidth="true" hidden="false" outlineLevel="0" max="7" min="7" style="1" width="15.88"/>
    <col collapsed="false" customWidth="true" hidden="false" outlineLevel="0" max="8" min="8" style="1" width="10.88"/>
    <col collapsed="false" customWidth="true" hidden="false" outlineLevel="0" max="9" min="9" style="1" width="12.88"/>
    <col collapsed="false" customWidth="true" hidden="false" outlineLevel="0" max="10" min="10" style="1" width="12"/>
    <col collapsed="false" customWidth="true" hidden="false" outlineLevel="0" max="11" min="11" style="1" width="10"/>
    <col collapsed="false" customWidth="true" hidden="false" outlineLevel="0" max="12" min="12" style="1" width="12.25"/>
    <col collapsed="false" customWidth="true" hidden="false" outlineLevel="0" max="13" min="13" style="1" width="26.12"/>
    <col collapsed="false" customWidth="true" hidden="true" outlineLevel="0" max="14" min="14" style="1" width="18"/>
    <col collapsed="false" customWidth="true" hidden="false" outlineLevel="0" max="16" min="15" style="1" width="10.63"/>
    <col collapsed="false" customWidth="true" hidden="false" outlineLevel="0" max="17" min="17" style="1" width="8.5"/>
    <col collapsed="false" customWidth="true" hidden="false" outlineLevel="0" max="19" min="19" style="1" width="25.38"/>
    <col collapsed="false" customWidth="true" hidden="false" outlineLevel="0" max="20" min="20" style="1" width="10.75"/>
    <col collapsed="false" customWidth="true" hidden="false" outlineLevel="0" max="21" min="21" style="1" width="10.13"/>
    <col collapsed="false" customWidth="true" hidden="false" outlineLevel="0" max="22" min="22" style="1" width="11.12"/>
    <col collapsed="false" customWidth="true" hidden="false" outlineLevel="0" max="23" min="23" style="1" width="24.88"/>
    <col collapsed="false" customWidth="true" hidden="false" outlineLevel="0" max="16384" min="16383" style="1" width="11.53"/>
  </cols>
  <sheetData>
    <row r="1" customFormat="false" ht="42.5" hidden="false" customHeight="false" outlineLevel="0" collapsed="false">
      <c r="A1" s="2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/>
      <c r="J1" s="4" t="s">
        <v>8</v>
      </c>
      <c r="K1" s="2"/>
      <c r="L1" s="2" t="s">
        <v>9</v>
      </c>
      <c r="M1" s="2" t="s">
        <v>10</v>
      </c>
      <c r="N1" s="4" t="s">
        <v>11</v>
      </c>
      <c r="O1" s="3" t="s">
        <v>12</v>
      </c>
      <c r="P1" s="7" t="s">
        <v>13</v>
      </c>
      <c r="Q1" s="7" t="s">
        <v>14</v>
      </c>
      <c r="R1" s="7" t="s">
        <v>15</v>
      </c>
      <c r="S1" s="7" t="s">
        <v>16</v>
      </c>
      <c r="T1" s="7" t="s">
        <v>17</v>
      </c>
      <c r="U1" s="8" t="s">
        <v>18</v>
      </c>
      <c r="V1" s="9" t="s">
        <v>19</v>
      </c>
      <c r="W1" s="9" t="s">
        <v>20</v>
      </c>
      <c r="X1" s="10" t="s">
        <v>15</v>
      </c>
      <c r="Y1" s="11" t="s">
        <v>21</v>
      </c>
      <c r="Z1" s="11" t="s">
        <v>22</v>
      </c>
      <c r="AA1" s="12"/>
      <c r="AB1" s="12"/>
      <c r="AC1" s="12"/>
      <c r="AD1" s="12"/>
      <c r="AE1" s="12"/>
      <c r="AF1" s="12"/>
      <c r="XFC1" s="0"/>
      <c r="XFD1" s="0"/>
    </row>
    <row r="2" customFormat="false" ht="15.75" hidden="false" customHeight="false" outlineLevel="0" collapsed="false">
      <c r="A2" s="19" t="n">
        <v>7519</v>
      </c>
      <c r="B2" s="14" t="n">
        <v>45170</v>
      </c>
      <c r="C2" s="16" t="s">
        <v>1341</v>
      </c>
      <c r="D2" s="30" t="s">
        <v>24</v>
      </c>
      <c r="E2" s="21" t="s">
        <v>222</v>
      </c>
      <c r="F2" s="21" t="s">
        <v>1342</v>
      </c>
      <c r="G2" s="30"/>
      <c r="H2" s="31"/>
      <c r="I2" s="21"/>
      <c r="J2" s="21"/>
      <c r="K2" s="21"/>
      <c r="L2" s="21"/>
      <c r="M2" s="21"/>
      <c r="N2" s="30"/>
      <c r="O2" s="21"/>
      <c r="P2" s="21"/>
      <c r="Q2" s="21"/>
      <c r="R2" s="32"/>
      <c r="S2" s="32"/>
      <c r="T2" s="21"/>
      <c r="U2" s="21"/>
      <c r="V2" s="21"/>
      <c r="W2" s="21"/>
      <c r="X2" s="21"/>
    </row>
    <row r="3" customFormat="false" ht="15.75" hidden="false" customHeight="false" outlineLevel="0" collapsed="false">
      <c r="A3" s="21" t="n">
        <v>7520</v>
      </c>
      <c r="B3" s="29" t="n">
        <v>45170</v>
      </c>
      <c r="C3" s="21" t="s">
        <v>872</v>
      </c>
      <c r="D3" s="30" t="s">
        <v>24</v>
      </c>
      <c r="E3" s="21" t="s">
        <v>34</v>
      </c>
      <c r="F3" s="21" t="s">
        <v>1343</v>
      </c>
      <c r="G3" s="30"/>
      <c r="H3" s="31"/>
      <c r="I3" s="21"/>
      <c r="J3" s="21"/>
      <c r="K3" s="21"/>
      <c r="L3" s="21"/>
      <c r="M3" s="21"/>
      <c r="N3" s="30"/>
      <c r="O3" s="21" t="s">
        <v>37</v>
      </c>
      <c r="P3" s="21"/>
      <c r="Q3" s="21"/>
      <c r="R3" s="32"/>
      <c r="S3" s="32"/>
      <c r="T3" s="21"/>
      <c r="U3" s="21"/>
      <c r="V3" s="21"/>
      <c r="W3" s="21"/>
      <c r="X3" s="21" t="s">
        <v>28</v>
      </c>
    </row>
    <row r="4" customFormat="false" ht="15.75" hidden="false" customHeight="false" outlineLevel="0" collapsed="false">
      <c r="A4" s="24" t="n">
        <v>7521</v>
      </c>
      <c r="B4" s="29" t="n">
        <v>45173</v>
      </c>
      <c r="C4" s="21" t="s">
        <v>1344</v>
      </c>
      <c r="D4" s="21" t="s">
        <v>24</v>
      </c>
      <c r="E4" s="21" t="s">
        <v>222</v>
      </c>
      <c r="F4" s="21" t="s">
        <v>1345</v>
      </c>
      <c r="G4" s="30" t="s">
        <v>1346</v>
      </c>
      <c r="H4" s="45" t="str">
        <f aca="false">HYPERLINK("https://photos.app.goo.gl/8FZ2QTaHnq8tVak69", "Completo")</f>
        <v>Completo</v>
      </c>
      <c r="I4" s="21" t="s">
        <v>28</v>
      </c>
      <c r="J4" s="21"/>
      <c r="K4" s="21"/>
      <c r="L4" s="21"/>
      <c r="M4" s="21"/>
      <c r="N4" s="30"/>
      <c r="O4" s="21" t="s">
        <v>28</v>
      </c>
      <c r="P4" s="46" t="s">
        <v>28</v>
      </c>
      <c r="Q4" s="12" t="s">
        <v>59</v>
      </c>
      <c r="R4" s="32" t="s">
        <v>30</v>
      </c>
      <c r="S4" s="32" t="s">
        <v>29</v>
      </c>
      <c r="T4" s="21" t="s">
        <v>58</v>
      </c>
      <c r="U4" s="46" t="s">
        <v>28</v>
      </c>
      <c r="V4" s="46" t="s">
        <v>28</v>
      </c>
      <c r="W4" s="21" t="s">
        <v>36</v>
      </c>
      <c r="X4" s="21" t="s">
        <v>28</v>
      </c>
    </row>
    <row r="5" customFormat="false" ht="15.75" hidden="false" customHeight="false" outlineLevel="0" collapsed="false">
      <c r="A5" s="24" t="n">
        <v>7522</v>
      </c>
      <c r="B5" s="29" t="n">
        <v>45173</v>
      </c>
      <c r="C5" s="21" t="s">
        <v>1347</v>
      </c>
      <c r="D5" s="21" t="s">
        <v>24</v>
      </c>
      <c r="E5" s="21" t="s">
        <v>222</v>
      </c>
      <c r="F5" s="21" t="s">
        <v>1348</v>
      </c>
      <c r="G5" s="30" t="s">
        <v>1349</v>
      </c>
      <c r="H5" s="45" t="str">
        <f aca="false">HYPERLINK("https://photos.app.goo.gl/PtuyrHpe7Jhr4u436", "Completo")</f>
        <v>Completo</v>
      </c>
      <c r="I5" s="21" t="s">
        <v>28</v>
      </c>
      <c r="J5" s="21"/>
      <c r="L5" s="21"/>
      <c r="M5" s="21"/>
      <c r="N5" s="30"/>
      <c r="O5" s="21" t="s">
        <v>28</v>
      </c>
      <c r="P5" s="46" t="s">
        <v>28</v>
      </c>
      <c r="Q5" s="21" t="s">
        <v>59</v>
      </c>
      <c r="R5" s="32" t="s">
        <v>30</v>
      </c>
      <c r="S5" s="32" t="s">
        <v>29</v>
      </c>
      <c r="T5" s="21" t="s">
        <v>58</v>
      </c>
      <c r="U5" s="46" t="s">
        <v>28</v>
      </c>
      <c r="V5" s="21" t="s">
        <v>28</v>
      </c>
      <c r="W5" s="21" t="s">
        <v>36</v>
      </c>
      <c r="X5" s="21" t="s">
        <v>28</v>
      </c>
    </row>
    <row r="6" customFormat="false" ht="15.75" hidden="false" customHeight="false" outlineLevel="0" collapsed="false">
      <c r="A6" s="24" t="n">
        <v>7523</v>
      </c>
      <c r="B6" s="29" t="n">
        <v>45173</v>
      </c>
      <c r="C6" s="21" t="s">
        <v>1347</v>
      </c>
      <c r="D6" s="21" t="s">
        <v>24</v>
      </c>
      <c r="E6" s="21" t="s">
        <v>222</v>
      </c>
      <c r="F6" s="21" t="s">
        <v>1350</v>
      </c>
      <c r="G6" s="30" t="s">
        <v>1351</v>
      </c>
      <c r="H6" s="45" t="str">
        <f aca="false">HYPERLINK("https://photos.app.goo.gl/QDjrKiBea9xtKUqRA", "Completo")</f>
        <v>Completo</v>
      </c>
      <c r="I6" s="21" t="s">
        <v>28</v>
      </c>
      <c r="J6" s="21"/>
      <c r="K6" s="21"/>
      <c r="L6" s="21"/>
      <c r="M6" s="21"/>
      <c r="N6" s="30"/>
      <c r="O6" s="21" t="s">
        <v>28</v>
      </c>
      <c r="P6" s="46" t="s">
        <v>28</v>
      </c>
      <c r="Q6" s="21" t="s">
        <v>59</v>
      </c>
      <c r="R6" s="32" t="s">
        <v>30</v>
      </c>
      <c r="S6" s="32" t="s">
        <v>29</v>
      </c>
      <c r="T6" s="21" t="s">
        <v>74</v>
      </c>
      <c r="U6" s="46" t="s">
        <v>28</v>
      </c>
      <c r="V6" s="46" t="s">
        <v>28</v>
      </c>
      <c r="W6" s="21" t="s">
        <v>36</v>
      </c>
      <c r="X6" s="21" t="s">
        <v>28</v>
      </c>
    </row>
    <row r="7" customFormat="false" ht="15.75" hidden="false" customHeight="false" outlineLevel="0" collapsed="false">
      <c r="A7" s="24" t="n">
        <v>7524</v>
      </c>
      <c r="B7" s="29" t="n">
        <v>45174</v>
      </c>
      <c r="C7" s="21" t="s">
        <v>1352</v>
      </c>
      <c r="D7" s="21" t="s">
        <v>24</v>
      </c>
      <c r="E7" s="21" t="s">
        <v>222</v>
      </c>
      <c r="F7" s="21" t="s">
        <v>1353</v>
      </c>
      <c r="G7" s="30" t="s">
        <v>1354</v>
      </c>
      <c r="H7" s="45" t="str">
        <f aca="false">HYPERLINK("https://photos.app.goo.gl/8vGDUtanM2My74p18", "Completo")</f>
        <v>Completo</v>
      </c>
      <c r="I7" s="21" t="s">
        <v>28</v>
      </c>
      <c r="J7" s="21"/>
      <c r="K7" s="21"/>
      <c r="L7" s="21"/>
      <c r="M7" s="21"/>
      <c r="N7" s="30"/>
      <c r="O7" s="21"/>
      <c r="P7" s="21"/>
      <c r="Q7" s="21"/>
      <c r="R7" s="32"/>
      <c r="S7" s="32"/>
      <c r="T7" s="21" t="s">
        <v>58</v>
      </c>
      <c r="U7" s="21" t="s">
        <v>28</v>
      </c>
      <c r="V7" s="46" t="s">
        <v>28</v>
      </c>
      <c r="W7" s="21" t="s">
        <v>36</v>
      </c>
      <c r="X7" s="21" t="s">
        <v>28</v>
      </c>
    </row>
    <row r="8" customFormat="false" ht="15.75" hidden="false" customHeight="false" outlineLevel="0" collapsed="false">
      <c r="A8" s="24" t="n">
        <v>7525</v>
      </c>
      <c r="B8" s="29" t="n">
        <v>45175</v>
      </c>
      <c r="C8" s="21" t="s">
        <v>1355</v>
      </c>
      <c r="D8" s="21" t="s">
        <v>24</v>
      </c>
      <c r="E8" s="21" t="s">
        <v>222</v>
      </c>
      <c r="F8" s="21" t="s">
        <v>1356</v>
      </c>
      <c r="G8" s="30" t="s">
        <v>1357</v>
      </c>
      <c r="H8" s="45" t="str">
        <f aca="false">HYPERLINK("https://photos.app.goo.gl/4x47MhcoQAYSJmwS8", "Completo")</f>
        <v>Completo</v>
      </c>
      <c r="I8" s="21" t="s">
        <v>28</v>
      </c>
      <c r="J8" s="21"/>
      <c r="K8" s="21"/>
      <c r="L8" s="21"/>
      <c r="M8" s="21"/>
      <c r="N8" s="30"/>
      <c r="O8" s="21"/>
      <c r="P8" s="21"/>
      <c r="Q8" s="21"/>
      <c r="R8" s="32"/>
      <c r="S8" s="32"/>
      <c r="T8" s="21"/>
      <c r="U8" s="21"/>
      <c r="V8" s="21"/>
      <c r="W8" s="21"/>
      <c r="X8" s="21" t="s">
        <v>37</v>
      </c>
    </row>
    <row r="9" customFormat="false" ht="15.75" hidden="false" customHeight="false" outlineLevel="0" collapsed="false">
      <c r="A9" s="24" t="n">
        <v>7526</v>
      </c>
      <c r="B9" s="29" t="n">
        <v>45175</v>
      </c>
      <c r="C9" s="21" t="s">
        <v>867</v>
      </c>
      <c r="D9" s="21" t="s">
        <v>24</v>
      </c>
      <c r="E9" s="21" t="s">
        <v>34</v>
      </c>
      <c r="F9" s="21" t="s">
        <v>1358</v>
      </c>
      <c r="G9" s="30"/>
      <c r="H9" s="31"/>
      <c r="I9" s="21"/>
      <c r="J9" s="21"/>
      <c r="K9" s="21"/>
      <c r="L9" s="21"/>
      <c r="M9" s="21"/>
      <c r="N9" s="30"/>
      <c r="O9" s="21"/>
      <c r="P9" s="21"/>
      <c r="Q9" s="21"/>
      <c r="R9" s="32"/>
      <c r="S9" s="32"/>
      <c r="T9" s="21"/>
      <c r="U9" s="21"/>
      <c r="V9" s="21"/>
      <c r="W9" s="21"/>
      <c r="X9" s="21" t="s">
        <v>37</v>
      </c>
    </row>
    <row r="10" customFormat="false" ht="15.75" hidden="false" customHeight="false" outlineLevel="0" collapsed="false">
      <c r="A10" s="24" t="n">
        <v>7527</v>
      </c>
      <c r="B10" s="29" t="n">
        <v>45175</v>
      </c>
      <c r="C10" s="21" t="s">
        <v>1359</v>
      </c>
      <c r="D10" s="21" t="s">
        <v>24</v>
      </c>
      <c r="E10" s="21" t="s">
        <v>34</v>
      </c>
      <c r="F10" s="21" t="s">
        <v>1360</v>
      </c>
      <c r="G10" s="30"/>
      <c r="H10" s="31"/>
      <c r="I10" s="21"/>
      <c r="J10" s="21"/>
      <c r="K10" s="21"/>
      <c r="L10" s="21"/>
      <c r="M10" s="21"/>
      <c r="N10" s="30"/>
      <c r="O10" s="21"/>
      <c r="P10" s="21"/>
      <c r="Q10" s="21"/>
      <c r="R10" s="32"/>
      <c r="S10" s="32"/>
      <c r="T10" s="21"/>
      <c r="U10" s="21"/>
      <c r="V10" s="21"/>
      <c r="W10" s="21"/>
      <c r="X10" s="21" t="s">
        <v>28</v>
      </c>
    </row>
    <row r="11" customFormat="false" ht="15.75" hidden="false" customHeight="false" outlineLevel="0" collapsed="false">
      <c r="A11" s="24" t="n">
        <v>7528</v>
      </c>
      <c r="B11" s="29" t="n">
        <v>45175</v>
      </c>
      <c r="C11" s="21" t="s">
        <v>867</v>
      </c>
      <c r="D11" s="21" t="s">
        <v>24</v>
      </c>
      <c r="E11" s="21" t="s">
        <v>222</v>
      </c>
      <c r="F11" s="21" t="s">
        <v>1361</v>
      </c>
      <c r="G11" s="30" t="s">
        <v>1362</v>
      </c>
      <c r="H11" s="31" t="s">
        <v>28</v>
      </c>
      <c r="I11" s="21"/>
      <c r="J11" s="21"/>
      <c r="K11" s="21"/>
      <c r="L11" s="21"/>
      <c r="M11" s="21"/>
      <c r="N11" s="30"/>
      <c r="O11" s="21" t="s">
        <v>28</v>
      </c>
      <c r="P11" s="46" t="s">
        <v>28</v>
      </c>
      <c r="Q11" s="21" t="s">
        <v>59</v>
      </c>
      <c r="R11" s="32" t="s">
        <v>30</v>
      </c>
      <c r="S11" s="32" t="s">
        <v>29</v>
      </c>
      <c r="T11" s="21"/>
      <c r="U11" s="21"/>
      <c r="V11" s="21"/>
      <c r="W11" s="21"/>
      <c r="X11" s="21" t="s">
        <v>28</v>
      </c>
    </row>
    <row r="12" customFormat="false" ht="15.75" hidden="false" customHeight="false" outlineLevel="0" collapsed="false">
      <c r="A12" s="24" t="n">
        <v>7529</v>
      </c>
      <c r="B12" s="29" t="n">
        <v>45175</v>
      </c>
      <c r="C12" s="21" t="s">
        <v>1363</v>
      </c>
      <c r="D12" s="21" t="s">
        <v>24</v>
      </c>
      <c r="E12" s="21" t="s">
        <v>222</v>
      </c>
      <c r="F12" s="21" t="s">
        <v>1364</v>
      </c>
      <c r="G12" s="30" t="s">
        <v>1365</v>
      </c>
      <c r="H12" s="31" t="s">
        <v>28</v>
      </c>
      <c r="I12" s="21"/>
      <c r="J12" s="21"/>
      <c r="K12" s="21"/>
      <c r="L12" s="21"/>
      <c r="M12" s="21"/>
      <c r="N12" s="30"/>
      <c r="O12" s="21"/>
      <c r="P12" s="21"/>
      <c r="Q12" s="21"/>
      <c r="R12" s="32"/>
      <c r="S12" s="32"/>
      <c r="T12" s="21"/>
      <c r="U12" s="21"/>
      <c r="V12" s="21"/>
      <c r="W12" s="21"/>
      <c r="X12" s="21" t="s">
        <v>28</v>
      </c>
    </row>
    <row r="13" customFormat="false" ht="15.75" hidden="false" customHeight="false" outlineLevel="0" collapsed="false">
      <c r="A13" s="24" t="n">
        <v>7530</v>
      </c>
      <c r="B13" s="29" t="n">
        <v>45175</v>
      </c>
      <c r="C13" s="21" t="s">
        <v>1363</v>
      </c>
      <c r="D13" s="21" t="s">
        <v>24</v>
      </c>
      <c r="E13" s="21" t="s">
        <v>222</v>
      </c>
      <c r="F13" s="21" t="s">
        <v>1366</v>
      </c>
      <c r="G13" s="30" t="s">
        <v>1367</v>
      </c>
      <c r="H13" s="31" t="s">
        <v>28</v>
      </c>
      <c r="I13" s="21"/>
      <c r="J13" s="21"/>
      <c r="K13" s="21"/>
      <c r="L13" s="21"/>
      <c r="M13" s="21"/>
      <c r="N13" s="30"/>
      <c r="O13" s="21"/>
      <c r="P13" s="21"/>
      <c r="Q13" s="21"/>
      <c r="R13" s="32"/>
      <c r="S13" s="32"/>
      <c r="T13" s="21"/>
      <c r="U13" s="21"/>
      <c r="V13" s="21"/>
      <c r="W13" s="21"/>
      <c r="X13" s="21" t="s">
        <v>28</v>
      </c>
    </row>
    <row r="14" customFormat="false" ht="15.75" hidden="false" customHeight="false" outlineLevel="0" collapsed="false">
      <c r="A14" s="24" t="n">
        <v>7531</v>
      </c>
      <c r="B14" s="29" t="n">
        <v>45175</v>
      </c>
      <c r="C14" s="21" t="s">
        <v>1363</v>
      </c>
      <c r="D14" s="21" t="s">
        <v>24</v>
      </c>
      <c r="E14" s="21" t="s">
        <v>222</v>
      </c>
      <c r="F14" s="21" t="s">
        <v>1368</v>
      </c>
      <c r="G14" s="30" t="s">
        <v>1369</v>
      </c>
      <c r="H14" s="31" t="s">
        <v>28</v>
      </c>
      <c r="I14" s="21"/>
      <c r="J14" s="21"/>
      <c r="K14" s="21"/>
      <c r="L14" s="21"/>
      <c r="M14" s="21"/>
      <c r="N14" s="30"/>
      <c r="O14" s="21"/>
      <c r="P14" s="21"/>
      <c r="Q14" s="21"/>
      <c r="R14" s="32"/>
      <c r="S14" s="32"/>
      <c r="T14" s="21"/>
      <c r="U14" s="21"/>
      <c r="V14" s="21"/>
      <c r="W14" s="21"/>
      <c r="X14" s="21" t="s">
        <v>28</v>
      </c>
    </row>
    <row r="15" customFormat="false" ht="15.75" hidden="false" customHeight="false" outlineLevel="0" collapsed="false">
      <c r="A15" s="24" t="n">
        <v>7532</v>
      </c>
      <c r="B15" s="29" t="n">
        <v>45177</v>
      </c>
      <c r="C15" s="21" t="s">
        <v>1370</v>
      </c>
      <c r="D15" s="21" t="s">
        <v>24</v>
      </c>
      <c r="E15" s="21" t="s">
        <v>25</v>
      </c>
      <c r="F15" s="21" t="s">
        <v>1371</v>
      </c>
      <c r="G15" s="30"/>
      <c r="H15" s="45" t="str">
        <f aca="false">HYPERLINK("https://photos.app.goo.gl/xLtdVxBjtx3FpGMA9", "Completo")</f>
        <v>Completo</v>
      </c>
      <c r="I15" s="21" t="s">
        <v>28</v>
      </c>
      <c r="J15" s="21" t="s">
        <v>29</v>
      </c>
      <c r="K15" s="21" t="s">
        <v>29</v>
      </c>
      <c r="L15" s="21" t="s">
        <v>1372</v>
      </c>
      <c r="M15" s="21"/>
      <c r="N15" s="30"/>
      <c r="O15" s="21"/>
      <c r="P15" s="21"/>
      <c r="Q15" s="21"/>
      <c r="R15" s="32"/>
      <c r="S15" s="32"/>
      <c r="T15" s="21"/>
      <c r="U15" s="21"/>
      <c r="V15" s="21"/>
      <c r="W15" s="21"/>
      <c r="X15" s="21" t="s">
        <v>28</v>
      </c>
    </row>
    <row r="16" customFormat="false" ht="15.75" hidden="false" customHeight="false" outlineLevel="0" collapsed="false">
      <c r="A16" s="24" t="n">
        <v>7533</v>
      </c>
      <c r="B16" s="29" t="n">
        <v>45177</v>
      </c>
      <c r="C16" s="21" t="s">
        <v>188</v>
      </c>
      <c r="D16" s="21" t="s">
        <v>24</v>
      </c>
      <c r="E16" s="21" t="s">
        <v>34</v>
      </c>
      <c r="F16" s="21" t="s">
        <v>1373</v>
      </c>
      <c r="G16" s="30"/>
      <c r="H16" s="31"/>
      <c r="I16" s="21"/>
      <c r="J16" s="21"/>
      <c r="K16" s="21"/>
      <c r="L16" s="21"/>
      <c r="M16" s="21"/>
      <c r="N16" s="30"/>
      <c r="O16" s="21"/>
      <c r="P16" s="21"/>
      <c r="Q16" s="21"/>
      <c r="R16" s="32"/>
      <c r="S16" s="32"/>
      <c r="T16" s="21"/>
      <c r="U16" s="21"/>
      <c r="V16" s="21"/>
      <c r="W16" s="21"/>
      <c r="X16" s="21" t="s">
        <v>28</v>
      </c>
    </row>
    <row r="17" customFormat="false" ht="15.75" hidden="false" customHeight="false" outlineLevel="0" collapsed="false">
      <c r="A17" s="24" t="n">
        <v>7534</v>
      </c>
      <c r="B17" s="29" t="n">
        <v>45180</v>
      </c>
      <c r="C17" s="21" t="s">
        <v>1194</v>
      </c>
      <c r="D17" s="21" t="s">
        <v>24</v>
      </c>
      <c r="E17" s="21" t="s">
        <v>34</v>
      </c>
      <c r="F17" s="21" t="s">
        <v>1374</v>
      </c>
      <c r="G17" s="30"/>
      <c r="H17" s="31"/>
      <c r="I17" s="21"/>
      <c r="J17" s="21"/>
      <c r="K17" s="21"/>
      <c r="L17" s="21"/>
      <c r="M17" s="21"/>
      <c r="N17" s="30"/>
      <c r="O17" s="21"/>
      <c r="P17" s="21"/>
      <c r="Q17" s="21"/>
      <c r="R17" s="32"/>
      <c r="S17" s="32"/>
      <c r="T17" s="21"/>
      <c r="U17" s="21"/>
      <c r="V17" s="21"/>
      <c r="W17" s="21"/>
      <c r="X17" s="21" t="s">
        <v>28</v>
      </c>
    </row>
    <row r="18" customFormat="false" ht="15.75" hidden="false" customHeight="false" outlineLevel="0" collapsed="false">
      <c r="A18" s="24" t="n">
        <v>7535</v>
      </c>
      <c r="B18" s="29" t="n">
        <v>45180</v>
      </c>
      <c r="C18" s="20" t="s">
        <v>1375</v>
      </c>
      <c r="D18" s="21" t="s">
        <v>24</v>
      </c>
      <c r="E18" s="21" t="s">
        <v>25</v>
      </c>
      <c r="F18" s="21" t="s">
        <v>466</v>
      </c>
      <c r="G18" s="30"/>
      <c r="H18" s="45" t="str">
        <f aca="false">HYPERLINK("https://photos.app.goo.gl/ywGoEsbgxqMr9AjW7", "Completo")</f>
        <v>Completo</v>
      </c>
      <c r="I18" s="21" t="s">
        <v>28</v>
      </c>
      <c r="J18" s="21" t="s">
        <v>1376</v>
      </c>
      <c r="K18" s="21"/>
      <c r="L18" s="21" t="s">
        <v>1377</v>
      </c>
      <c r="M18" s="21"/>
      <c r="N18" s="30"/>
      <c r="O18" s="21"/>
      <c r="P18" s="21"/>
      <c r="Q18" s="21"/>
      <c r="R18" s="32"/>
      <c r="S18" s="32"/>
      <c r="T18" s="21"/>
      <c r="U18" s="21"/>
      <c r="V18" s="21"/>
      <c r="W18" s="21"/>
      <c r="X18" s="21" t="s">
        <v>28</v>
      </c>
    </row>
    <row r="19" customFormat="false" ht="15.75" hidden="false" customHeight="false" outlineLevel="0" collapsed="false">
      <c r="A19" s="24" t="n">
        <v>7536</v>
      </c>
      <c r="B19" s="29" t="n">
        <v>45180</v>
      </c>
      <c r="C19" s="20" t="s">
        <v>1378</v>
      </c>
      <c r="D19" s="21" t="s">
        <v>24</v>
      </c>
      <c r="E19" s="21" t="s">
        <v>25</v>
      </c>
      <c r="F19" s="21" t="s">
        <v>466</v>
      </c>
      <c r="G19" s="30"/>
      <c r="H19" s="45" t="str">
        <f aca="false">HYPERLINK("https://photos.app.goo.gl/JniiM8oe9yXaerwp7", "Completo")</f>
        <v>Completo</v>
      </c>
      <c r="I19" s="21" t="s">
        <v>28</v>
      </c>
      <c r="J19" s="21" t="s">
        <v>29</v>
      </c>
      <c r="K19" s="21" t="s">
        <v>29</v>
      </c>
      <c r="L19" s="21" t="s">
        <v>29</v>
      </c>
      <c r="M19" s="21"/>
      <c r="N19" s="30"/>
      <c r="O19" s="21"/>
      <c r="P19" s="21"/>
      <c r="Q19" s="21"/>
      <c r="R19" s="32"/>
      <c r="S19" s="32"/>
      <c r="T19" s="21"/>
      <c r="U19" s="21"/>
      <c r="V19" s="21"/>
      <c r="W19" s="21"/>
      <c r="X19" s="21" t="s">
        <v>28</v>
      </c>
    </row>
    <row r="20" customFormat="false" ht="15.75" hidden="false" customHeight="false" outlineLevel="0" collapsed="false">
      <c r="A20" s="24" t="n">
        <v>7537</v>
      </c>
      <c r="B20" s="29" t="n">
        <v>45180</v>
      </c>
      <c r="C20" s="21" t="s">
        <v>1378</v>
      </c>
      <c r="D20" s="21" t="s">
        <v>24</v>
      </c>
      <c r="E20" s="21" t="s">
        <v>25</v>
      </c>
      <c r="F20" s="21" t="s">
        <v>466</v>
      </c>
      <c r="G20" s="30"/>
      <c r="H20" s="45" t="str">
        <f aca="false">HYPERLINK("https://photos.app.goo.gl/tLFdmDLSGakJSDtr6", "Completo")</f>
        <v>Completo</v>
      </c>
      <c r="I20" s="21" t="s">
        <v>28</v>
      </c>
      <c r="J20" s="21" t="s">
        <v>29</v>
      </c>
      <c r="K20" s="21" t="s">
        <v>29</v>
      </c>
      <c r="L20" s="21" t="s">
        <v>29</v>
      </c>
      <c r="M20" s="21"/>
      <c r="N20" s="30"/>
      <c r="O20" s="21"/>
      <c r="P20" s="21"/>
      <c r="Q20" s="21"/>
      <c r="R20" s="32"/>
      <c r="S20" s="32"/>
      <c r="T20" s="21"/>
      <c r="U20" s="21"/>
      <c r="V20" s="21"/>
      <c r="W20" s="21"/>
      <c r="X20" s="21" t="s">
        <v>28</v>
      </c>
    </row>
    <row r="21" customFormat="false" ht="15.75" hidden="false" customHeight="false" outlineLevel="0" collapsed="false">
      <c r="A21" s="24" t="n">
        <v>7538</v>
      </c>
      <c r="B21" s="29" t="n">
        <v>45180</v>
      </c>
      <c r="C21" s="21" t="s">
        <v>1370</v>
      </c>
      <c r="D21" s="21" t="s">
        <v>24</v>
      </c>
      <c r="E21" s="21" t="s">
        <v>34</v>
      </c>
      <c r="F21" s="21" t="s">
        <v>1379</v>
      </c>
      <c r="G21" s="30"/>
      <c r="H21" s="31"/>
      <c r="I21" s="21"/>
      <c r="J21" s="21"/>
      <c r="K21" s="21"/>
      <c r="L21" s="21"/>
      <c r="M21" s="21"/>
      <c r="N21" s="30"/>
      <c r="O21" s="21"/>
      <c r="P21" s="21"/>
      <c r="Q21" s="21"/>
      <c r="R21" s="32"/>
      <c r="S21" s="32"/>
      <c r="T21" s="21"/>
      <c r="U21" s="21"/>
      <c r="V21" s="21"/>
      <c r="W21" s="21"/>
      <c r="X21" s="21" t="s">
        <v>28</v>
      </c>
    </row>
    <row r="22" customFormat="false" ht="15.75" hidden="false" customHeight="false" outlineLevel="0" collapsed="false">
      <c r="A22" s="24" t="n">
        <v>7539</v>
      </c>
      <c r="B22" s="29" t="n">
        <v>45181</v>
      </c>
      <c r="C22" s="21" t="s">
        <v>1380</v>
      </c>
      <c r="D22" s="21" t="s">
        <v>24</v>
      </c>
      <c r="E22" s="21" t="s">
        <v>222</v>
      </c>
      <c r="F22" s="21" t="s">
        <v>1381</v>
      </c>
      <c r="G22" s="30" t="s">
        <v>1382</v>
      </c>
      <c r="H22" s="45" t="s">
        <v>1383</v>
      </c>
      <c r="I22" s="21" t="s">
        <v>28</v>
      </c>
      <c r="J22" s="21"/>
      <c r="K22" s="21"/>
      <c r="L22" s="21"/>
      <c r="M22" s="21"/>
      <c r="N22" s="30"/>
      <c r="O22" s="21"/>
      <c r="P22" s="21"/>
      <c r="Q22" s="21"/>
      <c r="R22" s="32"/>
      <c r="S22" s="32"/>
      <c r="T22" s="21"/>
      <c r="U22" s="21"/>
      <c r="V22" s="21"/>
      <c r="W22" s="21"/>
      <c r="X22" s="21" t="s">
        <v>37</v>
      </c>
    </row>
    <row r="23" customFormat="false" ht="15.75" hidden="false" customHeight="false" outlineLevel="0" collapsed="false">
      <c r="A23" s="24" t="n">
        <v>7540</v>
      </c>
      <c r="B23" s="29" t="n">
        <v>45181</v>
      </c>
      <c r="C23" s="21" t="s">
        <v>465</v>
      </c>
      <c r="D23" s="21" t="s">
        <v>24</v>
      </c>
      <c r="E23" s="21" t="s">
        <v>25</v>
      </c>
      <c r="F23" s="21" t="s">
        <v>462</v>
      </c>
      <c r="G23" s="30" t="s">
        <v>1384</v>
      </c>
      <c r="H23" s="45" t="str">
        <f aca="false">HYPERLINK("https://photos.app.goo.gl/bQYPVhgemiT5C9yS9", "Completo")</f>
        <v>Completo</v>
      </c>
      <c r="I23" s="21" t="s">
        <v>28</v>
      </c>
      <c r="J23" s="21" t="s">
        <v>29</v>
      </c>
      <c r="K23" s="21" t="s">
        <v>29</v>
      </c>
      <c r="L23" s="21" t="s">
        <v>29</v>
      </c>
      <c r="M23" s="21"/>
      <c r="N23" s="30"/>
      <c r="O23" s="21" t="s">
        <v>28</v>
      </c>
      <c r="P23" s="46" t="s">
        <v>28</v>
      </c>
      <c r="Q23" s="21" t="s">
        <v>59</v>
      </c>
      <c r="R23" s="32" t="s">
        <v>30</v>
      </c>
      <c r="S23" s="32"/>
      <c r="T23" s="21" t="s">
        <v>74</v>
      </c>
      <c r="U23" s="46" t="s">
        <v>28</v>
      </c>
      <c r="V23" s="46" t="s">
        <v>28</v>
      </c>
      <c r="W23" s="21" t="s">
        <v>36</v>
      </c>
      <c r="X23" s="21" t="s">
        <v>28</v>
      </c>
    </row>
    <row r="24" customFormat="false" ht="15.75" hidden="false" customHeight="false" outlineLevel="0" collapsed="false">
      <c r="A24" s="24" t="n">
        <v>7541</v>
      </c>
      <c r="B24" s="29" t="n">
        <v>45181</v>
      </c>
      <c r="C24" s="21" t="s">
        <v>465</v>
      </c>
      <c r="D24" s="21" t="s">
        <v>24</v>
      </c>
      <c r="E24" s="21" t="s">
        <v>25</v>
      </c>
      <c r="F24" s="21" t="s">
        <v>462</v>
      </c>
      <c r="G24" s="30" t="s">
        <v>1384</v>
      </c>
      <c r="H24" s="45" t="str">
        <f aca="false">HYPERLINK("https://photos.app.goo.gl/uvCotZBRTppjk6wQ9", "Completo")</f>
        <v>Completo</v>
      </c>
      <c r="I24" s="21" t="s">
        <v>28</v>
      </c>
      <c r="J24" s="21" t="s">
        <v>29</v>
      </c>
      <c r="K24" s="21" t="s">
        <v>29</v>
      </c>
      <c r="L24" s="21" t="s">
        <v>29</v>
      </c>
      <c r="M24" s="21"/>
      <c r="N24" s="30"/>
      <c r="O24" s="21" t="s">
        <v>28</v>
      </c>
      <c r="P24" s="21"/>
      <c r="Q24" s="21"/>
      <c r="R24" s="32"/>
      <c r="S24" s="32"/>
      <c r="T24" s="21" t="s">
        <v>74</v>
      </c>
      <c r="U24" s="46" t="s">
        <v>28</v>
      </c>
      <c r="V24" s="46" t="s">
        <v>28</v>
      </c>
      <c r="W24" s="21" t="s">
        <v>36</v>
      </c>
      <c r="X24" s="21" t="s">
        <v>28</v>
      </c>
    </row>
    <row r="25" customFormat="false" ht="15.75" hidden="false" customHeight="false" outlineLevel="0" collapsed="false">
      <c r="A25" s="24" t="n">
        <v>7542</v>
      </c>
      <c r="B25" s="29" t="n">
        <v>45181</v>
      </c>
      <c r="C25" s="21" t="s">
        <v>465</v>
      </c>
      <c r="D25" s="21" t="s">
        <v>24</v>
      </c>
      <c r="E25" s="21" t="s">
        <v>25</v>
      </c>
      <c r="F25" s="21" t="s">
        <v>804</v>
      </c>
      <c r="G25" s="30" t="s">
        <v>1385</v>
      </c>
      <c r="H25" s="45" t="str">
        <f aca="false">HYPERLINK("https://photos.app.goo.gl/xdAsVuAKEwAyXiTZ8", "Completo")</f>
        <v>Completo</v>
      </c>
      <c r="I25" s="21" t="s">
        <v>28</v>
      </c>
      <c r="J25" s="21" t="s">
        <v>29</v>
      </c>
      <c r="K25" s="21" t="s">
        <v>29</v>
      </c>
      <c r="L25" s="21" t="s">
        <v>29</v>
      </c>
      <c r="M25" s="21"/>
      <c r="N25" s="30"/>
      <c r="O25" s="21" t="s">
        <v>28</v>
      </c>
      <c r="P25" s="46" t="s">
        <v>28</v>
      </c>
      <c r="Q25" s="21" t="s">
        <v>59</v>
      </c>
      <c r="R25" s="32" t="s">
        <v>30</v>
      </c>
      <c r="S25" s="32"/>
      <c r="T25" s="21" t="s">
        <v>74</v>
      </c>
      <c r="U25" s="46" t="s">
        <v>28</v>
      </c>
      <c r="V25" s="46" t="s">
        <v>28</v>
      </c>
      <c r="W25" s="21" t="s">
        <v>36</v>
      </c>
      <c r="X25" s="21" t="s">
        <v>28</v>
      </c>
    </row>
    <row r="26" customFormat="false" ht="15.75" hidden="false" customHeight="false" outlineLevel="0" collapsed="false">
      <c r="A26" s="24" t="n">
        <v>7543</v>
      </c>
      <c r="B26" s="29" t="n">
        <v>45181</v>
      </c>
      <c r="C26" s="21" t="s">
        <v>465</v>
      </c>
      <c r="D26" s="21" t="s">
        <v>24</v>
      </c>
      <c r="E26" s="21" t="s">
        <v>25</v>
      </c>
      <c r="F26" s="21" t="s">
        <v>1063</v>
      </c>
      <c r="G26" s="30" t="s">
        <v>1386</v>
      </c>
      <c r="H26" s="45" t="str">
        <f aca="false">HYPERLINK("https://photos.app.goo.gl/8VGjbzmcTkWUxnRC8", "Completo")</f>
        <v>Completo</v>
      </c>
      <c r="I26" s="21" t="s">
        <v>28</v>
      </c>
      <c r="J26" s="21" t="s">
        <v>29</v>
      </c>
      <c r="K26" s="21" t="s">
        <v>29</v>
      </c>
      <c r="L26" s="21" t="s">
        <v>29</v>
      </c>
      <c r="M26" s="21"/>
      <c r="N26" s="30"/>
      <c r="O26" s="21" t="s">
        <v>28</v>
      </c>
      <c r="P26" s="46" t="s">
        <v>28</v>
      </c>
      <c r="Q26" s="21" t="s">
        <v>59</v>
      </c>
      <c r="R26" s="32" t="s">
        <v>30</v>
      </c>
      <c r="S26" s="32"/>
      <c r="T26" s="21" t="s">
        <v>74</v>
      </c>
      <c r="U26" s="46" t="s">
        <v>28</v>
      </c>
      <c r="V26" s="46" t="s">
        <v>28</v>
      </c>
      <c r="W26" s="21" t="s">
        <v>36</v>
      </c>
      <c r="X26" s="21" t="s">
        <v>28</v>
      </c>
    </row>
    <row r="27" customFormat="false" ht="15.75" hidden="false" customHeight="false" outlineLevel="0" collapsed="false">
      <c r="A27" s="24" t="n">
        <v>7544</v>
      </c>
      <c r="B27" s="29" t="n">
        <v>45181</v>
      </c>
      <c r="C27" s="21" t="s">
        <v>465</v>
      </c>
      <c r="D27" s="21" t="s">
        <v>24</v>
      </c>
      <c r="E27" s="21" t="s">
        <v>25</v>
      </c>
      <c r="F27" s="21" t="s">
        <v>804</v>
      </c>
      <c r="G27" s="30" t="s">
        <v>1385</v>
      </c>
      <c r="H27" s="45" t="str">
        <f aca="false">HYPERLINK("https://photos.app.goo.gl/givAvXmaTXu6bx869", "Completo")</f>
        <v>Completo</v>
      </c>
      <c r="I27" s="21" t="s">
        <v>28</v>
      </c>
      <c r="J27" s="21" t="s">
        <v>29</v>
      </c>
      <c r="K27" s="21" t="s">
        <v>29</v>
      </c>
      <c r="L27" s="21" t="s">
        <v>29</v>
      </c>
      <c r="M27" s="21"/>
      <c r="N27" s="30"/>
      <c r="O27" s="21" t="s">
        <v>28</v>
      </c>
      <c r="P27" s="21" t="s">
        <v>28</v>
      </c>
      <c r="Q27" s="21" t="s">
        <v>59</v>
      </c>
      <c r="R27" s="32" t="s">
        <v>30</v>
      </c>
      <c r="S27" s="32"/>
      <c r="T27" s="21" t="s">
        <v>74</v>
      </c>
      <c r="U27" s="46" t="s">
        <v>28</v>
      </c>
      <c r="V27" s="46" t="s">
        <v>28</v>
      </c>
      <c r="W27" s="21" t="s">
        <v>36</v>
      </c>
      <c r="X27" s="21" t="s">
        <v>28</v>
      </c>
    </row>
    <row r="28" customFormat="false" ht="15.75" hidden="false" customHeight="false" outlineLevel="0" collapsed="false">
      <c r="A28" s="24" t="n">
        <v>7545</v>
      </c>
      <c r="B28" s="29" t="n">
        <v>45182</v>
      </c>
      <c r="C28" s="21" t="s">
        <v>412</v>
      </c>
      <c r="D28" s="21" t="s">
        <v>24</v>
      </c>
      <c r="E28" s="21" t="s">
        <v>25</v>
      </c>
      <c r="F28" s="21" t="s">
        <v>1387</v>
      </c>
      <c r="G28" s="30"/>
      <c r="H28" s="45" t="str">
        <f aca="false">HYPERLINK("https://photos.app.goo.gl/gp5nWNKnHrUKiqfPA", "Completo")</f>
        <v>Completo</v>
      </c>
      <c r="I28" s="21" t="s">
        <v>28</v>
      </c>
      <c r="J28" s="21" t="s">
        <v>29</v>
      </c>
      <c r="K28" s="21" t="s">
        <v>29</v>
      </c>
      <c r="L28" s="21" t="s">
        <v>29</v>
      </c>
      <c r="M28" s="21"/>
      <c r="N28" s="30"/>
      <c r="O28" s="21"/>
      <c r="P28" s="21"/>
      <c r="Q28" s="21"/>
      <c r="R28" s="32"/>
      <c r="S28" s="32"/>
      <c r="T28" s="21"/>
      <c r="U28" s="21"/>
      <c r="V28" s="21"/>
      <c r="W28" s="21"/>
      <c r="X28" s="21" t="s">
        <v>28</v>
      </c>
    </row>
    <row r="29" customFormat="false" ht="15.75" hidden="false" customHeight="false" outlineLevel="0" collapsed="false">
      <c r="A29" s="24" t="n">
        <v>7546</v>
      </c>
      <c r="B29" s="29" t="n">
        <v>45182</v>
      </c>
      <c r="C29" s="21" t="s">
        <v>136</v>
      </c>
      <c r="D29" s="21" t="s">
        <v>24</v>
      </c>
      <c r="E29" s="21" t="s">
        <v>34</v>
      </c>
      <c r="F29" s="21" t="s">
        <v>1388</v>
      </c>
      <c r="G29" s="30"/>
      <c r="H29" s="31"/>
      <c r="I29" s="21"/>
      <c r="J29" s="21"/>
      <c r="K29" s="21"/>
      <c r="L29" s="21"/>
      <c r="M29" s="21"/>
      <c r="N29" s="30"/>
      <c r="O29" s="21"/>
      <c r="P29" s="21"/>
      <c r="Q29" s="21"/>
      <c r="R29" s="32"/>
      <c r="S29" s="32"/>
      <c r="T29" s="21"/>
      <c r="U29" s="21"/>
      <c r="V29" s="21"/>
      <c r="W29" s="21"/>
      <c r="X29" s="21" t="s">
        <v>28</v>
      </c>
    </row>
    <row r="30" customFormat="false" ht="15.75" hidden="false" customHeight="false" outlineLevel="0" collapsed="false">
      <c r="A30" s="24" t="n">
        <v>7547</v>
      </c>
      <c r="B30" s="29" t="n">
        <v>45184</v>
      </c>
      <c r="C30" s="21" t="s">
        <v>136</v>
      </c>
      <c r="D30" s="21" t="s">
        <v>24</v>
      </c>
      <c r="E30" s="21" t="s">
        <v>34</v>
      </c>
      <c r="F30" s="21" t="s">
        <v>1389</v>
      </c>
      <c r="G30" s="30"/>
      <c r="H30" s="31"/>
      <c r="I30" s="21"/>
      <c r="J30" s="21"/>
      <c r="K30" s="21"/>
      <c r="L30" s="21"/>
      <c r="M30" s="21"/>
      <c r="N30" s="30"/>
      <c r="O30" s="21"/>
      <c r="P30" s="21"/>
      <c r="Q30" s="21"/>
      <c r="R30" s="32"/>
      <c r="S30" s="32"/>
      <c r="T30" s="21"/>
      <c r="U30" s="21"/>
      <c r="V30" s="21"/>
      <c r="W30" s="21"/>
      <c r="X30" s="21" t="s">
        <v>28</v>
      </c>
    </row>
    <row r="31" customFormat="false" ht="15.75" hidden="false" customHeight="false" outlineLevel="0" collapsed="false">
      <c r="A31" s="24" t="n">
        <v>7548</v>
      </c>
      <c r="B31" s="29" t="n">
        <v>45184</v>
      </c>
      <c r="C31" s="21" t="s">
        <v>136</v>
      </c>
      <c r="D31" s="21" t="s">
        <v>24</v>
      </c>
      <c r="E31" s="21" t="s">
        <v>34</v>
      </c>
      <c r="F31" s="21" t="s">
        <v>1390</v>
      </c>
      <c r="G31" s="30"/>
      <c r="H31" s="31"/>
      <c r="I31" s="21"/>
      <c r="J31" s="21"/>
      <c r="K31" s="21"/>
      <c r="L31" s="21"/>
      <c r="M31" s="21"/>
      <c r="N31" s="30"/>
      <c r="O31" s="21"/>
      <c r="P31" s="21"/>
      <c r="Q31" s="21"/>
      <c r="R31" s="32"/>
      <c r="S31" s="32"/>
      <c r="T31" s="21"/>
      <c r="U31" s="21"/>
      <c r="V31" s="21"/>
      <c r="W31" s="21"/>
      <c r="X31" s="21" t="s">
        <v>28</v>
      </c>
    </row>
    <row r="32" customFormat="false" ht="15.75" hidden="false" customHeight="false" outlineLevel="0" collapsed="false">
      <c r="A32" s="24" t="n">
        <v>7549</v>
      </c>
      <c r="B32" s="29" t="n">
        <v>45184</v>
      </c>
      <c r="C32" s="21" t="s">
        <v>84</v>
      </c>
      <c r="D32" s="21" t="s">
        <v>24</v>
      </c>
      <c r="E32" s="21" t="s">
        <v>34</v>
      </c>
      <c r="F32" s="21" t="s">
        <v>1391</v>
      </c>
      <c r="G32" s="30"/>
      <c r="H32" s="31"/>
      <c r="I32" s="21"/>
      <c r="J32" s="21"/>
      <c r="K32" s="21"/>
      <c r="L32" s="21"/>
      <c r="M32" s="21"/>
      <c r="N32" s="30"/>
      <c r="O32" s="21"/>
      <c r="P32" s="21"/>
      <c r="Q32" s="21"/>
      <c r="R32" s="32"/>
      <c r="S32" s="32"/>
      <c r="T32" s="21"/>
      <c r="U32" s="21"/>
      <c r="V32" s="21"/>
      <c r="W32" s="21"/>
      <c r="X32" s="21" t="s">
        <v>28</v>
      </c>
    </row>
    <row r="33" customFormat="false" ht="15.75" hidden="false" customHeight="false" outlineLevel="0" collapsed="false">
      <c r="A33" s="24" t="n">
        <v>7550</v>
      </c>
      <c r="B33" s="29" t="n">
        <v>45185</v>
      </c>
      <c r="C33" s="21" t="s">
        <v>188</v>
      </c>
      <c r="D33" s="21" t="s">
        <v>24</v>
      </c>
      <c r="E33" s="21" t="s">
        <v>34</v>
      </c>
      <c r="F33" s="21" t="s">
        <v>1392</v>
      </c>
      <c r="G33" s="30"/>
      <c r="H33" s="31"/>
      <c r="I33" s="21"/>
      <c r="J33" s="21"/>
      <c r="K33" s="21"/>
      <c r="L33" s="21"/>
      <c r="M33" s="21"/>
      <c r="N33" s="30"/>
      <c r="O33" s="21"/>
      <c r="P33" s="21"/>
      <c r="Q33" s="21"/>
      <c r="R33" s="32"/>
      <c r="S33" s="32"/>
      <c r="T33" s="21"/>
      <c r="U33" s="21"/>
      <c r="V33" s="21"/>
      <c r="W33" s="21"/>
      <c r="X33" s="21" t="s">
        <v>28</v>
      </c>
    </row>
    <row r="34" customFormat="false" ht="15.75" hidden="false" customHeight="false" outlineLevel="0" collapsed="false">
      <c r="A34" s="24" t="n">
        <v>7551</v>
      </c>
      <c r="B34" s="29" t="n">
        <v>45185</v>
      </c>
      <c r="C34" s="21" t="s">
        <v>188</v>
      </c>
      <c r="D34" s="21" t="s">
        <v>24</v>
      </c>
      <c r="E34" s="21" t="s">
        <v>34</v>
      </c>
      <c r="F34" s="21" t="s">
        <v>1393</v>
      </c>
      <c r="G34" s="30"/>
      <c r="H34" s="31"/>
      <c r="I34" s="21"/>
      <c r="J34" s="21"/>
      <c r="K34" s="21"/>
      <c r="L34" s="21"/>
      <c r="M34" s="21"/>
      <c r="N34" s="30"/>
      <c r="O34" s="21"/>
      <c r="P34" s="21"/>
      <c r="Q34" s="21"/>
      <c r="R34" s="32"/>
      <c r="S34" s="32"/>
      <c r="T34" s="21"/>
      <c r="U34" s="21"/>
      <c r="V34" s="21"/>
      <c r="W34" s="21"/>
      <c r="X34" s="21" t="s">
        <v>28</v>
      </c>
    </row>
    <row r="35" customFormat="false" ht="15.75" hidden="false" customHeight="false" outlineLevel="0" collapsed="false">
      <c r="A35" s="24" t="n">
        <v>7552</v>
      </c>
      <c r="B35" s="29" t="n">
        <v>45185</v>
      </c>
      <c r="C35" s="21" t="s">
        <v>136</v>
      </c>
      <c r="D35" s="21" t="s">
        <v>24</v>
      </c>
      <c r="E35" s="21" t="s">
        <v>34</v>
      </c>
      <c r="F35" s="21" t="s">
        <v>1394</v>
      </c>
      <c r="G35" s="30"/>
      <c r="H35" s="31"/>
      <c r="I35" s="21"/>
      <c r="J35" s="21"/>
      <c r="K35" s="21"/>
      <c r="L35" s="21"/>
      <c r="M35" s="21"/>
      <c r="N35" s="30"/>
      <c r="O35" s="21"/>
      <c r="P35" s="21"/>
      <c r="Q35" s="21"/>
      <c r="R35" s="32"/>
      <c r="S35" s="32"/>
      <c r="T35" s="21" t="s">
        <v>74</v>
      </c>
      <c r="U35" s="46" t="s">
        <v>28</v>
      </c>
      <c r="V35" s="46" t="s">
        <v>28</v>
      </c>
      <c r="W35" s="21" t="s">
        <v>36</v>
      </c>
      <c r="X35" s="21" t="s">
        <v>28</v>
      </c>
    </row>
    <row r="36" customFormat="false" ht="15.75" hidden="false" customHeight="false" outlineLevel="0" collapsed="false">
      <c r="A36" s="24" t="n">
        <v>7553</v>
      </c>
      <c r="B36" s="29" t="n">
        <v>45185</v>
      </c>
      <c r="C36" s="21" t="s">
        <v>136</v>
      </c>
      <c r="D36" s="21" t="s">
        <v>24</v>
      </c>
      <c r="E36" s="21" t="s">
        <v>34</v>
      </c>
      <c r="F36" s="21" t="s">
        <v>1395</v>
      </c>
      <c r="G36" s="30"/>
      <c r="H36" s="31"/>
      <c r="I36" s="21"/>
      <c r="J36" s="21"/>
      <c r="K36" s="21"/>
      <c r="L36" s="21"/>
      <c r="M36" s="21"/>
      <c r="N36" s="30"/>
      <c r="O36" s="21"/>
      <c r="P36" s="21"/>
      <c r="Q36" s="21"/>
      <c r="R36" s="32"/>
      <c r="S36" s="32"/>
      <c r="T36" s="21" t="s">
        <v>74</v>
      </c>
      <c r="U36" s="46" t="s">
        <v>28</v>
      </c>
      <c r="V36" s="46" t="s">
        <v>28</v>
      </c>
      <c r="W36" s="21" t="s">
        <v>36</v>
      </c>
      <c r="X36" s="21" t="s">
        <v>28</v>
      </c>
    </row>
    <row r="37" customFormat="false" ht="15.75" hidden="false" customHeight="false" outlineLevel="0" collapsed="false">
      <c r="A37" s="24" t="s">
        <v>1039</v>
      </c>
      <c r="B37" s="29" t="n">
        <v>45185</v>
      </c>
      <c r="C37" s="21" t="s">
        <v>136</v>
      </c>
      <c r="D37" s="21" t="s">
        <v>578</v>
      </c>
      <c r="E37" s="21" t="s">
        <v>34</v>
      </c>
      <c r="F37" s="21" t="s">
        <v>1396</v>
      </c>
      <c r="G37" s="30"/>
      <c r="H37" s="31"/>
      <c r="I37" s="21"/>
      <c r="J37" s="21"/>
      <c r="K37" s="21"/>
      <c r="L37" s="21"/>
      <c r="M37" s="21"/>
      <c r="N37" s="30"/>
      <c r="O37" s="21"/>
      <c r="P37" s="21"/>
      <c r="Q37" s="21"/>
      <c r="R37" s="32"/>
      <c r="S37" s="32"/>
      <c r="T37" s="21"/>
      <c r="U37" s="21"/>
      <c r="V37" s="21"/>
      <c r="W37" s="21"/>
      <c r="X37" s="21" t="s">
        <v>37</v>
      </c>
    </row>
    <row r="38" customFormat="false" ht="15.75" hidden="false" customHeight="false" outlineLevel="0" collapsed="false">
      <c r="A38" s="24" t="s">
        <v>1041</v>
      </c>
      <c r="B38" s="29" t="n">
        <v>45185</v>
      </c>
      <c r="C38" s="21" t="s">
        <v>136</v>
      </c>
      <c r="D38" s="21" t="s">
        <v>578</v>
      </c>
      <c r="E38" s="21" t="s">
        <v>34</v>
      </c>
      <c r="F38" s="21" t="s">
        <v>1396</v>
      </c>
      <c r="G38" s="30"/>
      <c r="H38" s="31"/>
      <c r="I38" s="21"/>
      <c r="J38" s="21"/>
      <c r="K38" s="21"/>
      <c r="L38" s="21"/>
      <c r="M38" s="21"/>
      <c r="N38" s="30"/>
      <c r="O38" s="21"/>
      <c r="P38" s="21"/>
      <c r="Q38" s="21"/>
      <c r="R38" s="32"/>
      <c r="S38" s="32"/>
      <c r="T38" s="21"/>
      <c r="U38" s="21"/>
      <c r="V38" s="21"/>
      <c r="W38" s="21"/>
      <c r="X38" s="21" t="s">
        <v>37</v>
      </c>
    </row>
    <row r="39" customFormat="false" ht="15.75" hidden="false" customHeight="false" outlineLevel="0" collapsed="false">
      <c r="A39" s="24" t="n">
        <v>7554</v>
      </c>
      <c r="B39" s="29" t="n">
        <v>45187</v>
      </c>
      <c r="C39" s="21" t="s">
        <v>357</v>
      </c>
      <c r="D39" s="21" t="s">
        <v>24</v>
      </c>
      <c r="E39" s="21" t="s">
        <v>34</v>
      </c>
      <c r="F39" s="21" t="s">
        <v>1397</v>
      </c>
      <c r="G39" s="30"/>
      <c r="H39" s="31"/>
      <c r="I39" s="21"/>
      <c r="J39" s="21"/>
      <c r="K39" s="21"/>
      <c r="L39" s="21"/>
      <c r="M39" s="21"/>
      <c r="N39" s="30"/>
      <c r="O39" s="21"/>
      <c r="P39" s="21"/>
      <c r="Q39" s="21"/>
      <c r="R39" s="32"/>
      <c r="S39" s="32"/>
      <c r="T39" s="21"/>
      <c r="U39" s="21"/>
      <c r="V39" s="21"/>
      <c r="W39" s="21"/>
      <c r="X39" s="21" t="s">
        <v>28</v>
      </c>
    </row>
    <row r="40" customFormat="false" ht="15.75" hidden="false" customHeight="false" outlineLevel="0" collapsed="false">
      <c r="A40" s="53" t="n">
        <v>2023080</v>
      </c>
      <c r="B40" s="49" t="n">
        <v>45184</v>
      </c>
      <c r="C40" s="25" t="s">
        <v>84</v>
      </c>
      <c r="D40" s="25" t="s">
        <v>290</v>
      </c>
      <c r="E40" s="25" t="s">
        <v>34</v>
      </c>
      <c r="F40" s="25" t="s">
        <v>1398</v>
      </c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 t="s">
        <v>37</v>
      </c>
    </row>
    <row r="41" customFormat="false" ht="15.75" hidden="false" customHeight="false" outlineLevel="0" collapsed="false">
      <c r="A41" s="19" t="n">
        <v>7554</v>
      </c>
      <c r="B41" s="14" t="n">
        <v>45188</v>
      </c>
      <c r="C41" s="16" t="s">
        <v>1328</v>
      </c>
      <c r="D41" s="21" t="s">
        <v>24</v>
      </c>
      <c r="E41" s="25" t="s">
        <v>34</v>
      </c>
      <c r="F41" s="25" t="s">
        <v>1399</v>
      </c>
      <c r="G41" s="16"/>
      <c r="H41" s="17" t="s">
        <v>28</v>
      </c>
      <c r="I41" s="16" t="s">
        <v>28</v>
      </c>
      <c r="J41" s="16" t="s">
        <v>29</v>
      </c>
      <c r="K41" s="16" t="s">
        <v>29</v>
      </c>
      <c r="L41" s="16" t="s">
        <v>1400</v>
      </c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 t="s">
        <v>28</v>
      </c>
    </row>
    <row r="42" customFormat="false" ht="15.75" hidden="false" customHeight="false" outlineLevel="0" collapsed="false">
      <c r="A42" s="19" t="n">
        <v>7555</v>
      </c>
      <c r="B42" s="14" t="n">
        <v>45189</v>
      </c>
      <c r="C42" s="16" t="s">
        <v>776</v>
      </c>
      <c r="D42" s="16" t="s">
        <v>24</v>
      </c>
      <c r="E42" s="25" t="s">
        <v>34</v>
      </c>
      <c r="F42" s="25" t="s">
        <v>1401</v>
      </c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 t="s">
        <v>28</v>
      </c>
    </row>
    <row r="43" customFormat="false" ht="15.75" hidden="false" customHeight="false" outlineLevel="0" collapsed="false">
      <c r="A43" s="42" t="n">
        <v>1860913</v>
      </c>
      <c r="B43" s="14" t="n">
        <v>45190</v>
      </c>
      <c r="C43" s="16" t="s">
        <v>78</v>
      </c>
      <c r="D43" s="16" t="s">
        <v>290</v>
      </c>
      <c r="E43" s="16" t="s">
        <v>25</v>
      </c>
      <c r="F43" s="16" t="s">
        <v>1402</v>
      </c>
      <c r="G43" s="16"/>
      <c r="H43" s="17" t="s">
        <v>28</v>
      </c>
      <c r="I43" s="16" t="s">
        <v>28</v>
      </c>
      <c r="J43" s="16" t="s">
        <v>29</v>
      </c>
      <c r="K43" s="16" t="s">
        <v>29</v>
      </c>
      <c r="L43" s="16" t="s">
        <v>29</v>
      </c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 t="s">
        <v>28</v>
      </c>
    </row>
    <row r="44" customFormat="false" ht="15.75" hidden="false" customHeight="false" outlineLevel="0" collapsed="false">
      <c r="A44" s="19" t="n">
        <v>7556</v>
      </c>
      <c r="B44" s="14" t="n">
        <v>45190</v>
      </c>
      <c r="C44" s="16" t="s">
        <v>412</v>
      </c>
      <c r="D44" s="16" t="s">
        <v>24</v>
      </c>
      <c r="E44" s="16" t="s">
        <v>25</v>
      </c>
      <c r="F44" s="16" t="s">
        <v>1403</v>
      </c>
      <c r="G44" s="16"/>
      <c r="H44" s="17" t="s">
        <v>28</v>
      </c>
      <c r="I44" s="16" t="s">
        <v>28</v>
      </c>
      <c r="J44" s="16" t="s">
        <v>29</v>
      </c>
      <c r="K44" s="16" t="s">
        <v>29</v>
      </c>
      <c r="L44" s="16" t="n">
        <v>754</v>
      </c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</row>
    <row r="45" customFormat="false" ht="15.75" hidden="false" customHeight="false" outlineLevel="0" collapsed="false">
      <c r="A45" s="19" t="n">
        <v>7557</v>
      </c>
      <c r="B45" s="14" t="n">
        <v>45190</v>
      </c>
      <c r="C45" s="16" t="s">
        <v>50</v>
      </c>
      <c r="D45" s="16" t="s">
        <v>24</v>
      </c>
      <c r="E45" s="16" t="s">
        <v>25</v>
      </c>
      <c r="F45" s="16" t="s">
        <v>1404</v>
      </c>
      <c r="G45" s="16"/>
      <c r="H45" s="17" t="s">
        <v>28</v>
      </c>
      <c r="I45" s="16" t="s">
        <v>28</v>
      </c>
      <c r="J45" s="16" t="s">
        <v>29</v>
      </c>
      <c r="K45" s="16" t="s">
        <v>29</v>
      </c>
      <c r="L45" s="16" t="n">
        <v>19506</v>
      </c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 t="s">
        <v>28</v>
      </c>
    </row>
    <row r="46" customFormat="false" ht="15.75" hidden="false" customHeight="false" outlineLevel="0" collapsed="false">
      <c r="A46" s="19" t="n">
        <v>7558</v>
      </c>
      <c r="B46" s="14" t="n">
        <v>45191</v>
      </c>
      <c r="C46" s="16" t="s">
        <v>1405</v>
      </c>
      <c r="D46" s="16" t="s">
        <v>24</v>
      </c>
      <c r="E46" s="16" t="s">
        <v>25</v>
      </c>
      <c r="F46" s="16" t="s">
        <v>127</v>
      </c>
      <c r="G46" s="16"/>
      <c r="H46" s="17" t="s">
        <v>28</v>
      </c>
      <c r="I46" s="16" t="s">
        <v>28</v>
      </c>
      <c r="J46" s="16" t="s">
        <v>29</v>
      </c>
      <c r="K46" s="16" t="s">
        <v>29</v>
      </c>
      <c r="L46" s="16" t="s">
        <v>29</v>
      </c>
      <c r="M46" s="16"/>
      <c r="N46" s="16"/>
      <c r="O46" s="16"/>
      <c r="P46" s="16"/>
      <c r="Q46" s="16"/>
      <c r="R46" s="16"/>
      <c r="S46" s="16"/>
      <c r="T46" s="16" t="s">
        <v>74</v>
      </c>
      <c r="U46" s="17" t="s">
        <v>28</v>
      </c>
      <c r="V46" s="17" t="s">
        <v>28</v>
      </c>
      <c r="W46" s="16" t="s">
        <v>36</v>
      </c>
      <c r="X46" s="16" t="s">
        <v>28</v>
      </c>
    </row>
    <row r="47" customFormat="false" ht="15.75" hidden="false" customHeight="false" outlineLevel="0" collapsed="false">
      <c r="A47" s="19" t="n">
        <v>7559</v>
      </c>
      <c r="B47" s="14" t="n">
        <v>45191</v>
      </c>
      <c r="C47" s="16" t="s">
        <v>867</v>
      </c>
      <c r="D47" s="16" t="s">
        <v>24</v>
      </c>
      <c r="E47" s="16" t="s">
        <v>25</v>
      </c>
      <c r="F47" s="16" t="s">
        <v>466</v>
      </c>
      <c r="G47" s="16"/>
      <c r="H47" s="17" t="s">
        <v>28</v>
      </c>
      <c r="I47" s="16" t="s">
        <v>28</v>
      </c>
      <c r="J47" s="16" t="s">
        <v>29</v>
      </c>
      <c r="K47" s="16" t="s">
        <v>29</v>
      </c>
      <c r="L47" s="16" t="s">
        <v>29</v>
      </c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 t="s">
        <v>28</v>
      </c>
    </row>
    <row r="48" customFormat="false" ht="15.75" hidden="false" customHeight="false" outlineLevel="0" collapsed="false">
      <c r="A48" s="19" t="n">
        <v>7560</v>
      </c>
      <c r="B48" s="14" t="n">
        <v>45191</v>
      </c>
      <c r="C48" s="16" t="s">
        <v>867</v>
      </c>
      <c r="D48" s="16" t="s">
        <v>24</v>
      </c>
      <c r="E48" s="16" t="s">
        <v>25</v>
      </c>
      <c r="F48" s="16" t="s">
        <v>466</v>
      </c>
      <c r="G48" s="16"/>
      <c r="H48" s="17" t="s">
        <v>28</v>
      </c>
      <c r="I48" s="16" t="s">
        <v>28</v>
      </c>
      <c r="J48" s="16" t="s">
        <v>29</v>
      </c>
      <c r="K48" s="16" t="s">
        <v>29</v>
      </c>
      <c r="L48" s="16" t="s">
        <v>29</v>
      </c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 t="s">
        <v>28</v>
      </c>
    </row>
    <row r="49" customFormat="false" ht="15.75" hidden="false" customHeight="false" outlineLevel="0" collapsed="false">
      <c r="A49" s="19" t="n">
        <v>7561</v>
      </c>
      <c r="B49" s="14" t="n">
        <v>45194</v>
      </c>
      <c r="C49" s="16" t="s">
        <v>1406</v>
      </c>
      <c r="D49" s="16" t="s">
        <v>24</v>
      </c>
      <c r="E49" s="16" t="s">
        <v>34</v>
      </c>
      <c r="F49" s="16" t="s">
        <v>1407</v>
      </c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 t="s">
        <v>28</v>
      </c>
    </row>
    <row r="50" customFormat="false" ht="15.75" hidden="false" customHeight="false" outlineLevel="0" collapsed="false">
      <c r="A50" s="19" t="n">
        <v>7562</v>
      </c>
      <c r="B50" s="14" t="n">
        <v>45196</v>
      </c>
      <c r="C50" s="16" t="s">
        <v>1408</v>
      </c>
      <c r="D50" s="16" t="s">
        <v>24</v>
      </c>
      <c r="E50" s="16" t="s">
        <v>25</v>
      </c>
      <c r="F50" s="16" t="s">
        <v>1409</v>
      </c>
      <c r="G50" s="16"/>
      <c r="H50" s="17" t="s">
        <v>28</v>
      </c>
      <c r="I50" s="16" t="s">
        <v>28</v>
      </c>
      <c r="J50" s="16" t="s">
        <v>1410</v>
      </c>
      <c r="K50" s="16"/>
      <c r="L50" s="16" t="s">
        <v>1411</v>
      </c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 t="s">
        <v>28</v>
      </c>
    </row>
    <row r="51" customFormat="false" ht="15.75" hidden="false" customHeight="false" outlineLevel="0" collapsed="false">
      <c r="A51" s="19" t="n">
        <v>7563</v>
      </c>
      <c r="B51" s="14" t="n">
        <v>45197</v>
      </c>
      <c r="C51" s="16" t="s">
        <v>776</v>
      </c>
      <c r="D51" s="16" t="s">
        <v>24</v>
      </c>
      <c r="E51" s="16" t="s">
        <v>34</v>
      </c>
      <c r="F51" s="16" t="s">
        <v>1412</v>
      </c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 t="s">
        <v>28</v>
      </c>
    </row>
    <row r="52" customFormat="false" ht="15.75" hidden="false" customHeight="false" outlineLevel="0" collapsed="false">
      <c r="A52" s="19" t="n">
        <v>7564</v>
      </c>
      <c r="B52" s="14" t="n">
        <v>45197</v>
      </c>
      <c r="C52" s="16" t="s">
        <v>465</v>
      </c>
      <c r="D52" s="16" t="s">
        <v>24</v>
      </c>
      <c r="E52" s="16" t="s">
        <v>34</v>
      </c>
      <c r="F52" s="16" t="s">
        <v>1413</v>
      </c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 t="s">
        <v>28</v>
      </c>
    </row>
    <row r="53" customFormat="false" ht="15.75" hidden="false" customHeight="false" outlineLevel="0" collapsed="false">
      <c r="A53" s="19" t="n">
        <v>7565</v>
      </c>
      <c r="B53" s="16" t="s">
        <v>1414</v>
      </c>
      <c r="C53" s="16" t="s">
        <v>23</v>
      </c>
      <c r="D53" s="16" t="s">
        <v>24</v>
      </c>
      <c r="E53" s="16" t="s">
        <v>25</v>
      </c>
      <c r="F53" s="16" t="s">
        <v>1415</v>
      </c>
      <c r="G53" s="16" t="s">
        <v>1416</v>
      </c>
      <c r="H53" s="17" t="s">
        <v>28</v>
      </c>
      <c r="I53" s="16" t="s">
        <v>28</v>
      </c>
      <c r="J53" s="16" t="s">
        <v>29</v>
      </c>
      <c r="K53" s="16" t="s">
        <v>29</v>
      </c>
      <c r="L53" s="16" t="s">
        <v>29</v>
      </c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 t="s">
        <v>28</v>
      </c>
    </row>
    <row r="54" customFormat="false" ht="15.75" hidden="false" customHeight="false" outlineLevel="0" collapsed="false">
      <c r="A54" s="19" t="n">
        <v>7566</v>
      </c>
      <c r="B54" s="14" t="n">
        <v>45198</v>
      </c>
      <c r="C54" s="16" t="s">
        <v>23</v>
      </c>
      <c r="D54" s="16" t="s">
        <v>24</v>
      </c>
      <c r="E54" s="16" t="s">
        <v>25</v>
      </c>
      <c r="F54" s="16" t="s">
        <v>1417</v>
      </c>
      <c r="G54" s="16" t="s">
        <v>1418</v>
      </c>
      <c r="H54" s="17" t="s">
        <v>28</v>
      </c>
      <c r="I54" s="16" t="s">
        <v>28</v>
      </c>
      <c r="J54" s="16" t="s">
        <v>29</v>
      </c>
      <c r="K54" s="16" t="s">
        <v>29</v>
      </c>
      <c r="L54" s="16" t="s">
        <v>29</v>
      </c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 t="s">
        <v>28</v>
      </c>
    </row>
    <row r="55" customFormat="false" ht="15.75" hidden="false" customHeight="false" outlineLevel="0" collapsed="false">
      <c r="A55" s="19" t="n">
        <v>7567</v>
      </c>
      <c r="B55" s="14" t="n">
        <v>45198</v>
      </c>
      <c r="C55" s="16" t="s">
        <v>41</v>
      </c>
      <c r="D55" s="16" t="s">
        <v>24</v>
      </c>
      <c r="E55" s="16" t="s">
        <v>25</v>
      </c>
      <c r="F55" s="16" t="s">
        <v>1419</v>
      </c>
      <c r="G55" s="16" t="s">
        <v>1420</v>
      </c>
      <c r="H55" s="17" t="s">
        <v>28</v>
      </c>
      <c r="I55" s="16" t="s">
        <v>28</v>
      </c>
      <c r="J55" s="16" t="s">
        <v>29</v>
      </c>
      <c r="K55" s="16" t="s">
        <v>29</v>
      </c>
      <c r="L55" s="16" t="s">
        <v>29</v>
      </c>
      <c r="M55" s="16"/>
      <c r="N55" s="16"/>
      <c r="O55" s="16"/>
      <c r="P55" s="16"/>
      <c r="Q55" s="16"/>
      <c r="R55" s="16"/>
      <c r="S55" s="16"/>
      <c r="T55" s="16" t="s">
        <v>74</v>
      </c>
      <c r="U55" s="17" t="s">
        <v>28</v>
      </c>
      <c r="V55" s="17" t="s">
        <v>28</v>
      </c>
      <c r="W55" s="16" t="s">
        <v>36</v>
      </c>
      <c r="X55" s="16" t="s">
        <v>28</v>
      </c>
    </row>
    <row r="56" customFormat="false" ht="15.75" hidden="false" customHeight="false" outlineLevel="0" collapsed="false">
      <c r="A56" s="19"/>
      <c r="B56" s="14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</row>
    <row r="57" customFormat="false" ht="15.75" hidden="false" customHeight="false" outlineLevel="0" collapsed="false">
      <c r="A57" s="24"/>
      <c r="B57" s="49"/>
      <c r="C57" s="25"/>
      <c r="D57" s="25"/>
      <c r="E57" s="25"/>
      <c r="F57" s="25"/>
      <c r="G57" s="25"/>
      <c r="H57" s="25"/>
      <c r="I57" s="25"/>
      <c r="J57" s="25"/>
      <c r="K57" s="25"/>
      <c r="L57" s="50"/>
      <c r="M57" s="25"/>
      <c r="N57" s="25"/>
      <c r="O57" s="25"/>
      <c r="P57" s="25"/>
      <c r="R57" s="25"/>
      <c r="S57" s="25"/>
      <c r="T57" s="25"/>
      <c r="U57" s="25"/>
      <c r="V57" s="25"/>
      <c r="W57" s="25"/>
      <c r="X57" s="25"/>
    </row>
    <row r="58" customFormat="false" ht="15.75" hidden="false" customHeight="false" outlineLevel="0" collapsed="false">
      <c r="A58" s="19"/>
      <c r="B58" s="14"/>
      <c r="C58" s="16"/>
      <c r="D58" s="16"/>
      <c r="E58" s="16"/>
      <c r="F58" s="16"/>
      <c r="G58" s="16"/>
      <c r="H58" s="16"/>
      <c r="I58" s="16"/>
      <c r="J58" s="16"/>
      <c r="K58" s="16"/>
      <c r="L58" s="23"/>
      <c r="M58" s="16"/>
      <c r="N58" s="16"/>
      <c r="O58" s="16"/>
      <c r="P58" s="16"/>
      <c r="R58" s="16"/>
      <c r="S58" s="16"/>
      <c r="T58" s="16"/>
      <c r="U58" s="16"/>
      <c r="V58" s="16"/>
      <c r="W58" s="16"/>
      <c r="X58" s="16"/>
    </row>
    <row r="59" customFormat="false" ht="15.75" hidden="false" customHeight="false" outlineLevel="0" collapsed="false">
      <c r="A59" s="19"/>
      <c r="B59" s="14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</row>
    <row r="60" customFormat="false" ht="15.75" hidden="false" customHeight="false" outlineLevel="0" collapsed="false">
      <c r="A60" s="19"/>
      <c r="B60" s="14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</row>
    <row r="61" customFormat="false" ht="15.75" hidden="false" customHeight="false" outlineLevel="0" collapsed="false">
      <c r="A61" s="19"/>
      <c r="B61" s="14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</row>
    <row r="62" customFormat="false" ht="15.75" hidden="false" customHeight="false" outlineLevel="0" collapsed="false">
      <c r="A62" s="19"/>
      <c r="B62" s="14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</row>
    <row r="63" customFormat="false" ht="15.75" hidden="false" customHeight="false" outlineLevel="0" collapsed="false">
      <c r="A63" s="19"/>
      <c r="B63" s="14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</row>
    <row r="64" customFormat="false" ht="15.75" hidden="false" customHeight="false" outlineLevel="0" collapsed="false">
      <c r="A64" s="19"/>
      <c r="B64" s="14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</row>
    <row r="65" customFormat="false" ht="15.75" hidden="false" customHeight="false" outlineLevel="0" collapsed="false">
      <c r="A65" s="19"/>
      <c r="B65" s="14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</row>
    <row r="66" customFormat="false" ht="15.75" hidden="false" customHeight="false" outlineLevel="0" collapsed="false">
      <c r="A66" s="19"/>
      <c r="B66" s="14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</row>
    <row r="67" customFormat="false" ht="15.75" hidden="false" customHeight="false" outlineLevel="0" collapsed="false">
      <c r="A67" s="24"/>
      <c r="B67" s="29"/>
      <c r="C67" s="21"/>
      <c r="D67" s="21"/>
      <c r="E67" s="21"/>
      <c r="F67" s="21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</row>
    <row r="68" customFormat="false" ht="15.75" hidden="false" customHeight="false" outlineLevel="0" collapsed="false">
      <c r="A68" s="19"/>
      <c r="B68" s="14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</row>
    <row r="69" customFormat="false" ht="15.75" hidden="false" customHeight="false" outlineLevel="0" collapsed="false">
      <c r="A69" s="19"/>
      <c r="B69" s="14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</row>
    <row r="70" customFormat="false" ht="15.75" hidden="false" customHeight="false" outlineLevel="0" collapsed="false">
      <c r="A70" s="42"/>
      <c r="B70" s="14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</row>
    <row r="71" customFormat="false" ht="15.75" hidden="false" customHeight="false" outlineLevel="0" collapsed="false">
      <c r="A71" s="19"/>
      <c r="B71" s="14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S71" s="16"/>
      <c r="T71" s="16"/>
      <c r="U71" s="16"/>
      <c r="V71" s="16"/>
      <c r="W71" s="16"/>
      <c r="X71" s="16"/>
    </row>
    <row r="72" customFormat="false" ht="15.75" hidden="false" customHeight="false" outlineLevel="0" collapsed="false">
      <c r="A72" s="19"/>
      <c r="B72" s="14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</row>
    <row r="73" customFormat="false" ht="15.75" hidden="false" customHeight="false" outlineLevel="0" collapsed="false">
      <c r="A73" s="19"/>
      <c r="B73" s="14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</row>
    <row r="74" customFormat="false" ht="15.75" hidden="false" customHeight="false" outlineLevel="0" collapsed="false">
      <c r="A74" s="24"/>
      <c r="B74" s="49"/>
      <c r="C74" s="25"/>
      <c r="D74" s="25"/>
      <c r="E74" s="25"/>
      <c r="F74" s="25"/>
      <c r="G74" s="25"/>
      <c r="H74" s="25"/>
      <c r="I74" s="25"/>
      <c r="J74" s="25"/>
      <c r="K74" s="25"/>
      <c r="L74" s="50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</row>
    <row r="75" customFormat="false" ht="15.75" hidden="false" customHeight="false" outlineLevel="0" collapsed="false">
      <c r="A75" s="19"/>
      <c r="B75" s="14"/>
      <c r="C75" s="16"/>
      <c r="D75" s="16"/>
      <c r="E75" s="16"/>
      <c r="F75" s="16"/>
      <c r="G75" s="16"/>
      <c r="H75" s="16"/>
      <c r="I75" s="16"/>
      <c r="J75" s="16"/>
      <c r="K75" s="16"/>
      <c r="L75" s="23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</row>
    <row r="76" customFormat="false" ht="15.75" hidden="false" customHeight="false" outlineLevel="0" collapsed="false">
      <c r="A76" s="19"/>
      <c r="B76" s="14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</row>
    <row r="77" customFormat="false" ht="15.75" hidden="false" customHeight="false" outlineLevel="0" collapsed="false">
      <c r="A77" s="19"/>
      <c r="B77" s="14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</row>
    <row r="78" customFormat="false" ht="15.75" hidden="false" customHeight="false" outlineLevel="0" collapsed="false">
      <c r="A78" s="19"/>
      <c r="B78" s="14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</row>
    <row r="79" customFormat="false" ht="15.75" hidden="false" customHeight="false" outlineLevel="0" collapsed="false">
      <c r="A79" s="19"/>
      <c r="B79" s="14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</row>
    <row r="80" customFormat="false" ht="15.75" hidden="false" customHeight="false" outlineLevel="0" collapsed="false">
      <c r="A80" s="42"/>
      <c r="B80" s="14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</row>
    <row r="81" customFormat="false" ht="15.75" hidden="false" customHeight="false" outlineLevel="0" collapsed="false">
      <c r="A81" s="19"/>
      <c r="B81" s="14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</row>
    <row r="82" customFormat="false" ht="15.75" hidden="false" customHeight="false" outlineLevel="0" collapsed="false">
      <c r="A82" s="19"/>
      <c r="B82" s="14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</row>
    <row r="83" customFormat="false" ht="15.75" hidden="false" customHeight="false" outlineLevel="0" collapsed="false">
      <c r="A83" s="19"/>
      <c r="B83" s="14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</row>
    <row r="84" customFormat="false" ht="15.75" hidden="false" customHeight="false" outlineLevel="0" collapsed="false">
      <c r="A84" s="19"/>
      <c r="B84" s="14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</row>
    <row r="85" customFormat="false" ht="15.75" hidden="false" customHeight="false" outlineLevel="0" collapsed="false">
      <c r="A85" s="19"/>
      <c r="B85" s="14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</row>
    <row r="86" customFormat="false" ht="15.75" hidden="false" customHeight="false" outlineLevel="0" collapsed="false">
      <c r="A86" s="19"/>
      <c r="B86" s="14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</row>
    <row r="87" customFormat="false" ht="15.75" hidden="false" customHeight="false" outlineLevel="0" collapsed="false">
      <c r="A87" s="19"/>
      <c r="B87" s="14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</row>
    <row r="88" customFormat="false" ht="15.75" hidden="false" customHeight="false" outlineLevel="0" collapsed="false">
      <c r="A88" s="19"/>
      <c r="B88" s="14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</row>
    <row r="89" customFormat="false" ht="15.75" hidden="false" customHeight="false" outlineLevel="0" collapsed="false">
      <c r="A89" s="19"/>
      <c r="B89" s="14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</row>
    <row r="90" customFormat="false" ht="15.75" hidden="false" customHeight="false" outlineLevel="0" collapsed="false">
      <c r="A90" s="19"/>
      <c r="B90" s="14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</row>
    <row r="91" customFormat="false" ht="15.75" hidden="false" customHeight="false" outlineLevel="0" collapsed="false">
      <c r="A91" s="24"/>
      <c r="B91" s="14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</row>
    <row r="92" customFormat="false" ht="15.75" hidden="false" customHeight="false" outlineLevel="0" collapsed="false">
      <c r="A92" s="19"/>
      <c r="B92" s="14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</row>
    <row r="93" customFormat="false" ht="15.75" hidden="false" customHeight="false" outlineLevel="0" collapsed="false">
      <c r="A93" s="19"/>
      <c r="B93" s="14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</row>
    <row r="94" customFormat="false" ht="15.75" hidden="false" customHeight="false" outlineLevel="0" collapsed="false">
      <c r="A94" s="19"/>
      <c r="B94" s="14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</row>
    <row r="95" customFormat="false" ht="15.75" hidden="false" customHeight="false" outlineLevel="0" collapsed="false">
      <c r="A95" s="13"/>
      <c r="B95" s="14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</row>
    <row r="96" customFormat="false" ht="15.75" hidden="false" customHeight="false" outlineLevel="0" collapsed="false">
      <c r="A96" s="13"/>
      <c r="B96" s="14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</row>
    <row r="97" customFormat="false" ht="15.75" hidden="false" customHeight="false" outlineLevel="0" collapsed="false">
      <c r="A97" s="13"/>
      <c r="B97" s="14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</row>
    <row r="98" customFormat="false" ht="15.75" hidden="false" customHeight="false" outlineLevel="0" collapsed="false">
      <c r="A98" s="13"/>
      <c r="B98" s="14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</row>
    <row r="99" customFormat="false" ht="15.75" hidden="false" customHeight="false" outlineLevel="0" collapsed="false">
      <c r="A99" s="13"/>
      <c r="B99" s="14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</row>
    <row r="100" customFormat="false" ht="15.75" hidden="false" customHeight="false" outlineLevel="0" collapsed="false">
      <c r="A100" s="13"/>
      <c r="B100" s="14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</row>
    <row r="101" customFormat="false" ht="15.75" hidden="false" customHeight="false" outlineLevel="0" collapsed="false">
      <c r="A101" s="13"/>
      <c r="B101" s="14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</row>
    <row r="102" customFormat="false" ht="15.75" hidden="false" customHeight="false" outlineLevel="0" collapsed="false">
      <c r="A102" s="13"/>
      <c r="B102" s="14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</row>
    <row r="103" customFormat="false" ht="15.75" hidden="false" customHeight="false" outlineLevel="0" collapsed="false">
      <c r="A103" s="13"/>
      <c r="B103" s="14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</row>
    <row r="104" customFormat="false" ht="15.75" hidden="false" customHeight="false" outlineLevel="0" collapsed="false">
      <c r="A104" s="13"/>
      <c r="B104" s="14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</row>
    <row r="105" customFormat="false" ht="15.75" hidden="false" customHeight="false" outlineLevel="0" collapsed="false">
      <c r="A105" s="13"/>
      <c r="B105" s="14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</row>
    <row r="106" customFormat="false" ht="15.75" hidden="false" customHeight="false" outlineLevel="0" collapsed="false">
      <c r="A106" s="13"/>
      <c r="B106" s="14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</row>
    <row r="107" customFormat="false" ht="15.75" hidden="false" customHeight="false" outlineLevel="0" collapsed="false">
      <c r="A107" s="13"/>
      <c r="B107" s="14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</row>
    <row r="108" customFormat="false" ht="15.75" hidden="false" customHeight="false" outlineLevel="0" collapsed="false">
      <c r="A108" s="12"/>
      <c r="B108" s="34"/>
      <c r="C108" s="12"/>
      <c r="D108" s="12"/>
      <c r="E108" s="12"/>
      <c r="F108" s="12"/>
      <c r="G108" s="18"/>
      <c r="H108" s="35"/>
      <c r="I108" s="12"/>
      <c r="N108" s="18"/>
      <c r="O108" s="12"/>
      <c r="P108" s="12"/>
      <c r="Q108" s="12"/>
      <c r="R108" s="36"/>
      <c r="S108" s="36"/>
      <c r="T108" s="12"/>
      <c r="U108" s="12"/>
      <c r="V108" s="12"/>
      <c r="W108" s="12"/>
      <c r="X108" s="12"/>
    </row>
    <row r="109" customFormat="false" ht="15.75" hidden="false" customHeight="false" outlineLevel="0" collapsed="false">
      <c r="A109" s="12"/>
      <c r="B109" s="34"/>
      <c r="C109" s="12"/>
      <c r="D109" s="12"/>
      <c r="E109" s="12"/>
      <c r="F109" s="12"/>
      <c r="G109" s="18"/>
      <c r="H109" s="35"/>
      <c r="I109" s="12"/>
      <c r="N109" s="18"/>
      <c r="O109" s="12"/>
      <c r="P109" s="12"/>
      <c r="Q109" s="12"/>
      <c r="R109" s="36"/>
      <c r="S109" s="36"/>
      <c r="T109" s="12"/>
      <c r="U109" s="12"/>
      <c r="V109" s="12"/>
      <c r="W109" s="12"/>
      <c r="X109" s="12"/>
    </row>
    <row r="110" customFormat="false" ht="15.75" hidden="false" customHeight="false" outlineLevel="0" collapsed="false">
      <c r="A110" s="12"/>
      <c r="B110" s="34"/>
      <c r="C110" s="12"/>
      <c r="D110" s="12"/>
      <c r="E110" s="12"/>
      <c r="F110" s="12"/>
      <c r="G110" s="18"/>
      <c r="H110" s="35"/>
      <c r="I110" s="12"/>
      <c r="N110" s="18"/>
      <c r="O110" s="12"/>
      <c r="P110" s="12"/>
      <c r="Q110" s="12"/>
      <c r="R110" s="36"/>
      <c r="S110" s="36"/>
      <c r="T110" s="12"/>
      <c r="U110" s="12"/>
      <c r="V110" s="12"/>
      <c r="W110" s="12"/>
      <c r="X110" s="12"/>
    </row>
    <row r="111" customFormat="false" ht="15.75" hidden="false" customHeight="false" outlineLevel="0" collapsed="false">
      <c r="A111" s="12"/>
      <c r="B111" s="34"/>
      <c r="C111" s="12"/>
      <c r="D111" s="12"/>
      <c r="E111" s="12"/>
      <c r="F111" s="12"/>
      <c r="G111" s="18"/>
      <c r="H111" s="35"/>
      <c r="I111" s="12"/>
      <c r="N111" s="18"/>
      <c r="O111" s="12"/>
      <c r="P111" s="12"/>
      <c r="Q111" s="12"/>
      <c r="R111" s="36"/>
      <c r="S111" s="36"/>
      <c r="T111" s="12"/>
      <c r="U111" s="12"/>
      <c r="V111" s="12"/>
      <c r="W111" s="12"/>
      <c r="X111" s="12"/>
    </row>
    <row r="112" customFormat="false" ht="15.75" hidden="false" customHeight="false" outlineLevel="0" collapsed="false">
      <c r="A112" s="12"/>
      <c r="B112" s="34"/>
      <c r="C112" s="12"/>
      <c r="D112" s="12"/>
      <c r="E112" s="12"/>
      <c r="F112" s="12"/>
      <c r="G112" s="18"/>
      <c r="H112" s="35"/>
      <c r="I112" s="12"/>
      <c r="N112" s="18"/>
      <c r="O112" s="12"/>
      <c r="P112" s="12"/>
      <c r="Q112" s="12"/>
      <c r="R112" s="36"/>
      <c r="S112" s="36"/>
      <c r="T112" s="12"/>
      <c r="U112" s="12"/>
      <c r="V112" s="12"/>
      <c r="W112" s="12"/>
      <c r="X112" s="12"/>
    </row>
    <row r="113" customFormat="false" ht="15.75" hidden="false" customHeight="false" outlineLevel="0" collapsed="false">
      <c r="A113" s="12"/>
      <c r="B113" s="34"/>
      <c r="C113" s="12"/>
      <c r="D113" s="12"/>
      <c r="E113" s="12"/>
      <c r="F113" s="12"/>
      <c r="G113" s="18"/>
      <c r="H113" s="35"/>
      <c r="I113" s="12"/>
      <c r="N113" s="18"/>
      <c r="O113" s="12"/>
      <c r="P113" s="12"/>
      <c r="Q113" s="12"/>
      <c r="R113" s="36"/>
      <c r="S113" s="36"/>
      <c r="T113" s="12"/>
      <c r="U113" s="12"/>
      <c r="V113" s="12"/>
      <c r="W113" s="12"/>
      <c r="X113" s="12"/>
    </row>
    <row r="114" customFormat="false" ht="15.75" hidden="false" customHeight="false" outlineLevel="0" collapsed="false">
      <c r="A114" s="12"/>
      <c r="B114" s="34"/>
      <c r="C114" s="12"/>
      <c r="D114" s="12"/>
      <c r="E114" s="12"/>
      <c r="F114" s="12"/>
      <c r="G114" s="18"/>
      <c r="H114" s="35"/>
      <c r="I114" s="12"/>
      <c r="N114" s="18"/>
      <c r="O114" s="12"/>
      <c r="P114" s="12"/>
      <c r="Q114" s="12"/>
      <c r="R114" s="36"/>
      <c r="S114" s="36"/>
      <c r="T114" s="12"/>
      <c r="U114" s="12"/>
      <c r="V114" s="12"/>
      <c r="W114" s="12"/>
      <c r="X114" s="12"/>
    </row>
    <row r="115" customFormat="false" ht="15.75" hidden="false" customHeight="false" outlineLevel="0" collapsed="false">
      <c r="A115" s="12"/>
      <c r="B115" s="34"/>
      <c r="C115" s="12"/>
      <c r="D115" s="12"/>
      <c r="E115" s="12"/>
      <c r="F115" s="12"/>
      <c r="G115" s="18"/>
      <c r="H115" s="35"/>
      <c r="I115" s="12"/>
      <c r="N115" s="18"/>
      <c r="O115" s="12"/>
      <c r="P115" s="12"/>
      <c r="Q115" s="12"/>
      <c r="R115" s="36"/>
      <c r="S115" s="36"/>
      <c r="T115" s="12"/>
      <c r="U115" s="12"/>
      <c r="V115" s="12"/>
      <c r="W115" s="12"/>
      <c r="X115" s="12"/>
    </row>
    <row r="116" customFormat="false" ht="15.75" hidden="false" customHeight="false" outlineLevel="0" collapsed="false">
      <c r="A116" s="12"/>
      <c r="B116" s="34"/>
      <c r="C116" s="12"/>
      <c r="D116" s="12"/>
      <c r="E116" s="12"/>
      <c r="F116" s="12"/>
      <c r="G116" s="18"/>
      <c r="H116" s="35"/>
      <c r="I116" s="12"/>
      <c r="N116" s="18"/>
      <c r="O116" s="12"/>
      <c r="P116" s="12"/>
      <c r="Q116" s="12"/>
      <c r="R116" s="36"/>
      <c r="S116" s="36"/>
      <c r="T116" s="12"/>
      <c r="U116" s="12"/>
      <c r="V116" s="12"/>
      <c r="W116" s="12"/>
      <c r="X116" s="12"/>
    </row>
    <row r="117" customFormat="false" ht="15.75" hidden="false" customHeight="false" outlineLevel="0" collapsed="false">
      <c r="A117" s="12"/>
      <c r="B117" s="34"/>
      <c r="C117" s="12"/>
      <c r="D117" s="12"/>
      <c r="E117" s="12"/>
      <c r="F117" s="12"/>
      <c r="G117" s="18"/>
      <c r="H117" s="35"/>
      <c r="I117" s="12"/>
      <c r="N117" s="18"/>
      <c r="O117" s="12"/>
      <c r="P117" s="12"/>
      <c r="Q117" s="12"/>
      <c r="R117" s="36"/>
      <c r="S117" s="36"/>
      <c r="T117" s="12"/>
      <c r="U117" s="12"/>
      <c r="V117" s="12"/>
      <c r="W117" s="12"/>
      <c r="X117" s="12"/>
    </row>
    <row r="118" customFormat="false" ht="15.75" hidden="false" customHeight="false" outlineLevel="0" collapsed="false">
      <c r="A118" s="12"/>
      <c r="B118" s="34"/>
      <c r="C118" s="12"/>
      <c r="D118" s="12"/>
      <c r="E118" s="12"/>
      <c r="F118" s="12"/>
      <c r="G118" s="18"/>
      <c r="H118" s="35"/>
      <c r="I118" s="12"/>
      <c r="N118" s="18"/>
      <c r="O118" s="12"/>
      <c r="P118" s="12"/>
      <c r="Q118" s="12"/>
      <c r="R118" s="36"/>
      <c r="S118" s="36"/>
      <c r="T118" s="12"/>
      <c r="U118" s="12"/>
      <c r="V118" s="12"/>
      <c r="W118" s="12"/>
      <c r="X118" s="12"/>
    </row>
    <row r="119" customFormat="false" ht="15.75" hidden="false" customHeight="false" outlineLevel="0" collapsed="false">
      <c r="A119" s="12"/>
      <c r="B119" s="34"/>
      <c r="C119" s="12"/>
      <c r="D119" s="12"/>
      <c r="E119" s="12"/>
      <c r="F119" s="12"/>
      <c r="G119" s="18"/>
      <c r="H119" s="35"/>
      <c r="I119" s="12"/>
      <c r="N119" s="18"/>
      <c r="O119" s="12"/>
      <c r="P119" s="12"/>
      <c r="Q119" s="12"/>
      <c r="R119" s="36"/>
      <c r="S119" s="36"/>
      <c r="T119" s="12"/>
      <c r="U119" s="12"/>
      <c r="V119" s="12"/>
      <c r="W119" s="12"/>
      <c r="X119" s="12"/>
    </row>
    <row r="120" customFormat="false" ht="15.75" hidden="false" customHeight="false" outlineLevel="0" collapsed="false">
      <c r="A120" s="12"/>
      <c r="B120" s="34"/>
      <c r="C120" s="12"/>
      <c r="D120" s="12"/>
      <c r="E120" s="12"/>
      <c r="F120" s="12"/>
      <c r="G120" s="18"/>
      <c r="H120" s="35"/>
      <c r="I120" s="12"/>
      <c r="N120" s="18"/>
      <c r="O120" s="12"/>
      <c r="P120" s="12"/>
      <c r="Q120" s="12"/>
      <c r="R120" s="36"/>
      <c r="S120" s="36"/>
      <c r="T120" s="12"/>
      <c r="U120" s="12"/>
      <c r="V120" s="12"/>
      <c r="W120" s="12"/>
      <c r="X120" s="12"/>
    </row>
    <row r="121" customFormat="false" ht="15.75" hidden="false" customHeight="false" outlineLevel="0" collapsed="false">
      <c r="A121" s="12"/>
      <c r="B121" s="34"/>
      <c r="C121" s="12"/>
      <c r="D121" s="12"/>
      <c r="E121" s="12"/>
      <c r="F121" s="12"/>
      <c r="G121" s="18"/>
      <c r="H121" s="35"/>
      <c r="I121" s="12"/>
      <c r="N121" s="18"/>
      <c r="O121" s="12"/>
      <c r="P121" s="12"/>
      <c r="Q121" s="12"/>
      <c r="R121" s="36"/>
      <c r="S121" s="36"/>
      <c r="T121" s="12"/>
      <c r="U121" s="12"/>
      <c r="V121" s="12"/>
      <c r="W121" s="12"/>
      <c r="X121" s="12"/>
    </row>
    <row r="122" customFormat="false" ht="15.75" hidden="false" customHeight="false" outlineLevel="0" collapsed="false">
      <c r="A122" s="12"/>
      <c r="B122" s="34"/>
      <c r="C122" s="12"/>
      <c r="D122" s="12"/>
      <c r="E122" s="12"/>
      <c r="F122" s="12"/>
      <c r="G122" s="18"/>
      <c r="H122" s="35"/>
      <c r="I122" s="12"/>
      <c r="N122" s="18"/>
      <c r="O122" s="12"/>
      <c r="P122" s="12"/>
      <c r="Q122" s="12"/>
      <c r="R122" s="36"/>
      <c r="S122" s="36"/>
      <c r="T122" s="12"/>
      <c r="U122" s="12"/>
      <c r="V122" s="12"/>
      <c r="W122" s="12"/>
      <c r="X122" s="12"/>
    </row>
    <row r="123" customFormat="false" ht="15.75" hidden="false" customHeight="false" outlineLevel="0" collapsed="false">
      <c r="A123" s="12"/>
      <c r="B123" s="34"/>
      <c r="C123" s="12"/>
      <c r="D123" s="12"/>
      <c r="E123" s="12"/>
      <c r="F123" s="12"/>
      <c r="G123" s="18"/>
      <c r="H123" s="35"/>
      <c r="I123" s="12"/>
      <c r="N123" s="18"/>
      <c r="O123" s="12"/>
      <c r="P123" s="12"/>
      <c r="Q123" s="12"/>
      <c r="R123" s="36"/>
      <c r="S123" s="36"/>
      <c r="T123" s="12"/>
      <c r="U123" s="12"/>
      <c r="V123" s="12"/>
      <c r="W123" s="12"/>
      <c r="X123" s="12"/>
    </row>
    <row r="124" customFormat="false" ht="15.75" hidden="false" customHeight="false" outlineLevel="0" collapsed="false">
      <c r="A124" s="12"/>
      <c r="B124" s="34"/>
      <c r="C124" s="12"/>
      <c r="D124" s="12"/>
      <c r="E124" s="12"/>
      <c r="F124" s="12"/>
      <c r="G124" s="18"/>
      <c r="H124" s="35"/>
      <c r="I124" s="12"/>
      <c r="M124" s="12"/>
      <c r="N124" s="18"/>
      <c r="O124" s="12"/>
      <c r="P124" s="12"/>
      <c r="Q124" s="12"/>
      <c r="R124" s="36"/>
      <c r="S124" s="36"/>
      <c r="T124" s="12"/>
      <c r="U124" s="12"/>
      <c r="V124" s="12"/>
      <c r="W124" s="12"/>
      <c r="X124" s="12"/>
    </row>
    <row r="125" customFormat="false" ht="15.75" hidden="false" customHeight="false" outlineLevel="0" collapsed="false">
      <c r="A125" s="12"/>
      <c r="B125" s="34"/>
      <c r="C125" s="12"/>
      <c r="D125" s="12"/>
      <c r="E125" s="12"/>
      <c r="F125" s="12"/>
      <c r="G125" s="18"/>
      <c r="H125" s="35"/>
      <c r="I125" s="12"/>
      <c r="M125" s="12"/>
      <c r="N125" s="18"/>
      <c r="O125" s="12"/>
      <c r="P125" s="12"/>
      <c r="Q125" s="12"/>
      <c r="R125" s="36"/>
      <c r="S125" s="36"/>
      <c r="T125" s="12"/>
      <c r="U125" s="12"/>
      <c r="V125" s="12"/>
      <c r="W125" s="12"/>
      <c r="X125" s="12"/>
    </row>
    <row r="126" customFormat="false" ht="15.75" hidden="false" customHeight="false" outlineLevel="0" collapsed="false">
      <c r="A126" s="12"/>
      <c r="B126" s="34"/>
      <c r="C126" s="12"/>
      <c r="D126" s="12"/>
      <c r="E126" s="12"/>
      <c r="F126" s="12"/>
      <c r="G126" s="18"/>
      <c r="H126" s="35"/>
      <c r="I126" s="12"/>
      <c r="M126" s="12"/>
      <c r="N126" s="18"/>
      <c r="O126" s="12"/>
      <c r="P126" s="12"/>
      <c r="Q126" s="12"/>
      <c r="R126" s="36"/>
      <c r="S126" s="36"/>
      <c r="T126" s="12"/>
      <c r="U126" s="12"/>
      <c r="V126" s="12"/>
      <c r="W126" s="12"/>
      <c r="X126" s="12"/>
    </row>
    <row r="127" customFormat="false" ht="15.75" hidden="false" customHeight="false" outlineLevel="0" collapsed="false">
      <c r="A127" s="12"/>
      <c r="B127" s="34"/>
      <c r="C127" s="12"/>
      <c r="D127" s="12"/>
      <c r="E127" s="12"/>
      <c r="F127" s="12"/>
      <c r="G127" s="18"/>
      <c r="H127" s="35"/>
      <c r="I127" s="12"/>
      <c r="M127" s="12"/>
      <c r="N127" s="18"/>
      <c r="O127" s="12"/>
      <c r="P127" s="12"/>
      <c r="Q127" s="12"/>
      <c r="R127" s="36"/>
      <c r="S127" s="36"/>
      <c r="T127" s="12"/>
      <c r="U127" s="12"/>
      <c r="V127" s="12"/>
      <c r="W127" s="12"/>
      <c r="X127" s="12"/>
    </row>
    <row r="128" customFormat="false" ht="15.75" hidden="false" customHeight="false" outlineLevel="0" collapsed="false">
      <c r="A128" s="12"/>
      <c r="B128" s="34"/>
      <c r="C128" s="12"/>
      <c r="D128" s="12"/>
      <c r="E128" s="12"/>
      <c r="F128" s="12"/>
      <c r="G128" s="18"/>
      <c r="H128" s="35"/>
      <c r="I128" s="12"/>
      <c r="M128" s="12"/>
      <c r="N128" s="18"/>
      <c r="O128" s="12"/>
      <c r="P128" s="12"/>
      <c r="Q128" s="12"/>
      <c r="R128" s="36"/>
      <c r="S128" s="36"/>
      <c r="T128" s="12"/>
      <c r="U128" s="12"/>
      <c r="V128" s="12"/>
      <c r="W128" s="12"/>
      <c r="X128" s="12"/>
    </row>
    <row r="129" customFormat="false" ht="15.75" hidden="false" customHeight="false" outlineLevel="0" collapsed="false">
      <c r="A129" s="12"/>
      <c r="B129" s="34"/>
      <c r="C129" s="12"/>
      <c r="D129" s="12"/>
      <c r="E129" s="12"/>
      <c r="F129" s="12"/>
      <c r="G129" s="18"/>
      <c r="H129" s="35"/>
      <c r="I129" s="12"/>
      <c r="M129" s="12"/>
      <c r="N129" s="18"/>
      <c r="O129" s="12"/>
      <c r="P129" s="12"/>
      <c r="Q129" s="12"/>
      <c r="R129" s="36"/>
      <c r="S129" s="36"/>
      <c r="T129" s="12"/>
      <c r="U129" s="12"/>
      <c r="V129" s="12"/>
      <c r="W129" s="12"/>
      <c r="X129" s="12"/>
    </row>
    <row r="130" customFormat="false" ht="15.75" hidden="false" customHeight="false" outlineLevel="0" collapsed="false">
      <c r="A130" s="12"/>
      <c r="B130" s="34"/>
      <c r="C130" s="12"/>
      <c r="D130" s="12"/>
      <c r="E130" s="12"/>
      <c r="F130" s="12"/>
      <c r="G130" s="18"/>
      <c r="H130" s="35"/>
      <c r="I130" s="12"/>
      <c r="M130" s="12"/>
      <c r="N130" s="18"/>
      <c r="O130" s="12"/>
      <c r="P130" s="12"/>
      <c r="Q130" s="12"/>
      <c r="R130" s="36"/>
      <c r="S130" s="36"/>
      <c r="T130" s="12"/>
      <c r="U130" s="12"/>
      <c r="V130" s="12"/>
      <c r="W130" s="12"/>
      <c r="X130" s="12"/>
    </row>
    <row r="131" customFormat="false" ht="15.75" hidden="false" customHeight="false" outlineLevel="0" collapsed="false">
      <c r="A131" s="12"/>
      <c r="B131" s="34"/>
      <c r="C131" s="12"/>
      <c r="D131" s="12"/>
      <c r="E131" s="12"/>
      <c r="F131" s="12"/>
      <c r="G131" s="18"/>
      <c r="H131" s="35"/>
      <c r="I131" s="12"/>
      <c r="M131" s="12"/>
      <c r="N131" s="18"/>
      <c r="O131" s="12"/>
      <c r="P131" s="12"/>
      <c r="Q131" s="12"/>
      <c r="R131" s="36"/>
      <c r="S131" s="36"/>
      <c r="T131" s="12"/>
      <c r="U131" s="12"/>
      <c r="V131" s="12"/>
      <c r="W131" s="12"/>
      <c r="X131" s="12"/>
    </row>
    <row r="132" customFormat="false" ht="15.75" hidden="false" customHeight="false" outlineLevel="0" collapsed="false">
      <c r="A132" s="12"/>
      <c r="B132" s="34"/>
      <c r="C132" s="12"/>
      <c r="D132" s="12"/>
      <c r="E132" s="12"/>
      <c r="F132" s="12"/>
      <c r="G132" s="18"/>
      <c r="H132" s="35"/>
      <c r="I132" s="12"/>
      <c r="M132" s="12"/>
      <c r="N132" s="18"/>
      <c r="O132" s="12"/>
      <c r="P132" s="12"/>
      <c r="Q132" s="12"/>
      <c r="R132" s="36"/>
      <c r="S132" s="36"/>
      <c r="T132" s="12"/>
      <c r="U132" s="12"/>
      <c r="V132" s="12"/>
      <c r="W132" s="12"/>
      <c r="X132" s="12"/>
    </row>
    <row r="133" customFormat="false" ht="15.75" hidden="false" customHeight="false" outlineLevel="0" collapsed="false">
      <c r="A133" s="12"/>
      <c r="B133" s="34"/>
      <c r="C133" s="12"/>
      <c r="D133" s="12"/>
      <c r="E133" s="12"/>
      <c r="F133" s="12"/>
      <c r="G133" s="18"/>
      <c r="H133" s="35"/>
      <c r="I133" s="12"/>
      <c r="M133" s="12"/>
      <c r="N133" s="18"/>
      <c r="O133" s="12"/>
      <c r="P133" s="12"/>
      <c r="Q133" s="12"/>
      <c r="R133" s="36"/>
      <c r="S133" s="36"/>
      <c r="T133" s="12"/>
      <c r="U133" s="12"/>
      <c r="V133" s="12"/>
      <c r="W133" s="12"/>
      <c r="X133" s="12"/>
    </row>
    <row r="134" customFormat="false" ht="15.75" hidden="false" customHeight="false" outlineLevel="0" collapsed="false">
      <c r="A134" s="12"/>
      <c r="B134" s="34"/>
      <c r="C134" s="12"/>
      <c r="D134" s="12"/>
      <c r="E134" s="12"/>
      <c r="F134" s="12"/>
      <c r="G134" s="18"/>
      <c r="H134" s="35"/>
      <c r="I134" s="12"/>
      <c r="M134" s="12"/>
      <c r="N134" s="18"/>
      <c r="O134" s="12"/>
      <c r="P134" s="12"/>
      <c r="Q134" s="12"/>
      <c r="R134" s="36"/>
      <c r="S134" s="36"/>
      <c r="T134" s="12"/>
      <c r="U134" s="12"/>
      <c r="V134" s="12"/>
      <c r="W134" s="12"/>
      <c r="X134" s="12"/>
    </row>
    <row r="135" customFormat="false" ht="15.75" hidden="false" customHeight="false" outlineLevel="0" collapsed="false">
      <c r="A135" s="12"/>
      <c r="B135" s="34"/>
      <c r="C135" s="12"/>
      <c r="D135" s="12"/>
      <c r="E135" s="12"/>
      <c r="F135" s="12"/>
      <c r="G135" s="18"/>
      <c r="H135" s="35"/>
      <c r="I135" s="12"/>
      <c r="M135" s="12"/>
      <c r="N135" s="18"/>
      <c r="O135" s="12"/>
      <c r="P135" s="12"/>
      <c r="Q135" s="12"/>
      <c r="R135" s="36"/>
      <c r="S135" s="36"/>
      <c r="T135" s="12"/>
      <c r="U135" s="12"/>
      <c r="V135" s="12"/>
      <c r="W135" s="12"/>
      <c r="X135" s="12"/>
    </row>
    <row r="136" customFormat="false" ht="15.75" hidden="false" customHeight="false" outlineLevel="0" collapsed="false">
      <c r="A136" s="12"/>
      <c r="B136" s="34"/>
      <c r="C136" s="12"/>
      <c r="D136" s="12"/>
      <c r="E136" s="12"/>
      <c r="F136" s="12"/>
      <c r="G136" s="18"/>
      <c r="H136" s="35"/>
      <c r="I136" s="12"/>
      <c r="M136" s="12"/>
      <c r="N136" s="18"/>
      <c r="O136" s="12"/>
      <c r="P136" s="12"/>
      <c r="Q136" s="12"/>
      <c r="R136" s="36"/>
      <c r="S136" s="36"/>
      <c r="T136" s="12"/>
      <c r="U136" s="12"/>
      <c r="V136" s="12"/>
      <c r="W136" s="12"/>
      <c r="X136" s="12"/>
    </row>
    <row r="137" customFormat="false" ht="15.75" hidden="false" customHeight="false" outlineLevel="0" collapsed="false">
      <c r="A137" s="12"/>
      <c r="B137" s="34"/>
      <c r="C137" s="12"/>
      <c r="D137" s="12"/>
      <c r="E137" s="12"/>
      <c r="F137" s="12"/>
      <c r="G137" s="18"/>
      <c r="H137" s="35"/>
      <c r="I137" s="12"/>
      <c r="M137" s="12"/>
      <c r="N137" s="18"/>
      <c r="O137" s="12"/>
      <c r="P137" s="12"/>
      <c r="Q137" s="12"/>
      <c r="R137" s="36"/>
      <c r="S137" s="36"/>
      <c r="T137" s="12"/>
      <c r="U137" s="12"/>
      <c r="V137" s="12"/>
      <c r="W137" s="12"/>
      <c r="X137" s="12"/>
    </row>
    <row r="138" customFormat="false" ht="15.75" hidden="false" customHeight="false" outlineLevel="0" collapsed="false">
      <c r="A138" s="12"/>
      <c r="B138" s="34"/>
      <c r="C138" s="12"/>
      <c r="D138" s="12"/>
      <c r="E138" s="12"/>
      <c r="F138" s="12"/>
      <c r="G138" s="18"/>
      <c r="H138" s="35"/>
      <c r="I138" s="12"/>
      <c r="M138" s="12"/>
      <c r="N138" s="18"/>
      <c r="O138" s="12"/>
      <c r="P138" s="12"/>
      <c r="Q138" s="12"/>
      <c r="R138" s="36"/>
      <c r="S138" s="36"/>
      <c r="T138" s="12"/>
      <c r="U138" s="12"/>
      <c r="V138" s="12"/>
      <c r="W138" s="12"/>
      <c r="X138" s="12"/>
    </row>
    <row r="139" customFormat="false" ht="15.75" hidden="false" customHeight="false" outlineLevel="0" collapsed="false">
      <c r="A139" s="12"/>
      <c r="B139" s="34"/>
      <c r="C139" s="12"/>
      <c r="D139" s="12"/>
      <c r="E139" s="12"/>
      <c r="F139" s="12"/>
      <c r="G139" s="18"/>
      <c r="H139" s="35"/>
      <c r="I139" s="12"/>
      <c r="M139" s="12"/>
      <c r="N139" s="18"/>
      <c r="O139" s="12"/>
      <c r="P139" s="12"/>
      <c r="Q139" s="12"/>
      <c r="R139" s="36"/>
      <c r="S139" s="36"/>
      <c r="T139" s="12"/>
      <c r="U139" s="12"/>
      <c r="V139" s="12"/>
      <c r="W139" s="12"/>
      <c r="X139" s="12"/>
    </row>
    <row r="140" customFormat="false" ht="15.75" hidden="false" customHeight="false" outlineLevel="0" collapsed="false">
      <c r="A140" s="12"/>
      <c r="B140" s="34"/>
      <c r="C140" s="12"/>
      <c r="D140" s="12"/>
      <c r="E140" s="12"/>
      <c r="F140" s="12"/>
      <c r="G140" s="18"/>
      <c r="H140" s="35"/>
      <c r="I140" s="12"/>
      <c r="M140" s="12"/>
      <c r="N140" s="18"/>
      <c r="O140" s="12"/>
      <c r="P140" s="12"/>
      <c r="Q140" s="12"/>
      <c r="R140" s="36"/>
      <c r="S140" s="36"/>
      <c r="T140" s="12"/>
      <c r="U140" s="12"/>
      <c r="V140" s="12"/>
      <c r="W140" s="12"/>
      <c r="X140" s="12"/>
    </row>
    <row r="141" customFormat="false" ht="15.75" hidden="false" customHeight="false" outlineLevel="0" collapsed="false">
      <c r="A141" s="12"/>
      <c r="B141" s="34"/>
      <c r="C141" s="12"/>
      <c r="D141" s="12"/>
      <c r="E141" s="12"/>
      <c r="F141" s="12"/>
      <c r="G141" s="18"/>
      <c r="H141" s="35"/>
      <c r="I141" s="12"/>
      <c r="M141" s="12"/>
      <c r="N141" s="18"/>
      <c r="O141" s="12"/>
      <c r="P141" s="12"/>
      <c r="Q141" s="12"/>
      <c r="R141" s="36"/>
      <c r="S141" s="36"/>
      <c r="T141" s="12"/>
      <c r="U141" s="12"/>
      <c r="V141" s="12"/>
      <c r="W141" s="12"/>
      <c r="X141" s="12"/>
    </row>
    <row r="142" customFormat="false" ht="15.75" hidden="false" customHeight="false" outlineLevel="0" collapsed="false">
      <c r="A142" s="12"/>
      <c r="B142" s="34"/>
      <c r="C142" s="12"/>
      <c r="D142" s="12"/>
      <c r="E142" s="12"/>
      <c r="F142" s="12"/>
      <c r="G142" s="18"/>
      <c r="H142" s="35"/>
      <c r="I142" s="12"/>
      <c r="M142" s="12"/>
      <c r="N142" s="18"/>
      <c r="O142" s="12"/>
      <c r="P142" s="12"/>
      <c r="Q142" s="12"/>
      <c r="R142" s="36"/>
      <c r="S142" s="36"/>
      <c r="T142" s="12"/>
      <c r="U142" s="12"/>
      <c r="V142" s="12"/>
      <c r="W142" s="12"/>
      <c r="X142" s="12"/>
    </row>
    <row r="143" customFormat="false" ht="15.75" hidden="false" customHeight="false" outlineLevel="0" collapsed="false">
      <c r="A143" s="12"/>
      <c r="B143" s="34"/>
      <c r="C143" s="12"/>
      <c r="D143" s="12"/>
      <c r="E143" s="12"/>
      <c r="F143" s="12"/>
      <c r="G143" s="18"/>
      <c r="H143" s="35"/>
      <c r="I143" s="12"/>
      <c r="M143" s="12"/>
      <c r="N143" s="18"/>
      <c r="O143" s="12"/>
      <c r="P143" s="12"/>
      <c r="Q143" s="12"/>
      <c r="R143" s="36"/>
      <c r="S143" s="36"/>
      <c r="T143" s="12"/>
      <c r="U143" s="12"/>
      <c r="V143" s="12"/>
      <c r="W143" s="12"/>
      <c r="X143" s="12"/>
    </row>
    <row r="144" customFormat="false" ht="15.75" hidden="false" customHeight="false" outlineLevel="0" collapsed="false">
      <c r="A144" s="12"/>
      <c r="B144" s="34"/>
      <c r="C144" s="12"/>
      <c r="D144" s="12"/>
      <c r="E144" s="12"/>
      <c r="F144" s="12"/>
      <c r="G144" s="18"/>
      <c r="H144" s="35"/>
      <c r="I144" s="12"/>
      <c r="M144" s="12"/>
      <c r="N144" s="18"/>
      <c r="O144" s="12"/>
      <c r="P144" s="12"/>
      <c r="Q144" s="12"/>
      <c r="R144" s="36"/>
      <c r="S144" s="36"/>
      <c r="T144" s="12"/>
      <c r="U144" s="12"/>
      <c r="V144" s="12"/>
      <c r="W144" s="12"/>
      <c r="X144" s="12"/>
    </row>
    <row r="145" customFormat="false" ht="15.75" hidden="false" customHeight="false" outlineLevel="0" collapsed="false">
      <c r="A145" s="12"/>
      <c r="B145" s="34"/>
      <c r="C145" s="12"/>
      <c r="D145" s="12"/>
      <c r="E145" s="12"/>
      <c r="F145" s="12"/>
      <c r="G145" s="18"/>
      <c r="H145" s="35"/>
      <c r="I145" s="12"/>
      <c r="M145" s="12"/>
      <c r="N145" s="18"/>
      <c r="O145" s="12"/>
      <c r="P145" s="12"/>
      <c r="Q145" s="12"/>
      <c r="R145" s="36"/>
      <c r="S145" s="36"/>
      <c r="T145" s="12"/>
      <c r="U145" s="12"/>
      <c r="V145" s="12"/>
      <c r="W145" s="12"/>
      <c r="X145" s="12"/>
    </row>
    <row r="146" customFormat="false" ht="15.75" hidden="false" customHeight="false" outlineLevel="0" collapsed="false">
      <c r="A146" s="12"/>
      <c r="B146" s="34"/>
      <c r="C146" s="12"/>
      <c r="D146" s="12"/>
      <c r="E146" s="12"/>
      <c r="F146" s="12"/>
      <c r="G146" s="18"/>
      <c r="H146" s="35"/>
      <c r="I146" s="12"/>
      <c r="M146" s="12"/>
      <c r="N146" s="18"/>
      <c r="O146" s="12"/>
      <c r="P146" s="12"/>
      <c r="Q146" s="12"/>
      <c r="R146" s="36"/>
      <c r="S146" s="36"/>
      <c r="T146" s="12"/>
      <c r="U146" s="12"/>
      <c r="V146" s="12"/>
      <c r="W146" s="12"/>
      <c r="X146" s="12"/>
    </row>
    <row r="147" customFormat="false" ht="15.75" hidden="false" customHeight="false" outlineLevel="0" collapsed="false">
      <c r="A147" s="12"/>
      <c r="B147" s="34"/>
      <c r="C147" s="12"/>
      <c r="D147" s="12"/>
      <c r="E147" s="12"/>
      <c r="F147" s="12"/>
      <c r="G147" s="18"/>
      <c r="H147" s="35"/>
      <c r="I147" s="12"/>
      <c r="M147" s="12"/>
      <c r="N147" s="18"/>
      <c r="O147" s="12"/>
      <c r="P147" s="12"/>
      <c r="Q147" s="12"/>
      <c r="R147" s="36"/>
      <c r="S147" s="36"/>
      <c r="T147" s="12"/>
      <c r="U147" s="12"/>
      <c r="V147" s="12"/>
      <c r="W147" s="12"/>
      <c r="X147" s="12"/>
    </row>
    <row r="148" customFormat="false" ht="15.75" hidden="false" customHeight="false" outlineLevel="0" collapsed="false">
      <c r="A148" s="12"/>
      <c r="B148" s="34"/>
      <c r="C148" s="12"/>
      <c r="D148" s="12"/>
      <c r="E148" s="12"/>
      <c r="F148" s="12"/>
      <c r="G148" s="18"/>
      <c r="H148" s="35"/>
      <c r="I148" s="12"/>
      <c r="M148" s="12"/>
      <c r="N148" s="18"/>
      <c r="O148" s="12"/>
      <c r="P148" s="12"/>
      <c r="Q148" s="12"/>
      <c r="R148" s="36"/>
      <c r="S148" s="36"/>
      <c r="T148" s="12"/>
      <c r="U148" s="12"/>
      <c r="V148" s="12"/>
      <c r="W148" s="12"/>
      <c r="X148" s="12"/>
    </row>
    <row r="149" customFormat="false" ht="15.75" hidden="false" customHeight="false" outlineLevel="0" collapsed="false">
      <c r="A149" s="12"/>
      <c r="B149" s="34"/>
      <c r="C149" s="12"/>
      <c r="D149" s="12"/>
      <c r="E149" s="12"/>
      <c r="F149" s="12"/>
      <c r="G149" s="18"/>
      <c r="H149" s="35"/>
      <c r="I149" s="12"/>
      <c r="M149" s="12"/>
      <c r="N149" s="18"/>
      <c r="O149" s="12"/>
      <c r="P149" s="12"/>
      <c r="Q149" s="12"/>
      <c r="R149" s="36"/>
      <c r="S149" s="36"/>
      <c r="T149" s="12"/>
      <c r="U149" s="12"/>
      <c r="V149" s="12"/>
      <c r="W149" s="12"/>
      <c r="X149" s="12"/>
    </row>
    <row r="150" customFormat="false" ht="15.75" hidden="false" customHeight="false" outlineLevel="0" collapsed="false">
      <c r="A150" s="12"/>
      <c r="B150" s="34"/>
      <c r="C150" s="12"/>
      <c r="D150" s="12"/>
      <c r="E150" s="12"/>
      <c r="F150" s="12"/>
      <c r="G150" s="18"/>
      <c r="H150" s="35"/>
      <c r="I150" s="12"/>
      <c r="M150" s="12"/>
      <c r="N150" s="18"/>
      <c r="O150" s="12"/>
      <c r="P150" s="12"/>
      <c r="Q150" s="12"/>
      <c r="R150" s="36"/>
      <c r="S150" s="36"/>
      <c r="T150" s="12"/>
      <c r="U150" s="12"/>
      <c r="V150" s="12"/>
      <c r="W150" s="12"/>
      <c r="X150" s="12"/>
    </row>
    <row r="151" customFormat="false" ht="15.75" hidden="false" customHeight="false" outlineLevel="0" collapsed="false">
      <c r="A151" s="12"/>
      <c r="B151" s="34"/>
      <c r="C151" s="12"/>
      <c r="D151" s="12"/>
      <c r="E151" s="12"/>
      <c r="F151" s="12"/>
      <c r="G151" s="18"/>
      <c r="H151" s="35"/>
      <c r="I151" s="12"/>
      <c r="M151" s="12"/>
      <c r="N151" s="18"/>
      <c r="O151" s="12"/>
      <c r="P151" s="12"/>
      <c r="Q151" s="12"/>
      <c r="R151" s="36"/>
      <c r="S151" s="36"/>
      <c r="T151" s="12"/>
      <c r="U151" s="12"/>
      <c r="V151" s="12"/>
      <c r="W151" s="12"/>
      <c r="X151" s="12"/>
    </row>
    <row r="152" customFormat="false" ht="15.75" hidden="false" customHeight="false" outlineLevel="0" collapsed="false">
      <c r="A152" s="12"/>
      <c r="B152" s="34"/>
      <c r="C152" s="12"/>
      <c r="D152" s="12"/>
      <c r="E152" s="12"/>
      <c r="F152" s="12"/>
      <c r="G152" s="18"/>
      <c r="H152" s="35"/>
      <c r="I152" s="12"/>
      <c r="M152" s="12"/>
      <c r="N152" s="18"/>
      <c r="O152" s="12"/>
      <c r="P152" s="12"/>
      <c r="Q152" s="12"/>
      <c r="R152" s="36"/>
      <c r="S152" s="36"/>
      <c r="T152" s="12"/>
      <c r="U152" s="12"/>
      <c r="V152" s="12"/>
      <c r="W152" s="12"/>
      <c r="X152" s="12"/>
    </row>
    <row r="153" customFormat="false" ht="15.75" hidden="false" customHeight="false" outlineLevel="0" collapsed="false">
      <c r="A153" s="12"/>
      <c r="B153" s="34"/>
      <c r="C153" s="12"/>
      <c r="D153" s="12"/>
      <c r="E153" s="12"/>
      <c r="F153" s="12"/>
      <c r="G153" s="18"/>
      <c r="H153" s="35"/>
      <c r="I153" s="12"/>
      <c r="M153" s="12"/>
      <c r="N153" s="18"/>
      <c r="O153" s="12"/>
      <c r="P153" s="12"/>
      <c r="Q153" s="12"/>
      <c r="R153" s="36"/>
      <c r="S153" s="36"/>
      <c r="T153" s="12"/>
      <c r="U153" s="12"/>
      <c r="V153" s="12"/>
      <c r="W153" s="12"/>
      <c r="X153" s="12"/>
    </row>
    <row r="154" customFormat="false" ht="15.75" hidden="false" customHeight="false" outlineLevel="0" collapsed="false">
      <c r="A154" s="12"/>
      <c r="B154" s="34"/>
      <c r="C154" s="12"/>
      <c r="D154" s="12"/>
      <c r="E154" s="12"/>
      <c r="F154" s="12"/>
      <c r="G154" s="18"/>
      <c r="H154" s="35"/>
      <c r="I154" s="12"/>
      <c r="M154" s="12"/>
      <c r="N154" s="18"/>
      <c r="O154" s="12"/>
      <c r="P154" s="12"/>
      <c r="Q154" s="12"/>
      <c r="R154" s="36"/>
      <c r="S154" s="36"/>
      <c r="T154" s="12"/>
      <c r="U154" s="12"/>
      <c r="V154" s="12"/>
      <c r="W154" s="12"/>
      <c r="X154" s="12"/>
    </row>
    <row r="155" customFormat="false" ht="15.75" hidden="false" customHeight="false" outlineLevel="0" collapsed="false">
      <c r="A155" s="12"/>
      <c r="B155" s="34"/>
      <c r="C155" s="12"/>
      <c r="D155" s="12"/>
      <c r="E155" s="12"/>
      <c r="F155" s="12"/>
      <c r="G155" s="18"/>
      <c r="H155" s="35"/>
      <c r="I155" s="12"/>
      <c r="M155" s="12"/>
      <c r="N155" s="18"/>
      <c r="O155" s="12"/>
      <c r="P155" s="12"/>
      <c r="Q155" s="12"/>
      <c r="R155" s="36"/>
      <c r="S155" s="36"/>
      <c r="T155" s="12"/>
      <c r="U155" s="12"/>
      <c r="V155" s="12"/>
      <c r="W155" s="12"/>
      <c r="X155" s="12"/>
    </row>
    <row r="156" customFormat="false" ht="15.75" hidden="false" customHeight="false" outlineLevel="0" collapsed="false">
      <c r="A156" s="12"/>
      <c r="B156" s="34"/>
      <c r="C156" s="12"/>
      <c r="D156" s="12"/>
      <c r="E156" s="12"/>
      <c r="F156" s="12"/>
      <c r="G156" s="18"/>
      <c r="H156" s="35"/>
      <c r="I156" s="12"/>
      <c r="M156" s="12"/>
      <c r="N156" s="18"/>
      <c r="O156" s="12"/>
      <c r="P156" s="12"/>
      <c r="Q156" s="12"/>
      <c r="R156" s="36"/>
      <c r="S156" s="36"/>
      <c r="T156" s="12"/>
      <c r="U156" s="12"/>
      <c r="V156" s="12"/>
      <c r="W156" s="12"/>
      <c r="X156" s="12"/>
    </row>
    <row r="157" customFormat="false" ht="15.75" hidden="false" customHeight="false" outlineLevel="0" collapsed="false">
      <c r="A157" s="12"/>
      <c r="B157" s="34"/>
      <c r="C157" s="12"/>
      <c r="D157" s="12"/>
      <c r="E157" s="12"/>
      <c r="F157" s="12"/>
      <c r="G157" s="18"/>
      <c r="H157" s="35"/>
      <c r="I157" s="12"/>
      <c r="M157" s="12"/>
      <c r="N157" s="18"/>
      <c r="O157" s="12"/>
      <c r="P157" s="12"/>
      <c r="Q157" s="12"/>
      <c r="R157" s="36"/>
      <c r="S157" s="36"/>
      <c r="T157" s="12"/>
      <c r="U157" s="12"/>
      <c r="V157" s="12"/>
      <c r="W157" s="12"/>
      <c r="X157" s="12"/>
    </row>
    <row r="158" customFormat="false" ht="15.75" hidden="false" customHeight="false" outlineLevel="0" collapsed="false">
      <c r="A158" s="12"/>
      <c r="B158" s="34"/>
      <c r="C158" s="12"/>
      <c r="D158" s="12"/>
      <c r="E158" s="12"/>
      <c r="F158" s="12"/>
      <c r="G158" s="18"/>
      <c r="H158" s="35"/>
      <c r="I158" s="12"/>
      <c r="M158" s="12"/>
      <c r="N158" s="18"/>
      <c r="O158" s="12"/>
      <c r="P158" s="12"/>
      <c r="Q158" s="12"/>
      <c r="R158" s="36"/>
      <c r="S158" s="36"/>
      <c r="T158" s="12"/>
      <c r="U158" s="12"/>
      <c r="V158" s="12"/>
      <c r="W158" s="12"/>
      <c r="X158" s="12"/>
    </row>
    <row r="159" customFormat="false" ht="15.75" hidden="false" customHeight="false" outlineLevel="0" collapsed="false">
      <c r="A159" s="12"/>
      <c r="B159" s="34"/>
      <c r="C159" s="12"/>
      <c r="D159" s="12"/>
      <c r="E159" s="12"/>
      <c r="F159" s="12"/>
      <c r="G159" s="18"/>
      <c r="H159" s="35"/>
      <c r="I159" s="12"/>
      <c r="M159" s="12"/>
      <c r="N159" s="18"/>
      <c r="O159" s="12"/>
      <c r="P159" s="12"/>
      <c r="Q159" s="12"/>
      <c r="R159" s="36"/>
      <c r="S159" s="36"/>
      <c r="T159" s="12"/>
      <c r="U159" s="12"/>
      <c r="V159" s="12"/>
      <c r="W159" s="12"/>
      <c r="X159" s="12"/>
    </row>
    <row r="160" customFormat="false" ht="15.75" hidden="false" customHeight="false" outlineLevel="0" collapsed="false">
      <c r="A160" s="12"/>
      <c r="B160" s="34"/>
      <c r="C160" s="12"/>
      <c r="D160" s="12"/>
      <c r="E160" s="12"/>
      <c r="F160" s="12"/>
      <c r="G160" s="18"/>
      <c r="H160" s="35"/>
      <c r="I160" s="12"/>
      <c r="M160" s="12"/>
      <c r="N160" s="18"/>
      <c r="O160" s="12"/>
      <c r="P160" s="12"/>
      <c r="Q160" s="12"/>
      <c r="R160" s="36"/>
      <c r="S160" s="36"/>
      <c r="T160" s="12"/>
      <c r="U160" s="12"/>
      <c r="V160" s="12"/>
      <c r="W160" s="12"/>
      <c r="X160" s="12"/>
    </row>
    <row r="161" customFormat="false" ht="15.75" hidden="false" customHeight="false" outlineLevel="0" collapsed="false">
      <c r="A161" s="12"/>
      <c r="B161" s="34"/>
      <c r="C161" s="12"/>
      <c r="D161" s="12"/>
      <c r="E161" s="12"/>
      <c r="F161" s="12"/>
      <c r="G161" s="18"/>
      <c r="H161" s="35"/>
      <c r="I161" s="12"/>
      <c r="M161" s="12"/>
      <c r="N161" s="18"/>
      <c r="O161" s="12"/>
      <c r="P161" s="12"/>
      <c r="Q161" s="12"/>
      <c r="R161" s="36"/>
      <c r="S161" s="36"/>
      <c r="T161" s="12"/>
      <c r="U161" s="12"/>
      <c r="V161" s="12"/>
      <c r="W161" s="12"/>
      <c r="X161" s="12"/>
    </row>
    <row r="162" customFormat="false" ht="15.75" hidden="false" customHeight="false" outlineLevel="0" collapsed="false">
      <c r="A162" s="12"/>
      <c r="B162" s="34"/>
      <c r="C162" s="12"/>
      <c r="D162" s="12"/>
      <c r="E162" s="12"/>
      <c r="F162" s="12"/>
      <c r="G162" s="18"/>
      <c r="H162" s="35"/>
      <c r="I162" s="12"/>
      <c r="M162" s="12"/>
      <c r="N162" s="18"/>
      <c r="O162" s="12"/>
      <c r="P162" s="12"/>
      <c r="Q162" s="12"/>
      <c r="R162" s="36"/>
      <c r="S162" s="36"/>
      <c r="T162" s="12"/>
      <c r="U162" s="12"/>
      <c r="V162" s="12"/>
      <c r="W162" s="12"/>
      <c r="X162" s="12"/>
    </row>
    <row r="163" customFormat="false" ht="15.75" hidden="false" customHeight="false" outlineLevel="0" collapsed="false">
      <c r="A163" s="12"/>
      <c r="B163" s="34"/>
      <c r="C163" s="12"/>
      <c r="D163" s="12"/>
      <c r="E163" s="12"/>
      <c r="F163" s="12"/>
      <c r="G163" s="18"/>
      <c r="H163" s="35"/>
      <c r="I163" s="12"/>
      <c r="M163" s="12"/>
      <c r="N163" s="18"/>
      <c r="O163" s="12"/>
      <c r="P163" s="12"/>
      <c r="Q163" s="12"/>
      <c r="R163" s="36"/>
      <c r="S163" s="36"/>
      <c r="T163" s="12"/>
      <c r="U163" s="12"/>
      <c r="V163" s="12"/>
      <c r="W163" s="12"/>
      <c r="X163" s="12"/>
    </row>
    <row r="164" customFormat="false" ht="15.75" hidden="false" customHeight="false" outlineLevel="0" collapsed="false">
      <c r="A164" s="12"/>
      <c r="B164" s="34"/>
      <c r="C164" s="12"/>
      <c r="D164" s="12"/>
      <c r="E164" s="12"/>
      <c r="F164" s="12"/>
      <c r="G164" s="18"/>
      <c r="H164" s="35"/>
      <c r="I164" s="12"/>
      <c r="M164" s="12"/>
      <c r="N164" s="18"/>
      <c r="O164" s="12"/>
      <c r="P164" s="12"/>
      <c r="Q164" s="12"/>
      <c r="R164" s="36"/>
      <c r="S164" s="36"/>
      <c r="T164" s="12"/>
      <c r="U164" s="12"/>
      <c r="V164" s="12"/>
      <c r="W164" s="12"/>
      <c r="X164" s="12"/>
    </row>
    <row r="165" customFormat="false" ht="15.75" hidden="false" customHeight="false" outlineLevel="0" collapsed="false">
      <c r="A165" s="12"/>
      <c r="B165" s="34"/>
      <c r="C165" s="12"/>
      <c r="D165" s="12"/>
      <c r="E165" s="12"/>
      <c r="F165" s="12"/>
      <c r="G165" s="18"/>
      <c r="H165" s="35"/>
      <c r="I165" s="12"/>
      <c r="M165" s="12"/>
      <c r="N165" s="18"/>
      <c r="O165" s="12"/>
      <c r="P165" s="12"/>
      <c r="Q165" s="12"/>
      <c r="R165" s="36"/>
      <c r="S165" s="36"/>
      <c r="T165" s="12"/>
      <c r="U165" s="12"/>
      <c r="V165" s="12"/>
      <c r="W165" s="12"/>
      <c r="X165" s="12"/>
    </row>
    <row r="166" customFormat="false" ht="15.75" hidden="false" customHeight="false" outlineLevel="0" collapsed="false">
      <c r="A166" s="12"/>
      <c r="B166" s="34"/>
      <c r="C166" s="12"/>
      <c r="D166" s="12"/>
      <c r="E166" s="12"/>
      <c r="F166" s="12"/>
      <c r="G166" s="18"/>
      <c r="H166" s="35"/>
      <c r="I166" s="12"/>
      <c r="M166" s="12"/>
      <c r="N166" s="18"/>
      <c r="O166" s="12"/>
      <c r="P166" s="12"/>
      <c r="Q166" s="12"/>
      <c r="R166" s="36"/>
      <c r="S166" s="36"/>
      <c r="T166" s="12"/>
      <c r="U166" s="12"/>
      <c r="V166" s="12"/>
      <c r="W166" s="12"/>
      <c r="X166" s="12"/>
    </row>
    <row r="167" customFormat="false" ht="15.75" hidden="false" customHeight="false" outlineLevel="0" collapsed="false">
      <c r="A167" s="12"/>
      <c r="B167" s="34"/>
      <c r="C167" s="12"/>
      <c r="D167" s="12"/>
      <c r="E167" s="12"/>
      <c r="F167" s="12"/>
      <c r="G167" s="18"/>
      <c r="H167" s="35"/>
      <c r="I167" s="12"/>
      <c r="M167" s="12"/>
      <c r="N167" s="18"/>
      <c r="O167" s="12"/>
      <c r="P167" s="12"/>
      <c r="Q167" s="12"/>
      <c r="R167" s="36"/>
      <c r="S167" s="36"/>
      <c r="T167" s="12"/>
      <c r="U167" s="12"/>
      <c r="V167" s="12"/>
      <c r="W167" s="12"/>
      <c r="X167" s="12"/>
    </row>
    <row r="168" customFormat="false" ht="15.75" hidden="false" customHeight="false" outlineLevel="0" collapsed="false">
      <c r="A168" s="12"/>
      <c r="B168" s="34"/>
      <c r="C168" s="12"/>
      <c r="D168" s="12"/>
      <c r="E168" s="12"/>
      <c r="F168" s="12"/>
      <c r="G168" s="18"/>
      <c r="H168" s="35"/>
      <c r="I168" s="12"/>
      <c r="M168" s="12"/>
      <c r="N168" s="18"/>
      <c r="O168" s="12"/>
      <c r="P168" s="12"/>
      <c r="Q168" s="12"/>
      <c r="R168" s="36"/>
      <c r="S168" s="36"/>
      <c r="T168" s="12"/>
      <c r="U168" s="12"/>
      <c r="V168" s="12"/>
      <c r="W168" s="12"/>
      <c r="X168" s="12"/>
    </row>
    <row r="169" customFormat="false" ht="15.75" hidden="false" customHeight="false" outlineLevel="0" collapsed="false">
      <c r="A169" s="12"/>
      <c r="B169" s="34"/>
      <c r="C169" s="12"/>
      <c r="D169" s="12"/>
      <c r="E169" s="12"/>
      <c r="F169" s="12"/>
      <c r="G169" s="18"/>
      <c r="H169" s="35"/>
      <c r="I169" s="12"/>
      <c r="M169" s="12"/>
      <c r="N169" s="18"/>
      <c r="O169" s="12"/>
      <c r="P169" s="12"/>
      <c r="Q169" s="12"/>
      <c r="R169" s="36"/>
      <c r="S169" s="36"/>
      <c r="T169" s="12"/>
      <c r="U169" s="12"/>
      <c r="V169" s="12"/>
      <c r="W169" s="12"/>
      <c r="X169" s="12"/>
    </row>
    <row r="170" customFormat="false" ht="15.75" hidden="false" customHeight="false" outlineLevel="0" collapsed="false">
      <c r="A170" s="12"/>
      <c r="B170" s="34"/>
      <c r="C170" s="12"/>
      <c r="D170" s="12"/>
      <c r="E170" s="12"/>
      <c r="F170" s="12"/>
      <c r="G170" s="18"/>
      <c r="H170" s="35"/>
      <c r="I170" s="12"/>
      <c r="M170" s="12"/>
      <c r="N170" s="18"/>
      <c r="O170" s="12"/>
      <c r="P170" s="12"/>
      <c r="Q170" s="12"/>
      <c r="R170" s="36"/>
      <c r="S170" s="36"/>
      <c r="T170" s="12"/>
      <c r="U170" s="12"/>
      <c r="V170" s="12"/>
      <c r="W170" s="12"/>
      <c r="X170" s="12"/>
    </row>
    <row r="171" customFormat="false" ht="15.75" hidden="false" customHeight="false" outlineLevel="0" collapsed="false">
      <c r="A171" s="12"/>
      <c r="B171" s="34"/>
      <c r="C171" s="12"/>
      <c r="D171" s="12"/>
      <c r="E171" s="12"/>
      <c r="F171" s="12"/>
      <c r="G171" s="18"/>
      <c r="H171" s="35"/>
      <c r="I171" s="12"/>
      <c r="M171" s="12"/>
      <c r="N171" s="18"/>
      <c r="O171" s="12"/>
      <c r="P171" s="12"/>
      <c r="Q171" s="12"/>
      <c r="R171" s="36"/>
      <c r="S171" s="36"/>
      <c r="T171" s="12"/>
      <c r="U171" s="12"/>
      <c r="V171" s="12"/>
      <c r="W171" s="12"/>
      <c r="X171" s="12"/>
    </row>
    <row r="172" customFormat="false" ht="15.75" hidden="false" customHeight="false" outlineLevel="0" collapsed="false">
      <c r="A172" s="12"/>
      <c r="B172" s="34"/>
      <c r="C172" s="12"/>
      <c r="D172" s="12"/>
      <c r="E172" s="12"/>
      <c r="F172" s="12"/>
      <c r="G172" s="18"/>
      <c r="H172" s="35"/>
      <c r="I172" s="12"/>
      <c r="M172" s="12"/>
      <c r="N172" s="18"/>
      <c r="O172" s="12"/>
      <c r="P172" s="12"/>
      <c r="Q172" s="12"/>
      <c r="R172" s="36"/>
      <c r="S172" s="36"/>
      <c r="T172" s="12"/>
      <c r="U172" s="12"/>
      <c r="V172" s="12"/>
      <c r="W172" s="12"/>
      <c r="X172" s="12"/>
    </row>
    <row r="173" customFormat="false" ht="15.75" hidden="false" customHeight="false" outlineLevel="0" collapsed="false">
      <c r="A173" s="12"/>
      <c r="B173" s="34"/>
      <c r="C173" s="12"/>
      <c r="D173" s="12"/>
      <c r="E173" s="12"/>
      <c r="F173" s="12"/>
      <c r="G173" s="18"/>
      <c r="H173" s="35"/>
      <c r="I173" s="12"/>
      <c r="M173" s="12"/>
      <c r="N173" s="18"/>
      <c r="O173" s="12"/>
      <c r="P173" s="12"/>
      <c r="Q173" s="12"/>
      <c r="R173" s="36"/>
      <c r="S173" s="36"/>
      <c r="T173" s="12"/>
      <c r="U173" s="12"/>
      <c r="V173" s="12"/>
      <c r="W173" s="12"/>
      <c r="X173" s="12"/>
    </row>
    <row r="174" customFormat="false" ht="15.75" hidden="false" customHeight="false" outlineLevel="0" collapsed="false">
      <c r="A174" s="12"/>
      <c r="B174" s="34"/>
      <c r="C174" s="12"/>
      <c r="D174" s="12"/>
      <c r="E174" s="12"/>
      <c r="F174" s="12"/>
      <c r="G174" s="18"/>
      <c r="H174" s="35"/>
      <c r="I174" s="12"/>
      <c r="M174" s="12"/>
      <c r="N174" s="18"/>
      <c r="O174" s="12"/>
      <c r="P174" s="12"/>
      <c r="Q174" s="12"/>
      <c r="R174" s="36"/>
      <c r="S174" s="36"/>
      <c r="T174" s="12"/>
      <c r="U174" s="12"/>
      <c r="V174" s="12"/>
      <c r="W174" s="12"/>
      <c r="X174" s="12"/>
    </row>
    <row r="175" customFormat="false" ht="15.75" hidden="false" customHeight="false" outlineLevel="0" collapsed="false">
      <c r="A175" s="12"/>
      <c r="B175" s="34"/>
      <c r="C175" s="12"/>
      <c r="D175" s="12"/>
      <c r="E175" s="12"/>
      <c r="F175" s="12"/>
      <c r="G175" s="18"/>
      <c r="H175" s="35"/>
      <c r="I175" s="12"/>
      <c r="M175" s="12"/>
      <c r="N175" s="18"/>
      <c r="O175" s="12"/>
      <c r="P175" s="12"/>
      <c r="Q175" s="12"/>
      <c r="R175" s="36"/>
      <c r="S175" s="36"/>
      <c r="T175" s="12"/>
      <c r="U175" s="12"/>
      <c r="V175" s="12"/>
      <c r="W175" s="12"/>
      <c r="X175" s="12"/>
    </row>
    <row r="176" customFormat="false" ht="15.75" hidden="false" customHeight="false" outlineLevel="0" collapsed="false">
      <c r="A176" s="12"/>
      <c r="B176" s="34"/>
      <c r="C176" s="12"/>
      <c r="D176" s="12"/>
      <c r="E176" s="12"/>
      <c r="F176" s="12"/>
      <c r="G176" s="18"/>
      <c r="H176" s="35"/>
      <c r="I176" s="12"/>
      <c r="M176" s="12"/>
      <c r="N176" s="18"/>
      <c r="O176" s="12"/>
      <c r="P176" s="12"/>
      <c r="Q176" s="12"/>
      <c r="R176" s="36"/>
      <c r="S176" s="36"/>
      <c r="T176" s="12"/>
      <c r="U176" s="12"/>
      <c r="V176" s="12"/>
      <c r="W176" s="12"/>
      <c r="X176" s="12"/>
    </row>
    <row r="177" customFormat="false" ht="15.75" hidden="false" customHeight="false" outlineLevel="0" collapsed="false">
      <c r="A177" s="12"/>
      <c r="B177" s="34"/>
      <c r="C177" s="12"/>
      <c r="D177" s="12"/>
      <c r="E177" s="12"/>
      <c r="F177" s="12"/>
      <c r="G177" s="18"/>
      <c r="H177" s="35"/>
      <c r="I177" s="12"/>
      <c r="M177" s="12"/>
      <c r="N177" s="18"/>
      <c r="O177" s="12"/>
      <c r="P177" s="12"/>
      <c r="Q177" s="12"/>
      <c r="R177" s="36"/>
      <c r="S177" s="36"/>
      <c r="T177" s="12"/>
      <c r="U177" s="12"/>
      <c r="V177" s="12"/>
      <c r="W177" s="12"/>
      <c r="X177" s="12"/>
    </row>
    <row r="178" customFormat="false" ht="15.75" hidden="false" customHeight="false" outlineLevel="0" collapsed="false">
      <c r="A178" s="12"/>
      <c r="B178" s="34"/>
      <c r="C178" s="12"/>
      <c r="D178" s="12"/>
      <c r="E178" s="12"/>
      <c r="F178" s="12"/>
      <c r="G178" s="18"/>
      <c r="H178" s="35"/>
      <c r="I178" s="12"/>
      <c r="M178" s="12"/>
      <c r="N178" s="18"/>
      <c r="O178" s="12"/>
      <c r="P178" s="12"/>
      <c r="Q178" s="12"/>
      <c r="R178" s="36"/>
      <c r="S178" s="36"/>
      <c r="T178" s="12"/>
      <c r="U178" s="12"/>
      <c r="V178" s="12"/>
      <c r="W178" s="12"/>
      <c r="X178" s="12"/>
    </row>
    <row r="179" customFormat="false" ht="15.75" hidden="false" customHeight="false" outlineLevel="0" collapsed="false">
      <c r="A179" s="12"/>
      <c r="B179" s="34"/>
      <c r="C179" s="12"/>
      <c r="D179" s="12"/>
      <c r="E179" s="12"/>
      <c r="F179" s="12"/>
      <c r="G179" s="18"/>
      <c r="H179" s="35"/>
      <c r="I179" s="12"/>
      <c r="M179" s="12"/>
      <c r="N179" s="18"/>
      <c r="O179" s="12"/>
      <c r="P179" s="12"/>
      <c r="Q179" s="12"/>
      <c r="R179" s="36"/>
      <c r="S179" s="36"/>
      <c r="T179" s="12"/>
      <c r="U179" s="12"/>
      <c r="V179" s="12"/>
      <c r="W179" s="12"/>
      <c r="X179" s="12"/>
    </row>
    <row r="180" customFormat="false" ht="15.75" hidden="false" customHeight="false" outlineLevel="0" collapsed="false">
      <c r="A180" s="12"/>
      <c r="B180" s="34"/>
      <c r="C180" s="12"/>
      <c r="D180" s="12"/>
      <c r="E180" s="12"/>
      <c r="F180" s="12"/>
      <c r="G180" s="18"/>
      <c r="H180" s="35"/>
      <c r="I180" s="12"/>
      <c r="M180" s="12"/>
      <c r="N180" s="18"/>
      <c r="O180" s="12"/>
      <c r="P180" s="12"/>
      <c r="Q180" s="12"/>
      <c r="R180" s="36"/>
      <c r="S180" s="36"/>
      <c r="T180" s="12"/>
      <c r="U180" s="12"/>
      <c r="V180" s="12"/>
      <c r="W180" s="12"/>
      <c r="X180" s="12"/>
    </row>
    <row r="181" customFormat="false" ht="15.75" hidden="false" customHeight="false" outlineLevel="0" collapsed="false">
      <c r="A181" s="12"/>
      <c r="B181" s="34"/>
      <c r="C181" s="12"/>
      <c r="D181" s="12"/>
      <c r="E181" s="12"/>
      <c r="F181" s="12"/>
      <c r="G181" s="18"/>
      <c r="H181" s="35"/>
      <c r="I181" s="12"/>
      <c r="M181" s="12"/>
      <c r="N181" s="18"/>
      <c r="O181" s="12"/>
      <c r="P181" s="12"/>
      <c r="Q181" s="12"/>
      <c r="R181" s="36"/>
      <c r="S181" s="36"/>
      <c r="T181" s="12"/>
      <c r="U181" s="12"/>
      <c r="V181" s="12"/>
      <c r="W181" s="12"/>
      <c r="X181" s="12"/>
    </row>
    <row r="182" customFormat="false" ht="15.75" hidden="false" customHeight="false" outlineLevel="0" collapsed="false">
      <c r="A182" s="12"/>
      <c r="B182" s="34"/>
      <c r="C182" s="12"/>
      <c r="D182" s="12"/>
      <c r="E182" s="12"/>
      <c r="F182" s="12"/>
      <c r="G182" s="18"/>
      <c r="H182" s="35"/>
      <c r="I182" s="12"/>
      <c r="M182" s="12"/>
      <c r="N182" s="18"/>
      <c r="O182" s="12"/>
      <c r="P182" s="12"/>
      <c r="Q182" s="12"/>
      <c r="R182" s="36"/>
      <c r="S182" s="36"/>
      <c r="T182" s="12"/>
      <c r="U182" s="12"/>
      <c r="V182" s="12"/>
      <c r="W182" s="12"/>
      <c r="X182" s="12"/>
    </row>
    <row r="183" customFormat="false" ht="15.75" hidden="false" customHeight="false" outlineLevel="0" collapsed="false">
      <c r="A183" s="12"/>
      <c r="B183" s="34"/>
      <c r="C183" s="12"/>
      <c r="D183" s="12"/>
      <c r="E183" s="12"/>
      <c r="F183" s="12"/>
      <c r="G183" s="18"/>
      <c r="H183" s="35"/>
      <c r="I183" s="12"/>
      <c r="M183" s="12"/>
      <c r="N183" s="18"/>
      <c r="O183" s="12"/>
      <c r="P183" s="12"/>
      <c r="Q183" s="12"/>
      <c r="R183" s="36"/>
      <c r="S183" s="36"/>
      <c r="T183" s="12"/>
      <c r="U183" s="12"/>
      <c r="V183" s="12"/>
      <c r="W183" s="12"/>
      <c r="X183" s="12"/>
    </row>
    <row r="184" customFormat="false" ht="15.75" hidden="false" customHeight="false" outlineLevel="0" collapsed="false">
      <c r="A184" s="12"/>
      <c r="B184" s="34"/>
      <c r="C184" s="12"/>
      <c r="D184" s="12"/>
      <c r="E184" s="12"/>
      <c r="F184" s="12"/>
      <c r="G184" s="18"/>
      <c r="H184" s="35"/>
      <c r="I184" s="12"/>
      <c r="M184" s="12"/>
      <c r="N184" s="18"/>
      <c r="O184" s="12"/>
      <c r="P184" s="12"/>
      <c r="Q184" s="12"/>
      <c r="R184" s="36"/>
      <c r="S184" s="36"/>
      <c r="T184" s="12"/>
      <c r="U184" s="12"/>
      <c r="V184" s="12"/>
      <c r="W184" s="12"/>
      <c r="X184" s="12"/>
    </row>
    <row r="185" customFormat="false" ht="15.75" hidden="false" customHeight="false" outlineLevel="0" collapsed="false">
      <c r="A185" s="12"/>
      <c r="B185" s="34"/>
      <c r="C185" s="12"/>
      <c r="D185" s="12"/>
      <c r="E185" s="12"/>
      <c r="F185" s="12"/>
      <c r="G185" s="18"/>
      <c r="H185" s="35"/>
      <c r="I185" s="12"/>
      <c r="M185" s="12"/>
      <c r="N185" s="18"/>
      <c r="O185" s="12"/>
      <c r="P185" s="12"/>
      <c r="Q185" s="12"/>
      <c r="R185" s="36"/>
      <c r="S185" s="36"/>
      <c r="T185" s="12"/>
      <c r="U185" s="12"/>
      <c r="V185" s="12"/>
      <c r="W185" s="12"/>
      <c r="X185" s="12"/>
    </row>
    <row r="186" customFormat="false" ht="15.75" hidden="false" customHeight="false" outlineLevel="0" collapsed="false">
      <c r="A186" s="12"/>
      <c r="B186" s="34"/>
      <c r="C186" s="12"/>
      <c r="D186" s="12"/>
      <c r="E186" s="12"/>
      <c r="F186" s="12"/>
      <c r="G186" s="18"/>
      <c r="H186" s="35"/>
      <c r="I186" s="12"/>
      <c r="M186" s="12"/>
      <c r="N186" s="18"/>
      <c r="O186" s="12"/>
      <c r="P186" s="12"/>
      <c r="Q186" s="12"/>
      <c r="R186" s="36"/>
      <c r="S186" s="36"/>
      <c r="T186" s="12"/>
      <c r="U186" s="12"/>
      <c r="V186" s="12"/>
      <c r="W186" s="12"/>
      <c r="X186" s="12"/>
    </row>
    <row r="187" customFormat="false" ht="15.75" hidden="false" customHeight="false" outlineLevel="0" collapsed="false">
      <c r="A187" s="12"/>
      <c r="B187" s="34"/>
      <c r="C187" s="12"/>
      <c r="D187" s="12"/>
      <c r="E187" s="12"/>
      <c r="F187" s="12"/>
      <c r="G187" s="18"/>
      <c r="H187" s="35"/>
      <c r="I187" s="12"/>
      <c r="M187" s="12"/>
      <c r="N187" s="18"/>
      <c r="O187" s="12"/>
      <c r="P187" s="12"/>
      <c r="Q187" s="12"/>
      <c r="R187" s="36"/>
      <c r="S187" s="36"/>
      <c r="T187" s="12"/>
      <c r="U187" s="12"/>
      <c r="V187" s="12"/>
      <c r="W187" s="12"/>
      <c r="X187" s="12"/>
    </row>
    <row r="188" customFormat="false" ht="15.75" hidden="false" customHeight="false" outlineLevel="0" collapsed="false">
      <c r="A188" s="12"/>
      <c r="B188" s="34"/>
      <c r="C188" s="12"/>
      <c r="D188" s="12"/>
      <c r="E188" s="12"/>
      <c r="F188" s="12"/>
      <c r="G188" s="18"/>
      <c r="H188" s="35"/>
      <c r="I188" s="12"/>
      <c r="M188" s="12"/>
      <c r="N188" s="18"/>
      <c r="O188" s="12"/>
      <c r="P188" s="12"/>
      <c r="Q188" s="12"/>
      <c r="R188" s="36"/>
      <c r="S188" s="36"/>
      <c r="T188" s="12"/>
      <c r="U188" s="12"/>
      <c r="V188" s="12"/>
      <c r="W188" s="12"/>
      <c r="X188" s="12"/>
    </row>
    <row r="189" customFormat="false" ht="15.75" hidden="false" customHeight="false" outlineLevel="0" collapsed="false">
      <c r="A189" s="12"/>
      <c r="B189" s="34"/>
      <c r="C189" s="12"/>
      <c r="D189" s="12"/>
      <c r="E189" s="12"/>
      <c r="F189" s="12"/>
      <c r="G189" s="18"/>
      <c r="H189" s="35"/>
      <c r="I189" s="12"/>
      <c r="M189" s="12"/>
      <c r="N189" s="18"/>
      <c r="O189" s="12"/>
      <c r="P189" s="12"/>
      <c r="Q189" s="12"/>
      <c r="R189" s="36"/>
      <c r="S189" s="36"/>
      <c r="T189" s="12"/>
      <c r="U189" s="12"/>
      <c r="V189" s="12"/>
      <c r="W189" s="12"/>
      <c r="X189" s="12"/>
    </row>
    <row r="190" customFormat="false" ht="15.75" hidden="false" customHeight="false" outlineLevel="0" collapsed="false">
      <c r="A190" s="12"/>
      <c r="B190" s="34"/>
      <c r="C190" s="12"/>
      <c r="D190" s="12"/>
      <c r="E190" s="12"/>
      <c r="F190" s="12"/>
      <c r="G190" s="18"/>
      <c r="H190" s="35"/>
      <c r="I190" s="12"/>
      <c r="M190" s="12"/>
      <c r="N190" s="18"/>
      <c r="O190" s="12"/>
      <c r="P190" s="12"/>
      <c r="Q190" s="12"/>
      <c r="R190" s="36"/>
      <c r="S190" s="36"/>
      <c r="T190" s="12"/>
      <c r="U190" s="12"/>
      <c r="V190" s="12"/>
      <c r="W190" s="12"/>
      <c r="X190" s="12"/>
    </row>
    <row r="191" customFormat="false" ht="15.75" hidden="false" customHeight="false" outlineLevel="0" collapsed="false">
      <c r="A191" s="12"/>
      <c r="B191" s="34"/>
      <c r="C191" s="12"/>
      <c r="D191" s="12"/>
      <c r="E191" s="12"/>
      <c r="F191" s="12"/>
      <c r="G191" s="18"/>
      <c r="H191" s="35"/>
      <c r="I191" s="12"/>
      <c r="M191" s="12"/>
      <c r="N191" s="18"/>
      <c r="O191" s="12"/>
      <c r="P191" s="12"/>
      <c r="Q191" s="12"/>
      <c r="R191" s="36"/>
      <c r="S191" s="36"/>
      <c r="T191" s="12"/>
      <c r="U191" s="12"/>
      <c r="V191" s="12"/>
      <c r="W191" s="12"/>
      <c r="X191" s="12"/>
    </row>
    <row r="192" customFormat="false" ht="15.75" hidden="false" customHeight="false" outlineLevel="0" collapsed="false">
      <c r="A192" s="12"/>
      <c r="B192" s="34"/>
      <c r="C192" s="12"/>
      <c r="D192" s="12"/>
      <c r="E192" s="12"/>
      <c r="F192" s="12"/>
      <c r="G192" s="18"/>
      <c r="H192" s="35"/>
      <c r="I192" s="12"/>
      <c r="M192" s="12"/>
      <c r="N192" s="18"/>
      <c r="O192" s="12"/>
      <c r="P192" s="12"/>
      <c r="Q192" s="12"/>
      <c r="R192" s="36"/>
      <c r="S192" s="36"/>
      <c r="T192" s="12"/>
      <c r="U192" s="12"/>
      <c r="V192" s="12"/>
      <c r="W192" s="12"/>
      <c r="X192" s="12"/>
    </row>
    <row r="193" customFormat="false" ht="15.75" hidden="false" customHeight="false" outlineLevel="0" collapsed="false">
      <c r="A193" s="12"/>
      <c r="B193" s="34"/>
      <c r="C193" s="12"/>
      <c r="D193" s="12"/>
      <c r="E193" s="12"/>
      <c r="F193" s="12"/>
      <c r="G193" s="18"/>
      <c r="H193" s="35"/>
      <c r="I193" s="12"/>
      <c r="M193" s="12"/>
      <c r="N193" s="18"/>
      <c r="O193" s="12"/>
      <c r="P193" s="12"/>
      <c r="Q193" s="12"/>
      <c r="R193" s="36"/>
      <c r="S193" s="36"/>
      <c r="T193" s="12"/>
      <c r="U193" s="12"/>
      <c r="V193" s="12"/>
      <c r="W193" s="12"/>
      <c r="X193" s="12"/>
    </row>
    <row r="194" customFormat="false" ht="15.75" hidden="false" customHeight="false" outlineLevel="0" collapsed="false">
      <c r="A194" s="12"/>
      <c r="B194" s="34"/>
      <c r="C194" s="12"/>
      <c r="D194" s="12"/>
      <c r="E194" s="12"/>
      <c r="F194" s="12"/>
      <c r="G194" s="18"/>
      <c r="H194" s="35"/>
      <c r="I194" s="12"/>
      <c r="M194" s="12"/>
      <c r="N194" s="18"/>
      <c r="O194" s="12"/>
      <c r="P194" s="12"/>
      <c r="Q194" s="12"/>
      <c r="R194" s="36"/>
      <c r="S194" s="36"/>
      <c r="T194" s="12"/>
      <c r="U194" s="12"/>
      <c r="V194" s="12"/>
      <c r="W194" s="12"/>
      <c r="X194" s="12"/>
    </row>
    <row r="195" customFormat="false" ht="15.75" hidden="false" customHeight="false" outlineLevel="0" collapsed="false">
      <c r="A195" s="12"/>
      <c r="B195" s="34"/>
      <c r="C195" s="12"/>
      <c r="D195" s="12"/>
      <c r="E195" s="12"/>
      <c r="F195" s="12"/>
      <c r="G195" s="18"/>
      <c r="H195" s="35"/>
      <c r="I195" s="12"/>
      <c r="M195" s="12"/>
      <c r="N195" s="18"/>
      <c r="O195" s="12"/>
      <c r="P195" s="12"/>
      <c r="Q195" s="12"/>
      <c r="R195" s="36"/>
      <c r="S195" s="36"/>
      <c r="T195" s="12"/>
      <c r="U195" s="12"/>
      <c r="V195" s="12"/>
      <c r="W195" s="12"/>
      <c r="X195" s="12"/>
    </row>
    <row r="196" customFormat="false" ht="15.75" hidden="false" customHeight="false" outlineLevel="0" collapsed="false">
      <c r="A196" s="12"/>
      <c r="B196" s="34"/>
      <c r="C196" s="12"/>
      <c r="D196" s="12"/>
      <c r="E196" s="12"/>
      <c r="F196" s="12"/>
      <c r="G196" s="18"/>
      <c r="H196" s="35"/>
      <c r="I196" s="12"/>
      <c r="M196" s="12"/>
      <c r="N196" s="18"/>
      <c r="O196" s="12"/>
      <c r="P196" s="12"/>
      <c r="Q196" s="12"/>
      <c r="R196" s="36"/>
      <c r="S196" s="36"/>
      <c r="T196" s="12"/>
      <c r="U196" s="12"/>
      <c r="V196" s="12"/>
      <c r="W196" s="12"/>
      <c r="X196" s="12"/>
    </row>
    <row r="197" customFormat="false" ht="15.75" hidden="false" customHeight="false" outlineLevel="0" collapsed="false">
      <c r="A197" s="12"/>
      <c r="B197" s="34"/>
      <c r="C197" s="12"/>
      <c r="D197" s="12"/>
      <c r="E197" s="12"/>
      <c r="F197" s="12"/>
      <c r="G197" s="18"/>
      <c r="H197" s="35"/>
      <c r="I197" s="12"/>
      <c r="M197" s="12"/>
      <c r="N197" s="18"/>
      <c r="O197" s="12"/>
      <c r="P197" s="12"/>
      <c r="Q197" s="12"/>
      <c r="R197" s="36"/>
      <c r="S197" s="36"/>
      <c r="T197" s="12"/>
      <c r="U197" s="12"/>
      <c r="V197" s="12"/>
      <c r="W197" s="12"/>
      <c r="X197" s="12"/>
    </row>
    <row r="198" customFormat="false" ht="15.75" hidden="false" customHeight="false" outlineLevel="0" collapsed="false">
      <c r="A198" s="12"/>
      <c r="B198" s="34"/>
      <c r="C198" s="12"/>
      <c r="D198" s="12"/>
      <c r="E198" s="12"/>
      <c r="F198" s="12"/>
      <c r="G198" s="18"/>
      <c r="H198" s="35"/>
      <c r="I198" s="12"/>
      <c r="M198" s="12"/>
      <c r="N198" s="18"/>
      <c r="O198" s="12"/>
      <c r="P198" s="12"/>
      <c r="Q198" s="12"/>
      <c r="R198" s="36"/>
      <c r="S198" s="36"/>
      <c r="T198" s="12"/>
      <c r="U198" s="12"/>
      <c r="V198" s="12"/>
      <c r="W198" s="12"/>
      <c r="X198" s="12"/>
    </row>
    <row r="199" customFormat="false" ht="15.75" hidden="false" customHeight="false" outlineLevel="0" collapsed="false">
      <c r="A199" s="12"/>
      <c r="B199" s="34"/>
      <c r="C199" s="12"/>
      <c r="D199" s="12"/>
      <c r="E199" s="12"/>
      <c r="F199" s="12"/>
      <c r="G199" s="18"/>
      <c r="H199" s="35"/>
      <c r="I199" s="12"/>
      <c r="M199" s="12"/>
      <c r="N199" s="18"/>
      <c r="O199" s="12"/>
      <c r="P199" s="12"/>
      <c r="Q199" s="12"/>
      <c r="R199" s="36"/>
      <c r="S199" s="36"/>
      <c r="T199" s="12"/>
      <c r="U199" s="12"/>
      <c r="V199" s="12"/>
      <c r="W199" s="12"/>
      <c r="X199" s="12"/>
    </row>
    <row r="200" customFormat="false" ht="15.75" hidden="false" customHeight="false" outlineLevel="0" collapsed="false">
      <c r="A200" s="12"/>
      <c r="B200" s="34"/>
      <c r="C200" s="12"/>
      <c r="D200" s="12"/>
      <c r="E200" s="12"/>
      <c r="F200" s="12"/>
      <c r="G200" s="18"/>
      <c r="H200" s="35"/>
      <c r="I200" s="12"/>
      <c r="M200" s="12"/>
      <c r="N200" s="18"/>
      <c r="O200" s="12"/>
      <c r="P200" s="12"/>
      <c r="Q200" s="12"/>
      <c r="R200" s="36"/>
      <c r="S200" s="36"/>
      <c r="T200" s="12"/>
      <c r="U200" s="12"/>
      <c r="V200" s="12"/>
      <c r="W200" s="12"/>
      <c r="X200" s="12"/>
    </row>
    <row r="201" customFormat="false" ht="15.75" hidden="false" customHeight="false" outlineLevel="0" collapsed="false">
      <c r="A201" s="12"/>
      <c r="B201" s="34"/>
      <c r="C201" s="12"/>
      <c r="D201" s="12"/>
      <c r="E201" s="12"/>
      <c r="F201" s="12"/>
      <c r="G201" s="18"/>
      <c r="H201" s="35"/>
      <c r="I201" s="12"/>
      <c r="M201" s="12"/>
      <c r="N201" s="18"/>
      <c r="O201" s="12"/>
      <c r="P201" s="12"/>
      <c r="Q201" s="12"/>
      <c r="R201" s="36"/>
      <c r="S201" s="36"/>
      <c r="T201" s="12"/>
      <c r="U201" s="12"/>
      <c r="V201" s="12"/>
      <c r="W201" s="12"/>
      <c r="X201" s="12"/>
    </row>
    <row r="202" customFormat="false" ht="15.75" hidden="false" customHeight="false" outlineLevel="0" collapsed="false">
      <c r="A202" s="12"/>
      <c r="B202" s="34"/>
      <c r="C202" s="12"/>
      <c r="D202" s="12"/>
      <c r="E202" s="12"/>
      <c r="F202" s="12"/>
      <c r="G202" s="18"/>
      <c r="H202" s="35"/>
      <c r="I202" s="12"/>
      <c r="M202" s="12"/>
      <c r="N202" s="18"/>
      <c r="O202" s="12"/>
      <c r="P202" s="12"/>
      <c r="Q202" s="12"/>
      <c r="R202" s="36"/>
      <c r="S202" s="36"/>
      <c r="T202" s="12"/>
      <c r="U202" s="12"/>
      <c r="V202" s="12"/>
      <c r="W202" s="12"/>
      <c r="X202" s="12"/>
    </row>
    <row r="203" customFormat="false" ht="15.75" hidden="false" customHeight="false" outlineLevel="0" collapsed="false">
      <c r="A203" s="12"/>
      <c r="B203" s="34"/>
      <c r="C203" s="12"/>
      <c r="D203" s="12"/>
      <c r="E203" s="12"/>
      <c r="F203" s="12"/>
      <c r="G203" s="18"/>
      <c r="H203" s="35"/>
      <c r="I203" s="12"/>
      <c r="M203" s="12"/>
      <c r="N203" s="18"/>
      <c r="O203" s="12"/>
      <c r="P203" s="12"/>
      <c r="Q203" s="12"/>
      <c r="R203" s="36"/>
      <c r="S203" s="36"/>
      <c r="T203" s="12"/>
      <c r="U203" s="12"/>
      <c r="V203" s="12"/>
      <c r="W203" s="12"/>
      <c r="X203" s="12"/>
    </row>
    <row r="204" customFormat="false" ht="15.75" hidden="false" customHeight="false" outlineLevel="0" collapsed="false">
      <c r="A204" s="12"/>
      <c r="B204" s="34"/>
      <c r="C204" s="12"/>
      <c r="D204" s="12"/>
      <c r="E204" s="12"/>
      <c r="F204" s="12"/>
      <c r="G204" s="18"/>
      <c r="H204" s="35"/>
      <c r="I204" s="12"/>
      <c r="M204" s="12"/>
      <c r="N204" s="18"/>
      <c r="O204" s="12"/>
      <c r="P204" s="12"/>
      <c r="Q204" s="12"/>
      <c r="R204" s="36"/>
      <c r="S204" s="36"/>
      <c r="T204" s="12"/>
      <c r="U204" s="12"/>
      <c r="V204" s="12"/>
      <c r="W204" s="12"/>
      <c r="X204" s="12"/>
    </row>
    <row r="205" customFormat="false" ht="15.75" hidden="false" customHeight="false" outlineLevel="0" collapsed="false">
      <c r="A205" s="12"/>
      <c r="B205" s="34"/>
      <c r="C205" s="12"/>
      <c r="D205" s="12"/>
      <c r="E205" s="12"/>
      <c r="F205" s="12"/>
      <c r="G205" s="18"/>
      <c r="H205" s="35"/>
      <c r="I205" s="12"/>
      <c r="M205" s="12"/>
      <c r="N205" s="18"/>
      <c r="O205" s="12"/>
      <c r="P205" s="12"/>
      <c r="Q205" s="12"/>
      <c r="R205" s="36"/>
      <c r="S205" s="36"/>
      <c r="T205" s="12"/>
      <c r="U205" s="12"/>
      <c r="V205" s="12"/>
      <c r="W205" s="12"/>
      <c r="X205" s="12"/>
    </row>
    <row r="206" customFormat="false" ht="15.75" hidden="false" customHeight="false" outlineLevel="0" collapsed="false">
      <c r="A206" s="12"/>
      <c r="B206" s="34"/>
      <c r="C206" s="12"/>
      <c r="D206" s="12"/>
      <c r="E206" s="12"/>
      <c r="F206" s="12"/>
      <c r="G206" s="18"/>
      <c r="H206" s="35"/>
      <c r="I206" s="12"/>
      <c r="M206" s="12"/>
      <c r="N206" s="18"/>
      <c r="O206" s="12"/>
      <c r="P206" s="12"/>
      <c r="Q206" s="12"/>
      <c r="R206" s="36"/>
      <c r="S206" s="36"/>
      <c r="T206" s="12"/>
      <c r="U206" s="12"/>
      <c r="V206" s="12"/>
      <c r="W206" s="12"/>
      <c r="X206" s="12"/>
    </row>
    <row r="207" customFormat="false" ht="15.75" hidden="false" customHeight="false" outlineLevel="0" collapsed="false">
      <c r="A207" s="12"/>
      <c r="B207" s="34"/>
      <c r="C207" s="12"/>
      <c r="D207" s="12"/>
      <c r="E207" s="12"/>
      <c r="F207" s="12"/>
      <c r="G207" s="18"/>
      <c r="H207" s="35"/>
      <c r="I207" s="12"/>
      <c r="M207" s="12"/>
      <c r="N207" s="18"/>
      <c r="O207" s="12"/>
      <c r="P207" s="12"/>
      <c r="Q207" s="12"/>
      <c r="R207" s="36"/>
      <c r="S207" s="36"/>
      <c r="T207" s="12"/>
      <c r="U207" s="12"/>
      <c r="V207" s="12"/>
      <c r="W207" s="12"/>
      <c r="X207" s="12"/>
    </row>
    <row r="208" customFormat="false" ht="15.75" hidden="false" customHeight="false" outlineLevel="0" collapsed="false">
      <c r="A208" s="12"/>
      <c r="B208" s="34"/>
      <c r="C208" s="12"/>
      <c r="D208" s="12"/>
      <c r="E208" s="12"/>
      <c r="F208" s="12"/>
      <c r="G208" s="18"/>
      <c r="H208" s="35"/>
      <c r="I208" s="12"/>
      <c r="M208" s="12"/>
      <c r="N208" s="18"/>
      <c r="O208" s="12"/>
      <c r="P208" s="12"/>
      <c r="Q208" s="12"/>
      <c r="R208" s="36"/>
      <c r="S208" s="36"/>
      <c r="T208" s="12"/>
      <c r="U208" s="12"/>
      <c r="V208" s="12"/>
      <c r="W208" s="12"/>
      <c r="X208" s="12"/>
    </row>
    <row r="209" customFormat="false" ht="15.75" hidden="false" customHeight="false" outlineLevel="0" collapsed="false">
      <c r="A209" s="12"/>
      <c r="B209" s="34"/>
      <c r="C209" s="12"/>
      <c r="D209" s="12"/>
      <c r="E209" s="12"/>
      <c r="F209" s="12"/>
      <c r="G209" s="18"/>
      <c r="H209" s="35"/>
      <c r="I209" s="12"/>
      <c r="M209" s="12"/>
      <c r="N209" s="18"/>
      <c r="O209" s="12"/>
      <c r="P209" s="12"/>
      <c r="Q209" s="12"/>
      <c r="R209" s="36"/>
      <c r="S209" s="36"/>
      <c r="T209" s="12"/>
      <c r="U209" s="12"/>
      <c r="V209" s="12"/>
      <c r="W209" s="12"/>
      <c r="X209" s="12"/>
    </row>
    <row r="210" customFormat="false" ht="15.75" hidden="false" customHeight="false" outlineLevel="0" collapsed="false">
      <c r="A210" s="12"/>
      <c r="B210" s="34"/>
      <c r="C210" s="12"/>
      <c r="D210" s="12"/>
      <c r="E210" s="12"/>
      <c r="F210" s="12"/>
      <c r="G210" s="18"/>
      <c r="H210" s="35"/>
      <c r="I210" s="12"/>
      <c r="M210" s="12"/>
      <c r="N210" s="18"/>
      <c r="O210" s="12"/>
      <c r="P210" s="12"/>
      <c r="Q210" s="12"/>
      <c r="R210" s="36"/>
      <c r="S210" s="36"/>
      <c r="T210" s="12"/>
      <c r="U210" s="12"/>
      <c r="V210" s="12"/>
      <c r="W210" s="12"/>
      <c r="X210" s="12"/>
    </row>
    <row r="211" customFormat="false" ht="15.75" hidden="false" customHeight="false" outlineLevel="0" collapsed="false">
      <c r="A211" s="12"/>
      <c r="B211" s="34"/>
      <c r="C211" s="12"/>
      <c r="D211" s="12"/>
      <c r="E211" s="12"/>
      <c r="F211" s="12"/>
      <c r="G211" s="18"/>
      <c r="H211" s="35"/>
      <c r="I211" s="12"/>
      <c r="M211" s="12"/>
      <c r="N211" s="18"/>
      <c r="O211" s="12"/>
      <c r="P211" s="12"/>
      <c r="Q211" s="12"/>
      <c r="R211" s="36"/>
      <c r="S211" s="36"/>
      <c r="T211" s="12"/>
      <c r="U211" s="12"/>
      <c r="V211" s="12"/>
      <c r="W211" s="12"/>
      <c r="X211" s="12"/>
    </row>
    <row r="212" customFormat="false" ht="15.75" hidden="false" customHeight="false" outlineLevel="0" collapsed="false">
      <c r="A212" s="12"/>
      <c r="B212" s="34"/>
      <c r="C212" s="12"/>
      <c r="D212" s="12"/>
      <c r="E212" s="12"/>
      <c r="F212" s="12"/>
      <c r="G212" s="18"/>
      <c r="H212" s="35"/>
      <c r="I212" s="12"/>
      <c r="M212" s="12"/>
      <c r="N212" s="18"/>
      <c r="O212" s="12"/>
      <c r="P212" s="12"/>
      <c r="Q212" s="12"/>
      <c r="R212" s="36"/>
      <c r="S212" s="36"/>
      <c r="T212" s="12"/>
      <c r="U212" s="12"/>
      <c r="V212" s="12"/>
      <c r="W212" s="12"/>
      <c r="X212" s="12"/>
    </row>
    <row r="213" customFormat="false" ht="15.75" hidden="false" customHeight="false" outlineLevel="0" collapsed="false">
      <c r="A213" s="12"/>
      <c r="B213" s="34"/>
      <c r="C213" s="12"/>
      <c r="D213" s="12"/>
      <c r="E213" s="12"/>
      <c r="F213" s="12"/>
      <c r="G213" s="18"/>
      <c r="H213" s="35"/>
      <c r="I213" s="12"/>
      <c r="M213" s="12"/>
      <c r="N213" s="18"/>
      <c r="O213" s="12"/>
      <c r="P213" s="12"/>
      <c r="Q213" s="12"/>
      <c r="R213" s="36"/>
      <c r="S213" s="36"/>
      <c r="T213" s="12"/>
      <c r="U213" s="12"/>
      <c r="V213" s="12"/>
      <c r="W213" s="12"/>
      <c r="X213" s="12"/>
    </row>
    <row r="214" customFormat="false" ht="15.75" hidden="false" customHeight="false" outlineLevel="0" collapsed="false">
      <c r="A214" s="12"/>
      <c r="B214" s="34"/>
      <c r="C214" s="12"/>
      <c r="D214" s="12"/>
      <c r="E214" s="12"/>
      <c r="F214" s="12"/>
      <c r="G214" s="18"/>
      <c r="H214" s="35"/>
      <c r="I214" s="12"/>
      <c r="M214" s="12"/>
      <c r="N214" s="18"/>
      <c r="O214" s="12"/>
      <c r="P214" s="12"/>
      <c r="Q214" s="12"/>
      <c r="R214" s="36"/>
      <c r="S214" s="36"/>
      <c r="T214" s="12"/>
      <c r="U214" s="12"/>
      <c r="V214" s="12"/>
      <c r="W214" s="12"/>
      <c r="X214" s="12"/>
    </row>
    <row r="215" customFormat="false" ht="15.75" hidden="false" customHeight="false" outlineLevel="0" collapsed="false">
      <c r="A215" s="12"/>
      <c r="B215" s="34"/>
      <c r="C215" s="12"/>
      <c r="D215" s="12"/>
      <c r="E215" s="12"/>
      <c r="F215" s="12"/>
      <c r="G215" s="18"/>
      <c r="H215" s="35"/>
      <c r="I215" s="12"/>
      <c r="M215" s="12"/>
      <c r="N215" s="18"/>
      <c r="O215" s="12"/>
      <c r="P215" s="12"/>
      <c r="Q215" s="12"/>
      <c r="R215" s="36"/>
      <c r="S215" s="36"/>
      <c r="T215" s="12"/>
      <c r="U215" s="12"/>
      <c r="V215" s="12"/>
      <c r="W215" s="12"/>
      <c r="X215" s="12"/>
    </row>
    <row r="216" customFormat="false" ht="15.75" hidden="false" customHeight="false" outlineLevel="0" collapsed="false">
      <c r="A216" s="12"/>
      <c r="B216" s="34"/>
      <c r="C216" s="12"/>
      <c r="D216" s="12"/>
      <c r="E216" s="12"/>
      <c r="F216" s="12"/>
      <c r="G216" s="18"/>
      <c r="H216" s="35"/>
      <c r="I216" s="12"/>
      <c r="M216" s="12"/>
      <c r="N216" s="18"/>
      <c r="O216" s="12"/>
      <c r="P216" s="12"/>
      <c r="Q216" s="12"/>
      <c r="R216" s="36"/>
      <c r="S216" s="36"/>
      <c r="T216" s="12"/>
      <c r="U216" s="12"/>
      <c r="V216" s="12"/>
      <c r="W216" s="12"/>
      <c r="X216" s="12"/>
    </row>
    <row r="217" customFormat="false" ht="15.75" hidden="false" customHeight="false" outlineLevel="0" collapsed="false">
      <c r="A217" s="12"/>
      <c r="B217" s="34"/>
      <c r="C217" s="12"/>
      <c r="D217" s="12"/>
      <c r="E217" s="12"/>
      <c r="F217" s="12"/>
      <c r="G217" s="18"/>
      <c r="H217" s="35"/>
      <c r="I217" s="12"/>
      <c r="M217" s="12"/>
      <c r="N217" s="18"/>
      <c r="O217" s="12"/>
      <c r="P217" s="12"/>
      <c r="Q217" s="12"/>
      <c r="R217" s="36"/>
      <c r="S217" s="36"/>
      <c r="T217" s="12"/>
      <c r="U217" s="12"/>
      <c r="V217" s="12"/>
      <c r="W217" s="12"/>
      <c r="X217" s="12"/>
    </row>
    <row r="218" customFormat="false" ht="15.75" hidden="false" customHeight="false" outlineLevel="0" collapsed="false">
      <c r="A218" s="12"/>
      <c r="B218" s="34"/>
      <c r="C218" s="12"/>
      <c r="D218" s="12"/>
      <c r="E218" s="12"/>
      <c r="F218" s="12"/>
      <c r="G218" s="18"/>
      <c r="H218" s="35"/>
      <c r="I218" s="12"/>
      <c r="M218" s="12"/>
      <c r="N218" s="18"/>
      <c r="O218" s="12"/>
      <c r="P218" s="12"/>
      <c r="Q218" s="12"/>
      <c r="R218" s="36"/>
      <c r="S218" s="36"/>
      <c r="T218" s="12"/>
      <c r="U218" s="12"/>
      <c r="V218" s="12"/>
      <c r="W218" s="12"/>
      <c r="X218" s="12"/>
    </row>
    <row r="219" customFormat="false" ht="15.75" hidden="false" customHeight="false" outlineLevel="0" collapsed="false">
      <c r="A219" s="12"/>
      <c r="B219" s="34"/>
      <c r="C219" s="12"/>
      <c r="D219" s="12"/>
      <c r="E219" s="12"/>
      <c r="F219" s="12"/>
      <c r="G219" s="18"/>
      <c r="H219" s="35"/>
      <c r="I219" s="12"/>
      <c r="M219" s="12"/>
      <c r="N219" s="18"/>
      <c r="O219" s="12"/>
      <c r="P219" s="12"/>
      <c r="Q219" s="12"/>
      <c r="R219" s="36"/>
      <c r="S219" s="36"/>
      <c r="T219" s="12"/>
      <c r="U219" s="12"/>
      <c r="V219" s="12"/>
      <c r="W219" s="12"/>
      <c r="X219" s="12"/>
    </row>
    <row r="220" customFormat="false" ht="15.75" hidden="false" customHeight="false" outlineLevel="0" collapsed="false">
      <c r="A220" s="12"/>
      <c r="B220" s="34"/>
      <c r="C220" s="12"/>
      <c r="D220" s="12"/>
      <c r="E220" s="12"/>
      <c r="F220" s="12"/>
      <c r="G220" s="18"/>
      <c r="H220" s="35"/>
      <c r="I220" s="12"/>
      <c r="M220" s="12"/>
      <c r="N220" s="18"/>
      <c r="O220" s="12"/>
      <c r="P220" s="12"/>
      <c r="Q220" s="12"/>
      <c r="R220" s="36"/>
      <c r="S220" s="36"/>
      <c r="T220" s="12"/>
      <c r="U220" s="12"/>
      <c r="V220" s="12"/>
      <c r="W220" s="12"/>
      <c r="X220" s="12"/>
    </row>
    <row r="221" customFormat="false" ht="15.75" hidden="false" customHeight="false" outlineLevel="0" collapsed="false">
      <c r="A221" s="12"/>
      <c r="B221" s="34"/>
      <c r="C221" s="12"/>
      <c r="D221" s="12"/>
      <c r="E221" s="12"/>
      <c r="F221" s="12"/>
      <c r="G221" s="18"/>
      <c r="H221" s="35"/>
      <c r="I221" s="12"/>
      <c r="M221" s="12"/>
      <c r="N221" s="18"/>
      <c r="O221" s="12"/>
      <c r="P221" s="12"/>
      <c r="Q221" s="12"/>
      <c r="R221" s="36"/>
      <c r="S221" s="36"/>
      <c r="T221" s="12"/>
      <c r="U221" s="12"/>
      <c r="V221" s="12"/>
      <c r="W221" s="12"/>
      <c r="X221" s="12"/>
    </row>
    <row r="222" customFormat="false" ht="15.75" hidden="false" customHeight="false" outlineLevel="0" collapsed="false">
      <c r="A222" s="12"/>
      <c r="B222" s="34"/>
      <c r="C222" s="12"/>
      <c r="D222" s="12"/>
      <c r="E222" s="12"/>
      <c r="F222" s="12"/>
      <c r="G222" s="18"/>
      <c r="H222" s="35"/>
      <c r="I222" s="12"/>
      <c r="M222" s="12"/>
      <c r="N222" s="18"/>
      <c r="O222" s="12"/>
      <c r="P222" s="12"/>
      <c r="Q222" s="12"/>
      <c r="R222" s="36"/>
      <c r="S222" s="36"/>
      <c r="T222" s="12"/>
      <c r="U222" s="12"/>
      <c r="V222" s="12"/>
      <c r="W222" s="12"/>
      <c r="X222" s="12"/>
    </row>
    <row r="223" customFormat="false" ht="15.75" hidden="false" customHeight="false" outlineLevel="0" collapsed="false">
      <c r="A223" s="12"/>
      <c r="B223" s="34"/>
      <c r="C223" s="12"/>
      <c r="D223" s="12"/>
      <c r="E223" s="12"/>
      <c r="F223" s="12"/>
      <c r="G223" s="18"/>
      <c r="H223" s="35"/>
      <c r="I223" s="12"/>
      <c r="M223" s="12"/>
      <c r="N223" s="18"/>
      <c r="O223" s="12"/>
      <c r="P223" s="12"/>
      <c r="Q223" s="12"/>
      <c r="R223" s="36"/>
      <c r="S223" s="36"/>
      <c r="T223" s="12"/>
      <c r="U223" s="12"/>
      <c r="V223" s="12"/>
      <c r="W223" s="12"/>
      <c r="X223" s="12"/>
    </row>
    <row r="224" customFormat="false" ht="15.75" hidden="false" customHeight="false" outlineLevel="0" collapsed="false">
      <c r="A224" s="12"/>
      <c r="B224" s="34"/>
      <c r="C224" s="12"/>
      <c r="D224" s="12"/>
      <c r="E224" s="12"/>
      <c r="F224" s="12"/>
      <c r="G224" s="18"/>
      <c r="H224" s="35"/>
      <c r="I224" s="12"/>
      <c r="M224" s="12"/>
      <c r="N224" s="18"/>
      <c r="O224" s="12"/>
      <c r="P224" s="12"/>
      <c r="Q224" s="12"/>
      <c r="R224" s="36"/>
      <c r="S224" s="36"/>
      <c r="T224" s="12"/>
      <c r="U224" s="12"/>
      <c r="V224" s="12"/>
      <c r="W224" s="12"/>
      <c r="X224" s="12"/>
    </row>
    <row r="225" customFormat="false" ht="15.75" hidden="false" customHeight="false" outlineLevel="0" collapsed="false">
      <c r="A225" s="12"/>
      <c r="B225" s="34"/>
      <c r="C225" s="12"/>
      <c r="D225" s="12"/>
      <c r="E225" s="12"/>
      <c r="F225" s="12"/>
      <c r="G225" s="18"/>
      <c r="H225" s="35"/>
      <c r="I225" s="12"/>
      <c r="M225" s="12"/>
      <c r="N225" s="18"/>
      <c r="O225" s="12"/>
      <c r="P225" s="12"/>
      <c r="Q225" s="12"/>
      <c r="R225" s="36"/>
      <c r="S225" s="36"/>
      <c r="T225" s="12"/>
      <c r="U225" s="12"/>
      <c r="V225" s="12"/>
      <c r="W225" s="12"/>
      <c r="X225" s="12"/>
    </row>
    <row r="226" customFormat="false" ht="15.75" hidden="false" customHeight="false" outlineLevel="0" collapsed="false">
      <c r="A226" s="12"/>
      <c r="B226" s="34"/>
      <c r="C226" s="12"/>
      <c r="D226" s="12"/>
      <c r="E226" s="12"/>
      <c r="F226" s="12"/>
      <c r="G226" s="18"/>
      <c r="H226" s="35"/>
      <c r="I226" s="12"/>
      <c r="M226" s="12"/>
      <c r="N226" s="18"/>
      <c r="O226" s="12"/>
      <c r="P226" s="12"/>
      <c r="Q226" s="12"/>
      <c r="R226" s="36"/>
      <c r="S226" s="36"/>
      <c r="T226" s="12"/>
      <c r="U226" s="12"/>
      <c r="V226" s="12"/>
      <c r="W226" s="12"/>
      <c r="X226" s="12"/>
    </row>
    <row r="227" customFormat="false" ht="15.75" hidden="false" customHeight="false" outlineLevel="0" collapsed="false">
      <c r="A227" s="12"/>
      <c r="B227" s="34"/>
      <c r="C227" s="12"/>
      <c r="D227" s="12"/>
      <c r="E227" s="12"/>
      <c r="F227" s="12"/>
      <c r="G227" s="18"/>
      <c r="H227" s="35"/>
      <c r="I227" s="12"/>
      <c r="M227" s="12"/>
      <c r="N227" s="18"/>
      <c r="O227" s="12"/>
      <c r="P227" s="12"/>
      <c r="Q227" s="12"/>
      <c r="R227" s="36"/>
      <c r="S227" s="36"/>
      <c r="T227" s="12"/>
      <c r="U227" s="12"/>
      <c r="V227" s="12"/>
      <c r="W227" s="12"/>
      <c r="X227" s="12"/>
    </row>
    <row r="228" customFormat="false" ht="15.75" hidden="false" customHeight="false" outlineLevel="0" collapsed="false">
      <c r="A228" s="12"/>
      <c r="B228" s="34"/>
      <c r="C228" s="12"/>
      <c r="D228" s="12"/>
      <c r="E228" s="12"/>
      <c r="F228" s="12"/>
      <c r="G228" s="18"/>
      <c r="H228" s="35"/>
      <c r="I228" s="12"/>
      <c r="M228" s="12"/>
      <c r="N228" s="18"/>
      <c r="O228" s="12"/>
      <c r="P228" s="12"/>
      <c r="Q228" s="12"/>
      <c r="R228" s="36"/>
      <c r="S228" s="36"/>
      <c r="T228" s="12"/>
      <c r="U228" s="12"/>
      <c r="V228" s="12"/>
      <c r="W228" s="12"/>
      <c r="X228" s="12"/>
    </row>
    <row r="229" customFormat="false" ht="15.75" hidden="false" customHeight="false" outlineLevel="0" collapsed="false">
      <c r="A229" s="12"/>
      <c r="B229" s="34"/>
      <c r="C229" s="12"/>
      <c r="D229" s="12"/>
      <c r="E229" s="12"/>
      <c r="F229" s="12"/>
      <c r="G229" s="18"/>
      <c r="H229" s="35"/>
      <c r="I229" s="12"/>
      <c r="M229" s="12"/>
      <c r="N229" s="18"/>
      <c r="O229" s="12"/>
      <c r="P229" s="12"/>
      <c r="Q229" s="12"/>
      <c r="R229" s="36"/>
      <c r="S229" s="36"/>
      <c r="T229" s="12"/>
      <c r="U229" s="12"/>
      <c r="V229" s="12"/>
      <c r="W229" s="12"/>
      <c r="X229" s="12"/>
    </row>
    <row r="230" customFormat="false" ht="15.75" hidden="false" customHeight="false" outlineLevel="0" collapsed="false">
      <c r="A230" s="12"/>
      <c r="B230" s="34"/>
      <c r="C230" s="12"/>
      <c r="D230" s="12"/>
      <c r="E230" s="12"/>
      <c r="F230" s="12"/>
      <c r="G230" s="18"/>
      <c r="H230" s="35"/>
      <c r="I230" s="12"/>
      <c r="M230" s="12"/>
      <c r="N230" s="18"/>
      <c r="O230" s="12"/>
      <c r="P230" s="12"/>
      <c r="Q230" s="12"/>
      <c r="R230" s="36"/>
      <c r="S230" s="36"/>
      <c r="T230" s="12"/>
      <c r="U230" s="12"/>
      <c r="V230" s="12"/>
      <c r="W230" s="12"/>
      <c r="X230" s="12"/>
    </row>
    <row r="231" customFormat="false" ht="15.75" hidden="false" customHeight="false" outlineLevel="0" collapsed="false">
      <c r="A231" s="12"/>
      <c r="B231" s="34"/>
      <c r="C231" s="12"/>
      <c r="D231" s="12"/>
      <c r="E231" s="12"/>
      <c r="F231" s="12"/>
      <c r="G231" s="18"/>
      <c r="H231" s="35"/>
      <c r="I231" s="12"/>
      <c r="M231" s="12"/>
      <c r="N231" s="18"/>
      <c r="O231" s="12"/>
      <c r="P231" s="12"/>
      <c r="Q231" s="12"/>
      <c r="R231" s="36"/>
      <c r="S231" s="36"/>
      <c r="T231" s="12"/>
      <c r="U231" s="12"/>
      <c r="V231" s="12"/>
      <c r="W231" s="12"/>
      <c r="X231" s="12"/>
    </row>
    <row r="232" customFormat="false" ht="15.75" hidden="false" customHeight="false" outlineLevel="0" collapsed="false">
      <c r="A232" s="12"/>
      <c r="B232" s="34"/>
      <c r="C232" s="12"/>
      <c r="D232" s="12"/>
      <c r="E232" s="12"/>
      <c r="F232" s="12"/>
      <c r="G232" s="18"/>
      <c r="H232" s="35"/>
      <c r="I232" s="12"/>
      <c r="M232" s="12"/>
      <c r="N232" s="18"/>
      <c r="O232" s="12"/>
      <c r="P232" s="12"/>
      <c r="Q232" s="12"/>
      <c r="R232" s="36"/>
      <c r="S232" s="36"/>
      <c r="T232" s="12"/>
      <c r="U232" s="12"/>
      <c r="V232" s="12"/>
      <c r="W232" s="12"/>
      <c r="X232" s="12"/>
    </row>
    <row r="233" customFormat="false" ht="15.75" hidden="false" customHeight="false" outlineLevel="0" collapsed="false">
      <c r="A233" s="12"/>
      <c r="B233" s="34"/>
      <c r="C233" s="12"/>
      <c r="D233" s="12"/>
      <c r="E233" s="12"/>
      <c r="F233" s="12"/>
      <c r="G233" s="18"/>
      <c r="H233" s="35"/>
      <c r="I233" s="12"/>
      <c r="M233" s="12"/>
      <c r="N233" s="18"/>
      <c r="O233" s="12"/>
      <c r="P233" s="12"/>
      <c r="Q233" s="12"/>
      <c r="R233" s="36"/>
      <c r="S233" s="36"/>
      <c r="T233" s="12"/>
      <c r="U233" s="12"/>
      <c r="V233" s="12"/>
      <c r="W233" s="12"/>
      <c r="X233" s="12"/>
    </row>
    <row r="234" customFormat="false" ht="15.75" hidden="false" customHeight="false" outlineLevel="0" collapsed="false">
      <c r="A234" s="12"/>
      <c r="B234" s="34"/>
      <c r="C234" s="12"/>
      <c r="D234" s="12"/>
      <c r="E234" s="12"/>
      <c r="F234" s="12"/>
      <c r="G234" s="18"/>
      <c r="H234" s="35"/>
      <c r="I234" s="12"/>
      <c r="M234" s="12"/>
      <c r="N234" s="18"/>
      <c r="O234" s="12"/>
      <c r="P234" s="12"/>
      <c r="Q234" s="12"/>
      <c r="R234" s="36"/>
      <c r="S234" s="36"/>
      <c r="T234" s="12"/>
      <c r="U234" s="12"/>
      <c r="V234" s="12"/>
      <c r="W234" s="12"/>
      <c r="X234" s="12"/>
    </row>
    <row r="235" customFormat="false" ht="15.75" hidden="false" customHeight="false" outlineLevel="0" collapsed="false">
      <c r="A235" s="12"/>
      <c r="B235" s="34"/>
      <c r="C235" s="12"/>
      <c r="D235" s="12"/>
      <c r="E235" s="12"/>
      <c r="F235" s="12"/>
      <c r="G235" s="18"/>
      <c r="H235" s="35"/>
      <c r="I235" s="12"/>
      <c r="M235" s="12"/>
      <c r="N235" s="18"/>
      <c r="O235" s="12"/>
      <c r="P235" s="12"/>
      <c r="Q235" s="12"/>
      <c r="R235" s="36"/>
      <c r="S235" s="36"/>
      <c r="T235" s="12"/>
      <c r="U235" s="12"/>
      <c r="V235" s="12"/>
      <c r="W235" s="12"/>
      <c r="X235" s="12"/>
    </row>
    <row r="236" customFormat="false" ht="15.75" hidden="false" customHeight="false" outlineLevel="0" collapsed="false">
      <c r="A236" s="12"/>
      <c r="B236" s="34"/>
      <c r="C236" s="12"/>
      <c r="D236" s="12"/>
      <c r="E236" s="12"/>
      <c r="F236" s="12"/>
      <c r="G236" s="18"/>
      <c r="H236" s="35"/>
      <c r="I236" s="12"/>
      <c r="M236" s="12"/>
      <c r="N236" s="18"/>
      <c r="O236" s="12"/>
      <c r="P236" s="12"/>
      <c r="Q236" s="12"/>
      <c r="R236" s="36"/>
      <c r="S236" s="36"/>
      <c r="T236" s="12"/>
      <c r="U236" s="12"/>
      <c r="V236" s="12"/>
      <c r="W236" s="12"/>
      <c r="X236" s="12"/>
    </row>
    <row r="237" customFormat="false" ht="15.75" hidden="false" customHeight="false" outlineLevel="0" collapsed="false">
      <c r="A237" s="12"/>
      <c r="B237" s="34"/>
      <c r="C237" s="12"/>
      <c r="D237" s="12"/>
      <c r="E237" s="12"/>
      <c r="F237" s="12"/>
      <c r="G237" s="18"/>
      <c r="H237" s="35"/>
      <c r="I237" s="12"/>
      <c r="M237" s="12"/>
      <c r="N237" s="18"/>
      <c r="O237" s="12"/>
      <c r="P237" s="12"/>
      <c r="Q237" s="12"/>
      <c r="R237" s="36"/>
      <c r="S237" s="36"/>
      <c r="T237" s="12"/>
      <c r="U237" s="12"/>
      <c r="V237" s="12"/>
      <c r="W237" s="12"/>
      <c r="X237" s="12"/>
    </row>
    <row r="238" customFormat="false" ht="15.75" hidden="false" customHeight="false" outlineLevel="0" collapsed="false">
      <c r="A238" s="12"/>
      <c r="B238" s="34"/>
      <c r="C238" s="12"/>
      <c r="D238" s="12"/>
      <c r="E238" s="12"/>
      <c r="F238" s="12"/>
      <c r="G238" s="18"/>
      <c r="H238" s="35"/>
      <c r="I238" s="12"/>
      <c r="M238" s="12"/>
      <c r="N238" s="18"/>
      <c r="O238" s="12"/>
      <c r="P238" s="12"/>
      <c r="Q238" s="12"/>
      <c r="R238" s="36"/>
      <c r="S238" s="36"/>
      <c r="T238" s="12"/>
      <c r="U238" s="12"/>
      <c r="V238" s="12"/>
      <c r="W238" s="12"/>
      <c r="X238" s="12"/>
    </row>
    <row r="239" customFormat="false" ht="15.75" hidden="false" customHeight="false" outlineLevel="0" collapsed="false">
      <c r="A239" s="12"/>
      <c r="B239" s="34"/>
      <c r="C239" s="12"/>
      <c r="D239" s="12"/>
      <c r="E239" s="12"/>
      <c r="F239" s="12"/>
      <c r="G239" s="18"/>
      <c r="H239" s="35"/>
      <c r="I239" s="12"/>
      <c r="M239" s="12"/>
      <c r="N239" s="18"/>
      <c r="O239" s="12"/>
      <c r="P239" s="12"/>
      <c r="Q239" s="12"/>
      <c r="R239" s="36"/>
      <c r="S239" s="36"/>
      <c r="T239" s="12"/>
      <c r="U239" s="12"/>
      <c r="V239" s="12"/>
      <c r="W239" s="12"/>
      <c r="X239" s="12"/>
    </row>
    <row r="240" customFormat="false" ht="15.75" hidden="false" customHeight="false" outlineLevel="0" collapsed="false">
      <c r="A240" s="12"/>
      <c r="B240" s="34"/>
      <c r="C240" s="12"/>
      <c r="D240" s="12"/>
      <c r="E240" s="12"/>
      <c r="F240" s="12"/>
      <c r="G240" s="18"/>
      <c r="H240" s="35"/>
      <c r="I240" s="12"/>
      <c r="M240" s="12"/>
      <c r="N240" s="18"/>
      <c r="O240" s="12"/>
      <c r="P240" s="12"/>
      <c r="Q240" s="12"/>
      <c r="R240" s="36"/>
      <c r="S240" s="36"/>
      <c r="T240" s="12"/>
      <c r="U240" s="12"/>
      <c r="V240" s="12"/>
      <c r="W240" s="12"/>
      <c r="X240" s="12"/>
    </row>
    <row r="241" customFormat="false" ht="15.75" hidden="false" customHeight="false" outlineLevel="0" collapsed="false">
      <c r="A241" s="12"/>
      <c r="B241" s="34"/>
      <c r="C241" s="12"/>
      <c r="D241" s="12"/>
      <c r="E241" s="12"/>
      <c r="F241" s="12"/>
      <c r="G241" s="18"/>
      <c r="H241" s="35"/>
      <c r="I241" s="12"/>
      <c r="M241" s="12"/>
      <c r="N241" s="18"/>
      <c r="O241" s="12"/>
      <c r="P241" s="12"/>
      <c r="Q241" s="12"/>
      <c r="R241" s="36"/>
      <c r="S241" s="36"/>
      <c r="T241" s="12"/>
      <c r="U241" s="12"/>
      <c r="V241" s="12"/>
      <c r="W241" s="12"/>
      <c r="X241" s="12"/>
    </row>
    <row r="242" customFormat="false" ht="15.75" hidden="false" customHeight="false" outlineLevel="0" collapsed="false">
      <c r="A242" s="12"/>
      <c r="B242" s="34"/>
      <c r="C242" s="12"/>
      <c r="D242" s="12"/>
      <c r="E242" s="12"/>
      <c r="F242" s="12"/>
      <c r="G242" s="18"/>
      <c r="H242" s="35"/>
      <c r="I242" s="12"/>
      <c r="M242" s="12"/>
      <c r="N242" s="18"/>
      <c r="O242" s="12"/>
      <c r="P242" s="12"/>
      <c r="Q242" s="12"/>
      <c r="R242" s="36"/>
      <c r="S242" s="36"/>
      <c r="T242" s="12"/>
      <c r="U242" s="12"/>
      <c r="V242" s="12"/>
      <c r="W242" s="12"/>
      <c r="X242" s="12"/>
    </row>
    <row r="243" customFormat="false" ht="15.75" hidden="false" customHeight="false" outlineLevel="0" collapsed="false">
      <c r="A243" s="12"/>
      <c r="B243" s="34"/>
      <c r="C243" s="12"/>
      <c r="D243" s="12"/>
      <c r="E243" s="12"/>
      <c r="F243" s="12"/>
      <c r="G243" s="18"/>
      <c r="H243" s="35"/>
      <c r="I243" s="12"/>
      <c r="M243" s="12"/>
      <c r="N243" s="18"/>
      <c r="O243" s="12"/>
      <c r="P243" s="12"/>
      <c r="Q243" s="12"/>
      <c r="R243" s="36"/>
      <c r="S243" s="36"/>
      <c r="T243" s="12"/>
      <c r="U243" s="12"/>
      <c r="V243" s="12"/>
      <c r="W243" s="12"/>
      <c r="X243" s="12"/>
    </row>
    <row r="244" customFormat="false" ht="15.75" hidden="false" customHeight="false" outlineLevel="0" collapsed="false">
      <c r="A244" s="12"/>
      <c r="B244" s="34"/>
      <c r="C244" s="12"/>
      <c r="D244" s="12"/>
      <c r="E244" s="12"/>
      <c r="F244" s="12"/>
      <c r="G244" s="18"/>
      <c r="H244" s="35"/>
      <c r="I244" s="12"/>
      <c r="M244" s="12"/>
      <c r="N244" s="18"/>
      <c r="O244" s="12"/>
      <c r="P244" s="12"/>
      <c r="Q244" s="12"/>
      <c r="R244" s="36"/>
      <c r="S244" s="36"/>
      <c r="T244" s="12"/>
      <c r="U244" s="12"/>
      <c r="V244" s="12"/>
      <c r="W244" s="12"/>
      <c r="X244" s="12"/>
    </row>
    <row r="245" customFormat="false" ht="15.75" hidden="false" customHeight="false" outlineLevel="0" collapsed="false">
      <c r="A245" s="12"/>
      <c r="B245" s="34"/>
      <c r="C245" s="12"/>
      <c r="D245" s="12"/>
      <c r="E245" s="12"/>
      <c r="F245" s="12"/>
      <c r="G245" s="18"/>
      <c r="H245" s="35"/>
      <c r="I245" s="12"/>
      <c r="M245" s="12"/>
      <c r="N245" s="18"/>
      <c r="O245" s="12"/>
      <c r="P245" s="12"/>
      <c r="Q245" s="12"/>
      <c r="R245" s="36"/>
      <c r="S245" s="36"/>
      <c r="T245" s="12"/>
      <c r="U245" s="12"/>
      <c r="V245" s="12"/>
      <c r="W245" s="12"/>
      <c r="X245" s="12"/>
    </row>
    <row r="246" customFormat="false" ht="15.75" hidden="false" customHeight="false" outlineLevel="0" collapsed="false">
      <c r="A246" s="12"/>
      <c r="B246" s="34"/>
      <c r="C246" s="12"/>
      <c r="D246" s="12"/>
      <c r="E246" s="12"/>
      <c r="F246" s="12"/>
      <c r="G246" s="18"/>
      <c r="H246" s="35"/>
      <c r="I246" s="12"/>
      <c r="M246" s="12"/>
      <c r="N246" s="18"/>
      <c r="O246" s="12"/>
      <c r="P246" s="12"/>
      <c r="Q246" s="12"/>
      <c r="R246" s="36"/>
      <c r="S246" s="36"/>
      <c r="T246" s="12"/>
      <c r="U246" s="12"/>
      <c r="V246" s="12"/>
      <c r="W246" s="12"/>
      <c r="X246" s="12"/>
    </row>
    <row r="247" customFormat="false" ht="15.75" hidden="false" customHeight="false" outlineLevel="0" collapsed="false">
      <c r="A247" s="12"/>
      <c r="B247" s="34"/>
      <c r="C247" s="12"/>
      <c r="D247" s="12"/>
      <c r="E247" s="12"/>
      <c r="F247" s="12"/>
      <c r="G247" s="18"/>
      <c r="H247" s="35"/>
      <c r="I247" s="12"/>
      <c r="M247" s="12"/>
      <c r="N247" s="18"/>
      <c r="O247" s="12"/>
      <c r="P247" s="12"/>
      <c r="Q247" s="12"/>
      <c r="R247" s="36"/>
      <c r="S247" s="36"/>
      <c r="T247" s="12"/>
      <c r="U247" s="12"/>
      <c r="V247" s="12"/>
      <c r="W247" s="12"/>
      <c r="X247" s="12"/>
    </row>
    <row r="248" customFormat="false" ht="15.75" hidden="false" customHeight="false" outlineLevel="0" collapsed="false">
      <c r="A248" s="12"/>
      <c r="B248" s="34"/>
      <c r="C248" s="12"/>
      <c r="D248" s="12"/>
      <c r="E248" s="12"/>
      <c r="F248" s="12"/>
      <c r="G248" s="18"/>
      <c r="H248" s="35"/>
      <c r="I248" s="12"/>
      <c r="M248" s="12"/>
      <c r="N248" s="18"/>
      <c r="O248" s="12"/>
      <c r="P248" s="12"/>
      <c r="Q248" s="12"/>
      <c r="R248" s="36"/>
      <c r="S248" s="36"/>
      <c r="T248" s="12"/>
      <c r="U248" s="12"/>
      <c r="V248" s="12"/>
      <c r="W248" s="12"/>
      <c r="X248" s="12"/>
    </row>
    <row r="249" customFormat="false" ht="15.75" hidden="false" customHeight="false" outlineLevel="0" collapsed="false">
      <c r="A249" s="12"/>
      <c r="B249" s="34"/>
      <c r="C249" s="12"/>
      <c r="D249" s="12"/>
      <c r="E249" s="12"/>
      <c r="F249" s="12"/>
      <c r="G249" s="18"/>
      <c r="H249" s="35"/>
      <c r="I249" s="12"/>
      <c r="M249" s="12"/>
      <c r="N249" s="18"/>
      <c r="O249" s="12"/>
      <c r="P249" s="12"/>
      <c r="Q249" s="12"/>
      <c r="R249" s="36"/>
      <c r="S249" s="36"/>
      <c r="T249" s="12"/>
      <c r="U249" s="12"/>
      <c r="V249" s="12"/>
      <c r="W249" s="12"/>
      <c r="X249" s="12"/>
    </row>
    <row r="250" customFormat="false" ht="15.75" hidden="false" customHeight="false" outlineLevel="0" collapsed="false">
      <c r="A250" s="12"/>
      <c r="B250" s="34"/>
      <c r="C250" s="12"/>
      <c r="D250" s="12"/>
      <c r="E250" s="12"/>
      <c r="F250" s="12"/>
      <c r="G250" s="18"/>
      <c r="H250" s="35"/>
      <c r="I250" s="12"/>
      <c r="M250" s="12"/>
      <c r="N250" s="18"/>
      <c r="O250" s="12"/>
      <c r="P250" s="12"/>
      <c r="Q250" s="12"/>
      <c r="R250" s="36"/>
      <c r="S250" s="36"/>
      <c r="T250" s="12"/>
      <c r="U250" s="12"/>
      <c r="V250" s="12"/>
      <c r="W250" s="12"/>
      <c r="X250" s="12"/>
    </row>
    <row r="251" customFormat="false" ht="15.75" hidden="false" customHeight="false" outlineLevel="0" collapsed="false">
      <c r="A251" s="12"/>
      <c r="B251" s="34"/>
      <c r="C251" s="12"/>
      <c r="D251" s="12"/>
      <c r="E251" s="12"/>
      <c r="F251" s="12"/>
      <c r="G251" s="18"/>
      <c r="H251" s="35"/>
      <c r="I251" s="12"/>
      <c r="M251" s="12"/>
      <c r="N251" s="18"/>
      <c r="O251" s="12"/>
      <c r="P251" s="12"/>
      <c r="Q251" s="12"/>
      <c r="R251" s="36"/>
      <c r="S251" s="36"/>
      <c r="T251" s="12"/>
      <c r="U251" s="12"/>
      <c r="V251" s="12"/>
      <c r="W251" s="12"/>
      <c r="X251" s="12"/>
    </row>
    <row r="252" customFormat="false" ht="15.75" hidden="false" customHeight="false" outlineLevel="0" collapsed="false">
      <c r="A252" s="12"/>
      <c r="B252" s="34"/>
      <c r="C252" s="12"/>
      <c r="D252" s="12"/>
      <c r="E252" s="12"/>
      <c r="F252" s="12"/>
      <c r="G252" s="18"/>
      <c r="H252" s="35"/>
      <c r="I252" s="12"/>
      <c r="M252" s="12"/>
      <c r="N252" s="18"/>
      <c r="O252" s="12"/>
      <c r="P252" s="12"/>
      <c r="Q252" s="12"/>
      <c r="R252" s="36"/>
      <c r="S252" s="36"/>
      <c r="T252" s="12"/>
      <c r="U252" s="12"/>
      <c r="V252" s="12"/>
      <c r="W252" s="12"/>
      <c r="X252" s="12"/>
    </row>
    <row r="253" customFormat="false" ht="15.75" hidden="false" customHeight="false" outlineLevel="0" collapsed="false">
      <c r="A253" s="12"/>
      <c r="B253" s="34"/>
      <c r="C253" s="12"/>
      <c r="D253" s="12"/>
      <c r="E253" s="12"/>
      <c r="F253" s="12"/>
      <c r="G253" s="18"/>
      <c r="H253" s="35"/>
      <c r="I253" s="12"/>
      <c r="M253" s="12"/>
      <c r="N253" s="18"/>
      <c r="O253" s="12"/>
      <c r="P253" s="12"/>
      <c r="Q253" s="12"/>
      <c r="R253" s="36"/>
      <c r="S253" s="36"/>
      <c r="T253" s="12"/>
      <c r="U253" s="12"/>
      <c r="V253" s="12"/>
      <c r="W253" s="12"/>
      <c r="X253" s="12"/>
    </row>
    <row r="254" customFormat="false" ht="15.75" hidden="false" customHeight="false" outlineLevel="0" collapsed="false">
      <c r="A254" s="12"/>
      <c r="B254" s="34"/>
      <c r="C254" s="12"/>
      <c r="D254" s="12"/>
      <c r="E254" s="12"/>
      <c r="F254" s="12"/>
      <c r="G254" s="18"/>
      <c r="H254" s="35"/>
      <c r="I254" s="12"/>
      <c r="M254" s="12"/>
      <c r="N254" s="18"/>
      <c r="O254" s="12"/>
      <c r="P254" s="12"/>
      <c r="Q254" s="12"/>
      <c r="R254" s="36"/>
      <c r="S254" s="36"/>
      <c r="T254" s="12"/>
      <c r="U254" s="12"/>
      <c r="V254" s="12"/>
      <c r="W254" s="12"/>
      <c r="X254" s="12"/>
    </row>
    <row r="255" customFormat="false" ht="15.75" hidden="false" customHeight="false" outlineLevel="0" collapsed="false">
      <c r="A255" s="12"/>
      <c r="B255" s="34"/>
      <c r="C255" s="12"/>
      <c r="D255" s="12"/>
      <c r="E255" s="12"/>
      <c r="F255" s="12"/>
      <c r="G255" s="18"/>
      <c r="H255" s="35"/>
      <c r="I255" s="12"/>
      <c r="M255" s="12"/>
      <c r="N255" s="18"/>
      <c r="O255" s="12"/>
      <c r="P255" s="12"/>
      <c r="Q255" s="12"/>
      <c r="R255" s="36"/>
      <c r="S255" s="36"/>
      <c r="T255" s="12"/>
      <c r="U255" s="12"/>
      <c r="V255" s="12"/>
      <c r="W255" s="12"/>
      <c r="X255" s="12"/>
    </row>
    <row r="256" customFormat="false" ht="15.75" hidden="false" customHeight="false" outlineLevel="0" collapsed="false">
      <c r="A256" s="12"/>
      <c r="B256" s="34"/>
      <c r="C256" s="12"/>
      <c r="D256" s="12"/>
      <c r="E256" s="12"/>
      <c r="F256" s="12"/>
      <c r="G256" s="18"/>
      <c r="H256" s="35"/>
      <c r="I256" s="12"/>
      <c r="M256" s="12"/>
      <c r="N256" s="18"/>
      <c r="O256" s="12"/>
      <c r="P256" s="12"/>
      <c r="Q256" s="12"/>
      <c r="R256" s="36"/>
      <c r="S256" s="36"/>
      <c r="T256" s="12"/>
      <c r="U256" s="12"/>
      <c r="V256" s="12"/>
      <c r="W256" s="12"/>
      <c r="X256" s="12"/>
    </row>
    <row r="257" customFormat="false" ht="15.75" hidden="false" customHeight="false" outlineLevel="0" collapsed="false">
      <c r="A257" s="12"/>
      <c r="B257" s="34"/>
      <c r="C257" s="12"/>
      <c r="D257" s="12"/>
      <c r="E257" s="12"/>
      <c r="F257" s="12"/>
      <c r="G257" s="18"/>
      <c r="H257" s="35"/>
      <c r="I257" s="12"/>
      <c r="M257" s="12"/>
      <c r="N257" s="18"/>
      <c r="O257" s="12"/>
      <c r="P257" s="12"/>
      <c r="Q257" s="12"/>
      <c r="R257" s="36"/>
      <c r="S257" s="36"/>
      <c r="T257" s="12"/>
      <c r="U257" s="12"/>
      <c r="V257" s="12"/>
      <c r="W257" s="12"/>
      <c r="X257" s="12"/>
    </row>
    <row r="258" customFormat="false" ht="15.75" hidden="false" customHeight="false" outlineLevel="0" collapsed="false">
      <c r="A258" s="12"/>
      <c r="B258" s="34"/>
      <c r="C258" s="12"/>
      <c r="D258" s="12"/>
      <c r="E258" s="12"/>
      <c r="F258" s="12"/>
      <c r="G258" s="18"/>
      <c r="H258" s="35"/>
      <c r="I258" s="12"/>
      <c r="M258" s="12"/>
      <c r="N258" s="18"/>
      <c r="O258" s="12"/>
      <c r="P258" s="12"/>
      <c r="Q258" s="12"/>
      <c r="R258" s="36"/>
      <c r="S258" s="36"/>
      <c r="T258" s="12"/>
      <c r="U258" s="12"/>
      <c r="V258" s="12"/>
      <c r="W258" s="12"/>
      <c r="X258" s="12"/>
    </row>
    <row r="259" customFormat="false" ht="15.75" hidden="false" customHeight="false" outlineLevel="0" collapsed="false">
      <c r="A259" s="12"/>
      <c r="B259" s="34"/>
      <c r="C259" s="12"/>
      <c r="D259" s="12"/>
      <c r="E259" s="12"/>
      <c r="F259" s="12"/>
      <c r="G259" s="18"/>
      <c r="H259" s="35"/>
      <c r="I259" s="12"/>
      <c r="M259" s="12"/>
      <c r="N259" s="18"/>
      <c r="O259" s="12"/>
      <c r="P259" s="12"/>
      <c r="Q259" s="12"/>
      <c r="R259" s="36"/>
      <c r="S259" s="36"/>
      <c r="T259" s="12"/>
      <c r="U259" s="12"/>
      <c r="V259" s="12"/>
      <c r="W259" s="12"/>
      <c r="X259" s="12"/>
    </row>
    <row r="260" customFormat="false" ht="15.75" hidden="false" customHeight="false" outlineLevel="0" collapsed="false">
      <c r="A260" s="12"/>
      <c r="B260" s="34"/>
      <c r="C260" s="12"/>
      <c r="D260" s="12"/>
      <c r="E260" s="12"/>
      <c r="F260" s="12"/>
      <c r="G260" s="18"/>
      <c r="H260" s="35"/>
      <c r="I260" s="12"/>
      <c r="M260" s="12"/>
      <c r="N260" s="18"/>
      <c r="O260" s="12"/>
      <c r="P260" s="12"/>
      <c r="Q260" s="12"/>
      <c r="R260" s="36"/>
      <c r="S260" s="36"/>
      <c r="T260" s="12"/>
      <c r="U260" s="12"/>
      <c r="V260" s="12"/>
      <c r="W260" s="12"/>
      <c r="X260" s="12"/>
    </row>
    <row r="261" customFormat="false" ht="15.75" hidden="false" customHeight="false" outlineLevel="0" collapsed="false">
      <c r="A261" s="12"/>
      <c r="B261" s="34"/>
      <c r="C261" s="12"/>
      <c r="D261" s="12"/>
      <c r="E261" s="12"/>
      <c r="F261" s="12"/>
      <c r="G261" s="18"/>
      <c r="H261" s="35"/>
      <c r="I261" s="12"/>
      <c r="M261" s="12"/>
      <c r="N261" s="18"/>
      <c r="O261" s="12"/>
      <c r="P261" s="12"/>
      <c r="Q261" s="12"/>
      <c r="R261" s="36"/>
      <c r="S261" s="36"/>
      <c r="T261" s="12"/>
      <c r="U261" s="12"/>
      <c r="V261" s="12"/>
      <c r="W261" s="12"/>
      <c r="X261" s="12"/>
    </row>
    <row r="262" customFormat="false" ht="15.75" hidden="false" customHeight="false" outlineLevel="0" collapsed="false">
      <c r="A262" s="12"/>
      <c r="B262" s="34"/>
      <c r="C262" s="12"/>
      <c r="D262" s="12"/>
      <c r="E262" s="12"/>
      <c r="F262" s="12"/>
      <c r="G262" s="18"/>
      <c r="H262" s="35"/>
      <c r="I262" s="12"/>
      <c r="M262" s="12"/>
      <c r="N262" s="18"/>
      <c r="O262" s="12"/>
      <c r="P262" s="12"/>
      <c r="Q262" s="12"/>
      <c r="R262" s="36"/>
      <c r="S262" s="36"/>
      <c r="T262" s="12"/>
      <c r="U262" s="12"/>
      <c r="V262" s="12"/>
      <c r="W262" s="12"/>
      <c r="X262" s="12"/>
    </row>
    <row r="263" customFormat="false" ht="15.75" hidden="false" customHeight="false" outlineLevel="0" collapsed="false">
      <c r="A263" s="12"/>
      <c r="B263" s="34"/>
      <c r="C263" s="12"/>
      <c r="D263" s="12"/>
      <c r="E263" s="12"/>
      <c r="F263" s="12"/>
      <c r="G263" s="18"/>
      <c r="H263" s="35"/>
      <c r="I263" s="12"/>
      <c r="M263" s="12"/>
      <c r="N263" s="18"/>
      <c r="O263" s="12"/>
      <c r="P263" s="12"/>
      <c r="Q263" s="12"/>
      <c r="R263" s="36"/>
      <c r="S263" s="36"/>
      <c r="T263" s="12"/>
      <c r="U263" s="12"/>
      <c r="V263" s="12"/>
      <c r="W263" s="12"/>
      <c r="X263" s="12"/>
    </row>
    <row r="264" customFormat="false" ht="15.75" hidden="false" customHeight="false" outlineLevel="0" collapsed="false">
      <c r="A264" s="12"/>
      <c r="B264" s="34"/>
      <c r="C264" s="12"/>
      <c r="D264" s="12"/>
      <c r="E264" s="12"/>
      <c r="F264" s="12"/>
      <c r="G264" s="18"/>
      <c r="H264" s="35"/>
      <c r="I264" s="12"/>
      <c r="M264" s="12"/>
      <c r="N264" s="18"/>
      <c r="O264" s="12"/>
      <c r="P264" s="12"/>
      <c r="Q264" s="12"/>
      <c r="R264" s="36"/>
      <c r="S264" s="36"/>
      <c r="T264" s="12"/>
      <c r="U264" s="12"/>
      <c r="V264" s="12"/>
      <c r="W264" s="12"/>
      <c r="X264" s="12"/>
    </row>
    <row r="265" customFormat="false" ht="15.75" hidden="false" customHeight="false" outlineLevel="0" collapsed="false">
      <c r="A265" s="12"/>
      <c r="B265" s="34"/>
      <c r="C265" s="12"/>
      <c r="D265" s="12"/>
      <c r="E265" s="12"/>
      <c r="F265" s="12"/>
      <c r="G265" s="18"/>
      <c r="H265" s="35"/>
      <c r="I265" s="12"/>
      <c r="M265" s="12"/>
      <c r="N265" s="18"/>
      <c r="O265" s="12"/>
      <c r="P265" s="12"/>
      <c r="Q265" s="12"/>
      <c r="R265" s="36"/>
      <c r="S265" s="36"/>
      <c r="T265" s="12"/>
      <c r="U265" s="12"/>
      <c r="V265" s="12"/>
      <c r="W265" s="12"/>
      <c r="X265" s="12"/>
    </row>
    <row r="266" customFormat="false" ht="15.75" hidden="false" customHeight="false" outlineLevel="0" collapsed="false">
      <c r="A266" s="12"/>
      <c r="B266" s="34"/>
      <c r="C266" s="12"/>
      <c r="D266" s="12"/>
      <c r="E266" s="12"/>
      <c r="F266" s="12"/>
      <c r="G266" s="18"/>
      <c r="H266" s="35"/>
      <c r="I266" s="12"/>
      <c r="M266" s="12"/>
      <c r="N266" s="18"/>
      <c r="O266" s="12"/>
      <c r="P266" s="12"/>
      <c r="Q266" s="12"/>
      <c r="R266" s="36"/>
      <c r="S266" s="36"/>
      <c r="T266" s="12"/>
      <c r="U266" s="12"/>
      <c r="V266" s="12"/>
      <c r="W266" s="12"/>
      <c r="X266" s="12"/>
    </row>
    <row r="267" customFormat="false" ht="15.75" hidden="false" customHeight="false" outlineLevel="0" collapsed="false">
      <c r="A267" s="12"/>
      <c r="B267" s="34"/>
      <c r="C267" s="12"/>
      <c r="D267" s="12"/>
      <c r="E267" s="12"/>
      <c r="F267" s="12"/>
      <c r="G267" s="18"/>
      <c r="H267" s="35"/>
      <c r="I267" s="12"/>
      <c r="M267" s="12"/>
      <c r="N267" s="18"/>
      <c r="O267" s="12"/>
      <c r="P267" s="12"/>
      <c r="Q267" s="12"/>
      <c r="R267" s="36"/>
      <c r="S267" s="36"/>
      <c r="T267" s="12"/>
      <c r="U267" s="12"/>
      <c r="V267" s="12"/>
      <c r="W267" s="12"/>
      <c r="X267" s="12"/>
    </row>
    <row r="268" customFormat="false" ht="15.75" hidden="false" customHeight="false" outlineLevel="0" collapsed="false">
      <c r="A268" s="12"/>
      <c r="B268" s="34"/>
      <c r="C268" s="12"/>
      <c r="D268" s="12"/>
      <c r="E268" s="12"/>
      <c r="F268" s="12"/>
      <c r="G268" s="18"/>
      <c r="H268" s="35"/>
      <c r="I268" s="12"/>
      <c r="M268" s="12"/>
      <c r="N268" s="18"/>
      <c r="O268" s="12"/>
      <c r="P268" s="12"/>
      <c r="Q268" s="12"/>
      <c r="R268" s="36"/>
      <c r="S268" s="36"/>
      <c r="T268" s="12"/>
      <c r="U268" s="12"/>
      <c r="V268" s="12"/>
      <c r="W268" s="12"/>
      <c r="X268" s="12"/>
    </row>
    <row r="269" customFormat="false" ht="15.75" hidden="false" customHeight="false" outlineLevel="0" collapsed="false">
      <c r="A269" s="12"/>
      <c r="B269" s="34"/>
      <c r="C269" s="12"/>
      <c r="D269" s="12"/>
      <c r="E269" s="12"/>
      <c r="F269" s="12"/>
      <c r="G269" s="18"/>
      <c r="H269" s="35"/>
      <c r="I269" s="12"/>
      <c r="M269" s="12"/>
      <c r="N269" s="18"/>
      <c r="O269" s="12"/>
      <c r="P269" s="12"/>
      <c r="Q269" s="12"/>
      <c r="R269" s="36"/>
      <c r="S269" s="36"/>
      <c r="T269" s="12"/>
      <c r="U269" s="12"/>
      <c r="V269" s="12"/>
      <c r="W269" s="12"/>
      <c r="X269" s="12"/>
    </row>
    <row r="270" customFormat="false" ht="15.75" hidden="false" customHeight="false" outlineLevel="0" collapsed="false">
      <c r="A270" s="12"/>
      <c r="B270" s="34"/>
      <c r="C270" s="12"/>
      <c r="D270" s="12"/>
      <c r="E270" s="12"/>
      <c r="F270" s="12"/>
      <c r="G270" s="18"/>
      <c r="H270" s="35"/>
      <c r="I270" s="12"/>
      <c r="M270" s="12"/>
      <c r="N270" s="18"/>
      <c r="O270" s="12"/>
      <c r="P270" s="12"/>
      <c r="Q270" s="12"/>
      <c r="R270" s="36"/>
      <c r="S270" s="36"/>
      <c r="T270" s="12"/>
      <c r="U270" s="12"/>
      <c r="V270" s="12"/>
      <c r="W270" s="12"/>
      <c r="X270" s="12"/>
    </row>
    <row r="271" customFormat="false" ht="15.75" hidden="false" customHeight="false" outlineLevel="0" collapsed="false">
      <c r="A271" s="12"/>
      <c r="B271" s="34"/>
      <c r="C271" s="12"/>
      <c r="D271" s="12"/>
      <c r="E271" s="12"/>
      <c r="F271" s="12"/>
      <c r="G271" s="18"/>
      <c r="H271" s="35"/>
      <c r="I271" s="12"/>
      <c r="M271" s="12"/>
      <c r="N271" s="18"/>
      <c r="O271" s="12"/>
      <c r="P271" s="12"/>
      <c r="Q271" s="12"/>
      <c r="R271" s="36"/>
      <c r="S271" s="36"/>
      <c r="T271" s="12"/>
      <c r="U271" s="12"/>
      <c r="V271" s="12"/>
      <c r="W271" s="12"/>
      <c r="X271" s="12"/>
    </row>
    <row r="272" customFormat="false" ht="15.75" hidden="false" customHeight="false" outlineLevel="0" collapsed="false">
      <c r="A272" s="12"/>
      <c r="B272" s="34"/>
      <c r="C272" s="12"/>
      <c r="D272" s="12"/>
      <c r="E272" s="12"/>
      <c r="F272" s="12"/>
      <c r="G272" s="18"/>
      <c r="H272" s="35"/>
      <c r="I272" s="12"/>
      <c r="M272" s="12"/>
      <c r="N272" s="18"/>
      <c r="O272" s="12"/>
      <c r="P272" s="12"/>
      <c r="Q272" s="12"/>
      <c r="R272" s="36"/>
      <c r="S272" s="36"/>
      <c r="T272" s="12"/>
      <c r="U272" s="12"/>
      <c r="V272" s="12"/>
      <c r="W272" s="12"/>
      <c r="X272" s="12"/>
    </row>
    <row r="273" customFormat="false" ht="15.75" hidden="false" customHeight="false" outlineLevel="0" collapsed="false">
      <c r="A273" s="12"/>
      <c r="B273" s="34"/>
      <c r="C273" s="12"/>
      <c r="D273" s="12"/>
      <c r="E273" s="12"/>
      <c r="F273" s="12"/>
      <c r="G273" s="18"/>
      <c r="H273" s="35"/>
      <c r="I273" s="12"/>
      <c r="M273" s="12"/>
      <c r="N273" s="18"/>
      <c r="O273" s="12"/>
      <c r="P273" s="12"/>
      <c r="Q273" s="12"/>
      <c r="R273" s="36"/>
      <c r="S273" s="36"/>
      <c r="T273" s="12"/>
      <c r="U273" s="12"/>
      <c r="V273" s="12"/>
      <c r="W273" s="12"/>
      <c r="X273" s="12"/>
    </row>
    <row r="274" customFormat="false" ht="15.75" hidden="false" customHeight="false" outlineLevel="0" collapsed="false">
      <c r="A274" s="12"/>
      <c r="B274" s="34"/>
      <c r="C274" s="12"/>
      <c r="D274" s="12"/>
      <c r="E274" s="12"/>
      <c r="F274" s="12"/>
      <c r="G274" s="18"/>
      <c r="H274" s="35"/>
      <c r="I274" s="12"/>
      <c r="M274" s="12"/>
      <c r="N274" s="18"/>
      <c r="O274" s="12"/>
      <c r="P274" s="12"/>
      <c r="Q274" s="12"/>
      <c r="R274" s="36"/>
      <c r="S274" s="36"/>
      <c r="T274" s="12"/>
      <c r="U274" s="12"/>
      <c r="V274" s="12"/>
      <c r="W274" s="12"/>
      <c r="X274" s="12"/>
    </row>
    <row r="275" customFormat="false" ht="15.75" hidden="false" customHeight="false" outlineLevel="0" collapsed="false">
      <c r="A275" s="12"/>
      <c r="B275" s="34"/>
      <c r="C275" s="12"/>
      <c r="D275" s="12"/>
      <c r="E275" s="12"/>
      <c r="F275" s="12"/>
      <c r="G275" s="18"/>
      <c r="H275" s="35"/>
      <c r="I275" s="12"/>
      <c r="M275" s="12"/>
      <c r="N275" s="18"/>
      <c r="O275" s="12"/>
      <c r="P275" s="12"/>
      <c r="Q275" s="12"/>
      <c r="R275" s="36"/>
      <c r="S275" s="36"/>
      <c r="T275" s="12"/>
      <c r="U275" s="12"/>
      <c r="V275" s="12"/>
      <c r="W275" s="12"/>
      <c r="X275" s="12"/>
    </row>
    <row r="276" customFormat="false" ht="15.75" hidden="false" customHeight="false" outlineLevel="0" collapsed="false">
      <c r="A276" s="12"/>
      <c r="B276" s="34"/>
      <c r="C276" s="12"/>
      <c r="D276" s="12"/>
      <c r="E276" s="12"/>
      <c r="F276" s="12"/>
      <c r="G276" s="18"/>
      <c r="H276" s="35"/>
      <c r="I276" s="12"/>
      <c r="M276" s="12"/>
      <c r="N276" s="18"/>
      <c r="O276" s="12"/>
      <c r="P276" s="12"/>
      <c r="Q276" s="12"/>
      <c r="R276" s="36"/>
      <c r="S276" s="36"/>
      <c r="T276" s="12"/>
      <c r="U276" s="12"/>
      <c r="V276" s="12"/>
      <c r="W276" s="12"/>
      <c r="X276" s="12"/>
    </row>
    <row r="277" customFormat="false" ht="15.75" hidden="false" customHeight="false" outlineLevel="0" collapsed="false">
      <c r="A277" s="12"/>
      <c r="B277" s="34"/>
      <c r="C277" s="12"/>
      <c r="D277" s="12"/>
      <c r="E277" s="12"/>
      <c r="F277" s="12"/>
      <c r="G277" s="18"/>
      <c r="H277" s="35"/>
      <c r="I277" s="12"/>
      <c r="M277" s="12"/>
      <c r="N277" s="18"/>
      <c r="O277" s="12"/>
      <c r="P277" s="12"/>
      <c r="Q277" s="12"/>
      <c r="R277" s="36"/>
      <c r="S277" s="36"/>
      <c r="T277" s="12"/>
      <c r="U277" s="12"/>
      <c r="V277" s="12"/>
      <c r="W277" s="12"/>
      <c r="X277" s="12"/>
    </row>
    <row r="278" customFormat="false" ht="15.75" hidden="false" customHeight="false" outlineLevel="0" collapsed="false">
      <c r="A278" s="12"/>
      <c r="B278" s="34"/>
      <c r="C278" s="12"/>
      <c r="D278" s="12"/>
      <c r="E278" s="12"/>
      <c r="F278" s="12"/>
      <c r="G278" s="18"/>
      <c r="H278" s="35"/>
      <c r="I278" s="12"/>
      <c r="M278" s="12"/>
      <c r="N278" s="18"/>
      <c r="O278" s="12"/>
      <c r="P278" s="12"/>
      <c r="Q278" s="12"/>
      <c r="R278" s="36"/>
      <c r="S278" s="36"/>
      <c r="T278" s="12"/>
      <c r="U278" s="12"/>
      <c r="V278" s="12"/>
      <c r="W278" s="12"/>
      <c r="X278" s="12"/>
    </row>
    <row r="279" customFormat="false" ht="15.75" hidden="false" customHeight="false" outlineLevel="0" collapsed="false">
      <c r="A279" s="12"/>
      <c r="B279" s="34"/>
      <c r="C279" s="12"/>
      <c r="D279" s="12"/>
      <c r="E279" s="12"/>
      <c r="F279" s="12"/>
      <c r="G279" s="18"/>
      <c r="H279" s="35"/>
      <c r="I279" s="12"/>
      <c r="M279" s="12"/>
      <c r="N279" s="18"/>
      <c r="O279" s="12"/>
      <c r="P279" s="12"/>
      <c r="Q279" s="12"/>
      <c r="R279" s="36"/>
      <c r="S279" s="36"/>
      <c r="T279" s="12"/>
      <c r="U279" s="12"/>
      <c r="V279" s="12"/>
      <c r="W279" s="12"/>
      <c r="X279" s="12"/>
    </row>
    <row r="280" customFormat="false" ht="15.75" hidden="false" customHeight="false" outlineLevel="0" collapsed="false">
      <c r="A280" s="12"/>
      <c r="B280" s="34"/>
      <c r="C280" s="12"/>
      <c r="D280" s="12"/>
      <c r="E280" s="12"/>
      <c r="F280" s="12"/>
      <c r="G280" s="18"/>
      <c r="H280" s="35"/>
      <c r="I280" s="12"/>
      <c r="M280" s="12"/>
      <c r="N280" s="18"/>
      <c r="O280" s="12"/>
      <c r="P280" s="12"/>
      <c r="Q280" s="12"/>
      <c r="R280" s="36"/>
      <c r="S280" s="36"/>
      <c r="T280" s="12"/>
      <c r="U280" s="12"/>
      <c r="V280" s="12"/>
      <c r="W280" s="12"/>
      <c r="X280" s="12"/>
    </row>
    <row r="281" customFormat="false" ht="15.75" hidden="false" customHeight="false" outlineLevel="0" collapsed="false">
      <c r="A281" s="12"/>
      <c r="B281" s="34"/>
      <c r="C281" s="12"/>
      <c r="D281" s="12"/>
      <c r="E281" s="12"/>
      <c r="F281" s="12"/>
      <c r="G281" s="18"/>
      <c r="H281" s="35"/>
      <c r="I281" s="12"/>
      <c r="M281" s="12"/>
      <c r="N281" s="18"/>
      <c r="O281" s="12"/>
      <c r="P281" s="12"/>
      <c r="Q281" s="12"/>
      <c r="R281" s="36"/>
      <c r="S281" s="36"/>
      <c r="T281" s="12"/>
      <c r="U281" s="12"/>
      <c r="V281" s="12"/>
      <c r="W281" s="12"/>
      <c r="X281" s="12"/>
    </row>
    <row r="282" customFormat="false" ht="15.75" hidden="false" customHeight="false" outlineLevel="0" collapsed="false">
      <c r="A282" s="12"/>
      <c r="B282" s="34"/>
      <c r="C282" s="12"/>
      <c r="D282" s="12"/>
      <c r="E282" s="12"/>
      <c r="F282" s="12"/>
      <c r="G282" s="18"/>
      <c r="H282" s="35"/>
      <c r="I282" s="12"/>
      <c r="M282" s="12"/>
      <c r="N282" s="18"/>
      <c r="O282" s="12"/>
      <c r="P282" s="12"/>
      <c r="Q282" s="12"/>
      <c r="R282" s="36"/>
      <c r="S282" s="36"/>
      <c r="T282" s="12"/>
      <c r="U282" s="12"/>
      <c r="V282" s="12"/>
      <c r="W282" s="12"/>
      <c r="X282" s="12"/>
    </row>
    <row r="283" customFormat="false" ht="15.75" hidden="false" customHeight="false" outlineLevel="0" collapsed="false">
      <c r="A283" s="12"/>
      <c r="B283" s="34"/>
      <c r="C283" s="12"/>
      <c r="D283" s="12"/>
      <c r="E283" s="12"/>
      <c r="F283" s="12"/>
      <c r="G283" s="18"/>
      <c r="H283" s="35"/>
      <c r="I283" s="12"/>
      <c r="M283" s="12"/>
      <c r="N283" s="18"/>
      <c r="O283" s="12"/>
      <c r="P283" s="12"/>
      <c r="Q283" s="12"/>
      <c r="R283" s="36"/>
      <c r="S283" s="36"/>
      <c r="T283" s="12"/>
      <c r="U283" s="12"/>
      <c r="V283" s="12"/>
      <c r="W283" s="12"/>
      <c r="X283" s="12"/>
    </row>
    <row r="284" customFormat="false" ht="15.75" hidden="false" customHeight="false" outlineLevel="0" collapsed="false">
      <c r="A284" s="12"/>
      <c r="B284" s="34"/>
      <c r="C284" s="12"/>
      <c r="D284" s="12"/>
      <c r="E284" s="12"/>
      <c r="F284" s="12"/>
      <c r="G284" s="18"/>
      <c r="H284" s="35"/>
      <c r="I284" s="12"/>
      <c r="M284" s="12"/>
      <c r="N284" s="18"/>
      <c r="O284" s="12"/>
      <c r="P284" s="12"/>
      <c r="Q284" s="12"/>
      <c r="R284" s="36"/>
      <c r="S284" s="36"/>
      <c r="T284" s="12"/>
      <c r="U284" s="12"/>
      <c r="V284" s="12"/>
      <c r="W284" s="12"/>
      <c r="X284" s="12"/>
    </row>
    <row r="285" customFormat="false" ht="15.75" hidden="false" customHeight="false" outlineLevel="0" collapsed="false">
      <c r="A285" s="12"/>
      <c r="B285" s="34"/>
      <c r="C285" s="12"/>
      <c r="D285" s="12"/>
      <c r="E285" s="12"/>
      <c r="F285" s="12"/>
      <c r="G285" s="18"/>
      <c r="H285" s="35"/>
      <c r="I285" s="12"/>
      <c r="M285" s="12"/>
      <c r="N285" s="18"/>
      <c r="O285" s="12"/>
      <c r="P285" s="12"/>
      <c r="Q285" s="12"/>
      <c r="R285" s="36"/>
      <c r="S285" s="36"/>
      <c r="T285" s="12"/>
      <c r="U285" s="12"/>
      <c r="V285" s="12"/>
      <c r="W285" s="12"/>
      <c r="X285" s="12"/>
    </row>
    <row r="286" customFormat="false" ht="15.75" hidden="false" customHeight="false" outlineLevel="0" collapsed="false">
      <c r="A286" s="12"/>
      <c r="B286" s="34"/>
      <c r="C286" s="12"/>
      <c r="D286" s="12"/>
      <c r="E286" s="12"/>
      <c r="F286" s="12"/>
      <c r="G286" s="18"/>
      <c r="H286" s="35"/>
      <c r="I286" s="12"/>
      <c r="M286" s="12"/>
      <c r="N286" s="18"/>
      <c r="O286" s="12"/>
      <c r="P286" s="12"/>
      <c r="Q286" s="12"/>
      <c r="R286" s="36"/>
      <c r="S286" s="36"/>
      <c r="T286" s="12"/>
      <c r="U286" s="12"/>
      <c r="V286" s="12"/>
      <c r="W286" s="12"/>
      <c r="X286" s="12"/>
    </row>
    <row r="287" customFormat="false" ht="15.75" hidden="false" customHeight="false" outlineLevel="0" collapsed="false">
      <c r="A287" s="12"/>
      <c r="B287" s="34"/>
      <c r="C287" s="12"/>
      <c r="D287" s="12"/>
      <c r="E287" s="12"/>
      <c r="F287" s="12"/>
      <c r="G287" s="18"/>
      <c r="H287" s="35"/>
      <c r="I287" s="12"/>
      <c r="M287" s="12"/>
      <c r="N287" s="18"/>
      <c r="O287" s="12"/>
      <c r="P287" s="12"/>
      <c r="Q287" s="12"/>
      <c r="R287" s="36"/>
      <c r="S287" s="36"/>
      <c r="T287" s="12"/>
      <c r="U287" s="12"/>
      <c r="V287" s="12"/>
      <c r="W287" s="12"/>
      <c r="X287" s="12"/>
    </row>
    <row r="288" customFormat="false" ht="15.75" hidden="false" customHeight="false" outlineLevel="0" collapsed="false">
      <c r="A288" s="12"/>
      <c r="B288" s="34"/>
      <c r="C288" s="12"/>
      <c r="D288" s="12"/>
      <c r="E288" s="12"/>
      <c r="F288" s="12"/>
      <c r="G288" s="18"/>
      <c r="H288" s="35"/>
      <c r="I288" s="12"/>
      <c r="M288" s="12"/>
      <c r="N288" s="18"/>
      <c r="O288" s="12"/>
      <c r="P288" s="12"/>
      <c r="Q288" s="12"/>
      <c r="R288" s="36"/>
      <c r="S288" s="36"/>
      <c r="T288" s="12"/>
      <c r="U288" s="12"/>
      <c r="V288" s="12"/>
      <c r="W288" s="12"/>
      <c r="X288" s="12"/>
    </row>
    <row r="289" customFormat="false" ht="15.75" hidden="false" customHeight="false" outlineLevel="0" collapsed="false">
      <c r="A289" s="12"/>
      <c r="B289" s="34"/>
      <c r="C289" s="12"/>
      <c r="D289" s="12"/>
      <c r="E289" s="12"/>
      <c r="F289" s="12"/>
      <c r="G289" s="18"/>
      <c r="H289" s="35"/>
      <c r="I289" s="12"/>
      <c r="M289" s="12"/>
      <c r="N289" s="18"/>
      <c r="O289" s="12"/>
      <c r="P289" s="12"/>
      <c r="Q289" s="12"/>
      <c r="R289" s="36"/>
      <c r="S289" s="36"/>
      <c r="T289" s="12"/>
      <c r="U289" s="12"/>
      <c r="V289" s="12"/>
      <c r="W289" s="12"/>
      <c r="X289" s="12"/>
    </row>
    <row r="290" customFormat="false" ht="15.75" hidden="false" customHeight="false" outlineLevel="0" collapsed="false">
      <c r="A290" s="12"/>
      <c r="B290" s="34"/>
      <c r="C290" s="12"/>
      <c r="D290" s="12"/>
      <c r="E290" s="12"/>
      <c r="F290" s="12"/>
      <c r="G290" s="18"/>
      <c r="H290" s="35"/>
      <c r="I290" s="12"/>
      <c r="M290" s="12"/>
      <c r="N290" s="18"/>
      <c r="O290" s="12"/>
      <c r="P290" s="12"/>
      <c r="Q290" s="12"/>
      <c r="R290" s="36"/>
      <c r="S290" s="36"/>
      <c r="T290" s="12"/>
      <c r="U290" s="12"/>
      <c r="V290" s="12"/>
      <c r="W290" s="12"/>
      <c r="X290" s="12"/>
    </row>
    <row r="291" customFormat="false" ht="15.75" hidden="false" customHeight="false" outlineLevel="0" collapsed="false">
      <c r="A291" s="12"/>
      <c r="B291" s="34"/>
      <c r="C291" s="12"/>
      <c r="D291" s="12"/>
      <c r="E291" s="12"/>
      <c r="F291" s="12"/>
      <c r="G291" s="18"/>
      <c r="H291" s="35"/>
      <c r="I291" s="12"/>
      <c r="M291" s="12"/>
      <c r="N291" s="18"/>
      <c r="O291" s="12"/>
      <c r="P291" s="12"/>
      <c r="Q291" s="12"/>
      <c r="R291" s="36"/>
      <c r="S291" s="36"/>
      <c r="T291" s="12"/>
      <c r="U291" s="12"/>
      <c r="V291" s="12"/>
      <c r="W291" s="12"/>
      <c r="X291" s="12"/>
    </row>
    <row r="292" customFormat="false" ht="15.75" hidden="false" customHeight="false" outlineLevel="0" collapsed="false">
      <c r="A292" s="12"/>
      <c r="B292" s="34"/>
      <c r="C292" s="12"/>
      <c r="D292" s="12"/>
      <c r="E292" s="12"/>
      <c r="F292" s="12"/>
      <c r="G292" s="18"/>
      <c r="H292" s="35"/>
      <c r="I292" s="12"/>
      <c r="M292" s="12"/>
      <c r="N292" s="18"/>
      <c r="O292" s="12"/>
      <c r="P292" s="12"/>
      <c r="Q292" s="12"/>
      <c r="R292" s="36"/>
      <c r="S292" s="36"/>
      <c r="T292" s="12"/>
      <c r="U292" s="12"/>
      <c r="V292" s="12"/>
      <c r="W292" s="12"/>
      <c r="X292" s="12"/>
    </row>
    <row r="293" customFormat="false" ht="15.75" hidden="false" customHeight="false" outlineLevel="0" collapsed="false">
      <c r="A293" s="12"/>
      <c r="B293" s="34"/>
      <c r="C293" s="12"/>
      <c r="D293" s="12"/>
      <c r="E293" s="12"/>
      <c r="F293" s="12"/>
      <c r="G293" s="18"/>
      <c r="H293" s="35"/>
      <c r="I293" s="12"/>
      <c r="M293" s="12"/>
      <c r="N293" s="18"/>
      <c r="O293" s="12"/>
      <c r="P293" s="12"/>
      <c r="Q293" s="12"/>
      <c r="R293" s="36"/>
      <c r="S293" s="36"/>
      <c r="T293" s="12"/>
      <c r="U293" s="12"/>
      <c r="V293" s="12"/>
      <c r="W293" s="12"/>
      <c r="X293" s="12"/>
    </row>
    <row r="294" customFormat="false" ht="15.75" hidden="false" customHeight="false" outlineLevel="0" collapsed="false">
      <c r="A294" s="12"/>
      <c r="B294" s="34"/>
      <c r="C294" s="12"/>
      <c r="D294" s="12"/>
      <c r="E294" s="12"/>
      <c r="F294" s="12"/>
      <c r="G294" s="18"/>
      <c r="H294" s="35"/>
      <c r="I294" s="12"/>
      <c r="M294" s="12"/>
      <c r="N294" s="18"/>
      <c r="O294" s="12"/>
      <c r="P294" s="12"/>
      <c r="Q294" s="12"/>
      <c r="R294" s="36"/>
      <c r="S294" s="36"/>
      <c r="T294" s="12"/>
      <c r="U294" s="12"/>
      <c r="V294" s="12"/>
      <c r="W294" s="12"/>
      <c r="X294" s="12"/>
    </row>
    <row r="295" customFormat="false" ht="15.75" hidden="false" customHeight="false" outlineLevel="0" collapsed="false">
      <c r="A295" s="12"/>
      <c r="B295" s="34"/>
      <c r="C295" s="12"/>
      <c r="D295" s="12"/>
      <c r="E295" s="12"/>
      <c r="F295" s="12"/>
      <c r="G295" s="18"/>
      <c r="H295" s="35"/>
      <c r="I295" s="12"/>
      <c r="M295" s="12"/>
      <c r="N295" s="18"/>
      <c r="O295" s="12"/>
      <c r="P295" s="12"/>
      <c r="Q295" s="12"/>
      <c r="R295" s="36"/>
      <c r="S295" s="36"/>
      <c r="T295" s="12"/>
      <c r="U295" s="12"/>
      <c r="V295" s="12"/>
      <c r="W295" s="12"/>
      <c r="X295" s="12"/>
    </row>
    <row r="296" customFormat="false" ht="15.75" hidden="false" customHeight="false" outlineLevel="0" collapsed="false">
      <c r="A296" s="12"/>
      <c r="B296" s="34"/>
      <c r="C296" s="12"/>
      <c r="D296" s="12"/>
      <c r="E296" s="12"/>
      <c r="F296" s="12"/>
      <c r="G296" s="18"/>
      <c r="H296" s="35"/>
      <c r="I296" s="12"/>
      <c r="M296" s="12"/>
      <c r="N296" s="18"/>
      <c r="O296" s="12"/>
      <c r="P296" s="12"/>
      <c r="Q296" s="12"/>
      <c r="R296" s="36"/>
      <c r="S296" s="36"/>
      <c r="T296" s="12"/>
      <c r="U296" s="12"/>
      <c r="V296" s="12"/>
      <c r="W296" s="12"/>
      <c r="X296" s="12"/>
    </row>
    <row r="297" customFormat="false" ht="15.75" hidden="false" customHeight="false" outlineLevel="0" collapsed="false">
      <c r="A297" s="12"/>
      <c r="B297" s="34"/>
      <c r="C297" s="12"/>
      <c r="D297" s="12"/>
      <c r="E297" s="12"/>
      <c r="F297" s="12"/>
      <c r="G297" s="18"/>
      <c r="H297" s="35"/>
      <c r="I297" s="12"/>
      <c r="M297" s="12"/>
      <c r="N297" s="18"/>
      <c r="O297" s="12"/>
      <c r="P297" s="12"/>
      <c r="Q297" s="12"/>
      <c r="R297" s="36"/>
      <c r="S297" s="36"/>
      <c r="T297" s="12"/>
      <c r="U297" s="12"/>
      <c r="V297" s="12"/>
      <c r="W297" s="12"/>
      <c r="X297" s="12"/>
    </row>
    <row r="298" customFormat="false" ht="15.75" hidden="false" customHeight="false" outlineLevel="0" collapsed="false">
      <c r="A298" s="12"/>
      <c r="B298" s="34"/>
      <c r="C298" s="12"/>
      <c r="D298" s="12"/>
      <c r="E298" s="12"/>
      <c r="F298" s="12"/>
      <c r="G298" s="18"/>
      <c r="H298" s="35"/>
      <c r="I298" s="12"/>
      <c r="M298" s="12"/>
      <c r="N298" s="18"/>
      <c r="O298" s="12"/>
      <c r="P298" s="12"/>
      <c r="Q298" s="12"/>
      <c r="R298" s="36"/>
      <c r="S298" s="36"/>
      <c r="T298" s="12"/>
      <c r="U298" s="12"/>
      <c r="V298" s="12"/>
      <c r="W298" s="12"/>
      <c r="X298" s="12"/>
    </row>
    <row r="299" customFormat="false" ht="15.75" hidden="false" customHeight="false" outlineLevel="0" collapsed="false">
      <c r="A299" s="12"/>
      <c r="B299" s="34"/>
      <c r="C299" s="12"/>
      <c r="D299" s="12"/>
      <c r="E299" s="12"/>
      <c r="F299" s="12"/>
      <c r="G299" s="18"/>
      <c r="H299" s="35"/>
      <c r="I299" s="12"/>
      <c r="M299" s="12"/>
      <c r="N299" s="18"/>
      <c r="O299" s="12"/>
      <c r="P299" s="12"/>
      <c r="Q299" s="12"/>
      <c r="R299" s="36"/>
      <c r="S299" s="36"/>
      <c r="T299" s="12"/>
      <c r="U299" s="12"/>
      <c r="V299" s="12"/>
      <c r="W299" s="12"/>
      <c r="X299" s="12"/>
    </row>
    <row r="300" customFormat="false" ht="15.75" hidden="false" customHeight="false" outlineLevel="0" collapsed="false">
      <c r="A300" s="12"/>
      <c r="B300" s="34"/>
      <c r="C300" s="12"/>
      <c r="D300" s="12"/>
      <c r="E300" s="12"/>
      <c r="F300" s="12"/>
      <c r="G300" s="18"/>
      <c r="H300" s="35"/>
      <c r="I300" s="12"/>
      <c r="M300" s="12"/>
      <c r="N300" s="18"/>
      <c r="O300" s="12"/>
      <c r="P300" s="12"/>
      <c r="Q300" s="12"/>
      <c r="R300" s="36"/>
      <c r="S300" s="36"/>
      <c r="T300" s="12"/>
      <c r="U300" s="12"/>
      <c r="V300" s="12"/>
      <c r="W300" s="12"/>
      <c r="X300" s="12"/>
    </row>
    <row r="301" customFormat="false" ht="15.75" hidden="false" customHeight="false" outlineLevel="0" collapsed="false">
      <c r="A301" s="12"/>
      <c r="B301" s="34"/>
      <c r="C301" s="12"/>
      <c r="D301" s="12"/>
      <c r="E301" s="12"/>
      <c r="F301" s="12"/>
      <c r="G301" s="18"/>
      <c r="H301" s="35"/>
      <c r="I301" s="12"/>
      <c r="M301" s="12"/>
      <c r="N301" s="18"/>
      <c r="O301" s="12"/>
      <c r="P301" s="12"/>
      <c r="Q301" s="12"/>
      <c r="R301" s="36"/>
      <c r="S301" s="36"/>
      <c r="T301" s="12"/>
      <c r="U301" s="12"/>
      <c r="V301" s="12"/>
      <c r="W301" s="12"/>
      <c r="X301" s="12"/>
    </row>
    <row r="302" customFormat="false" ht="15.75" hidden="false" customHeight="false" outlineLevel="0" collapsed="false">
      <c r="A302" s="12"/>
      <c r="B302" s="34"/>
      <c r="C302" s="12"/>
      <c r="D302" s="12"/>
      <c r="E302" s="12"/>
      <c r="F302" s="12"/>
      <c r="G302" s="18"/>
      <c r="H302" s="35"/>
      <c r="I302" s="12"/>
      <c r="M302" s="12"/>
      <c r="N302" s="18"/>
      <c r="O302" s="12"/>
      <c r="P302" s="12"/>
      <c r="Q302" s="12"/>
      <c r="R302" s="36"/>
      <c r="S302" s="36"/>
      <c r="T302" s="12"/>
      <c r="U302" s="12"/>
      <c r="V302" s="12"/>
      <c r="W302" s="12"/>
      <c r="X302" s="12"/>
    </row>
    <row r="303" customFormat="false" ht="15.75" hidden="false" customHeight="false" outlineLevel="0" collapsed="false">
      <c r="A303" s="12"/>
      <c r="B303" s="34"/>
      <c r="C303" s="12"/>
      <c r="D303" s="12"/>
      <c r="E303" s="12"/>
      <c r="F303" s="12"/>
      <c r="G303" s="18"/>
      <c r="H303" s="35"/>
      <c r="I303" s="12"/>
      <c r="M303" s="12"/>
      <c r="N303" s="18"/>
      <c r="O303" s="12"/>
      <c r="P303" s="12"/>
      <c r="Q303" s="12"/>
      <c r="R303" s="36"/>
      <c r="S303" s="36"/>
      <c r="T303" s="12"/>
      <c r="U303" s="12"/>
      <c r="V303" s="12"/>
      <c r="W303" s="12"/>
      <c r="X303" s="12"/>
    </row>
    <row r="304" customFormat="false" ht="15.75" hidden="false" customHeight="false" outlineLevel="0" collapsed="false">
      <c r="A304" s="12"/>
      <c r="B304" s="34"/>
      <c r="C304" s="12"/>
      <c r="D304" s="12"/>
      <c r="E304" s="12"/>
      <c r="F304" s="12"/>
      <c r="G304" s="18"/>
      <c r="H304" s="35"/>
      <c r="I304" s="12"/>
      <c r="M304" s="12"/>
      <c r="N304" s="18"/>
      <c r="O304" s="12"/>
      <c r="P304" s="12"/>
      <c r="Q304" s="12"/>
      <c r="R304" s="36"/>
      <c r="S304" s="36"/>
      <c r="T304" s="12"/>
      <c r="U304" s="12"/>
      <c r="V304" s="12"/>
      <c r="W304" s="12"/>
      <c r="X304" s="12"/>
    </row>
    <row r="305" customFormat="false" ht="15.75" hidden="false" customHeight="false" outlineLevel="0" collapsed="false">
      <c r="A305" s="12"/>
      <c r="B305" s="34"/>
      <c r="C305" s="12"/>
      <c r="D305" s="12"/>
      <c r="E305" s="12"/>
      <c r="F305" s="12"/>
      <c r="G305" s="18"/>
      <c r="H305" s="35"/>
      <c r="I305" s="12"/>
      <c r="M305" s="12"/>
      <c r="N305" s="18"/>
      <c r="O305" s="12"/>
      <c r="P305" s="12"/>
      <c r="Q305" s="12"/>
      <c r="R305" s="36"/>
      <c r="S305" s="36"/>
      <c r="T305" s="12"/>
      <c r="U305" s="12"/>
      <c r="V305" s="12"/>
      <c r="W305" s="12"/>
      <c r="X305" s="12"/>
    </row>
    <row r="306" customFormat="false" ht="15.75" hidden="false" customHeight="false" outlineLevel="0" collapsed="false">
      <c r="A306" s="12"/>
      <c r="B306" s="34"/>
      <c r="C306" s="12"/>
      <c r="D306" s="12"/>
      <c r="E306" s="12"/>
      <c r="F306" s="12"/>
      <c r="G306" s="18"/>
      <c r="H306" s="35"/>
      <c r="I306" s="12"/>
      <c r="M306" s="12"/>
      <c r="N306" s="18"/>
      <c r="O306" s="12"/>
      <c r="P306" s="12"/>
      <c r="Q306" s="12"/>
      <c r="R306" s="36"/>
      <c r="S306" s="36"/>
      <c r="T306" s="12"/>
      <c r="U306" s="12"/>
      <c r="V306" s="12"/>
      <c r="W306" s="12"/>
      <c r="X306" s="12"/>
    </row>
    <row r="307" customFormat="false" ht="15.75" hidden="false" customHeight="false" outlineLevel="0" collapsed="false">
      <c r="A307" s="12"/>
      <c r="B307" s="34"/>
      <c r="C307" s="12"/>
      <c r="D307" s="12"/>
      <c r="E307" s="12"/>
      <c r="F307" s="12"/>
      <c r="G307" s="18"/>
      <c r="H307" s="35"/>
      <c r="I307" s="12"/>
      <c r="M307" s="12"/>
      <c r="N307" s="18"/>
      <c r="O307" s="12"/>
      <c r="P307" s="12"/>
      <c r="Q307" s="12"/>
      <c r="R307" s="36"/>
      <c r="S307" s="36"/>
      <c r="T307" s="12"/>
      <c r="U307" s="12"/>
      <c r="V307" s="12"/>
      <c r="W307" s="12"/>
      <c r="X307" s="12"/>
    </row>
    <row r="308" customFormat="false" ht="15.75" hidden="false" customHeight="false" outlineLevel="0" collapsed="false">
      <c r="A308" s="12"/>
      <c r="B308" s="34"/>
      <c r="C308" s="12"/>
      <c r="D308" s="12"/>
      <c r="E308" s="12"/>
      <c r="F308" s="12"/>
      <c r="G308" s="18"/>
      <c r="H308" s="35"/>
      <c r="I308" s="12"/>
      <c r="M308" s="12"/>
      <c r="N308" s="18"/>
      <c r="O308" s="12"/>
      <c r="P308" s="12"/>
      <c r="Q308" s="12"/>
      <c r="R308" s="36"/>
      <c r="S308" s="36"/>
      <c r="T308" s="12"/>
      <c r="U308" s="12"/>
      <c r="V308" s="12"/>
      <c r="W308" s="12"/>
      <c r="X308" s="12"/>
    </row>
    <row r="309" customFormat="false" ht="15.75" hidden="false" customHeight="false" outlineLevel="0" collapsed="false">
      <c r="A309" s="12"/>
      <c r="B309" s="34"/>
      <c r="C309" s="12"/>
      <c r="D309" s="12"/>
      <c r="E309" s="12"/>
      <c r="F309" s="12"/>
      <c r="G309" s="18"/>
      <c r="H309" s="35"/>
      <c r="I309" s="12"/>
      <c r="M309" s="12"/>
      <c r="N309" s="18"/>
      <c r="O309" s="12"/>
      <c r="P309" s="12"/>
      <c r="Q309" s="12"/>
      <c r="R309" s="36"/>
      <c r="S309" s="36"/>
      <c r="T309" s="12"/>
      <c r="U309" s="12"/>
      <c r="V309" s="12"/>
      <c r="W309" s="12"/>
      <c r="X309" s="12"/>
    </row>
    <row r="310" customFormat="false" ht="15.75" hidden="false" customHeight="false" outlineLevel="0" collapsed="false">
      <c r="A310" s="12"/>
      <c r="B310" s="34"/>
      <c r="C310" s="12"/>
      <c r="D310" s="12"/>
      <c r="E310" s="12"/>
      <c r="F310" s="12"/>
      <c r="G310" s="18"/>
      <c r="H310" s="35"/>
      <c r="I310" s="12"/>
      <c r="M310" s="12"/>
      <c r="N310" s="18"/>
      <c r="O310" s="12"/>
      <c r="P310" s="12"/>
      <c r="Q310" s="12"/>
      <c r="R310" s="36"/>
      <c r="S310" s="36"/>
      <c r="T310" s="12"/>
      <c r="U310" s="12"/>
      <c r="V310" s="12"/>
      <c r="W310" s="12"/>
      <c r="X310" s="12"/>
    </row>
    <row r="311" customFormat="false" ht="15.75" hidden="false" customHeight="false" outlineLevel="0" collapsed="false">
      <c r="A311" s="12"/>
      <c r="B311" s="34"/>
      <c r="C311" s="12"/>
      <c r="D311" s="12"/>
      <c r="E311" s="12"/>
      <c r="F311" s="12"/>
      <c r="G311" s="18"/>
      <c r="H311" s="35"/>
      <c r="I311" s="12"/>
      <c r="M311" s="12"/>
      <c r="N311" s="18"/>
      <c r="O311" s="12"/>
      <c r="P311" s="12"/>
      <c r="Q311" s="12"/>
      <c r="R311" s="36"/>
      <c r="S311" s="36"/>
      <c r="T311" s="12"/>
      <c r="U311" s="12"/>
      <c r="V311" s="12"/>
      <c r="W311" s="12"/>
      <c r="X311" s="12"/>
    </row>
    <row r="312" customFormat="false" ht="15.75" hidden="false" customHeight="false" outlineLevel="0" collapsed="false">
      <c r="A312" s="12"/>
      <c r="B312" s="34"/>
      <c r="C312" s="12"/>
      <c r="D312" s="12"/>
      <c r="E312" s="12"/>
      <c r="F312" s="12"/>
      <c r="G312" s="18"/>
      <c r="H312" s="35"/>
      <c r="I312" s="12"/>
      <c r="M312" s="12"/>
      <c r="N312" s="18"/>
      <c r="O312" s="12"/>
      <c r="P312" s="12"/>
      <c r="Q312" s="12"/>
      <c r="R312" s="36"/>
      <c r="S312" s="36"/>
      <c r="T312" s="12"/>
      <c r="U312" s="12"/>
      <c r="V312" s="12"/>
      <c r="W312" s="12"/>
      <c r="X312" s="12"/>
    </row>
    <row r="313" customFormat="false" ht="15.75" hidden="false" customHeight="false" outlineLevel="0" collapsed="false">
      <c r="A313" s="12"/>
      <c r="B313" s="34"/>
      <c r="C313" s="12"/>
      <c r="D313" s="12"/>
      <c r="E313" s="12"/>
      <c r="F313" s="12"/>
      <c r="G313" s="18"/>
      <c r="H313" s="35"/>
      <c r="I313" s="12"/>
      <c r="M313" s="12"/>
      <c r="N313" s="18"/>
      <c r="O313" s="12"/>
      <c r="P313" s="12"/>
      <c r="Q313" s="12"/>
      <c r="R313" s="36"/>
      <c r="S313" s="36"/>
      <c r="T313" s="12"/>
      <c r="U313" s="12"/>
      <c r="V313" s="12"/>
      <c r="W313" s="12"/>
      <c r="X313" s="12"/>
    </row>
    <row r="314" customFormat="false" ht="15.75" hidden="false" customHeight="false" outlineLevel="0" collapsed="false">
      <c r="A314" s="12"/>
      <c r="B314" s="34"/>
      <c r="C314" s="12"/>
      <c r="D314" s="12"/>
      <c r="E314" s="12"/>
      <c r="F314" s="12"/>
      <c r="G314" s="18"/>
      <c r="H314" s="35"/>
      <c r="I314" s="12"/>
      <c r="M314" s="12"/>
      <c r="N314" s="18"/>
      <c r="O314" s="12"/>
      <c r="P314" s="12"/>
      <c r="Q314" s="12"/>
      <c r="R314" s="36"/>
      <c r="S314" s="36"/>
      <c r="T314" s="12"/>
      <c r="U314" s="12"/>
      <c r="V314" s="12"/>
      <c r="W314" s="12"/>
      <c r="X314" s="12"/>
    </row>
    <row r="315" customFormat="false" ht="15.75" hidden="false" customHeight="false" outlineLevel="0" collapsed="false">
      <c r="A315" s="12"/>
      <c r="B315" s="34"/>
      <c r="C315" s="12"/>
      <c r="D315" s="12"/>
      <c r="E315" s="12"/>
      <c r="F315" s="12"/>
      <c r="G315" s="18"/>
      <c r="H315" s="35"/>
      <c r="I315" s="12"/>
      <c r="M315" s="12"/>
      <c r="N315" s="18"/>
      <c r="O315" s="12"/>
      <c r="P315" s="12"/>
      <c r="Q315" s="12"/>
      <c r="R315" s="36"/>
      <c r="S315" s="36"/>
      <c r="T315" s="12"/>
      <c r="U315" s="12"/>
      <c r="V315" s="12"/>
      <c r="W315" s="12"/>
      <c r="X315" s="12"/>
    </row>
    <row r="316" customFormat="false" ht="15.75" hidden="false" customHeight="false" outlineLevel="0" collapsed="false">
      <c r="A316" s="12"/>
      <c r="B316" s="34"/>
      <c r="C316" s="12"/>
      <c r="D316" s="12"/>
      <c r="E316" s="12"/>
      <c r="F316" s="12"/>
      <c r="G316" s="18"/>
      <c r="H316" s="35"/>
      <c r="I316" s="12"/>
      <c r="M316" s="12"/>
      <c r="N316" s="18"/>
      <c r="O316" s="12"/>
      <c r="P316" s="12"/>
      <c r="Q316" s="12"/>
      <c r="R316" s="36"/>
      <c r="S316" s="36"/>
      <c r="T316" s="12"/>
      <c r="U316" s="12"/>
      <c r="V316" s="12"/>
      <c r="W316" s="12"/>
      <c r="X316" s="12"/>
    </row>
    <row r="317" customFormat="false" ht="15.75" hidden="false" customHeight="false" outlineLevel="0" collapsed="false">
      <c r="A317" s="12"/>
      <c r="B317" s="34"/>
      <c r="C317" s="12"/>
      <c r="D317" s="12"/>
      <c r="E317" s="12"/>
      <c r="F317" s="12"/>
      <c r="G317" s="18"/>
      <c r="H317" s="35"/>
      <c r="I317" s="12"/>
      <c r="M317" s="12"/>
      <c r="N317" s="18"/>
      <c r="O317" s="12"/>
      <c r="P317" s="12"/>
      <c r="Q317" s="12"/>
      <c r="R317" s="36"/>
      <c r="S317" s="36"/>
      <c r="T317" s="12"/>
      <c r="U317" s="12"/>
      <c r="V317" s="12"/>
      <c r="W317" s="12"/>
      <c r="X317" s="12"/>
    </row>
    <row r="318" customFormat="false" ht="15.75" hidden="false" customHeight="false" outlineLevel="0" collapsed="false">
      <c r="A318" s="12"/>
      <c r="B318" s="34"/>
      <c r="C318" s="12"/>
      <c r="D318" s="12"/>
      <c r="E318" s="12"/>
      <c r="F318" s="12"/>
      <c r="G318" s="18"/>
      <c r="H318" s="35"/>
      <c r="I318" s="12"/>
      <c r="M318" s="12"/>
      <c r="N318" s="18"/>
      <c r="O318" s="12"/>
      <c r="P318" s="12"/>
      <c r="Q318" s="12"/>
      <c r="R318" s="36"/>
      <c r="S318" s="36"/>
      <c r="T318" s="12"/>
      <c r="U318" s="12"/>
      <c r="V318" s="12"/>
      <c r="W318" s="12"/>
      <c r="X318" s="12"/>
    </row>
    <row r="319" customFormat="false" ht="15.75" hidden="false" customHeight="false" outlineLevel="0" collapsed="false">
      <c r="A319" s="12"/>
      <c r="B319" s="34"/>
      <c r="C319" s="12"/>
      <c r="D319" s="12"/>
      <c r="E319" s="12"/>
      <c r="F319" s="12"/>
      <c r="G319" s="18"/>
      <c r="H319" s="35"/>
      <c r="I319" s="12"/>
      <c r="M319" s="12"/>
      <c r="N319" s="18"/>
      <c r="O319" s="12"/>
      <c r="P319" s="12"/>
      <c r="Q319" s="12"/>
      <c r="R319" s="36"/>
      <c r="S319" s="36"/>
      <c r="T319" s="12"/>
      <c r="U319" s="12"/>
      <c r="V319" s="12"/>
      <c r="W319" s="12"/>
      <c r="X319" s="12"/>
    </row>
    <row r="320" customFormat="false" ht="15.75" hidden="false" customHeight="false" outlineLevel="0" collapsed="false">
      <c r="A320" s="12"/>
      <c r="B320" s="34"/>
      <c r="C320" s="12"/>
      <c r="D320" s="12"/>
      <c r="E320" s="12"/>
      <c r="F320" s="12"/>
      <c r="G320" s="18"/>
      <c r="H320" s="35"/>
      <c r="I320" s="12"/>
      <c r="M320" s="12"/>
      <c r="N320" s="18"/>
      <c r="O320" s="12"/>
      <c r="P320" s="12"/>
      <c r="Q320" s="12"/>
      <c r="R320" s="36"/>
      <c r="S320" s="36"/>
      <c r="T320" s="12"/>
      <c r="U320" s="12"/>
      <c r="V320" s="12"/>
      <c r="W320" s="12"/>
      <c r="X320" s="12"/>
    </row>
    <row r="321" customFormat="false" ht="15.75" hidden="false" customHeight="false" outlineLevel="0" collapsed="false">
      <c r="A321" s="12"/>
      <c r="B321" s="34"/>
      <c r="C321" s="12"/>
      <c r="D321" s="12"/>
      <c r="E321" s="12"/>
      <c r="F321" s="12"/>
      <c r="G321" s="18"/>
      <c r="H321" s="35"/>
      <c r="I321" s="12"/>
      <c r="M321" s="12"/>
      <c r="N321" s="18"/>
      <c r="O321" s="12"/>
      <c r="P321" s="12"/>
      <c r="Q321" s="12"/>
      <c r="R321" s="36"/>
      <c r="S321" s="36"/>
      <c r="T321" s="12"/>
      <c r="U321" s="12"/>
      <c r="V321" s="12"/>
      <c r="W321" s="12"/>
      <c r="X321" s="12"/>
    </row>
    <row r="322" customFormat="false" ht="15.75" hidden="false" customHeight="false" outlineLevel="0" collapsed="false">
      <c r="A322" s="12"/>
      <c r="B322" s="34"/>
      <c r="C322" s="12"/>
      <c r="D322" s="12"/>
      <c r="E322" s="12"/>
      <c r="F322" s="12"/>
      <c r="G322" s="18"/>
      <c r="H322" s="35"/>
      <c r="I322" s="12"/>
      <c r="M322" s="12"/>
      <c r="N322" s="18"/>
      <c r="O322" s="12"/>
      <c r="P322" s="12"/>
      <c r="Q322" s="12"/>
      <c r="R322" s="36"/>
      <c r="S322" s="36"/>
      <c r="T322" s="12"/>
      <c r="U322" s="12"/>
      <c r="V322" s="12"/>
      <c r="W322" s="12"/>
      <c r="X322" s="12"/>
    </row>
    <row r="323" customFormat="false" ht="15.75" hidden="false" customHeight="false" outlineLevel="0" collapsed="false">
      <c r="A323" s="12"/>
      <c r="B323" s="34"/>
      <c r="C323" s="12"/>
      <c r="D323" s="12"/>
      <c r="E323" s="12"/>
      <c r="F323" s="12"/>
      <c r="G323" s="18"/>
      <c r="H323" s="35"/>
      <c r="I323" s="12"/>
      <c r="M323" s="12"/>
      <c r="N323" s="18"/>
      <c r="O323" s="12"/>
      <c r="P323" s="12"/>
      <c r="Q323" s="12"/>
      <c r="R323" s="36"/>
      <c r="S323" s="36"/>
      <c r="T323" s="12"/>
      <c r="U323" s="12"/>
      <c r="V323" s="12"/>
      <c r="W323" s="12"/>
      <c r="X323" s="12"/>
    </row>
    <row r="324" customFormat="false" ht="15.75" hidden="false" customHeight="false" outlineLevel="0" collapsed="false">
      <c r="A324" s="12"/>
      <c r="B324" s="34"/>
      <c r="C324" s="12"/>
      <c r="D324" s="12"/>
      <c r="E324" s="12"/>
      <c r="F324" s="12"/>
      <c r="G324" s="18"/>
      <c r="H324" s="35"/>
      <c r="I324" s="12"/>
      <c r="M324" s="12"/>
      <c r="N324" s="18"/>
      <c r="O324" s="12"/>
      <c r="P324" s="12"/>
      <c r="Q324" s="12"/>
      <c r="R324" s="36"/>
      <c r="S324" s="36"/>
      <c r="T324" s="12"/>
      <c r="U324" s="12"/>
      <c r="V324" s="12"/>
      <c r="W324" s="12"/>
      <c r="X324" s="12"/>
    </row>
    <row r="325" customFormat="false" ht="15.75" hidden="false" customHeight="false" outlineLevel="0" collapsed="false">
      <c r="A325" s="12"/>
      <c r="B325" s="34"/>
      <c r="C325" s="12"/>
      <c r="D325" s="12"/>
      <c r="E325" s="12"/>
      <c r="F325" s="12"/>
      <c r="G325" s="18"/>
      <c r="H325" s="35"/>
      <c r="I325" s="12"/>
      <c r="M325" s="12"/>
      <c r="N325" s="18"/>
      <c r="O325" s="12"/>
      <c r="P325" s="12"/>
      <c r="Q325" s="12"/>
      <c r="R325" s="36"/>
      <c r="S325" s="36"/>
      <c r="T325" s="12"/>
      <c r="U325" s="12"/>
      <c r="V325" s="12"/>
      <c r="W325" s="12"/>
      <c r="X325" s="12"/>
    </row>
    <row r="326" customFormat="false" ht="15.75" hidden="false" customHeight="false" outlineLevel="0" collapsed="false">
      <c r="A326" s="12"/>
      <c r="B326" s="34"/>
      <c r="C326" s="12"/>
      <c r="D326" s="12"/>
      <c r="E326" s="12"/>
      <c r="F326" s="12"/>
      <c r="G326" s="18"/>
      <c r="H326" s="35"/>
      <c r="I326" s="12"/>
      <c r="M326" s="12"/>
      <c r="N326" s="18"/>
      <c r="O326" s="12"/>
      <c r="P326" s="12"/>
      <c r="Q326" s="12"/>
      <c r="R326" s="36"/>
      <c r="S326" s="36"/>
      <c r="T326" s="12"/>
      <c r="U326" s="12"/>
      <c r="V326" s="12"/>
      <c r="W326" s="12"/>
      <c r="X326" s="12"/>
    </row>
    <row r="327" customFormat="false" ht="15.75" hidden="false" customHeight="false" outlineLevel="0" collapsed="false">
      <c r="A327" s="12"/>
      <c r="B327" s="34"/>
      <c r="C327" s="12"/>
      <c r="D327" s="12"/>
      <c r="E327" s="12"/>
      <c r="F327" s="12"/>
      <c r="G327" s="18"/>
      <c r="H327" s="35"/>
      <c r="I327" s="12"/>
      <c r="M327" s="12"/>
      <c r="N327" s="18"/>
      <c r="O327" s="12"/>
      <c r="P327" s="12"/>
      <c r="Q327" s="12"/>
      <c r="R327" s="36"/>
      <c r="S327" s="36"/>
      <c r="T327" s="12"/>
      <c r="U327" s="12"/>
      <c r="V327" s="12"/>
      <c r="W327" s="12"/>
      <c r="X327" s="12"/>
    </row>
    <row r="328" customFormat="false" ht="15.75" hidden="false" customHeight="false" outlineLevel="0" collapsed="false">
      <c r="A328" s="12"/>
      <c r="B328" s="34"/>
      <c r="C328" s="12"/>
      <c r="D328" s="12"/>
      <c r="E328" s="12"/>
      <c r="F328" s="12"/>
      <c r="G328" s="18"/>
      <c r="H328" s="35"/>
      <c r="I328" s="12"/>
      <c r="M328" s="12"/>
      <c r="N328" s="18"/>
      <c r="O328" s="12"/>
      <c r="P328" s="12"/>
      <c r="Q328" s="12"/>
      <c r="R328" s="36"/>
      <c r="S328" s="36"/>
      <c r="T328" s="12"/>
      <c r="U328" s="12"/>
      <c r="V328" s="12"/>
      <c r="W328" s="12"/>
      <c r="X328" s="12"/>
    </row>
    <row r="329" customFormat="false" ht="15.75" hidden="false" customHeight="false" outlineLevel="0" collapsed="false">
      <c r="A329" s="12"/>
      <c r="B329" s="34"/>
      <c r="C329" s="12"/>
      <c r="D329" s="12"/>
      <c r="E329" s="12"/>
      <c r="F329" s="12"/>
      <c r="G329" s="18"/>
      <c r="H329" s="35"/>
      <c r="I329" s="12"/>
      <c r="M329" s="12"/>
      <c r="N329" s="18"/>
      <c r="O329" s="12"/>
      <c r="P329" s="12"/>
      <c r="Q329" s="12"/>
      <c r="R329" s="36"/>
      <c r="S329" s="36"/>
      <c r="T329" s="12"/>
      <c r="U329" s="12"/>
      <c r="V329" s="12"/>
      <c r="W329" s="12"/>
      <c r="X329" s="12"/>
    </row>
    <row r="330" customFormat="false" ht="15.75" hidden="false" customHeight="false" outlineLevel="0" collapsed="false">
      <c r="A330" s="12"/>
      <c r="B330" s="34"/>
      <c r="C330" s="12"/>
      <c r="D330" s="12"/>
      <c r="E330" s="12"/>
      <c r="F330" s="12"/>
      <c r="G330" s="18"/>
      <c r="H330" s="35"/>
      <c r="I330" s="12"/>
      <c r="M330" s="12"/>
      <c r="N330" s="18"/>
      <c r="O330" s="12"/>
      <c r="P330" s="12"/>
      <c r="Q330" s="12"/>
      <c r="R330" s="36"/>
      <c r="S330" s="36"/>
      <c r="T330" s="12"/>
      <c r="U330" s="12"/>
      <c r="V330" s="12"/>
      <c r="W330" s="12"/>
      <c r="X330" s="12"/>
    </row>
    <row r="331" customFormat="false" ht="15.75" hidden="false" customHeight="false" outlineLevel="0" collapsed="false">
      <c r="A331" s="12"/>
      <c r="B331" s="34"/>
      <c r="C331" s="12"/>
      <c r="D331" s="12"/>
      <c r="E331" s="12"/>
      <c r="F331" s="12"/>
      <c r="G331" s="18"/>
      <c r="H331" s="35"/>
      <c r="I331" s="12"/>
      <c r="M331" s="12"/>
      <c r="N331" s="18"/>
      <c r="O331" s="12"/>
      <c r="P331" s="12"/>
      <c r="Q331" s="12"/>
      <c r="R331" s="36"/>
      <c r="S331" s="36"/>
      <c r="T331" s="12"/>
      <c r="U331" s="12"/>
      <c r="V331" s="12"/>
      <c r="W331" s="12"/>
      <c r="X331" s="12"/>
    </row>
    <row r="332" customFormat="false" ht="15.75" hidden="false" customHeight="false" outlineLevel="0" collapsed="false">
      <c r="A332" s="12"/>
      <c r="B332" s="34"/>
      <c r="C332" s="12"/>
      <c r="D332" s="12"/>
      <c r="E332" s="12"/>
      <c r="F332" s="12"/>
      <c r="G332" s="18"/>
      <c r="H332" s="35"/>
      <c r="I332" s="12"/>
      <c r="M332" s="12"/>
      <c r="N332" s="18"/>
      <c r="O332" s="12"/>
      <c r="P332" s="12"/>
      <c r="Q332" s="12"/>
      <c r="R332" s="36"/>
      <c r="S332" s="36"/>
      <c r="T332" s="12"/>
      <c r="U332" s="12"/>
      <c r="V332" s="12"/>
      <c r="W332" s="12"/>
      <c r="X332" s="12"/>
    </row>
    <row r="333" customFormat="false" ht="15.75" hidden="false" customHeight="false" outlineLevel="0" collapsed="false">
      <c r="A333" s="12"/>
      <c r="B333" s="34"/>
      <c r="C333" s="12"/>
      <c r="D333" s="12"/>
      <c r="E333" s="12"/>
      <c r="F333" s="12"/>
      <c r="G333" s="18"/>
      <c r="H333" s="35"/>
      <c r="I333" s="12"/>
      <c r="M333" s="12"/>
      <c r="N333" s="18"/>
      <c r="O333" s="12"/>
      <c r="P333" s="12"/>
      <c r="Q333" s="12"/>
      <c r="R333" s="36"/>
      <c r="S333" s="36"/>
      <c r="T333" s="12"/>
      <c r="U333" s="12"/>
      <c r="V333" s="12"/>
      <c r="W333" s="12"/>
      <c r="X333" s="12"/>
    </row>
    <row r="334" customFormat="false" ht="15.75" hidden="false" customHeight="false" outlineLevel="0" collapsed="false">
      <c r="A334" s="12"/>
      <c r="B334" s="34"/>
      <c r="C334" s="12"/>
      <c r="D334" s="12"/>
      <c r="E334" s="12"/>
      <c r="F334" s="12"/>
      <c r="G334" s="18"/>
      <c r="H334" s="35"/>
      <c r="I334" s="12"/>
      <c r="M334" s="12"/>
      <c r="N334" s="18"/>
      <c r="O334" s="12"/>
      <c r="P334" s="12"/>
      <c r="Q334" s="12"/>
      <c r="R334" s="36"/>
      <c r="S334" s="36"/>
      <c r="T334" s="12"/>
      <c r="U334" s="12"/>
      <c r="V334" s="12"/>
      <c r="W334" s="12"/>
      <c r="X334" s="12"/>
    </row>
    <row r="335" customFormat="false" ht="15.75" hidden="false" customHeight="false" outlineLevel="0" collapsed="false">
      <c r="A335" s="12"/>
      <c r="B335" s="34"/>
      <c r="C335" s="12"/>
      <c r="D335" s="12"/>
      <c r="E335" s="12"/>
      <c r="F335" s="12"/>
      <c r="G335" s="18"/>
      <c r="H335" s="35"/>
      <c r="I335" s="12"/>
      <c r="M335" s="12"/>
      <c r="N335" s="18"/>
      <c r="O335" s="12"/>
      <c r="P335" s="12"/>
      <c r="Q335" s="12"/>
      <c r="R335" s="36"/>
      <c r="S335" s="36"/>
      <c r="T335" s="12"/>
      <c r="U335" s="12"/>
      <c r="V335" s="12"/>
      <c r="W335" s="12"/>
      <c r="X335" s="12"/>
    </row>
    <row r="336" customFormat="false" ht="15.75" hidden="false" customHeight="false" outlineLevel="0" collapsed="false">
      <c r="A336" s="12"/>
      <c r="B336" s="34"/>
      <c r="C336" s="12"/>
      <c r="D336" s="12"/>
      <c r="E336" s="12"/>
      <c r="F336" s="12"/>
      <c r="G336" s="18"/>
      <c r="H336" s="35"/>
      <c r="I336" s="12"/>
      <c r="M336" s="12"/>
      <c r="N336" s="18"/>
      <c r="O336" s="12"/>
      <c r="P336" s="12"/>
      <c r="Q336" s="12"/>
      <c r="R336" s="36"/>
      <c r="S336" s="36"/>
      <c r="T336" s="12"/>
      <c r="U336" s="12"/>
      <c r="V336" s="12"/>
      <c r="W336" s="12"/>
      <c r="X336" s="12"/>
    </row>
    <row r="337" customFormat="false" ht="15.75" hidden="false" customHeight="false" outlineLevel="0" collapsed="false">
      <c r="A337" s="12"/>
      <c r="B337" s="34"/>
      <c r="C337" s="12"/>
      <c r="D337" s="12"/>
      <c r="E337" s="12"/>
      <c r="F337" s="12"/>
      <c r="G337" s="18"/>
      <c r="H337" s="35"/>
      <c r="I337" s="12"/>
      <c r="M337" s="12"/>
      <c r="N337" s="18"/>
      <c r="O337" s="12"/>
      <c r="P337" s="12"/>
      <c r="Q337" s="12"/>
      <c r="R337" s="36"/>
      <c r="S337" s="36"/>
      <c r="T337" s="12"/>
      <c r="U337" s="12"/>
      <c r="V337" s="12"/>
      <c r="W337" s="12"/>
      <c r="X337" s="12"/>
    </row>
    <row r="338" customFormat="false" ht="15.75" hidden="false" customHeight="false" outlineLevel="0" collapsed="false">
      <c r="A338" s="12"/>
      <c r="B338" s="34"/>
      <c r="C338" s="12"/>
      <c r="D338" s="12"/>
      <c r="E338" s="12"/>
      <c r="F338" s="12"/>
      <c r="G338" s="18"/>
      <c r="H338" s="35"/>
      <c r="I338" s="12"/>
      <c r="M338" s="12"/>
      <c r="N338" s="18"/>
      <c r="O338" s="12"/>
      <c r="P338" s="12"/>
      <c r="Q338" s="12"/>
      <c r="R338" s="36"/>
      <c r="S338" s="36"/>
      <c r="T338" s="12"/>
      <c r="U338" s="12"/>
      <c r="V338" s="12"/>
      <c r="W338" s="12"/>
      <c r="X338" s="12"/>
    </row>
    <row r="339" customFormat="false" ht="15.75" hidden="false" customHeight="false" outlineLevel="0" collapsed="false">
      <c r="A339" s="12"/>
      <c r="B339" s="34"/>
      <c r="C339" s="12"/>
      <c r="D339" s="12"/>
      <c r="E339" s="12"/>
      <c r="F339" s="12"/>
      <c r="G339" s="18"/>
      <c r="H339" s="35"/>
      <c r="I339" s="12"/>
      <c r="M339" s="12"/>
      <c r="N339" s="18"/>
      <c r="O339" s="12"/>
      <c r="P339" s="12"/>
      <c r="Q339" s="12"/>
      <c r="R339" s="36"/>
      <c r="S339" s="36"/>
      <c r="T339" s="12"/>
      <c r="U339" s="12"/>
      <c r="V339" s="12"/>
      <c r="W339" s="12"/>
      <c r="X339" s="12"/>
    </row>
    <row r="340" customFormat="false" ht="15.75" hidden="false" customHeight="false" outlineLevel="0" collapsed="false">
      <c r="A340" s="12"/>
      <c r="B340" s="34"/>
      <c r="C340" s="12"/>
      <c r="D340" s="12"/>
      <c r="E340" s="12"/>
      <c r="F340" s="12"/>
      <c r="G340" s="18"/>
      <c r="H340" s="35"/>
      <c r="I340" s="12"/>
      <c r="M340" s="12"/>
      <c r="N340" s="18"/>
      <c r="O340" s="12"/>
      <c r="P340" s="12"/>
      <c r="Q340" s="12"/>
      <c r="R340" s="36"/>
      <c r="S340" s="36"/>
      <c r="T340" s="12"/>
      <c r="U340" s="12"/>
      <c r="V340" s="12"/>
      <c r="W340" s="12"/>
      <c r="X340" s="12"/>
    </row>
    <row r="341" customFormat="false" ht="15.75" hidden="false" customHeight="false" outlineLevel="0" collapsed="false">
      <c r="A341" s="12"/>
      <c r="B341" s="34"/>
      <c r="C341" s="12"/>
      <c r="D341" s="12"/>
      <c r="E341" s="12"/>
      <c r="F341" s="12"/>
      <c r="G341" s="18"/>
      <c r="H341" s="35"/>
      <c r="I341" s="12"/>
      <c r="M341" s="12"/>
      <c r="N341" s="18"/>
      <c r="O341" s="12"/>
      <c r="P341" s="12"/>
      <c r="Q341" s="12"/>
      <c r="R341" s="36"/>
      <c r="S341" s="36"/>
      <c r="T341" s="12"/>
      <c r="U341" s="12"/>
      <c r="V341" s="12"/>
      <c r="W341" s="12"/>
      <c r="X341" s="12"/>
    </row>
    <row r="342" customFormat="false" ht="15.75" hidden="false" customHeight="false" outlineLevel="0" collapsed="false">
      <c r="A342" s="12"/>
      <c r="B342" s="34"/>
      <c r="C342" s="12"/>
      <c r="D342" s="12"/>
      <c r="E342" s="12"/>
      <c r="F342" s="12"/>
      <c r="G342" s="18"/>
      <c r="H342" s="35"/>
      <c r="I342" s="12"/>
      <c r="M342" s="12"/>
      <c r="N342" s="18"/>
      <c r="O342" s="12"/>
      <c r="P342" s="12"/>
      <c r="Q342" s="12"/>
      <c r="R342" s="36"/>
      <c r="S342" s="36"/>
      <c r="T342" s="12"/>
      <c r="U342" s="12"/>
      <c r="V342" s="12"/>
      <c r="W342" s="12"/>
      <c r="X342" s="12"/>
    </row>
    <row r="343" customFormat="false" ht="15.75" hidden="false" customHeight="false" outlineLevel="0" collapsed="false">
      <c r="A343" s="12"/>
      <c r="B343" s="34"/>
      <c r="C343" s="12"/>
      <c r="D343" s="12"/>
      <c r="E343" s="12"/>
      <c r="F343" s="12"/>
      <c r="G343" s="18"/>
      <c r="H343" s="35"/>
      <c r="I343" s="12"/>
      <c r="M343" s="12"/>
      <c r="N343" s="18"/>
      <c r="O343" s="12"/>
      <c r="P343" s="12"/>
      <c r="Q343" s="12"/>
      <c r="R343" s="36"/>
      <c r="S343" s="36"/>
      <c r="T343" s="12"/>
      <c r="U343" s="12"/>
      <c r="V343" s="12"/>
      <c r="W343" s="12"/>
      <c r="X343" s="12"/>
    </row>
    <row r="344" customFormat="false" ht="15.75" hidden="false" customHeight="false" outlineLevel="0" collapsed="false">
      <c r="A344" s="12"/>
      <c r="B344" s="34"/>
      <c r="C344" s="12"/>
      <c r="D344" s="12"/>
      <c r="E344" s="12"/>
      <c r="F344" s="12"/>
      <c r="G344" s="18"/>
      <c r="H344" s="35"/>
      <c r="I344" s="12"/>
      <c r="M344" s="12"/>
      <c r="N344" s="18"/>
      <c r="O344" s="12"/>
      <c r="P344" s="12"/>
      <c r="Q344" s="12"/>
      <c r="R344" s="36"/>
      <c r="S344" s="36"/>
      <c r="T344" s="12"/>
      <c r="U344" s="12"/>
      <c r="V344" s="12"/>
      <c r="W344" s="12"/>
      <c r="X344" s="12"/>
    </row>
    <row r="345" customFormat="false" ht="15.75" hidden="false" customHeight="false" outlineLevel="0" collapsed="false">
      <c r="A345" s="12"/>
      <c r="B345" s="34"/>
      <c r="C345" s="12"/>
      <c r="D345" s="12"/>
      <c r="E345" s="12"/>
      <c r="F345" s="12"/>
      <c r="G345" s="18"/>
      <c r="H345" s="35"/>
      <c r="I345" s="12"/>
      <c r="M345" s="12"/>
      <c r="N345" s="18"/>
      <c r="O345" s="12"/>
      <c r="P345" s="12"/>
      <c r="Q345" s="12"/>
      <c r="R345" s="36"/>
      <c r="S345" s="36"/>
      <c r="T345" s="12"/>
      <c r="U345" s="12"/>
      <c r="V345" s="12"/>
      <c r="W345" s="12"/>
      <c r="X345" s="12"/>
    </row>
    <row r="346" customFormat="false" ht="15.75" hidden="false" customHeight="false" outlineLevel="0" collapsed="false">
      <c r="A346" s="12"/>
      <c r="B346" s="34"/>
      <c r="C346" s="12"/>
      <c r="D346" s="12"/>
      <c r="E346" s="12"/>
      <c r="F346" s="12"/>
      <c r="G346" s="18"/>
      <c r="H346" s="35"/>
      <c r="I346" s="12"/>
      <c r="M346" s="12"/>
      <c r="N346" s="18"/>
      <c r="O346" s="12"/>
      <c r="P346" s="12"/>
      <c r="Q346" s="12"/>
      <c r="R346" s="36"/>
      <c r="S346" s="36"/>
      <c r="T346" s="12"/>
      <c r="U346" s="12"/>
      <c r="V346" s="12"/>
      <c r="W346" s="12"/>
      <c r="X346" s="12"/>
    </row>
    <row r="347" customFormat="false" ht="15.75" hidden="false" customHeight="false" outlineLevel="0" collapsed="false">
      <c r="A347" s="12"/>
      <c r="B347" s="34"/>
      <c r="C347" s="12"/>
      <c r="D347" s="12"/>
      <c r="E347" s="12"/>
      <c r="F347" s="12"/>
      <c r="G347" s="18"/>
      <c r="H347" s="35"/>
      <c r="I347" s="12"/>
      <c r="M347" s="12"/>
      <c r="N347" s="18"/>
      <c r="O347" s="12"/>
      <c r="P347" s="12"/>
      <c r="Q347" s="12"/>
      <c r="R347" s="36"/>
      <c r="S347" s="36"/>
      <c r="T347" s="12"/>
      <c r="U347" s="12"/>
      <c r="V347" s="12"/>
      <c r="W347" s="12"/>
      <c r="X347" s="12"/>
    </row>
    <row r="348" customFormat="false" ht="15.75" hidden="false" customHeight="false" outlineLevel="0" collapsed="false">
      <c r="A348" s="12"/>
      <c r="B348" s="34"/>
      <c r="C348" s="12"/>
      <c r="D348" s="12"/>
      <c r="E348" s="12"/>
      <c r="F348" s="12"/>
      <c r="G348" s="18"/>
      <c r="H348" s="35"/>
      <c r="I348" s="12"/>
      <c r="M348" s="12"/>
      <c r="N348" s="18"/>
      <c r="O348" s="12"/>
      <c r="P348" s="12"/>
      <c r="Q348" s="12"/>
      <c r="R348" s="36"/>
      <c r="S348" s="36"/>
      <c r="T348" s="12"/>
      <c r="U348" s="12"/>
      <c r="V348" s="12"/>
      <c r="W348" s="12"/>
      <c r="X348" s="12"/>
    </row>
    <row r="349" customFormat="false" ht="15.75" hidden="false" customHeight="false" outlineLevel="0" collapsed="false">
      <c r="A349" s="12"/>
      <c r="B349" s="34"/>
      <c r="C349" s="12"/>
      <c r="D349" s="12"/>
      <c r="E349" s="12"/>
      <c r="F349" s="12"/>
      <c r="G349" s="18"/>
      <c r="H349" s="35"/>
      <c r="I349" s="12"/>
      <c r="M349" s="12"/>
      <c r="N349" s="18"/>
      <c r="O349" s="12"/>
      <c r="P349" s="12"/>
      <c r="Q349" s="12"/>
      <c r="R349" s="36"/>
      <c r="S349" s="36"/>
      <c r="T349" s="12"/>
      <c r="U349" s="12"/>
      <c r="V349" s="12"/>
      <c r="W349" s="12"/>
      <c r="X349" s="12"/>
    </row>
    <row r="350" customFormat="false" ht="15.75" hidden="false" customHeight="false" outlineLevel="0" collapsed="false">
      <c r="A350" s="12"/>
      <c r="B350" s="34"/>
      <c r="C350" s="12"/>
      <c r="D350" s="12"/>
      <c r="E350" s="12"/>
      <c r="F350" s="12"/>
      <c r="G350" s="18"/>
      <c r="H350" s="35"/>
      <c r="I350" s="12"/>
      <c r="M350" s="12"/>
      <c r="N350" s="18"/>
      <c r="O350" s="12"/>
      <c r="P350" s="12"/>
      <c r="Q350" s="12"/>
      <c r="R350" s="36"/>
      <c r="S350" s="36"/>
      <c r="T350" s="12"/>
      <c r="U350" s="12"/>
      <c r="V350" s="12"/>
      <c r="W350" s="12"/>
      <c r="X350" s="12"/>
    </row>
    <row r="351" customFormat="false" ht="15.75" hidden="false" customHeight="false" outlineLevel="0" collapsed="false">
      <c r="A351" s="12"/>
      <c r="B351" s="34"/>
      <c r="C351" s="12"/>
      <c r="D351" s="12"/>
      <c r="E351" s="12"/>
      <c r="F351" s="12"/>
      <c r="G351" s="18"/>
      <c r="H351" s="35"/>
      <c r="I351" s="12"/>
      <c r="M351" s="12"/>
      <c r="N351" s="18"/>
      <c r="O351" s="12"/>
      <c r="P351" s="12"/>
      <c r="Q351" s="12"/>
      <c r="R351" s="36"/>
      <c r="S351" s="36"/>
      <c r="T351" s="12"/>
      <c r="U351" s="12"/>
      <c r="V351" s="12"/>
      <c r="W351" s="12"/>
      <c r="X351" s="12"/>
    </row>
    <row r="352" customFormat="false" ht="15.75" hidden="false" customHeight="false" outlineLevel="0" collapsed="false">
      <c r="A352" s="12"/>
      <c r="B352" s="34"/>
      <c r="C352" s="12"/>
      <c r="D352" s="12"/>
      <c r="E352" s="12"/>
      <c r="F352" s="12"/>
      <c r="G352" s="18"/>
      <c r="H352" s="35"/>
      <c r="I352" s="12"/>
      <c r="M352" s="12"/>
      <c r="N352" s="18"/>
      <c r="O352" s="12"/>
      <c r="P352" s="12"/>
      <c r="Q352" s="12"/>
      <c r="R352" s="36"/>
      <c r="S352" s="36"/>
      <c r="T352" s="12"/>
      <c r="U352" s="12"/>
      <c r="V352" s="12"/>
      <c r="W352" s="12"/>
      <c r="X352" s="12"/>
    </row>
    <row r="353" customFormat="false" ht="15.75" hidden="false" customHeight="false" outlineLevel="0" collapsed="false">
      <c r="A353" s="12"/>
      <c r="B353" s="34"/>
      <c r="C353" s="12"/>
      <c r="D353" s="12"/>
      <c r="E353" s="12"/>
      <c r="F353" s="12"/>
      <c r="G353" s="18"/>
      <c r="H353" s="35"/>
      <c r="I353" s="12"/>
      <c r="M353" s="12"/>
      <c r="N353" s="18"/>
      <c r="O353" s="12"/>
      <c r="P353" s="12"/>
      <c r="Q353" s="12"/>
      <c r="R353" s="36"/>
      <c r="S353" s="36"/>
      <c r="T353" s="12"/>
      <c r="U353" s="12"/>
      <c r="V353" s="12"/>
      <c r="W353" s="12"/>
      <c r="X353" s="12"/>
    </row>
    <row r="354" customFormat="false" ht="15.75" hidden="false" customHeight="false" outlineLevel="0" collapsed="false">
      <c r="A354" s="12"/>
      <c r="B354" s="34"/>
      <c r="C354" s="12"/>
      <c r="D354" s="12"/>
      <c r="E354" s="12"/>
      <c r="F354" s="12"/>
      <c r="G354" s="18"/>
      <c r="H354" s="35"/>
      <c r="I354" s="12"/>
      <c r="M354" s="12"/>
      <c r="N354" s="18"/>
      <c r="O354" s="12"/>
      <c r="P354" s="12"/>
      <c r="Q354" s="12"/>
      <c r="R354" s="36"/>
      <c r="S354" s="36"/>
      <c r="T354" s="12"/>
      <c r="U354" s="12"/>
      <c r="V354" s="12"/>
      <c r="W354" s="12"/>
      <c r="X354" s="12"/>
    </row>
    <row r="355" customFormat="false" ht="15.75" hidden="false" customHeight="false" outlineLevel="0" collapsed="false">
      <c r="A355" s="12"/>
      <c r="B355" s="34"/>
      <c r="C355" s="12"/>
      <c r="D355" s="12"/>
      <c r="E355" s="12"/>
      <c r="F355" s="12"/>
      <c r="G355" s="18"/>
      <c r="H355" s="35"/>
      <c r="I355" s="12"/>
      <c r="M355" s="12"/>
      <c r="N355" s="18"/>
      <c r="O355" s="12"/>
      <c r="P355" s="12"/>
      <c r="Q355" s="12"/>
      <c r="R355" s="36"/>
      <c r="S355" s="36"/>
      <c r="T355" s="12"/>
      <c r="U355" s="12"/>
      <c r="V355" s="12"/>
      <c r="W355" s="12"/>
      <c r="X355" s="12"/>
    </row>
    <row r="356" customFormat="false" ht="15.75" hidden="false" customHeight="false" outlineLevel="0" collapsed="false">
      <c r="A356" s="12"/>
      <c r="B356" s="34"/>
      <c r="C356" s="12"/>
      <c r="D356" s="12"/>
      <c r="E356" s="12"/>
      <c r="F356" s="12"/>
      <c r="G356" s="18"/>
      <c r="H356" s="35"/>
      <c r="I356" s="12"/>
      <c r="M356" s="12"/>
      <c r="N356" s="18"/>
      <c r="O356" s="12"/>
      <c r="P356" s="12"/>
      <c r="Q356" s="12"/>
      <c r="R356" s="36"/>
      <c r="S356" s="36"/>
      <c r="T356" s="12"/>
      <c r="U356" s="12"/>
      <c r="V356" s="12"/>
      <c r="W356" s="12"/>
      <c r="X356" s="12"/>
    </row>
    <row r="357" customFormat="false" ht="15.75" hidden="false" customHeight="false" outlineLevel="0" collapsed="false">
      <c r="A357" s="12"/>
      <c r="B357" s="34"/>
      <c r="C357" s="12"/>
      <c r="D357" s="12"/>
      <c r="E357" s="12"/>
      <c r="F357" s="12"/>
      <c r="G357" s="18"/>
      <c r="H357" s="35"/>
      <c r="I357" s="12"/>
      <c r="M357" s="12"/>
      <c r="N357" s="18"/>
      <c r="O357" s="12"/>
      <c r="P357" s="12"/>
      <c r="Q357" s="12"/>
      <c r="R357" s="36"/>
      <c r="S357" s="36"/>
      <c r="T357" s="12"/>
      <c r="U357" s="12"/>
      <c r="V357" s="12"/>
      <c r="W357" s="12"/>
      <c r="X357" s="12"/>
    </row>
    <row r="358" customFormat="false" ht="15.75" hidden="false" customHeight="false" outlineLevel="0" collapsed="false">
      <c r="A358" s="12"/>
      <c r="B358" s="34"/>
      <c r="C358" s="12"/>
      <c r="D358" s="12"/>
      <c r="E358" s="12"/>
      <c r="F358" s="12"/>
      <c r="G358" s="18"/>
      <c r="H358" s="35"/>
      <c r="I358" s="12"/>
      <c r="M358" s="12"/>
      <c r="N358" s="18"/>
      <c r="O358" s="12"/>
      <c r="P358" s="12"/>
      <c r="Q358" s="12"/>
      <c r="R358" s="36"/>
      <c r="S358" s="36"/>
      <c r="T358" s="12"/>
      <c r="U358" s="12"/>
      <c r="V358" s="12"/>
      <c r="W358" s="12"/>
      <c r="X358" s="12"/>
    </row>
    <row r="359" customFormat="false" ht="15.75" hidden="false" customHeight="false" outlineLevel="0" collapsed="false">
      <c r="A359" s="12"/>
      <c r="B359" s="34"/>
      <c r="C359" s="12"/>
      <c r="D359" s="12"/>
      <c r="E359" s="12"/>
      <c r="F359" s="12"/>
      <c r="G359" s="18"/>
      <c r="H359" s="35"/>
      <c r="I359" s="12"/>
      <c r="M359" s="12"/>
      <c r="N359" s="18"/>
      <c r="O359" s="12"/>
      <c r="P359" s="12"/>
      <c r="Q359" s="12"/>
      <c r="R359" s="36"/>
      <c r="S359" s="36"/>
      <c r="T359" s="12"/>
      <c r="U359" s="12"/>
      <c r="V359" s="12"/>
      <c r="W359" s="12"/>
      <c r="X359" s="12"/>
    </row>
    <row r="360" customFormat="false" ht="15.75" hidden="false" customHeight="false" outlineLevel="0" collapsed="false">
      <c r="A360" s="12"/>
      <c r="B360" s="34"/>
      <c r="C360" s="12"/>
      <c r="D360" s="12"/>
      <c r="E360" s="12"/>
      <c r="F360" s="12"/>
      <c r="G360" s="18"/>
      <c r="H360" s="35"/>
      <c r="I360" s="12"/>
      <c r="M360" s="12"/>
      <c r="N360" s="18"/>
      <c r="O360" s="12"/>
      <c r="P360" s="12"/>
      <c r="Q360" s="12"/>
      <c r="R360" s="36"/>
      <c r="S360" s="36"/>
      <c r="T360" s="12"/>
      <c r="U360" s="12"/>
      <c r="V360" s="12"/>
      <c r="W360" s="12"/>
      <c r="X360" s="12"/>
    </row>
    <row r="361" customFormat="false" ht="15.75" hidden="false" customHeight="false" outlineLevel="0" collapsed="false">
      <c r="A361" s="12"/>
      <c r="B361" s="34"/>
      <c r="C361" s="12"/>
      <c r="D361" s="12"/>
      <c r="E361" s="12"/>
      <c r="F361" s="12"/>
      <c r="G361" s="18"/>
      <c r="H361" s="35"/>
      <c r="I361" s="12"/>
      <c r="M361" s="12"/>
      <c r="N361" s="18"/>
      <c r="O361" s="12"/>
      <c r="P361" s="12"/>
      <c r="Q361" s="12"/>
      <c r="R361" s="36"/>
      <c r="S361" s="36"/>
      <c r="T361" s="12"/>
      <c r="U361" s="12"/>
      <c r="V361" s="12"/>
      <c r="W361" s="12"/>
      <c r="X361" s="12"/>
    </row>
    <row r="362" customFormat="false" ht="15.75" hidden="false" customHeight="false" outlineLevel="0" collapsed="false">
      <c r="A362" s="12"/>
      <c r="B362" s="34"/>
      <c r="C362" s="12"/>
      <c r="D362" s="12"/>
      <c r="E362" s="12"/>
      <c r="F362" s="12"/>
      <c r="G362" s="18"/>
      <c r="H362" s="35"/>
      <c r="I362" s="12"/>
      <c r="M362" s="12"/>
      <c r="N362" s="18"/>
      <c r="O362" s="12"/>
      <c r="P362" s="12"/>
      <c r="Q362" s="12"/>
      <c r="R362" s="36"/>
      <c r="S362" s="36"/>
      <c r="T362" s="12"/>
      <c r="U362" s="12"/>
      <c r="V362" s="12"/>
      <c r="W362" s="12"/>
      <c r="X362" s="12"/>
    </row>
    <row r="363" customFormat="false" ht="15.75" hidden="false" customHeight="false" outlineLevel="0" collapsed="false">
      <c r="A363" s="12"/>
      <c r="B363" s="34"/>
      <c r="C363" s="12"/>
      <c r="D363" s="12"/>
      <c r="E363" s="12"/>
      <c r="F363" s="12"/>
      <c r="G363" s="18"/>
      <c r="H363" s="35"/>
      <c r="I363" s="12"/>
      <c r="M363" s="12"/>
      <c r="N363" s="18"/>
      <c r="O363" s="12"/>
      <c r="P363" s="12"/>
      <c r="Q363" s="12"/>
      <c r="R363" s="36"/>
      <c r="S363" s="36"/>
      <c r="T363" s="12"/>
      <c r="U363" s="12"/>
      <c r="V363" s="12"/>
      <c r="W363" s="12"/>
      <c r="X363" s="12"/>
    </row>
    <row r="364" customFormat="false" ht="15.75" hidden="false" customHeight="false" outlineLevel="0" collapsed="false">
      <c r="A364" s="12"/>
      <c r="B364" s="34"/>
      <c r="C364" s="12"/>
      <c r="D364" s="12"/>
      <c r="E364" s="12"/>
      <c r="F364" s="12"/>
      <c r="G364" s="18"/>
      <c r="H364" s="35"/>
      <c r="I364" s="12"/>
      <c r="M364" s="12"/>
      <c r="N364" s="18"/>
      <c r="O364" s="12"/>
      <c r="P364" s="12"/>
      <c r="Q364" s="12"/>
      <c r="R364" s="36"/>
      <c r="S364" s="36"/>
      <c r="T364" s="12"/>
      <c r="U364" s="12"/>
      <c r="V364" s="12"/>
      <c r="W364" s="12"/>
      <c r="X364" s="12"/>
    </row>
    <row r="365" customFormat="false" ht="15.75" hidden="false" customHeight="false" outlineLevel="0" collapsed="false">
      <c r="A365" s="12"/>
      <c r="B365" s="34"/>
      <c r="C365" s="12"/>
      <c r="D365" s="12"/>
      <c r="E365" s="12"/>
      <c r="F365" s="12"/>
      <c r="G365" s="18"/>
      <c r="H365" s="35"/>
      <c r="I365" s="12"/>
      <c r="M365" s="12"/>
      <c r="N365" s="18"/>
      <c r="O365" s="12"/>
      <c r="P365" s="12"/>
      <c r="Q365" s="12"/>
      <c r="R365" s="36"/>
      <c r="S365" s="36"/>
      <c r="T365" s="12"/>
      <c r="U365" s="12"/>
      <c r="V365" s="12"/>
      <c r="W365" s="12"/>
      <c r="X365" s="12"/>
    </row>
    <row r="366" customFormat="false" ht="15.75" hidden="false" customHeight="false" outlineLevel="0" collapsed="false">
      <c r="A366" s="12"/>
      <c r="B366" s="34"/>
      <c r="C366" s="12"/>
      <c r="D366" s="12"/>
      <c r="E366" s="12"/>
      <c r="F366" s="12"/>
      <c r="G366" s="18"/>
      <c r="H366" s="35"/>
      <c r="I366" s="12"/>
      <c r="M366" s="12"/>
      <c r="N366" s="18"/>
      <c r="O366" s="12"/>
      <c r="P366" s="12"/>
      <c r="Q366" s="12"/>
      <c r="R366" s="36"/>
      <c r="S366" s="36"/>
      <c r="T366" s="12"/>
      <c r="U366" s="12"/>
      <c r="V366" s="12"/>
      <c r="W366" s="12"/>
      <c r="X366" s="12"/>
    </row>
    <row r="367" customFormat="false" ht="15.75" hidden="false" customHeight="false" outlineLevel="0" collapsed="false">
      <c r="A367" s="12"/>
      <c r="B367" s="34"/>
      <c r="C367" s="12"/>
      <c r="D367" s="12"/>
      <c r="E367" s="12"/>
      <c r="F367" s="12"/>
      <c r="G367" s="18"/>
      <c r="H367" s="35"/>
      <c r="I367" s="12"/>
      <c r="M367" s="12"/>
      <c r="N367" s="18"/>
      <c r="O367" s="12"/>
      <c r="P367" s="12"/>
      <c r="Q367" s="12"/>
      <c r="R367" s="36"/>
      <c r="S367" s="36"/>
      <c r="T367" s="12"/>
      <c r="U367" s="12"/>
      <c r="V367" s="12"/>
      <c r="W367" s="12"/>
      <c r="X367" s="12"/>
    </row>
    <row r="368" customFormat="false" ht="15.75" hidden="false" customHeight="false" outlineLevel="0" collapsed="false">
      <c r="A368" s="12"/>
      <c r="B368" s="34"/>
      <c r="C368" s="12"/>
      <c r="D368" s="12"/>
      <c r="E368" s="12"/>
      <c r="F368" s="12"/>
      <c r="G368" s="18"/>
      <c r="H368" s="35"/>
      <c r="I368" s="12"/>
      <c r="M368" s="12"/>
      <c r="N368" s="18"/>
      <c r="O368" s="12"/>
      <c r="P368" s="12"/>
      <c r="Q368" s="12"/>
      <c r="R368" s="36"/>
      <c r="S368" s="36"/>
      <c r="T368" s="12"/>
      <c r="U368" s="12"/>
      <c r="V368" s="12"/>
      <c r="W368" s="12"/>
      <c r="X368" s="12"/>
    </row>
    <row r="369" customFormat="false" ht="15.75" hidden="false" customHeight="false" outlineLevel="0" collapsed="false">
      <c r="A369" s="12"/>
      <c r="B369" s="34"/>
      <c r="C369" s="12"/>
      <c r="D369" s="12"/>
      <c r="E369" s="12"/>
      <c r="F369" s="12"/>
      <c r="G369" s="18"/>
      <c r="H369" s="35"/>
      <c r="I369" s="12"/>
      <c r="M369" s="12"/>
      <c r="N369" s="18"/>
      <c r="O369" s="12"/>
      <c r="P369" s="12"/>
      <c r="Q369" s="12"/>
      <c r="R369" s="36"/>
      <c r="S369" s="36"/>
      <c r="T369" s="12"/>
      <c r="U369" s="12"/>
      <c r="V369" s="12"/>
      <c r="W369" s="12"/>
      <c r="X369" s="12"/>
    </row>
    <row r="370" customFormat="false" ht="15.75" hidden="false" customHeight="false" outlineLevel="0" collapsed="false">
      <c r="A370" s="12"/>
      <c r="B370" s="34"/>
      <c r="C370" s="12"/>
      <c r="D370" s="12"/>
      <c r="E370" s="12"/>
      <c r="F370" s="12"/>
      <c r="G370" s="18"/>
      <c r="H370" s="35"/>
      <c r="I370" s="12"/>
      <c r="M370" s="12"/>
      <c r="N370" s="18"/>
      <c r="O370" s="12"/>
      <c r="P370" s="12"/>
      <c r="Q370" s="12"/>
      <c r="R370" s="36"/>
      <c r="S370" s="36"/>
      <c r="T370" s="12"/>
      <c r="U370" s="12"/>
      <c r="V370" s="12"/>
      <c r="W370" s="12"/>
      <c r="X370" s="12"/>
    </row>
    <row r="371" customFormat="false" ht="15.75" hidden="false" customHeight="false" outlineLevel="0" collapsed="false">
      <c r="A371" s="12"/>
      <c r="B371" s="34"/>
      <c r="C371" s="12"/>
      <c r="D371" s="12"/>
      <c r="E371" s="12"/>
      <c r="F371" s="12"/>
      <c r="G371" s="18"/>
      <c r="H371" s="35"/>
      <c r="I371" s="12"/>
      <c r="M371" s="12"/>
      <c r="N371" s="18"/>
      <c r="O371" s="12"/>
      <c r="P371" s="12"/>
      <c r="Q371" s="12"/>
      <c r="R371" s="36"/>
      <c r="S371" s="36"/>
      <c r="T371" s="12"/>
      <c r="U371" s="12"/>
      <c r="V371" s="12"/>
      <c r="W371" s="12"/>
      <c r="X371" s="12"/>
    </row>
    <row r="372" customFormat="false" ht="15.75" hidden="false" customHeight="false" outlineLevel="0" collapsed="false">
      <c r="A372" s="12"/>
      <c r="B372" s="34"/>
      <c r="C372" s="12"/>
      <c r="D372" s="12"/>
      <c r="E372" s="12"/>
      <c r="F372" s="12"/>
      <c r="G372" s="18"/>
      <c r="H372" s="35"/>
      <c r="I372" s="12"/>
      <c r="M372" s="12"/>
      <c r="N372" s="18"/>
      <c r="O372" s="12"/>
      <c r="P372" s="12"/>
      <c r="Q372" s="12"/>
      <c r="R372" s="36"/>
      <c r="S372" s="36"/>
      <c r="T372" s="12"/>
      <c r="U372" s="12"/>
      <c r="V372" s="12"/>
      <c r="W372" s="12"/>
      <c r="X372" s="12"/>
    </row>
    <row r="373" customFormat="false" ht="15.75" hidden="false" customHeight="false" outlineLevel="0" collapsed="false">
      <c r="A373" s="12"/>
      <c r="B373" s="34"/>
      <c r="C373" s="12"/>
      <c r="D373" s="12"/>
      <c r="E373" s="12"/>
      <c r="F373" s="12"/>
      <c r="G373" s="18"/>
      <c r="H373" s="35"/>
      <c r="I373" s="12"/>
      <c r="M373" s="12"/>
      <c r="N373" s="18"/>
      <c r="O373" s="12"/>
      <c r="P373" s="12"/>
      <c r="Q373" s="12"/>
      <c r="R373" s="36"/>
      <c r="S373" s="36"/>
      <c r="T373" s="12"/>
      <c r="U373" s="12"/>
      <c r="V373" s="12"/>
      <c r="W373" s="12"/>
      <c r="X373" s="12"/>
    </row>
    <row r="374" customFormat="false" ht="15.75" hidden="false" customHeight="false" outlineLevel="0" collapsed="false">
      <c r="A374" s="12"/>
      <c r="B374" s="34"/>
      <c r="C374" s="12"/>
      <c r="D374" s="12"/>
      <c r="E374" s="12"/>
      <c r="F374" s="12"/>
      <c r="G374" s="18"/>
      <c r="H374" s="35"/>
      <c r="I374" s="12"/>
      <c r="M374" s="12"/>
      <c r="N374" s="18"/>
      <c r="O374" s="12"/>
      <c r="P374" s="12"/>
      <c r="Q374" s="12"/>
      <c r="R374" s="36"/>
      <c r="S374" s="36"/>
      <c r="T374" s="12"/>
      <c r="U374" s="12"/>
      <c r="V374" s="12"/>
      <c r="W374" s="12"/>
      <c r="X374" s="12"/>
    </row>
    <row r="375" customFormat="false" ht="15.75" hidden="false" customHeight="false" outlineLevel="0" collapsed="false">
      <c r="A375" s="12"/>
      <c r="B375" s="34"/>
      <c r="C375" s="12"/>
      <c r="D375" s="12"/>
      <c r="E375" s="12"/>
      <c r="F375" s="12"/>
      <c r="G375" s="18"/>
      <c r="H375" s="35"/>
      <c r="I375" s="12"/>
      <c r="M375" s="12"/>
      <c r="N375" s="18"/>
      <c r="O375" s="12"/>
      <c r="P375" s="12"/>
      <c r="Q375" s="12"/>
      <c r="R375" s="36"/>
      <c r="S375" s="36"/>
      <c r="T375" s="12"/>
      <c r="U375" s="12"/>
      <c r="V375" s="12"/>
      <c r="W375" s="12"/>
      <c r="X375" s="12"/>
    </row>
    <row r="376" customFormat="false" ht="15.75" hidden="false" customHeight="false" outlineLevel="0" collapsed="false">
      <c r="A376" s="12"/>
      <c r="B376" s="34"/>
      <c r="C376" s="12"/>
      <c r="D376" s="12"/>
      <c r="E376" s="12"/>
      <c r="F376" s="12"/>
      <c r="G376" s="18"/>
      <c r="H376" s="35"/>
      <c r="I376" s="12"/>
      <c r="M376" s="12"/>
      <c r="N376" s="18"/>
      <c r="O376" s="12"/>
      <c r="P376" s="12"/>
      <c r="Q376" s="12"/>
      <c r="R376" s="36"/>
      <c r="S376" s="36"/>
      <c r="T376" s="12"/>
      <c r="U376" s="12"/>
      <c r="V376" s="12"/>
      <c r="W376" s="12"/>
      <c r="X376" s="12"/>
    </row>
    <row r="377" customFormat="false" ht="15.75" hidden="false" customHeight="false" outlineLevel="0" collapsed="false">
      <c r="A377" s="12"/>
      <c r="B377" s="34"/>
      <c r="C377" s="12"/>
      <c r="D377" s="12"/>
      <c r="E377" s="12"/>
      <c r="F377" s="12"/>
      <c r="G377" s="18"/>
      <c r="H377" s="35"/>
      <c r="I377" s="12"/>
      <c r="M377" s="12"/>
      <c r="N377" s="18"/>
      <c r="O377" s="12"/>
      <c r="P377" s="12"/>
      <c r="Q377" s="12"/>
      <c r="R377" s="36"/>
      <c r="S377" s="36"/>
      <c r="T377" s="12"/>
      <c r="U377" s="12"/>
      <c r="V377" s="12"/>
      <c r="W377" s="12"/>
      <c r="X377" s="12"/>
    </row>
    <row r="378" customFormat="false" ht="15.75" hidden="false" customHeight="false" outlineLevel="0" collapsed="false">
      <c r="A378" s="12"/>
      <c r="B378" s="34"/>
      <c r="C378" s="12"/>
      <c r="D378" s="12"/>
      <c r="E378" s="12"/>
      <c r="F378" s="12"/>
      <c r="G378" s="18"/>
      <c r="H378" s="35"/>
      <c r="I378" s="12"/>
      <c r="M378" s="12"/>
      <c r="N378" s="18"/>
      <c r="O378" s="12"/>
      <c r="P378" s="12"/>
      <c r="Q378" s="12"/>
      <c r="R378" s="36"/>
      <c r="S378" s="36"/>
      <c r="T378" s="12"/>
      <c r="U378" s="12"/>
      <c r="V378" s="12"/>
      <c r="W378" s="12"/>
      <c r="X378" s="12"/>
    </row>
    <row r="379" customFormat="false" ht="15.75" hidden="false" customHeight="false" outlineLevel="0" collapsed="false">
      <c r="A379" s="12"/>
      <c r="B379" s="34"/>
      <c r="C379" s="12"/>
      <c r="D379" s="12"/>
      <c r="E379" s="12"/>
      <c r="F379" s="12"/>
      <c r="G379" s="18"/>
      <c r="H379" s="35"/>
      <c r="I379" s="12"/>
      <c r="M379" s="12"/>
      <c r="N379" s="18"/>
      <c r="O379" s="12"/>
      <c r="P379" s="12"/>
      <c r="Q379" s="12"/>
      <c r="R379" s="36"/>
      <c r="S379" s="36"/>
      <c r="T379" s="12"/>
      <c r="U379" s="12"/>
      <c r="V379" s="12"/>
      <c r="W379" s="12"/>
      <c r="X379" s="12"/>
    </row>
    <row r="380" customFormat="false" ht="15.75" hidden="false" customHeight="false" outlineLevel="0" collapsed="false">
      <c r="A380" s="12"/>
      <c r="B380" s="34"/>
      <c r="C380" s="12"/>
      <c r="D380" s="12"/>
      <c r="E380" s="12"/>
      <c r="F380" s="12"/>
      <c r="G380" s="18"/>
      <c r="H380" s="35"/>
      <c r="I380" s="12"/>
      <c r="M380" s="12"/>
      <c r="N380" s="18"/>
      <c r="O380" s="12"/>
      <c r="P380" s="12"/>
      <c r="Q380" s="12"/>
      <c r="R380" s="36"/>
      <c r="S380" s="36"/>
      <c r="T380" s="12"/>
      <c r="U380" s="12"/>
      <c r="V380" s="12"/>
      <c r="W380" s="12"/>
      <c r="X380" s="12"/>
    </row>
    <row r="381" customFormat="false" ht="15.75" hidden="false" customHeight="false" outlineLevel="0" collapsed="false">
      <c r="A381" s="12"/>
      <c r="B381" s="34"/>
      <c r="C381" s="12"/>
      <c r="D381" s="12"/>
      <c r="E381" s="12"/>
      <c r="F381" s="12"/>
      <c r="G381" s="18"/>
      <c r="H381" s="35"/>
      <c r="I381" s="12"/>
      <c r="M381" s="12"/>
      <c r="N381" s="18"/>
      <c r="O381" s="12"/>
      <c r="P381" s="12"/>
      <c r="Q381" s="12"/>
      <c r="R381" s="36"/>
      <c r="S381" s="36"/>
      <c r="T381" s="12"/>
      <c r="U381" s="12"/>
      <c r="V381" s="12"/>
      <c r="W381" s="12"/>
      <c r="X381" s="12"/>
    </row>
    <row r="382" customFormat="false" ht="15.75" hidden="false" customHeight="false" outlineLevel="0" collapsed="false">
      <c r="A382" s="12"/>
      <c r="B382" s="34"/>
      <c r="C382" s="12"/>
      <c r="D382" s="12"/>
      <c r="E382" s="12"/>
      <c r="F382" s="12"/>
      <c r="G382" s="18"/>
      <c r="H382" s="35"/>
      <c r="I382" s="12"/>
      <c r="M382" s="12"/>
      <c r="N382" s="18"/>
      <c r="O382" s="12"/>
      <c r="P382" s="12"/>
      <c r="Q382" s="12"/>
      <c r="R382" s="36"/>
      <c r="S382" s="36"/>
      <c r="T382" s="12"/>
      <c r="U382" s="12"/>
      <c r="V382" s="12"/>
      <c r="W382" s="12"/>
      <c r="X382" s="12"/>
    </row>
    <row r="383" customFormat="false" ht="15.75" hidden="false" customHeight="false" outlineLevel="0" collapsed="false">
      <c r="A383" s="12"/>
      <c r="B383" s="34"/>
      <c r="C383" s="12"/>
      <c r="D383" s="12"/>
      <c r="E383" s="12"/>
      <c r="F383" s="12"/>
      <c r="G383" s="18"/>
      <c r="H383" s="35"/>
      <c r="I383" s="12"/>
      <c r="M383" s="12"/>
      <c r="N383" s="18"/>
      <c r="O383" s="12"/>
      <c r="P383" s="12"/>
      <c r="Q383" s="12"/>
      <c r="R383" s="36"/>
      <c r="S383" s="36"/>
      <c r="T383" s="12"/>
      <c r="U383" s="12"/>
      <c r="V383" s="12"/>
      <c r="W383" s="12"/>
      <c r="X383" s="12"/>
    </row>
    <row r="384" customFormat="false" ht="15.75" hidden="false" customHeight="false" outlineLevel="0" collapsed="false">
      <c r="A384" s="12"/>
      <c r="B384" s="34"/>
      <c r="C384" s="12"/>
      <c r="D384" s="12"/>
      <c r="E384" s="12"/>
      <c r="F384" s="12"/>
      <c r="G384" s="18"/>
      <c r="H384" s="35"/>
      <c r="I384" s="12"/>
      <c r="M384" s="12"/>
      <c r="N384" s="18"/>
      <c r="O384" s="12"/>
      <c r="P384" s="12"/>
      <c r="Q384" s="12"/>
      <c r="R384" s="36"/>
      <c r="S384" s="36"/>
      <c r="T384" s="12"/>
      <c r="U384" s="12"/>
      <c r="V384" s="12"/>
      <c r="W384" s="12"/>
      <c r="X384" s="12"/>
    </row>
    <row r="385" customFormat="false" ht="15.75" hidden="false" customHeight="false" outlineLevel="0" collapsed="false">
      <c r="A385" s="12"/>
      <c r="B385" s="34"/>
      <c r="C385" s="12"/>
      <c r="D385" s="12"/>
      <c r="E385" s="12"/>
      <c r="F385" s="12"/>
      <c r="G385" s="18"/>
      <c r="H385" s="35"/>
      <c r="I385" s="12"/>
      <c r="M385" s="12"/>
      <c r="N385" s="18"/>
      <c r="O385" s="12"/>
      <c r="P385" s="12"/>
      <c r="Q385" s="12"/>
      <c r="R385" s="36"/>
      <c r="S385" s="36"/>
      <c r="T385" s="12"/>
      <c r="U385" s="12"/>
      <c r="V385" s="12"/>
      <c r="W385" s="12"/>
      <c r="X385" s="12"/>
    </row>
    <row r="386" customFormat="false" ht="15.75" hidden="false" customHeight="false" outlineLevel="0" collapsed="false">
      <c r="A386" s="12"/>
      <c r="B386" s="34"/>
      <c r="C386" s="12"/>
      <c r="D386" s="12"/>
      <c r="E386" s="12"/>
      <c r="F386" s="12"/>
      <c r="G386" s="18"/>
      <c r="H386" s="35"/>
      <c r="I386" s="12"/>
      <c r="M386" s="12"/>
      <c r="N386" s="18"/>
      <c r="O386" s="12"/>
      <c r="P386" s="12"/>
      <c r="Q386" s="12"/>
      <c r="R386" s="36"/>
      <c r="S386" s="36"/>
      <c r="T386" s="12"/>
      <c r="U386" s="12"/>
      <c r="V386" s="12"/>
      <c r="W386" s="12"/>
      <c r="X386" s="12"/>
    </row>
    <row r="387" customFormat="false" ht="15.75" hidden="false" customHeight="false" outlineLevel="0" collapsed="false">
      <c r="A387" s="12"/>
      <c r="B387" s="34"/>
      <c r="C387" s="12"/>
      <c r="D387" s="12"/>
      <c r="E387" s="12"/>
      <c r="F387" s="12"/>
      <c r="G387" s="18"/>
      <c r="H387" s="35"/>
      <c r="I387" s="12"/>
      <c r="M387" s="12"/>
      <c r="N387" s="18"/>
      <c r="O387" s="12"/>
      <c r="P387" s="12"/>
      <c r="Q387" s="12"/>
      <c r="R387" s="36"/>
      <c r="S387" s="36"/>
      <c r="T387" s="12"/>
      <c r="U387" s="12"/>
      <c r="V387" s="12"/>
      <c r="W387" s="12"/>
      <c r="X387" s="12"/>
    </row>
    <row r="388" customFormat="false" ht="15.75" hidden="false" customHeight="false" outlineLevel="0" collapsed="false">
      <c r="A388" s="12"/>
      <c r="B388" s="34"/>
      <c r="C388" s="12"/>
      <c r="D388" s="12"/>
      <c r="E388" s="12"/>
      <c r="F388" s="12"/>
      <c r="G388" s="18"/>
      <c r="H388" s="35"/>
      <c r="I388" s="12"/>
      <c r="M388" s="12"/>
      <c r="N388" s="18"/>
      <c r="O388" s="12"/>
      <c r="P388" s="12"/>
      <c r="Q388" s="12"/>
      <c r="R388" s="36"/>
      <c r="S388" s="36"/>
      <c r="T388" s="12"/>
      <c r="U388" s="12"/>
      <c r="V388" s="12"/>
      <c r="W388" s="12"/>
      <c r="X388" s="12"/>
    </row>
    <row r="389" customFormat="false" ht="15.75" hidden="false" customHeight="false" outlineLevel="0" collapsed="false">
      <c r="A389" s="12"/>
      <c r="B389" s="34"/>
      <c r="C389" s="12"/>
      <c r="D389" s="12"/>
      <c r="E389" s="12"/>
      <c r="F389" s="12"/>
      <c r="G389" s="18"/>
      <c r="H389" s="35"/>
      <c r="I389" s="12"/>
      <c r="M389" s="12"/>
      <c r="N389" s="18"/>
      <c r="O389" s="12"/>
      <c r="P389" s="12"/>
      <c r="Q389" s="12"/>
      <c r="R389" s="36"/>
      <c r="S389" s="36"/>
      <c r="T389" s="12"/>
      <c r="U389" s="12"/>
      <c r="V389" s="12"/>
      <c r="W389" s="12"/>
      <c r="X389" s="12"/>
    </row>
    <row r="390" customFormat="false" ht="15.75" hidden="false" customHeight="false" outlineLevel="0" collapsed="false">
      <c r="A390" s="12"/>
      <c r="B390" s="34"/>
      <c r="C390" s="12"/>
      <c r="D390" s="12"/>
      <c r="E390" s="12"/>
      <c r="F390" s="12"/>
      <c r="G390" s="18"/>
      <c r="H390" s="35"/>
      <c r="I390" s="12"/>
      <c r="M390" s="12"/>
      <c r="N390" s="18"/>
      <c r="O390" s="12"/>
      <c r="P390" s="12"/>
      <c r="Q390" s="12"/>
      <c r="R390" s="36"/>
      <c r="S390" s="36"/>
      <c r="T390" s="12"/>
      <c r="U390" s="12"/>
      <c r="V390" s="12"/>
      <c r="W390" s="12"/>
      <c r="X390" s="12"/>
    </row>
    <row r="391" customFormat="false" ht="15.75" hidden="false" customHeight="false" outlineLevel="0" collapsed="false">
      <c r="A391" s="12"/>
      <c r="B391" s="34"/>
      <c r="C391" s="12"/>
      <c r="D391" s="12"/>
      <c r="E391" s="12"/>
      <c r="F391" s="12"/>
      <c r="G391" s="18"/>
      <c r="H391" s="35"/>
      <c r="I391" s="12"/>
      <c r="M391" s="12"/>
      <c r="N391" s="18"/>
      <c r="O391" s="12"/>
      <c r="P391" s="12"/>
      <c r="Q391" s="12"/>
      <c r="R391" s="36"/>
      <c r="S391" s="36"/>
      <c r="T391" s="12"/>
      <c r="U391" s="12"/>
      <c r="V391" s="12"/>
      <c r="W391" s="12"/>
      <c r="X391" s="12"/>
    </row>
    <row r="392" customFormat="false" ht="15.75" hidden="false" customHeight="false" outlineLevel="0" collapsed="false">
      <c r="A392" s="12"/>
      <c r="B392" s="34"/>
      <c r="C392" s="12"/>
      <c r="D392" s="12"/>
      <c r="E392" s="12"/>
      <c r="F392" s="12"/>
      <c r="G392" s="18"/>
      <c r="H392" s="35"/>
      <c r="I392" s="12"/>
      <c r="M392" s="12"/>
      <c r="N392" s="18"/>
      <c r="O392" s="12"/>
      <c r="P392" s="12"/>
      <c r="Q392" s="12"/>
      <c r="R392" s="36"/>
      <c r="S392" s="36"/>
      <c r="T392" s="12"/>
      <c r="U392" s="12"/>
      <c r="V392" s="12"/>
      <c r="W392" s="12"/>
      <c r="X392" s="12"/>
    </row>
    <row r="393" customFormat="false" ht="15.75" hidden="false" customHeight="false" outlineLevel="0" collapsed="false">
      <c r="A393" s="12"/>
      <c r="B393" s="34"/>
      <c r="C393" s="12"/>
      <c r="D393" s="12"/>
      <c r="E393" s="12"/>
      <c r="F393" s="12"/>
      <c r="G393" s="18"/>
      <c r="H393" s="35"/>
      <c r="I393" s="12"/>
      <c r="M393" s="12"/>
      <c r="N393" s="18"/>
      <c r="O393" s="12"/>
      <c r="P393" s="12"/>
      <c r="Q393" s="12"/>
      <c r="R393" s="36"/>
      <c r="S393" s="36"/>
      <c r="T393" s="12"/>
      <c r="U393" s="12"/>
      <c r="V393" s="12"/>
      <c r="W393" s="12"/>
      <c r="X393" s="12"/>
    </row>
    <row r="394" customFormat="false" ht="15.75" hidden="false" customHeight="false" outlineLevel="0" collapsed="false">
      <c r="A394" s="12"/>
      <c r="B394" s="34"/>
      <c r="C394" s="12"/>
      <c r="D394" s="12"/>
      <c r="E394" s="12"/>
      <c r="F394" s="12"/>
      <c r="G394" s="18"/>
      <c r="H394" s="35"/>
      <c r="I394" s="12"/>
      <c r="M394" s="12"/>
      <c r="N394" s="18"/>
      <c r="O394" s="12"/>
      <c r="P394" s="12"/>
      <c r="Q394" s="12"/>
      <c r="R394" s="36"/>
      <c r="S394" s="36"/>
      <c r="T394" s="12"/>
      <c r="U394" s="12"/>
      <c r="V394" s="12"/>
      <c r="W394" s="12"/>
      <c r="X394" s="12"/>
    </row>
    <row r="395" customFormat="false" ht="15.75" hidden="false" customHeight="false" outlineLevel="0" collapsed="false">
      <c r="A395" s="12"/>
      <c r="B395" s="34"/>
      <c r="C395" s="12"/>
      <c r="D395" s="12"/>
      <c r="E395" s="12"/>
      <c r="F395" s="12"/>
      <c r="G395" s="18"/>
      <c r="H395" s="35"/>
      <c r="I395" s="12"/>
      <c r="M395" s="12"/>
      <c r="N395" s="18"/>
      <c r="O395" s="12"/>
      <c r="P395" s="12"/>
      <c r="Q395" s="12"/>
      <c r="R395" s="36"/>
      <c r="S395" s="36"/>
      <c r="T395" s="12"/>
      <c r="U395" s="12"/>
      <c r="V395" s="12"/>
      <c r="W395" s="12"/>
      <c r="X395" s="12"/>
    </row>
    <row r="396" customFormat="false" ht="15.75" hidden="false" customHeight="false" outlineLevel="0" collapsed="false">
      <c r="A396" s="12"/>
      <c r="B396" s="34"/>
      <c r="C396" s="12"/>
      <c r="D396" s="12"/>
      <c r="E396" s="12"/>
      <c r="F396" s="12"/>
      <c r="G396" s="18"/>
      <c r="H396" s="35"/>
      <c r="I396" s="12"/>
      <c r="M396" s="12"/>
      <c r="N396" s="18"/>
      <c r="O396" s="12"/>
      <c r="P396" s="12"/>
      <c r="Q396" s="12"/>
      <c r="R396" s="36"/>
      <c r="S396" s="36"/>
      <c r="T396" s="12"/>
      <c r="U396" s="12"/>
      <c r="V396" s="12"/>
      <c r="W396" s="12"/>
      <c r="X396" s="12"/>
    </row>
    <row r="397" customFormat="false" ht="15.75" hidden="false" customHeight="false" outlineLevel="0" collapsed="false">
      <c r="A397" s="12"/>
      <c r="B397" s="34"/>
      <c r="C397" s="12"/>
      <c r="D397" s="12"/>
      <c r="E397" s="12"/>
      <c r="F397" s="12"/>
      <c r="G397" s="18"/>
      <c r="H397" s="35"/>
      <c r="I397" s="12"/>
      <c r="M397" s="12"/>
      <c r="N397" s="18"/>
      <c r="O397" s="12"/>
      <c r="P397" s="12"/>
      <c r="Q397" s="12"/>
      <c r="R397" s="36"/>
      <c r="S397" s="36"/>
      <c r="T397" s="12"/>
      <c r="U397" s="12"/>
      <c r="V397" s="12"/>
      <c r="W397" s="12"/>
      <c r="X397" s="12"/>
    </row>
    <row r="398" customFormat="false" ht="15.75" hidden="false" customHeight="false" outlineLevel="0" collapsed="false">
      <c r="A398" s="12"/>
      <c r="B398" s="34"/>
      <c r="C398" s="12"/>
      <c r="D398" s="12"/>
      <c r="E398" s="12"/>
      <c r="F398" s="12"/>
      <c r="G398" s="18"/>
      <c r="H398" s="35"/>
      <c r="I398" s="12"/>
      <c r="M398" s="12"/>
      <c r="N398" s="18"/>
      <c r="O398" s="12"/>
      <c r="P398" s="12"/>
      <c r="Q398" s="12"/>
      <c r="R398" s="36"/>
      <c r="S398" s="36"/>
      <c r="T398" s="12"/>
      <c r="U398" s="12"/>
      <c r="V398" s="12"/>
      <c r="W398" s="12"/>
      <c r="X398" s="12"/>
    </row>
    <row r="399" customFormat="false" ht="15.75" hidden="false" customHeight="false" outlineLevel="0" collapsed="false">
      <c r="A399" s="12"/>
      <c r="B399" s="34"/>
      <c r="C399" s="12"/>
      <c r="D399" s="12"/>
      <c r="E399" s="12"/>
      <c r="F399" s="12"/>
      <c r="G399" s="18"/>
      <c r="H399" s="35"/>
      <c r="I399" s="12"/>
      <c r="M399" s="12"/>
      <c r="N399" s="18"/>
      <c r="O399" s="12"/>
      <c r="P399" s="12"/>
      <c r="Q399" s="12"/>
      <c r="R399" s="36"/>
      <c r="S399" s="36"/>
      <c r="T399" s="12"/>
      <c r="U399" s="12"/>
      <c r="V399" s="12"/>
      <c r="W399" s="12"/>
      <c r="X399" s="12"/>
    </row>
    <row r="400" customFormat="false" ht="15.75" hidden="false" customHeight="false" outlineLevel="0" collapsed="false">
      <c r="A400" s="12"/>
      <c r="B400" s="34"/>
      <c r="C400" s="12"/>
      <c r="D400" s="12"/>
      <c r="E400" s="12"/>
      <c r="F400" s="12"/>
      <c r="G400" s="18"/>
      <c r="H400" s="35"/>
      <c r="I400" s="12"/>
      <c r="M400" s="12"/>
      <c r="N400" s="18"/>
      <c r="O400" s="12"/>
      <c r="P400" s="12"/>
      <c r="Q400" s="12"/>
      <c r="R400" s="36"/>
      <c r="S400" s="36"/>
      <c r="T400" s="12"/>
      <c r="U400" s="12"/>
      <c r="V400" s="12"/>
      <c r="W400" s="12"/>
      <c r="X400" s="12"/>
    </row>
    <row r="401" customFormat="false" ht="15.75" hidden="false" customHeight="false" outlineLevel="0" collapsed="false">
      <c r="A401" s="12"/>
      <c r="B401" s="34"/>
      <c r="C401" s="12"/>
      <c r="D401" s="12"/>
      <c r="E401" s="12"/>
      <c r="F401" s="12"/>
      <c r="G401" s="18"/>
      <c r="H401" s="35"/>
      <c r="I401" s="12"/>
      <c r="M401" s="12"/>
      <c r="N401" s="18"/>
      <c r="O401" s="12"/>
      <c r="P401" s="12"/>
      <c r="Q401" s="12"/>
      <c r="R401" s="36"/>
      <c r="S401" s="36"/>
      <c r="T401" s="12"/>
      <c r="U401" s="12"/>
      <c r="V401" s="12"/>
      <c r="W401" s="12"/>
      <c r="X401" s="12"/>
    </row>
    <row r="402" customFormat="false" ht="15.75" hidden="false" customHeight="false" outlineLevel="0" collapsed="false">
      <c r="A402" s="12"/>
      <c r="B402" s="34"/>
      <c r="C402" s="12"/>
      <c r="D402" s="12"/>
      <c r="E402" s="12"/>
      <c r="F402" s="12"/>
      <c r="G402" s="18"/>
      <c r="H402" s="35"/>
      <c r="I402" s="12"/>
      <c r="M402" s="12"/>
      <c r="N402" s="18"/>
      <c r="O402" s="12"/>
      <c r="P402" s="12"/>
      <c r="Q402" s="12"/>
      <c r="R402" s="36"/>
      <c r="S402" s="36"/>
      <c r="T402" s="12"/>
      <c r="U402" s="12"/>
      <c r="V402" s="12"/>
      <c r="W402" s="12"/>
      <c r="X402" s="12"/>
    </row>
    <row r="403" customFormat="false" ht="15.75" hidden="false" customHeight="false" outlineLevel="0" collapsed="false">
      <c r="A403" s="12"/>
      <c r="B403" s="34"/>
      <c r="C403" s="12"/>
      <c r="D403" s="12"/>
      <c r="E403" s="12"/>
      <c r="F403" s="12"/>
      <c r="G403" s="18"/>
      <c r="H403" s="35"/>
      <c r="I403" s="12"/>
      <c r="M403" s="12"/>
      <c r="N403" s="18"/>
      <c r="O403" s="12"/>
      <c r="P403" s="12"/>
      <c r="Q403" s="12"/>
      <c r="R403" s="36"/>
      <c r="S403" s="36"/>
      <c r="T403" s="12"/>
      <c r="U403" s="12"/>
      <c r="V403" s="12"/>
      <c r="W403" s="12"/>
      <c r="X403" s="12"/>
    </row>
    <row r="404" customFormat="false" ht="15.75" hidden="false" customHeight="false" outlineLevel="0" collapsed="false">
      <c r="A404" s="12"/>
      <c r="B404" s="34"/>
      <c r="C404" s="12"/>
      <c r="D404" s="12"/>
      <c r="E404" s="12"/>
      <c r="F404" s="12"/>
      <c r="G404" s="18"/>
      <c r="H404" s="35"/>
      <c r="I404" s="12"/>
      <c r="M404" s="12"/>
      <c r="N404" s="18"/>
      <c r="O404" s="12"/>
      <c r="P404" s="12"/>
      <c r="Q404" s="12"/>
      <c r="R404" s="36"/>
      <c r="S404" s="36"/>
      <c r="T404" s="12"/>
      <c r="U404" s="12"/>
      <c r="V404" s="12"/>
      <c r="W404" s="12"/>
      <c r="X404" s="12"/>
    </row>
    <row r="405" customFormat="false" ht="15.75" hidden="false" customHeight="false" outlineLevel="0" collapsed="false">
      <c r="A405" s="12"/>
      <c r="B405" s="34"/>
      <c r="C405" s="12"/>
      <c r="D405" s="12"/>
      <c r="E405" s="12"/>
      <c r="F405" s="12"/>
      <c r="G405" s="18"/>
      <c r="H405" s="35"/>
      <c r="I405" s="12"/>
      <c r="M405" s="12"/>
      <c r="N405" s="18"/>
      <c r="O405" s="12"/>
      <c r="P405" s="12"/>
      <c r="Q405" s="12"/>
      <c r="R405" s="36"/>
      <c r="S405" s="36"/>
      <c r="T405" s="12"/>
      <c r="U405" s="12"/>
      <c r="V405" s="12"/>
      <c r="W405" s="12"/>
      <c r="X405" s="12"/>
    </row>
    <row r="406" customFormat="false" ht="15.75" hidden="false" customHeight="false" outlineLevel="0" collapsed="false">
      <c r="A406" s="12"/>
      <c r="B406" s="34"/>
      <c r="C406" s="12"/>
      <c r="D406" s="12"/>
      <c r="E406" s="12"/>
      <c r="F406" s="12"/>
      <c r="G406" s="18"/>
      <c r="H406" s="35"/>
      <c r="I406" s="12"/>
      <c r="M406" s="12"/>
      <c r="N406" s="18"/>
      <c r="O406" s="12"/>
      <c r="P406" s="12"/>
      <c r="Q406" s="12"/>
      <c r="R406" s="36"/>
      <c r="S406" s="36"/>
      <c r="T406" s="12"/>
      <c r="U406" s="12"/>
      <c r="V406" s="12"/>
      <c r="W406" s="12"/>
      <c r="X406" s="12"/>
    </row>
    <row r="407" customFormat="false" ht="15.75" hidden="false" customHeight="false" outlineLevel="0" collapsed="false">
      <c r="A407" s="12"/>
      <c r="B407" s="34"/>
      <c r="C407" s="12"/>
      <c r="D407" s="12"/>
      <c r="E407" s="12"/>
      <c r="F407" s="12"/>
      <c r="G407" s="18"/>
      <c r="H407" s="35"/>
      <c r="I407" s="12"/>
      <c r="M407" s="12"/>
      <c r="N407" s="18"/>
      <c r="O407" s="12"/>
      <c r="P407" s="12"/>
      <c r="Q407" s="12"/>
      <c r="R407" s="36"/>
      <c r="S407" s="36"/>
      <c r="T407" s="12"/>
      <c r="U407" s="12"/>
      <c r="V407" s="12"/>
      <c r="W407" s="12"/>
      <c r="X407" s="12"/>
    </row>
    <row r="408" customFormat="false" ht="15.75" hidden="false" customHeight="false" outlineLevel="0" collapsed="false">
      <c r="A408" s="12"/>
      <c r="B408" s="34"/>
      <c r="C408" s="12"/>
      <c r="D408" s="12"/>
      <c r="E408" s="12"/>
      <c r="F408" s="12"/>
      <c r="G408" s="18"/>
      <c r="H408" s="35"/>
      <c r="I408" s="12"/>
      <c r="M408" s="12"/>
      <c r="N408" s="18"/>
      <c r="O408" s="12"/>
      <c r="P408" s="12"/>
      <c r="Q408" s="12"/>
      <c r="R408" s="36"/>
      <c r="S408" s="36"/>
      <c r="T408" s="12"/>
      <c r="U408" s="12"/>
      <c r="V408" s="12"/>
      <c r="W408" s="12"/>
      <c r="X408" s="12"/>
    </row>
    <row r="409" customFormat="false" ht="15.75" hidden="false" customHeight="false" outlineLevel="0" collapsed="false">
      <c r="A409" s="12"/>
      <c r="B409" s="34"/>
      <c r="C409" s="12"/>
      <c r="D409" s="12"/>
      <c r="E409" s="12"/>
      <c r="F409" s="12"/>
      <c r="G409" s="18"/>
      <c r="H409" s="35"/>
      <c r="I409" s="12"/>
      <c r="M409" s="12"/>
      <c r="N409" s="18"/>
      <c r="O409" s="12"/>
      <c r="P409" s="12"/>
      <c r="Q409" s="12"/>
      <c r="R409" s="36"/>
      <c r="S409" s="36"/>
      <c r="T409" s="12"/>
      <c r="U409" s="12"/>
      <c r="V409" s="12"/>
      <c r="W409" s="12"/>
      <c r="X409" s="12"/>
    </row>
    <row r="410" customFormat="false" ht="15.75" hidden="false" customHeight="false" outlineLevel="0" collapsed="false">
      <c r="A410" s="12"/>
      <c r="B410" s="34"/>
      <c r="C410" s="12"/>
      <c r="D410" s="12"/>
      <c r="E410" s="12"/>
      <c r="F410" s="12"/>
      <c r="G410" s="18"/>
      <c r="H410" s="35"/>
      <c r="I410" s="12"/>
      <c r="M410" s="12"/>
      <c r="N410" s="18"/>
      <c r="O410" s="12"/>
      <c r="P410" s="12"/>
      <c r="Q410" s="12"/>
      <c r="R410" s="36"/>
      <c r="S410" s="36"/>
      <c r="T410" s="12"/>
      <c r="U410" s="12"/>
      <c r="V410" s="12"/>
      <c r="W410" s="12"/>
      <c r="X410" s="12"/>
    </row>
    <row r="411" customFormat="false" ht="15.75" hidden="false" customHeight="false" outlineLevel="0" collapsed="false">
      <c r="A411" s="12"/>
      <c r="B411" s="34"/>
      <c r="C411" s="12"/>
      <c r="D411" s="12"/>
      <c r="E411" s="12"/>
      <c r="F411" s="12"/>
      <c r="G411" s="18"/>
      <c r="H411" s="35"/>
      <c r="I411" s="12"/>
      <c r="M411" s="12"/>
      <c r="N411" s="18"/>
      <c r="O411" s="12"/>
      <c r="P411" s="12"/>
      <c r="Q411" s="12"/>
      <c r="R411" s="36"/>
      <c r="S411" s="36"/>
      <c r="T411" s="12"/>
      <c r="U411" s="12"/>
      <c r="V411" s="12"/>
      <c r="W411" s="12"/>
      <c r="X411" s="12"/>
    </row>
    <row r="412" customFormat="false" ht="15.75" hidden="false" customHeight="false" outlineLevel="0" collapsed="false">
      <c r="A412" s="12"/>
      <c r="B412" s="34"/>
      <c r="C412" s="12"/>
      <c r="D412" s="12"/>
      <c r="E412" s="12"/>
      <c r="F412" s="12"/>
      <c r="G412" s="18"/>
      <c r="H412" s="35"/>
      <c r="I412" s="12"/>
      <c r="M412" s="12"/>
      <c r="N412" s="18"/>
      <c r="O412" s="12"/>
      <c r="P412" s="12"/>
      <c r="Q412" s="12"/>
      <c r="R412" s="36"/>
      <c r="S412" s="36"/>
      <c r="T412" s="12"/>
      <c r="U412" s="12"/>
      <c r="V412" s="12"/>
      <c r="W412" s="12"/>
      <c r="X412" s="12"/>
    </row>
    <row r="413" customFormat="false" ht="15.75" hidden="false" customHeight="false" outlineLevel="0" collapsed="false">
      <c r="A413" s="12"/>
      <c r="B413" s="34"/>
      <c r="C413" s="12"/>
      <c r="D413" s="12"/>
      <c r="E413" s="12"/>
      <c r="F413" s="12"/>
      <c r="G413" s="18"/>
      <c r="H413" s="35"/>
      <c r="I413" s="12"/>
      <c r="M413" s="12"/>
      <c r="N413" s="18"/>
      <c r="O413" s="12"/>
      <c r="P413" s="12"/>
      <c r="Q413" s="12"/>
      <c r="R413" s="36"/>
      <c r="S413" s="36"/>
      <c r="T413" s="12"/>
      <c r="U413" s="12"/>
      <c r="V413" s="12"/>
      <c r="W413" s="12"/>
      <c r="X413" s="12"/>
    </row>
    <row r="414" customFormat="false" ht="15.75" hidden="false" customHeight="false" outlineLevel="0" collapsed="false">
      <c r="A414" s="12"/>
      <c r="B414" s="34"/>
      <c r="C414" s="12"/>
      <c r="D414" s="12"/>
      <c r="E414" s="12"/>
      <c r="F414" s="12"/>
      <c r="G414" s="18"/>
      <c r="H414" s="35"/>
      <c r="I414" s="12"/>
      <c r="M414" s="12"/>
      <c r="N414" s="18"/>
      <c r="O414" s="12"/>
      <c r="P414" s="12"/>
      <c r="Q414" s="12"/>
      <c r="R414" s="36"/>
      <c r="S414" s="36"/>
      <c r="T414" s="12"/>
      <c r="U414" s="12"/>
      <c r="V414" s="12"/>
      <c r="W414" s="12"/>
      <c r="X414" s="12"/>
    </row>
    <row r="415" customFormat="false" ht="15.75" hidden="false" customHeight="false" outlineLevel="0" collapsed="false">
      <c r="A415" s="12"/>
      <c r="B415" s="34"/>
      <c r="C415" s="12"/>
      <c r="D415" s="12"/>
      <c r="E415" s="12"/>
      <c r="F415" s="12"/>
      <c r="G415" s="18"/>
      <c r="H415" s="35"/>
      <c r="I415" s="12"/>
      <c r="M415" s="12"/>
      <c r="N415" s="18"/>
      <c r="O415" s="12"/>
      <c r="P415" s="12"/>
      <c r="Q415" s="12"/>
      <c r="R415" s="36"/>
      <c r="S415" s="36"/>
      <c r="T415" s="12"/>
      <c r="U415" s="12"/>
      <c r="V415" s="12"/>
      <c r="W415" s="12"/>
      <c r="X415" s="12"/>
    </row>
    <row r="416" customFormat="false" ht="15.75" hidden="false" customHeight="false" outlineLevel="0" collapsed="false">
      <c r="A416" s="12"/>
      <c r="B416" s="34"/>
      <c r="C416" s="12"/>
      <c r="D416" s="12"/>
      <c r="E416" s="12"/>
      <c r="F416" s="12"/>
      <c r="G416" s="18"/>
      <c r="H416" s="35"/>
      <c r="I416" s="12"/>
      <c r="M416" s="12"/>
      <c r="N416" s="18"/>
      <c r="O416" s="12"/>
      <c r="P416" s="12"/>
      <c r="Q416" s="12"/>
      <c r="R416" s="36"/>
      <c r="S416" s="36"/>
      <c r="T416" s="12"/>
      <c r="U416" s="12"/>
      <c r="V416" s="12"/>
      <c r="W416" s="12"/>
      <c r="X416" s="12"/>
    </row>
    <row r="417" customFormat="false" ht="15.75" hidden="false" customHeight="false" outlineLevel="0" collapsed="false">
      <c r="A417" s="12"/>
      <c r="B417" s="34"/>
      <c r="C417" s="12"/>
      <c r="D417" s="12"/>
      <c r="E417" s="12"/>
      <c r="F417" s="12"/>
      <c r="G417" s="18"/>
      <c r="H417" s="35"/>
      <c r="I417" s="12"/>
      <c r="M417" s="12"/>
      <c r="N417" s="18"/>
      <c r="O417" s="12"/>
      <c r="P417" s="12"/>
      <c r="Q417" s="12"/>
      <c r="R417" s="36"/>
      <c r="S417" s="36"/>
      <c r="T417" s="12"/>
      <c r="U417" s="12"/>
      <c r="V417" s="12"/>
      <c r="W417" s="12"/>
      <c r="X417" s="12"/>
    </row>
    <row r="418" customFormat="false" ht="15.75" hidden="false" customHeight="false" outlineLevel="0" collapsed="false">
      <c r="A418" s="12"/>
      <c r="B418" s="34"/>
      <c r="C418" s="12"/>
      <c r="D418" s="12"/>
      <c r="E418" s="12"/>
      <c r="F418" s="12"/>
      <c r="G418" s="18"/>
      <c r="H418" s="35"/>
      <c r="I418" s="12"/>
      <c r="M418" s="12"/>
      <c r="N418" s="18"/>
      <c r="O418" s="12"/>
      <c r="P418" s="12"/>
      <c r="Q418" s="12"/>
      <c r="R418" s="36"/>
      <c r="S418" s="36"/>
      <c r="T418" s="12"/>
      <c r="U418" s="12"/>
      <c r="V418" s="12"/>
      <c r="W418" s="12"/>
      <c r="X418" s="12"/>
    </row>
    <row r="419" customFormat="false" ht="15.75" hidden="false" customHeight="false" outlineLevel="0" collapsed="false">
      <c r="A419" s="12"/>
      <c r="B419" s="34"/>
      <c r="C419" s="12"/>
      <c r="D419" s="12"/>
      <c r="E419" s="12"/>
      <c r="F419" s="12"/>
      <c r="G419" s="18"/>
      <c r="H419" s="35"/>
      <c r="I419" s="12"/>
      <c r="M419" s="12"/>
      <c r="N419" s="18"/>
      <c r="O419" s="12"/>
      <c r="P419" s="12"/>
      <c r="Q419" s="12"/>
      <c r="R419" s="36"/>
      <c r="S419" s="36"/>
      <c r="T419" s="12"/>
      <c r="U419" s="12"/>
      <c r="V419" s="12"/>
      <c r="W419" s="12"/>
      <c r="X419" s="12"/>
    </row>
    <row r="420" customFormat="false" ht="15.75" hidden="false" customHeight="false" outlineLevel="0" collapsed="false">
      <c r="A420" s="12"/>
      <c r="B420" s="34"/>
      <c r="C420" s="12"/>
      <c r="D420" s="12"/>
      <c r="E420" s="12"/>
      <c r="F420" s="12"/>
      <c r="G420" s="18"/>
      <c r="H420" s="35"/>
      <c r="I420" s="12"/>
      <c r="M420" s="12"/>
      <c r="N420" s="18"/>
      <c r="O420" s="12"/>
      <c r="P420" s="12"/>
      <c r="Q420" s="12"/>
      <c r="R420" s="36"/>
      <c r="S420" s="36"/>
      <c r="T420" s="12"/>
      <c r="U420" s="12"/>
      <c r="V420" s="12"/>
      <c r="W420" s="12"/>
      <c r="X420" s="12"/>
    </row>
    <row r="421" customFormat="false" ht="15.75" hidden="false" customHeight="false" outlineLevel="0" collapsed="false">
      <c r="A421" s="12"/>
      <c r="B421" s="34"/>
      <c r="C421" s="12"/>
      <c r="D421" s="12"/>
      <c r="E421" s="12"/>
      <c r="F421" s="12"/>
      <c r="G421" s="18"/>
      <c r="H421" s="35"/>
      <c r="I421" s="12"/>
      <c r="M421" s="12"/>
      <c r="N421" s="18"/>
      <c r="O421" s="12"/>
      <c r="P421" s="12"/>
      <c r="Q421" s="12"/>
      <c r="R421" s="36"/>
      <c r="S421" s="36"/>
      <c r="T421" s="12"/>
      <c r="U421" s="12"/>
      <c r="V421" s="12"/>
      <c r="W421" s="12"/>
      <c r="X421" s="12"/>
    </row>
    <row r="422" customFormat="false" ht="15.75" hidden="false" customHeight="false" outlineLevel="0" collapsed="false">
      <c r="A422" s="12"/>
      <c r="B422" s="34"/>
      <c r="C422" s="12"/>
      <c r="D422" s="12"/>
      <c r="E422" s="12"/>
      <c r="F422" s="12"/>
      <c r="G422" s="18"/>
      <c r="H422" s="35"/>
      <c r="I422" s="12"/>
      <c r="M422" s="12"/>
      <c r="N422" s="18"/>
      <c r="O422" s="12"/>
      <c r="P422" s="12"/>
      <c r="Q422" s="12"/>
      <c r="R422" s="36"/>
      <c r="S422" s="36"/>
      <c r="T422" s="12"/>
      <c r="U422" s="12"/>
      <c r="V422" s="12"/>
      <c r="W422" s="12"/>
      <c r="X422" s="12"/>
    </row>
    <row r="423" customFormat="false" ht="15.75" hidden="false" customHeight="false" outlineLevel="0" collapsed="false">
      <c r="A423" s="12"/>
      <c r="B423" s="34"/>
      <c r="C423" s="12"/>
      <c r="D423" s="12"/>
      <c r="E423" s="12"/>
      <c r="F423" s="12"/>
      <c r="G423" s="18"/>
      <c r="H423" s="35"/>
      <c r="I423" s="12"/>
      <c r="M423" s="12"/>
      <c r="N423" s="18"/>
      <c r="O423" s="12"/>
      <c r="P423" s="12"/>
      <c r="Q423" s="12"/>
      <c r="R423" s="36"/>
      <c r="S423" s="36"/>
      <c r="T423" s="12"/>
      <c r="U423" s="12"/>
      <c r="V423" s="12"/>
      <c r="W423" s="12"/>
      <c r="X423" s="12"/>
    </row>
    <row r="424" customFormat="false" ht="15.75" hidden="false" customHeight="false" outlineLevel="0" collapsed="false">
      <c r="A424" s="12"/>
      <c r="B424" s="34"/>
      <c r="C424" s="12"/>
      <c r="D424" s="12"/>
      <c r="E424" s="12"/>
      <c r="F424" s="12"/>
      <c r="G424" s="18"/>
      <c r="H424" s="35"/>
      <c r="I424" s="12"/>
      <c r="M424" s="12"/>
      <c r="N424" s="18"/>
      <c r="O424" s="12"/>
      <c r="P424" s="12"/>
      <c r="Q424" s="12"/>
      <c r="R424" s="36"/>
      <c r="S424" s="36"/>
      <c r="T424" s="12"/>
      <c r="U424" s="12"/>
      <c r="V424" s="12"/>
      <c r="W424" s="12"/>
      <c r="X424" s="12"/>
    </row>
    <row r="425" customFormat="false" ht="15.75" hidden="false" customHeight="false" outlineLevel="0" collapsed="false">
      <c r="A425" s="12"/>
      <c r="B425" s="34"/>
      <c r="C425" s="12"/>
      <c r="D425" s="12"/>
      <c r="E425" s="12"/>
      <c r="F425" s="12"/>
      <c r="G425" s="18"/>
      <c r="H425" s="35"/>
      <c r="I425" s="12"/>
      <c r="M425" s="12"/>
      <c r="N425" s="18"/>
      <c r="O425" s="12"/>
      <c r="P425" s="12"/>
      <c r="Q425" s="12"/>
      <c r="R425" s="36"/>
      <c r="S425" s="36"/>
      <c r="T425" s="12"/>
      <c r="U425" s="12"/>
      <c r="V425" s="12"/>
      <c r="W425" s="12"/>
      <c r="X425" s="12"/>
    </row>
    <row r="426" customFormat="false" ht="15.75" hidden="false" customHeight="false" outlineLevel="0" collapsed="false">
      <c r="A426" s="12"/>
      <c r="B426" s="34"/>
      <c r="C426" s="12"/>
      <c r="D426" s="12"/>
      <c r="E426" s="12"/>
      <c r="F426" s="12"/>
      <c r="G426" s="18"/>
      <c r="H426" s="35"/>
      <c r="I426" s="12"/>
      <c r="M426" s="12"/>
      <c r="N426" s="18"/>
      <c r="O426" s="12"/>
      <c r="P426" s="12"/>
      <c r="Q426" s="12"/>
      <c r="R426" s="36"/>
      <c r="S426" s="36"/>
      <c r="T426" s="12"/>
      <c r="U426" s="12"/>
      <c r="V426" s="12"/>
      <c r="W426" s="12"/>
      <c r="X426" s="12"/>
    </row>
    <row r="427" customFormat="false" ht="15.75" hidden="false" customHeight="false" outlineLevel="0" collapsed="false">
      <c r="A427" s="12"/>
      <c r="B427" s="34"/>
      <c r="C427" s="12"/>
      <c r="D427" s="12"/>
      <c r="E427" s="12"/>
      <c r="F427" s="12"/>
      <c r="G427" s="18"/>
      <c r="H427" s="35"/>
      <c r="I427" s="12"/>
      <c r="M427" s="12"/>
      <c r="N427" s="18"/>
      <c r="O427" s="12"/>
      <c r="P427" s="12"/>
      <c r="Q427" s="12"/>
      <c r="R427" s="36"/>
      <c r="S427" s="36"/>
      <c r="T427" s="12"/>
      <c r="U427" s="12"/>
      <c r="V427" s="12"/>
      <c r="W427" s="12"/>
      <c r="X427" s="12"/>
    </row>
    <row r="428" customFormat="false" ht="15.75" hidden="false" customHeight="false" outlineLevel="0" collapsed="false">
      <c r="A428" s="12"/>
      <c r="B428" s="34"/>
      <c r="C428" s="12"/>
      <c r="D428" s="12"/>
      <c r="E428" s="12"/>
      <c r="F428" s="12"/>
      <c r="G428" s="18"/>
      <c r="H428" s="35"/>
      <c r="I428" s="12"/>
      <c r="M428" s="12"/>
      <c r="N428" s="18"/>
      <c r="O428" s="12"/>
      <c r="P428" s="12"/>
      <c r="Q428" s="12"/>
      <c r="R428" s="36"/>
      <c r="S428" s="36"/>
      <c r="T428" s="12"/>
      <c r="U428" s="12"/>
      <c r="V428" s="12"/>
      <c r="W428" s="12"/>
      <c r="X428" s="12"/>
    </row>
    <row r="429" customFormat="false" ht="15.75" hidden="false" customHeight="false" outlineLevel="0" collapsed="false">
      <c r="A429" s="12"/>
      <c r="B429" s="34"/>
      <c r="C429" s="12"/>
      <c r="D429" s="12"/>
      <c r="E429" s="12"/>
      <c r="F429" s="12"/>
      <c r="G429" s="18"/>
      <c r="H429" s="35"/>
      <c r="I429" s="12"/>
      <c r="M429" s="12"/>
      <c r="N429" s="18"/>
      <c r="O429" s="12"/>
      <c r="P429" s="12"/>
      <c r="Q429" s="12"/>
      <c r="R429" s="36"/>
      <c r="S429" s="36"/>
      <c r="T429" s="12"/>
      <c r="U429" s="12"/>
      <c r="V429" s="12"/>
      <c r="W429" s="12"/>
      <c r="X429" s="12"/>
    </row>
    <row r="430" customFormat="false" ht="15.75" hidden="false" customHeight="false" outlineLevel="0" collapsed="false">
      <c r="A430" s="12"/>
      <c r="B430" s="34"/>
      <c r="C430" s="12"/>
      <c r="D430" s="12"/>
      <c r="E430" s="12"/>
      <c r="F430" s="12"/>
      <c r="G430" s="18"/>
      <c r="H430" s="35"/>
      <c r="I430" s="12"/>
      <c r="M430" s="12"/>
      <c r="N430" s="18"/>
      <c r="O430" s="12"/>
      <c r="P430" s="12"/>
      <c r="Q430" s="12"/>
      <c r="R430" s="36"/>
      <c r="S430" s="36"/>
      <c r="T430" s="12"/>
      <c r="U430" s="12"/>
      <c r="V430" s="12"/>
      <c r="W430" s="12"/>
      <c r="X430" s="12"/>
    </row>
    <row r="431" customFormat="false" ht="15.75" hidden="false" customHeight="false" outlineLevel="0" collapsed="false">
      <c r="A431" s="12"/>
      <c r="B431" s="34"/>
      <c r="C431" s="12"/>
      <c r="D431" s="12"/>
      <c r="E431" s="12"/>
      <c r="F431" s="12"/>
      <c r="G431" s="18"/>
      <c r="H431" s="35"/>
      <c r="I431" s="12"/>
      <c r="M431" s="12"/>
      <c r="N431" s="18"/>
      <c r="O431" s="12"/>
      <c r="P431" s="12"/>
      <c r="Q431" s="12"/>
      <c r="R431" s="36"/>
      <c r="S431" s="36"/>
      <c r="T431" s="12"/>
      <c r="U431" s="12"/>
      <c r="V431" s="12"/>
      <c r="W431" s="12"/>
      <c r="X431" s="12"/>
    </row>
    <row r="432" customFormat="false" ht="15.75" hidden="false" customHeight="false" outlineLevel="0" collapsed="false">
      <c r="A432" s="12"/>
      <c r="B432" s="34"/>
      <c r="C432" s="12"/>
      <c r="D432" s="12"/>
      <c r="E432" s="12"/>
      <c r="F432" s="12"/>
      <c r="G432" s="18"/>
      <c r="H432" s="35"/>
      <c r="I432" s="12"/>
      <c r="M432" s="12"/>
      <c r="N432" s="18"/>
      <c r="O432" s="12"/>
      <c r="P432" s="12"/>
      <c r="Q432" s="12"/>
      <c r="R432" s="36"/>
      <c r="S432" s="36"/>
      <c r="T432" s="12"/>
      <c r="U432" s="12"/>
      <c r="V432" s="12"/>
      <c r="W432" s="12"/>
      <c r="X432" s="12"/>
    </row>
    <row r="433" customFormat="false" ht="15.75" hidden="false" customHeight="false" outlineLevel="0" collapsed="false">
      <c r="A433" s="12"/>
      <c r="B433" s="34"/>
      <c r="C433" s="12"/>
      <c r="D433" s="12"/>
      <c r="E433" s="12"/>
      <c r="F433" s="12"/>
      <c r="G433" s="18"/>
      <c r="H433" s="35"/>
      <c r="I433" s="12"/>
      <c r="M433" s="12"/>
      <c r="N433" s="18"/>
      <c r="O433" s="12"/>
      <c r="P433" s="12"/>
      <c r="Q433" s="12"/>
      <c r="R433" s="36"/>
      <c r="S433" s="36"/>
      <c r="T433" s="12"/>
      <c r="U433" s="12"/>
      <c r="V433" s="12"/>
      <c r="W433" s="12"/>
      <c r="X433" s="12"/>
    </row>
    <row r="434" customFormat="false" ht="15.75" hidden="false" customHeight="false" outlineLevel="0" collapsed="false">
      <c r="A434" s="12"/>
      <c r="B434" s="34"/>
      <c r="C434" s="12"/>
      <c r="D434" s="12"/>
      <c r="E434" s="12"/>
      <c r="F434" s="12"/>
      <c r="G434" s="18"/>
      <c r="H434" s="35"/>
      <c r="I434" s="12"/>
      <c r="M434" s="12"/>
      <c r="N434" s="18"/>
      <c r="O434" s="12"/>
      <c r="P434" s="12"/>
      <c r="Q434" s="12"/>
      <c r="R434" s="36"/>
      <c r="S434" s="36"/>
      <c r="T434" s="12"/>
      <c r="U434" s="12"/>
      <c r="V434" s="12"/>
      <c r="W434" s="12"/>
      <c r="X434" s="12"/>
    </row>
    <row r="435" customFormat="false" ht="15.75" hidden="false" customHeight="false" outlineLevel="0" collapsed="false">
      <c r="A435" s="12"/>
      <c r="B435" s="34"/>
      <c r="C435" s="12"/>
      <c r="D435" s="12"/>
      <c r="E435" s="12"/>
      <c r="F435" s="12"/>
      <c r="G435" s="18"/>
      <c r="H435" s="35"/>
      <c r="I435" s="12"/>
      <c r="M435" s="12"/>
      <c r="N435" s="18"/>
      <c r="O435" s="12"/>
      <c r="P435" s="12"/>
      <c r="Q435" s="12"/>
      <c r="R435" s="36"/>
      <c r="S435" s="36"/>
      <c r="T435" s="12"/>
      <c r="U435" s="12"/>
      <c r="V435" s="12"/>
      <c r="W435" s="12"/>
      <c r="X435" s="12"/>
    </row>
    <row r="436" customFormat="false" ht="15.75" hidden="false" customHeight="false" outlineLevel="0" collapsed="false">
      <c r="A436" s="12"/>
      <c r="B436" s="34"/>
      <c r="C436" s="12"/>
      <c r="D436" s="12"/>
      <c r="E436" s="12"/>
      <c r="F436" s="12"/>
      <c r="G436" s="18"/>
      <c r="H436" s="35"/>
      <c r="I436" s="12"/>
      <c r="M436" s="12"/>
      <c r="N436" s="18"/>
      <c r="O436" s="12"/>
      <c r="P436" s="12"/>
      <c r="Q436" s="12"/>
      <c r="R436" s="36"/>
      <c r="S436" s="36"/>
      <c r="T436" s="12"/>
      <c r="U436" s="12"/>
      <c r="V436" s="12"/>
      <c r="W436" s="12"/>
      <c r="X436" s="12"/>
    </row>
    <row r="437" customFormat="false" ht="15.75" hidden="false" customHeight="false" outlineLevel="0" collapsed="false">
      <c r="A437" s="12"/>
      <c r="B437" s="34"/>
      <c r="C437" s="12"/>
      <c r="D437" s="12"/>
      <c r="E437" s="12"/>
      <c r="F437" s="12"/>
      <c r="G437" s="18"/>
      <c r="H437" s="35"/>
      <c r="I437" s="12"/>
      <c r="M437" s="12"/>
      <c r="N437" s="18"/>
      <c r="O437" s="12"/>
      <c r="P437" s="12"/>
      <c r="Q437" s="12"/>
      <c r="R437" s="36"/>
      <c r="S437" s="36"/>
      <c r="T437" s="12"/>
      <c r="U437" s="12"/>
      <c r="V437" s="12"/>
      <c r="W437" s="12"/>
      <c r="X437" s="12"/>
    </row>
    <row r="438" customFormat="false" ht="15.75" hidden="false" customHeight="false" outlineLevel="0" collapsed="false">
      <c r="A438" s="12"/>
      <c r="B438" s="34"/>
      <c r="C438" s="12"/>
      <c r="D438" s="12"/>
      <c r="E438" s="12"/>
      <c r="F438" s="12"/>
      <c r="G438" s="18"/>
      <c r="H438" s="35"/>
      <c r="I438" s="12"/>
      <c r="M438" s="12"/>
      <c r="N438" s="18"/>
      <c r="O438" s="12"/>
      <c r="P438" s="12"/>
      <c r="Q438" s="12"/>
      <c r="R438" s="36"/>
      <c r="S438" s="36"/>
      <c r="T438" s="12"/>
      <c r="U438" s="12"/>
      <c r="V438" s="12"/>
      <c r="W438" s="12"/>
      <c r="X438" s="12"/>
    </row>
    <row r="439" customFormat="false" ht="15.75" hidden="false" customHeight="false" outlineLevel="0" collapsed="false">
      <c r="A439" s="12"/>
      <c r="B439" s="34"/>
      <c r="C439" s="12"/>
      <c r="D439" s="12"/>
      <c r="E439" s="12"/>
      <c r="F439" s="12"/>
      <c r="G439" s="18"/>
      <c r="H439" s="35"/>
      <c r="I439" s="12"/>
      <c r="M439" s="12"/>
      <c r="N439" s="18"/>
      <c r="O439" s="12"/>
      <c r="P439" s="12"/>
      <c r="Q439" s="12"/>
      <c r="R439" s="36"/>
      <c r="S439" s="36"/>
      <c r="T439" s="12"/>
      <c r="U439" s="12"/>
      <c r="V439" s="12"/>
      <c r="W439" s="12"/>
      <c r="X439" s="12"/>
    </row>
    <row r="440" customFormat="false" ht="15.75" hidden="false" customHeight="false" outlineLevel="0" collapsed="false">
      <c r="A440" s="12"/>
      <c r="B440" s="34"/>
      <c r="C440" s="12"/>
      <c r="D440" s="12"/>
      <c r="E440" s="12"/>
      <c r="F440" s="12"/>
      <c r="G440" s="18"/>
      <c r="H440" s="35"/>
      <c r="I440" s="12"/>
      <c r="M440" s="12"/>
      <c r="N440" s="18"/>
      <c r="O440" s="12"/>
      <c r="P440" s="12"/>
      <c r="Q440" s="12"/>
      <c r="R440" s="36"/>
      <c r="S440" s="36"/>
      <c r="T440" s="12"/>
      <c r="U440" s="12"/>
      <c r="V440" s="12"/>
      <c r="W440" s="12"/>
      <c r="X440" s="12"/>
    </row>
    <row r="441" customFormat="false" ht="15.75" hidden="false" customHeight="false" outlineLevel="0" collapsed="false">
      <c r="A441" s="12"/>
      <c r="B441" s="34"/>
      <c r="C441" s="12"/>
      <c r="D441" s="12"/>
      <c r="E441" s="12"/>
      <c r="F441" s="12"/>
      <c r="G441" s="18"/>
      <c r="H441" s="35"/>
      <c r="I441" s="12"/>
      <c r="M441" s="12"/>
      <c r="N441" s="18"/>
      <c r="O441" s="12"/>
      <c r="P441" s="12"/>
      <c r="Q441" s="12"/>
      <c r="R441" s="36"/>
      <c r="S441" s="36"/>
      <c r="T441" s="12"/>
      <c r="U441" s="12"/>
      <c r="V441" s="12"/>
      <c r="W441" s="12"/>
      <c r="X441" s="12"/>
    </row>
    <row r="442" customFormat="false" ht="15.75" hidden="false" customHeight="false" outlineLevel="0" collapsed="false">
      <c r="A442" s="12"/>
      <c r="B442" s="34"/>
      <c r="C442" s="12"/>
      <c r="D442" s="12"/>
      <c r="E442" s="12"/>
      <c r="F442" s="12"/>
      <c r="G442" s="18"/>
      <c r="H442" s="35"/>
      <c r="I442" s="12"/>
      <c r="M442" s="12"/>
      <c r="N442" s="18"/>
      <c r="O442" s="12"/>
      <c r="P442" s="12"/>
      <c r="Q442" s="12"/>
      <c r="R442" s="36"/>
      <c r="S442" s="36"/>
      <c r="T442" s="12"/>
      <c r="U442" s="12"/>
      <c r="V442" s="12"/>
      <c r="W442" s="12"/>
      <c r="X442" s="12"/>
    </row>
    <row r="443" customFormat="false" ht="15.75" hidden="false" customHeight="false" outlineLevel="0" collapsed="false">
      <c r="A443" s="12"/>
      <c r="B443" s="34"/>
      <c r="C443" s="12"/>
      <c r="D443" s="12"/>
      <c r="E443" s="12"/>
      <c r="F443" s="12"/>
      <c r="G443" s="18"/>
      <c r="H443" s="35"/>
      <c r="I443" s="12"/>
      <c r="M443" s="12"/>
      <c r="N443" s="18"/>
      <c r="O443" s="12"/>
      <c r="P443" s="12"/>
      <c r="Q443" s="12"/>
      <c r="R443" s="36"/>
      <c r="S443" s="36"/>
      <c r="T443" s="12"/>
      <c r="U443" s="12"/>
      <c r="V443" s="12"/>
      <c r="W443" s="12"/>
      <c r="X443" s="12"/>
    </row>
    <row r="444" customFormat="false" ht="15.75" hidden="false" customHeight="false" outlineLevel="0" collapsed="false">
      <c r="A444" s="12"/>
      <c r="B444" s="34"/>
      <c r="C444" s="12"/>
      <c r="D444" s="12"/>
      <c r="E444" s="12"/>
      <c r="F444" s="12"/>
      <c r="G444" s="18"/>
      <c r="H444" s="35"/>
      <c r="I444" s="12"/>
      <c r="M444" s="12"/>
      <c r="N444" s="18"/>
      <c r="O444" s="12"/>
      <c r="P444" s="12"/>
      <c r="Q444" s="12"/>
      <c r="R444" s="36"/>
      <c r="S444" s="36"/>
      <c r="T444" s="12"/>
      <c r="U444" s="12"/>
      <c r="V444" s="12"/>
      <c r="W444" s="12"/>
      <c r="X444" s="12"/>
    </row>
    <row r="445" customFormat="false" ht="15.75" hidden="false" customHeight="false" outlineLevel="0" collapsed="false">
      <c r="A445" s="12"/>
      <c r="B445" s="34"/>
      <c r="C445" s="12"/>
      <c r="D445" s="12"/>
      <c r="E445" s="12"/>
      <c r="F445" s="12"/>
      <c r="G445" s="18"/>
      <c r="H445" s="35"/>
      <c r="I445" s="12"/>
      <c r="M445" s="12"/>
      <c r="N445" s="18"/>
      <c r="O445" s="12"/>
      <c r="P445" s="12"/>
      <c r="Q445" s="12"/>
      <c r="R445" s="36"/>
      <c r="S445" s="36"/>
      <c r="T445" s="12"/>
      <c r="U445" s="12"/>
      <c r="V445" s="12"/>
      <c r="W445" s="12"/>
      <c r="X445" s="12"/>
    </row>
    <row r="446" customFormat="false" ht="15.75" hidden="false" customHeight="false" outlineLevel="0" collapsed="false">
      <c r="A446" s="12"/>
      <c r="B446" s="34"/>
      <c r="C446" s="12"/>
      <c r="D446" s="12"/>
      <c r="E446" s="12"/>
      <c r="F446" s="12"/>
      <c r="G446" s="18"/>
      <c r="H446" s="35"/>
      <c r="I446" s="12"/>
      <c r="M446" s="12"/>
      <c r="N446" s="18"/>
      <c r="O446" s="12"/>
      <c r="P446" s="12"/>
      <c r="Q446" s="12"/>
      <c r="R446" s="36"/>
      <c r="S446" s="36"/>
      <c r="T446" s="12"/>
      <c r="U446" s="12"/>
      <c r="V446" s="12"/>
      <c r="W446" s="12"/>
      <c r="X446" s="12"/>
    </row>
    <row r="447" customFormat="false" ht="15.75" hidden="false" customHeight="false" outlineLevel="0" collapsed="false">
      <c r="A447" s="12"/>
      <c r="B447" s="34"/>
      <c r="C447" s="12"/>
      <c r="D447" s="12"/>
      <c r="E447" s="12"/>
      <c r="F447" s="12"/>
      <c r="G447" s="18"/>
      <c r="H447" s="35"/>
      <c r="I447" s="12"/>
      <c r="M447" s="12"/>
      <c r="N447" s="18"/>
      <c r="O447" s="12"/>
      <c r="P447" s="12"/>
      <c r="Q447" s="12"/>
      <c r="R447" s="36"/>
      <c r="S447" s="36"/>
      <c r="T447" s="12"/>
      <c r="U447" s="12"/>
      <c r="V447" s="12"/>
      <c r="W447" s="12"/>
      <c r="X447" s="12"/>
    </row>
    <row r="448" customFormat="false" ht="15.75" hidden="false" customHeight="false" outlineLevel="0" collapsed="false">
      <c r="A448" s="12"/>
      <c r="B448" s="34"/>
      <c r="C448" s="12"/>
      <c r="D448" s="12"/>
      <c r="E448" s="12"/>
      <c r="F448" s="12"/>
      <c r="G448" s="18"/>
      <c r="H448" s="35"/>
      <c r="I448" s="12"/>
      <c r="M448" s="12"/>
      <c r="N448" s="18"/>
      <c r="O448" s="12"/>
      <c r="P448" s="12"/>
      <c r="Q448" s="12"/>
      <c r="R448" s="36"/>
      <c r="S448" s="36"/>
      <c r="T448" s="12"/>
      <c r="U448" s="12"/>
      <c r="V448" s="12"/>
      <c r="W448" s="12"/>
      <c r="X448" s="12"/>
    </row>
    <row r="449" customFormat="false" ht="15.75" hidden="false" customHeight="false" outlineLevel="0" collapsed="false">
      <c r="A449" s="12"/>
      <c r="B449" s="34"/>
      <c r="C449" s="12"/>
      <c r="D449" s="12"/>
      <c r="E449" s="12"/>
      <c r="F449" s="12"/>
      <c r="G449" s="18"/>
      <c r="H449" s="35"/>
      <c r="I449" s="12"/>
      <c r="M449" s="12"/>
      <c r="N449" s="18"/>
      <c r="O449" s="12"/>
      <c r="P449" s="12"/>
      <c r="Q449" s="12"/>
      <c r="R449" s="36"/>
      <c r="S449" s="36"/>
      <c r="T449" s="12"/>
      <c r="U449" s="12"/>
      <c r="V449" s="12"/>
      <c r="W449" s="12"/>
      <c r="X449" s="12"/>
    </row>
    <row r="450" customFormat="false" ht="15.75" hidden="false" customHeight="false" outlineLevel="0" collapsed="false">
      <c r="A450" s="12"/>
      <c r="B450" s="34"/>
      <c r="C450" s="12"/>
      <c r="D450" s="12"/>
      <c r="E450" s="12"/>
      <c r="F450" s="12"/>
      <c r="G450" s="18"/>
      <c r="H450" s="35"/>
      <c r="I450" s="12"/>
      <c r="M450" s="12"/>
      <c r="N450" s="18"/>
      <c r="O450" s="12"/>
      <c r="P450" s="12"/>
      <c r="Q450" s="12"/>
      <c r="R450" s="36"/>
      <c r="S450" s="36"/>
      <c r="T450" s="12"/>
      <c r="U450" s="12"/>
      <c r="V450" s="12"/>
      <c r="W450" s="12"/>
      <c r="X450" s="12"/>
    </row>
    <row r="451" customFormat="false" ht="15.75" hidden="false" customHeight="false" outlineLevel="0" collapsed="false">
      <c r="A451" s="12"/>
      <c r="B451" s="34"/>
      <c r="C451" s="12"/>
      <c r="D451" s="12"/>
      <c r="E451" s="12"/>
      <c r="F451" s="12"/>
      <c r="G451" s="18"/>
      <c r="H451" s="35"/>
      <c r="I451" s="12"/>
      <c r="M451" s="12"/>
      <c r="N451" s="18"/>
      <c r="O451" s="12"/>
      <c r="P451" s="12"/>
      <c r="Q451" s="12"/>
      <c r="R451" s="36"/>
      <c r="S451" s="36"/>
      <c r="T451" s="12"/>
      <c r="U451" s="12"/>
      <c r="V451" s="12"/>
      <c r="W451" s="12"/>
      <c r="X451" s="12"/>
    </row>
    <row r="452" customFormat="false" ht="15.75" hidden="false" customHeight="false" outlineLevel="0" collapsed="false">
      <c r="A452" s="12"/>
      <c r="B452" s="34"/>
      <c r="C452" s="12"/>
      <c r="D452" s="12"/>
      <c r="E452" s="12"/>
      <c r="F452" s="12"/>
      <c r="G452" s="18"/>
      <c r="H452" s="35"/>
      <c r="I452" s="12"/>
      <c r="M452" s="12"/>
      <c r="N452" s="18"/>
      <c r="O452" s="12"/>
      <c r="P452" s="12"/>
      <c r="Q452" s="12"/>
      <c r="R452" s="36"/>
      <c r="S452" s="36"/>
      <c r="T452" s="12"/>
      <c r="U452" s="12"/>
      <c r="V452" s="12"/>
      <c r="W452" s="12"/>
      <c r="X452" s="12"/>
    </row>
    <row r="453" customFormat="false" ht="15.75" hidden="false" customHeight="false" outlineLevel="0" collapsed="false">
      <c r="A453" s="12"/>
      <c r="B453" s="34"/>
      <c r="C453" s="12"/>
      <c r="D453" s="12"/>
      <c r="E453" s="12"/>
      <c r="F453" s="12"/>
      <c r="G453" s="18"/>
      <c r="H453" s="35"/>
      <c r="I453" s="12"/>
      <c r="M453" s="12"/>
      <c r="N453" s="18"/>
      <c r="O453" s="12"/>
      <c r="P453" s="12"/>
      <c r="Q453" s="12"/>
      <c r="R453" s="36"/>
      <c r="S453" s="36"/>
      <c r="T453" s="12"/>
      <c r="U453" s="12"/>
      <c r="V453" s="12"/>
      <c r="W453" s="12"/>
      <c r="X453" s="12"/>
    </row>
    <row r="454" customFormat="false" ht="15.75" hidden="false" customHeight="false" outlineLevel="0" collapsed="false">
      <c r="A454" s="12"/>
      <c r="B454" s="34"/>
      <c r="C454" s="12"/>
      <c r="D454" s="12"/>
      <c r="E454" s="12"/>
      <c r="F454" s="12"/>
      <c r="G454" s="18"/>
      <c r="H454" s="35"/>
      <c r="I454" s="12"/>
      <c r="M454" s="12"/>
      <c r="N454" s="18"/>
      <c r="O454" s="12"/>
      <c r="P454" s="12"/>
      <c r="Q454" s="12"/>
      <c r="R454" s="36"/>
      <c r="S454" s="36"/>
      <c r="T454" s="12"/>
      <c r="U454" s="12"/>
      <c r="V454" s="12"/>
      <c r="W454" s="12"/>
      <c r="X454" s="12"/>
    </row>
    <row r="455" customFormat="false" ht="15.75" hidden="false" customHeight="false" outlineLevel="0" collapsed="false">
      <c r="A455" s="12"/>
      <c r="B455" s="34"/>
      <c r="C455" s="12"/>
      <c r="D455" s="12"/>
      <c r="E455" s="12"/>
      <c r="F455" s="12"/>
      <c r="G455" s="18"/>
      <c r="H455" s="35"/>
      <c r="I455" s="12"/>
      <c r="M455" s="12"/>
      <c r="N455" s="18"/>
      <c r="O455" s="12"/>
      <c r="P455" s="12"/>
      <c r="Q455" s="12"/>
      <c r="R455" s="36"/>
      <c r="S455" s="36"/>
      <c r="T455" s="12"/>
      <c r="U455" s="12"/>
      <c r="V455" s="12"/>
      <c r="W455" s="12"/>
      <c r="X455" s="12"/>
    </row>
    <row r="456" customFormat="false" ht="15.75" hidden="false" customHeight="false" outlineLevel="0" collapsed="false">
      <c r="A456" s="12"/>
      <c r="B456" s="34"/>
      <c r="C456" s="12"/>
      <c r="D456" s="12"/>
      <c r="E456" s="12"/>
      <c r="F456" s="12"/>
      <c r="G456" s="18"/>
      <c r="H456" s="35"/>
      <c r="I456" s="12"/>
      <c r="M456" s="12"/>
      <c r="N456" s="18"/>
      <c r="O456" s="12"/>
      <c r="P456" s="12"/>
      <c r="Q456" s="12"/>
      <c r="R456" s="36"/>
      <c r="S456" s="36"/>
      <c r="T456" s="12"/>
      <c r="U456" s="12"/>
      <c r="V456" s="12"/>
      <c r="W456" s="12"/>
      <c r="X456" s="12"/>
    </row>
    <row r="457" customFormat="false" ht="15.75" hidden="false" customHeight="false" outlineLevel="0" collapsed="false">
      <c r="A457" s="12"/>
      <c r="B457" s="34"/>
      <c r="C457" s="12"/>
      <c r="D457" s="12"/>
      <c r="E457" s="12"/>
      <c r="F457" s="12"/>
      <c r="G457" s="18"/>
      <c r="H457" s="35"/>
      <c r="I457" s="12"/>
      <c r="M457" s="12"/>
      <c r="N457" s="18"/>
      <c r="O457" s="12"/>
      <c r="P457" s="12"/>
      <c r="Q457" s="12"/>
      <c r="R457" s="36"/>
      <c r="S457" s="36"/>
      <c r="T457" s="12"/>
      <c r="U457" s="12"/>
      <c r="V457" s="12"/>
      <c r="W457" s="12"/>
      <c r="X457" s="12"/>
    </row>
    <row r="458" customFormat="false" ht="15.75" hidden="false" customHeight="false" outlineLevel="0" collapsed="false">
      <c r="A458" s="12"/>
      <c r="B458" s="34"/>
      <c r="C458" s="12"/>
      <c r="D458" s="12"/>
      <c r="E458" s="12"/>
      <c r="F458" s="12"/>
      <c r="G458" s="18"/>
      <c r="H458" s="35"/>
      <c r="I458" s="12"/>
      <c r="M458" s="12"/>
      <c r="N458" s="18"/>
      <c r="O458" s="12"/>
      <c r="P458" s="12"/>
      <c r="Q458" s="12"/>
      <c r="R458" s="36"/>
      <c r="S458" s="36"/>
      <c r="T458" s="12"/>
      <c r="U458" s="12"/>
      <c r="V458" s="12"/>
      <c r="W458" s="12"/>
      <c r="X458" s="12"/>
    </row>
    <row r="459" customFormat="false" ht="15.75" hidden="false" customHeight="false" outlineLevel="0" collapsed="false">
      <c r="A459" s="12"/>
      <c r="B459" s="34"/>
      <c r="C459" s="12"/>
      <c r="D459" s="12"/>
      <c r="E459" s="12"/>
      <c r="F459" s="12"/>
      <c r="G459" s="18"/>
      <c r="H459" s="35"/>
      <c r="I459" s="12"/>
      <c r="M459" s="12"/>
      <c r="N459" s="18"/>
      <c r="O459" s="12"/>
      <c r="P459" s="12"/>
      <c r="Q459" s="12"/>
      <c r="R459" s="36"/>
      <c r="S459" s="36"/>
      <c r="T459" s="12"/>
      <c r="U459" s="12"/>
      <c r="V459" s="12"/>
      <c r="W459" s="12"/>
      <c r="X459" s="12"/>
    </row>
    <row r="460" customFormat="false" ht="15.75" hidden="false" customHeight="false" outlineLevel="0" collapsed="false">
      <c r="A460" s="12"/>
      <c r="B460" s="34"/>
      <c r="C460" s="12"/>
      <c r="D460" s="12"/>
      <c r="E460" s="12"/>
      <c r="F460" s="12"/>
      <c r="G460" s="18"/>
      <c r="H460" s="35"/>
      <c r="I460" s="12"/>
      <c r="M460" s="12"/>
      <c r="N460" s="18"/>
      <c r="O460" s="12"/>
      <c r="P460" s="12"/>
      <c r="Q460" s="12"/>
      <c r="R460" s="36"/>
      <c r="S460" s="36"/>
      <c r="T460" s="12"/>
      <c r="U460" s="12"/>
      <c r="V460" s="12"/>
      <c r="W460" s="12"/>
      <c r="X460" s="12"/>
    </row>
    <row r="461" customFormat="false" ht="15.75" hidden="false" customHeight="false" outlineLevel="0" collapsed="false">
      <c r="A461" s="12"/>
      <c r="B461" s="34"/>
      <c r="C461" s="12"/>
      <c r="D461" s="12"/>
      <c r="E461" s="12"/>
      <c r="F461" s="12"/>
      <c r="G461" s="18"/>
      <c r="H461" s="35"/>
      <c r="I461" s="12"/>
      <c r="M461" s="12"/>
      <c r="N461" s="18"/>
      <c r="O461" s="12"/>
      <c r="P461" s="12"/>
      <c r="Q461" s="12"/>
      <c r="R461" s="36"/>
      <c r="S461" s="36"/>
      <c r="T461" s="12"/>
      <c r="U461" s="12"/>
      <c r="V461" s="12"/>
      <c r="W461" s="12"/>
      <c r="X461" s="12"/>
    </row>
    <row r="462" customFormat="false" ht="15.75" hidden="false" customHeight="false" outlineLevel="0" collapsed="false">
      <c r="A462" s="12"/>
      <c r="B462" s="34"/>
      <c r="C462" s="12"/>
      <c r="D462" s="12"/>
      <c r="E462" s="12"/>
      <c r="F462" s="12"/>
      <c r="G462" s="18"/>
      <c r="H462" s="35"/>
      <c r="I462" s="12"/>
      <c r="M462" s="12"/>
      <c r="N462" s="18"/>
      <c r="O462" s="12"/>
      <c r="P462" s="12"/>
      <c r="Q462" s="12"/>
      <c r="R462" s="36"/>
      <c r="S462" s="36"/>
      <c r="T462" s="12"/>
      <c r="U462" s="12"/>
      <c r="V462" s="12"/>
      <c r="W462" s="12"/>
      <c r="X462" s="12"/>
    </row>
    <row r="463" customFormat="false" ht="15.75" hidden="false" customHeight="false" outlineLevel="0" collapsed="false">
      <c r="A463" s="12"/>
      <c r="B463" s="34"/>
      <c r="C463" s="12"/>
      <c r="D463" s="12"/>
      <c r="E463" s="12"/>
      <c r="F463" s="12"/>
      <c r="G463" s="18"/>
      <c r="H463" s="35"/>
      <c r="I463" s="12"/>
      <c r="M463" s="12"/>
      <c r="N463" s="18"/>
      <c r="O463" s="12"/>
      <c r="P463" s="12"/>
      <c r="Q463" s="12"/>
      <c r="R463" s="36"/>
      <c r="S463" s="36"/>
      <c r="T463" s="12"/>
      <c r="U463" s="12"/>
      <c r="V463" s="12"/>
      <c r="W463" s="12"/>
      <c r="X463" s="12"/>
    </row>
    <row r="464" customFormat="false" ht="15.75" hidden="false" customHeight="false" outlineLevel="0" collapsed="false">
      <c r="A464" s="12"/>
      <c r="B464" s="34"/>
      <c r="C464" s="12"/>
      <c r="D464" s="12"/>
      <c r="E464" s="12"/>
      <c r="F464" s="12"/>
      <c r="G464" s="18"/>
      <c r="H464" s="35"/>
      <c r="I464" s="12"/>
      <c r="M464" s="12"/>
      <c r="N464" s="18"/>
      <c r="O464" s="12"/>
      <c r="P464" s="12"/>
      <c r="Q464" s="12"/>
      <c r="R464" s="36"/>
      <c r="S464" s="36"/>
      <c r="T464" s="12"/>
      <c r="U464" s="12"/>
      <c r="V464" s="12"/>
      <c r="W464" s="12"/>
      <c r="X464" s="12"/>
    </row>
    <row r="465" customFormat="false" ht="15.75" hidden="false" customHeight="false" outlineLevel="0" collapsed="false">
      <c r="A465" s="12"/>
      <c r="B465" s="34"/>
      <c r="C465" s="12"/>
      <c r="D465" s="12"/>
      <c r="E465" s="12"/>
      <c r="F465" s="12"/>
      <c r="G465" s="18"/>
      <c r="H465" s="35"/>
      <c r="I465" s="12"/>
      <c r="M465" s="12"/>
      <c r="N465" s="18"/>
      <c r="O465" s="12"/>
      <c r="P465" s="12"/>
      <c r="Q465" s="12"/>
      <c r="R465" s="36"/>
      <c r="S465" s="36"/>
      <c r="T465" s="12"/>
      <c r="U465" s="12"/>
      <c r="V465" s="12"/>
      <c r="W465" s="12"/>
      <c r="X465" s="12"/>
    </row>
    <row r="466" customFormat="false" ht="15.75" hidden="false" customHeight="false" outlineLevel="0" collapsed="false">
      <c r="A466" s="12"/>
      <c r="B466" s="34"/>
      <c r="C466" s="12"/>
      <c r="D466" s="12"/>
      <c r="E466" s="12"/>
      <c r="F466" s="12"/>
      <c r="G466" s="18"/>
      <c r="H466" s="35"/>
      <c r="I466" s="12"/>
      <c r="M466" s="12"/>
      <c r="N466" s="18"/>
      <c r="O466" s="12"/>
      <c r="P466" s="12"/>
      <c r="Q466" s="12"/>
      <c r="R466" s="36"/>
      <c r="S466" s="36"/>
      <c r="T466" s="12"/>
      <c r="U466" s="12"/>
      <c r="V466" s="12"/>
      <c r="W466" s="12"/>
      <c r="X466" s="12"/>
    </row>
    <row r="467" customFormat="false" ht="15.75" hidden="false" customHeight="false" outlineLevel="0" collapsed="false">
      <c r="A467" s="12"/>
      <c r="B467" s="34"/>
      <c r="C467" s="12"/>
      <c r="D467" s="12"/>
      <c r="E467" s="12"/>
      <c r="F467" s="12"/>
      <c r="G467" s="18"/>
      <c r="H467" s="35"/>
      <c r="I467" s="12"/>
      <c r="M467" s="12"/>
      <c r="N467" s="18"/>
      <c r="O467" s="12"/>
      <c r="P467" s="12"/>
      <c r="Q467" s="12"/>
      <c r="R467" s="36"/>
      <c r="S467" s="36"/>
      <c r="T467" s="12"/>
      <c r="U467" s="12"/>
      <c r="V467" s="12"/>
      <c r="W467" s="12"/>
      <c r="X467" s="12"/>
    </row>
    <row r="468" customFormat="false" ht="15.75" hidden="false" customHeight="false" outlineLevel="0" collapsed="false">
      <c r="A468" s="12"/>
      <c r="B468" s="34"/>
      <c r="C468" s="12"/>
      <c r="D468" s="12"/>
      <c r="E468" s="12"/>
      <c r="F468" s="12"/>
      <c r="G468" s="18"/>
      <c r="H468" s="35"/>
      <c r="I468" s="12"/>
      <c r="M468" s="12"/>
      <c r="N468" s="18"/>
      <c r="O468" s="12"/>
      <c r="P468" s="12"/>
      <c r="Q468" s="12"/>
      <c r="R468" s="36"/>
      <c r="S468" s="36"/>
      <c r="T468" s="12"/>
      <c r="U468" s="12"/>
      <c r="V468" s="12"/>
      <c r="W468" s="12"/>
      <c r="X468" s="12"/>
    </row>
    <row r="469" customFormat="false" ht="15.75" hidden="false" customHeight="false" outlineLevel="0" collapsed="false">
      <c r="A469" s="12"/>
      <c r="B469" s="34"/>
      <c r="C469" s="12"/>
      <c r="D469" s="12"/>
      <c r="E469" s="12"/>
      <c r="F469" s="12"/>
      <c r="G469" s="18"/>
      <c r="H469" s="35"/>
      <c r="I469" s="12"/>
      <c r="M469" s="12"/>
      <c r="N469" s="18"/>
      <c r="O469" s="12"/>
      <c r="P469" s="12"/>
      <c r="Q469" s="12"/>
      <c r="R469" s="36"/>
      <c r="S469" s="36"/>
      <c r="T469" s="12"/>
      <c r="U469" s="12"/>
      <c r="V469" s="12"/>
      <c r="W469" s="12"/>
      <c r="X469" s="12"/>
    </row>
    <row r="470" customFormat="false" ht="15.75" hidden="false" customHeight="false" outlineLevel="0" collapsed="false">
      <c r="A470" s="12"/>
      <c r="B470" s="34"/>
      <c r="C470" s="12"/>
      <c r="D470" s="12"/>
      <c r="E470" s="12"/>
      <c r="F470" s="12"/>
      <c r="G470" s="18"/>
      <c r="H470" s="35"/>
      <c r="I470" s="12"/>
      <c r="M470" s="12"/>
      <c r="N470" s="18"/>
      <c r="O470" s="12"/>
      <c r="P470" s="12"/>
      <c r="Q470" s="12"/>
      <c r="R470" s="36"/>
      <c r="S470" s="36"/>
      <c r="T470" s="12"/>
      <c r="U470" s="12"/>
      <c r="V470" s="12"/>
      <c r="W470" s="12"/>
      <c r="X470" s="12"/>
    </row>
    <row r="471" customFormat="false" ht="15.75" hidden="false" customHeight="false" outlineLevel="0" collapsed="false">
      <c r="A471" s="12"/>
      <c r="B471" s="34"/>
      <c r="C471" s="12"/>
      <c r="D471" s="12"/>
      <c r="E471" s="12"/>
      <c r="F471" s="12"/>
      <c r="G471" s="18"/>
      <c r="H471" s="35"/>
      <c r="I471" s="12"/>
      <c r="M471" s="12"/>
      <c r="N471" s="18"/>
      <c r="O471" s="12"/>
      <c r="P471" s="12"/>
      <c r="Q471" s="12"/>
      <c r="R471" s="36"/>
      <c r="S471" s="36"/>
      <c r="T471" s="12"/>
      <c r="U471" s="12"/>
      <c r="V471" s="12"/>
      <c r="W471" s="12"/>
      <c r="X471" s="12"/>
    </row>
    <row r="472" customFormat="false" ht="15.75" hidden="false" customHeight="false" outlineLevel="0" collapsed="false">
      <c r="A472" s="12"/>
      <c r="B472" s="34"/>
      <c r="C472" s="12"/>
      <c r="D472" s="12"/>
      <c r="E472" s="12"/>
      <c r="F472" s="12"/>
      <c r="G472" s="18"/>
      <c r="H472" s="35"/>
      <c r="I472" s="12"/>
      <c r="M472" s="12"/>
      <c r="N472" s="18"/>
      <c r="O472" s="12"/>
      <c r="P472" s="12"/>
      <c r="Q472" s="12"/>
      <c r="R472" s="36"/>
      <c r="S472" s="36"/>
      <c r="T472" s="12"/>
      <c r="U472" s="12"/>
      <c r="V472" s="12"/>
      <c r="W472" s="12"/>
      <c r="X472" s="12"/>
    </row>
    <row r="473" customFormat="false" ht="15.75" hidden="false" customHeight="false" outlineLevel="0" collapsed="false">
      <c r="A473" s="12"/>
      <c r="B473" s="34"/>
      <c r="C473" s="12"/>
      <c r="D473" s="12"/>
      <c r="E473" s="12"/>
      <c r="F473" s="12"/>
      <c r="G473" s="18"/>
      <c r="H473" s="35"/>
      <c r="I473" s="12"/>
      <c r="M473" s="12"/>
      <c r="N473" s="18"/>
      <c r="O473" s="12"/>
      <c r="P473" s="12"/>
      <c r="Q473" s="12"/>
      <c r="R473" s="36"/>
      <c r="S473" s="36"/>
      <c r="T473" s="12"/>
      <c r="U473" s="12"/>
      <c r="V473" s="12"/>
      <c r="W473" s="12"/>
      <c r="X473" s="12"/>
    </row>
    <row r="474" customFormat="false" ht="15.75" hidden="false" customHeight="false" outlineLevel="0" collapsed="false">
      <c r="A474" s="12"/>
      <c r="B474" s="34"/>
      <c r="C474" s="12"/>
      <c r="D474" s="12"/>
      <c r="E474" s="12"/>
      <c r="F474" s="12"/>
      <c r="G474" s="18"/>
      <c r="H474" s="35"/>
      <c r="I474" s="12"/>
      <c r="M474" s="12"/>
      <c r="N474" s="18"/>
      <c r="O474" s="12"/>
      <c r="P474" s="12"/>
      <c r="Q474" s="12"/>
      <c r="R474" s="36"/>
      <c r="S474" s="36"/>
      <c r="T474" s="12"/>
      <c r="U474" s="12"/>
      <c r="V474" s="12"/>
      <c r="W474" s="12"/>
      <c r="X474" s="12"/>
    </row>
    <row r="475" customFormat="false" ht="15.75" hidden="false" customHeight="false" outlineLevel="0" collapsed="false">
      <c r="A475" s="12"/>
      <c r="B475" s="34"/>
      <c r="C475" s="12"/>
      <c r="D475" s="12"/>
      <c r="E475" s="12"/>
      <c r="F475" s="12"/>
      <c r="G475" s="18"/>
      <c r="H475" s="35"/>
      <c r="I475" s="12"/>
      <c r="M475" s="12"/>
      <c r="N475" s="18"/>
      <c r="O475" s="12"/>
      <c r="P475" s="12"/>
      <c r="Q475" s="12"/>
      <c r="R475" s="36"/>
      <c r="S475" s="36"/>
      <c r="T475" s="12"/>
      <c r="U475" s="12"/>
      <c r="V475" s="12"/>
      <c r="W475" s="12"/>
      <c r="X475" s="12"/>
    </row>
    <row r="476" customFormat="false" ht="15.75" hidden="false" customHeight="false" outlineLevel="0" collapsed="false">
      <c r="A476" s="12"/>
      <c r="B476" s="34"/>
      <c r="C476" s="12"/>
      <c r="D476" s="12"/>
      <c r="E476" s="12"/>
      <c r="F476" s="12"/>
      <c r="G476" s="18"/>
      <c r="H476" s="35"/>
      <c r="I476" s="12"/>
      <c r="M476" s="12"/>
      <c r="N476" s="18"/>
      <c r="O476" s="12"/>
      <c r="P476" s="12"/>
      <c r="Q476" s="12"/>
      <c r="R476" s="36"/>
      <c r="S476" s="36"/>
      <c r="T476" s="12"/>
      <c r="U476" s="12"/>
      <c r="V476" s="12"/>
      <c r="W476" s="12"/>
      <c r="X476" s="12"/>
    </row>
    <row r="477" customFormat="false" ht="15.75" hidden="false" customHeight="false" outlineLevel="0" collapsed="false">
      <c r="A477" s="12"/>
      <c r="B477" s="34"/>
      <c r="C477" s="12"/>
      <c r="D477" s="12"/>
      <c r="E477" s="12"/>
      <c r="F477" s="12"/>
      <c r="G477" s="18"/>
      <c r="H477" s="35"/>
      <c r="I477" s="12"/>
      <c r="M477" s="12"/>
      <c r="N477" s="18"/>
      <c r="O477" s="12"/>
      <c r="P477" s="12"/>
      <c r="Q477" s="12"/>
      <c r="R477" s="36"/>
      <c r="S477" s="36"/>
      <c r="T477" s="12"/>
      <c r="U477" s="12"/>
      <c r="V477" s="12"/>
      <c r="W477" s="12"/>
      <c r="X477" s="12"/>
    </row>
    <row r="478" customFormat="false" ht="15.75" hidden="false" customHeight="false" outlineLevel="0" collapsed="false">
      <c r="A478" s="12"/>
      <c r="B478" s="34"/>
      <c r="C478" s="12"/>
      <c r="D478" s="12"/>
      <c r="E478" s="12"/>
      <c r="F478" s="12"/>
      <c r="G478" s="18"/>
      <c r="H478" s="35"/>
      <c r="I478" s="12"/>
      <c r="M478" s="12"/>
      <c r="N478" s="18"/>
      <c r="O478" s="12"/>
      <c r="P478" s="12"/>
      <c r="Q478" s="12"/>
      <c r="R478" s="36"/>
      <c r="S478" s="36"/>
      <c r="T478" s="12"/>
      <c r="U478" s="12"/>
      <c r="V478" s="12"/>
      <c r="W478" s="12"/>
      <c r="X478" s="12"/>
    </row>
    <row r="479" customFormat="false" ht="15.75" hidden="false" customHeight="false" outlineLevel="0" collapsed="false">
      <c r="A479" s="12"/>
      <c r="B479" s="34"/>
      <c r="C479" s="12"/>
      <c r="D479" s="12"/>
      <c r="E479" s="12"/>
      <c r="F479" s="12"/>
      <c r="G479" s="18"/>
      <c r="H479" s="35"/>
      <c r="I479" s="12"/>
      <c r="M479" s="12"/>
      <c r="N479" s="18"/>
      <c r="O479" s="12"/>
      <c r="P479" s="12"/>
      <c r="Q479" s="12"/>
      <c r="R479" s="36"/>
      <c r="S479" s="36"/>
      <c r="T479" s="12"/>
      <c r="U479" s="12"/>
      <c r="V479" s="12"/>
      <c r="W479" s="12"/>
      <c r="X479" s="12"/>
    </row>
    <row r="480" customFormat="false" ht="15.75" hidden="false" customHeight="false" outlineLevel="0" collapsed="false">
      <c r="A480" s="12"/>
      <c r="B480" s="34"/>
      <c r="C480" s="12"/>
      <c r="D480" s="12"/>
      <c r="E480" s="12"/>
      <c r="F480" s="12"/>
      <c r="G480" s="18"/>
      <c r="H480" s="35"/>
      <c r="I480" s="12"/>
      <c r="M480" s="12"/>
      <c r="N480" s="18"/>
      <c r="O480" s="12"/>
      <c r="P480" s="12"/>
      <c r="Q480" s="12"/>
      <c r="R480" s="36"/>
      <c r="S480" s="36"/>
      <c r="T480" s="12"/>
      <c r="U480" s="12"/>
      <c r="V480" s="12"/>
      <c r="W480" s="12"/>
      <c r="X480" s="12"/>
    </row>
    <row r="481" customFormat="false" ht="15.75" hidden="false" customHeight="false" outlineLevel="0" collapsed="false">
      <c r="A481" s="12"/>
      <c r="B481" s="34"/>
      <c r="C481" s="12"/>
      <c r="D481" s="12"/>
      <c r="E481" s="12"/>
      <c r="F481" s="12"/>
      <c r="G481" s="18"/>
      <c r="H481" s="35"/>
      <c r="I481" s="12"/>
      <c r="M481" s="12"/>
      <c r="N481" s="18"/>
      <c r="O481" s="12"/>
      <c r="P481" s="12"/>
      <c r="Q481" s="12"/>
      <c r="R481" s="36"/>
      <c r="S481" s="36"/>
      <c r="T481" s="12"/>
      <c r="U481" s="12"/>
      <c r="V481" s="12"/>
      <c r="W481" s="12"/>
      <c r="X481" s="12"/>
    </row>
    <row r="482" customFormat="false" ht="15.75" hidden="false" customHeight="false" outlineLevel="0" collapsed="false">
      <c r="A482" s="12"/>
      <c r="B482" s="34"/>
      <c r="C482" s="12"/>
      <c r="D482" s="12"/>
      <c r="E482" s="12"/>
      <c r="F482" s="12"/>
      <c r="G482" s="18"/>
      <c r="H482" s="35"/>
      <c r="I482" s="12"/>
      <c r="M482" s="12"/>
      <c r="N482" s="18"/>
      <c r="O482" s="12"/>
      <c r="P482" s="12"/>
      <c r="Q482" s="12"/>
      <c r="R482" s="36"/>
      <c r="S482" s="36"/>
      <c r="T482" s="12"/>
      <c r="U482" s="12"/>
      <c r="V482" s="12"/>
      <c r="W482" s="12"/>
      <c r="X482" s="12"/>
    </row>
    <row r="483" customFormat="false" ht="15.75" hidden="false" customHeight="false" outlineLevel="0" collapsed="false">
      <c r="A483" s="12"/>
      <c r="B483" s="34"/>
      <c r="C483" s="12"/>
      <c r="D483" s="12"/>
      <c r="E483" s="12"/>
      <c r="F483" s="12"/>
      <c r="G483" s="18"/>
      <c r="H483" s="35"/>
      <c r="I483" s="12"/>
      <c r="M483" s="12"/>
      <c r="N483" s="18"/>
      <c r="O483" s="12"/>
      <c r="P483" s="12"/>
      <c r="Q483" s="12"/>
      <c r="R483" s="36"/>
      <c r="S483" s="36"/>
      <c r="T483" s="12"/>
      <c r="U483" s="12"/>
      <c r="V483" s="12"/>
      <c r="W483" s="12"/>
      <c r="X483" s="12"/>
    </row>
    <row r="484" customFormat="false" ht="15.75" hidden="false" customHeight="false" outlineLevel="0" collapsed="false">
      <c r="A484" s="12"/>
      <c r="B484" s="34"/>
      <c r="C484" s="12"/>
      <c r="D484" s="12"/>
      <c r="E484" s="12"/>
      <c r="F484" s="12"/>
      <c r="G484" s="18"/>
      <c r="H484" s="35"/>
      <c r="I484" s="12"/>
      <c r="M484" s="12"/>
      <c r="N484" s="18"/>
      <c r="O484" s="12"/>
      <c r="P484" s="12"/>
      <c r="Q484" s="12"/>
      <c r="R484" s="36"/>
      <c r="S484" s="36"/>
      <c r="T484" s="12"/>
      <c r="U484" s="12"/>
      <c r="V484" s="12"/>
      <c r="W484" s="12"/>
      <c r="X484" s="12"/>
    </row>
    <row r="485" customFormat="false" ht="15.75" hidden="false" customHeight="false" outlineLevel="0" collapsed="false">
      <c r="A485" s="12"/>
      <c r="B485" s="34"/>
      <c r="C485" s="12"/>
      <c r="D485" s="12"/>
      <c r="E485" s="12"/>
      <c r="F485" s="12"/>
      <c r="G485" s="18"/>
      <c r="H485" s="35"/>
      <c r="I485" s="12"/>
      <c r="M485" s="12"/>
      <c r="N485" s="18"/>
      <c r="O485" s="12"/>
      <c r="P485" s="12"/>
      <c r="Q485" s="12"/>
      <c r="R485" s="36"/>
      <c r="S485" s="36"/>
      <c r="T485" s="12"/>
      <c r="U485" s="12"/>
      <c r="V485" s="12"/>
      <c r="W485" s="12"/>
      <c r="X485" s="12"/>
    </row>
    <row r="486" customFormat="false" ht="15.75" hidden="false" customHeight="false" outlineLevel="0" collapsed="false">
      <c r="A486" s="12"/>
      <c r="B486" s="34"/>
      <c r="C486" s="12"/>
      <c r="D486" s="12"/>
      <c r="E486" s="12"/>
      <c r="F486" s="12"/>
      <c r="G486" s="18"/>
      <c r="H486" s="35"/>
      <c r="I486" s="12"/>
      <c r="M486" s="12"/>
      <c r="N486" s="18"/>
      <c r="O486" s="12"/>
      <c r="P486" s="12"/>
      <c r="Q486" s="12"/>
      <c r="R486" s="36"/>
      <c r="S486" s="36"/>
      <c r="T486" s="12"/>
      <c r="U486" s="12"/>
      <c r="V486" s="12"/>
      <c r="W486" s="12"/>
      <c r="X486" s="12"/>
    </row>
    <row r="487" customFormat="false" ht="15.75" hidden="false" customHeight="false" outlineLevel="0" collapsed="false">
      <c r="A487" s="12"/>
      <c r="B487" s="34"/>
      <c r="C487" s="12"/>
      <c r="D487" s="12"/>
      <c r="E487" s="12"/>
      <c r="F487" s="12"/>
      <c r="G487" s="18"/>
      <c r="H487" s="35"/>
      <c r="I487" s="12"/>
      <c r="M487" s="12"/>
      <c r="N487" s="18"/>
      <c r="O487" s="12"/>
      <c r="P487" s="12"/>
      <c r="Q487" s="12"/>
      <c r="R487" s="36"/>
      <c r="S487" s="36"/>
      <c r="T487" s="12"/>
      <c r="U487" s="12"/>
      <c r="V487" s="12"/>
      <c r="W487" s="12"/>
      <c r="X487" s="12"/>
    </row>
    <row r="488" customFormat="false" ht="15.75" hidden="false" customHeight="false" outlineLevel="0" collapsed="false">
      <c r="A488" s="12"/>
      <c r="B488" s="34"/>
      <c r="C488" s="12"/>
      <c r="D488" s="12"/>
      <c r="E488" s="12"/>
      <c r="F488" s="12"/>
      <c r="G488" s="18"/>
      <c r="H488" s="35"/>
      <c r="I488" s="12"/>
      <c r="M488" s="12"/>
      <c r="N488" s="18"/>
      <c r="O488" s="12"/>
      <c r="P488" s="12"/>
      <c r="Q488" s="12"/>
      <c r="R488" s="36"/>
      <c r="S488" s="36"/>
      <c r="T488" s="12"/>
      <c r="U488" s="12"/>
      <c r="V488" s="12"/>
      <c r="W488" s="12"/>
      <c r="X488" s="12"/>
    </row>
    <row r="489" customFormat="false" ht="15.75" hidden="false" customHeight="false" outlineLevel="0" collapsed="false">
      <c r="A489" s="12"/>
      <c r="B489" s="34"/>
      <c r="C489" s="12"/>
      <c r="D489" s="12"/>
      <c r="E489" s="12"/>
      <c r="F489" s="12"/>
      <c r="G489" s="18"/>
      <c r="H489" s="35"/>
      <c r="I489" s="12"/>
      <c r="M489" s="12"/>
      <c r="N489" s="18"/>
      <c r="O489" s="12"/>
      <c r="P489" s="12"/>
      <c r="Q489" s="12"/>
      <c r="R489" s="36"/>
      <c r="S489" s="36"/>
      <c r="T489" s="12"/>
      <c r="U489" s="12"/>
      <c r="V489" s="12"/>
      <c r="W489" s="12"/>
      <c r="X489" s="12"/>
    </row>
    <row r="490" customFormat="false" ht="15.75" hidden="false" customHeight="false" outlineLevel="0" collapsed="false">
      <c r="A490" s="12"/>
      <c r="B490" s="34"/>
      <c r="C490" s="12"/>
      <c r="D490" s="12"/>
      <c r="E490" s="12"/>
      <c r="F490" s="12"/>
      <c r="G490" s="18"/>
      <c r="H490" s="35"/>
      <c r="I490" s="12"/>
      <c r="M490" s="12"/>
      <c r="N490" s="18"/>
      <c r="O490" s="12"/>
      <c r="P490" s="12"/>
      <c r="Q490" s="12"/>
      <c r="R490" s="36"/>
      <c r="S490" s="36"/>
      <c r="T490" s="12"/>
      <c r="U490" s="12"/>
      <c r="V490" s="12"/>
      <c r="W490" s="12"/>
      <c r="X490" s="12"/>
    </row>
    <row r="491" customFormat="false" ht="15.75" hidden="false" customHeight="false" outlineLevel="0" collapsed="false">
      <c r="A491" s="12"/>
      <c r="B491" s="34"/>
      <c r="C491" s="12"/>
      <c r="D491" s="12"/>
      <c r="E491" s="12"/>
      <c r="F491" s="12"/>
      <c r="G491" s="18"/>
      <c r="H491" s="35"/>
      <c r="I491" s="12"/>
      <c r="M491" s="12"/>
      <c r="N491" s="18"/>
      <c r="O491" s="12"/>
      <c r="P491" s="12"/>
      <c r="Q491" s="12"/>
      <c r="R491" s="36"/>
      <c r="S491" s="36"/>
      <c r="T491" s="12"/>
      <c r="U491" s="12"/>
      <c r="V491" s="12"/>
      <c r="W491" s="12"/>
      <c r="X491" s="12"/>
    </row>
    <row r="492" customFormat="false" ht="15.75" hidden="false" customHeight="false" outlineLevel="0" collapsed="false">
      <c r="A492" s="12"/>
      <c r="B492" s="34"/>
      <c r="C492" s="12"/>
      <c r="D492" s="12"/>
      <c r="E492" s="12"/>
      <c r="F492" s="12"/>
      <c r="G492" s="18"/>
      <c r="H492" s="35"/>
      <c r="I492" s="12"/>
      <c r="M492" s="12"/>
      <c r="N492" s="18"/>
      <c r="O492" s="12"/>
      <c r="P492" s="12"/>
      <c r="Q492" s="12"/>
      <c r="R492" s="36"/>
      <c r="S492" s="36"/>
      <c r="T492" s="12"/>
      <c r="U492" s="12"/>
      <c r="V492" s="12"/>
      <c r="W492" s="12"/>
      <c r="X492" s="12"/>
    </row>
    <row r="493" customFormat="false" ht="15.75" hidden="false" customHeight="false" outlineLevel="0" collapsed="false">
      <c r="A493" s="12"/>
      <c r="B493" s="34"/>
      <c r="C493" s="12"/>
      <c r="D493" s="12"/>
      <c r="E493" s="12"/>
      <c r="F493" s="12"/>
      <c r="G493" s="18"/>
      <c r="H493" s="35"/>
      <c r="I493" s="12"/>
      <c r="M493" s="12"/>
      <c r="N493" s="18"/>
      <c r="O493" s="12"/>
      <c r="P493" s="12"/>
      <c r="Q493" s="12"/>
      <c r="R493" s="36"/>
      <c r="S493" s="36"/>
      <c r="T493" s="12"/>
      <c r="U493" s="12"/>
      <c r="V493" s="12"/>
      <c r="W493" s="12"/>
      <c r="X493" s="12"/>
    </row>
    <row r="494" customFormat="false" ht="15.75" hidden="false" customHeight="false" outlineLevel="0" collapsed="false">
      <c r="A494" s="12"/>
      <c r="B494" s="34"/>
      <c r="C494" s="12"/>
      <c r="D494" s="12"/>
      <c r="E494" s="12"/>
      <c r="F494" s="12"/>
      <c r="G494" s="18"/>
      <c r="H494" s="35"/>
      <c r="I494" s="12"/>
      <c r="M494" s="12"/>
      <c r="N494" s="18"/>
      <c r="O494" s="12"/>
      <c r="P494" s="12"/>
      <c r="Q494" s="12"/>
      <c r="R494" s="36"/>
      <c r="S494" s="36"/>
      <c r="T494" s="12"/>
      <c r="U494" s="12"/>
      <c r="V494" s="12"/>
      <c r="W494" s="12"/>
      <c r="X494" s="12"/>
    </row>
    <row r="495" customFormat="false" ht="15.75" hidden="false" customHeight="false" outlineLevel="0" collapsed="false">
      <c r="A495" s="12"/>
      <c r="B495" s="34"/>
      <c r="C495" s="12"/>
      <c r="D495" s="12"/>
      <c r="E495" s="12"/>
      <c r="F495" s="12"/>
      <c r="G495" s="18"/>
      <c r="H495" s="35"/>
      <c r="I495" s="12"/>
      <c r="M495" s="12"/>
      <c r="N495" s="18"/>
      <c r="O495" s="12"/>
      <c r="P495" s="12"/>
      <c r="Q495" s="12"/>
      <c r="R495" s="36"/>
      <c r="S495" s="36"/>
      <c r="T495" s="12"/>
      <c r="U495" s="12"/>
      <c r="V495" s="12"/>
      <c r="W495" s="12"/>
      <c r="X495" s="12"/>
    </row>
    <row r="496" customFormat="false" ht="15.75" hidden="false" customHeight="false" outlineLevel="0" collapsed="false">
      <c r="A496" s="12"/>
      <c r="B496" s="34"/>
      <c r="C496" s="12"/>
      <c r="D496" s="12"/>
      <c r="E496" s="12"/>
      <c r="F496" s="12"/>
      <c r="G496" s="18"/>
      <c r="H496" s="35"/>
      <c r="I496" s="12"/>
      <c r="M496" s="12"/>
      <c r="N496" s="18"/>
      <c r="O496" s="12"/>
      <c r="P496" s="12"/>
      <c r="Q496" s="12"/>
      <c r="R496" s="36"/>
      <c r="S496" s="36"/>
      <c r="T496" s="12"/>
      <c r="U496" s="12"/>
      <c r="V496" s="12"/>
      <c r="W496" s="12"/>
      <c r="X496" s="12"/>
    </row>
    <row r="497" customFormat="false" ht="15.75" hidden="false" customHeight="false" outlineLevel="0" collapsed="false">
      <c r="A497" s="12"/>
      <c r="B497" s="34"/>
      <c r="C497" s="12"/>
      <c r="D497" s="12"/>
      <c r="E497" s="12"/>
      <c r="F497" s="12"/>
      <c r="G497" s="18"/>
      <c r="H497" s="35"/>
      <c r="I497" s="12"/>
      <c r="M497" s="12"/>
      <c r="N497" s="18"/>
      <c r="O497" s="12"/>
      <c r="P497" s="12"/>
      <c r="Q497" s="12"/>
      <c r="R497" s="36"/>
      <c r="S497" s="36"/>
      <c r="T497" s="12"/>
      <c r="U497" s="12"/>
      <c r="V497" s="12"/>
      <c r="W497" s="12"/>
      <c r="X497" s="12"/>
    </row>
    <row r="498" customFormat="false" ht="15.75" hidden="false" customHeight="false" outlineLevel="0" collapsed="false">
      <c r="A498" s="12"/>
      <c r="B498" s="34"/>
      <c r="C498" s="12"/>
      <c r="D498" s="12"/>
      <c r="E498" s="12"/>
      <c r="F498" s="12"/>
      <c r="G498" s="18"/>
      <c r="H498" s="35"/>
      <c r="I498" s="12"/>
      <c r="M498" s="12"/>
      <c r="N498" s="18"/>
      <c r="O498" s="12"/>
      <c r="P498" s="12"/>
      <c r="Q498" s="12"/>
      <c r="R498" s="36"/>
      <c r="S498" s="36"/>
      <c r="T498" s="12"/>
      <c r="U498" s="12"/>
      <c r="V498" s="12"/>
      <c r="W498" s="12"/>
      <c r="X498" s="12"/>
    </row>
    <row r="499" customFormat="false" ht="15.75" hidden="false" customHeight="false" outlineLevel="0" collapsed="false">
      <c r="A499" s="12"/>
      <c r="B499" s="34"/>
      <c r="C499" s="12"/>
      <c r="D499" s="12"/>
      <c r="E499" s="12"/>
      <c r="F499" s="12"/>
      <c r="G499" s="18"/>
      <c r="H499" s="35"/>
      <c r="I499" s="12"/>
      <c r="M499" s="12"/>
      <c r="N499" s="18"/>
      <c r="O499" s="12"/>
      <c r="P499" s="12"/>
      <c r="Q499" s="12"/>
      <c r="R499" s="36"/>
      <c r="S499" s="36"/>
      <c r="T499" s="12"/>
      <c r="U499" s="12"/>
      <c r="V499" s="12"/>
      <c r="W499" s="12"/>
      <c r="X499" s="12"/>
    </row>
    <row r="500" customFormat="false" ht="15.75" hidden="false" customHeight="false" outlineLevel="0" collapsed="false">
      <c r="A500" s="12"/>
      <c r="B500" s="34"/>
      <c r="C500" s="12"/>
      <c r="D500" s="12"/>
      <c r="E500" s="12"/>
      <c r="F500" s="12"/>
      <c r="G500" s="18"/>
      <c r="H500" s="35"/>
      <c r="I500" s="12"/>
      <c r="M500" s="12"/>
      <c r="N500" s="18"/>
      <c r="O500" s="12"/>
      <c r="P500" s="12"/>
      <c r="Q500" s="12"/>
      <c r="R500" s="36"/>
      <c r="S500" s="36"/>
      <c r="T500" s="12"/>
      <c r="U500" s="12"/>
      <c r="V500" s="12"/>
      <c r="W500" s="12"/>
      <c r="X500" s="12"/>
    </row>
    <row r="501" customFormat="false" ht="15.75" hidden="false" customHeight="false" outlineLevel="0" collapsed="false">
      <c r="A501" s="12"/>
      <c r="B501" s="34"/>
      <c r="C501" s="12"/>
      <c r="D501" s="12"/>
      <c r="E501" s="12"/>
      <c r="F501" s="12"/>
      <c r="G501" s="18"/>
      <c r="H501" s="35"/>
      <c r="I501" s="12"/>
      <c r="M501" s="12"/>
      <c r="N501" s="18"/>
      <c r="O501" s="12"/>
      <c r="P501" s="12"/>
      <c r="Q501" s="12"/>
      <c r="R501" s="36"/>
      <c r="S501" s="36"/>
      <c r="T501" s="12"/>
      <c r="U501" s="12"/>
      <c r="V501" s="12"/>
      <c r="W501" s="12"/>
      <c r="X501" s="12"/>
    </row>
    <row r="502" customFormat="false" ht="15.75" hidden="false" customHeight="false" outlineLevel="0" collapsed="false">
      <c r="A502" s="12"/>
      <c r="B502" s="34"/>
      <c r="C502" s="12"/>
      <c r="D502" s="12"/>
      <c r="E502" s="12"/>
      <c r="F502" s="12"/>
      <c r="G502" s="18"/>
      <c r="H502" s="35"/>
      <c r="I502" s="12"/>
      <c r="M502" s="12"/>
      <c r="N502" s="18"/>
      <c r="O502" s="12"/>
      <c r="P502" s="12"/>
      <c r="Q502" s="12"/>
      <c r="R502" s="36"/>
      <c r="S502" s="36"/>
      <c r="T502" s="12"/>
      <c r="U502" s="12"/>
      <c r="V502" s="12"/>
      <c r="W502" s="12"/>
      <c r="X502" s="12"/>
    </row>
    <row r="503" customFormat="false" ht="15.75" hidden="false" customHeight="false" outlineLevel="0" collapsed="false">
      <c r="A503" s="12"/>
      <c r="B503" s="34"/>
      <c r="C503" s="12"/>
      <c r="D503" s="12"/>
      <c r="E503" s="12"/>
      <c r="F503" s="12"/>
      <c r="G503" s="18"/>
      <c r="H503" s="35"/>
      <c r="I503" s="12"/>
      <c r="M503" s="12"/>
      <c r="N503" s="18"/>
      <c r="O503" s="12"/>
      <c r="P503" s="12"/>
      <c r="Q503" s="12"/>
      <c r="R503" s="36"/>
      <c r="S503" s="36"/>
      <c r="T503" s="12"/>
      <c r="U503" s="12"/>
      <c r="V503" s="12"/>
      <c r="W503" s="12"/>
      <c r="X503" s="12"/>
    </row>
    <row r="504" customFormat="false" ht="15.75" hidden="false" customHeight="false" outlineLevel="0" collapsed="false">
      <c r="A504" s="12"/>
      <c r="B504" s="34"/>
      <c r="C504" s="12"/>
      <c r="D504" s="12"/>
      <c r="E504" s="12"/>
      <c r="F504" s="12"/>
      <c r="G504" s="18"/>
      <c r="H504" s="35"/>
      <c r="I504" s="12"/>
      <c r="M504" s="12"/>
      <c r="N504" s="18"/>
      <c r="O504" s="12"/>
      <c r="P504" s="12"/>
      <c r="Q504" s="12"/>
      <c r="R504" s="36"/>
      <c r="S504" s="36"/>
      <c r="T504" s="12"/>
      <c r="U504" s="12"/>
      <c r="V504" s="12"/>
      <c r="W504" s="12"/>
      <c r="X504" s="12"/>
    </row>
    <row r="505" customFormat="false" ht="15.75" hidden="false" customHeight="false" outlineLevel="0" collapsed="false">
      <c r="A505" s="12"/>
      <c r="B505" s="34"/>
      <c r="C505" s="12"/>
      <c r="D505" s="12"/>
      <c r="E505" s="12"/>
      <c r="F505" s="12"/>
      <c r="G505" s="18"/>
      <c r="H505" s="35"/>
      <c r="I505" s="12"/>
      <c r="M505" s="12"/>
      <c r="N505" s="18"/>
      <c r="O505" s="12"/>
      <c r="P505" s="12"/>
      <c r="Q505" s="12"/>
      <c r="R505" s="36"/>
      <c r="S505" s="36"/>
      <c r="T505" s="12"/>
      <c r="U505" s="12"/>
      <c r="V505" s="12"/>
      <c r="W505" s="12"/>
      <c r="X505" s="12"/>
    </row>
    <row r="506" customFormat="false" ht="15.75" hidden="false" customHeight="false" outlineLevel="0" collapsed="false">
      <c r="A506" s="12"/>
      <c r="B506" s="34"/>
      <c r="C506" s="12"/>
      <c r="D506" s="12"/>
      <c r="E506" s="12"/>
      <c r="F506" s="12"/>
      <c r="G506" s="18"/>
      <c r="H506" s="35"/>
      <c r="I506" s="12"/>
      <c r="M506" s="12"/>
      <c r="N506" s="18"/>
      <c r="O506" s="12"/>
      <c r="P506" s="12"/>
      <c r="Q506" s="12"/>
      <c r="R506" s="36"/>
      <c r="S506" s="36"/>
      <c r="T506" s="12"/>
      <c r="U506" s="12"/>
      <c r="V506" s="12"/>
      <c r="W506" s="12"/>
      <c r="X506" s="12"/>
    </row>
    <row r="507" customFormat="false" ht="15.75" hidden="false" customHeight="false" outlineLevel="0" collapsed="false">
      <c r="A507" s="12"/>
      <c r="B507" s="34"/>
      <c r="C507" s="12"/>
      <c r="D507" s="12"/>
      <c r="E507" s="12"/>
      <c r="F507" s="12"/>
      <c r="G507" s="18"/>
      <c r="H507" s="35"/>
      <c r="I507" s="12"/>
      <c r="M507" s="12"/>
      <c r="N507" s="18"/>
      <c r="O507" s="12"/>
      <c r="P507" s="12"/>
      <c r="Q507" s="12"/>
      <c r="R507" s="36"/>
      <c r="S507" s="36"/>
      <c r="T507" s="12"/>
      <c r="U507" s="12"/>
      <c r="V507" s="12"/>
      <c r="W507" s="12"/>
      <c r="X507" s="12"/>
    </row>
    <row r="508" customFormat="false" ht="15.75" hidden="false" customHeight="false" outlineLevel="0" collapsed="false">
      <c r="A508" s="12"/>
      <c r="B508" s="34"/>
      <c r="C508" s="12"/>
      <c r="D508" s="12"/>
      <c r="E508" s="12"/>
      <c r="F508" s="12"/>
      <c r="G508" s="18"/>
      <c r="H508" s="35"/>
      <c r="I508" s="12"/>
      <c r="M508" s="12"/>
      <c r="N508" s="18"/>
      <c r="O508" s="12"/>
      <c r="P508" s="12"/>
      <c r="Q508" s="12"/>
      <c r="R508" s="36"/>
      <c r="S508" s="36"/>
      <c r="T508" s="12"/>
      <c r="U508" s="12"/>
      <c r="V508" s="12"/>
      <c r="W508" s="12"/>
      <c r="X508" s="12"/>
    </row>
    <row r="509" customFormat="false" ht="15.75" hidden="false" customHeight="false" outlineLevel="0" collapsed="false">
      <c r="A509" s="12"/>
      <c r="B509" s="34"/>
      <c r="C509" s="12"/>
      <c r="D509" s="12"/>
      <c r="E509" s="12"/>
      <c r="F509" s="12"/>
      <c r="G509" s="18"/>
      <c r="H509" s="35"/>
      <c r="I509" s="12"/>
      <c r="M509" s="12"/>
      <c r="N509" s="18"/>
      <c r="O509" s="12"/>
      <c r="P509" s="12"/>
      <c r="Q509" s="12"/>
      <c r="R509" s="36"/>
      <c r="S509" s="36"/>
      <c r="T509" s="12"/>
      <c r="U509" s="12"/>
      <c r="V509" s="12"/>
      <c r="W509" s="12"/>
      <c r="X509" s="12"/>
    </row>
    <row r="510" customFormat="false" ht="15.75" hidden="false" customHeight="false" outlineLevel="0" collapsed="false">
      <c r="A510" s="12"/>
      <c r="B510" s="34"/>
      <c r="C510" s="12"/>
      <c r="D510" s="12"/>
      <c r="E510" s="12"/>
      <c r="F510" s="12"/>
      <c r="G510" s="18"/>
      <c r="H510" s="35"/>
      <c r="I510" s="12"/>
      <c r="M510" s="12"/>
      <c r="N510" s="18"/>
      <c r="O510" s="12"/>
      <c r="P510" s="12"/>
      <c r="Q510" s="12"/>
      <c r="R510" s="36"/>
      <c r="S510" s="36"/>
      <c r="T510" s="12"/>
      <c r="U510" s="12"/>
      <c r="V510" s="12"/>
      <c r="W510" s="12"/>
      <c r="X510" s="12"/>
    </row>
    <row r="511" customFormat="false" ht="15.75" hidden="false" customHeight="false" outlineLevel="0" collapsed="false">
      <c r="A511" s="12"/>
      <c r="B511" s="34"/>
      <c r="C511" s="12"/>
      <c r="D511" s="12"/>
      <c r="E511" s="12"/>
      <c r="F511" s="12"/>
      <c r="G511" s="18"/>
      <c r="H511" s="35"/>
      <c r="I511" s="12"/>
      <c r="M511" s="12"/>
      <c r="N511" s="18"/>
      <c r="O511" s="12"/>
      <c r="P511" s="12"/>
      <c r="Q511" s="12"/>
      <c r="R511" s="36"/>
      <c r="S511" s="36"/>
      <c r="T511" s="12"/>
      <c r="U511" s="12"/>
      <c r="V511" s="12"/>
      <c r="W511" s="12"/>
      <c r="X511" s="12"/>
    </row>
    <row r="512" customFormat="false" ht="15.75" hidden="false" customHeight="false" outlineLevel="0" collapsed="false">
      <c r="A512" s="12"/>
      <c r="B512" s="34"/>
      <c r="C512" s="12"/>
      <c r="D512" s="12"/>
      <c r="E512" s="12"/>
      <c r="F512" s="12"/>
      <c r="G512" s="18"/>
      <c r="H512" s="35"/>
      <c r="I512" s="12"/>
      <c r="M512" s="12"/>
      <c r="N512" s="18"/>
      <c r="O512" s="12"/>
      <c r="P512" s="12"/>
      <c r="Q512" s="12"/>
      <c r="R512" s="36"/>
      <c r="S512" s="36"/>
      <c r="T512" s="12"/>
      <c r="U512" s="12"/>
      <c r="V512" s="12"/>
      <c r="W512" s="12"/>
      <c r="X512" s="12"/>
    </row>
    <row r="513" customFormat="false" ht="15.75" hidden="false" customHeight="false" outlineLevel="0" collapsed="false">
      <c r="A513" s="12"/>
      <c r="B513" s="34"/>
      <c r="C513" s="12"/>
      <c r="D513" s="12"/>
      <c r="E513" s="12"/>
      <c r="F513" s="12"/>
      <c r="G513" s="18"/>
      <c r="H513" s="35"/>
      <c r="I513" s="12"/>
      <c r="M513" s="12"/>
      <c r="N513" s="18"/>
      <c r="O513" s="12"/>
      <c r="P513" s="12"/>
      <c r="Q513" s="12"/>
      <c r="R513" s="36"/>
      <c r="S513" s="36"/>
      <c r="T513" s="12"/>
      <c r="U513" s="12"/>
      <c r="V513" s="12"/>
      <c r="W513" s="12"/>
      <c r="X513" s="12"/>
    </row>
    <row r="514" customFormat="false" ht="15.75" hidden="false" customHeight="false" outlineLevel="0" collapsed="false">
      <c r="A514" s="12"/>
      <c r="B514" s="34"/>
      <c r="C514" s="12"/>
      <c r="D514" s="12"/>
      <c r="E514" s="12"/>
      <c r="F514" s="12"/>
      <c r="G514" s="18"/>
      <c r="H514" s="35"/>
      <c r="I514" s="12"/>
      <c r="M514" s="12"/>
      <c r="N514" s="18"/>
      <c r="O514" s="12"/>
      <c r="P514" s="12"/>
      <c r="Q514" s="12"/>
      <c r="R514" s="36"/>
      <c r="S514" s="36"/>
      <c r="T514" s="12"/>
      <c r="U514" s="12"/>
      <c r="V514" s="12"/>
      <c r="W514" s="12"/>
      <c r="X514" s="12"/>
    </row>
    <row r="515" customFormat="false" ht="15.75" hidden="false" customHeight="false" outlineLevel="0" collapsed="false">
      <c r="A515" s="12"/>
      <c r="B515" s="34"/>
      <c r="C515" s="12"/>
      <c r="D515" s="12"/>
      <c r="E515" s="12"/>
      <c r="F515" s="12"/>
      <c r="G515" s="18"/>
      <c r="H515" s="35"/>
      <c r="I515" s="12"/>
      <c r="M515" s="12"/>
      <c r="N515" s="18"/>
      <c r="O515" s="12"/>
      <c r="P515" s="12"/>
      <c r="Q515" s="12"/>
      <c r="R515" s="36"/>
      <c r="S515" s="36"/>
      <c r="T515" s="12"/>
      <c r="U515" s="12"/>
      <c r="V515" s="12"/>
      <c r="W515" s="12"/>
      <c r="X515" s="12"/>
    </row>
    <row r="516" customFormat="false" ht="15.75" hidden="false" customHeight="false" outlineLevel="0" collapsed="false">
      <c r="A516" s="12"/>
      <c r="B516" s="34"/>
      <c r="C516" s="12"/>
      <c r="D516" s="12"/>
      <c r="E516" s="12"/>
      <c r="F516" s="12"/>
      <c r="G516" s="18"/>
      <c r="H516" s="35"/>
      <c r="I516" s="12"/>
      <c r="M516" s="12"/>
      <c r="N516" s="18"/>
      <c r="O516" s="12"/>
      <c r="P516" s="12"/>
      <c r="Q516" s="12"/>
      <c r="R516" s="36"/>
      <c r="S516" s="36"/>
      <c r="T516" s="12"/>
      <c r="U516" s="12"/>
      <c r="V516" s="12"/>
      <c r="W516" s="12"/>
      <c r="X516" s="12"/>
    </row>
    <row r="517" customFormat="false" ht="15.75" hidden="false" customHeight="false" outlineLevel="0" collapsed="false">
      <c r="A517" s="12"/>
      <c r="B517" s="34"/>
      <c r="C517" s="12"/>
      <c r="D517" s="12"/>
      <c r="E517" s="12"/>
      <c r="F517" s="12"/>
      <c r="G517" s="18"/>
      <c r="H517" s="35"/>
      <c r="I517" s="12"/>
      <c r="M517" s="12"/>
      <c r="N517" s="18"/>
      <c r="O517" s="12"/>
      <c r="P517" s="12"/>
      <c r="Q517" s="12"/>
      <c r="R517" s="36"/>
      <c r="S517" s="36"/>
      <c r="T517" s="12"/>
      <c r="U517" s="12"/>
      <c r="V517" s="12"/>
      <c r="W517" s="12"/>
      <c r="X517" s="12"/>
    </row>
    <row r="518" customFormat="false" ht="15.75" hidden="false" customHeight="false" outlineLevel="0" collapsed="false">
      <c r="A518" s="12"/>
      <c r="B518" s="34"/>
      <c r="C518" s="12"/>
      <c r="D518" s="12"/>
      <c r="E518" s="12"/>
      <c r="F518" s="12"/>
      <c r="G518" s="18"/>
      <c r="H518" s="35"/>
      <c r="I518" s="12"/>
      <c r="M518" s="12"/>
      <c r="N518" s="18"/>
      <c r="O518" s="12"/>
      <c r="P518" s="12"/>
      <c r="Q518" s="12"/>
      <c r="R518" s="36"/>
      <c r="S518" s="36"/>
      <c r="T518" s="12"/>
      <c r="U518" s="12"/>
      <c r="V518" s="12"/>
      <c r="W518" s="12"/>
      <c r="X518" s="12"/>
    </row>
    <row r="519" customFormat="false" ht="15.75" hidden="false" customHeight="false" outlineLevel="0" collapsed="false">
      <c r="A519" s="12"/>
      <c r="B519" s="34"/>
      <c r="C519" s="12"/>
      <c r="D519" s="12"/>
      <c r="E519" s="12"/>
      <c r="F519" s="12"/>
      <c r="G519" s="18"/>
      <c r="H519" s="35"/>
      <c r="I519" s="12"/>
      <c r="M519" s="12"/>
      <c r="N519" s="18"/>
      <c r="O519" s="12"/>
      <c r="P519" s="12"/>
      <c r="Q519" s="12"/>
      <c r="R519" s="36"/>
      <c r="S519" s="36"/>
      <c r="T519" s="12"/>
      <c r="U519" s="12"/>
      <c r="V519" s="12"/>
      <c r="W519" s="12"/>
      <c r="X519" s="12"/>
    </row>
    <row r="520" customFormat="false" ht="15.75" hidden="false" customHeight="false" outlineLevel="0" collapsed="false">
      <c r="A520" s="12"/>
      <c r="B520" s="34"/>
      <c r="C520" s="12"/>
      <c r="D520" s="12"/>
      <c r="E520" s="12"/>
      <c r="F520" s="12"/>
      <c r="G520" s="18"/>
      <c r="H520" s="35"/>
      <c r="I520" s="12"/>
      <c r="M520" s="12"/>
      <c r="N520" s="18"/>
      <c r="O520" s="12"/>
      <c r="P520" s="12"/>
      <c r="Q520" s="12"/>
      <c r="R520" s="36"/>
      <c r="S520" s="36"/>
      <c r="T520" s="12"/>
      <c r="U520" s="12"/>
      <c r="V520" s="12"/>
      <c r="W520" s="12"/>
      <c r="X520" s="12"/>
    </row>
    <row r="521" customFormat="false" ht="15.75" hidden="false" customHeight="false" outlineLevel="0" collapsed="false">
      <c r="A521" s="12"/>
      <c r="B521" s="34"/>
      <c r="C521" s="12"/>
      <c r="D521" s="12"/>
      <c r="E521" s="12"/>
      <c r="F521" s="12"/>
      <c r="G521" s="18"/>
      <c r="H521" s="35"/>
      <c r="I521" s="12"/>
      <c r="M521" s="12"/>
      <c r="N521" s="18"/>
      <c r="O521" s="12"/>
      <c r="P521" s="12"/>
      <c r="Q521" s="12"/>
      <c r="R521" s="36"/>
      <c r="S521" s="36"/>
      <c r="T521" s="12"/>
      <c r="U521" s="12"/>
      <c r="V521" s="12"/>
      <c r="W521" s="12"/>
      <c r="X521" s="12"/>
    </row>
    <row r="522" customFormat="false" ht="15.75" hidden="false" customHeight="false" outlineLevel="0" collapsed="false">
      <c r="A522" s="12"/>
      <c r="B522" s="34"/>
      <c r="C522" s="12"/>
      <c r="D522" s="12"/>
      <c r="E522" s="12"/>
      <c r="F522" s="12"/>
      <c r="G522" s="18"/>
      <c r="H522" s="35"/>
      <c r="I522" s="12"/>
      <c r="M522" s="12"/>
      <c r="N522" s="18"/>
      <c r="O522" s="12"/>
      <c r="P522" s="12"/>
      <c r="Q522" s="12"/>
      <c r="R522" s="36"/>
      <c r="S522" s="36"/>
      <c r="T522" s="12"/>
      <c r="U522" s="12"/>
      <c r="V522" s="12"/>
      <c r="W522" s="12"/>
      <c r="X522" s="12"/>
    </row>
    <row r="523" customFormat="false" ht="15.75" hidden="false" customHeight="false" outlineLevel="0" collapsed="false">
      <c r="A523" s="12"/>
      <c r="B523" s="34"/>
      <c r="C523" s="12"/>
      <c r="D523" s="12"/>
      <c r="E523" s="12"/>
      <c r="F523" s="12"/>
      <c r="G523" s="18"/>
      <c r="H523" s="35"/>
      <c r="I523" s="12"/>
      <c r="M523" s="12"/>
      <c r="N523" s="18"/>
      <c r="O523" s="12"/>
      <c r="P523" s="12"/>
      <c r="Q523" s="12"/>
      <c r="R523" s="36"/>
      <c r="S523" s="36"/>
      <c r="T523" s="12"/>
      <c r="U523" s="12"/>
      <c r="V523" s="12"/>
      <c r="W523" s="12"/>
      <c r="X523" s="12"/>
    </row>
    <row r="524" customFormat="false" ht="15.75" hidden="false" customHeight="false" outlineLevel="0" collapsed="false">
      <c r="A524" s="12"/>
      <c r="B524" s="34"/>
      <c r="C524" s="12"/>
      <c r="D524" s="12"/>
      <c r="E524" s="12"/>
      <c r="F524" s="12"/>
      <c r="G524" s="18"/>
      <c r="H524" s="35"/>
      <c r="I524" s="12"/>
      <c r="M524" s="12"/>
      <c r="N524" s="18"/>
      <c r="O524" s="12"/>
      <c r="P524" s="12"/>
      <c r="Q524" s="12"/>
      <c r="R524" s="36"/>
      <c r="S524" s="36"/>
      <c r="T524" s="12"/>
      <c r="U524" s="12"/>
      <c r="V524" s="12"/>
      <c r="W524" s="12"/>
      <c r="X524" s="12"/>
    </row>
    <row r="525" customFormat="false" ht="15.75" hidden="false" customHeight="false" outlineLevel="0" collapsed="false">
      <c r="A525" s="12"/>
      <c r="B525" s="34"/>
      <c r="C525" s="12"/>
      <c r="D525" s="12"/>
      <c r="E525" s="12"/>
      <c r="F525" s="12"/>
      <c r="G525" s="18"/>
      <c r="H525" s="35"/>
      <c r="I525" s="12"/>
      <c r="M525" s="12"/>
      <c r="N525" s="18"/>
      <c r="O525" s="12"/>
      <c r="P525" s="12"/>
      <c r="Q525" s="12"/>
      <c r="R525" s="36"/>
      <c r="S525" s="36"/>
      <c r="T525" s="12"/>
      <c r="U525" s="12"/>
      <c r="V525" s="12"/>
      <c r="W525" s="12"/>
      <c r="X525" s="12"/>
    </row>
    <row r="526" customFormat="false" ht="15.75" hidden="false" customHeight="false" outlineLevel="0" collapsed="false">
      <c r="A526" s="12"/>
      <c r="B526" s="34"/>
      <c r="C526" s="12"/>
      <c r="D526" s="12"/>
      <c r="E526" s="12"/>
      <c r="F526" s="12"/>
      <c r="G526" s="18"/>
      <c r="H526" s="35"/>
      <c r="I526" s="12"/>
      <c r="M526" s="12"/>
      <c r="N526" s="18"/>
      <c r="O526" s="12"/>
      <c r="P526" s="12"/>
      <c r="Q526" s="12"/>
      <c r="R526" s="36"/>
      <c r="S526" s="36"/>
      <c r="T526" s="12"/>
      <c r="U526" s="12"/>
      <c r="V526" s="12"/>
      <c r="W526" s="12"/>
      <c r="X526" s="12"/>
    </row>
    <row r="527" customFormat="false" ht="15.75" hidden="false" customHeight="false" outlineLevel="0" collapsed="false">
      <c r="A527" s="12"/>
      <c r="B527" s="34"/>
      <c r="C527" s="12"/>
      <c r="D527" s="12"/>
      <c r="E527" s="12"/>
      <c r="F527" s="12"/>
      <c r="G527" s="18"/>
      <c r="H527" s="35"/>
      <c r="I527" s="12"/>
      <c r="M527" s="12"/>
      <c r="N527" s="18"/>
      <c r="O527" s="12"/>
      <c r="P527" s="12"/>
      <c r="Q527" s="12"/>
      <c r="R527" s="36"/>
      <c r="S527" s="36"/>
      <c r="T527" s="12"/>
      <c r="U527" s="12"/>
      <c r="V527" s="12"/>
      <c r="W527" s="12"/>
      <c r="X527" s="12"/>
    </row>
    <row r="528" customFormat="false" ht="15.75" hidden="false" customHeight="false" outlineLevel="0" collapsed="false">
      <c r="A528" s="12"/>
      <c r="B528" s="34"/>
      <c r="C528" s="12"/>
      <c r="D528" s="12"/>
      <c r="E528" s="12"/>
      <c r="F528" s="12"/>
      <c r="G528" s="18"/>
      <c r="H528" s="35"/>
      <c r="I528" s="12"/>
      <c r="M528" s="12"/>
      <c r="N528" s="18"/>
      <c r="O528" s="12"/>
      <c r="P528" s="12"/>
      <c r="Q528" s="12"/>
      <c r="R528" s="36"/>
      <c r="S528" s="36"/>
      <c r="T528" s="12"/>
      <c r="U528" s="12"/>
      <c r="V528" s="12"/>
      <c r="W528" s="12"/>
      <c r="X528" s="12"/>
    </row>
    <row r="529" customFormat="false" ht="15.75" hidden="false" customHeight="false" outlineLevel="0" collapsed="false">
      <c r="A529" s="12"/>
      <c r="B529" s="34"/>
      <c r="C529" s="12"/>
      <c r="D529" s="12"/>
      <c r="E529" s="12"/>
      <c r="F529" s="12"/>
      <c r="G529" s="18"/>
      <c r="H529" s="35"/>
      <c r="I529" s="12"/>
      <c r="M529" s="12"/>
      <c r="N529" s="18"/>
      <c r="O529" s="12"/>
      <c r="P529" s="12"/>
      <c r="Q529" s="12"/>
      <c r="R529" s="36"/>
      <c r="S529" s="36"/>
      <c r="T529" s="12"/>
      <c r="U529" s="12"/>
      <c r="V529" s="12"/>
      <c r="W529" s="12"/>
      <c r="X529" s="12"/>
    </row>
    <row r="530" customFormat="false" ht="15.75" hidden="false" customHeight="false" outlineLevel="0" collapsed="false">
      <c r="A530" s="12"/>
      <c r="B530" s="34"/>
      <c r="C530" s="12"/>
      <c r="D530" s="12"/>
      <c r="E530" s="12"/>
      <c r="F530" s="12"/>
      <c r="G530" s="18"/>
      <c r="H530" s="35"/>
      <c r="I530" s="12"/>
      <c r="M530" s="12"/>
      <c r="N530" s="18"/>
      <c r="O530" s="12"/>
      <c r="P530" s="12"/>
      <c r="Q530" s="12"/>
      <c r="R530" s="36"/>
      <c r="S530" s="36"/>
      <c r="T530" s="12"/>
      <c r="U530" s="12"/>
      <c r="V530" s="12"/>
      <c r="W530" s="12"/>
      <c r="X530" s="12"/>
    </row>
    <row r="531" customFormat="false" ht="15.75" hidden="false" customHeight="false" outlineLevel="0" collapsed="false">
      <c r="A531" s="12"/>
      <c r="B531" s="34"/>
      <c r="C531" s="12"/>
      <c r="D531" s="12"/>
      <c r="E531" s="12"/>
      <c r="F531" s="12"/>
      <c r="G531" s="18"/>
      <c r="H531" s="35"/>
      <c r="I531" s="12"/>
      <c r="M531" s="12"/>
      <c r="N531" s="18"/>
      <c r="O531" s="12"/>
      <c r="P531" s="12"/>
      <c r="Q531" s="12"/>
      <c r="R531" s="36"/>
      <c r="S531" s="36"/>
      <c r="T531" s="12"/>
      <c r="U531" s="12"/>
      <c r="V531" s="12"/>
      <c r="W531" s="12"/>
      <c r="X531" s="12"/>
    </row>
    <row r="532" customFormat="false" ht="15.75" hidden="false" customHeight="false" outlineLevel="0" collapsed="false">
      <c r="A532" s="12"/>
      <c r="B532" s="34"/>
      <c r="C532" s="12"/>
      <c r="D532" s="12"/>
      <c r="E532" s="12"/>
      <c r="F532" s="12"/>
      <c r="G532" s="18"/>
      <c r="H532" s="35"/>
      <c r="I532" s="12"/>
      <c r="M532" s="12"/>
      <c r="N532" s="18"/>
      <c r="O532" s="12"/>
      <c r="P532" s="12"/>
      <c r="Q532" s="12"/>
      <c r="R532" s="36"/>
      <c r="S532" s="36"/>
      <c r="T532" s="12"/>
      <c r="U532" s="12"/>
      <c r="V532" s="12"/>
      <c r="W532" s="12"/>
      <c r="X532" s="12"/>
    </row>
    <row r="533" customFormat="false" ht="15.75" hidden="false" customHeight="false" outlineLevel="0" collapsed="false">
      <c r="A533" s="12"/>
      <c r="B533" s="34"/>
      <c r="C533" s="12"/>
      <c r="D533" s="12"/>
      <c r="E533" s="12"/>
      <c r="F533" s="12"/>
      <c r="G533" s="18"/>
      <c r="H533" s="35"/>
      <c r="I533" s="12"/>
      <c r="M533" s="12"/>
      <c r="N533" s="18"/>
      <c r="O533" s="12"/>
      <c r="P533" s="12"/>
      <c r="Q533" s="12"/>
      <c r="R533" s="36"/>
      <c r="S533" s="36"/>
      <c r="T533" s="12"/>
      <c r="U533" s="12"/>
      <c r="V533" s="12"/>
      <c r="W533" s="12"/>
      <c r="X533" s="12"/>
    </row>
    <row r="534" customFormat="false" ht="15.75" hidden="false" customHeight="false" outlineLevel="0" collapsed="false">
      <c r="A534" s="12"/>
      <c r="B534" s="34"/>
      <c r="C534" s="12"/>
      <c r="D534" s="12"/>
      <c r="E534" s="12"/>
      <c r="F534" s="12"/>
      <c r="G534" s="18"/>
      <c r="H534" s="35"/>
      <c r="I534" s="12"/>
      <c r="M534" s="12"/>
      <c r="N534" s="18"/>
      <c r="O534" s="12"/>
      <c r="P534" s="12"/>
      <c r="Q534" s="12"/>
      <c r="R534" s="36"/>
      <c r="S534" s="36"/>
      <c r="T534" s="12"/>
      <c r="U534" s="12"/>
      <c r="V534" s="12"/>
      <c r="W534" s="12"/>
      <c r="X534" s="12"/>
    </row>
    <row r="535" customFormat="false" ht="15.75" hidden="false" customHeight="false" outlineLevel="0" collapsed="false">
      <c r="A535" s="12"/>
      <c r="B535" s="34"/>
      <c r="C535" s="12"/>
      <c r="D535" s="12"/>
      <c r="E535" s="12"/>
      <c r="F535" s="12"/>
      <c r="G535" s="18"/>
      <c r="H535" s="35"/>
      <c r="I535" s="12"/>
      <c r="M535" s="12"/>
      <c r="N535" s="18"/>
      <c r="O535" s="12"/>
      <c r="P535" s="12"/>
      <c r="Q535" s="12"/>
      <c r="R535" s="36"/>
      <c r="S535" s="36"/>
      <c r="T535" s="12"/>
      <c r="U535" s="12"/>
      <c r="V535" s="12"/>
      <c r="W535" s="12"/>
      <c r="X535" s="12"/>
    </row>
    <row r="536" customFormat="false" ht="15.75" hidden="false" customHeight="false" outlineLevel="0" collapsed="false">
      <c r="A536" s="12"/>
      <c r="B536" s="34"/>
      <c r="C536" s="12"/>
      <c r="D536" s="12"/>
      <c r="E536" s="12"/>
      <c r="F536" s="12"/>
      <c r="G536" s="18"/>
      <c r="H536" s="35"/>
      <c r="I536" s="12"/>
      <c r="M536" s="12"/>
      <c r="N536" s="18"/>
      <c r="O536" s="12"/>
      <c r="P536" s="12"/>
      <c r="Q536" s="12"/>
      <c r="R536" s="36"/>
      <c r="S536" s="36"/>
      <c r="T536" s="12"/>
      <c r="U536" s="12"/>
      <c r="V536" s="12"/>
      <c r="W536" s="12"/>
      <c r="X536" s="12"/>
    </row>
    <row r="537" customFormat="false" ht="15.75" hidden="false" customHeight="false" outlineLevel="0" collapsed="false">
      <c r="A537" s="12"/>
      <c r="B537" s="34"/>
      <c r="C537" s="12"/>
      <c r="D537" s="12"/>
      <c r="E537" s="12"/>
      <c r="F537" s="12"/>
      <c r="G537" s="18"/>
      <c r="H537" s="35"/>
      <c r="I537" s="12"/>
      <c r="M537" s="12"/>
      <c r="N537" s="18"/>
      <c r="O537" s="12"/>
      <c r="P537" s="12"/>
      <c r="Q537" s="12"/>
      <c r="R537" s="36"/>
      <c r="S537" s="36"/>
      <c r="T537" s="12"/>
      <c r="U537" s="12"/>
      <c r="V537" s="12"/>
      <c r="W537" s="12"/>
      <c r="X537" s="12"/>
    </row>
    <row r="538" customFormat="false" ht="15.75" hidden="false" customHeight="false" outlineLevel="0" collapsed="false">
      <c r="A538" s="12"/>
      <c r="B538" s="34"/>
      <c r="C538" s="12"/>
      <c r="D538" s="12"/>
      <c r="E538" s="12"/>
      <c r="F538" s="12"/>
      <c r="G538" s="18"/>
      <c r="H538" s="35"/>
      <c r="I538" s="12"/>
      <c r="M538" s="12"/>
      <c r="N538" s="18"/>
      <c r="O538" s="12"/>
      <c r="P538" s="12"/>
      <c r="Q538" s="12"/>
      <c r="R538" s="36"/>
      <c r="S538" s="36"/>
      <c r="T538" s="12"/>
      <c r="U538" s="12"/>
      <c r="V538" s="12"/>
      <c r="W538" s="12"/>
      <c r="X538" s="12"/>
    </row>
    <row r="539" customFormat="false" ht="15.75" hidden="false" customHeight="false" outlineLevel="0" collapsed="false">
      <c r="A539" s="12"/>
      <c r="B539" s="34"/>
      <c r="C539" s="12"/>
      <c r="D539" s="12"/>
      <c r="E539" s="12"/>
      <c r="F539" s="12"/>
      <c r="G539" s="18"/>
      <c r="H539" s="35"/>
      <c r="I539" s="12"/>
      <c r="M539" s="12"/>
      <c r="N539" s="18"/>
      <c r="O539" s="12"/>
      <c r="P539" s="12"/>
      <c r="Q539" s="12"/>
      <c r="R539" s="36"/>
      <c r="S539" s="36"/>
      <c r="T539" s="12"/>
      <c r="U539" s="12"/>
      <c r="V539" s="12"/>
      <c r="W539" s="12"/>
      <c r="X539" s="12"/>
    </row>
    <row r="540" customFormat="false" ht="15.75" hidden="false" customHeight="false" outlineLevel="0" collapsed="false">
      <c r="A540" s="12"/>
      <c r="B540" s="34"/>
      <c r="C540" s="12"/>
      <c r="D540" s="12"/>
      <c r="E540" s="12"/>
      <c r="F540" s="12"/>
      <c r="G540" s="18"/>
      <c r="H540" s="35"/>
      <c r="I540" s="12"/>
      <c r="M540" s="12"/>
      <c r="N540" s="18"/>
      <c r="O540" s="12"/>
      <c r="P540" s="12"/>
      <c r="Q540" s="12"/>
      <c r="R540" s="36"/>
      <c r="S540" s="36"/>
      <c r="T540" s="12"/>
      <c r="U540" s="12"/>
      <c r="V540" s="12"/>
      <c r="W540" s="12"/>
      <c r="X540" s="12"/>
    </row>
    <row r="541" customFormat="false" ht="15.75" hidden="false" customHeight="false" outlineLevel="0" collapsed="false">
      <c r="A541" s="12"/>
      <c r="B541" s="34"/>
      <c r="C541" s="12"/>
      <c r="D541" s="12"/>
      <c r="E541" s="12"/>
      <c r="F541" s="12"/>
      <c r="G541" s="18"/>
      <c r="H541" s="35"/>
      <c r="I541" s="12"/>
      <c r="M541" s="12"/>
      <c r="N541" s="18"/>
      <c r="O541" s="12"/>
      <c r="P541" s="12"/>
      <c r="Q541" s="12"/>
      <c r="R541" s="36"/>
      <c r="S541" s="36"/>
      <c r="T541" s="12"/>
      <c r="U541" s="12"/>
      <c r="V541" s="12"/>
      <c r="W541" s="12"/>
      <c r="X541" s="12"/>
    </row>
    <row r="542" customFormat="false" ht="15.75" hidden="false" customHeight="false" outlineLevel="0" collapsed="false">
      <c r="A542" s="12"/>
      <c r="B542" s="34"/>
      <c r="C542" s="12"/>
      <c r="D542" s="12"/>
      <c r="E542" s="12"/>
      <c r="F542" s="12"/>
      <c r="G542" s="18"/>
      <c r="H542" s="35"/>
      <c r="I542" s="12"/>
      <c r="M542" s="12"/>
      <c r="N542" s="18"/>
      <c r="O542" s="12"/>
      <c r="P542" s="12"/>
      <c r="Q542" s="12"/>
      <c r="R542" s="36"/>
      <c r="S542" s="36"/>
      <c r="T542" s="12"/>
      <c r="U542" s="12"/>
      <c r="V542" s="12"/>
      <c r="W542" s="12"/>
      <c r="X542" s="12"/>
    </row>
    <row r="543" customFormat="false" ht="15.75" hidden="false" customHeight="false" outlineLevel="0" collapsed="false">
      <c r="A543" s="12"/>
      <c r="B543" s="34"/>
      <c r="C543" s="12"/>
      <c r="D543" s="12"/>
      <c r="E543" s="12"/>
      <c r="F543" s="12"/>
      <c r="G543" s="18"/>
      <c r="H543" s="35"/>
      <c r="I543" s="12"/>
      <c r="M543" s="12"/>
      <c r="N543" s="18"/>
      <c r="O543" s="12"/>
      <c r="P543" s="12"/>
      <c r="Q543" s="12"/>
      <c r="R543" s="36"/>
      <c r="S543" s="36"/>
      <c r="T543" s="12"/>
      <c r="U543" s="12"/>
      <c r="V543" s="12"/>
      <c r="W543" s="12"/>
      <c r="X543" s="12"/>
    </row>
    <row r="544" customFormat="false" ht="15.75" hidden="false" customHeight="false" outlineLevel="0" collapsed="false">
      <c r="A544" s="12"/>
      <c r="B544" s="34"/>
      <c r="C544" s="12"/>
      <c r="D544" s="12"/>
      <c r="E544" s="12"/>
      <c r="F544" s="12"/>
      <c r="G544" s="18"/>
      <c r="H544" s="35"/>
      <c r="I544" s="12"/>
      <c r="M544" s="12"/>
      <c r="N544" s="18"/>
      <c r="O544" s="12"/>
      <c r="P544" s="12"/>
      <c r="Q544" s="12"/>
      <c r="R544" s="36"/>
      <c r="S544" s="36"/>
      <c r="T544" s="12"/>
      <c r="U544" s="12"/>
      <c r="V544" s="12"/>
      <c r="W544" s="12"/>
      <c r="X544" s="12"/>
    </row>
    <row r="545" customFormat="false" ht="15.75" hidden="false" customHeight="false" outlineLevel="0" collapsed="false">
      <c r="A545" s="12"/>
      <c r="B545" s="34"/>
      <c r="C545" s="12"/>
      <c r="D545" s="12"/>
      <c r="E545" s="12"/>
      <c r="F545" s="12"/>
      <c r="G545" s="18"/>
      <c r="H545" s="35"/>
      <c r="I545" s="12"/>
      <c r="M545" s="12"/>
      <c r="N545" s="18"/>
      <c r="O545" s="12"/>
      <c r="P545" s="12"/>
      <c r="Q545" s="12"/>
      <c r="R545" s="36"/>
      <c r="S545" s="36"/>
      <c r="T545" s="12"/>
      <c r="U545" s="12"/>
      <c r="V545" s="12"/>
      <c r="W545" s="12"/>
      <c r="X545" s="12"/>
    </row>
    <row r="546" customFormat="false" ht="15.75" hidden="false" customHeight="false" outlineLevel="0" collapsed="false">
      <c r="A546" s="12"/>
      <c r="B546" s="34"/>
      <c r="C546" s="12"/>
      <c r="D546" s="12"/>
      <c r="E546" s="12"/>
      <c r="F546" s="12"/>
      <c r="G546" s="18"/>
      <c r="H546" s="35"/>
      <c r="I546" s="12"/>
      <c r="M546" s="12"/>
      <c r="N546" s="18"/>
      <c r="O546" s="12"/>
      <c r="P546" s="12"/>
      <c r="Q546" s="12"/>
      <c r="R546" s="36"/>
      <c r="S546" s="36"/>
      <c r="T546" s="12"/>
      <c r="U546" s="12"/>
      <c r="V546" s="12"/>
      <c r="W546" s="12"/>
      <c r="X546" s="12"/>
    </row>
    <row r="547" customFormat="false" ht="15.75" hidden="false" customHeight="false" outlineLevel="0" collapsed="false">
      <c r="A547" s="12"/>
      <c r="B547" s="34"/>
      <c r="C547" s="12"/>
      <c r="D547" s="12"/>
      <c r="E547" s="12"/>
      <c r="F547" s="12"/>
      <c r="G547" s="18"/>
      <c r="H547" s="35"/>
      <c r="I547" s="12"/>
      <c r="M547" s="12"/>
      <c r="N547" s="18"/>
      <c r="O547" s="12"/>
      <c r="P547" s="12"/>
      <c r="Q547" s="12"/>
      <c r="R547" s="36"/>
      <c r="S547" s="36"/>
      <c r="T547" s="12"/>
      <c r="U547" s="12"/>
      <c r="V547" s="12"/>
      <c r="W547" s="12"/>
      <c r="X547" s="12"/>
    </row>
    <row r="548" customFormat="false" ht="15.75" hidden="false" customHeight="false" outlineLevel="0" collapsed="false">
      <c r="A548" s="12"/>
      <c r="B548" s="34"/>
      <c r="C548" s="12"/>
      <c r="D548" s="12"/>
      <c r="E548" s="12"/>
      <c r="F548" s="12"/>
      <c r="G548" s="18"/>
      <c r="H548" s="35"/>
      <c r="I548" s="12"/>
      <c r="M548" s="12"/>
      <c r="N548" s="18"/>
      <c r="O548" s="12"/>
      <c r="P548" s="12"/>
      <c r="Q548" s="12"/>
      <c r="R548" s="36"/>
      <c r="S548" s="36"/>
      <c r="T548" s="12"/>
      <c r="U548" s="12"/>
      <c r="V548" s="12"/>
      <c r="W548" s="12"/>
      <c r="X548" s="12"/>
    </row>
    <row r="549" customFormat="false" ht="15.75" hidden="false" customHeight="false" outlineLevel="0" collapsed="false">
      <c r="A549" s="12"/>
      <c r="B549" s="34"/>
      <c r="C549" s="12"/>
      <c r="D549" s="12"/>
      <c r="E549" s="12"/>
      <c r="F549" s="12"/>
      <c r="G549" s="18"/>
      <c r="H549" s="35"/>
      <c r="I549" s="12"/>
      <c r="M549" s="12"/>
      <c r="N549" s="18"/>
      <c r="O549" s="12"/>
      <c r="P549" s="12"/>
      <c r="Q549" s="12"/>
      <c r="R549" s="36"/>
      <c r="S549" s="36"/>
      <c r="T549" s="12"/>
      <c r="U549" s="12"/>
      <c r="V549" s="12"/>
      <c r="W549" s="12"/>
      <c r="X549" s="12"/>
    </row>
    <row r="550" customFormat="false" ht="15.75" hidden="false" customHeight="false" outlineLevel="0" collapsed="false">
      <c r="A550" s="12"/>
      <c r="B550" s="34"/>
      <c r="C550" s="12"/>
      <c r="D550" s="12"/>
      <c r="E550" s="12"/>
      <c r="F550" s="12"/>
      <c r="G550" s="18"/>
      <c r="H550" s="35"/>
      <c r="I550" s="12"/>
      <c r="M550" s="12"/>
      <c r="N550" s="18"/>
      <c r="O550" s="12"/>
      <c r="P550" s="12"/>
      <c r="Q550" s="12"/>
      <c r="R550" s="36"/>
      <c r="S550" s="36"/>
      <c r="T550" s="12"/>
      <c r="U550" s="12"/>
      <c r="V550" s="12"/>
      <c r="W550" s="12"/>
      <c r="X550" s="12"/>
    </row>
    <row r="551" customFormat="false" ht="15.75" hidden="false" customHeight="false" outlineLevel="0" collapsed="false">
      <c r="A551" s="12"/>
      <c r="B551" s="34"/>
      <c r="C551" s="12"/>
      <c r="D551" s="12"/>
      <c r="E551" s="12"/>
      <c r="F551" s="12"/>
      <c r="G551" s="18"/>
      <c r="H551" s="35"/>
      <c r="I551" s="12"/>
      <c r="M551" s="12"/>
      <c r="N551" s="18"/>
      <c r="O551" s="12"/>
      <c r="P551" s="12"/>
      <c r="Q551" s="12"/>
      <c r="R551" s="36"/>
      <c r="S551" s="36"/>
      <c r="T551" s="12"/>
      <c r="U551" s="12"/>
      <c r="V551" s="12"/>
      <c r="W551" s="12"/>
      <c r="X551" s="12"/>
    </row>
    <row r="552" customFormat="false" ht="15.75" hidden="false" customHeight="false" outlineLevel="0" collapsed="false">
      <c r="A552" s="12"/>
      <c r="B552" s="34"/>
      <c r="C552" s="12"/>
      <c r="D552" s="12"/>
      <c r="E552" s="12"/>
      <c r="F552" s="12"/>
      <c r="G552" s="18"/>
      <c r="H552" s="35"/>
      <c r="I552" s="12"/>
      <c r="M552" s="12"/>
      <c r="N552" s="18"/>
      <c r="O552" s="12"/>
      <c r="P552" s="12"/>
      <c r="Q552" s="12"/>
      <c r="R552" s="36"/>
      <c r="S552" s="36"/>
      <c r="T552" s="12"/>
      <c r="U552" s="12"/>
      <c r="V552" s="12"/>
      <c r="W552" s="12"/>
      <c r="X552" s="12"/>
    </row>
    <row r="553" customFormat="false" ht="15.75" hidden="false" customHeight="false" outlineLevel="0" collapsed="false">
      <c r="A553" s="12"/>
      <c r="B553" s="34"/>
      <c r="C553" s="12"/>
      <c r="D553" s="12"/>
      <c r="E553" s="12"/>
      <c r="F553" s="12"/>
      <c r="G553" s="18"/>
      <c r="H553" s="35"/>
      <c r="I553" s="12"/>
      <c r="M553" s="12"/>
      <c r="N553" s="18"/>
      <c r="O553" s="12"/>
      <c r="P553" s="12"/>
      <c r="Q553" s="12"/>
      <c r="R553" s="36"/>
      <c r="S553" s="36"/>
      <c r="T553" s="12"/>
      <c r="U553" s="12"/>
      <c r="V553" s="12"/>
      <c r="W553" s="12"/>
      <c r="X553" s="12"/>
    </row>
    <row r="554" customFormat="false" ht="15.75" hidden="false" customHeight="false" outlineLevel="0" collapsed="false">
      <c r="A554" s="12"/>
      <c r="B554" s="34"/>
      <c r="C554" s="12"/>
      <c r="D554" s="12"/>
      <c r="E554" s="12"/>
      <c r="F554" s="12"/>
      <c r="G554" s="18"/>
      <c r="H554" s="35"/>
      <c r="I554" s="12"/>
      <c r="M554" s="12"/>
      <c r="N554" s="18"/>
      <c r="O554" s="12"/>
      <c r="P554" s="12"/>
      <c r="Q554" s="12"/>
      <c r="R554" s="36"/>
      <c r="S554" s="36"/>
      <c r="T554" s="12"/>
      <c r="U554" s="12"/>
      <c r="V554" s="12"/>
      <c r="W554" s="12"/>
      <c r="X554" s="12"/>
    </row>
    <row r="555" customFormat="false" ht="15.75" hidden="false" customHeight="false" outlineLevel="0" collapsed="false">
      <c r="A555" s="12"/>
      <c r="B555" s="34"/>
      <c r="C555" s="12"/>
      <c r="D555" s="12"/>
      <c r="E555" s="12"/>
      <c r="F555" s="12"/>
      <c r="G555" s="18"/>
      <c r="H555" s="35"/>
      <c r="I555" s="12"/>
      <c r="M555" s="12"/>
      <c r="N555" s="18"/>
      <c r="O555" s="12"/>
      <c r="P555" s="12"/>
      <c r="Q555" s="12"/>
      <c r="R555" s="36"/>
      <c r="S555" s="36"/>
      <c r="T555" s="12"/>
      <c r="U555" s="12"/>
      <c r="V555" s="12"/>
      <c r="W555" s="12"/>
      <c r="X555" s="12"/>
    </row>
    <row r="556" customFormat="false" ht="15.75" hidden="false" customHeight="false" outlineLevel="0" collapsed="false">
      <c r="A556" s="12"/>
      <c r="B556" s="34"/>
      <c r="C556" s="12"/>
      <c r="D556" s="12"/>
      <c r="E556" s="12"/>
      <c r="F556" s="12"/>
      <c r="G556" s="18"/>
      <c r="H556" s="35"/>
      <c r="I556" s="12"/>
      <c r="M556" s="12"/>
      <c r="N556" s="18"/>
      <c r="O556" s="12"/>
      <c r="P556" s="12"/>
      <c r="Q556" s="12"/>
      <c r="R556" s="36"/>
      <c r="S556" s="36"/>
      <c r="T556" s="12"/>
      <c r="U556" s="12"/>
      <c r="V556" s="12"/>
      <c r="W556" s="12"/>
      <c r="X556" s="12"/>
    </row>
    <row r="557" customFormat="false" ht="15.75" hidden="false" customHeight="false" outlineLevel="0" collapsed="false">
      <c r="A557" s="12"/>
      <c r="B557" s="34"/>
      <c r="C557" s="12"/>
      <c r="D557" s="12"/>
      <c r="E557" s="12"/>
      <c r="F557" s="12"/>
      <c r="G557" s="18"/>
      <c r="H557" s="35"/>
      <c r="I557" s="12"/>
      <c r="M557" s="12"/>
      <c r="N557" s="18"/>
      <c r="O557" s="12"/>
      <c r="P557" s="12"/>
      <c r="Q557" s="12"/>
      <c r="R557" s="36"/>
      <c r="S557" s="36"/>
      <c r="T557" s="12"/>
      <c r="U557" s="12"/>
      <c r="V557" s="12"/>
      <c r="W557" s="12"/>
      <c r="X557" s="12"/>
    </row>
    <row r="558" customFormat="false" ht="15.75" hidden="false" customHeight="false" outlineLevel="0" collapsed="false">
      <c r="A558" s="12"/>
      <c r="B558" s="34"/>
      <c r="C558" s="12"/>
      <c r="D558" s="12"/>
      <c r="E558" s="12"/>
      <c r="F558" s="12"/>
      <c r="G558" s="18"/>
      <c r="H558" s="35"/>
      <c r="I558" s="12"/>
      <c r="M558" s="12"/>
      <c r="N558" s="18"/>
      <c r="O558" s="12"/>
      <c r="P558" s="12"/>
      <c r="Q558" s="12"/>
      <c r="R558" s="36"/>
      <c r="S558" s="36"/>
      <c r="T558" s="12"/>
      <c r="U558" s="12"/>
      <c r="V558" s="12"/>
      <c r="W558" s="12"/>
      <c r="X558" s="12"/>
    </row>
    <row r="559" customFormat="false" ht="15.75" hidden="false" customHeight="false" outlineLevel="0" collapsed="false">
      <c r="A559" s="12"/>
      <c r="B559" s="34"/>
      <c r="C559" s="12"/>
      <c r="D559" s="12"/>
      <c r="E559" s="12"/>
      <c r="F559" s="12"/>
      <c r="G559" s="18"/>
      <c r="H559" s="35"/>
      <c r="I559" s="12"/>
      <c r="M559" s="12"/>
      <c r="N559" s="18"/>
      <c r="O559" s="12"/>
      <c r="P559" s="12"/>
      <c r="Q559" s="12"/>
      <c r="R559" s="36"/>
      <c r="S559" s="36"/>
      <c r="T559" s="12"/>
      <c r="U559" s="12"/>
      <c r="V559" s="12"/>
      <c r="W559" s="12"/>
      <c r="X559" s="12"/>
    </row>
    <row r="560" customFormat="false" ht="15.75" hidden="false" customHeight="false" outlineLevel="0" collapsed="false">
      <c r="A560" s="12"/>
      <c r="B560" s="34"/>
      <c r="C560" s="12"/>
      <c r="D560" s="12"/>
      <c r="E560" s="12"/>
      <c r="F560" s="12"/>
      <c r="G560" s="18"/>
      <c r="H560" s="35"/>
      <c r="I560" s="12"/>
      <c r="M560" s="12"/>
      <c r="N560" s="18"/>
      <c r="O560" s="12"/>
      <c r="P560" s="12"/>
      <c r="Q560" s="12"/>
      <c r="R560" s="36"/>
      <c r="S560" s="36"/>
      <c r="T560" s="12"/>
      <c r="U560" s="12"/>
      <c r="V560" s="12"/>
      <c r="W560" s="12"/>
      <c r="X560" s="12"/>
    </row>
    <row r="561" customFormat="false" ht="15.75" hidden="false" customHeight="false" outlineLevel="0" collapsed="false">
      <c r="A561" s="12"/>
      <c r="B561" s="34"/>
      <c r="C561" s="12"/>
      <c r="D561" s="12"/>
      <c r="E561" s="12"/>
      <c r="F561" s="12"/>
      <c r="G561" s="18"/>
      <c r="H561" s="35"/>
      <c r="I561" s="12"/>
      <c r="M561" s="12"/>
      <c r="N561" s="18"/>
      <c r="O561" s="12"/>
      <c r="P561" s="12"/>
      <c r="Q561" s="12"/>
      <c r="R561" s="36"/>
      <c r="S561" s="36"/>
      <c r="T561" s="12"/>
      <c r="U561" s="12"/>
      <c r="V561" s="12"/>
      <c r="W561" s="12"/>
      <c r="X561" s="12"/>
    </row>
    <row r="562" customFormat="false" ht="15.75" hidden="false" customHeight="false" outlineLevel="0" collapsed="false">
      <c r="A562" s="12"/>
      <c r="B562" s="34"/>
      <c r="C562" s="12"/>
      <c r="D562" s="12"/>
      <c r="E562" s="12"/>
      <c r="F562" s="12"/>
      <c r="G562" s="18"/>
      <c r="H562" s="35"/>
      <c r="I562" s="12"/>
      <c r="M562" s="12"/>
      <c r="N562" s="18"/>
      <c r="O562" s="12"/>
      <c r="P562" s="12"/>
      <c r="Q562" s="12"/>
      <c r="R562" s="36"/>
      <c r="S562" s="36"/>
      <c r="T562" s="12"/>
      <c r="U562" s="12"/>
      <c r="V562" s="12"/>
      <c r="W562" s="12"/>
      <c r="X562" s="12"/>
    </row>
    <row r="563" customFormat="false" ht="15.75" hidden="false" customHeight="false" outlineLevel="0" collapsed="false">
      <c r="A563" s="12"/>
      <c r="B563" s="34"/>
      <c r="C563" s="12"/>
      <c r="D563" s="12"/>
      <c r="E563" s="12"/>
      <c r="F563" s="12"/>
      <c r="G563" s="18"/>
      <c r="H563" s="35"/>
      <c r="I563" s="12"/>
      <c r="M563" s="12"/>
      <c r="N563" s="18"/>
      <c r="O563" s="12"/>
      <c r="P563" s="12"/>
      <c r="Q563" s="12"/>
      <c r="R563" s="36"/>
      <c r="S563" s="36"/>
      <c r="T563" s="12"/>
      <c r="U563" s="12"/>
      <c r="V563" s="12"/>
      <c r="W563" s="12"/>
      <c r="X563" s="12"/>
    </row>
    <row r="564" customFormat="false" ht="15.75" hidden="false" customHeight="false" outlineLevel="0" collapsed="false">
      <c r="A564" s="12"/>
      <c r="B564" s="34"/>
      <c r="C564" s="12"/>
      <c r="D564" s="12"/>
      <c r="E564" s="12"/>
      <c r="F564" s="12"/>
      <c r="G564" s="18"/>
      <c r="H564" s="35"/>
      <c r="I564" s="12"/>
      <c r="M564" s="12"/>
      <c r="N564" s="18"/>
      <c r="O564" s="12"/>
      <c r="P564" s="12"/>
      <c r="Q564" s="12"/>
      <c r="R564" s="36"/>
      <c r="S564" s="36"/>
      <c r="T564" s="12"/>
      <c r="U564" s="12"/>
      <c r="V564" s="12"/>
      <c r="W564" s="12"/>
      <c r="X564" s="12"/>
    </row>
    <row r="565" customFormat="false" ht="15.75" hidden="false" customHeight="false" outlineLevel="0" collapsed="false">
      <c r="A565" s="12"/>
      <c r="B565" s="34"/>
      <c r="C565" s="12"/>
      <c r="D565" s="12"/>
      <c r="E565" s="12"/>
      <c r="F565" s="12"/>
      <c r="G565" s="18"/>
      <c r="H565" s="35"/>
      <c r="I565" s="12"/>
      <c r="M565" s="12"/>
      <c r="N565" s="18"/>
      <c r="O565" s="12"/>
      <c r="P565" s="12"/>
      <c r="Q565" s="12"/>
      <c r="R565" s="36"/>
      <c r="S565" s="36"/>
      <c r="T565" s="12"/>
      <c r="U565" s="12"/>
      <c r="V565" s="12"/>
      <c r="W565" s="12"/>
      <c r="X565" s="12"/>
    </row>
    <row r="566" customFormat="false" ht="15.75" hidden="false" customHeight="false" outlineLevel="0" collapsed="false">
      <c r="A566" s="12"/>
      <c r="B566" s="34"/>
      <c r="C566" s="12"/>
      <c r="D566" s="12"/>
      <c r="E566" s="12"/>
      <c r="F566" s="12"/>
      <c r="G566" s="18"/>
      <c r="H566" s="35"/>
      <c r="I566" s="12"/>
      <c r="M566" s="12"/>
      <c r="N566" s="18"/>
      <c r="O566" s="12"/>
      <c r="P566" s="12"/>
      <c r="Q566" s="12"/>
      <c r="R566" s="36"/>
      <c r="S566" s="36"/>
      <c r="T566" s="12"/>
      <c r="U566" s="12"/>
      <c r="V566" s="12"/>
      <c r="W566" s="12"/>
      <c r="X566" s="12"/>
    </row>
    <row r="567" customFormat="false" ht="15.75" hidden="false" customHeight="false" outlineLevel="0" collapsed="false">
      <c r="A567" s="12"/>
      <c r="B567" s="34"/>
      <c r="C567" s="12"/>
      <c r="D567" s="12"/>
      <c r="E567" s="12"/>
      <c r="F567" s="12"/>
      <c r="G567" s="18"/>
      <c r="H567" s="35"/>
      <c r="I567" s="12"/>
      <c r="M567" s="12"/>
      <c r="N567" s="18"/>
      <c r="O567" s="12"/>
      <c r="P567" s="12"/>
      <c r="Q567" s="12"/>
      <c r="R567" s="36"/>
      <c r="S567" s="36"/>
      <c r="T567" s="12"/>
      <c r="U567" s="12"/>
      <c r="V567" s="12"/>
      <c r="W567" s="12"/>
      <c r="X567" s="12"/>
    </row>
    <row r="568" customFormat="false" ht="15.75" hidden="false" customHeight="false" outlineLevel="0" collapsed="false">
      <c r="A568" s="12"/>
      <c r="B568" s="34"/>
      <c r="C568" s="12"/>
      <c r="D568" s="12"/>
      <c r="E568" s="12"/>
      <c r="F568" s="12"/>
      <c r="G568" s="18"/>
      <c r="H568" s="35"/>
      <c r="I568" s="12"/>
      <c r="M568" s="12"/>
      <c r="N568" s="18"/>
      <c r="O568" s="12"/>
      <c r="P568" s="12"/>
      <c r="Q568" s="12"/>
      <c r="R568" s="36"/>
      <c r="S568" s="36"/>
      <c r="T568" s="12"/>
      <c r="U568" s="12"/>
      <c r="V568" s="12"/>
      <c r="W568" s="12"/>
      <c r="X568" s="12"/>
    </row>
    <row r="569" customFormat="false" ht="15.75" hidden="false" customHeight="false" outlineLevel="0" collapsed="false">
      <c r="A569" s="12"/>
      <c r="B569" s="34"/>
      <c r="C569" s="12"/>
      <c r="D569" s="12"/>
      <c r="E569" s="12"/>
      <c r="F569" s="12"/>
      <c r="G569" s="18"/>
      <c r="H569" s="35"/>
      <c r="I569" s="12"/>
      <c r="M569" s="12"/>
      <c r="N569" s="18"/>
      <c r="O569" s="12"/>
      <c r="P569" s="12"/>
      <c r="Q569" s="12"/>
      <c r="R569" s="36"/>
      <c r="S569" s="36"/>
      <c r="T569" s="12"/>
      <c r="U569" s="12"/>
      <c r="V569" s="12"/>
      <c r="W569" s="12"/>
      <c r="X569" s="12"/>
    </row>
    <row r="570" customFormat="false" ht="15.75" hidden="false" customHeight="false" outlineLevel="0" collapsed="false">
      <c r="A570" s="12"/>
      <c r="B570" s="34"/>
      <c r="C570" s="12"/>
      <c r="D570" s="12"/>
      <c r="E570" s="12"/>
      <c r="F570" s="12"/>
      <c r="G570" s="18"/>
      <c r="H570" s="35"/>
      <c r="I570" s="12"/>
      <c r="M570" s="12"/>
      <c r="N570" s="18"/>
      <c r="O570" s="12"/>
      <c r="P570" s="12"/>
      <c r="Q570" s="12"/>
      <c r="R570" s="36"/>
      <c r="S570" s="36"/>
      <c r="T570" s="12"/>
      <c r="U570" s="12"/>
      <c r="V570" s="12"/>
      <c r="W570" s="12"/>
      <c r="X570" s="12"/>
    </row>
    <row r="571" customFormat="false" ht="15.75" hidden="false" customHeight="false" outlineLevel="0" collapsed="false">
      <c r="A571" s="12"/>
      <c r="B571" s="34"/>
      <c r="C571" s="12"/>
      <c r="D571" s="12"/>
      <c r="E571" s="12"/>
      <c r="F571" s="12"/>
      <c r="G571" s="18"/>
      <c r="H571" s="35"/>
      <c r="I571" s="12"/>
      <c r="M571" s="12"/>
      <c r="N571" s="18"/>
      <c r="O571" s="12"/>
      <c r="P571" s="12"/>
      <c r="Q571" s="12"/>
      <c r="R571" s="36"/>
      <c r="S571" s="36"/>
      <c r="T571" s="12"/>
      <c r="U571" s="12"/>
      <c r="V571" s="12"/>
      <c r="W571" s="12"/>
      <c r="X571" s="12"/>
    </row>
    <row r="572" customFormat="false" ht="15.75" hidden="false" customHeight="false" outlineLevel="0" collapsed="false">
      <c r="A572" s="12"/>
      <c r="B572" s="34"/>
      <c r="C572" s="12"/>
      <c r="D572" s="12"/>
      <c r="E572" s="12"/>
      <c r="F572" s="12"/>
      <c r="G572" s="18"/>
      <c r="H572" s="35"/>
      <c r="I572" s="12"/>
      <c r="M572" s="12"/>
      <c r="N572" s="18"/>
      <c r="O572" s="12"/>
      <c r="P572" s="12"/>
      <c r="Q572" s="12"/>
      <c r="R572" s="36"/>
      <c r="S572" s="36"/>
      <c r="T572" s="12"/>
      <c r="U572" s="12"/>
      <c r="V572" s="12"/>
      <c r="W572" s="12"/>
      <c r="X572" s="12"/>
    </row>
    <row r="573" customFormat="false" ht="15.75" hidden="false" customHeight="false" outlineLevel="0" collapsed="false">
      <c r="A573" s="12"/>
      <c r="B573" s="34"/>
      <c r="C573" s="12"/>
      <c r="D573" s="12"/>
      <c r="E573" s="12"/>
      <c r="F573" s="12"/>
      <c r="G573" s="18"/>
      <c r="H573" s="35"/>
      <c r="I573" s="12"/>
      <c r="M573" s="12"/>
      <c r="N573" s="18"/>
      <c r="O573" s="12"/>
      <c r="P573" s="12"/>
      <c r="Q573" s="12"/>
      <c r="R573" s="36"/>
      <c r="S573" s="36"/>
      <c r="T573" s="12"/>
      <c r="U573" s="12"/>
      <c r="V573" s="12"/>
      <c r="W573" s="12"/>
      <c r="X573" s="12"/>
    </row>
    <row r="574" customFormat="false" ht="15.75" hidden="false" customHeight="false" outlineLevel="0" collapsed="false">
      <c r="A574" s="12"/>
      <c r="B574" s="34"/>
      <c r="C574" s="12"/>
      <c r="D574" s="12"/>
      <c r="E574" s="12"/>
      <c r="F574" s="12"/>
      <c r="G574" s="18"/>
      <c r="H574" s="35"/>
      <c r="I574" s="12"/>
      <c r="M574" s="12"/>
      <c r="N574" s="18"/>
      <c r="O574" s="12"/>
      <c r="P574" s="12"/>
      <c r="Q574" s="12"/>
      <c r="R574" s="36"/>
      <c r="S574" s="36"/>
      <c r="T574" s="12"/>
      <c r="U574" s="12"/>
      <c r="V574" s="12"/>
      <c r="W574" s="12"/>
      <c r="X574" s="12"/>
    </row>
    <row r="575" customFormat="false" ht="15.75" hidden="false" customHeight="false" outlineLevel="0" collapsed="false">
      <c r="A575" s="12"/>
      <c r="B575" s="34"/>
      <c r="C575" s="12"/>
      <c r="D575" s="12"/>
      <c r="E575" s="12"/>
      <c r="F575" s="12"/>
      <c r="G575" s="18"/>
      <c r="H575" s="35"/>
      <c r="I575" s="12"/>
      <c r="M575" s="12"/>
      <c r="N575" s="18"/>
      <c r="O575" s="12"/>
      <c r="P575" s="12"/>
      <c r="Q575" s="12"/>
      <c r="R575" s="36"/>
      <c r="S575" s="36"/>
      <c r="T575" s="12"/>
      <c r="U575" s="12"/>
      <c r="V575" s="12"/>
      <c r="W575" s="12"/>
      <c r="X575" s="12"/>
    </row>
    <row r="576" customFormat="false" ht="15.75" hidden="false" customHeight="false" outlineLevel="0" collapsed="false">
      <c r="A576" s="12"/>
      <c r="B576" s="34"/>
      <c r="C576" s="12"/>
      <c r="D576" s="12"/>
      <c r="E576" s="12"/>
      <c r="F576" s="12"/>
      <c r="G576" s="18"/>
      <c r="H576" s="35"/>
      <c r="I576" s="12"/>
      <c r="M576" s="12"/>
      <c r="N576" s="18"/>
      <c r="O576" s="12"/>
      <c r="P576" s="12"/>
      <c r="Q576" s="12"/>
      <c r="R576" s="36"/>
      <c r="S576" s="36"/>
      <c r="T576" s="12"/>
      <c r="U576" s="12"/>
      <c r="V576" s="12"/>
      <c r="W576" s="12"/>
      <c r="X576" s="12"/>
    </row>
    <row r="577" customFormat="false" ht="15.75" hidden="false" customHeight="false" outlineLevel="0" collapsed="false">
      <c r="A577" s="12"/>
      <c r="B577" s="34"/>
      <c r="C577" s="12"/>
      <c r="D577" s="12"/>
      <c r="E577" s="12"/>
      <c r="F577" s="12"/>
      <c r="G577" s="18"/>
      <c r="H577" s="35"/>
      <c r="I577" s="12"/>
      <c r="M577" s="12"/>
      <c r="N577" s="18"/>
      <c r="O577" s="12"/>
      <c r="P577" s="12"/>
      <c r="Q577" s="12"/>
      <c r="R577" s="36"/>
      <c r="S577" s="36"/>
      <c r="T577" s="12"/>
      <c r="U577" s="12"/>
      <c r="V577" s="12"/>
      <c r="W577" s="12"/>
      <c r="X577" s="12"/>
    </row>
    <row r="578" customFormat="false" ht="15.75" hidden="false" customHeight="false" outlineLevel="0" collapsed="false">
      <c r="A578" s="12"/>
      <c r="B578" s="34"/>
      <c r="C578" s="12"/>
      <c r="D578" s="12"/>
      <c r="E578" s="12"/>
      <c r="F578" s="12"/>
      <c r="G578" s="18"/>
      <c r="H578" s="35"/>
      <c r="I578" s="12"/>
      <c r="M578" s="12"/>
      <c r="N578" s="18"/>
      <c r="O578" s="12"/>
      <c r="P578" s="12"/>
      <c r="Q578" s="12"/>
      <c r="R578" s="36"/>
      <c r="S578" s="36"/>
      <c r="T578" s="12"/>
      <c r="U578" s="12"/>
      <c r="V578" s="12"/>
      <c r="W578" s="12"/>
      <c r="X578" s="12"/>
    </row>
    <row r="579" customFormat="false" ht="15.75" hidden="false" customHeight="false" outlineLevel="0" collapsed="false">
      <c r="A579" s="12"/>
      <c r="B579" s="34"/>
      <c r="C579" s="12"/>
      <c r="D579" s="12"/>
      <c r="E579" s="12"/>
      <c r="F579" s="12"/>
      <c r="G579" s="18"/>
      <c r="H579" s="35"/>
      <c r="I579" s="12"/>
      <c r="M579" s="12"/>
      <c r="N579" s="18"/>
      <c r="O579" s="12"/>
      <c r="P579" s="12"/>
      <c r="Q579" s="12"/>
      <c r="R579" s="36"/>
      <c r="S579" s="36"/>
      <c r="T579" s="12"/>
      <c r="U579" s="12"/>
      <c r="V579" s="12"/>
      <c r="W579" s="12"/>
      <c r="X579" s="12"/>
    </row>
    <row r="580" customFormat="false" ht="15.75" hidden="false" customHeight="false" outlineLevel="0" collapsed="false">
      <c r="A580" s="12"/>
      <c r="B580" s="34"/>
      <c r="C580" s="12"/>
      <c r="D580" s="12"/>
      <c r="E580" s="12"/>
      <c r="F580" s="12"/>
      <c r="G580" s="18"/>
      <c r="H580" s="35"/>
      <c r="I580" s="12"/>
      <c r="M580" s="12"/>
      <c r="N580" s="18"/>
      <c r="O580" s="12"/>
      <c r="P580" s="12"/>
      <c r="Q580" s="12"/>
      <c r="R580" s="36"/>
      <c r="S580" s="36"/>
      <c r="T580" s="12"/>
      <c r="U580" s="12"/>
      <c r="V580" s="12"/>
      <c r="W580" s="12"/>
      <c r="X580" s="12"/>
    </row>
    <row r="581" customFormat="false" ht="15.75" hidden="false" customHeight="false" outlineLevel="0" collapsed="false">
      <c r="A581" s="12"/>
      <c r="B581" s="34"/>
      <c r="C581" s="12"/>
      <c r="D581" s="12"/>
      <c r="E581" s="12"/>
      <c r="F581" s="12"/>
      <c r="G581" s="18"/>
      <c r="H581" s="35"/>
      <c r="I581" s="12"/>
      <c r="M581" s="12"/>
      <c r="N581" s="18"/>
      <c r="O581" s="12"/>
      <c r="P581" s="12"/>
      <c r="Q581" s="12"/>
      <c r="R581" s="36"/>
      <c r="S581" s="36"/>
      <c r="T581" s="12"/>
      <c r="U581" s="12"/>
      <c r="V581" s="12"/>
      <c r="W581" s="12"/>
      <c r="X581" s="12"/>
    </row>
    <row r="582" customFormat="false" ht="15.75" hidden="false" customHeight="false" outlineLevel="0" collapsed="false">
      <c r="A582" s="12"/>
      <c r="B582" s="34"/>
      <c r="C582" s="12"/>
      <c r="D582" s="12"/>
      <c r="E582" s="12"/>
      <c r="F582" s="12"/>
      <c r="G582" s="18"/>
      <c r="H582" s="35"/>
      <c r="I582" s="12"/>
      <c r="M582" s="12"/>
      <c r="N582" s="18"/>
      <c r="O582" s="12"/>
      <c r="P582" s="12"/>
      <c r="Q582" s="12"/>
      <c r="R582" s="36"/>
      <c r="S582" s="36"/>
      <c r="T582" s="12"/>
      <c r="U582" s="12"/>
      <c r="V582" s="12"/>
      <c r="W582" s="12"/>
      <c r="X582" s="12"/>
    </row>
    <row r="583" customFormat="false" ht="15.75" hidden="false" customHeight="false" outlineLevel="0" collapsed="false">
      <c r="A583" s="12"/>
      <c r="B583" s="34"/>
      <c r="C583" s="12"/>
      <c r="D583" s="12"/>
      <c r="E583" s="12"/>
      <c r="F583" s="12"/>
      <c r="G583" s="18"/>
      <c r="H583" s="35"/>
      <c r="I583" s="12"/>
      <c r="M583" s="12"/>
      <c r="N583" s="18"/>
      <c r="O583" s="12"/>
      <c r="P583" s="12"/>
      <c r="Q583" s="12"/>
      <c r="R583" s="36"/>
      <c r="S583" s="36"/>
      <c r="T583" s="12"/>
      <c r="U583" s="12"/>
      <c r="V583" s="12"/>
      <c r="W583" s="12"/>
      <c r="X583" s="12"/>
    </row>
    <row r="584" customFormat="false" ht="15.75" hidden="false" customHeight="false" outlineLevel="0" collapsed="false">
      <c r="A584" s="12"/>
      <c r="B584" s="34"/>
      <c r="C584" s="12"/>
      <c r="D584" s="12"/>
      <c r="E584" s="12"/>
      <c r="F584" s="12"/>
      <c r="G584" s="18"/>
      <c r="H584" s="35"/>
      <c r="I584" s="12"/>
      <c r="M584" s="12"/>
      <c r="N584" s="18"/>
      <c r="O584" s="12"/>
      <c r="P584" s="12"/>
      <c r="Q584" s="12"/>
      <c r="R584" s="36"/>
      <c r="S584" s="36"/>
      <c r="T584" s="12"/>
      <c r="U584" s="12"/>
      <c r="V584" s="12"/>
      <c r="W584" s="12"/>
      <c r="X584" s="12"/>
    </row>
    <row r="585" customFormat="false" ht="15.75" hidden="false" customHeight="false" outlineLevel="0" collapsed="false">
      <c r="A585" s="12"/>
      <c r="B585" s="34"/>
      <c r="C585" s="12"/>
      <c r="D585" s="12"/>
      <c r="E585" s="12"/>
      <c r="F585" s="12"/>
      <c r="G585" s="18"/>
      <c r="H585" s="35"/>
      <c r="I585" s="12"/>
      <c r="M585" s="12"/>
      <c r="N585" s="18"/>
      <c r="O585" s="12"/>
      <c r="P585" s="12"/>
      <c r="Q585" s="12"/>
      <c r="R585" s="36"/>
      <c r="S585" s="36"/>
      <c r="T585" s="12"/>
      <c r="U585" s="12"/>
      <c r="V585" s="12"/>
      <c r="W585" s="12"/>
      <c r="X585" s="12"/>
    </row>
    <row r="586" customFormat="false" ht="15.75" hidden="false" customHeight="false" outlineLevel="0" collapsed="false">
      <c r="A586" s="12"/>
      <c r="B586" s="34"/>
      <c r="C586" s="12"/>
      <c r="D586" s="12"/>
      <c r="E586" s="12"/>
      <c r="F586" s="12"/>
      <c r="G586" s="18"/>
      <c r="H586" s="35"/>
      <c r="I586" s="12"/>
      <c r="M586" s="12"/>
      <c r="N586" s="18"/>
      <c r="O586" s="12"/>
      <c r="P586" s="12"/>
      <c r="Q586" s="12"/>
      <c r="R586" s="36"/>
      <c r="S586" s="36"/>
      <c r="T586" s="12"/>
      <c r="U586" s="12"/>
      <c r="V586" s="12"/>
      <c r="W586" s="12"/>
      <c r="X586" s="12"/>
    </row>
    <row r="587" customFormat="false" ht="15.75" hidden="false" customHeight="false" outlineLevel="0" collapsed="false">
      <c r="A587" s="12"/>
      <c r="B587" s="34"/>
      <c r="C587" s="12"/>
      <c r="D587" s="12"/>
      <c r="E587" s="12"/>
      <c r="F587" s="12"/>
      <c r="G587" s="18"/>
      <c r="H587" s="35"/>
      <c r="I587" s="12"/>
      <c r="M587" s="12"/>
      <c r="N587" s="18"/>
      <c r="O587" s="12"/>
      <c r="P587" s="12"/>
      <c r="Q587" s="12"/>
      <c r="R587" s="36"/>
      <c r="S587" s="36"/>
      <c r="T587" s="12"/>
      <c r="U587" s="12"/>
      <c r="V587" s="12"/>
      <c r="W587" s="12"/>
      <c r="X587" s="12"/>
    </row>
    <row r="588" customFormat="false" ht="15.75" hidden="false" customHeight="false" outlineLevel="0" collapsed="false">
      <c r="A588" s="12"/>
      <c r="B588" s="34"/>
      <c r="C588" s="12"/>
      <c r="D588" s="12"/>
      <c r="E588" s="12"/>
      <c r="F588" s="12"/>
      <c r="G588" s="18"/>
      <c r="H588" s="35"/>
      <c r="I588" s="12"/>
      <c r="M588" s="12"/>
      <c r="N588" s="18"/>
      <c r="O588" s="12"/>
      <c r="P588" s="12"/>
      <c r="Q588" s="12"/>
      <c r="R588" s="36"/>
      <c r="S588" s="36"/>
      <c r="T588" s="12"/>
      <c r="U588" s="12"/>
      <c r="V588" s="12"/>
      <c r="W588" s="12"/>
      <c r="X588" s="12"/>
    </row>
    <row r="589" customFormat="false" ht="15.75" hidden="false" customHeight="false" outlineLevel="0" collapsed="false">
      <c r="A589" s="12"/>
      <c r="B589" s="34"/>
      <c r="C589" s="12"/>
      <c r="D589" s="12"/>
      <c r="E589" s="12"/>
      <c r="F589" s="12"/>
      <c r="G589" s="18"/>
      <c r="H589" s="35"/>
      <c r="I589" s="12"/>
      <c r="M589" s="12"/>
      <c r="N589" s="18"/>
      <c r="O589" s="12"/>
      <c r="P589" s="12"/>
      <c r="Q589" s="12"/>
      <c r="R589" s="36"/>
      <c r="S589" s="36"/>
      <c r="T589" s="12"/>
      <c r="U589" s="12"/>
      <c r="V589" s="12"/>
      <c r="W589" s="12"/>
      <c r="X589" s="12"/>
    </row>
    <row r="590" customFormat="false" ht="15.75" hidden="false" customHeight="false" outlineLevel="0" collapsed="false">
      <c r="A590" s="12"/>
      <c r="B590" s="34"/>
      <c r="C590" s="12"/>
      <c r="D590" s="12"/>
      <c r="E590" s="12"/>
      <c r="F590" s="12"/>
      <c r="G590" s="18"/>
      <c r="H590" s="35"/>
      <c r="I590" s="12"/>
      <c r="M590" s="12"/>
      <c r="N590" s="18"/>
      <c r="O590" s="12"/>
      <c r="P590" s="12"/>
      <c r="Q590" s="12"/>
      <c r="R590" s="36"/>
      <c r="S590" s="36"/>
      <c r="T590" s="12"/>
      <c r="U590" s="12"/>
      <c r="V590" s="12"/>
      <c r="W590" s="12"/>
      <c r="X590" s="12"/>
    </row>
    <row r="591" customFormat="false" ht="15.75" hidden="false" customHeight="false" outlineLevel="0" collapsed="false">
      <c r="A591" s="12"/>
      <c r="B591" s="34"/>
      <c r="C591" s="12"/>
      <c r="D591" s="12"/>
      <c r="E591" s="12"/>
      <c r="F591" s="12"/>
      <c r="G591" s="18"/>
      <c r="H591" s="35"/>
      <c r="I591" s="12"/>
      <c r="M591" s="12"/>
      <c r="N591" s="18"/>
      <c r="O591" s="12"/>
      <c r="P591" s="12"/>
      <c r="Q591" s="12"/>
      <c r="R591" s="36"/>
      <c r="S591" s="36"/>
      <c r="T591" s="12"/>
      <c r="U591" s="12"/>
      <c r="V591" s="12"/>
      <c r="W591" s="12"/>
      <c r="X591" s="12"/>
    </row>
    <row r="592" customFormat="false" ht="15.75" hidden="false" customHeight="false" outlineLevel="0" collapsed="false">
      <c r="A592" s="12"/>
      <c r="B592" s="34"/>
      <c r="C592" s="12"/>
      <c r="D592" s="12"/>
      <c r="E592" s="12"/>
      <c r="F592" s="12"/>
      <c r="G592" s="18"/>
      <c r="H592" s="35"/>
      <c r="I592" s="12"/>
      <c r="M592" s="12"/>
      <c r="N592" s="18"/>
      <c r="O592" s="12"/>
      <c r="P592" s="12"/>
      <c r="Q592" s="12"/>
      <c r="R592" s="36"/>
      <c r="S592" s="36"/>
      <c r="T592" s="12"/>
      <c r="U592" s="12"/>
      <c r="V592" s="12"/>
      <c r="W592" s="12"/>
      <c r="X592" s="12"/>
    </row>
    <row r="593" customFormat="false" ht="15.75" hidden="false" customHeight="false" outlineLevel="0" collapsed="false">
      <c r="A593" s="12"/>
      <c r="B593" s="34"/>
      <c r="C593" s="12"/>
      <c r="D593" s="12"/>
      <c r="E593" s="12"/>
      <c r="F593" s="12"/>
      <c r="G593" s="18"/>
      <c r="H593" s="35"/>
      <c r="I593" s="12"/>
      <c r="M593" s="12"/>
      <c r="N593" s="18"/>
      <c r="O593" s="12"/>
      <c r="P593" s="12"/>
      <c r="Q593" s="12"/>
      <c r="R593" s="36"/>
      <c r="S593" s="36"/>
      <c r="T593" s="12"/>
      <c r="U593" s="12"/>
      <c r="V593" s="12"/>
      <c r="W593" s="12"/>
      <c r="X593" s="12"/>
    </row>
    <row r="594" customFormat="false" ht="15.75" hidden="false" customHeight="false" outlineLevel="0" collapsed="false">
      <c r="A594" s="12"/>
      <c r="B594" s="34"/>
      <c r="C594" s="12"/>
      <c r="D594" s="12"/>
      <c r="E594" s="12"/>
      <c r="F594" s="12"/>
      <c r="G594" s="18"/>
      <c r="H594" s="35"/>
      <c r="I594" s="12"/>
      <c r="M594" s="12"/>
      <c r="N594" s="18"/>
      <c r="O594" s="12"/>
      <c r="P594" s="12"/>
      <c r="Q594" s="12"/>
      <c r="R594" s="36"/>
      <c r="S594" s="36"/>
      <c r="T594" s="12"/>
      <c r="U594" s="12"/>
      <c r="V594" s="12"/>
      <c r="W594" s="12"/>
      <c r="X594" s="12"/>
    </row>
    <row r="595" customFormat="false" ht="15.75" hidden="false" customHeight="false" outlineLevel="0" collapsed="false">
      <c r="A595" s="12"/>
      <c r="B595" s="34"/>
      <c r="C595" s="12"/>
      <c r="D595" s="12"/>
      <c r="E595" s="12"/>
      <c r="F595" s="12"/>
      <c r="G595" s="18"/>
      <c r="H595" s="35"/>
      <c r="I595" s="12"/>
      <c r="M595" s="12"/>
      <c r="N595" s="18"/>
      <c r="O595" s="12"/>
      <c r="P595" s="12"/>
      <c r="Q595" s="12"/>
      <c r="R595" s="36"/>
      <c r="S595" s="36"/>
      <c r="T595" s="12"/>
      <c r="U595" s="12"/>
      <c r="V595" s="12"/>
      <c r="W595" s="12"/>
      <c r="X595" s="12"/>
    </row>
    <row r="596" customFormat="false" ht="15.75" hidden="false" customHeight="false" outlineLevel="0" collapsed="false">
      <c r="A596" s="12"/>
      <c r="B596" s="34"/>
      <c r="C596" s="12"/>
      <c r="D596" s="12"/>
      <c r="E596" s="12"/>
      <c r="F596" s="12"/>
      <c r="G596" s="18"/>
      <c r="H596" s="35"/>
      <c r="I596" s="12"/>
      <c r="M596" s="12"/>
      <c r="N596" s="18"/>
      <c r="O596" s="12"/>
      <c r="P596" s="12"/>
      <c r="Q596" s="12"/>
      <c r="R596" s="36"/>
      <c r="S596" s="36"/>
      <c r="T596" s="12"/>
      <c r="U596" s="12"/>
      <c r="V596" s="12"/>
      <c r="W596" s="12"/>
      <c r="X596" s="12"/>
    </row>
    <row r="597" customFormat="false" ht="15.75" hidden="false" customHeight="false" outlineLevel="0" collapsed="false">
      <c r="A597" s="12"/>
      <c r="B597" s="34"/>
      <c r="C597" s="12"/>
      <c r="D597" s="12"/>
      <c r="E597" s="12"/>
      <c r="F597" s="12"/>
      <c r="G597" s="18"/>
      <c r="H597" s="35"/>
      <c r="I597" s="12"/>
      <c r="M597" s="12"/>
      <c r="N597" s="18"/>
      <c r="O597" s="12"/>
      <c r="P597" s="12"/>
      <c r="Q597" s="12"/>
      <c r="R597" s="36"/>
      <c r="S597" s="36"/>
      <c r="T597" s="12"/>
      <c r="U597" s="12"/>
      <c r="V597" s="12"/>
      <c r="W597" s="12"/>
      <c r="X597" s="12"/>
    </row>
    <row r="598" customFormat="false" ht="15.75" hidden="false" customHeight="false" outlineLevel="0" collapsed="false">
      <c r="A598" s="12"/>
      <c r="B598" s="34"/>
      <c r="C598" s="12"/>
      <c r="D598" s="12"/>
      <c r="E598" s="12"/>
      <c r="F598" s="12"/>
      <c r="G598" s="18"/>
      <c r="H598" s="35"/>
      <c r="I598" s="12"/>
      <c r="M598" s="12"/>
      <c r="N598" s="18"/>
      <c r="O598" s="12"/>
      <c r="P598" s="12"/>
      <c r="Q598" s="12"/>
      <c r="R598" s="36"/>
      <c r="S598" s="36"/>
      <c r="T598" s="12"/>
      <c r="U598" s="12"/>
      <c r="V598" s="12"/>
      <c r="W598" s="12"/>
      <c r="X598" s="12"/>
    </row>
    <row r="599" customFormat="false" ht="15.75" hidden="false" customHeight="false" outlineLevel="0" collapsed="false">
      <c r="A599" s="12"/>
      <c r="B599" s="34"/>
      <c r="C599" s="12"/>
      <c r="D599" s="12"/>
      <c r="E599" s="12"/>
      <c r="F599" s="12"/>
      <c r="G599" s="18"/>
      <c r="H599" s="35"/>
      <c r="I599" s="12"/>
      <c r="M599" s="12"/>
      <c r="N599" s="18"/>
      <c r="O599" s="12"/>
      <c r="P599" s="12"/>
      <c r="Q599" s="12"/>
      <c r="R599" s="36"/>
      <c r="S599" s="36"/>
      <c r="T599" s="12"/>
      <c r="U599" s="12"/>
      <c r="V599" s="12"/>
      <c r="W599" s="12"/>
      <c r="X599" s="12"/>
    </row>
    <row r="600" customFormat="false" ht="15.75" hidden="false" customHeight="false" outlineLevel="0" collapsed="false">
      <c r="A600" s="12"/>
      <c r="B600" s="34"/>
      <c r="C600" s="12"/>
      <c r="D600" s="12"/>
      <c r="E600" s="12"/>
      <c r="F600" s="12"/>
      <c r="G600" s="18"/>
      <c r="H600" s="35"/>
      <c r="I600" s="12"/>
      <c r="M600" s="12"/>
      <c r="N600" s="18"/>
      <c r="O600" s="12"/>
      <c r="P600" s="12"/>
      <c r="Q600" s="12"/>
      <c r="R600" s="36"/>
      <c r="S600" s="36"/>
      <c r="T600" s="12"/>
      <c r="U600" s="12"/>
      <c r="V600" s="12"/>
      <c r="W600" s="12"/>
      <c r="X600" s="12"/>
    </row>
    <row r="601" customFormat="false" ht="15.75" hidden="false" customHeight="false" outlineLevel="0" collapsed="false">
      <c r="A601" s="12"/>
      <c r="B601" s="34"/>
      <c r="C601" s="12"/>
      <c r="D601" s="12"/>
      <c r="E601" s="12"/>
      <c r="F601" s="12"/>
      <c r="G601" s="18"/>
      <c r="H601" s="35"/>
      <c r="I601" s="12"/>
      <c r="M601" s="12"/>
      <c r="N601" s="18"/>
      <c r="O601" s="12"/>
      <c r="P601" s="12"/>
      <c r="Q601" s="12"/>
      <c r="R601" s="36"/>
      <c r="S601" s="36"/>
      <c r="T601" s="12"/>
      <c r="U601" s="12"/>
      <c r="V601" s="12"/>
      <c r="W601" s="12"/>
      <c r="X601" s="12"/>
    </row>
    <row r="602" customFormat="false" ht="15.75" hidden="false" customHeight="false" outlineLevel="0" collapsed="false">
      <c r="A602" s="12"/>
      <c r="B602" s="34"/>
      <c r="C602" s="12"/>
      <c r="D602" s="12"/>
      <c r="E602" s="12"/>
      <c r="F602" s="12"/>
      <c r="G602" s="18"/>
      <c r="H602" s="35"/>
      <c r="I602" s="12"/>
      <c r="M602" s="12"/>
      <c r="N602" s="18"/>
      <c r="O602" s="12"/>
      <c r="P602" s="12"/>
      <c r="Q602" s="12"/>
      <c r="R602" s="36"/>
      <c r="S602" s="36"/>
      <c r="T602" s="12"/>
      <c r="U602" s="12"/>
      <c r="V602" s="12"/>
      <c r="W602" s="12"/>
      <c r="X602" s="12"/>
    </row>
    <row r="603" customFormat="false" ht="15.75" hidden="false" customHeight="false" outlineLevel="0" collapsed="false">
      <c r="A603" s="12"/>
      <c r="B603" s="34"/>
      <c r="C603" s="12"/>
      <c r="D603" s="12"/>
      <c r="E603" s="12"/>
      <c r="F603" s="12"/>
      <c r="G603" s="18"/>
      <c r="H603" s="35"/>
      <c r="I603" s="12"/>
      <c r="M603" s="12"/>
      <c r="N603" s="18"/>
      <c r="O603" s="12"/>
      <c r="P603" s="12"/>
      <c r="Q603" s="12"/>
      <c r="R603" s="36"/>
      <c r="S603" s="36"/>
      <c r="T603" s="12"/>
      <c r="U603" s="12"/>
      <c r="V603" s="12"/>
      <c r="W603" s="12"/>
      <c r="X603" s="12"/>
    </row>
    <row r="604" customFormat="false" ht="15.75" hidden="false" customHeight="false" outlineLevel="0" collapsed="false">
      <c r="A604" s="12"/>
      <c r="B604" s="34"/>
      <c r="C604" s="12"/>
      <c r="D604" s="12"/>
      <c r="E604" s="12"/>
      <c r="F604" s="12"/>
      <c r="G604" s="18"/>
      <c r="H604" s="35"/>
      <c r="I604" s="12"/>
      <c r="M604" s="12"/>
      <c r="N604" s="18"/>
      <c r="O604" s="12"/>
      <c r="P604" s="12"/>
      <c r="Q604" s="12"/>
      <c r="R604" s="36"/>
      <c r="S604" s="36"/>
      <c r="T604" s="12"/>
      <c r="U604" s="12"/>
      <c r="V604" s="12"/>
      <c r="W604" s="12"/>
      <c r="X604" s="12"/>
    </row>
    <row r="605" customFormat="false" ht="15.75" hidden="false" customHeight="false" outlineLevel="0" collapsed="false">
      <c r="A605" s="12"/>
      <c r="B605" s="34"/>
      <c r="C605" s="12"/>
      <c r="D605" s="12"/>
      <c r="E605" s="12"/>
      <c r="F605" s="12"/>
      <c r="G605" s="18"/>
      <c r="H605" s="35"/>
      <c r="I605" s="12"/>
      <c r="M605" s="12"/>
      <c r="N605" s="18"/>
      <c r="O605" s="12"/>
      <c r="P605" s="12"/>
      <c r="Q605" s="12"/>
      <c r="R605" s="36"/>
      <c r="S605" s="36"/>
      <c r="T605" s="12"/>
      <c r="U605" s="12"/>
      <c r="V605" s="12"/>
      <c r="W605" s="12"/>
      <c r="X605" s="12"/>
    </row>
    <row r="606" customFormat="false" ht="15.75" hidden="false" customHeight="false" outlineLevel="0" collapsed="false">
      <c r="A606" s="12"/>
      <c r="B606" s="34"/>
      <c r="C606" s="12"/>
      <c r="D606" s="12"/>
      <c r="E606" s="12"/>
      <c r="F606" s="12"/>
      <c r="G606" s="18"/>
      <c r="H606" s="35"/>
      <c r="I606" s="12"/>
      <c r="M606" s="12"/>
      <c r="N606" s="18"/>
      <c r="O606" s="12"/>
      <c r="P606" s="12"/>
      <c r="Q606" s="12"/>
      <c r="R606" s="36"/>
      <c r="S606" s="36"/>
      <c r="T606" s="12"/>
      <c r="U606" s="12"/>
      <c r="V606" s="12"/>
      <c r="W606" s="12"/>
      <c r="X606" s="12"/>
    </row>
    <row r="607" customFormat="false" ht="15.75" hidden="false" customHeight="false" outlineLevel="0" collapsed="false">
      <c r="A607" s="12"/>
      <c r="B607" s="34"/>
      <c r="C607" s="12"/>
      <c r="D607" s="12"/>
      <c r="E607" s="12"/>
      <c r="F607" s="12"/>
      <c r="G607" s="18"/>
      <c r="H607" s="35"/>
      <c r="I607" s="12"/>
      <c r="M607" s="12"/>
      <c r="N607" s="18"/>
      <c r="O607" s="12"/>
      <c r="P607" s="12"/>
      <c r="Q607" s="12"/>
      <c r="R607" s="36"/>
      <c r="S607" s="36"/>
      <c r="T607" s="12"/>
      <c r="U607" s="12"/>
      <c r="V607" s="12"/>
      <c r="W607" s="12"/>
      <c r="X607" s="12"/>
    </row>
    <row r="608" customFormat="false" ht="15.75" hidden="false" customHeight="false" outlineLevel="0" collapsed="false">
      <c r="A608" s="12"/>
      <c r="B608" s="34"/>
      <c r="C608" s="12"/>
      <c r="D608" s="12"/>
      <c r="E608" s="12"/>
      <c r="F608" s="12"/>
      <c r="G608" s="18"/>
      <c r="H608" s="35"/>
      <c r="I608" s="12"/>
      <c r="M608" s="12"/>
      <c r="N608" s="18"/>
      <c r="O608" s="12"/>
      <c r="P608" s="12"/>
      <c r="Q608" s="12"/>
      <c r="R608" s="36"/>
      <c r="S608" s="36"/>
      <c r="T608" s="12"/>
      <c r="U608" s="12"/>
      <c r="V608" s="12"/>
      <c r="W608" s="12"/>
      <c r="X608" s="12"/>
    </row>
    <row r="609" customFormat="false" ht="15.75" hidden="false" customHeight="false" outlineLevel="0" collapsed="false">
      <c r="A609" s="12"/>
      <c r="B609" s="34"/>
      <c r="C609" s="12"/>
      <c r="D609" s="12"/>
      <c r="E609" s="12"/>
      <c r="F609" s="12"/>
      <c r="G609" s="18"/>
      <c r="H609" s="35"/>
      <c r="I609" s="12"/>
      <c r="M609" s="12"/>
      <c r="N609" s="18"/>
      <c r="O609" s="12"/>
      <c r="P609" s="12"/>
      <c r="Q609" s="12"/>
      <c r="R609" s="36"/>
      <c r="S609" s="36"/>
      <c r="T609" s="12"/>
      <c r="U609" s="12"/>
      <c r="V609" s="12"/>
      <c r="W609" s="12"/>
      <c r="X609" s="12"/>
    </row>
    <row r="610" customFormat="false" ht="15.75" hidden="false" customHeight="false" outlineLevel="0" collapsed="false">
      <c r="A610" s="12"/>
      <c r="B610" s="34"/>
      <c r="C610" s="12"/>
      <c r="D610" s="12"/>
      <c r="E610" s="12"/>
      <c r="F610" s="12"/>
      <c r="G610" s="18"/>
      <c r="H610" s="35"/>
      <c r="I610" s="12"/>
      <c r="M610" s="12"/>
      <c r="N610" s="18"/>
      <c r="O610" s="12"/>
      <c r="P610" s="12"/>
      <c r="Q610" s="12"/>
      <c r="R610" s="36"/>
      <c r="S610" s="36"/>
      <c r="T610" s="12"/>
      <c r="U610" s="12"/>
      <c r="V610" s="12"/>
      <c r="W610" s="12"/>
      <c r="X610" s="12"/>
    </row>
    <row r="611" customFormat="false" ht="15.75" hidden="false" customHeight="false" outlineLevel="0" collapsed="false">
      <c r="A611" s="12"/>
      <c r="B611" s="34"/>
      <c r="C611" s="12"/>
      <c r="D611" s="12"/>
      <c r="E611" s="12"/>
      <c r="F611" s="12"/>
      <c r="G611" s="18"/>
      <c r="H611" s="35"/>
      <c r="I611" s="12"/>
      <c r="M611" s="12"/>
      <c r="N611" s="18"/>
      <c r="O611" s="12"/>
      <c r="P611" s="12"/>
      <c r="Q611" s="12"/>
      <c r="R611" s="36"/>
      <c r="S611" s="36"/>
      <c r="T611" s="12"/>
      <c r="U611" s="12"/>
      <c r="V611" s="12"/>
      <c r="W611" s="12"/>
      <c r="X611" s="12"/>
    </row>
    <row r="612" customFormat="false" ht="15.75" hidden="false" customHeight="false" outlineLevel="0" collapsed="false">
      <c r="A612" s="12"/>
      <c r="B612" s="34"/>
      <c r="C612" s="12"/>
      <c r="D612" s="12"/>
      <c r="E612" s="12"/>
      <c r="F612" s="12"/>
      <c r="G612" s="18"/>
      <c r="H612" s="35"/>
      <c r="I612" s="12"/>
      <c r="M612" s="12"/>
      <c r="N612" s="18"/>
      <c r="O612" s="12"/>
      <c r="P612" s="12"/>
      <c r="Q612" s="12"/>
      <c r="R612" s="36"/>
      <c r="S612" s="36"/>
      <c r="T612" s="12"/>
      <c r="U612" s="12"/>
      <c r="V612" s="12"/>
      <c r="W612" s="12"/>
      <c r="X612" s="12"/>
    </row>
    <row r="613" customFormat="false" ht="15.75" hidden="false" customHeight="false" outlineLevel="0" collapsed="false">
      <c r="A613" s="12"/>
      <c r="B613" s="34"/>
      <c r="C613" s="12"/>
      <c r="D613" s="12"/>
      <c r="E613" s="12"/>
      <c r="F613" s="12"/>
      <c r="G613" s="18"/>
      <c r="H613" s="35"/>
      <c r="I613" s="12"/>
      <c r="M613" s="12"/>
      <c r="N613" s="18"/>
      <c r="O613" s="12"/>
      <c r="P613" s="12"/>
      <c r="Q613" s="12"/>
      <c r="R613" s="36"/>
      <c r="S613" s="36"/>
      <c r="T613" s="12"/>
      <c r="U613" s="12"/>
      <c r="V613" s="12"/>
      <c r="W613" s="12"/>
      <c r="X613" s="12"/>
    </row>
    <row r="614" customFormat="false" ht="15.75" hidden="false" customHeight="false" outlineLevel="0" collapsed="false">
      <c r="A614" s="12"/>
      <c r="B614" s="34"/>
      <c r="C614" s="12"/>
      <c r="D614" s="12"/>
      <c r="E614" s="12"/>
      <c r="F614" s="12"/>
      <c r="G614" s="18"/>
      <c r="H614" s="35"/>
      <c r="I614" s="12"/>
      <c r="M614" s="12"/>
      <c r="N614" s="18"/>
      <c r="O614" s="12"/>
      <c r="P614" s="12"/>
      <c r="Q614" s="12"/>
      <c r="R614" s="36"/>
      <c r="S614" s="36"/>
      <c r="T614" s="12"/>
      <c r="U614" s="12"/>
      <c r="V614" s="12"/>
      <c r="W614" s="12"/>
      <c r="X614" s="12"/>
    </row>
    <row r="615" customFormat="false" ht="15.75" hidden="false" customHeight="false" outlineLevel="0" collapsed="false">
      <c r="A615" s="12"/>
      <c r="B615" s="34"/>
      <c r="C615" s="12"/>
      <c r="D615" s="12"/>
      <c r="E615" s="12"/>
      <c r="F615" s="12"/>
      <c r="G615" s="18"/>
      <c r="H615" s="35"/>
      <c r="I615" s="12"/>
      <c r="M615" s="12"/>
      <c r="N615" s="18"/>
      <c r="O615" s="12"/>
      <c r="P615" s="12"/>
      <c r="Q615" s="12"/>
      <c r="R615" s="36"/>
      <c r="S615" s="36"/>
      <c r="T615" s="12"/>
      <c r="U615" s="12"/>
      <c r="V615" s="12"/>
      <c r="W615" s="12"/>
      <c r="X615" s="12"/>
    </row>
    <row r="616" customFormat="false" ht="15.75" hidden="false" customHeight="false" outlineLevel="0" collapsed="false">
      <c r="A616" s="12"/>
      <c r="B616" s="34"/>
      <c r="C616" s="12"/>
      <c r="D616" s="12"/>
      <c r="E616" s="12"/>
      <c r="F616" s="12"/>
      <c r="G616" s="18"/>
      <c r="H616" s="35"/>
      <c r="I616" s="12"/>
      <c r="M616" s="12"/>
      <c r="N616" s="18"/>
      <c r="O616" s="12"/>
      <c r="P616" s="12"/>
      <c r="Q616" s="12"/>
      <c r="R616" s="36"/>
      <c r="S616" s="36"/>
      <c r="T616" s="12"/>
      <c r="U616" s="12"/>
      <c r="V616" s="12"/>
      <c r="W616" s="12"/>
      <c r="X616" s="12"/>
    </row>
    <row r="617" customFormat="false" ht="15.75" hidden="false" customHeight="false" outlineLevel="0" collapsed="false">
      <c r="A617" s="12"/>
      <c r="B617" s="34"/>
      <c r="C617" s="12"/>
      <c r="D617" s="12"/>
      <c r="E617" s="12"/>
      <c r="F617" s="12"/>
      <c r="G617" s="18"/>
      <c r="H617" s="35"/>
      <c r="I617" s="12"/>
      <c r="M617" s="12"/>
      <c r="N617" s="18"/>
      <c r="O617" s="12"/>
      <c r="P617" s="12"/>
      <c r="Q617" s="12"/>
      <c r="R617" s="36"/>
      <c r="S617" s="36"/>
      <c r="T617" s="12"/>
      <c r="U617" s="12"/>
      <c r="V617" s="12"/>
      <c r="W617" s="12"/>
      <c r="X617" s="12"/>
    </row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AE74"/>
  <conditionalFormatting sqref="R2:R70 S2:S617 P71 R72:R617">
    <cfRule type="expression" priority="2" aboveAverage="0" equalAverage="0" bottom="0" percent="0" rank="0" text="" dxfId="0">
      <formula>LEN(TRIM(#ref!))&gt;0</formula>
    </cfRule>
  </conditionalFormatting>
  <conditionalFormatting sqref="Q2:Q3 Q5:Q56 Q59:Q617">
    <cfRule type="expression" priority="3" aboveAverage="0" equalAverage="0" bottom="0" percent="0" rank="0" text="" dxfId="0">
      <formula>LEN(TRIM(Q2))&gt;0</formula>
    </cfRule>
  </conditionalFormatting>
  <conditionalFormatting sqref="G2:G617 N2:N617">
    <cfRule type="containsText" priority="4" operator="containsText" aboveAverage="0" equalAverage="0" bottom="0" percent="0" rank="0" text="x" dxfId="0">
      <formula>NOT(ISERROR(SEARCH("x",G2)))</formula>
    </cfRule>
  </conditionalFormatting>
  <conditionalFormatting sqref="T2:T617">
    <cfRule type="expression" priority="5" aboveAverage="0" equalAverage="0" bottom="0" percent="0" rank="0" text="" dxfId="0">
      <formula>LEN(TRIM(T2))&gt;0</formula>
    </cfRule>
  </conditionalFormatting>
  <conditionalFormatting sqref="W2:W617">
    <cfRule type="expression" priority="6" aboveAverage="0" equalAverage="0" bottom="0" percent="0" rank="0" text="" dxfId="0">
      <formula>LEN(TRIM(W2))&gt;0</formula>
    </cfRule>
  </conditionalFormatting>
  <conditionalFormatting sqref="X2:X617 P27">
    <cfRule type="cellIs" priority="7" operator="equal" aboveAverage="0" equalAverage="0" bottom="0" percent="0" rank="0" text="" dxfId="0">
      <formula>"Completo"</formula>
    </cfRule>
    <cfRule type="cellIs" priority="8" operator="equal" aboveAverage="0" equalAverage="0" bottom="0" percent="0" rank="0" text="" dxfId="1">
      <formula>"No aplica"</formula>
    </cfRule>
  </conditionalFormatting>
  <conditionalFormatting sqref="G2:I617 O2:O617 P2:P70 U2:V617 X2:X617 P72:P617">
    <cfRule type="cellIs" priority="9" operator="equal" aboveAverage="0" equalAverage="0" bottom="0" percent="0" rank="0" text="" dxfId="0">
      <formula>"Completo"</formula>
    </cfRule>
    <cfRule type="cellIs" priority="10" operator="equal" aboveAverage="0" equalAverage="0" bottom="0" percent="0" rank="0" text="" dxfId="1">
      <formula>"No Aplica"</formula>
    </cfRule>
  </conditionalFormatting>
  <dataValidations count="5">
    <dataValidation allowBlank="true" errorStyle="stop" operator="between" showDropDown="false" showErrorMessage="false" showInputMessage="false" sqref="T2:T617" type="list">
      <formula1>LEYENDA!$A$23:$A$24</formula1>
      <formula2>0</formula2>
    </dataValidation>
    <dataValidation allowBlank="true" errorStyle="stop" operator="between" showDropDown="false" showErrorMessage="false" showInputMessage="false" sqref="R2:R70 P71 R72:R617" type="list">
      <formula1>LEYENDA!$A$15:$A$21</formula1>
      <formula2>0</formula2>
    </dataValidation>
    <dataValidation allowBlank="true" errorStyle="stop" operator="between" showDropDown="false" showErrorMessage="true" showInputMessage="false" sqref="D2:D617" type="list">
      <formula1>LEYENDA!$B$2:$D$2</formula1>
      <formula2>0</formula2>
    </dataValidation>
    <dataValidation allowBlank="true" errorStyle="stop" operator="between" showDropDown="false" showErrorMessage="true" showInputMessage="false" sqref="H2:I617 O2:P70 U2:V617 X2:X617 O71 O72:P617" type="list">
      <formula1>LEYENDA!$B$1:$C$1</formula1>
      <formula2>0</formula2>
    </dataValidation>
    <dataValidation allowBlank="true" errorStyle="stop" operator="between" showDropDown="false" showErrorMessage="false" showInputMessage="false" sqref="E2:E617" type="list">
      <formula1>LEYENDA!$A$8:$A$12</formula1>
      <formula2>0</formula2>
    </dataValidation>
  </dataValidations>
  <hyperlinks>
    <hyperlink ref="P4" r:id="rId1" display="Completo"/>
    <hyperlink ref="U4" r:id="rId2" display="Completo"/>
    <hyperlink ref="V4" r:id="rId3" display="Completo"/>
    <hyperlink ref="P5" r:id="rId4" display="Completo"/>
    <hyperlink ref="U5" r:id="rId5" display="Completo"/>
    <hyperlink ref="P6" r:id="rId6" display="Completo"/>
    <hyperlink ref="U6" r:id="rId7" display="Completo"/>
    <hyperlink ref="V6" r:id="rId8" display="Completo"/>
    <hyperlink ref="V7" r:id="rId9" display="Completo"/>
    <hyperlink ref="P11" r:id="rId10" display="Completo"/>
    <hyperlink ref="H22" r:id="rId11" display="https://photos.app.goo.gl/JGKxApsxb2J6LUsn8"/>
    <hyperlink ref="P23" r:id="rId12" display="Completo"/>
    <hyperlink ref="U23" r:id="rId13" display="Completo"/>
    <hyperlink ref="V23" r:id="rId14" display="Completo"/>
    <hyperlink ref="U24" r:id="rId15" display="Completo"/>
    <hyperlink ref="V24" r:id="rId16" display="Completo"/>
    <hyperlink ref="P25" r:id="rId17" display="Completo"/>
    <hyperlink ref="U25" r:id="rId18" display="Completo"/>
    <hyperlink ref="V25" r:id="rId19" display="Completo"/>
    <hyperlink ref="P26" r:id="rId20" display="Completo"/>
    <hyperlink ref="U26" r:id="rId21" display="Completo"/>
    <hyperlink ref="V26" r:id="rId22" display="Completo"/>
    <hyperlink ref="U27" r:id="rId23" display="Completo"/>
    <hyperlink ref="V27" r:id="rId24" display="Completo"/>
    <hyperlink ref="U35" r:id="rId25" display="Completo"/>
    <hyperlink ref="V35" r:id="rId26" display="Completo"/>
    <hyperlink ref="U36" r:id="rId27" display="Completo"/>
    <hyperlink ref="V36" r:id="rId28" display="Completo"/>
    <hyperlink ref="H41" r:id="rId29" display="Completo"/>
    <hyperlink ref="H43" r:id="rId30" display="Completo"/>
    <hyperlink ref="H44" r:id="rId31" display="Completo"/>
    <hyperlink ref="H45" r:id="rId32" display="Completo"/>
    <hyperlink ref="H46" r:id="rId33" display="Completo"/>
    <hyperlink ref="U46" r:id="rId34" display="Completo"/>
    <hyperlink ref="V46" r:id="rId35" display="Completo"/>
    <hyperlink ref="H47" r:id="rId36" display="Completo"/>
    <hyperlink ref="H48" r:id="rId37" display="Completo"/>
    <hyperlink ref="H50" r:id="rId38" display="Completo"/>
    <hyperlink ref="H53" r:id="rId39" display="Completo"/>
    <hyperlink ref="H54" r:id="rId40" display="Completo"/>
    <hyperlink ref="H55" r:id="rId41" display="Completo"/>
    <hyperlink ref="U55" r:id="rId42" display="Completo"/>
    <hyperlink ref="V55" r:id="rId43" display="Completo"/>
  </hyperlinks>
  <printOptions headings="false" gridLines="true" gridLinesSet="true" horizontalCentered="true" verticalCentered="false"/>
  <pageMargins left="0.7" right="0.7" top="0.75" bottom="0.75" header="0.511811023622047" footer="0.511811023622047"/>
  <pageSetup paperSize="9" scale="100" fitToWidth="1" fitToHeight="0" pageOrder="overThenDown" orientation="landscape" blackAndWhite="false" draft="false" cellComments="none" horizontalDpi="300" verticalDpi="300" copies="1"/>
  <headerFooter differentFirst="false" differentOddEven="false">
    <oddHeader/>
    <oddFooter/>
  </headerFooter>
  <drawing r:id="rId44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XFD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8" ySplit="3" topLeftCell="I4" activePane="bottomRight" state="frozen"/>
      <selection pane="topLeft" activeCell="A1" activeCellId="0" sqref="A1"/>
      <selection pane="topRight" activeCell="I1" activeCellId="0" sqref="I1"/>
      <selection pane="bottomLeft" activeCell="A4" activeCellId="0" sqref="A4"/>
      <selection pane="bottomRight" activeCell="C10" activeCellId="0" sqref="C10"/>
    </sheetView>
  </sheetViews>
  <sheetFormatPr defaultColWidth="12.6328125" defaultRowHeight="15.75" zeroHeight="false" outlineLevelRow="0" outlineLevelCol="0"/>
  <cols>
    <col collapsed="false" customWidth="true" hidden="false" outlineLevel="0" max="1" min="1" style="1" width="10.25"/>
    <col collapsed="false" customWidth="true" hidden="false" outlineLevel="0" max="2" min="2" style="1" width="10.38"/>
    <col collapsed="false" customWidth="true" hidden="false" outlineLevel="0" max="3" min="3" style="1" width="29.63"/>
    <col collapsed="false" customWidth="true" hidden="false" outlineLevel="0" max="4" min="4" style="1" width="11.25"/>
    <col collapsed="false" customWidth="true" hidden="false" outlineLevel="0" max="5" min="5" style="1" width="17.13"/>
    <col collapsed="false" customWidth="true" hidden="false" outlineLevel="0" max="6" min="6" style="1" width="36.5"/>
    <col collapsed="false" customWidth="true" hidden="false" outlineLevel="0" max="7" min="7" style="1" width="15.88"/>
    <col collapsed="false" customWidth="true" hidden="false" outlineLevel="0" max="8" min="8" style="1" width="10.88"/>
    <col collapsed="false" customWidth="true" hidden="false" outlineLevel="0" max="9" min="9" style="1" width="12.88"/>
    <col collapsed="false" customWidth="true" hidden="false" outlineLevel="0" max="10" min="10" style="1" width="12"/>
    <col collapsed="false" customWidth="true" hidden="false" outlineLevel="0" max="11" min="11" style="1" width="10"/>
    <col collapsed="false" customWidth="true" hidden="false" outlineLevel="0" max="12" min="12" style="1" width="12.25"/>
    <col collapsed="false" customWidth="true" hidden="false" outlineLevel="0" max="13" min="13" style="1" width="26.12"/>
    <col collapsed="false" customWidth="true" hidden="true" outlineLevel="0" max="14" min="14" style="1" width="18"/>
    <col collapsed="false" customWidth="true" hidden="false" outlineLevel="0" max="16" min="15" style="1" width="10.63"/>
    <col collapsed="false" customWidth="true" hidden="false" outlineLevel="0" max="17" min="17" style="1" width="8.5"/>
    <col collapsed="false" customWidth="true" hidden="false" outlineLevel="0" max="19" min="19" style="1" width="25.38"/>
    <col collapsed="false" customWidth="true" hidden="false" outlineLevel="0" max="20" min="20" style="1" width="10.75"/>
    <col collapsed="false" customWidth="true" hidden="false" outlineLevel="0" max="21" min="21" style="1" width="10.13"/>
    <col collapsed="false" customWidth="true" hidden="false" outlineLevel="0" max="22" min="22" style="1" width="11.12"/>
    <col collapsed="false" customWidth="true" hidden="false" outlineLevel="0" max="23" min="23" style="1" width="24.88"/>
    <col collapsed="false" customWidth="true" hidden="false" outlineLevel="0" max="16384" min="16383" style="1" width="11.53"/>
  </cols>
  <sheetData>
    <row r="1" customFormat="false" ht="42.5" hidden="false" customHeight="false" outlineLevel="0" collapsed="false">
      <c r="A1" s="2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/>
      <c r="J1" s="4" t="s">
        <v>8</v>
      </c>
      <c r="K1" s="2"/>
      <c r="L1" s="2" t="s">
        <v>9</v>
      </c>
      <c r="M1" s="2" t="s">
        <v>10</v>
      </c>
      <c r="N1" s="4" t="s">
        <v>11</v>
      </c>
      <c r="O1" s="3" t="s">
        <v>12</v>
      </c>
      <c r="P1" s="7" t="s">
        <v>13</v>
      </c>
      <c r="Q1" s="7" t="s">
        <v>14</v>
      </c>
      <c r="R1" s="7" t="s">
        <v>15</v>
      </c>
      <c r="S1" s="7" t="s">
        <v>16</v>
      </c>
      <c r="T1" s="7" t="s">
        <v>17</v>
      </c>
      <c r="U1" s="8" t="s">
        <v>18</v>
      </c>
      <c r="V1" s="9" t="s">
        <v>19</v>
      </c>
      <c r="W1" s="9" t="s">
        <v>20</v>
      </c>
      <c r="X1" s="10" t="s">
        <v>15</v>
      </c>
      <c r="Y1" s="11" t="s">
        <v>21</v>
      </c>
      <c r="Z1" s="11" t="s">
        <v>22</v>
      </c>
      <c r="AA1" s="12"/>
      <c r="AB1" s="12"/>
      <c r="AC1" s="12"/>
      <c r="AD1" s="12"/>
      <c r="AE1" s="12"/>
      <c r="AF1" s="12"/>
      <c r="XFC1" s="0"/>
      <c r="XFD1" s="0"/>
    </row>
    <row r="2" customFormat="false" ht="15.75" hidden="false" customHeight="false" outlineLevel="0" collapsed="false">
      <c r="A2" s="21" t="n">
        <v>7455</v>
      </c>
      <c r="B2" s="29" t="n">
        <v>45141</v>
      </c>
      <c r="C2" s="21" t="s">
        <v>1421</v>
      </c>
      <c r="D2" s="30" t="s">
        <v>24</v>
      </c>
      <c r="E2" s="21" t="s">
        <v>34</v>
      </c>
      <c r="F2" s="21" t="s">
        <v>1422</v>
      </c>
      <c r="G2" s="30"/>
      <c r="H2" s="31"/>
      <c r="I2" s="21"/>
      <c r="J2" s="21"/>
      <c r="K2" s="21"/>
      <c r="L2" s="21"/>
      <c r="M2" s="21"/>
      <c r="N2" s="30"/>
      <c r="O2" s="21" t="s">
        <v>37</v>
      </c>
      <c r="P2" s="21"/>
      <c r="Q2" s="21"/>
      <c r="R2" s="32"/>
      <c r="S2" s="32"/>
      <c r="T2" s="21"/>
      <c r="U2" s="21"/>
      <c r="V2" s="21"/>
      <c r="W2" s="21"/>
      <c r="X2" s="21" t="s">
        <v>28</v>
      </c>
    </row>
    <row r="3" customFormat="false" ht="15.75" hidden="false" customHeight="false" outlineLevel="0" collapsed="false">
      <c r="A3" s="21" t="n">
        <v>7456</v>
      </c>
      <c r="B3" s="29" t="n">
        <v>45141</v>
      </c>
      <c r="C3" s="21" t="s">
        <v>1328</v>
      </c>
      <c r="D3" s="30" t="s">
        <v>24</v>
      </c>
      <c r="E3" s="21" t="s">
        <v>34</v>
      </c>
      <c r="F3" s="21" t="s">
        <v>1423</v>
      </c>
      <c r="G3" s="30"/>
      <c r="H3" s="31"/>
      <c r="I3" s="21"/>
      <c r="J3" s="21"/>
      <c r="K3" s="21"/>
      <c r="L3" s="21"/>
      <c r="M3" s="21"/>
      <c r="N3" s="30"/>
      <c r="O3" s="21" t="s">
        <v>37</v>
      </c>
      <c r="P3" s="21"/>
      <c r="Q3" s="21"/>
      <c r="R3" s="32"/>
      <c r="S3" s="32"/>
      <c r="T3" s="21"/>
      <c r="U3" s="21"/>
      <c r="V3" s="21"/>
      <c r="W3" s="21"/>
      <c r="X3" s="21" t="s">
        <v>28</v>
      </c>
    </row>
    <row r="4" customFormat="false" ht="15.75" hidden="false" customHeight="false" outlineLevel="0" collapsed="false">
      <c r="A4" s="24" t="n">
        <v>7457</v>
      </c>
      <c r="B4" s="29" t="n">
        <v>45142</v>
      </c>
      <c r="C4" s="21" t="s">
        <v>133</v>
      </c>
      <c r="D4" s="21" t="s">
        <v>24</v>
      </c>
      <c r="E4" s="21" t="s">
        <v>25</v>
      </c>
      <c r="F4" s="21" t="s">
        <v>1424</v>
      </c>
      <c r="G4" s="30" t="s">
        <v>1425</v>
      </c>
      <c r="H4" s="45" t="str">
        <f aca="false">HYPERLINK("https://photos.app.goo.gl/bwWV9A8GKp7RGUyC8", "Completo")</f>
        <v>Completo</v>
      </c>
      <c r="I4" s="21" t="s">
        <v>28</v>
      </c>
      <c r="J4" s="21" t="s">
        <v>29</v>
      </c>
      <c r="K4" s="21" t="s">
        <v>29</v>
      </c>
      <c r="L4" s="21" t="n">
        <v>464</v>
      </c>
      <c r="M4" s="21" t="s">
        <v>29</v>
      </c>
      <c r="N4" s="30"/>
      <c r="O4" s="21" t="s">
        <v>28</v>
      </c>
      <c r="P4" s="21"/>
      <c r="Q4" s="21"/>
      <c r="R4" s="32"/>
      <c r="S4" s="32"/>
      <c r="T4" s="21" t="s">
        <v>74</v>
      </c>
      <c r="U4" s="46" t="s">
        <v>28</v>
      </c>
      <c r="V4" s="21" t="s">
        <v>28</v>
      </c>
      <c r="W4" s="21" t="s">
        <v>36</v>
      </c>
      <c r="X4" s="21" t="s">
        <v>28</v>
      </c>
    </row>
    <row r="5" customFormat="false" ht="15.75" hidden="false" customHeight="false" outlineLevel="0" collapsed="false">
      <c r="A5" s="24" t="n">
        <v>7458</v>
      </c>
      <c r="B5" s="29" t="n">
        <v>45142</v>
      </c>
      <c r="C5" s="21" t="s">
        <v>133</v>
      </c>
      <c r="D5" s="21" t="s">
        <v>24</v>
      </c>
      <c r="E5" s="21" t="s">
        <v>25</v>
      </c>
      <c r="F5" s="21" t="s">
        <v>1424</v>
      </c>
      <c r="G5" s="30" t="s">
        <v>1425</v>
      </c>
      <c r="H5" s="45" t="str">
        <f aca="false">HYPERLINK("https://photos.app.goo.gl/H3dUfxykg5h4HPncA", "Completo")</f>
        <v>Completo</v>
      </c>
      <c r="I5" s="21" t="s">
        <v>28</v>
      </c>
      <c r="J5" s="21" t="s">
        <v>29</v>
      </c>
      <c r="L5" s="21" t="n">
        <v>464</v>
      </c>
      <c r="M5" s="21"/>
      <c r="N5" s="30"/>
      <c r="O5" s="21" t="s">
        <v>28</v>
      </c>
      <c r="P5" s="21"/>
      <c r="Q5" s="21"/>
      <c r="R5" s="32"/>
      <c r="S5" s="32"/>
      <c r="T5" s="21" t="s">
        <v>74</v>
      </c>
      <c r="U5" s="46" t="s">
        <v>28</v>
      </c>
      <c r="V5" s="46" t="s">
        <v>28</v>
      </c>
      <c r="W5" s="21" t="s">
        <v>36</v>
      </c>
      <c r="X5" s="21" t="s">
        <v>28</v>
      </c>
    </row>
    <row r="6" customFormat="false" ht="15.75" hidden="false" customHeight="false" outlineLevel="0" collapsed="false">
      <c r="A6" s="53" t="n">
        <v>852478</v>
      </c>
      <c r="B6" s="29" t="n">
        <v>45142</v>
      </c>
      <c r="C6" s="21" t="s">
        <v>133</v>
      </c>
      <c r="D6" s="21" t="s">
        <v>290</v>
      </c>
      <c r="E6" s="21" t="s">
        <v>25</v>
      </c>
      <c r="F6" s="21" t="s">
        <v>1426</v>
      </c>
      <c r="G6" s="30" t="s">
        <v>1425</v>
      </c>
      <c r="H6" s="45" t="str">
        <f aca="false">HYPERLINK("https://photos.app.goo.gl/uvC6VQDQDBauWiNy8", "Completo")</f>
        <v>Completo</v>
      </c>
      <c r="I6" s="21" t="s">
        <v>28</v>
      </c>
      <c r="J6" s="21" t="s">
        <v>29</v>
      </c>
      <c r="K6" s="21" t="s">
        <v>29</v>
      </c>
      <c r="L6" s="21" t="n">
        <v>464</v>
      </c>
      <c r="M6" s="21"/>
      <c r="N6" s="30"/>
      <c r="O6" s="21" t="s">
        <v>28</v>
      </c>
      <c r="P6" s="21"/>
      <c r="Q6" s="21"/>
      <c r="R6" s="32"/>
      <c r="S6" s="32"/>
      <c r="T6" s="21" t="s">
        <v>74</v>
      </c>
      <c r="U6" s="46" t="s">
        <v>28</v>
      </c>
      <c r="V6" s="46" t="s">
        <v>28</v>
      </c>
      <c r="W6" s="21" t="s">
        <v>36</v>
      </c>
      <c r="X6" s="21" t="s">
        <v>28</v>
      </c>
    </row>
    <row r="7" customFormat="false" ht="15.75" hidden="false" customHeight="false" outlineLevel="0" collapsed="false">
      <c r="A7" s="24" t="n">
        <v>7459</v>
      </c>
      <c r="B7" s="29" t="n">
        <v>45142</v>
      </c>
      <c r="C7" s="21" t="s">
        <v>133</v>
      </c>
      <c r="D7" s="21" t="s">
        <v>24</v>
      </c>
      <c r="E7" s="21" t="s">
        <v>25</v>
      </c>
      <c r="F7" s="21" t="s">
        <v>804</v>
      </c>
      <c r="G7" s="30" t="s">
        <v>1427</v>
      </c>
      <c r="H7" s="45" t="str">
        <f aca="false">HYPERLINK("https://photos.app.goo.gl/wwDTd7dj3Fpm99HQ6", "Completo")</f>
        <v>Completo</v>
      </c>
      <c r="I7" s="21" t="s">
        <v>28</v>
      </c>
      <c r="J7" s="21" t="s">
        <v>29</v>
      </c>
      <c r="K7" s="21" t="s">
        <v>29</v>
      </c>
      <c r="L7" s="21" t="n">
        <v>464</v>
      </c>
      <c r="M7" s="21"/>
      <c r="N7" s="30"/>
      <c r="O7" s="21" t="s">
        <v>28</v>
      </c>
      <c r="P7" s="21"/>
      <c r="Q7" s="21"/>
      <c r="R7" s="32"/>
      <c r="S7" s="32"/>
      <c r="T7" s="21" t="s">
        <v>58</v>
      </c>
      <c r="U7" s="46" t="s">
        <v>28</v>
      </c>
      <c r="V7" s="46" t="s">
        <v>28</v>
      </c>
      <c r="W7" s="21" t="s">
        <v>36</v>
      </c>
      <c r="X7" s="21" t="s">
        <v>28</v>
      </c>
    </row>
    <row r="8" customFormat="false" ht="15.75" hidden="false" customHeight="false" outlineLevel="0" collapsed="false">
      <c r="A8" s="24" t="n">
        <v>7460</v>
      </c>
      <c r="B8" s="29" t="n">
        <v>45142</v>
      </c>
      <c r="C8" s="21" t="s">
        <v>133</v>
      </c>
      <c r="D8" s="21" t="s">
        <v>24</v>
      </c>
      <c r="E8" s="21" t="s">
        <v>25</v>
      </c>
      <c r="F8" s="21" t="s">
        <v>804</v>
      </c>
      <c r="G8" s="30" t="s">
        <v>1427</v>
      </c>
      <c r="H8" s="45" t="str">
        <f aca="false">HYPERLINK("https://photos.app.goo.gl/odinLycB8UbfD5Rv6", "Completo")</f>
        <v>Completo</v>
      </c>
      <c r="I8" s="21" t="s">
        <v>28</v>
      </c>
      <c r="J8" s="21" t="s">
        <v>29</v>
      </c>
      <c r="K8" s="21" t="s">
        <v>29</v>
      </c>
      <c r="L8" s="21" t="n">
        <v>464</v>
      </c>
      <c r="M8" s="21"/>
      <c r="N8" s="30"/>
      <c r="O8" s="21" t="s">
        <v>28</v>
      </c>
      <c r="P8" s="21"/>
      <c r="Q8" s="21"/>
      <c r="R8" s="32"/>
      <c r="S8" s="32"/>
      <c r="T8" s="21" t="s">
        <v>58</v>
      </c>
      <c r="U8" s="46" t="s">
        <v>28</v>
      </c>
      <c r="V8" s="21" t="s">
        <v>28</v>
      </c>
      <c r="W8" s="21" t="s">
        <v>36</v>
      </c>
      <c r="X8" s="21" t="s">
        <v>28</v>
      </c>
    </row>
    <row r="9" customFormat="false" ht="15.75" hidden="false" customHeight="false" outlineLevel="0" collapsed="false">
      <c r="A9" s="24" t="n">
        <v>7461</v>
      </c>
      <c r="B9" s="29" t="n">
        <v>45142</v>
      </c>
      <c r="C9" s="21" t="s">
        <v>133</v>
      </c>
      <c r="D9" s="21" t="s">
        <v>24</v>
      </c>
      <c r="E9" s="21" t="s">
        <v>25</v>
      </c>
      <c r="F9" s="21" t="s">
        <v>1428</v>
      </c>
      <c r="G9" s="30" t="s">
        <v>1427</v>
      </c>
      <c r="H9" s="45" t="str">
        <f aca="false">HYPERLINK("https://photos.app.goo.gl/feuFFLydB3K1PM6x6", "Completo")</f>
        <v>Completo</v>
      </c>
      <c r="I9" s="21" t="s">
        <v>28</v>
      </c>
      <c r="J9" s="21" t="s">
        <v>29</v>
      </c>
      <c r="K9" s="21" t="s">
        <v>29</v>
      </c>
      <c r="L9" s="21" t="n">
        <v>464</v>
      </c>
      <c r="M9" s="21"/>
      <c r="N9" s="30"/>
      <c r="O9" s="21" t="s">
        <v>28</v>
      </c>
      <c r="P9" s="21"/>
      <c r="Q9" s="21"/>
      <c r="R9" s="32"/>
      <c r="S9" s="32"/>
      <c r="T9" s="21" t="s">
        <v>58</v>
      </c>
      <c r="U9" s="46" t="s">
        <v>28</v>
      </c>
      <c r="V9" s="46" t="s">
        <v>28</v>
      </c>
      <c r="W9" s="21" t="s">
        <v>36</v>
      </c>
      <c r="X9" s="21" t="s">
        <v>28</v>
      </c>
    </row>
    <row r="10" customFormat="false" ht="15.75" hidden="false" customHeight="false" outlineLevel="0" collapsed="false">
      <c r="A10" s="24" t="n">
        <v>7462</v>
      </c>
      <c r="B10" s="29" t="n">
        <v>45142</v>
      </c>
      <c r="C10" s="21" t="s">
        <v>133</v>
      </c>
      <c r="D10" s="21" t="s">
        <v>24</v>
      </c>
      <c r="E10" s="21" t="s">
        <v>25</v>
      </c>
      <c r="F10" s="21" t="s">
        <v>1429</v>
      </c>
      <c r="G10" s="30" t="s">
        <v>1430</v>
      </c>
      <c r="H10" s="45" t="str">
        <f aca="false">HYPERLINK("https://photos.app.goo.gl/F4KsxdFqd5Fg8Sq29", "Completo")</f>
        <v>Completo</v>
      </c>
      <c r="I10" s="21" t="s">
        <v>28</v>
      </c>
      <c r="J10" s="21"/>
      <c r="K10" s="21"/>
      <c r="L10" s="21"/>
      <c r="M10" s="21"/>
      <c r="N10" s="30"/>
      <c r="O10" s="21" t="s">
        <v>28</v>
      </c>
      <c r="P10" s="21"/>
      <c r="Q10" s="21"/>
      <c r="R10" s="32"/>
      <c r="S10" s="32"/>
      <c r="T10" s="21" t="s">
        <v>74</v>
      </c>
      <c r="U10" s="46" t="s">
        <v>28</v>
      </c>
      <c r="V10" s="46" t="s">
        <v>28</v>
      </c>
      <c r="W10" s="21" t="s">
        <v>36</v>
      </c>
      <c r="X10" s="21" t="s">
        <v>28</v>
      </c>
    </row>
    <row r="11" customFormat="false" ht="15.75" hidden="false" customHeight="false" outlineLevel="0" collapsed="false">
      <c r="A11" s="24" t="n">
        <v>7463</v>
      </c>
      <c r="B11" s="29" t="n">
        <v>45142</v>
      </c>
      <c r="C11" s="21" t="s">
        <v>133</v>
      </c>
      <c r="D11" s="21" t="s">
        <v>24</v>
      </c>
      <c r="E11" s="21" t="s">
        <v>25</v>
      </c>
      <c r="F11" s="21" t="s">
        <v>1429</v>
      </c>
      <c r="G11" s="30" t="s">
        <v>1430</v>
      </c>
      <c r="H11" s="45" t="str">
        <f aca="false">HYPERLINK("https://photos.app.goo.gl/rPBsNPBGhGoFyhE96", "Completo")</f>
        <v>Completo</v>
      </c>
      <c r="I11" s="21" t="s">
        <v>28</v>
      </c>
      <c r="J11" s="21"/>
      <c r="K11" s="21"/>
      <c r="L11" s="21"/>
      <c r="M11" s="21"/>
      <c r="N11" s="30"/>
      <c r="O11" s="21" t="s">
        <v>28</v>
      </c>
      <c r="P11" s="21"/>
      <c r="Q11" s="21"/>
      <c r="R11" s="32"/>
      <c r="S11" s="32"/>
      <c r="T11" s="21" t="s">
        <v>74</v>
      </c>
      <c r="U11" s="46" t="s">
        <v>28</v>
      </c>
      <c r="V11" s="46" t="s">
        <v>28</v>
      </c>
      <c r="W11" s="21" t="s">
        <v>36</v>
      </c>
      <c r="X11" s="21" t="s">
        <v>28</v>
      </c>
    </row>
    <row r="12" customFormat="false" ht="15.75" hidden="false" customHeight="false" outlineLevel="0" collapsed="false">
      <c r="A12" s="24" t="n">
        <v>7464</v>
      </c>
      <c r="B12" s="29" t="n">
        <v>45142</v>
      </c>
      <c r="C12" s="21" t="s">
        <v>133</v>
      </c>
      <c r="D12" s="21" t="s">
        <v>24</v>
      </c>
      <c r="E12" s="21" t="s">
        <v>25</v>
      </c>
      <c r="F12" s="21" t="s">
        <v>1429</v>
      </c>
      <c r="G12" s="30" t="s">
        <v>1430</v>
      </c>
      <c r="H12" s="45" t="str">
        <f aca="false">HYPERLINK("https://photos.app.goo.gl/kFYVBBj4zF6CXWnw6", "Completo")</f>
        <v>Completo</v>
      </c>
      <c r="I12" s="21" t="s">
        <v>28</v>
      </c>
      <c r="J12" s="21"/>
      <c r="K12" s="21"/>
      <c r="L12" s="21"/>
      <c r="M12" s="21"/>
      <c r="N12" s="30"/>
      <c r="O12" s="21" t="s">
        <v>28</v>
      </c>
      <c r="P12" s="21"/>
      <c r="Q12" s="21"/>
      <c r="R12" s="32"/>
      <c r="S12" s="32"/>
      <c r="T12" s="21" t="s">
        <v>74</v>
      </c>
      <c r="U12" s="46" t="s">
        <v>28</v>
      </c>
      <c r="V12" s="46" t="s">
        <v>28</v>
      </c>
      <c r="W12" s="21" t="s">
        <v>36</v>
      </c>
      <c r="X12" s="21" t="s">
        <v>28</v>
      </c>
    </row>
    <row r="13" customFormat="false" ht="15.75" hidden="false" customHeight="false" outlineLevel="0" collapsed="false">
      <c r="A13" s="24" t="n">
        <v>7465</v>
      </c>
      <c r="B13" s="29" t="n">
        <v>45142</v>
      </c>
      <c r="C13" s="21" t="s">
        <v>133</v>
      </c>
      <c r="D13" s="21" t="s">
        <v>24</v>
      </c>
      <c r="E13" s="21" t="s">
        <v>25</v>
      </c>
      <c r="F13" s="21" t="s">
        <v>1429</v>
      </c>
      <c r="G13" s="30" t="s">
        <v>1430</v>
      </c>
      <c r="H13" s="45" t="str">
        <f aca="false">HYPERLINK("https://photos.app.goo.gl/pEry5Vsfd76RqVkQA", "Completo")</f>
        <v>Completo</v>
      </c>
      <c r="I13" s="21" t="s">
        <v>28</v>
      </c>
      <c r="J13" s="21"/>
      <c r="K13" s="21"/>
      <c r="L13" s="21"/>
      <c r="M13" s="21"/>
      <c r="N13" s="30"/>
      <c r="O13" s="21" t="s">
        <v>28</v>
      </c>
      <c r="P13" s="21"/>
      <c r="Q13" s="21"/>
      <c r="R13" s="32"/>
      <c r="S13" s="32"/>
      <c r="T13" s="21" t="s">
        <v>74</v>
      </c>
      <c r="U13" s="46" t="s">
        <v>28</v>
      </c>
      <c r="V13" s="46" t="s">
        <v>28</v>
      </c>
      <c r="W13" s="21" t="s">
        <v>36</v>
      </c>
      <c r="X13" s="21" t="s">
        <v>28</v>
      </c>
    </row>
    <row r="14" customFormat="false" ht="15.75" hidden="false" customHeight="false" outlineLevel="0" collapsed="false">
      <c r="A14" s="53" t="n">
        <v>1627888</v>
      </c>
      <c r="B14" s="29" t="n">
        <v>45142</v>
      </c>
      <c r="C14" s="21" t="s">
        <v>841</v>
      </c>
      <c r="D14" s="21" t="s">
        <v>290</v>
      </c>
      <c r="E14" s="21" t="s">
        <v>25</v>
      </c>
      <c r="F14" s="21" t="s">
        <v>462</v>
      </c>
      <c r="G14" s="30" t="s">
        <v>1431</v>
      </c>
      <c r="H14" s="45" t="str">
        <f aca="false">HYPERLINK("https://photos.app.goo.gl/cv89qwohxMW4gSEx9", "Completo")</f>
        <v>Completo</v>
      </c>
      <c r="I14" s="21" t="s">
        <v>28</v>
      </c>
      <c r="J14" s="21" t="s">
        <v>29</v>
      </c>
      <c r="K14" s="21" t="s">
        <v>29</v>
      </c>
      <c r="L14" s="21" t="s">
        <v>1432</v>
      </c>
      <c r="M14" s="21"/>
      <c r="N14" s="30"/>
      <c r="O14" s="21" t="s">
        <v>28</v>
      </c>
      <c r="P14" s="21"/>
      <c r="Q14" s="21"/>
      <c r="R14" s="32"/>
      <c r="S14" s="32"/>
      <c r="T14" s="21"/>
      <c r="U14" s="21"/>
      <c r="V14" s="21"/>
      <c r="W14" s="21"/>
      <c r="X14" s="21" t="s">
        <v>28</v>
      </c>
    </row>
    <row r="15" customFormat="false" ht="15.75" hidden="false" customHeight="false" outlineLevel="0" collapsed="false">
      <c r="A15" s="24" t="n">
        <v>7466</v>
      </c>
      <c r="B15" s="29" t="n">
        <v>45142</v>
      </c>
      <c r="C15" s="21" t="s">
        <v>841</v>
      </c>
      <c r="D15" s="21" t="s">
        <v>24</v>
      </c>
      <c r="E15" s="21" t="s">
        <v>25</v>
      </c>
      <c r="F15" s="21" t="s">
        <v>1433</v>
      </c>
      <c r="G15" s="30" t="s">
        <v>1434</v>
      </c>
      <c r="H15" s="45" t="str">
        <f aca="false">HYPERLINK("https://photos.app.goo.gl/jdWiumasyFtyoKT67", "Completo")</f>
        <v>Completo</v>
      </c>
      <c r="I15" s="21" t="s">
        <v>28</v>
      </c>
      <c r="J15" s="21" t="s">
        <v>29</v>
      </c>
      <c r="K15" s="21" t="s">
        <v>29</v>
      </c>
      <c r="L15" s="21" t="s">
        <v>1432</v>
      </c>
      <c r="M15" s="21"/>
      <c r="N15" s="30"/>
      <c r="O15" s="21" t="s">
        <v>28</v>
      </c>
      <c r="P15" s="21"/>
      <c r="Q15" s="21"/>
      <c r="R15" s="32"/>
      <c r="S15" s="32"/>
      <c r="T15" s="21"/>
      <c r="U15" s="21"/>
      <c r="V15" s="21"/>
      <c r="W15" s="21"/>
      <c r="X15" s="21" t="s">
        <v>28</v>
      </c>
    </row>
    <row r="16" customFormat="false" ht="15.75" hidden="false" customHeight="false" outlineLevel="0" collapsed="false">
      <c r="A16" s="24" t="n">
        <v>7467</v>
      </c>
      <c r="B16" s="29" t="n">
        <v>45142</v>
      </c>
      <c r="C16" s="21" t="s">
        <v>1405</v>
      </c>
      <c r="D16" s="21" t="s">
        <v>24</v>
      </c>
      <c r="E16" s="21" t="s">
        <v>25</v>
      </c>
      <c r="F16" s="21" t="s">
        <v>1435</v>
      </c>
      <c r="G16" s="30" t="s">
        <v>1436</v>
      </c>
      <c r="H16" s="45" t="str">
        <f aca="false">HYPERLINK("https://photos.app.goo.gl/JH4oPwbf3E4HjBJ98", "Completo")</f>
        <v>Completo</v>
      </c>
      <c r="I16" s="21" t="s">
        <v>28</v>
      </c>
      <c r="J16" s="21"/>
      <c r="K16" s="21"/>
      <c r="L16" s="21"/>
      <c r="M16" s="21"/>
      <c r="N16" s="30"/>
      <c r="O16" s="21" t="s">
        <v>28</v>
      </c>
      <c r="P16" s="21"/>
      <c r="Q16" s="21"/>
      <c r="R16" s="32"/>
      <c r="S16" s="32"/>
      <c r="T16" s="21" t="s">
        <v>36</v>
      </c>
      <c r="U16" s="21" t="s">
        <v>37</v>
      </c>
      <c r="V16" s="21" t="s">
        <v>37</v>
      </c>
      <c r="W16" s="21" t="s">
        <v>1437</v>
      </c>
      <c r="X16" s="21" t="s">
        <v>28</v>
      </c>
    </row>
    <row r="17" customFormat="false" ht="15.75" hidden="false" customHeight="false" outlineLevel="0" collapsed="false">
      <c r="A17" s="24" t="n">
        <v>7468</v>
      </c>
      <c r="B17" s="29" t="n">
        <v>45142</v>
      </c>
      <c r="C17" s="21" t="s">
        <v>120</v>
      </c>
      <c r="D17" s="21" t="s">
        <v>24</v>
      </c>
      <c r="E17" s="21" t="s">
        <v>25</v>
      </c>
      <c r="F17" s="21" t="s">
        <v>1438</v>
      </c>
      <c r="G17" s="30"/>
      <c r="H17" s="45" t="str">
        <f aca="false">HYPERLINK("https://photos.app.goo.gl/Rww9ZCo8dPRi4RUH7", "Completo")</f>
        <v>Completo</v>
      </c>
      <c r="I17" s="21" t="s">
        <v>28</v>
      </c>
      <c r="J17" s="21" t="s">
        <v>29</v>
      </c>
      <c r="K17" s="21" t="s">
        <v>29</v>
      </c>
      <c r="L17" s="21" t="n">
        <v>4408</v>
      </c>
      <c r="M17" s="21"/>
      <c r="N17" s="30"/>
      <c r="O17" s="21" t="s">
        <v>28</v>
      </c>
      <c r="P17" s="21"/>
      <c r="Q17" s="21"/>
      <c r="R17" s="32"/>
      <c r="S17" s="32"/>
      <c r="T17" s="21" t="s">
        <v>58</v>
      </c>
      <c r="U17" s="21"/>
      <c r="V17" s="21"/>
      <c r="W17" s="21"/>
      <c r="X17" s="21" t="s">
        <v>28</v>
      </c>
    </row>
    <row r="18" customFormat="false" ht="15.75" hidden="false" customHeight="false" outlineLevel="0" collapsed="false">
      <c r="A18" s="53" t="n">
        <v>2033946</v>
      </c>
      <c r="B18" s="29" t="n">
        <v>45142</v>
      </c>
      <c r="C18" s="20" t="s">
        <v>112</v>
      </c>
      <c r="D18" s="21" t="s">
        <v>24</v>
      </c>
      <c r="E18" s="21" t="s">
        <v>25</v>
      </c>
      <c r="F18" s="21" t="s">
        <v>1439</v>
      </c>
      <c r="G18" s="30"/>
      <c r="H18" s="31"/>
      <c r="I18" s="21"/>
      <c r="J18" s="21"/>
      <c r="K18" s="21"/>
      <c r="L18" s="21"/>
      <c r="M18" s="21"/>
      <c r="N18" s="30"/>
      <c r="O18" s="21" t="s">
        <v>28</v>
      </c>
      <c r="P18" s="21"/>
      <c r="Q18" s="21"/>
      <c r="R18" s="32"/>
      <c r="S18" s="32"/>
      <c r="T18" s="21" t="s">
        <v>58</v>
      </c>
      <c r="U18" s="46" t="s">
        <v>28</v>
      </c>
      <c r="V18" s="46" t="s">
        <v>28</v>
      </c>
      <c r="W18" s="21" t="s">
        <v>36</v>
      </c>
      <c r="X18" s="21" t="s">
        <v>28</v>
      </c>
    </row>
    <row r="19" customFormat="false" ht="15.75" hidden="false" customHeight="false" outlineLevel="0" collapsed="false">
      <c r="A19" s="24" t="s">
        <v>1440</v>
      </c>
      <c r="B19" s="29" t="n">
        <v>45142</v>
      </c>
      <c r="C19" s="20" t="s">
        <v>112</v>
      </c>
      <c r="D19" s="21" t="s">
        <v>24</v>
      </c>
      <c r="E19" s="21" t="s">
        <v>25</v>
      </c>
      <c r="F19" s="21" t="s">
        <v>1441</v>
      </c>
      <c r="G19" s="30"/>
      <c r="H19" s="31"/>
      <c r="I19" s="21"/>
      <c r="J19" s="21"/>
      <c r="K19" s="21"/>
      <c r="L19" s="21"/>
      <c r="M19" s="21"/>
      <c r="N19" s="30"/>
      <c r="O19" s="21" t="s">
        <v>28</v>
      </c>
      <c r="P19" s="21"/>
      <c r="Q19" s="21"/>
      <c r="R19" s="32"/>
      <c r="S19" s="32"/>
      <c r="T19" s="21" t="s">
        <v>58</v>
      </c>
      <c r="U19" s="46" t="s">
        <v>28</v>
      </c>
      <c r="V19" s="46" t="s">
        <v>28</v>
      </c>
      <c r="W19" s="21" t="s">
        <v>36</v>
      </c>
      <c r="X19" s="21" t="s">
        <v>28</v>
      </c>
    </row>
    <row r="20" customFormat="false" ht="15.75" hidden="false" customHeight="false" outlineLevel="0" collapsed="false">
      <c r="A20" s="24" t="n">
        <v>7469</v>
      </c>
      <c r="B20" s="29" t="n">
        <v>45143</v>
      </c>
      <c r="C20" s="21" t="s">
        <v>389</v>
      </c>
      <c r="D20" s="21" t="s">
        <v>24</v>
      </c>
      <c r="E20" s="21" t="s">
        <v>25</v>
      </c>
      <c r="F20" s="21" t="s">
        <v>1442</v>
      </c>
      <c r="G20" s="30" t="s">
        <v>1443</v>
      </c>
      <c r="H20" s="45" t="str">
        <f aca="false">HYPERLINK("https://photos.app.goo.gl/GGc2iTKZaanAo9Kn9", "Completo")</f>
        <v>Completo</v>
      </c>
      <c r="I20" s="21" t="s">
        <v>28</v>
      </c>
      <c r="J20" s="21" t="s">
        <v>29</v>
      </c>
      <c r="K20" s="21" t="s">
        <v>29</v>
      </c>
      <c r="L20" s="21" t="n">
        <v>2771563</v>
      </c>
      <c r="M20" s="21"/>
      <c r="N20" s="30"/>
      <c r="O20" s="21" t="s">
        <v>28</v>
      </c>
      <c r="P20" s="21"/>
      <c r="Q20" s="21"/>
      <c r="R20" s="32"/>
      <c r="S20" s="32"/>
      <c r="T20" s="21"/>
      <c r="U20" s="21"/>
      <c r="V20" s="21"/>
      <c r="W20" s="21"/>
      <c r="X20" s="21" t="s">
        <v>28</v>
      </c>
    </row>
    <row r="21" customFormat="false" ht="15.75" hidden="false" customHeight="false" outlineLevel="0" collapsed="false">
      <c r="A21" s="24" t="n">
        <v>7470</v>
      </c>
      <c r="B21" s="29" t="n">
        <v>45143</v>
      </c>
      <c r="C21" s="21" t="s">
        <v>389</v>
      </c>
      <c r="D21" s="21" t="s">
        <v>24</v>
      </c>
      <c r="E21" s="21" t="s">
        <v>25</v>
      </c>
      <c r="F21" s="21" t="s">
        <v>1442</v>
      </c>
      <c r="G21" s="30" t="s">
        <v>1443</v>
      </c>
      <c r="H21" s="45" t="str">
        <f aca="false">HYPERLINK("https://photos.app.goo.gl/RasCb8xqnrCPbhMX6", "Completo")</f>
        <v>Completo</v>
      </c>
      <c r="I21" s="21" t="s">
        <v>28</v>
      </c>
      <c r="J21" s="21" t="s">
        <v>29</v>
      </c>
      <c r="K21" s="21" t="s">
        <v>29</v>
      </c>
      <c r="L21" s="21" t="n">
        <v>2771563</v>
      </c>
      <c r="M21" s="21"/>
      <c r="N21" s="30"/>
      <c r="O21" s="21" t="s">
        <v>28</v>
      </c>
      <c r="P21" s="21"/>
      <c r="Q21" s="21"/>
      <c r="R21" s="32"/>
      <c r="S21" s="32"/>
      <c r="T21" s="21"/>
      <c r="U21" s="21"/>
      <c r="V21" s="21"/>
      <c r="W21" s="21"/>
      <c r="X21" s="21" t="s">
        <v>28</v>
      </c>
    </row>
    <row r="22" customFormat="false" ht="15.75" hidden="false" customHeight="false" outlineLevel="0" collapsed="false">
      <c r="A22" s="24" t="n">
        <v>7471</v>
      </c>
      <c r="B22" s="29" t="n">
        <v>45143</v>
      </c>
      <c r="C22" s="21" t="s">
        <v>389</v>
      </c>
      <c r="D22" s="21" t="s">
        <v>24</v>
      </c>
      <c r="E22" s="21" t="s">
        <v>25</v>
      </c>
      <c r="F22" s="21" t="s">
        <v>1442</v>
      </c>
      <c r="G22" s="30" t="s">
        <v>1444</v>
      </c>
      <c r="H22" s="45" t="str">
        <f aca="false">HYPERLINK("https://photos.app.goo.gl/7VfmDyzK8iZiJ9B86", "Completo")</f>
        <v>Completo</v>
      </c>
      <c r="I22" s="21" t="s">
        <v>28</v>
      </c>
      <c r="J22" s="21" t="s">
        <v>29</v>
      </c>
      <c r="K22" s="21" t="s">
        <v>29</v>
      </c>
      <c r="L22" s="21" t="n">
        <v>2771563</v>
      </c>
      <c r="M22" s="21"/>
      <c r="N22" s="30"/>
      <c r="O22" s="21" t="s">
        <v>28</v>
      </c>
      <c r="P22" s="21"/>
      <c r="Q22" s="21"/>
      <c r="R22" s="32"/>
      <c r="S22" s="32"/>
      <c r="T22" s="21"/>
      <c r="U22" s="21"/>
      <c r="V22" s="21"/>
      <c r="W22" s="21"/>
      <c r="X22" s="21" t="s">
        <v>28</v>
      </c>
    </row>
    <row r="23" customFormat="false" ht="15.75" hidden="false" customHeight="false" outlineLevel="0" collapsed="false">
      <c r="A23" s="24" t="n">
        <v>7472</v>
      </c>
      <c r="B23" s="29" t="n">
        <v>45143</v>
      </c>
      <c r="C23" s="21" t="s">
        <v>389</v>
      </c>
      <c r="D23" s="21" t="s">
        <v>24</v>
      </c>
      <c r="E23" s="21" t="s">
        <v>25</v>
      </c>
      <c r="F23" s="21" t="s">
        <v>1445</v>
      </c>
      <c r="G23" s="30" t="s">
        <v>1446</v>
      </c>
      <c r="H23" s="45" t="str">
        <f aca="false">HYPERLINK("https://photos.app.goo.gl/ny1j1SorVVZUssnp9", "Completo")</f>
        <v>Completo</v>
      </c>
      <c r="I23" s="21" t="s">
        <v>28</v>
      </c>
      <c r="J23" s="21" t="s">
        <v>29</v>
      </c>
      <c r="K23" s="21" t="s">
        <v>29</v>
      </c>
      <c r="L23" s="21" t="n">
        <v>2771563</v>
      </c>
      <c r="M23" s="21"/>
      <c r="N23" s="30"/>
      <c r="O23" s="21" t="s">
        <v>28</v>
      </c>
      <c r="P23" s="21"/>
      <c r="Q23" s="21"/>
      <c r="R23" s="32"/>
      <c r="S23" s="32"/>
      <c r="T23" s="21"/>
      <c r="U23" s="21"/>
      <c r="V23" s="21"/>
      <c r="W23" s="21"/>
      <c r="X23" s="21" t="s">
        <v>28</v>
      </c>
    </row>
    <row r="24" customFormat="false" ht="15.75" hidden="false" customHeight="false" outlineLevel="0" collapsed="false">
      <c r="A24" s="24" t="n">
        <v>7473</v>
      </c>
      <c r="B24" s="29" t="n">
        <v>45143</v>
      </c>
      <c r="C24" s="21" t="s">
        <v>389</v>
      </c>
      <c r="D24" s="21" t="s">
        <v>24</v>
      </c>
      <c r="E24" s="21" t="s">
        <v>25</v>
      </c>
      <c r="F24" s="21" t="s">
        <v>1447</v>
      </c>
      <c r="G24" s="30" t="s">
        <v>1448</v>
      </c>
      <c r="H24" s="45" t="str">
        <f aca="false">HYPERLINK("https://photos.app.goo.gl/nysnhsADjkprc7ye7", "Completo")</f>
        <v>Completo</v>
      </c>
      <c r="I24" s="21" t="s">
        <v>28</v>
      </c>
      <c r="J24" s="21" t="s">
        <v>29</v>
      </c>
      <c r="K24" s="21" t="s">
        <v>29</v>
      </c>
      <c r="L24" s="21" t="n">
        <v>2771563</v>
      </c>
      <c r="M24" s="21"/>
      <c r="N24" s="30"/>
      <c r="O24" s="21" t="s">
        <v>28</v>
      </c>
      <c r="P24" s="21"/>
      <c r="Q24" s="21"/>
      <c r="R24" s="32"/>
      <c r="S24" s="32"/>
      <c r="T24" s="21"/>
      <c r="U24" s="21"/>
      <c r="V24" s="21"/>
      <c r="W24" s="21"/>
      <c r="X24" s="21" t="s">
        <v>28</v>
      </c>
    </row>
    <row r="25" customFormat="false" ht="15.75" hidden="false" customHeight="false" outlineLevel="0" collapsed="false">
      <c r="A25" s="24" t="n">
        <v>7474</v>
      </c>
      <c r="B25" s="29" t="n">
        <v>45143</v>
      </c>
      <c r="C25" s="21" t="s">
        <v>389</v>
      </c>
      <c r="D25" s="21" t="s">
        <v>24</v>
      </c>
      <c r="E25" s="21" t="s">
        <v>25</v>
      </c>
      <c r="F25" s="21" t="s">
        <v>1449</v>
      </c>
      <c r="G25" s="30" t="s">
        <v>1450</v>
      </c>
      <c r="H25" s="45" t="str">
        <f aca="false">HYPERLINK("https://photos.app.goo.gl/QEMxFgyugxHLMxpo8", "Completo")</f>
        <v>Completo</v>
      </c>
      <c r="I25" s="21" t="s">
        <v>28</v>
      </c>
      <c r="J25" s="21" t="s">
        <v>29</v>
      </c>
      <c r="K25" s="21" t="s">
        <v>29</v>
      </c>
      <c r="L25" s="21" t="n">
        <v>2771563</v>
      </c>
      <c r="M25" s="21"/>
      <c r="N25" s="30"/>
      <c r="O25" s="21" t="s">
        <v>28</v>
      </c>
      <c r="P25" s="21"/>
      <c r="Q25" s="21"/>
      <c r="R25" s="32"/>
      <c r="S25" s="32"/>
      <c r="T25" s="21"/>
      <c r="U25" s="21"/>
      <c r="V25" s="21"/>
      <c r="W25" s="21"/>
      <c r="X25" s="21" t="s">
        <v>28</v>
      </c>
    </row>
    <row r="26" customFormat="false" ht="15.75" hidden="false" customHeight="false" outlineLevel="0" collapsed="false">
      <c r="A26" s="24" t="n">
        <v>7475</v>
      </c>
      <c r="B26" s="29" t="n">
        <v>45143</v>
      </c>
      <c r="C26" s="21" t="s">
        <v>389</v>
      </c>
      <c r="D26" s="21" t="s">
        <v>24</v>
      </c>
      <c r="E26" s="21" t="s">
        <v>25</v>
      </c>
      <c r="F26" s="21" t="s">
        <v>1451</v>
      </c>
      <c r="G26" s="30" t="s">
        <v>1452</v>
      </c>
      <c r="H26" s="45" t="str">
        <f aca="false">HYPERLINK("https://photos.app.goo.gl/Mb1DJxJpqudqLVS68", "Completo")</f>
        <v>Completo</v>
      </c>
      <c r="I26" s="21" t="s">
        <v>28</v>
      </c>
      <c r="J26" s="21" t="s">
        <v>29</v>
      </c>
      <c r="K26" s="21" t="s">
        <v>29</v>
      </c>
      <c r="L26" s="21" t="n">
        <v>2771563</v>
      </c>
      <c r="M26" s="21"/>
      <c r="N26" s="30"/>
      <c r="O26" s="21" t="s">
        <v>28</v>
      </c>
      <c r="P26" s="21"/>
      <c r="Q26" s="21"/>
      <c r="R26" s="32"/>
      <c r="S26" s="32"/>
      <c r="T26" s="21"/>
      <c r="U26" s="21"/>
      <c r="V26" s="21"/>
      <c r="W26" s="21"/>
      <c r="X26" s="21" t="s">
        <v>28</v>
      </c>
    </row>
    <row r="27" customFormat="false" ht="15.75" hidden="false" customHeight="false" outlineLevel="0" collapsed="false">
      <c r="A27" s="24" t="n">
        <v>7476</v>
      </c>
      <c r="B27" s="29" t="n">
        <v>45143</v>
      </c>
      <c r="C27" s="21" t="s">
        <v>389</v>
      </c>
      <c r="D27" s="21" t="s">
        <v>24</v>
      </c>
      <c r="E27" s="21" t="s">
        <v>25</v>
      </c>
      <c r="F27" s="21" t="s">
        <v>1453</v>
      </c>
      <c r="G27" s="30" t="s">
        <v>1454</v>
      </c>
      <c r="H27" s="45" t="str">
        <f aca="false">HYPERLINK("https://photos.app.goo.gl/KU25ENgSsPRm8MLq8", "Completo")</f>
        <v>Completo</v>
      </c>
      <c r="I27" s="21" t="s">
        <v>28</v>
      </c>
      <c r="J27" s="21" t="s">
        <v>29</v>
      </c>
      <c r="K27" s="21" t="s">
        <v>29</v>
      </c>
      <c r="L27" s="21" t="n">
        <v>2771563</v>
      </c>
      <c r="M27" s="21"/>
      <c r="N27" s="30"/>
      <c r="O27" s="21" t="s">
        <v>28</v>
      </c>
      <c r="P27" s="21"/>
      <c r="Q27" s="21"/>
      <c r="R27" s="32"/>
      <c r="S27" s="32"/>
      <c r="T27" s="21"/>
      <c r="U27" s="21"/>
      <c r="V27" s="21"/>
      <c r="W27" s="21"/>
      <c r="X27" s="21" t="s">
        <v>28</v>
      </c>
    </row>
    <row r="28" customFormat="false" ht="15.75" hidden="false" customHeight="false" outlineLevel="0" collapsed="false">
      <c r="A28" s="24" t="n">
        <v>7477</v>
      </c>
      <c r="B28" s="29" t="n">
        <v>45145</v>
      </c>
      <c r="C28" s="21" t="s">
        <v>872</v>
      </c>
      <c r="D28" s="21" t="s">
        <v>24</v>
      </c>
      <c r="E28" s="21" t="s">
        <v>34</v>
      </c>
      <c r="F28" s="21" t="s">
        <v>1455</v>
      </c>
      <c r="G28" s="30"/>
      <c r="H28" s="31"/>
      <c r="I28" s="21"/>
      <c r="J28" s="21"/>
      <c r="K28" s="21"/>
      <c r="L28" s="21"/>
      <c r="M28" s="21"/>
      <c r="N28" s="30"/>
      <c r="O28" s="21" t="s">
        <v>37</v>
      </c>
      <c r="P28" s="21"/>
      <c r="Q28" s="21"/>
      <c r="R28" s="32"/>
      <c r="S28" s="32"/>
      <c r="T28" s="21"/>
      <c r="U28" s="21"/>
      <c r="V28" s="21"/>
      <c r="W28" s="21"/>
      <c r="X28" s="21" t="s">
        <v>28</v>
      </c>
    </row>
    <row r="29" customFormat="false" ht="15.75" hidden="false" customHeight="false" outlineLevel="0" collapsed="false">
      <c r="A29" s="24" t="n">
        <v>7478</v>
      </c>
      <c r="B29" s="29" t="n">
        <v>45146</v>
      </c>
      <c r="C29" s="21" t="s">
        <v>1456</v>
      </c>
      <c r="D29" s="21" t="s">
        <v>24</v>
      </c>
      <c r="E29" s="21" t="s">
        <v>25</v>
      </c>
      <c r="F29" s="21" t="s">
        <v>1457</v>
      </c>
      <c r="G29" s="30" t="s">
        <v>1458</v>
      </c>
      <c r="H29" s="31" t="s">
        <v>28</v>
      </c>
      <c r="I29" s="21" t="s">
        <v>28</v>
      </c>
      <c r="J29" s="21" t="s">
        <v>29</v>
      </c>
      <c r="K29" s="21" t="s">
        <v>29</v>
      </c>
      <c r="L29" s="21" t="n">
        <v>54575</v>
      </c>
      <c r="M29" s="21"/>
      <c r="N29" s="30"/>
      <c r="O29" s="21" t="s">
        <v>37</v>
      </c>
      <c r="P29" s="21"/>
      <c r="Q29" s="21"/>
      <c r="R29" s="32"/>
      <c r="S29" s="32"/>
      <c r="T29" s="21"/>
      <c r="U29" s="21"/>
      <c r="V29" s="21"/>
      <c r="W29" s="21"/>
      <c r="X29" s="21" t="s">
        <v>28</v>
      </c>
    </row>
    <row r="30" customFormat="false" ht="15.75" hidden="false" customHeight="false" outlineLevel="0" collapsed="false">
      <c r="A30" s="24" t="n">
        <v>7479</v>
      </c>
      <c r="B30" s="29" t="n">
        <v>45146</v>
      </c>
      <c r="C30" s="21" t="s">
        <v>1459</v>
      </c>
      <c r="D30" s="21" t="s">
        <v>24</v>
      </c>
      <c r="E30" s="21" t="s">
        <v>25</v>
      </c>
      <c r="F30" s="21" t="s">
        <v>1460</v>
      </c>
      <c r="G30" s="30" t="s">
        <v>1461</v>
      </c>
      <c r="H30" s="31" t="s">
        <v>28</v>
      </c>
      <c r="I30" s="21" t="s">
        <v>28</v>
      </c>
      <c r="J30" s="21" t="s">
        <v>29</v>
      </c>
      <c r="K30" s="21" t="s">
        <v>29</v>
      </c>
      <c r="L30" s="21" t="n">
        <v>54575</v>
      </c>
      <c r="M30" s="21"/>
      <c r="N30" s="30"/>
      <c r="O30" s="21" t="s">
        <v>37</v>
      </c>
      <c r="P30" s="21"/>
      <c r="Q30" s="21"/>
      <c r="R30" s="32"/>
      <c r="S30" s="32"/>
      <c r="T30" s="21"/>
      <c r="U30" s="21"/>
      <c r="V30" s="21"/>
      <c r="W30" s="21"/>
      <c r="X30" s="21" t="s">
        <v>28</v>
      </c>
    </row>
    <row r="31" customFormat="false" ht="15.75" hidden="false" customHeight="false" outlineLevel="0" collapsed="false">
      <c r="A31" s="24" t="n">
        <v>7480</v>
      </c>
      <c r="B31" s="29" t="n">
        <v>45146</v>
      </c>
      <c r="C31" s="21" t="s">
        <v>1459</v>
      </c>
      <c r="D31" s="21" t="s">
        <v>24</v>
      </c>
      <c r="E31" s="21" t="s">
        <v>25</v>
      </c>
      <c r="F31" s="21" t="s">
        <v>1462</v>
      </c>
      <c r="G31" s="30" t="s">
        <v>1463</v>
      </c>
      <c r="H31" s="31" t="s">
        <v>28</v>
      </c>
      <c r="I31" s="21" t="s">
        <v>28</v>
      </c>
      <c r="J31" s="21" t="s">
        <v>29</v>
      </c>
      <c r="K31" s="21" t="s">
        <v>29</v>
      </c>
      <c r="L31" s="21" t="n">
        <v>54575</v>
      </c>
      <c r="M31" s="21"/>
      <c r="N31" s="30"/>
      <c r="O31" s="21" t="s">
        <v>28</v>
      </c>
      <c r="P31" s="21"/>
      <c r="Q31" s="21"/>
      <c r="R31" s="32"/>
      <c r="S31" s="32"/>
      <c r="T31" s="21"/>
      <c r="U31" s="21"/>
      <c r="V31" s="21"/>
      <c r="W31" s="21"/>
      <c r="X31" s="21" t="s">
        <v>28</v>
      </c>
    </row>
    <row r="32" customFormat="false" ht="15.75" hidden="false" customHeight="false" outlineLevel="0" collapsed="false">
      <c r="A32" s="57" t="n">
        <v>2033946</v>
      </c>
      <c r="B32" s="29" t="n">
        <v>45146</v>
      </c>
      <c r="C32" s="21" t="s">
        <v>1464</v>
      </c>
      <c r="D32" s="21" t="s">
        <v>24</v>
      </c>
      <c r="E32" s="21" t="s">
        <v>25</v>
      </c>
      <c r="F32" s="21" t="s">
        <v>1465</v>
      </c>
      <c r="G32" s="30" t="s">
        <v>1466</v>
      </c>
      <c r="H32" s="45" t="str">
        <f aca="false">HYPERLINK("https://photos.app.goo.gl/xKrhNWaargx2uBrDA", "Completo")</f>
        <v>Completo</v>
      </c>
      <c r="I32" s="21" t="s">
        <v>28</v>
      </c>
      <c r="J32" s="21" t="s">
        <v>29</v>
      </c>
      <c r="K32" s="21" t="s">
        <v>29</v>
      </c>
      <c r="L32" s="21" t="s">
        <v>29</v>
      </c>
      <c r="M32" s="21"/>
      <c r="N32" s="30"/>
      <c r="O32" s="21" t="s">
        <v>28</v>
      </c>
      <c r="P32" s="21"/>
      <c r="Q32" s="21"/>
      <c r="R32" s="32"/>
      <c r="S32" s="32"/>
      <c r="T32" s="21"/>
      <c r="U32" s="21"/>
      <c r="V32" s="21"/>
      <c r="W32" s="21"/>
      <c r="X32" s="21" t="s">
        <v>28</v>
      </c>
    </row>
    <row r="33" customFormat="false" ht="15.75" hidden="false" customHeight="false" outlineLevel="0" collapsed="false">
      <c r="A33" s="24" t="s">
        <v>1440</v>
      </c>
      <c r="B33" s="29" t="n">
        <v>45146</v>
      </c>
      <c r="C33" s="21" t="s">
        <v>120</v>
      </c>
      <c r="D33" s="21" t="s">
        <v>24</v>
      </c>
      <c r="E33" s="21" t="s">
        <v>25</v>
      </c>
      <c r="F33" s="21" t="s">
        <v>1467</v>
      </c>
      <c r="G33" s="30" t="s">
        <v>1468</v>
      </c>
      <c r="H33" s="45" t="str">
        <f aca="false">HYPERLINK("https://photos.app.goo.gl/V6AqLnpPKEFLJiFr6", "Completo")</f>
        <v>Completo</v>
      </c>
      <c r="I33" s="21" t="s">
        <v>28</v>
      </c>
      <c r="J33" s="21" t="s">
        <v>29</v>
      </c>
      <c r="K33" s="21" t="s">
        <v>29</v>
      </c>
      <c r="L33" s="21" t="s">
        <v>29</v>
      </c>
      <c r="M33" s="21"/>
      <c r="N33" s="30"/>
      <c r="O33" s="21" t="s">
        <v>28</v>
      </c>
      <c r="P33" s="21"/>
      <c r="Q33" s="21"/>
      <c r="R33" s="32"/>
      <c r="S33" s="32"/>
      <c r="T33" s="21"/>
      <c r="U33" s="21"/>
      <c r="V33" s="21"/>
      <c r="W33" s="21"/>
      <c r="X33" s="21" t="s">
        <v>28</v>
      </c>
    </row>
    <row r="34" customFormat="false" ht="15.75" hidden="false" customHeight="false" outlineLevel="0" collapsed="false">
      <c r="A34" s="24" t="n">
        <v>7481</v>
      </c>
      <c r="B34" s="29" t="n">
        <v>45146</v>
      </c>
      <c r="C34" s="21" t="s">
        <v>628</v>
      </c>
      <c r="D34" s="21" t="s">
        <v>24</v>
      </c>
      <c r="E34" s="21" t="s">
        <v>34</v>
      </c>
      <c r="F34" s="21" t="s">
        <v>1469</v>
      </c>
      <c r="G34" s="30"/>
      <c r="H34" s="31"/>
      <c r="I34" s="21"/>
      <c r="J34" s="21"/>
      <c r="K34" s="21"/>
      <c r="L34" s="21"/>
      <c r="M34" s="21"/>
      <c r="N34" s="30"/>
      <c r="O34" s="21" t="s">
        <v>37</v>
      </c>
      <c r="P34" s="21"/>
      <c r="Q34" s="21"/>
      <c r="R34" s="32"/>
      <c r="S34" s="32"/>
      <c r="T34" s="21"/>
      <c r="U34" s="21"/>
      <c r="V34" s="21"/>
      <c r="W34" s="21"/>
      <c r="X34" s="21" t="s">
        <v>28</v>
      </c>
    </row>
    <row r="35" customFormat="false" ht="15.75" hidden="false" customHeight="false" outlineLevel="0" collapsed="false">
      <c r="A35" s="24" t="n">
        <v>7482</v>
      </c>
      <c r="B35" s="29" t="n">
        <v>45146</v>
      </c>
      <c r="C35" s="21" t="s">
        <v>628</v>
      </c>
      <c r="D35" s="21" t="s">
        <v>24</v>
      </c>
      <c r="E35" s="21" t="s">
        <v>34</v>
      </c>
      <c r="F35" s="21" t="s">
        <v>1470</v>
      </c>
      <c r="G35" s="30"/>
      <c r="H35" s="31"/>
      <c r="I35" s="21"/>
      <c r="J35" s="21"/>
      <c r="K35" s="21"/>
      <c r="L35" s="21"/>
      <c r="M35" s="21"/>
      <c r="N35" s="30"/>
      <c r="O35" s="21" t="s">
        <v>37</v>
      </c>
      <c r="P35" s="21"/>
      <c r="Q35" s="21"/>
      <c r="R35" s="32"/>
      <c r="S35" s="32"/>
      <c r="T35" s="21"/>
      <c r="U35" s="21"/>
      <c r="V35" s="21"/>
      <c r="W35" s="21"/>
      <c r="X35" s="21" t="s">
        <v>28</v>
      </c>
    </row>
    <row r="36" customFormat="false" ht="15.75" hidden="false" customHeight="false" outlineLevel="0" collapsed="false">
      <c r="A36" s="24" t="n">
        <v>7483</v>
      </c>
      <c r="B36" s="29" t="n">
        <v>45147</v>
      </c>
      <c r="C36" s="21" t="s">
        <v>1471</v>
      </c>
      <c r="D36" s="21" t="s">
        <v>24</v>
      </c>
      <c r="E36" s="21" t="s">
        <v>25</v>
      </c>
      <c r="F36" s="21" t="s">
        <v>1472</v>
      </c>
      <c r="G36" s="30" t="s">
        <v>1473</v>
      </c>
      <c r="H36" s="45" t="str">
        <f aca="false">HYPERLINK("https://photos.app.goo.gl/48i5SZJKoA8oy7Wy9", "Completo")</f>
        <v>Completo</v>
      </c>
      <c r="I36" s="21" t="s">
        <v>28</v>
      </c>
      <c r="J36" s="21" t="s">
        <v>29</v>
      </c>
      <c r="K36" s="21" t="s">
        <v>29</v>
      </c>
      <c r="L36" s="21" t="s">
        <v>29</v>
      </c>
      <c r="M36" s="21"/>
      <c r="N36" s="30"/>
      <c r="O36" s="21" t="s">
        <v>37</v>
      </c>
      <c r="P36" s="21"/>
      <c r="Q36" s="21"/>
      <c r="R36" s="32"/>
      <c r="S36" s="32"/>
      <c r="T36" s="21"/>
      <c r="U36" s="21"/>
      <c r="V36" s="21"/>
      <c r="W36" s="21"/>
      <c r="X36" s="21" t="s">
        <v>28</v>
      </c>
    </row>
    <row r="37" customFormat="false" ht="15.75" hidden="false" customHeight="false" outlineLevel="0" collapsed="false">
      <c r="A37" s="24" t="n">
        <v>7484</v>
      </c>
      <c r="B37" s="29" t="n">
        <v>45148</v>
      </c>
      <c r="C37" s="21" t="s">
        <v>1474</v>
      </c>
      <c r="D37" s="21" t="s">
        <v>24</v>
      </c>
      <c r="E37" s="21" t="s">
        <v>74</v>
      </c>
      <c r="F37" s="21" t="s">
        <v>1475</v>
      </c>
      <c r="G37" s="30" t="s">
        <v>1476</v>
      </c>
      <c r="H37" s="45" t="s">
        <v>28</v>
      </c>
      <c r="I37" s="21" t="s">
        <v>28</v>
      </c>
      <c r="J37" s="21" t="n">
        <v>3516520610</v>
      </c>
      <c r="K37" s="21" t="s">
        <v>29</v>
      </c>
      <c r="L37" s="21" t="n">
        <v>5517</v>
      </c>
      <c r="M37" s="21"/>
      <c r="N37" s="30"/>
      <c r="O37" s="21" t="s">
        <v>37</v>
      </c>
      <c r="P37" s="21"/>
      <c r="Q37" s="21"/>
      <c r="R37" s="32"/>
      <c r="S37" s="32"/>
      <c r="T37" s="21"/>
      <c r="U37" s="21"/>
      <c r="V37" s="21"/>
      <c r="W37" s="21"/>
      <c r="X37" s="21" t="s">
        <v>28</v>
      </c>
    </row>
    <row r="38" customFormat="false" ht="15.75" hidden="false" customHeight="false" outlineLevel="0" collapsed="false">
      <c r="A38" s="24" t="n">
        <v>7485</v>
      </c>
      <c r="B38" s="29" t="n">
        <v>45148</v>
      </c>
      <c r="C38" s="21" t="s">
        <v>1459</v>
      </c>
      <c r="D38" s="21" t="s">
        <v>24</v>
      </c>
      <c r="E38" s="21" t="s">
        <v>25</v>
      </c>
      <c r="F38" s="21" t="s">
        <v>1477</v>
      </c>
      <c r="G38" s="30" t="s">
        <v>1478</v>
      </c>
      <c r="H38" s="45" t="str">
        <f aca="false">HYPERLINK("https://photos.app.goo.gl/ZeGqUZaU3LYUZjix6", "Completo")</f>
        <v>Completo</v>
      </c>
      <c r="I38" s="21" t="s">
        <v>28</v>
      </c>
      <c r="J38" s="21" t="s">
        <v>29</v>
      </c>
      <c r="K38" s="21" t="s">
        <v>29</v>
      </c>
      <c r="L38" s="21" t="s">
        <v>29</v>
      </c>
      <c r="M38" s="21"/>
      <c r="N38" s="30"/>
      <c r="O38" s="21" t="s">
        <v>37</v>
      </c>
      <c r="P38" s="21"/>
      <c r="Q38" s="21"/>
      <c r="R38" s="32"/>
      <c r="S38" s="32"/>
      <c r="T38" s="21"/>
      <c r="U38" s="21"/>
      <c r="V38" s="21"/>
      <c r="W38" s="21"/>
      <c r="X38" s="21" t="s">
        <v>28</v>
      </c>
    </row>
    <row r="39" customFormat="false" ht="15.75" hidden="false" customHeight="false" outlineLevel="0" collapsed="false">
      <c r="A39" s="24" t="n">
        <v>7486</v>
      </c>
      <c r="B39" s="29" t="n">
        <v>45149</v>
      </c>
      <c r="C39" s="21" t="s">
        <v>84</v>
      </c>
      <c r="D39" s="21" t="s">
        <v>24</v>
      </c>
      <c r="E39" s="21" t="s">
        <v>25</v>
      </c>
      <c r="F39" s="21" t="s">
        <v>1479</v>
      </c>
      <c r="G39" s="30"/>
      <c r="H39" s="45" t="str">
        <f aca="false">HYPERLINK("https://photos.app.goo.gl/kzLd4B6JRmQy6com6", "Completo")</f>
        <v>Completo</v>
      </c>
      <c r="I39" s="21" t="s">
        <v>28</v>
      </c>
      <c r="J39" s="21"/>
      <c r="K39" s="21"/>
      <c r="L39" s="21"/>
      <c r="M39" s="21"/>
      <c r="N39" s="30"/>
      <c r="O39" s="21"/>
      <c r="P39" s="21"/>
      <c r="Q39" s="21"/>
      <c r="R39" s="32"/>
      <c r="S39" s="32"/>
      <c r="T39" s="21"/>
      <c r="U39" s="21"/>
      <c r="V39" s="21"/>
      <c r="W39" s="21"/>
      <c r="X39" s="21" t="s">
        <v>37</v>
      </c>
    </row>
    <row r="40" customFormat="false" ht="15.75" hidden="false" customHeight="false" outlineLevel="0" collapsed="false">
      <c r="A40" s="24" t="n">
        <v>7487</v>
      </c>
      <c r="B40" s="49" t="n">
        <v>45150</v>
      </c>
      <c r="C40" s="25" t="s">
        <v>1480</v>
      </c>
      <c r="D40" s="25" t="s">
        <v>24</v>
      </c>
      <c r="E40" s="25" t="s">
        <v>34</v>
      </c>
      <c r="F40" s="25" t="s">
        <v>1481</v>
      </c>
      <c r="G40" s="25"/>
      <c r="H40" s="25"/>
      <c r="I40" s="25"/>
      <c r="J40" s="25"/>
      <c r="K40" s="25"/>
      <c r="L40" s="25"/>
      <c r="M40" s="25"/>
      <c r="N40" s="25"/>
      <c r="O40" s="25" t="s">
        <v>37</v>
      </c>
      <c r="P40" s="25"/>
      <c r="Q40" s="25"/>
      <c r="R40" s="25"/>
      <c r="S40" s="25"/>
      <c r="T40" s="25"/>
      <c r="U40" s="25"/>
      <c r="V40" s="25"/>
      <c r="W40" s="25"/>
      <c r="X40" s="25" t="s">
        <v>28</v>
      </c>
    </row>
    <row r="41" customFormat="false" ht="15.75" hidden="false" customHeight="false" outlineLevel="0" collapsed="false">
      <c r="A41" s="19" t="n">
        <v>7488</v>
      </c>
      <c r="B41" s="14" t="n">
        <v>45150</v>
      </c>
      <c r="C41" s="16" t="s">
        <v>1480</v>
      </c>
      <c r="D41" s="16" t="s">
        <v>24</v>
      </c>
      <c r="E41" s="25" t="s">
        <v>34</v>
      </c>
      <c r="F41" s="25" t="s">
        <v>1481</v>
      </c>
      <c r="G41" s="16"/>
      <c r="H41" s="16"/>
      <c r="I41" s="16"/>
      <c r="J41" s="16"/>
      <c r="K41" s="16"/>
      <c r="L41" s="23"/>
      <c r="M41" s="16"/>
      <c r="N41" s="16"/>
      <c r="O41" s="16" t="s">
        <v>37</v>
      </c>
      <c r="P41" s="16"/>
      <c r="Q41" s="16"/>
      <c r="R41" s="16"/>
      <c r="S41" s="16"/>
      <c r="T41" s="16"/>
      <c r="U41" s="16"/>
      <c r="V41" s="16"/>
      <c r="W41" s="16"/>
      <c r="X41" s="16" t="s">
        <v>28</v>
      </c>
    </row>
    <row r="42" customFormat="false" ht="15.75" hidden="false" customHeight="false" outlineLevel="0" collapsed="false">
      <c r="A42" s="19" t="n">
        <v>7489</v>
      </c>
      <c r="B42" s="14" t="n">
        <v>45150</v>
      </c>
      <c r="C42" s="16" t="s">
        <v>1480</v>
      </c>
      <c r="D42" s="16" t="s">
        <v>24</v>
      </c>
      <c r="E42" s="25" t="s">
        <v>34</v>
      </c>
      <c r="F42" s="25" t="s">
        <v>1481</v>
      </c>
      <c r="G42" s="16"/>
      <c r="H42" s="16"/>
      <c r="I42" s="16"/>
      <c r="J42" s="16"/>
      <c r="K42" s="16"/>
      <c r="L42" s="16"/>
      <c r="M42" s="16"/>
      <c r="N42" s="16"/>
      <c r="O42" s="16" t="s">
        <v>37</v>
      </c>
      <c r="P42" s="16"/>
      <c r="Q42" s="16"/>
      <c r="R42" s="16"/>
      <c r="S42" s="16"/>
      <c r="T42" s="16"/>
      <c r="U42" s="16"/>
      <c r="V42" s="16"/>
      <c r="W42" s="16"/>
      <c r="X42" s="16" t="s">
        <v>28</v>
      </c>
    </row>
    <row r="43" customFormat="false" ht="15.75" hidden="false" customHeight="false" outlineLevel="0" collapsed="false">
      <c r="A43" s="42" t="n">
        <v>1952224</v>
      </c>
      <c r="B43" s="14" t="n">
        <v>45152</v>
      </c>
      <c r="C43" s="16" t="s">
        <v>872</v>
      </c>
      <c r="D43" s="16" t="s">
        <v>290</v>
      </c>
      <c r="E43" s="16" t="s">
        <v>25</v>
      </c>
      <c r="F43" s="16" t="s">
        <v>1482</v>
      </c>
      <c r="G43" s="16" t="s">
        <v>1483</v>
      </c>
      <c r="H43" s="17" t="str">
        <f aca="false">HYPERLINK("https://photos.app.goo.gl/d3eepZdcD1ftpgDc8", "Completo")</f>
        <v>Completo</v>
      </c>
      <c r="I43" s="16" t="s">
        <v>28</v>
      </c>
      <c r="J43" s="16" t="s">
        <v>29</v>
      </c>
      <c r="K43" s="16" t="s">
        <v>29</v>
      </c>
      <c r="L43" s="23" t="n">
        <v>2651753</v>
      </c>
      <c r="M43" s="16"/>
      <c r="N43" s="16"/>
      <c r="O43" s="16" t="s">
        <v>37</v>
      </c>
      <c r="P43" s="16"/>
      <c r="Q43" s="16"/>
      <c r="R43" s="16"/>
      <c r="S43" s="16"/>
      <c r="T43" s="16"/>
      <c r="U43" s="16"/>
      <c r="V43" s="16"/>
      <c r="W43" s="16"/>
      <c r="X43" s="16" t="s">
        <v>28</v>
      </c>
    </row>
    <row r="44" customFormat="false" ht="15.75" hidden="false" customHeight="false" outlineLevel="0" collapsed="false">
      <c r="A44" s="19" t="n">
        <v>7490</v>
      </c>
      <c r="B44" s="14" t="n">
        <v>45148</v>
      </c>
      <c r="C44" s="16" t="s">
        <v>1484</v>
      </c>
      <c r="D44" s="16" t="s">
        <v>24</v>
      </c>
      <c r="E44" s="16" t="s">
        <v>25</v>
      </c>
      <c r="F44" s="16" t="s">
        <v>1485</v>
      </c>
      <c r="G44" s="16"/>
      <c r="H44" s="17" t="str">
        <f aca="false">HYPERLINK("https://photos.app.goo.gl/BTP2QjoTX2HVokda7", "Completo")</f>
        <v>Completo</v>
      </c>
      <c r="I44" s="16" t="s">
        <v>28</v>
      </c>
      <c r="J44" s="16" t="s">
        <v>29</v>
      </c>
      <c r="K44" s="16" t="s">
        <v>29</v>
      </c>
      <c r="L44" s="16" t="s">
        <v>1486</v>
      </c>
      <c r="M44" s="16"/>
      <c r="N44" s="16"/>
      <c r="O44" s="16" t="s">
        <v>28</v>
      </c>
      <c r="P44" s="16"/>
      <c r="Q44" s="16"/>
      <c r="R44" s="16"/>
      <c r="S44" s="16"/>
      <c r="T44" s="16"/>
      <c r="U44" s="16"/>
      <c r="V44" s="16"/>
      <c r="W44" s="16"/>
      <c r="X44" s="16" t="s">
        <v>28</v>
      </c>
    </row>
    <row r="45" customFormat="false" ht="15.75" hidden="false" customHeight="false" outlineLevel="0" collapsed="false">
      <c r="A45" s="19" t="n">
        <v>7491</v>
      </c>
      <c r="B45" s="14" t="n">
        <v>45153</v>
      </c>
      <c r="C45" s="16" t="s">
        <v>1487</v>
      </c>
      <c r="D45" s="16" t="s">
        <v>24</v>
      </c>
      <c r="E45" s="16" t="s">
        <v>34</v>
      </c>
      <c r="F45" s="16" t="s">
        <v>1488</v>
      </c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 t="s">
        <v>28</v>
      </c>
    </row>
    <row r="46" customFormat="false" ht="15.75" hidden="false" customHeight="false" outlineLevel="0" collapsed="false">
      <c r="A46" s="19" t="n">
        <v>7492</v>
      </c>
      <c r="B46" s="14" t="n">
        <v>45153</v>
      </c>
      <c r="C46" s="16" t="s">
        <v>1185</v>
      </c>
      <c r="D46" s="16" t="s">
        <v>24</v>
      </c>
      <c r="E46" s="16" t="s">
        <v>34</v>
      </c>
      <c r="F46" s="16" t="s">
        <v>1489</v>
      </c>
      <c r="G46" s="16"/>
      <c r="H46" s="16"/>
      <c r="I46" s="16"/>
      <c r="J46" s="16"/>
      <c r="K46" s="16"/>
      <c r="L46" s="16"/>
      <c r="M46" s="16"/>
      <c r="N46" s="16"/>
      <c r="O46" s="16" t="s">
        <v>37</v>
      </c>
      <c r="P46" s="16"/>
      <c r="Q46" s="16"/>
      <c r="R46" s="16"/>
      <c r="S46" s="16"/>
      <c r="T46" s="16"/>
      <c r="U46" s="16"/>
      <c r="V46" s="16"/>
      <c r="W46" s="16"/>
      <c r="X46" s="16" t="s">
        <v>28</v>
      </c>
    </row>
    <row r="47" customFormat="false" ht="15.75" hidden="false" customHeight="false" outlineLevel="0" collapsed="false">
      <c r="A47" s="19" t="n">
        <v>7493</v>
      </c>
      <c r="B47" s="14" t="n">
        <v>45153</v>
      </c>
      <c r="C47" s="16" t="s">
        <v>1490</v>
      </c>
      <c r="D47" s="16" t="s">
        <v>24</v>
      </c>
      <c r="E47" s="16" t="s">
        <v>25</v>
      </c>
      <c r="F47" s="16" t="s">
        <v>1491</v>
      </c>
      <c r="G47" s="16"/>
      <c r="H47" s="17" t="str">
        <f aca="false">HYPERLINK("https://photos.app.goo.gl/srNbaoLatnRVq2PB8", "Completo")</f>
        <v>Completo</v>
      </c>
      <c r="I47" s="16" t="s">
        <v>28</v>
      </c>
      <c r="J47" s="16" t="s">
        <v>1492</v>
      </c>
      <c r="K47" s="16"/>
      <c r="L47" s="16"/>
      <c r="M47" s="17" t="s">
        <v>1493</v>
      </c>
      <c r="N47" s="16"/>
      <c r="O47" s="16" t="s">
        <v>28</v>
      </c>
      <c r="P47" s="17" t="s">
        <v>28</v>
      </c>
      <c r="Q47" s="16" t="s">
        <v>59</v>
      </c>
      <c r="R47" s="16" t="s">
        <v>30</v>
      </c>
      <c r="S47" s="16" t="s">
        <v>36</v>
      </c>
      <c r="T47" s="16"/>
      <c r="U47" s="16"/>
      <c r="V47" s="16"/>
      <c r="W47" s="16"/>
      <c r="X47" s="16" t="s">
        <v>28</v>
      </c>
    </row>
    <row r="48" customFormat="false" ht="15.75" hidden="false" customHeight="false" outlineLevel="0" collapsed="false">
      <c r="A48" s="19" t="n">
        <v>7494</v>
      </c>
      <c r="B48" s="14" t="n">
        <v>45154</v>
      </c>
      <c r="C48" s="16" t="s">
        <v>188</v>
      </c>
      <c r="D48" s="16" t="s">
        <v>24</v>
      </c>
      <c r="E48" s="16" t="s">
        <v>34</v>
      </c>
      <c r="F48" s="16" t="s">
        <v>1494</v>
      </c>
      <c r="G48" s="16"/>
      <c r="H48" s="16"/>
      <c r="I48" s="16"/>
      <c r="J48" s="16"/>
      <c r="K48" s="16"/>
      <c r="L48" s="16"/>
      <c r="M48" s="16"/>
      <c r="N48" s="16"/>
      <c r="O48" s="16" t="s">
        <v>37</v>
      </c>
      <c r="P48" s="16"/>
      <c r="Q48" s="16"/>
      <c r="R48" s="16"/>
      <c r="S48" s="16"/>
      <c r="T48" s="16"/>
      <c r="U48" s="16"/>
      <c r="V48" s="16"/>
      <c r="W48" s="16"/>
      <c r="X48" s="16" t="s">
        <v>28</v>
      </c>
    </row>
    <row r="49" customFormat="false" ht="15.75" hidden="false" customHeight="false" outlineLevel="0" collapsed="false">
      <c r="A49" s="19" t="n">
        <v>7495</v>
      </c>
      <c r="B49" s="14" t="n">
        <v>45154</v>
      </c>
      <c r="C49" s="16" t="s">
        <v>1495</v>
      </c>
      <c r="D49" s="16" t="s">
        <v>24</v>
      </c>
      <c r="E49" s="16" t="s">
        <v>34</v>
      </c>
      <c r="F49" s="16" t="s">
        <v>1496</v>
      </c>
      <c r="G49" s="16"/>
      <c r="H49" s="16"/>
      <c r="I49" s="16"/>
      <c r="J49" s="16"/>
      <c r="K49" s="16"/>
      <c r="L49" s="16"/>
      <c r="M49" s="16"/>
      <c r="N49" s="16"/>
      <c r="O49" s="16" t="s">
        <v>37</v>
      </c>
      <c r="P49" s="16"/>
      <c r="Q49" s="16"/>
      <c r="R49" s="16"/>
      <c r="S49" s="16"/>
      <c r="T49" s="16"/>
      <c r="U49" s="16"/>
      <c r="V49" s="16"/>
      <c r="W49" s="16"/>
      <c r="X49" s="16" t="s">
        <v>28</v>
      </c>
    </row>
    <row r="50" customFormat="false" ht="15.75" hidden="false" customHeight="false" outlineLevel="0" collapsed="false">
      <c r="A50" s="19" t="n">
        <v>7496</v>
      </c>
      <c r="B50" s="14" t="n">
        <v>45154</v>
      </c>
      <c r="C50" s="16" t="s">
        <v>1497</v>
      </c>
      <c r="D50" s="16" t="s">
        <v>24</v>
      </c>
      <c r="E50" s="16" t="s">
        <v>25</v>
      </c>
      <c r="F50" s="16" t="s">
        <v>1498</v>
      </c>
      <c r="G50" s="16"/>
      <c r="H50" s="17" t="str">
        <f aca="false">HYPERLINK("https://photos.app.goo.gl/FDHzCsjBPesBPT2aA", "Completo")</f>
        <v>Completo</v>
      </c>
      <c r="I50" s="16" t="s">
        <v>28</v>
      </c>
      <c r="J50" s="16" t="s">
        <v>1499</v>
      </c>
      <c r="K50" s="16"/>
      <c r="L50" s="16" t="s">
        <v>1500</v>
      </c>
      <c r="M50" s="16"/>
      <c r="N50" s="16"/>
      <c r="O50" s="16"/>
      <c r="P50" s="16"/>
      <c r="Q50" s="16"/>
      <c r="R50" s="16"/>
      <c r="S50" s="16"/>
      <c r="T50" s="16" t="s">
        <v>58</v>
      </c>
      <c r="U50" s="17" t="s">
        <v>28</v>
      </c>
      <c r="V50" s="17" t="s">
        <v>28</v>
      </c>
      <c r="W50" s="16" t="s">
        <v>36</v>
      </c>
      <c r="X50" s="16" t="s">
        <v>28</v>
      </c>
    </row>
    <row r="51" customFormat="false" ht="15.75" hidden="false" customHeight="false" outlineLevel="0" collapsed="false">
      <c r="A51" s="19" t="n">
        <v>7497</v>
      </c>
      <c r="B51" s="14" t="n">
        <v>45156</v>
      </c>
      <c r="C51" s="16" t="s">
        <v>1406</v>
      </c>
      <c r="D51" s="16" t="s">
        <v>24</v>
      </c>
      <c r="E51" s="16" t="s">
        <v>34</v>
      </c>
      <c r="F51" s="16" t="s">
        <v>1501</v>
      </c>
      <c r="G51" s="16"/>
      <c r="H51" s="16"/>
      <c r="I51" s="16"/>
      <c r="J51" s="16"/>
      <c r="K51" s="16"/>
      <c r="L51" s="16"/>
      <c r="M51" s="16"/>
      <c r="N51" s="16"/>
      <c r="O51" s="16" t="s">
        <v>37</v>
      </c>
      <c r="P51" s="16"/>
      <c r="Q51" s="16"/>
      <c r="R51" s="16"/>
      <c r="S51" s="16"/>
      <c r="T51" s="16"/>
      <c r="U51" s="16"/>
      <c r="V51" s="16"/>
      <c r="W51" s="16"/>
      <c r="X51" s="16" t="s">
        <v>28</v>
      </c>
    </row>
    <row r="52" customFormat="false" ht="15.75" hidden="false" customHeight="false" outlineLevel="0" collapsed="false">
      <c r="A52" s="19" t="n">
        <v>7498</v>
      </c>
      <c r="B52" s="14" t="n">
        <v>45156</v>
      </c>
      <c r="C52" s="16" t="s">
        <v>730</v>
      </c>
      <c r="D52" s="16" t="s">
        <v>24</v>
      </c>
      <c r="E52" s="16" t="s">
        <v>25</v>
      </c>
      <c r="F52" s="16" t="s">
        <v>1502</v>
      </c>
      <c r="G52" s="16"/>
      <c r="H52" s="17" t="str">
        <f aca="false">HYPERLINK("https://photos.app.goo.gl/UXPgp3L6DEHa69aB8", "Completo")</f>
        <v>Completo</v>
      </c>
      <c r="I52" s="16" t="s">
        <v>28</v>
      </c>
      <c r="J52" s="16" t="s">
        <v>29</v>
      </c>
      <c r="K52" s="16" t="s">
        <v>29</v>
      </c>
      <c r="L52" s="16" t="s">
        <v>29</v>
      </c>
      <c r="M52" s="16" t="s">
        <v>29</v>
      </c>
      <c r="N52" s="16"/>
      <c r="O52" s="16" t="s">
        <v>28</v>
      </c>
      <c r="P52" s="17" t="s">
        <v>28</v>
      </c>
      <c r="Q52" s="16" t="s">
        <v>73</v>
      </c>
      <c r="R52" s="16" t="s">
        <v>1503</v>
      </c>
      <c r="S52" s="16" t="s">
        <v>36</v>
      </c>
      <c r="T52" s="16" t="s">
        <v>74</v>
      </c>
      <c r="U52" s="17" t="s">
        <v>28</v>
      </c>
      <c r="V52" s="16" t="s">
        <v>37</v>
      </c>
      <c r="W52" s="16" t="s">
        <v>1504</v>
      </c>
      <c r="X52" s="16" t="s">
        <v>28</v>
      </c>
    </row>
    <row r="53" customFormat="false" ht="15.75" hidden="false" customHeight="false" outlineLevel="0" collapsed="false">
      <c r="A53" s="19" t="n">
        <v>7499</v>
      </c>
      <c r="B53" s="14" t="n">
        <v>45160</v>
      </c>
      <c r="C53" s="16" t="s">
        <v>841</v>
      </c>
      <c r="D53" s="16" t="s">
        <v>24</v>
      </c>
      <c r="E53" s="16" t="s">
        <v>34</v>
      </c>
      <c r="F53" s="16" t="s">
        <v>1505</v>
      </c>
      <c r="G53" s="16"/>
      <c r="H53" s="16"/>
      <c r="I53" s="16"/>
      <c r="J53" s="16"/>
      <c r="K53" s="16"/>
      <c r="L53" s="16"/>
      <c r="M53" s="16"/>
      <c r="N53" s="16"/>
      <c r="O53" s="16" t="s">
        <v>37</v>
      </c>
      <c r="P53" s="16"/>
      <c r="Q53" s="16"/>
      <c r="R53" s="16"/>
      <c r="S53" s="16"/>
      <c r="T53" s="16"/>
      <c r="U53" s="16"/>
      <c r="V53" s="16"/>
      <c r="W53" s="16"/>
      <c r="X53" s="16" t="s">
        <v>28</v>
      </c>
    </row>
    <row r="54" customFormat="false" ht="15.75" hidden="false" customHeight="false" outlineLevel="0" collapsed="false">
      <c r="A54" s="19" t="n">
        <v>7500</v>
      </c>
      <c r="B54" s="14" t="n">
        <v>45160</v>
      </c>
      <c r="C54" s="16" t="s">
        <v>841</v>
      </c>
      <c r="D54" s="16" t="s">
        <v>24</v>
      </c>
      <c r="E54" s="16" t="s">
        <v>34</v>
      </c>
      <c r="F54" s="16" t="s">
        <v>1506</v>
      </c>
      <c r="G54" s="16"/>
      <c r="H54" s="16"/>
      <c r="I54" s="16"/>
      <c r="J54" s="16"/>
      <c r="K54" s="16"/>
      <c r="L54" s="16"/>
      <c r="M54" s="16"/>
      <c r="N54" s="16"/>
      <c r="O54" s="16" t="s">
        <v>37</v>
      </c>
      <c r="P54" s="16"/>
      <c r="Q54" s="16"/>
      <c r="R54" s="16"/>
      <c r="S54" s="16"/>
      <c r="T54" s="16"/>
      <c r="U54" s="16"/>
      <c r="V54" s="16"/>
      <c r="W54" s="16"/>
      <c r="X54" s="16" t="s">
        <v>28</v>
      </c>
    </row>
    <row r="55" customFormat="false" ht="15.75" hidden="false" customHeight="false" outlineLevel="0" collapsed="false">
      <c r="A55" s="19" t="n">
        <v>7501</v>
      </c>
      <c r="B55" s="14" t="n">
        <v>45160</v>
      </c>
      <c r="C55" s="16" t="s">
        <v>841</v>
      </c>
      <c r="D55" s="16" t="s">
        <v>24</v>
      </c>
      <c r="E55" s="16" t="s">
        <v>34</v>
      </c>
      <c r="F55" s="16" t="s">
        <v>1507</v>
      </c>
      <c r="G55" s="16"/>
      <c r="H55" s="16"/>
      <c r="I55" s="16"/>
      <c r="J55" s="16"/>
      <c r="K55" s="16"/>
      <c r="L55" s="16"/>
      <c r="M55" s="16"/>
      <c r="N55" s="16"/>
      <c r="O55" s="16" t="s">
        <v>37</v>
      </c>
      <c r="P55" s="16"/>
      <c r="Q55" s="16"/>
      <c r="R55" s="16"/>
      <c r="S55" s="16"/>
      <c r="T55" s="16"/>
      <c r="U55" s="16"/>
      <c r="V55" s="16"/>
      <c r="W55" s="16"/>
      <c r="X55" s="16" t="s">
        <v>28</v>
      </c>
    </row>
    <row r="56" customFormat="false" ht="15.75" hidden="false" customHeight="false" outlineLevel="0" collapsed="false">
      <c r="A56" s="19" t="n">
        <v>7502</v>
      </c>
      <c r="B56" s="14" t="n">
        <v>45160</v>
      </c>
      <c r="C56" s="16" t="s">
        <v>841</v>
      </c>
      <c r="D56" s="16" t="s">
        <v>24</v>
      </c>
      <c r="E56" s="16" t="s">
        <v>34</v>
      </c>
      <c r="F56" s="16" t="s">
        <v>1508</v>
      </c>
      <c r="G56" s="16"/>
      <c r="H56" s="16"/>
      <c r="I56" s="16"/>
      <c r="J56" s="16"/>
      <c r="K56" s="16"/>
      <c r="L56" s="16"/>
      <c r="M56" s="16"/>
      <c r="N56" s="16"/>
      <c r="O56" s="16" t="s">
        <v>37</v>
      </c>
      <c r="P56" s="16"/>
      <c r="Q56" s="16"/>
      <c r="R56" s="16"/>
      <c r="S56" s="16"/>
      <c r="T56" s="16"/>
      <c r="U56" s="16"/>
      <c r="V56" s="16"/>
      <c r="W56" s="16"/>
      <c r="X56" s="16" t="s">
        <v>28</v>
      </c>
    </row>
    <row r="57" customFormat="false" ht="15.75" hidden="false" customHeight="false" outlineLevel="0" collapsed="false">
      <c r="A57" s="24" t="n">
        <v>7503</v>
      </c>
      <c r="B57" s="49" t="n">
        <v>45160</v>
      </c>
      <c r="C57" s="25" t="s">
        <v>1509</v>
      </c>
      <c r="D57" s="25" t="s">
        <v>24</v>
      </c>
      <c r="E57" s="25" t="s">
        <v>25</v>
      </c>
      <c r="F57" s="25" t="s">
        <v>462</v>
      </c>
      <c r="G57" s="25" t="s">
        <v>1510</v>
      </c>
      <c r="H57" s="26" t="str">
        <f aca="false">HYPERLINK("https://photos.app.goo.gl/Gcqun5snehi9uDas5", "Completo")</f>
        <v>Completo</v>
      </c>
      <c r="I57" s="25" t="s">
        <v>28</v>
      </c>
      <c r="J57" s="25" t="s">
        <v>29</v>
      </c>
      <c r="K57" s="25" t="s">
        <v>29</v>
      </c>
      <c r="L57" s="50" t="n">
        <v>1136667</v>
      </c>
      <c r="M57" s="25"/>
      <c r="N57" s="25"/>
      <c r="O57" s="25" t="s">
        <v>28</v>
      </c>
      <c r="P57" s="26" t="s">
        <v>28</v>
      </c>
      <c r="Q57" s="12" t="s">
        <v>73</v>
      </c>
      <c r="R57" s="25" t="s">
        <v>30</v>
      </c>
      <c r="S57" s="25"/>
      <c r="T57" s="25"/>
      <c r="U57" s="25"/>
      <c r="V57" s="25" t="s">
        <v>28</v>
      </c>
      <c r="W57" s="25" t="s">
        <v>1511</v>
      </c>
      <c r="X57" s="25" t="s">
        <v>28</v>
      </c>
    </row>
    <row r="58" customFormat="false" ht="15.75" hidden="false" customHeight="false" outlineLevel="0" collapsed="false">
      <c r="A58" s="19" t="n">
        <v>7504</v>
      </c>
      <c r="B58" s="14" t="n">
        <v>45160</v>
      </c>
      <c r="C58" s="16" t="s">
        <v>1512</v>
      </c>
      <c r="D58" s="16" t="s">
        <v>24</v>
      </c>
      <c r="E58" s="16" t="s">
        <v>25</v>
      </c>
      <c r="F58" s="16" t="s">
        <v>462</v>
      </c>
      <c r="G58" s="16" t="s">
        <v>1513</v>
      </c>
      <c r="H58" s="17" t="str">
        <f aca="false">HYPERLINK("https://photos.app.goo.gl/f7sovwerbP1Ahc6x5", "Completo")</f>
        <v>Completo</v>
      </c>
      <c r="I58" s="16" t="s">
        <v>28</v>
      </c>
      <c r="J58" s="16" t="s">
        <v>29</v>
      </c>
      <c r="K58" s="16" t="s">
        <v>29</v>
      </c>
      <c r="L58" s="23" t="n">
        <v>1136667</v>
      </c>
      <c r="M58" s="16"/>
      <c r="N58" s="16"/>
      <c r="O58" s="16" t="s">
        <v>28</v>
      </c>
      <c r="P58" s="17" t="s">
        <v>28</v>
      </c>
      <c r="Q58" s="12" t="s">
        <v>73</v>
      </c>
      <c r="R58" s="16" t="s">
        <v>30</v>
      </c>
      <c r="S58" s="16"/>
      <c r="T58" s="16"/>
      <c r="U58" s="16"/>
      <c r="V58" s="16" t="s">
        <v>28</v>
      </c>
      <c r="W58" s="16"/>
      <c r="X58" s="16" t="s">
        <v>28</v>
      </c>
    </row>
    <row r="59" customFormat="false" ht="15.75" hidden="false" customHeight="false" outlineLevel="0" collapsed="false">
      <c r="A59" s="19" t="n">
        <v>7505</v>
      </c>
      <c r="B59" s="14" t="n">
        <v>45160</v>
      </c>
      <c r="C59" s="16" t="s">
        <v>872</v>
      </c>
      <c r="D59" s="16" t="s">
        <v>24</v>
      </c>
      <c r="E59" s="16" t="s">
        <v>34</v>
      </c>
      <c r="F59" s="16" t="s">
        <v>1514</v>
      </c>
      <c r="G59" s="16"/>
      <c r="H59" s="16"/>
      <c r="I59" s="16"/>
      <c r="J59" s="16"/>
      <c r="K59" s="16"/>
      <c r="L59" s="16"/>
      <c r="M59" s="16"/>
      <c r="N59" s="16"/>
      <c r="O59" s="16" t="s">
        <v>37</v>
      </c>
      <c r="P59" s="16"/>
      <c r="Q59" s="16"/>
      <c r="R59" s="16"/>
      <c r="S59" s="16"/>
      <c r="T59" s="16"/>
      <c r="U59" s="16"/>
      <c r="V59" s="16"/>
      <c r="W59" s="16"/>
      <c r="X59" s="16" t="s">
        <v>28</v>
      </c>
    </row>
    <row r="60" customFormat="false" ht="15.75" hidden="false" customHeight="false" outlineLevel="0" collapsed="false">
      <c r="A60" s="19" t="n">
        <v>7506</v>
      </c>
      <c r="B60" s="14" t="n">
        <v>45161</v>
      </c>
      <c r="C60" s="16" t="s">
        <v>1010</v>
      </c>
      <c r="D60" s="16" t="s">
        <v>24</v>
      </c>
      <c r="E60" s="16" t="s">
        <v>25</v>
      </c>
      <c r="F60" s="16" t="s">
        <v>1515</v>
      </c>
      <c r="G60" s="16" t="s">
        <v>1516</v>
      </c>
      <c r="H60" s="17" t="str">
        <f aca="false">HYPERLINK("https://photos.app.goo.gl/5iAgZkWNSXbCw5i8A", "Completo")</f>
        <v>Completo</v>
      </c>
      <c r="I60" s="16" t="s">
        <v>28</v>
      </c>
      <c r="J60" s="16" t="s">
        <v>29</v>
      </c>
      <c r="K60" s="16" t="s">
        <v>29</v>
      </c>
      <c r="L60" s="16" t="s">
        <v>29</v>
      </c>
      <c r="M60" s="16"/>
      <c r="N60" s="16"/>
      <c r="O60" s="16" t="s">
        <v>28</v>
      </c>
      <c r="P60" s="17" t="s">
        <v>28</v>
      </c>
      <c r="Q60" s="16"/>
      <c r="R60" s="16" t="s">
        <v>30</v>
      </c>
      <c r="S60" s="16" t="s">
        <v>1517</v>
      </c>
      <c r="T60" s="16"/>
      <c r="U60" s="16"/>
      <c r="V60" s="16"/>
      <c r="W60" s="16"/>
      <c r="X60" s="16" t="s">
        <v>28</v>
      </c>
    </row>
    <row r="61" customFormat="false" ht="15.75" hidden="false" customHeight="false" outlineLevel="0" collapsed="false">
      <c r="A61" s="19" t="n">
        <v>7507</v>
      </c>
      <c r="B61" s="14" t="n">
        <v>45161</v>
      </c>
      <c r="C61" s="16" t="s">
        <v>1013</v>
      </c>
      <c r="D61" s="16" t="s">
        <v>24</v>
      </c>
      <c r="E61" s="16" t="s">
        <v>25</v>
      </c>
      <c r="F61" s="16" t="s">
        <v>1518</v>
      </c>
      <c r="G61" s="16" t="s">
        <v>1519</v>
      </c>
      <c r="H61" s="17" t="str">
        <f aca="false">HYPERLINK("https://photos.app.goo.gl/fiqVyajYoQccdkGN8", "Completo")</f>
        <v>Completo</v>
      </c>
      <c r="I61" s="16" t="s">
        <v>28</v>
      </c>
      <c r="J61" s="16" t="s">
        <v>29</v>
      </c>
      <c r="K61" s="16" t="s">
        <v>29</v>
      </c>
      <c r="L61" s="16" t="s">
        <v>29</v>
      </c>
      <c r="M61" s="16"/>
      <c r="N61" s="16"/>
      <c r="O61" s="16" t="s">
        <v>28</v>
      </c>
      <c r="P61" s="17" t="s">
        <v>28</v>
      </c>
      <c r="Q61" s="16"/>
      <c r="R61" s="16" t="s">
        <v>30</v>
      </c>
      <c r="S61" s="16"/>
      <c r="T61" s="16"/>
      <c r="U61" s="16"/>
      <c r="V61" s="16"/>
      <c r="W61" s="16"/>
      <c r="X61" s="16" t="s">
        <v>28</v>
      </c>
    </row>
    <row r="62" customFormat="false" ht="15.75" hidden="false" customHeight="false" outlineLevel="0" collapsed="false">
      <c r="A62" s="19" t="n">
        <v>7508</v>
      </c>
      <c r="B62" s="14" t="n">
        <v>45161</v>
      </c>
      <c r="C62" s="16" t="s">
        <v>1520</v>
      </c>
      <c r="D62" s="16" t="s">
        <v>24</v>
      </c>
      <c r="E62" s="16" t="s">
        <v>34</v>
      </c>
      <c r="F62" s="16" t="s">
        <v>1521</v>
      </c>
      <c r="G62" s="16"/>
      <c r="H62" s="16"/>
      <c r="I62" s="16"/>
      <c r="J62" s="16"/>
      <c r="K62" s="16"/>
      <c r="L62" s="16"/>
      <c r="M62" s="16"/>
      <c r="N62" s="16"/>
      <c r="O62" s="16" t="s">
        <v>37</v>
      </c>
      <c r="P62" s="16"/>
      <c r="Q62" s="16"/>
      <c r="R62" s="16"/>
      <c r="S62" s="16"/>
      <c r="T62" s="16"/>
      <c r="U62" s="16"/>
      <c r="V62" s="16"/>
      <c r="W62" s="16"/>
      <c r="X62" s="16" t="s">
        <v>28</v>
      </c>
    </row>
    <row r="63" customFormat="false" ht="15.75" hidden="false" customHeight="false" outlineLevel="0" collapsed="false">
      <c r="A63" s="19" t="n">
        <v>7509</v>
      </c>
      <c r="B63" s="14" t="n">
        <v>45162</v>
      </c>
      <c r="C63" s="16" t="s">
        <v>1328</v>
      </c>
      <c r="D63" s="16" t="s">
        <v>24</v>
      </c>
      <c r="E63" s="16" t="s">
        <v>34</v>
      </c>
      <c r="F63" s="16" t="s">
        <v>1522</v>
      </c>
      <c r="G63" s="16"/>
      <c r="H63" s="16"/>
      <c r="I63" s="16"/>
      <c r="J63" s="16"/>
      <c r="K63" s="16"/>
      <c r="L63" s="16"/>
      <c r="M63" s="16"/>
      <c r="N63" s="16"/>
      <c r="O63" s="16" t="s">
        <v>37</v>
      </c>
      <c r="P63" s="16"/>
      <c r="Q63" s="16"/>
      <c r="R63" s="16"/>
      <c r="S63" s="16"/>
      <c r="T63" s="16"/>
      <c r="U63" s="16"/>
      <c r="V63" s="16"/>
      <c r="W63" s="16"/>
      <c r="X63" s="16" t="s">
        <v>28</v>
      </c>
    </row>
    <row r="64" customFormat="false" ht="15.75" hidden="false" customHeight="false" outlineLevel="0" collapsed="false">
      <c r="A64" s="19" t="n">
        <v>7510</v>
      </c>
      <c r="B64" s="14" t="n">
        <v>45161</v>
      </c>
      <c r="C64" s="16" t="s">
        <v>274</v>
      </c>
      <c r="D64" s="16" t="s">
        <v>24</v>
      </c>
      <c r="E64" s="16" t="s">
        <v>25</v>
      </c>
      <c r="F64" s="16" t="s">
        <v>1523</v>
      </c>
      <c r="G64" s="16" t="s">
        <v>1524</v>
      </c>
      <c r="H64" s="17" t="str">
        <f aca="false">HYPERLINK("https://photos.app.goo.gl/JNp7dRFoB7Bwg98L8", "Completo")</f>
        <v>Completo</v>
      </c>
      <c r="I64" s="16" t="s">
        <v>28</v>
      </c>
      <c r="J64" s="16" t="s">
        <v>29</v>
      </c>
      <c r="K64" s="16" t="s">
        <v>29</v>
      </c>
      <c r="L64" s="16" t="s">
        <v>29</v>
      </c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 t="s">
        <v>28</v>
      </c>
    </row>
    <row r="65" customFormat="false" ht="15.75" hidden="false" customHeight="false" outlineLevel="0" collapsed="false">
      <c r="A65" s="19" t="s">
        <v>1525</v>
      </c>
      <c r="B65" s="14" t="n">
        <v>45161</v>
      </c>
      <c r="C65" s="16" t="s">
        <v>841</v>
      </c>
      <c r="D65" s="16" t="s">
        <v>290</v>
      </c>
      <c r="E65" s="16" t="s">
        <v>25</v>
      </c>
      <c r="F65" s="16" t="s">
        <v>1526</v>
      </c>
      <c r="G65" s="16"/>
      <c r="H65" s="17" t="str">
        <f aca="false">HYPERLINK("https://photos.app.goo.gl/aLcYM7bzKJEAwcrz7", "Completo")</f>
        <v>Completo</v>
      </c>
      <c r="I65" s="16" t="s">
        <v>28</v>
      </c>
      <c r="J65" s="16" t="s">
        <v>29</v>
      </c>
      <c r="K65" s="16" t="s">
        <v>29</v>
      </c>
      <c r="L65" s="16" t="s">
        <v>1527</v>
      </c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 t="s">
        <v>37</v>
      </c>
    </row>
    <row r="66" customFormat="false" ht="15.75" hidden="false" customHeight="false" outlineLevel="0" collapsed="false">
      <c r="A66" s="19" t="n">
        <v>7511</v>
      </c>
      <c r="B66" s="14" t="n">
        <v>45163</v>
      </c>
      <c r="C66" s="16" t="s">
        <v>1528</v>
      </c>
      <c r="D66" s="16" t="s">
        <v>24</v>
      </c>
      <c r="E66" s="16" t="s">
        <v>25</v>
      </c>
      <c r="F66" s="16" t="s">
        <v>1529</v>
      </c>
      <c r="G66" s="16" t="s">
        <v>1530</v>
      </c>
      <c r="H66" s="17" t="str">
        <f aca="false">HYPERLINK("https://photos.app.goo.gl/5oPDsznr5ipbKYg89", "Completo")</f>
        <v>Completo</v>
      </c>
      <c r="I66" s="16" t="s">
        <v>28</v>
      </c>
      <c r="J66" s="16"/>
      <c r="K66" s="16"/>
      <c r="L66" s="16"/>
      <c r="M66" s="16"/>
      <c r="N66" s="16"/>
      <c r="O66" s="16" t="s">
        <v>28</v>
      </c>
      <c r="P66" s="17" t="s">
        <v>28</v>
      </c>
      <c r="Q66" s="16"/>
      <c r="R66" s="16" t="s">
        <v>30</v>
      </c>
      <c r="S66" s="16" t="s">
        <v>1531</v>
      </c>
      <c r="T66" s="16"/>
      <c r="U66" s="16"/>
      <c r="V66" s="16"/>
      <c r="W66" s="16"/>
      <c r="X66" s="16" t="s">
        <v>28</v>
      </c>
    </row>
    <row r="67" customFormat="false" ht="15.75" hidden="false" customHeight="false" outlineLevel="0" collapsed="false">
      <c r="A67" s="24" t="n">
        <v>7512</v>
      </c>
      <c r="B67" s="29" t="n">
        <v>45167</v>
      </c>
      <c r="C67" s="21" t="s">
        <v>1370</v>
      </c>
      <c r="D67" s="21" t="s">
        <v>24</v>
      </c>
      <c r="E67" s="21" t="s">
        <v>25</v>
      </c>
      <c r="F67" s="21" t="s">
        <v>1532</v>
      </c>
      <c r="G67" s="16"/>
      <c r="H67" s="17" t="str">
        <f aca="false">HYPERLINK("https://photos.app.goo.gl/xvft8aMDcNcdgNBs7", "Completo")</f>
        <v>Completo</v>
      </c>
      <c r="I67" s="16" t="s">
        <v>28</v>
      </c>
      <c r="J67" s="16" t="s">
        <v>29</v>
      </c>
      <c r="K67" s="16" t="s">
        <v>29</v>
      </c>
      <c r="L67" s="16" t="s">
        <v>1533</v>
      </c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 t="s">
        <v>28</v>
      </c>
    </row>
    <row r="68" customFormat="false" ht="15.75" hidden="false" customHeight="false" outlineLevel="0" collapsed="false">
      <c r="A68" s="19" t="n">
        <v>7513</v>
      </c>
      <c r="B68" s="14" t="n">
        <v>45167</v>
      </c>
      <c r="C68" s="16" t="s">
        <v>1534</v>
      </c>
      <c r="D68" s="16" t="s">
        <v>24</v>
      </c>
      <c r="E68" s="16" t="s">
        <v>25</v>
      </c>
      <c r="F68" s="16" t="s">
        <v>1535</v>
      </c>
      <c r="G68" s="16"/>
      <c r="H68" s="17" t="str">
        <f aca="false">HYPERLINK("https://photos.app.goo.gl/DVe6PxoqquXSuHNX7", "Completo")</f>
        <v>Completo</v>
      </c>
      <c r="I68" s="16" t="s">
        <v>28</v>
      </c>
      <c r="J68" s="16" t="s">
        <v>1536</v>
      </c>
      <c r="K68" s="16"/>
      <c r="L68" s="16" t="s">
        <v>1537</v>
      </c>
      <c r="M68" s="16"/>
      <c r="N68" s="16"/>
      <c r="O68" s="16" t="s">
        <v>28</v>
      </c>
      <c r="P68" s="16" t="s">
        <v>28</v>
      </c>
      <c r="Q68" s="16"/>
      <c r="R68" s="16" t="s">
        <v>30</v>
      </c>
      <c r="S68" s="16"/>
      <c r="T68" s="16"/>
      <c r="U68" s="16"/>
      <c r="V68" s="16"/>
      <c r="W68" s="16"/>
      <c r="X68" s="16" t="s">
        <v>28</v>
      </c>
    </row>
    <row r="69" customFormat="false" ht="15.75" hidden="false" customHeight="false" outlineLevel="0" collapsed="false">
      <c r="A69" s="19" t="n">
        <v>7514</v>
      </c>
      <c r="B69" s="14" t="n">
        <v>45167</v>
      </c>
      <c r="C69" s="16" t="s">
        <v>50</v>
      </c>
      <c r="D69" s="16" t="s">
        <v>24</v>
      </c>
      <c r="E69" s="16" t="s">
        <v>25</v>
      </c>
      <c r="F69" s="16" t="s">
        <v>1538</v>
      </c>
      <c r="G69" s="16"/>
      <c r="H69" s="17" t="str">
        <f aca="false">HYPERLINK("https://photos.app.goo.gl/pdDuPUMVfKgCCqBX6", "Completo")</f>
        <v>Completo</v>
      </c>
      <c r="I69" s="16" t="s">
        <v>28</v>
      </c>
      <c r="J69" s="16" t="s">
        <v>29</v>
      </c>
      <c r="K69" s="16" t="s">
        <v>29</v>
      </c>
      <c r="L69" s="16" t="s">
        <v>29</v>
      </c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 t="s">
        <v>28</v>
      </c>
    </row>
    <row r="70" customFormat="false" ht="15.75" hidden="false" customHeight="false" outlineLevel="0" collapsed="false">
      <c r="A70" s="42" t="n">
        <v>181559</v>
      </c>
      <c r="B70" s="14" t="n">
        <v>45168</v>
      </c>
      <c r="C70" s="16" t="s">
        <v>1539</v>
      </c>
      <c r="D70" s="16" t="s">
        <v>290</v>
      </c>
      <c r="E70" s="16" t="s">
        <v>25</v>
      </c>
      <c r="F70" s="16" t="s">
        <v>1540</v>
      </c>
      <c r="G70" s="16"/>
      <c r="H70" s="17" t="str">
        <f aca="false">HYPERLINK("https://photos.app.goo.gl/aSA6Z27gtzkJGZm28", "Completo")</f>
        <v>Completo</v>
      </c>
      <c r="I70" s="16" t="s">
        <v>28</v>
      </c>
      <c r="J70" s="16" t="s">
        <v>29</v>
      </c>
      <c r="K70" s="16" t="s">
        <v>29</v>
      </c>
      <c r="L70" s="16" t="s">
        <v>1541</v>
      </c>
      <c r="M70" s="16"/>
      <c r="N70" s="16"/>
      <c r="O70" s="16"/>
      <c r="P70" s="17" t="s">
        <v>28</v>
      </c>
      <c r="Q70" s="16"/>
      <c r="R70" s="16" t="s">
        <v>30</v>
      </c>
      <c r="S70" s="16"/>
      <c r="T70" s="16" t="s">
        <v>58</v>
      </c>
      <c r="U70" s="16" t="s">
        <v>28</v>
      </c>
      <c r="V70" s="17" t="s">
        <v>28</v>
      </c>
      <c r="W70" s="16" t="s">
        <v>36</v>
      </c>
      <c r="X70" s="16" t="s">
        <v>28</v>
      </c>
    </row>
    <row r="71" customFormat="false" ht="15.75" hidden="false" customHeight="false" outlineLevel="0" collapsed="false">
      <c r="A71" s="19" t="n">
        <v>7515</v>
      </c>
      <c r="B71" s="14" t="n">
        <v>45168</v>
      </c>
      <c r="C71" s="16" t="s">
        <v>1542</v>
      </c>
      <c r="D71" s="16" t="s">
        <v>24</v>
      </c>
      <c r="E71" s="16" t="s">
        <v>34</v>
      </c>
      <c r="F71" s="16" t="s">
        <v>1543</v>
      </c>
      <c r="G71" s="16"/>
      <c r="H71" s="16"/>
      <c r="I71" s="16"/>
      <c r="J71" s="16"/>
      <c r="K71" s="16"/>
      <c r="L71" s="16"/>
      <c r="M71" s="16"/>
      <c r="N71" s="16"/>
      <c r="O71" s="16" t="s">
        <v>37</v>
      </c>
      <c r="P71" s="16"/>
      <c r="Q71" s="16"/>
      <c r="S71" s="16"/>
      <c r="T71" s="16"/>
      <c r="U71" s="16"/>
      <c r="V71" s="16"/>
      <c r="W71" s="16"/>
      <c r="X71" s="16" t="s">
        <v>28</v>
      </c>
    </row>
    <row r="72" customFormat="false" ht="15.75" hidden="false" customHeight="false" outlineLevel="0" collapsed="false">
      <c r="A72" s="19" t="n">
        <v>7516</v>
      </c>
      <c r="B72" s="14" t="n">
        <v>45168</v>
      </c>
      <c r="C72" s="16" t="s">
        <v>38</v>
      </c>
      <c r="D72" s="16" t="s">
        <v>24</v>
      </c>
      <c r="E72" s="16" t="s">
        <v>25</v>
      </c>
      <c r="F72" s="16" t="s">
        <v>1544</v>
      </c>
      <c r="G72" s="16"/>
      <c r="H72" s="17" t="str">
        <f aca="false">HYPERLINK("https://photos.app.goo.gl/BwAU5DxSNJteWVUw5", "Completo")</f>
        <v>Completo</v>
      </c>
      <c r="I72" s="16" t="s">
        <v>28</v>
      </c>
      <c r="J72" s="16" t="s">
        <v>29</v>
      </c>
      <c r="K72" s="16" t="s">
        <v>29</v>
      </c>
      <c r="L72" s="16" t="s">
        <v>1545</v>
      </c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 t="s">
        <v>28</v>
      </c>
    </row>
    <row r="73" customFormat="false" ht="15.75" hidden="false" customHeight="false" outlineLevel="0" collapsed="false">
      <c r="A73" s="19" t="n">
        <v>7517</v>
      </c>
      <c r="B73" s="14" t="n">
        <v>45169</v>
      </c>
      <c r="C73" s="16" t="s">
        <v>593</v>
      </c>
      <c r="D73" s="16" t="s">
        <v>24</v>
      </c>
      <c r="E73" s="16" t="s">
        <v>34</v>
      </c>
      <c r="F73" s="16" t="s">
        <v>1546</v>
      </c>
      <c r="G73" s="16"/>
      <c r="H73" s="17" t="str">
        <f aca="false">HYPERLINK("https://photos.app.goo.gl/Hvy3UN1JDw8aSHgH9", "Completo")</f>
        <v>Completo</v>
      </c>
      <c r="I73" s="16"/>
      <c r="J73" s="16"/>
      <c r="K73" s="16"/>
      <c r="L73" s="16"/>
      <c r="M73" s="16"/>
      <c r="N73" s="16"/>
      <c r="O73" s="16" t="s">
        <v>37</v>
      </c>
      <c r="P73" s="16"/>
      <c r="Q73" s="16"/>
      <c r="R73" s="16"/>
      <c r="S73" s="16"/>
      <c r="T73" s="16"/>
      <c r="U73" s="16"/>
      <c r="V73" s="16"/>
      <c r="W73" s="16"/>
      <c r="X73" s="16" t="s">
        <v>28</v>
      </c>
    </row>
    <row r="74" customFormat="false" ht="15.75" hidden="false" customHeight="false" outlineLevel="0" collapsed="false">
      <c r="A74" s="24" t="n">
        <v>7518</v>
      </c>
      <c r="B74" s="49" t="n">
        <v>45169</v>
      </c>
      <c r="C74" s="25" t="s">
        <v>1512</v>
      </c>
      <c r="D74" s="25" t="s">
        <v>24</v>
      </c>
      <c r="E74" s="25" t="s">
        <v>25</v>
      </c>
      <c r="F74" s="25" t="s">
        <v>804</v>
      </c>
      <c r="G74" s="25" t="s">
        <v>1547</v>
      </c>
      <c r="H74" s="26" t="str">
        <f aca="false">HYPERLINK("https://photos.app.goo.gl/FyYfd4LdkjtAemX99", "Completo")</f>
        <v>Completo</v>
      </c>
      <c r="I74" s="25" t="s">
        <v>28</v>
      </c>
      <c r="J74" s="25" t="s">
        <v>29</v>
      </c>
      <c r="K74" s="25" t="s">
        <v>29</v>
      </c>
      <c r="L74" s="50" t="n">
        <v>100230</v>
      </c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 t="s">
        <v>28</v>
      </c>
    </row>
    <row r="75" customFormat="false" ht="15.75" hidden="false" customHeight="false" outlineLevel="0" collapsed="false">
      <c r="A75" s="58"/>
      <c r="B75" s="58"/>
      <c r="C75" s="58"/>
      <c r="D75" s="59"/>
      <c r="E75" s="59"/>
      <c r="F75" s="59"/>
      <c r="G75" s="59"/>
      <c r="H75" s="59"/>
      <c r="I75" s="16"/>
      <c r="J75" s="16"/>
      <c r="K75" s="16"/>
      <c r="L75" s="23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</row>
    <row r="76" customFormat="false" ht="15.75" hidden="false" customHeight="false" outlineLevel="0" collapsed="false">
      <c r="A76" s="19"/>
      <c r="B76" s="14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</row>
    <row r="77" customFormat="false" ht="15.75" hidden="false" customHeight="false" outlineLevel="0" collapsed="false">
      <c r="A77" s="19"/>
      <c r="B77" s="14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</row>
    <row r="78" customFormat="false" ht="15.75" hidden="false" customHeight="false" outlineLevel="0" collapsed="false">
      <c r="A78" s="19"/>
      <c r="B78" s="14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</row>
    <row r="79" customFormat="false" ht="15.75" hidden="false" customHeight="false" outlineLevel="0" collapsed="false">
      <c r="A79" s="19"/>
      <c r="B79" s="14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</row>
    <row r="80" customFormat="false" ht="15.75" hidden="false" customHeight="false" outlineLevel="0" collapsed="false">
      <c r="A80" s="42"/>
      <c r="B80" s="14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</row>
    <row r="81" customFormat="false" ht="15.75" hidden="false" customHeight="false" outlineLevel="0" collapsed="false">
      <c r="A81" s="19"/>
      <c r="B81" s="14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</row>
    <row r="82" customFormat="false" ht="15.75" hidden="false" customHeight="false" outlineLevel="0" collapsed="false">
      <c r="A82" s="19"/>
      <c r="B82" s="14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</row>
    <row r="83" customFormat="false" ht="15.75" hidden="false" customHeight="false" outlineLevel="0" collapsed="false">
      <c r="A83" s="19"/>
      <c r="B83" s="14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</row>
    <row r="84" customFormat="false" ht="15.75" hidden="false" customHeight="false" outlineLevel="0" collapsed="false">
      <c r="A84" s="19"/>
      <c r="B84" s="14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</row>
    <row r="85" customFormat="false" ht="15.75" hidden="false" customHeight="false" outlineLevel="0" collapsed="false">
      <c r="A85" s="19"/>
      <c r="B85" s="14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</row>
    <row r="86" customFormat="false" ht="15.75" hidden="false" customHeight="false" outlineLevel="0" collapsed="false">
      <c r="A86" s="19"/>
      <c r="B86" s="14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</row>
    <row r="87" customFormat="false" ht="15.75" hidden="false" customHeight="false" outlineLevel="0" collapsed="false">
      <c r="A87" s="19"/>
      <c r="B87" s="14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</row>
    <row r="88" customFormat="false" ht="15.75" hidden="false" customHeight="false" outlineLevel="0" collapsed="false">
      <c r="A88" s="19"/>
      <c r="B88" s="14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</row>
    <row r="89" customFormat="false" ht="15.75" hidden="false" customHeight="false" outlineLevel="0" collapsed="false">
      <c r="A89" s="19"/>
      <c r="B89" s="14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</row>
    <row r="90" customFormat="false" ht="15.75" hidden="false" customHeight="false" outlineLevel="0" collapsed="false">
      <c r="A90" s="19"/>
      <c r="B90" s="14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</row>
    <row r="91" customFormat="false" ht="15.75" hidden="false" customHeight="false" outlineLevel="0" collapsed="false">
      <c r="A91" s="24"/>
      <c r="B91" s="14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</row>
    <row r="92" customFormat="false" ht="15.75" hidden="false" customHeight="false" outlineLevel="0" collapsed="false">
      <c r="A92" s="19"/>
      <c r="B92" s="14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</row>
    <row r="93" customFormat="false" ht="15.75" hidden="false" customHeight="false" outlineLevel="0" collapsed="false">
      <c r="A93" s="19"/>
      <c r="B93" s="14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</row>
    <row r="94" customFormat="false" ht="15.75" hidden="false" customHeight="false" outlineLevel="0" collapsed="false">
      <c r="A94" s="19"/>
      <c r="B94" s="14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</row>
    <row r="95" customFormat="false" ht="15.75" hidden="false" customHeight="false" outlineLevel="0" collapsed="false">
      <c r="A95" s="13"/>
      <c r="B95" s="14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</row>
    <row r="96" customFormat="false" ht="15.75" hidden="false" customHeight="false" outlineLevel="0" collapsed="false">
      <c r="A96" s="13"/>
      <c r="B96" s="14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</row>
    <row r="97" customFormat="false" ht="15.75" hidden="false" customHeight="false" outlineLevel="0" collapsed="false">
      <c r="A97" s="13"/>
      <c r="B97" s="14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</row>
    <row r="98" customFormat="false" ht="15.75" hidden="false" customHeight="false" outlineLevel="0" collapsed="false">
      <c r="A98" s="13"/>
      <c r="B98" s="14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</row>
    <row r="99" customFormat="false" ht="15.75" hidden="false" customHeight="false" outlineLevel="0" collapsed="false">
      <c r="A99" s="13"/>
      <c r="B99" s="14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</row>
    <row r="100" customFormat="false" ht="15.75" hidden="false" customHeight="false" outlineLevel="0" collapsed="false">
      <c r="A100" s="13"/>
      <c r="B100" s="14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</row>
    <row r="101" customFormat="false" ht="15.75" hidden="false" customHeight="false" outlineLevel="0" collapsed="false">
      <c r="A101" s="13"/>
      <c r="B101" s="14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</row>
    <row r="102" customFormat="false" ht="15.75" hidden="false" customHeight="false" outlineLevel="0" collapsed="false">
      <c r="A102" s="13"/>
      <c r="B102" s="14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</row>
    <row r="103" customFormat="false" ht="15.75" hidden="false" customHeight="false" outlineLevel="0" collapsed="false">
      <c r="A103" s="13"/>
      <c r="B103" s="14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</row>
    <row r="104" customFormat="false" ht="15.75" hidden="false" customHeight="false" outlineLevel="0" collapsed="false">
      <c r="A104" s="13"/>
      <c r="B104" s="14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</row>
    <row r="105" customFormat="false" ht="15.75" hidden="false" customHeight="false" outlineLevel="0" collapsed="false">
      <c r="A105" s="13"/>
      <c r="B105" s="14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</row>
    <row r="106" customFormat="false" ht="15.75" hidden="false" customHeight="false" outlineLevel="0" collapsed="false">
      <c r="A106" s="13"/>
      <c r="B106" s="14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</row>
    <row r="107" customFormat="false" ht="15.75" hidden="false" customHeight="false" outlineLevel="0" collapsed="false">
      <c r="A107" s="13"/>
      <c r="B107" s="14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</row>
    <row r="108" customFormat="false" ht="15.75" hidden="false" customHeight="false" outlineLevel="0" collapsed="false">
      <c r="A108" s="12"/>
      <c r="B108" s="34"/>
      <c r="C108" s="12"/>
      <c r="D108" s="12"/>
      <c r="E108" s="12"/>
      <c r="F108" s="12"/>
      <c r="G108" s="18"/>
      <c r="H108" s="35"/>
      <c r="I108" s="12"/>
      <c r="N108" s="18"/>
      <c r="O108" s="12"/>
      <c r="P108" s="12"/>
      <c r="Q108" s="12"/>
      <c r="R108" s="36"/>
      <c r="S108" s="36"/>
      <c r="T108" s="12"/>
      <c r="U108" s="12"/>
      <c r="V108" s="12"/>
      <c r="W108" s="12"/>
      <c r="X108" s="12"/>
    </row>
    <row r="109" customFormat="false" ht="15.75" hidden="false" customHeight="false" outlineLevel="0" collapsed="false">
      <c r="A109" s="12"/>
      <c r="B109" s="34"/>
      <c r="C109" s="12"/>
      <c r="D109" s="12"/>
      <c r="E109" s="12"/>
      <c r="F109" s="12"/>
      <c r="G109" s="18"/>
      <c r="H109" s="35"/>
      <c r="I109" s="12"/>
      <c r="N109" s="18"/>
      <c r="O109" s="12"/>
      <c r="P109" s="12"/>
      <c r="Q109" s="12"/>
      <c r="R109" s="36"/>
      <c r="S109" s="36"/>
      <c r="T109" s="12"/>
      <c r="U109" s="12"/>
      <c r="V109" s="12"/>
      <c r="W109" s="12"/>
      <c r="X109" s="12"/>
    </row>
    <row r="110" customFormat="false" ht="15.75" hidden="false" customHeight="false" outlineLevel="0" collapsed="false">
      <c r="A110" s="12"/>
      <c r="B110" s="34"/>
      <c r="C110" s="12"/>
      <c r="D110" s="12"/>
      <c r="E110" s="12"/>
      <c r="F110" s="12"/>
      <c r="G110" s="18"/>
      <c r="H110" s="35"/>
      <c r="I110" s="12"/>
      <c r="N110" s="18"/>
      <c r="O110" s="12"/>
      <c r="P110" s="12"/>
      <c r="Q110" s="12"/>
      <c r="R110" s="36"/>
      <c r="S110" s="36"/>
      <c r="T110" s="12"/>
      <c r="U110" s="12"/>
      <c r="V110" s="12"/>
      <c r="W110" s="12"/>
      <c r="X110" s="12"/>
    </row>
    <row r="111" customFormat="false" ht="15.75" hidden="false" customHeight="false" outlineLevel="0" collapsed="false">
      <c r="A111" s="12"/>
      <c r="B111" s="34"/>
      <c r="C111" s="12"/>
      <c r="D111" s="12"/>
      <c r="E111" s="12"/>
      <c r="F111" s="12"/>
      <c r="G111" s="18"/>
      <c r="H111" s="35"/>
      <c r="I111" s="12"/>
      <c r="N111" s="18"/>
      <c r="O111" s="12"/>
      <c r="P111" s="12"/>
      <c r="Q111" s="12"/>
      <c r="R111" s="36"/>
      <c r="S111" s="36"/>
      <c r="T111" s="12"/>
      <c r="U111" s="12"/>
      <c r="V111" s="12"/>
      <c r="W111" s="12"/>
      <c r="X111" s="12"/>
    </row>
    <row r="112" customFormat="false" ht="15.75" hidden="false" customHeight="false" outlineLevel="0" collapsed="false">
      <c r="A112" s="12"/>
      <c r="B112" s="34"/>
      <c r="C112" s="12"/>
      <c r="D112" s="12"/>
      <c r="E112" s="12"/>
      <c r="F112" s="12"/>
      <c r="G112" s="18"/>
      <c r="H112" s="35"/>
      <c r="I112" s="12"/>
      <c r="N112" s="18"/>
      <c r="O112" s="12"/>
      <c r="P112" s="12"/>
      <c r="Q112" s="12"/>
      <c r="R112" s="36"/>
      <c r="S112" s="36"/>
      <c r="T112" s="12"/>
      <c r="U112" s="12"/>
      <c r="V112" s="12"/>
      <c r="W112" s="12"/>
      <c r="X112" s="12"/>
    </row>
    <row r="113" customFormat="false" ht="15.75" hidden="false" customHeight="false" outlineLevel="0" collapsed="false">
      <c r="A113" s="12"/>
      <c r="B113" s="34"/>
      <c r="C113" s="12"/>
      <c r="D113" s="12"/>
      <c r="E113" s="12"/>
      <c r="F113" s="12"/>
      <c r="G113" s="18"/>
      <c r="H113" s="35"/>
      <c r="I113" s="12"/>
      <c r="N113" s="18"/>
      <c r="O113" s="12"/>
      <c r="P113" s="12"/>
      <c r="Q113" s="12"/>
      <c r="R113" s="36"/>
      <c r="S113" s="36"/>
      <c r="T113" s="12"/>
      <c r="U113" s="12"/>
      <c r="V113" s="12"/>
      <c r="W113" s="12"/>
      <c r="X113" s="12"/>
    </row>
    <row r="114" customFormat="false" ht="15.75" hidden="false" customHeight="false" outlineLevel="0" collapsed="false">
      <c r="A114" s="12"/>
      <c r="B114" s="34"/>
      <c r="C114" s="12"/>
      <c r="D114" s="12"/>
      <c r="E114" s="12"/>
      <c r="F114" s="12"/>
      <c r="G114" s="18"/>
      <c r="H114" s="35"/>
      <c r="I114" s="12"/>
      <c r="N114" s="18"/>
      <c r="O114" s="12"/>
      <c r="P114" s="12"/>
      <c r="Q114" s="12"/>
      <c r="R114" s="36"/>
      <c r="S114" s="36"/>
      <c r="T114" s="12"/>
      <c r="U114" s="12"/>
      <c r="V114" s="12"/>
      <c r="W114" s="12"/>
      <c r="X114" s="12"/>
    </row>
    <row r="115" customFormat="false" ht="15.75" hidden="false" customHeight="false" outlineLevel="0" collapsed="false">
      <c r="A115" s="12"/>
      <c r="B115" s="34"/>
      <c r="C115" s="12"/>
      <c r="D115" s="12"/>
      <c r="E115" s="12"/>
      <c r="F115" s="12"/>
      <c r="G115" s="18"/>
      <c r="H115" s="35"/>
      <c r="I115" s="12"/>
      <c r="N115" s="18"/>
      <c r="O115" s="12"/>
      <c r="P115" s="12"/>
      <c r="Q115" s="12"/>
      <c r="R115" s="36"/>
      <c r="S115" s="36"/>
      <c r="T115" s="12"/>
      <c r="U115" s="12"/>
      <c r="V115" s="12"/>
      <c r="W115" s="12"/>
      <c r="X115" s="12"/>
    </row>
    <row r="116" customFormat="false" ht="15.75" hidden="false" customHeight="false" outlineLevel="0" collapsed="false">
      <c r="A116" s="12"/>
      <c r="B116" s="34"/>
      <c r="C116" s="12"/>
      <c r="D116" s="12"/>
      <c r="E116" s="12"/>
      <c r="F116" s="12"/>
      <c r="G116" s="18"/>
      <c r="H116" s="35"/>
      <c r="I116" s="12"/>
      <c r="N116" s="18"/>
      <c r="O116" s="12"/>
      <c r="P116" s="12"/>
      <c r="Q116" s="12"/>
      <c r="R116" s="36"/>
      <c r="S116" s="36"/>
      <c r="T116" s="12"/>
      <c r="U116" s="12"/>
      <c r="V116" s="12"/>
      <c r="W116" s="12"/>
      <c r="X116" s="12"/>
    </row>
    <row r="117" customFormat="false" ht="15.75" hidden="false" customHeight="false" outlineLevel="0" collapsed="false">
      <c r="A117" s="12"/>
      <c r="B117" s="34"/>
      <c r="C117" s="12"/>
      <c r="D117" s="12"/>
      <c r="E117" s="12"/>
      <c r="F117" s="12"/>
      <c r="G117" s="18"/>
      <c r="H117" s="35"/>
      <c r="I117" s="12"/>
      <c r="N117" s="18"/>
      <c r="O117" s="12"/>
      <c r="P117" s="12"/>
      <c r="Q117" s="12"/>
      <c r="R117" s="36"/>
      <c r="S117" s="36"/>
      <c r="T117" s="12"/>
      <c r="U117" s="12"/>
      <c r="V117" s="12"/>
      <c r="W117" s="12"/>
      <c r="X117" s="12"/>
    </row>
    <row r="118" customFormat="false" ht="15.75" hidden="false" customHeight="false" outlineLevel="0" collapsed="false">
      <c r="A118" s="12"/>
      <c r="B118" s="34"/>
      <c r="C118" s="12"/>
      <c r="D118" s="12"/>
      <c r="E118" s="12"/>
      <c r="F118" s="12"/>
      <c r="G118" s="18"/>
      <c r="H118" s="35"/>
      <c r="I118" s="12"/>
      <c r="N118" s="18"/>
      <c r="O118" s="12"/>
      <c r="P118" s="12"/>
      <c r="Q118" s="12"/>
      <c r="R118" s="36"/>
      <c r="S118" s="36"/>
      <c r="T118" s="12"/>
      <c r="U118" s="12"/>
      <c r="V118" s="12"/>
      <c r="W118" s="12"/>
      <c r="X118" s="12"/>
    </row>
    <row r="119" customFormat="false" ht="15.75" hidden="false" customHeight="false" outlineLevel="0" collapsed="false">
      <c r="A119" s="12"/>
      <c r="B119" s="34"/>
      <c r="C119" s="12"/>
      <c r="D119" s="12"/>
      <c r="E119" s="12"/>
      <c r="F119" s="12"/>
      <c r="G119" s="18"/>
      <c r="H119" s="35"/>
      <c r="I119" s="12"/>
      <c r="N119" s="18"/>
      <c r="O119" s="12"/>
      <c r="P119" s="12"/>
      <c r="Q119" s="12"/>
      <c r="R119" s="36"/>
      <c r="S119" s="36"/>
      <c r="T119" s="12"/>
      <c r="U119" s="12"/>
      <c r="V119" s="12"/>
      <c r="W119" s="12"/>
      <c r="X119" s="12"/>
    </row>
    <row r="120" customFormat="false" ht="15.75" hidden="false" customHeight="false" outlineLevel="0" collapsed="false">
      <c r="A120" s="12"/>
      <c r="B120" s="34"/>
      <c r="C120" s="12"/>
      <c r="D120" s="12"/>
      <c r="E120" s="12"/>
      <c r="F120" s="12"/>
      <c r="G120" s="18"/>
      <c r="H120" s="35"/>
      <c r="I120" s="12"/>
      <c r="N120" s="18"/>
      <c r="O120" s="12"/>
      <c r="P120" s="12"/>
      <c r="Q120" s="12"/>
      <c r="R120" s="36"/>
      <c r="S120" s="36"/>
      <c r="T120" s="12"/>
      <c r="U120" s="12"/>
      <c r="V120" s="12"/>
      <c r="W120" s="12"/>
      <c r="X120" s="12"/>
    </row>
    <row r="121" customFormat="false" ht="15.75" hidden="false" customHeight="false" outlineLevel="0" collapsed="false">
      <c r="A121" s="12"/>
      <c r="B121" s="34"/>
      <c r="C121" s="12"/>
      <c r="D121" s="12"/>
      <c r="E121" s="12"/>
      <c r="F121" s="12"/>
      <c r="G121" s="18"/>
      <c r="H121" s="35"/>
      <c r="I121" s="12"/>
      <c r="N121" s="18"/>
      <c r="O121" s="12"/>
      <c r="P121" s="12"/>
      <c r="Q121" s="12"/>
      <c r="R121" s="36"/>
      <c r="S121" s="36"/>
      <c r="T121" s="12"/>
      <c r="U121" s="12"/>
      <c r="V121" s="12"/>
      <c r="W121" s="12"/>
      <c r="X121" s="12"/>
    </row>
    <row r="122" customFormat="false" ht="15.75" hidden="false" customHeight="false" outlineLevel="0" collapsed="false">
      <c r="A122" s="12"/>
      <c r="B122" s="34"/>
      <c r="C122" s="12"/>
      <c r="D122" s="12"/>
      <c r="E122" s="12"/>
      <c r="F122" s="12"/>
      <c r="G122" s="18"/>
      <c r="H122" s="35"/>
      <c r="I122" s="12"/>
      <c r="N122" s="18"/>
      <c r="O122" s="12"/>
      <c r="P122" s="12"/>
      <c r="Q122" s="12"/>
      <c r="R122" s="36"/>
      <c r="S122" s="36"/>
      <c r="T122" s="12"/>
      <c r="U122" s="12"/>
      <c r="V122" s="12"/>
      <c r="W122" s="12"/>
      <c r="X122" s="12"/>
    </row>
    <row r="123" customFormat="false" ht="15.75" hidden="false" customHeight="false" outlineLevel="0" collapsed="false">
      <c r="A123" s="12"/>
      <c r="B123" s="34"/>
      <c r="C123" s="12"/>
      <c r="D123" s="12"/>
      <c r="E123" s="12"/>
      <c r="F123" s="12"/>
      <c r="G123" s="18"/>
      <c r="H123" s="35"/>
      <c r="I123" s="12"/>
      <c r="N123" s="18"/>
      <c r="O123" s="12"/>
      <c r="P123" s="12"/>
      <c r="Q123" s="12"/>
      <c r="R123" s="36"/>
      <c r="S123" s="36"/>
      <c r="T123" s="12"/>
      <c r="U123" s="12"/>
      <c r="V123" s="12"/>
      <c r="W123" s="12"/>
      <c r="X123" s="12"/>
    </row>
    <row r="124" customFormat="false" ht="15.75" hidden="false" customHeight="false" outlineLevel="0" collapsed="false">
      <c r="A124" s="12"/>
      <c r="B124" s="34"/>
      <c r="C124" s="12"/>
      <c r="D124" s="12"/>
      <c r="E124" s="12"/>
      <c r="F124" s="12"/>
      <c r="G124" s="18"/>
      <c r="H124" s="35"/>
      <c r="I124" s="12"/>
      <c r="M124" s="12"/>
      <c r="N124" s="18"/>
      <c r="O124" s="12"/>
      <c r="P124" s="12"/>
      <c r="Q124" s="12"/>
      <c r="R124" s="36"/>
      <c r="S124" s="36"/>
      <c r="T124" s="12"/>
      <c r="U124" s="12"/>
      <c r="V124" s="12"/>
      <c r="W124" s="12"/>
      <c r="X124" s="12"/>
    </row>
    <row r="125" customFormat="false" ht="15.75" hidden="false" customHeight="false" outlineLevel="0" collapsed="false">
      <c r="A125" s="12"/>
      <c r="B125" s="34"/>
      <c r="C125" s="12"/>
      <c r="D125" s="12"/>
      <c r="E125" s="12"/>
      <c r="F125" s="12"/>
      <c r="G125" s="18"/>
      <c r="H125" s="35"/>
      <c r="I125" s="12"/>
      <c r="M125" s="12"/>
      <c r="N125" s="18"/>
      <c r="O125" s="12"/>
      <c r="P125" s="12"/>
      <c r="Q125" s="12"/>
      <c r="R125" s="36"/>
      <c r="S125" s="36"/>
      <c r="T125" s="12"/>
      <c r="U125" s="12"/>
      <c r="V125" s="12"/>
      <c r="W125" s="12"/>
      <c r="X125" s="12"/>
    </row>
    <row r="126" customFormat="false" ht="15.75" hidden="false" customHeight="false" outlineLevel="0" collapsed="false">
      <c r="A126" s="12"/>
      <c r="B126" s="34"/>
      <c r="C126" s="12"/>
      <c r="D126" s="12"/>
      <c r="E126" s="12"/>
      <c r="F126" s="12"/>
      <c r="G126" s="18"/>
      <c r="H126" s="35"/>
      <c r="I126" s="12"/>
      <c r="M126" s="12"/>
      <c r="N126" s="18"/>
      <c r="O126" s="12"/>
      <c r="P126" s="12"/>
      <c r="Q126" s="12"/>
      <c r="R126" s="36"/>
      <c r="S126" s="36"/>
      <c r="T126" s="12"/>
      <c r="U126" s="12"/>
      <c r="V126" s="12"/>
      <c r="W126" s="12"/>
      <c r="X126" s="12"/>
    </row>
    <row r="127" customFormat="false" ht="15.75" hidden="false" customHeight="false" outlineLevel="0" collapsed="false">
      <c r="A127" s="12"/>
      <c r="B127" s="34"/>
      <c r="C127" s="12"/>
      <c r="D127" s="12"/>
      <c r="E127" s="12"/>
      <c r="F127" s="12"/>
      <c r="G127" s="18"/>
      <c r="H127" s="35"/>
      <c r="I127" s="12"/>
      <c r="M127" s="12"/>
      <c r="N127" s="18"/>
      <c r="O127" s="12"/>
      <c r="P127" s="12"/>
      <c r="Q127" s="12"/>
      <c r="R127" s="36"/>
      <c r="S127" s="36"/>
      <c r="T127" s="12"/>
      <c r="U127" s="12"/>
      <c r="V127" s="12"/>
      <c r="W127" s="12"/>
      <c r="X127" s="12"/>
    </row>
    <row r="128" customFormat="false" ht="15.75" hidden="false" customHeight="false" outlineLevel="0" collapsed="false">
      <c r="A128" s="12"/>
      <c r="B128" s="34"/>
      <c r="C128" s="12"/>
      <c r="D128" s="12"/>
      <c r="E128" s="12"/>
      <c r="F128" s="12"/>
      <c r="G128" s="18"/>
      <c r="H128" s="35"/>
      <c r="I128" s="12"/>
      <c r="M128" s="12"/>
      <c r="N128" s="18"/>
      <c r="O128" s="12"/>
      <c r="P128" s="12"/>
      <c r="Q128" s="12"/>
      <c r="R128" s="36"/>
      <c r="S128" s="36"/>
      <c r="T128" s="12"/>
      <c r="U128" s="12"/>
      <c r="V128" s="12"/>
      <c r="W128" s="12"/>
      <c r="X128" s="12"/>
    </row>
    <row r="129" customFormat="false" ht="15.75" hidden="false" customHeight="false" outlineLevel="0" collapsed="false">
      <c r="A129" s="12"/>
      <c r="B129" s="34"/>
      <c r="C129" s="12"/>
      <c r="D129" s="12"/>
      <c r="E129" s="12"/>
      <c r="F129" s="12"/>
      <c r="G129" s="18"/>
      <c r="H129" s="35"/>
      <c r="I129" s="12"/>
      <c r="M129" s="12"/>
      <c r="N129" s="18"/>
      <c r="O129" s="12"/>
      <c r="P129" s="12"/>
      <c r="Q129" s="12"/>
      <c r="R129" s="36"/>
      <c r="S129" s="36"/>
      <c r="T129" s="12"/>
      <c r="U129" s="12"/>
      <c r="V129" s="12"/>
      <c r="W129" s="12"/>
      <c r="X129" s="12"/>
    </row>
    <row r="130" customFormat="false" ht="15.75" hidden="false" customHeight="false" outlineLevel="0" collapsed="false">
      <c r="A130" s="12"/>
      <c r="B130" s="34"/>
      <c r="C130" s="12"/>
      <c r="D130" s="12"/>
      <c r="E130" s="12"/>
      <c r="F130" s="12"/>
      <c r="G130" s="18"/>
      <c r="H130" s="35"/>
      <c r="I130" s="12"/>
      <c r="M130" s="12"/>
      <c r="N130" s="18"/>
      <c r="O130" s="12"/>
      <c r="P130" s="12"/>
      <c r="Q130" s="12"/>
      <c r="R130" s="36"/>
      <c r="S130" s="36"/>
      <c r="T130" s="12"/>
      <c r="U130" s="12"/>
      <c r="V130" s="12"/>
      <c r="W130" s="12"/>
      <c r="X130" s="12"/>
    </row>
    <row r="131" customFormat="false" ht="15.75" hidden="false" customHeight="false" outlineLevel="0" collapsed="false">
      <c r="A131" s="12"/>
      <c r="B131" s="34"/>
      <c r="C131" s="12"/>
      <c r="D131" s="12"/>
      <c r="E131" s="12"/>
      <c r="F131" s="12"/>
      <c r="G131" s="18"/>
      <c r="H131" s="35"/>
      <c r="I131" s="12"/>
      <c r="M131" s="12"/>
      <c r="N131" s="18"/>
      <c r="O131" s="12"/>
      <c r="P131" s="12"/>
      <c r="Q131" s="12"/>
      <c r="R131" s="36"/>
      <c r="S131" s="36"/>
      <c r="T131" s="12"/>
      <c r="U131" s="12"/>
      <c r="V131" s="12"/>
      <c r="W131" s="12"/>
      <c r="X131" s="12"/>
    </row>
    <row r="132" customFormat="false" ht="15.75" hidden="false" customHeight="false" outlineLevel="0" collapsed="false">
      <c r="A132" s="12"/>
      <c r="B132" s="34"/>
      <c r="C132" s="12"/>
      <c r="D132" s="12"/>
      <c r="E132" s="12"/>
      <c r="F132" s="12"/>
      <c r="G132" s="18"/>
      <c r="H132" s="35"/>
      <c r="I132" s="12"/>
      <c r="M132" s="12"/>
      <c r="N132" s="18"/>
      <c r="O132" s="12"/>
      <c r="P132" s="12"/>
      <c r="Q132" s="12"/>
      <c r="R132" s="36"/>
      <c r="S132" s="36"/>
      <c r="T132" s="12"/>
      <c r="U132" s="12"/>
      <c r="V132" s="12"/>
      <c r="W132" s="12"/>
      <c r="X132" s="12"/>
    </row>
    <row r="133" customFormat="false" ht="15.75" hidden="false" customHeight="false" outlineLevel="0" collapsed="false">
      <c r="A133" s="12"/>
      <c r="B133" s="34"/>
      <c r="C133" s="12"/>
      <c r="D133" s="12"/>
      <c r="E133" s="12"/>
      <c r="F133" s="12"/>
      <c r="G133" s="18"/>
      <c r="H133" s="35"/>
      <c r="I133" s="12"/>
      <c r="M133" s="12"/>
      <c r="N133" s="18"/>
      <c r="O133" s="12"/>
      <c r="P133" s="12"/>
      <c r="Q133" s="12"/>
      <c r="R133" s="36"/>
      <c r="S133" s="36"/>
      <c r="T133" s="12"/>
      <c r="U133" s="12"/>
      <c r="V133" s="12"/>
      <c r="W133" s="12"/>
      <c r="X133" s="12"/>
    </row>
    <row r="134" customFormat="false" ht="15.75" hidden="false" customHeight="false" outlineLevel="0" collapsed="false">
      <c r="A134" s="12"/>
      <c r="B134" s="34"/>
      <c r="C134" s="12"/>
      <c r="D134" s="12"/>
      <c r="E134" s="12"/>
      <c r="F134" s="12"/>
      <c r="G134" s="18"/>
      <c r="H134" s="35"/>
      <c r="I134" s="12"/>
      <c r="M134" s="12"/>
      <c r="N134" s="18"/>
      <c r="O134" s="12"/>
      <c r="P134" s="12"/>
      <c r="Q134" s="12"/>
      <c r="R134" s="36"/>
      <c r="S134" s="36"/>
      <c r="T134" s="12"/>
      <c r="U134" s="12"/>
      <c r="V134" s="12"/>
      <c r="W134" s="12"/>
      <c r="X134" s="12"/>
    </row>
    <row r="135" customFormat="false" ht="15.75" hidden="false" customHeight="false" outlineLevel="0" collapsed="false">
      <c r="A135" s="12"/>
      <c r="B135" s="34"/>
      <c r="C135" s="12"/>
      <c r="D135" s="12"/>
      <c r="E135" s="12"/>
      <c r="F135" s="12"/>
      <c r="G135" s="18"/>
      <c r="H135" s="35"/>
      <c r="I135" s="12"/>
      <c r="M135" s="12"/>
      <c r="N135" s="18"/>
      <c r="O135" s="12"/>
      <c r="P135" s="12"/>
      <c r="Q135" s="12"/>
      <c r="R135" s="36"/>
      <c r="S135" s="36"/>
      <c r="T135" s="12"/>
      <c r="U135" s="12"/>
      <c r="V135" s="12"/>
      <c r="W135" s="12"/>
      <c r="X135" s="12"/>
    </row>
    <row r="136" customFormat="false" ht="15.75" hidden="false" customHeight="false" outlineLevel="0" collapsed="false">
      <c r="A136" s="12"/>
      <c r="B136" s="34"/>
      <c r="C136" s="12"/>
      <c r="D136" s="12"/>
      <c r="E136" s="12"/>
      <c r="F136" s="12"/>
      <c r="G136" s="18"/>
      <c r="H136" s="35"/>
      <c r="I136" s="12"/>
      <c r="M136" s="12"/>
      <c r="N136" s="18"/>
      <c r="O136" s="12"/>
      <c r="P136" s="12"/>
      <c r="Q136" s="12"/>
      <c r="R136" s="36"/>
      <c r="S136" s="36"/>
      <c r="T136" s="12"/>
      <c r="U136" s="12"/>
      <c r="V136" s="12"/>
      <c r="W136" s="12"/>
      <c r="X136" s="12"/>
    </row>
    <row r="137" customFormat="false" ht="15.75" hidden="false" customHeight="false" outlineLevel="0" collapsed="false">
      <c r="A137" s="12"/>
      <c r="B137" s="34"/>
      <c r="C137" s="12"/>
      <c r="D137" s="12"/>
      <c r="E137" s="12"/>
      <c r="F137" s="12"/>
      <c r="G137" s="18"/>
      <c r="H137" s="35"/>
      <c r="I137" s="12"/>
      <c r="M137" s="12"/>
      <c r="N137" s="18"/>
      <c r="O137" s="12"/>
      <c r="P137" s="12"/>
      <c r="Q137" s="12"/>
      <c r="R137" s="36"/>
      <c r="S137" s="36"/>
      <c r="T137" s="12"/>
      <c r="U137" s="12"/>
      <c r="V137" s="12"/>
      <c r="W137" s="12"/>
      <c r="X137" s="12"/>
    </row>
    <row r="138" customFormat="false" ht="15.75" hidden="false" customHeight="false" outlineLevel="0" collapsed="false">
      <c r="A138" s="12"/>
      <c r="B138" s="34"/>
      <c r="C138" s="12"/>
      <c r="D138" s="12"/>
      <c r="E138" s="12"/>
      <c r="F138" s="12"/>
      <c r="G138" s="18"/>
      <c r="H138" s="35"/>
      <c r="I138" s="12"/>
      <c r="M138" s="12"/>
      <c r="N138" s="18"/>
      <c r="O138" s="12"/>
      <c r="P138" s="12"/>
      <c r="Q138" s="12"/>
      <c r="R138" s="36"/>
      <c r="S138" s="36"/>
      <c r="T138" s="12"/>
      <c r="U138" s="12"/>
      <c r="V138" s="12"/>
      <c r="W138" s="12"/>
      <c r="X138" s="12"/>
    </row>
    <row r="139" customFormat="false" ht="15.75" hidden="false" customHeight="false" outlineLevel="0" collapsed="false">
      <c r="A139" s="12"/>
      <c r="B139" s="34"/>
      <c r="C139" s="12"/>
      <c r="D139" s="12"/>
      <c r="E139" s="12"/>
      <c r="F139" s="12"/>
      <c r="G139" s="18"/>
      <c r="H139" s="35"/>
      <c r="I139" s="12"/>
      <c r="M139" s="12"/>
      <c r="N139" s="18"/>
      <c r="O139" s="12"/>
      <c r="P139" s="12"/>
      <c r="Q139" s="12"/>
      <c r="R139" s="36"/>
      <c r="S139" s="36"/>
      <c r="T139" s="12"/>
      <c r="U139" s="12"/>
      <c r="V139" s="12"/>
      <c r="W139" s="12"/>
      <c r="X139" s="12"/>
    </row>
    <row r="140" customFormat="false" ht="15.75" hidden="false" customHeight="false" outlineLevel="0" collapsed="false">
      <c r="A140" s="12"/>
      <c r="B140" s="34"/>
      <c r="C140" s="12"/>
      <c r="D140" s="12"/>
      <c r="E140" s="12"/>
      <c r="F140" s="12"/>
      <c r="G140" s="18"/>
      <c r="H140" s="35"/>
      <c r="I140" s="12"/>
      <c r="M140" s="12"/>
      <c r="N140" s="18"/>
      <c r="O140" s="12"/>
      <c r="P140" s="12"/>
      <c r="Q140" s="12"/>
      <c r="R140" s="36"/>
      <c r="S140" s="36"/>
      <c r="T140" s="12"/>
      <c r="U140" s="12"/>
      <c r="V140" s="12"/>
      <c r="W140" s="12"/>
      <c r="X140" s="12"/>
    </row>
    <row r="141" customFormat="false" ht="15.75" hidden="false" customHeight="false" outlineLevel="0" collapsed="false">
      <c r="A141" s="12"/>
      <c r="B141" s="34"/>
      <c r="C141" s="12"/>
      <c r="D141" s="12"/>
      <c r="E141" s="12"/>
      <c r="F141" s="12"/>
      <c r="G141" s="18"/>
      <c r="H141" s="35"/>
      <c r="I141" s="12"/>
      <c r="M141" s="12"/>
      <c r="N141" s="18"/>
      <c r="O141" s="12"/>
      <c r="P141" s="12"/>
      <c r="Q141" s="12"/>
      <c r="R141" s="36"/>
      <c r="S141" s="36"/>
      <c r="T141" s="12"/>
      <c r="U141" s="12"/>
      <c r="V141" s="12"/>
      <c r="W141" s="12"/>
      <c r="X141" s="12"/>
    </row>
    <row r="142" customFormat="false" ht="15.75" hidden="false" customHeight="false" outlineLevel="0" collapsed="false">
      <c r="A142" s="12"/>
      <c r="B142" s="34"/>
      <c r="C142" s="12"/>
      <c r="D142" s="12"/>
      <c r="E142" s="12"/>
      <c r="F142" s="12"/>
      <c r="G142" s="18"/>
      <c r="H142" s="35"/>
      <c r="I142" s="12"/>
      <c r="M142" s="12"/>
      <c r="N142" s="18"/>
      <c r="O142" s="12"/>
      <c r="P142" s="12"/>
      <c r="Q142" s="12"/>
      <c r="R142" s="36"/>
      <c r="S142" s="36"/>
      <c r="T142" s="12"/>
      <c r="U142" s="12"/>
      <c r="V142" s="12"/>
      <c r="W142" s="12"/>
      <c r="X142" s="12"/>
    </row>
    <row r="143" customFormat="false" ht="15.75" hidden="false" customHeight="false" outlineLevel="0" collapsed="false">
      <c r="A143" s="12"/>
      <c r="B143" s="34"/>
      <c r="C143" s="12"/>
      <c r="D143" s="12"/>
      <c r="E143" s="12"/>
      <c r="F143" s="12"/>
      <c r="G143" s="18"/>
      <c r="H143" s="35"/>
      <c r="I143" s="12"/>
      <c r="M143" s="12"/>
      <c r="N143" s="18"/>
      <c r="O143" s="12"/>
      <c r="P143" s="12"/>
      <c r="Q143" s="12"/>
      <c r="R143" s="36"/>
      <c r="S143" s="36"/>
      <c r="T143" s="12"/>
      <c r="U143" s="12"/>
      <c r="V143" s="12"/>
      <c r="W143" s="12"/>
      <c r="X143" s="12"/>
    </row>
    <row r="144" customFormat="false" ht="15.75" hidden="false" customHeight="false" outlineLevel="0" collapsed="false">
      <c r="A144" s="12"/>
      <c r="B144" s="34"/>
      <c r="C144" s="12"/>
      <c r="D144" s="12"/>
      <c r="E144" s="12"/>
      <c r="F144" s="12"/>
      <c r="G144" s="18"/>
      <c r="H144" s="35"/>
      <c r="I144" s="12"/>
      <c r="M144" s="12"/>
      <c r="N144" s="18"/>
      <c r="O144" s="12"/>
      <c r="P144" s="12"/>
      <c r="Q144" s="12"/>
      <c r="R144" s="36"/>
      <c r="S144" s="36"/>
      <c r="T144" s="12"/>
      <c r="U144" s="12"/>
      <c r="V144" s="12"/>
      <c r="W144" s="12"/>
      <c r="X144" s="12"/>
    </row>
    <row r="145" customFormat="false" ht="15.75" hidden="false" customHeight="false" outlineLevel="0" collapsed="false">
      <c r="A145" s="12"/>
      <c r="B145" s="34"/>
      <c r="C145" s="12"/>
      <c r="D145" s="12"/>
      <c r="E145" s="12"/>
      <c r="F145" s="12"/>
      <c r="G145" s="18"/>
      <c r="H145" s="35"/>
      <c r="I145" s="12"/>
      <c r="M145" s="12"/>
      <c r="N145" s="18"/>
      <c r="O145" s="12"/>
      <c r="P145" s="12"/>
      <c r="Q145" s="12"/>
      <c r="R145" s="36"/>
      <c r="S145" s="36"/>
      <c r="T145" s="12"/>
      <c r="U145" s="12"/>
      <c r="V145" s="12"/>
      <c r="W145" s="12"/>
      <c r="X145" s="12"/>
    </row>
    <row r="146" customFormat="false" ht="15.75" hidden="false" customHeight="false" outlineLevel="0" collapsed="false">
      <c r="A146" s="12"/>
      <c r="B146" s="34"/>
      <c r="C146" s="12"/>
      <c r="D146" s="12"/>
      <c r="E146" s="12"/>
      <c r="F146" s="12"/>
      <c r="G146" s="18"/>
      <c r="H146" s="35"/>
      <c r="I146" s="12"/>
      <c r="M146" s="12"/>
      <c r="N146" s="18"/>
      <c r="O146" s="12"/>
      <c r="P146" s="12"/>
      <c r="Q146" s="12"/>
      <c r="R146" s="36"/>
      <c r="S146" s="36"/>
      <c r="T146" s="12"/>
      <c r="U146" s="12"/>
      <c r="V146" s="12"/>
      <c r="W146" s="12"/>
      <c r="X146" s="12"/>
    </row>
    <row r="147" customFormat="false" ht="15.75" hidden="false" customHeight="false" outlineLevel="0" collapsed="false">
      <c r="A147" s="12"/>
      <c r="B147" s="34"/>
      <c r="C147" s="12"/>
      <c r="D147" s="12"/>
      <c r="E147" s="12"/>
      <c r="F147" s="12"/>
      <c r="G147" s="18"/>
      <c r="H147" s="35"/>
      <c r="I147" s="12"/>
      <c r="M147" s="12"/>
      <c r="N147" s="18"/>
      <c r="O147" s="12"/>
      <c r="P147" s="12"/>
      <c r="Q147" s="12"/>
      <c r="R147" s="36"/>
      <c r="S147" s="36"/>
      <c r="T147" s="12"/>
      <c r="U147" s="12"/>
      <c r="V147" s="12"/>
      <c r="W147" s="12"/>
      <c r="X147" s="12"/>
    </row>
    <row r="148" customFormat="false" ht="15.75" hidden="false" customHeight="false" outlineLevel="0" collapsed="false">
      <c r="A148" s="12"/>
      <c r="B148" s="34"/>
      <c r="C148" s="12"/>
      <c r="D148" s="12"/>
      <c r="E148" s="12"/>
      <c r="F148" s="12"/>
      <c r="G148" s="18"/>
      <c r="H148" s="35"/>
      <c r="I148" s="12"/>
      <c r="M148" s="12"/>
      <c r="N148" s="18"/>
      <c r="O148" s="12"/>
      <c r="P148" s="12"/>
      <c r="Q148" s="12"/>
      <c r="R148" s="36"/>
      <c r="S148" s="36"/>
      <c r="T148" s="12"/>
      <c r="U148" s="12"/>
      <c r="V148" s="12"/>
      <c r="W148" s="12"/>
      <c r="X148" s="12"/>
    </row>
    <row r="149" customFormat="false" ht="15.75" hidden="false" customHeight="false" outlineLevel="0" collapsed="false">
      <c r="A149" s="12"/>
      <c r="B149" s="34"/>
      <c r="C149" s="12"/>
      <c r="D149" s="12"/>
      <c r="E149" s="12"/>
      <c r="F149" s="12"/>
      <c r="G149" s="18"/>
      <c r="H149" s="35"/>
      <c r="I149" s="12"/>
      <c r="M149" s="12"/>
      <c r="N149" s="18"/>
      <c r="O149" s="12"/>
      <c r="P149" s="12"/>
      <c r="Q149" s="12"/>
      <c r="R149" s="36"/>
      <c r="S149" s="36"/>
      <c r="T149" s="12"/>
      <c r="U149" s="12"/>
      <c r="V149" s="12"/>
      <c r="W149" s="12"/>
      <c r="X149" s="12"/>
    </row>
    <row r="150" customFormat="false" ht="15.75" hidden="false" customHeight="false" outlineLevel="0" collapsed="false">
      <c r="A150" s="12"/>
      <c r="B150" s="34"/>
      <c r="C150" s="12"/>
      <c r="D150" s="12"/>
      <c r="E150" s="12"/>
      <c r="F150" s="12"/>
      <c r="G150" s="18"/>
      <c r="H150" s="35"/>
      <c r="I150" s="12"/>
      <c r="M150" s="12"/>
      <c r="N150" s="18"/>
      <c r="O150" s="12"/>
      <c r="P150" s="12"/>
      <c r="Q150" s="12"/>
      <c r="R150" s="36"/>
      <c r="S150" s="36"/>
      <c r="T150" s="12"/>
      <c r="U150" s="12"/>
      <c r="V150" s="12"/>
      <c r="W150" s="12"/>
      <c r="X150" s="12"/>
    </row>
    <row r="151" customFormat="false" ht="15.75" hidden="false" customHeight="false" outlineLevel="0" collapsed="false">
      <c r="A151" s="12"/>
      <c r="B151" s="34"/>
      <c r="C151" s="12"/>
      <c r="D151" s="12"/>
      <c r="E151" s="12"/>
      <c r="F151" s="12"/>
      <c r="G151" s="18"/>
      <c r="H151" s="35"/>
      <c r="I151" s="12"/>
      <c r="M151" s="12"/>
      <c r="N151" s="18"/>
      <c r="O151" s="12"/>
      <c r="P151" s="12"/>
      <c r="Q151" s="12"/>
      <c r="R151" s="36"/>
      <c r="S151" s="36"/>
      <c r="T151" s="12"/>
      <c r="U151" s="12"/>
      <c r="V151" s="12"/>
      <c r="W151" s="12"/>
      <c r="X151" s="12"/>
    </row>
    <row r="152" customFormat="false" ht="15.75" hidden="false" customHeight="false" outlineLevel="0" collapsed="false">
      <c r="A152" s="12"/>
      <c r="B152" s="34"/>
      <c r="C152" s="12"/>
      <c r="D152" s="12"/>
      <c r="E152" s="12"/>
      <c r="F152" s="12"/>
      <c r="G152" s="18"/>
      <c r="H152" s="35"/>
      <c r="I152" s="12"/>
      <c r="M152" s="12"/>
      <c r="N152" s="18"/>
      <c r="O152" s="12"/>
      <c r="P152" s="12"/>
      <c r="Q152" s="12"/>
      <c r="R152" s="36"/>
      <c r="S152" s="36"/>
      <c r="T152" s="12"/>
      <c r="U152" s="12"/>
      <c r="V152" s="12"/>
      <c r="W152" s="12"/>
      <c r="X152" s="12"/>
    </row>
    <row r="153" customFormat="false" ht="15.75" hidden="false" customHeight="false" outlineLevel="0" collapsed="false">
      <c r="A153" s="12"/>
      <c r="B153" s="34"/>
      <c r="C153" s="12"/>
      <c r="D153" s="12"/>
      <c r="E153" s="12"/>
      <c r="F153" s="12"/>
      <c r="G153" s="18"/>
      <c r="H153" s="35"/>
      <c r="I153" s="12"/>
      <c r="M153" s="12"/>
      <c r="N153" s="18"/>
      <c r="O153" s="12"/>
      <c r="P153" s="12"/>
      <c r="Q153" s="12"/>
      <c r="R153" s="36"/>
      <c r="S153" s="36"/>
      <c r="T153" s="12"/>
      <c r="U153" s="12"/>
      <c r="V153" s="12"/>
      <c r="W153" s="12"/>
      <c r="X153" s="12"/>
    </row>
    <row r="154" customFormat="false" ht="15.75" hidden="false" customHeight="false" outlineLevel="0" collapsed="false">
      <c r="A154" s="12"/>
      <c r="B154" s="34"/>
      <c r="C154" s="12"/>
      <c r="D154" s="12"/>
      <c r="E154" s="12"/>
      <c r="F154" s="12"/>
      <c r="G154" s="18"/>
      <c r="H154" s="35"/>
      <c r="I154" s="12"/>
      <c r="M154" s="12"/>
      <c r="N154" s="18"/>
      <c r="O154" s="12"/>
      <c r="P154" s="12"/>
      <c r="Q154" s="12"/>
      <c r="R154" s="36"/>
      <c r="S154" s="36"/>
      <c r="T154" s="12"/>
      <c r="U154" s="12"/>
      <c r="V154" s="12"/>
      <c r="W154" s="12"/>
      <c r="X154" s="12"/>
    </row>
    <row r="155" customFormat="false" ht="15.75" hidden="false" customHeight="false" outlineLevel="0" collapsed="false">
      <c r="A155" s="12"/>
      <c r="B155" s="34"/>
      <c r="C155" s="12"/>
      <c r="D155" s="12"/>
      <c r="E155" s="12"/>
      <c r="F155" s="12"/>
      <c r="G155" s="18"/>
      <c r="H155" s="35"/>
      <c r="I155" s="12"/>
      <c r="M155" s="12"/>
      <c r="N155" s="18"/>
      <c r="O155" s="12"/>
      <c r="P155" s="12"/>
      <c r="Q155" s="12"/>
      <c r="R155" s="36"/>
      <c r="S155" s="36"/>
      <c r="T155" s="12"/>
      <c r="U155" s="12"/>
      <c r="V155" s="12"/>
      <c r="W155" s="12"/>
      <c r="X155" s="12"/>
    </row>
    <row r="156" customFormat="false" ht="15.75" hidden="false" customHeight="false" outlineLevel="0" collapsed="false">
      <c r="A156" s="12"/>
      <c r="B156" s="34"/>
      <c r="C156" s="12"/>
      <c r="D156" s="12"/>
      <c r="E156" s="12"/>
      <c r="F156" s="12"/>
      <c r="G156" s="18"/>
      <c r="H156" s="35"/>
      <c r="I156" s="12"/>
      <c r="M156" s="12"/>
      <c r="N156" s="18"/>
      <c r="O156" s="12"/>
      <c r="P156" s="12"/>
      <c r="Q156" s="12"/>
      <c r="R156" s="36"/>
      <c r="S156" s="36"/>
      <c r="T156" s="12"/>
      <c r="U156" s="12"/>
      <c r="V156" s="12"/>
      <c r="W156" s="12"/>
      <c r="X156" s="12"/>
    </row>
    <row r="157" customFormat="false" ht="15.75" hidden="false" customHeight="false" outlineLevel="0" collapsed="false">
      <c r="A157" s="12"/>
      <c r="B157" s="34"/>
      <c r="C157" s="12"/>
      <c r="D157" s="12"/>
      <c r="E157" s="12"/>
      <c r="F157" s="12"/>
      <c r="G157" s="18"/>
      <c r="H157" s="35"/>
      <c r="I157" s="12"/>
      <c r="M157" s="12"/>
      <c r="N157" s="18"/>
      <c r="O157" s="12"/>
      <c r="P157" s="12"/>
      <c r="Q157" s="12"/>
      <c r="R157" s="36"/>
      <c r="S157" s="36"/>
      <c r="T157" s="12"/>
      <c r="U157" s="12"/>
      <c r="V157" s="12"/>
      <c r="W157" s="12"/>
      <c r="X157" s="12"/>
    </row>
    <row r="158" customFormat="false" ht="15.75" hidden="false" customHeight="false" outlineLevel="0" collapsed="false">
      <c r="A158" s="12"/>
      <c r="B158" s="34"/>
      <c r="C158" s="12"/>
      <c r="D158" s="12"/>
      <c r="E158" s="12"/>
      <c r="F158" s="12"/>
      <c r="G158" s="18"/>
      <c r="H158" s="35"/>
      <c r="I158" s="12"/>
      <c r="M158" s="12"/>
      <c r="N158" s="18"/>
      <c r="O158" s="12"/>
      <c r="P158" s="12"/>
      <c r="Q158" s="12"/>
      <c r="R158" s="36"/>
      <c r="S158" s="36"/>
      <c r="T158" s="12"/>
      <c r="U158" s="12"/>
      <c r="V158" s="12"/>
      <c r="W158" s="12"/>
      <c r="X158" s="12"/>
    </row>
    <row r="159" customFormat="false" ht="15.75" hidden="false" customHeight="false" outlineLevel="0" collapsed="false">
      <c r="A159" s="12"/>
      <c r="B159" s="34"/>
      <c r="C159" s="12"/>
      <c r="D159" s="12"/>
      <c r="E159" s="12"/>
      <c r="F159" s="12"/>
      <c r="G159" s="18"/>
      <c r="H159" s="35"/>
      <c r="I159" s="12"/>
      <c r="M159" s="12"/>
      <c r="N159" s="18"/>
      <c r="O159" s="12"/>
      <c r="P159" s="12"/>
      <c r="Q159" s="12"/>
      <c r="R159" s="36"/>
      <c r="S159" s="36"/>
      <c r="T159" s="12"/>
      <c r="U159" s="12"/>
      <c r="V159" s="12"/>
      <c r="W159" s="12"/>
      <c r="X159" s="12"/>
    </row>
    <row r="160" customFormat="false" ht="15.75" hidden="false" customHeight="false" outlineLevel="0" collapsed="false">
      <c r="A160" s="12"/>
      <c r="B160" s="34"/>
      <c r="C160" s="12"/>
      <c r="D160" s="12"/>
      <c r="E160" s="12"/>
      <c r="F160" s="12"/>
      <c r="G160" s="18"/>
      <c r="H160" s="35"/>
      <c r="I160" s="12"/>
      <c r="M160" s="12"/>
      <c r="N160" s="18"/>
      <c r="O160" s="12"/>
      <c r="P160" s="12"/>
      <c r="Q160" s="12"/>
      <c r="R160" s="36"/>
      <c r="S160" s="36"/>
      <c r="T160" s="12"/>
      <c r="U160" s="12"/>
      <c r="V160" s="12"/>
      <c r="W160" s="12"/>
      <c r="X160" s="12"/>
    </row>
    <row r="161" customFormat="false" ht="15.75" hidden="false" customHeight="false" outlineLevel="0" collapsed="false">
      <c r="A161" s="12"/>
      <c r="B161" s="34"/>
      <c r="C161" s="12"/>
      <c r="D161" s="12"/>
      <c r="E161" s="12"/>
      <c r="F161" s="12"/>
      <c r="G161" s="18"/>
      <c r="H161" s="35"/>
      <c r="I161" s="12"/>
      <c r="M161" s="12"/>
      <c r="N161" s="18"/>
      <c r="O161" s="12"/>
      <c r="P161" s="12"/>
      <c r="Q161" s="12"/>
      <c r="R161" s="36"/>
      <c r="S161" s="36"/>
      <c r="T161" s="12"/>
      <c r="U161" s="12"/>
      <c r="V161" s="12"/>
      <c r="W161" s="12"/>
      <c r="X161" s="12"/>
    </row>
    <row r="162" customFormat="false" ht="15.75" hidden="false" customHeight="false" outlineLevel="0" collapsed="false">
      <c r="A162" s="12"/>
      <c r="B162" s="34"/>
      <c r="C162" s="12"/>
      <c r="D162" s="12"/>
      <c r="E162" s="12"/>
      <c r="F162" s="12"/>
      <c r="G162" s="18"/>
      <c r="H162" s="35"/>
      <c r="I162" s="12"/>
      <c r="M162" s="12"/>
      <c r="N162" s="18"/>
      <c r="O162" s="12"/>
      <c r="P162" s="12"/>
      <c r="Q162" s="12"/>
      <c r="R162" s="36"/>
      <c r="S162" s="36"/>
      <c r="T162" s="12"/>
      <c r="U162" s="12"/>
      <c r="V162" s="12"/>
      <c r="W162" s="12"/>
      <c r="X162" s="12"/>
    </row>
    <row r="163" customFormat="false" ht="15.75" hidden="false" customHeight="false" outlineLevel="0" collapsed="false">
      <c r="A163" s="12"/>
      <c r="B163" s="34"/>
      <c r="C163" s="12"/>
      <c r="D163" s="12"/>
      <c r="E163" s="12"/>
      <c r="F163" s="12"/>
      <c r="G163" s="18"/>
      <c r="H163" s="35"/>
      <c r="I163" s="12"/>
      <c r="M163" s="12"/>
      <c r="N163" s="18"/>
      <c r="O163" s="12"/>
      <c r="P163" s="12"/>
      <c r="Q163" s="12"/>
      <c r="R163" s="36"/>
      <c r="S163" s="36"/>
      <c r="T163" s="12"/>
      <c r="U163" s="12"/>
      <c r="V163" s="12"/>
      <c r="W163" s="12"/>
      <c r="X163" s="12"/>
    </row>
    <row r="164" customFormat="false" ht="15.75" hidden="false" customHeight="false" outlineLevel="0" collapsed="false">
      <c r="A164" s="12"/>
      <c r="B164" s="34"/>
      <c r="C164" s="12"/>
      <c r="D164" s="12"/>
      <c r="E164" s="12"/>
      <c r="F164" s="12"/>
      <c r="G164" s="18"/>
      <c r="H164" s="35"/>
      <c r="I164" s="12"/>
      <c r="M164" s="12"/>
      <c r="N164" s="18"/>
      <c r="O164" s="12"/>
      <c r="P164" s="12"/>
      <c r="Q164" s="12"/>
      <c r="R164" s="36"/>
      <c r="S164" s="36"/>
      <c r="T164" s="12"/>
      <c r="U164" s="12"/>
      <c r="V164" s="12"/>
      <c r="W164" s="12"/>
      <c r="X164" s="12"/>
    </row>
    <row r="165" customFormat="false" ht="15.75" hidden="false" customHeight="false" outlineLevel="0" collapsed="false">
      <c r="A165" s="12"/>
      <c r="B165" s="34"/>
      <c r="C165" s="12"/>
      <c r="D165" s="12"/>
      <c r="E165" s="12"/>
      <c r="F165" s="12"/>
      <c r="G165" s="18"/>
      <c r="H165" s="35"/>
      <c r="I165" s="12"/>
      <c r="M165" s="12"/>
      <c r="N165" s="18"/>
      <c r="O165" s="12"/>
      <c r="P165" s="12"/>
      <c r="Q165" s="12"/>
      <c r="R165" s="36"/>
      <c r="S165" s="36"/>
      <c r="T165" s="12"/>
      <c r="U165" s="12"/>
      <c r="V165" s="12"/>
      <c r="W165" s="12"/>
      <c r="X165" s="12"/>
    </row>
    <row r="166" customFormat="false" ht="15.75" hidden="false" customHeight="false" outlineLevel="0" collapsed="false">
      <c r="A166" s="12"/>
      <c r="B166" s="34"/>
      <c r="C166" s="12"/>
      <c r="D166" s="12"/>
      <c r="E166" s="12"/>
      <c r="F166" s="12"/>
      <c r="G166" s="18"/>
      <c r="H166" s="35"/>
      <c r="I166" s="12"/>
      <c r="M166" s="12"/>
      <c r="N166" s="18"/>
      <c r="O166" s="12"/>
      <c r="P166" s="12"/>
      <c r="Q166" s="12"/>
      <c r="R166" s="36"/>
      <c r="S166" s="36"/>
      <c r="T166" s="12"/>
      <c r="U166" s="12"/>
      <c r="V166" s="12"/>
      <c r="W166" s="12"/>
      <c r="X166" s="12"/>
    </row>
    <row r="167" customFormat="false" ht="15.75" hidden="false" customHeight="false" outlineLevel="0" collapsed="false">
      <c r="A167" s="12"/>
      <c r="B167" s="34"/>
      <c r="C167" s="12"/>
      <c r="D167" s="12"/>
      <c r="E167" s="12"/>
      <c r="F167" s="12"/>
      <c r="G167" s="18"/>
      <c r="H167" s="35"/>
      <c r="I167" s="12"/>
      <c r="M167" s="12"/>
      <c r="N167" s="18"/>
      <c r="O167" s="12"/>
      <c r="P167" s="12"/>
      <c r="Q167" s="12"/>
      <c r="R167" s="36"/>
      <c r="S167" s="36"/>
      <c r="T167" s="12"/>
      <c r="U167" s="12"/>
      <c r="V167" s="12"/>
      <c r="W167" s="12"/>
      <c r="X167" s="12"/>
    </row>
    <row r="168" customFormat="false" ht="15.75" hidden="false" customHeight="false" outlineLevel="0" collapsed="false">
      <c r="A168" s="12"/>
      <c r="B168" s="34"/>
      <c r="C168" s="12"/>
      <c r="D168" s="12"/>
      <c r="E168" s="12"/>
      <c r="F168" s="12"/>
      <c r="G168" s="18"/>
      <c r="H168" s="35"/>
      <c r="I168" s="12"/>
      <c r="M168" s="12"/>
      <c r="N168" s="18"/>
      <c r="O168" s="12"/>
      <c r="P168" s="12"/>
      <c r="Q168" s="12"/>
      <c r="R168" s="36"/>
      <c r="S168" s="36"/>
      <c r="T168" s="12"/>
      <c r="U168" s="12"/>
      <c r="V168" s="12"/>
      <c r="W168" s="12"/>
      <c r="X168" s="12"/>
    </row>
    <row r="169" customFormat="false" ht="15.75" hidden="false" customHeight="false" outlineLevel="0" collapsed="false">
      <c r="A169" s="12"/>
      <c r="B169" s="34"/>
      <c r="C169" s="12"/>
      <c r="D169" s="12"/>
      <c r="E169" s="12"/>
      <c r="F169" s="12"/>
      <c r="G169" s="18"/>
      <c r="H169" s="35"/>
      <c r="I169" s="12"/>
      <c r="M169" s="12"/>
      <c r="N169" s="18"/>
      <c r="O169" s="12"/>
      <c r="P169" s="12"/>
      <c r="Q169" s="12"/>
      <c r="R169" s="36"/>
      <c r="S169" s="36"/>
      <c r="T169" s="12"/>
      <c r="U169" s="12"/>
      <c r="V169" s="12"/>
      <c r="W169" s="12"/>
      <c r="X169" s="12"/>
    </row>
    <row r="170" customFormat="false" ht="15.75" hidden="false" customHeight="false" outlineLevel="0" collapsed="false">
      <c r="A170" s="12"/>
      <c r="B170" s="34"/>
      <c r="C170" s="12"/>
      <c r="D170" s="12"/>
      <c r="E170" s="12"/>
      <c r="F170" s="12"/>
      <c r="G170" s="18"/>
      <c r="H170" s="35"/>
      <c r="I170" s="12"/>
      <c r="M170" s="12"/>
      <c r="N170" s="18"/>
      <c r="O170" s="12"/>
      <c r="P170" s="12"/>
      <c r="Q170" s="12"/>
      <c r="R170" s="36"/>
      <c r="S170" s="36"/>
      <c r="T170" s="12"/>
      <c r="U170" s="12"/>
      <c r="V170" s="12"/>
      <c r="W170" s="12"/>
      <c r="X170" s="12"/>
    </row>
    <row r="171" customFormat="false" ht="15.75" hidden="false" customHeight="false" outlineLevel="0" collapsed="false">
      <c r="A171" s="12"/>
      <c r="B171" s="34"/>
      <c r="C171" s="12"/>
      <c r="D171" s="12"/>
      <c r="E171" s="12"/>
      <c r="F171" s="12"/>
      <c r="G171" s="18"/>
      <c r="H171" s="35"/>
      <c r="I171" s="12"/>
      <c r="M171" s="12"/>
      <c r="N171" s="18"/>
      <c r="O171" s="12"/>
      <c r="P171" s="12"/>
      <c r="Q171" s="12"/>
      <c r="R171" s="36"/>
      <c r="S171" s="36"/>
      <c r="T171" s="12"/>
      <c r="U171" s="12"/>
      <c r="V171" s="12"/>
      <c r="W171" s="12"/>
      <c r="X171" s="12"/>
    </row>
    <row r="172" customFormat="false" ht="15.75" hidden="false" customHeight="false" outlineLevel="0" collapsed="false">
      <c r="A172" s="12"/>
      <c r="B172" s="34"/>
      <c r="C172" s="12"/>
      <c r="D172" s="12"/>
      <c r="E172" s="12"/>
      <c r="F172" s="12"/>
      <c r="G172" s="18"/>
      <c r="H172" s="35"/>
      <c r="I172" s="12"/>
      <c r="M172" s="12"/>
      <c r="N172" s="18"/>
      <c r="O172" s="12"/>
      <c r="P172" s="12"/>
      <c r="Q172" s="12"/>
      <c r="R172" s="36"/>
      <c r="S172" s="36"/>
      <c r="T172" s="12"/>
      <c r="U172" s="12"/>
      <c r="V172" s="12"/>
      <c r="W172" s="12"/>
      <c r="X172" s="12"/>
    </row>
    <row r="173" customFormat="false" ht="15.75" hidden="false" customHeight="false" outlineLevel="0" collapsed="false">
      <c r="A173" s="12"/>
      <c r="B173" s="34"/>
      <c r="C173" s="12"/>
      <c r="D173" s="12"/>
      <c r="E173" s="12"/>
      <c r="F173" s="12"/>
      <c r="G173" s="18"/>
      <c r="H173" s="35"/>
      <c r="I173" s="12"/>
      <c r="M173" s="12"/>
      <c r="N173" s="18"/>
      <c r="O173" s="12"/>
      <c r="P173" s="12"/>
      <c r="Q173" s="12"/>
      <c r="R173" s="36"/>
      <c r="S173" s="36"/>
      <c r="T173" s="12"/>
      <c r="U173" s="12"/>
      <c r="V173" s="12"/>
      <c r="W173" s="12"/>
      <c r="X173" s="12"/>
    </row>
    <row r="174" customFormat="false" ht="15.75" hidden="false" customHeight="false" outlineLevel="0" collapsed="false">
      <c r="A174" s="12"/>
      <c r="B174" s="34"/>
      <c r="C174" s="12"/>
      <c r="D174" s="12"/>
      <c r="E174" s="12"/>
      <c r="F174" s="12"/>
      <c r="G174" s="18"/>
      <c r="H174" s="35"/>
      <c r="I174" s="12"/>
      <c r="M174" s="12"/>
      <c r="N174" s="18"/>
      <c r="O174" s="12"/>
      <c r="P174" s="12"/>
      <c r="Q174" s="12"/>
      <c r="R174" s="36"/>
      <c r="S174" s="36"/>
      <c r="T174" s="12"/>
      <c r="U174" s="12"/>
      <c r="V174" s="12"/>
      <c r="W174" s="12"/>
      <c r="X174" s="12"/>
    </row>
    <row r="175" customFormat="false" ht="15.75" hidden="false" customHeight="false" outlineLevel="0" collapsed="false">
      <c r="A175" s="12"/>
      <c r="B175" s="34"/>
      <c r="C175" s="12"/>
      <c r="D175" s="12"/>
      <c r="E175" s="12"/>
      <c r="F175" s="12"/>
      <c r="G175" s="18"/>
      <c r="H175" s="35"/>
      <c r="I175" s="12"/>
      <c r="M175" s="12"/>
      <c r="N175" s="18"/>
      <c r="O175" s="12"/>
      <c r="P175" s="12"/>
      <c r="Q175" s="12"/>
      <c r="R175" s="36"/>
      <c r="S175" s="36"/>
      <c r="T175" s="12"/>
      <c r="U175" s="12"/>
      <c r="V175" s="12"/>
      <c r="W175" s="12"/>
      <c r="X175" s="12"/>
    </row>
    <row r="176" customFormat="false" ht="15.75" hidden="false" customHeight="false" outlineLevel="0" collapsed="false">
      <c r="A176" s="12"/>
      <c r="B176" s="34"/>
      <c r="C176" s="12"/>
      <c r="D176" s="12"/>
      <c r="E176" s="12"/>
      <c r="F176" s="12"/>
      <c r="G176" s="18"/>
      <c r="H176" s="35"/>
      <c r="I176" s="12"/>
      <c r="M176" s="12"/>
      <c r="N176" s="18"/>
      <c r="O176" s="12"/>
      <c r="P176" s="12"/>
      <c r="Q176" s="12"/>
      <c r="R176" s="36"/>
      <c r="S176" s="36"/>
      <c r="T176" s="12"/>
      <c r="U176" s="12"/>
      <c r="V176" s="12"/>
      <c r="W176" s="12"/>
      <c r="X176" s="12"/>
    </row>
    <row r="177" customFormat="false" ht="15.75" hidden="false" customHeight="false" outlineLevel="0" collapsed="false">
      <c r="A177" s="12"/>
      <c r="B177" s="34"/>
      <c r="C177" s="12"/>
      <c r="D177" s="12"/>
      <c r="E177" s="12"/>
      <c r="F177" s="12"/>
      <c r="G177" s="18"/>
      <c r="H177" s="35"/>
      <c r="I177" s="12"/>
      <c r="M177" s="12"/>
      <c r="N177" s="18"/>
      <c r="O177" s="12"/>
      <c r="P177" s="12"/>
      <c r="Q177" s="12"/>
      <c r="R177" s="36"/>
      <c r="S177" s="36"/>
      <c r="T177" s="12"/>
      <c r="U177" s="12"/>
      <c r="V177" s="12"/>
      <c r="W177" s="12"/>
      <c r="X177" s="12"/>
    </row>
    <row r="178" customFormat="false" ht="15.75" hidden="false" customHeight="false" outlineLevel="0" collapsed="false">
      <c r="A178" s="12"/>
      <c r="B178" s="34"/>
      <c r="C178" s="12"/>
      <c r="D178" s="12"/>
      <c r="E178" s="12"/>
      <c r="F178" s="12"/>
      <c r="G178" s="18"/>
      <c r="H178" s="35"/>
      <c r="I178" s="12"/>
      <c r="M178" s="12"/>
      <c r="N178" s="18"/>
      <c r="O178" s="12"/>
      <c r="P178" s="12"/>
      <c r="Q178" s="12"/>
      <c r="R178" s="36"/>
      <c r="S178" s="36"/>
      <c r="T178" s="12"/>
      <c r="U178" s="12"/>
      <c r="V178" s="12"/>
      <c r="W178" s="12"/>
      <c r="X178" s="12"/>
    </row>
    <row r="179" customFormat="false" ht="15.75" hidden="false" customHeight="false" outlineLevel="0" collapsed="false">
      <c r="A179" s="12"/>
      <c r="B179" s="34"/>
      <c r="C179" s="12"/>
      <c r="D179" s="12"/>
      <c r="E179" s="12"/>
      <c r="F179" s="12"/>
      <c r="G179" s="18"/>
      <c r="H179" s="35"/>
      <c r="I179" s="12"/>
      <c r="M179" s="12"/>
      <c r="N179" s="18"/>
      <c r="O179" s="12"/>
      <c r="P179" s="12"/>
      <c r="Q179" s="12"/>
      <c r="R179" s="36"/>
      <c r="S179" s="36"/>
      <c r="T179" s="12"/>
      <c r="U179" s="12"/>
      <c r="V179" s="12"/>
      <c r="W179" s="12"/>
      <c r="X179" s="12"/>
    </row>
    <row r="180" customFormat="false" ht="15.75" hidden="false" customHeight="false" outlineLevel="0" collapsed="false">
      <c r="A180" s="12"/>
      <c r="B180" s="34"/>
      <c r="C180" s="12"/>
      <c r="D180" s="12"/>
      <c r="E180" s="12"/>
      <c r="F180" s="12"/>
      <c r="G180" s="18"/>
      <c r="H180" s="35"/>
      <c r="I180" s="12"/>
      <c r="M180" s="12"/>
      <c r="N180" s="18"/>
      <c r="O180" s="12"/>
      <c r="P180" s="12"/>
      <c r="Q180" s="12"/>
      <c r="R180" s="36"/>
      <c r="S180" s="36"/>
      <c r="T180" s="12"/>
      <c r="U180" s="12"/>
      <c r="V180" s="12"/>
      <c r="W180" s="12"/>
      <c r="X180" s="12"/>
    </row>
    <row r="181" customFormat="false" ht="15.75" hidden="false" customHeight="false" outlineLevel="0" collapsed="false">
      <c r="A181" s="12"/>
      <c r="B181" s="34"/>
      <c r="C181" s="12"/>
      <c r="D181" s="12"/>
      <c r="E181" s="12"/>
      <c r="F181" s="12"/>
      <c r="G181" s="18"/>
      <c r="H181" s="35"/>
      <c r="I181" s="12"/>
      <c r="M181" s="12"/>
      <c r="N181" s="18"/>
      <c r="O181" s="12"/>
      <c r="P181" s="12"/>
      <c r="Q181" s="12"/>
      <c r="R181" s="36"/>
      <c r="S181" s="36"/>
      <c r="T181" s="12"/>
      <c r="U181" s="12"/>
      <c r="V181" s="12"/>
      <c r="W181" s="12"/>
      <c r="X181" s="12"/>
    </row>
    <row r="182" customFormat="false" ht="15.75" hidden="false" customHeight="false" outlineLevel="0" collapsed="false">
      <c r="A182" s="12"/>
      <c r="B182" s="34"/>
      <c r="C182" s="12"/>
      <c r="D182" s="12"/>
      <c r="E182" s="12"/>
      <c r="F182" s="12"/>
      <c r="G182" s="18"/>
      <c r="H182" s="35"/>
      <c r="I182" s="12"/>
      <c r="M182" s="12"/>
      <c r="N182" s="18"/>
      <c r="O182" s="12"/>
      <c r="P182" s="12"/>
      <c r="Q182" s="12"/>
      <c r="R182" s="36"/>
      <c r="S182" s="36"/>
      <c r="T182" s="12"/>
      <c r="U182" s="12"/>
      <c r="V182" s="12"/>
      <c r="W182" s="12"/>
      <c r="X182" s="12"/>
    </row>
    <row r="183" customFormat="false" ht="15.75" hidden="false" customHeight="false" outlineLevel="0" collapsed="false">
      <c r="A183" s="12"/>
      <c r="B183" s="34"/>
      <c r="C183" s="12"/>
      <c r="D183" s="12"/>
      <c r="E183" s="12"/>
      <c r="F183" s="12"/>
      <c r="G183" s="18"/>
      <c r="H183" s="35"/>
      <c r="I183" s="12"/>
      <c r="M183" s="12"/>
      <c r="N183" s="18"/>
      <c r="O183" s="12"/>
      <c r="P183" s="12"/>
      <c r="Q183" s="12"/>
      <c r="R183" s="36"/>
      <c r="S183" s="36"/>
      <c r="T183" s="12"/>
      <c r="U183" s="12"/>
      <c r="V183" s="12"/>
      <c r="W183" s="12"/>
      <c r="X183" s="12"/>
    </row>
    <row r="184" customFormat="false" ht="15.75" hidden="false" customHeight="false" outlineLevel="0" collapsed="false">
      <c r="A184" s="12"/>
      <c r="B184" s="34"/>
      <c r="C184" s="12"/>
      <c r="D184" s="12"/>
      <c r="E184" s="12"/>
      <c r="F184" s="12"/>
      <c r="G184" s="18"/>
      <c r="H184" s="35"/>
      <c r="I184" s="12"/>
      <c r="M184" s="12"/>
      <c r="N184" s="18"/>
      <c r="O184" s="12"/>
      <c r="P184" s="12"/>
      <c r="Q184" s="12"/>
      <c r="R184" s="36"/>
      <c r="S184" s="36"/>
      <c r="T184" s="12"/>
      <c r="U184" s="12"/>
      <c r="V184" s="12"/>
      <c r="W184" s="12"/>
      <c r="X184" s="12"/>
    </row>
    <row r="185" customFormat="false" ht="15.75" hidden="false" customHeight="false" outlineLevel="0" collapsed="false">
      <c r="A185" s="12"/>
      <c r="B185" s="34"/>
      <c r="C185" s="12"/>
      <c r="D185" s="12"/>
      <c r="E185" s="12"/>
      <c r="F185" s="12"/>
      <c r="G185" s="18"/>
      <c r="H185" s="35"/>
      <c r="I185" s="12"/>
      <c r="M185" s="12"/>
      <c r="N185" s="18"/>
      <c r="O185" s="12"/>
      <c r="P185" s="12"/>
      <c r="Q185" s="12"/>
      <c r="R185" s="36"/>
      <c r="S185" s="36"/>
      <c r="T185" s="12"/>
      <c r="U185" s="12"/>
      <c r="V185" s="12"/>
      <c r="W185" s="12"/>
      <c r="X185" s="12"/>
    </row>
    <row r="186" customFormat="false" ht="15.75" hidden="false" customHeight="false" outlineLevel="0" collapsed="false">
      <c r="A186" s="12"/>
      <c r="B186" s="34"/>
      <c r="C186" s="12"/>
      <c r="D186" s="12"/>
      <c r="E186" s="12"/>
      <c r="F186" s="12"/>
      <c r="G186" s="18"/>
      <c r="H186" s="35"/>
      <c r="I186" s="12"/>
      <c r="M186" s="12"/>
      <c r="N186" s="18"/>
      <c r="O186" s="12"/>
      <c r="P186" s="12"/>
      <c r="Q186" s="12"/>
      <c r="R186" s="36"/>
      <c r="S186" s="36"/>
      <c r="T186" s="12"/>
      <c r="U186" s="12"/>
      <c r="V186" s="12"/>
      <c r="W186" s="12"/>
      <c r="X186" s="12"/>
    </row>
    <row r="187" customFormat="false" ht="15.75" hidden="false" customHeight="false" outlineLevel="0" collapsed="false">
      <c r="A187" s="12"/>
      <c r="B187" s="34"/>
      <c r="C187" s="12"/>
      <c r="D187" s="12"/>
      <c r="E187" s="12"/>
      <c r="F187" s="12"/>
      <c r="G187" s="18"/>
      <c r="H187" s="35"/>
      <c r="I187" s="12"/>
      <c r="M187" s="12"/>
      <c r="N187" s="18"/>
      <c r="O187" s="12"/>
      <c r="P187" s="12"/>
      <c r="Q187" s="12"/>
      <c r="R187" s="36"/>
      <c r="S187" s="36"/>
      <c r="T187" s="12"/>
      <c r="U187" s="12"/>
      <c r="V187" s="12"/>
      <c r="W187" s="12"/>
      <c r="X187" s="12"/>
    </row>
    <row r="188" customFormat="false" ht="15.75" hidden="false" customHeight="false" outlineLevel="0" collapsed="false">
      <c r="A188" s="12"/>
      <c r="B188" s="34"/>
      <c r="C188" s="12"/>
      <c r="D188" s="12"/>
      <c r="E188" s="12"/>
      <c r="F188" s="12"/>
      <c r="G188" s="18"/>
      <c r="H188" s="35"/>
      <c r="I188" s="12"/>
      <c r="M188" s="12"/>
      <c r="N188" s="18"/>
      <c r="O188" s="12"/>
      <c r="P188" s="12"/>
      <c r="Q188" s="12"/>
      <c r="R188" s="36"/>
      <c r="S188" s="36"/>
      <c r="T188" s="12"/>
      <c r="U188" s="12"/>
      <c r="V188" s="12"/>
      <c r="W188" s="12"/>
      <c r="X188" s="12"/>
    </row>
    <row r="189" customFormat="false" ht="15.75" hidden="false" customHeight="false" outlineLevel="0" collapsed="false">
      <c r="A189" s="12"/>
      <c r="B189" s="34"/>
      <c r="C189" s="12"/>
      <c r="D189" s="12"/>
      <c r="E189" s="12"/>
      <c r="F189" s="12"/>
      <c r="G189" s="18"/>
      <c r="H189" s="35"/>
      <c r="I189" s="12"/>
      <c r="M189" s="12"/>
      <c r="N189" s="18"/>
      <c r="O189" s="12"/>
      <c r="P189" s="12"/>
      <c r="Q189" s="12"/>
      <c r="R189" s="36"/>
      <c r="S189" s="36"/>
      <c r="T189" s="12"/>
      <c r="U189" s="12"/>
      <c r="V189" s="12"/>
      <c r="W189" s="12"/>
      <c r="X189" s="12"/>
    </row>
    <row r="190" customFormat="false" ht="15.75" hidden="false" customHeight="false" outlineLevel="0" collapsed="false">
      <c r="A190" s="12"/>
      <c r="B190" s="34"/>
      <c r="C190" s="12"/>
      <c r="D190" s="12"/>
      <c r="E190" s="12"/>
      <c r="F190" s="12"/>
      <c r="G190" s="18"/>
      <c r="H190" s="35"/>
      <c r="I190" s="12"/>
      <c r="M190" s="12"/>
      <c r="N190" s="18"/>
      <c r="O190" s="12"/>
      <c r="P190" s="12"/>
      <c r="Q190" s="12"/>
      <c r="R190" s="36"/>
      <c r="S190" s="36"/>
      <c r="T190" s="12"/>
      <c r="U190" s="12"/>
      <c r="V190" s="12"/>
      <c r="W190" s="12"/>
      <c r="X190" s="12"/>
    </row>
    <row r="191" customFormat="false" ht="15.75" hidden="false" customHeight="false" outlineLevel="0" collapsed="false">
      <c r="A191" s="12"/>
      <c r="B191" s="34"/>
      <c r="C191" s="12"/>
      <c r="D191" s="12"/>
      <c r="E191" s="12"/>
      <c r="F191" s="12"/>
      <c r="G191" s="18"/>
      <c r="H191" s="35"/>
      <c r="I191" s="12"/>
      <c r="M191" s="12"/>
      <c r="N191" s="18"/>
      <c r="O191" s="12"/>
      <c r="P191" s="12"/>
      <c r="Q191" s="12"/>
      <c r="R191" s="36"/>
      <c r="S191" s="36"/>
      <c r="T191" s="12"/>
      <c r="U191" s="12"/>
      <c r="V191" s="12"/>
      <c r="W191" s="12"/>
      <c r="X191" s="12"/>
    </row>
    <row r="192" customFormat="false" ht="15.75" hidden="false" customHeight="false" outlineLevel="0" collapsed="false">
      <c r="A192" s="12"/>
      <c r="B192" s="34"/>
      <c r="C192" s="12"/>
      <c r="D192" s="12"/>
      <c r="E192" s="12"/>
      <c r="F192" s="12"/>
      <c r="G192" s="18"/>
      <c r="H192" s="35"/>
      <c r="I192" s="12"/>
      <c r="M192" s="12"/>
      <c r="N192" s="18"/>
      <c r="O192" s="12"/>
      <c r="P192" s="12"/>
      <c r="Q192" s="12"/>
      <c r="R192" s="36"/>
      <c r="S192" s="36"/>
      <c r="T192" s="12"/>
      <c r="U192" s="12"/>
      <c r="V192" s="12"/>
      <c r="W192" s="12"/>
      <c r="X192" s="12"/>
    </row>
    <row r="193" customFormat="false" ht="15.75" hidden="false" customHeight="false" outlineLevel="0" collapsed="false">
      <c r="A193" s="12"/>
      <c r="B193" s="34"/>
      <c r="C193" s="12"/>
      <c r="D193" s="12"/>
      <c r="E193" s="12"/>
      <c r="F193" s="12"/>
      <c r="G193" s="18"/>
      <c r="H193" s="35"/>
      <c r="I193" s="12"/>
      <c r="M193" s="12"/>
      <c r="N193" s="18"/>
      <c r="O193" s="12"/>
      <c r="P193" s="12"/>
      <c r="Q193" s="12"/>
      <c r="R193" s="36"/>
      <c r="S193" s="36"/>
      <c r="T193" s="12"/>
      <c r="U193" s="12"/>
      <c r="V193" s="12"/>
      <c r="W193" s="12"/>
      <c r="X193" s="12"/>
    </row>
    <row r="194" customFormat="false" ht="15.75" hidden="false" customHeight="false" outlineLevel="0" collapsed="false">
      <c r="A194" s="12"/>
      <c r="B194" s="34"/>
      <c r="C194" s="12"/>
      <c r="D194" s="12"/>
      <c r="E194" s="12"/>
      <c r="F194" s="12"/>
      <c r="G194" s="18"/>
      <c r="H194" s="35"/>
      <c r="I194" s="12"/>
      <c r="M194" s="12"/>
      <c r="N194" s="18"/>
      <c r="O194" s="12"/>
      <c r="P194" s="12"/>
      <c r="Q194" s="12"/>
      <c r="R194" s="36"/>
      <c r="S194" s="36"/>
      <c r="T194" s="12"/>
      <c r="U194" s="12"/>
      <c r="V194" s="12"/>
      <c r="W194" s="12"/>
      <c r="X194" s="12"/>
    </row>
    <row r="195" customFormat="false" ht="15.75" hidden="false" customHeight="false" outlineLevel="0" collapsed="false">
      <c r="A195" s="12"/>
      <c r="B195" s="34"/>
      <c r="C195" s="12"/>
      <c r="D195" s="12"/>
      <c r="E195" s="12"/>
      <c r="F195" s="12"/>
      <c r="G195" s="18"/>
      <c r="H195" s="35"/>
      <c r="I195" s="12"/>
      <c r="M195" s="12"/>
      <c r="N195" s="18"/>
      <c r="O195" s="12"/>
      <c r="P195" s="12"/>
      <c r="Q195" s="12"/>
      <c r="R195" s="36"/>
      <c r="S195" s="36"/>
      <c r="T195" s="12"/>
      <c r="U195" s="12"/>
      <c r="V195" s="12"/>
      <c r="W195" s="12"/>
      <c r="X195" s="12"/>
    </row>
    <row r="196" customFormat="false" ht="15.75" hidden="false" customHeight="false" outlineLevel="0" collapsed="false">
      <c r="A196" s="12"/>
      <c r="B196" s="34"/>
      <c r="C196" s="12"/>
      <c r="D196" s="12"/>
      <c r="E196" s="12"/>
      <c r="F196" s="12"/>
      <c r="G196" s="18"/>
      <c r="H196" s="35"/>
      <c r="I196" s="12"/>
      <c r="M196" s="12"/>
      <c r="N196" s="18"/>
      <c r="O196" s="12"/>
      <c r="P196" s="12"/>
      <c r="Q196" s="12"/>
      <c r="R196" s="36"/>
      <c r="S196" s="36"/>
      <c r="T196" s="12"/>
      <c r="U196" s="12"/>
      <c r="V196" s="12"/>
      <c r="W196" s="12"/>
      <c r="X196" s="12"/>
    </row>
    <row r="197" customFormat="false" ht="15.75" hidden="false" customHeight="false" outlineLevel="0" collapsed="false">
      <c r="A197" s="12"/>
      <c r="B197" s="34"/>
      <c r="C197" s="12"/>
      <c r="D197" s="12"/>
      <c r="E197" s="12"/>
      <c r="F197" s="12"/>
      <c r="G197" s="18"/>
      <c r="H197" s="35"/>
      <c r="I197" s="12"/>
      <c r="M197" s="12"/>
      <c r="N197" s="18"/>
      <c r="O197" s="12"/>
      <c r="P197" s="12"/>
      <c r="Q197" s="12"/>
      <c r="R197" s="36"/>
      <c r="S197" s="36"/>
      <c r="T197" s="12"/>
      <c r="U197" s="12"/>
      <c r="V197" s="12"/>
      <c r="W197" s="12"/>
      <c r="X197" s="12"/>
    </row>
    <row r="198" customFormat="false" ht="15.75" hidden="false" customHeight="false" outlineLevel="0" collapsed="false">
      <c r="A198" s="12"/>
      <c r="B198" s="34"/>
      <c r="C198" s="12"/>
      <c r="D198" s="12"/>
      <c r="E198" s="12"/>
      <c r="F198" s="12"/>
      <c r="G198" s="18"/>
      <c r="H198" s="35"/>
      <c r="I198" s="12"/>
      <c r="M198" s="12"/>
      <c r="N198" s="18"/>
      <c r="O198" s="12"/>
      <c r="P198" s="12"/>
      <c r="Q198" s="12"/>
      <c r="R198" s="36"/>
      <c r="S198" s="36"/>
      <c r="T198" s="12"/>
      <c r="U198" s="12"/>
      <c r="V198" s="12"/>
      <c r="W198" s="12"/>
      <c r="X198" s="12"/>
    </row>
    <row r="199" customFormat="false" ht="15.75" hidden="false" customHeight="false" outlineLevel="0" collapsed="false">
      <c r="A199" s="12"/>
      <c r="B199" s="34"/>
      <c r="C199" s="12"/>
      <c r="D199" s="12"/>
      <c r="E199" s="12"/>
      <c r="F199" s="12"/>
      <c r="G199" s="18"/>
      <c r="H199" s="35"/>
      <c r="I199" s="12"/>
      <c r="M199" s="12"/>
      <c r="N199" s="18"/>
      <c r="O199" s="12"/>
      <c r="P199" s="12"/>
      <c r="Q199" s="12"/>
      <c r="R199" s="36"/>
      <c r="S199" s="36"/>
      <c r="T199" s="12"/>
      <c r="U199" s="12"/>
      <c r="V199" s="12"/>
      <c r="W199" s="12"/>
      <c r="X199" s="12"/>
    </row>
    <row r="200" customFormat="false" ht="15.75" hidden="false" customHeight="false" outlineLevel="0" collapsed="false">
      <c r="A200" s="12"/>
      <c r="B200" s="34"/>
      <c r="C200" s="12"/>
      <c r="D200" s="12"/>
      <c r="E200" s="12"/>
      <c r="F200" s="12"/>
      <c r="G200" s="18"/>
      <c r="H200" s="35"/>
      <c r="I200" s="12"/>
      <c r="M200" s="12"/>
      <c r="N200" s="18"/>
      <c r="O200" s="12"/>
      <c r="P200" s="12"/>
      <c r="Q200" s="12"/>
      <c r="R200" s="36"/>
      <c r="S200" s="36"/>
      <c r="T200" s="12"/>
      <c r="U200" s="12"/>
      <c r="V200" s="12"/>
      <c r="W200" s="12"/>
      <c r="X200" s="12"/>
    </row>
    <row r="201" customFormat="false" ht="15.75" hidden="false" customHeight="false" outlineLevel="0" collapsed="false">
      <c r="A201" s="12"/>
      <c r="B201" s="34"/>
      <c r="C201" s="12"/>
      <c r="D201" s="12"/>
      <c r="E201" s="12"/>
      <c r="F201" s="12"/>
      <c r="G201" s="18"/>
      <c r="H201" s="35"/>
      <c r="I201" s="12"/>
      <c r="M201" s="12"/>
      <c r="N201" s="18"/>
      <c r="O201" s="12"/>
      <c r="P201" s="12"/>
      <c r="Q201" s="12"/>
      <c r="R201" s="36"/>
      <c r="S201" s="36"/>
      <c r="T201" s="12"/>
      <c r="U201" s="12"/>
      <c r="V201" s="12"/>
      <c r="W201" s="12"/>
      <c r="X201" s="12"/>
    </row>
    <row r="202" customFormat="false" ht="15.75" hidden="false" customHeight="false" outlineLevel="0" collapsed="false">
      <c r="A202" s="12"/>
      <c r="B202" s="34"/>
      <c r="C202" s="12"/>
      <c r="D202" s="12"/>
      <c r="E202" s="12"/>
      <c r="F202" s="12"/>
      <c r="G202" s="18"/>
      <c r="H202" s="35"/>
      <c r="I202" s="12"/>
      <c r="M202" s="12"/>
      <c r="N202" s="18"/>
      <c r="O202" s="12"/>
      <c r="P202" s="12"/>
      <c r="Q202" s="12"/>
      <c r="R202" s="36"/>
      <c r="S202" s="36"/>
      <c r="T202" s="12"/>
      <c r="U202" s="12"/>
      <c r="V202" s="12"/>
      <c r="W202" s="12"/>
      <c r="X202" s="12"/>
    </row>
    <row r="203" customFormat="false" ht="15.75" hidden="false" customHeight="false" outlineLevel="0" collapsed="false">
      <c r="A203" s="12"/>
      <c r="B203" s="34"/>
      <c r="C203" s="12"/>
      <c r="D203" s="12"/>
      <c r="E203" s="12"/>
      <c r="F203" s="12"/>
      <c r="G203" s="18"/>
      <c r="H203" s="35"/>
      <c r="I203" s="12"/>
      <c r="M203" s="12"/>
      <c r="N203" s="18"/>
      <c r="O203" s="12"/>
      <c r="P203" s="12"/>
      <c r="Q203" s="12"/>
      <c r="R203" s="36"/>
      <c r="S203" s="36"/>
      <c r="T203" s="12"/>
      <c r="U203" s="12"/>
      <c r="V203" s="12"/>
      <c r="W203" s="12"/>
      <c r="X203" s="12"/>
    </row>
    <row r="204" customFormat="false" ht="15.75" hidden="false" customHeight="false" outlineLevel="0" collapsed="false">
      <c r="A204" s="12"/>
      <c r="B204" s="34"/>
      <c r="C204" s="12"/>
      <c r="D204" s="12"/>
      <c r="E204" s="12"/>
      <c r="F204" s="12"/>
      <c r="G204" s="18"/>
      <c r="H204" s="35"/>
      <c r="I204" s="12"/>
      <c r="M204" s="12"/>
      <c r="N204" s="18"/>
      <c r="O204" s="12"/>
      <c r="P204" s="12"/>
      <c r="Q204" s="12"/>
      <c r="R204" s="36"/>
      <c r="S204" s="36"/>
      <c r="T204" s="12"/>
      <c r="U204" s="12"/>
      <c r="V204" s="12"/>
      <c r="W204" s="12"/>
      <c r="X204" s="12"/>
    </row>
    <row r="205" customFormat="false" ht="15.75" hidden="false" customHeight="false" outlineLevel="0" collapsed="false">
      <c r="A205" s="12"/>
      <c r="B205" s="34"/>
      <c r="C205" s="12"/>
      <c r="D205" s="12"/>
      <c r="E205" s="12"/>
      <c r="F205" s="12"/>
      <c r="G205" s="18"/>
      <c r="H205" s="35"/>
      <c r="I205" s="12"/>
      <c r="M205" s="12"/>
      <c r="N205" s="18"/>
      <c r="O205" s="12"/>
      <c r="P205" s="12"/>
      <c r="Q205" s="12"/>
      <c r="R205" s="36"/>
      <c r="S205" s="36"/>
      <c r="T205" s="12"/>
      <c r="U205" s="12"/>
      <c r="V205" s="12"/>
      <c r="W205" s="12"/>
      <c r="X205" s="12"/>
    </row>
    <row r="206" customFormat="false" ht="15.75" hidden="false" customHeight="false" outlineLevel="0" collapsed="false">
      <c r="A206" s="12"/>
      <c r="B206" s="34"/>
      <c r="C206" s="12"/>
      <c r="D206" s="12"/>
      <c r="E206" s="12"/>
      <c r="F206" s="12"/>
      <c r="G206" s="18"/>
      <c r="H206" s="35"/>
      <c r="I206" s="12"/>
      <c r="M206" s="12"/>
      <c r="N206" s="18"/>
      <c r="O206" s="12"/>
      <c r="P206" s="12"/>
      <c r="Q206" s="12"/>
      <c r="R206" s="36"/>
      <c r="S206" s="36"/>
      <c r="T206" s="12"/>
      <c r="U206" s="12"/>
      <c r="V206" s="12"/>
      <c r="W206" s="12"/>
      <c r="X206" s="12"/>
    </row>
    <row r="207" customFormat="false" ht="15.75" hidden="false" customHeight="false" outlineLevel="0" collapsed="false">
      <c r="A207" s="12"/>
      <c r="B207" s="34"/>
      <c r="C207" s="12"/>
      <c r="D207" s="12"/>
      <c r="E207" s="12"/>
      <c r="F207" s="12"/>
      <c r="G207" s="18"/>
      <c r="H207" s="35"/>
      <c r="I207" s="12"/>
      <c r="M207" s="12"/>
      <c r="N207" s="18"/>
      <c r="O207" s="12"/>
      <c r="P207" s="12"/>
      <c r="Q207" s="12"/>
      <c r="R207" s="36"/>
      <c r="S207" s="36"/>
      <c r="T207" s="12"/>
      <c r="U207" s="12"/>
      <c r="V207" s="12"/>
      <c r="W207" s="12"/>
      <c r="X207" s="12"/>
    </row>
    <row r="208" customFormat="false" ht="15.75" hidden="false" customHeight="false" outlineLevel="0" collapsed="false">
      <c r="A208" s="12"/>
      <c r="B208" s="34"/>
      <c r="C208" s="12"/>
      <c r="D208" s="12"/>
      <c r="E208" s="12"/>
      <c r="F208" s="12"/>
      <c r="G208" s="18"/>
      <c r="H208" s="35"/>
      <c r="I208" s="12"/>
      <c r="M208" s="12"/>
      <c r="N208" s="18"/>
      <c r="O208" s="12"/>
      <c r="P208" s="12"/>
      <c r="Q208" s="12"/>
      <c r="R208" s="36"/>
      <c r="S208" s="36"/>
      <c r="T208" s="12"/>
      <c r="U208" s="12"/>
      <c r="V208" s="12"/>
      <c r="W208" s="12"/>
      <c r="X208" s="12"/>
    </row>
    <row r="209" customFormat="false" ht="15.75" hidden="false" customHeight="false" outlineLevel="0" collapsed="false">
      <c r="A209" s="12"/>
      <c r="B209" s="34"/>
      <c r="C209" s="12"/>
      <c r="D209" s="12"/>
      <c r="E209" s="12"/>
      <c r="F209" s="12"/>
      <c r="G209" s="18"/>
      <c r="H209" s="35"/>
      <c r="I209" s="12"/>
      <c r="M209" s="12"/>
      <c r="N209" s="18"/>
      <c r="O209" s="12"/>
      <c r="P209" s="12"/>
      <c r="Q209" s="12"/>
      <c r="R209" s="36"/>
      <c r="S209" s="36"/>
      <c r="T209" s="12"/>
      <c r="U209" s="12"/>
      <c r="V209" s="12"/>
      <c r="W209" s="12"/>
      <c r="X209" s="12"/>
    </row>
    <row r="210" customFormat="false" ht="15.75" hidden="false" customHeight="false" outlineLevel="0" collapsed="false">
      <c r="A210" s="12"/>
      <c r="B210" s="34"/>
      <c r="C210" s="12"/>
      <c r="D210" s="12"/>
      <c r="E210" s="12"/>
      <c r="F210" s="12"/>
      <c r="G210" s="18"/>
      <c r="H210" s="35"/>
      <c r="I210" s="12"/>
      <c r="M210" s="12"/>
      <c r="N210" s="18"/>
      <c r="O210" s="12"/>
      <c r="P210" s="12"/>
      <c r="Q210" s="12"/>
      <c r="R210" s="36"/>
      <c r="S210" s="36"/>
      <c r="T210" s="12"/>
      <c r="U210" s="12"/>
      <c r="V210" s="12"/>
      <c r="W210" s="12"/>
      <c r="X210" s="12"/>
    </row>
    <row r="211" customFormat="false" ht="15.75" hidden="false" customHeight="false" outlineLevel="0" collapsed="false">
      <c r="A211" s="12"/>
      <c r="B211" s="34"/>
      <c r="C211" s="12"/>
      <c r="D211" s="12"/>
      <c r="E211" s="12"/>
      <c r="F211" s="12"/>
      <c r="G211" s="18"/>
      <c r="H211" s="35"/>
      <c r="I211" s="12"/>
      <c r="M211" s="12"/>
      <c r="N211" s="18"/>
      <c r="O211" s="12"/>
      <c r="P211" s="12"/>
      <c r="Q211" s="12"/>
      <c r="R211" s="36"/>
      <c r="S211" s="36"/>
      <c r="T211" s="12"/>
      <c r="U211" s="12"/>
      <c r="V211" s="12"/>
      <c r="W211" s="12"/>
      <c r="X211" s="12"/>
    </row>
    <row r="212" customFormat="false" ht="15.75" hidden="false" customHeight="false" outlineLevel="0" collapsed="false">
      <c r="A212" s="12"/>
      <c r="B212" s="34"/>
      <c r="C212" s="12"/>
      <c r="D212" s="12"/>
      <c r="E212" s="12"/>
      <c r="F212" s="12"/>
      <c r="G212" s="18"/>
      <c r="H212" s="35"/>
      <c r="I212" s="12"/>
      <c r="M212" s="12"/>
      <c r="N212" s="18"/>
      <c r="O212" s="12"/>
      <c r="P212" s="12"/>
      <c r="Q212" s="12"/>
      <c r="R212" s="36"/>
      <c r="S212" s="36"/>
      <c r="T212" s="12"/>
      <c r="U212" s="12"/>
      <c r="V212" s="12"/>
      <c r="W212" s="12"/>
      <c r="X212" s="12"/>
    </row>
    <row r="213" customFormat="false" ht="15.75" hidden="false" customHeight="false" outlineLevel="0" collapsed="false">
      <c r="A213" s="12"/>
      <c r="B213" s="34"/>
      <c r="C213" s="12"/>
      <c r="D213" s="12"/>
      <c r="E213" s="12"/>
      <c r="F213" s="12"/>
      <c r="G213" s="18"/>
      <c r="H213" s="35"/>
      <c r="I213" s="12"/>
      <c r="M213" s="12"/>
      <c r="N213" s="18"/>
      <c r="O213" s="12"/>
      <c r="P213" s="12"/>
      <c r="Q213" s="12"/>
      <c r="R213" s="36"/>
      <c r="S213" s="36"/>
      <c r="T213" s="12"/>
      <c r="U213" s="12"/>
      <c r="V213" s="12"/>
      <c r="W213" s="12"/>
      <c r="X213" s="12"/>
    </row>
    <row r="214" customFormat="false" ht="15.75" hidden="false" customHeight="false" outlineLevel="0" collapsed="false">
      <c r="A214" s="12"/>
      <c r="B214" s="34"/>
      <c r="C214" s="12"/>
      <c r="D214" s="12"/>
      <c r="E214" s="12"/>
      <c r="F214" s="12"/>
      <c r="G214" s="18"/>
      <c r="H214" s="35"/>
      <c r="I214" s="12"/>
      <c r="M214" s="12"/>
      <c r="N214" s="18"/>
      <c r="O214" s="12"/>
      <c r="P214" s="12"/>
      <c r="Q214" s="12"/>
      <c r="R214" s="36"/>
      <c r="S214" s="36"/>
      <c r="T214" s="12"/>
      <c r="U214" s="12"/>
      <c r="V214" s="12"/>
      <c r="W214" s="12"/>
      <c r="X214" s="12"/>
    </row>
    <row r="215" customFormat="false" ht="15.75" hidden="false" customHeight="false" outlineLevel="0" collapsed="false">
      <c r="A215" s="12"/>
      <c r="B215" s="34"/>
      <c r="C215" s="12"/>
      <c r="D215" s="12"/>
      <c r="E215" s="12"/>
      <c r="F215" s="12"/>
      <c r="G215" s="18"/>
      <c r="H215" s="35"/>
      <c r="I215" s="12"/>
      <c r="M215" s="12"/>
      <c r="N215" s="18"/>
      <c r="O215" s="12"/>
      <c r="P215" s="12"/>
      <c r="Q215" s="12"/>
      <c r="R215" s="36"/>
      <c r="S215" s="36"/>
      <c r="T215" s="12"/>
      <c r="U215" s="12"/>
      <c r="V215" s="12"/>
      <c r="W215" s="12"/>
      <c r="X215" s="12"/>
    </row>
    <row r="216" customFormat="false" ht="15.75" hidden="false" customHeight="false" outlineLevel="0" collapsed="false">
      <c r="A216" s="12"/>
      <c r="B216" s="34"/>
      <c r="C216" s="12"/>
      <c r="D216" s="12"/>
      <c r="E216" s="12"/>
      <c r="F216" s="12"/>
      <c r="G216" s="18"/>
      <c r="H216" s="35"/>
      <c r="I216" s="12"/>
      <c r="M216" s="12"/>
      <c r="N216" s="18"/>
      <c r="O216" s="12"/>
      <c r="P216" s="12"/>
      <c r="Q216" s="12"/>
      <c r="R216" s="36"/>
      <c r="S216" s="36"/>
      <c r="T216" s="12"/>
      <c r="U216" s="12"/>
      <c r="V216" s="12"/>
      <c r="W216" s="12"/>
      <c r="X216" s="12"/>
    </row>
    <row r="217" customFormat="false" ht="15.75" hidden="false" customHeight="false" outlineLevel="0" collapsed="false">
      <c r="A217" s="12"/>
      <c r="B217" s="34"/>
      <c r="C217" s="12"/>
      <c r="D217" s="12"/>
      <c r="E217" s="12"/>
      <c r="F217" s="12"/>
      <c r="G217" s="18"/>
      <c r="H217" s="35"/>
      <c r="I217" s="12"/>
      <c r="M217" s="12"/>
      <c r="N217" s="18"/>
      <c r="O217" s="12"/>
      <c r="P217" s="12"/>
      <c r="Q217" s="12"/>
      <c r="R217" s="36"/>
      <c r="S217" s="36"/>
      <c r="T217" s="12"/>
      <c r="U217" s="12"/>
      <c r="V217" s="12"/>
      <c r="W217" s="12"/>
      <c r="X217" s="12"/>
    </row>
    <row r="218" customFormat="false" ht="15.75" hidden="false" customHeight="false" outlineLevel="0" collapsed="false">
      <c r="A218" s="12"/>
      <c r="B218" s="34"/>
      <c r="C218" s="12"/>
      <c r="D218" s="12"/>
      <c r="E218" s="12"/>
      <c r="F218" s="12"/>
      <c r="G218" s="18"/>
      <c r="H218" s="35"/>
      <c r="I218" s="12"/>
      <c r="M218" s="12"/>
      <c r="N218" s="18"/>
      <c r="O218" s="12"/>
      <c r="P218" s="12"/>
      <c r="Q218" s="12"/>
      <c r="R218" s="36"/>
      <c r="S218" s="36"/>
      <c r="T218" s="12"/>
      <c r="U218" s="12"/>
      <c r="V218" s="12"/>
      <c r="W218" s="12"/>
      <c r="X218" s="12"/>
    </row>
    <row r="219" customFormat="false" ht="15.75" hidden="false" customHeight="false" outlineLevel="0" collapsed="false">
      <c r="A219" s="12"/>
      <c r="B219" s="34"/>
      <c r="C219" s="12"/>
      <c r="D219" s="12"/>
      <c r="E219" s="12"/>
      <c r="F219" s="12"/>
      <c r="G219" s="18"/>
      <c r="H219" s="35"/>
      <c r="I219" s="12"/>
      <c r="M219" s="12"/>
      <c r="N219" s="18"/>
      <c r="O219" s="12"/>
      <c r="P219" s="12"/>
      <c r="Q219" s="12"/>
      <c r="R219" s="36"/>
      <c r="S219" s="36"/>
      <c r="T219" s="12"/>
      <c r="U219" s="12"/>
      <c r="V219" s="12"/>
      <c r="W219" s="12"/>
      <c r="X219" s="12"/>
    </row>
    <row r="220" customFormat="false" ht="15.75" hidden="false" customHeight="false" outlineLevel="0" collapsed="false">
      <c r="A220" s="12"/>
      <c r="B220" s="34"/>
      <c r="C220" s="12"/>
      <c r="D220" s="12"/>
      <c r="E220" s="12"/>
      <c r="F220" s="12"/>
      <c r="G220" s="18"/>
      <c r="H220" s="35"/>
      <c r="I220" s="12"/>
      <c r="M220" s="12"/>
      <c r="N220" s="18"/>
      <c r="O220" s="12"/>
      <c r="P220" s="12"/>
      <c r="Q220" s="12"/>
      <c r="R220" s="36"/>
      <c r="S220" s="36"/>
      <c r="T220" s="12"/>
      <c r="U220" s="12"/>
      <c r="V220" s="12"/>
      <c r="W220" s="12"/>
      <c r="X220" s="12"/>
    </row>
    <row r="221" customFormat="false" ht="15.75" hidden="false" customHeight="false" outlineLevel="0" collapsed="false">
      <c r="A221" s="12"/>
      <c r="B221" s="34"/>
      <c r="C221" s="12"/>
      <c r="D221" s="12"/>
      <c r="E221" s="12"/>
      <c r="F221" s="12"/>
      <c r="G221" s="18"/>
      <c r="H221" s="35"/>
      <c r="I221" s="12"/>
      <c r="M221" s="12"/>
      <c r="N221" s="18"/>
      <c r="O221" s="12"/>
      <c r="P221" s="12"/>
      <c r="Q221" s="12"/>
      <c r="R221" s="36"/>
      <c r="S221" s="36"/>
      <c r="T221" s="12"/>
      <c r="U221" s="12"/>
      <c r="V221" s="12"/>
      <c r="W221" s="12"/>
      <c r="X221" s="12"/>
    </row>
    <row r="222" customFormat="false" ht="15.75" hidden="false" customHeight="false" outlineLevel="0" collapsed="false">
      <c r="A222" s="12"/>
      <c r="B222" s="34"/>
      <c r="C222" s="12"/>
      <c r="D222" s="12"/>
      <c r="E222" s="12"/>
      <c r="F222" s="12"/>
      <c r="G222" s="18"/>
      <c r="H222" s="35"/>
      <c r="I222" s="12"/>
      <c r="M222" s="12"/>
      <c r="N222" s="18"/>
      <c r="O222" s="12"/>
      <c r="P222" s="12"/>
      <c r="Q222" s="12"/>
      <c r="R222" s="36"/>
      <c r="S222" s="36"/>
      <c r="T222" s="12"/>
      <c r="U222" s="12"/>
      <c r="V222" s="12"/>
      <c r="W222" s="12"/>
      <c r="X222" s="12"/>
    </row>
    <row r="223" customFormat="false" ht="15.75" hidden="false" customHeight="false" outlineLevel="0" collapsed="false">
      <c r="A223" s="12"/>
      <c r="B223" s="34"/>
      <c r="C223" s="12"/>
      <c r="D223" s="12"/>
      <c r="E223" s="12"/>
      <c r="F223" s="12"/>
      <c r="G223" s="18"/>
      <c r="H223" s="35"/>
      <c r="I223" s="12"/>
      <c r="M223" s="12"/>
      <c r="N223" s="18"/>
      <c r="O223" s="12"/>
      <c r="P223" s="12"/>
      <c r="Q223" s="12"/>
      <c r="R223" s="36"/>
      <c r="S223" s="36"/>
      <c r="T223" s="12"/>
      <c r="U223" s="12"/>
      <c r="V223" s="12"/>
      <c r="W223" s="12"/>
      <c r="X223" s="12"/>
    </row>
    <row r="224" customFormat="false" ht="15.75" hidden="false" customHeight="false" outlineLevel="0" collapsed="false">
      <c r="A224" s="12"/>
      <c r="B224" s="34"/>
      <c r="C224" s="12"/>
      <c r="D224" s="12"/>
      <c r="E224" s="12"/>
      <c r="F224" s="12"/>
      <c r="G224" s="18"/>
      <c r="H224" s="35"/>
      <c r="I224" s="12"/>
      <c r="M224" s="12"/>
      <c r="N224" s="18"/>
      <c r="O224" s="12"/>
      <c r="P224" s="12"/>
      <c r="Q224" s="12"/>
      <c r="R224" s="36"/>
      <c r="S224" s="36"/>
      <c r="T224" s="12"/>
      <c r="U224" s="12"/>
      <c r="V224" s="12"/>
      <c r="W224" s="12"/>
      <c r="X224" s="12"/>
    </row>
    <row r="225" customFormat="false" ht="15.75" hidden="false" customHeight="false" outlineLevel="0" collapsed="false">
      <c r="A225" s="12"/>
      <c r="B225" s="34"/>
      <c r="C225" s="12"/>
      <c r="D225" s="12"/>
      <c r="E225" s="12"/>
      <c r="F225" s="12"/>
      <c r="G225" s="18"/>
      <c r="H225" s="35"/>
      <c r="I225" s="12"/>
      <c r="M225" s="12"/>
      <c r="N225" s="18"/>
      <c r="O225" s="12"/>
      <c r="P225" s="12"/>
      <c r="Q225" s="12"/>
      <c r="R225" s="36"/>
      <c r="S225" s="36"/>
      <c r="T225" s="12"/>
      <c r="U225" s="12"/>
      <c r="V225" s="12"/>
      <c r="W225" s="12"/>
      <c r="X225" s="12"/>
    </row>
    <row r="226" customFormat="false" ht="15.75" hidden="false" customHeight="false" outlineLevel="0" collapsed="false">
      <c r="A226" s="12"/>
      <c r="B226" s="34"/>
      <c r="C226" s="12"/>
      <c r="D226" s="12"/>
      <c r="E226" s="12"/>
      <c r="F226" s="12"/>
      <c r="G226" s="18"/>
      <c r="H226" s="35"/>
      <c r="I226" s="12"/>
      <c r="M226" s="12"/>
      <c r="N226" s="18"/>
      <c r="O226" s="12"/>
      <c r="P226" s="12"/>
      <c r="Q226" s="12"/>
      <c r="R226" s="36"/>
      <c r="S226" s="36"/>
      <c r="T226" s="12"/>
      <c r="U226" s="12"/>
      <c r="V226" s="12"/>
      <c r="W226" s="12"/>
      <c r="X226" s="12"/>
    </row>
    <row r="227" customFormat="false" ht="15.75" hidden="false" customHeight="false" outlineLevel="0" collapsed="false">
      <c r="A227" s="12"/>
      <c r="B227" s="34"/>
      <c r="C227" s="12"/>
      <c r="D227" s="12"/>
      <c r="E227" s="12"/>
      <c r="F227" s="12"/>
      <c r="G227" s="18"/>
      <c r="H227" s="35"/>
      <c r="I227" s="12"/>
      <c r="M227" s="12"/>
      <c r="N227" s="18"/>
      <c r="O227" s="12"/>
      <c r="P227" s="12"/>
      <c r="Q227" s="12"/>
      <c r="R227" s="36"/>
      <c r="S227" s="36"/>
      <c r="T227" s="12"/>
      <c r="U227" s="12"/>
      <c r="V227" s="12"/>
      <c r="W227" s="12"/>
      <c r="X227" s="12"/>
    </row>
    <row r="228" customFormat="false" ht="15.75" hidden="false" customHeight="false" outlineLevel="0" collapsed="false">
      <c r="A228" s="12"/>
      <c r="B228" s="34"/>
      <c r="C228" s="12"/>
      <c r="D228" s="12"/>
      <c r="E228" s="12"/>
      <c r="F228" s="12"/>
      <c r="G228" s="18"/>
      <c r="H228" s="35"/>
      <c r="I228" s="12"/>
      <c r="M228" s="12"/>
      <c r="N228" s="18"/>
      <c r="O228" s="12"/>
      <c r="P228" s="12"/>
      <c r="Q228" s="12"/>
      <c r="R228" s="36"/>
      <c r="S228" s="36"/>
      <c r="T228" s="12"/>
      <c r="U228" s="12"/>
      <c r="V228" s="12"/>
      <c r="W228" s="12"/>
      <c r="X228" s="12"/>
    </row>
    <row r="229" customFormat="false" ht="15.75" hidden="false" customHeight="false" outlineLevel="0" collapsed="false">
      <c r="A229" s="12"/>
      <c r="B229" s="34"/>
      <c r="C229" s="12"/>
      <c r="D229" s="12"/>
      <c r="E229" s="12"/>
      <c r="F229" s="12"/>
      <c r="G229" s="18"/>
      <c r="H229" s="35"/>
      <c r="I229" s="12"/>
      <c r="M229" s="12"/>
      <c r="N229" s="18"/>
      <c r="O229" s="12"/>
      <c r="P229" s="12"/>
      <c r="Q229" s="12"/>
      <c r="R229" s="36"/>
      <c r="S229" s="36"/>
      <c r="T229" s="12"/>
      <c r="U229" s="12"/>
      <c r="V229" s="12"/>
      <c r="W229" s="12"/>
      <c r="X229" s="12"/>
    </row>
    <row r="230" customFormat="false" ht="15.75" hidden="false" customHeight="false" outlineLevel="0" collapsed="false">
      <c r="A230" s="12"/>
      <c r="B230" s="34"/>
      <c r="C230" s="12"/>
      <c r="D230" s="12"/>
      <c r="E230" s="12"/>
      <c r="F230" s="12"/>
      <c r="G230" s="18"/>
      <c r="H230" s="35"/>
      <c r="I230" s="12"/>
      <c r="M230" s="12"/>
      <c r="N230" s="18"/>
      <c r="O230" s="12"/>
      <c r="P230" s="12"/>
      <c r="Q230" s="12"/>
      <c r="R230" s="36"/>
      <c r="S230" s="36"/>
      <c r="T230" s="12"/>
      <c r="U230" s="12"/>
      <c r="V230" s="12"/>
      <c r="W230" s="12"/>
      <c r="X230" s="12"/>
    </row>
    <row r="231" customFormat="false" ht="15.75" hidden="false" customHeight="false" outlineLevel="0" collapsed="false">
      <c r="A231" s="12"/>
      <c r="B231" s="34"/>
      <c r="C231" s="12"/>
      <c r="D231" s="12"/>
      <c r="E231" s="12"/>
      <c r="F231" s="12"/>
      <c r="G231" s="18"/>
      <c r="H231" s="35"/>
      <c r="I231" s="12"/>
      <c r="M231" s="12"/>
      <c r="N231" s="18"/>
      <c r="O231" s="12"/>
      <c r="P231" s="12"/>
      <c r="Q231" s="12"/>
      <c r="R231" s="36"/>
      <c r="S231" s="36"/>
      <c r="T231" s="12"/>
      <c r="U231" s="12"/>
      <c r="V231" s="12"/>
      <c r="W231" s="12"/>
      <c r="X231" s="12"/>
    </row>
    <row r="232" customFormat="false" ht="15.75" hidden="false" customHeight="false" outlineLevel="0" collapsed="false">
      <c r="A232" s="12"/>
      <c r="B232" s="34"/>
      <c r="C232" s="12"/>
      <c r="D232" s="12"/>
      <c r="E232" s="12"/>
      <c r="F232" s="12"/>
      <c r="G232" s="18"/>
      <c r="H232" s="35"/>
      <c r="I232" s="12"/>
      <c r="M232" s="12"/>
      <c r="N232" s="18"/>
      <c r="O232" s="12"/>
      <c r="P232" s="12"/>
      <c r="Q232" s="12"/>
      <c r="R232" s="36"/>
      <c r="S232" s="36"/>
      <c r="T232" s="12"/>
      <c r="U232" s="12"/>
      <c r="V232" s="12"/>
      <c r="W232" s="12"/>
      <c r="X232" s="12"/>
    </row>
    <row r="233" customFormat="false" ht="15.75" hidden="false" customHeight="false" outlineLevel="0" collapsed="false">
      <c r="A233" s="12"/>
      <c r="B233" s="34"/>
      <c r="C233" s="12"/>
      <c r="D233" s="12"/>
      <c r="E233" s="12"/>
      <c r="F233" s="12"/>
      <c r="G233" s="18"/>
      <c r="H233" s="35"/>
      <c r="I233" s="12"/>
      <c r="M233" s="12"/>
      <c r="N233" s="18"/>
      <c r="O233" s="12"/>
      <c r="P233" s="12"/>
      <c r="Q233" s="12"/>
      <c r="R233" s="36"/>
      <c r="S233" s="36"/>
      <c r="T233" s="12"/>
      <c r="U233" s="12"/>
      <c r="V233" s="12"/>
      <c r="W233" s="12"/>
      <c r="X233" s="12"/>
    </row>
    <row r="234" customFormat="false" ht="15.75" hidden="false" customHeight="false" outlineLevel="0" collapsed="false">
      <c r="A234" s="12"/>
      <c r="B234" s="34"/>
      <c r="C234" s="12"/>
      <c r="D234" s="12"/>
      <c r="E234" s="12"/>
      <c r="F234" s="12"/>
      <c r="G234" s="18"/>
      <c r="H234" s="35"/>
      <c r="I234" s="12"/>
      <c r="M234" s="12"/>
      <c r="N234" s="18"/>
      <c r="O234" s="12"/>
      <c r="P234" s="12"/>
      <c r="Q234" s="12"/>
      <c r="R234" s="36"/>
      <c r="S234" s="36"/>
      <c r="T234" s="12"/>
      <c r="U234" s="12"/>
      <c r="V234" s="12"/>
      <c r="W234" s="12"/>
      <c r="X234" s="12"/>
    </row>
    <row r="235" customFormat="false" ht="15.75" hidden="false" customHeight="false" outlineLevel="0" collapsed="false">
      <c r="A235" s="12"/>
      <c r="B235" s="34"/>
      <c r="C235" s="12"/>
      <c r="D235" s="12"/>
      <c r="E235" s="12"/>
      <c r="F235" s="12"/>
      <c r="G235" s="18"/>
      <c r="H235" s="35"/>
      <c r="I235" s="12"/>
      <c r="M235" s="12"/>
      <c r="N235" s="18"/>
      <c r="O235" s="12"/>
      <c r="P235" s="12"/>
      <c r="Q235" s="12"/>
      <c r="R235" s="36"/>
      <c r="S235" s="36"/>
      <c r="T235" s="12"/>
      <c r="U235" s="12"/>
      <c r="V235" s="12"/>
      <c r="W235" s="12"/>
      <c r="X235" s="12"/>
    </row>
    <row r="236" customFormat="false" ht="15.75" hidden="false" customHeight="false" outlineLevel="0" collapsed="false">
      <c r="A236" s="12"/>
      <c r="B236" s="34"/>
      <c r="C236" s="12"/>
      <c r="D236" s="12"/>
      <c r="E236" s="12"/>
      <c r="F236" s="12"/>
      <c r="G236" s="18"/>
      <c r="H236" s="35"/>
      <c r="I236" s="12"/>
      <c r="M236" s="12"/>
      <c r="N236" s="18"/>
      <c r="O236" s="12"/>
      <c r="P236" s="12"/>
      <c r="Q236" s="12"/>
      <c r="R236" s="36"/>
      <c r="S236" s="36"/>
      <c r="T236" s="12"/>
      <c r="U236" s="12"/>
      <c r="V236" s="12"/>
      <c r="W236" s="12"/>
      <c r="X236" s="12"/>
    </row>
    <row r="237" customFormat="false" ht="15.75" hidden="false" customHeight="false" outlineLevel="0" collapsed="false">
      <c r="A237" s="12"/>
      <c r="B237" s="34"/>
      <c r="C237" s="12"/>
      <c r="D237" s="12"/>
      <c r="E237" s="12"/>
      <c r="F237" s="12"/>
      <c r="G237" s="18"/>
      <c r="H237" s="35"/>
      <c r="I237" s="12"/>
      <c r="M237" s="12"/>
      <c r="N237" s="18"/>
      <c r="O237" s="12"/>
      <c r="P237" s="12"/>
      <c r="Q237" s="12"/>
      <c r="R237" s="36"/>
      <c r="S237" s="36"/>
      <c r="T237" s="12"/>
      <c r="U237" s="12"/>
      <c r="V237" s="12"/>
      <c r="W237" s="12"/>
      <c r="X237" s="12"/>
    </row>
    <row r="238" customFormat="false" ht="15.75" hidden="false" customHeight="false" outlineLevel="0" collapsed="false">
      <c r="A238" s="12"/>
      <c r="B238" s="34"/>
      <c r="C238" s="12"/>
      <c r="D238" s="12"/>
      <c r="E238" s="12"/>
      <c r="F238" s="12"/>
      <c r="G238" s="18"/>
      <c r="H238" s="35"/>
      <c r="I238" s="12"/>
      <c r="M238" s="12"/>
      <c r="N238" s="18"/>
      <c r="O238" s="12"/>
      <c r="P238" s="12"/>
      <c r="Q238" s="12"/>
      <c r="R238" s="36"/>
      <c r="S238" s="36"/>
      <c r="T238" s="12"/>
      <c r="U238" s="12"/>
      <c r="V238" s="12"/>
      <c r="W238" s="12"/>
      <c r="X238" s="12"/>
    </row>
    <row r="239" customFormat="false" ht="15.75" hidden="false" customHeight="false" outlineLevel="0" collapsed="false">
      <c r="A239" s="12"/>
      <c r="B239" s="34"/>
      <c r="C239" s="12"/>
      <c r="D239" s="12"/>
      <c r="E239" s="12"/>
      <c r="F239" s="12"/>
      <c r="G239" s="18"/>
      <c r="H239" s="35"/>
      <c r="I239" s="12"/>
      <c r="M239" s="12"/>
      <c r="N239" s="18"/>
      <c r="O239" s="12"/>
      <c r="P239" s="12"/>
      <c r="Q239" s="12"/>
      <c r="R239" s="36"/>
      <c r="S239" s="36"/>
      <c r="T239" s="12"/>
      <c r="U239" s="12"/>
      <c r="V239" s="12"/>
      <c r="W239" s="12"/>
      <c r="X239" s="12"/>
    </row>
    <row r="240" customFormat="false" ht="15.75" hidden="false" customHeight="false" outlineLevel="0" collapsed="false">
      <c r="A240" s="12"/>
      <c r="B240" s="34"/>
      <c r="C240" s="12"/>
      <c r="D240" s="12"/>
      <c r="E240" s="12"/>
      <c r="F240" s="12"/>
      <c r="G240" s="18"/>
      <c r="H240" s="35"/>
      <c r="I240" s="12"/>
      <c r="M240" s="12"/>
      <c r="N240" s="18"/>
      <c r="O240" s="12"/>
      <c r="P240" s="12"/>
      <c r="Q240" s="12"/>
      <c r="R240" s="36"/>
      <c r="S240" s="36"/>
      <c r="T240" s="12"/>
      <c r="U240" s="12"/>
      <c r="V240" s="12"/>
      <c r="W240" s="12"/>
      <c r="X240" s="12"/>
    </row>
    <row r="241" customFormat="false" ht="15.75" hidden="false" customHeight="false" outlineLevel="0" collapsed="false">
      <c r="A241" s="12"/>
      <c r="B241" s="34"/>
      <c r="C241" s="12"/>
      <c r="D241" s="12"/>
      <c r="E241" s="12"/>
      <c r="F241" s="12"/>
      <c r="G241" s="18"/>
      <c r="H241" s="35"/>
      <c r="I241" s="12"/>
      <c r="M241" s="12"/>
      <c r="N241" s="18"/>
      <c r="O241" s="12"/>
      <c r="P241" s="12"/>
      <c r="Q241" s="12"/>
      <c r="R241" s="36"/>
      <c r="S241" s="36"/>
      <c r="T241" s="12"/>
      <c r="U241" s="12"/>
      <c r="V241" s="12"/>
      <c r="W241" s="12"/>
      <c r="X241" s="12"/>
    </row>
    <row r="242" customFormat="false" ht="15.75" hidden="false" customHeight="false" outlineLevel="0" collapsed="false">
      <c r="A242" s="12"/>
      <c r="B242" s="34"/>
      <c r="C242" s="12"/>
      <c r="D242" s="12"/>
      <c r="E242" s="12"/>
      <c r="F242" s="12"/>
      <c r="G242" s="18"/>
      <c r="H242" s="35"/>
      <c r="I242" s="12"/>
      <c r="M242" s="12"/>
      <c r="N242" s="18"/>
      <c r="O242" s="12"/>
      <c r="P242" s="12"/>
      <c r="Q242" s="12"/>
      <c r="R242" s="36"/>
      <c r="S242" s="36"/>
      <c r="T242" s="12"/>
      <c r="U242" s="12"/>
      <c r="V242" s="12"/>
      <c r="W242" s="12"/>
      <c r="X242" s="12"/>
    </row>
    <row r="243" customFormat="false" ht="15.75" hidden="false" customHeight="false" outlineLevel="0" collapsed="false">
      <c r="A243" s="12"/>
      <c r="B243" s="34"/>
      <c r="C243" s="12"/>
      <c r="D243" s="12"/>
      <c r="E243" s="12"/>
      <c r="F243" s="12"/>
      <c r="G243" s="18"/>
      <c r="H243" s="35"/>
      <c r="I243" s="12"/>
      <c r="M243" s="12"/>
      <c r="N243" s="18"/>
      <c r="O243" s="12"/>
      <c r="P243" s="12"/>
      <c r="Q243" s="12"/>
      <c r="R243" s="36"/>
      <c r="S243" s="36"/>
      <c r="T243" s="12"/>
      <c r="U243" s="12"/>
      <c r="V243" s="12"/>
      <c r="W243" s="12"/>
      <c r="X243" s="12"/>
    </row>
    <row r="244" customFormat="false" ht="15.75" hidden="false" customHeight="false" outlineLevel="0" collapsed="false">
      <c r="A244" s="12"/>
      <c r="B244" s="34"/>
      <c r="C244" s="12"/>
      <c r="D244" s="12"/>
      <c r="E244" s="12"/>
      <c r="F244" s="12"/>
      <c r="G244" s="18"/>
      <c r="H244" s="35"/>
      <c r="I244" s="12"/>
      <c r="M244" s="12"/>
      <c r="N244" s="18"/>
      <c r="O244" s="12"/>
      <c r="P244" s="12"/>
      <c r="Q244" s="12"/>
      <c r="R244" s="36"/>
      <c r="S244" s="36"/>
      <c r="T244" s="12"/>
      <c r="U244" s="12"/>
      <c r="V244" s="12"/>
      <c r="W244" s="12"/>
      <c r="X244" s="12"/>
    </row>
    <row r="245" customFormat="false" ht="15.75" hidden="false" customHeight="false" outlineLevel="0" collapsed="false">
      <c r="A245" s="12"/>
      <c r="B245" s="34"/>
      <c r="C245" s="12"/>
      <c r="D245" s="12"/>
      <c r="E245" s="12"/>
      <c r="F245" s="12"/>
      <c r="G245" s="18"/>
      <c r="H245" s="35"/>
      <c r="I245" s="12"/>
      <c r="M245" s="12"/>
      <c r="N245" s="18"/>
      <c r="O245" s="12"/>
      <c r="P245" s="12"/>
      <c r="Q245" s="12"/>
      <c r="R245" s="36"/>
      <c r="S245" s="36"/>
      <c r="T245" s="12"/>
      <c r="U245" s="12"/>
      <c r="V245" s="12"/>
      <c r="W245" s="12"/>
      <c r="X245" s="12"/>
    </row>
    <row r="246" customFormat="false" ht="15.75" hidden="false" customHeight="false" outlineLevel="0" collapsed="false">
      <c r="A246" s="12"/>
      <c r="B246" s="34"/>
      <c r="C246" s="12"/>
      <c r="D246" s="12"/>
      <c r="E246" s="12"/>
      <c r="F246" s="12"/>
      <c r="G246" s="18"/>
      <c r="H246" s="35"/>
      <c r="I246" s="12"/>
      <c r="M246" s="12"/>
      <c r="N246" s="18"/>
      <c r="O246" s="12"/>
      <c r="P246" s="12"/>
      <c r="Q246" s="12"/>
      <c r="R246" s="36"/>
      <c r="S246" s="36"/>
      <c r="T246" s="12"/>
      <c r="U246" s="12"/>
      <c r="V246" s="12"/>
      <c r="W246" s="12"/>
      <c r="X246" s="12"/>
    </row>
    <row r="247" customFormat="false" ht="15.75" hidden="false" customHeight="false" outlineLevel="0" collapsed="false">
      <c r="A247" s="12"/>
      <c r="B247" s="34"/>
      <c r="C247" s="12"/>
      <c r="D247" s="12"/>
      <c r="E247" s="12"/>
      <c r="F247" s="12"/>
      <c r="G247" s="18"/>
      <c r="H247" s="35"/>
      <c r="I247" s="12"/>
      <c r="M247" s="12"/>
      <c r="N247" s="18"/>
      <c r="O247" s="12"/>
      <c r="P247" s="12"/>
      <c r="Q247" s="12"/>
      <c r="R247" s="36"/>
      <c r="S247" s="36"/>
      <c r="T247" s="12"/>
      <c r="U247" s="12"/>
      <c r="V247" s="12"/>
      <c r="W247" s="12"/>
      <c r="X247" s="12"/>
    </row>
    <row r="248" customFormat="false" ht="15.75" hidden="false" customHeight="false" outlineLevel="0" collapsed="false">
      <c r="A248" s="12"/>
      <c r="B248" s="34"/>
      <c r="C248" s="12"/>
      <c r="D248" s="12"/>
      <c r="E248" s="12"/>
      <c r="F248" s="12"/>
      <c r="G248" s="18"/>
      <c r="H248" s="35"/>
      <c r="I248" s="12"/>
      <c r="M248" s="12"/>
      <c r="N248" s="18"/>
      <c r="O248" s="12"/>
      <c r="P248" s="12"/>
      <c r="Q248" s="12"/>
      <c r="R248" s="36"/>
      <c r="S248" s="36"/>
      <c r="T248" s="12"/>
      <c r="U248" s="12"/>
      <c r="V248" s="12"/>
      <c r="W248" s="12"/>
      <c r="X248" s="12"/>
    </row>
    <row r="249" customFormat="false" ht="15.75" hidden="false" customHeight="false" outlineLevel="0" collapsed="false">
      <c r="A249" s="12"/>
      <c r="B249" s="34"/>
      <c r="C249" s="12"/>
      <c r="D249" s="12"/>
      <c r="E249" s="12"/>
      <c r="F249" s="12"/>
      <c r="G249" s="18"/>
      <c r="H249" s="35"/>
      <c r="I249" s="12"/>
      <c r="M249" s="12"/>
      <c r="N249" s="18"/>
      <c r="O249" s="12"/>
      <c r="P249" s="12"/>
      <c r="Q249" s="12"/>
      <c r="R249" s="36"/>
      <c r="S249" s="36"/>
      <c r="T249" s="12"/>
      <c r="U249" s="12"/>
      <c r="V249" s="12"/>
      <c r="W249" s="12"/>
      <c r="X249" s="12"/>
    </row>
    <row r="250" customFormat="false" ht="15.75" hidden="false" customHeight="false" outlineLevel="0" collapsed="false">
      <c r="A250" s="12"/>
      <c r="B250" s="34"/>
      <c r="C250" s="12"/>
      <c r="D250" s="12"/>
      <c r="E250" s="12"/>
      <c r="F250" s="12"/>
      <c r="G250" s="18"/>
      <c r="H250" s="35"/>
      <c r="I250" s="12"/>
      <c r="M250" s="12"/>
      <c r="N250" s="18"/>
      <c r="O250" s="12"/>
      <c r="P250" s="12"/>
      <c r="Q250" s="12"/>
      <c r="R250" s="36"/>
      <c r="S250" s="36"/>
      <c r="T250" s="12"/>
      <c r="U250" s="12"/>
      <c r="V250" s="12"/>
      <c r="W250" s="12"/>
      <c r="X250" s="12"/>
    </row>
    <row r="251" customFormat="false" ht="15.75" hidden="false" customHeight="false" outlineLevel="0" collapsed="false">
      <c r="A251" s="12"/>
      <c r="B251" s="34"/>
      <c r="C251" s="12"/>
      <c r="D251" s="12"/>
      <c r="E251" s="12"/>
      <c r="F251" s="12"/>
      <c r="G251" s="18"/>
      <c r="H251" s="35"/>
      <c r="I251" s="12"/>
      <c r="M251" s="12"/>
      <c r="N251" s="18"/>
      <c r="O251" s="12"/>
      <c r="P251" s="12"/>
      <c r="Q251" s="12"/>
      <c r="R251" s="36"/>
      <c r="S251" s="36"/>
      <c r="T251" s="12"/>
      <c r="U251" s="12"/>
      <c r="V251" s="12"/>
      <c r="W251" s="12"/>
      <c r="X251" s="12"/>
    </row>
    <row r="252" customFormat="false" ht="15.75" hidden="false" customHeight="false" outlineLevel="0" collapsed="false">
      <c r="A252" s="12"/>
      <c r="B252" s="34"/>
      <c r="C252" s="12"/>
      <c r="D252" s="12"/>
      <c r="E252" s="12"/>
      <c r="F252" s="12"/>
      <c r="G252" s="18"/>
      <c r="H252" s="35"/>
      <c r="I252" s="12"/>
      <c r="M252" s="12"/>
      <c r="N252" s="18"/>
      <c r="O252" s="12"/>
      <c r="P252" s="12"/>
      <c r="Q252" s="12"/>
      <c r="R252" s="36"/>
      <c r="S252" s="36"/>
      <c r="T252" s="12"/>
      <c r="U252" s="12"/>
      <c r="V252" s="12"/>
      <c r="W252" s="12"/>
      <c r="X252" s="12"/>
    </row>
    <row r="253" customFormat="false" ht="15.75" hidden="false" customHeight="false" outlineLevel="0" collapsed="false">
      <c r="A253" s="12"/>
      <c r="B253" s="34"/>
      <c r="C253" s="12"/>
      <c r="D253" s="12"/>
      <c r="E253" s="12"/>
      <c r="F253" s="12"/>
      <c r="G253" s="18"/>
      <c r="H253" s="35"/>
      <c r="I253" s="12"/>
      <c r="M253" s="12"/>
      <c r="N253" s="18"/>
      <c r="O253" s="12"/>
      <c r="P253" s="12"/>
      <c r="Q253" s="12"/>
      <c r="R253" s="36"/>
      <c r="S253" s="36"/>
      <c r="T253" s="12"/>
      <c r="U253" s="12"/>
      <c r="V253" s="12"/>
      <c r="W253" s="12"/>
      <c r="X253" s="12"/>
    </row>
    <row r="254" customFormat="false" ht="15.75" hidden="false" customHeight="false" outlineLevel="0" collapsed="false">
      <c r="A254" s="12"/>
      <c r="B254" s="34"/>
      <c r="C254" s="12"/>
      <c r="D254" s="12"/>
      <c r="E254" s="12"/>
      <c r="F254" s="12"/>
      <c r="G254" s="18"/>
      <c r="H254" s="35"/>
      <c r="I254" s="12"/>
      <c r="M254" s="12"/>
      <c r="N254" s="18"/>
      <c r="O254" s="12"/>
      <c r="P254" s="12"/>
      <c r="Q254" s="12"/>
      <c r="R254" s="36"/>
      <c r="S254" s="36"/>
      <c r="T254" s="12"/>
      <c r="U254" s="12"/>
      <c r="V254" s="12"/>
      <c r="W254" s="12"/>
      <c r="X254" s="12"/>
    </row>
    <row r="255" customFormat="false" ht="15.75" hidden="false" customHeight="false" outlineLevel="0" collapsed="false">
      <c r="A255" s="12"/>
      <c r="B255" s="34"/>
      <c r="C255" s="12"/>
      <c r="D255" s="12"/>
      <c r="E255" s="12"/>
      <c r="F255" s="12"/>
      <c r="G255" s="18"/>
      <c r="H255" s="35"/>
      <c r="I255" s="12"/>
      <c r="M255" s="12"/>
      <c r="N255" s="18"/>
      <c r="O255" s="12"/>
      <c r="P255" s="12"/>
      <c r="Q255" s="12"/>
      <c r="R255" s="36"/>
      <c r="S255" s="36"/>
      <c r="T255" s="12"/>
      <c r="U255" s="12"/>
      <c r="V255" s="12"/>
      <c r="W255" s="12"/>
      <c r="X255" s="12"/>
    </row>
    <row r="256" customFormat="false" ht="15.75" hidden="false" customHeight="false" outlineLevel="0" collapsed="false">
      <c r="A256" s="12"/>
      <c r="B256" s="34"/>
      <c r="C256" s="12"/>
      <c r="D256" s="12"/>
      <c r="E256" s="12"/>
      <c r="F256" s="12"/>
      <c r="G256" s="18"/>
      <c r="H256" s="35"/>
      <c r="I256" s="12"/>
      <c r="M256" s="12"/>
      <c r="N256" s="18"/>
      <c r="O256" s="12"/>
      <c r="P256" s="12"/>
      <c r="Q256" s="12"/>
      <c r="R256" s="36"/>
      <c r="S256" s="36"/>
      <c r="T256" s="12"/>
      <c r="U256" s="12"/>
      <c r="V256" s="12"/>
      <c r="W256" s="12"/>
      <c r="X256" s="12"/>
    </row>
    <row r="257" customFormat="false" ht="15.75" hidden="false" customHeight="false" outlineLevel="0" collapsed="false">
      <c r="A257" s="12"/>
      <c r="B257" s="34"/>
      <c r="C257" s="12"/>
      <c r="D257" s="12"/>
      <c r="E257" s="12"/>
      <c r="F257" s="12"/>
      <c r="G257" s="18"/>
      <c r="H257" s="35"/>
      <c r="I257" s="12"/>
      <c r="M257" s="12"/>
      <c r="N257" s="18"/>
      <c r="O257" s="12"/>
      <c r="P257" s="12"/>
      <c r="Q257" s="12"/>
      <c r="R257" s="36"/>
      <c r="S257" s="36"/>
      <c r="T257" s="12"/>
      <c r="U257" s="12"/>
      <c r="V257" s="12"/>
      <c r="W257" s="12"/>
      <c r="X257" s="12"/>
    </row>
    <row r="258" customFormat="false" ht="15.75" hidden="false" customHeight="false" outlineLevel="0" collapsed="false">
      <c r="A258" s="12"/>
      <c r="B258" s="34"/>
      <c r="C258" s="12"/>
      <c r="D258" s="12"/>
      <c r="E258" s="12"/>
      <c r="F258" s="12"/>
      <c r="G258" s="18"/>
      <c r="H258" s="35"/>
      <c r="I258" s="12"/>
      <c r="M258" s="12"/>
      <c r="N258" s="18"/>
      <c r="O258" s="12"/>
      <c r="P258" s="12"/>
      <c r="Q258" s="12"/>
      <c r="R258" s="36"/>
      <c r="S258" s="36"/>
      <c r="T258" s="12"/>
      <c r="U258" s="12"/>
      <c r="V258" s="12"/>
      <c r="W258" s="12"/>
      <c r="X258" s="12"/>
    </row>
    <row r="259" customFormat="false" ht="15.75" hidden="false" customHeight="false" outlineLevel="0" collapsed="false">
      <c r="A259" s="12"/>
      <c r="B259" s="34"/>
      <c r="C259" s="12"/>
      <c r="D259" s="12"/>
      <c r="E259" s="12"/>
      <c r="F259" s="12"/>
      <c r="G259" s="18"/>
      <c r="H259" s="35"/>
      <c r="I259" s="12"/>
      <c r="M259" s="12"/>
      <c r="N259" s="18"/>
      <c r="O259" s="12"/>
      <c r="P259" s="12"/>
      <c r="Q259" s="12"/>
      <c r="R259" s="36"/>
      <c r="S259" s="36"/>
      <c r="T259" s="12"/>
      <c r="U259" s="12"/>
      <c r="V259" s="12"/>
      <c r="W259" s="12"/>
      <c r="X259" s="12"/>
    </row>
    <row r="260" customFormat="false" ht="15.75" hidden="false" customHeight="false" outlineLevel="0" collapsed="false">
      <c r="A260" s="12"/>
      <c r="B260" s="34"/>
      <c r="C260" s="12"/>
      <c r="D260" s="12"/>
      <c r="E260" s="12"/>
      <c r="F260" s="12"/>
      <c r="G260" s="18"/>
      <c r="H260" s="35"/>
      <c r="I260" s="12"/>
      <c r="M260" s="12"/>
      <c r="N260" s="18"/>
      <c r="O260" s="12"/>
      <c r="P260" s="12"/>
      <c r="Q260" s="12"/>
      <c r="R260" s="36"/>
      <c r="S260" s="36"/>
      <c r="T260" s="12"/>
      <c r="U260" s="12"/>
      <c r="V260" s="12"/>
      <c r="W260" s="12"/>
      <c r="X260" s="12"/>
    </row>
    <row r="261" customFormat="false" ht="15.75" hidden="false" customHeight="false" outlineLevel="0" collapsed="false">
      <c r="A261" s="12"/>
      <c r="B261" s="34"/>
      <c r="C261" s="12"/>
      <c r="D261" s="12"/>
      <c r="E261" s="12"/>
      <c r="F261" s="12"/>
      <c r="G261" s="18"/>
      <c r="H261" s="35"/>
      <c r="I261" s="12"/>
      <c r="M261" s="12"/>
      <c r="N261" s="18"/>
      <c r="O261" s="12"/>
      <c r="P261" s="12"/>
      <c r="Q261" s="12"/>
      <c r="R261" s="36"/>
      <c r="S261" s="36"/>
      <c r="T261" s="12"/>
      <c r="U261" s="12"/>
      <c r="V261" s="12"/>
      <c r="W261" s="12"/>
      <c r="X261" s="12"/>
    </row>
    <row r="262" customFormat="false" ht="15.75" hidden="false" customHeight="false" outlineLevel="0" collapsed="false">
      <c r="A262" s="12"/>
      <c r="B262" s="34"/>
      <c r="C262" s="12"/>
      <c r="D262" s="12"/>
      <c r="E262" s="12"/>
      <c r="F262" s="12"/>
      <c r="G262" s="18"/>
      <c r="H262" s="35"/>
      <c r="I262" s="12"/>
      <c r="M262" s="12"/>
      <c r="N262" s="18"/>
      <c r="O262" s="12"/>
      <c r="P262" s="12"/>
      <c r="Q262" s="12"/>
      <c r="R262" s="36"/>
      <c r="S262" s="36"/>
      <c r="T262" s="12"/>
      <c r="U262" s="12"/>
      <c r="V262" s="12"/>
      <c r="W262" s="12"/>
      <c r="X262" s="12"/>
    </row>
    <row r="263" customFormat="false" ht="15.75" hidden="false" customHeight="false" outlineLevel="0" collapsed="false">
      <c r="A263" s="12"/>
      <c r="B263" s="34"/>
      <c r="C263" s="12"/>
      <c r="D263" s="12"/>
      <c r="E263" s="12"/>
      <c r="F263" s="12"/>
      <c r="G263" s="18"/>
      <c r="H263" s="35"/>
      <c r="I263" s="12"/>
      <c r="M263" s="12"/>
      <c r="N263" s="18"/>
      <c r="O263" s="12"/>
      <c r="P263" s="12"/>
      <c r="Q263" s="12"/>
      <c r="R263" s="36"/>
      <c r="S263" s="36"/>
      <c r="T263" s="12"/>
      <c r="U263" s="12"/>
      <c r="V263" s="12"/>
      <c r="W263" s="12"/>
      <c r="X263" s="12"/>
    </row>
    <row r="264" customFormat="false" ht="15.75" hidden="false" customHeight="false" outlineLevel="0" collapsed="false">
      <c r="A264" s="12"/>
      <c r="B264" s="34"/>
      <c r="C264" s="12"/>
      <c r="D264" s="12"/>
      <c r="E264" s="12"/>
      <c r="F264" s="12"/>
      <c r="G264" s="18"/>
      <c r="H264" s="35"/>
      <c r="I264" s="12"/>
      <c r="M264" s="12"/>
      <c r="N264" s="18"/>
      <c r="O264" s="12"/>
      <c r="P264" s="12"/>
      <c r="Q264" s="12"/>
      <c r="R264" s="36"/>
      <c r="S264" s="36"/>
      <c r="T264" s="12"/>
      <c r="U264" s="12"/>
      <c r="V264" s="12"/>
      <c r="W264" s="12"/>
      <c r="X264" s="12"/>
    </row>
    <row r="265" customFormat="false" ht="15.75" hidden="false" customHeight="false" outlineLevel="0" collapsed="false">
      <c r="A265" s="12"/>
      <c r="B265" s="34"/>
      <c r="C265" s="12"/>
      <c r="D265" s="12"/>
      <c r="E265" s="12"/>
      <c r="F265" s="12"/>
      <c r="G265" s="18"/>
      <c r="H265" s="35"/>
      <c r="I265" s="12"/>
      <c r="M265" s="12"/>
      <c r="N265" s="18"/>
      <c r="O265" s="12"/>
      <c r="P265" s="12"/>
      <c r="Q265" s="12"/>
      <c r="R265" s="36"/>
      <c r="S265" s="36"/>
      <c r="T265" s="12"/>
      <c r="U265" s="12"/>
      <c r="V265" s="12"/>
      <c r="W265" s="12"/>
      <c r="X265" s="12"/>
    </row>
    <row r="266" customFormat="false" ht="15.75" hidden="false" customHeight="false" outlineLevel="0" collapsed="false">
      <c r="A266" s="12"/>
      <c r="B266" s="34"/>
      <c r="C266" s="12"/>
      <c r="D266" s="12"/>
      <c r="E266" s="12"/>
      <c r="F266" s="12"/>
      <c r="G266" s="18"/>
      <c r="H266" s="35"/>
      <c r="I266" s="12"/>
      <c r="M266" s="12"/>
      <c r="N266" s="18"/>
      <c r="O266" s="12"/>
      <c r="P266" s="12"/>
      <c r="Q266" s="12"/>
      <c r="R266" s="36"/>
      <c r="S266" s="36"/>
      <c r="T266" s="12"/>
      <c r="U266" s="12"/>
      <c r="V266" s="12"/>
      <c r="W266" s="12"/>
      <c r="X266" s="12"/>
    </row>
    <row r="267" customFormat="false" ht="15.75" hidden="false" customHeight="false" outlineLevel="0" collapsed="false">
      <c r="A267" s="12"/>
      <c r="B267" s="34"/>
      <c r="C267" s="12"/>
      <c r="D267" s="12"/>
      <c r="E267" s="12"/>
      <c r="F267" s="12"/>
      <c r="G267" s="18"/>
      <c r="H267" s="35"/>
      <c r="I267" s="12"/>
      <c r="M267" s="12"/>
      <c r="N267" s="18"/>
      <c r="O267" s="12"/>
      <c r="P267" s="12"/>
      <c r="Q267" s="12"/>
      <c r="R267" s="36"/>
      <c r="S267" s="36"/>
      <c r="T267" s="12"/>
      <c r="U267" s="12"/>
      <c r="V267" s="12"/>
      <c r="W267" s="12"/>
      <c r="X267" s="12"/>
    </row>
    <row r="268" customFormat="false" ht="15.75" hidden="false" customHeight="false" outlineLevel="0" collapsed="false">
      <c r="A268" s="12"/>
      <c r="B268" s="34"/>
      <c r="C268" s="12"/>
      <c r="D268" s="12"/>
      <c r="E268" s="12"/>
      <c r="F268" s="12"/>
      <c r="G268" s="18"/>
      <c r="H268" s="35"/>
      <c r="I268" s="12"/>
      <c r="M268" s="12"/>
      <c r="N268" s="18"/>
      <c r="O268" s="12"/>
      <c r="P268" s="12"/>
      <c r="Q268" s="12"/>
      <c r="R268" s="36"/>
      <c r="S268" s="36"/>
      <c r="T268" s="12"/>
      <c r="U268" s="12"/>
      <c r="V268" s="12"/>
      <c r="W268" s="12"/>
      <c r="X268" s="12"/>
    </row>
    <row r="269" customFormat="false" ht="15.75" hidden="false" customHeight="false" outlineLevel="0" collapsed="false">
      <c r="A269" s="12"/>
      <c r="B269" s="34"/>
      <c r="C269" s="12"/>
      <c r="D269" s="12"/>
      <c r="E269" s="12"/>
      <c r="F269" s="12"/>
      <c r="G269" s="18"/>
      <c r="H269" s="35"/>
      <c r="I269" s="12"/>
      <c r="M269" s="12"/>
      <c r="N269" s="18"/>
      <c r="O269" s="12"/>
      <c r="P269" s="12"/>
      <c r="Q269" s="12"/>
      <c r="R269" s="36"/>
      <c r="S269" s="36"/>
      <c r="T269" s="12"/>
      <c r="U269" s="12"/>
      <c r="V269" s="12"/>
      <c r="W269" s="12"/>
      <c r="X269" s="12"/>
    </row>
    <row r="270" customFormat="false" ht="15.75" hidden="false" customHeight="false" outlineLevel="0" collapsed="false">
      <c r="A270" s="12"/>
      <c r="B270" s="34"/>
      <c r="C270" s="12"/>
      <c r="D270" s="12"/>
      <c r="E270" s="12"/>
      <c r="F270" s="12"/>
      <c r="G270" s="18"/>
      <c r="H270" s="35"/>
      <c r="I270" s="12"/>
      <c r="M270" s="12"/>
      <c r="N270" s="18"/>
      <c r="O270" s="12"/>
      <c r="P270" s="12"/>
      <c r="Q270" s="12"/>
      <c r="R270" s="36"/>
      <c r="S270" s="36"/>
      <c r="T270" s="12"/>
      <c r="U270" s="12"/>
      <c r="V270" s="12"/>
      <c r="W270" s="12"/>
      <c r="X270" s="12"/>
    </row>
    <row r="271" customFormat="false" ht="15.75" hidden="false" customHeight="false" outlineLevel="0" collapsed="false">
      <c r="A271" s="12"/>
      <c r="B271" s="34"/>
      <c r="C271" s="12"/>
      <c r="D271" s="12"/>
      <c r="E271" s="12"/>
      <c r="F271" s="12"/>
      <c r="G271" s="18"/>
      <c r="H271" s="35"/>
      <c r="I271" s="12"/>
      <c r="M271" s="12"/>
      <c r="N271" s="18"/>
      <c r="O271" s="12"/>
      <c r="P271" s="12"/>
      <c r="Q271" s="12"/>
      <c r="R271" s="36"/>
      <c r="S271" s="36"/>
      <c r="T271" s="12"/>
      <c r="U271" s="12"/>
      <c r="V271" s="12"/>
      <c r="W271" s="12"/>
      <c r="X271" s="12"/>
    </row>
    <row r="272" customFormat="false" ht="15.75" hidden="false" customHeight="false" outlineLevel="0" collapsed="false">
      <c r="A272" s="12"/>
      <c r="B272" s="34"/>
      <c r="C272" s="12"/>
      <c r="D272" s="12"/>
      <c r="E272" s="12"/>
      <c r="F272" s="12"/>
      <c r="G272" s="18"/>
      <c r="H272" s="35"/>
      <c r="I272" s="12"/>
      <c r="M272" s="12"/>
      <c r="N272" s="18"/>
      <c r="O272" s="12"/>
      <c r="P272" s="12"/>
      <c r="Q272" s="12"/>
      <c r="R272" s="36"/>
      <c r="S272" s="36"/>
      <c r="T272" s="12"/>
      <c r="U272" s="12"/>
      <c r="V272" s="12"/>
      <c r="W272" s="12"/>
      <c r="X272" s="12"/>
    </row>
    <row r="273" customFormat="false" ht="15.75" hidden="false" customHeight="false" outlineLevel="0" collapsed="false">
      <c r="A273" s="12"/>
      <c r="B273" s="34"/>
      <c r="C273" s="12"/>
      <c r="D273" s="12"/>
      <c r="E273" s="12"/>
      <c r="F273" s="12"/>
      <c r="G273" s="18"/>
      <c r="H273" s="35"/>
      <c r="I273" s="12"/>
      <c r="M273" s="12"/>
      <c r="N273" s="18"/>
      <c r="O273" s="12"/>
      <c r="P273" s="12"/>
      <c r="Q273" s="12"/>
      <c r="R273" s="36"/>
      <c r="S273" s="36"/>
      <c r="T273" s="12"/>
      <c r="U273" s="12"/>
      <c r="V273" s="12"/>
      <c r="W273" s="12"/>
      <c r="X273" s="12"/>
    </row>
    <row r="274" customFormat="false" ht="15.75" hidden="false" customHeight="false" outlineLevel="0" collapsed="false">
      <c r="A274" s="12"/>
      <c r="B274" s="34"/>
      <c r="C274" s="12"/>
      <c r="D274" s="12"/>
      <c r="E274" s="12"/>
      <c r="F274" s="12"/>
      <c r="G274" s="18"/>
      <c r="H274" s="35"/>
      <c r="I274" s="12"/>
      <c r="M274" s="12"/>
      <c r="N274" s="18"/>
      <c r="O274" s="12"/>
      <c r="P274" s="12"/>
      <c r="Q274" s="12"/>
      <c r="R274" s="36"/>
      <c r="S274" s="36"/>
      <c r="T274" s="12"/>
      <c r="U274" s="12"/>
      <c r="V274" s="12"/>
      <c r="W274" s="12"/>
      <c r="X274" s="12"/>
    </row>
    <row r="275" customFormat="false" ht="15.75" hidden="false" customHeight="false" outlineLevel="0" collapsed="false">
      <c r="A275" s="12"/>
      <c r="B275" s="34"/>
      <c r="C275" s="12"/>
      <c r="D275" s="12"/>
      <c r="E275" s="12"/>
      <c r="F275" s="12"/>
      <c r="G275" s="18"/>
      <c r="H275" s="35"/>
      <c r="I275" s="12"/>
      <c r="M275" s="12"/>
      <c r="N275" s="18"/>
      <c r="O275" s="12"/>
      <c r="P275" s="12"/>
      <c r="Q275" s="12"/>
      <c r="R275" s="36"/>
      <c r="S275" s="36"/>
      <c r="T275" s="12"/>
      <c r="U275" s="12"/>
      <c r="V275" s="12"/>
      <c r="W275" s="12"/>
      <c r="X275" s="12"/>
    </row>
    <row r="276" customFormat="false" ht="15.75" hidden="false" customHeight="false" outlineLevel="0" collapsed="false">
      <c r="A276" s="12"/>
      <c r="B276" s="34"/>
      <c r="C276" s="12"/>
      <c r="D276" s="12"/>
      <c r="E276" s="12"/>
      <c r="F276" s="12"/>
      <c r="G276" s="18"/>
      <c r="H276" s="35"/>
      <c r="I276" s="12"/>
      <c r="M276" s="12"/>
      <c r="N276" s="18"/>
      <c r="O276" s="12"/>
      <c r="P276" s="12"/>
      <c r="Q276" s="12"/>
      <c r="R276" s="36"/>
      <c r="S276" s="36"/>
      <c r="T276" s="12"/>
      <c r="U276" s="12"/>
      <c r="V276" s="12"/>
      <c r="W276" s="12"/>
      <c r="X276" s="12"/>
    </row>
    <row r="277" customFormat="false" ht="15.75" hidden="false" customHeight="false" outlineLevel="0" collapsed="false">
      <c r="A277" s="12"/>
      <c r="B277" s="34"/>
      <c r="C277" s="12"/>
      <c r="D277" s="12"/>
      <c r="E277" s="12"/>
      <c r="F277" s="12"/>
      <c r="G277" s="18"/>
      <c r="H277" s="35"/>
      <c r="I277" s="12"/>
      <c r="M277" s="12"/>
      <c r="N277" s="18"/>
      <c r="O277" s="12"/>
      <c r="P277" s="12"/>
      <c r="Q277" s="12"/>
      <c r="R277" s="36"/>
      <c r="S277" s="36"/>
      <c r="T277" s="12"/>
      <c r="U277" s="12"/>
      <c r="V277" s="12"/>
      <c r="W277" s="12"/>
      <c r="X277" s="12"/>
    </row>
    <row r="278" customFormat="false" ht="15.75" hidden="false" customHeight="false" outlineLevel="0" collapsed="false">
      <c r="A278" s="12"/>
      <c r="B278" s="34"/>
      <c r="C278" s="12"/>
      <c r="D278" s="12"/>
      <c r="E278" s="12"/>
      <c r="F278" s="12"/>
      <c r="G278" s="18"/>
      <c r="H278" s="35"/>
      <c r="I278" s="12"/>
      <c r="M278" s="12"/>
      <c r="N278" s="18"/>
      <c r="O278" s="12"/>
      <c r="P278" s="12"/>
      <c r="Q278" s="12"/>
      <c r="R278" s="36"/>
      <c r="S278" s="36"/>
      <c r="T278" s="12"/>
      <c r="U278" s="12"/>
      <c r="V278" s="12"/>
      <c r="W278" s="12"/>
      <c r="X278" s="12"/>
    </row>
    <row r="279" customFormat="false" ht="15.75" hidden="false" customHeight="false" outlineLevel="0" collapsed="false">
      <c r="A279" s="12"/>
      <c r="B279" s="34"/>
      <c r="C279" s="12"/>
      <c r="D279" s="12"/>
      <c r="E279" s="12"/>
      <c r="F279" s="12"/>
      <c r="G279" s="18"/>
      <c r="H279" s="35"/>
      <c r="I279" s="12"/>
      <c r="M279" s="12"/>
      <c r="N279" s="18"/>
      <c r="O279" s="12"/>
      <c r="P279" s="12"/>
      <c r="Q279" s="12"/>
      <c r="R279" s="36"/>
      <c r="S279" s="36"/>
      <c r="T279" s="12"/>
      <c r="U279" s="12"/>
      <c r="V279" s="12"/>
      <c r="W279" s="12"/>
      <c r="X279" s="12"/>
    </row>
    <row r="280" customFormat="false" ht="15.75" hidden="false" customHeight="false" outlineLevel="0" collapsed="false">
      <c r="A280" s="12"/>
      <c r="B280" s="34"/>
      <c r="C280" s="12"/>
      <c r="D280" s="12"/>
      <c r="E280" s="12"/>
      <c r="F280" s="12"/>
      <c r="G280" s="18"/>
      <c r="H280" s="35"/>
      <c r="I280" s="12"/>
      <c r="M280" s="12"/>
      <c r="N280" s="18"/>
      <c r="O280" s="12"/>
      <c r="P280" s="12"/>
      <c r="Q280" s="12"/>
      <c r="R280" s="36"/>
      <c r="S280" s="36"/>
      <c r="T280" s="12"/>
      <c r="U280" s="12"/>
      <c r="V280" s="12"/>
      <c r="W280" s="12"/>
      <c r="X280" s="12"/>
    </row>
    <row r="281" customFormat="false" ht="15.75" hidden="false" customHeight="false" outlineLevel="0" collapsed="false">
      <c r="A281" s="12"/>
      <c r="B281" s="34"/>
      <c r="C281" s="12"/>
      <c r="D281" s="12"/>
      <c r="E281" s="12"/>
      <c r="F281" s="12"/>
      <c r="G281" s="18"/>
      <c r="H281" s="35"/>
      <c r="I281" s="12"/>
      <c r="M281" s="12"/>
      <c r="N281" s="18"/>
      <c r="O281" s="12"/>
      <c r="P281" s="12"/>
      <c r="Q281" s="12"/>
      <c r="R281" s="36"/>
      <c r="S281" s="36"/>
      <c r="T281" s="12"/>
      <c r="U281" s="12"/>
      <c r="V281" s="12"/>
      <c r="W281" s="12"/>
      <c r="X281" s="12"/>
    </row>
    <row r="282" customFormat="false" ht="15.75" hidden="false" customHeight="false" outlineLevel="0" collapsed="false">
      <c r="A282" s="12"/>
      <c r="B282" s="34"/>
      <c r="C282" s="12"/>
      <c r="D282" s="12"/>
      <c r="E282" s="12"/>
      <c r="F282" s="12"/>
      <c r="G282" s="18"/>
      <c r="H282" s="35"/>
      <c r="I282" s="12"/>
      <c r="M282" s="12"/>
      <c r="N282" s="18"/>
      <c r="O282" s="12"/>
      <c r="P282" s="12"/>
      <c r="Q282" s="12"/>
      <c r="R282" s="36"/>
      <c r="S282" s="36"/>
      <c r="T282" s="12"/>
      <c r="U282" s="12"/>
      <c r="V282" s="12"/>
      <c r="W282" s="12"/>
      <c r="X282" s="12"/>
    </row>
    <row r="283" customFormat="false" ht="15.75" hidden="false" customHeight="false" outlineLevel="0" collapsed="false">
      <c r="A283" s="12"/>
      <c r="B283" s="34"/>
      <c r="C283" s="12"/>
      <c r="D283" s="12"/>
      <c r="E283" s="12"/>
      <c r="F283" s="12"/>
      <c r="G283" s="18"/>
      <c r="H283" s="35"/>
      <c r="I283" s="12"/>
      <c r="M283" s="12"/>
      <c r="N283" s="18"/>
      <c r="O283" s="12"/>
      <c r="P283" s="12"/>
      <c r="Q283" s="12"/>
      <c r="R283" s="36"/>
      <c r="S283" s="36"/>
      <c r="T283" s="12"/>
      <c r="U283" s="12"/>
      <c r="V283" s="12"/>
      <c r="W283" s="12"/>
      <c r="X283" s="12"/>
    </row>
    <row r="284" customFormat="false" ht="15.75" hidden="false" customHeight="false" outlineLevel="0" collapsed="false">
      <c r="A284" s="12"/>
      <c r="B284" s="34"/>
      <c r="C284" s="12"/>
      <c r="D284" s="12"/>
      <c r="E284" s="12"/>
      <c r="F284" s="12"/>
      <c r="G284" s="18"/>
      <c r="H284" s="35"/>
      <c r="I284" s="12"/>
      <c r="M284" s="12"/>
      <c r="N284" s="18"/>
      <c r="O284" s="12"/>
      <c r="P284" s="12"/>
      <c r="Q284" s="12"/>
      <c r="R284" s="36"/>
      <c r="S284" s="36"/>
      <c r="T284" s="12"/>
      <c r="U284" s="12"/>
      <c r="V284" s="12"/>
      <c r="W284" s="12"/>
      <c r="X284" s="12"/>
    </row>
    <row r="285" customFormat="false" ht="15.75" hidden="false" customHeight="false" outlineLevel="0" collapsed="false">
      <c r="A285" s="12"/>
      <c r="B285" s="34"/>
      <c r="C285" s="12"/>
      <c r="D285" s="12"/>
      <c r="E285" s="12"/>
      <c r="F285" s="12"/>
      <c r="G285" s="18"/>
      <c r="H285" s="35"/>
      <c r="I285" s="12"/>
      <c r="M285" s="12"/>
      <c r="N285" s="18"/>
      <c r="O285" s="12"/>
      <c r="P285" s="12"/>
      <c r="Q285" s="12"/>
      <c r="R285" s="36"/>
      <c r="S285" s="36"/>
      <c r="T285" s="12"/>
      <c r="U285" s="12"/>
      <c r="V285" s="12"/>
      <c r="W285" s="12"/>
      <c r="X285" s="12"/>
    </row>
    <row r="286" customFormat="false" ht="15.75" hidden="false" customHeight="false" outlineLevel="0" collapsed="false">
      <c r="A286" s="12"/>
      <c r="B286" s="34"/>
      <c r="C286" s="12"/>
      <c r="D286" s="12"/>
      <c r="E286" s="12"/>
      <c r="F286" s="12"/>
      <c r="G286" s="18"/>
      <c r="H286" s="35"/>
      <c r="I286" s="12"/>
      <c r="M286" s="12"/>
      <c r="N286" s="18"/>
      <c r="O286" s="12"/>
      <c r="P286" s="12"/>
      <c r="Q286" s="12"/>
      <c r="R286" s="36"/>
      <c r="S286" s="36"/>
      <c r="T286" s="12"/>
      <c r="U286" s="12"/>
      <c r="V286" s="12"/>
      <c r="W286" s="12"/>
      <c r="X286" s="12"/>
    </row>
    <row r="287" customFormat="false" ht="15.75" hidden="false" customHeight="false" outlineLevel="0" collapsed="false">
      <c r="A287" s="12"/>
      <c r="B287" s="34"/>
      <c r="C287" s="12"/>
      <c r="D287" s="12"/>
      <c r="E287" s="12"/>
      <c r="F287" s="12"/>
      <c r="G287" s="18"/>
      <c r="H287" s="35"/>
      <c r="I287" s="12"/>
      <c r="M287" s="12"/>
      <c r="N287" s="18"/>
      <c r="O287" s="12"/>
      <c r="P287" s="12"/>
      <c r="Q287" s="12"/>
      <c r="R287" s="36"/>
      <c r="S287" s="36"/>
      <c r="T287" s="12"/>
      <c r="U287" s="12"/>
      <c r="V287" s="12"/>
      <c r="W287" s="12"/>
      <c r="X287" s="12"/>
    </row>
    <row r="288" customFormat="false" ht="15.75" hidden="false" customHeight="false" outlineLevel="0" collapsed="false">
      <c r="A288" s="12"/>
      <c r="B288" s="34"/>
      <c r="C288" s="12"/>
      <c r="D288" s="12"/>
      <c r="E288" s="12"/>
      <c r="F288" s="12"/>
      <c r="G288" s="18"/>
      <c r="H288" s="35"/>
      <c r="I288" s="12"/>
      <c r="M288" s="12"/>
      <c r="N288" s="18"/>
      <c r="O288" s="12"/>
      <c r="P288" s="12"/>
      <c r="Q288" s="12"/>
      <c r="R288" s="36"/>
      <c r="S288" s="36"/>
      <c r="T288" s="12"/>
      <c r="U288" s="12"/>
      <c r="V288" s="12"/>
      <c r="W288" s="12"/>
      <c r="X288" s="12"/>
    </row>
    <row r="289" customFormat="false" ht="15.75" hidden="false" customHeight="false" outlineLevel="0" collapsed="false">
      <c r="A289" s="12"/>
      <c r="B289" s="34"/>
      <c r="C289" s="12"/>
      <c r="D289" s="12"/>
      <c r="E289" s="12"/>
      <c r="F289" s="12"/>
      <c r="G289" s="18"/>
      <c r="H289" s="35"/>
      <c r="I289" s="12"/>
      <c r="M289" s="12"/>
      <c r="N289" s="18"/>
      <c r="O289" s="12"/>
      <c r="P289" s="12"/>
      <c r="Q289" s="12"/>
      <c r="R289" s="36"/>
      <c r="S289" s="36"/>
      <c r="T289" s="12"/>
      <c r="U289" s="12"/>
      <c r="V289" s="12"/>
      <c r="W289" s="12"/>
      <c r="X289" s="12"/>
    </row>
    <row r="290" customFormat="false" ht="15.75" hidden="false" customHeight="false" outlineLevel="0" collapsed="false">
      <c r="A290" s="12"/>
      <c r="B290" s="34"/>
      <c r="C290" s="12"/>
      <c r="D290" s="12"/>
      <c r="E290" s="12"/>
      <c r="F290" s="12"/>
      <c r="G290" s="18"/>
      <c r="H290" s="35"/>
      <c r="I290" s="12"/>
      <c r="M290" s="12"/>
      <c r="N290" s="18"/>
      <c r="O290" s="12"/>
      <c r="P290" s="12"/>
      <c r="Q290" s="12"/>
      <c r="R290" s="36"/>
      <c r="S290" s="36"/>
      <c r="T290" s="12"/>
      <c r="U290" s="12"/>
      <c r="V290" s="12"/>
      <c r="W290" s="12"/>
      <c r="X290" s="12"/>
    </row>
    <row r="291" customFormat="false" ht="15.75" hidden="false" customHeight="false" outlineLevel="0" collapsed="false">
      <c r="A291" s="12"/>
      <c r="B291" s="34"/>
      <c r="C291" s="12"/>
      <c r="D291" s="12"/>
      <c r="E291" s="12"/>
      <c r="F291" s="12"/>
      <c r="G291" s="18"/>
      <c r="H291" s="35"/>
      <c r="I291" s="12"/>
      <c r="M291" s="12"/>
      <c r="N291" s="18"/>
      <c r="O291" s="12"/>
      <c r="P291" s="12"/>
      <c r="Q291" s="12"/>
      <c r="R291" s="36"/>
      <c r="S291" s="36"/>
      <c r="T291" s="12"/>
      <c r="U291" s="12"/>
      <c r="V291" s="12"/>
      <c r="W291" s="12"/>
      <c r="X291" s="12"/>
    </row>
    <row r="292" customFormat="false" ht="15.75" hidden="false" customHeight="false" outlineLevel="0" collapsed="false">
      <c r="A292" s="12"/>
      <c r="B292" s="34"/>
      <c r="C292" s="12"/>
      <c r="D292" s="12"/>
      <c r="E292" s="12"/>
      <c r="F292" s="12"/>
      <c r="G292" s="18"/>
      <c r="H292" s="35"/>
      <c r="I292" s="12"/>
      <c r="M292" s="12"/>
      <c r="N292" s="18"/>
      <c r="O292" s="12"/>
      <c r="P292" s="12"/>
      <c r="Q292" s="12"/>
      <c r="R292" s="36"/>
      <c r="S292" s="36"/>
      <c r="T292" s="12"/>
      <c r="U292" s="12"/>
      <c r="V292" s="12"/>
      <c r="W292" s="12"/>
      <c r="X292" s="12"/>
    </row>
    <row r="293" customFormat="false" ht="15.75" hidden="false" customHeight="false" outlineLevel="0" collapsed="false">
      <c r="A293" s="12"/>
      <c r="B293" s="34"/>
      <c r="C293" s="12"/>
      <c r="D293" s="12"/>
      <c r="E293" s="12"/>
      <c r="F293" s="12"/>
      <c r="G293" s="18"/>
      <c r="H293" s="35"/>
      <c r="I293" s="12"/>
      <c r="M293" s="12"/>
      <c r="N293" s="18"/>
      <c r="O293" s="12"/>
      <c r="P293" s="12"/>
      <c r="Q293" s="12"/>
      <c r="R293" s="36"/>
      <c r="S293" s="36"/>
      <c r="T293" s="12"/>
      <c r="U293" s="12"/>
      <c r="V293" s="12"/>
      <c r="W293" s="12"/>
      <c r="X293" s="12"/>
    </row>
    <row r="294" customFormat="false" ht="15.75" hidden="false" customHeight="false" outlineLevel="0" collapsed="false">
      <c r="A294" s="12"/>
      <c r="B294" s="34"/>
      <c r="C294" s="12"/>
      <c r="D294" s="12"/>
      <c r="E294" s="12"/>
      <c r="F294" s="12"/>
      <c r="G294" s="18"/>
      <c r="H294" s="35"/>
      <c r="I294" s="12"/>
      <c r="M294" s="12"/>
      <c r="N294" s="18"/>
      <c r="O294" s="12"/>
      <c r="P294" s="12"/>
      <c r="Q294" s="12"/>
      <c r="R294" s="36"/>
      <c r="S294" s="36"/>
      <c r="T294" s="12"/>
      <c r="U294" s="12"/>
      <c r="V294" s="12"/>
      <c r="W294" s="12"/>
      <c r="X294" s="12"/>
    </row>
    <row r="295" customFormat="false" ht="15.75" hidden="false" customHeight="false" outlineLevel="0" collapsed="false">
      <c r="A295" s="12"/>
      <c r="B295" s="34"/>
      <c r="C295" s="12"/>
      <c r="D295" s="12"/>
      <c r="E295" s="12"/>
      <c r="F295" s="12"/>
      <c r="G295" s="18"/>
      <c r="H295" s="35"/>
      <c r="I295" s="12"/>
      <c r="M295" s="12"/>
      <c r="N295" s="18"/>
      <c r="O295" s="12"/>
      <c r="P295" s="12"/>
      <c r="Q295" s="12"/>
      <c r="R295" s="36"/>
      <c r="S295" s="36"/>
      <c r="T295" s="12"/>
      <c r="U295" s="12"/>
      <c r="V295" s="12"/>
      <c r="W295" s="12"/>
      <c r="X295" s="12"/>
    </row>
    <row r="296" customFormat="false" ht="15.75" hidden="false" customHeight="false" outlineLevel="0" collapsed="false">
      <c r="A296" s="12"/>
      <c r="B296" s="34"/>
      <c r="C296" s="12"/>
      <c r="D296" s="12"/>
      <c r="E296" s="12"/>
      <c r="F296" s="12"/>
      <c r="G296" s="18"/>
      <c r="H296" s="35"/>
      <c r="I296" s="12"/>
      <c r="M296" s="12"/>
      <c r="N296" s="18"/>
      <c r="O296" s="12"/>
      <c r="P296" s="12"/>
      <c r="Q296" s="12"/>
      <c r="R296" s="36"/>
      <c r="S296" s="36"/>
      <c r="T296" s="12"/>
      <c r="U296" s="12"/>
      <c r="V296" s="12"/>
      <c r="W296" s="12"/>
      <c r="X296" s="12"/>
    </row>
    <row r="297" customFormat="false" ht="15.75" hidden="false" customHeight="false" outlineLevel="0" collapsed="false">
      <c r="A297" s="12"/>
      <c r="B297" s="34"/>
      <c r="C297" s="12"/>
      <c r="D297" s="12"/>
      <c r="E297" s="12"/>
      <c r="F297" s="12"/>
      <c r="G297" s="18"/>
      <c r="H297" s="35"/>
      <c r="I297" s="12"/>
      <c r="M297" s="12"/>
      <c r="N297" s="18"/>
      <c r="O297" s="12"/>
      <c r="P297" s="12"/>
      <c r="Q297" s="12"/>
      <c r="R297" s="36"/>
      <c r="S297" s="36"/>
      <c r="T297" s="12"/>
      <c r="U297" s="12"/>
      <c r="V297" s="12"/>
      <c r="W297" s="12"/>
      <c r="X297" s="12"/>
    </row>
    <row r="298" customFormat="false" ht="15.75" hidden="false" customHeight="false" outlineLevel="0" collapsed="false">
      <c r="A298" s="12"/>
      <c r="B298" s="34"/>
      <c r="C298" s="12"/>
      <c r="D298" s="12"/>
      <c r="E298" s="12"/>
      <c r="F298" s="12"/>
      <c r="G298" s="18"/>
      <c r="H298" s="35"/>
      <c r="I298" s="12"/>
      <c r="M298" s="12"/>
      <c r="N298" s="18"/>
      <c r="O298" s="12"/>
      <c r="P298" s="12"/>
      <c r="Q298" s="12"/>
      <c r="R298" s="36"/>
      <c r="S298" s="36"/>
      <c r="T298" s="12"/>
      <c r="U298" s="12"/>
      <c r="V298" s="12"/>
      <c r="W298" s="12"/>
      <c r="X298" s="12"/>
    </row>
    <row r="299" customFormat="false" ht="15.75" hidden="false" customHeight="false" outlineLevel="0" collapsed="false">
      <c r="A299" s="12"/>
      <c r="B299" s="34"/>
      <c r="C299" s="12"/>
      <c r="D299" s="12"/>
      <c r="E299" s="12"/>
      <c r="F299" s="12"/>
      <c r="G299" s="18"/>
      <c r="H299" s="35"/>
      <c r="I299" s="12"/>
      <c r="M299" s="12"/>
      <c r="N299" s="18"/>
      <c r="O299" s="12"/>
      <c r="P299" s="12"/>
      <c r="Q299" s="12"/>
      <c r="R299" s="36"/>
      <c r="S299" s="36"/>
      <c r="T299" s="12"/>
      <c r="U299" s="12"/>
      <c r="V299" s="12"/>
      <c r="W299" s="12"/>
      <c r="X299" s="12"/>
    </row>
    <row r="300" customFormat="false" ht="15.75" hidden="false" customHeight="false" outlineLevel="0" collapsed="false">
      <c r="A300" s="12"/>
      <c r="B300" s="34"/>
      <c r="C300" s="12"/>
      <c r="D300" s="12"/>
      <c r="E300" s="12"/>
      <c r="F300" s="12"/>
      <c r="G300" s="18"/>
      <c r="H300" s="35"/>
      <c r="I300" s="12"/>
      <c r="M300" s="12"/>
      <c r="N300" s="18"/>
      <c r="O300" s="12"/>
      <c r="P300" s="12"/>
      <c r="Q300" s="12"/>
      <c r="R300" s="36"/>
      <c r="S300" s="36"/>
      <c r="T300" s="12"/>
      <c r="U300" s="12"/>
      <c r="V300" s="12"/>
      <c r="W300" s="12"/>
      <c r="X300" s="12"/>
    </row>
    <row r="301" customFormat="false" ht="15.75" hidden="false" customHeight="false" outlineLevel="0" collapsed="false">
      <c r="A301" s="12"/>
      <c r="B301" s="34"/>
      <c r="C301" s="12"/>
      <c r="D301" s="12"/>
      <c r="E301" s="12"/>
      <c r="F301" s="12"/>
      <c r="G301" s="18"/>
      <c r="H301" s="35"/>
      <c r="I301" s="12"/>
      <c r="M301" s="12"/>
      <c r="N301" s="18"/>
      <c r="O301" s="12"/>
      <c r="P301" s="12"/>
      <c r="Q301" s="12"/>
      <c r="R301" s="36"/>
      <c r="S301" s="36"/>
      <c r="T301" s="12"/>
      <c r="U301" s="12"/>
      <c r="V301" s="12"/>
      <c r="W301" s="12"/>
      <c r="X301" s="12"/>
    </row>
    <row r="302" customFormat="false" ht="15.75" hidden="false" customHeight="false" outlineLevel="0" collapsed="false">
      <c r="A302" s="12"/>
      <c r="B302" s="34"/>
      <c r="C302" s="12"/>
      <c r="D302" s="12"/>
      <c r="E302" s="12"/>
      <c r="F302" s="12"/>
      <c r="G302" s="18"/>
      <c r="H302" s="35"/>
      <c r="I302" s="12"/>
      <c r="M302" s="12"/>
      <c r="N302" s="18"/>
      <c r="O302" s="12"/>
      <c r="P302" s="12"/>
      <c r="Q302" s="12"/>
      <c r="R302" s="36"/>
      <c r="S302" s="36"/>
      <c r="T302" s="12"/>
      <c r="U302" s="12"/>
      <c r="V302" s="12"/>
      <c r="W302" s="12"/>
      <c r="X302" s="12"/>
    </row>
    <row r="303" customFormat="false" ht="15.75" hidden="false" customHeight="false" outlineLevel="0" collapsed="false">
      <c r="A303" s="12"/>
      <c r="B303" s="34"/>
      <c r="C303" s="12"/>
      <c r="D303" s="12"/>
      <c r="E303" s="12"/>
      <c r="F303" s="12"/>
      <c r="G303" s="18"/>
      <c r="H303" s="35"/>
      <c r="I303" s="12"/>
      <c r="M303" s="12"/>
      <c r="N303" s="18"/>
      <c r="O303" s="12"/>
      <c r="P303" s="12"/>
      <c r="Q303" s="12"/>
      <c r="R303" s="36"/>
      <c r="S303" s="36"/>
      <c r="T303" s="12"/>
      <c r="U303" s="12"/>
      <c r="V303" s="12"/>
      <c r="W303" s="12"/>
      <c r="X303" s="12"/>
    </row>
    <row r="304" customFormat="false" ht="15.75" hidden="false" customHeight="false" outlineLevel="0" collapsed="false">
      <c r="A304" s="12"/>
      <c r="B304" s="34"/>
      <c r="C304" s="12"/>
      <c r="D304" s="12"/>
      <c r="E304" s="12"/>
      <c r="F304" s="12"/>
      <c r="G304" s="18"/>
      <c r="H304" s="35"/>
      <c r="I304" s="12"/>
      <c r="M304" s="12"/>
      <c r="N304" s="18"/>
      <c r="O304" s="12"/>
      <c r="P304" s="12"/>
      <c r="Q304" s="12"/>
      <c r="R304" s="36"/>
      <c r="S304" s="36"/>
      <c r="T304" s="12"/>
      <c r="U304" s="12"/>
      <c r="V304" s="12"/>
      <c r="W304" s="12"/>
      <c r="X304" s="12"/>
    </row>
    <row r="305" customFormat="false" ht="15.75" hidden="false" customHeight="false" outlineLevel="0" collapsed="false">
      <c r="A305" s="12"/>
      <c r="B305" s="34"/>
      <c r="C305" s="12"/>
      <c r="D305" s="12"/>
      <c r="E305" s="12"/>
      <c r="F305" s="12"/>
      <c r="G305" s="18"/>
      <c r="H305" s="35"/>
      <c r="I305" s="12"/>
      <c r="M305" s="12"/>
      <c r="N305" s="18"/>
      <c r="O305" s="12"/>
      <c r="P305" s="12"/>
      <c r="Q305" s="12"/>
      <c r="R305" s="36"/>
      <c r="S305" s="36"/>
      <c r="T305" s="12"/>
      <c r="U305" s="12"/>
      <c r="V305" s="12"/>
      <c r="W305" s="12"/>
      <c r="X305" s="12"/>
    </row>
    <row r="306" customFormat="false" ht="15.75" hidden="false" customHeight="false" outlineLevel="0" collapsed="false">
      <c r="A306" s="12"/>
      <c r="B306" s="34"/>
      <c r="C306" s="12"/>
      <c r="D306" s="12"/>
      <c r="E306" s="12"/>
      <c r="F306" s="12"/>
      <c r="G306" s="18"/>
      <c r="H306" s="35"/>
      <c r="I306" s="12"/>
      <c r="M306" s="12"/>
      <c r="N306" s="18"/>
      <c r="O306" s="12"/>
      <c r="P306" s="12"/>
      <c r="Q306" s="12"/>
      <c r="R306" s="36"/>
      <c r="S306" s="36"/>
      <c r="T306" s="12"/>
      <c r="U306" s="12"/>
      <c r="V306" s="12"/>
      <c r="W306" s="12"/>
      <c r="X306" s="12"/>
    </row>
    <row r="307" customFormat="false" ht="15.75" hidden="false" customHeight="false" outlineLevel="0" collapsed="false">
      <c r="A307" s="12"/>
      <c r="B307" s="34"/>
      <c r="C307" s="12"/>
      <c r="D307" s="12"/>
      <c r="E307" s="12"/>
      <c r="F307" s="12"/>
      <c r="G307" s="18"/>
      <c r="H307" s="35"/>
      <c r="I307" s="12"/>
      <c r="M307" s="12"/>
      <c r="N307" s="18"/>
      <c r="O307" s="12"/>
      <c r="P307" s="12"/>
      <c r="Q307" s="12"/>
      <c r="R307" s="36"/>
      <c r="S307" s="36"/>
      <c r="T307" s="12"/>
      <c r="U307" s="12"/>
      <c r="V307" s="12"/>
      <c r="W307" s="12"/>
      <c r="X307" s="12"/>
    </row>
    <row r="308" customFormat="false" ht="15.75" hidden="false" customHeight="false" outlineLevel="0" collapsed="false">
      <c r="A308" s="12"/>
      <c r="B308" s="34"/>
      <c r="C308" s="12"/>
      <c r="D308" s="12"/>
      <c r="E308" s="12"/>
      <c r="F308" s="12"/>
      <c r="G308" s="18"/>
      <c r="H308" s="35"/>
      <c r="I308" s="12"/>
      <c r="M308" s="12"/>
      <c r="N308" s="18"/>
      <c r="O308" s="12"/>
      <c r="P308" s="12"/>
      <c r="Q308" s="12"/>
      <c r="R308" s="36"/>
      <c r="S308" s="36"/>
      <c r="T308" s="12"/>
      <c r="U308" s="12"/>
      <c r="V308" s="12"/>
      <c r="W308" s="12"/>
      <c r="X308" s="12"/>
    </row>
    <row r="309" customFormat="false" ht="15.75" hidden="false" customHeight="false" outlineLevel="0" collapsed="false">
      <c r="A309" s="12"/>
      <c r="B309" s="34"/>
      <c r="C309" s="12"/>
      <c r="D309" s="12"/>
      <c r="E309" s="12"/>
      <c r="F309" s="12"/>
      <c r="G309" s="18"/>
      <c r="H309" s="35"/>
      <c r="I309" s="12"/>
      <c r="M309" s="12"/>
      <c r="N309" s="18"/>
      <c r="O309" s="12"/>
      <c r="P309" s="12"/>
      <c r="Q309" s="12"/>
      <c r="R309" s="36"/>
      <c r="S309" s="36"/>
      <c r="T309" s="12"/>
      <c r="U309" s="12"/>
      <c r="V309" s="12"/>
      <c r="W309" s="12"/>
      <c r="X309" s="12"/>
    </row>
    <row r="310" customFormat="false" ht="15.75" hidden="false" customHeight="false" outlineLevel="0" collapsed="false">
      <c r="A310" s="12"/>
      <c r="B310" s="34"/>
      <c r="C310" s="12"/>
      <c r="D310" s="12"/>
      <c r="E310" s="12"/>
      <c r="F310" s="12"/>
      <c r="G310" s="18"/>
      <c r="H310" s="35"/>
      <c r="I310" s="12"/>
      <c r="M310" s="12"/>
      <c r="N310" s="18"/>
      <c r="O310" s="12"/>
      <c r="P310" s="12"/>
      <c r="Q310" s="12"/>
      <c r="R310" s="36"/>
      <c r="S310" s="36"/>
      <c r="T310" s="12"/>
      <c r="U310" s="12"/>
      <c r="V310" s="12"/>
      <c r="W310" s="12"/>
      <c r="X310" s="12"/>
    </row>
    <row r="311" customFormat="false" ht="15.75" hidden="false" customHeight="false" outlineLevel="0" collapsed="false">
      <c r="A311" s="12"/>
      <c r="B311" s="34"/>
      <c r="C311" s="12"/>
      <c r="D311" s="12"/>
      <c r="E311" s="12"/>
      <c r="F311" s="12"/>
      <c r="G311" s="18"/>
      <c r="H311" s="35"/>
      <c r="I311" s="12"/>
      <c r="M311" s="12"/>
      <c r="N311" s="18"/>
      <c r="O311" s="12"/>
      <c r="P311" s="12"/>
      <c r="Q311" s="12"/>
      <c r="R311" s="36"/>
      <c r="S311" s="36"/>
      <c r="T311" s="12"/>
      <c r="U311" s="12"/>
      <c r="V311" s="12"/>
      <c r="W311" s="12"/>
      <c r="X311" s="12"/>
    </row>
    <row r="312" customFormat="false" ht="15.75" hidden="false" customHeight="false" outlineLevel="0" collapsed="false">
      <c r="A312" s="12"/>
      <c r="B312" s="34"/>
      <c r="C312" s="12"/>
      <c r="D312" s="12"/>
      <c r="E312" s="12"/>
      <c r="F312" s="12"/>
      <c r="G312" s="18"/>
      <c r="H312" s="35"/>
      <c r="I312" s="12"/>
      <c r="M312" s="12"/>
      <c r="N312" s="18"/>
      <c r="O312" s="12"/>
      <c r="P312" s="12"/>
      <c r="Q312" s="12"/>
      <c r="R312" s="36"/>
      <c r="S312" s="36"/>
      <c r="T312" s="12"/>
      <c r="U312" s="12"/>
      <c r="V312" s="12"/>
      <c r="W312" s="12"/>
      <c r="X312" s="12"/>
    </row>
    <row r="313" customFormat="false" ht="15.75" hidden="false" customHeight="false" outlineLevel="0" collapsed="false">
      <c r="A313" s="12"/>
      <c r="B313" s="34"/>
      <c r="C313" s="12"/>
      <c r="D313" s="12"/>
      <c r="E313" s="12"/>
      <c r="F313" s="12"/>
      <c r="G313" s="18"/>
      <c r="H313" s="35"/>
      <c r="I313" s="12"/>
      <c r="M313" s="12"/>
      <c r="N313" s="18"/>
      <c r="O313" s="12"/>
      <c r="P313" s="12"/>
      <c r="Q313" s="12"/>
      <c r="R313" s="36"/>
      <c r="S313" s="36"/>
      <c r="T313" s="12"/>
      <c r="U313" s="12"/>
      <c r="V313" s="12"/>
      <c r="W313" s="12"/>
      <c r="X313" s="12"/>
    </row>
    <row r="314" customFormat="false" ht="15.75" hidden="false" customHeight="false" outlineLevel="0" collapsed="false">
      <c r="A314" s="12"/>
      <c r="B314" s="34"/>
      <c r="C314" s="12"/>
      <c r="D314" s="12"/>
      <c r="E314" s="12"/>
      <c r="F314" s="12"/>
      <c r="G314" s="18"/>
      <c r="H314" s="35"/>
      <c r="I314" s="12"/>
      <c r="M314" s="12"/>
      <c r="N314" s="18"/>
      <c r="O314" s="12"/>
      <c r="P314" s="12"/>
      <c r="Q314" s="12"/>
      <c r="R314" s="36"/>
      <c r="S314" s="36"/>
      <c r="T314" s="12"/>
      <c r="U314" s="12"/>
      <c r="V314" s="12"/>
      <c r="W314" s="12"/>
      <c r="X314" s="12"/>
    </row>
    <row r="315" customFormat="false" ht="15.75" hidden="false" customHeight="false" outlineLevel="0" collapsed="false">
      <c r="A315" s="12"/>
      <c r="B315" s="34"/>
      <c r="C315" s="12"/>
      <c r="D315" s="12"/>
      <c r="E315" s="12"/>
      <c r="F315" s="12"/>
      <c r="G315" s="18"/>
      <c r="H315" s="35"/>
      <c r="I315" s="12"/>
      <c r="M315" s="12"/>
      <c r="N315" s="18"/>
      <c r="O315" s="12"/>
      <c r="P315" s="12"/>
      <c r="Q315" s="12"/>
      <c r="R315" s="36"/>
      <c r="S315" s="36"/>
      <c r="T315" s="12"/>
      <c r="U315" s="12"/>
      <c r="V315" s="12"/>
      <c r="W315" s="12"/>
      <c r="X315" s="12"/>
    </row>
    <row r="316" customFormat="false" ht="15.75" hidden="false" customHeight="false" outlineLevel="0" collapsed="false">
      <c r="A316" s="12"/>
      <c r="B316" s="34"/>
      <c r="C316" s="12"/>
      <c r="D316" s="12"/>
      <c r="E316" s="12"/>
      <c r="F316" s="12"/>
      <c r="G316" s="18"/>
      <c r="H316" s="35"/>
      <c r="I316" s="12"/>
      <c r="M316" s="12"/>
      <c r="N316" s="18"/>
      <c r="O316" s="12"/>
      <c r="P316" s="12"/>
      <c r="Q316" s="12"/>
      <c r="R316" s="36"/>
      <c r="S316" s="36"/>
      <c r="T316" s="12"/>
      <c r="U316" s="12"/>
      <c r="V316" s="12"/>
      <c r="W316" s="12"/>
      <c r="X316" s="12"/>
    </row>
    <row r="317" customFormat="false" ht="15.75" hidden="false" customHeight="false" outlineLevel="0" collapsed="false">
      <c r="A317" s="12"/>
      <c r="B317" s="34"/>
      <c r="C317" s="12"/>
      <c r="D317" s="12"/>
      <c r="E317" s="12"/>
      <c r="F317" s="12"/>
      <c r="G317" s="18"/>
      <c r="H317" s="35"/>
      <c r="I317" s="12"/>
      <c r="M317" s="12"/>
      <c r="N317" s="18"/>
      <c r="O317" s="12"/>
      <c r="P317" s="12"/>
      <c r="Q317" s="12"/>
      <c r="R317" s="36"/>
      <c r="S317" s="36"/>
      <c r="T317" s="12"/>
      <c r="U317" s="12"/>
      <c r="V317" s="12"/>
      <c r="W317" s="12"/>
      <c r="X317" s="12"/>
    </row>
    <row r="318" customFormat="false" ht="15.75" hidden="false" customHeight="false" outlineLevel="0" collapsed="false">
      <c r="A318" s="12"/>
      <c r="B318" s="34"/>
      <c r="C318" s="12"/>
      <c r="D318" s="12"/>
      <c r="E318" s="12"/>
      <c r="F318" s="12"/>
      <c r="G318" s="18"/>
      <c r="H318" s="35"/>
      <c r="I318" s="12"/>
      <c r="M318" s="12"/>
      <c r="N318" s="18"/>
      <c r="O318" s="12"/>
      <c r="P318" s="12"/>
      <c r="Q318" s="12"/>
      <c r="R318" s="36"/>
      <c r="S318" s="36"/>
      <c r="T318" s="12"/>
      <c r="U318" s="12"/>
      <c r="V318" s="12"/>
      <c r="W318" s="12"/>
      <c r="X318" s="12"/>
    </row>
    <row r="319" customFormat="false" ht="15.75" hidden="false" customHeight="false" outlineLevel="0" collapsed="false">
      <c r="A319" s="12"/>
      <c r="B319" s="34"/>
      <c r="C319" s="12"/>
      <c r="D319" s="12"/>
      <c r="E319" s="12"/>
      <c r="F319" s="12"/>
      <c r="G319" s="18"/>
      <c r="H319" s="35"/>
      <c r="I319" s="12"/>
      <c r="M319" s="12"/>
      <c r="N319" s="18"/>
      <c r="O319" s="12"/>
      <c r="P319" s="12"/>
      <c r="Q319" s="12"/>
      <c r="R319" s="36"/>
      <c r="S319" s="36"/>
      <c r="T319" s="12"/>
      <c r="U319" s="12"/>
      <c r="V319" s="12"/>
      <c r="W319" s="12"/>
      <c r="X319" s="12"/>
    </row>
    <row r="320" customFormat="false" ht="15.75" hidden="false" customHeight="false" outlineLevel="0" collapsed="false">
      <c r="A320" s="12"/>
      <c r="B320" s="34"/>
      <c r="C320" s="12"/>
      <c r="D320" s="12"/>
      <c r="E320" s="12"/>
      <c r="F320" s="12"/>
      <c r="G320" s="18"/>
      <c r="H320" s="35"/>
      <c r="I320" s="12"/>
      <c r="M320" s="12"/>
      <c r="N320" s="18"/>
      <c r="O320" s="12"/>
      <c r="P320" s="12"/>
      <c r="Q320" s="12"/>
      <c r="R320" s="36"/>
      <c r="S320" s="36"/>
      <c r="T320" s="12"/>
      <c r="U320" s="12"/>
      <c r="V320" s="12"/>
      <c r="W320" s="12"/>
      <c r="X320" s="12"/>
    </row>
    <row r="321" customFormat="false" ht="15.75" hidden="false" customHeight="false" outlineLevel="0" collapsed="false">
      <c r="A321" s="12"/>
      <c r="B321" s="34"/>
      <c r="C321" s="12"/>
      <c r="D321" s="12"/>
      <c r="E321" s="12"/>
      <c r="F321" s="12"/>
      <c r="G321" s="18"/>
      <c r="H321" s="35"/>
      <c r="I321" s="12"/>
      <c r="M321" s="12"/>
      <c r="N321" s="18"/>
      <c r="O321" s="12"/>
      <c r="P321" s="12"/>
      <c r="Q321" s="12"/>
      <c r="R321" s="36"/>
      <c r="S321" s="36"/>
      <c r="T321" s="12"/>
      <c r="U321" s="12"/>
      <c r="V321" s="12"/>
      <c r="W321" s="12"/>
      <c r="X321" s="12"/>
    </row>
    <row r="322" customFormat="false" ht="15.75" hidden="false" customHeight="false" outlineLevel="0" collapsed="false">
      <c r="A322" s="12"/>
      <c r="B322" s="34"/>
      <c r="C322" s="12"/>
      <c r="D322" s="12"/>
      <c r="E322" s="12"/>
      <c r="F322" s="12"/>
      <c r="G322" s="18"/>
      <c r="H322" s="35"/>
      <c r="I322" s="12"/>
      <c r="M322" s="12"/>
      <c r="N322" s="18"/>
      <c r="O322" s="12"/>
      <c r="P322" s="12"/>
      <c r="Q322" s="12"/>
      <c r="R322" s="36"/>
      <c r="S322" s="36"/>
      <c r="T322" s="12"/>
      <c r="U322" s="12"/>
      <c r="V322" s="12"/>
      <c r="W322" s="12"/>
      <c r="X322" s="12"/>
    </row>
    <row r="323" customFormat="false" ht="15.75" hidden="false" customHeight="false" outlineLevel="0" collapsed="false">
      <c r="A323" s="12"/>
      <c r="B323" s="34"/>
      <c r="C323" s="12"/>
      <c r="D323" s="12"/>
      <c r="E323" s="12"/>
      <c r="F323" s="12"/>
      <c r="G323" s="18"/>
      <c r="H323" s="35"/>
      <c r="I323" s="12"/>
      <c r="M323" s="12"/>
      <c r="N323" s="18"/>
      <c r="O323" s="12"/>
      <c r="P323" s="12"/>
      <c r="Q323" s="12"/>
      <c r="R323" s="36"/>
      <c r="S323" s="36"/>
      <c r="T323" s="12"/>
      <c r="U323" s="12"/>
      <c r="V323" s="12"/>
      <c r="W323" s="12"/>
      <c r="X323" s="12"/>
    </row>
    <row r="324" customFormat="false" ht="15.75" hidden="false" customHeight="false" outlineLevel="0" collapsed="false">
      <c r="A324" s="12"/>
      <c r="B324" s="34"/>
      <c r="C324" s="12"/>
      <c r="D324" s="12"/>
      <c r="E324" s="12"/>
      <c r="F324" s="12"/>
      <c r="G324" s="18"/>
      <c r="H324" s="35"/>
      <c r="I324" s="12"/>
      <c r="M324" s="12"/>
      <c r="N324" s="18"/>
      <c r="O324" s="12"/>
      <c r="P324" s="12"/>
      <c r="Q324" s="12"/>
      <c r="R324" s="36"/>
      <c r="S324" s="36"/>
      <c r="T324" s="12"/>
      <c r="U324" s="12"/>
      <c r="V324" s="12"/>
      <c r="W324" s="12"/>
      <c r="X324" s="12"/>
    </row>
    <row r="325" customFormat="false" ht="15.75" hidden="false" customHeight="false" outlineLevel="0" collapsed="false">
      <c r="A325" s="12"/>
      <c r="B325" s="34"/>
      <c r="C325" s="12"/>
      <c r="D325" s="12"/>
      <c r="E325" s="12"/>
      <c r="F325" s="12"/>
      <c r="G325" s="18"/>
      <c r="H325" s="35"/>
      <c r="I325" s="12"/>
      <c r="M325" s="12"/>
      <c r="N325" s="18"/>
      <c r="O325" s="12"/>
      <c r="P325" s="12"/>
      <c r="Q325" s="12"/>
      <c r="R325" s="36"/>
      <c r="S325" s="36"/>
      <c r="T325" s="12"/>
      <c r="U325" s="12"/>
      <c r="V325" s="12"/>
      <c r="W325" s="12"/>
      <c r="X325" s="12"/>
    </row>
    <row r="326" customFormat="false" ht="15.75" hidden="false" customHeight="false" outlineLevel="0" collapsed="false">
      <c r="A326" s="12"/>
      <c r="B326" s="34"/>
      <c r="C326" s="12"/>
      <c r="D326" s="12"/>
      <c r="E326" s="12"/>
      <c r="F326" s="12"/>
      <c r="G326" s="18"/>
      <c r="H326" s="35"/>
      <c r="I326" s="12"/>
      <c r="M326" s="12"/>
      <c r="N326" s="18"/>
      <c r="O326" s="12"/>
      <c r="P326" s="12"/>
      <c r="Q326" s="12"/>
      <c r="R326" s="36"/>
      <c r="S326" s="36"/>
      <c r="T326" s="12"/>
      <c r="U326" s="12"/>
      <c r="V326" s="12"/>
      <c r="W326" s="12"/>
      <c r="X326" s="12"/>
    </row>
    <row r="327" customFormat="false" ht="15.75" hidden="false" customHeight="false" outlineLevel="0" collapsed="false">
      <c r="A327" s="12"/>
      <c r="B327" s="34"/>
      <c r="C327" s="12"/>
      <c r="D327" s="12"/>
      <c r="E327" s="12"/>
      <c r="F327" s="12"/>
      <c r="G327" s="18"/>
      <c r="H327" s="35"/>
      <c r="I327" s="12"/>
      <c r="M327" s="12"/>
      <c r="N327" s="18"/>
      <c r="O327" s="12"/>
      <c r="P327" s="12"/>
      <c r="Q327" s="12"/>
      <c r="R327" s="36"/>
      <c r="S327" s="36"/>
      <c r="T327" s="12"/>
      <c r="U327" s="12"/>
      <c r="V327" s="12"/>
      <c r="W327" s="12"/>
      <c r="X327" s="12"/>
    </row>
    <row r="328" customFormat="false" ht="15.75" hidden="false" customHeight="false" outlineLevel="0" collapsed="false">
      <c r="A328" s="12"/>
      <c r="B328" s="34"/>
      <c r="C328" s="12"/>
      <c r="D328" s="12"/>
      <c r="E328" s="12"/>
      <c r="F328" s="12"/>
      <c r="G328" s="18"/>
      <c r="H328" s="35"/>
      <c r="I328" s="12"/>
      <c r="M328" s="12"/>
      <c r="N328" s="18"/>
      <c r="O328" s="12"/>
      <c r="P328" s="12"/>
      <c r="Q328" s="12"/>
      <c r="R328" s="36"/>
      <c r="S328" s="36"/>
      <c r="T328" s="12"/>
      <c r="U328" s="12"/>
      <c r="V328" s="12"/>
      <c r="W328" s="12"/>
      <c r="X328" s="12"/>
    </row>
    <row r="329" customFormat="false" ht="15.75" hidden="false" customHeight="false" outlineLevel="0" collapsed="false">
      <c r="A329" s="12"/>
      <c r="B329" s="34"/>
      <c r="C329" s="12"/>
      <c r="D329" s="12"/>
      <c r="E329" s="12"/>
      <c r="F329" s="12"/>
      <c r="G329" s="18"/>
      <c r="H329" s="35"/>
      <c r="I329" s="12"/>
      <c r="M329" s="12"/>
      <c r="N329" s="18"/>
      <c r="O329" s="12"/>
      <c r="P329" s="12"/>
      <c r="Q329" s="12"/>
      <c r="R329" s="36"/>
      <c r="S329" s="36"/>
      <c r="T329" s="12"/>
      <c r="U329" s="12"/>
      <c r="V329" s="12"/>
      <c r="W329" s="12"/>
      <c r="X329" s="12"/>
    </row>
    <row r="330" customFormat="false" ht="15.75" hidden="false" customHeight="false" outlineLevel="0" collapsed="false">
      <c r="A330" s="12"/>
      <c r="B330" s="34"/>
      <c r="C330" s="12"/>
      <c r="D330" s="12"/>
      <c r="E330" s="12"/>
      <c r="F330" s="12"/>
      <c r="G330" s="18"/>
      <c r="H330" s="35"/>
      <c r="I330" s="12"/>
      <c r="M330" s="12"/>
      <c r="N330" s="18"/>
      <c r="O330" s="12"/>
      <c r="P330" s="12"/>
      <c r="Q330" s="12"/>
      <c r="R330" s="36"/>
      <c r="S330" s="36"/>
      <c r="T330" s="12"/>
      <c r="U330" s="12"/>
      <c r="V330" s="12"/>
      <c r="W330" s="12"/>
      <c r="X330" s="12"/>
    </row>
    <row r="331" customFormat="false" ht="15.75" hidden="false" customHeight="false" outlineLevel="0" collapsed="false">
      <c r="A331" s="12"/>
      <c r="B331" s="34"/>
      <c r="C331" s="12"/>
      <c r="D331" s="12"/>
      <c r="E331" s="12"/>
      <c r="F331" s="12"/>
      <c r="G331" s="18"/>
      <c r="H331" s="35"/>
      <c r="I331" s="12"/>
      <c r="M331" s="12"/>
      <c r="N331" s="18"/>
      <c r="O331" s="12"/>
      <c r="P331" s="12"/>
      <c r="Q331" s="12"/>
      <c r="R331" s="36"/>
      <c r="S331" s="36"/>
      <c r="T331" s="12"/>
      <c r="U331" s="12"/>
      <c r="V331" s="12"/>
      <c r="W331" s="12"/>
      <c r="X331" s="12"/>
    </row>
    <row r="332" customFormat="false" ht="15.75" hidden="false" customHeight="false" outlineLevel="0" collapsed="false">
      <c r="A332" s="12"/>
      <c r="B332" s="34"/>
      <c r="C332" s="12"/>
      <c r="D332" s="12"/>
      <c r="E332" s="12"/>
      <c r="F332" s="12"/>
      <c r="G332" s="18"/>
      <c r="H332" s="35"/>
      <c r="I332" s="12"/>
      <c r="M332" s="12"/>
      <c r="N332" s="18"/>
      <c r="O332" s="12"/>
      <c r="P332" s="12"/>
      <c r="Q332" s="12"/>
      <c r="R332" s="36"/>
      <c r="S332" s="36"/>
      <c r="T332" s="12"/>
      <c r="U332" s="12"/>
      <c r="V332" s="12"/>
      <c r="W332" s="12"/>
      <c r="X332" s="12"/>
    </row>
    <row r="333" customFormat="false" ht="15.75" hidden="false" customHeight="false" outlineLevel="0" collapsed="false">
      <c r="A333" s="12"/>
      <c r="B333" s="34"/>
      <c r="C333" s="12"/>
      <c r="D333" s="12"/>
      <c r="E333" s="12"/>
      <c r="F333" s="12"/>
      <c r="G333" s="18"/>
      <c r="H333" s="35"/>
      <c r="I333" s="12"/>
      <c r="M333" s="12"/>
      <c r="N333" s="18"/>
      <c r="O333" s="12"/>
      <c r="P333" s="12"/>
      <c r="Q333" s="12"/>
      <c r="R333" s="36"/>
      <c r="S333" s="36"/>
      <c r="T333" s="12"/>
      <c r="U333" s="12"/>
      <c r="V333" s="12"/>
      <c r="W333" s="12"/>
      <c r="X333" s="12"/>
    </row>
    <row r="334" customFormat="false" ht="15.75" hidden="false" customHeight="false" outlineLevel="0" collapsed="false">
      <c r="A334" s="12"/>
      <c r="B334" s="34"/>
      <c r="C334" s="12"/>
      <c r="D334" s="12"/>
      <c r="E334" s="12"/>
      <c r="F334" s="12"/>
      <c r="G334" s="18"/>
      <c r="H334" s="35"/>
      <c r="I334" s="12"/>
      <c r="M334" s="12"/>
      <c r="N334" s="18"/>
      <c r="O334" s="12"/>
      <c r="P334" s="12"/>
      <c r="Q334" s="12"/>
      <c r="R334" s="36"/>
      <c r="S334" s="36"/>
      <c r="T334" s="12"/>
      <c r="U334" s="12"/>
      <c r="V334" s="12"/>
      <c r="W334" s="12"/>
      <c r="X334" s="12"/>
    </row>
    <row r="335" customFormat="false" ht="15.75" hidden="false" customHeight="false" outlineLevel="0" collapsed="false">
      <c r="A335" s="12"/>
      <c r="B335" s="34"/>
      <c r="C335" s="12"/>
      <c r="D335" s="12"/>
      <c r="E335" s="12"/>
      <c r="F335" s="12"/>
      <c r="G335" s="18"/>
      <c r="H335" s="35"/>
      <c r="I335" s="12"/>
      <c r="M335" s="12"/>
      <c r="N335" s="18"/>
      <c r="O335" s="12"/>
      <c r="P335" s="12"/>
      <c r="Q335" s="12"/>
      <c r="R335" s="36"/>
      <c r="S335" s="36"/>
      <c r="T335" s="12"/>
      <c r="U335" s="12"/>
      <c r="V335" s="12"/>
      <c r="W335" s="12"/>
      <c r="X335" s="12"/>
    </row>
    <row r="336" customFormat="false" ht="15.75" hidden="false" customHeight="false" outlineLevel="0" collapsed="false">
      <c r="A336" s="12"/>
      <c r="B336" s="34"/>
      <c r="C336" s="12"/>
      <c r="D336" s="12"/>
      <c r="E336" s="12"/>
      <c r="F336" s="12"/>
      <c r="G336" s="18"/>
      <c r="H336" s="35"/>
      <c r="I336" s="12"/>
      <c r="M336" s="12"/>
      <c r="N336" s="18"/>
      <c r="O336" s="12"/>
      <c r="P336" s="12"/>
      <c r="Q336" s="12"/>
      <c r="R336" s="36"/>
      <c r="S336" s="36"/>
      <c r="T336" s="12"/>
      <c r="U336" s="12"/>
      <c r="V336" s="12"/>
      <c r="W336" s="12"/>
      <c r="X336" s="12"/>
    </row>
    <row r="337" customFormat="false" ht="15.75" hidden="false" customHeight="false" outlineLevel="0" collapsed="false">
      <c r="A337" s="12"/>
      <c r="B337" s="34"/>
      <c r="C337" s="12"/>
      <c r="D337" s="12"/>
      <c r="E337" s="12"/>
      <c r="F337" s="12"/>
      <c r="G337" s="18"/>
      <c r="H337" s="35"/>
      <c r="I337" s="12"/>
      <c r="M337" s="12"/>
      <c r="N337" s="18"/>
      <c r="O337" s="12"/>
      <c r="P337" s="12"/>
      <c r="Q337" s="12"/>
      <c r="R337" s="36"/>
      <c r="S337" s="36"/>
      <c r="T337" s="12"/>
      <c r="U337" s="12"/>
      <c r="V337" s="12"/>
      <c r="W337" s="12"/>
      <c r="X337" s="12"/>
    </row>
    <row r="338" customFormat="false" ht="15.75" hidden="false" customHeight="false" outlineLevel="0" collapsed="false">
      <c r="A338" s="12"/>
      <c r="B338" s="34"/>
      <c r="C338" s="12"/>
      <c r="D338" s="12"/>
      <c r="E338" s="12"/>
      <c r="F338" s="12"/>
      <c r="G338" s="18"/>
      <c r="H338" s="35"/>
      <c r="I338" s="12"/>
      <c r="M338" s="12"/>
      <c r="N338" s="18"/>
      <c r="O338" s="12"/>
      <c r="P338" s="12"/>
      <c r="Q338" s="12"/>
      <c r="R338" s="36"/>
      <c r="S338" s="36"/>
      <c r="T338" s="12"/>
      <c r="U338" s="12"/>
      <c r="V338" s="12"/>
      <c r="W338" s="12"/>
      <c r="X338" s="12"/>
    </row>
    <row r="339" customFormat="false" ht="15.75" hidden="false" customHeight="false" outlineLevel="0" collapsed="false">
      <c r="A339" s="12"/>
      <c r="B339" s="34"/>
      <c r="C339" s="12"/>
      <c r="D339" s="12"/>
      <c r="E339" s="12"/>
      <c r="F339" s="12"/>
      <c r="G339" s="18"/>
      <c r="H339" s="35"/>
      <c r="I339" s="12"/>
      <c r="M339" s="12"/>
      <c r="N339" s="18"/>
      <c r="O339" s="12"/>
      <c r="P339" s="12"/>
      <c r="Q339" s="12"/>
      <c r="R339" s="36"/>
      <c r="S339" s="36"/>
      <c r="T339" s="12"/>
      <c r="U339" s="12"/>
      <c r="V339" s="12"/>
      <c r="W339" s="12"/>
      <c r="X339" s="12"/>
    </row>
    <row r="340" customFormat="false" ht="15.75" hidden="false" customHeight="false" outlineLevel="0" collapsed="false">
      <c r="A340" s="12"/>
      <c r="B340" s="34"/>
      <c r="C340" s="12"/>
      <c r="D340" s="12"/>
      <c r="E340" s="12"/>
      <c r="F340" s="12"/>
      <c r="G340" s="18"/>
      <c r="H340" s="35"/>
      <c r="I340" s="12"/>
      <c r="M340" s="12"/>
      <c r="N340" s="18"/>
      <c r="O340" s="12"/>
      <c r="P340" s="12"/>
      <c r="Q340" s="12"/>
      <c r="R340" s="36"/>
      <c r="S340" s="36"/>
      <c r="T340" s="12"/>
      <c r="U340" s="12"/>
      <c r="V340" s="12"/>
      <c r="W340" s="12"/>
      <c r="X340" s="12"/>
    </row>
    <row r="341" customFormat="false" ht="15.75" hidden="false" customHeight="false" outlineLevel="0" collapsed="false">
      <c r="A341" s="12"/>
      <c r="B341" s="34"/>
      <c r="C341" s="12"/>
      <c r="D341" s="12"/>
      <c r="E341" s="12"/>
      <c r="F341" s="12"/>
      <c r="G341" s="18"/>
      <c r="H341" s="35"/>
      <c r="I341" s="12"/>
      <c r="M341" s="12"/>
      <c r="N341" s="18"/>
      <c r="O341" s="12"/>
      <c r="P341" s="12"/>
      <c r="Q341" s="12"/>
      <c r="R341" s="36"/>
      <c r="S341" s="36"/>
      <c r="T341" s="12"/>
      <c r="U341" s="12"/>
      <c r="V341" s="12"/>
      <c r="W341" s="12"/>
      <c r="X341" s="12"/>
    </row>
    <row r="342" customFormat="false" ht="15.75" hidden="false" customHeight="false" outlineLevel="0" collapsed="false">
      <c r="A342" s="12"/>
      <c r="B342" s="34"/>
      <c r="C342" s="12"/>
      <c r="D342" s="12"/>
      <c r="E342" s="12"/>
      <c r="F342" s="12"/>
      <c r="G342" s="18"/>
      <c r="H342" s="35"/>
      <c r="I342" s="12"/>
      <c r="M342" s="12"/>
      <c r="N342" s="18"/>
      <c r="O342" s="12"/>
      <c r="P342" s="12"/>
      <c r="Q342" s="12"/>
      <c r="R342" s="36"/>
      <c r="S342" s="36"/>
      <c r="T342" s="12"/>
      <c r="U342" s="12"/>
      <c r="V342" s="12"/>
      <c r="W342" s="12"/>
      <c r="X342" s="12"/>
    </row>
    <row r="343" customFormat="false" ht="15.75" hidden="false" customHeight="false" outlineLevel="0" collapsed="false">
      <c r="A343" s="12"/>
      <c r="B343" s="34"/>
      <c r="C343" s="12"/>
      <c r="D343" s="12"/>
      <c r="E343" s="12"/>
      <c r="F343" s="12"/>
      <c r="G343" s="18"/>
      <c r="H343" s="35"/>
      <c r="I343" s="12"/>
      <c r="M343" s="12"/>
      <c r="N343" s="18"/>
      <c r="O343" s="12"/>
      <c r="P343" s="12"/>
      <c r="Q343" s="12"/>
      <c r="R343" s="36"/>
      <c r="S343" s="36"/>
      <c r="T343" s="12"/>
      <c r="U343" s="12"/>
      <c r="V343" s="12"/>
      <c r="W343" s="12"/>
      <c r="X343" s="12"/>
    </row>
    <row r="344" customFormat="false" ht="15.75" hidden="false" customHeight="false" outlineLevel="0" collapsed="false">
      <c r="A344" s="12"/>
      <c r="B344" s="34"/>
      <c r="C344" s="12"/>
      <c r="D344" s="12"/>
      <c r="E344" s="12"/>
      <c r="F344" s="12"/>
      <c r="G344" s="18"/>
      <c r="H344" s="35"/>
      <c r="I344" s="12"/>
      <c r="M344" s="12"/>
      <c r="N344" s="18"/>
      <c r="O344" s="12"/>
      <c r="P344" s="12"/>
      <c r="Q344" s="12"/>
      <c r="R344" s="36"/>
      <c r="S344" s="36"/>
      <c r="T344" s="12"/>
      <c r="U344" s="12"/>
      <c r="V344" s="12"/>
      <c r="W344" s="12"/>
      <c r="X344" s="12"/>
    </row>
    <row r="345" customFormat="false" ht="15.75" hidden="false" customHeight="false" outlineLevel="0" collapsed="false">
      <c r="A345" s="12"/>
      <c r="B345" s="34"/>
      <c r="C345" s="12"/>
      <c r="D345" s="12"/>
      <c r="E345" s="12"/>
      <c r="F345" s="12"/>
      <c r="G345" s="18"/>
      <c r="H345" s="35"/>
      <c r="I345" s="12"/>
      <c r="M345" s="12"/>
      <c r="N345" s="18"/>
      <c r="O345" s="12"/>
      <c r="P345" s="12"/>
      <c r="Q345" s="12"/>
      <c r="R345" s="36"/>
      <c r="S345" s="36"/>
      <c r="T345" s="12"/>
      <c r="U345" s="12"/>
      <c r="V345" s="12"/>
      <c r="W345" s="12"/>
      <c r="X345" s="12"/>
    </row>
    <row r="346" customFormat="false" ht="15.75" hidden="false" customHeight="false" outlineLevel="0" collapsed="false">
      <c r="A346" s="12"/>
      <c r="B346" s="34"/>
      <c r="C346" s="12"/>
      <c r="D346" s="12"/>
      <c r="E346" s="12"/>
      <c r="F346" s="12"/>
      <c r="G346" s="18"/>
      <c r="H346" s="35"/>
      <c r="I346" s="12"/>
      <c r="M346" s="12"/>
      <c r="N346" s="18"/>
      <c r="O346" s="12"/>
      <c r="P346" s="12"/>
      <c r="Q346" s="12"/>
      <c r="R346" s="36"/>
      <c r="S346" s="36"/>
      <c r="T346" s="12"/>
      <c r="U346" s="12"/>
      <c r="V346" s="12"/>
      <c r="W346" s="12"/>
      <c r="X346" s="12"/>
    </row>
    <row r="347" customFormat="false" ht="15.75" hidden="false" customHeight="false" outlineLevel="0" collapsed="false">
      <c r="A347" s="12"/>
      <c r="B347" s="34"/>
      <c r="C347" s="12"/>
      <c r="D347" s="12"/>
      <c r="E347" s="12"/>
      <c r="F347" s="12"/>
      <c r="G347" s="18"/>
      <c r="H347" s="35"/>
      <c r="I347" s="12"/>
      <c r="M347" s="12"/>
      <c r="N347" s="18"/>
      <c r="O347" s="12"/>
      <c r="P347" s="12"/>
      <c r="Q347" s="12"/>
      <c r="R347" s="36"/>
      <c r="S347" s="36"/>
      <c r="T347" s="12"/>
      <c r="U347" s="12"/>
      <c r="V347" s="12"/>
      <c r="W347" s="12"/>
      <c r="X347" s="12"/>
    </row>
    <row r="348" customFormat="false" ht="15.75" hidden="false" customHeight="false" outlineLevel="0" collapsed="false">
      <c r="A348" s="12"/>
      <c r="B348" s="34"/>
      <c r="C348" s="12"/>
      <c r="D348" s="12"/>
      <c r="E348" s="12"/>
      <c r="F348" s="12"/>
      <c r="G348" s="18"/>
      <c r="H348" s="35"/>
      <c r="I348" s="12"/>
      <c r="M348" s="12"/>
      <c r="N348" s="18"/>
      <c r="O348" s="12"/>
      <c r="P348" s="12"/>
      <c r="Q348" s="12"/>
      <c r="R348" s="36"/>
      <c r="S348" s="36"/>
      <c r="T348" s="12"/>
      <c r="U348" s="12"/>
      <c r="V348" s="12"/>
      <c r="W348" s="12"/>
      <c r="X348" s="12"/>
    </row>
    <row r="349" customFormat="false" ht="15.75" hidden="false" customHeight="false" outlineLevel="0" collapsed="false">
      <c r="A349" s="12"/>
      <c r="B349" s="34"/>
      <c r="C349" s="12"/>
      <c r="D349" s="12"/>
      <c r="E349" s="12"/>
      <c r="F349" s="12"/>
      <c r="G349" s="18"/>
      <c r="H349" s="35"/>
      <c r="I349" s="12"/>
      <c r="M349" s="12"/>
      <c r="N349" s="18"/>
      <c r="O349" s="12"/>
      <c r="P349" s="12"/>
      <c r="Q349" s="12"/>
      <c r="R349" s="36"/>
      <c r="S349" s="36"/>
      <c r="T349" s="12"/>
      <c r="U349" s="12"/>
      <c r="V349" s="12"/>
      <c r="W349" s="12"/>
      <c r="X349" s="12"/>
    </row>
    <row r="350" customFormat="false" ht="15.75" hidden="false" customHeight="false" outlineLevel="0" collapsed="false">
      <c r="A350" s="12"/>
      <c r="B350" s="34"/>
      <c r="C350" s="12"/>
      <c r="D350" s="12"/>
      <c r="E350" s="12"/>
      <c r="F350" s="12"/>
      <c r="G350" s="18"/>
      <c r="H350" s="35"/>
      <c r="I350" s="12"/>
      <c r="M350" s="12"/>
      <c r="N350" s="18"/>
      <c r="O350" s="12"/>
      <c r="P350" s="12"/>
      <c r="Q350" s="12"/>
      <c r="R350" s="36"/>
      <c r="S350" s="36"/>
      <c r="T350" s="12"/>
      <c r="U350" s="12"/>
      <c r="V350" s="12"/>
      <c r="W350" s="12"/>
      <c r="X350" s="12"/>
    </row>
    <row r="351" customFormat="false" ht="15.75" hidden="false" customHeight="false" outlineLevel="0" collapsed="false">
      <c r="A351" s="12"/>
      <c r="B351" s="34"/>
      <c r="C351" s="12"/>
      <c r="D351" s="12"/>
      <c r="E351" s="12"/>
      <c r="F351" s="12"/>
      <c r="G351" s="18"/>
      <c r="H351" s="35"/>
      <c r="I351" s="12"/>
      <c r="M351" s="12"/>
      <c r="N351" s="18"/>
      <c r="O351" s="12"/>
      <c r="P351" s="12"/>
      <c r="Q351" s="12"/>
      <c r="R351" s="36"/>
      <c r="S351" s="36"/>
      <c r="T351" s="12"/>
      <c r="U351" s="12"/>
      <c r="V351" s="12"/>
      <c r="W351" s="12"/>
      <c r="X351" s="12"/>
    </row>
    <row r="352" customFormat="false" ht="15.75" hidden="false" customHeight="false" outlineLevel="0" collapsed="false">
      <c r="A352" s="12"/>
      <c r="B352" s="34"/>
      <c r="C352" s="12"/>
      <c r="D352" s="12"/>
      <c r="E352" s="12"/>
      <c r="F352" s="12"/>
      <c r="G352" s="18"/>
      <c r="H352" s="35"/>
      <c r="I352" s="12"/>
      <c r="M352" s="12"/>
      <c r="N352" s="18"/>
      <c r="O352" s="12"/>
      <c r="P352" s="12"/>
      <c r="Q352" s="12"/>
      <c r="R352" s="36"/>
      <c r="S352" s="36"/>
      <c r="T352" s="12"/>
      <c r="U352" s="12"/>
      <c r="V352" s="12"/>
      <c r="W352" s="12"/>
      <c r="X352" s="12"/>
    </row>
    <row r="353" customFormat="false" ht="15.75" hidden="false" customHeight="false" outlineLevel="0" collapsed="false">
      <c r="A353" s="12"/>
      <c r="B353" s="34"/>
      <c r="C353" s="12"/>
      <c r="D353" s="12"/>
      <c r="E353" s="12"/>
      <c r="F353" s="12"/>
      <c r="G353" s="18"/>
      <c r="H353" s="35"/>
      <c r="I353" s="12"/>
      <c r="M353" s="12"/>
      <c r="N353" s="18"/>
      <c r="O353" s="12"/>
      <c r="P353" s="12"/>
      <c r="Q353" s="12"/>
      <c r="R353" s="36"/>
      <c r="S353" s="36"/>
      <c r="T353" s="12"/>
      <c r="U353" s="12"/>
      <c r="V353" s="12"/>
      <c r="W353" s="12"/>
      <c r="X353" s="12"/>
    </row>
    <row r="354" customFormat="false" ht="15.75" hidden="false" customHeight="false" outlineLevel="0" collapsed="false">
      <c r="A354" s="12"/>
      <c r="B354" s="34"/>
      <c r="C354" s="12"/>
      <c r="D354" s="12"/>
      <c r="E354" s="12"/>
      <c r="F354" s="12"/>
      <c r="G354" s="18"/>
      <c r="H354" s="35"/>
      <c r="I354" s="12"/>
      <c r="M354" s="12"/>
      <c r="N354" s="18"/>
      <c r="O354" s="12"/>
      <c r="P354" s="12"/>
      <c r="Q354" s="12"/>
      <c r="R354" s="36"/>
      <c r="S354" s="36"/>
      <c r="T354" s="12"/>
      <c r="U354" s="12"/>
      <c r="V354" s="12"/>
      <c r="W354" s="12"/>
      <c r="X354" s="12"/>
    </row>
    <row r="355" customFormat="false" ht="15.75" hidden="false" customHeight="false" outlineLevel="0" collapsed="false">
      <c r="A355" s="12"/>
      <c r="B355" s="34"/>
      <c r="C355" s="12"/>
      <c r="D355" s="12"/>
      <c r="E355" s="12"/>
      <c r="F355" s="12"/>
      <c r="G355" s="18"/>
      <c r="H355" s="35"/>
      <c r="I355" s="12"/>
      <c r="M355" s="12"/>
      <c r="N355" s="18"/>
      <c r="O355" s="12"/>
      <c r="P355" s="12"/>
      <c r="Q355" s="12"/>
      <c r="R355" s="36"/>
      <c r="S355" s="36"/>
      <c r="T355" s="12"/>
      <c r="U355" s="12"/>
      <c r="V355" s="12"/>
      <c r="W355" s="12"/>
      <c r="X355" s="12"/>
    </row>
    <row r="356" customFormat="false" ht="15.75" hidden="false" customHeight="false" outlineLevel="0" collapsed="false">
      <c r="A356" s="12"/>
      <c r="B356" s="34"/>
      <c r="C356" s="12"/>
      <c r="D356" s="12"/>
      <c r="E356" s="12"/>
      <c r="F356" s="12"/>
      <c r="G356" s="18"/>
      <c r="H356" s="35"/>
      <c r="I356" s="12"/>
      <c r="M356" s="12"/>
      <c r="N356" s="18"/>
      <c r="O356" s="12"/>
      <c r="P356" s="12"/>
      <c r="Q356" s="12"/>
      <c r="R356" s="36"/>
      <c r="S356" s="36"/>
      <c r="T356" s="12"/>
      <c r="U356" s="12"/>
      <c r="V356" s="12"/>
      <c r="W356" s="12"/>
      <c r="X356" s="12"/>
    </row>
    <row r="357" customFormat="false" ht="15.75" hidden="false" customHeight="false" outlineLevel="0" collapsed="false">
      <c r="A357" s="12"/>
      <c r="B357" s="34"/>
      <c r="C357" s="12"/>
      <c r="D357" s="12"/>
      <c r="E357" s="12"/>
      <c r="F357" s="12"/>
      <c r="G357" s="18"/>
      <c r="H357" s="35"/>
      <c r="I357" s="12"/>
      <c r="M357" s="12"/>
      <c r="N357" s="18"/>
      <c r="O357" s="12"/>
      <c r="P357" s="12"/>
      <c r="Q357" s="12"/>
      <c r="R357" s="36"/>
      <c r="S357" s="36"/>
      <c r="T357" s="12"/>
      <c r="U357" s="12"/>
      <c r="V357" s="12"/>
      <c r="W357" s="12"/>
      <c r="X357" s="12"/>
    </row>
    <row r="358" customFormat="false" ht="15.75" hidden="false" customHeight="false" outlineLevel="0" collapsed="false">
      <c r="A358" s="12"/>
      <c r="B358" s="34"/>
      <c r="C358" s="12"/>
      <c r="D358" s="12"/>
      <c r="E358" s="12"/>
      <c r="F358" s="12"/>
      <c r="G358" s="18"/>
      <c r="H358" s="35"/>
      <c r="I358" s="12"/>
      <c r="M358" s="12"/>
      <c r="N358" s="18"/>
      <c r="O358" s="12"/>
      <c r="P358" s="12"/>
      <c r="Q358" s="12"/>
      <c r="R358" s="36"/>
      <c r="S358" s="36"/>
      <c r="T358" s="12"/>
      <c r="U358" s="12"/>
      <c r="V358" s="12"/>
      <c r="W358" s="12"/>
      <c r="X358" s="12"/>
    </row>
    <row r="359" customFormat="false" ht="15.75" hidden="false" customHeight="false" outlineLevel="0" collapsed="false">
      <c r="A359" s="12"/>
      <c r="B359" s="34"/>
      <c r="C359" s="12"/>
      <c r="D359" s="12"/>
      <c r="E359" s="12"/>
      <c r="F359" s="12"/>
      <c r="G359" s="18"/>
      <c r="H359" s="35"/>
      <c r="I359" s="12"/>
      <c r="M359" s="12"/>
      <c r="N359" s="18"/>
      <c r="O359" s="12"/>
      <c r="P359" s="12"/>
      <c r="Q359" s="12"/>
      <c r="R359" s="36"/>
      <c r="S359" s="36"/>
      <c r="T359" s="12"/>
      <c r="U359" s="12"/>
      <c r="V359" s="12"/>
      <c r="W359" s="12"/>
      <c r="X359" s="12"/>
    </row>
    <row r="360" customFormat="false" ht="15.75" hidden="false" customHeight="false" outlineLevel="0" collapsed="false">
      <c r="A360" s="12"/>
      <c r="B360" s="34"/>
      <c r="C360" s="12"/>
      <c r="D360" s="12"/>
      <c r="E360" s="12"/>
      <c r="F360" s="12"/>
      <c r="G360" s="18"/>
      <c r="H360" s="35"/>
      <c r="I360" s="12"/>
      <c r="M360" s="12"/>
      <c r="N360" s="18"/>
      <c r="O360" s="12"/>
      <c r="P360" s="12"/>
      <c r="Q360" s="12"/>
      <c r="R360" s="36"/>
      <c r="S360" s="36"/>
      <c r="T360" s="12"/>
      <c r="U360" s="12"/>
      <c r="V360" s="12"/>
      <c r="W360" s="12"/>
      <c r="X360" s="12"/>
    </row>
    <row r="361" customFormat="false" ht="15.75" hidden="false" customHeight="false" outlineLevel="0" collapsed="false">
      <c r="A361" s="12"/>
      <c r="B361" s="34"/>
      <c r="C361" s="12"/>
      <c r="D361" s="12"/>
      <c r="E361" s="12"/>
      <c r="F361" s="12"/>
      <c r="G361" s="18"/>
      <c r="H361" s="35"/>
      <c r="I361" s="12"/>
      <c r="M361" s="12"/>
      <c r="N361" s="18"/>
      <c r="O361" s="12"/>
      <c r="P361" s="12"/>
      <c r="Q361" s="12"/>
      <c r="R361" s="36"/>
      <c r="S361" s="36"/>
      <c r="T361" s="12"/>
      <c r="U361" s="12"/>
      <c r="V361" s="12"/>
      <c r="W361" s="12"/>
      <c r="X361" s="12"/>
    </row>
    <row r="362" customFormat="false" ht="15.75" hidden="false" customHeight="false" outlineLevel="0" collapsed="false">
      <c r="A362" s="12"/>
      <c r="B362" s="34"/>
      <c r="C362" s="12"/>
      <c r="D362" s="12"/>
      <c r="E362" s="12"/>
      <c r="F362" s="12"/>
      <c r="G362" s="18"/>
      <c r="H362" s="35"/>
      <c r="I362" s="12"/>
      <c r="M362" s="12"/>
      <c r="N362" s="18"/>
      <c r="O362" s="12"/>
      <c r="P362" s="12"/>
      <c r="Q362" s="12"/>
      <c r="R362" s="36"/>
      <c r="S362" s="36"/>
      <c r="T362" s="12"/>
      <c r="U362" s="12"/>
      <c r="V362" s="12"/>
      <c r="W362" s="12"/>
      <c r="X362" s="12"/>
    </row>
    <row r="363" customFormat="false" ht="15.75" hidden="false" customHeight="false" outlineLevel="0" collapsed="false">
      <c r="A363" s="12"/>
      <c r="B363" s="34"/>
      <c r="C363" s="12"/>
      <c r="D363" s="12"/>
      <c r="E363" s="12"/>
      <c r="F363" s="12"/>
      <c r="G363" s="18"/>
      <c r="H363" s="35"/>
      <c r="I363" s="12"/>
      <c r="M363" s="12"/>
      <c r="N363" s="18"/>
      <c r="O363" s="12"/>
      <c r="P363" s="12"/>
      <c r="Q363" s="12"/>
      <c r="R363" s="36"/>
      <c r="S363" s="36"/>
      <c r="T363" s="12"/>
      <c r="U363" s="12"/>
      <c r="V363" s="12"/>
      <c r="W363" s="12"/>
      <c r="X363" s="12"/>
    </row>
    <row r="364" customFormat="false" ht="15.75" hidden="false" customHeight="false" outlineLevel="0" collapsed="false">
      <c r="A364" s="12"/>
      <c r="B364" s="34"/>
      <c r="C364" s="12"/>
      <c r="D364" s="12"/>
      <c r="E364" s="12"/>
      <c r="F364" s="12"/>
      <c r="G364" s="18"/>
      <c r="H364" s="35"/>
      <c r="I364" s="12"/>
      <c r="M364" s="12"/>
      <c r="N364" s="18"/>
      <c r="O364" s="12"/>
      <c r="P364" s="12"/>
      <c r="Q364" s="12"/>
      <c r="R364" s="36"/>
      <c r="S364" s="36"/>
      <c r="T364" s="12"/>
      <c r="U364" s="12"/>
      <c r="V364" s="12"/>
      <c r="W364" s="12"/>
      <c r="X364" s="12"/>
    </row>
    <row r="365" customFormat="false" ht="15.75" hidden="false" customHeight="false" outlineLevel="0" collapsed="false">
      <c r="A365" s="12"/>
      <c r="B365" s="34"/>
      <c r="C365" s="12"/>
      <c r="D365" s="12"/>
      <c r="E365" s="12"/>
      <c r="F365" s="12"/>
      <c r="G365" s="18"/>
      <c r="H365" s="35"/>
      <c r="I365" s="12"/>
      <c r="M365" s="12"/>
      <c r="N365" s="18"/>
      <c r="O365" s="12"/>
      <c r="P365" s="12"/>
      <c r="Q365" s="12"/>
      <c r="R365" s="36"/>
      <c r="S365" s="36"/>
      <c r="T365" s="12"/>
      <c r="U365" s="12"/>
      <c r="V365" s="12"/>
      <c r="W365" s="12"/>
      <c r="X365" s="12"/>
    </row>
    <row r="366" customFormat="false" ht="15.75" hidden="false" customHeight="false" outlineLevel="0" collapsed="false">
      <c r="A366" s="12"/>
      <c r="B366" s="34"/>
      <c r="C366" s="12"/>
      <c r="D366" s="12"/>
      <c r="E366" s="12"/>
      <c r="F366" s="12"/>
      <c r="G366" s="18"/>
      <c r="H366" s="35"/>
      <c r="I366" s="12"/>
      <c r="M366" s="12"/>
      <c r="N366" s="18"/>
      <c r="O366" s="12"/>
      <c r="P366" s="12"/>
      <c r="Q366" s="12"/>
      <c r="R366" s="36"/>
      <c r="S366" s="36"/>
      <c r="T366" s="12"/>
      <c r="U366" s="12"/>
      <c r="V366" s="12"/>
      <c r="W366" s="12"/>
      <c r="X366" s="12"/>
    </row>
    <row r="367" customFormat="false" ht="15.75" hidden="false" customHeight="false" outlineLevel="0" collapsed="false">
      <c r="A367" s="12"/>
      <c r="B367" s="34"/>
      <c r="C367" s="12"/>
      <c r="D367" s="12"/>
      <c r="E367" s="12"/>
      <c r="F367" s="12"/>
      <c r="G367" s="18"/>
      <c r="H367" s="35"/>
      <c r="I367" s="12"/>
      <c r="M367" s="12"/>
      <c r="N367" s="18"/>
      <c r="O367" s="12"/>
      <c r="P367" s="12"/>
      <c r="Q367" s="12"/>
      <c r="R367" s="36"/>
      <c r="S367" s="36"/>
      <c r="T367" s="12"/>
      <c r="U367" s="12"/>
      <c r="V367" s="12"/>
      <c r="W367" s="12"/>
      <c r="X367" s="12"/>
    </row>
    <row r="368" customFormat="false" ht="15.75" hidden="false" customHeight="false" outlineLevel="0" collapsed="false">
      <c r="A368" s="12"/>
      <c r="B368" s="34"/>
      <c r="C368" s="12"/>
      <c r="D368" s="12"/>
      <c r="E368" s="12"/>
      <c r="F368" s="12"/>
      <c r="G368" s="18"/>
      <c r="H368" s="35"/>
      <c r="I368" s="12"/>
      <c r="M368" s="12"/>
      <c r="N368" s="18"/>
      <c r="O368" s="12"/>
      <c r="P368" s="12"/>
      <c r="Q368" s="12"/>
      <c r="R368" s="36"/>
      <c r="S368" s="36"/>
      <c r="T368" s="12"/>
      <c r="U368" s="12"/>
      <c r="V368" s="12"/>
      <c r="W368" s="12"/>
      <c r="X368" s="12"/>
    </row>
    <row r="369" customFormat="false" ht="15.75" hidden="false" customHeight="false" outlineLevel="0" collapsed="false">
      <c r="A369" s="12"/>
      <c r="B369" s="34"/>
      <c r="C369" s="12"/>
      <c r="D369" s="12"/>
      <c r="E369" s="12"/>
      <c r="F369" s="12"/>
      <c r="G369" s="18"/>
      <c r="H369" s="35"/>
      <c r="I369" s="12"/>
      <c r="M369" s="12"/>
      <c r="N369" s="18"/>
      <c r="O369" s="12"/>
      <c r="P369" s="12"/>
      <c r="Q369" s="12"/>
      <c r="R369" s="36"/>
      <c r="S369" s="36"/>
      <c r="T369" s="12"/>
      <c r="U369" s="12"/>
      <c r="V369" s="12"/>
      <c r="W369" s="12"/>
      <c r="X369" s="12"/>
    </row>
    <row r="370" customFormat="false" ht="15.75" hidden="false" customHeight="false" outlineLevel="0" collapsed="false">
      <c r="A370" s="12"/>
      <c r="B370" s="34"/>
      <c r="C370" s="12"/>
      <c r="D370" s="12"/>
      <c r="E370" s="12"/>
      <c r="F370" s="12"/>
      <c r="G370" s="18"/>
      <c r="H370" s="35"/>
      <c r="I370" s="12"/>
      <c r="M370" s="12"/>
      <c r="N370" s="18"/>
      <c r="O370" s="12"/>
      <c r="P370" s="12"/>
      <c r="Q370" s="12"/>
      <c r="R370" s="36"/>
      <c r="S370" s="36"/>
      <c r="T370" s="12"/>
      <c r="U370" s="12"/>
      <c r="V370" s="12"/>
      <c r="W370" s="12"/>
      <c r="X370" s="12"/>
    </row>
    <row r="371" customFormat="false" ht="15.75" hidden="false" customHeight="false" outlineLevel="0" collapsed="false">
      <c r="A371" s="12"/>
      <c r="B371" s="34"/>
      <c r="C371" s="12"/>
      <c r="D371" s="12"/>
      <c r="E371" s="12"/>
      <c r="F371" s="12"/>
      <c r="G371" s="18"/>
      <c r="H371" s="35"/>
      <c r="I371" s="12"/>
      <c r="M371" s="12"/>
      <c r="N371" s="18"/>
      <c r="O371" s="12"/>
      <c r="P371" s="12"/>
      <c r="Q371" s="12"/>
      <c r="R371" s="36"/>
      <c r="S371" s="36"/>
      <c r="T371" s="12"/>
      <c r="U371" s="12"/>
      <c r="V371" s="12"/>
      <c r="W371" s="12"/>
      <c r="X371" s="12"/>
    </row>
    <row r="372" customFormat="false" ht="15.75" hidden="false" customHeight="false" outlineLevel="0" collapsed="false">
      <c r="A372" s="12"/>
      <c r="B372" s="34"/>
      <c r="C372" s="12"/>
      <c r="D372" s="12"/>
      <c r="E372" s="12"/>
      <c r="F372" s="12"/>
      <c r="G372" s="18"/>
      <c r="H372" s="35"/>
      <c r="I372" s="12"/>
      <c r="M372" s="12"/>
      <c r="N372" s="18"/>
      <c r="O372" s="12"/>
      <c r="P372" s="12"/>
      <c r="Q372" s="12"/>
      <c r="R372" s="36"/>
      <c r="S372" s="36"/>
      <c r="T372" s="12"/>
      <c r="U372" s="12"/>
      <c r="V372" s="12"/>
      <c r="W372" s="12"/>
      <c r="X372" s="12"/>
    </row>
    <row r="373" customFormat="false" ht="15.75" hidden="false" customHeight="false" outlineLevel="0" collapsed="false">
      <c r="A373" s="12"/>
      <c r="B373" s="34"/>
      <c r="C373" s="12"/>
      <c r="D373" s="12"/>
      <c r="E373" s="12"/>
      <c r="F373" s="12"/>
      <c r="G373" s="18"/>
      <c r="H373" s="35"/>
      <c r="I373" s="12"/>
      <c r="M373" s="12"/>
      <c r="N373" s="18"/>
      <c r="O373" s="12"/>
      <c r="P373" s="12"/>
      <c r="Q373" s="12"/>
      <c r="R373" s="36"/>
      <c r="S373" s="36"/>
      <c r="T373" s="12"/>
      <c r="U373" s="12"/>
      <c r="V373" s="12"/>
      <c r="W373" s="12"/>
      <c r="X373" s="12"/>
    </row>
    <row r="374" customFormat="false" ht="15.75" hidden="false" customHeight="false" outlineLevel="0" collapsed="false">
      <c r="A374" s="12"/>
      <c r="B374" s="34"/>
      <c r="C374" s="12"/>
      <c r="D374" s="12"/>
      <c r="E374" s="12"/>
      <c r="F374" s="12"/>
      <c r="G374" s="18"/>
      <c r="H374" s="35"/>
      <c r="I374" s="12"/>
      <c r="M374" s="12"/>
      <c r="N374" s="18"/>
      <c r="O374" s="12"/>
      <c r="P374" s="12"/>
      <c r="Q374" s="12"/>
      <c r="R374" s="36"/>
      <c r="S374" s="36"/>
      <c r="T374" s="12"/>
      <c r="U374" s="12"/>
      <c r="V374" s="12"/>
      <c r="W374" s="12"/>
      <c r="X374" s="12"/>
    </row>
    <row r="375" customFormat="false" ht="15.75" hidden="false" customHeight="false" outlineLevel="0" collapsed="false">
      <c r="A375" s="12"/>
      <c r="B375" s="34"/>
      <c r="C375" s="12"/>
      <c r="D375" s="12"/>
      <c r="E375" s="12"/>
      <c r="F375" s="12"/>
      <c r="G375" s="18"/>
      <c r="H375" s="35"/>
      <c r="I375" s="12"/>
      <c r="M375" s="12"/>
      <c r="N375" s="18"/>
      <c r="O375" s="12"/>
      <c r="P375" s="12"/>
      <c r="Q375" s="12"/>
      <c r="R375" s="36"/>
      <c r="S375" s="36"/>
      <c r="T375" s="12"/>
      <c r="U375" s="12"/>
      <c r="V375" s="12"/>
      <c r="W375" s="12"/>
      <c r="X375" s="12"/>
    </row>
    <row r="376" customFormat="false" ht="15.75" hidden="false" customHeight="false" outlineLevel="0" collapsed="false">
      <c r="A376" s="12"/>
      <c r="B376" s="34"/>
      <c r="C376" s="12"/>
      <c r="D376" s="12"/>
      <c r="E376" s="12"/>
      <c r="F376" s="12"/>
      <c r="G376" s="18"/>
      <c r="H376" s="35"/>
      <c r="I376" s="12"/>
      <c r="M376" s="12"/>
      <c r="N376" s="18"/>
      <c r="O376" s="12"/>
      <c r="P376" s="12"/>
      <c r="Q376" s="12"/>
      <c r="R376" s="36"/>
      <c r="S376" s="36"/>
      <c r="T376" s="12"/>
      <c r="U376" s="12"/>
      <c r="V376" s="12"/>
      <c r="W376" s="12"/>
      <c r="X376" s="12"/>
    </row>
    <row r="377" customFormat="false" ht="15.75" hidden="false" customHeight="false" outlineLevel="0" collapsed="false">
      <c r="A377" s="12"/>
      <c r="B377" s="34"/>
      <c r="C377" s="12"/>
      <c r="D377" s="12"/>
      <c r="E377" s="12"/>
      <c r="F377" s="12"/>
      <c r="G377" s="18"/>
      <c r="H377" s="35"/>
      <c r="I377" s="12"/>
      <c r="M377" s="12"/>
      <c r="N377" s="18"/>
      <c r="O377" s="12"/>
      <c r="P377" s="12"/>
      <c r="Q377" s="12"/>
      <c r="R377" s="36"/>
      <c r="S377" s="36"/>
      <c r="T377" s="12"/>
      <c r="U377" s="12"/>
      <c r="V377" s="12"/>
      <c r="W377" s="12"/>
      <c r="X377" s="12"/>
    </row>
    <row r="378" customFormat="false" ht="15.75" hidden="false" customHeight="false" outlineLevel="0" collapsed="false">
      <c r="A378" s="12"/>
      <c r="B378" s="34"/>
      <c r="C378" s="12"/>
      <c r="D378" s="12"/>
      <c r="E378" s="12"/>
      <c r="F378" s="12"/>
      <c r="G378" s="18"/>
      <c r="H378" s="35"/>
      <c r="I378" s="12"/>
      <c r="M378" s="12"/>
      <c r="N378" s="18"/>
      <c r="O378" s="12"/>
      <c r="P378" s="12"/>
      <c r="Q378" s="12"/>
      <c r="R378" s="36"/>
      <c r="S378" s="36"/>
      <c r="T378" s="12"/>
      <c r="U378" s="12"/>
      <c r="V378" s="12"/>
      <c r="W378" s="12"/>
      <c r="X378" s="12"/>
    </row>
    <row r="379" customFormat="false" ht="15.75" hidden="false" customHeight="false" outlineLevel="0" collapsed="false">
      <c r="A379" s="12"/>
      <c r="B379" s="34"/>
      <c r="C379" s="12"/>
      <c r="D379" s="12"/>
      <c r="E379" s="12"/>
      <c r="F379" s="12"/>
      <c r="G379" s="18"/>
      <c r="H379" s="35"/>
      <c r="I379" s="12"/>
      <c r="M379" s="12"/>
      <c r="N379" s="18"/>
      <c r="O379" s="12"/>
      <c r="P379" s="12"/>
      <c r="Q379" s="12"/>
      <c r="R379" s="36"/>
      <c r="S379" s="36"/>
      <c r="T379" s="12"/>
      <c r="U379" s="12"/>
      <c r="V379" s="12"/>
      <c r="W379" s="12"/>
      <c r="X379" s="12"/>
    </row>
    <row r="380" customFormat="false" ht="15.75" hidden="false" customHeight="false" outlineLevel="0" collapsed="false">
      <c r="A380" s="12"/>
      <c r="B380" s="34"/>
      <c r="C380" s="12"/>
      <c r="D380" s="12"/>
      <c r="E380" s="12"/>
      <c r="F380" s="12"/>
      <c r="G380" s="18"/>
      <c r="H380" s="35"/>
      <c r="I380" s="12"/>
      <c r="M380" s="12"/>
      <c r="N380" s="18"/>
      <c r="O380" s="12"/>
      <c r="P380" s="12"/>
      <c r="Q380" s="12"/>
      <c r="R380" s="36"/>
      <c r="S380" s="36"/>
      <c r="T380" s="12"/>
      <c r="U380" s="12"/>
      <c r="V380" s="12"/>
      <c r="W380" s="12"/>
      <c r="X380" s="12"/>
    </row>
    <row r="381" customFormat="false" ht="15.75" hidden="false" customHeight="false" outlineLevel="0" collapsed="false">
      <c r="A381" s="12"/>
      <c r="B381" s="34"/>
      <c r="C381" s="12"/>
      <c r="D381" s="12"/>
      <c r="E381" s="12"/>
      <c r="F381" s="12"/>
      <c r="G381" s="18"/>
      <c r="H381" s="35"/>
      <c r="I381" s="12"/>
      <c r="M381" s="12"/>
      <c r="N381" s="18"/>
      <c r="O381" s="12"/>
      <c r="P381" s="12"/>
      <c r="Q381" s="12"/>
      <c r="R381" s="36"/>
      <c r="S381" s="36"/>
      <c r="T381" s="12"/>
      <c r="U381" s="12"/>
      <c r="V381" s="12"/>
      <c r="W381" s="12"/>
      <c r="X381" s="12"/>
    </row>
    <row r="382" customFormat="false" ht="15.75" hidden="false" customHeight="false" outlineLevel="0" collapsed="false">
      <c r="A382" s="12"/>
      <c r="B382" s="34"/>
      <c r="C382" s="12"/>
      <c r="D382" s="12"/>
      <c r="E382" s="12"/>
      <c r="F382" s="12"/>
      <c r="G382" s="18"/>
      <c r="H382" s="35"/>
      <c r="I382" s="12"/>
      <c r="M382" s="12"/>
      <c r="N382" s="18"/>
      <c r="O382" s="12"/>
      <c r="P382" s="12"/>
      <c r="Q382" s="12"/>
      <c r="R382" s="36"/>
      <c r="S382" s="36"/>
      <c r="T382" s="12"/>
      <c r="U382" s="12"/>
      <c r="V382" s="12"/>
      <c r="W382" s="12"/>
      <c r="X382" s="12"/>
    </row>
    <row r="383" customFormat="false" ht="15.75" hidden="false" customHeight="false" outlineLevel="0" collapsed="false">
      <c r="A383" s="12"/>
      <c r="B383" s="34"/>
      <c r="C383" s="12"/>
      <c r="D383" s="12"/>
      <c r="E383" s="12"/>
      <c r="F383" s="12"/>
      <c r="G383" s="18"/>
      <c r="H383" s="35"/>
      <c r="I383" s="12"/>
      <c r="M383" s="12"/>
      <c r="N383" s="18"/>
      <c r="O383" s="12"/>
      <c r="P383" s="12"/>
      <c r="Q383" s="12"/>
      <c r="R383" s="36"/>
      <c r="S383" s="36"/>
      <c r="T383" s="12"/>
      <c r="U383" s="12"/>
      <c r="V383" s="12"/>
      <c r="W383" s="12"/>
      <c r="X383" s="12"/>
    </row>
    <row r="384" customFormat="false" ht="15.75" hidden="false" customHeight="false" outlineLevel="0" collapsed="false">
      <c r="A384" s="12"/>
      <c r="B384" s="34"/>
      <c r="C384" s="12"/>
      <c r="D384" s="12"/>
      <c r="E384" s="12"/>
      <c r="F384" s="12"/>
      <c r="G384" s="18"/>
      <c r="H384" s="35"/>
      <c r="I384" s="12"/>
      <c r="M384" s="12"/>
      <c r="N384" s="18"/>
      <c r="O384" s="12"/>
      <c r="P384" s="12"/>
      <c r="Q384" s="12"/>
      <c r="R384" s="36"/>
      <c r="S384" s="36"/>
      <c r="T384" s="12"/>
      <c r="U384" s="12"/>
      <c r="V384" s="12"/>
      <c r="W384" s="12"/>
      <c r="X384" s="12"/>
    </row>
    <row r="385" customFormat="false" ht="15.75" hidden="false" customHeight="false" outlineLevel="0" collapsed="false">
      <c r="A385" s="12"/>
      <c r="B385" s="34"/>
      <c r="C385" s="12"/>
      <c r="D385" s="12"/>
      <c r="E385" s="12"/>
      <c r="F385" s="12"/>
      <c r="G385" s="18"/>
      <c r="H385" s="35"/>
      <c r="I385" s="12"/>
      <c r="M385" s="12"/>
      <c r="N385" s="18"/>
      <c r="O385" s="12"/>
      <c r="P385" s="12"/>
      <c r="Q385" s="12"/>
      <c r="R385" s="36"/>
      <c r="S385" s="36"/>
      <c r="T385" s="12"/>
      <c r="U385" s="12"/>
      <c r="V385" s="12"/>
      <c r="W385" s="12"/>
      <c r="X385" s="12"/>
    </row>
    <row r="386" customFormat="false" ht="15.75" hidden="false" customHeight="false" outlineLevel="0" collapsed="false">
      <c r="A386" s="12"/>
      <c r="B386" s="34"/>
      <c r="C386" s="12"/>
      <c r="D386" s="12"/>
      <c r="E386" s="12"/>
      <c r="F386" s="12"/>
      <c r="G386" s="18"/>
      <c r="H386" s="35"/>
      <c r="I386" s="12"/>
      <c r="M386" s="12"/>
      <c r="N386" s="18"/>
      <c r="O386" s="12"/>
      <c r="P386" s="12"/>
      <c r="Q386" s="12"/>
      <c r="R386" s="36"/>
      <c r="S386" s="36"/>
      <c r="T386" s="12"/>
      <c r="U386" s="12"/>
      <c r="V386" s="12"/>
      <c r="W386" s="12"/>
      <c r="X386" s="12"/>
    </row>
    <row r="387" customFormat="false" ht="15.75" hidden="false" customHeight="false" outlineLevel="0" collapsed="false">
      <c r="A387" s="12"/>
      <c r="B387" s="34"/>
      <c r="C387" s="12"/>
      <c r="D387" s="12"/>
      <c r="E387" s="12"/>
      <c r="F387" s="12"/>
      <c r="G387" s="18"/>
      <c r="H387" s="35"/>
      <c r="I387" s="12"/>
      <c r="M387" s="12"/>
      <c r="N387" s="18"/>
      <c r="O387" s="12"/>
      <c r="P387" s="12"/>
      <c r="Q387" s="12"/>
      <c r="R387" s="36"/>
      <c r="S387" s="36"/>
      <c r="T387" s="12"/>
      <c r="U387" s="12"/>
      <c r="V387" s="12"/>
      <c r="W387" s="12"/>
      <c r="X387" s="12"/>
    </row>
    <row r="388" customFormat="false" ht="15.75" hidden="false" customHeight="false" outlineLevel="0" collapsed="false">
      <c r="A388" s="12"/>
      <c r="B388" s="34"/>
      <c r="C388" s="12"/>
      <c r="D388" s="12"/>
      <c r="E388" s="12"/>
      <c r="F388" s="12"/>
      <c r="G388" s="18"/>
      <c r="H388" s="35"/>
      <c r="I388" s="12"/>
      <c r="M388" s="12"/>
      <c r="N388" s="18"/>
      <c r="O388" s="12"/>
      <c r="P388" s="12"/>
      <c r="Q388" s="12"/>
      <c r="R388" s="36"/>
      <c r="S388" s="36"/>
      <c r="T388" s="12"/>
      <c r="U388" s="12"/>
      <c r="V388" s="12"/>
      <c r="W388" s="12"/>
      <c r="X388" s="12"/>
    </row>
    <row r="389" customFormat="false" ht="15.75" hidden="false" customHeight="false" outlineLevel="0" collapsed="false">
      <c r="A389" s="12"/>
      <c r="B389" s="34"/>
      <c r="C389" s="12"/>
      <c r="D389" s="12"/>
      <c r="E389" s="12"/>
      <c r="F389" s="12"/>
      <c r="G389" s="18"/>
      <c r="H389" s="35"/>
      <c r="I389" s="12"/>
      <c r="M389" s="12"/>
      <c r="N389" s="18"/>
      <c r="O389" s="12"/>
      <c r="P389" s="12"/>
      <c r="Q389" s="12"/>
      <c r="R389" s="36"/>
      <c r="S389" s="36"/>
      <c r="T389" s="12"/>
      <c r="U389" s="12"/>
      <c r="V389" s="12"/>
      <c r="W389" s="12"/>
      <c r="X389" s="12"/>
    </row>
    <row r="390" customFormat="false" ht="15.75" hidden="false" customHeight="false" outlineLevel="0" collapsed="false">
      <c r="A390" s="12"/>
      <c r="B390" s="34"/>
      <c r="C390" s="12"/>
      <c r="D390" s="12"/>
      <c r="E390" s="12"/>
      <c r="F390" s="12"/>
      <c r="G390" s="18"/>
      <c r="H390" s="35"/>
      <c r="I390" s="12"/>
      <c r="M390" s="12"/>
      <c r="N390" s="18"/>
      <c r="O390" s="12"/>
      <c r="P390" s="12"/>
      <c r="Q390" s="12"/>
      <c r="R390" s="36"/>
      <c r="S390" s="36"/>
      <c r="T390" s="12"/>
      <c r="U390" s="12"/>
      <c r="V390" s="12"/>
      <c r="W390" s="12"/>
      <c r="X390" s="12"/>
    </row>
    <row r="391" customFormat="false" ht="15.75" hidden="false" customHeight="false" outlineLevel="0" collapsed="false">
      <c r="A391" s="12"/>
      <c r="B391" s="34"/>
      <c r="C391" s="12"/>
      <c r="D391" s="12"/>
      <c r="E391" s="12"/>
      <c r="F391" s="12"/>
      <c r="G391" s="18"/>
      <c r="H391" s="35"/>
      <c r="I391" s="12"/>
      <c r="M391" s="12"/>
      <c r="N391" s="18"/>
      <c r="O391" s="12"/>
      <c r="P391" s="12"/>
      <c r="Q391" s="12"/>
      <c r="R391" s="36"/>
      <c r="S391" s="36"/>
      <c r="T391" s="12"/>
      <c r="U391" s="12"/>
      <c r="V391" s="12"/>
      <c r="W391" s="12"/>
      <c r="X391" s="12"/>
    </row>
    <row r="392" customFormat="false" ht="15.75" hidden="false" customHeight="false" outlineLevel="0" collapsed="false">
      <c r="A392" s="12"/>
      <c r="B392" s="34"/>
      <c r="C392" s="12"/>
      <c r="D392" s="12"/>
      <c r="E392" s="12"/>
      <c r="F392" s="12"/>
      <c r="G392" s="18"/>
      <c r="H392" s="35"/>
      <c r="I392" s="12"/>
      <c r="M392" s="12"/>
      <c r="N392" s="18"/>
      <c r="O392" s="12"/>
      <c r="P392" s="12"/>
      <c r="Q392" s="12"/>
      <c r="R392" s="36"/>
      <c r="S392" s="36"/>
      <c r="T392" s="12"/>
      <c r="U392" s="12"/>
      <c r="V392" s="12"/>
      <c r="W392" s="12"/>
      <c r="X392" s="12"/>
    </row>
    <row r="393" customFormat="false" ht="15.75" hidden="false" customHeight="false" outlineLevel="0" collapsed="false">
      <c r="A393" s="12"/>
      <c r="B393" s="34"/>
      <c r="C393" s="12"/>
      <c r="D393" s="12"/>
      <c r="E393" s="12"/>
      <c r="F393" s="12"/>
      <c r="G393" s="18"/>
      <c r="H393" s="35"/>
      <c r="I393" s="12"/>
      <c r="M393" s="12"/>
      <c r="N393" s="18"/>
      <c r="O393" s="12"/>
      <c r="P393" s="12"/>
      <c r="Q393" s="12"/>
      <c r="R393" s="36"/>
      <c r="S393" s="36"/>
      <c r="T393" s="12"/>
      <c r="U393" s="12"/>
      <c r="V393" s="12"/>
      <c r="W393" s="12"/>
      <c r="X393" s="12"/>
    </row>
    <row r="394" customFormat="false" ht="15.75" hidden="false" customHeight="false" outlineLevel="0" collapsed="false">
      <c r="A394" s="12"/>
      <c r="B394" s="34"/>
      <c r="C394" s="12"/>
      <c r="D394" s="12"/>
      <c r="E394" s="12"/>
      <c r="F394" s="12"/>
      <c r="G394" s="18"/>
      <c r="H394" s="35"/>
      <c r="I394" s="12"/>
      <c r="M394" s="12"/>
      <c r="N394" s="18"/>
      <c r="O394" s="12"/>
      <c r="P394" s="12"/>
      <c r="Q394" s="12"/>
      <c r="R394" s="36"/>
      <c r="S394" s="36"/>
      <c r="T394" s="12"/>
      <c r="U394" s="12"/>
      <c r="V394" s="12"/>
      <c r="W394" s="12"/>
      <c r="X394" s="12"/>
    </row>
    <row r="395" customFormat="false" ht="15.75" hidden="false" customHeight="false" outlineLevel="0" collapsed="false">
      <c r="A395" s="12"/>
      <c r="B395" s="34"/>
      <c r="C395" s="12"/>
      <c r="D395" s="12"/>
      <c r="E395" s="12"/>
      <c r="F395" s="12"/>
      <c r="G395" s="18"/>
      <c r="H395" s="35"/>
      <c r="I395" s="12"/>
      <c r="M395" s="12"/>
      <c r="N395" s="18"/>
      <c r="O395" s="12"/>
      <c r="P395" s="12"/>
      <c r="Q395" s="12"/>
      <c r="R395" s="36"/>
      <c r="S395" s="36"/>
      <c r="T395" s="12"/>
      <c r="U395" s="12"/>
      <c r="V395" s="12"/>
      <c r="W395" s="12"/>
      <c r="X395" s="12"/>
    </row>
    <row r="396" customFormat="false" ht="15.75" hidden="false" customHeight="false" outlineLevel="0" collapsed="false">
      <c r="A396" s="12"/>
      <c r="B396" s="34"/>
      <c r="C396" s="12"/>
      <c r="D396" s="12"/>
      <c r="E396" s="12"/>
      <c r="F396" s="12"/>
      <c r="G396" s="18"/>
      <c r="H396" s="35"/>
      <c r="I396" s="12"/>
      <c r="M396" s="12"/>
      <c r="N396" s="18"/>
      <c r="O396" s="12"/>
      <c r="P396" s="12"/>
      <c r="Q396" s="12"/>
      <c r="R396" s="36"/>
      <c r="S396" s="36"/>
      <c r="T396" s="12"/>
      <c r="U396" s="12"/>
      <c r="V396" s="12"/>
      <c r="W396" s="12"/>
      <c r="X396" s="12"/>
    </row>
    <row r="397" customFormat="false" ht="15.75" hidden="false" customHeight="false" outlineLevel="0" collapsed="false">
      <c r="A397" s="12"/>
      <c r="B397" s="34"/>
      <c r="C397" s="12"/>
      <c r="D397" s="12"/>
      <c r="E397" s="12"/>
      <c r="F397" s="12"/>
      <c r="G397" s="18"/>
      <c r="H397" s="35"/>
      <c r="I397" s="12"/>
      <c r="M397" s="12"/>
      <c r="N397" s="18"/>
      <c r="O397" s="12"/>
      <c r="P397" s="12"/>
      <c r="Q397" s="12"/>
      <c r="R397" s="36"/>
      <c r="S397" s="36"/>
      <c r="T397" s="12"/>
      <c r="U397" s="12"/>
      <c r="V397" s="12"/>
      <c r="W397" s="12"/>
      <c r="X397" s="12"/>
    </row>
    <row r="398" customFormat="false" ht="15.75" hidden="false" customHeight="false" outlineLevel="0" collapsed="false">
      <c r="A398" s="12"/>
      <c r="B398" s="34"/>
      <c r="C398" s="12"/>
      <c r="D398" s="12"/>
      <c r="E398" s="12"/>
      <c r="F398" s="12"/>
      <c r="G398" s="18"/>
      <c r="H398" s="35"/>
      <c r="I398" s="12"/>
      <c r="M398" s="12"/>
      <c r="N398" s="18"/>
      <c r="O398" s="12"/>
      <c r="P398" s="12"/>
      <c r="Q398" s="12"/>
      <c r="R398" s="36"/>
      <c r="S398" s="36"/>
      <c r="T398" s="12"/>
      <c r="U398" s="12"/>
      <c r="V398" s="12"/>
      <c r="W398" s="12"/>
      <c r="X398" s="12"/>
    </row>
    <row r="399" customFormat="false" ht="15.75" hidden="false" customHeight="false" outlineLevel="0" collapsed="false">
      <c r="A399" s="12"/>
      <c r="B399" s="34"/>
      <c r="C399" s="12"/>
      <c r="D399" s="12"/>
      <c r="E399" s="12"/>
      <c r="F399" s="12"/>
      <c r="G399" s="18"/>
      <c r="H399" s="35"/>
      <c r="I399" s="12"/>
      <c r="M399" s="12"/>
      <c r="N399" s="18"/>
      <c r="O399" s="12"/>
      <c r="P399" s="12"/>
      <c r="Q399" s="12"/>
      <c r="R399" s="36"/>
      <c r="S399" s="36"/>
      <c r="T399" s="12"/>
      <c r="U399" s="12"/>
      <c r="V399" s="12"/>
      <c r="W399" s="12"/>
      <c r="X399" s="12"/>
    </row>
    <row r="400" customFormat="false" ht="15.75" hidden="false" customHeight="false" outlineLevel="0" collapsed="false">
      <c r="A400" s="12"/>
      <c r="B400" s="34"/>
      <c r="C400" s="12"/>
      <c r="D400" s="12"/>
      <c r="E400" s="12"/>
      <c r="F400" s="12"/>
      <c r="G400" s="18"/>
      <c r="H400" s="35"/>
      <c r="I400" s="12"/>
      <c r="M400" s="12"/>
      <c r="N400" s="18"/>
      <c r="O400" s="12"/>
      <c r="P400" s="12"/>
      <c r="Q400" s="12"/>
      <c r="R400" s="36"/>
      <c r="S400" s="36"/>
      <c r="T400" s="12"/>
      <c r="U400" s="12"/>
      <c r="V400" s="12"/>
      <c r="W400" s="12"/>
      <c r="X400" s="12"/>
    </row>
    <row r="401" customFormat="false" ht="15.75" hidden="false" customHeight="false" outlineLevel="0" collapsed="false">
      <c r="A401" s="12"/>
      <c r="B401" s="34"/>
      <c r="C401" s="12"/>
      <c r="D401" s="12"/>
      <c r="E401" s="12"/>
      <c r="F401" s="12"/>
      <c r="G401" s="18"/>
      <c r="H401" s="35"/>
      <c r="I401" s="12"/>
      <c r="M401" s="12"/>
      <c r="N401" s="18"/>
      <c r="O401" s="12"/>
      <c r="P401" s="12"/>
      <c r="Q401" s="12"/>
      <c r="R401" s="36"/>
      <c r="S401" s="36"/>
      <c r="T401" s="12"/>
      <c r="U401" s="12"/>
      <c r="V401" s="12"/>
      <c r="W401" s="12"/>
      <c r="X401" s="12"/>
    </row>
    <row r="402" customFormat="false" ht="15.75" hidden="false" customHeight="false" outlineLevel="0" collapsed="false">
      <c r="A402" s="12"/>
      <c r="B402" s="34"/>
      <c r="C402" s="12"/>
      <c r="D402" s="12"/>
      <c r="E402" s="12"/>
      <c r="F402" s="12"/>
      <c r="G402" s="18"/>
      <c r="H402" s="35"/>
      <c r="I402" s="12"/>
      <c r="M402" s="12"/>
      <c r="N402" s="18"/>
      <c r="O402" s="12"/>
      <c r="P402" s="12"/>
      <c r="Q402" s="12"/>
      <c r="R402" s="36"/>
      <c r="S402" s="36"/>
      <c r="T402" s="12"/>
      <c r="U402" s="12"/>
      <c r="V402" s="12"/>
      <c r="W402" s="12"/>
      <c r="X402" s="12"/>
    </row>
    <row r="403" customFormat="false" ht="15.75" hidden="false" customHeight="false" outlineLevel="0" collapsed="false">
      <c r="A403" s="12"/>
      <c r="B403" s="34"/>
      <c r="C403" s="12"/>
      <c r="D403" s="12"/>
      <c r="E403" s="12"/>
      <c r="F403" s="12"/>
      <c r="G403" s="18"/>
      <c r="H403" s="35"/>
      <c r="I403" s="12"/>
      <c r="M403" s="12"/>
      <c r="N403" s="18"/>
      <c r="O403" s="12"/>
      <c r="P403" s="12"/>
      <c r="Q403" s="12"/>
      <c r="R403" s="36"/>
      <c r="S403" s="36"/>
      <c r="T403" s="12"/>
      <c r="U403" s="12"/>
      <c r="V403" s="12"/>
      <c r="W403" s="12"/>
      <c r="X403" s="12"/>
    </row>
    <row r="404" customFormat="false" ht="15.75" hidden="false" customHeight="false" outlineLevel="0" collapsed="false">
      <c r="A404" s="12"/>
      <c r="B404" s="34"/>
      <c r="C404" s="12"/>
      <c r="D404" s="12"/>
      <c r="E404" s="12"/>
      <c r="F404" s="12"/>
      <c r="G404" s="18"/>
      <c r="H404" s="35"/>
      <c r="I404" s="12"/>
      <c r="M404" s="12"/>
      <c r="N404" s="18"/>
      <c r="O404" s="12"/>
      <c r="P404" s="12"/>
      <c r="Q404" s="12"/>
      <c r="R404" s="36"/>
      <c r="S404" s="36"/>
      <c r="T404" s="12"/>
      <c r="U404" s="12"/>
      <c r="V404" s="12"/>
      <c r="W404" s="12"/>
      <c r="X404" s="12"/>
    </row>
    <row r="405" customFormat="false" ht="15.75" hidden="false" customHeight="false" outlineLevel="0" collapsed="false">
      <c r="A405" s="12"/>
      <c r="B405" s="34"/>
      <c r="C405" s="12"/>
      <c r="D405" s="12"/>
      <c r="E405" s="12"/>
      <c r="F405" s="12"/>
      <c r="G405" s="18"/>
      <c r="H405" s="35"/>
      <c r="I405" s="12"/>
      <c r="M405" s="12"/>
      <c r="N405" s="18"/>
      <c r="O405" s="12"/>
      <c r="P405" s="12"/>
      <c r="Q405" s="12"/>
      <c r="R405" s="36"/>
      <c r="S405" s="36"/>
      <c r="T405" s="12"/>
      <c r="U405" s="12"/>
      <c r="V405" s="12"/>
      <c r="W405" s="12"/>
      <c r="X405" s="12"/>
    </row>
    <row r="406" customFormat="false" ht="15.75" hidden="false" customHeight="false" outlineLevel="0" collapsed="false">
      <c r="A406" s="12"/>
      <c r="B406" s="34"/>
      <c r="C406" s="12"/>
      <c r="D406" s="12"/>
      <c r="E406" s="12"/>
      <c r="F406" s="12"/>
      <c r="G406" s="18"/>
      <c r="H406" s="35"/>
      <c r="I406" s="12"/>
      <c r="M406" s="12"/>
      <c r="N406" s="18"/>
      <c r="O406" s="12"/>
      <c r="P406" s="12"/>
      <c r="Q406" s="12"/>
      <c r="R406" s="36"/>
      <c r="S406" s="36"/>
      <c r="T406" s="12"/>
      <c r="U406" s="12"/>
      <c r="V406" s="12"/>
      <c r="W406" s="12"/>
      <c r="X406" s="12"/>
    </row>
    <row r="407" customFormat="false" ht="15.75" hidden="false" customHeight="false" outlineLevel="0" collapsed="false">
      <c r="A407" s="12"/>
      <c r="B407" s="34"/>
      <c r="C407" s="12"/>
      <c r="D407" s="12"/>
      <c r="E407" s="12"/>
      <c r="F407" s="12"/>
      <c r="G407" s="18"/>
      <c r="H407" s="35"/>
      <c r="I407" s="12"/>
      <c r="M407" s="12"/>
      <c r="N407" s="18"/>
      <c r="O407" s="12"/>
      <c r="P407" s="12"/>
      <c r="Q407" s="12"/>
      <c r="R407" s="36"/>
      <c r="S407" s="36"/>
      <c r="T407" s="12"/>
      <c r="U407" s="12"/>
      <c r="V407" s="12"/>
      <c r="W407" s="12"/>
      <c r="X407" s="12"/>
    </row>
    <row r="408" customFormat="false" ht="15.75" hidden="false" customHeight="false" outlineLevel="0" collapsed="false">
      <c r="A408" s="12"/>
      <c r="B408" s="34"/>
      <c r="C408" s="12"/>
      <c r="D408" s="12"/>
      <c r="E408" s="12"/>
      <c r="F408" s="12"/>
      <c r="G408" s="18"/>
      <c r="H408" s="35"/>
      <c r="I408" s="12"/>
      <c r="M408" s="12"/>
      <c r="N408" s="18"/>
      <c r="O408" s="12"/>
      <c r="P408" s="12"/>
      <c r="Q408" s="12"/>
      <c r="R408" s="36"/>
      <c r="S408" s="36"/>
      <c r="T408" s="12"/>
      <c r="U408" s="12"/>
      <c r="V408" s="12"/>
      <c r="W408" s="12"/>
      <c r="X408" s="12"/>
    </row>
    <row r="409" customFormat="false" ht="15.75" hidden="false" customHeight="false" outlineLevel="0" collapsed="false">
      <c r="A409" s="12"/>
      <c r="B409" s="34"/>
      <c r="C409" s="12"/>
      <c r="D409" s="12"/>
      <c r="E409" s="12"/>
      <c r="F409" s="12"/>
      <c r="G409" s="18"/>
      <c r="H409" s="35"/>
      <c r="I409" s="12"/>
      <c r="M409" s="12"/>
      <c r="N409" s="18"/>
      <c r="O409" s="12"/>
      <c r="P409" s="12"/>
      <c r="Q409" s="12"/>
      <c r="R409" s="36"/>
      <c r="S409" s="36"/>
      <c r="T409" s="12"/>
      <c r="U409" s="12"/>
      <c r="V409" s="12"/>
      <c r="W409" s="12"/>
      <c r="X409" s="12"/>
    </row>
    <row r="410" customFormat="false" ht="15.75" hidden="false" customHeight="false" outlineLevel="0" collapsed="false">
      <c r="A410" s="12"/>
      <c r="B410" s="34"/>
      <c r="C410" s="12"/>
      <c r="D410" s="12"/>
      <c r="E410" s="12"/>
      <c r="F410" s="12"/>
      <c r="G410" s="18"/>
      <c r="H410" s="35"/>
      <c r="I410" s="12"/>
      <c r="M410" s="12"/>
      <c r="N410" s="18"/>
      <c r="O410" s="12"/>
      <c r="P410" s="12"/>
      <c r="Q410" s="12"/>
      <c r="R410" s="36"/>
      <c r="S410" s="36"/>
      <c r="T410" s="12"/>
      <c r="U410" s="12"/>
      <c r="V410" s="12"/>
      <c r="W410" s="12"/>
      <c r="X410" s="12"/>
    </row>
    <row r="411" customFormat="false" ht="15.75" hidden="false" customHeight="false" outlineLevel="0" collapsed="false">
      <c r="A411" s="12"/>
      <c r="B411" s="34"/>
      <c r="C411" s="12"/>
      <c r="D411" s="12"/>
      <c r="E411" s="12"/>
      <c r="F411" s="12"/>
      <c r="G411" s="18"/>
      <c r="H411" s="35"/>
      <c r="I411" s="12"/>
      <c r="M411" s="12"/>
      <c r="N411" s="18"/>
      <c r="O411" s="12"/>
      <c r="P411" s="12"/>
      <c r="Q411" s="12"/>
      <c r="R411" s="36"/>
      <c r="S411" s="36"/>
      <c r="T411" s="12"/>
      <c r="U411" s="12"/>
      <c r="V411" s="12"/>
      <c r="W411" s="12"/>
      <c r="X411" s="12"/>
    </row>
    <row r="412" customFormat="false" ht="15.75" hidden="false" customHeight="false" outlineLevel="0" collapsed="false">
      <c r="A412" s="12"/>
      <c r="B412" s="34"/>
      <c r="C412" s="12"/>
      <c r="D412" s="12"/>
      <c r="E412" s="12"/>
      <c r="F412" s="12"/>
      <c r="G412" s="18"/>
      <c r="H412" s="35"/>
      <c r="I412" s="12"/>
      <c r="M412" s="12"/>
      <c r="N412" s="18"/>
      <c r="O412" s="12"/>
      <c r="P412" s="12"/>
      <c r="Q412" s="12"/>
      <c r="R412" s="36"/>
      <c r="S412" s="36"/>
      <c r="T412" s="12"/>
      <c r="U412" s="12"/>
      <c r="V412" s="12"/>
      <c r="W412" s="12"/>
      <c r="X412" s="12"/>
    </row>
    <row r="413" customFormat="false" ht="15.75" hidden="false" customHeight="false" outlineLevel="0" collapsed="false">
      <c r="A413" s="12"/>
      <c r="B413" s="34"/>
      <c r="C413" s="12"/>
      <c r="D413" s="12"/>
      <c r="E413" s="12"/>
      <c r="F413" s="12"/>
      <c r="G413" s="18"/>
      <c r="H413" s="35"/>
      <c r="I413" s="12"/>
      <c r="M413" s="12"/>
      <c r="N413" s="18"/>
      <c r="O413" s="12"/>
      <c r="P413" s="12"/>
      <c r="Q413" s="12"/>
      <c r="R413" s="36"/>
      <c r="S413" s="36"/>
      <c r="T413" s="12"/>
      <c r="U413" s="12"/>
      <c r="V413" s="12"/>
      <c r="W413" s="12"/>
      <c r="X413" s="12"/>
    </row>
    <row r="414" customFormat="false" ht="15.75" hidden="false" customHeight="false" outlineLevel="0" collapsed="false">
      <c r="A414" s="12"/>
      <c r="B414" s="34"/>
      <c r="C414" s="12"/>
      <c r="D414" s="12"/>
      <c r="E414" s="12"/>
      <c r="F414" s="12"/>
      <c r="G414" s="18"/>
      <c r="H414" s="35"/>
      <c r="I414" s="12"/>
      <c r="M414" s="12"/>
      <c r="N414" s="18"/>
      <c r="O414" s="12"/>
      <c r="P414" s="12"/>
      <c r="Q414" s="12"/>
      <c r="R414" s="36"/>
      <c r="S414" s="36"/>
      <c r="T414" s="12"/>
      <c r="U414" s="12"/>
      <c r="V414" s="12"/>
      <c r="W414" s="12"/>
      <c r="X414" s="12"/>
    </row>
    <row r="415" customFormat="false" ht="15.75" hidden="false" customHeight="false" outlineLevel="0" collapsed="false">
      <c r="A415" s="12"/>
      <c r="B415" s="34"/>
      <c r="C415" s="12"/>
      <c r="D415" s="12"/>
      <c r="E415" s="12"/>
      <c r="F415" s="12"/>
      <c r="G415" s="18"/>
      <c r="H415" s="35"/>
      <c r="I415" s="12"/>
      <c r="M415" s="12"/>
      <c r="N415" s="18"/>
      <c r="O415" s="12"/>
      <c r="P415" s="12"/>
      <c r="Q415" s="12"/>
      <c r="R415" s="36"/>
      <c r="S415" s="36"/>
      <c r="T415" s="12"/>
      <c r="U415" s="12"/>
      <c r="V415" s="12"/>
      <c r="W415" s="12"/>
      <c r="X415" s="12"/>
    </row>
    <row r="416" customFormat="false" ht="15.75" hidden="false" customHeight="false" outlineLevel="0" collapsed="false">
      <c r="A416" s="12"/>
      <c r="B416" s="34"/>
      <c r="C416" s="12"/>
      <c r="D416" s="12"/>
      <c r="E416" s="12"/>
      <c r="F416" s="12"/>
      <c r="G416" s="18"/>
      <c r="H416" s="35"/>
      <c r="I416" s="12"/>
      <c r="M416" s="12"/>
      <c r="N416" s="18"/>
      <c r="O416" s="12"/>
      <c r="P416" s="12"/>
      <c r="Q416" s="12"/>
      <c r="R416" s="36"/>
      <c r="S416" s="36"/>
      <c r="T416" s="12"/>
      <c r="U416" s="12"/>
      <c r="V416" s="12"/>
      <c r="W416" s="12"/>
      <c r="X416" s="12"/>
    </row>
    <row r="417" customFormat="false" ht="15.75" hidden="false" customHeight="false" outlineLevel="0" collapsed="false">
      <c r="A417" s="12"/>
      <c r="B417" s="34"/>
      <c r="C417" s="12"/>
      <c r="D417" s="12"/>
      <c r="E417" s="12"/>
      <c r="F417" s="12"/>
      <c r="G417" s="18"/>
      <c r="H417" s="35"/>
      <c r="I417" s="12"/>
      <c r="M417" s="12"/>
      <c r="N417" s="18"/>
      <c r="O417" s="12"/>
      <c r="P417" s="12"/>
      <c r="Q417" s="12"/>
      <c r="R417" s="36"/>
      <c r="S417" s="36"/>
      <c r="T417" s="12"/>
      <c r="U417" s="12"/>
      <c r="V417" s="12"/>
      <c r="W417" s="12"/>
      <c r="X417" s="12"/>
    </row>
    <row r="418" customFormat="false" ht="15.75" hidden="false" customHeight="false" outlineLevel="0" collapsed="false">
      <c r="A418" s="12"/>
      <c r="B418" s="34"/>
      <c r="C418" s="12"/>
      <c r="D418" s="12"/>
      <c r="E418" s="12"/>
      <c r="F418" s="12"/>
      <c r="G418" s="18"/>
      <c r="H418" s="35"/>
      <c r="I418" s="12"/>
      <c r="M418" s="12"/>
      <c r="N418" s="18"/>
      <c r="O418" s="12"/>
      <c r="P418" s="12"/>
      <c r="Q418" s="12"/>
      <c r="R418" s="36"/>
      <c r="S418" s="36"/>
      <c r="T418" s="12"/>
      <c r="U418" s="12"/>
      <c r="V418" s="12"/>
      <c r="W418" s="12"/>
      <c r="X418" s="12"/>
    </row>
    <row r="419" customFormat="false" ht="15.75" hidden="false" customHeight="false" outlineLevel="0" collapsed="false">
      <c r="A419" s="12"/>
      <c r="B419" s="34"/>
      <c r="C419" s="12"/>
      <c r="D419" s="12"/>
      <c r="E419" s="12"/>
      <c r="F419" s="12"/>
      <c r="G419" s="18"/>
      <c r="H419" s="35"/>
      <c r="I419" s="12"/>
      <c r="M419" s="12"/>
      <c r="N419" s="18"/>
      <c r="O419" s="12"/>
      <c r="P419" s="12"/>
      <c r="Q419" s="12"/>
      <c r="R419" s="36"/>
      <c r="S419" s="36"/>
      <c r="T419" s="12"/>
      <c r="U419" s="12"/>
      <c r="V419" s="12"/>
      <c r="W419" s="12"/>
      <c r="X419" s="12"/>
    </row>
    <row r="420" customFormat="false" ht="15.75" hidden="false" customHeight="false" outlineLevel="0" collapsed="false">
      <c r="A420" s="12"/>
      <c r="B420" s="34"/>
      <c r="C420" s="12"/>
      <c r="D420" s="12"/>
      <c r="E420" s="12"/>
      <c r="F420" s="12"/>
      <c r="G420" s="18"/>
      <c r="H420" s="35"/>
      <c r="I420" s="12"/>
      <c r="M420" s="12"/>
      <c r="N420" s="18"/>
      <c r="O420" s="12"/>
      <c r="P420" s="12"/>
      <c r="Q420" s="12"/>
      <c r="R420" s="36"/>
      <c r="S420" s="36"/>
      <c r="T420" s="12"/>
      <c r="U420" s="12"/>
      <c r="V420" s="12"/>
      <c r="W420" s="12"/>
      <c r="X420" s="12"/>
    </row>
    <row r="421" customFormat="false" ht="15.75" hidden="false" customHeight="false" outlineLevel="0" collapsed="false">
      <c r="A421" s="12"/>
      <c r="B421" s="34"/>
      <c r="C421" s="12"/>
      <c r="D421" s="12"/>
      <c r="E421" s="12"/>
      <c r="F421" s="12"/>
      <c r="G421" s="18"/>
      <c r="H421" s="35"/>
      <c r="I421" s="12"/>
      <c r="M421" s="12"/>
      <c r="N421" s="18"/>
      <c r="O421" s="12"/>
      <c r="P421" s="12"/>
      <c r="Q421" s="12"/>
      <c r="R421" s="36"/>
      <c r="S421" s="36"/>
      <c r="T421" s="12"/>
      <c r="U421" s="12"/>
      <c r="V421" s="12"/>
      <c r="W421" s="12"/>
      <c r="X421" s="12"/>
    </row>
    <row r="422" customFormat="false" ht="15.75" hidden="false" customHeight="false" outlineLevel="0" collapsed="false">
      <c r="A422" s="12"/>
      <c r="B422" s="34"/>
      <c r="C422" s="12"/>
      <c r="D422" s="12"/>
      <c r="E422" s="12"/>
      <c r="F422" s="12"/>
      <c r="G422" s="18"/>
      <c r="H422" s="35"/>
      <c r="I422" s="12"/>
      <c r="M422" s="12"/>
      <c r="N422" s="18"/>
      <c r="O422" s="12"/>
      <c r="P422" s="12"/>
      <c r="Q422" s="12"/>
      <c r="R422" s="36"/>
      <c r="S422" s="36"/>
      <c r="T422" s="12"/>
      <c r="U422" s="12"/>
      <c r="V422" s="12"/>
      <c r="W422" s="12"/>
      <c r="X422" s="12"/>
    </row>
    <row r="423" customFormat="false" ht="15.75" hidden="false" customHeight="false" outlineLevel="0" collapsed="false">
      <c r="A423" s="12"/>
      <c r="B423" s="34"/>
      <c r="C423" s="12"/>
      <c r="D423" s="12"/>
      <c r="E423" s="12"/>
      <c r="F423" s="12"/>
      <c r="G423" s="18"/>
      <c r="H423" s="35"/>
      <c r="I423" s="12"/>
      <c r="M423" s="12"/>
      <c r="N423" s="18"/>
      <c r="O423" s="12"/>
      <c r="P423" s="12"/>
      <c r="Q423" s="12"/>
      <c r="R423" s="36"/>
      <c r="S423" s="36"/>
      <c r="T423" s="12"/>
      <c r="U423" s="12"/>
      <c r="V423" s="12"/>
      <c r="W423" s="12"/>
      <c r="X423" s="12"/>
    </row>
    <row r="424" customFormat="false" ht="15.75" hidden="false" customHeight="false" outlineLevel="0" collapsed="false">
      <c r="A424" s="12"/>
      <c r="B424" s="34"/>
      <c r="C424" s="12"/>
      <c r="D424" s="12"/>
      <c r="E424" s="12"/>
      <c r="F424" s="12"/>
      <c r="G424" s="18"/>
      <c r="H424" s="35"/>
      <c r="I424" s="12"/>
      <c r="M424" s="12"/>
      <c r="N424" s="18"/>
      <c r="O424" s="12"/>
      <c r="P424" s="12"/>
      <c r="Q424" s="12"/>
      <c r="R424" s="36"/>
      <c r="S424" s="36"/>
      <c r="T424" s="12"/>
      <c r="U424" s="12"/>
      <c r="V424" s="12"/>
      <c r="W424" s="12"/>
      <c r="X424" s="12"/>
    </row>
    <row r="425" customFormat="false" ht="15.75" hidden="false" customHeight="false" outlineLevel="0" collapsed="false">
      <c r="A425" s="12"/>
      <c r="B425" s="34"/>
      <c r="C425" s="12"/>
      <c r="D425" s="12"/>
      <c r="E425" s="12"/>
      <c r="F425" s="12"/>
      <c r="G425" s="18"/>
      <c r="H425" s="35"/>
      <c r="I425" s="12"/>
      <c r="M425" s="12"/>
      <c r="N425" s="18"/>
      <c r="O425" s="12"/>
      <c r="P425" s="12"/>
      <c r="Q425" s="12"/>
      <c r="R425" s="36"/>
      <c r="S425" s="36"/>
      <c r="T425" s="12"/>
      <c r="U425" s="12"/>
      <c r="V425" s="12"/>
      <c r="W425" s="12"/>
      <c r="X425" s="12"/>
    </row>
    <row r="426" customFormat="false" ht="15.75" hidden="false" customHeight="false" outlineLevel="0" collapsed="false">
      <c r="A426" s="12"/>
      <c r="B426" s="34"/>
      <c r="C426" s="12"/>
      <c r="D426" s="12"/>
      <c r="E426" s="12"/>
      <c r="F426" s="12"/>
      <c r="G426" s="18"/>
      <c r="H426" s="35"/>
      <c r="I426" s="12"/>
      <c r="M426" s="12"/>
      <c r="N426" s="18"/>
      <c r="O426" s="12"/>
      <c r="P426" s="12"/>
      <c r="Q426" s="12"/>
      <c r="R426" s="36"/>
      <c r="S426" s="36"/>
      <c r="T426" s="12"/>
      <c r="U426" s="12"/>
      <c r="V426" s="12"/>
      <c r="W426" s="12"/>
      <c r="X426" s="12"/>
    </row>
    <row r="427" customFormat="false" ht="15.75" hidden="false" customHeight="false" outlineLevel="0" collapsed="false">
      <c r="A427" s="12"/>
      <c r="B427" s="34"/>
      <c r="C427" s="12"/>
      <c r="D427" s="12"/>
      <c r="E427" s="12"/>
      <c r="F427" s="12"/>
      <c r="G427" s="18"/>
      <c r="H427" s="35"/>
      <c r="I427" s="12"/>
      <c r="M427" s="12"/>
      <c r="N427" s="18"/>
      <c r="O427" s="12"/>
      <c r="P427" s="12"/>
      <c r="Q427" s="12"/>
      <c r="R427" s="36"/>
      <c r="S427" s="36"/>
      <c r="T427" s="12"/>
      <c r="U427" s="12"/>
      <c r="V427" s="12"/>
      <c r="W427" s="12"/>
      <c r="X427" s="12"/>
    </row>
    <row r="428" customFormat="false" ht="15.75" hidden="false" customHeight="false" outlineLevel="0" collapsed="false">
      <c r="A428" s="12"/>
      <c r="B428" s="34"/>
      <c r="C428" s="12"/>
      <c r="D428" s="12"/>
      <c r="E428" s="12"/>
      <c r="F428" s="12"/>
      <c r="G428" s="18"/>
      <c r="H428" s="35"/>
      <c r="I428" s="12"/>
      <c r="M428" s="12"/>
      <c r="N428" s="18"/>
      <c r="O428" s="12"/>
      <c r="P428" s="12"/>
      <c r="Q428" s="12"/>
      <c r="R428" s="36"/>
      <c r="S428" s="36"/>
      <c r="T428" s="12"/>
      <c r="U428" s="12"/>
      <c r="V428" s="12"/>
      <c r="W428" s="12"/>
      <c r="X428" s="12"/>
    </row>
    <row r="429" customFormat="false" ht="15.75" hidden="false" customHeight="false" outlineLevel="0" collapsed="false">
      <c r="A429" s="12"/>
      <c r="B429" s="34"/>
      <c r="C429" s="12"/>
      <c r="D429" s="12"/>
      <c r="E429" s="12"/>
      <c r="F429" s="12"/>
      <c r="G429" s="18"/>
      <c r="H429" s="35"/>
      <c r="I429" s="12"/>
      <c r="M429" s="12"/>
      <c r="N429" s="18"/>
      <c r="O429" s="12"/>
      <c r="P429" s="12"/>
      <c r="Q429" s="12"/>
      <c r="R429" s="36"/>
      <c r="S429" s="36"/>
      <c r="T429" s="12"/>
      <c r="U429" s="12"/>
      <c r="V429" s="12"/>
      <c r="W429" s="12"/>
      <c r="X429" s="12"/>
    </row>
    <row r="430" customFormat="false" ht="15.75" hidden="false" customHeight="false" outlineLevel="0" collapsed="false">
      <c r="A430" s="12"/>
      <c r="B430" s="34"/>
      <c r="C430" s="12"/>
      <c r="D430" s="12"/>
      <c r="E430" s="12"/>
      <c r="F430" s="12"/>
      <c r="G430" s="18"/>
      <c r="H430" s="35"/>
      <c r="I430" s="12"/>
      <c r="M430" s="12"/>
      <c r="N430" s="18"/>
      <c r="O430" s="12"/>
      <c r="P430" s="12"/>
      <c r="Q430" s="12"/>
      <c r="R430" s="36"/>
      <c r="S430" s="36"/>
      <c r="T430" s="12"/>
      <c r="U430" s="12"/>
      <c r="V430" s="12"/>
      <c r="W430" s="12"/>
      <c r="X430" s="12"/>
    </row>
    <row r="431" customFormat="false" ht="15.75" hidden="false" customHeight="false" outlineLevel="0" collapsed="false">
      <c r="A431" s="12"/>
      <c r="B431" s="34"/>
      <c r="C431" s="12"/>
      <c r="D431" s="12"/>
      <c r="E431" s="12"/>
      <c r="F431" s="12"/>
      <c r="G431" s="18"/>
      <c r="H431" s="35"/>
      <c r="I431" s="12"/>
      <c r="M431" s="12"/>
      <c r="N431" s="18"/>
      <c r="O431" s="12"/>
      <c r="P431" s="12"/>
      <c r="Q431" s="12"/>
      <c r="R431" s="36"/>
      <c r="S431" s="36"/>
      <c r="T431" s="12"/>
      <c r="U431" s="12"/>
      <c r="V431" s="12"/>
      <c r="W431" s="12"/>
      <c r="X431" s="12"/>
    </row>
    <row r="432" customFormat="false" ht="15.75" hidden="false" customHeight="false" outlineLevel="0" collapsed="false">
      <c r="A432" s="12"/>
      <c r="B432" s="34"/>
      <c r="C432" s="12"/>
      <c r="D432" s="12"/>
      <c r="E432" s="12"/>
      <c r="F432" s="12"/>
      <c r="G432" s="18"/>
      <c r="H432" s="35"/>
      <c r="I432" s="12"/>
      <c r="M432" s="12"/>
      <c r="N432" s="18"/>
      <c r="O432" s="12"/>
      <c r="P432" s="12"/>
      <c r="Q432" s="12"/>
      <c r="R432" s="36"/>
      <c r="S432" s="36"/>
      <c r="T432" s="12"/>
      <c r="U432" s="12"/>
      <c r="V432" s="12"/>
      <c r="W432" s="12"/>
      <c r="X432" s="12"/>
    </row>
    <row r="433" customFormat="false" ht="15.75" hidden="false" customHeight="false" outlineLevel="0" collapsed="false">
      <c r="A433" s="12"/>
      <c r="B433" s="34"/>
      <c r="C433" s="12"/>
      <c r="D433" s="12"/>
      <c r="E433" s="12"/>
      <c r="F433" s="12"/>
      <c r="G433" s="18"/>
      <c r="H433" s="35"/>
      <c r="I433" s="12"/>
      <c r="M433" s="12"/>
      <c r="N433" s="18"/>
      <c r="O433" s="12"/>
      <c r="P433" s="12"/>
      <c r="Q433" s="12"/>
      <c r="R433" s="36"/>
      <c r="S433" s="36"/>
      <c r="T433" s="12"/>
      <c r="U433" s="12"/>
      <c r="V433" s="12"/>
      <c r="W433" s="12"/>
      <c r="X433" s="12"/>
    </row>
    <row r="434" customFormat="false" ht="15.75" hidden="false" customHeight="false" outlineLevel="0" collapsed="false">
      <c r="A434" s="12"/>
      <c r="B434" s="34"/>
      <c r="C434" s="12"/>
      <c r="D434" s="12"/>
      <c r="E434" s="12"/>
      <c r="F434" s="12"/>
      <c r="G434" s="18"/>
      <c r="H434" s="35"/>
      <c r="I434" s="12"/>
      <c r="M434" s="12"/>
      <c r="N434" s="18"/>
      <c r="O434" s="12"/>
      <c r="P434" s="12"/>
      <c r="Q434" s="12"/>
      <c r="R434" s="36"/>
      <c r="S434" s="36"/>
      <c r="T434" s="12"/>
      <c r="U434" s="12"/>
      <c r="V434" s="12"/>
      <c r="W434" s="12"/>
      <c r="X434" s="12"/>
    </row>
    <row r="435" customFormat="false" ht="15.75" hidden="false" customHeight="false" outlineLevel="0" collapsed="false">
      <c r="A435" s="12"/>
      <c r="B435" s="34"/>
      <c r="C435" s="12"/>
      <c r="D435" s="12"/>
      <c r="E435" s="12"/>
      <c r="F435" s="12"/>
      <c r="G435" s="18"/>
      <c r="H435" s="35"/>
      <c r="I435" s="12"/>
      <c r="M435" s="12"/>
      <c r="N435" s="18"/>
      <c r="O435" s="12"/>
      <c r="P435" s="12"/>
      <c r="Q435" s="12"/>
      <c r="R435" s="36"/>
      <c r="S435" s="36"/>
      <c r="T435" s="12"/>
      <c r="U435" s="12"/>
      <c r="V435" s="12"/>
      <c r="W435" s="12"/>
      <c r="X435" s="12"/>
    </row>
    <row r="436" customFormat="false" ht="15.75" hidden="false" customHeight="false" outlineLevel="0" collapsed="false">
      <c r="A436" s="12"/>
      <c r="B436" s="34"/>
      <c r="C436" s="12"/>
      <c r="D436" s="12"/>
      <c r="E436" s="12"/>
      <c r="F436" s="12"/>
      <c r="G436" s="18"/>
      <c r="H436" s="35"/>
      <c r="I436" s="12"/>
      <c r="M436" s="12"/>
      <c r="N436" s="18"/>
      <c r="O436" s="12"/>
      <c r="P436" s="12"/>
      <c r="Q436" s="12"/>
      <c r="R436" s="36"/>
      <c r="S436" s="36"/>
      <c r="T436" s="12"/>
      <c r="U436" s="12"/>
      <c r="V436" s="12"/>
      <c r="W436" s="12"/>
      <c r="X436" s="12"/>
    </row>
    <row r="437" customFormat="false" ht="15.75" hidden="false" customHeight="false" outlineLevel="0" collapsed="false">
      <c r="A437" s="12"/>
      <c r="B437" s="34"/>
      <c r="C437" s="12"/>
      <c r="D437" s="12"/>
      <c r="E437" s="12"/>
      <c r="F437" s="12"/>
      <c r="G437" s="18"/>
      <c r="H437" s="35"/>
      <c r="I437" s="12"/>
      <c r="M437" s="12"/>
      <c r="N437" s="18"/>
      <c r="O437" s="12"/>
      <c r="P437" s="12"/>
      <c r="Q437" s="12"/>
      <c r="R437" s="36"/>
      <c r="S437" s="36"/>
      <c r="T437" s="12"/>
      <c r="U437" s="12"/>
      <c r="V437" s="12"/>
      <c r="W437" s="12"/>
      <c r="X437" s="12"/>
    </row>
    <row r="438" customFormat="false" ht="15.75" hidden="false" customHeight="false" outlineLevel="0" collapsed="false">
      <c r="A438" s="12"/>
      <c r="B438" s="34"/>
      <c r="C438" s="12"/>
      <c r="D438" s="12"/>
      <c r="E438" s="12"/>
      <c r="F438" s="12"/>
      <c r="G438" s="18"/>
      <c r="H438" s="35"/>
      <c r="I438" s="12"/>
      <c r="M438" s="12"/>
      <c r="N438" s="18"/>
      <c r="O438" s="12"/>
      <c r="P438" s="12"/>
      <c r="Q438" s="12"/>
      <c r="R438" s="36"/>
      <c r="S438" s="36"/>
      <c r="T438" s="12"/>
      <c r="U438" s="12"/>
      <c r="V438" s="12"/>
      <c r="W438" s="12"/>
      <c r="X438" s="12"/>
    </row>
    <row r="439" customFormat="false" ht="15.75" hidden="false" customHeight="false" outlineLevel="0" collapsed="false">
      <c r="A439" s="12"/>
      <c r="B439" s="34"/>
      <c r="C439" s="12"/>
      <c r="D439" s="12"/>
      <c r="E439" s="12"/>
      <c r="F439" s="12"/>
      <c r="G439" s="18"/>
      <c r="H439" s="35"/>
      <c r="I439" s="12"/>
      <c r="M439" s="12"/>
      <c r="N439" s="18"/>
      <c r="O439" s="12"/>
      <c r="P439" s="12"/>
      <c r="Q439" s="12"/>
      <c r="R439" s="36"/>
      <c r="S439" s="36"/>
      <c r="T439" s="12"/>
      <c r="U439" s="12"/>
      <c r="V439" s="12"/>
      <c r="W439" s="12"/>
      <c r="X439" s="12"/>
    </row>
    <row r="440" customFormat="false" ht="15.75" hidden="false" customHeight="false" outlineLevel="0" collapsed="false">
      <c r="A440" s="12"/>
      <c r="B440" s="34"/>
      <c r="C440" s="12"/>
      <c r="D440" s="12"/>
      <c r="E440" s="12"/>
      <c r="F440" s="12"/>
      <c r="G440" s="18"/>
      <c r="H440" s="35"/>
      <c r="I440" s="12"/>
      <c r="M440" s="12"/>
      <c r="N440" s="18"/>
      <c r="O440" s="12"/>
      <c r="P440" s="12"/>
      <c r="Q440" s="12"/>
      <c r="R440" s="36"/>
      <c r="S440" s="36"/>
      <c r="T440" s="12"/>
      <c r="U440" s="12"/>
      <c r="V440" s="12"/>
      <c r="W440" s="12"/>
      <c r="X440" s="12"/>
    </row>
    <row r="441" customFormat="false" ht="15.75" hidden="false" customHeight="false" outlineLevel="0" collapsed="false">
      <c r="A441" s="12"/>
      <c r="B441" s="34"/>
      <c r="C441" s="12"/>
      <c r="D441" s="12"/>
      <c r="E441" s="12"/>
      <c r="F441" s="12"/>
      <c r="G441" s="18"/>
      <c r="H441" s="35"/>
      <c r="I441" s="12"/>
      <c r="M441" s="12"/>
      <c r="N441" s="18"/>
      <c r="O441" s="12"/>
      <c r="P441" s="12"/>
      <c r="Q441" s="12"/>
      <c r="R441" s="36"/>
      <c r="S441" s="36"/>
      <c r="T441" s="12"/>
      <c r="U441" s="12"/>
      <c r="V441" s="12"/>
      <c r="W441" s="12"/>
      <c r="X441" s="12"/>
    </row>
    <row r="442" customFormat="false" ht="15.75" hidden="false" customHeight="false" outlineLevel="0" collapsed="false">
      <c r="A442" s="12"/>
      <c r="B442" s="34"/>
      <c r="C442" s="12"/>
      <c r="D442" s="12"/>
      <c r="E442" s="12"/>
      <c r="F442" s="12"/>
      <c r="G442" s="18"/>
      <c r="H442" s="35"/>
      <c r="I442" s="12"/>
      <c r="M442" s="12"/>
      <c r="N442" s="18"/>
      <c r="O442" s="12"/>
      <c r="P442" s="12"/>
      <c r="Q442" s="12"/>
      <c r="R442" s="36"/>
      <c r="S442" s="36"/>
      <c r="T442" s="12"/>
      <c r="U442" s="12"/>
      <c r="V442" s="12"/>
      <c r="W442" s="12"/>
      <c r="X442" s="12"/>
    </row>
    <row r="443" customFormat="false" ht="15.75" hidden="false" customHeight="false" outlineLevel="0" collapsed="false">
      <c r="A443" s="12"/>
      <c r="B443" s="34"/>
      <c r="C443" s="12"/>
      <c r="D443" s="12"/>
      <c r="E443" s="12"/>
      <c r="F443" s="12"/>
      <c r="G443" s="18"/>
      <c r="H443" s="35"/>
      <c r="I443" s="12"/>
      <c r="M443" s="12"/>
      <c r="N443" s="18"/>
      <c r="O443" s="12"/>
      <c r="P443" s="12"/>
      <c r="Q443" s="12"/>
      <c r="R443" s="36"/>
      <c r="S443" s="36"/>
      <c r="T443" s="12"/>
      <c r="U443" s="12"/>
      <c r="V443" s="12"/>
      <c r="W443" s="12"/>
      <c r="X443" s="12"/>
    </row>
    <row r="444" customFormat="false" ht="15.75" hidden="false" customHeight="false" outlineLevel="0" collapsed="false">
      <c r="A444" s="12"/>
      <c r="B444" s="34"/>
      <c r="C444" s="12"/>
      <c r="D444" s="12"/>
      <c r="E444" s="12"/>
      <c r="F444" s="12"/>
      <c r="G444" s="18"/>
      <c r="H444" s="35"/>
      <c r="I444" s="12"/>
      <c r="M444" s="12"/>
      <c r="N444" s="18"/>
      <c r="O444" s="12"/>
      <c r="P444" s="12"/>
      <c r="Q444" s="12"/>
      <c r="R444" s="36"/>
      <c r="S444" s="36"/>
      <c r="T444" s="12"/>
      <c r="U444" s="12"/>
      <c r="V444" s="12"/>
      <c r="W444" s="12"/>
      <c r="X444" s="12"/>
    </row>
    <row r="445" customFormat="false" ht="15.75" hidden="false" customHeight="false" outlineLevel="0" collapsed="false">
      <c r="A445" s="12"/>
      <c r="B445" s="34"/>
      <c r="C445" s="12"/>
      <c r="D445" s="12"/>
      <c r="E445" s="12"/>
      <c r="F445" s="12"/>
      <c r="G445" s="18"/>
      <c r="H445" s="35"/>
      <c r="I445" s="12"/>
      <c r="M445" s="12"/>
      <c r="N445" s="18"/>
      <c r="O445" s="12"/>
      <c r="P445" s="12"/>
      <c r="Q445" s="12"/>
      <c r="R445" s="36"/>
      <c r="S445" s="36"/>
      <c r="T445" s="12"/>
      <c r="U445" s="12"/>
      <c r="V445" s="12"/>
      <c r="W445" s="12"/>
      <c r="X445" s="12"/>
    </row>
    <row r="446" customFormat="false" ht="15.75" hidden="false" customHeight="false" outlineLevel="0" collapsed="false">
      <c r="A446" s="12"/>
      <c r="B446" s="34"/>
      <c r="C446" s="12"/>
      <c r="D446" s="12"/>
      <c r="E446" s="12"/>
      <c r="F446" s="12"/>
      <c r="G446" s="18"/>
      <c r="H446" s="35"/>
      <c r="I446" s="12"/>
      <c r="M446" s="12"/>
      <c r="N446" s="18"/>
      <c r="O446" s="12"/>
      <c r="P446" s="12"/>
      <c r="Q446" s="12"/>
      <c r="R446" s="36"/>
      <c r="S446" s="36"/>
      <c r="T446" s="12"/>
      <c r="U446" s="12"/>
      <c r="V446" s="12"/>
      <c r="W446" s="12"/>
      <c r="X446" s="12"/>
    </row>
    <row r="447" customFormat="false" ht="15.75" hidden="false" customHeight="false" outlineLevel="0" collapsed="false">
      <c r="A447" s="12"/>
      <c r="B447" s="34"/>
      <c r="C447" s="12"/>
      <c r="D447" s="12"/>
      <c r="E447" s="12"/>
      <c r="F447" s="12"/>
      <c r="G447" s="18"/>
      <c r="H447" s="35"/>
      <c r="I447" s="12"/>
      <c r="M447" s="12"/>
      <c r="N447" s="18"/>
      <c r="O447" s="12"/>
      <c r="P447" s="12"/>
      <c r="Q447" s="12"/>
      <c r="R447" s="36"/>
      <c r="S447" s="36"/>
      <c r="T447" s="12"/>
      <c r="U447" s="12"/>
      <c r="V447" s="12"/>
      <c r="W447" s="12"/>
      <c r="X447" s="12"/>
    </row>
    <row r="448" customFormat="false" ht="15.75" hidden="false" customHeight="false" outlineLevel="0" collapsed="false">
      <c r="A448" s="12"/>
      <c r="B448" s="34"/>
      <c r="C448" s="12"/>
      <c r="D448" s="12"/>
      <c r="E448" s="12"/>
      <c r="F448" s="12"/>
      <c r="G448" s="18"/>
      <c r="H448" s="35"/>
      <c r="I448" s="12"/>
      <c r="M448" s="12"/>
      <c r="N448" s="18"/>
      <c r="O448" s="12"/>
      <c r="P448" s="12"/>
      <c r="Q448" s="12"/>
      <c r="R448" s="36"/>
      <c r="S448" s="36"/>
      <c r="T448" s="12"/>
      <c r="U448" s="12"/>
      <c r="V448" s="12"/>
      <c r="W448" s="12"/>
      <c r="X448" s="12"/>
    </row>
    <row r="449" customFormat="false" ht="15.75" hidden="false" customHeight="false" outlineLevel="0" collapsed="false">
      <c r="A449" s="12"/>
      <c r="B449" s="34"/>
      <c r="C449" s="12"/>
      <c r="D449" s="12"/>
      <c r="E449" s="12"/>
      <c r="F449" s="12"/>
      <c r="G449" s="18"/>
      <c r="H449" s="35"/>
      <c r="I449" s="12"/>
      <c r="M449" s="12"/>
      <c r="N449" s="18"/>
      <c r="O449" s="12"/>
      <c r="P449" s="12"/>
      <c r="Q449" s="12"/>
      <c r="R449" s="36"/>
      <c r="S449" s="36"/>
      <c r="T449" s="12"/>
      <c r="U449" s="12"/>
      <c r="V449" s="12"/>
      <c r="W449" s="12"/>
      <c r="X449" s="12"/>
    </row>
    <row r="450" customFormat="false" ht="15.75" hidden="false" customHeight="false" outlineLevel="0" collapsed="false">
      <c r="A450" s="12"/>
      <c r="B450" s="34"/>
      <c r="C450" s="12"/>
      <c r="D450" s="12"/>
      <c r="E450" s="12"/>
      <c r="F450" s="12"/>
      <c r="G450" s="18"/>
      <c r="H450" s="35"/>
      <c r="I450" s="12"/>
      <c r="M450" s="12"/>
      <c r="N450" s="18"/>
      <c r="O450" s="12"/>
      <c r="P450" s="12"/>
      <c r="Q450" s="12"/>
      <c r="R450" s="36"/>
      <c r="S450" s="36"/>
      <c r="T450" s="12"/>
      <c r="U450" s="12"/>
      <c r="V450" s="12"/>
      <c r="W450" s="12"/>
      <c r="X450" s="12"/>
    </row>
    <row r="451" customFormat="false" ht="15.75" hidden="false" customHeight="false" outlineLevel="0" collapsed="false">
      <c r="A451" s="12"/>
      <c r="B451" s="34"/>
      <c r="C451" s="12"/>
      <c r="D451" s="12"/>
      <c r="E451" s="12"/>
      <c r="F451" s="12"/>
      <c r="G451" s="18"/>
      <c r="H451" s="35"/>
      <c r="I451" s="12"/>
      <c r="M451" s="12"/>
      <c r="N451" s="18"/>
      <c r="O451" s="12"/>
      <c r="P451" s="12"/>
      <c r="Q451" s="12"/>
      <c r="R451" s="36"/>
      <c r="S451" s="36"/>
      <c r="T451" s="12"/>
      <c r="U451" s="12"/>
      <c r="V451" s="12"/>
      <c r="W451" s="12"/>
      <c r="X451" s="12"/>
    </row>
    <row r="452" customFormat="false" ht="15.75" hidden="false" customHeight="false" outlineLevel="0" collapsed="false">
      <c r="A452" s="12"/>
      <c r="B452" s="34"/>
      <c r="C452" s="12"/>
      <c r="D452" s="12"/>
      <c r="E452" s="12"/>
      <c r="F452" s="12"/>
      <c r="G452" s="18"/>
      <c r="H452" s="35"/>
      <c r="I452" s="12"/>
      <c r="M452" s="12"/>
      <c r="N452" s="18"/>
      <c r="O452" s="12"/>
      <c r="P452" s="12"/>
      <c r="Q452" s="12"/>
      <c r="R452" s="36"/>
      <c r="S452" s="36"/>
      <c r="T452" s="12"/>
      <c r="U452" s="12"/>
      <c r="V452" s="12"/>
      <c r="W452" s="12"/>
      <c r="X452" s="12"/>
    </row>
    <row r="453" customFormat="false" ht="15.75" hidden="false" customHeight="false" outlineLevel="0" collapsed="false">
      <c r="A453" s="12"/>
      <c r="B453" s="34"/>
      <c r="C453" s="12"/>
      <c r="D453" s="12"/>
      <c r="E453" s="12"/>
      <c r="F453" s="12"/>
      <c r="G453" s="18"/>
      <c r="H453" s="35"/>
      <c r="I453" s="12"/>
      <c r="M453" s="12"/>
      <c r="N453" s="18"/>
      <c r="O453" s="12"/>
      <c r="P453" s="12"/>
      <c r="Q453" s="12"/>
      <c r="R453" s="36"/>
      <c r="S453" s="36"/>
      <c r="T453" s="12"/>
      <c r="U453" s="12"/>
      <c r="V453" s="12"/>
      <c r="W453" s="12"/>
      <c r="X453" s="12"/>
    </row>
    <row r="454" customFormat="false" ht="15.75" hidden="false" customHeight="false" outlineLevel="0" collapsed="false">
      <c r="A454" s="12"/>
      <c r="B454" s="34"/>
      <c r="C454" s="12"/>
      <c r="D454" s="12"/>
      <c r="E454" s="12"/>
      <c r="F454" s="12"/>
      <c r="G454" s="18"/>
      <c r="H454" s="35"/>
      <c r="I454" s="12"/>
      <c r="M454" s="12"/>
      <c r="N454" s="18"/>
      <c r="O454" s="12"/>
      <c r="P454" s="12"/>
      <c r="Q454" s="12"/>
      <c r="R454" s="36"/>
      <c r="S454" s="36"/>
      <c r="T454" s="12"/>
      <c r="U454" s="12"/>
      <c r="V454" s="12"/>
      <c r="W454" s="12"/>
      <c r="X454" s="12"/>
    </row>
    <row r="455" customFormat="false" ht="15.75" hidden="false" customHeight="false" outlineLevel="0" collapsed="false">
      <c r="A455" s="12"/>
      <c r="B455" s="34"/>
      <c r="C455" s="12"/>
      <c r="D455" s="12"/>
      <c r="E455" s="12"/>
      <c r="F455" s="12"/>
      <c r="G455" s="18"/>
      <c r="H455" s="35"/>
      <c r="I455" s="12"/>
      <c r="M455" s="12"/>
      <c r="N455" s="18"/>
      <c r="O455" s="12"/>
      <c r="P455" s="12"/>
      <c r="Q455" s="12"/>
      <c r="R455" s="36"/>
      <c r="S455" s="36"/>
      <c r="T455" s="12"/>
      <c r="U455" s="12"/>
      <c r="V455" s="12"/>
      <c r="W455" s="12"/>
      <c r="X455" s="12"/>
    </row>
    <row r="456" customFormat="false" ht="15.75" hidden="false" customHeight="false" outlineLevel="0" collapsed="false">
      <c r="A456" s="12"/>
      <c r="B456" s="34"/>
      <c r="C456" s="12"/>
      <c r="D456" s="12"/>
      <c r="E456" s="12"/>
      <c r="F456" s="12"/>
      <c r="G456" s="18"/>
      <c r="H456" s="35"/>
      <c r="I456" s="12"/>
      <c r="M456" s="12"/>
      <c r="N456" s="18"/>
      <c r="O456" s="12"/>
      <c r="P456" s="12"/>
      <c r="Q456" s="12"/>
      <c r="R456" s="36"/>
      <c r="S456" s="36"/>
      <c r="T456" s="12"/>
      <c r="U456" s="12"/>
      <c r="V456" s="12"/>
      <c r="W456" s="12"/>
      <c r="X456" s="12"/>
    </row>
    <row r="457" customFormat="false" ht="15.75" hidden="false" customHeight="false" outlineLevel="0" collapsed="false">
      <c r="A457" s="12"/>
      <c r="B457" s="34"/>
      <c r="C457" s="12"/>
      <c r="D457" s="12"/>
      <c r="E457" s="12"/>
      <c r="F457" s="12"/>
      <c r="G457" s="18"/>
      <c r="H457" s="35"/>
      <c r="I457" s="12"/>
      <c r="M457" s="12"/>
      <c r="N457" s="18"/>
      <c r="O457" s="12"/>
      <c r="P457" s="12"/>
      <c r="Q457" s="12"/>
      <c r="R457" s="36"/>
      <c r="S457" s="36"/>
      <c r="T457" s="12"/>
      <c r="U457" s="12"/>
      <c r="V457" s="12"/>
      <c r="W457" s="12"/>
      <c r="X457" s="12"/>
    </row>
    <row r="458" customFormat="false" ht="15.75" hidden="false" customHeight="false" outlineLevel="0" collapsed="false">
      <c r="A458" s="12"/>
      <c r="B458" s="34"/>
      <c r="C458" s="12"/>
      <c r="D458" s="12"/>
      <c r="E458" s="12"/>
      <c r="F458" s="12"/>
      <c r="G458" s="18"/>
      <c r="H458" s="35"/>
      <c r="I458" s="12"/>
      <c r="M458" s="12"/>
      <c r="N458" s="18"/>
      <c r="O458" s="12"/>
      <c r="P458" s="12"/>
      <c r="Q458" s="12"/>
      <c r="R458" s="36"/>
      <c r="S458" s="36"/>
      <c r="T458" s="12"/>
      <c r="U458" s="12"/>
      <c r="V458" s="12"/>
      <c r="W458" s="12"/>
      <c r="X458" s="12"/>
    </row>
    <row r="459" customFormat="false" ht="15.75" hidden="false" customHeight="false" outlineLevel="0" collapsed="false">
      <c r="A459" s="12"/>
      <c r="B459" s="34"/>
      <c r="C459" s="12"/>
      <c r="D459" s="12"/>
      <c r="E459" s="12"/>
      <c r="F459" s="12"/>
      <c r="G459" s="18"/>
      <c r="H459" s="35"/>
      <c r="I459" s="12"/>
      <c r="M459" s="12"/>
      <c r="N459" s="18"/>
      <c r="O459" s="12"/>
      <c r="P459" s="12"/>
      <c r="Q459" s="12"/>
      <c r="R459" s="36"/>
      <c r="S459" s="36"/>
      <c r="T459" s="12"/>
      <c r="U459" s="12"/>
      <c r="V459" s="12"/>
      <c r="W459" s="12"/>
      <c r="X459" s="12"/>
    </row>
    <row r="460" customFormat="false" ht="15.75" hidden="false" customHeight="false" outlineLevel="0" collapsed="false">
      <c r="A460" s="12"/>
      <c r="B460" s="34"/>
      <c r="C460" s="12"/>
      <c r="D460" s="12"/>
      <c r="E460" s="12"/>
      <c r="F460" s="12"/>
      <c r="G460" s="18"/>
      <c r="H460" s="35"/>
      <c r="I460" s="12"/>
      <c r="M460" s="12"/>
      <c r="N460" s="18"/>
      <c r="O460" s="12"/>
      <c r="P460" s="12"/>
      <c r="Q460" s="12"/>
      <c r="R460" s="36"/>
      <c r="S460" s="36"/>
      <c r="T460" s="12"/>
      <c r="U460" s="12"/>
      <c r="V460" s="12"/>
      <c r="W460" s="12"/>
      <c r="X460" s="12"/>
    </row>
    <row r="461" customFormat="false" ht="15.75" hidden="false" customHeight="false" outlineLevel="0" collapsed="false">
      <c r="A461" s="12"/>
      <c r="B461" s="34"/>
      <c r="C461" s="12"/>
      <c r="D461" s="12"/>
      <c r="E461" s="12"/>
      <c r="F461" s="12"/>
      <c r="G461" s="18"/>
      <c r="H461" s="35"/>
      <c r="I461" s="12"/>
      <c r="M461" s="12"/>
      <c r="N461" s="18"/>
      <c r="O461" s="12"/>
      <c r="P461" s="12"/>
      <c r="Q461" s="12"/>
      <c r="R461" s="36"/>
      <c r="S461" s="36"/>
      <c r="T461" s="12"/>
      <c r="U461" s="12"/>
      <c r="V461" s="12"/>
      <c r="W461" s="12"/>
      <c r="X461" s="12"/>
    </row>
    <row r="462" customFormat="false" ht="15.75" hidden="false" customHeight="false" outlineLevel="0" collapsed="false">
      <c r="A462" s="12"/>
      <c r="B462" s="34"/>
      <c r="C462" s="12"/>
      <c r="D462" s="12"/>
      <c r="E462" s="12"/>
      <c r="F462" s="12"/>
      <c r="G462" s="18"/>
      <c r="H462" s="35"/>
      <c r="I462" s="12"/>
      <c r="M462" s="12"/>
      <c r="N462" s="18"/>
      <c r="O462" s="12"/>
      <c r="P462" s="12"/>
      <c r="Q462" s="12"/>
      <c r="R462" s="36"/>
      <c r="S462" s="36"/>
      <c r="T462" s="12"/>
      <c r="U462" s="12"/>
      <c r="V462" s="12"/>
      <c r="W462" s="12"/>
      <c r="X462" s="12"/>
    </row>
    <row r="463" customFormat="false" ht="15.75" hidden="false" customHeight="false" outlineLevel="0" collapsed="false">
      <c r="A463" s="12"/>
      <c r="B463" s="34"/>
      <c r="C463" s="12"/>
      <c r="D463" s="12"/>
      <c r="E463" s="12"/>
      <c r="F463" s="12"/>
      <c r="G463" s="18"/>
      <c r="H463" s="35"/>
      <c r="I463" s="12"/>
      <c r="M463" s="12"/>
      <c r="N463" s="18"/>
      <c r="O463" s="12"/>
      <c r="P463" s="12"/>
      <c r="Q463" s="12"/>
      <c r="R463" s="36"/>
      <c r="S463" s="36"/>
      <c r="T463" s="12"/>
      <c r="U463" s="12"/>
      <c r="V463" s="12"/>
      <c r="W463" s="12"/>
      <c r="X463" s="12"/>
    </row>
    <row r="464" customFormat="false" ht="15.75" hidden="false" customHeight="false" outlineLevel="0" collapsed="false">
      <c r="A464" s="12"/>
      <c r="B464" s="34"/>
      <c r="C464" s="12"/>
      <c r="D464" s="12"/>
      <c r="E464" s="12"/>
      <c r="F464" s="12"/>
      <c r="G464" s="18"/>
      <c r="H464" s="35"/>
      <c r="I464" s="12"/>
      <c r="M464" s="12"/>
      <c r="N464" s="18"/>
      <c r="O464" s="12"/>
      <c r="P464" s="12"/>
      <c r="Q464" s="12"/>
      <c r="R464" s="36"/>
      <c r="S464" s="36"/>
      <c r="T464" s="12"/>
      <c r="U464" s="12"/>
      <c r="V464" s="12"/>
      <c r="W464" s="12"/>
      <c r="X464" s="12"/>
    </row>
    <row r="465" customFormat="false" ht="15.75" hidden="false" customHeight="false" outlineLevel="0" collapsed="false">
      <c r="A465" s="12"/>
      <c r="B465" s="34"/>
      <c r="C465" s="12"/>
      <c r="D465" s="12"/>
      <c r="E465" s="12"/>
      <c r="F465" s="12"/>
      <c r="G465" s="18"/>
      <c r="H465" s="35"/>
      <c r="I465" s="12"/>
      <c r="M465" s="12"/>
      <c r="N465" s="18"/>
      <c r="O465" s="12"/>
      <c r="P465" s="12"/>
      <c r="Q465" s="12"/>
      <c r="R465" s="36"/>
      <c r="S465" s="36"/>
      <c r="T465" s="12"/>
      <c r="U465" s="12"/>
      <c r="V465" s="12"/>
      <c r="W465" s="12"/>
      <c r="X465" s="12"/>
    </row>
    <row r="466" customFormat="false" ht="15.75" hidden="false" customHeight="false" outlineLevel="0" collapsed="false">
      <c r="A466" s="12"/>
      <c r="B466" s="34"/>
      <c r="C466" s="12"/>
      <c r="D466" s="12"/>
      <c r="E466" s="12"/>
      <c r="F466" s="12"/>
      <c r="G466" s="18"/>
      <c r="H466" s="35"/>
      <c r="I466" s="12"/>
      <c r="M466" s="12"/>
      <c r="N466" s="18"/>
      <c r="O466" s="12"/>
      <c r="P466" s="12"/>
      <c r="Q466" s="12"/>
      <c r="R466" s="36"/>
      <c r="S466" s="36"/>
      <c r="T466" s="12"/>
      <c r="U466" s="12"/>
      <c r="V466" s="12"/>
      <c r="W466" s="12"/>
      <c r="X466" s="12"/>
    </row>
    <row r="467" customFormat="false" ht="15.75" hidden="false" customHeight="false" outlineLevel="0" collapsed="false">
      <c r="A467" s="12"/>
      <c r="B467" s="34"/>
      <c r="C467" s="12"/>
      <c r="D467" s="12"/>
      <c r="E467" s="12"/>
      <c r="F467" s="12"/>
      <c r="G467" s="18"/>
      <c r="H467" s="35"/>
      <c r="I467" s="12"/>
      <c r="M467" s="12"/>
      <c r="N467" s="18"/>
      <c r="O467" s="12"/>
      <c r="P467" s="12"/>
      <c r="Q467" s="12"/>
      <c r="R467" s="36"/>
      <c r="S467" s="36"/>
      <c r="T467" s="12"/>
      <c r="U467" s="12"/>
      <c r="V467" s="12"/>
      <c r="W467" s="12"/>
      <c r="X467" s="12"/>
    </row>
    <row r="468" customFormat="false" ht="15.75" hidden="false" customHeight="false" outlineLevel="0" collapsed="false">
      <c r="A468" s="12"/>
      <c r="B468" s="34"/>
      <c r="C468" s="12"/>
      <c r="D468" s="12"/>
      <c r="E468" s="12"/>
      <c r="F468" s="12"/>
      <c r="G468" s="18"/>
      <c r="H468" s="35"/>
      <c r="I468" s="12"/>
      <c r="M468" s="12"/>
      <c r="N468" s="18"/>
      <c r="O468" s="12"/>
      <c r="P468" s="12"/>
      <c r="Q468" s="12"/>
      <c r="R468" s="36"/>
      <c r="S468" s="36"/>
      <c r="T468" s="12"/>
      <c r="U468" s="12"/>
      <c r="V468" s="12"/>
      <c r="W468" s="12"/>
      <c r="X468" s="12"/>
    </row>
    <row r="469" customFormat="false" ht="15.75" hidden="false" customHeight="false" outlineLevel="0" collapsed="false">
      <c r="A469" s="12"/>
      <c r="B469" s="34"/>
      <c r="C469" s="12"/>
      <c r="D469" s="12"/>
      <c r="E469" s="12"/>
      <c r="F469" s="12"/>
      <c r="G469" s="18"/>
      <c r="H469" s="35"/>
      <c r="I469" s="12"/>
      <c r="M469" s="12"/>
      <c r="N469" s="18"/>
      <c r="O469" s="12"/>
      <c r="P469" s="12"/>
      <c r="Q469" s="12"/>
      <c r="R469" s="36"/>
      <c r="S469" s="36"/>
      <c r="T469" s="12"/>
      <c r="U469" s="12"/>
      <c r="V469" s="12"/>
      <c r="W469" s="12"/>
      <c r="X469" s="12"/>
    </row>
    <row r="470" customFormat="false" ht="15.75" hidden="false" customHeight="false" outlineLevel="0" collapsed="false">
      <c r="A470" s="12"/>
      <c r="B470" s="34"/>
      <c r="C470" s="12"/>
      <c r="D470" s="12"/>
      <c r="E470" s="12"/>
      <c r="F470" s="12"/>
      <c r="G470" s="18"/>
      <c r="H470" s="35"/>
      <c r="I470" s="12"/>
      <c r="M470" s="12"/>
      <c r="N470" s="18"/>
      <c r="O470" s="12"/>
      <c r="P470" s="12"/>
      <c r="Q470" s="12"/>
      <c r="R470" s="36"/>
      <c r="S470" s="36"/>
      <c r="T470" s="12"/>
      <c r="U470" s="12"/>
      <c r="V470" s="12"/>
      <c r="W470" s="12"/>
      <c r="X470" s="12"/>
    </row>
    <row r="471" customFormat="false" ht="15.75" hidden="false" customHeight="false" outlineLevel="0" collapsed="false">
      <c r="A471" s="12"/>
      <c r="B471" s="34"/>
      <c r="C471" s="12"/>
      <c r="D471" s="12"/>
      <c r="E471" s="12"/>
      <c r="F471" s="12"/>
      <c r="G471" s="18"/>
      <c r="H471" s="35"/>
      <c r="I471" s="12"/>
      <c r="M471" s="12"/>
      <c r="N471" s="18"/>
      <c r="O471" s="12"/>
      <c r="P471" s="12"/>
      <c r="Q471" s="12"/>
      <c r="R471" s="36"/>
      <c r="S471" s="36"/>
      <c r="T471" s="12"/>
      <c r="U471" s="12"/>
      <c r="V471" s="12"/>
      <c r="W471" s="12"/>
      <c r="X471" s="12"/>
    </row>
    <row r="472" customFormat="false" ht="15.75" hidden="false" customHeight="false" outlineLevel="0" collapsed="false">
      <c r="A472" s="12"/>
      <c r="B472" s="34"/>
      <c r="C472" s="12"/>
      <c r="D472" s="12"/>
      <c r="E472" s="12"/>
      <c r="F472" s="12"/>
      <c r="G472" s="18"/>
      <c r="H472" s="35"/>
      <c r="I472" s="12"/>
      <c r="M472" s="12"/>
      <c r="N472" s="18"/>
      <c r="O472" s="12"/>
      <c r="P472" s="12"/>
      <c r="Q472" s="12"/>
      <c r="R472" s="36"/>
      <c r="S472" s="36"/>
      <c r="T472" s="12"/>
      <c r="U472" s="12"/>
      <c r="V472" s="12"/>
      <c r="W472" s="12"/>
      <c r="X472" s="12"/>
    </row>
    <row r="473" customFormat="false" ht="15.75" hidden="false" customHeight="false" outlineLevel="0" collapsed="false">
      <c r="A473" s="12"/>
      <c r="B473" s="34"/>
      <c r="C473" s="12"/>
      <c r="D473" s="12"/>
      <c r="E473" s="12"/>
      <c r="F473" s="12"/>
      <c r="G473" s="18"/>
      <c r="H473" s="35"/>
      <c r="I473" s="12"/>
      <c r="M473" s="12"/>
      <c r="N473" s="18"/>
      <c r="O473" s="12"/>
      <c r="P473" s="12"/>
      <c r="Q473" s="12"/>
      <c r="R473" s="36"/>
      <c r="S473" s="36"/>
      <c r="T473" s="12"/>
      <c r="U473" s="12"/>
      <c r="V473" s="12"/>
      <c r="W473" s="12"/>
      <c r="X473" s="12"/>
    </row>
    <row r="474" customFormat="false" ht="15.75" hidden="false" customHeight="false" outlineLevel="0" collapsed="false">
      <c r="A474" s="12"/>
      <c r="B474" s="34"/>
      <c r="C474" s="12"/>
      <c r="D474" s="12"/>
      <c r="E474" s="12"/>
      <c r="F474" s="12"/>
      <c r="G474" s="18"/>
      <c r="H474" s="35"/>
      <c r="I474" s="12"/>
      <c r="M474" s="12"/>
      <c r="N474" s="18"/>
      <c r="O474" s="12"/>
      <c r="P474" s="12"/>
      <c r="Q474" s="12"/>
      <c r="R474" s="36"/>
      <c r="S474" s="36"/>
      <c r="T474" s="12"/>
      <c r="U474" s="12"/>
      <c r="V474" s="12"/>
      <c r="W474" s="12"/>
      <c r="X474" s="12"/>
    </row>
    <row r="475" customFormat="false" ht="15.75" hidden="false" customHeight="false" outlineLevel="0" collapsed="false">
      <c r="A475" s="12"/>
      <c r="B475" s="34"/>
      <c r="C475" s="12"/>
      <c r="D475" s="12"/>
      <c r="E475" s="12"/>
      <c r="F475" s="12"/>
      <c r="G475" s="18"/>
      <c r="H475" s="35"/>
      <c r="I475" s="12"/>
      <c r="M475" s="12"/>
      <c r="N475" s="18"/>
      <c r="O475" s="12"/>
      <c r="P475" s="12"/>
      <c r="Q475" s="12"/>
      <c r="R475" s="36"/>
      <c r="S475" s="36"/>
      <c r="T475" s="12"/>
      <c r="U475" s="12"/>
      <c r="V475" s="12"/>
      <c r="W475" s="12"/>
      <c r="X475" s="12"/>
    </row>
    <row r="476" customFormat="false" ht="15.75" hidden="false" customHeight="false" outlineLevel="0" collapsed="false">
      <c r="A476" s="12"/>
      <c r="B476" s="34"/>
      <c r="C476" s="12"/>
      <c r="D476" s="12"/>
      <c r="E476" s="12"/>
      <c r="F476" s="12"/>
      <c r="G476" s="18"/>
      <c r="H476" s="35"/>
      <c r="I476" s="12"/>
      <c r="M476" s="12"/>
      <c r="N476" s="18"/>
      <c r="O476" s="12"/>
      <c r="P476" s="12"/>
      <c r="Q476" s="12"/>
      <c r="R476" s="36"/>
      <c r="S476" s="36"/>
      <c r="T476" s="12"/>
      <c r="U476" s="12"/>
      <c r="V476" s="12"/>
      <c r="W476" s="12"/>
      <c r="X476" s="12"/>
    </row>
    <row r="477" customFormat="false" ht="15.75" hidden="false" customHeight="false" outlineLevel="0" collapsed="false">
      <c r="A477" s="12"/>
      <c r="B477" s="34"/>
      <c r="C477" s="12"/>
      <c r="D477" s="12"/>
      <c r="E477" s="12"/>
      <c r="F477" s="12"/>
      <c r="G477" s="18"/>
      <c r="H477" s="35"/>
      <c r="I477" s="12"/>
      <c r="M477" s="12"/>
      <c r="N477" s="18"/>
      <c r="O477" s="12"/>
      <c r="P477" s="12"/>
      <c r="Q477" s="12"/>
      <c r="R477" s="36"/>
      <c r="S477" s="36"/>
      <c r="T477" s="12"/>
      <c r="U477" s="12"/>
      <c r="V477" s="12"/>
      <c r="W477" s="12"/>
      <c r="X477" s="12"/>
    </row>
    <row r="478" customFormat="false" ht="15.75" hidden="false" customHeight="false" outlineLevel="0" collapsed="false">
      <c r="A478" s="12"/>
      <c r="B478" s="34"/>
      <c r="C478" s="12"/>
      <c r="D478" s="12"/>
      <c r="E478" s="12"/>
      <c r="F478" s="12"/>
      <c r="G478" s="18"/>
      <c r="H478" s="35"/>
      <c r="I478" s="12"/>
      <c r="M478" s="12"/>
      <c r="N478" s="18"/>
      <c r="O478" s="12"/>
      <c r="P478" s="12"/>
      <c r="Q478" s="12"/>
      <c r="R478" s="36"/>
      <c r="S478" s="36"/>
      <c r="T478" s="12"/>
      <c r="U478" s="12"/>
      <c r="V478" s="12"/>
      <c r="W478" s="12"/>
      <c r="X478" s="12"/>
    </row>
    <row r="479" customFormat="false" ht="15.75" hidden="false" customHeight="false" outlineLevel="0" collapsed="false">
      <c r="A479" s="12"/>
      <c r="B479" s="34"/>
      <c r="C479" s="12"/>
      <c r="D479" s="12"/>
      <c r="E479" s="12"/>
      <c r="F479" s="12"/>
      <c r="G479" s="18"/>
      <c r="H479" s="35"/>
      <c r="I479" s="12"/>
      <c r="M479" s="12"/>
      <c r="N479" s="18"/>
      <c r="O479" s="12"/>
      <c r="P479" s="12"/>
      <c r="Q479" s="12"/>
      <c r="R479" s="36"/>
      <c r="S479" s="36"/>
      <c r="T479" s="12"/>
      <c r="U479" s="12"/>
      <c r="V479" s="12"/>
      <c r="W479" s="12"/>
      <c r="X479" s="12"/>
    </row>
    <row r="480" customFormat="false" ht="15.75" hidden="false" customHeight="false" outlineLevel="0" collapsed="false">
      <c r="A480" s="12"/>
      <c r="B480" s="34"/>
      <c r="C480" s="12"/>
      <c r="D480" s="12"/>
      <c r="E480" s="12"/>
      <c r="F480" s="12"/>
      <c r="G480" s="18"/>
      <c r="H480" s="35"/>
      <c r="I480" s="12"/>
      <c r="M480" s="12"/>
      <c r="N480" s="18"/>
      <c r="O480" s="12"/>
      <c r="P480" s="12"/>
      <c r="Q480" s="12"/>
      <c r="R480" s="36"/>
      <c r="S480" s="36"/>
      <c r="T480" s="12"/>
      <c r="U480" s="12"/>
      <c r="V480" s="12"/>
      <c r="W480" s="12"/>
      <c r="X480" s="12"/>
    </row>
    <row r="481" customFormat="false" ht="15.75" hidden="false" customHeight="false" outlineLevel="0" collapsed="false">
      <c r="A481" s="12"/>
      <c r="B481" s="34"/>
      <c r="C481" s="12"/>
      <c r="D481" s="12"/>
      <c r="E481" s="12"/>
      <c r="F481" s="12"/>
      <c r="G481" s="18"/>
      <c r="H481" s="35"/>
      <c r="I481" s="12"/>
      <c r="M481" s="12"/>
      <c r="N481" s="18"/>
      <c r="O481" s="12"/>
      <c r="P481" s="12"/>
      <c r="Q481" s="12"/>
      <c r="R481" s="36"/>
      <c r="S481" s="36"/>
      <c r="T481" s="12"/>
      <c r="U481" s="12"/>
      <c r="V481" s="12"/>
      <c r="W481" s="12"/>
      <c r="X481" s="12"/>
    </row>
    <row r="482" customFormat="false" ht="15.75" hidden="false" customHeight="false" outlineLevel="0" collapsed="false">
      <c r="A482" s="12"/>
      <c r="B482" s="34"/>
      <c r="C482" s="12"/>
      <c r="D482" s="12"/>
      <c r="E482" s="12"/>
      <c r="F482" s="12"/>
      <c r="G482" s="18"/>
      <c r="H482" s="35"/>
      <c r="I482" s="12"/>
      <c r="M482" s="12"/>
      <c r="N482" s="18"/>
      <c r="O482" s="12"/>
      <c r="P482" s="12"/>
      <c r="Q482" s="12"/>
      <c r="R482" s="36"/>
      <c r="S482" s="36"/>
      <c r="T482" s="12"/>
      <c r="U482" s="12"/>
      <c r="V482" s="12"/>
      <c r="W482" s="12"/>
      <c r="X482" s="12"/>
    </row>
    <row r="483" customFormat="false" ht="15.75" hidden="false" customHeight="false" outlineLevel="0" collapsed="false">
      <c r="A483" s="12"/>
      <c r="B483" s="34"/>
      <c r="C483" s="12"/>
      <c r="D483" s="12"/>
      <c r="E483" s="12"/>
      <c r="F483" s="12"/>
      <c r="G483" s="18"/>
      <c r="H483" s="35"/>
      <c r="I483" s="12"/>
      <c r="M483" s="12"/>
      <c r="N483" s="18"/>
      <c r="O483" s="12"/>
      <c r="P483" s="12"/>
      <c r="Q483" s="12"/>
      <c r="R483" s="36"/>
      <c r="S483" s="36"/>
      <c r="T483" s="12"/>
      <c r="U483" s="12"/>
      <c r="V483" s="12"/>
      <c r="W483" s="12"/>
      <c r="X483" s="12"/>
    </row>
    <row r="484" customFormat="false" ht="15.75" hidden="false" customHeight="false" outlineLevel="0" collapsed="false">
      <c r="A484" s="12"/>
      <c r="B484" s="34"/>
      <c r="C484" s="12"/>
      <c r="D484" s="12"/>
      <c r="E484" s="12"/>
      <c r="F484" s="12"/>
      <c r="G484" s="18"/>
      <c r="H484" s="35"/>
      <c r="I484" s="12"/>
      <c r="M484" s="12"/>
      <c r="N484" s="18"/>
      <c r="O484" s="12"/>
      <c r="P484" s="12"/>
      <c r="Q484" s="12"/>
      <c r="R484" s="36"/>
      <c r="S484" s="36"/>
      <c r="T484" s="12"/>
      <c r="U484" s="12"/>
      <c r="V484" s="12"/>
      <c r="W484" s="12"/>
      <c r="X484" s="12"/>
    </row>
    <row r="485" customFormat="false" ht="15.75" hidden="false" customHeight="false" outlineLevel="0" collapsed="false">
      <c r="A485" s="12"/>
      <c r="B485" s="34"/>
      <c r="C485" s="12"/>
      <c r="D485" s="12"/>
      <c r="E485" s="12"/>
      <c r="F485" s="12"/>
      <c r="G485" s="18"/>
      <c r="H485" s="35"/>
      <c r="I485" s="12"/>
      <c r="M485" s="12"/>
      <c r="N485" s="18"/>
      <c r="O485" s="12"/>
      <c r="P485" s="12"/>
      <c r="Q485" s="12"/>
      <c r="R485" s="36"/>
      <c r="S485" s="36"/>
      <c r="T485" s="12"/>
      <c r="U485" s="12"/>
      <c r="V485" s="12"/>
      <c r="W485" s="12"/>
      <c r="X485" s="12"/>
    </row>
    <row r="486" customFormat="false" ht="15.75" hidden="false" customHeight="false" outlineLevel="0" collapsed="false">
      <c r="A486" s="12"/>
      <c r="B486" s="34"/>
      <c r="C486" s="12"/>
      <c r="D486" s="12"/>
      <c r="E486" s="12"/>
      <c r="F486" s="12"/>
      <c r="G486" s="18"/>
      <c r="H486" s="35"/>
      <c r="I486" s="12"/>
      <c r="M486" s="12"/>
      <c r="N486" s="18"/>
      <c r="O486" s="12"/>
      <c r="P486" s="12"/>
      <c r="Q486" s="12"/>
      <c r="R486" s="36"/>
      <c r="S486" s="36"/>
      <c r="T486" s="12"/>
      <c r="U486" s="12"/>
      <c r="V486" s="12"/>
      <c r="W486" s="12"/>
      <c r="X486" s="12"/>
    </row>
    <row r="487" customFormat="false" ht="15.75" hidden="false" customHeight="false" outlineLevel="0" collapsed="false">
      <c r="A487" s="12"/>
      <c r="B487" s="34"/>
      <c r="C487" s="12"/>
      <c r="D487" s="12"/>
      <c r="E487" s="12"/>
      <c r="F487" s="12"/>
      <c r="G487" s="18"/>
      <c r="H487" s="35"/>
      <c r="I487" s="12"/>
      <c r="M487" s="12"/>
      <c r="N487" s="18"/>
      <c r="O487" s="12"/>
      <c r="P487" s="12"/>
      <c r="Q487" s="12"/>
      <c r="R487" s="36"/>
      <c r="S487" s="36"/>
      <c r="T487" s="12"/>
      <c r="U487" s="12"/>
      <c r="V487" s="12"/>
      <c r="W487" s="12"/>
      <c r="X487" s="12"/>
    </row>
    <row r="488" customFormat="false" ht="15.75" hidden="false" customHeight="false" outlineLevel="0" collapsed="false">
      <c r="A488" s="12"/>
      <c r="B488" s="34"/>
      <c r="C488" s="12"/>
      <c r="D488" s="12"/>
      <c r="E488" s="12"/>
      <c r="F488" s="12"/>
      <c r="G488" s="18"/>
      <c r="H488" s="35"/>
      <c r="I488" s="12"/>
      <c r="M488" s="12"/>
      <c r="N488" s="18"/>
      <c r="O488" s="12"/>
      <c r="P488" s="12"/>
      <c r="Q488" s="12"/>
      <c r="R488" s="36"/>
      <c r="S488" s="36"/>
      <c r="T488" s="12"/>
      <c r="U488" s="12"/>
      <c r="V488" s="12"/>
      <c r="W488" s="12"/>
      <c r="X488" s="12"/>
    </row>
    <row r="489" customFormat="false" ht="15.75" hidden="false" customHeight="false" outlineLevel="0" collapsed="false">
      <c r="A489" s="12"/>
      <c r="B489" s="34"/>
      <c r="C489" s="12"/>
      <c r="D489" s="12"/>
      <c r="E489" s="12"/>
      <c r="F489" s="12"/>
      <c r="G489" s="18"/>
      <c r="H489" s="35"/>
      <c r="I489" s="12"/>
      <c r="M489" s="12"/>
      <c r="N489" s="18"/>
      <c r="O489" s="12"/>
      <c r="P489" s="12"/>
      <c r="Q489" s="12"/>
      <c r="R489" s="36"/>
      <c r="S489" s="36"/>
      <c r="T489" s="12"/>
      <c r="U489" s="12"/>
      <c r="V489" s="12"/>
      <c r="W489" s="12"/>
      <c r="X489" s="12"/>
    </row>
    <row r="490" customFormat="false" ht="15.75" hidden="false" customHeight="false" outlineLevel="0" collapsed="false">
      <c r="A490" s="12"/>
      <c r="B490" s="34"/>
      <c r="C490" s="12"/>
      <c r="D490" s="12"/>
      <c r="E490" s="12"/>
      <c r="F490" s="12"/>
      <c r="G490" s="18"/>
      <c r="H490" s="35"/>
      <c r="I490" s="12"/>
      <c r="M490" s="12"/>
      <c r="N490" s="18"/>
      <c r="O490" s="12"/>
      <c r="P490" s="12"/>
      <c r="Q490" s="12"/>
      <c r="R490" s="36"/>
      <c r="S490" s="36"/>
      <c r="T490" s="12"/>
      <c r="U490" s="12"/>
      <c r="V490" s="12"/>
      <c r="W490" s="12"/>
      <c r="X490" s="12"/>
    </row>
    <row r="491" customFormat="false" ht="15.75" hidden="false" customHeight="false" outlineLevel="0" collapsed="false">
      <c r="A491" s="12"/>
      <c r="B491" s="34"/>
      <c r="C491" s="12"/>
      <c r="D491" s="12"/>
      <c r="E491" s="12"/>
      <c r="F491" s="12"/>
      <c r="G491" s="18"/>
      <c r="H491" s="35"/>
      <c r="I491" s="12"/>
      <c r="M491" s="12"/>
      <c r="N491" s="18"/>
      <c r="O491" s="12"/>
      <c r="P491" s="12"/>
      <c r="Q491" s="12"/>
      <c r="R491" s="36"/>
      <c r="S491" s="36"/>
      <c r="T491" s="12"/>
      <c r="U491" s="12"/>
      <c r="V491" s="12"/>
      <c r="W491" s="12"/>
      <c r="X491" s="12"/>
    </row>
    <row r="492" customFormat="false" ht="15.75" hidden="false" customHeight="false" outlineLevel="0" collapsed="false">
      <c r="A492" s="12"/>
      <c r="B492" s="34"/>
      <c r="C492" s="12"/>
      <c r="D492" s="12"/>
      <c r="E492" s="12"/>
      <c r="F492" s="12"/>
      <c r="G492" s="18"/>
      <c r="H492" s="35"/>
      <c r="I492" s="12"/>
      <c r="M492" s="12"/>
      <c r="N492" s="18"/>
      <c r="O492" s="12"/>
      <c r="P492" s="12"/>
      <c r="Q492" s="12"/>
      <c r="R492" s="36"/>
      <c r="S492" s="36"/>
      <c r="T492" s="12"/>
      <c r="U492" s="12"/>
      <c r="V492" s="12"/>
      <c r="W492" s="12"/>
      <c r="X492" s="12"/>
    </row>
    <row r="493" customFormat="false" ht="15.75" hidden="false" customHeight="false" outlineLevel="0" collapsed="false">
      <c r="A493" s="12"/>
      <c r="B493" s="34"/>
      <c r="C493" s="12"/>
      <c r="D493" s="12"/>
      <c r="E493" s="12"/>
      <c r="F493" s="12"/>
      <c r="G493" s="18"/>
      <c r="H493" s="35"/>
      <c r="I493" s="12"/>
      <c r="M493" s="12"/>
      <c r="N493" s="18"/>
      <c r="O493" s="12"/>
      <c r="P493" s="12"/>
      <c r="Q493" s="12"/>
      <c r="R493" s="36"/>
      <c r="S493" s="36"/>
      <c r="T493" s="12"/>
      <c r="U493" s="12"/>
      <c r="V493" s="12"/>
      <c r="W493" s="12"/>
      <c r="X493" s="12"/>
    </row>
    <row r="494" customFormat="false" ht="15.75" hidden="false" customHeight="false" outlineLevel="0" collapsed="false">
      <c r="A494" s="12"/>
      <c r="B494" s="34"/>
      <c r="C494" s="12"/>
      <c r="D494" s="12"/>
      <c r="E494" s="12"/>
      <c r="F494" s="12"/>
      <c r="G494" s="18"/>
      <c r="H494" s="35"/>
      <c r="I494" s="12"/>
      <c r="M494" s="12"/>
      <c r="N494" s="18"/>
      <c r="O494" s="12"/>
      <c r="P494" s="12"/>
      <c r="Q494" s="12"/>
      <c r="R494" s="36"/>
      <c r="S494" s="36"/>
      <c r="T494" s="12"/>
      <c r="U494" s="12"/>
      <c r="V494" s="12"/>
      <c r="W494" s="12"/>
      <c r="X494" s="12"/>
    </row>
    <row r="495" customFormat="false" ht="15.75" hidden="false" customHeight="false" outlineLevel="0" collapsed="false">
      <c r="A495" s="12"/>
      <c r="B495" s="34"/>
      <c r="C495" s="12"/>
      <c r="D495" s="12"/>
      <c r="E495" s="12"/>
      <c r="F495" s="12"/>
      <c r="G495" s="18"/>
      <c r="H495" s="35"/>
      <c r="I495" s="12"/>
      <c r="M495" s="12"/>
      <c r="N495" s="18"/>
      <c r="O495" s="12"/>
      <c r="P495" s="12"/>
      <c r="Q495" s="12"/>
      <c r="R495" s="36"/>
      <c r="S495" s="36"/>
      <c r="T495" s="12"/>
      <c r="U495" s="12"/>
      <c r="V495" s="12"/>
      <c r="W495" s="12"/>
      <c r="X495" s="12"/>
    </row>
    <row r="496" customFormat="false" ht="15.75" hidden="false" customHeight="false" outlineLevel="0" collapsed="false">
      <c r="A496" s="12"/>
      <c r="B496" s="34"/>
      <c r="C496" s="12"/>
      <c r="D496" s="12"/>
      <c r="E496" s="12"/>
      <c r="F496" s="12"/>
      <c r="G496" s="18"/>
      <c r="H496" s="35"/>
      <c r="I496" s="12"/>
      <c r="M496" s="12"/>
      <c r="N496" s="18"/>
      <c r="O496" s="12"/>
      <c r="P496" s="12"/>
      <c r="Q496" s="12"/>
      <c r="R496" s="36"/>
      <c r="S496" s="36"/>
      <c r="T496" s="12"/>
      <c r="U496" s="12"/>
      <c r="V496" s="12"/>
      <c r="W496" s="12"/>
      <c r="X496" s="12"/>
    </row>
    <row r="497" customFormat="false" ht="15.75" hidden="false" customHeight="false" outlineLevel="0" collapsed="false">
      <c r="A497" s="12"/>
      <c r="B497" s="34"/>
      <c r="C497" s="12"/>
      <c r="D497" s="12"/>
      <c r="E497" s="12"/>
      <c r="F497" s="12"/>
      <c r="G497" s="18"/>
      <c r="H497" s="35"/>
      <c r="I497" s="12"/>
      <c r="M497" s="12"/>
      <c r="N497" s="18"/>
      <c r="O497" s="12"/>
      <c r="P497" s="12"/>
      <c r="Q497" s="12"/>
      <c r="R497" s="36"/>
      <c r="S497" s="36"/>
      <c r="T497" s="12"/>
      <c r="U497" s="12"/>
      <c r="V497" s="12"/>
      <c r="W497" s="12"/>
      <c r="X497" s="12"/>
    </row>
    <row r="498" customFormat="false" ht="15.75" hidden="false" customHeight="false" outlineLevel="0" collapsed="false">
      <c r="A498" s="12"/>
      <c r="B498" s="34"/>
      <c r="C498" s="12"/>
      <c r="D498" s="12"/>
      <c r="E498" s="12"/>
      <c r="F498" s="12"/>
      <c r="G498" s="18"/>
      <c r="H498" s="35"/>
      <c r="I498" s="12"/>
      <c r="M498" s="12"/>
      <c r="N498" s="18"/>
      <c r="O498" s="12"/>
      <c r="P498" s="12"/>
      <c r="Q498" s="12"/>
      <c r="R498" s="36"/>
      <c r="S498" s="36"/>
      <c r="T498" s="12"/>
      <c r="U498" s="12"/>
      <c r="V498" s="12"/>
      <c r="W498" s="12"/>
      <c r="X498" s="12"/>
    </row>
    <row r="499" customFormat="false" ht="15.75" hidden="false" customHeight="false" outlineLevel="0" collapsed="false">
      <c r="A499" s="12"/>
      <c r="B499" s="34"/>
      <c r="C499" s="12"/>
      <c r="D499" s="12"/>
      <c r="E499" s="12"/>
      <c r="F499" s="12"/>
      <c r="G499" s="18"/>
      <c r="H499" s="35"/>
      <c r="I499" s="12"/>
      <c r="M499" s="12"/>
      <c r="N499" s="18"/>
      <c r="O499" s="12"/>
      <c r="P499" s="12"/>
      <c r="Q499" s="12"/>
      <c r="R499" s="36"/>
      <c r="S499" s="36"/>
      <c r="T499" s="12"/>
      <c r="U499" s="12"/>
      <c r="V499" s="12"/>
      <c r="W499" s="12"/>
      <c r="X499" s="12"/>
    </row>
    <row r="500" customFormat="false" ht="15.75" hidden="false" customHeight="false" outlineLevel="0" collapsed="false">
      <c r="A500" s="12"/>
      <c r="B500" s="34"/>
      <c r="C500" s="12"/>
      <c r="D500" s="12"/>
      <c r="E500" s="12"/>
      <c r="F500" s="12"/>
      <c r="G500" s="18"/>
      <c r="H500" s="35"/>
      <c r="I500" s="12"/>
      <c r="M500" s="12"/>
      <c r="N500" s="18"/>
      <c r="O500" s="12"/>
      <c r="P500" s="12"/>
      <c r="Q500" s="12"/>
      <c r="R500" s="36"/>
      <c r="S500" s="36"/>
      <c r="T500" s="12"/>
      <c r="U500" s="12"/>
      <c r="V500" s="12"/>
      <c r="W500" s="12"/>
      <c r="X500" s="12"/>
    </row>
    <row r="501" customFormat="false" ht="15.75" hidden="false" customHeight="false" outlineLevel="0" collapsed="false">
      <c r="A501" s="12"/>
      <c r="B501" s="34"/>
      <c r="C501" s="12"/>
      <c r="D501" s="12"/>
      <c r="E501" s="12"/>
      <c r="F501" s="12"/>
      <c r="G501" s="18"/>
      <c r="H501" s="35"/>
      <c r="I501" s="12"/>
      <c r="M501" s="12"/>
      <c r="N501" s="18"/>
      <c r="O501" s="12"/>
      <c r="P501" s="12"/>
      <c r="Q501" s="12"/>
      <c r="R501" s="36"/>
      <c r="S501" s="36"/>
      <c r="T501" s="12"/>
      <c r="U501" s="12"/>
      <c r="V501" s="12"/>
      <c r="W501" s="12"/>
      <c r="X501" s="12"/>
    </row>
    <row r="502" customFormat="false" ht="15.75" hidden="false" customHeight="false" outlineLevel="0" collapsed="false">
      <c r="A502" s="12"/>
      <c r="B502" s="34"/>
      <c r="C502" s="12"/>
      <c r="D502" s="12"/>
      <c r="E502" s="12"/>
      <c r="F502" s="12"/>
      <c r="G502" s="18"/>
      <c r="H502" s="35"/>
      <c r="I502" s="12"/>
      <c r="M502" s="12"/>
      <c r="N502" s="18"/>
      <c r="O502" s="12"/>
      <c r="P502" s="12"/>
      <c r="Q502" s="12"/>
      <c r="R502" s="36"/>
      <c r="S502" s="36"/>
      <c r="T502" s="12"/>
      <c r="U502" s="12"/>
      <c r="V502" s="12"/>
      <c r="W502" s="12"/>
      <c r="X502" s="12"/>
    </row>
    <row r="503" customFormat="false" ht="15.75" hidden="false" customHeight="false" outlineLevel="0" collapsed="false">
      <c r="A503" s="12"/>
      <c r="B503" s="34"/>
      <c r="C503" s="12"/>
      <c r="D503" s="12"/>
      <c r="E503" s="12"/>
      <c r="F503" s="12"/>
      <c r="G503" s="18"/>
      <c r="H503" s="35"/>
      <c r="I503" s="12"/>
      <c r="M503" s="12"/>
      <c r="N503" s="18"/>
      <c r="O503" s="12"/>
      <c r="P503" s="12"/>
      <c r="Q503" s="12"/>
      <c r="R503" s="36"/>
      <c r="S503" s="36"/>
      <c r="T503" s="12"/>
      <c r="U503" s="12"/>
      <c r="V503" s="12"/>
      <c r="W503" s="12"/>
      <c r="X503" s="12"/>
    </row>
    <row r="504" customFormat="false" ht="15.75" hidden="false" customHeight="false" outlineLevel="0" collapsed="false">
      <c r="A504" s="12"/>
      <c r="B504" s="34"/>
      <c r="C504" s="12"/>
      <c r="D504" s="12"/>
      <c r="E504" s="12"/>
      <c r="F504" s="12"/>
      <c r="G504" s="18"/>
      <c r="H504" s="35"/>
      <c r="I504" s="12"/>
      <c r="M504" s="12"/>
      <c r="N504" s="18"/>
      <c r="O504" s="12"/>
      <c r="P504" s="12"/>
      <c r="Q504" s="12"/>
      <c r="R504" s="36"/>
      <c r="S504" s="36"/>
      <c r="T504" s="12"/>
      <c r="U504" s="12"/>
      <c r="V504" s="12"/>
      <c r="W504" s="12"/>
      <c r="X504" s="12"/>
    </row>
    <row r="505" customFormat="false" ht="15.75" hidden="false" customHeight="false" outlineLevel="0" collapsed="false">
      <c r="A505" s="12"/>
      <c r="B505" s="34"/>
      <c r="C505" s="12"/>
      <c r="D505" s="12"/>
      <c r="E505" s="12"/>
      <c r="F505" s="12"/>
      <c r="G505" s="18"/>
      <c r="H505" s="35"/>
      <c r="I505" s="12"/>
      <c r="M505" s="12"/>
      <c r="N505" s="18"/>
      <c r="O505" s="12"/>
      <c r="P505" s="12"/>
      <c r="Q505" s="12"/>
      <c r="R505" s="36"/>
      <c r="S505" s="36"/>
      <c r="T505" s="12"/>
      <c r="U505" s="12"/>
      <c r="V505" s="12"/>
      <c r="W505" s="12"/>
      <c r="X505" s="12"/>
    </row>
    <row r="506" customFormat="false" ht="15.75" hidden="false" customHeight="false" outlineLevel="0" collapsed="false">
      <c r="A506" s="12"/>
      <c r="B506" s="34"/>
      <c r="C506" s="12"/>
      <c r="D506" s="12"/>
      <c r="E506" s="12"/>
      <c r="F506" s="12"/>
      <c r="G506" s="18"/>
      <c r="H506" s="35"/>
      <c r="I506" s="12"/>
      <c r="M506" s="12"/>
      <c r="N506" s="18"/>
      <c r="O506" s="12"/>
      <c r="P506" s="12"/>
      <c r="Q506" s="12"/>
      <c r="R506" s="36"/>
      <c r="S506" s="36"/>
      <c r="T506" s="12"/>
      <c r="U506" s="12"/>
      <c r="V506" s="12"/>
      <c r="W506" s="12"/>
      <c r="X506" s="12"/>
    </row>
    <row r="507" customFormat="false" ht="15.75" hidden="false" customHeight="false" outlineLevel="0" collapsed="false">
      <c r="A507" s="12"/>
      <c r="B507" s="34"/>
      <c r="C507" s="12"/>
      <c r="D507" s="12"/>
      <c r="E507" s="12"/>
      <c r="F507" s="12"/>
      <c r="G507" s="18"/>
      <c r="H507" s="35"/>
      <c r="I507" s="12"/>
      <c r="M507" s="12"/>
      <c r="N507" s="18"/>
      <c r="O507" s="12"/>
      <c r="P507" s="12"/>
      <c r="Q507" s="12"/>
      <c r="R507" s="36"/>
      <c r="S507" s="36"/>
      <c r="T507" s="12"/>
      <c r="U507" s="12"/>
      <c r="V507" s="12"/>
      <c r="W507" s="12"/>
      <c r="X507" s="12"/>
    </row>
    <row r="508" customFormat="false" ht="15.75" hidden="false" customHeight="false" outlineLevel="0" collapsed="false">
      <c r="A508" s="12"/>
      <c r="B508" s="34"/>
      <c r="C508" s="12"/>
      <c r="D508" s="12"/>
      <c r="E508" s="12"/>
      <c r="F508" s="12"/>
      <c r="G508" s="18"/>
      <c r="H508" s="35"/>
      <c r="I508" s="12"/>
      <c r="M508" s="12"/>
      <c r="N508" s="18"/>
      <c r="O508" s="12"/>
      <c r="P508" s="12"/>
      <c r="Q508" s="12"/>
      <c r="R508" s="36"/>
      <c r="S508" s="36"/>
      <c r="T508" s="12"/>
      <c r="U508" s="12"/>
      <c r="V508" s="12"/>
      <c r="W508" s="12"/>
      <c r="X508" s="12"/>
    </row>
    <row r="509" customFormat="false" ht="15.75" hidden="false" customHeight="false" outlineLevel="0" collapsed="false">
      <c r="A509" s="12"/>
      <c r="B509" s="34"/>
      <c r="C509" s="12"/>
      <c r="D509" s="12"/>
      <c r="E509" s="12"/>
      <c r="F509" s="12"/>
      <c r="G509" s="18"/>
      <c r="H509" s="35"/>
      <c r="I509" s="12"/>
      <c r="M509" s="12"/>
      <c r="N509" s="18"/>
      <c r="O509" s="12"/>
      <c r="P509" s="12"/>
      <c r="Q509" s="12"/>
      <c r="R509" s="36"/>
      <c r="S509" s="36"/>
      <c r="T509" s="12"/>
      <c r="U509" s="12"/>
      <c r="V509" s="12"/>
      <c r="W509" s="12"/>
      <c r="X509" s="12"/>
    </row>
    <row r="510" customFormat="false" ht="15.75" hidden="false" customHeight="false" outlineLevel="0" collapsed="false">
      <c r="A510" s="12"/>
      <c r="B510" s="34"/>
      <c r="C510" s="12"/>
      <c r="D510" s="12"/>
      <c r="E510" s="12"/>
      <c r="F510" s="12"/>
      <c r="G510" s="18"/>
      <c r="H510" s="35"/>
      <c r="I510" s="12"/>
      <c r="M510" s="12"/>
      <c r="N510" s="18"/>
      <c r="O510" s="12"/>
      <c r="P510" s="12"/>
      <c r="Q510" s="12"/>
      <c r="R510" s="36"/>
      <c r="S510" s="36"/>
      <c r="T510" s="12"/>
      <c r="U510" s="12"/>
      <c r="V510" s="12"/>
      <c r="W510" s="12"/>
      <c r="X510" s="12"/>
    </row>
    <row r="511" customFormat="false" ht="15.75" hidden="false" customHeight="false" outlineLevel="0" collapsed="false">
      <c r="A511" s="12"/>
      <c r="B511" s="34"/>
      <c r="C511" s="12"/>
      <c r="D511" s="12"/>
      <c r="E511" s="12"/>
      <c r="F511" s="12"/>
      <c r="G511" s="18"/>
      <c r="H511" s="35"/>
      <c r="I511" s="12"/>
      <c r="M511" s="12"/>
      <c r="N511" s="18"/>
      <c r="O511" s="12"/>
      <c r="P511" s="12"/>
      <c r="Q511" s="12"/>
      <c r="R511" s="36"/>
      <c r="S511" s="36"/>
      <c r="T511" s="12"/>
      <c r="U511" s="12"/>
      <c r="V511" s="12"/>
      <c r="W511" s="12"/>
      <c r="X511" s="12"/>
    </row>
    <row r="512" customFormat="false" ht="15.75" hidden="false" customHeight="false" outlineLevel="0" collapsed="false">
      <c r="A512" s="12"/>
      <c r="B512" s="34"/>
      <c r="C512" s="12"/>
      <c r="D512" s="12"/>
      <c r="E512" s="12"/>
      <c r="F512" s="12"/>
      <c r="G512" s="18"/>
      <c r="H512" s="35"/>
      <c r="I512" s="12"/>
      <c r="M512" s="12"/>
      <c r="N512" s="18"/>
      <c r="O512" s="12"/>
      <c r="P512" s="12"/>
      <c r="Q512" s="12"/>
      <c r="R512" s="36"/>
      <c r="S512" s="36"/>
      <c r="T512" s="12"/>
      <c r="U512" s="12"/>
      <c r="V512" s="12"/>
      <c r="W512" s="12"/>
      <c r="X512" s="12"/>
    </row>
    <row r="513" customFormat="false" ht="15.75" hidden="false" customHeight="false" outlineLevel="0" collapsed="false">
      <c r="A513" s="12"/>
      <c r="B513" s="34"/>
      <c r="C513" s="12"/>
      <c r="D513" s="12"/>
      <c r="E513" s="12"/>
      <c r="F513" s="12"/>
      <c r="G513" s="18"/>
      <c r="H513" s="35"/>
      <c r="I513" s="12"/>
      <c r="M513" s="12"/>
      <c r="N513" s="18"/>
      <c r="O513" s="12"/>
      <c r="P513" s="12"/>
      <c r="Q513" s="12"/>
      <c r="R513" s="36"/>
      <c r="S513" s="36"/>
      <c r="T513" s="12"/>
      <c r="U513" s="12"/>
      <c r="V513" s="12"/>
      <c r="W513" s="12"/>
      <c r="X513" s="12"/>
    </row>
    <row r="514" customFormat="false" ht="15.75" hidden="false" customHeight="false" outlineLevel="0" collapsed="false">
      <c r="A514" s="12"/>
      <c r="B514" s="34"/>
      <c r="C514" s="12"/>
      <c r="D514" s="12"/>
      <c r="E514" s="12"/>
      <c r="F514" s="12"/>
      <c r="G514" s="18"/>
      <c r="H514" s="35"/>
      <c r="I514" s="12"/>
      <c r="M514" s="12"/>
      <c r="N514" s="18"/>
      <c r="O514" s="12"/>
      <c r="P514" s="12"/>
      <c r="Q514" s="12"/>
      <c r="R514" s="36"/>
      <c r="S514" s="36"/>
      <c r="T514" s="12"/>
      <c r="U514" s="12"/>
      <c r="V514" s="12"/>
      <c r="W514" s="12"/>
      <c r="X514" s="12"/>
    </row>
    <row r="515" customFormat="false" ht="15.75" hidden="false" customHeight="false" outlineLevel="0" collapsed="false">
      <c r="A515" s="12"/>
      <c r="B515" s="34"/>
      <c r="C515" s="12"/>
      <c r="D515" s="12"/>
      <c r="E515" s="12"/>
      <c r="F515" s="12"/>
      <c r="G515" s="18"/>
      <c r="H515" s="35"/>
      <c r="I515" s="12"/>
      <c r="M515" s="12"/>
      <c r="N515" s="18"/>
      <c r="O515" s="12"/>
      <c r="P515" s="12"/>
      <c r="Q515" s="12"/>
      <c r="R515" s="36"/>
      <c r="S515" s="36"/>
      <c r="T515" s="12"/>
      <c r="U515" s="12"/>
      <c r="V515" s="12"/>
      <c r="W515" s="12"/>
      <c r="X515" s="12"/>
    </row>
    <row r="516" customFormat="false" ht="15.75" hidden="false" customHeight="false" outlineLevel="0" collapsed="false">
      <c r="A516" s="12"/>
      <c r="B516" s="34"/>
      <c r="C516" s="12"/>
      <c r="D516" s="12"/>
      <c r="E516" s="12"/>
      <c r="F516" s="12"/>
      <c r="G516" s="18"/>
      <c r="H516" s="35"/>
      <c r="I516" s="12"/>
      <c r="M516" s="12"/>
      <c r="N516" s="18"/>
      <c r="O516" s="12"/>
      <c r="P516" s="12"/>
      <c r="Q516" s="12"/>
      <c r="R516" s="36"/>
      <c r="S516" s="36"/>
      <c r="T516" s="12"/>
      <c r="U516" s="12"/>
      <c r="V516" s="12"/>
      <c r="W516" s="12"/>
      <c r="X516" s="12"/>
    </row>
    <row r="517" customFormat="false" ht="15.75" hidden="false" customHeight="false" outlineLevel="0" collapsed="false">
      <c r="A517" s="12"/>
      <c r="B517" s="34"/>
      <c r="C517" s="12"/>
      <c r="D517" s="12"/>
      <c r="E517" s="12"/>
      <c r="F517" s="12"/>
      <c r="G517" s="18"/>
      <c r="H517" s="35"/>
      <c r="I517" s="12"/>
      <c r="M517" s="12"/>
      <c r="N517" s="18"/>
      <c r="O517" s="12"/>
      <c r="P517" s="12"/>
      <c r="Q517" s="12"/>
      <c r="R517" s="36"/>
      <c r="S517" s="36"/>
      <c r="T517" s="12"/>
      <c r="U517" s="12"/>
      <c r="V517" s="12"/>
      <c r="W517" s="12"/>
      <c r="X517" s="12"/>
    </row>
    <row r="518" customFormat="false" ht="15.75" hidden="false" customHeight="false" outlineLevel="0" collapsed="false">
      <c r="A518" s="12"/>
      <c r="B518" s="34"/>
      <c r="C518" s="12"/>
      <c r="D518" s="12"/>
      <c r="E518" s="12"/>
      <c r="F518" s="12"/>
      <c r="G518" s="18"/>
      <c r="H518" s="35"/>
      <c r="I518" s="12"/>
      <c r="M518" s="12"/>
      <c r="N518" s="18"/>
      <c r="O518" s="12"/>
      <c r="P518" s="12"/>
      <c r="Q518" s="12"/>
      <c r="R518" s="36"/>
      <c r="S518" s="36"/>
      <c r="T518" s="12"/>
      <c r="U518" s="12"/>
      <c r="V518" s="12"/>
      <c r="W518" s="12"/>
      <c r="X518" s="12"/>
    </row>
    <row r="519" customFormat="false" ht="15.75" hidden="false" customHeight="false" outlineLevel="0" collapsed="false">
      <c r="A519" s="12"/>
      <c r="B519" s="34"/>
      <c r="C519" s="12"/>
      <c r="D519" s="12"/>
      <c r="E519" s="12"/>
      <c r="F519" s="12"/>
      <c r="G519" s="18"/>
      <c r="H519" s="35"/>
      <c r="I519" s="12"/>
      <c r="M519" s="12"/>
      <c r="N519" s="18"/>
      <c r="O519" s="12"/>
      <c r="P519" s="12"/>
      <c r="Q519" s="12"/>
      <c r="R519" s="36"/>
      <c r="S519" s="36"/>
      <c r="T519" s="12"/>
      <c r="U519" s="12"/>
      <c r="V519" s="12"/>
      <c r="W519" s="12"/>
      <c r="X519" s="12"/>
    </row>
    <row r="520" customFormat="false" ht="15.75" hidden="false" customHeight="false" outlineLevel="0" collapsed="false">
      <c r="A520" s="12"/>
      <c r="B520" s="34"/>
      <c r="C520" s="12"/>
      <c r="D520" s="12"/>
      <c r="E520" s="12"/>
      <c r="F520" s="12"/>
      <c r="G520" s="18"/>
      <c r="H520" s="35"/>
      <c r="I520" s="12"/>
      <c r="M520" s="12"/>
      <c r="N520" s="18"/>
      <c r="O520" s="12"/>
      <c r="P520" s="12"/>
      <c r="Q520" s="12"/>
      <c r="R520" s="36"/>
      <c r="S520" s="36"/>
      <c r="T520" s="12"/>
      <c r="U520" s="12"/>
      <c r="V520" s="12"/>
      <c r="W520" s="12"/>
      <c r="X520" s="12"/>
    </row>
    <row r="521" customFormat="false" ht="15.75" hidden="false" customHeight="false" outlineLevel="0" collapsed="false">
      <c r="A521" s="12"/>
      <c r="B521" s="34"/>
      <c r="C521" s="12"/>
      <c r="D521" s="12"/>
      <c r="E521" s="12"/>
      <c r="F521" s="12"/>
      <c r="G521" s="18"/>
      <c r="H521" s="35"/>
      <c r="I521" s="12"/>
      <c r="M521" s="12"/>
      <c r="N521" s="18"/>
      <c r="O521" s="12"/>
      <c r="P521" s="12"/>
      <c r="Q521" s="12"/>
      <c r="R521" s="36"/>
      <c r="S521" s="36"/>
      <c r="T521" s="12"/>
      <c r="U521" s="12"/>
      <c r="V521" s="12"/>
      <c r="W521" s="12"/>
      <c r="X521" s="12"/>
    </row>
    <row r="522" customFormat="false" ht="15.75" hidden="false" customHeight="false" outlineLevel="0" collapsed="false">
      <c r="A522" s="12"/>
      <c r="B522" s="34"/>
      <c r="C522" s="12"/>
      <c r="D522" s="12"/>
      <c r="E522" s="12"/>
      <c r="F522" s="12"/>
      <c r="G522" s="18"/>
      <c r="H522" s="35"/>
      <c r="I522" s="12"/>
      <c r="M522" s="12"/>
      <c r="N522" s="18"/>
      <c r="O522" s="12"/>
      <c r="P522" s="12"/>
      <c r="Q522" s="12"/>
      <c r="R522" s="36"/>
      <c r="S522" s="36"/>
      <c r="T522" s="12"/>
      <c r="U522" s="12"/>
      <c r="V522" s="12"/>
      <c r="W522" s="12"/>
      <c r="X522" s="12"/>
    </row>
    <row r="523" customFormat="false" ht="15.75" hidden="false" customHeight="false" outlineLevel="0" collapsed="false">
      <c r="A523" s="12"/>
      <c r="B523" s="34"/>
      <c r="C523" s="12"/>
      <c r="D523" s="12"/>
      <c r="E523" s="12"/>
      <c r="F523" s="12"/>
      <c r="G523" s="18"/>
      <c r="H523" s="35"/>
      <c r="I523" s="12"/>
      <c r="M523" s="12"/>
      <c r="N523" s="18"/>
      <c r="O523" s="12"/>
      <c r="P523" s="12"/>
      <c r="Q523" s="12"/>
      <c r="R523" s="36"/>
      <c r="S523" s="36"/>
      <c r="T523" s="12"/>
      <c r="U523" s="12"/>
      <c r="V523" s="12"/>
      <c r="W523" s="12"/>
      <c r="X523" s="12"/>
    </row>
    <row r="524" customFormat="false" ht="15.75" hidden="false" customHeight="false" outlineLevel="0" collapsed="false">
      <c r="A524" s="12"/>
      <c r="B524" s="34"/>
      <c r="C524" s="12"/>
      <c r="D524" s="12"/>
      <c r="E524" s="12"/>
      <c r="F524" s="12"/>
      <c r="G524" s="18"/>
      <c r="H524" s="35"/>
      <c r="I524" s="12"/>
      <c r="M524" s="12"/>
      <c r="N524" s="18"/>
      <c r="O524" s="12"/>
      <c r="P524" s="12"/>
      <c r="Q524" s="12"/>
      <c r="R524" s="36"/>
      <c r="S524" s="36"/>
      <c r="T524" s="12"/>
      <c r="U524" s="12"/>
      <c r="V524" s="12"/>
      <c r="W524" s="12"/>
      <c r="X524" s="12"/>
    </row>
    <row r="525" customFormat="false" ht="15.75" hidden="false" customHeight="false" outlineLevel="0" collapsed="false">
      <c r="A525" s="12"/>
      <c r="B525" s="34"/>
      <c r="C525" s="12"/>
      <c r="D525" s="12"/>
      <c r="E525" s="12"/>
      <c r="F525" s="12"/>
      <c r="G525" s="18"/>
      <c r="H525" s="35"/>
      <c r="I525" s="12"/>
      <c r="M525" s="12"/>
      <c r="N525" s="18"/>
      <c r="O525" s="12"/>
      <c r="P525" s="12"/>
      <c r="Q525" s="12"/>
      <c r="R525" s="36"/>
      <c r="S525" s="36"/>
      <c r="T525" s="12"/>
      <c r="U525" s="12"/>
      <c r="V525" s="12"/>
      <c r="W525" s="12"/>
      <c r="X525" s="12"/>
    </row>
    <row r="526" customFormat="false" ht="15.75" hidden="false" customHeight="false" outlineLevel="0" collapsed="false">
      <c r="A526" s="12"/>
      <c r="B526" s="34"/>
      <c r="C526" s="12"/>
      <c r="D526" s="12"/>
      <c r="E526" s="12"/>
      <c r="F526" s="12"/>
      <c r="G526" s="18"/>
      <c r="H526" s="35"/>
      <c r="I526" s="12"/>
      <c r="M526" s="12"/>
      <c r="N526" s="18"/>
      <c r="O526" s="12"/>
      <c r="P526" s="12"/>
      <c r="Q526" s="12"/>
      <c r="R526" s="36"/>
      <c r="S526" s="36"/>
      <c r="T526" s="12"/>
      <c r="U526" s="12"/>
      <c r="V526" s="12"/>
      <c r="W526" s="12"/>
      <c r="X526" s="12"/>
    </row>
    <row r="527" customFormat="false" ht="15.75" hidden="false" customHeight="false" outlineLevel="0" collapsed="false">
      <c r="A527" s="12"/>
      <c r="B527" s="34"/>
      <c r="C527" s="12"/>
      <c r="D527" s="12"/>
      <c r="E527" s="12"/>
      <c r="F527" s="12"/>
      <c r="G527" s="18"/>
      <c r="H527" s="35"/>
      <c r="I527" s="12"/>
      <c r="M527" s="12"/>
      <c r="N527" s="18"/>
      <c r="O527" s="12"/>
      <c r="P527" s="12"/>
      <c r="Q527" s="12"/>
      <c r="R527" s="36"/>
      <c r="S527" s="36"/>
      <c r="T527" s="12"/>
      <c r="U527" s="12"/>
      <c r="V527" s="12"/>
      <c r="W527" s="12"/>
      <c r="X527" s="12"/>
    </row>
    <row r="528" customFormat="false" ht="15.75" hidden="false" customHeight="false" outlineLevel="0" collapsed="false">
      <c r="A528" s="12"/>
      <c r="B528" s="34"/>
      <c r="C528" s="12"/>
      <c r="D528" s="12"/>
      <c r="E528" s="12"/>
      <c r="F528" s="12"/>
      <c r="G528" s="18"/>
      <c r="H528" s="35"/>
      <c r="I528" s="12"/>
      <c r="M528" s="12"/>
      <c r="N528" s="18"/>
      <c r="O528" s="12"/>
      <c r="P528" s="12"/>
      <c r="Q528" s="12"/>
      <c r="R528" s="36"/>
      <c r="S528" s="36"/>
      <c r="T528" s="12"/>
      <c r="U528" s="12"/>
      <c r="V528" s="12"/>
      <c r="W528" s="12"/>
      <c r="X528" s="12"/>
    </row>
    <row r="529" customFormat="false" ht="15.75" hidden="false" customHeight="false" outlineLevel="0" collapsed="false">
      <c r="A529" s="12"/>
      <c r="B529" s="34"/>
      <c r="C529" s="12"/>
      <c r="D529" s="12"/>
      <c r="E529" s="12"/>
      <c r="F529" s="12"/>
      <c r="G529" s="18"/>
      <c r="H529" s="35"/>
      <c r="I529" s="12"/>
      <c r="M529" s="12"/>
      <c r="N529" s="18"/>
      <c r="O529" s="12"/>
      <c r="P529" s="12"/>
      <c r="Q529" s="12"/>
      <c r="R529" s="36"/>
      <c r="S529" s="36"/>
      <c r="T529" s="12"/>
      <c r="U529" s="12"/>
      <c r="V529" s="12"/>
      <c r="W529" s="12"/>
      <c r="X529" s="12"/>
    </row>
    <row r="530" customFormat="false" ht="15.75" hidden="false" customHeight="false" outlineLevel="0" collapsed="false">
      <c r="A530" s="12"/>
      <c r="B530" s="34"/>
      <c r="C530" s="12"/>
      <c r="D530" s="12"/>
      <c r="E530" s="12"/>
      <c r="F530" s="12"/>
      <c r="G530" s="18"/>
      <c r="H530" s="35"/>
      <c r="I530" s="12"/>
      <c r="M530" s="12"/>
      <c r="N530" s="18"/>
      <c r="O530" s="12"/>
      <c r="P530" s="12"/>
      <c r="Q530" s="12"/>
      <c r="R530" s="36"/>
      <c r="S530" s="36"/>
      <c r="T530" s="12"/>
      <c r="U530" s="12"/>
      <c r="V530" s="12"/>
      <c r="W530" s="12"/>
      <c r="X530" s="12"/>
    </row>
    <row r="531" customFormat="false" ht="15.75" hidden="false" customHeight="false" outlineLevel="0" collapsed="false">
      <c r="A531" s="12"/>
      <c r="B531" s="34"/>
      <c r="C531" s="12"/>
      <c r="D531" s="12"/>
      <c r="E531" s="12"/>
      <c r="F531" s="12"/>
      <c r="G531" s="18"/>
      <c r="H531" s="35"/>
      <c r="I531" s="12"/>
      <c r="M531" s="12"/>
      <c r="N531" s="18"/>
      <c r="O531" s="12"/>
      <c r="P531" s="12"/>
      <c r="Q531" s="12"/>
      <c r="R531" s="36"/>
      <c r="S531" s="36"/>
      <c r="T531" s="12"/>
      <c r="U531" s="12"/>
      <c r="V531" s="12"/>
      <c r="W531" s="12"/>
      <c r="X531" s="12"/>
    </row>
    <row r="532" customFormat="false" ht="15.75" hidden="false" customHeight="false" outlineLevel="0" collapsed="false">
      <c r="A532" s="12"/>
      <c r="B532" s="34"/>
      <c r="C532" s="12"/>
      <c r="D532" s="12"/>
      <c r="E532" s="12"/>
      <c r="F532" s="12"/>
      <c r="G532" s="18"/>
      <c r="H532" s="35"/>
      <c r="I532" s="12"/>
      <c r="M532" s="12"/>
      <c r="N532" s="18"/>
      <c r="O532" s="12"/>
      <c r="P532" s="12"/>
      <c r="Q532" s="12"/>
      <c r="R532" s="36"/>
      <c r="S532" s="36"/>
      <c r="T532" s="12"/>
      <c r="U532" s="12"/>
      <c r="V532" s="12"/>
      <c r="W532" s="12"/>
      <c r="X532" s="12"/>
    </row>
    <row r="533" customFormat="false" ht="15.75" hidden="false" customHeight="false" outlineLevel="0" collapsed="false">
      <c r="A533" s="12"/>
      <c r="B533" s="34"/>
      <c r="C533" s="12"/>
      <c r="D533" s="12"/>
      <c r="E533" s="12"/>
      <c r="F533" s="12"/>
      <c r="G533" s="18"/>
      <c r="H533" s="35"/>
      <c r="I533" s="12"/>
      <c r="M533" s="12"/>
      <c r="N533" s="18"/>
      <c r="O533" s="12"/>
      <c r="P533" s="12"/>
      <c r="Q533" s="12"/>
      <c r="R533" s="36"/>
      <c r="S533" s="36"/>
      <c r="T533" s="12"/>
      <c r="U533" s="12"/>
      <c r="V533" s="12"/>
      <c r="W533" s="12"/>
      <c r="X533" s="12"/>
    </row>
    <row r="534" customFormat="false" ht="15.75" hidden="false" customHeight="false" outlineLevel="0" collapsed="false">
      <c r="A534" s="12"/>
      <c r="B534" s="34"/>
      <c r="C534" s="12"/>
      <c r="D534" s="12"/>
      <c r="E534" s="12"/>
      <c r="F534" s="12"/>
      <c r="G534" s="18"/>
      <c r="H534" s="35"/>
      <c r="I534" s="12"/>
      <c r="M534" s="12"/>
      <c r="N534" s="18"/>
      <c r="O534" s="12"/>
      <c r="P534" s="12"/>
      <c r="Q534" s="12"/>
      <c r="R534" s="36"/>
      <c r="S534" s="36"/>
      <c r="T534" s="12"/>
      <c r="U534" s="12"/>
      <c r="V534" s="12"/>
      <c r="W534" s="12"/>
      <c r="X534" s="12"/>
    </row>
    <row r="535" customFormat="false" ht="15.75" hidden="false" customHeight="false" outlineLevel="0" collapsed="false">
      <c r="A535" s="12"/>
      <c r="B535" s="34"/>
      <c r="C535" s="12"/>
      <c r="D535" s="12"/>
      <c r="E535" s="12"/>
      <c r="F535" s="12"/>
      <c r="G535" s="18"/>
      <c r="H535" s="35"/>
      <c r="I535" s="12"/>
      <c r="M535" s="12"/>
      <c r="N535" s="18"/>
      <c r="O535" s="12"/>
      <c r="P535" s="12"/>
      <c r="Q535" s="12"/>
      <c r="R535" s="36"/>
      <c r="S535" s="36"/>
      <c r="T535" s="12"/>
      <c r="U535" s="12"/>
      <c r="V535" s="12"/>
      <c r="W535" s="12"/>
      <c r="X535" s="12"/>
    </row>
    <row r="536" customFormat="false" ht="15.75" hidden="false" customHeight="false" outlineLevel="0" collapsed="false">
      <c r="A536" s="12"/>
      <c r="B536" s="34"/>
      <c r="C536" s="12"/>
      <c r="D536" s="12"/>
      <c r="E536" s="12"/>
      <c r="F536" s="12"/>
      <c r="G536" s="18"/>
      <c r="H536" s="35"/>
      <c r="I536" s="12"/>
      <c r="M536" s="12"/>
      <c r="N536" s="18"/>
      <c r="O536" s="12"/>
      <c r="P536" s="12"/>
      <c r="Q536" s="12"/>
      <c r="R536" s="36"/>
      <c r="S536" s="36"/>
      <c r="T536" s="12"/>
      <c r="U536" s="12"/>
      <c r="V536" s="12"/>
      <c r="W536" s="12"/>
      <c r="X536" s="12"/>
    </row>
    <row r="537" customFormat="false" ht="15.75" hidden="false" customHeight="false" outlineLevel="0" collapsed="false">
      <c r="A537" s="12"/>
      <c r="B537" s="34"/>
      <c r="C537" s="12"/>
      <c r="D537" s="12"/>
      <c r="E537" s="12"/>
      <c r="F537" s="12"/>
      <c r="G537" s="18"/>
      <c r="H537" s="35"/>
      <c r="I537" s="12"/>
      <c r="M537" s="12"/>
      <c r="N537" s="18"/>
      <c r="O537" s="12"/>
      <c r="P537" s="12"/>
      <c r="Q537" s="12"/>
      <c r="R537" s="36"/>
      <c r="S537" s="36"/>
      <c r="T537" s="12"/>
      <c r="U537" s="12"/>
      <c r="V537" s="12"/>
      <c r="W537" s="12"/>
      <c r="X537" s="12"/>
    </row>
    <row r="538" customFormat="false" ht="15.75" hidden="false" customHeight="false" outlineLevel="0" collapsed="false">
      <c r="A538" s="12"/>
      <c r="B538" s="34"/>
      <c r="C538" s="12"/>
      <c r="D538" s="12"/>
      <c r="E538" s="12"/>
      <c r="F538" s="12"/>
      <c r="G538" s="18"/>
      <c r="H538" s="35"/>
      <c r="I538" s="12"/>
      <c r="M538" s="12"/>
      <c r="N538" s="18"/>
      <c r="O538" s="12"/>
      <c r="P538" s="12"/>
      <c r="Q538" s="12"/>
      <c r="R538" s="36"/>
      <c r="S538" s="36"/>
      <c r="T538" s="12"/>
      <c r="U538" s="12"/>
      <c r="V538" s="12"/>
      <c r="W538" s="12"/>
      <c r="X538" s="12"/>
    </row>
    <row r="539" customFormat="false" ht="15.75" hidden="false" customHeight="false" outlineLevel="0" collapsed="false">
      <c r="A539" s="12"/>
      <c r="B539" s="34"/>
      <c r="C539" s="12"/>
      <c r="D539" s="12"/>
      <c r="E539" s="12"/>
      <c r="F539" s="12"/>
      <c r="G539" s="18"/>
      <c r="H539" s="35"/>
      <c r="I539" s="12"/>
      <c r="M539" s="12"/>
      <c r="N539" s="18"/>
      <c r="O539" s="12"/>
      <c r="P539" s="12"/>
      <c r="Q539" s="12"/>
      <c r="R539" s="36"/>
      <c r="S539" s="36"/>
      <c r="T539" s="12"/>
      <c r="U539" s="12"/>
      <c r="V539" s="12"/>
      <c r="W539" s="12"/>
      <c r="X539" s="12"/>
    </row>
    <row r="540" customFormat="false" ht="15.75" hidden="false" customHeight="false" outlineLevel="0" collapsed="false">
      <c r="A540" s="12"/>
      <c r="B540" s="34"/>
      <c r="C540" s="12"/>
      <c r="D540" s="12"/>
      <c r="E540" s="12"/>
      <c r="F540" s="12"/>
      <c r="G540" s="18"/>
      <c r="H540" s="35"/>
      <c r="I540" s="12"/>
      <c r="M540" s="12"/>
      <c r="N540" s="18"/>
      <c r="O540" s="12"/>
      <c r="P540" s="12"/>
      <c r="Q540" s="12"/>
      <c r="R540" s="36"/>
      <c r="S540" s="36"/>
      <c r="T540" s="12"/>
      <c r="U540" s="12"/>
      <c r="V540" s="12"/>
      <c r="W540" s="12"/>
      <c r="X540" s="12"/>
    </row>
    <row r="541" customFormat="false" ht="15.75" hidden="false" customHeight="false" outlineLevel="0" collapsed="false">
      <c r="A541" s="12"/>
      <c r="B541" s="34"/>
      <c r="C541" s="12"/>
      <c r="D541" s="12"/>
      <c r="E541" s="12"/>
      <c r="F541" s="12"/>
      <c r="G541" s="18"/>
      <c r="H541" s="35"/>
      <c r="I541" s="12"/>
      <c r="M541" s="12"/>
      <c r="N541" s="18"/>
      <c r="O541" s="12"/>
      <c r="P541" s="12"/>
      <c r="Q541" s="12"/>
      <c r="R541" s="36"/>
      <c r="S541" s="36"/>
      <c r="T541" s="12"/>
      <c r="U541" s="12"/>
      <c r="V541" s="12"/>
      <c r="W541" s="12"/>
      <c r="X541" s="12"/>
    </row>
    <row r="542" customFormat="false" ht="15.75" hidden="false" customHeight="false" outlineLevel="0" collapsed="false">
      <c r="A542" s="12"/>
      <c r="B542" s="34"/>
      <c r="C542" s="12"/>
      <c r="D542" s="12"/>
      <c r="E542" s="12"/>
      <c r="F542" s="12"/>
      <c r="G542" s="18"/>
      <c r="H542" s="35"/>
      <c r="I542" s="12"/>
      <c r="M542" s="12"/>
      <c r="N542" s="18"/>
      <c r="O542" s="12"/>
      <c r="P542" s="12"/>
      <c r="Q542" s="12"/>
      <c r="R542" s="36"/>
      <c r="S542" s="36"/>
      <c r="T542" s="12"/>
      <c r="U542" s="12"/>
      <c r="V542" s="12"/>
      <c r="W542" s="12"/>
      <c r="X542" s="12"/>
    </row>
    <row r="543" customFormat="false" ht="15.75" hidden="false" customHeight="false" outlineLevel="0" collapsed="false">
      <c r="A543" s="12"/>
      <c r="B543" s="34"/>
      <c r="C543" s="12"/>
      <c r="D543" s="12"/>
      <c r="E543" s="12"/>
      <c r="F543" s="12"/>
      <c r="G543" s="18"/>
      <c r="H543" s="35"/>
      <c r="I543" s="12"/>
      <c r="M543" s="12"/>
      <c r="N543" s="18"/>
      <c r="O543" s="12"/>
      <c r="P543" s="12"/>
      <c r="Q543" s="12"/>
      <c r="R543" s="36"/>
      <c r="S543" s="36"/>
      <c r="T543" s="12"/>
      <c r="U543" s="12"/>
      <c r="V543" s="12"/>
      <c r="W543" s="12"/>
      <c r="X543" s="12"/>
    </row>
    <row r="544" customFormat="false" ht="15.75" hidden="false" customHeight="false" outlineLevel="0" collapsed="false">
      <c r="A544" s="12"/>
      <c r="B544" s="34"/>
      <c r="C544" s="12"/>
      <c r="D544" s="12"/>
      <c r="E544" s="12"/>
      <c r="F544" s="12"/>
      <c r="G544" s="18"/>
      <c r="H544" s="35"/>
      <c r="I544" s="12"/>
      <c r="M544" s="12"/>
      <c r="N544" s="18"/>
      <c r="O544" s="12"/>
      <c r="P544" s="12"/>
      <c r="Q544" s="12"/>
      <c r="R544" s="36"/>
      <c r="S544" s="36"/>
      <c r="T544" s="12"/>
      <c r="U544" s="12"/>
      <c r="V544" s="12"/>
      <c r="W544" s="12"/>
      <c r="X544" s="12"/>
    </row>
    <row r="545" customFormat="false" ht="15.75" hidden="false" customHeight="false" outlineLevel="0" collapsed="false">
      <c r="A545" s="12"/>
      <c r="B545" s="34"/>
      <c r="C545" s="12"/>
      <c r="D545" s="12"/>
      <c r="E545" s="12"/>
      <c r="F545" s="12"/>
      <c r="G545" s="18"/>
      <c r="H545" s="35"/>
      <c r="I545" s="12"/>
      <c r="M545" s="12"/>
      <c r="N545" s="18"/>
      <c r="O545" s="12"/>
      <c r="P545" s="12"/>
      <c r="Q545" s="12"/>
      <c r="R545" s="36"/>
      <c r="S545" s="36"/>
      <c r="T545" s="12"/>
      <c r="U545" s="12"/>
      <c r="V545" s="12"/>
      <c r="W545" s="12"/>
      <c r="X545" s="12"/>
    </row>
    <row r="546" customFormat="false" ht="15.75" hidden="false" customHeight="false" outlineLevel="0" collapsed="false">
      <c r="A546" s="12"/>
      <c r="B546" s="34"/>
      <c r="C546" s="12"/>
      <c r="D546" s="12"/>
      <c r="E546" s="12"/>
      <c r="F546" s="12"/>
      <c r="G546" s="18"/>
      <c r="H546" s="35"/>
      <c r="I546" s="12"/>
      <c r="M546" s="12"/>
      <c r="N546" s="18"/>
      <c r="O546" s="12"/>
      <c r="P546" s="12"/>
      <c r="Q546" s="12"/>
      <c r="R546" s="36"/>
      <c r="S546" s="36"/>
      <c r="T546" s="12"/>
      <c r="U546" s="12"/>
      <c r="V546" s="12"/>
      <c r="W546" s="12"/>
      <c r="X546" s="12"/>
    </row>
    <row r="547" customFormat="false" ht="15.75" hidden="false" customHeight="false" outlineLevel="0" collapsed="false">
      <c r="A547" s="12"/>
      <c r="B547" s="34"/>
      <c r="C547" s="12"/>
      <c r="D547" s="12"/>
      <c r="E547" s="12"/>
      <c r="F547" s="12"/>
      <c r="G547" s="18"/>
      <c r="H547" s="35"/>
      <c r="I547" s="12"/>
      <c r="M547" s="12"/>
      <c r="N547" s="18"/>
      <c r="O547" s="12"/>
      <c r="P547" s="12"/>
      <c r="Q547" s="12"/>
      <c r="R547" s="36"/>
      <c r="S547" s="36"/>
      <c r="T547" s="12"/>
      <c r="U547" s="12"/>
      <c r="V547" s="12"/>
      <c r="W547" s="12"/>
      <c r="X547" s="12"/>
    </row>
    <row r="548" customFormat="false" ht="15.75" hidden="false" customHeight="false" outlineLevel="0" collapsed="false">
      <c r="A548" s="12"/>
      <c r="B548" s="34"/>
      <c r="C548" s="12"/>
      <c r="D548" s="12"/>
      <c r="E548" s="12"/>
      <c r="F548" s="12"/>
      <c r="G548" s="18"/>
      <c r="H548" s="35"/>
      <c r="I548" s="12"/>
      <c r="M548" s="12"/>
      <c r="N548" s="18"/>
      <c r="O548" s="12"/>
      <c r="P548" s="12"/>
      <c r="Q548" s="12"/>
      <c r="R548" s="36"/>
      <c r="S548" s="36"/>
      <c r="T548" s="12"/>
      <c r="U548" s="12"/>
      <c r="V548" s="12"/>
      <c r="W548" s="12"/>
      <c r="X548" s="12"/>
    </row>
    <row r="549" customFormat="false" ht="15.75" hidden="false" customHeight="false" outlineLevel="0" collapsed="false">
      <c r="A549" s="12"/>
      <c r="B549" s="34"/>
      <c r="C549" s="12"/>
      <c r="D549" s="12"/>
      <c r="E549" s="12"/>
      <c r="F549" s="12"/>
      <c r="G549" s="18"/>
      <c r="H549" s="35"/>
      <c r="I549" s="12"/>
      <c r="M549" s="12"/>
      <c r="N549" s="18"/>
      <c r="O549" s="12"/>
      <c r="P549" s="12"/>
      <c r="Q549" s="12"/>
      <c r="R549" s="36"/>
      <c r="S549" s="36"/>
      <c r="T549" s="12"/>
      <c r="U549" s="12"/>
      <c r="V549" s="12"/>
      <c r="W549" s="12"/>
      <c r="X549" s="12"/>
    </row>
    <row r="550" customFormat="false" ht="15.75" hidden="false" customHeight="false" outlineLevel="0" collapsed="false">
      <c r="A550" s="12"/>
      <c r="B550" s="34"/>
      <c r="C550" s="12"/>
      <c r="D550" s="12"/>
      <c r="E550" s="12"/>
      <c r="F550" s="12"/>
      <c r="G550" s="18"/>
      <c r="H550" s="35"/>
      <c r="I550" s="12"/>
      <c r="M550" s="12"/>
      <c r="N550" s="18"/>
      <c r="O550" s="12"/>
      <c r="P550" s="12"/>
      <c r="Q550" s="12"/>
      <c r="R550" s="36"/>
      <c r="S550" s="36"/>
      <c r="T550" s="12"/>
      <c r="U550" s="12"/>
      <c r="V550" s="12"/>
      <c r="W550" s="12"/>
      <c r="X550" s="12"/>
    </row>
    <row r="551" customFormat="false" ht="15.75" hidden="false" customHeight="false" outlineLevel="0" collapsed="false">
      <c r="A551" s="12"/>
      <c r="B551" s="34"/>
      <c r="C551" s="12"/>
      <c r="D551" s="12"/>
      <c r="E551" s="12"/>
      <c r="F551" s="12"/>
      <c r="G551" s="18"/>
      <c r="H551" s="35"/>
      <c r="I551" s="12"/>
      <c r="M551" s="12"/>
      <c r="N551" s="18"/>
      <c r="O551" s="12"/>
      <c r="P551" s="12"/>
      <c r="Q551" s="12"/>
      <c r="R551" s="36"/>
      <c r="S551" s="36"/>
      <c r="T551" s="12"/>
      <c r="U551" s="12"/>
      <c r="V551" s="12"/>
      <c r="W551" s="12"/>
      <c r="X551" s="12"/>
    </row>
    <row r="552" customFormat="false" ht="15.75" hidden="false" customHeight="false" outlineLevel="0" collapsed="false">
      <c r="A552" s="12"/>
      <c r="B552" s="34"/>
      <c r="C552" s="12"/>
      <c r="D552" s="12"/>
      <c r="E552" s="12"/>
      <c r="F552" s="12"/>
      <c r="G552" s="18"/>
      <c r="H552" s="35"/>
      <c r="I552" s="12"/>
      <c r="M552" s="12"/>
      <c r="N552" s="18"/>
      <c r="O552" s="12"/>
      <c r="P552" s="12"/>
      <c r="Q552" s="12"/>
      <c r="R552" s="36"/>
      <c r="S552" s="36"/>
      <c r="T552" s="12"/>
      <c r="U552" s="12"/>
      <c r="V552" s="12"/>
      <c r="W552" s="12"/>
      <c r="X552" s="12"/>
    </row>
    <row r="553" customFormat="false" ht="15.75" hidden="false" customHeight="false" outlineLevel="0" collapsed="false">
      <c r="A553" s="12"/>
      <c r="B553" s="34"/>
      <c r="C553" s="12"/>
      <c r="D553" s="12"/>
      <c r="E553" s="12"/>
      <c r="F553" s="12"/>
      <c r="G553" s="18"/>
      <c r="H553" s="35"/>
      <c r="I553" s="12"/>
      <c r="M553" s="12"/>
      <c r="N553" s="18"/>
      <c r="O553" s="12"/>
      <c r="P553" s="12"/>
      <c r="Q553" s="12"/>
      <c r="R553" s="36"/>
      <c r="S553" s="36"/>
      <c r="T553" s="12"/>
      <c r="U553" s="12"/>
      <c r="V553" s="12"/>
      <c r="W553" s="12"/>
      <c r="X553" s="12"/>
    </row>
    <row r="554" customFormat="false" ht="15.75" hidden="false" customHeight="false" outlineLevel="0" collapsed="false">
      <c r="A554" s="12"/>
      <c r="B554" s="34"/>
      <c r="C554" s="12"/>
      <c r="D554" s="12"/>
      <c r="E554" s="12"/>
      <c r="F554" s="12"/>
      <c r="G554" s="18"/>
      <c r="H554" s="35"/>
      <c r="I554" s="12"/>
      <c r="M554" s="12"/>
      <c r="N554" s="18"/>
      <c r="O554" s="12"/>
      <c r="P554" s="12"/>
      <c r="Q554" s="12"/>
      <c r="R554" s="36"/>
      <c r="S554" s="36"/>
      <c r="T554" s="12"/>
      <c r="U554" s="12"/>
      <c r="V554" s="12"/>
      <c r="W554" s="12"/>
      <c r="X554" s="12"/>
    </row>
    <row r="555" customFormat="false" ht="15.75" hidden="false" customHeight="false" outlineLevel="0" collapsed="false">
      <c r="A555" s="12"/>
      <c r="B555" s="34"/>
      <c r="C555" s="12"/>
      <c r="D555" s="12"/>
      <c r="E555" s="12"/>
      <c r="F555" s="12"/>
      <c r="G555" s="18"/>
      <c r="H555" s="35"/>
      <c r="I555" s="12"/>
      <c r="M555" s="12"/>
      <c r="N555" s="18"/>
      <c r="O555" s="12"/>
      <c r="P555" s="12"/>
      <c r="Q555" s="12"/>
      <c r="R555" s="36"/>
      <c r="S555" s="36"/>
      <c r="T555" s="12"/>
      <c r="U555" s="12"/>
      <c r="V555" s="12"/>
      <c r="W555" s="12"/>
      <c r="X555" s="12"/>
    </row>
    <row r="556" customFormat="false" ht="15.75" hidden="false" customHeight="false" outlineLevel="0" collapsed="false">
      <c r="A556" s="12"/>
      <c r="B556" s="34"/>
      <c r="C556" s="12"/>
      <c r="D556" s="12"/>
      <c r="E556" s="12"/>
      <c r="F556" s="12"/>
      <c r="G556" s="18"/>
      <c r="H556" s="35"/>
      <c r="I556" s="12"/>
      <c r="M556" s="12"/>
      <c r="N556" s="18"/>
      <c r="O556" s="12"/>
      <c r="P556" s="12"/>
      <c r="Q556" s="12"/>
      <c r="R556" s="36"/>
      <c r="S556" s="36"/>
      <c r="T556" s="12"/>
      <c r="U556" s="12"/>
      <c r="V556" s="12"/>
      <c r="W556" s="12"/>
      <c r="X556" s="12"/>
    </row>
    <row r="557" customFormat="false" ht="15.75" hidden="false" customHeight="false" outlineLevel="0" collapsed="false">
      <c r="A557" s="12"/>
      <c r="B557" s="34"/>
      <c r="C557" s="12"/>
      <c r="D557" s="12"/>
      <c r="E557" s="12"/>
      <c r="F557" s="12"/>
      <c r="G557" s="18"/>
      <c r="H557" s="35"/>
      <c r="I557" s="12"/>
      <c r="M557" s="12"/>
      <c r="N557" s="18"/>
      <c r="O557" s="12"/>
      <c r="P557" s="12"/>
      <c r="Q557" s="12"/>
      <c r="R557" s="36"/>
      <c r="S557" s="36"/>
      <c r="T557" s="12"/>
      <c r="U557" s="12"/>
      <c r="V557" s="12"/>
      <c r="W557" s="12"/>
      <c r="X557" s="12"/>
    </row>
    <row r="558" customFormat="false" ht="15.75" hidden="false" customHeight="false" outlineLevel="0" collapsed="false">
      <c r="A558" s="12"/>
      <c r="B558" s="34"/>
      <c r="C558" s="12"/>
      <c r="D558" s="12"/>
      <c r="E558" s="12"/>
      <c r="F558" s="12"/>
      <c r="G558" s="18"/>
      <c r="H558" s="35"/>
      <c r="I558" s="12"/>
      <c r="M558" s="12"/>
      <c r="N558" s="18"/>
      <c r="O558" s="12"/>
      <c r="P558" s="12"/>
      <c r="Q558" s="12"/>
      <c r="R558" s="36"/>
      <c r="S558" s="36"/>
      <c r="T558" s="12"/>
      <c r="U558" s="12"/>
      <c r="V558" s="12"/>
      <c r="W558" s="12"/>
      <c r="X558" s="12"/>
    </row>
    <row r="559" customFormat="false" ht="15.75" hidden="false" customHeight="false" outlineLevel="0" collapsed="false">
      <c r="A559" s="12"/>
      <c r="B559" s="34"/>
      <c r="C559" s="12"/>
      <c r="D559" s="12"/>
      <c r="E559" s="12"/>
      <c r="F559" s="12"/>
      <c r="G559" s="18"/>
      <c r="H559" s="35"/>
      <c r="I559" s="12"/>
      <c r="M559" s="12"/>
      <c r="N559" s="18"/>
      <c r="O559" s="12"/>
      <c r="P559" s="12"/>
      <c r="Q559" s="12"/>
      <c r="R559" s="36"/>
      <c r="S559" s="36"/>
      <c r="T559" s="12"/>
      <c r="U559" s="12"/>
      <c r="V559" s="12"/>
      <c r="W559" s="12"/>
      <c r="X559" s="12"/>
    </row>
    <row r="560" customFormat="false" ht="15.75" hidden="false" customHeight="false" outlineLevel="0" collapsed="false">
      <c r="A560" s="12"/>
      <c r="B560" s="34"/>
      <c r="C560" s="12"/>
      <c r="D560" s="12"/>
      <c r="E560" s="12"/>
      <c r="F560" s="12"/>
      <c r="G560" s="18"/>
      <c r="H560" s="35"/>
      <c r="I560" s="12"/>
      <c r="M560" s="12"/>
      <c r="N560" s="18"/>
      <c r="O560" s="12"/>
      <c r="P560" s="12"/>
      <c r="Q560" s="12"/>
      <c r="R560" s="36"/>
      <c r="S560" s="36"/>
      <c r="T560" s="12"/>
      <c r="U560" s="12"/>
      <c r="V560" s="12"/>
      <c r="W560" s="12"/>
      <c r="X560" s="12"/>
    </row>
    <row r="561" customFormat="false" ht="15.75" hidden="false" customHeight="false" outlineLevel="0" collapsed="false">
      <c r="A561" s="12"/>
      <c r="B561" s="34"/>
      <c r="C561" s="12"/>
      <c r="D561" s="12"/>
      <c r="E561" s="12"/>
      <c r="F561" s="12"/>
      <c r="G561" s="18"/>
      <c r="H561" s="35"/>
      <c r="I561" s="12"/>
      <c r="M561" s="12"/>
      <c r="N561" s="18"/>
      <c r="O561" s="12"/>
      <c r="P561" s="12"/>
      <c r="Q561" s="12"/>
      <c r="R561" s="36"/>
      <c r="S561" s="36"/>
      <c r="T561" s="12"/>
      <c r="U561" s="12"/>
      <c r="V561" s="12"/>
      <c r="W561" s="12"/>
      <c r="X561" s="12"/>
    </row>
    <row r="562" customFormat="false" ht="15.75" hidden="false" customHeight="false" outlineLevel="0" collapsed="false">
      <c r="A562" s="12"/>
      <c r="B562" s="34"/>
      <c r="C562" s="12"/>
      <c r="D562" s="12"/>
      <c r="E562" s="12"/>
      <c r="F562" s="12"/>
      <c r="G562" s="18"/>
      <c r="H562" s="35"/>
      <c r="I562" s="12"/>
      <c r="M562" s="12"/>
      <c r="N562" s="18"/>
      <c r="O562" s="12"/>
      <c r="P562" s="12"/>
      <c r="Q562" s="12"/>
      <c r="R562" s="36"/>
      <c r="S562" s="36"/>
      <c r="T562" s="12"/>
      <c r="U562" s="12"/>
      <c r="V562" s="12"/>
      <c r="W562" s="12"/>
      <c r="X562" s="12"/>
    </row>
    <row r="563" customFormat="false" ht="15.75" hidden="false" customHeight="false" outlineLevel="0" collapsed="false">
      <c r="A563" s="12"/>
      <c r="B563" s="34"/>
      <c r="C563" s="12"/>
      <c r="D563" s="12"/>
      <c r="E563" s="12"/>
      <c r="F563" s="12"/>
      <c r="G563" s="18"/>
      <c r="H563" s="35"/>
      <c r="I563" s="12"/>
      <c r="M563" s="12"/>
      <c r="N563" s="18"/>
      <c r="O563" s="12"/>
      <c r="P563" s="12"/>
      <c r="Q563" s="12"/>
      <c r="R563" s="36"/>
      <c r="S563" s="36"/>
      <c r="T563" s="12"/>
      <c r="U563" s="12"/>
      <c r="V563" s="12"/>
      <c r="W563" s="12"/>
      <c r="X563" s="12"/>
    </row>
    <row r="564" customFormat="false" ht="15.75" hidden="false" customHeight="false" outlineLevel="0" collapsed="false">
      <c r="A564" s="12"/>
      <c r="B564" s="34"/>
      <c r="C564" s="12"/>
      <c r="D564" s="12"/>
      <c r="E564" s="12"/>
      <c r="F564" s="12"/>
      <c r="G564" s="18"/>
      <c r="H564" s="35"/>
      <c r="I564" s="12"/>
      <c r="M564" s="12"/>
      <c r="N564" s="18"/>
      <c r="O564" s="12"/>
      <c r="P564" s="12"/>
      <c r="Q564" s="12"/>
      <c r="R564" s="36"/>
      <c r="S564" s="36"/>
      <c r="T564" s="12"/>
      <c r="U564" s="12"/>
      <c r="V564" s="12"/>
      <c r="W564" s="12"/>
      <c r="X564" s="12"/>
    </row>
    <row r="565" customFormat="false" ht="15.75" hidden="false" customHeight="false" outlineLevel="0" collapsed="false">
      <c r="A565" s="12"/>
      <c r="B565" s="34"/>
      <c r="C565" s="12"/>
      <c r="D565" s="12"/>
      <c r="E565" s="12"/>
      <c r="F565" s="12"/>
      <c r="G565" s="18"/>
      <c r="H565" s="35"/>
      <c r="I565" s="12"/>
      <c r="M565" s="12"/>
      <c r="N565" s="18"/>
      <c r="O565" s="12"/>
      <c r="P565" s="12"/>
      <c r="Q565" s="12"/>
      <c r="R565" s="36"/>
      <c r="S565" s="36"/>
      <c r="T565" s="12"/>
      <c r="U565" s="12"/>
      <c r="V565" s="12"/>
      <c r="W565" s="12"/>
      <c r="X565" s="12"/>
    </row>
    <row r="566" customFormat="false" ht="15.75" hidden="false" customHeight="false" outlineLevel="0" collapsed="false">
      <c r="A566" s="12"/>
      <c r="B566" s="34"/>
      <c r="C566" s="12"/>
      <c r="D566" s="12"/>
      <c r="E566" s="12"/>
      <c r="F566" s="12"/>
      <c r="G566" s="18"/>
      <c r="H566" s="35"/>
      <c r="I566" s="12"/>
      <c r="M566" s="12"/>
      <c r="N566" s="18"/>
      <c r="O566" s="12"/>
      <c r="P566" s="12"/>
      <c r="Q566" s="12"/>
      <c r="R566" s="36"/>
      <c r="S566" s="36"/>
      <c r="T566" s="12"/>
      <c r="U566" s="12"/>
      <c r="V566" s="12"/>
      <c r="W566" s="12"/>
      <c r="X566" s="12"/>
    </row>
    <row r="567" customFormat="false" ht="15.75" hidden="false" customHeight="false" outlineLevel="0" collapsed="false">
      <c r="A567" s="12"/>
      <c r="B567" s="34"/>
      <c r="C567" s="12"/>
      <c r="D567" s="12"/>
      <c r="E567" s="12"/>
      <c r="F567" s="12"/>
      <c r="G567" s="18"/>
      <c r="H567" s="35"/>
      <c r="I567" s="12"/>
      <c r="M567" s="12"/>
      <c r="N567" s="18"/>
      <c r="O567" s="12"/>
      <c r="P567" s="12"/>
      <c r="Q567" s="12"/>
      <c r="R567" s="36"/>
      <c r="S567" s="36"/>
      <c r="T567" s="12"/>
      <c r="U567" s="12"/>
      <c r="V567" s="12"/>
      <c r="W567" s="12"/>
      <c r="X567" s="12"/>
    </row>
    <row r="568" customFormat="false" ht="15.75" hidden="false" customHeight="false" outlineLevel="0" collapsed="false">
      <c r="A568" s="12"/>
      <c r="B568" s="34"/>
      <c r="C568" s="12"/>
      <c r="D568" s="12"/>
      <c r="E568" s="12"/>
      <c r="F568" s="12"/>
      <c r="G568" s="18"/>
      <c r="H568" s="35"/>
      <c r="I568" s="12"/>
      <c r="M568" s="12"/>
      <c r="N568" s="18"/>
      <c r="O568" s="12"/>
      <c r="P568" s="12"/>
      <c r="Q568" s="12"/>
      <c r="R568" s="36"/>
      <c r="S568" s="36"/>
      <c r="T568" s="12"/>
      <c r="U568" s="12"/>
      <c r="V568" s="12"/>
      <c r="W568" s="12"/>
      <c r="X568" s="12"/>
    </row>
    <row r="569" customFormat="false" ht="15.75" hidden="false" customHeight="false" outlineLevel="0" collapsed="false">
      <c r="A569" s="12"/>
      <c r="B569" s="34"/>
      <c r="C569" s="12"/>
      <c r="D569" s="12"/>
      <c r="E569" s="12"/>
      <c r="F569" s="12"/>
      <c r="G569" s="18"/>
      <c r="H569" s="35"/>
      <c r="I569" s="12"/>
      <c r="M569" s="12"/>
      <c r="N569" s="18"/>
      <c r="O569" s="12"/>
      <c r="P569" s="12"/>
      <c r="Q569" s="12"/>
      <c r="R569" s="36"/>
      <c r="S569" s="36"/>
      <c r="T569" s="12"/>
      <c r="U569" s="12"/>
      <c r="V569" s="12"/>
      <c r="W569" s="12"/>
      <c r="X569" s="12"/>
    </row>
    <row r="570" customFormat="false" ht="15.75" hidden="false" customHeight="false" outlineLevel="0" collapsed="false">
      <c r="A570" s="12"/>
      <c r="B570" s="34"/>
      <c r="C570" s="12"/>
      <c r="D570" s="12"/>
      <c r="E570" s="12"/>
      <c r="F570" s="12"/>
      <c r="G570" s="18"/>
      <c r="H570" s="35"/>
      <c r="I570" s="12"/>
      <c r="M570" s="12"/>
      <c r="N570" s="18"/>
      <c r="O570" s="12"/>
      <c r="P570" s="12"/>
      <c r="Q570" s="12"/>
      <c r="R570" s="36"/>
      <c r="S570" s="36"/>
      <c r="T570" s="12"/>
      <c r="U570" s="12"/>
      <c r="V570" s="12"/>
      <c r="W570" s="12"/>
      <c r="X570" s="12"/>
    </row>
    <row r="571" customFormat="false" ht="15.75" hidden="false" customHeight="false" outlineLevel="0" collapsed="false">
      <c r="A571" s="12"/>
      <c r="B571" s="34"/>
      <c r="C571" s="12"/>
      <c r="D571" s="12"/>
      <c r="E571" s="12"/>
      <c r="F571" s="12"/>
      <c r="G571" s="18"/>
      <c r="H571" s="35"/>
      <c r="I571" s="12"/>
      <c r="M571" s="12"/>
      <c r="N571" s="18"/>
      <c r="O571" s="12"/>
      <c r="P571" s="12"/>
      <c r="Q571" s="12"/>
      <c r="R571" s="36"/>
      <c r="S571" s="36"/>
      <c r="T571" s="12"/>
      <c r="U571" s="12"/>
      <c r="V571" s="12"/>
      <c r="W571" s="12"/>
      <c r="X571" s="12"/>
    </row>
    <row r="572" customFormat="false" ht="15.75" hidden="false" customHeight="false" outlineLevel="0" collapsed="false">
      <c r="A572" s="12"/>
      <c r="B572" s="34"/>
      <c r="C572" s="12"/>
      <c r="D572" s="12"/>
      <c r="E572" s="12"/>
      <c r="F572" s="12"/>
      <c r="G572" s="18"/>
      <c r="H572" s="35"/>
      <c r="I572" s="12"/>
      <c r="M572" s="12"/>
      <c r="N572" s="18"/>
      <c r="O572" s="12"/>
      <c r="P572" s="12"/>
      <c r="Q572" s="12"/>
      <c r="R572" s="36"/>
      <c r="S572" s="36"/>
      <c r="T572" s="12"/>
      <c r="U572" s="12"/>
      <c r="V572" s="12"/>
      <c r="W572" s="12"/>
      <c r="X572" s="12"/>
    </row>
    <row r="573" customFormat="false" ht="15.75" hidden="false" customHeight="false" outlineLevel="0" collapsed="false">
      <c r="A573" s="12"/>
      <c r="B573" s="34"/>
      <c r="C573" s="12"/>
      <c r="D573" s="12"/>
      <c r="E573" s="12"/>
      <c r="F573" s="12"/>
      <c r="G573" s="18"/>
      <c r="H573" s="35"/>
      <c r="I573" s="12"/>
      <c r="M573" s="12"/>
      <c r="N573" s="18"/>
      <c r="O573" s="12"/>
      <c r="P573" s="12"/>
      <c r="Q573" s="12"/>
      <c r="R573" s="36"/>
      <c r="S573" s="36"/>
      <c r="T573" s="12"/>
      <c r="U573" s="12"/>
      <c r="V573" s="12"/>
      <c r="W573" s="12"/>
      <c r="X573" s="12"/>
    </row>
    <row r="574" customFormat="false" ht="15.75" hidden="false" customHeight="false" outlineLevel="0" collapsed="false">
      <c r="A574" s="12"/>
      <c r="B574" s="34"/>
      <c r="C574" s="12"/>
      <c r="D574" s="12"/>
      <c r="E574" s="12"/>
      <c r="F574" s="12"/>
      <c r="G574" s="18"/>
      <c r="H574" s="35"/>
      <c r="I574" s="12"/>
      <c r="M574" s="12"/>
      <c r="N574" s="18"/>
      <c r="O574" s="12"/>
      <c r="P574" s="12"/>
      <c r="Q574" s="12"/>
      <c r="R574" s="36"/>
      <c r="S574" s="36"/>
      <c r="T574" s="12"/>
      <c r="U574" s="12"/>
      <c r="V574" s="12"/>
      <c r="W574" s="12"/>
      <c r="X574" s="12"/>
    </row>
    <row r="575" customFormat="false" ht="15.75" hidden="false" customHeight="false" outlineLevel="0" collapsed="false">
      <c r="A575" s="12"/>
      <c r="B575" s="34"/>
      <c r="C575" s="12"/>
      <c r="D575" s="12"/>
      <c r="E575" s="12"/>
      <c r="F575" s="12"/>
      <c r="G575" s="18"/>
      <c r="H575" s="35"/>
      <c r="I575" s="12"/>
      <c r="M575" s="12"/>
      <c r="N575" s="18"/>
      <c r="O575" s="12"/>
      <c r="P575" s="12"/>
      <c r="Q575" s="12"/>
      <c r="R575" s="36"/>
      <c r="S575" s="36"/>
      <c r="T575" s="12"/>
      <c r="U575" s="12"/>
      <c r="V575" s="12"/>
      <c r="W575" s="12"/>
      <c r="X575" s="12"/>
    </row>
    <row r="576" customFormat="false" ht="15.75" hidden="false" customHeight="false" outlineLevel="0" collapsed="false">
      <c r="A576" s="12"/>
      <c r="B576" s="34"/>
      <c r="C576" s="12"/>
      <c r="D576" s="12"/>
      <c r="E576" s="12"/>
      <c r="F576" s="12"/>
      <c r="G576" s="18"/>
      <c r="H576" s="35"/>
      <c r="I576" s="12"/>
      <c r="M576" s="12"/>
      <c r="N576" s="18"/>
      <c r="O576" s="12"/>
      <c r="P576" s="12"/>
      <c r="Q576" s="12"/>
      <c r="R576" s="36"/>
      <c r="S576" s="36"/>
      <c r="T576" s="12"/>
      <c r="U576" s="12"/>
      <c r="V576" s="12"/>
      <c r="W576" s="12"/>
      <c r="X576" s="12"/>
    </row>
    <row r="577" customFormat="false" ht="15.75" hidden="false" customHeight="false" outlineLevel="0" collapsed="false">
      <c r="A577" s="12"/>
      <c r="B577" s="34"/>
      <c r="C577" s="12"/>
      <c r="D577" s="12"/>
      <c r="E577" s="12"/>
      <c r="F577" s="12"/>
      <c r="G577" s="18"/>
      <c r="H577" s="35"/>
      <c r="I577" s="12"/>
      <c r="M577" s="12"/>
      <c r="N577" s="18"/>
      <c r="O577" s="12"/>
      <c r="P577" s="12"/>
      <c r="Q577" s="12"/>
      <c r="R577" s="36"/>
      <c r="S577" s="36"/>
      <c r="T577" s="12"/>
      <c r="U577" s="12"/>
      <c r="V577" s="12"/>
      <c r="W577" s="12"/>
      <c r="X577" s="12"/>
    </row>
    <row r="578" customFormat="false" ht="15.75" hidden="false" customHeight="false" outlineLevel="0" collapsed="false">
      <c r="A578" s="12"/>
      <c r="B578" s="34"/>
      <c r="C578" s="12"/>
      <c r="D578" s="12"/>
      <c r="E578" s="12"/>
      <c r="F578" s="12"/>
      <c r="G578" s="18"/>
      <c r="H578" s="35"/>
      <c r="I578" s="12"/>
      <c r="M578" s="12"/>
      <c r="N578" s="18"/>
      <c r="O578" s="12"/>
      <c r="P578" s="12"/>
      <c r="Q578" s="12"/>
      <c r="R578" s="36"/>
      <c r="S578" s="36"/>
      <c r="T578" s="12"/>
      <c r="U578" s="12"/>
      <c r="V578" s="12"/>
      <c r="W578" s="12"/>
      <c r="X578" s="12"/>
    </row>
    <row r="579" customFormat="false" ht="15.75" hidden="false" customHeight="false" outlineLevel="0" collapsed="false">
      <c r="A579" s="12"/>
      <c r="B579" s="34"/>
      <c r="C579" s="12"/>
      <c r="D579" s="12"/>
      <c r="E579" s="12"/>
      <c r="F579" s="12"/>
      <c r="G579" s="18"/>
      <c r="H579" s="35"/>
      <c r="I579" s="12"/>
      <c r="M579" s="12"/>
      <c r="N579" s="18"/>
      <c r="O579" s="12"/>
      <c r="P579" s="12"/>
      <c r="Q579" s="12"/>
      <c r="R579" s="36"/>
      <c r="S579" s="36"/>
      <c r="T579" s="12"/>
      <c r="U579" s="12"/>
      <c r="V579" s="12"/>
      <c r="W579" s="12"/>
      <c r="X579" s="12"/>
    </row>
    <row r="580" customFormat="false" ht="15.75" hidden="false" customHeight="false" outlineLevel="0" collapsed="false">
      <c r="A580" s="12"/>
      <c r="B580" s="34"/>
      <c r="C580" s="12"/>
      <c r="D580" s="12"/>
      <c r="E580" s="12"/>
      <c r="F580" s="12"/>
      <c r="G580" s="18"/>
      <c r="H580" s="35"/>
      <c r="I580" s="12"/>
      <c r="M580" s="12"/>
      <c r="N580" s="18"/>
      <c r="O580" s="12"/>
      <c r="P580" s="12"/>
      <c r="Q580" s="12"/>
      <c r="R580" s="36"/>
      <c r="S580" s="36"/>
      <c r="T580" s="12"/>
      <c r="U580" s="12"/>
      <c r="V580" s="12"/>
      <c r="W580" s="12"/>
      <c r="X580" s="12"/>
    </row>
    <row r="581" customFormat="false" ht="15.75" hidden="false" customHeight="false" outlineLevel="0" collapsed="false">
      <c r="A581" s="12"/>
      <c r="B581" s="34"/>
      <c r="C581" s="12"/>
      <c r="D581" s="12"/>
      <c r="E581" s="12"/>
      <c r="F581" s="12"/>
      <c r="G581" s="18"/>
      <c r="H581" s="35"/>
      <c r="I581" s="12"/>
      <c r="M581" s="12"/>
      <c r="N581" s="18"/>
      <c r="O581" s="12"/>
      <c r="P581" s="12"/>
      <c r="Q581" s="12"/>
      <c r="R581" s="36"/>
      <c r="S581" s="36"/>
      <c r="T581" s="12"/>
      <c r="U581" s="12"/>
      <c r="V581" s="12"/>
      <c r="W581" s="12"/>
      <c r="X581" s="12"/>
    </row>
    <row r="582" customFormat="false" ht="15.75" hidden="false" customHeight="false" outlineLevel="0" collapsed="false">
      <c r="A582" s="12"/>
      <c r="B582" s="34"/>
      <c r="C582" s="12"/>
      <c r="D582" s="12"/>
      <c r="E582" s="12"/>
      <c r="F582" s="12"/>
      <c r="G582" s="18"/>
      <c r="H582" s="35"/>
      <c r="I582" s="12"/>
      <c r="M582" s="12"/>
      <c r="N582" s="18"/>
      <c r="O582" s="12"/>
      <c r="P582" s="12"/>
      <c r="Q582" s="12"/>
      <c r="R582" s="36"/>
      <c r="S582" s="36"/>
      <c r="T582" s="12"/>
      <c r="U582" s="12"/>
      <c r="V582" s="12"/>
      <c r="W582" s="12"/>
      <c r="X582" s="12"/>
    </row>
    <row r="583" customFormat="false" ht="15.75" hidden="false" customHeight="false" outlineLevel="0" collapsed="false">
      <c r="A583" s="12"/>
      <c r="B583" s="34"/>
      <c r="C583" s="12"/>
      <c r="D583" s="12"/>
      <c r="E583" s="12"/>
      <c r="F583" s="12"/>
      <c r="G583" s="18"/>
      <c r="H583" s="35"/>
      <c r="I583" s="12"/>
      <c r="M583" s="12"/>
      <c r="N583" s="18"/>
      <c r="O583" s="12"/>
      <c r="P583" s="12"/>
      <c r="Q583" s="12"/>
      <c r="R583" s="36"/>
      <c r="S583" s="36"/>
      <c r="T583" s="12"/>
      <c r="U583" s="12"/>
      <c r="V583" s="12"/>
      <c r="W583" s="12"/>
      <c r="X583" s="12"/>
    </row>
    <row r="584" customFormat="false" ht="15.75" hidden="false" customHeight="false" outlineLevel="0" collapsed="false">
      <c r="A584" s="12"/>
      <c r="B584" s="34"/>
      <c r="C584" s="12"/>
      <c r="D584" s="12"/>
      <c r="E584" s="12"/>
      <c r="F584" s="12"/>
      <c r="G584" s="18"/>
      <c r="H584" s="35"/>
      <c r="I584" s="12"/>
      <c r="M584" s="12"/>
      <c r="N584" s="18"/>
      <c r="O584" s="12"/>
      <c r="P584" s="12"/>
      <c r="Q584" s="12"/>
      <c r="R584" s="36"/>
      <c r="S584" s="36"/>
      <c r="T584" s="12"/>
      <c r="U584" s="12"/>
      <c r="V584" s="12"/>
      <c r="W584" s="12"/>
      <c r="X584" s="12"/>
    </row>
    <row r="585" customFormat="false" ht="15.75" hidden="false" customHeight="false" outlineLevel="0" collapsed="false">
      <c r="A585" s="12"/>
      <c r="B585" s="34"/>
      <c r="C585" s="12"/>
      <c r="D585" s="12"/>
      <c r="E585" s="12"/>
      <c r="F585" s="12"/>
      <c r="G585" s="18"/>
      <c r="H585" s="35"/>
      <c r="I585" s="12"/>
      <c r="M585" s="12"/>
      <c r="N585" s="18"/>
      <c r="O585" s="12"/>
      <c r="P585" s="12"/>
      <c r="Q585" s="12"/>
      <c r="R585" s="36"/>
      <c r="S585" s="36"/>
      <c r="T585" s="12"/>
      <c r="U585" s="12"/>
      <c r="V585" s="12"/>
      <c r="W585" s="12"/>
      <c r="X585" s="12"/>
    </row>
    <row r="586" customFormat="false" ht="15.75" hidden="false" customHeight="false" outlineLevel="0" collapsed="false">
      <c r="A586" s="12"/>
      <c r="B586" s="34"/>
      <c r="C586" s="12"/>
      <c r="D586" s="12"/>
      <c r="E586" s="12"/>
      <c r="F586" s="12"/>
      <c r="G586" s="18"/>
      <c r="H586" s="35"/>
      <c r="I586" s="12"/>
      <c r="M586" s="12"/>
      <c r="N586" s="18"/>
      <c r="O586" s="12"/>
      <c r="P586" s="12"/>
      <c r="Q586" s="12"/>
      <c r="R586" s="36"/>
      <c r="S586" s="36"/>
      <c r="T586" s="12"/>
      <c r="U586" s="12"/>
      <c r="V586" s="12"/>
      <c r="W586" s="12"/>
      <c r="X586" s="12"/>
    </row>
    <row r="587" customFormat="false" ht="15.75" hidden="false" customHeight="false" outlineLevel="0" collapsed="false">
      <c r="A587" s="12"/>
      <c r="B587" s="34"/>
      <c r="C587" s="12"/>
      <c r="D587" s="12"/>
      <c r="E587" s="12"/>
      <c r="F587" s="12"/>
      <c r="G587" s="18"/>
      <c r="H587" s="35"/>
      <c r="I587" s="12"/>
      <c r="M587" s="12"/>
      <c r="N587" s="18"/>
      <c r="O587" s="12"/>
      <c r="P587" s="12"/>
      <c r="Q587" s="12"/>
      <c r="R587" s="36"/>
      <c r="S587" s="36"/>
      <c r="T587" s="12"/>
      <c r="U587" s="12"/>
      <c r="V587" s="12"/>
      <c r="W587" s="12"/>
      <c r="X587" s="12"/>
    </row>
    <row r="588" customFormat="false" ht="15.75" hidden="false" customHeight="false" outlineLevel="0" collapsed="false">
      <c r="A588" s="12"/>
      <c r="B588" s="34"/>
      <c r="C588" s="12"/>
      <c r="D588" s="12"/>
      <c r="E588" s="12"/>
      <c r="F588" s="12"/>
      <c r="G588" s="18"/>
      <c r="H588" s="35"/>
      <c r="I588" s="12"/>
      <c r="M588" s="12"/>
      <c r="N588" s="18"/>
      <c r="O588" s="12"/>
      <c r="P588" s="12"/>
      <c r="Q588" s="12"/>
      <c r="R588" s="36"/>
      <c r="S588" s="36"/>
      <c r="T588" s="12"/>
      <c r="U588" s="12"/>
      <c r="V588" s="12"/>
      <c r="W588" s="12"/>
      <c r="X588" s="12"/>
    </row>
    <row r="589" customFormat="false" ht="15.75" hidden="false" customHeight="false" outlineLevel="0" collapsed="false">
      <c r="A589" s="12"/>
      <c r="B589" s="34"/>
      <c r="C589" s="12"/>
      <c r="D589" s="12"/>
      <c r="E589" s="12"/>
      <c r="F589" s="12"/>
      <c r="G589" s="18"/>
      <c r="H589" s="35"/>
      <c r="I589" s="12"/>
      <c r="M589" s="12"/>
      <c r="N589" s="18"/>
      <c r="O589" s="12"/>
      <c r="P589" s="12"/>
      <c r="Q589" s="12"/>
      <c r="R589" s="36"/>
      <c r="S589" s="36"/>
      <c r="T589" s="12"/>
      <c r="U589" s="12"/>
      <c r="V589" s="12"/>
      <c r="W589" s="12"/>
      <c r="X589" s="12"/>
    </row>
    <row r="590" customFormat="false" ht="15.75" hidden="false" customHeight="false" outlineLevel="0" collapsed="false">
      <c r="A590" s="12"/>
      <c r="B590" s="34"/>
      <c r="C590" s="12"/>
      <c r="D590" s="12"/>
      <c r="E590" s="12"/>
      <c r="F590" s="12"/>
      <c r="G590" s="18"/>
      <c r="H590" s="35"/>
      <c r="I590" s="12"/>
      <c r="M590" s="12"/>
      <c r="N590" s="18"/>
      <c r="O590" s="12"/>
      <c r="P590" s="12"/>
      <c r="Q590" s="12"/>
      <c r="R590" s="36"/>
      <c r="S590" s="36"/>
      <c r="T590" s="12"/>
      <c r="U590" s="12"/>
      <c r="V590" s="12"/>
      <c r="W590" s="12"/>
      <c r="X590" s="12"/>
    </row>
    <row r="591" customFormat="false" ht="15.75" hidden="false" customHeight="false" outlineLevel="0" collapsed="false">
      <c r="A591" s="12"/>
      <c r="B591" s="34"/>
      <c r="C591" s="12"/>
      <c r="D591" s="12"/>
      <c r="E591" s="12"/>
      <c r="F591" s="12"/>
      <c r="G591" s="18"/>
      <c r="H591" s="35"/>
      <c r="I591" s="12"/>
      <c r="M591" s="12"/>
      <c r="N591" s="18"/>
      <c r="O591" s="12"/>
      <c r="P591" s="12"/>
      <c r="Q591" s="12"/>
      <c r="R591" s="36"/>
      <c r="S591" s="36"/>
      <c r="T591" s="12"/>
      <c r="U591" s="12"/>
      <c r="V591" s="12"/>
      <c r="W591" s="12"/>
      <c r="X591" s="12"/>
    </row>
    <row r="592" customFormat="false" ht="15.75" hidden="false" customHeight="false" outlineLevel="0" collapsed="false">
      <c r="A592" s="12"/>
      <c r="B592" s="34"/>
      <c r="C592" s="12"/>
      <c r="D592" s="12"/>
      <c r="E592" s="12"/>
      <c r="F592" s="12"/>
      <c r="G592" s="18"/>
      <c r="H592" s="35"/>
      <c r="I592" s="12"/>
      <c r="M592" s="12"/>
      <c r="N592" s="18"/>
      <c r="O592" s="12"/>
      <c r="P592" s="12"/>
      <c r="Q592" s="12"/>
      <c r="R592" s="36"/>
      <c r="S592" s="36"/>
      <c r="T592" s="12"/>
      <c r="U592" s="12"/>
      <c r="V592" s="12"/>
      <c r="W592" s="12"/>
      <c r="X592" s="12"/>
    </row>
    <row r="593" customFormat="false" ht="15.75" hidden="false" customHeight="false" outlineLevel="0" collapsed="false">
      <c r="A593" s="12"/>
      <c r="B593" s="34"/>
      <c r="C593" s="12"/>
      <c r="D593" s="12"/>
      <c r="E593" s="12"/>
      <c r="F593" s="12"/>
      <c r="G593" s="18"/>
      <c r="H593" s="35"/>
      <c r="I593" s="12"/>
      <c r="M593" s="12"/>
      <c r="N593" s="18"/>
      <c r="O593" s="12"/>
      <c r="P593" s="12"/>
      <c r="Q593" s="12"/>
      <c r="R593" s="36"/>
      <c r="S593" s="36"/>
      <c r="T593" s="12"/>
      <c r="U593" s="12"/>
      <c r="V593" s="12"/>
      <c r="W593" s="12"/>
      <c r="X593" s="12"/>
    </row>
    <row r="594" customFormat="false" ht="15.75" hidden="false" customHeight="false" outlineLevel="0" collapsed="false">
      <c r="A594" s="12"/>
      <c r="B594" s="34"/>
      <c r="C594" s="12"/>
      <c r="D594" s="12"/>
      <c r="E594" s="12"/>
      <c r="F594" s="12"/>
      <c r="G594" s="18"/>
      <c r="H594" s="35"/>
      <c r="I594" s="12"/>
      <c r="M594" s="12"/>
      <c r="N594" s="18"/>
      <c r="O594" s="12"/>
      <c r="P594" s="12"/>
      <c r="Q594" s="12"/>
      <c r="R594" s="36"/>
      <c r="S594" s="36"/>
      <c r="T594" s="12"/>
      <c r="U594" s="12"/>
      <c r="V594" s="12"/>
      <c r="W594" s="12"/>
      <c r="X594" s="12"/>
    </row>
    <row r="595" customFormat="false" ht="15.75" hidden="false" customHeight="false" outlineLevel="0" collapsed="false">
      <c r="A595" s="12"/>
      <c r="B595" s="34"/>
      <c r="C595" s="12"/>
      <c r="D595" s="12"/>
      <c r="E595" s="12"/>
      <c r="F595" s="12"/>
      <c r="G595" s="18"/>
      <c r="H595" s="35"/>
      <c r="I595" s="12"/>
      <c r="M595" s="12"/>
      <c r="N595" s="18"/>
      <c r="O595" s="12"/>
      <c r="P595" s="12"/>
      <c r="Q595" s="12"/>
      <c r="R595" s="36"/>
      <c r="S595" s="36"/>
      <c r="T595" s="12"/>
      <c r="U595" s="12"/>
      <c r="V595" s="12"/>
      <c r="W595" s="12"/>
      <c r="X595" s="12"/>
    </row>
    <row r="596" customFormat="false" ht="15.75" hidden="false" customHeight="false" outlineLevel="0" collapsed="false">
      <c r="A596" s="12"/>
      <c r="B596" s="34"/>
      <c r="C596" s="12"/>
      <c r="D596" s="12"/>
      <c r="E596" s="12"/>
      <c r="F596" s="12"/>
      <c r="G596" s="18"/>
      <c r="H596" s="35"/>
      <c r="I596" s="12"/>
      <c r="M596" s="12"/>
      <c r="N596" s="18"/>
      <c r="O596" s="12"/>
      <c r="P596" s="12"/>
      <c r="Q596" s="12"/>
      <c r="R596" s="36"/>
      <c r="S596" s="36"/>
      <c r="T596" s="12"/>
      <c r="U596" s="12"/>
      <c r="V596" s="12"/>
      <c r="W596" s="12"/>
      <c r="X596" s="12"/>
    </row>
    <row r="597" customFormat="false" ht="15.75" hidden="false" customHeight="false" outlineLevel="0" collapsed="false">
      <c r="A597" s="12"/>
      <c r="B597" s="34"/>
      <c r="C597" s="12"/>
      <c r="D597" s="12"/>
      <c r="E597" s="12"/>
      <c r="F597" s="12"/>
      <c r="G597" s="18"/>
      <c r="H597" s="35"/>
      <c r="I597" s="12"/>
      <c r="M597" s="12"/>
      <c r="N597" s="18"/>
      <c r="O597" s="12"/>
      <c r="P597" s="12"/>
      <c r="Q597" s="12"/>
      <c r="R597" s="36"/>
      <c r="S597" s="36"/>
      <c r="T597" s="12"/>
      <c r="U597" s="12"/>
      <c r="V597" s="12"/>
      <c r="W597" s="12"/>
      <c r="X597" s="12"/>
    </row>
    <row r="598" customFormat="false" ht="15.75" hidden="false" customHeight="false" outlineLevel="0" collapsed="false">
      <c r="A598" s="12"/>
      <c r="B598" s="34"/>
      <c r="C598" s="12"/>
      <c r="D598" s="12"/>
      <c r="E598" s="12"/>
      <c r="F598" s="12"/>
      <c r="G598" s="18"/>
      <c r="H598" s="35"/>
      <c r="I598" s="12"/>
      <c r="M598" s="12"/>
      <c r="N598" s="18"/>
      <c r="O598" s="12"/>
      <c r="P598" s="12"/>
      <c r="Q598" s="12"/>
      <c r="R598" s="36"/>
      <c r="S598" s="36"/>
      <c r="T598" s="12"/>
      <c r="U598" s="12"/>
      <c r="V598" s="12"/>
      <c r="W598" s="12"/>
      <c r="X598" s="12"/>
    </row>
    <row r="599" customFormat="false" ht="15.75" hidden="false" customHeight="false" outlineLevel="0" collapsed="false">
      <c r="A599" s="12"/>
      <c r="B599" s="34"/>
      <c r="C599" s="12"/>
      <c r="D599" s="12"/>
      <c r="E599" s="12"/>
      <c r="F599" s="12"/>
      <c r="G599" s="18"/>
      <c r="H599" s="35"/>
      <c r="I599" s="12"/>
      <c r="M599" s="12"/>
      <c r="N599" s="18"/>
      <c r="O599" s="12"/>
      <c r="P599" s="12"/>
      <c r="Q599" s="12"/>
      <c r="R599" s="36"/>
      <c r="S599" s="36"/>
      <c r="T599" s="12"/>
      <c r="U599" s="12"/>
      <c r="V599" s="12"/>
      <c r="W599" s="12"/>
      <c r="X599" s="12"/>
    </row>
    <row r="600" customFormat="false" ht="15.75" hidden="false" customHeight="false" outlineLevel="0" collapsed="false">
      <c r="A600" s="12"/>
      <c r="B600" s="34"/>
      <c r="C600" s="12"/>
      <c r="D600" s="12"/>
      <c r="E600" s="12"/>
      <c r="F600" s="12"/>
      <c r="G600" s="18"/>
      <c r="H600" s="35"/>
      <c r="I600" s="12"/>
      <c r="M600" s="12"/>
      <c r="N600" s="18"/>
      <c r="O600" s="12"/>
      <c r="P600" s="12"/>
      <c r="Q600" s="12"/>
      <c r="R600" s="36"/>
      <c r="S600" s="36"/>
      <c r="T600" s="12"/>
      <c r="U600" s="12"/>
      <c r="V600" s="12"/>
      <c r="W600" s="12"/>
      <c r="X600" s="12"/>
    </row>
    <row r="601" customFormat="false" ht="15.75" hidden="false" customHeight="false" outlineLevel="0" collapsed="false">
      <c r="A601" s="12"/>
      <c r="B601" s="34"/>
      <c r="C601" s="12"/>
      <c r="D601" s="12"/>
      <c r="E601" s="12"/>
      <c r="F601" s="12"/>
      <c r="G601" s="18"/>
      <c r="H601" s="35"/>
      <c r="I601" s="12"/>
      <c r="M601" s="12"/>
      <c r="N601" s="18"/>
      <c r="O601" s="12"/>
      <c r="P601" s="12"/>
      <c r="Q601" s="12"/>
      <c r="R601" s="36"/>
      <c r="S601" s="36"/>
      <c r="T601" s="12"/>
      <c r="U601" s="12"/>
      <c r="V601" s="12"/>
      <c r="W601" s="12"/>
      <c r="X601" s="12"/>
    </row>
    <row r="602" customFormat="false" ht="15.75" hidden="false" customHeight="false" outlineLevel="0" collapsed="false">
      <c r="A602" s="12"/>
      <c r="B602" s="34"/>
      <c r="C602" s="12"/>
      <c r="D602" s="12"/>
      <c r="E602" s="12"/>
      <c r="F602" s="12"/>
      <c r="G602" s="18"/>
      <c r="H602" s="35"/>
      <c r="I602" s="12"/>
      <c r="M602" s="12"/>
      <c r="N602" s="18"/>
      <c r="O602" s="12"/>
      <c r="P602" s="12"/>
      <c r="Q602" s="12"/>
      <c r="R602" s="36"/>
      <c r="S602" s="36"/>
      <c r="T602" s="12"/>
      <c r="U602" s="12"/>
      <c r="V602" s="12"/>
      <c r="W602" s="12"/>
      <c r="X602" s="12"/>
    </row>
    <row r="603" customFormat="false" ht="15.75" hidden="false" customHeight="false" outlineLevel="0" collapsed="false">
      <c r="A603" s="12"/>
      <c r="B603" s="34"/>
      <c r="C603" s="12"/>
      <c r="D603" s="12"/>
      <c r="E603" s="12"/>
      <c r="F603" s="12"/>
      <c r="G603" s="18"/>
      <c r="H603" s="35"/>
      <c r="I603" s="12"/>
      <c r="M603" s="12"/>
      <c r="N603" s="18"/>
      <c r="O603" s="12"/>
      <c r="P603" s="12"/>
      <c r="Q603" s="12"/>
      <c r="R603" s="36"/>
      <c r="S603" s="36"/>
      <c r="T603" s="12"/>
      <c r="U603" s="12"/>
      <c r="V603" s="12"/>
      <c r="W603" s="12"/>
      <c r="X603" s="12"/>
    </row>
    <row r="604" customFormat="false" ht="15.75" hidden="false" customHeight="false" outlineLevel="0" collapsed="false">
      <c r="A604" s="12"/>
      <c r="B604" s="34"/>
      <c r="C604" s="12"/>
      <c r="D604" s="12"/>
      <c r="E604" s="12"/>
      <c r="F604" s="12"/>
      <c r="G604" s="18"/>
      <c r="H604" s="35"/>
      <c r="I604" s="12"/>
      <c r="M604" s="12"/>
      <c r="N604" s="18"/>
      <c r="O604" s="12"/>
      <c r="P604" s="12"/>
      <c r="Q604" s="12"/>
      <c r="R604" s="36"/>
      <c r="S604" s="36"/>
      <c r="T604" s="12"/>
      <c r="U604" s="12"/>
      <c r="V604" s="12"/>
      <c r="W604" s="12"/>
      <c r="X604" s="12"/>
    </row>
    <row r="605" customFormat="false" ht="15.75" hidden="false" customHeight="false" outlineLevel="0" collapsed="false">
      <c r="A605" s="12"/>
      <c r="B605" s="34"/>
      <c r="C605" s="12"/>
      <c r="D605" s="12"/>
      <c r="E605" s="12"/>
      <c r="F605" s="12"/>
      <c r="G605" s="18"/>
      <c r="H605" s="35"/>
      <c r="I605" s="12"/>
      <c r="M605" s="12"/>
      <c r="N605" s="18"/>
      <c r="O605" s="12"/>
      <c r="P605" s="12"/>
      <c r="Q605" s="12"/>
      <c r="R605" s="36"/>
      <c r="S605" s="36"/>
      <c r="T605" s="12"/>
      <c r="U605" s="12"/>
      <c r="V605" s="12"/>
      <c r="W605" s="12"/>
      <c r="X605" s="12"/>
    </row>
    <row r="606" customFormat="false" ht="15.75" hidden="false" customHeight="false" outlineLevel="0" collapsed="false">
      <c r="A606" s="12"/>
      <c r="B606" s="34"/>
      <c r="C606" s="12"/>
      <c r="D606" s="12"/>
      <c r="E606" s="12"/>
      <c r="F606" s="12"/>
      <c r="G606" s="18"/>
      <c r="H606" s="35"/>
      <c r="I606" s="12"/>
      <c r="M606" s="12"/>
      <c r="N606" s="18"/>
      <c r="O606" s="12"/>
      <c r="P606" s="12"/>
      <c r="Q606" s="12"/>
      <c r="R606" s="36"/>
      <c r="S606" s="36"/>
      <c r="T606" s="12"/>
      <c r="U606" s="12"/>
      <c r="V606" s="12"/>
      <c r="W606" s="12"/>
      <c r="X606" s="12"/>
    </row>
    <row r="607" customFormat="false" ht="15.75" hidden="false" customHeight="false" outlineLevel="0" collapsed="false">
      <c r="A607" s="12"/>
      <c r="B607" s="34"/>
      <c r="C607" s="12"/>
      <c r="D607" s="12"/>
      <c r="E607" s="12"/>
      <c r="F607" s="12"/>
      <c r="G607" s="18"/>
      <c r="H607" s="35"/>
      <c r="I607" s="12"/>
      <c r="M607" s="12"/>
      <c r="N607" s="18"/>
      <c r="O607" s="12"/>
      <c r="P607" s="12"/>
      <c r="Q607" s="12"/>
      <c r="R607" s="36"/>
      <c r="S607" s="36"/>
      <c r="T607" s="12"/>
      <c r="U607" s="12"/>
      <c r="V607" s="12"/>
      <c r="W607" s="12"/>
      <c r="X607" s="12"/>
    </row>
    <row r="608" customFormat="false" ht="15.75" hidden="false" customHeight="false" outlineLevel="0" collapsed="false">
      <c r="A608" s="12"/>
      <c r="B608" s="34"/>
      <c r="C608" s="12"/>
      <c r="D608" s="12"/>
      <c r="E608" s="12"/>
      <c r="F608" s="12"/>
      <c r="G608" s="18"/>
      <c r="H608" s="35"/>
      <c r="I608" s="12"/>
      <c r="M608" s="12"/>
      <c r="N608" s="18"/>
      <c r="O608" s="12"/>
      <c r="P608" s="12"/>
      <c r="Q608" s="12"/>
      <c r="R608" s="36"/>
      <c r="S608" s="36"/>
      <c r="T608" s="12"/>
      <c r="U608" s="12"/>
      <c r="V608" s="12"/>
      <c r="W608" s="12"/>
      <c r="X608" s="12"/>
    </row>
    <row r="609" customFormat="false" ht="15.75" hidden="false" customHeight="false" outlineLevel="0" collapsed="false">
      <c r="A609" s="12"/>
      <c r="B609" s="34"/>
      <c r="C609" s="12"/>
      <c r="D609" s="12"/>
      <c r="E609" s="12"/>
      <c r="F609" s="12"/>
      <c r="G609" s="18"/>
      <c r="H609" s="35"/>
      <c r="I609" s="12"/>
      <c r="M609" s="12"/>
      <c r="N609" s="18"/>
      <c r="O609" s="12"/>
      <c r="P609" s="12"/>
      <c r="Q609" s="12"/>
      <c r="R609" s="36"/>
      <c r="S609" s="36"/>
      <c r="T609" s="12"/>
      <c r="U609" s="12"/>
      <c r="V609" s="12"/>
      <c r="W609" s="12"/>
      <c r="X609" s="12"/>
    </row>
    <row r="610" customFormat="false" ht="15.75" hidden="false" customHeight="false" outlineLevel="0" collapsed="false">
      <c r="A610" s="12"/>
      <c r="B610" s="34"/>
      <c r="C610" s="12"/>
      <c r="D610" s="12"/>
      <c r="E610" s="12"/>
      <c r="F610" s="12"/>
      <c r="G610" s="18"/>
      <c r="H610" s="35"/>
      <c r="I610" s="12"/>
      <c r="M610" s="12"/>
      <c r="N610" s="18"/>
      <c r="O610" s="12"/>
      <c r="P610" s="12"/>
      <c r="Q610" s="12"/>
      <c r="R610" s="36"/>
      <c r="S610" s="36"/>
      <c r="T610" s="12"/>
      <c r="U610" s="12"/>
      <c r="V610" s="12"/>
      <c r="W610" s="12"/>
      <c r="X610" s="12"/>
    </row>
    <row r="611" customFormat="false" ht="15.75" hidden="false" customHeight="false" outlineLevel="0" collapsed="false">
      <c r="A611" s="12"/>
      <c r="B611" s="34"/>
      <c r="C611" s="12"/>
      <c r="D611" s="12"/>
      <c r="E611" s="12"/>
      <c r="F611" s="12"/>
      <c r="G611" s="18"/>
      <c r="H611" s="35"/>
      <c r="I611" s="12"/>
      <c r="M611" s="12"/>
      <c r="N611" s="18"/>
      <c r="O611" s="12"/>
      <c r="P611" s="12"/>
      <c r="Q611" s="12"/>
      <c r="R611" s="36"/>
      <c r="S611" s="36"/>
      <c r="T611" s="12"/>
      <c r="U611" s="12"/>
      <c r="V611" s="12"/>
      <c r="W611" s="12"/>
      <c r="X611" s="12"/>
    </row>
    <row r="612" customFormat="false" ht="15.75" hidden="false" customHeight="false" outlineLevel="0" collapsed="false">
      <c r="A612" s="12"/>
      <c r="B612" s="34"/>
      <c r="C612" s="12"/>
      <c r="D612" s="12"/>
      <c r="E612" s="12"/>
      <c r="F612" s="12"/>
      <c r="G612" s="18"/>
      <c r="H612" s="35"/>
      <c r="I612" s="12"/>
      <c r="M612" s="12"/>
      <c r="N612" s="18"/>
      <c r="O612" s="12"/>
      <c r="P612" s="12"/>
      <c r="Q612" s="12"/>
      <c r="R612" s="36"/>
      <c r="S612" s="36"/>
      <c r="T612" s="12"/>
      <c r="U612" s="12"/>
      <c r="V612" s="12"/>
      <c r="W612" s="12"/>
      <c r="X612" s="12"/>
    </row>
    <row r="613" customFormat="false" ht="15.75" hidden="false" customHeight="false" outlineLevel="0" collapsed="false">
      <c r="A613" s="12"/>
      <c r="B613" s="34"/>
      <c r="C613" s="12"/>
      <c r="D613" s="12"/>
      <c r="E613" s="12"/>
      <c r="F613" s="12"/>
      <c r="G613" s="18"/>
      <c r="H613" s="35"/>
      <c r="I613" s="12"/>
      <c r="M613" s="12"/>
      <c r="N613" s="18"/>
      <c r="O613" s="12"/>
      <c r="P613" s="12"/>
      <c r="Q613" s="12"/>
      <c r="R613" s="36"/>
      <c r="S613" s="36"/>
      <c r="T613" s="12"/>
      <c r="U613" s="12"/>
      <c r="V613" s="12"/>
      <c r="W613" s="12"/>
      <c r="X613" s="12"/>
    </row>
    <row r="614" customFormat="false" ht="15.75" hidden="false" customHeight="false" outlineLevel="0" collapsed="false">
      <c r="A614" s="12"/>
      <c r="B614" s="34"/>
      <c r="C614" s="12"/>
      <c r="D614" s="12"/>
      <c r="E614" s="12"/>
      <c r="F614" s="12"/>
      <c r="G614" s="18"/>
      <c r="H614" s="35"/>
      <c r="I614" s="12"/>
      <c r="M614" s="12"/>
      <c r="N614" s="18"/>
      <c r="O614" s="12"/>
      <c r="P614" s="12"/>
      <c r="Q614" s="12"/>
      <c r="R614" s="36"/>
      <c r="S614" s="36"/>
      <c r="T614" s="12"/>
      <c r="U614" s="12"/>
      <c r="V614" s="12"/>
      <c r="W614" s="12"/>
      <c r="X614" s="12"/>
    </row>
    <row r="615" customFormat="false" ht="15.75" hidden="false" customHeight="false" outlineLevel="0" collapsed="false">
      <c r="A615" s="12"/>
      <c r="B615" s="34"/>
      <c r="C615" s="12"/>
      <c r="D615" s="12"/>
      <c r="E615" s="12"/>
      <c r="F615" s="12"/>
      <c r="G615" s="18"/>
      <c r="H615" s="35"/>
      <c r="I615" s="12"/>
      <c r="M615" s="12"/>
      <c r="N615" s="18"/>
      <c r="O615" s="12"/>
      <c r="P615" s="12"/>
      <c r="Q615" s="12"/>
      <c r="R615" s="36"/>
      <c r="S615" s="36"/>
      <c r="T615" s="12"/>
      <c r="U615" s="12"/>
      <c r="V615" s="12"/>
      <c r="W615" s="12"/>
      <c r="X615" s="12"/>
    </row>
    <row r="616" customFormat="false" ht="15.75" hidden="false" customHeight="false" outlineLevel="0" collapsed="false">
      <c r="A616" s="12"/>
      <c r="B616" s="34"/>
      <c r="C616" s="12"/>
      <c r="D616" s="12"/>
      <c r="E616" s="12"/>
      <c r="F616" s="12"/>
      <c r="G616" s="18"/>
      <c r="H616" s="35"/>
      <c r="I616" s="12"/>
      <c r="M616" s="12"/>
      <c r="N616" s="18"/>
      <c r="O616" s="12"/>
      <c r="P616" s="12"/>
      <c r="Q616" s="12"/>
      <c r="R616" s="36"/>
      <c r="S616" s="36"/>
      <c r="T616" s="12"/>
      <c r="U616" s="12"/>
      <c r="V616" s="12"/>
      <c r="W616" s="12"/>
      <c r="X616" s="12"/>
    </row>
    <row r="617" customFormat="false" ht="15.75" hidden="false" customHeight="false" outlineLevel="0" collapsed="false">
      <c r="A617" s="12"/>
      <c r="B617" s="34"/>
      <c r="C617" s="12"/>
      <c r="D617" s="12"/>
      <c r="E617" s="12"/>
      <c r="F617" s="12"/>
      <c r="G617" s="18"/>
      <c r="H617" s="35"/>
      <c r="I617" s="12"/>
      <c r="M617" s="12"/>
      <c r="N617" s="18"/>
      <c r="O617" s="12"/>
      <c r="P617" s="12"/>
      <c r="Q617" s="12"/>
      <c r="R617" s="36"/>
      <c r="S617" s="36"/>
      <c r="T617" s="12"/>
      <c r="U617" s="12"/>
      <c r="V617" s="12"/>
      <c r="W617" s="12"/>
      <c r="X617" s="12"/>
    </row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AE75"/>
  <conditionalFormatting sqref="R2:R70 S2:S617 P71 R72:R617">
    <cfRule type="expression" priority="2" aboveAverage="0" equalAverage="0" bottom="0" percent="0" rank="0" text="" dxfId="0">
      <formula>LEN(TRIM(#ref!))&gt;0</formula>
    </cfRule>
  </conditionalFormatting>
  <conditionalFormatting sqref="Q2:Q56 Q59:Q617">
    <cfRule type="expression" priority="3" aboveAverage="0" equalAverage="0" bottom="0" percent="0" rank="0" text="" dxfId="0">
      <formula>LEN(TRIM(Q2))&gt;0</formula>
    </cfRule>
  </conditionalFormatting>
  <conditionalFormatting sqref="G2:G617 N2:N617">
    <cfRule type="containsText" priority="4" operator="containsText" aboveAverage="0" equalAverage="0" bottom="0" percent="0" rank="0" text="x" dxfId="0">
      <formula>NOT(ISERROR(SEARCH("x",G2)))</formula>
    </cfRule>
  </conditionalFormatting>
  <conditionalFormatting sqref="T2:T617">
    <cfRule type="expression" priority="5" aboveAverage="0" equalAverage="0" bottom="0" percent="0" rank="0" text="" dxfId="0">
      <formula>LEN(TRIM(T2))&gt;0</formula>
    </cfRule>
  </conditionalFormatting>
  <conditionalFormatting sqref="W2:W617">
    <cfRule type="expression" priority="6" aboveAverage="0" equalAverage="0" bottom="0" percent="0" rank="0" text="" dxfId="0">
      <formula>LEN(TRIM(W2))&gt;0</formula>
    </cfRule>
  </conditionalFormatting>
  <conditionalFormatting sqref="X2:X617">
    <cfRule type="cellIs" priority="7" operator="equal" aboveAverage="0" equalAverage="0" bottom="0" percent="0" rank="0" text="" dxfId="0">
      <formula>"Completo"</formula>
    </cfRule>
    <cfRule type="cellIs" priority="8" operator="equal" aboveAverage="0" equalAverage="0" bottom="0" percent="0" rank="0" text="" dxfId="1">
      <formula>"No aplica"</formula>
    </cfRule>
  </conditionalFormatting>
  <conditionalFormatting sqref="G2:I617 O2:O617 P2:P70 U2:V617 X2:X617 P72:P617">
    <cfRule type="cellIs" priority="9" operator="equal" aboveAverage="0" equalAverage="0" bottom="0" percent="0" rank="0" text="" dxfId="0">
      <formula>"Completo"</formula>
    </cfRule>
    <cfRule type="cellIs" priority="10" operator="equal" aboveAverage="0" equalAverage="0" bottom="0" percent="0" rank="0" text="" dxfId="1">
      <formula>"No Aplica"</formula>
    </cfRule>
  </conditionalFormatting>
  <dataValidations count="5">
    <dataValidation allowBlank="true" errorStyle="stop" operator="between" showDropDown="false" showErrorMessage="false" showInputMessage="false" sqref="R2:R70 P71 R72:R617" type="list">
      <formula1>LEYENDA!$A$15:$A$20</formula1>
      <formula2>0</formula2>
    </dataValidation>
    <dataValidation allowBlank="true" errorStyle="stop" operator="between" showDropDown="false" showErrorMessage="false" showInputMessage="false" sqref="T2:T617" type="list">
      <formula1>LEYENDA!$A$23:$A$24</formula1>
      <formula2>0</formula2>
    </dataValidation>
    <dataValidation allowBlank="true" errorStyle="stop" operator="between" showDropDown="false" showErrorMessage="true" showInputMessage="false" sqref="D2:D617" type="list">
      <formula1>LEYENDA!$B$2:$D$2</formula1>
      <formula2>0</formula2>
    </dataValidation>
    <dataValidation allowBlank="true" errorStyle="stop" operator="between" showDropDown="false" showErrorMessage="true" showInputMessage="false" sqref="H2:I617 O2:P70 U2:V617 X2:X617 O71 O72:P617" type="list">
      <formula1>LEYENDA!$B$1:$C$1</formula1>
      <formula2>0</formula2>
    </dataValidation>
    <dataValidation allowBlank="true" errorStyle="stop" operator="between" showDropDown="false" showErrorMessage="false" showInputMessage="false" sqref="E2:E617" type="list">
      <formula1>LEYENDA!$A$8:$A$12</formula1>
      <formula2>0</formula2>
    </dataValidation>
  </dataValidations>
  <hyperlinks>
    <hyperlink ref="U4" r:id="rId1" display="Completo"/>
    <hyperlink ref="U5" r:id="rId2" display="Completo"/>
    <hyperlink ref="V5" r:id="rId3" display="Completo"/>
    <hyperlink ref="U6" r:id="rId4" display="Completo"/>
    <hyperlink ref="V6" r:id="rId5" display="Completo"/>
    <hyperlink ref="U7" r:id="rId6" display="Completo"/>
    <hyperlink ref="V7" r:id="rId7" display="Completo"/>
    <hyperlink ref="U8" r:id="rId8" display="Completo"/>
    <hyperlink ref="U9" r:id="rId9" display="Completo"/>
    <hyperlink ref="V9" r:id="rId10" display="Completo"/>
    <hyperlink ref="U10" r:id="rId11" display="Completo"/>
    <hyperlink ref="V10" r:id="rId12" display="Completo"/>
    <hyperlink ref="U11" r:id="rId13" display="Completo"/>
    <hyperlink ref="V11" r:id="rId14" display="Completo"/>
    <hyperlink ref="U12" r:id="rId15" display="Completo"/>
    <hyperlink ref="V12" r:id="rId16" display="Completo"/>
    <hyperlink ref="U13" r:id="rId17" display="Completo"/>
    <hyperlink ref="V13" r:id="rId18" display="Completo"/>
    <hyperlink ref="U18" r:id="rId19" display="Completo"/>
    <hyperlink ref="V18" r:id="rId20" display="Completo"/>
    <hyperlink ref="U19" r:id="rId21" display="Completo"/>
    <hyperlink ref="V19" r:id="rId22" display="Completo"/>
    <hyperlink ref="H37" r:id="rId23" display="Completo"/>
    <hyperlink ref="M47" r:id="rId24" display="gsaldealmacor.com.ar"/>
    <hyperlink ref="P47" r:id="rId25" display="Completo"/>
    <hyperlink ref="U50" r:id="rId26" display="Completo"/>
    <hyperlink ref="V50" r:id="rId27" display="Completo"/>
    <hyperlink ref="P52" r:id="rId28" display="Completo"/>
    <hyperlink ref="U52" r:id="rId29" display="Completo"/>
    <hyperlink ref="P57" r:id="rId30" display="Completo"/>
    <hyperlink ref="P58" r:id="rId31" display="Completo"/>
    <hyperlink ref="P60" r:id="rId32" display="Completo"/>
    <hyperlink ref="P61" r:id="rId33" display="Completo"/>
    <hyperlink ref="P66" r:id="rId34" display="Completo"/>
    <hyperlink ref="P70" r:id="rId35" display="Completo"/>
    <hyperlink ref="V70" r:id="rId36" display="Completo"/>
  </hyperlinks>
  <printOptions headings="false" gridLines="true" gridLinesSet="true" horizontalCentered="true" verticalCentered="false"/>
  <pageMargins left="0.7" right="0.7" top="0.75" bottom="0.75" header="0.511811023622047" footer="0.511811023622047"/>
  <pageSetup paperSize="9" scale="100" fitToWidth="1" fitToHeight="0" pageOrder="overThenDown" orientation="landscape" blackAndWhite="false" draft="false" cellComments="none" horizontalDpi="300" verticalDpi="300" copies="1"/>
  <headerFooter differentFirst="false" differentOddEven="false">
    <oddHeader/>
    <oddFooter/>
  </headerFooter>
  <drawing r:id="rId37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XFD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8" ySplit="3" topLeftCell="I4" activePane="bottomRight" state="frozen"/>
      <selection pane="topLeft" activeCell="A1" activeCellId="0" sqref="A1"/>
      <selection pane="topRight" activeCell="I1" activeCellId="0" sqref="I1"/>
      <selection pane="bottomLeft" activeCell="A4" activeCellId="0" sqref="A4"/>
      <selection pane="bottomRight" activeCell="I1" activeCellId="0" sqref="I1"/>
    </sheetView>
  </sheetViews>
  <sheetFormatPr defaultColWidth="12.6328125" defaultRowHeight="15.75" zeroHeight="false" outlineLevelRow="0" outlineLevelCol="0"/>
  <cols>
    <col collapsed="false" customWidth="true" hidden="false" outlineLevel="0" max="1" min="1" style="1" width="10.25"/>
    <col collapsed="false" customWidth="true" hidden="false" outlineLevel="0" max="2" min="2" style="1" width="10.38"/>
    <col collapsed="false" customWidth="true" hidden="false" outlineLevel="0" max="3" min="3" style="1" width="29.63"/>
    <col collapsed="false" customWidth="true" hidden="false" outlineLevel="0" max="4" min="4" style="1" width="11.25"/>
    <col collapsed="false" customWidth="true" hidden="false" outlineLevel="0" max="5" min="5" style="1" width="17.13"/>
    <col collapsed="false" customWidth="true" hidden="false" outlineLevel="0" max="6" min="6" style="1" width="36.5"/>
    <col collapsed="false" customWidth="true" hidden="false" outlineLevel="0" max="7" min="7" style="1" width="15.88"/>
    <col collapsed="false" customWidth="true" hidden="false" outlineLevel="0" max="8" min="8" style="1" width="10.88"/>
    <col collapsed="false" customWidth="true" hidden="false" outlineLevel="0" max="9" min="9" style="1" width="12.88"/>
    <col collapsed="false" customWidth="true" hidden="false" outlineLevel="0" max="10" min="10" style="1" width="12"/>
    <col collapsed="false" customWidth="true" hidden="false" outlineLevel="0" max="11" min="11" style="1" width="10"/>
    <col collapsed="false" customWidth="true" hidden="false" outlineLevel="0" max="12" min="12" style="1" width="12.25"/>
    <col collapsed="false" customWidth="true" hidden="false" outlineLevel="0" max="13" min="13" style="1" width="26.12"/>
    <col collapsed="false" customWidth="true" hidden="true" outlineLevel="0" max="14" min="14" style="1" width="18"/>
    <col collapsed="false" customWidth="true" hidden="false" outlineLevel="0" max="16" min="15" style="1" width="10.63"/>
    <col collapsed="false" customWidth="true" hidden="false" outlineLevel="0" max="17" min="17" style="1" width="8.5"/>
    <col collapsed="false" customWidth="true" hidden="false" outlineLevel="0" max="19" min="19" style="1" width="25.38"/>
    <col collapsed="false" customWidth="true" hidden="false" outlineLevel="0" max="20" min="20" style="1" width="17.88"/>
    <col collapsed="false" customWidth="true" hidden="false" outlineLevel="0" max="21" min="21" style="1" width="10.13"/>
    <col collapsed="false" customWidth="true" hidden="false" outlineLevel="0" max="22" min="22" style="1" width="11.12"/>
    <col collapsed="false" customWidth="true" hidden="false" outlineLevel="0" max="23" min="23" style="1" width="24.88"/>
    <col collapsed="false" customWidth="true" hidden="false" outlineLevel="0" max="16384" min="16383" style="1" width="11.53"/>
  </cols>
  <sheetData>
    <row r="1" customFormat="false" ht="42.5" hidden="false" customHeight="false" outlineLevel="0" collapsed="false">
      <c r="A1" s="2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/>
      <c r="J1" s="4" t="s">
        <v>8</v>
      </c>
      <c r="K1" s="2"/>
      <c r="L1" s="2" t="s">
        <v>9</v>
      </c>
      <c r="M1" s="2" t="s">
        <v>10</v>
      </c>
      <c r="N1" s="4" t="s">
        <v>11</v>
      </c>
      <c r="O1" s="3" t="s">
        <v>12</v>
      </c>
      <c r="P1" s="7" t="s">
        <v>13</v>
      </c>
      <c r="Q1" s="7" t="s">
        <v>14</v>
      </c>
      <c r="R1" s="7" t="s">
        <v>15</v>
      </c>
      <c r="S1" s="7" t="s">
        <v>16</v>
      </c>
      <c r="T1" s="7" t="s">
        <v>17</v>
      </c>
      <c r="U1" s="8" t="s">
        <v>18</v>
      </c>
      <c r="V1" s="9" t="s">
        <v>19</v>
      </c>
      <c r="W1" s="9" t="s">
        <v>20</v>
      </c>
      <c r="X1" s="10" t="s">
        <v>15</v>
      </c>
      <c r="Y1" s="11" t="s">
        <v>21</v>
      </c>
      <c r="Z1" s="11" t="s">
        <v>22</v>
      </c>
      <c r="AA1" s="12"/>
      <c r="AB1" s="12"/>
      <c r="AC1" s="12"/>
      <c r="AD1" s="12"/>
      <c r="AE1" s="12"/>
      <c r="AF1" s="12"/>
      <c r="XFC1" s="0"/>
      <c r="XFD1" s="0"/>
    </row>
    <row r="2" customFormat="false" ht="15.75" hidden="false" customHeight="false" outlineLevel="0" collapsed="false">
      <c r="A2" s="21" t="n">
        <v>7374</v>
      </c>
      <c r="B2" s="29" t="n">
        <v>45108</v>
      </c>
      <c r="C2" s="21" t="s">
        <v>1259</v>
      </c>
      <c r="D2" s="30" t="s">
        <v>24</v>
      </c>
      <c r="E2" s="21" t="s">
        <v>25</v>
      </c>
      <c r="F2" s="21" t="s">
        <v>1548</v>
      </c>
      <c r="G2" s="30"/>
      <c r="H2" s="45" t="str">
        <f aca="false">HYPERLINK("https://photos.app.goo.gl/X2DcNt4zBSqvQsWK7", "Completo")</f>
        <v>Completo</v>
      </c>
      <c r="I2" s="21" t="s">
        <v>28</v>
      </c>
      <c r="J2" s="21" t="s">
        <v>29</v>
      </c>
      <c r="K2" s="21" t="s">
        <v>29</v>
      </c>
      <c r="L2" s="21" t="n">
        <v>16817</v>
      </c>
      <c r="M2" s="21"/>
      <c r="N2" s="30"/>
      <c r="O2" s="21"/>
      <c r="P2" s="21"/>
      <c r="Q2" s="21"/>
      <c r="R2" s="32"/>
      <c r="S2" s="32"/>
      <c r="T2" s="21"/>
      <c r="U2" s="21"/>
      <c r="V2" s="21"/>
      <c r="W2" s="21"/>
      <c r="X2" s="21" t="s">
        <v>28</v>
      </c>
    </row>
    <row r="3" customFormat="false" ht="15.75" hidden="false" customHeight="false" outlineLevel="0" collapsed="false">
      <c r="A3" s="21" t="n">
        <v>7375</v>
      </c>
      <c r="B3" s="29" t="n">
        <v>45108</v>
      </c>
      <c r="C3" s="21" t="s">
        <v>1259</v>
      </c>
      <c r="D3" s="21" t="s">
        <v>24</v>
      </c>
      <c r="E3" s="21" t="s">
        <v>25</v>
      </c>
      <c r="F3" s="21" t="s">
        <v>1549</v>
      </c>
      <c r="G3" s="30"/>
      <c r="H3" s="45" t="str">
        <f aca="false">HYPERLINK("https://photos.app.goo.gl/onSs49gVm5Xfi8H67", "Completo")</f>
        <v>Completo</v>
      </c>
      <c r="I3" s="21" t="s">
        <v>28</v>
      </c>
      <c r="J3" s="21" t="s">
        <v>29</v>
      </c>
      <c r="K3" s="21" t="s">
        <v>29</v>
      </c>
      <c r="L3" s="21" t="n">
        <v>16817</v>
      </c>
      <c r="M3" s="21"/>
      <c r="N3" s="30"/>
      <c r="O3" s="21"/>
      <c r="P3" s="21"/>
      <c r="Q3" s="21"/>
      <c r="R3" s="32"/>
      <c r="S3" s="32"/>
      <c r="T3" s="21"/>
      <c r="U3" s="21"/>
      <c r="V3" s="21"/>
      <c r="W3" s="21"/>
      <c r="X3" s="21" t="s">
        <v>28</v>
      </c>
    </row>
    <row r="4" customFormat="false" ht="15.75" hidden="false" customHeight="false" outlineLevel="0" collapsed="false">
      <c r="A4" s="21" t="n">
        <v>7376</v>
      </c>
      <c r="B4" s="29" t="n">
        <v>45110</v>
      </c>
      <c r="C4" s="21" t="s">
        <v>1550</v>
      </c>
      <c r="D4" s="21" t="s">
        <v>24</v>
      </c>
      <c r="E4" s="21" t="s">
        <v>25</v>
      </c>
      <c r="F4" s="21" t="s">
        <v>1551</v>
      </c>
      <c r="G4" s="30" t="s">
        <v>1552</v>
      </c>
      <c r="H4" s="45" t="str">
        <f aca="false">HYPERLINK("https://photos.app.goo.gl/srKvwvgVMy13iQ37A", "Completo")</f>
        <v>Completo</v>
      </c>
      <c r="I4" s="21" t="s">
        <v>28</v>
      </c>
      <c r="J4" s="21" t="s">
        <v>29</v>
      </c>
      <c r="K4" s="21" t="s">
        <v>29</v>
      </c>
      <c r="L4" s="21" t="s">
        <v>29</v>
      </c>
      <c r="M4" s="21"/>
      <c r="N4" s="30"/>
      <c r="O4" s="21"/>
      <c r="P4" s="21"/>
      <c r="Q4" s="21"/>
      <c r="R4" s="32"/>
      <c r="S4" s="32"/>
      <c r="T4" s="21"/>
      <c r="U4" s="21"/>
      <c r="V4" s="21"/>
      <c r="W4" s="21"/>
      <c r="X4" s="21" t="s">
        <v>28</v>
      </c>
    </row>
    <row r="5" customFormat="false" ht="15.75" hidden="false" customHeight="false" outlineLevel="0" collapsed="false">
      <c r="A5" s="21" t="n">
        <v>7377</v>
      </c>
      <c r="B5" s="29" t="n">
        <v>45110</v>
      </c>
      <c r="C5" s="21" t="s">
        <v>1553</v>
      </c>
      <c r="D5" s="21" t="s">
        <v>24</v>
      </c>
      <c r="E5" s="21" t="s">
        <v>25</v>
      </c>
      <c r="F5" s="21" t="s">
        <v>1554</v>
      </c>
      <c r="G5" s="30" t="s">
        <v>1555</v>
      </c>
      <c r="H5" s="45" t="str">
        <f aca="false">HYPERLINK("https://photos.app.goo.gl/hdDSrkb8N8KGd3My7", "Completo")</f>
        <v>Completo</v>
      </c>
      <c r="I5" s="21" t="s">
        <v>28</v>
      </c>
      <c r="J5" s="21" t="s">
        <v>29</v>
      </c>
      <c r="K5" s="21" t="s">
        <v>29</v>
      </c>
      <c r="L5" s="60" t="s">
        <v>1556</v>
      </c>
      <c r="M5" s="21"/>
      <c r="N5" s="30"/>
      <c r="O5" s="21"/>
      <c r="P5" s="21"/>
      <c r="Q5" s="21"/>
      <c r="R5" s="32"/>
      <c r="S5" s="32"/>
      <c r="T5" s="21" t="s">
        <v>74</v>
      </c>
      <c r="U5" s="46" t="s">
        <v>28</v>
      </c>
      <c r="V5" s="46" t="s">
        <v>28</v>
      </c>
      <c r="W5" s="21" t="s">
        <v>36</v>
      </c>
      <c r="X5" s="21" t="s">
        <v>28</v>
      </c>
    </row>
    <row r="6" customFormat="false" ht="15.75" hidden="false" customHeight="false" outlineLevel="0" collapsed="false">
      <c r="A6" s="21" t="n">
        <v>7378</v>
      </c>
      <c r="B6" s="29" t="n">
        <v>45110</v>
      </c>
      <c r="C6" s="21" t="s">
        <v>1456</v>
      </c>
      <c r="D6" s="21" t="s">
        <v>24</v>
      </c>
      <c r="E6" s="21" t="s">
        <v>25</v>
      </c>
      <c r="F6" s="21" t="s">
        <v>1557</v>
      </c>
      <c r="G6" s="30"/>
      <c r="H6" s="45" t="str">
        <f aca="false">HYPERLINK("https://photos.app.goo.gl/DVK8q7f7YtuvRNK8A", "Completo")</f>
        <v>Completo</v>
      </c>
      <c r="I6" s="21" t="s">
        <v>37</v>
      </c>
      <c r="J6" s="21" t="s">
        <v>29</v>
      </c>
      <c r="K6" s="21" t="s">
        <v>29</v>
      </c>
      <c r="L6" s="21" t="n">
        <v>54380</v>
      </c>
      <c r="M6" s="21"/>
      <c r="N6" s="30"/>
      <c r="O6" s="21"/>
      <c r="P6" s="21"/>
      <c r="Q6" s="21"/>
      <c r="R6" s="32"/>
      <c r="S6" s="32"/>
      <c r="T6" s="21"/>
      <c r="U6" s="21"/>
      <c r="V6" s="21"/>
      <c r="W6" s="21"/>
      <c r="X6" s="21" t="s">
        <v>28</v>
      </c>
    </row>
    <row r="7" customFormat="false" ht="15.75" hidden="false" customHeight="false" outlineLevel="0" collapsed="false">
      <c r="A7" s="21" t="n">
        <v>7379</v>
      </c>
      <c r="B7" s="29" t="n">
        <v>45110</v>
      </c>
      <c r="C7" s="21" t="s">
        <v>1558</v>
      </c>
      <c r="D7" s="21" t="s">
        <v>24</v>
      </c>
      <c r="E7" s="21" t="s">
        <v>25</v>
      </c>
      <c r="F7" s="21" t="s">
        <v>1554</v>
      </c>
      <c r="G7" s="30" t="s">
        <v>1559</v>
      </c>
      <c r="H7" s="45" t="str">
        <f aca="false">HYPERLINK("https://photos.app.goo.gl/1CWvKiBZhyb5zNHKA", "Completo")</f>
        <v>Completo</v>
      </c>
      <c r="I7" s="21" t="s">
        <v>28</v>
      </c>
      <c r="J7" s="21" t="s">
        <v>29</v>
      </c>
      <c r="K7" s="21" t="s">
        <v>29</v>
      </c>
      <c r="L7" s="21" t="s">
        <v>29</v>
      </c>
      <c r="M7" s="21"/>
      <c r="N7" s="30"/>
      <c r="O7" s="21"/>
      <c r="P7" s="21"/>
      <c r="Q7" s="21"/>
      <c r="R7" s="32"/>
      <c r="S7" s="32"/>
      <c r="T7" s="21" t="s">
        <v>74</v>
      </c>
      <c r="U7" s="46" t="s">
        <v>28</v>
      </c>
      <c r="V7" s="21" t="s">
        <v>37</v>
      </c>
      <c r="W7" s="21" t="s">
        <v>36</v>
      </c>
      <c r="X7" s="21" t="s">
        <v>28</v>
      </c>
    </row>
    <row r="8" customFormat="false" ht="15.75" hidden="false" customHeight="false" outlineLevel="0" collapsed="false">
      <c r="A8" s="21" t="n">
        <v>7380</v>
      </c>
      <c r="B8" s="29" t="n">
        <v>45110</v>
      </c>
      <c r="C8" s="21" t="s">
        <v>1558</v>
      </c>
      <c r="D8" s="21" t="s">
        <v>24</v>
      </c>
      <c r="E8" s="21" t="s">
        <v>25</v>
      </c>
      <c r="F8" s="21" t="s">
        <v>1554</v>
      </c>
      <c r="G8" s="30" t="s">
        <v>1559</v>
      </c>
      <c r="H8" s="45" t="str">
        <f aca="false">HYPERLINK("https://photos.app.goo.gl/D1jqQjp7xUdfRLQA7", "Completo")</f>
        <v>Completo</v>
      </c>
      <c r="I8" s="21" t="s">
        <v>28</v>
      </c>
      <c r="J8" s="21"/>
      <c r="K8" s="21" t="s">
        <v>29</v>
      </c>
      <c r="L8" s="21" t="s">
        <v>29</v>
      </c>
      <c r="M8" s="21"/>
      <c r="N8" s="30"/>
      <c r="O8" s="21"/>
      <c r="P8" s="21"/>
      <c r="Q8" s="21"/>
      <c r="R8" s="32"/>
      <c r="S8" s="32"/>
      <c r="T8" s="21" t="s">
        <v>74</v>
      </c>
      <c r="U8" s="46" t="s">
        <v>28</v>
      </c>
      <c r="V8" s="21" t="s">
        <v>37</v>
      </c>
      <c r="W8" s="21" t="s">
        <v>36</v>
      </c>
      <c r="X8" s="21" t="s">
        <v>28</v>
      </c>
    </row>
    <row r="9" customFormat="false" ht="15.75" hidden="false" customHeight="false" outlineLevel="0" collapsed="false">
      <c r="A9" s="21" t="n">
        <v>7381</v>
      </c>
      <c r="B9" s="29" t="n">
        <v>45110</v>
      </c>
      <c r="C9" s="21" t="s">
        <v>1487</v>
      </c>
      <c r="D9" s="21" t="s">
        <v>24</v>
      </c>
      <c r="E9" s="21" t="s">
        <v>34</v>
      </c>
      <c r="F9" s="21" t="s">
        <v>1560</v>
      </c>
      <c r="G9" s="30"/>
      <c r="H9" s="31"/>
      <c r="I9" s="21"/>
      <c r="J9" s="21"/>
      <c r="K9" s="21"/>
      <c r="L9" s="21"/>
      <c r="M9" s="21"/>
      <c r="N9" s="30"/>
      <c r="O9" s="21"/>
      <c r="P9" s="21"/>
      <c r="Q9" s="21"/>
      <c r="R9" s="32"/>
      <c r="S9" s="32"/>
      <c r="T9" s="21"/>
      <c r="U9" s="21"/>
      <c r="V9" s="21"/>
      <c r="W9" s="21"/>
      <c r="X9" s="21" t="s">
        <v>28</v>
      </c>
    </row>
    <row r="10" customFormat="false" ht="15.75" hidden="false" customHeight="false" outlineLevel="0" collapsed="false">
      <c r="A10" s="21" t="n">
        <v>7382</v>
      </c>
      <c r="B10" s="29" t="n">
        <v>45111</v>
      </c>
      <c r="C10" s="21" t="s">
        <v>1561</v>
      </c>
      <c r="D10" s="21" t="s">
        <v>24</v>
      </c>
      <c r="E10" s="21" t="s">
        <v>25</v>
      </c>
      <c r="F10" s="55" t="s">
        <v>1562</v>
      </c>
      <c r="G10" s="30" t="s">
        <v>1563</v>
      </c>
      <c r="H10" s="45" t="str">
        <f aca="false">HYPERLINK("https://photos.app.goo.gl/GFHQoiyRdNGWZCUG7", "Completo")</f>
        <v>Completo</v>
      </c>
      <c r="I10" s="21" t="s">
        <v>28</v>
      </c>
      <c r="J10" s="21" t="n">
        <v>3517563489</v>
      </c>
      <c r="K10" s="21" t="s">
        <v>1564</v>
      </c>
      <c r="L10" s="21"/>
      <c r="M10" s="21" t="s">
        <v>1565</v>
      </c>
      <c r="N10" s="30"/>
      <c r="O10" s="21"/>
      <c r="P10" s="21"/>
      <c r="Q10" s="21"/>
      <c r="R10" s="32"/>
      <c r="S10" s="32"/>
      <c r="T10" s="21"/>
      <c r="U10" s="21"/>
      <c r="V10" s="21"/>
      <c r="W10" s="21"/>
      <c r="X10" s="21" t="s">
        <v>28</v>
      </c>
    </row>
    <row r="11" customFormat="false" ht="15.75" hidden="false" customHeight="false" outlineLevel="0" collapsed="false">
      <c r="A11" s="21" t="n">
        <v>7383</v>
      </c>
      <c r="B11" s="29" t="n">
        <v>45111</v>
      </c>
      <c r="C11" s="21" t="s">
        <v>867</v>
      </c>
      <c r="D11" s="21" t="s">
        <v>24</v>
      </c>
      <c r="E11" s="21" t="s">
        <v>25</v>
      </c>
      <c r="F11" s="21" t="s">
        <v>1566</v>
      </c>
      <c r="G11" s="30"/>
      <c r="H11" s="45" t="str">
        <f aca="false">HYPERLINK("https://photos.app.goo.gl/zyWkv2SirpnkJTb36", "Completo")</f>
        <v>Completo</v>
      </c>
      <c r="I11" s="21" t="s">
        <v>28</v>
      </c>
      <c r="J11" s="21" t="s">
        <v>29</v>
      </c>
      <c r="K11" s="21" t="s">
        <v>29</v>
      </c>
      <c r="L11" s="21" t="s">
        <v>29</v>
      </c>
      <c r="M11" s="21"/>
      <c r="N11" s="30"/>
      <c r="O11" s="21"/>
      <c r="P11" s="21"/>
      <c r="Q11" s="21"/>
      <c r="R11" s="32"/>
      <c r="S11" s="32"/>
      <c r="T11" s="21"/>
      <c r="U11" s="21"/>
      <c r="V11" s="21"/>
      <c r="W11" s="21"/>
      <c r="X11" s="21" t="s">
        <v>28</v>
      </c>
    </row>
    <row r="12" customFormat="false" ht="15.75" hidden="false" customHeight="false" outlineLevel="0" collapsed="false">
      <c r="A12" s="21" t="n">
        <v>7384</v>
      </c>
      <c r="B12" s="29" t="n">
        <v>45111</v>
      </c>
      <c r="C12" s="21" t="s">
        <v>1567</v>
      </c>
      <c r="D12" s="21" t="s">
        <v>24</v>
      </c>
      <c r="E12" s="21" t="s">
        <v>34</v>
      </c>
      <c r="F12" s="21" t="s">
        <v>1568</v>
      </c>
      <c r="G12" s="30"/>
      <c r="H12" s="31"/>
      <c r="I12" s="21"/>
      <c r="J12" s="21"/>
      <c r="K12" s="21"/>
      <c r="L12" s="21"/>
      <c r="M12" s="21"/>
      <c r="N12" s="30"/>
      <c r="O12" s="21"/>
      <c r="P12" s="21"/>
      <c r="Q12" s="21"/>
      <c r="R12" s="32"/>
      <c r="S12" s="32"/>
      <c r="T12" s="21"/>
      <c r="U12" s="21"/>
      <c r="V12" s="21"/>
      <c r="W12" s="21"/>
      <c r="X12" s="21" t="s">
        <v>37</v>
      </c>
    </row>
    <row r="13" customFormat="false" ht="15.75" hidden="false" customHeight="false" outlineLevel="0" collapsed="false">
      <c r="A13" s="21" t="n">
        <v>7385</v>
      </c>
      <c r="B13" s="29" t="n">
        <v>45111</v>
      </c>
      <c r="C13" s="21" t="s">
        <v>1569</v>
      </c>
      <c r="D13" s="21" t="s">
        <v>578</v>
      </c>
      <c r="E13" s="21" t="s">
        <v>25</v>
      </c>
      <c r="F13" s="21" t="s">
        <v>1554</v>
      </c>
      <c r="G13" s="30" t="s">
        <v>1559</v>
      </c>
      <c r="H13" s="45" t="str">
        <f aca="false">HYPERLINK("https://photos.app.goo.gl/Hzixpn7XM69ZD5qF7", "Completo")</f>
        <v>Completo</v>
      </c>
      <c r="I13" s="21" t="s">
        <v>28</v>
      </c>
      <c r="J13" s="21" t="s">
        <v>29</v>
      </c>
      <c r="K13" s="21" t="s">
        <v>29</v>
      </c>
      <c r="L13" s="21" t="s">
        <v>29</v>
      </c>
      <c r="M13" s="21"/>
      <c r="N13" s="30"/>
      <c r="O13" s="21"/>
      <c r="P13" s="21"/>
      <c r="Q13" s="21"/>
      <c r="R13" s="32"/>
      <c r="S13" s="32"/>
      <c r="T13" s="21"/>
      <c r="U13" s="21"/>
      <c r="V13" s="21"/>
      <c r="W13" s="21"/>
      <c r="X13" s="21" t="s">
        <v>28</v>
      </c>
    </row>
    <row r="14" customFormat="false" ht="15.75" hidden="false" customHeight="false" outlineLevel="0" collapsed="false">
      <c r="A14" s="21" t="n">
        <v>7386</v>
      </c>
      <c r="B14" s="29" t="n">
        <v>45111</v>
      </c>
      <c r="C14" s="21" t="s">
        <v>357</v>
      </c>
      <c r="D14" s="21" t="s">
        <v>24</v>
      </c>
      <c r="E14" s="21" t="s">
        <v>25</v>
      </c>
      <c r="F14" s="21" t="s">
        <v>1570</v>
      </c>
      <c r="G14" s="30"/>
      <c r="H14" s="45" t="str">
        <f aca="false">HYPERLINK("https://photos.app.goo.gl/aTpwF6bU2segh9xT8", "Completo")</f>
        <v>Completo</v>
      </c>
      <c r="I14" s="21" t="s">
        <v>28</v>
      </c>
      <c r="J14" s="21" t="s">
        <v>29</v>
      </c>
      <c r="K14" s="21" t="s">
        <v>29</v>
      </c>
      <c r="L14" s="21" t="s">
        <v>1571</v>
      </c>
      <c r="M14" s="21"/>
      <c r="N14" s="30"/>
      <c r="O14" s="21"/>
      <c r="P14" s="21"/>
      <c r="Q14" s="21"/>
      <c r="R14" s="32"/>
      <c r="S14" s="32"/>
      <c r="T14" s="21"/>
      <c r="U14" s="21"/>
      <c r="V14" s="21"/>
      <c r="W14" s="21"/>
      <c r="X14" s="21" t="s">
        <v>28</v>
      </c>
    </row>
    <row r="15" customFormat="false" ht="15.75" hidden="false" customHeight="false" outlineLevel="0" collapsed="false">
      <c r="A15" s="21" t="n">
        <v>7387</v>
      </c>
      <c r="B15" s="29" t="n">
        <v>45112</v>
      </c>
      <c r="C15" s="21" t="s">
        <v>1572</v>
      </c>
      <c r="D15" s="21" t="s">
        <v>24</v>
      </c>
      <c r="E15" s="21" t="s">
        <v>34</v>
      </c>
      <c r="F15" s="21" t="s">
        <v>1573</v>
      </c>
      <c r="G15" s="30"/>
      <c r="H15" s="31"/>
      <c r="I15" s="21"/>
      <c r="J15" s="21"/>
      <c r="K15" s="21"/>
      <c r="L15" s="21"/>
      <c r="M15" s="21"/>
      <c r="N15" s="30"/>
      <c r="O15" s="21"/>
      <c r="P15" s="21"/>
      <c r="Q15" s="21"/>
      <c r="R15" s="32"/>
      <c r="S15" s="32"/>
      <c r="T15" s="21"/>
      <c r="U15" s="21"/>
      <c r="V15" s="21"/>
      <c r="W15" s="21"/>
      <c r="X15" s="21" t="s">
        <v>28</v>
      </c>
    </row>
    <row r="16" customFormat="false" ht="15.75" hidden="false" customHeight="false" outlineLevel="0" collapsed="false">
      <c r="A16" s="21" t="n">
        <v>7388</v>
      </c>
      <c r="B16" s="29" t="n">
        <v>45112</v>
      </c>
      <c r="C16" s="21" t="s">
        <v>311</v>
      </c>
      <c r="D16" s="21" t="s">
        <v>24</v>
      </c>
      <c r="E16" s="21" t="s">
        <v>34</v>
      </c>
      <c r="F16" s="21" t="s">
        <v>1574</v>
      </c>
      <c r="G16" s="30"/>
      <c r="H16" s="31"/>
      <c r="I16" s="21"/>
      <c r="J16" s="21"/>
      <c r="K16" s="21"/>
      <c r="L16" s="21"/>
      <c r="M16" s="21"/>
      <c r="N16" s="30"/>
      <c r="O16" s="21"/>
      <c r="P16" s="21"/>
      <c r="Q16" s="21"/>
      <c r="R16" s="32"/>
      <c r="S16" s="32"/>
      <c r="T16" s="21"/>
      <c r="U16" s="21"/>
      <c r="V16" s="21"/>
      <c r="W16" s="21"/>
      <c r="X16" s="21" t="s">
        <v>28</v>
      </c>
    </row>
    <row r="17" customFormat="false" ht="15.75" hidden="false" customHeight="false" outlineLevel="0" collapsed="false">
      <c r="A17" s="21" t="n">
        <v>7389</v>
      </c>
      <c r="B17" s="29" t="n">
        <v>45112</v>
      </c>
      <c r="C17" s="21" t="s">
        <v>1259</v>
      </c>
      <c r="D17" s="21" t="s">
        <v>24</v>
      </c>
      <c r="E17" s="21" t="s">
        <v>25</v>
      </c>
      <c r="F17" s="21" t="s">
        <v>1575</v>
      </c>
      <c r="G17" s="30"/>
      <c r="H17" s="45" t="str">
        <f aca="false">HYPERLINK("https://photos.app.goo.gl/p1rTrhAzexUfVSiV7", "Completo")</f>
        <v>Completo</v>
      </c>
      <c r="I17" s="21" t="s">
        <v>28</v>
      </c>
      <c r="J17" s="21" t="s">
        <v>29</v>
      </c>
      <c r="K17" s="21" t="s">
        <v>29</v>
      </c>
      <c r="L17" s="21" t="s">
        <v>1576</v>
      </c>
      <c r="M17" s="21"/>
      <c r="N17" s="30"/>
      <c r="O17" s="21"/>
      <c r="P17" s="21"/>
      <c r="Q17" s="21"/>
      <c r="R17" s="32"/>
      <c r="S17" s="32"/>
      <c r="T17" s="21"/>
      <c r="U17" s="21"/>
      <c r="V17" s="21"/>
      <c r="W17" s="21"/>
      <c r="X17" s="21"/>
    </row>
    <row r="18" customFormat="false" ht="15.75" hidden="false" customHeight="false" outlineLevel="0" collapsed="false">
      <c r="A18" s="21" t="n">
        <v>7390</v>
      </c>
      <c r="B18" s="29" t="n">
        <v>45112</v>
      </c>
      <c r="C18" s="21" t="s">
        <v>1577</v>
      </c>
      <c r="D18" s="21" t="s">
        <v>24</v>
      </c>
      <c r="E18" s="21" t="s">
        <v>25</v>
      </c>
      <c r="F18" s="21" t="s">
        <v>1578</v>
      </c>
      <c r="G18" s="30"/>
      <c r="H18" s="45" t="str">
        <f aca="false">HYPERLINK("https://photos.app.goo.gl/espNiZnxb4yPXTDYA", "Completo")</f>
        <v>Completo</v>
      </c>
      <c r="I18" s="21" t="s">
        <v>28</v>
      </c>
      <c r="J18" s="21" t="s">
        <v>29</v>
      </c>
      <c r="K18" s="21" t="s">
        <v>29</v>
      </c>
      <c r="L18" s="21" t="s">
        <v>1576</v>
      </c>
      <c r="M18" s="21"/>
      <c r="N18" s="30"/>
      <c r="O18" s="21"/>
      <c r="P18" s="21"/>
      <c r="Q18" s="21"/>
      <c r="R18" s="32"/>
      <c r="S18" s="32"/>
      <c r="T18" s="21"/>
      <c r="U18" s="21"/>
      <c r="V18" s="21"/>
      <c r="W18" s="21"/>
      <c r="X18" s="21"/>
    </row>
    <row r="19" customFormat="false" ht="15.75" hidden="false" customHeight="false" outlineLevel="0" collapsed="false">
      <c r="A19" s="21" t="n">
        <v>7391</v>
      </c>
      <c r="B19" s="29" t="n">
        <v>45112</v>
      </c>
      <c r="C19" s="21" t="s">
        <v>730</v>
      </c>
      <c r="D19" s="21" t="s">
        <v>24</v>
      </c>
      <c r="E19" s="21" t="s">
        <v>25</v>
      </c>
      <c r="F19" s="21" t="s">
        <v>1579</v>
      </c>
      <c r="G19" s="30" t="s">
        <v>1580</v>
      </c>
      <c r="H19" s="45" t="str">
        <f aca="false">HYPERLINK("https://photos.app.goo.gl/FGEwtffWM7cnBJ2V8", "Completo")</f>
        <v>Completo</v>
      </c>
      <c r="I19" s="21" t="s">
        <v>28</v>
      </c>
      <c r="J19" s="21" t="s">
        <v>29</v>
      </c>
      <c r="K19" s="21" t="s">
        <v>29</v>
      </c>
      <c r="L19" s="21" t="s">
        <v>29</v>
      </c>
      <c r="M19" s="21"/>
      <c r="N19" s="30"/>
      <c r="O19" s="21"/>
      <c r="P19" s="21"/>
      <c r="Q19" s="21"/>
      <c r="R19" s="32"/>
      <c r="S19" s="32"/>
      <c r="T19" s="21" t="s">
        <v>74</v>
      </c>
      <c r="U19" s="46" t="s">
        <v>28</v>
      </c>
      <c r="V19" s="46" t="s">
        <v>28</v>
      </c>
      <c r="W19" s="21" t="s">
        <v>36</v>
      </c>
      <c r="X19" s="21" t="s">
        <v>28</v>
      </c>
    </row>
    <row r="20" customFormat="false" ht="15.75" hidden="false" customHeight="false" outlineLevel="0" collapsed="false">
      <c r="A20" s="21" t="n">
        <v>7392</v>
      </c>
      <c r="B20" s="29" t="n">
        <v>45112</v>
      </c>
      <c r="C20" s="21" t="s">
        <v>274</v>
      </c>
      <c r="D20" s="21" t="s">
        <v>24</v>
      </c>
      <c r="E20" s="21" t="s">
        <v>25</v>
      </c>
      <c r="F20" s="21" t="s">
        <v>1581</v>
      </c>
      <c r="G20" s="30" t="s">
        <v>1582</v>
      </c>
      <c r="H20" s="45" t="str">
        <f aca="false">HYPERLINK("https://photos.app.goo.gl/AsCgwixNoDY6pYzz5", "Completo")</f>
        <v>Completo</v>
      </c>
      <c r="I20" s="21" t="s">
        <v>28</v>
      </c>
      <c r="J20" s="21" t="s">
        <v>29</v>
      </c>
      <c r="K20" s="21" t="s">
        <v>29</v>
      </c>
      <c r="L20" s="21" t="s">
        <v>29</v>
      </c>
      <c r="M20" s="21"/>
      <c r="N20" s="30"/>
      <c r="O20" s="21"/>
      <c r="P20" s="21"/>
      <c r="Q20" s="21"/>
      <c r="R20" s="32"/>
      <c r="S20" s="32"/>
      <c r="T20" s="21"/>
      <c r="U20" s="21"/>
      <c r="V20" s="21"/>
      <c r="W20" s="21"/>
      <c r="X20" s="21" t="s">
        <v>28</v>
      </c>
    </row>
    <row r="21" customFormat="false" ht="15.75" hidden="false" customHeight="false" outlineLevel="0" collapsed="false">
      <c r="A21" s="21" t="n">
        <v>7393</v>
      </c>
      <c r="B21" s="29" t="n">
        <v>45112</v>
      </c>
      <c r="C21" s="21" t="s">
        <v>389</v>
      </c>
      <c r="D21" s="21" t="s">
        <v>24</v>
      </c>
      <c r="E21" s="21" t="s">
        <v>25</v>
      </c>
      <c r="F21" s="21" t="s">
        <v>1583</v>
      </c>
      <c r="G21" s="30" t="s">
        <v>1584</v>
      </c>
      <c r="H21" s="45" t="str">
        <f aca="false">HYPERLINK("https://photos.app.goo.gl/tpp8svBkGbdFpj7a9", "Completo")</f>
        <v>Completo</v>
      </c>
      <c r="I21" s="21" t="s">
        <v>28</v>
      </c>
      <c r="J21" s="21" t="s">
        <v>29</v>
      </c>
      <c r="K21" s="21" t="s">
        <v>29</v>
      </c>
      <c r="L21" s="21" t="s">
        <v>29</v>
      </c>
      <c r="M21" s="21"/>
      <c r="N21" s="30"/>
      <c r="O21" s="21"/>
      <c r="P21" s="21"/>
      <c r="Q21" s="21"/>
      <c r="R21" s="32"/>
      <c r="S21" s="32"/>
      <c r="T21" s="21"/>
      <c r="U21" s="21"/>
      <c r="V21" s="21"/>
      <c r="W21" s="21"/>
      <c r="X21" s="21" t="s">
        <v>28</v>
      </c>
    </row>
    <row r="22" customFormat="false" ht="15.75" hidden="false" customHeight="false" outlineLevel="0" collapsed="false">
      <c r="A22" s="21" t="n">
        <v>7394</v>
      </c>
      <c r="B22" s="29" t="n">
        <v>45108</v>
      </c>
      <c r="C22" s="21" t="s">
        <v>1259</v>
      </c>
      <c r="D22" s="21" t="s">
        <v>24</v>
      </c>
      <c r="E22" s="21" t="s">
        <v>25</v>
      </c>
      <c r="F22" s="21" t="s">
        <v>1585</v>
      </c>
      <c r="G22" s="30"/>
      <c r="H22" s="45" t="str">
        <f aca="false">HYPERLINK("https://photos.app.goo.gl/Ak8imHfQrSXtKjbf7", "Completo")</f>
        <v>Completo</v>
      </c>
      <c r="I22" s="21" t="s">
        <v>28</v>
      </c>
      <c r="J22" s="21" t="s">
        <v>29</v>
      </c>
      <c r="K22" s="21" t="s">
        <v>29</v>
      </c>
      <c r="L22" s="21" t="n">
        <v>16817</v>
      </c>
      <c r="M22" s="21"/>
      <c r="N22" s="30"/>
      <c r="O22" s="21"/>
      <c r="P22" s="21"/>
      <c r="Q22" s="21"/>
      <c r="R22" s="32"/>
      <c r="S22" s="32"/>
      <c r="T22" s="21"/>
      <c r="U22" s="21"/>
      <c r="V22" s="21"/>
      <c r="W22" s="21"/>
      <c r="X22" s="21" t="s">
        <v>28</v>
      </c>
    </row>
    <row r="23" customFormat="false" ht="15.75" hidden="false" customHeight="false" outlineLevel="0" collapsed="false">
      <c r="A23" s="21" t="n">
        <v>7395</v>
      </c>
      <c r="B23" s="29" t="n">
        <v>45108</v>
      </c>
      <c r="C23" s="21" t="s">
        <v>1259</v>
      </c>
      <c r="D23" s="21" t="s">
        <v>24</v>
      </c>
      <c r="E23" s="21" t="s">
        <v>25</v>
      </c>
      <c r="F23" s="21" t="s">
        <v>1585</v>
      </c>
      <c r="G23" s="30"/>
      <c r="H23" s="45" t="str">
        <f aca="false">HYPERLINK("https://photos.app.goo.gl/cikSNk56LhtQqF346", "Completo")</f>
        <v>Completo</v>
      </c>
      <c r="I23" s="21" t="s">
        <v>28</v>
      </c>
      <c r="J23" s="21" t="s">
        <v>29</v>
      </c>
      <c r="K23" s="21" t="s">
        <v>29</v>
      </c>
      <c r="L23" s="21" t="n">
        <v>16817</v>
      </c>
      <c r="M23" s="21"/>
      <c r="N23" s="30"/>
      <c r="O23" s="21"/>
      <c r="P23" s="21"/>
      <c r="Q23" s="21"/>
      <c r="R23" s="32"/>
      <c r="S23" s="32"/>
      <c r="T23" s="21"/>
      <c r="U23" s="21"/>
      <c r="V23" s="21"/>
      <c r="W23" s="21"/>
      <c r="X23" s="21" t="s">
        <v>28</v>
      </c>
    </row>
    <row r="24" customFormat="false" ht="15.75" hidden="false" customHeight="false" outlineLevel="0" collapsed="false">
      <c r="A24" s="21" t="n">
        <v>7396</v>
      </c>
      <c r="B24" s="29" t="n">
        <v>45114</v>
      </c>
      <c r="C24" s="21" t="s">
        <v>867</v>
      </c>
      <c r="D24" s="21" t="s">
        <v>24</v>
      </c>
      <c r="E24" s="21" t="s">
        <v>25</v>
      </c>
      <c r="F24" s="21" t="s">
        <v>1586</v>
      </c>
      <c r="G24" s="30"/>
      <c r="H24" s="45" t="str">
        <f aca="false">HYPERLINK("https://photos.app.goo.gl/VdMPCagZWjrL9Wv36", "Completo")</f>
        <v>Completo</v>
      </c>
      <c r="I24" s="21" t="s">
        <v>28</v>
      </c>
      <c r="J24" s="21" t="s">
        <v>29</v>
      </c>
      <c r="K24" s="21" t="s">
        <v>29</v>
      </c>
      <c r="L24" s="21" t="s">
        <v>1587</v>
      </c>
      <c r="M24" s="21"/>
      <c r="N24" s="30"/>
      <c r="O24" s="21"/>
      <c r="P24" s="21"/>
      <c r="Q24" s="21"/>
      <c r="R24" s="32"/>
      <c r="S24" s="32"/>
      <c r="T24" s="21"/>
      <c r="U24" s="21"/>
      <c r="V24" s="21"/>
      <c r="W24" s="21"/>
      <c r="X24" s="21" t="s">
        <v>28</v>
      </c>
    </row>
    <row r="25" customFormat="false" ht="15.75" hidden="false" customHeight="false" outlineLevel="0" collapsed="false">
      <c r="A25" s="21" t="n">
        <v>7397</v>
      </c>
      <c r="B25" s="29" t="n">
        <v>45117</v>
      </c>
      <c r="C25" s="21" t="s">
        <v>1588</v>
      </c>
      <c r="D25" s="21" t="s">
        <v>24</v>
      </c>
      <c r="E25" s="21" t="s">
        <v>25</v>
      </c>
      <c r="F25" s="21" t="s">
        <v>1554</v>
      </c>
      <c r="G25" s="30" t="s">
        <v>1589</v>
      </c>
      <c r="H25" s="45" t="str">
        <f aca="false">HYPERLINK("https://photos.app.goo.gl/LZZRJWytKwN74JcW9", "Completo")</f>
        <v>Completo</v>
      </c>
      <c r="I25" s="21" t="s">
        <v>28</v>
      </c>
      <c r="J25" s="21" t="s">
        <v>29</v>
      </c>
      <c r="K25" s="21" t="s">
        <v>29</v>
      </c>
      <c r="L25" s="21" t="s">
        <v>29</v>
      </c>
      <c r="M25" s="21"/>
      <c r="N25" s="30"/>
      <c r="O25" s="21"/>
      <c r="P25" s="21"/>
      <c r="Q25" s="21"/>
      <c r="R25" s="32"/>
      <c r="S25" s="32"/>
      <c r="T25" s="21"/>
      <c r="U25" s="21"/>
      <c r="V25" s="21"/>
      <c r="W25" s="21"/>
      <c r="X25" s="21" t="s">
        <v>28</v>
      </c>
    </row>
    <row r="26" customFormat="false" ht="15.75" hidden="false" customHeight="false" outlineLevel="0" collapsed="false">
      <c r="A26" s="21" t="n">
        <v>7398</v>
      </c>
      <c r="B26" s="29" t="n">
        <v>45117</v>
      </c>
      <c r="C26" s="21" t="s">
        <v>1588</v>
      </c>
      <c r="D26" s="21" t="s">
        <v>24</v>
      </c>
      <c r="E26" s="21" t="s">
        <v>25</v>
      </c>
      <c r="F26" s="21" t="s">
        <v>1554</v>
      </c>
      <c r="G26" s="30" t="s">
        <v>1590</v>
      </c>
      <c r="H26" s="45" t="str">
        <f aca="false">HYPERLINK("https://photos.app.goo.gl/i8YozCD6p5gSMYWU7", "Completo")</f>
        <v>Completo</v>
      </c>
      <c r="I26" s="21" t="s">
        <v>28</v>
      </c>
      <c r="J26" s="21" t="s">
        <v>29</v>
      </c>
      <c r="K26" s="21" t="s">
        <v>29</v>
      </c>
      <c r="L26" s="21" t="s">
        <v>29</v>
      </c>
      <c r="M26" s="21"/>
      <c r="N26" s="30"/>
      <c r="O26" s="21"/>
      <c r="P26" s="21"/>
      <c r="Q26" s="21"/>
      <c r="R26" s="32"/>
      <c r="S26" s="32"/>
      <c r="T26" s="21"/>
      <c r="U26" s="21"/>
      <c r="V26" s="21"/>
      <c r="W26" s="21"/>
      <c r="X26" s="21" t="s">
        <v>28</v>
      </c>
    </row>
    <row r="27" customFormat="false" ht="15.75" hidden="false" customHeight="false" outlineLevel="0" collapsed="false">
      <c r="A27" s="21" t="n">
        <v>7399</v>
      </c>
      <c r="B27" s="29" t="n">
        <v>45117</v>
      </c>
      <c r="C27" s="21" t="s">
        <v>1588</v>
      </c>
      <c r="D27" s="21" t="s">
        <v>24</v>
      </c>
      <c r="E27" s="21" t="s">
        <v>25</v>
      </c>
      <c r="F27" s="55" t="s">
        <v>1554</v>
      </c>
      <c r="G27" s="30" t="s">
        <v>1590</v>
      </c>
      <c r="H27" s="45" t="str">
        <f aca="false">HYPERLINK("https://photos.app.goo.gl/6ugcAwwrumsxyx4r7", "Completo")</f>
        <v>Completo</v>
      </c>
      <c r="I27" s="21" t="s">
        <v>28</v>
      </c>
      <c r="J27" s="21" t="s">
        <v>29</v>
      </c>
      <c r="K27" s="21" t="s">
        <v>29</v>
      </c>
      <c r="L27" s="21" t="s">
        <v>29</v>
      </c>
      <c r="M27" s="21"/>
      <c r="N27" s="30"/>
      <c r="O27" s="21"/>
      <c r="P27" s="21"/>
      <c r="Q27" s="21"/>
      <c r="R27" s="32"/>
      <c r="S27" s="32"/>
      <c r="T27" s="21"/>
      <c r="U27" s="21"/>
      <c r="V27" s="21"/>
      <c r="W27" s="21"/>
      <c r="X27" s="21" t="s">
        <v>28</v>
      </c>
    </row>
    <row r="28" customFormat="false" ht="15.75" hidden="false" customHeight="false" outlineLevel="0" collapsed="false">
      <c r="A28" s="21" t="n">
        <v>7400</v>
      </c>
      <c r="B28" s="29" t="n">
        <v>45117</v>
      </c>
      <c r="C28" s="21" t="s">
        <v>195</v>
      </c>
      <c r="D28" s="21" t="s">
        <v>24</v>
      </c>
      <c r="E28" s="21" t="s">
        <v>25</v>
      </c>
      <c r="F28" s="21" t="s">
        <v>1591</v>
      </c>
      <c r="G28" s="30" t="s">
        <v>1592</v>
      </c>
      <c r="H28" s="45" t="str">
        <f aca="false">HYPERLINK("https://photos.app.goo.gl/jPKVAqTj6EpEFNyt9", "Completo")</f>
        <v>Completo</v>
      </c>
      <c r="I28" s="21" t="s">
        <v>28</v>
      </c>
      <c r="J28" s="21" t="s">
        <v>29</v>
      </c>
      <c r="K28" s="21" t="s">
        <v>29</v>
      </c>
      <c r="L28" s="21" t="s">
        <v>29</v>
      </c>
      <c r="M28" s="21"/>
      <c r="N28" s="30"/>
      <c r="O28" s="21"/>
      <c r="P28" s="21"/>
      <c r="Q28" s="21"/>
      <c r="R28" s="32"/>
      <c r="S28" s="32"/>
      <c r="T28" s="21"/>
      <c r="U28" s="21"/>
      <c r="V28" s="21"/>
      <c r="W28" s="21"/>
      <c r="X28" s="21" t="s">
        <v>28</v>
      </c>
    </row>
    <row r="29" customFormat="false" ht="15.75" hidden="false" customHeight="false" outlineLevel="0" collapsed="false">
      <c r="A29" s="21" t="n">
        <v>7401</v>
      </c>
      <c r="B29" s="29" t="n">
        <v>45117</v>
      </c>
      <c r="C29" s="21" t="s">
        <v>389</v>
      </c>
      <c r="D29" s="21" t="s">
        <v>24</v>
      </c>
      <c r="E29" s="21" t="s">
        <v>25</v>
      </c>
      <c r="F29" s="21" t="s">
        <v>1593</v>
      </c>
      <c r="G29" s="30" t="s">
        <v>1594</v>
      </c>
      <c r="H29" s="45" t="str">
        <f aca="false">HYPERLINK("https://photos.app.goo.gl/MZaeWaiusK5wHJ4u7", "Completo")</f>
        <v>Completo</v>
      </c>
      <c r="I29" s="21" t="s">
        <v>28</v>
      </c>
      <c r="J29" s="21" t="s">
        <v>29</v>
      </c>
      <c r="K29" s="21" t="s">
        <v>29</v>
      </c>
      <c r="L29" s="21" t="s">
        <v>29</v>
      </c>
      <c r="M29" s="21"/>
      <c r="N29" s="30"/>
      <c r="O29" s="21"/>
      <c r="P29" s="21"/>
      <c r="Q29" s="21"/>
      <c r="R29" s="32"/>
      <c r="S29" s="32"/>
      <c r="T29" s="21"/>
      <c r="U29" s="21"/>
      <c r="V29" s="21"/>
      <c r="W29" s="21"/>
      <c r="X29" s="21" t="s">
        <v>28</v>
      </c>
    </row>
    <row r="30" customFormat="false" ht="15.75" hidden="false" customHeight="false" outlineLevel="0" collapsed="false">
      <c r="A30" s="21" t="n">
        <v>7402</v>
      </c>
      <c r="B30" s="29" t="n">
        <v>45117</v>
      </c>
      <c r="C30" s="21" t="s">
        <v>389</v>
      </c>
      <c r="D30" s="21" t="s">
        <v>24</v>
      </c>
      <c r="E30" s="21" t="s">
        <v>25</v>
      </c>
      <c r="F30" s="21" t="s">
        <v>1593</v>
      </c>
      <c r="G30" s="30" t="s">
        <v>1594</v>
      </c>
      <c r="H30" s="45" t="str">
        <f aca="false">HYPERLINK("https://photos.app.goo.gl/7zxAtJ8Z9A6VMmzQ8", "Completo")</f>
        <v>Completo</v>
      </c>
      <c r="I30" s="21" t="s">
        <v>28</v>
      </c>
      <c r="J30" s="21" t="s">
        <v>29</v>
      </c>
      <c r="K30" s="21"/>
      <c r="L30" s="21" t="s">
        <v>29</v>
      </c>
      <c r="M30" s="21"/>
      <c r="N30" s="30"/>
      <c r="O30" s="21"/>
      <c r="P30" s="21"/>
      <c r="Q30" s="21"/>
      <c r="R30" s="32"/>
      <c r="S30" s="32"/>
      <c r="T30" s="21"/>
      <c r="U30" s="21"/>
      <c r="V30" s="21"/>
      <c r="W30" s="21"/>
      <c r="X30" s="21" t="s">
        <v>28</v>
      </c>
    </row>
    <row r="31" customFormat="false" ht="15.75" hidden="false" customHeight="false" outlineLevel="0" collapsed="false">
      <c r="A31" s="21" t="n">
        <v>7403</v>
      </c>
      <c r="B31" s="29" t="n">
        <v>45117</v>
      </c>
      <c r="C31" s="21" t="s">
        <v>389</v>
      </c>
      <c r="D31" s="21" t="s">
        <v>24</v>
      </c>
      <c r="E31" s="21" t="s">
        <v>25</v>
      </c>
      <c r="F31" s="21" t="s">
        <v>1593</v>
      </c>
      <c r="G31" s="30" t="s">
        <v>1594</v>
      </c>
      <c r="H31" s="45" t="str">
        <f aca="false">HYPERLINK("https://photos.app.goo.gl/HRqtbU7TyD8GMFh19", "Completo")</f>
        <v>Completo</v>
      </c>
      <c r="I31" s="21" t="s">
        <v>28</v>
      </c>
      <c r="J31" s="21" t="s">
        <v>29</v>
      </c>
      <c r="K31" s="21" t="s">
        <v>29</v>
      </c>
      <c r="L31" s="21" t="s">
        <v>29</v>
      </c>
      <c r="M31" s="21"/>
      <c r="N31" s="30"/>
      <c r="O31" s="21"/>
      <c r="P31" s="21"/>
      <c r="Q31" s="21"/>
      <c r="R31" s="32"/>
      <c r="S31" s="32"/>
      <c r="T31" s="21"/>
      <c r="U31" s="21"/>
      <c r="V31" s="21"/>
      <c r="W31" s="21"/>
      <c r="X31" s="21" t="s">
        <v>28</v>
      </c>
    </row>
    <row r="32" customFormat="false" ht="15.75" hidden="false" customHeight="false" outlineLevel="0" collapsed="false">
      <c r="A32" s="21" t="n">
        <v>7404</v>
      </c>
      <c r="B32" s="29" t="n">
        <v>45117</v>
      </c>
      <c r="C32" s="21" t="s">
        <v>389</v>
      </c>
      <c r="D32" s="21" t="s">
        <v>24</v>
      </c>
      <c r="E32" s="21" t="s">
        <v>25</v>
      </c>
      <c r="F32" s="21" t="s">
        <v>1593</v>
      </c>
      <c r="G32" s="30" t="s">
        <v>1594</v>
      </c>
      <c r="H32" s="45" t="str">
        <f aca="false">HYPERLINK("https://photos.app.goo.gl/5SBSpCh8BSjGgnmn6", "Completo")</f>
        <v>Completo</v>
      </c>
      <c r="I32" s="21" t="s">
        <v>28</v>
      </c>
      <c r="J32" s="21" t="s">
        <v>29</v>
      </c>
      <c r="K32" s="21" t="s">
        <v>29</v>
      </c>
      <c r="L32" s="21" t="s">
        <v>29</v>
      </c>
      <c r="M32" s="21"/>
      <c r="N32" s="30"/>
      <c r="O32" s="21"/>
      <c r="P32" s="21"/>
      <c r="Q32" s="21"/>
      <c r="R32" s="32"/>
      <c r="S32" s="32"/>
      <c r="T32" s="21"/>
      <c r="U32" s="21"/>
      <c r="V32" s="21"/>
      <c r="W32" s="21"/>
      <c r="X32" s="21" t="s">
        <v>28</v>
      </c>
    </row>
    <row r="33" customFormat="false" ht="15.75" hidden="false" customHeight="false" outlineLevel="0" collapsed="false">
      <c r="A33" s="21" t="n">
        <v>7405</v>
      </c>
      <c r="B33" s="29" t="n">
        <v>37812</v>
      </c>
      <c r="C33" s="21" t="s">
        <v>389</v>
      </c>
      <c r="D33" s="21" t="s">
        <v>24</v>
      </c>
      <c r="E33" s="21" t="s">
        <v>25</v>
      </c>
      <c r="F33" s="21" t="s">
        <v>1595</v>
      </c>
      <c r="G33" s="30"/>
      <c r="H33" s="45" t="str">
        <f aca="false">HYPERLINK("https://photos.app.goo.gl/z2iNKGWjY11rxL4t9", "Completo")</f>
        <v>Completo</v>
      </c>
      <c r="I33" s="21" t="s">
        <v>28</v>
      </c>
      <c r="J33" s="21" t="s">
        <v>29</v>
      </c>
      <c r="K33" s="21" t="s">
        <v>29</v>
      </c>
      <c r="L33" s="21" t="s">
        <v>29</v>
      </c>
      <c r="M33" s="21"/>
      <c r="N33" s="30"/>
      <c r="O33" s="21"/>
      <c r="P33" s="21"/>
      <c r="Q33" s="21"/>
      <c r="R33" s="32"/>
      <c r="S33" s="32"/>
      <c r="T33" s="21"/>
      <c r="U33" s="21"/>
      <c r="V33" s="21"/>
      <c r="W33" s="21"/>
      <c r="X33" s="21" t="s">
        <v>28</v>
      </c>
    </row>
    <row r="34" customFormat="false" ht="15.75" hidden="false" customHeight="false" outlineLevel="0" collapsed="false">
      <c r="A34" s="47" t="n">
        <v>174588</v>
      </c>
      <c r="B34" s="29" t="n">
        <v>45117</v>
      </c>
      <c r="C34" s="21" t="s">
        <v>75</v>
      </c>
      <c r="D34" s="21" t="s">
        <v>290</v>
      </c>
      <c r="E34" s="21" t="s">
        <v>25</v>
      </c>
      <c r="F34" s="21" t="s">
        <v>1596</v>
      </c>
      <c r="G34" s="30" t="s">
        <v>1597</v>
      </c>
      <c r="H34" s="45" t="str">
        <f aca="false">HYPERLINK("https://photos.app.goo.gl/kEtDosajz68HREy4A", "Completo")</f>
        <v>Completo</v>
      </c>
      <c r="I34" s="21" t="s">
        <v>28</v>
      </c>
      <c r="J34" s="21" t="s">
        <v>29</v>
      </c>
      <c r="K34" s="21" t="s">
        <v>29</v>
      </c>
      <c r="L34" s="21" t="s">
        <v>1598</v>
      </c>
      <c r="M34" s="21"/>
      <c r="N34" s="30"/>
      <c r="O34" s="21"/>
      <c r="P34" s="21"/>
      <c r="Q34" s="21"/>
      <c r="R34" s="32"/>
      <c r="S34" s="32"/>
      <c r="T34" s="21" t="s">
        <v>58</v>
      </c>
      <c r="U34" s="46" t="s">
        <v>28</v>
      </c>
      <c r="V34" s="46" t="s">
        <v>28</v>
      </c>
      <c r="W34" s="21" t="s">
        <v>29</v>
      </c>
      <c r="X34" s="21" t="s">
        <v>28</v>
      </c>
    </row>
    <row r="35" customFormat="false" ht="15.75" hidden="false" customHeight="false" outlineLevel="0" collapsed="false">
      <c r="A35" s="21" t="n">
        <v>7406</v>
      </c>
      <c r="B35" s="29" t="n">
        <v>45118</v>
      </c>
      <c r="C35" s="21" t="s">
        <v>1599</v>
      </c>
      <c r="D35" s="21" t="s">
        <v>24</v>
      </c>
      <c r="E35" s="21" t="s">
        <v>25</v>
      </c>
      <c r="F35" s="21" t="s">
        <v>1600</v>
      </c>
      <c r="G35" s="30" t="s">
        <v>1601</v>
      </c>
      <c r="H35" s="45" t="str">
        <f aca="false">HYPERLINK("https://photos.app.goo.gl/JNeih7GRLmgfoGFS7", "Completo")</f>
        <v>Completo</v>
      </c>
      <c r="I35" s="21" t="s">
        <v>28</v>
      </c>
      <c r="J35" s="21" t="s">
        <v>29</v>
      </c>
      <c r="K35" s="21" t="s">
        <v>29</v>
      </c>
      <c r="L35" s="21" t="n">
        <v>7615</v>
      </c>
      <c r="M35" s="21"/>
      <c r="N35" s="30"/>
      <c r="O35" s="21"/>
      <c r="P35" s="21"/>
      <c r="Q35" s="21"/>
      <c r="R35" s="32"/>
      <c r="S35" s="32"/>
      <c r="T35" s="21" t="s">
        <v>58</v>
      </c>
      <c r="U35" s="46" t="s">
        <v>28</v>
      </c>
      <c r="V35" s="46" t="s">
        <v>28</v>
      </c>
      <c r="W35" s="21" t="s">
        <v>29</v>
      </c>
      <c r="X35" s="21" t="s">
        <v>28</v>
      </c>
    </row>
    <row r="36" customFormat="false" ht="15.75" hidden="false" customHeight="false" outlineLevel="0" collapsed="false">
      <c r="A36" s="21" t="n">
        <v>7407</v>
      </c>
      <c r="B36" s="29" t="n">
        <v>45111</v>
      </c>
      <c r="C36" s="21" t="s">
        <v>357</v>
      </c>
      <c r="D36" s="21" t="s">
        <v>24</v>
      </c>
      <c r="E36" s="21" t="s">
        <v>25</v>
      </c>
      <c r="F36" s="21" t="s">
        <v>1570</v>
      </c>
      <c r="G36" s="30"/>
      <c r="H36" s="31"/>
      <c r="I36" s="21"/>
      <c r="J36" s="21"/>
      <c r="K36" s="21"/>
      <c r="L36" s="21"/>
      <c r="M36" s="21"/>
      <c r="N36" s="30"/>
      <c r="O36" s="21"/>
      <c r="P36" s="21"/>
      <c r="Q36" s="21"/>
      <c r="R36" s="32"/>
      <c r="S36" s="32"/>
      <c r="T36" s="21"/>
      <c r="U36" s="21"/>
      <c r="V36" s="21"/>
      <c r="W36" s="21"/>
      <c r="X36" s="21" t="s">
        <v>28</v>
      </c>
    </row>
    <row r="37" customFormat="false" ht="15.75" hidden="false" customHeight="false" outlineLevel="0" collapsed="false">
      <c r="A37" s="21" t="n">
        <v>7408</v>
      </c>
      <c r="B37" s="29" t="n">
        <v>45119</v>
      </c>
      <c r="C37" s="21" t="s">
        <v>112</v>
      </c>
      <c r="D37" s="21" t="s">
        <v>24</v>
      </c>
      <c r="E37" s="21" t="s">
        <v>25</v>
      </c>
      <c r="F37" s="21" t="s">
        <v>1602</v>
      </c>
      <c r="G37" s="30" t="s">
        <v>1603</v>
      </c>
      <c r="H37" s="45" t="str">
        <f aca="false">HYPERLINK("https://photos.app.goo.gl/yBfQA8CxXPTR2E3f6", "Completo")</f>
        <v>Completo</v>
      </c>
      <c r="I37" s="21" t="s">
        <v>28</v>
      </c>
      <c r="J37" s="21" t="s">
        <v>29</v>
      </c>
      <c r="K37" s="21" t="s">
        <v>29</v>
      </c>
      <c r="L37" s="21" t="n">
        <v>1368</v>
      </c>
      <c r="M37" s="21"/>
      <c r="N37" s="30"/>
      <c r="O37" s="21"/>
      <c r="P37" s="21"/>
      <c r="Q37" s="21"/>
      <c r="R37" s="32"/>
      <c r="S37" s="32"/>
      <c r="T37" s="21"/>
      <c r="U37" s="21"/>
      <c r="V37" s="21"/>
      <c r="W37" s="21"/>
      <c r="X37" s="21" t="s">
        <v>28</v>
      </c>
    </row>
    <row r="38" customFormat="false" ht="15.75" hidden="false" customHeight="false" outlineLevel="0" collapsed="false">
      <c r="A38" s="21" t="n">
        <v>7409</v>
      </c>
      <c r="B38" s="49" t="n">
        <v>45119</v>
      </c>
      <c r="C38" s="25" t="s">
        <v>112</v>
      </c>
      <c r="D38" s="25" t="s">
        <v>24</v>
      </c>
      <c r="E38" s="25" t="s">
        <v>25</v>
      </c>
      <c r="F38" s="25" t="s">
        <v>1604</v>
      </c>
      <c r="G38" s="25" t="s">
        <v>1603</v>
      </c>
      <c r="H38" s="26" t="str">
        <f aca="false">HYPERLINK("https://photos.app.goo.gl/zT4qtVwAZZJxn6dg6", "Completo")</f>
        <v>Completo</v>
      </c>
      <c r="I38" s="25" t="s">
        <v>28</v>
      </c>
      <c r="J38" s="25" t="s">
        <v>29</v>
      </c>
      <c r="K38" s="25" t="s">
        <v>29</v>
      </c>
      <c r="L38" s="25" t="n">
        <v>1368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 t="s">
        <v>28</v>
      </c>
    </row>
    <row r="39" customFormat="false" ht="15.75" hidden="false" customHeight="false" outlineLevel="0" collapsed="false">
      <c r="A39" s="13" t="n">
        <v>7410</v>
      </c>
      <c r="B39" s="14" t="n">
        <v>45119</v>
      </c>
      <c r="C39" s="16" t="s">
        <v>776</v>
      </c>
      <c r="D39" s="16" t="s">
        <v>24</v>
      </c>
      <c r="E39" s="16" t="s">
        <v>25</v>
      </c>
      <c r="F39" s="16" t="s">
        <v>1605</v>
      </c>
      <c r="G39" s="16"/>
      <c r="H39" s="17" t="str">
        <f aca="false">HYPERLINK("https://photos.app.goo.gl/odHfhirc76zEUdS17", "Completo")</f>
        <v>Completo</v>
      </c>
      <c r="I39" s="16" t="s">
        <v>28</v>
      </c>
      <c r="J39" s="16" t="s">
        <v>29</v>
      </c>
      <c r="K39" s="16" t="s">
        <v>29</v>
      </c>
      <c r="L39" s="23" t="n">
        <v>2767079</v>
      </c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 t="s">
        <v>28</v>
      </c>
    </row>
    <row r="40" customFormat="false" ht="15.75" hidden="false" customHeight="false" outlineLevel="0" collapsed="false">
      <c r="A40" s="13" t="n">
        <v>7411</v>
      </c>
      <c r="B40" s="14" t="n">
        <v>45120</v>
      </c>
      <c r="C40" s="16" t="s">
        <v>1135</v>
      </c>
      <c r="D40" s="16" t="s">
        <v>24</v>
      </c>
      <c r="E40" s="16" t="s">
        <v>25</v>
      </c>
      <c r="F40" s="16" t="s">
        <v>348</v>
      </c>
      <c r="G40" s="16" t="s">
        <v>1601</v>
      </c>
      <c r="H40" s="17" t="str">
        <f aca="false">HYPERLINK("https://photos.app.goo.gl/3t1CZN21G82xT5eC6", "Completo")</f>
        <v>Completo</v>
      </c>
      <c r="I40" s="16" t="s">
        <v>28</v>
      </c>
      <c r="J40" s="16" t="s">
        <v>29</v>
      </c>
      <c r="K40" s="16" t="s">
        <v>29</v>
      </c>
      <c r="L40" s="16" t="n">
        <v>7616</v>
      </c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 t="s">
        <v>28</v>
      </c>
    </row>
    <row r="41" customFormat="false" ht="15.75" hidden="false" customHeight="false" outlineLevel="0" collapsed="false">
      <c r="A41" s="13" t="n">
        <v>7412</v>
      </c>
      <c r="B41" s="14" t="n">
        <v>45121</v>
      </c>
      <c r="C41" s="16" t="s">
        <v>705</v>
      </c>
      <c r="D41" s="16" t="s">
        <v>24</v>
      </c>
      <c r="E41" s="16" t="s">
        <v>34</v>
      </c>
      <c r="F41" s="16" t="s">
        <v>1606</v>
      </c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 t="s">
        <v>28</v>
      </c>
    </row>
    <row r="42" customFormat="false" ht="15.75" hidden="false" customHeight="false" outlineLevel="0" collapsed="false">
      <c r="A42" s="44" t="n">
        <v>2012761</v>
      </c>
      <c r="B42" s="14" t="n">
        <v>45120</v>
      </c>
      <c r="C42" s="16" t="s">
        <v>776</v>
      </c>
      <c r="D42" s="16" t="s">
        <v>24</v>
      </c>
      <c r="E42" s="16" t="s">
        <v>25</v>
      </c>
      <c r="F42" s="16" t="s">
        <v>1607</v>
      </c>
      <c r="G42" s="16" t="s">
        <v>1608</v>
      </c>
      <c r="H42" s="16" t="s">
        <v>28</v>
      </c>
      <c r="I42" s="16" t="s">
        <v>28</v>
      </c>
      <c r="J42" s="16" t="s">
        <v>29</v>
      </c>
      <c r="K42" s="16" t="s">
        <v>29</v>
      </c>
      <c r="L42" s="16" t="s">
        <v>29</v>
      </c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 t="s">
        <v>28</v>
      </c>
    </row>
    <row r="43" customFormat="false" ht="15.75" hidden="false" customHeight="false" outlineLevel="0" collapsed="false">
      <c r="A43" s="13" t="s">
        <v>1609</v>
      </c>
      <c r="B43" s="14" t="n">
        <v>45120</v>
      </c>
      <c r="C43" s="16" t="s">
        <v>776</v>
      </c>
      <c r="D43" s="16" t="s">
        <v>24</v>
      </c>
      <c r="E43" s="16" t="s">
        <v>25</v>
      </c>
      <c r="F43" s="16" t="s">
        <v>1607</v>
      </c>
      <c r="G43" s="16" t="s">
        <v>1608</v>
      </c>
      <c r="H43" s="17" t="str">
        <f aca="false">HYPERLINK("https://photos.app.goo.gl/EyKH9w6hXc7mcGee9", "Completo")</f>
        <v>Completo</v>
      </c>
      <c r="I43" s="16" t="s">
        <v>28</v>
      </c>
      <c r="J43" s="16" t="s">
        <v>29</v>
      </c>
      <c r="K43" s="16" t="s">
        <v>29</v>
      </c>
      <c r="L43" s="16" t="s">
        <v>29</v>
      </c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 t="s">
        <v>28</v>
      </c>
    </row>
    <row r="44" customFormat="false" ht="15.75" hidden="false" customHeight="false" outlineLevel="0" collapsed="false">
      <c r="A44" s="13" t="s">
        <v>1610</v>
      </c>
      <c r="B44" s="14" t="n">
        <v>45120</v>
      </c>
      <c r="C44" s="16" t="s">
        <v>776</v>
      </c>
      <c r="D44" s="16" t="s">
        <v>24</v>
      </c>
      <c r="E44" s="16" t="s">
        <v>25</v>
      </c>
      <c r="F44" s="16" t="s">
        <v>1607</v>
      </c>
      <c r="G44" s="16" t="s">
        <v>1608</v>
      </c>
      <c r="H44" s="17" t="str">
        <f aca="false">HYPERLINK("https://photos.app.goo.gl/gtgvPvTVxUe6baJ68", "Completo")</f>
        <v>Completo</v>
      </c>
      <c r="I44" s="16" t="s">
        <v>28</v>
      </c>
      <c r="J44" s="16" t="s">
        <v>29</v>
      </c>
      <c r="K44" s="16" t="s">
        <v>29</v>
      </c>
      <c r="L44" s="16" t="s">
        <v>29</v>
      </c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 t="s">
        <v>28</v>
      </c>
    </row>
    <row r="45" customFormat="false" ht="15.75" hidden="false" customHeight="false" outlineLevel="0" collapsed="false">
      <c r="A45" s="13" t="s">
        <v>1611</v>
      </c>
      <c r="B45" s="14" t="n">
        <v>45120</v>
      </c>
      <c r="C45" s="16" t="s">
        <v>776</v>
      </c>
      <c r="D45" s="16" t="s">
        <v>24</v>
      </c>
      <c r="E45" s="16" t="s">
        <v>25</v>
      </c>
      <c r="F45" s="16" t="s">
        <v>1607</v>
      </c>
      <c r="G45" s="16" t="s">
        <v>1612</v>
      </c>
      <c r="H45" s="17" t="str">
        <f aca="false">HYPERLINK("https://photos.app.goo.gl/vTr7DWn5HnxfpHUS8", "Completo")</f>
        <v>Completo</v>
      </c>
      <c r="I45" s="16" t="s">
        <v>28</v>
      </c>
      <c r="J45" s="16" t="s">
        <v>29</v>
      </c>
      <c r="K45" s="16" t="s">
        <v>29</v>
      </c>
      <c r="L45" s="16" t="s">
        <v>29</v>
      </c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 t="s">
        <v>28</v>
      </c>
    </row>
    <row r="46" customFormat="false" ht="15.75" hidden="false" customHeight="false" outlineLevel="0" collapsed="false">
      <c r="A46" s="13" t="n">
        <v>7413</v>
      </c>
      <c r="B46" s="14" t="n">
        <v>45121</v>
      </c>
      <c r="C46" s="16" t="s">
        <v>1456</v>
      </c>
      <c r="D46" s="16" t="s">
        <v>24</v>
      </c>
      <c r="E46" s="16" t="s">
        <v>25</v>
      </c>
      <c r="F46" s="16" t="s">
        <v>1477</v>
      </c>
      <c r="G46" s="16" t="s">
        <v>1613</v>
      </c>
      <c r="H46" s="17" t="str">
        <f aca="false">HYPERLINK("https://photos.app.goo.gl/ntjeUV8HrEzNXVS98", "Completo")</f>
        <v>Completo</v>
      </c>
      <c r="I46" s="16" t="s">
        <v>37</v>
      </c>
      <c r="J46" s="16" t="s">
        <v>29</v>
      </c>
      <c r="K46" s="16" t="s">
        <v>29</v>
      </c>
      <c r="L46" s="16" t="n">
        <v>54450</v>
      </c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 t="s">
        <v>28</v>
      </c>
    </row>
    <row r="47" customFormat="false" ht="15.75" hidden="false" customHeight="false" outlineLevel="0" collapsed="false">
      <c r="A47" s="13" t="n">
        <v>7414</v>
      </c>
      <c r="B47" s="14" t="n">
        <v>45121</v>
      </c>
      <c r="C47" s="16" t="s">
        <v>1459</v>
      </c>
      <c r="D47" s="16" t="s">
        <v>24</v>
      </c>
      <c r="E47" s="16" t="s">
        <v>25</v>
      </c>
      <c r="F47" s="16" t="s">
        <v>1477</v>
      </c>
      <c r="G47" s="16" t="s">
        <v>1614</v>
      </c>
      <c r="H47" s="17" t="str">
        <f aca="false">HYPERLINK("https://photos.app.goo.gl/ntjeUV8HrEzNXVS98", "Completo")</f>
        <v>Completo</v>
      </c>
      <c r="I47" s="16" t="s">
        <v>37</v>
      </c>
      <c r="J47" s="16" t="s">
        <v>29</v>
      </c>
      <c r="K47" s="16" t="s">
        <v>29</v>
      </c>
      <c r="L47" s="16" t="n">
        <v>54450</v>
      </c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 t="s">
        <v>28</v>
      </c>
    </row>
    <row r="48" customFormat="false" ht="15.75" hidden="false" customHeight="false" outlineLevel="0" collapsed="false">
      <c r="A48" s="13" t="n">
        <v>7415</v>
      </c>
      <c r="B48" s="14" t="n">
        <v>45121</v>
      </c>
      <c r="C48" s="16" t="s">
        <v>1615</v>
      </c>
      <c r="D48" s="16" t="s">
        <v>24</v>
      </c>
      <c r="E48" s="16" t="s">
        <v>25</v>
      </c>
      <c r="F48" s="16" t="s">
        <v>1616</v>
      </c>
      <c r="G48" s="16" t="s">
        <v>1617</v>
      </c>
      <c r="H48" s="17" t="str">
        <f aca="false">HYPERLINK("https://photos.app.goo.gl/A4f1kjhRo2Wxa2zM7", "Completo")</f>
        <v>Completo</v>
      </c>
      <c r="I48" s="16" t="s">
        <v>28</v>
      </c>
      <c r="J48" s="16" t="s">
        <v>29</v>
      </c>
      <c r="K48" s="16" t="s">
        <v>29</v>
      </c>
      <c r="L48" s="16" t="s">
        <v>29</v>
      </c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 t="s">
        <v>28</v>
      </c>
    </row>
    <row r="49" customFormat="false" ht="15.75" hidden="false" customHeight="false" outlineLevel="0" collapsed="false">
      <c r="A49" s="13" t="n">
        <v>7416</v>
      </c>
      <c r="B49" s="14" t="n">
        <v>45117</v>
      </c>
      <c r="C49" s="16" t="s">
        <v>719</v>
      </c>
      <c r="D49" s="16" t="s">
        <v>24</v>
      </c>
      <c r="E49" s="16" t="s">
        <v>25</v>
      </c>
      <c r="F49" s="16" t="s">
        <v>1618</v>
      </c>
      <c r="G49" s="16" t="s">
        <v>1552</v>
      </c>
      <c r="H49" s="17" t="str">
        <f aca="false">HYPERLINK("https://photos.app.goo.gl/FUxoyvMUCYpFea5a7", "Completo")</f>
        <v>Completo</v>
      </c>
      <c r="I49" s="16" t="s">
        <v>28</v>
      </c>
      <c r="J49" s="16" t="s">
        <v>29</v>
      </c>
      <c r="K49" s="16" t="s">
        <v>29</v>
      </c>
      <c r="L49" s="16" t="n">
        <v>9458</v>
      </c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 t="s">
        <v>28</v>
      </c>
    </row>
    <row r="50" customFormat="false" ht="15.75" hidden="false" customHeight="false" outlineLevel="0" collapsed="false">
      <c r="A50" s="13" t="n">
        <v>7417</v>
      </c>
      <c r="B50" s="14" t="n">
        <v>45117</v>
      </c>
      <c r="C50" s="16" t="s">
        <v>719</v>
      </c>
      <c r="D50" s="16" t="s">
        <v>24</v>
      </c>
      <c r="E50" s="16" t="s">
        <v>25</v>
      </c>
      <c r="F50" s="16" t="s">
        <v>1619</v>
      </c>
      <c r="G50" s="16" t="s">
        <v>1620</v>
      </c>
      <c r="H50" s="17" t="str">
        <f aca="false">HYPERLINK("https://photos.app.goo.gl/vQ8VXxZUcQ2X4XW87", "Completo")</f>
        <v>Completo</v>
      </c>
      <c r="I50" s="16" t="s">
        <v>28</v>
      </c>
      <c r="J50" s="16" t="s">
        <v>29</v>
      </c>
      <c r="K50" s="16" t="s">
        <v>29</v>
      </c>
      <c r="L50" s="16" t="n">
        <v>9458</v>
      </c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 t="s">
        <v>28</v>
      </c>
    </row>
    <row r="51" customFormat="false" ht="15.75" hidden="false" customHeight="false" outlineLevel="0" collapsed="false">
      <c r="A51" s="13" t="n">
        <v>7418</v>
      </c>
      <c r="B51" s="14" t="n">
        <v>45117</v>
      </c>
      <c r="C51" s="16" t="s">
        <v>719</v>
      </c>
      <c r="D51" s="16" t="s">
        <v>24</v>
      </c>
      <c r="E51" s="16" t="s">
        <v>25</v>
      </c>
      <c r="F51" s="16" t="s">
        <v>1621</v>
      </c>
      <c r="G51" s="16" t="s">
        <v>1622</v>
      </c>
      <c r="H51" s="17" t="str">
        <f aca="false">HYPERLINK("https://photos.app.goo.gl/gprq4Azb83e5cCRe6", "Completo")</f>
        <v>Completo</v>
      </c>
      <c r="I51" s="16" t="s">
        <v>28</v>
      </c>
      <c r="J51" s="16" t="s">
        <v>29</v>
      </c>
      <c r="K51" s="16" t="s">
        <v>29</v>
      </c>
      <c r="L51" s="16" t="n">
        <v>9458</v>
      </c>
      <c r="M51" s="16" t="s">
        <v>1623</v>
      </c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 t="s">
        <v>28</v>
      </c>
    </row>
    <row r="52" customFormat="false" ht="15.75" hidden="false" customHeight="false" outlineLevel="0" collapsed="false">
      <c r="A52" s="13" t="n">
        <v>7419</v>
      </c>
      <c r="B52" s="14" t="n">
        <v>45121</v>
      </c>
      <c r="C52" s="16" t="s">
        <v>1561</v>
      </c>
      <c r="D52" s="16" t="s">
        <v>24</v>
      </c>
      <c r="E52" s="16" t="s">
        <v>25</v>
      </c>
      <c r="F52" s="16" t="s">
        <v>1624</v>
      </c>
      <c r="G52" s="16" t="s">
        <v>1625</v>
      </c>
      <c r="H52" s="17" t="str">
        <f aca="false">HYPERLINK("https://photos.app.goo.gl/LFtp6xAJKMfPKa5B8", "Completo")</f>
        <v>Completo</v>
      </c>
      <c r="I52" s="16" t="s">
        <v>28</v>
      </c>
      <c r="J52" s="16" t="s">
        <v>29</v>
      </c>
      <c r="K52" s="16" t="s">
        <v>29</v>
      </c>
      <c r="L52" s="16" t="s">
        <v>1626</v>
      </c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 t="s">
        <v>28</v>
      </c>
    </row>
    <row r="53" customFormat="false" ht="15.75" hidden="false" customHeight="false" outlineLevel="0" collapsed="false">
      <c r="A53" s="13" t="s">
        <v>1627</v>
      </c>
      <c r="B53" s="14" t="n">
        <v>45124</v>
      </c>
      <c r="C53" s="16" t="s">
        <v>1628</v>
      </c>
      <c r="D53" s="16" t="s">
        <v>578</v>
      </c>
      <c r="E53" s="16" t="s">
        <v>25</v>
      </c>
      <c r="F53" s="16" t="s">
        <v>1629</v>
      </c>
      <c r="G53" s="16" t="s">
        <v>1630</v>
      </c>
      <c r="H53" s="17" t="str">
        <f aca="false">HYPERLINK("https://photos.app.goo.gl/Z7YNYDinyLbaKppW8", "Completo")</f>
        <v>Completo</v>
      </c>
      <c r="I53" s="16" t="s">
        <v>28</v>
      </c>
      <c r="J53" s="16" t="s">
        <v>29</v>
      </c>
      <c r="K53" s="16" t="s">
        <v>29</v>
      </c>
      <c r="L53" s="16" t="s">
        <v>1631</v>
      </c>
      <c r="M53" s="16"/>
      <c r="N53" s="16"/>
      <c r="O53" s="16"/>
      <c r="P53" s="16"/>
      <c r="Q53" s="16"/>
      <c r="R53" s="16"/>
      <c r="S53" s="16"/>
      <c r="T53" s="16" t="s">
        <v>74</v>
      </c>
      <c r="U53" s="17" t="s">
        <v>28</v>
      </c>
      <c r="V53" s="17" t="s">
        <v>28</v>
      </c>
      <c r="W53" s="16" t="s">
        <v>36</v>
      </c>
      <c r="X53" s="16" t="s">
        <v>37</v>
      </c>
    </row>
    <row r="54" customFormat="false" ht="15.75" hidden="false" customHeight="false" outlineLevel="0" collapsed="false">
      <c r="A54" s="13" t="n">
        <v>7420</v>
      </c>
      <c r="B54" s="14" t="n">
        <v>45124</v>
      </c>
      <c r="C54" s="16" t="s">
        <v>1135</v>
      </c>
      <c r="D54" s="16" t="s">
        <v>24</v>
      </c>
      <c r="E54" s="16" t="s">
        <v>25</v>
      </c>
      <c r="F54" s="16" t="s">
        <v>1632</v>
      </c>
      <c r="G54" s="16" t="s">
        <v>1633</v>
      </c>
      <c r="H54" s="17" t="str">
        <f aca="false">HYPERLINK("https://photos.app.goo.gl/gmeHvaW8xacMsi2x7", "Completo")</f>
        <v>Completo</v>
      </c>
      <c r="I54" s="16" t="s">
        <v>28</v>
      </c>
      <c r="J54" s="16" t="s">
        <v>29</v>
      </c>
      <c r="K54" s="16" t="s">
        <v>29</v>
      </c>
      <c r="L54" s="16" t="n">
        <v>7618</v>
      </c>
      <c r="M54" s="16"/>
      <c r="N54" s="16"/>
      <c r="O54" s="16"/>
      <c r="P54" s="16"/>
      <c r="Q54" s="16"/>
      <c r="R54" s="16"/>
      <c r="S54" s="16"/>
      <c r="T54" s="16" t="s">
        <v>58</v>
      </c>
      <c r="U54" s="16" t="s">
        <v>28</v>
      </c>
      <c r="V54" s="16" t="s">
        <v>28</v>
      </c>
      <c r="W54" s="16" t="s">
        <v>29</v>
      </c>
      <c r="X54" s="16" t="s">
        <v>28</v>
      </c>
    </row>
    <row r="55" customFormat="false" ht="15.75" hidden="false" customHeight="false" outlineLevel="0" collapsed="false">
      <c r="A55" s="21" t="n">
        <v>7421</v>
      </c>
      <c r="B55" s="49" t="n">
        <v>45124</v>
      </c>
      <c r="C55" s="25" t="s">
        <v>773</v>
      </c>
      <c r="D55" s="25" t="s">
        <v>24</v>
      </c>
      <c r="E55" s="25" t="s">
        <v>25</v>
      </c>
      <c r="F55" s="25" t="s">
        <v>1632</v>
      </c>
      <c r="G55" s="25" t="s">
        <v>1634</v>
      </c>
      <c r="H55" s="26" t="str">
        <f aca="false">HYPERLINK("https://photos.app.goo.gl/2UiR8tAbZN3iSSsg8", "Completo")</f>
        <v>Completo</v>
      </c>
      <c r="I55" s="25" t="s">
        <v>28</v>
      </c>
      <c r="J55" s="25" t="s">
        <v>29</v>
      </c>
      <c r="K55" s="25" t="s">
        <v>29</v>
      </c>
      <c r="L55" s="25" t="n">
        <v>7618</v>
      </c>
      <c r="M55" s="25"/>
      <c r="N55" s="25"/>
      <c r="O55" s="25"/>
      <c r="P55" s="25"/>
      <c r="Q55" s="25"/>
      <c r="R55" s="25"/>
      <c r="S55" s="25"/>
      <c r="T55" s="25" t="s">
        <v>74</v>
      </c>
      <c r="U55" s="26" t="s">
        <v>28</v>
      </c>
      <c r="V55" s="26" t="s">
        <v>28</v>
      </c>
      <c r="W55" s="25" t="s">
        <v>36</v>
      </c>
      <c r="X55" s="25" t="s">
        <v>28</v>
      </c>
    </row>
    <row r="56" customFormat="false" ht="15.75" hidden="false" customHeight="false" outlineLevel="0" collapsed="false">
      <c r="A56" s="13" t="n">
        <v>7422</v>
      </c>
      <c r="B56" s="14" t="n">
        <v>45124</v>
      </c>
      <c r="C56" s="16" t="s">
        <v>773</v>
      </c>
      <c r="D56" s="16" t="s">
        <v>24</v>
      </c>
      <c r="E56" s="16" t="s">
        <v>25</v>
      </c>
      <c r="F56" s="16" t="s">
        <v>1632</v>
      </c>
      <c r="G56" s="16" t="s">
        <v>1633</v>
      </c>
      <c r="H56" s="17" t="str">
        <f aca="false">HYPERLINK("https://photos.app.goo.gl/Wn5ThPBT5Bmgp78CA", "Completo")</f>
        <v>Completo</v>
      </c>
      <c r="I56" s="16" t="s">
        <v>28</v>
      </c>
      <c r="J56" s="16" t="s">
        <v>29</v>
      </c>
      <c r="K56" s="16" t="s">
        <v>29</v>
      </c>
      <c r="L56" s="16" t="n">
        <v>7618</v>
      </c>
      <c r="M56" s="16"/>
      <c r="N56" s="16"/>
      <c r="O56" s="16"/>
      <c r="P56" s="16"/>
      <c r="Q56" s="16"/>
      <c r="R56" s="16"/>
      <c r="S56" s="16"/>
      <c r="T56" s="16" t="s">
        <v>58</v>
      </c>
      <c r="U56" s="17" t="s">
        <v>28</v>
      </c>
      <c r="V56" s="16" t="s">
        <v>28</v>
      </c>
      <c r="W56" s="16" t="s">
        <v>29</v>
      </c>
      <c r="X56" s="16" t="s">
        <v>28</v>
      </c>
    </row>
    <row r="57" customFormat="false" ht="15.75" hidden="false" customHeight="false" outlineLevel="0" collapsed="false">
      <c r="A57" s="13" t="n">
        <v>7423</v>
      </c>
      <c r="B57" s="14" t="n">
        <v>45124</v>
      </c>
      <c r="C57" s="16" t="s">
        <v>773</v>
      </c>
      <c r="D57" s="16" t="s">
        <v>24</v>
      </c>
      <c r="E57" s="16" t="s">
        <v>25</v>
      </c>
      <c r="F57" s="16" t="s">
        <v>1632</v>
      </c>
      <c r="G57" s="16" t="s">
        <v>1634</v>
      </c>
      <c r="H57" s="17" t="str">
        <f aca="false">HYPERLINK("https://photos.app.goo.gl/PF4MfHXPLA9jWoDN9", "Completo")</f>
        <v>Completo</v>
      </c>
      <c r="I57" s="16" t="s">
        <v>28</v>
      </c>
      <c r="J57" s="16" t="s">
        <v>29</v>
      </c>
      <c r="K57" s="16" t="s">
        <v>29</v>
      </c>
      <c r="L57" s="16" t="n">
        <v>7618</v>
      </c>
      <c r="M57" s="16"/>
      <c r="N57" s="16"/>
      <c r="O57" s="16"/>
      <c r="P57" s="16"/>
      <c r="Q57" s="16"/>
      <c r="R57" s="16"/>
      <c r="S57" s="16"/>
      <c r="T57" s="16" t="s">
        <v>74</v>
      </c>
      <c r="U57" s="17" t="s">
        <v>28</v>
      </c>
      <c r="V57" s="17" t="s">
        <v>28</v>
      </c>
      <c r="W57" s="16" t="s">
        <v>36</v>
      </c>
      <c r="X57" s="16" t="s">
        <v>28</v>
      </c>
    </row>
    <row r="58" customFormat="false" ht="15.75" hidden="false" customHeight="false" outlineLevel="0" collapsed="false">
      <c r="A58" s="13" t="n">
        <v>7424</v>
      </c>
      <c r="B58" s="14" t="n">
        <v>45117</v>
      </c>
      <c r="C58" s="16" t="s">
        <v>719</v>
      </c>
      <c r="D58" s="16" t="s">
        <v>24</v>
      </c>
      <c r="E58" s="16" t="s">
        <v>25</v>
      </c>
      <c r="F58" s="16" t="s">
        <v>1635</v>
      </c>
      <c r="G58" s="16" t="s">
        <v>29</v>
      </c>
      <c r="H58" s="16" t="s">
        <v>28</v>
      </c>
      <c r="I58" s="16" t="s">
        <v>28</v>
      </c>
      <c r="J58" s="16" t="s">
        <v>29</v>
      </c>
      <c r="K58" s="16" t="s">
        <v>29</v>
      </c>
      <c r="L58" s="16" t="n">
        <v>9458</v>
      </c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</row>
    <row r="59" customFormat="false" ht="15.75" hidden="false" customHeight="false" outlineLevel="0" collapsed="false">
      <c r="A59" s="13" t="n">
        <v>7425</v>
      </c>
      <c r="B59" s="14" t="n">
        <v>45125</v>
      </c>
      <c r="C59" s="16" t="s">
        <v>867</v>
      </c>
      <c r="D59" s="16" t="s">
        <v>24</v>
      </c>
      <c r="E59" s="16" t="s">
        <v>34</v>
      </c>
      <c r="F59" s="16" t="s">
        <v>1636</v>
      </c>
      <c r="G59" s="16" t="s">
        <v>36</v>
      </c>
      <c r="H59" s="16" t="s">
        <v>37</v>
      </c>
      <c r="I59" s="16" t="s">
        <v>37</v>
      </c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 t="s">
        <v>28</v>
      </c>
    </row>
    <row r="60" customFormat="false" ht="15.75" hidden="false" customHeight="false" outlineLevel="0" collapsed="false">
      <c r="A60" s="13" t="n">
        <v>7426</v>
      </c>
      <c r="B60" s="14" t="n">
        <v>45125</v>
      </c>
      <c r="C60" s="16" t="s">
        <v>867</v>
      </c>
      <c r="D60" s="16" t="s">
        <v>24</v>
      </c>
      <c r="E60" s="16" t="s">
        <v>34</v>
      </c>
      <c r="F60" s="16" t="s">
        <v>1637</v>
      </c>
      <c r="G60" s="16" t="s">
        <v>36</v>
      </c>
      <c r="H60" s="16" t="s">
        <v>37</v>
      </c>
      <c r="I60" s="16" t="s">
        <v>37</v>
      </c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 t="s">
        <v>28</v>
      </c>
    </row>
    <row r="61" customFormat="false" ht="15.75" hidden="false" customHeight="false" outlineLevel="0" collapsed="false">
      <c r="A61" s="44" t="n">
        <v>1386737</v>
      </c>
      <c r="B61" s="14" t="n">
        <v>45125</v>
      </c>
      <c r="C61" s="16" t="s">
        <v>1259</v>
      </c>
      <c r="D61" s="16" t="s">
        <v>290</v>
      </c>
      <c r="E61" s="16" t="s">
        <v>25</v>
      </c>
      <c r="F61" s="16" t="s">
        <v>1638</v>
      </c>
      <c r="G61" s="16" t="s">
        <v>1639</v>
      </c>
      <c r="H61" s="17" t="str">
        <f aca="false">HYPERLINK("https://photos.app.goo.gl/kNV4qsybS4Gs4QQn7", "Completo")</f>
        <v>Completo</v>
      </c>
      <c r="I61" s="16" t="s">
        <v>28</v>
      </c>
      <c r="J61" s="16" t="s">
        <v>29</v>
      </c>
      <c r="K61" s="16" t="s">
        <v>29</v>
      </c>
      <c r="L61" s="16" t="n">
        <v>17106</v>
      </c>
      <c r="M61" s="16"/>
      <c r="N61" s="16"/>
      <c r="O61" s="16"/>
      <c r="P61" s="16"/>
      <c r="Q61" s="16"/>
      <c r="R61" s="16"/>
      <c r="S61" s="16"/>
      <c r="T61" s="16" t="s">
        <v>74</v>
      </c>
      <c r="U61" s="17" t="s">
        <v>28</v>
      </c>
      <c r="V61" s="17" t="s">
        <v>28</v>
      </c>
      <c r="W61" s="16" t="s">
        <v>36</v>
      </c>
      <c r="X61" s="16" t="s">
        <v>28</v>
      </c>
    </row>
    <row r="62" customFormat="false" ht="15.75" hidden="false" customHeight="false" outlineLevel="0" collapsed="false">
      <c r="A62" s="13" t="s">
        <v>1640</v>
      </c>
      <c r="B62" s="14" t="n">
        <v>45125</v>
      </c>
      <c r="C62" s="16" t="s">
        <v>412</v>
      </c>
      <c r="D62" s="16" t="s">
        <v>290</v>
      </c>
      <c r="E62" s="16" t="s">
        <v>25</v>
      </c>
      <c r="F62" s="16" t="s">
        <v>1638</v>
      </c>
      <c r="G62" s="16" t="s">
        <v>1639</v>
      </c>
      <c r="H62" s="17" t="str">
        <f aca="false">HYPERLINK("https://photos.app.goo.gl/i4z6WPWLpdGxdgBs6", "Completo")</f>
        <v>Completo</v>
      </c>
      <c r="I62" s="16" t="s">
        <v>28</v>
      </c>
      <c r="J62" s="16" t="s">
        <v>29</v>
      </c>
      <c r="K62" s="16" t="s">
        <v>29</v>
      </c>
      <c r="L62" s="16" t="n">
        <v>17106</v>
      </c>
      <c r="M62" s="16"/>
      <c r="N62" s="16"/>
      <c r="O62" s="16"/>
      <c r="P62" s="16"/>
      <c r="Q62" s="16"/>
      <c r="R62" s="16"/>
      <c r="S62" s="16"/>
      <c r="T62" s="16" t="s">
        <v>74</v>
      </c>
      <c r="U62" s="17" t="s">
        <v>28</v>
      </c>
      <c r="V62" s="17" t="s">
        <v>28</v>
      </c>
      <c r="W62" s="16" t="s">
        <v>36</v>
      </c>
      <c r="X62" s="16" t="s">
        <v>28</v>
      </c>
    </row>
    <row r="63" customFormat="false" ht="15.75" hidden="false" customHeight="false" outlineLevel="0" collapsed="false">
      <c r="A63" s="13" t="s">
        <v>1641</v>
      </c>
      <c r="B63" s="14" t="n">
        <v>45125</v>
      </c>
      <c r="C63" s="15" t="s">
        <v>1259</v>
      </c>
      <c r="D63" s="16" t="s">
        <v>290</v>
      </c>
      <c r="E63" s="16" t="s">
        <v>25</v>
      </c>
      <c r="F63" s="15" t="s">
        <v>1638</v>
      </c>
      <c r="G63" s="16"/>
      <c r="H63" s="16"/>
      <c r="I63" s="16" t="s">
        <v>28</v>
      </c>
      <c r="J63" s="16" t="s">
        <v>29</v>
      </c>
      <c r="K63" s="16" t="s">
        <v>29</v>
      </c>
      <c r="L63" s="16"/>
      <c r="M63" s="16"/>
      <c r="N63" s="16"/>
      <c r="O63" s="16"/>
      <c r="P63" s="16"/>
      <c r="Q63" s="16"/>
      <c r="R63" s="16"/>
      <c r="S63" s="16"/>
      <c r="T63" s="16" t="s">
        <v>74</v>
      </c>
      <c r="U63" s="17" t="s">
        <v>28</v>
      </c>
      <c r="V63" s="17" t="s">
        <v>28</v>
      </c>
      <c r="W63" s="16" t="s">
        <v>36</v>
      </c>
      <c r="X63" s="16" t="s">
        <v>28</v>
      </c>
    </row>
    <row r="64" customFormat="false" ht="15.75" hidden="false" customHeight="false" outlineLevel="0" collapsed="false">
      <c r="A64" s="13" t="s">
        <v>1642</v>
      </c>
      <c r="B64" s="14" t="n">
        <v>45125</v>
      </c>
      <c r="C64" s="15" t="s">
        <v>1259</v>
      </c>
      <c r="D64" s="16" t="s">
        <v>290</v>
      </c>
      <c r="E64" s="16" t="s">
        <v>25</v>
      </c>
      <c r="F64" s="15" t="s">
        <v>1638</v>
      </c>
      <c r="G64" s="16"/>
      <c r="H64" s="16"/>
      <c r="I64" s="16" t="s">
        <v>28</v>
      </c>
      <c r="J64" s="16" t="s">
        <v>29</v>
      </c>
      <c r="K64" s="16" t="s">
        <v>29</v>
      </c>
      <c r="L64" s="16"/>
      <c r="M64" s="16"/>
      <c r="N64" s="16"/>
      <c r="O64" s="16"/>
      <c r="P64" s="16"/>
      <c r="Q64" s="16"/>
      <c r="R64" s="16"/>
      <c r="S64" s="16"/>
      <c r="T64" s="16" t="s">
        <v>74</v>
      </c>
      <c r="U64" s="17" t="s">
        <v>28</v>
      </c>
      <c r="V64" s="17" t="s">
        <v>28</v>
      </c>
      <c r="W64" s="16" t="s">
        <v>36</v>
      </c>
      <c r="X64" s="16" t="s">
        <v>28</v>
      </c>
    </row>
    <row r="65" customFormat="false" ht="15.75" hidden="false" customHeight="false" outlineLevel="0" collapsed="false">
      <c r="A65" s="13" t="s">
        <v>1643</v>
      </c>
      <c r="B65" s="14" t="n">
        <v>45125</v>
      </c>
      <c r="C65" s="15" t="s">
        <v>1259</v>
      </c>
      <c r="D65" s="16" t="s">
        <v>290</v>
      </c>
      <c r="E65" s="16" t="s">
        <v>25</v>
      </c>
      <c r="F65" s="15" t="s">
        <v>1638</v>
      </c>
      <c r="G65" s="16"/>
      <c r="H65" s="16"/>
      <c r="I65" s="16" t="s">
        <v>28</v>
      </c>
      <c r="J65" s="16" t="s">
        <v>29</v>
      </c>
      <c r="K65" s="16" t="s">
        <v>29</v>
      </c>
      <c r="L65" s="16"/>
      <c r="M65" s="16"/>
      <c r="N65" s="16"/>
      <c r="O65" s="16"/>
      <c r="P65" s="16"/>
      <c r="Q65" s="16"/>
      <c r="R65" s="16"/>
      <c r="S65" s="16"/>
      <c r="T65" s="16" t="s">
        <v>74</v>
      </c>
      <c r="U65" s="17" t="s">
        <v>28</v>
      </c>
      <c r="V65" s="17" t="s">
        <v>28</v>
      </c>
      <c r="W65" s="16" t="s">
        <v>36</v>
      </c>
      <c r="X65" s="16" t="s">
        <v>28</v>
      </c>
    </row>
    <row r="66" customFormat="false" ht="15.75" hidden="false" customHeight="false" outlineLevel="0" collapsed="false">
      <c r="A66" s="44" t="n">
        <v>1291134</v>
      </c>
      <c r="B66" s="14" t="n">
        <v>45125</v>
      </c>
      <c r="C66" s="15" t="s">
        <v>1259</v>
      </c>
      <c r="D66" s="16" t="s">
        <v>290</v>
      </c>
      <c r="E66" s="16" t="s">
        <v>25</v>
      </c>
      <c r="F66" s="15" t="s">
        <v>1638</v>
      </c>
      <c r="G66" s="16"/>
      <c r="H66" s="16"/>
      <c r="I66" s="16" t="s">
        <v>28</v>
      </c>
      <c r="J66" s="16" t="s">
        <v>29</v>
      </c>
      <c r="K66" s="16" t="s">
        <v>29</v>
      </c>
      <c r="L66" s="16"/>
      <c r="M66" s="16"/>
      <c r="N66" s="16"/>
      <c r="O66" s="16"/>
      <c r="P66" s="16"/>
      <c r="Q66" s="16"/>
      <c r="R66" s="16"/>
      <c r="S66" s="16"/>
      <c r="T66" s="16" t="s">
        <v>74</v>
      </c>
      <c r="U66" s="17" t="s">
        <v>28</v>
      </c>
      <c r="V66" s="17" t="s">
        <v>28</v>
      </c>
      <c r="W66" s="16" t="s">
        <v>36</v>
      </c>
      <c r="X66" s="16" t="s">
        <v>28</v>
      </c>
    </row>
    <row r="67" customFormat="false" ht="15.75" hidden="false" customHeight="false" outlineLevel="0" collapsed="false">
      <c r="A67" s="44" t="n">
        <v>587311</v>
      </c>
      <c r="B67" s="14" t="n">
        <v>45125</v>
      </c>
      <c r="C67" s="15" t="s">
        <v>1259</v>
      </c>
      <c r="D67" s="16" t="s">
        <v>290</v>
      </c>
      <c r="E67" s="16" t="s">
        <v>25</v>
      </c>
      <c r="F67" s="15" t="s">
        <v>1638</v>
      </c>
      <c r="G67" s="16"/>
      <c r="H67" s="16"/>
      <c r="I67" s="16" t="s">
        <v>28</v>
      </c>
      <c r="J67" s="16" t="s">
        <v>29</v>
      </c>
      <c r="K67" s="16" t="s">
        <v>29</v>
      </c>
      <c r="L67" s="16"/>
      <c r="M67" s="16"/>
      <c r="N67" s="16"/>
      <c r="O67" s="16"/>
      <c r="P67" s="16"/>
      <c r="Q67" s="16"/>
      <c r="R67" s="16"/>
      <c r="S67" s="16"/>
      <c r="T67" s="16" t="s">
        <v>74</v>
      </c>
      <c r="U67" s="17" t="s">
        <v>28</v>
      </c>
      <c r="V67" s="17" t="s">
        <v>28</v>
      </c>
      <c r="W67" s="16" t="s">
        <v>36</v>
      </c>
      <c r="X67" s="16" t="s">
        <v>28</v>
      </c>
    </row>
    <row r="68" customFormat="false" ht="15.75" hidden="false" customHeight="false" outlineLevel="0" collapsed="false">
      <c r="A68" s="44" t="n">
        <v>628219</v>
      </c>
      <c r="B68" s="14" t="n">
        <v>45125</v>
      </c>
      <c r="C68" s="16" t="s">
        <v>396</v>
      </c>
      <c r="D68" s="16" t="s">
        <v>290</v>
      </c>
      <c r="E68" s="16" t="s">
        <v>25</v>
      </c>
      <c r="F68" s="21" t="s">
        <v>1644</v>
      </c>
      <c r="G68" s="16" t="s">
        <v>29</v>
      </c>
      <c r="H68" s="17" t="str">
        <f aca="false">HYPERLINK("https://photos.app.goo.gl/YtzSDgG1vp2YT7Dr8", "Completo")</f>
        <v>Completo</v>
      </c>
      <c r="I68" s="16" t="s">
        <v>28</v>
      </c>
      <c r="J68" s="16" t="s">
        <v>29</v>
      </c>
      <c r="K68" s="16" t="s">
        <v>29</v>
      </c>
      <c r="L68" s="16" t="s">
        <v>1645</v>
      </c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 t="s">
        <v>28</v>
      </c>
    </row>
    <row r="69" customFormat="false" ht="15.75" hidden="false" customHeight="false" outlineLevel="0" collapsed="false">
      <c r="A69" s="13" t="n">
        <v>7427</v>
      </c>
      <c r="B69" s="14" t="n">
        <v>45127</v>
      </c>
      <c r="C69" s="16" t="s">
        <v>893</v>
      </c>
      <c r="D69" s="16" t="s">
        <v>24</v>
      </c>
      <c r="E69" s="16" t="s">
        <v>34</v>
      </c>
      <c r="F69" s="16" t="s">
        <v>1646</v>
      </c>
      <c r="G69" s="16" t="s">
        <v>36</v>
      </c>
      <c r="H69" s="16" t="s">
        <v>37</v>
      </c>
      <c r="I69" s="16" t="s">
        <v>37</v>
      </c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 t="s">
        <v>28</v>
      </c>
    </row>
    <row r="70" customFormat="false" ht="15.75" hidden="false" customHeight="false" outlineLevel="0" collapsed="false">
      <c r="A70" s="21" t="n">
        <v>7428</v>
      </c>
      <c r="B70" s="29" t="n">
        <v>45127</v>
      </c>
      <c r="C70" s="21" t="s">
        <v>188</v>
      </c>
      <c r="D70" s="21" t="s">
        <v>24</v>
      </c>
      <c r="E70" s="21" t="s">
        <v>34</v>
      </c>
      <c r="F70" s="21" t="s">
        <v>1647</v>
      </c>
      <c r="G70" s="16" t="s">
        <v>36</v>
      </c>
      <c r="H70" s="16" t="s">
        <v>37</v>
      </c>
      <c r="I70" s="16" t="s">
        <v>37</v>
      </c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 t="s">
        <v>28</v>
      </c>
    </row>
    <row r="71" customFormat="false" ht="15.75" hidden="false" customHeight="false" outlineLevel="0" collapsed="false">
      <c r="A71" s="13" t="n">
        <v>7429</v>
      </c>
      <c r="B71" s="14" t="n">
        <v>45127</v>
      </c>
      <c r="C71" s="16" t="s">
        <v>1328</v>
      </c>
      <c r="D71" s="16" t="s">
        <v>24</v>
      </c>
      <c r="E71" s="16" t="s">
        <v>25</v>
      </c>
      <c r="F71" s="16" t="s">
        <v>1648</v>
      </c>
      <c r="G71" s="16" t="s">
        <v>1649</v>
      </c>
      <c r="H71" s="17" t="str">
        <f aca="false">HYPERLINK("https://photos.app.goo.gl/uYZVdqu2EE29VT1M9", "Completo")</f>
        <v>Completo</v>
      </c>
      <c r="I71" s="16" t="s">
        <v>28</v>
      </c>
      <c r="J71" s="16" t="s">
        <v>29</v>
      </c>
      <c r="K71" s="16" t="s">
        <v>29</v>
      </c>
      <c r="L71" s="16" t="s">
        <v>1650</v>
      </c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 t="s">
        <v>28</v>
      </c>
    </row>
    <row r="72" customFormat="false" ht="15.75" hidden="false" customHeight="false" outlineLevel="0" collapsed="false">
      <c r="A72" s="13" t="n">
        <v>7430</v>
      </c>
      <c r="B72" s="14" t="n">
        <v>45127</v>
      </c>
      <c r="C72" s="16" t="s">
        <v>1651</v>
      </c>
      <c r="D72" s="16" t="s">
        <v>24</v>
      </c>
      <c r="E72" s="16" t="s">
        <v>25</v>
      </c>
      <c r="F72" s="16" t="s">
        <v>1652</v>
      </c>
      <c r="G72" s="16"/>
      <c r="H72" s="17" t="str">
        <f aca="false">HYPERLINK("https://photos.app.goo.gl/hEX2A3PFJtkrTPyu6", "Completo")</f>
        <v>Completo</v>
      </c>
      <c r="I72" s="16" t="s">
        <v>28</v>
      </c>
      <c r="J72" s="16" t="s">
        <v>29</v>
      </c>
      <c r="K72" s="16" t="s">
        <v>29</v>
      </c>
      <c r="L72" s="16" t="s">
        <v>1650</v>
      </c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 t="s">
        <v>28</v>
      </c>
    </row>
    <row r="73" customFormat="false" ht="15.75" hidden="false" customHeight="false" outlineLevel="0" collapsed="false">
      <c r="A73" s="13" t="n">
        <v>7431</v>
      </c>
      <c r="B73" s="14" t="n">
        <v>45127</v>
      </c>
      <c r="C73" s="16" t="s">
        <v>1651</v>
      </c>
      <c r="D73" s="16" t="s">
        <v>24</v>
      </c>
      <c r="E73" s="16" t="s">
        <v>25</v>
      </c>
      <c r="F73" s="16" t="s">
        <v>1653</v>
      </c>
      <c r="G73" s="16" t="s">
        <v>1654</v>
      </c>
      <c r="H73" s="17" t="str">
        <f aca="false">HYPERLINK("https://photos.app.goo.gl/p3otbnXrAybmiYK3A", "Completo")</f>
        <v>Completo</v>
      </c>
      <c r="I73" s="16" t="s">
        <v>28</v>
      </c>
      <c r="J73" s="16" t="s">
        <v>29</v>
      </c>
      <c r="K73" s="16" t="s">
        <v>29</v>
      </c>
      <c r="L73" s="16" t="s">
        <v>1650</v>
      </c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 t="s">
        <v>37</v>
      </c>
    </row>
    <row r="74" customFormat="false" ht="15.75" hidden="false" customHeight="false" outlineLevel="0" collapsed="false">
      <c r="A74" s="13" t="n">
        <v>7432</v>
      </c>
      <c r="B74" s="14" t="n">
        <v>45128</v>
      </c>
      <c r="C74" s="16" t="s">
        <v>1655</v>
      </c>
      <c r="D74" s="16" t="s">
        <v>24</v>
      </c>
      <c r="E74" s="16" t="s">
        <v>74</v>
      </c>
      <c r="F74" s="16" t="s">
        <v>1656</v>
      </c>
      <c r="G74" s="16" t="s">
        <v>1657</v>
      </c>
      <c r="H74" s="17" t="str">
        <f aca="false">HYPERLINK("https://photos.app.goo.gl/UubZf5bY4QVB2yHB9", "Completo")</f>
        <v>Completo</v>
      </c>
      <c r="I74" s="16" t="s">
        <v>28</v>
      </c>
      <c r="J74" s="16" t="n">
        <v>3512610889</v>
      </c>
      <c r="K74" s="16" t="s">
        <v>1658</v>
      </c>
      <c r="L74" s="16"/>
      <c r="M74" s="16" t="s">
        <v>1659</v>
      </c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 t="s">
        <v>28</v>
      </c>
    </row>
    <row r="75" customFormat="false" ht="15.75" hidden="false" customHeight="false" outlineLevel="0" collapsed="false">
      <c r="A75" s="13" t="n">
        <v>7433</v>
      </c>
      <c r="B75" s="14" t="n">
        <v>45128</v>
      </c>
      <c r="C75" s="16" t="s">
        <v>867</v>
      </c>
      <c r="D75" s="16" t="s">
        <v>24</v>
      </c>
      <c r="E75" s="16" t="s">
        <v>25</v>
      </c>
      <c r="F75" s="16" t="s">
        <v>1660</v>
      </c>
      <c r="G75" s="16" t="s">
        <v>1661</v>
      </c>
      <c r="H75" s="17" t="str">
        <f aca="false">HYPERLINK("https://photos.app.goo.gl/ZrhJKLT6jbqgVRU49", "Completo")</f>
        <v>Completo</v>
      </c>
      <c r="I75" s="16" t="s">
        <v>28</v>
      </c>
      <c r="J75" s="16" t="s">
        <v>29</v>
      </c>
      <c r="K75" s="16" t="s">
        <v>29</v>
      </c>
      <c r="L75" s="16" t="n">
        <v>488</v>
      </c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 t="s">
        <v>28</v>
      </c>
    </row>
    <row r="76" customFormat="false" ht="15.75" hidden="false" customHeight="false" outlineLevel="0" collapsed="false">
      <c r="A76" s="13" t="n">
        <v>7434</v>
      </c>
      <c r="B76" s="14" t="n">
        <v>45131</v>
      </c>
      <c r="C76" s="16" t="s">
        <v>1135</v>
      </c>
      <c r="D76" s="16" t="s">
        <v>24</v>
      </c>
      <c r="E76" s="16" t="s">
        <v>25</v>
      </c>
      <c r="F76" s="16" t="s">
        <v>886</v>
      </c>
      <c r="G76" s="16"/>
      <c r="H76" s="17" t="str">
        <f aca="false">HYPERLINK("https://photos.app.goo.gl/ywdv2QoQPkfQM6tGA", "Completo")</f>
        <v>Completo</v>
      </c>
      <c r="I76" s="16" t="s">
        <v>28</v>
      </c>
      <c r="J76" s="16" t="s">
        <v>29</v>
      </c>
      <c r="K76" s="16" t="s">
        <v>29</v>
      </c>
      <c r="L76" s="16" t="n">
        <v>7625</v>
      </c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 t="s">
        <v>28</v>
      </c>
    </row>
    <row r="77" customFormat="false" ht="15.75" hidden="false" customHeight="false" outlineLevel="0" collapsed="false">
      <c r="A77" s="21" t="n">
        <v>7435</v>
      </c>
      <c r="B77" s="49" t="n">
        <v>45131</v>
      </c>
      <c r="C77" s="25" t="s">
        <v>1662</v>
      </c>
      <c r="D77" s="25" t="s">
        <v>24</v>
      </c>
      <c r="E77" s="25" t="s">
        <v>25</v>
      </c>
      <c r="F77" s="25" t="s">
        <v>1075</v>
      </c>
      <c r="G77" s="25"/>
      <c r="H77" s="26" t="str">
        <f aca="false">HYPERLINK("https://photos.app.goo.gl/83JuAkhAThceeYCU9", "Completo")</f>
        <v>Completo</v>
      </c>
      <c r="I77" s="25" t="s">
        <v>28</v>
      </c>
      <c r="J77" s="25" t="s">
        <v>1663</v>
      </c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 t="s">
        <v>28</v>
      </c>
    </row>
    <row r="78" customFormat="false" ht="15.75" hidden="false" customHeight="false" outlineLevel="0" collapsed="false">
      <c r="A78" s="13" t="n">
        <v>7436</v>
      </c>
      <c r="B78" s="14" t="n">
        <v>45131</v>
      </c>
      <c r="C78" s="16" t="s">
        <v>872</v>
      </c>
      <c r="D78" s="16" t="s">
        <v>24</v>
      </c>
      <c r="E78" s="16" t="s">
        <v>25</v>
      </c>
      <c r="F78" s="16" t="s">
        <v>1664</v>
      </c>
      <c r="G78" s="16"/>
      <c r="H78" s="17" t="str">
        <f aca="false">HYPERLINK("https://photos.app.goo.gl/SgcR79ePiN9bwRA16", "Completo")</f>
        <v>Completo</v>
      </c>
      <c r="I78" s="16" t="s">
        <v>28</v>
      </c>
      <c r="J78" s="16" t="s">
        <v>29</v>
      </c>
      <c r="K78" s="16" t="s">
        <v>29</v>
      </c>
      <c r="L78" s="23" t="n">
        <v>2633125</v>
      </c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 t="s">
        <v>28</v>
      </c>
    </row>
    <row r="79" customFormat="false" ht="15.75" hidden="false" customHeight="false" outlineLevel="0" collapsed="false">
      <c r="A79" s="13" t="n">
        <v>7437</v>
      </c>
      <c r="B79" s="14" t="n">
        <v>45131</v>
      </c>
      <c r="C79" s="16" t="s">
        <v>841</v>
      </c>
      <c r="D79" s="16" t="s">
        <v>24</v>
      </c>
      <c r="E79" s="16" t="s">
        <v>25</v>
      </c>
      <c r="F79" s="16" t="s">
        <v>1665</v>
      </c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 t="s">
        <v>28</v>
      </c>
    </row>
    <row r="80" customFormat="false" ht="15.75" hidden="false" customHeight="false" outlineLevel="0" collapsed="false">
      <c r="A80" s="13" t="n">
        <v>7438</v>
      </c>
      <c r="B80" s="14" t="n">
        <v>45132</v>
      </c>
      <c r="C80" s="16" t="s">
        <v>1666</v>
      </c>
      <c r="D80" s="16" t="s">
        <v>24</v>
      </c>
      <c r="E80" s="16" t="s">
        <v>25</v>
      </c>
      <c r="F80" s="16" t="s">
        <v>1667</v>
      </c>
      <c r="G80" s="16"/>
      <c r="H80" s="17" t="str">
        <f aca="false">HYPERLINK("https://photos.app.goo.gl/vVG7BKm7mYDaWun1A", "Completo")</f>
        <v>Completo</v>
      </c>
      <c r="I80" s="16" t="s">
        <v>28</v>
      </c>
      <c r="J80" s="16" t="s">
        <v>29</v>
      </c>
      <c r="K80" s="16" t="s">
        <v>29</v>
      </c>
      <c r="L80" s="16" t="n">
        <v>407442</v>
      </c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 t="s">
        <v>28</v>
      </c>
    </row>
    <row r="81" customFormat="false" ht="15.75" hidden="false" customHeight="false" outlineLevel="0" collapsed="false">
      <c r="A81" s="13" t="n">
        <v>7439</v>
      </c>
      <c r="B81" s="14" t="n">
        <v>45132</v>
      </c>
      <c r="C81" s="16" t="s">
        <v>84</v>
      </c>
      <c r="D81" s="16" t="s">
        <v>24</v>
      </c>
      <c r="E81" s="16" t="s">
        <v>34</v>
      </c>
      <c r="F81" s="16" t="s">
        <v>1668</v>
      </c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 t="s">
        <v>28</v>
      </c>
    </row>
    <row r="82" customFormat="false" ht="15.75" hidden="false" customHeight="false" outlineLevel="0" collapsed="false">
      <c r="A82" s="13" t="n">
        <v>7440</v>
      </c>
      <c r="B82" s="14" t="n">
        <v>45132</v>
      </c>
      <c r="C82" s="16" t="s">
        <v>1669</v>
      </c>
      <c r="D82" s="16" t="s">
        <v>24</v>
      </c>
      <c r="E82" s="16" t="s">
        <v>34</v>
      </c>
      <c r="F82" s="16" t="s">
        <v>1670</v>
      </c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 t="s">
        <v>28</v>
      </c>
    </row>
    <row r="83" customFormat="false" ht="15.75" hidden="false" customHeight="false" outlineLevel="0" collapsed="false">
      <c r="A83" s="44" t="n">
        <v>1386463</v>
      </c>
      <c r="B83" s="14" t="n">
        <v>45133</v>
      </c>
      <c r="C83" s="16" t="s">
        <v>412</v>
      </c>
      <c r="D83" s="16" t="s">
        <v>290</v>
      </c>
      <c r="E83" s="16" t="s">
        <v>25</v>
      </c>
      <c r="F83" s="16" t="s">
        <v>1671</v>
      </c>
      <c r="G83" s="16" t="s">
        <v>29</v>
      </c>
      <c r="H83" s="17" t="str">
        <f aca="false">HYPERLINK("https://photos.app.goo.gl/EatxwFVNHpcQDGQC8", "Completo")</f>
        <v>Completo</v>
      </c>
      <c r="I83" s="16" t="s">
        <v>28</v>
      </c>
      <c r="J83" s="16" t="s">
        <v>29</v>
      </c>
      <c r="K83" s="16" t="s">
        <v>29</v>
      </c>
      <c r="L83" s="16" t="n">
        <v>17119</v>
      </c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 t="s">
        <v>28</v>
      </c>
    </row>
    <row r="84" customFormat="false" ht="15.75" hidden="false" customHeight="false" outlineLevel="0" collapsed="false">
      <c r="A84" s="13" t="n">
        <v>7441</v>
      </c>
      <c r="B84" s="14" t="n">
        <v>45134</v>
      </c>
      <c r="C84" s="16" t="s">
        <v>1672</v>
      </c>
      <c r="D84" s="16" t="s">
        <v>24</v>
      </c>
      <c r="E84" s="16" t="s">
        <v>34</v>
      </c>
      <c r="F84" s="16" t="s">
        <v>1673</v>
      </c>
      <c r="G84" s="16" t="s">
        <v>1674</v>
      </c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 t="s">
        <v>28</v>
      </c>
    </row>
    <row r="85" customFormat="false" ht="15.75" hidden="false" customHeight="false" outlineLevel="0" collapsed="false">
      <c r="A85" s="13" t="n">
        <v>7442</v>
      </c>
      <c r="B85" s="14" t="n">
        <v>45134</v>
      </c>
      <c r="C85" s="16" t="s">
        <v>1672</v>
      </c>
      <c r="D85" s="16" t="s">
        <v>24</v>
      </c>
      <c r="E85" s="16" t="s">
        <v>34</v>
      </c>
      <c r="F85" s="16" t="s">
        <v>1673</v>
      </c>
      <c r="G85" s="16" t="s">
        <v>1675</v>
      </c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 t="s">
        <v>28</v>
      </c>
    </row>
    <row r="86" customFormat="false" ht="15.75" hidden="false" customHeight="false" outlineLevel="0" collapsed="false">
      <c r="A86" s="13" t="n">
        <v>7443</v>
      </c>
      <c r="B86" s="14" t="n">
        <v>45134</v>
      </c>
      <c r="C86" s="16" t="s">
        <v>1672</v>
      </c>
      <c r="D86" s="16" t="s">
        <v>24</v>
      </c>
      <c r="E86" s="16" t="s">
        <v>34</v>
      </c>
      <c r="F86" s="16" t="s">
        <v>1673</v>
      </c>
      <c r="G86" s="16" t="s">
        <v>1674</v>
      </c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 t="s">
        <v>28</v>
      </c>
    </row>
    <row r="87" customFormat="false" ht="15.75" hidden="false" customHeight="false" outlineLevel="0" collapsed="false">
      <c r="A87" s="13" t="n">
        <v>7444</v>
      </c>
      <c r="B87" s="14" t="n">
        <v>45134</v>
      </c>
      <c r="C87" s="16" t="s">
        <v>1672</v>
      </c>
      <c r="D87" s="16" t="s">
        <v>24</v>
      </c>
      <c r="E87" s="16" t="s">
        <v>34</v>
      </c>
      <c r="F87" s="16" t="s">
        <v>1673</v>
      </c>
      <c r="G87" s="16" t="s">
        <v>1675</v>
      </c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 t="s">
        <v>28</v>
      </c>
    </row>
    <row r="88" customFormat="false" ht="15.75" hidden="false" customHeight="false" outlineLevel="0" collapsed="false">
      <c r="A88" s="13" t="n">
        <v>7445</v>
      </c>
      <c r="B88" s="14" t="n">
        <v>45134</v>
      </c>
      <c r="C88" s="16" t="s">
        <v>841</v>
      </c>
      <c r="D88" s="16" t="s">
        <v>24</v>
      </c>
      <c r="E88" s="16" t="s">
        <v>34</v>
      </c>
      <c r="F88" s="16" t="s">
        <v>1676</v>
      </c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 t="s">
        <v>28</v>
      </c>
    </row>
    <row r="89" customFormat="false" ht="15.75" hidden="false" customHeight="false" outlineLevel="0" collapsed="false">
      <c r="A89" s="13" t="n">
        <v>7446</v>
      </c>
      <c r="B89" s="14" t="n">
        <v>45134</v>
      </c>
      <c r="C89" s="16" t="s">
        <v>841</v>
      </c>
      <c r="D89" s="16" t="s">
        <v>24</v>
      </c>
      <c r="E89" s="16" t="s">
        <v>34</v>
      </c>
      <c r="F89" s="16" t="s">
        <v>1676</v>
      </c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 t="s">
        <v>28</v>
      </c>
    </row>
    <row r="90" customFormat="false" ht="15.75" hidden="false" customHeight="false" outlineLevel="0" collapsed="false">
      <c r="A90" s="13" t="n">
        <v>7447</v>
      </c>
      <c r="B90" s="14" t="n">
        <v>45134</v>
      </c>
      <c r="C90" s="16" t="s">
        <v>841</v>
      </c>
      <c r="D90" s="16" t="s">
        <v>24</v>
      </c>
      <c r="E90" s="16" t="s">
        <v>34</v>
      </c>
      <c r="F90" s="16" t="s">
        <v>1677</v>
      </c>
      <c r="G90" s="16" t="s">
        <v>1678</v>
      </c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 t="s">
        <v>28</v>
      </c>
    </row>
    <row r="91" customFormat="false" ht="15.75" hidden="false" customHeight="false" outlineLevel="0" collapsed="false">
      <c r="A91" s="13" t="n">
        <v>7448</v>
      </c>
      <c r="B91" s="14" t="n">
        <v>45134</v>
      </c>
      <c r="C91" s="16" t="s">
        <v>841</v>
      </c>
      <c r="D91" s="16" t="s">
        <v>24</v>
      </c>
      <c r="E91" s="16" t="s">
        <v>34</v>
      </c>
      <c r="F91" s="16" t="s">
        <v>1677</v>
      </c>
      <c r="G91" s="16" t="s">
        <v>1678</v>
      </c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 t="s">
        <v>28</v>
      </c>
    </row>
    <row r="92" customFormat="false" ht="15.75" hidden="false" customHeight="false" outlineLevel="0" collapsed="false">
      <c r="A92" s="13" t="n">
        <v>7449</v>
      </c>
      <c r="B92" s="14" t="n">
        <v>45134</v>
      </c>
      <c r="C92" s="16" t="s">
        <v>841</v>
      </c>
      <c r="D92" s="16" t="s">
        <v>24</v>
      </c>
      <c r="E92" s="16" t="s">
        <v>34</v>
      </c>
      <c r="F92" s="16" t="s">
        <v>1679</v>
      </c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 t="s">
        <v>28</v>
      </c>
    </row>
    <row r="93" customFormat="false" ht="15.75" hidden="false" customHeight="false" outlineLevel="0" collapsed="false">
      <c r="A93" s="13" t="n">
        <v>7450</v>
      </c>
      <c r="B93" s="14" t="n">
        <v>45134</v>
      </c>
      <c r="C93" s="16" t="s">
        <v>841</v>
      </c>
      <c r="D93" s="16" t="s">
        <v>24</v>
      </c>
      <c r="E93" s="16" t="s">
        <v>34</v>
      </c>
      <c r="F93" s="16" t="s">
        <v>1679</v>
      </c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 t="s">
        <v>28</v>
      </c>
    </row>
    <row r="94" customFormat="false" ht="15.75" hidden="false" customHeight="false" outlineLevel="0" collapsed="false">
      <c r="A94" s="21" t="n">
        <v>7451</v>
      </c>
      <c r="B94" s="14" t="n">
        <v>45134</v>
      </c>
      <c r="C94" s="25" t="s">
        <v>84</v>
      </c>
      <c r="D94" s="25" t="s">
        <v>24</v>
      </c>
      <c r="E94" s="25" t="s">
        <v>25</v>
      </c>
      <c r="F94" s="25" t="s">
        <v>1680</v>
      </c>
      <c r="G94" s="25"/>
      <c r="H94" s="26" t="str">
        <f aca="false">HYPERLINK("https://photos.app.goo.gl/4bMMbZVkpUgm8e6LA", "Completo")</f>
        <v>Completo</v>
      </c>
      <c r="I94" s="25" t="s">
        <v>28</v>
      </c>
      <c r="J94" s="25" t="s">
        <v>29</v>
      </c>
      <c r="K94" s="25" t="s">
        <v>29</v>
      </c>
      <c r="L94" s="25" t="s">
        <v>29</v>
      </c>
      <c r="M94" s="25" t="s">
        <v>1681</v>
      </c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 t="s">
        <v>28</v>
      </c>
    </row>
    <row r="95" customFormat="false" ht="15.75" hidden="false" customHeight="false" outlineLevel="0" collapsed="false">
      <c r="A95" s="13" t="n">
        <v>7452</v>
      </c>
      <c r="B95" s="14" t="n">
        <v>45135</v>
      </c>
      <c r="C95" s="16" t="s">
        <v>1628</v>
      </c>
      <c r="D95" s="16" t="s">
        <v>24</v>
      </c>
      <c r="E95" s="16" t="s">
        <v>34</v>
      </c>
      <c r="F95" s="16" t="s">
        <v>1682</v>
      </c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 t="s">
        <v>28</v>
      </c>
    </row>
    <row r="96" customFormat="false" ht="15.75" hidden="false" customHeight="false" outlineLevel="0" collapsed="false">
      <c r="A96" s="13" t="n">
        <v>7453</v>
      </c>
      <c r="B96" s="14" t="n">
        <v>45135</v>
      </c>
      <c r="C96" s="16" t="s">
        <v>904</v>
      </c>
      <c r="D96" s="16" t="s">
        <v>24</v>
      </c>
      <c r="E96" s="16" t="s">
        <v>25</v>
      </c>
      <c r="F96" s="16" t="s">
        <v>1683</v>
      </c>
      <c r="G96" s="16" t="s">
        <v>1684</v>
      </c>
      <c r="H96" s="17" t="str">
        <f aca="false">HYPERLINK("https://photos.app.goo.gl/ehh8M8wjm3XuR9c96", "Completo")</f>
        <v>Completo</v>
      </c>
      <c r="I96" s="16" t="s">
        <v>28</v>
      </c>
      <c r="J96" s="16" t="s">
        <v>1179</v>
      </c>
      <c r="K96" s="16" t="s">
        <v>1179</v>
      </c>
      <c r="L96" s="16" t="n">
        <v>1271</v>
      </c>
      <c r="M96" s="16" t="s">
        <v>1685</v>
      </c>
      <c r="N96" s="16"/>
      <c r="O96" s="16"/>
      <c r="P96" s="16"/>
      <c r="Q96" s="16"/>
      <c r="R96" s="16"/>
      <c r="S96" s="16"/>
      <c r="T96" s="16" t="s">
        <v>74</v>
      </c>
      <c r="U96" s="17" t="s">
        <v>28</v>
      </c>
      <c r="V96" s="17" t="s">
        <v>28</v>
      </c>
      <c r="W96" s="16" t="s">
        <v>36</v>
      </c>
      <c r="X96" s="16" t="s">
        <v>28</v>
      </c>
    </row>
    <row r="97" customFormat="false" ht="15.75" hidden="false" customHeight="false" outlineLevel="0" collapsed="false">
      <c r="A97" s="13" t="n">
        <v>7454</v>
      </c>
      <c r="B97" s="14" t="n">
        <v>45138</v>
      </c>
      <c r="C97" s="16" t="s">
        <v>1290</v>
      </c>
      <c r="D97" s="16" t="s">
        <v>24</v>
      </c>
      <c r="E97" s="16" t="s">
        <v>25</v>
      </c>
      <c r="F97" s="16" t="s">
        <v>1686</v>
      </c>
      <c r="G97" s="16" t="s">
        <v>1687</v>
      </c>
      <c r="H97" s="17" t="str">
        <f aca="false">HYPERLINK("https://photos.app.goo.gl/JYjUFtHb3P9MVVPM7", "Completo")</f>
        <v>Completo</v>
      </c>
      <c r="I97" s="16" t="s">
        <v>28</v>
      </c>
      <c r="J97" s="16" t="s">
        <v>29</v>
      </c>
      <c r="K97" s="16" t="s">
        <v>29</v>
      </c>
      <c r="L97" s="16" t="s">
        <v>29</v>
      </c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 t="s">
        <v>28</v>
      </c>
    </row>
    <row r="98" customFormat="false" ht="15.75" hidden="false" customHeight="false" outlineLevel="0" collapsed="false">
      <c r="A98" s="13"/>
      <c r="B98" s="14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</row>
    <row r="99" customFormat="false" ht="15.75" hidden="false" customHeight="false" outlineLevel="0" collapsed="false">
      <c r="A99" s="13"/>
      <c r="B99" s="14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</row>
    <row r="100" customFormat="false" ht="15.75" hidden="false" customHeight="false" outlineLevel="0" collapsed="false">
      <c r="A100" s="13"/>
      <c r="B100" s="14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</row>
    <row r="101" customFormat="false" ht="15.75" hidden="false" customHeight="false" outlineLevel="0" collapsed="false">
      <c r="A101" s="13"/>
      <c r="B101" s="14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</row>
    <row r="102" customFormat="false" ht="15.75" hidden="false" customHeight="false" outlineLevel="0" collapsed="false">
      <c r="A102" s="13"/>
      <c r="B102" s="14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</row>
    <row r="103" customFormat="false" ht="15.75" hidden="false" customHeight="false" outlineLevel="0" collapsed="false">
      <c r="A103" s="13"/>
      <c r="B103" s="14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</row>
    <row r="104" customFormat="false" ht="15.75" hidden="false" customHeight="false" outlineLevel="0" collapsed="false">
      <c r="A104" s="13"/>
      <c r="B104" s="14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</row>
    <row r="105" customFormat="false" ht="15.75" hidden="false" customHeight="false" outlineLevel="0" collapsed="false">
      <c r="A105" s="13"/>
      <c r="B105" s="14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</row>
    <row r="106" customFormat="false" ht="15.75" hidden="false" customHeight="false" outlineLevel="0" collapsed="false">
      <c r="A106" s="13"/>
      <c r="B106" s="14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</row>
    <row r="107" customFormat="false" ht="15.75" hidden="false" customHeight="false" outlineLevel="0" collapsed="false">
      <c r="A107" s="13"/>
      <c r="B107" s="14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</row>
    <row r="108" customFormat="false" ht="15.75" hidden="false" customHeight="false" outlineLevel="0" collapsed="false">
      <c r="A108" s="13"/>
      <c r="B108" s="14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</row>
    <row r="109" customFormat="false" ht="15.75" hidden="false" customHeight="false" outlineLevel="0" collapsed="false">
      <c r="A109" s="13"/>
      <c r="B109" s="14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</row>
    <row r="110" customFormat="false" ht="15.75" hidden="false" customHeight="false" outlineLevel="0" collapsed="false">
      <c r="A110" s="13"/>
      <c r="B110" s="14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</row>
    <row r="111" customFormat="false" ht="15.75" hidden="false" customHeight="false" outlineLevel="0" collapsed="false">
      <c r="A111" s="12"/>
      <c r="B111" s="34"/>
      <c r="C111" s="12"/>
      <c r="D111" s="12"/>
      <c r="E111" s="12"/>
      <c r="F111" s="12"/>
      <c r="G111" s="18"/>
      <c r="H111" s="35"/>
      <c r="I111" s="12"/>
      <c r="M111" s="12"/>
      <c r="N111" s="18"/>
      <c r="O111" s="12"/>
      <c r="P111" s="12"/>
      <c r="Q111" s="12"/>
      <c r="R111" s="36"/>
      <c r="S111" s="36"/>
      <c r="T111" s="12"/>
      <c r="U111" s="12"/>
      <c r="V111" s="12"/>
      <c r="W111" s="12"/>
      <c r="X111" s="12"/>
    </row>
    <row r="112" customFormat="false" ht="15.75" hidden="false" customHeight="false" outlineLevel="0" collapsed="false">
      <c r="A112" s="12"/>
      <c r="B112" s="34"/>
      <c r="C112" s="12"/>
      <c r="D112" s="12"/>
      <c r="E112" s="12"/>
      <c r="F112" s="12"/>
      <c r="G112" s="18"/>
      <c r="H112" s="35"/>
      <c r="I112" s="12"/>
      <c r="M112" s="12"/>
      <c r="N112" s="18"/>
      <c r="O112" s="12"/>
      <c r="P112" s="12"/>
      <c r="Q112" s="12"/>
      <c r="R112" s="36"/>
      <c r="S112" s="36"/>
      <c r="T112" s="12"/>
      <c r="U112" s="12"/>
      <c r="V112" s="12"/>
      <c r="W112" s="12"/>
      <c r="X112" s="12"/>
    </row>
    <row r="113" customFormat="false" ht="15.75" hidden="false" customHeight="false" outlineLevel="0" collapsed="false">
      <c r="A113" s="12"/>
      <c r="B113" s="34"/>
      <c r="C113" s="12"/>
      <c r="D113" s="12"/>
      <c r="E113" s="12"/>
      <c r="F113" s="12"/>
      <c r="G113" s="18"/>
      <c r="H113" s="35"/>
      <c r="I113" s="12"/>
      <c r="M113" s="12"/>
      <c r="N113" s="18"/>
      <c r="O113" s="12"/>
      <c r="P113" s="12"/>
      <c r="Q113" s="12"/>
      <c r="R113" s="36"/>
      <c r="S113" s="36"/>
      <c r="T113" s="12"/>
      <c r="U113" s="12"/>
      <c r="V113" s="12"/>
      <c r="W113" s="12"/>
      <c r="X113" s="12"/>
    </row>
    <row r="114" customFormat="false" ht="15.75" hidden="false" customHeight="false" outlineLevel="0" collapsed="false">
      <c r="A114" s="12"/>
      <c r="B114" s="34"/>
      <c r="C114" s="12"/>
      <c r="D114" s="12"/>
      <c r="E114" s="12"/>
      <c r="F114" s="12"/>
      <c r="G114" s="18"/>
      <c r="H114" s="35"/>
      <c r="I114" s="12"/>
      <c r="M114" s="12"/>
      <c r="N114" s="18"/>
      <c r="O114" s="12"/>
      <c r="P114" s="12"/>
      <c r="Q114" s="12"/>
      <c r="R114" s="36"/>
      <c r="S114" s="36"/>
      <c r="T114" s="12"/>
      <c r="U114" s="12"/>
      <c r="V114" s="12"/>
      <c r="W114" s="12"/>
      <c r="X114" s="12"/>
    </row>
    <row r="115" customFormat="false" ht="15.75" hidden="false" customHeight="false" outlineLevel="0" collapsed="false">
      <c r="A115" s="12"/>
      <c r="B115" s="34"/>
      <c r="C115" s="12"/>
      <c r="D115" s="12"/>
      <c r="E115" s="12"/>
      <c r="F115" s="12"/>
      <c r="G115" s="18"/>
      <c r="H115" s="35"/>
      <c r="I115" s="12"/>
      <c r="M115" s="12"/>
      <c r="N115" s="18"/>
      <c r="O115" s="12"/>
      <c r="P115" s="12"/>
      <c r="Q115" s="12"/>
      <c r="R115" s="36"/>
      <c r="S115" s="36"/>
      <c r="T115" s="12"/>
      <c r="U115" s="12"/>
      <c r="V115" s="12"/>
      <c r="W115" s="12"/>
      <c r="X115" s="12"/>
    </row>
    <row r="116" customFormat="false" ht="15.75" hidden="false" customHeight="false" outlineLevel="0" collapsed="false">
      <c r="A116" s="12"/>
      <c r="B116" s="34"/>
      <c r="C116" s="12"/>
      <c r="D116" s="12"/>
      <c r="E116" s="12"/>
      <c r="F116" s="12"/>
      <c r="G116" s="18"/>
      <c r="H116" s="35"/>
      <c r="I116" s="12"/>
      <c r="M116" s="12"/>
      <c r="N116" s="18"/>
      <c r="O116" s="12"/>
      <c r="P116" s="12"/>
      <c r="Q116" s="12"/>
      <c r="R116" s="36"/>
      <c r="S116" s="36"/>
      <c r="T116" s="12"/>
      <c r="U116" s="12"/>
      <c r="V116" s="12"/>
      <c r="W116" s="12"/>
      <c r="X116" s="12"/>
    </row>
    <row r="117" customFormat="false" ht="15.75" hidden="false" customHeight="false" outlineLevel="0" collapsed="false">
      <c r="A117" s="12"/>
      <c r="B117" s="34"/>
      <c r="C117" s="12"/>
      <c r="D117" s="12"/>
      <c r="E117" s="12"/>
      <c r="F117" s="12"/>
      <c r="G117" s="18"/>
      <c r="H117" s="35"/>
      <c r="I117" s="12"/>
      <c r="M117" s="12"/>
      <c r="N117" s="18"/>
      <c r="O117" s="12"/>
      <c r="P117" s="12"/>
      <c r="Q117" s="12"/>
      <c r="R117" s="36"/>
      <c r="S117" s="36"/>
      <c r="T117" s="12"/>
      <c r="U117" s="12"/>
      <c r="V117" s="12"/>
      <c r="W117" s="12"/>
      <c r="X117" s="12"/>
    </row>
    <row r="118" customFormat="false" ht="15.75" hidden="false" customHeight="false" outlineLevel="0" collapsed="false">
      <c r="A118" s="12"/>
      <c r="B118" s="34"/>
      <c r="C118" s="12"/>
      <c r="D118" s="12"/>
      <c r="E118" s="12"/>
      <c r="F118" s="12"/>
      <c r="G118" s="18"/>
      <c r="H118" s="35"/>
      <c r="I118" s="12"/>
      <c r="M118" s="12"/>
      <c r="N118" s="18"/>
      <c r="O118" s="12"/>
      <c r="P118" s="12"/>
      <c r="Q118" s="12"/>
      <c r="R118" s="36"/>
      <c r="S118" s="36"/>
      <c r="T118" s="12"/>
      <c r="U118" s="12"/>
      <c r="V118" s="12"/>
      <c r="W118" s="12"/>
      <c r="X118" s="12"/>
    </row>
    <row r="119" customFormat="false" ht="15.75" hidden="false" customHeight="false" outlineLevel="0" collapsed="false">
      <c r="A119" s="12"/>
      <c r="B119" s="34"/>
      <c r="C119" s="12"/>
      <c r="D119" s="12"/>
      <c r="E119" s="12"/>
      <c r="F119" s="12"/>
      <c r="G119" s="18"/>
      <c r="H119" s="35"/>
      <c r="I119" s="12"/>
      <c r="M119" s="12"/>
      <c r="N119" s="18"/>
      <c r="O119" s="12"/>
      <c r="P119" s="12"/>
      <c r="Q119" s="12"/>
      <c r="R119" s="36"/>
      <c r="S119" s="36"/>
      <c r="T119" s="12"/>
      <c r="U119" s="12"/>
      <c r="V119" s="12"/>
      <c r="W119" s="12"/>
      <c r="X119" s="12"/>
    </row>
    <row r="120" customFormat="false" ht="15.75" hidden="false" customHeight="false" outlineLevel="0" collapsed="false">
      <c r="A120" s="12"/>
      <c r="B120" s="34"/>
      <c r="C120" s="12"/>
      <c r="D120" s="12"/>
      <c r="E120" s="12"/>
      <c r="F120" s="12"/>
      <c r="G120" s="18"/>
      <c r="H120" s="35"/>
      <c r="I120" s="12"/>
      <c r="M120" s="12"/>
      <c r="N120" s="18"/>
      <c r="O120" s="12"/>
      <c r="P120" s="12"/>
      <c r="Q120" s="12"/>
      <c r="R120" s="36"/>
      <c r="S120" s="36"/>
      <c r="T120" s="12"/>
      <c r="U120" s="12"/>
      <c r="V120" s="12"/>
      <c r="W120" s="12"/>
      <c r="X120" s="12"/>
    </row>
    <row r="121" customFormat="false" ht="15.75" hidden="false" customHeight="false" outlineLevel="0" collapsed="false">
      <c r="A121" s="12"/>
      <c r="B121" s="34"/>
      <c r="C121" s="12"/>
      <c r="D121" s="12"/>
      <c r="E121" s="12"/>
      <c r="F121" s="12"/>
      <c r="G121" s="18"/>
      <c r="H121" s="35"/>
      <c r="I121" s="12"/>
      <c r="M121" s="12"/>
      <c r="N121" s="18"/>
      <c r="O121" s="12"/>
      <c r="P121" s="12"/>
      <c r="Q121" s="12"/>
      <c r="R121" s="36"/>
      <c r="S121" s="36"/>
      <c r="T121" s="12"/>
      <c r="U121" s="12"/>
      <c r="V121" s="12"/>
      <c r="W121" s="12"/>
      <c r="X121" s="12"/>
    </row>
    <row r="122" customFormat="false" ht="15.75" hidden="false" customHeight="false" outlineLevel="0" collapsed="false">
      <c r="A122" s="12"/>
      <c r="B122" s="34"/>
      <c r="C122" s="12"/>
      <c r="D122" s="12"/>
      <c r="E122" s="12"/>
      <c r="F122" s="12"/>
      <c r="G122" s="18"/>
      <c r="H122" s="35"/>
      <c r="I122" s="12"/>
      <c r="M122" s="12"/>
      <c r="N122" s="18"/>
      <c r="O122" s="12"/>
      <c r="P122" s="12"/>
      <c r="Q122" s="12"/>
      <c r="R122" s="36"/>
      <c r="S122" s="36"/>
      <c r="T122" s="12"/>
      <c r="U122" s="12"/>
      <c r="V122" s="12"/>
      <c r="W122" s="12"/>
      <c r="X122" s="12"/>
    </row>
    <row r="123" customFormat="false" ht="15.75" hidden="false" customHeight="false" outlineLevel="0" collapsed="false">
      <c r="A123" s="12"/>
      <c r="B123" s="34"/>
      <c r="C123" s="12"/>
      <c r="D123" s="12"/>
      <c r="E123" s="12"/>
      <c r="F123" s="12"/>
      <c r="G123" s="18"/>
      <c r="H123" s="35"/>
      <c r="I123" s="12"/>
      <c r="M123" s="12"/>
      <c r="N123" s="18"/>
      <c r="O123" s="12"/>
      <c r="P123" s="12"/>
      <c r="Q123" s="12"/>
      <c r="R123" s="36"/>
      <c r="S123" s="36"/>
      <c r="T123" s="12"/>
      <c r="U123" s="12"/>
      <c r="V123" s="12"/>
      <c r="W123" s="12"/>
      <c r="X123" s="12"/>
    </row>
    <row r="124" customFormat="false" ht="15.75" hidden="false" customHeight="false" outlineLevel="0" collapsed="false">
      <c r="A124" s="12"/>
      <c r="B124" s="34"/>
      <c r="C124" s="12"/>
      <c r="D124" s="12"/>
      <c r="E124" s="12"/>
      <c r="F124" s="12"/>
      <c r="G124" s="18"/>
      <c r="H124" s="35"/>
      <c r="I124" s="12"/>
      <c r="M124" s="12"/>
      <c r="N124" s="18"/>
      <c r="O124" s="12"/>
      <c r="P124" s="12"/>
      <c r="Q124" s="12"/>
      <c r="R124" s="36"/>
      <c r="S124" s="36"/>
      <c r="T124" s="12"/>
      <c r="U124" s="12"/>
      <c r="V124" s="12"/>
      <c r="W124" s="12"/>
      <c r="X124" s="12"/>
    </row>
    <row r="125" customFormat="false" ht="15.75" hidden="false" customHeight="false" outlineLevel="0" collapsed="false">
      <c r="A125" s="12"/>
      <c r="B125" s="34"/>
      <c r="C125" s="12"/>
      <c r="D125" s="12"/>
      <c r="E125" s="12"/>
      <c r="F125" s="12"/>
      <c r="G125" s="18"/>
      <c r="H125" s="35"/>
      <c r="I125" s="12"/>
      <c r="M125" s="12"/>
      <c r="N125" s="18"/>
      <c r="O125" s="12"/>
      <c r="P125" s="12"/>
      <c r="Q125" s="12"/>
      <c r="R125" s="36"/>
      <c r="S125" s="36"/>
      <c r="T125" s="12"/>
      <c r="U125" s="12"/>
      <c r="V125" s="12"/>
      <c r="W125" s="12"/>
      <c r="X125" s="12"/>
    </row>
    <row r="126" customFormat="false" ht="15.75" hidden="false" customHeight="false" outlineLevel="0" collapsed="false">
      <c r="A126" s="12"/>
      <c r="B126" s="34"/>
      <c r="C126" s="12"/>
      <c r="D126" s="12"/>
      <c r="E126" s="12"/>
      <c r="F126" s="12"/>
      <c r="G126" s="18"/>
      <c r="H126" s="35"/>
      <c r="I126" s="12"/>
      <c r="M126" s="12"/>
      <c r="N126" s="18"/>
      <c r="O126" s="12"/>
      <c r="P126" s="12"/>
      <c r="Q126" s="12"/>
      <c r="R126" s="36"/>
      <c r="S126" s="36"/>
      <c r="T126" s="12"/>
      <c r="U126" s="12"/>
      <c r="V126" s="12"/>
      <c r="W126" s="12"/>
      <c r="X126" s="12"/>
    </row>
    <row r="127" customFormat="false" ht="15.75" hidden="false" customHeight="false" outlineLevel="0" collapsed="false">
      <c r="A127" s="12"/>
      <c r="B127" s="34"/>
      <c r="C127" s="12"/>
      <c r="D127" s="12"/>
      <c r="E127" s="12"/>
      <c r="F127" s="12"/>
      <c r="G127" s="18"/>
      <c r="H127" s="35"/>
      <c r="I127" s="12"/>
      <c r="M127" s="12"/>
      <c r="N127" s="18"/>
      <c r="O127" s="12"/>
      <c r="P127" s="12"/>
      <c r="Q127" s="12"/>
      <c r="R127" s="36"/>
      <c r="S127" s="36"/>
      <c r="T127" s="12"/>
      <c r="U127" s="12"/>
      <c r="V127" s="12"/>
      <c r="W127" s="12"/>
      <c r="X127" s="12"/>
    </row>
    <row r="128" customFormat="false" ht="15.75" hidden="false" customHeight="false" outlineLevel="0" collapsed="false">
      <c r="A128" s="12"/>
      <c r="B128" s="34"/>
      <c r="C128" s="12"/>
      <c r="D128" s="12"/>
      <c r="E128" s="12"/>
      <c r="F128" s="12"/>
      <c r="G128" s="18"/>
      <c r="H128" s="35"/>
      <c r="I128" s="12"/>
      <c r="M128" s="12"/>
      <c r="N128" s="18"/>
      <c r="O128" s="12"/>
      <c r="P128" s="12"/>
      <c r="Q128" s="12"/>
      <c r="R128" s="36"/>
      <c r="S128" s="36"/>
      <c r="T128" s="12"/>
      <c r="U128" s="12"/>
      <c r="V128" s="12"/>
      <c r="W128" s="12"/>
      <c r="X128" s="12"/>
    </row>
    <row r="129" customFormat="false" ht="15.75" hidden="false" customHeight="false" outlineLevel="0" collapsed="false">
      <c r="A129" s="12"/>
      <c r="B129" s="34"/>
      <c r="C129" s="12"/>
      <c r="D129" s="12"/>
      <c r="E129" s="12"/>
      <c r="F129" s="12"/>
      <c r="G129" s="18"/>
      <c r="H129" s="35"/>
      <c r="I129" s="12"/>
      <c r="M129" s="12"/>
      <c r="N129" s="18"/>
      <c r="O129" s="12"/>
      <c r="P129" s="12"/>
      <c r="Q129" s="12"/>
      <c r="R129" s="36"/>
      <c r="S129" s="36"/>
      <c r="T129" s="12"/>
      <c r="U129" s="12"/>
      <c r="V129" s="12"/>
      <c r="W129" s="12"/>
      <c r="X129" s="12"/>
    </row>
    <row r="130" customFormat="false" ht="15.75" hidden="false" customHeight="false" outlineLevel="0" collapsed="false">
      <c r="A130" s="12"/>
      <c r="B130" s="34"/>
      <c r="C130" s="12"/>
      <c r="D130" s="12"/>
      <c r="E130" s="12"/>
      <c r="F130" s="12"/>
      <c r="G130" s="18"/>
      <c r="H130" s="35"/>
      <c r="I130" s="12"/>
      <c r="M130" s="12"/>
      <c r="N130" s="18"/>
      <c r="O130" s="12"/>
      <c r="P130" s="12"/>
      <c r="Q130" s="12"/>
      <c r="R130" s="36"/>
      <c r="S130" s="36"/>
      <c r="T130" s="12"/>
      <c r="U130" s="12"/>
      <c r="V130" s="12"/>
      <c r="W130" s="12"/>
      <c r="X130" s="12"/>
    </row>
    <row r="131" customFormat="false" ht="15.75" hidden="false" customHeight="false" outlineLevel="0" collapsed="false">
      <c r="A131" s="12"/>
      <c r="B131" s="34"/>
      <c r="C131" s="12"/>
      <c r="D131" s="12"/>
      <c r="E131" s="12"/>
      <c r="F131" s="12"/>
      <c r="G131" s="18"/>
      <c r="H131" s="35"/>
      <c r="I131" s="12"/>
      <c r="M131" s="12"/>
      <c r="N131" s="18"/>
      <c r="O131" s="12"/>
      <c r="P131" s="12"/>
      <c r="Q131" s="12"/>
      <c r="R131" s="36"/>
      <c r="S131" s="36"/>
      <c r="T131" s="12"/>
      <c r="U131" s="12"/>
      <c r="V131" s="12"/>
      <c r="W131" s="12"/>
      <c r="X131" s="12"/>
    </row>
    <row r="132" customFormat="false" ht="15.75" hidden="false" customHeight="false" outlineLevel="0" collapsed="false">
      <c r="A132" s="12"/>
      <c r="B132" s="34"/>
      <c r="C132" s="12"/>
      <c r="D132" s="12"/>
      <c r="E132" s="12"/>
      <c r="F132" s="12"/>
      <c r="G132" s="18"/>
      <c r="H132" s="35"/>
      <c r="I132" s="12"/>
      <c r="M132" s="12"/>
      <c r="N132" s="18"/>
      <c r="O132" s="12"/>
      <c r="P132" s="12"/>
      <c r="Q132" s="12"/>
      <c r="R132" s="36"/>
      <c r="S132" s="36"/>
      <c r="T132" s="12"/>
      <c r="U132" s="12"/>
      <c r="V132" s="12"/>
      <c r="W132" s="12"/>
      <c r="X132" s="12"/>
    </row>
    <row r="133" customFormat="false" ht="15.75" hidden="false" customHeight="false" outlineLevel="0" collapsed="false">
      <c r="A133" s="12"/>
      <c r="B133" s="34"/>
      <c r="C133" s="12"/>
      <c r="D133" s="12"/>
      <c r="E133" s="12"/>
      <c r="F133" s="12"/>
      <c r="G133" s="18"/>
      <c r="H133" s="35"/>
      <c r="I133" s="12"/>
      <c r="M133" s="12"/>
      <c r="N133" s="18"/>
      <c r="O133" s="12"/>
      <c r="P133" s="12"/>
      <c r="Q133" s="12"/>
      <c r="R133" s="36"/>
      <c r="S133" s="36"/>
      <c r="T133" s="12"/>
      <c r="U133" s="12"/>
      <c r="V133" s="12"/>
      <c r="W133" s="12"/>
      <c r="X133" s="12"/>
    </row>
    <row r="134" customFormat="false" ht="15.75" hidden="false" customHeight="false" outlineLevel="0" collapsed="false">
      <c r="A134" s="12"/>
      <c r="B134" s="34"/>
      <c r="C134" s="12"/>
      <c r="D134" s="12"/>
      <c r="E134" s="12"/>
      <c r="F134" s="12"/>
      <c r="G134" s="18"/>
      <c r="H134" s="35"/>
      <c r="I134" s="12"/>
      <c r="M134" s="12"/>
      <c r="N134" s="18"/>
      <c r="O134" s="12"/>
      <c r="P134" s="12"/>
      <c r="Q134" s="12"/>
      <c r="R134" s="36"/>
      <c r="S134" s="36"/>
      <c r="T134" s="12"/>
      <c r="U134" s="12"/>
      <c r="V134" s="12"/>
      <c r="W134" s="12"/>
      <c r="X134" s="12"/>
    </row>
    <row r="135" customFormat="false" ht="15.75" hidden="false" customHeight="false" outlineLevel="0" collapsed="false">
      <c r="A135" s="12"/>
      <c r="B135" s="34"/>
      <c r="C135" s="12"/>
      <c r="D135" s="12"/>
      <c r="E135" s="12"/>
      <c r="F135" s="12"/>
      <c r="G135" s="18"/>
      <c r="H135" s="35"/>
      <c r="I135" s="12"/>
      <c r="M135" s="12"/>
      <c r="N135" s="18"/>
      <c r="O135" s="12"/>
      <c r="P135" s="12"/>
      <c r="Q135" s="12"/>
      <c r="R135" s="36"/>
      <c r="S135" s="36"/>
      <c r="T135" s="12"/>
      <c r="U135" s="12"/>
      <c r="V135" s="12"/>
      <c r="W135" s="12"/>
      <c r="X135" s="12"/>
    </row>
    <row r="136" customFormat="false" ht="15.75" hidden="false" customHeight="false" outlineLevel="0" collapsed="false">
      <c r="A136" s="12"/>
      <c r="B136" s="34"/>
      <c r="C136" s="12"/>
      <c r="D136" s="12"/>
      <c r="E136" s="12"/>
      <c r="F136" s="12"/>
      <c r="G136" s="18"/>
      <c r="H136" s="35"/>
      <c r="I136" s="12"/>
      <c r="M136" s="12"/>
      <c r="N136" s="18"/>
      <c r="O136" s="12"/>
      <c r="P136" s="12"/>
      <c r="Q136" s="12"/>
      <c r="R136" s="36"/>
      <c r="S136" s="36"/>
      <c r="T136" s="12"/>
      <c r="U136" s="12"/>
      <c r="V136" s="12"/>
      <c r="W136" s="12"/>
      <c r="X136" s="12"/>
    </row>
    <row r="137" customFormat="false" ht="15.75" hidden="false" customHeight="false" outlineLevel="0" collapsed="false">
      <c r="A137" s="12"/>
      <c r="B137" s="34"/>
      <c r="C137" s="12"/>
      <c r="D137" s="12"/>
      <c r="E137" s="12"/>
      <c r="F137" s="12"/>
      <c r="G137" s="18"/>
      <c r="H137" s="35"/>
      <c r="I137" s="12"/>
      <c r="M137" s="12"/>
      <c r="N137" s="18"/>
      <c r="O137" s="12"/>
      <c r="P137" s="12"/>
      <c r="Q137" s="12"/>
      <c r="R137" s="36"/>
      <c r="S137" s="36"/>
      <c r="T137" s="12"/>
      <c r="U137" s="12"/>
      <c r="V137" s="12"/>
      <c r="W137" s="12"/>
      <c r="X137" s="12"/>
    </row>
    <row r="138" customFormat="false" ht="15.75" hidden="false" customHeight="false" outlineLevel="0" collapsed="false">
      <c r="A138" s="12"/>
      <c r="B138" s="34"/>
      <c r="C138" s="12"/>
      <c r="D138" s="12"/>
      <c r="E138" s="12"/>
      <c r="F138" s="12"/>
      <c r="G138" s="18"/>
      <c r="H138" s="35"/>
      <c r="I138" s="12"/>
      <c r="M138" s="12"/>
      <c r="N138" s="18"/>
      <c r="O138" s="12"/>
      <c r="P138" s="12"/>
      <c r="Q138" s="12"/>
      <c r="R138" s="36"/>
      <c r="S138" s="36"/>
      <c r="T138" s="12"/>
      <c r="U138" s="12"/>
      <c r="V138" s="12"/>
      <c r="W138" s="12"/>
      <c r="X138" s="12"/>
    </row>
    <row r="139" customFormat="false" ht="15.75" hidden="false" customHeight="false" outlineLevel="0" collapsed="false">
      <c r="A139" s="12"/>
      <c r="B139" s="34"/>
      <c r="C139" s="12"/>
      <c r="D139" s="12"/>
      <c r="E139" s="12"/>
      <c r="F139" s="12"/>
      <c r="G139" s="18"/>
      <c r="H139" s="35"/>
      <c r="I139" s="12"/>
      <c r="M139" s="12"/>
      <c r="N139" s="18"/>
      <c r="O139" s="12"/>
      <c r="P139" s="12"/>
      <c r="Q139" s="12"/>
      <c r="R139" s="36"/>
      <c r="S139" s="36"/>
      <c r="T139" s="12"/>
      <c r="U139" s="12"/>
      <c r="V139" s="12"/>
      <c r="W139" s="12"/>
      <c r="X139" s="12"/>
    </row>
    <row r="140" customFormat="false" ht="15.75" hidden="false" customHeight="false" outlineLevel="0" collapsed="false">
      <c r="A140" s="12"/>
      <c r="B140" s="34"/>
      <c r="C140" s="12"/>
      <c r="D140" s="12"/>
      <c r="E140" s="12"/>
      <c r="F140" s="12"/>
      <c r="G140" s="18"/>
      <c r="H140" s="35"/>
      <c r="I140" s="12"/>
      <c r="M140" s="12"/>
      <c r="N140" s="18"/>
      <c r="O140" s="12"/>
      <c r="P140" s="12"/>
      <c r="Q140" s="12"/>
      <c r="R140" s="36"/>
      <c r="S140" s="36"/>
      <c r="T140" s="12"/>
      <c r="U140" s="12"/>
      <c r="V140" s="12"/>
      <c r="W140" s="12"/>
      <c r="X140" s="12"/>
    </row>
    <row r="141" customFormat="false" ht="15.75" hidden="false" customHeight="false" outlineLevel="0" collapsed="false">
      <c r="A141" s="12"/>
      <c r="B141" s="34"/>
      <c r="C141" s="12"/>
      <c r="D141" s="12"/>
      <c r="E141" s="12"/>
      <c r="F141" s="12"/>
      <c r="G141" s="18"/>
      <c r="H141" s="35"/>
      <c r="I141" s="12"/>
      <c r="M141" s="12"/>
      <c r="N141" s="18"/>
      <c r="O141" s="12"/>
      <c r="P141" s="12"/>
      <c r="Q141" s="12"/>
      <c r="R141" s="36"/>
      <c r="S141" s="36"/>
      <c r="T141" s="12"/>
      <c r="U141" s="12"/>
      <c r="V141" s="12"/>
      <c r="W141" s="12"/>
      <c r="X141" s="12"/>
    </row>
    <row r="142" customFormat="false" ht="15.75" hidden="false" customHeight="false" outlineLevel="0" collapsed="false">
      <c r="A142" s="12"/>
      <c r="B142" s="34"/>
      <c r="C142" s="12"/>
      <c r="D142" s="12"/>
      <c r="E142" s="12"/>
      <c r="F142" s="12"/>
      <c r="G142" s="18"/>
      <c r="H142" s="35"/>
      <c r="I142" s="12"/>
      <c r="M142" s="12"/>
      <c r="N142" s="18"/>
      <c r="O142" s="12"/>
      <c r="P142" s="12"/>
      <c r="Q142" s="12"/>
      <c r="R142" s="36"/>
      <c r="S142" s="36"/>
      <c r="T142" s="12"/>
      <c r="U142" s="12"/>
      <c r="V142" s="12"/>
      <c r="W142" s="12"/>
      <c r="X142" s="12"/>
    </row>
    <row r="143" customFormat="false" ht="15.75" hidden="false" customHeight="false" outlineLevel="0" collapsed="false">
      <c r="A143" s="12"/>
      <c r="B143" s="34"/>
      <c r="C143" s="12"/>
      <c r="D143" s="12"/>
      <c r="E143" s="12"/>
      <c r="F143" s="12"/>
      <c r="G143" s="18"/>
      <c r="H143" s="35"/>
      <c r="I143" s="12"/>
      <c r="M143" s="12"/>
      <c r="N143" s="18"/>
      <c r="O143" s="12"/>
      <c r="P143" s="12"/>
      <c r="Q143" s="12"/>
      <c r="R143" s="36"/>
      <c r="S143" s="36"/>
      <c r="T143" s="12"/>
      <c r="U143" s="12"/>
      <c r="V143" s="12"/>
      <c r="W143" s="12"/>
      <c r="X143" s="12"/>
    </row>
    <row r="144" customFormat="false" ht="15.75" hidden="false" customHeight="false" outlineLevel="0" collapsed="false">
      <c r="A144" s="12"/>
      <c r="B144" s="34"/>
      <c r="C144" s="12"/>
      <c r="D144" s="12"/>
      <c r="E144" s="12"/>
      <c r="F144" s="12"/>
      <c r="G144" s="18"/>
      <c r="H144" s="35"/>
      <c r="I144" s="12"/>
      <c r="M144" s="12"/>
      <c r="N144" s="18"/>
      <c r="O144" s="12"/>
      <c r="P144" s="12"/>
      <c r="Q144" s="12"/>
      <c r="R144" s="36"/>
      <c r="S144" s="36"/>
      <c r="T144" s="12"/>
      <c r="U144" s="12"/>
      <c r="V144" s="12"/>
      <c r="W144" s="12"/>
      <c r="X144" s="12"/>
    </row>
    <row r="145" customFormat="false" ht="15.75" hidden="false" customHeight="false" outlineLevel="0" collapsed="false">
      <c r="A145" s="12"/>
      <c r="B145" s="34"/>
      <c r="C145" s="12"/>
      <c r="D145" s="12"/>
      <c r="E145" s="12"/>
      <c r="F145" s="12"/>
      <c r="G145" s="18"/>
      <c r="H145" s="35"/>
      <c r="I145" s="12"/>
      <c r="M145" s="12"/>
      <c r="N145" s="18"/>
      <c r="O145" s="12"/>
      <c r="P145" s="12"/>
      <c r="Q145" s="12"/>
      <c r="R145" s="36"/>
      <c r="S145" s="36"/>
      <c r="T145" s="12"/>
      <c r="U145" s="12"/>
      <c r="V145" s="12"/>
      <c r="W145" s="12"/>
      <c r="X145" s="12"/>
    </row>
    <row r="146" customFormat="false" ht="15.75" hidden="false" customHeight="false" outlineLevel="0" collapsed="false">
      <c r="A146" s="12"/>
      <c r="B146" s="34"/>
      <c r="C146" s="12"/>
      <c r="D146" s="12"/>
      <c r="E146" s="12"/>
      <c r="F146" s="12"/>
      <c r="G146" s="18"/>
      <c r="H146" s="35"/>
      <c r="I146" s="12"/>
      <c r="M146" s="12"/>
      <c r="N146" s="18"/>
      <c r="O146" s="12"/>
      <c r="P146" s="12"/>
      <c r="Q146" s="12"/>
      <c r="R146" s="36"/>
      <c r="S146" s="36"/>
      <c r="T146" s="12"/>
      <c r="U146" s="12"/>
      <c r="V146" s="12"/>
      <c r="W146" s="12"/>
      <c r="X146" s="12"/>
    </row>
    <row r="147" customFormat="false" ht="15.75" hidden="false" customHeight="false" outlineLevel="0" collapsed="false">
      <c r="A147" s="12"/>
      <c r="B147" s="34"/>
      <c r="C147" s="12"/>
      <c r="D147" s="12"/>
      <c r="E147" s="12"/>
      <c r="F147" s="12"/>
      <c r="G147" s="18"/>
      <c r="H147" s="35"/>
      <c r="I147" s="12"/>
      <c r="M147" s="12"/>
      <c r="N147" s="18"/>
      <c r="O147" s="12"/>
      <c r="P147" s="12"/>
      <c r="Q147" s="12"/>
      <c r="R147" s="36"/>
      <c r="S147" s="36"/>
      <c r="T147" s="12"/>
      <c r="U147" s="12"/>
      <c r="V147" s="12"/>
      <c r="W147" s="12"/>
      <c r="X147" s="12"/>
    </row>
    <row r="148" customFormat="false" ht="15.75" hidden="false" customHeight="false" outlineLevel="0" collapsed="false">
      <c r="A148" s="12"/>
      <c r="B148" s="34"/>
      <c r="C148" s="12"/>
      <c r="D148" s="12"/>
      <c r="E148" s="12"/>
      <c r="F148" s="12"/>
      <c r="G148" s="18"/>
      <c r="H148" s="35"/>
      <c r="I148" s="12"/>
      <c r="M148" s="12"/>
      <c r="N148" s="18"/>
      <c r="O148" s="12"/>
      <c r="P148" s="12"/>
      <c r="Q148" s="12"/>
      <c r="R148" s="36"/>
      <c r="S148" s="36"/>
      <c r="T148" s="12"/>
      <c r="U148" s="12"/>
      <c r="V148" s="12"/>
      <c r="W148" s="12"/>
      <c r="X148" s="12"/>
    </row>
    <row r="149" customFormat="false" ht="15.75" hidden="false" customHeight="false" outlineLevel="0" collapsed="false">
      <c r="A149" s="12"/>
      <c r="B149" s="34"/>
      <c r="C149" s="12"/>
      <c r="D149" s="12"/>
      <c r="E149" s="12"/>
      <c r="F149" s="12"/>
      <c r="G149" s="18"/>
      <c r="H149" s="35"/>
      <c r="I149" s="12"/>
      <c r="M149" s="12"/>
      <c r="N149" s="18"/>
      <c r="O149" s="12"/>
      <c r="P149" s="12"/>
      <c r="Q149" s="12"/>
      <c r="R149" s="36"/>
      <c r="S149" s="36"/>
      <c r="T149" s="12"/>
      <c r="U149" s="12"/>
      <c r="V149" s="12"/>
      <c r="W149" s="12"/>
      <c r="X149" s="12"/>
    </row>
    <row r="150" customFormat="false" ht="15.75" hidden="false" customHeight="false" outlineLevel="0" collapsed="false">
      <c r="A150" s="12"/>
      <c r="B150" s="34"/>
      <c r="C150" s="12"/>
      <c r="D150" s="12"/>
      <c r="E150" s="12"/>
      <c r="F150" s="12"/>
      <c r="G150" s="18"/>
      <c r="H150" s="35"/>
      <c r="I150" s="12"/>
      <c r="M150" s="12"/>
      <c r="N150" s="18"/>
      <c r="O150" s="12"/>
      <c r="P150" s="12"/>
      <c r="Q150" s="12"/>
      <c r="R150" s="36"/>
      <c r="S150" s="36"/>
      <c r="T150" s="12"/>
      <c r="U150" s="12"/>
      <c r="V150" s="12"/>
      <c r="W150" s="12"/>
      <c r="X150" s="12"/>
    </row>
    <row r="151" customFormat="false" ht="15.75" hidden="false" customHeight="false" outlineLevel="0" collapsed="false">
      <c r="A151" s="12"/>
      <c r="B151" s="34"/>
      <c r="C151" s="12"/>
      <c r="D151" s="12"/>
      <c r="E151" s="12"/>
      <c r="F151" s="12"/>
      <c r="G151" s="18"/>
      <c r="H151" s="35"/>
      <c r="I151" s="12"/>
      <c r="M151" s="12"/>
      <c r="N151" s="18"/>
      <c r="O151" s="12"/>
      <c r="P151" s="12"/>
      <c r="Q151" s="12"/>
      <c r="R151" s="36"/>
      <c r="S151" s="36"/>
      <c r="T151" s="12"/>
      <c r="U151" s="12"/>
      <c r="V151" s="12"/>
      <c r="W151" s="12"/>
      <c r="X151" s="12"/>
    </row>
    <row r="152" customFormat="false" ht="15.75" hidden="false" customHeight="false" outlineLevel="0" collapsed="false">
      <c r="A152" s="12"/>
      <c r="B152" s="34"/>
      <c r="C152" s="12"/>
      <c r="D152" s="12"/>
      <c r="E152" s="12"/>
      <c r="F152" s="12"/>
      <c r="G152" s="18"/>
      <c r="H152" s="35"/>
      <c r="I152" s="12"/>
      <c r="M152" s="12"/>
      <c r="N152" s="18"/>
      <c r="O152" s="12"/>
      <c r="P152" s="12"/>
      <c r="Q152" s="12"/>
      <c r="R152" s="36"/>
      <c r="S152" s="36"/>
      <c r="T152" s="12"/>
      <c r="U152" s="12"/>
      <c r="V152" s="12"/>
      <c r="W152" s="12"/>
      <c r="X152" s="12"/>
    </row>
    <row r="153" customFormat="false" ht="15.75" hidden="false" customHeight="false" outlineLevel="0" collapsed="false">
      <c r="A153" s="12"/>
      <c r="B153" s="34"/>
      <c r="C153" s="12"/>
      <c r="D153" s="12"/>
      <c r="E153" s="12"/>
      <c r="F153" s="12"/>
      <c r="G153" s="18"/>
      <c r="H153" s="35"/>
      <c r="I153" s="12"/>
      <c r="M153" s="12"/>
      <c r="N153" s="18"/>
      <c r="O153" s="12"/>
      <c r="P153" s="12"/>
      <c r="Q153" s="12"/>
      <c r="R153" s="36"/>
      <c r="S153" s="36"/>
      <c r="T153" s="12"/>
      <c r="U153" s="12"/>
      <c r="V153" s="12"/>
      <c r="W153" s="12"/>
      <c r="X153" s="12"/>
    </row>
    <row r="154" customFormat="false" ht="15.75" hidden="false" customHeight="false" outlineLevel="0" collapsed="false">
      <c r="A154" s="12"/>
      <c r="B154" s="34"/>
      <c r="C154" s="12"/>
      <c r="D154" s="12"/>
      <c r="E154" s="12"/>
      <c r="F154" s="12"/>
      <c r="G154" s="18"/>
      <c r="H154" s="35"/>
      <c r="I154" s="12"/>
      <c r="M154" s="12"/>
      <c r="N154" s="18"/>
      <c r="O154" s="12"/>
      <c r="P154" s="12"/>
      <c r="Q154" s="12"/>
      <c r="R154" s="36"/>
      <c r="S154" s="36"/>
      <c r="T154" s="12"/>
      <c r="U154" s="12"/>
      <c r="V154" s="12"/>
      <c r="W154" s="12"/>
      <c r="X154" s="12"/>
    </row>
    <row r="155" customFormat="false" ht="15.75" hidden="false" customHeight="false" outlineLevel="0" collapsed="false">
      <c r="A155" s="12"/>
      <c r="B155" s="34"/>
      <c r="C155" s="12"/>
      <c r="D155" s="12"/>
      <c r="E155" s="12"/>
      <c r="F155" s="12"/>
      <c r="G155" s="18"/>
      <c r="H155" s="35"/>
      <c r="I155" s="12"/>
      <c r="M155" s="12"/>
      <c r="N155" s="18"/>
      <c r="O155" s="12"/>
      <c r="P155" s="12"/>
      <c r="Q155" s="12"/>
      <c r="R155" s="36"/>
      <c r="S155" s="36"/>
      <c r="T155" s="12"/>
      <c r="U155" s="12"/>
      <c r="V155" s="12"/>
      <c r="W155" s="12"/>
      <c r="X155" s="12"/>
    </row>
    <row r="156" customFormat="false" ht="15.75" hidden="false" customHeight="false" outlineLevel="0" collapsed="false">
      <c r="A156" s="12"/>
      <c r="B156" s="34"/>
      <c r="C156" s="12"/>
      <c r="D156" s="12"/>
      <c r="E156" s="12"/>
      <c r="F156" s="12"/>
      <c r="G156" s="18"/>
      <c r="H156" s="35"/>
      <c r="I156" s="12"/>
      <c r="M156" s="12"/>
      <c r="N156" s="18"/>
      <c r="O156" s="12"/>
      <c r="P156" s="12"/>
      <c r="Q156" s="12"/>
      <c r="R156" s="36"/>
      <c r="S156" s="36"/>
      <c r="T156" s="12"/>
      <c r="U156" s="12"/>
      <c r="V156" s="12"/>
      <c r="W156" s="12"/>
      <c r="X156" s="12"/>
    </row>
    <row r="157" customFormat="false" ht="15.75" hidden="false" customHeight="false" outlineLevel="0" collapsed="false">
      <c r="A157" s="12"/>
      <c r="B157" s="34"/>
      <c r="C157" s="12"/>
      <c r="D157" s="12"/>
      <c r="E157" s="12"/>
      <c r="F157" s="12"/>
      <c r="G157" s="18"/>
      <c r="H157" s="35"/>
      <c r="I157" s="12"/>
      <c r="M157" s="12"/>
      <c r="N157" s="18"/>
      <c r="O157" s="12"/>
      <c r="P157" s="12"/>
      <c r="Q157" s="12"/>
      <c r="R157" s="36"/>
      <c r="S157" s="36"/>
      <c r="T157" s="12"/>
      <c r="U157" s="12"/>
      <c r="V157" s="12"/>
      <c r="W157" s="12"/>
      <c r="X157" s="12"/>
    </row>
    <row r="158" customFormat="false" ht="15.75" hidden="false" customHeight="false" outlineLevel="0" collapsed="false">
      <c r="A158" s="12"/>
      <c r="B158" s="34"/>
      <c r="C158" s="12"/>
      <c r="D158" s="12"/>
      <c r="E158" s="12"/>
      <c r="F158" s="12"/>
      <c r="G158" s="18"/>
      <c r="H158" s="35"/>
      <c r="I158" s="12"/>
      <c r="M158" s="12"/>
      <c r="N158" s="18"/>
      <c r="O158" s="12"/>
      <c r="P158" s="12"/>
      <c r="Q158" s="12"/>
      <c r="R158" s="36"/>
      <c r="S158" s="36"/>
      <c r="T158" s="12"/>
      <c r="U158" s="12"/>
      <c r="V158" s="12"/>
      <c r="W158" s="12"/>
      <c r="X158" s="12"/>
    </row>
    <row r="159" customFormat="false" ht="15.75" hidden="false" customHeight="false" outlineLevel="0" collapsed="false">
      <c r="A159" s="12"/>
      <c r="B159" s="34"/>
      <c r="C159" s="12"/>
      <c r="D159" s="12"/>
      <c r="E159" s="12"/>
      <c r="F159" s="12"/>
      <c r="G159" s="18"/>
      <c r="H159" s="35"/>
      <c r="I159" s="12"/>
      <c r="M159" s="12"/>
      <c r="N159" s="18"/>
      <c r="O159" s="12"/>
      <c r="P159" s="12"/>
      <c r="Q159" s="12"/>
      <c r="R159" s="36"/>
      <c r="S159" s="36"/>
      <c r="T159" s="12"/>
      <c r="U159" s="12"/>
      <c r="V159" s="12"/>
      <c r="W159" s="12"/>
      <c r="X159" s="12"/>
    </row>
    <row r="160" customFormat="false" ht="15.75" hidden="false" customHeight="false" outlineLevel="0" collapsed="false">
      <c r="A160" s="12"/>
      <c r="B160" s="34"/>
      <c r="C160" s="12"/>
      <c r="D160" s="12"/>
      <c r="E160" s="12"/>
      <c r="F160" s="12"/>
      <c r="G160" s="18"/>
      <c r="H160" s="35"/>
      <c r="I160" s="12"/>
      <c r="M160" s="12"/>
      <c r="N160" s="18"/>
      <c r="O160" s="12"/>
      <c r="P160" s="12"/>
      <c r="Q160" s="12"/>
      <c r="R160" s="36"/>
      <c r="S160" s="36"/>
      <c r="T160" s="12"/>
      <c r="U160" s="12"/>
      <c r="V160" s="12"/>
      <c r="W160" s="12"/>
      <c r="X160" s="12"/>
    </row>
    <row r="161" customFormat="false" ht="15.75" hidden="false" customHeight="false" outlineLevel="0" collapsed="false">
      <c r="A161" s="12"/>
      <c r="B161" s="34"/>
      <c r="C161" s="12"/>
      <c r="D161" s="12"/>
      <c r="E161" s="12"/>
      <c r="F161" s="12"/>
      <c r="G161" s="18"/>
      <c r="H161" s="35"/>
      <c r="I161" s="12"/>
      <c r="M161" s="12"/>
      <c r="N161" s="18"/>
      <c r="O161" s="12"/>
      <c r="P161" s="12"/>
      <c r="Q161" s="12"/>
      <c r="R161" s="36"/>
      <c r="S161" s="36"/>
      <c r="T161" s="12"/>
      <c r="U161" s="12"/>
      <c r="V161" s="12"/>
      <c r="W161" s="12"/>
      <c r="X161" s="12"/>
    </row>
    <row r="162" customFormat="false" ht="15.75" hidden="false" customHeight="false" outlineLevel="0" collapsed="false">
      <c r="A162" s="12"/>
      <c r="B162" s="34"/>
      <c r="C162" s="12"/>
      <c r="D162" s="12"/>
      <c r="E162" s="12"/>
      <c r="F162" s="12"/>
      <c r="G162" s="18"/>
      <c r="H162" s="35"/>
      <c r="I162" s="12"/>
      <c r="M162" s="12"/>
      <c r="N162" s="18"/>
      <c r="O162" s="12"/>
      <c r="P162" s="12"/>
      <c r="Q162" s="12"/>
      <c r="R162" s="36"/>
      <c r="S162" s="36"/>
      <c r="T162" s="12"/>
      <c r="U162" s="12"/>
      <c r="V162" s="12"/>
      <c r="W162" s="12"/>
      <c r="X162" s="12"/>
    </row>
    <row r="163" customFormat="false" ht="15.75" hidden="false" customHeight="false" outlineLevel="0" collapsed="false">
      <c r="A163" s="12"/>
      <c r="B163" s="34"/>
      <c r="C163" s="12"/>
      <c r="D163" s="12"/>
      <c r="E163" s="12"/>
      <c r="F163" s="12"/>
      <c r="G163" s="18"/>
      <c r="H163" s="35"/>
      <c r="I163" s="12"/>
      <c r="M163" s="12"/>
      <c r="N163" s="18"/>
      <c r="O163" s="12"/>
      <c r="P163" s="12"/>
      <c r="Q163" s="12"/>
      <c r="R163" s="36"/>
      <c r="S163" s="36"/>
      <c r="T163" s="12"/>
      <c r="U163" s="12"/>
      <c r="V163" s="12"/>
      <c r="W163" s="12"/>
      <c r="X163" s="12"/>
    </row>
    <row r="164" customFormat="false" ht="15.75" hidden="false" customHeight="false" outlineLevel="0" collapsed="false">
      <c r="A164" s="12"/>
      <c r="B164" s="34"/>
      <c r="C164" s="12"/>
      <c r="D164" s="12"/>
      <c r="E164" s="12"/>
      <c r="F164" s="12"/>
      <c r="G164" s="18"/>
      <c r="H164" s="35"/>
      <c r="I164" s="12"/>
      <c r="M164" s="12"/>
      <c r="N164" s="18"/>
      <c r="O164" s="12"/>
      <c r="P164" s="12"/>
      <c r="Q164" s="12"/>
      <c r="R164" s="36"/>
      <c r="S164" s="36"/>
      <c r="T164" s="12"/>
      <c r="U164" s="12"/>
      <c r="V164" s="12"/>
      <c r="W164" s="12"/>
      <c r="X164" s="12"/>
    </row>
    <row r="165" customFormat="false" ht="15.75" hidden="false" customHeight="false" outlineLevel="0" collapsed="false">
      <c r="A165" s="12"/>
      <c r="B165" s="34"/>
      <c r="C165" s="12"/>
      <c r="D165" s="12"/>
      <c r="E165" s="12"/>
      <c r="F165" s="12"/>
      <c r="G165" s="18"/>
      <c r="H165" s="35"/>
      <c r="I165" s="12"/>
      <c r="M165" s="12"/>
      <c r="N165" s="18"/>
      <c r="O165" s="12"/>
      <c r="P165" s="12"/>
      <c r="Q165" s="12"/>
      <c r="R165" s="36"/>
      <c r="S165" s="36"/>
      <c r="T165" s="12"/>
      <c r="U165" s="12"/>
      <c r="V165" s="12"/>
      <c r="W165" s="12"/>
      <c r="X165" s="12"/>
    </row>
    <row r="166" customFormat="false" ht="15.75" hidden="false" customHeight="false" outlineLevel="0" collapsed="false">
      <c r="A166" s="12"/>
      <c r="B166" s="34"/>
      <c r="C166" s="12"/>
      <c r="D166" s="12"/>
      <c r="E166" s="12"/>
      <c r="F166" s="12"/>
      <c r="G166" s="18"/>
      <c r="H166" s="35"/>
      <c r="I166" s="12"/>
      <c r="M166" s="12"/>
      <c r="N166" s="18"/>
      <c r="O166" s="12"/>
      <c r="P166" s="12"/>
      <c r="Q166" s="12"/>
      <c r="R166" s="36"/>
      <c r="S166" s="36"/>
      <c r="T166" s="12"/>
      <c r="U166" s="12"/>
      <c r="V166" s="12"/>
      <c r="W166" s="12"/>
      <c r="X166" s="12"/>
    </row>
    <row r="167" customFormat="false" ht="15.75" hidden="false" customHeight="false" outlineLevel="0" collapsed="false">
      <c r="A167" s="12"/>
      <c r="B167" s="34"/>
      <c r="C167" s="12"/>
      <c r="D167" s="12"/>
      <c r="E167" s="12"/>
      <c r="F167" s="12"/>
      <c r="G167" s="18"/>
      <c r="H167" s="35"/>
      <c r="I167" s="12"/>
      <c r="M167" s="12"/>
      <c r="N167" s="18"/>
      <c r="O167" s="12"/>
      <c r="P167" s="12"/>
      <c r="Q167" s="12"/>
      <c r="R167" s="36"/>
      <c r="S167" s="36"/>
      <c r="T167" s="12"/>
      <c r="U167" s="12"/>
      <c r="V167" s="12"/>
      <c r="W167" s="12"/>
      <c r="X167" s="12"/>
    </row>
    <row r="168" customFormat="false" ht="15.75" hidden="false" customHeight="false" outlineLevel="0" collapsed="false">
      <c r="A168" s="12"/>
      <c r="B168" s="34"/>
      <c r="C168" s="12"/>
      <c r="D168" s="12"/>
      <c r="E168" s="12"/>
      <c r="F168" s="12"/>
      <c r="G168" s="18"/>
      <c r="H168" s="35"/>
      <c r="I168" s="12"/>
      <c r="M168" s="12"/>
      <c r="N168" s="18"/>
      <c r="O168" s="12"/>
      <c r="P168" s="12"/>
      <c r="Q168" s="12"/>
      <c r="R168" s="36"/>
      <c r="S168" s="36"/>
      <c r="T168" s="12"/>
      <c r="U168" s="12"/>
      <c r="V168" s="12"/>
      <c r="W168" s="12"/>
      <c r="X168" s="12"/>
    </row>
    <row r="169" customFormat="false" ht="15.75" hidden="false" customHeight="false" outlineLevel="0" collapsed="false">
      <c r="A169" s="12"/>
      <c r="B169" s="34"/>
      <c r="C169" s="12"/>
      <c r="D169" s="12"/>
      <c r="E169" s="12"/>
      <c r="F169" s="12"/>
      <c r="G169" s="18"/>
      <c r="H169" s="35"/>
      <c r="I169" s="12"/>
      <c r="M169" s="12"/>
      <c r="N169" s="18"/>
      <c r="O169" s="12"/>
      <c r="P169" s="12"/>
      <c r="Q169" s="12"/>
      <c r="R169" s="36"/>
      <c r="S169" s="36"/>
      <c r="T169" s="12"/>
      <c r="U169" s="12"/>
      <c r="V169" s="12"/>
      <c r="W169" s="12"/>
      <c r="X169" s="12"/>
    </row>
    <row r="170" customFormat="false" ht="15.75" hidden="false" customHeight="false" outlineLevel="0" collapsed="false">
      <c r="A170" s="12"/>
      <c r="B170" s="34"/>
      <c r="C170" s="12"/>
      <c r="D170" s="12"/>
      <c r="E170" s="12"/>
      <c r="F170" s="12"/>
      <c r="G170" s="18"/>
      <c r="H170" s="35"/>
      <c r="I170" s="12"/>
      <c r="M170" s="12"/>
      <c r="N170" s="18"/>
      <c r="O170" s="12"/>
      <c r="P170" s="12"/>
      <c r="Q170" s="12"/>
      <c r="R170" s="36"/>
      <c r="S170" s="36"/>
      <c r="T170" s="12"/>
      <c r="U170" s="12"/>
      <c r="V170" s="12"/>
      <c r="W170" s="12"/>
      <c r="X170" s="12"/>
    </row>
    <row r="171" customFormat="false" ht="15.75" hidden="false" customHeight="false" outlineLevel="0" collapsed="false">
      <c r="A171" s="12"/>
      <c r="B171" s="34"/>
      <c r="C171" s="12"/>
      <c r="D171" s="12"/>
      <c r="E171" s="12"/>
      <c r="F171" s="12"/>
      <c r="G171" s="18"/>
      <c r="H171" s="35"/>
      <c r="I171" s="12"/>
      <c r="M171" s="12"/>
      <c r="N171" s="18"/>
      <c r="O171" s="12"/>
      <c r="P171" s="12"/>
      <c r="Q171" s="12"/>
      <c r="R171" s="36"/>
      <c r="S171" s="36"/>
      <c r="T171" s="12"/>
      <c r="U171" s="12"/>
      <c r="V171" s="12"/>
      <c r="W171" s="12"/>
      <c r="X171" s="12"/>
    </row>
    <row r="172" customFormat="false" ht="15.75" hidden="false" customHeight="false" outlineLevel="0" collapsed="false">
      <c r="A172" s="12"/>
      <c r="B172" s="34"/>
      <c r="C172" s="12"/>
      <c r="D172" s="12"/>
      <c r="E172" s="12"/>
      <c r="F172" s="12"/>
      <c r="G172" s="18"/>
      <c r="H172" s="35"/>
      <c r="I172" s="12"/>
      <c r="M172" s="12"/>
      <c r="N172" s="18"/>
      <c r="O172" s="12"/>
      <c r="P172" s="12"/>
      <c r="Q172" s="12"/>
      <c r="R172" s="36"/>
      <c r="S172" s="36"/>
      <c r="T172" s="12"/>
      <c r="U172" s="12"/>
      <c r="V172" s="12"/>
      <c r="W172" s="12"/>
      <c r="X172" s="12"/>
    </row>
    <row r="173" customFormat="false" ht="15.75" hidden="false" customHeight="false" outlineLevel="0" collapsed="false">
      <c r="A173" s="12"/>
      <c r="B173" s="34"/>
      <c r="C173" s="12"/>
      <c r="D173" s="12"/>
      <c r="E173" s="12"/>
      <c r="F173" s="12"/>
      <c r="G173" s="18"/>
      <c r="H173" s="35"/>
      <c r="I173" s="12"/>
      <c r="M173" s="12"/>
      <c r="N173" s="18"/>
      <c r="O173" s="12"/>
      <c r="P173" s="12"/>
      <c r="Q173" s="12"/>
      <c r="R173" s="36"/>
      <c r="S173" s="36"/>
      <c r="T173" s="12"/>
      <c r="U173" s="12"/>
      <c r="V173" s="12"/>
      <c r="W173" s="12"/>
      <c r="X173" s="12"/>
    </row>
    <row r="174" customFormat="false" ht="15.75" hidden="false" customHeight="false" outlineLevel="0" collapsed="false">
      <c r="A174" s="12"/>
      <c r="B174" s="34"/>
      <c r="C174" s="12"/>
      <c r="D174" s="12"/>
      <c r="E174" s="12"/>
      <c r="F174" s="12"/>
      <c r="G174" s="18"/>
      <c r="H174" s="35"/>
      <c r="I174" s="12"/>
      <c r="M174" s="12"/>
      <c r="N174" s="18"/>
      <c r="O174" s="12"/>
      <c r="P174" s="12"/>
      <c r="Q174" s="12"/>
      <c r="R174" s="36"/>
      <c r="S174" s="36"/>
      <c r="T174" s="12"/>
      <c r="U174" s="12"/>
      <c r="V174" s="12"/>
      <c r="W174" s="12"/>
      <c r="X174" s="12"/>
    </row>
    <row r="175" customFormat="false" ht="15.75" hidden="false" customHeight="false" outlineLevel="0" collapsed="false">
      <c r="A175" s="12"/>
      <c r="B175" s="34"/>
      <c r="C175" s="12"/>
      <c r="D175" s="12"/>
      <c r="E175" s="12"/>
      <c r="F175" s="12"/>
      <c r="G175" s="18"/>
      <c r="H175" s="35"/>
      <c r="I175" s="12"/>
      <c r="M175" s="12"/>
      <c r="N175" s="18"/>
      <c r="O175" s="12"/>
      <c r="P175" s="12"/>
      <c r="Q175" s="12"/>
      <c r="R175" s="36"/>
      <c r="S175" s="36"/>
      <c r="T175" s="12"/>
      <c r="U175" s="12"/>
      <c r="V175" s="12"/>
      <c r="W175" s="12"/>
      <c r="X175" s="12"/>
    </row>
    <row r="176" customFormat="false" ht="15.75" hidden="false" customHeight="false" outlineLevel="0" collapsed="false">
      <c r="A176" s="12"/>
      <c r="B176" s="34"/>
      <c r="C176" s="12"/>
      <c r="D176" s="12"/>
      <c r="E176" s="12"/>
      <c r="F176" s="12"/>
      <c r="G176" s="18"/>
      <c r="H176" s="35"/>
      <c r="I176" s="12"/>
      <c r="M176" s="12"/>
      <c r="N176" s="18"/>
      <c r="O176" s="12"/>
      <c r="P176" s="12"/>
      <c r="Q176" s="12"/>
      <c r="R176" s="36"/>
      <c r="S176" s="36"/>
      <c r="T176" s="12"/>
      <c r="U176" s="12"/>
      <c r="V176" s="12"/>
      <c r="W176" s="12"/>
      <c r="X176" s="12"/>
    </row>
    <row r="177" customFormat="false" ht="15.75" hidden="false" customHeight="false" outlineLevel="0" collapsed="false">
      <c r="A177" s="12"/>
      <c r="B177" s="34"/>
      <c r="C177" s="12"/>
      <c r="D177" s="12"/>
      <c r="E177" s="12"/>
      <c r="F177" s="12"/>
      <c r="G177" s="18"/>
      <c r="H177" s="35"/>
      <c r="I177" s="12"/>
      <c r="M177" s="12"/>
      <c r="N177" s="18"/>
      <c r="O177" s="12"/>
      <c r="P177" s="12"/>
      <c r="Q177" s="12"/>
      <c r="R177" s="36"/>
      <c r="S177" s="36"/>
      <c r="T177" s="12"/>
      <c r="U177" s="12"/>
      <c r="V177" s="12"/>
      <c r="W177" s="12"/>
      <c r="X177" s="12"/>
    </row>
    <row r="178" customFormat="false" ht="15.75" hidden="false" customHeight="false" outlineLevel="0" collapsed="false">
      <c r="A178" s="12"/>
      <c r="B178" s="34"/>
      <c r="C178" s="12"/>
      <c r="D178" s="12"/>
      <c r="E178" s="12"/>
      <c r="F178" s="12"/>
      <c r="G178" s="18"/>
      <c r="H178" s="35"/>
      <c r="I178" s="12"/>
      <c r="M178" s="12"/>
      <c r="N178" s="18"/>
      <c r="O178" s="12"/>
      <c r="P178" s="12"/>
      <c r="Q178" s="12"/>
      <c r="R178" s="36"/>
      <c r="S178" s="36"/>
      <c r="T178" s="12"/>
      <c r="U178" s="12"/>
      <c r="V178" s="12"/>
      <c r="W178" s="12"/>
      <c r="X178" s="12"/>
    </row>
    <row r="179" customFormat="false" ht="15.75" hidden="false" customHeight="false" outlineLevel="0" collapsed="false">
      <c r="A179" s="12"/>
      <c r="B179" s="34"/>
      <c r="C179" s="12"/>
      <c r="D179" s="12"/>
      <c r="E179" s="12"/>
      <c r="F179" s="12"/>
      <c r="G179" s="18"/>
      <c r="H179" s="35"/>
      <c r="I179" s="12"/>
      <c r="M179" s="12"/>
      <c r="N179" s="18"/>
      <c r="O179" s="12"/>
      <c r="P179" s="12"/>
      <c r="Q179" s="12"/>
      <c r="R179" s="36"/>
      <c r="S179" s="36"/>
      <c r="T179" s="12"/>
      <c r="U179" s="12"/>
      <c r="V179" s="12"/>
      <c r="W179" s="12"/>
      <c r="X179" s="12"/>
    </row>
    <row r="180" customFormat="false" ht="15.75" hidden="false" customHeight="false" outlineLevel="0" collapsed="false">
      <c r="A180" s="12"/>
      <c r="B180" s="34"/>
      <c r="C180" s="12"/>
      <c r="D180" s="12"/>
      <c r="E180" s="12"/>
      <c r="F180" s="12"/>
      <c r="G180" s="18"/>
      <c r="H180" s="35"/>
      <c r="I180" s="12"/>
      <c r="M180" s="12"/>
      <c r="N180" s="18"/>
      <c r="O180" s="12"/>
      <c r="P180" s="12"/>
      <c r="Q180" s="12"/>
      <c r="R180" s="36"/>
      <c r="S180" s="36"/>
      <c r="T180" s="12"/>
      <c r="U180" s="12"/>
      <c r="V180" s="12"/>
      <c r="W180" s="12"/>
      <c r="X180" s="12"/>
    </row>
    <row r="181" customFormat="false" ht="15.75" hidden="false" customHeight="false" outlineLevel="0" collapsed="false">
      <c r="A181" s="12"/>
      <c r="B181" s="34"/>
      <c r="C181" s="12"/>
      <c r="D181" s="12"/>
      <c r="E181" s="12"/>
      <c r="F181" s="12"/>
      <c r="G181" s="18"/>
      <c r="H181" s="35"/>
      <c r="I181" s="12"/>
      <c r="M181" s="12"/>
      <c r="N181" s="18"/>
      <c r="O181" s="12"/>
      <c r="P181" s="12"/>
      <c r="Q181" s="12"/>
      <c r="R181" s="36"/>
      <c r="S181" s="36"/>
      <c r="T181" s="12"/>
      <c r="U181" s="12"/>
      <c r="V181" s="12"/>
      <c r="W181" s="12"/>
      <c r="X181" s="12"/>
    </row>
    <row r="182" customFormat="false" ht="15.75" hidden="false" customHeight="false" outlineLevel="0" collapsed="false">
      <c r="A182" s="12"/>
      <c r="B182" s="34"/>
      <c r="C182" s="12"/>
      <c r="D182" s="12"/>
      <c r="E182" s="12"/>
      <c r="F182" s="12"/>
      <c r="G182" s="18"/>
      <c r="H182" s="35"/>
      <c r="I182" s="12"/>
      <c r="M182" s="12"/>
      <c r="N182" s="18"/>
      <c r="O182" s="12"/>
      <c r="P182" s="12"/>
      <c r="Q182" s="12"/>
      <c r="R182" s="36"/>
      <c r="S182" s="36"/>
      <c r="T182" s="12"/>
      <c r="U182" s="12"/>
      <c r="V182" s="12"/>
      <c r="W182" s="12"/>
      <c r="X182" s="12"/>
    </row>
    <row r="183" customFormat="false" ht="15.75" hidden="false" customHeight="false" outlineLevel="0" collapsed="false">
      <c r="A183" s="12"/>
      <c r="B183" s="34"/>
      <c r="C183" s="12"/>
      <c r="D183" s="12"/>
      <c r="E183" s="12"/>
      <c r="F183" s="12"/>
      <c r="G183" s="18"/>
      <c r="H183" s="35"/>
      <c r="I183" s="12"/>
      <c r="M183" s="12"/>
      <c r="N183" s="18"/>
      <c r="O183" s="12"/>
      <c r="P183" s="12"/>
      <c r="Q183" s="12"/>
      <c r="R183" s="36"/>
      <c r="S183" s="36"/>
      <c r="T183" s="12"/>
      <c r="U183" s="12"/>
      <c r="V183" s="12"/>
      <c r="W183" s="12"/>
      <c r="X183" s="12"/>
    </row>
    <row r="184" customFormat="false" ht="15.75" hidden="false" customHeight="false" outlineLevel="0" collapsed="false">
      <c r="A184" s="12"/>
      <c r="B184" s="34"/>
      <c r="C184" s="12"/>
      <c r="D184" s="12"/>
      <c r="E184" s="12"/>
      <c r="F184" s="12"/>
      <c r="G184" s="18"/>
      <c r="H184" s="35"/>
      <c r="I184" s="12"/>
      <c r="M184" s="12"/>
      <c r="N184" s="18"/>
      <c r="O184" s="12"/>
      <c r="P184" s="12"/>
      <c r="Q184" s="12"/>
      <c r="R184" s="36"/>
      <c r="S184" s="36"/>
      <c r="T184" s="12"/>
      <c r="U184" s="12"/>
      <c r="V184" s="12"/>
      <c r="W184" s="12"/>
      <c r="X184" s="12"/>
    </row>
    <row r="185" customFormat="false" ht="15.75" hidden="false" customHeight="false" outlineLevel="0" collapsed="false">
      <c r="A185" s="12"/>
      <c r="B185" s="34"/>
      <c r="C185" s="12"/>
      <c r="D185" s="12"/>
      <c r="E185" s="12"/>
      <c r="F185" s="12"/>
      <c r="G185" s="18"/>
      <c r="H185" s="35"/>
      <c r="I185" s="12"/>
      <c r="M185" s="12"/>
      <c r="N185" s="18"/>
      <c r="O185" s="12"/>
      <c r="P185" s="12"/>
      <c r="Q185" s="12"/>
      <c r="R185" s="36"/>
      <c r="S185" s="36"/>
      <c r="T185" s="12"/>
      <c r="U185" s="12"/>
      <c r="V185" s="12"/>
      <c r="W185" s="12"/>
      <c r="X185" s="12"/>
    </row>
    <row r="186" customFormat="false" ht="15.75" hidden="false" customHeight="false" outlineLevel="0" collapsed="false">
      <c r="A186" s="12"/>
      <c r="B186" s="34"/>
      <c r="C186" s="12"/>
      <c r="D186" s="12"/>
      <c r="E186" s="12"/>
      <c r="F186" s="12"/>
      <c r="G186" s="18"/>
      <c r="H186" s="35"/>
      <c r="I186" s="12"/>
      <c r="M186" s="12"/>
      <c r="N186" s="18"/>
      <c r="O186" s="12"/>
      <c r="P186" s="12"/>
      <c r="Q186" s="12"/>
      <c r="R186" s="36"/>
      <c r="S186" s="36"/>
      <c r="T186" s="12"/>
      <c r="U186" s="12"/>
      <c r="V186" s="12"/>
      <c r="W186" s="12"/>
      <c r="X186" s="12"/>
    </row>
    <row r="187" customFormat="false" ht="15.75" hidden="false" customHeight="false" outlineLevel="0" collapsed="false">
      <c r="A187" s="12"/>
      <c r="B187" s="34"/>
      <c r="C187" s="12"/>
      <c r="D187" s="12"/>
      <c r="E187" s="12"/>
      <c r="F187" s="12"/>
      <c r="G187" s="18"/>
      <c r="H187" s="35"/>
      <c r="I187" s="12"/>
      <c r="M187" s="12"/>
      <c r="N187" s="18"/>
      <c r="O187" s="12"/>
      <c r="P187" s="12"/>
      <c r="Q187" s="12"/>
      <c r="R187" s="36"/>
      <c r="S187" s="36"/>
      <c r="T187" s="12"/>
      <c r="U187" s="12"/>
      <c r="V187" s="12"/>
      <c r="W187" s="12"/>
      <c r="X187" s="12"/>
    </row>
    <row r="188" customFormat="false" ht="15.75" hidden="false" customHeight="false" outlineLevel="0" collapsed="false">
      <c r="A188" s="12"/>
      <c r="B188" s="34"/>
      <c r="C188" s="12"/>
      <c r="D188" s="12"/>
      <c r="E188" s="12"/>
      <c r="F188" s="12"/>
      <c r="G188" s="18"/>
      <c r="H188" s="35"/>
      <c r="I188" s="12"/>
      <c r="M188" s="12"/>
      <c r="N188" s="18"/>
      <c r="O188" s="12"/>
      <c r="P188" s="12"/>
      <c r="Q188" s="12"/>
      <c r="R188" s="36"/>
      <c r="S188" s="36"/>
      <c r="T188" s="12"/>
      <c r="U188" s="12"/>
      <c r="V188" s="12"/>
      <c r="W188" s="12"/>
      <c r="X188" s="12"/>
    </row>
    <row r="189" customFormat="false" ht="15.75" hidden="false" customHeight="false" outlineLevel="0" collapsed="false">
      <c r="A189" s="12"/>
      <c r="B189" s="34"/>
      <c r="C189" s="12"/>
      <c r="D189" s="12"/>
      <c r="E189" s="12"/>
      <c r="F189" s="12"/>
      <c r="G189" s="18"/>
      <c r="H189" s="35"/>
      <c r="I189" s="12"/>
      <c r="M189" s="12"/>
      <c r="N189" s="18"/>
      <c r="O189" s="12"/>
      <c r="P189" s="12"/>
      <c r="Q189" s="12"/>
      <c r="R189" s="36"/>
      <c r="S189" s="36"/>
      <c r="T189" s="12"/>
      <c r="U189" s="12"/>
      <c r="V189" s="12"/>
      <c r="W189" s="12"/>
      <c r="X189" s="12"/>
    </row>
    <row r="190" customFormat="false" ht="15.75" hidden="false" customHeight="false" outlineLevel="0" collapsed="false">
      <c r="A190" s="12"/>
      <c r="B190" s="34"/>
      <c r="C190" s="12"/>
      <c r="D190" s="12"/>
      <c r="E190" s="12"/>
      <c r="F190" s="12"/>
      <c r="G190" s="18"/>
      <c r="H190" s="35"/>
      <c r="I190" s="12"/>
      <c r="M190" s="12"/>
      <c r="N190" s="18"/>
      <c r="O190" s="12"/>
      <c r="P190" s="12"/>
      <c r="Q190" s="12"/>
      <c r="R190" s="36"/>
      <c r="S190" s="36"/>
      <c r="T190" s="12"/>
      <c r="U190" s="12"/>
      <c r="V190" s="12"/>
      <c r="W190" s="12"/>
      <c r="X190" s="12"/>
    </row>
    <row r="191" customFormat="false" ht="15.75" hidden="false" customHeight="false" outlineLevel="0" collapsed="false">
      <c r="A191" s="12"/>
      <c r="B191" s="34"/>
      <c r="C191" s="12"/>
      <c r="D191" s="12"/>
      <c r="E191" s="12"/>
      <c r="F191" s="12"/>
      <c r="G191" s="18"/>
      <c r="H191" s="35"/>
      <c r="I191" s="12"/>
      <c r="M191" s="12"/>
      <c r="N191" s="18"/>
      <c r="O191" s="12"/>
      <c r="P191" s="12"/>
      <c r="Q191" s="12"/>
      <c r="R191" s="36"/>
      <c r="S191" s="36"/>
      <c r="T191" s="12"/>
      <c r="U191" s="12"/>
      <c r="V191" s="12"/>
      <c r="W191" s="12"/>
      <c r="X191" s="12"/>
    </row>
    <row r="192" customFormat="false" ht="15.75" hidden="false" customHeight="false" outlineLevel="0" collapsed="false">
      <c r="A192" s="12"/>
      <c r="B192" s="34"/>
      <c r="C192" s="12"/>
      <c r="D192" s="12"/>
      <c r="E192" s="12"/>
      <c r="F192" s="12"/>
      <c r="G192" s="18"/>
      <c r="H192" s="35"/>
      <c r="I192" s="12"/>
      <c r="M192" s="12"/>
      <c r="N192" s="18"/>
      <c r="O192" s="12"/>
      <c r="P192" s="12"/>
      <c r="Q192" s="12"/>
      <c r="R192" s="36"/>
      <c r="S192" s="36"/>
      <c r="T192" s="12"/>
      <c r="U192" s="12"/>
      <c r="V192" s="12"/>
      <c r="W192" s="12"/>
      <c r="X192" s="12"/>
    </row>
    <row r="193" customFormat="false" ht="15.75" hidden="false" customHeight="false" outlineLevel="0" collapsed="false">
      <c r="A193" s="12"/>
      <c r="B193" s="34"/>
      <c r="C193" s="12"/>
      <c r="D193" s="12"/>
      <c r="E193" s="12"/>
      <c r="F193" s="12"/>
      <c r="G193" s="18"/>
      <c r="H193" s="35"/>
      <c r="I193" s="12"/>
      <c r="M193" s="12"/>
      <c r="N193" s="18"/>
      <c r="O193" s="12"/>
      <c r="P193" s="12"/>
      <c r="Q193" s="12"/>
      <c r="R193" s="36"/>
      <c r="S193" s="36"/>
      <c r="T193" s="12"/>
      <c r="U193" s="12"/>
      <c r="V193" s="12"/>
      <c r="W193" s="12"/>
      <c r="X193" s="12"/>
    </row>
    <row r="194" customFormat="false" ht="15.75" hidden="false" customHeight="false" outlineLevel="0" collapsed="false">
      <c r="A194" s="12"/>
      <c r="B194" s="34"/>
      <c r="C194" s="12"/>
      <c r="D194" s="12"/>
      <c r="E194" s="12"/>
      <c r="F194" s="12"/>
      <c r="G194" s="18"/>
      <c r="H194" s="35"/>
      <c r="I194" s="12"/>
      <c r="M194" s="12"/>
      <c r="N194" s="18"/>
      <c r="O194" s="12"/>
      <c r="P194" s="12"/>
      <c r="Q194" s="12"/>
      <c r="R194" s="36"/>
      <c r="S194" s="36"/>
      <c r="T194" s="12"/>
      <c r="U194" s="12"/>
      <c r="V194" s="12"/>
      <c r="W194" s="12"/>
      <c r="X194" s="12"/>
    </row>
    <row r="195" customFormat="false" ht="15.75" hidden="false" customHeight="false" outlineLevel="0" collapsed="false">
      <c r="A195" s="12"/>
      <c r="B195" s="34"/>
      <c r="C195" s="12"/>
      <c r="D195" s="12"/>
      <c r="E195" s="12"/>
      <c r="F195" s="12"/>
      <c r="G195" s="18"/>
      <c r="H195" s="35"/>
      <c r="I195" s="12"/>
      <c r="M195" s="12"/>
      <c r="N195" s="18"/>
      <c r="O195" s="12"/>
      <c r="P195" s="12"/>
      <c r="Q195" s="12"/>
      <c r="R195" s="36"/>
      <c r="S195" s="36"/>
      <c r="T195" s="12"/>
      <c r="U195" s="12"/>
      <c r="V195" s="12"/>
      <c r="W195" s="12"/>
      <c r="X195" s="12"/>
    </row>
    <row r="196" customFormat="false" ht="15.75" hidden="false" customHeight="false" outlineLevel="0" collapsed="false">
      <c r="A196" s="12"/>
      <c r="B196" s="34"/>
      <c r="C196" s="12"/>
      <c r="D196" s="12"/>
      <c r="E196" s="12"/>
      <c r="F196" s="12"/>
      <c r="G196" s="18"/>
      <c r="H196" s="35"/>
      <c r="I196" s="12"/>
      <c r="M196" s="12"/>
      <c r="N196" s="18"/>
      <c r="O196" s="12"/>
      <c r="P196" s="12"/>
      <c r="Q196" s="12"/>
      <c r="R196" s="36"/>
      <c r="S196" s="36"/>
      <c r="T196" s="12"/>
      <c r="U196" s="12"/>
      <c r="V196" s="12"/>
      <c r="W196" s="12"/>
      <c r="X196" s="12"/>
    </row>
    <row r="197" customFormat="false" ht="15.75" hidden="false" customHeight="false" outlineLevel="0" collapsed="false">
      <c r="A197" s="12"/>
      <c r="B197" s="34"/>
      <c r="C197" s="12"/>
      <c r="D197" s="12"/>
      <c r="E197" s="12"/>
      <c r="F197" s="12"/>
      <c r="G197" s="18"/>
      <c r="H197" s="35"/>
      <c r="I197" s="12"/>
      <c r="M197" s="12"/>
      <c r="N197" s="18"/>
      <c r="O197" s="12"/>
      <c r="P197" s="12"/>
      <c r="Q197" s="12"/>
      <c r="R197" s="36"/>
      <c r="S197" s="36"/>
      <c r="T197" s="12"/>
      <c r="U197" s="12"/>
      <c r="V197" s="12"/>
      <c r="W197" s="12"/>
      <c r="X197" s="12"/>
    </row>
    <row r="198" customFormat="false" ht="15.75" hidden="false" customHeight="false" outlineLevel="0" collapsed="false">
      <c r="A198" s="12"/>
      <c r="B198" s="34"/>
      <c r="C198" s="12"/>
      <c r="D198" s="12"/>
      <c r="E198" s="12"/>
      <c r="F198" s="12"/>
      <c r="G198" s="18"/>
      <c r="H198" s="35"/>
      <c r="I198" s="12"/>
      <c r="M198" s="12"/>
      <c r="N198" s="18"/>
      <c r="O198" s="12"/>
      <c r="P198" s="12"/>
      <c r="Q198" s="12"/>
      <c r="R198" s="36"/>
      <c r="S198" s="36"/>
      <c r="T198" s="12"/>
      <c r="U198" s="12"/>
      <c r="V198" s="12"/>
      <c r="W198" s="12"/>
      <c r="X198" s="12"/>
    </row>
    <row r="199" customFormat="false" ht="15.75" hidden="false" customHeight="false" outlineLevel="0" collapsed="false">
      <c r="A199" s="12"/>
      <c r="B199" s="34"/>
      <c r="C199" s="12"/>
      <c r="D199" s="12"/>
      <c r="E199" s="12"/>
      <c r="F199" s="12"/>
      <c r="G199" s="18"/>
      <c r="H199" s="35"/>
      <c r="I199" s="12"/>
      <c r="M199" s="12"/>
      <c r="N199" s="18"/>
      <c r="O199" s="12"/>
      <c r="P199" s="12"/>
      <c r="Q199" s="12"/>
      <c r="R199" s="36"/>
      <c r="S199" s="36"/>
      <c r="T199" s="12"/>
      <c r="U199" s="12"/>
      <c r="V199" s="12"/>
      <c r="W199" s="12"/>
      <c r="X199" s="12"/>
    </row>
    <row r="200" customFormat="false" ht="15.75" hidden="false" customHeight="false" outlineLevel="0" collapsed="false">
      <c r="A200" s="12"/>
      <c r="B200" s="34"/>
      <c r="C200" s="12"/>
      <c r="D200" s="12"/>
      <c r="E200" s="12"/>
      <c r="F200" s="12"/>
      <c r="G200" s="18"/>
      <c r="H200" s="35"/>
      <c r="I200" s="12"/>
      <c r="M200" s="12"/>
      <c r="N200" s="18"/>
      <c r="O200" s="12"/>
      <c r="P200" s="12"/>
      <c r="Q200" s="12"/>
      <c r="R200" s="36"/>
      <c r="S200" s="36"/>
      <c r="T200" s="12"/>
      <c r="U200" s="12"/>
      <c r="V200" s="12"/>
      <c r="W200" s="12"/>
      <c r="X200" s="12"/>
    </row>
    <row r="201" customFormat="false" ht="15.75" hidden="false" customHeight="false" outlineLevel="0" collapsed="false">
      <c r="A201" s="12"/>
      <c r="B201" s="34"/>
      <c r="C201" s="12"/>
      <c r="D201" s="12"/>
      <c r="E201" s="12"/>
      <c r="F201" s="12"/>
      <c r="G201" s="18"/>
      <c r="H201" s="35"/>
      <c r="I201" s="12"/>
      <c r="M201" s="12"/>
      <c r="N201" s="18"/>
      <c r="O201" s="12"/>
      <c r="P201" s="12"/>
      <c r="Q201" s="12"/>
      <c r="R201" s="36"/>
      <c r="S201" s="36"/>
      <c r="T201" s="12"/>
      <c r="U201" s="12"/>
      <c r="V201" s="12"/>
      <c r="W201" s="12"/>
      <c r="X201" s="12"/>
    </row>
    <row r="202" customFormat="false" ht="15.75" hidden="false" customHeight="false" outlineLevel="0" collapsed="false">
      <c r="A202" s="12"/>
      <c r="B202" s="34"/>
      <c r="C202" s="12"/>
      <c r="D202" s="12"/>
      <c r="E202" s="12"/>
      <c r="F202" s="12"/>
      <c r="G202" s="18"/>
      <c r="H202" s="35"/>
      <c r="I202" s="12"/>
      <c r="M202" s="12"/>
      <c r="N202" s="18"/>
      <c r="O202" s="12"/>
      <c r="P202" s="12"/>
      <c r="Q202" s="12"/>
      <c r="R202" s="36"/>
      <c r="S202" s="36"/>
      <c r="T202" s="12"/>
      <c r="U202" s="12"/>
      <c r="V202" s="12"/>
      <c r="W202" s="12"/>
      <c r="X202" s="12"/>
    </row>
    <row r="203" customFormat="false" ht="15.75" hidden="false" customHeight="false" outlineLevel="0" collapsed="false">
      <c r="A203" s="12"/>
      <c r="B203" s="34"/>
      <c r="C203" s="12"/>
      <c r="D203" s="12"/>
      <c r="E203" s="12"/>
      <c r="F203" s="12"/>
      <c r="G203" s="18"/>
      <c r="H203" s="35"/>
      <c r="I203" s="12"/>
      <c r="M203" s="12"/>
      <c r="N203" s="18"/>
      <c r="O203" s="12"/>
      <c r="P203" s="12"/>
      <c r="Q203" s="12"/>
      <c r="R203" s="36"/>
      <c r="S203" s="36"/>
      <c r="T203" s="12"/>
      <c r="U203" s="12"/>
      <c r="V203" s="12"/>
      <c r="W203" s="12"/>
      <c r="X203" s="12"/>
    </row>
    <row r="204" customFormat="false" ht="15.75" hidden="false" customHeight="false" outlineLevel="0" collapsed="false">
      <c r="A204" s="12"/>
      <c r="B204" s="34"/>
      <c r="C204" s="12"/>
      <c r="D204" s="12"/>
      <c r="E204" s="12"/>
      <c r="F204" s="12"/>
      <c r="G204" s="18"/>
      <c r="H204" s="35"/>
      <c r="I204" s="12"/>
      <c r="M204" s="12"/>
      <c r="N204" s="18"/>
      <c r="O204" s="12"/>
      <c r="P204" s="12"/>
      <c r="Q204" s="12"/>
      <c r="R204" s="36"/>
      <c r="S204" s="36"/>
      <c r="T204" s="12"/>
      <c r="U204" s="12"/>
      <c r="V204" s="12"/>
      <c r="W204" s="12"/>
      <c r="X204" s="12"/>
    </row>
    <row r="205" customFormat="false" ht="15.75" hidden="false" customHeight="false" outlineLevel="0" collapsed="false">
      <c r="A205" s="12"/>
      <c r="B205" s="34"/>
      <c r="C205" s="12"/>
      <c r="D205" s="12"/>
      <c r="E205" s="12"/>
      <c r="F205" s="12"/>
      <c r="G205" s="18"/>
      <c r="H205" s="35"/>
      <c r="I205" s="12"/>
      <c r="M205" s="12"/>
      <c r="N205" s="18"/>
      <c r="O205" s="12"/>
      <c r="P205" s="12"/>
      <c r="Q205" s="12"/>
      <c r="R205" s="36"/>
      <c r="S205" s="36"/>
      <c r="T205" s="12"/>
      <c r="U205" s="12"/>
      <c r="V205" s="12"/>
      <c r="W205" s="12"/>
      <c r="X205" s="12"/>
    </row>
    <row r="206" customFormat="false" ht="15.75" hidden="false" customHeight="false" outlineLevel="0" collapsed="false">
      <c r="A206" s="12"/>
      <c r="B206" s="34"/>
      <c r="C206" s="12"/>
      <c r="D206" s="12"/>
      <c r="E206" s="12"/>
      <c r="F206" s="12"/>
      <c r="G206" s="18"/>
      <c r="H206" s="35"/>
      <c r="I206" s="12"/>
      <c r="M206" s="12"/>
      <c r="N206" s="18"/>
      <c r="O206" s="12"/>
      <c r="P206" s="12"/>
      <c r="Q206" s="12"/>
      <c r="R206" s="36"/>
      <c r="S206" s="36"/>
      <c r="T206" s="12"/>
      <c r="U206" s="12"/>
      <c r="V206" s="12"/>
      <c r="W206" s="12"/>
      <c r="X206" s="12"/>
    </row>
    <row r="207" customFormat="false" ht="15.75" hidden="false" customHeight="false" outlineLevel="0" collapsed="false">
      <c r="A207" s="12"/>
      <c r="B207" s="34"/>
      <c r="C207" s="12"/>
      <c r="D207" s="12"/>
      <c r="E207" s="12"/>
      <c r="F207" s="12"/>
      <c r="G207" s="18"/>
      <c r="H207" s="35"/>
      <c r="I207" s="12"/>
      <c r="M207" s="12"/>
      <c r="N207" s="18"/>
      <c r="O207" s="12"/>
      <c r="P207" s="12"/>
      <c r="Q207" s="12"/>
      <c r="R207" s="36"/>
      <c r="S207" s="36"/>
      <c r="T207" s="12"/>
      <c r="U207" s="12"/>
      <c r="V207" s="12"/>
      <c r="W207" s="12"/>
      <c r="X207" s="12"/>
    </row>
    <row r="208" customFormat="false" ht="15.75" hidden="false" customHeight="false" outlineLevel="0" collapsed="false">
      <c r="A208" s="12"/>
      <c r="B208" s="34"/>
      <c r="C208" s="12"/>
      <c r="D208" s="12"/>
      <c r="E208" s="12"/>
      <c r="F208" s="12"/>
      <c r="G208" s="18"/>
      <c r="H208" s="35"/>
      <c r="I208" s="12"/>
      <c r="M208" s="12"/>
      <c r="N208" s="18"/>
      <c r="O208" s="12"/>
      <c r="P208" s="12"/>
      <c r="Q208" s="12"/>
      <c r="R208" s="36"/>
      <c r="S208" s="36"/>
      <c r="T208" s="12"/>
      <c r="U208" s="12"/>
      <c r="V208" s="12"/>
      <c r="W208" s="12"/>
      <c r="X208" s="12"/>
    </row>
    <row r="209" customFormat="false" ht="15.75" hidden="false" customHeight="false" outlineLevel="0" collapsed="false">
      <c r="A209" s="12"/>
      <c r="B209" s="34"/>
      <c r="C209" s="12"/>
      <c r="D209" s="12"/>
      <c r="E209" s="12"/>
      <c r="F209" s="12"/>
      <c r="G209" s="18"/>
      <c r="H209" s="35"/>
      <c r="I209" s="12"/>
      <c r="M209" s="12"/>
      <c r="N209" s="18"/>
      <c r="O209" s="12"/>
      <c r="P209" s="12"/>
      <c r="Q209" s="12"/>
      <c r="R209" s="36"/>
      <c r="S209" s="36"/>
      <c r="T209" s="12"/>
      <c r="U209" s="12"/>
      <c r="V209" s="12"/>
      <c r="W209" s="12"/>
      <c r="X209" s="12"/>
    </row>
    <row r="210" customFormat="false" ht="15.75" hidden="false" customHeight="false" outlineLevel="0" collapsed="false">
      <c r="A210" s="12"/>
      <c r="B210" s="34"/>
      <c r="C210" s="12"/>
      <c r="D210" s="12"/>
      <c r="E210" s="12"/>
      <c r="F210" s="12"/>
      <c r="G210" s="18"/>
      <c r="H210" s="35"/>
      <c r="I210" s="12"/>
      <c r="M210" s="12"/>
      <c r="N210" s="18"/>
      <c r="O210" s="12"/>
      <c r="P210" s="12"/>
      <c r="Q210" s="12"/>
      <c r="R210" s="36"/>
      <c r="S210" s="36"/>
      <c r="T210" s="12"/>
      <c r="U210" s="12"/>
      <c r="V210" s="12"/>
      <c r="W210" s="12"/>
      <c r="X210" s="12"/>
    </row>
    <row r="211" customFormat="false" ht="15.75" hidden="false" customHeight="false" outlineLevel="0" collapsed="false">
      <c r="A211" s="12"/>
      <c r="B211" s="34"/>
      <c r="C211" s="12"/>
      <c r="D211" s="12"/>
      <c r="E211" s="12"/>
      <c r="F211" s="12"/>
      <c r="G211" s="18"/>
      <c r="H211" s="35"/>
      <c r="I211" s="12"/>
      <c r="M211" s="12"/>
      <c r="N211" s="18"/>
      <c r="O211" s="12"/>
      <c r="P211" s="12"/>
      <c r="Q211" s="12"/>
      <c r="R211" s="36"/>
      <c r="S211" s="36"/>
      <c r="T211" s="12"/>
      <c r="U211" s="12"/>
      <c r="V211" s="12"/>
      <c r="W211" s="12"/>
      <c r="X211" s="12"/>
    </row>
    <row r="212" customFormat="false" ht="15.75" hidden="false" customHeight="false" outlineLevel="0" collapsed="false">
      <c r="A212" s="12"/>
      <c r="B212" s="34"/>
      <c r="C212" s="12"/>
      <c r="D212" s="12"/>
      <c r="E212" s="12"/>
      <c r="F212" s="12"/>
      <c r="G212" s="18"/>
      <c r="H212" s="35"/>
      <c r="I212" s="12"/>
      <c r="M212" s="12"/>
      <c r="N212" s="18"/>
      <c r="O212" s="12"/>
      <c r="P212" s="12"/>
      <c r="Q212" s="12"/>
      <c r="R212" s="36"/>
      <c r="S212" s="36"/>
      <c r="T212" s="12"/>
      <c r="U212" s="12"/>
      <c r="V212" s="12"/>
      <c r="W212" s="12"/>
      <c r="X212" s="12"/>
    </row>
    <row r="213" customFormat="false" ht="15.75" hidden="false" customHeight="false" outlineLevel="0" collapsed="false">
      <c r="A213" s="12"/>
      <c r="B213" s="34"/>
      <c r="C213" s="12"/>
      <c r="D213" s="12"/>
      <c r="E213" s="12"/>
      <c r="F213" s="12"/>
      <c r="G213" s="18"/>
      <c r="H213" s="35"/>
      <c r="I213" s="12"/>
      <c r="M213" s="12"/>
      <c r="N213" s="18"/>
      <c r="O213" s="12"/>
      <c r="P213" s="12"/>
      <c r="Q213" s="12"/>
      <c r="R213" s="36"/>
      <c r="S213" s="36"/>
      <c r="T213" s="12"/>
      <c r="U213" s="12"/>
      <c r="V213" s="12"/>
      <c r="W213" s="12"/>
      <c r="X213" s="12"/>
    </row>
    <row r="214" customFormat="false" ht="15.75" hidden="false" customHeight="false" outlineLevel="0" collapsed="false">
      <c r="A214" s="12"/>
      <c r="B214" s="34"/>
      <c r="C214" s="12"/>
      <c r="D214" s="12"/>
      <c r="E214" s="12"/>
      <c r="F214" s="12"/>
      <c r="G214" s="18"/>
      <c r="H214" s="35"/>
      <c r="I214" s="12"/>
      <c r="M214" s="12"/>
      <c r="N214" s="18"/>
      <c r="O214" s="12"/>
      <c r="P214" s="12"/>
      <c r="Q214" s="12"/>
      <c r="R214" s="36"/>
      <c r="S214" s="36"/>
      <c r="T214" s="12"/>
      <c r="U214" s="12"/>
      <c r="V214" s="12"/>
      <c r="W214" s="12"/>
      <c r="X214" s="12"/>
    </row>
    <row r="215" customFormat="false" ht="15.75" hidden="false" customHeight="false" outlineLevel="0" collapsed="false">
      <c r="A215" s="12"/>
      <c r="B215" s="34"/>
      <c r="C215" s="12"/>
      <c r="D215" s="12"/>
      <c r="E215" s="12"/>
      <c r="F215" s="12"/>
      <c r="G215" s="18"/>
      <c r="H215" s="35"/>
      <c r="I215" s="12"/>
      <c r="M215" s="12"/>
      <c r="N215" s="18"/>
      <c r="O215" s="12"/>
      <c r="P215" s="12"/>
      <c r="Q215" s="12"/>
      <c r="R215" s="36"/>
      <c r="S215" s="36"/>
      <c r="T215" s="12"/>
      <c r="U215" s="12"/>
      <c r="V215" s="12"/>
      <c r="W215" s="12"/>
      <c r="X215" s="12"/>
    </row>
    <row r="216" customFormat="false" ht="15.75" hidden="false" customHeight="false" outlineLevel="0" collapsed="false">
      <c r="A216" s="12"/>
      <c r="B216" s="34"/>
      <c r="C216" s="12"/>
      <c r="D216" s="12"/>
      <c r="E216" s="12"/>
      <c r="F216" s="12"/>
      <c r="G216" s="18"/>
      <c r="H216" s="35"/>
      <c r="I216" s="12"/>
      <c r="M216" s="12"/>
      <c r="N216" s="18"/>
      <c r="O216" s="12"/>
      <c r="P216" s="12"/>
      <c r="Q216" s="12"/>
      <c r="R216" s="36"/>
      <c r="S216" s="36"/>
      <c r="T216" s="12"/>
      <c r="U216" s="12"/>
      <c r="V216" s="12"/>
      <c r="W216" s="12"/>
      <c r="X216" s="12"/>
    </row>
    <row r="217" customFormat="false" ht="15.75" hidden="false" customHeight="false" outlineLevel="0" collapsed="false">
      <c r="A217" s="12"/>
      <c r="B217" s="34"/>
      <c r="C217" s="12"/>
      <c r="D217" s="12"/>
      <c r="E217" s="12"/>
      <c r="F217" s="12"/>
      <c r="G217" s="18"/>
      <c r="H217" s="35"/>
      <c r="I217" s="12"/>
      <c r="M217" s="12"/>
      <c r="N217" s="18"/>
      <c r="O217" s="12"/>
      <c r="P217" s="12"/>
      <c r="Q217" s="12"/>
      <c r="R217" s="36"/>
      <c r="S217" s="36"/>
      <c r="T217" s="12"/>
      <c r="U217" s="12"/>
      <c r="V217" s="12"/>
      <c r="W217" s="12"/>
      <c r="X217" s="12"/>
    </row>
    <row r="218" customFormat="false" ht="15.75" hidden="false" customHeight="false" outlineLevel="0" collapsed="false">
      <c r="A218" s="12"/>
      <c r="B218" s="34"/>
      <c r="C218" s="12"/>
      <c r="D218" s="12"/>
      <c r="E218" s="12"/>
      <c r="F218" s="12"/>
      <c r="G218" s="18"/>
      <c r="H218" s="35"/>
      <c r="I218" s="12"/>
      <c r="M218" s="12"/>
      <c r="N218" s="18"/>
      <c r="O218" s="12"/>
      <c r="P218" s="12"/>
      <c r="Q218" s="12"/>
      <c r="R218" s="36"/>
      <c r="S218" s="36"/>
      <c r="T218" s="12"/>
      <c r="U218" s="12"/>
      <c r="V218" s="12"/>
      <c r="W218" s="12"/>
      <c r="X218" s="12"/>
    </row>
    <row r="219" customFormat="false" ht="15.75" hidden="false" customHeight="false" outlineLevel="0" collapsed="false">
      <c r="A219" s="12"/>
      <c r="B219" s="34"/>
      <c r="C219" s="12"/>
      <c r="D219" s="12"/>
      <c r="E219" s="12"/>
      <c r="F219" s="12"/>
      <c r="G219" s="18"/>
      <c r="H219" s="35"/>
      <c r="I219" s="12"/>
      <c r="M219" s="12"/>
      <c r="N219" s="18"/>
      <c r="O219" s="12"/>
      <c r="P219" s="12"/>
      <c r="Q219" s="12"/>
      <c r="R219" s="36"/>
      <c r="S219" s="36"/>
      <c r="T219" s="12"/>
      <c r="U219" s="12"/>
      <c r="V219" s="12"/>
      <c r="W219" s="12"/>
      <c r="X219" s="12"/>
    </row>
    <row r="220" customFormat="false" ht="15.75" hidden="false" customHeight="false" outlineLevel="0" collapsed="false">
      <c r="A220" s="12"/>
      <c r="B220" s="34"/>
      <c r="C220" s="12"/>
      <c r="D220" s="12"/>
      <c r="E220" s="12"/>
      <c r="F220" s="12"/>
      <c r="G220" s="18"/>
      <c r="H220" s="35"/>
      <c r="I220" s="12"/>
      <c r="M220" s="12"/>
      <c r="N220" s="18"/>
      <c r="O220" s="12"/>
      <c r="P220" s="12"/>
      <c r="Q220" s="12"/>
      <c r="R220" s="36"/>
      <c r="S220" s="36"/>
      <c r="T220" s="12"/>
      <c r="U220" s="12"/>
      <c r="V220" s="12"/>
      <c r="W220" s="12"/>
      <c r="X220" s="12"/>
    </row>
    <row r="221" customFormat="false" ht="15.75" hidden="false" customHeight="false" outlineLevel="0" collapsed="false">
      <c r="A221" s="12"/>
      <c r="B221" s="34"/>
      <c r="C221" s="12"/>
      <c r="D221" s="12"/>
      <c r="E221" s="12"/>
      <c r="F221" s="12"/>
      <c r="G221" s="18"/>
      <c r="H221" s="35"/>
      <c r="I221" s="12"/>
      <c r="M221" s="12"/>
      <c r="N221" s="18"/>
      <c r="O221" s="12"/>
      <c r="P221" s="12"/>
      <c r="Q221" s="12"/>
      <c r="R221" s="36"/>
      <c r="S221" s="36"/>
      <c r="T221" s="12"/>
      <c r="U221" s="12"/>
      <c r="V221" s="12"/>
      <c r="W221" s="12"/>
      <c r="X221" s="12"/>
    </row>
    <row r="222" customFormat="false" ht="15.75" hidden="false" customHeight="false" outlineLevel="0" collapsed="false">
      <c r="A222" s="12"/>
      <c r="B222" s="34"/>
      <c r="C222" s="12"/>
      <c r="D222" s="12"/>
      <c r="E222" s="12"/>
      <c r="F222" s="12"/>
      <c r="G222" s="18"/>
      <c r="H222" s="35"/>
      <c r="I222" s="12"/>
      <c r="M222" s="12"/>
      <c r="N222" s="18"/>
      <c r="O222" s="12"/>
      <c r="P222" s="12"/>
      <c r="Q222" s="12"/>
      <c r="R222" s="36"/>
      <c r="S222" s="36"/>
      <c r="T222" s="12"/>
      <c r="U222" s="12"/>
      <c r="V222" s="12"/>
      <c r="W222" s="12"/>
      <c r="X222" s="12"/>
    </row>
    <row r="223" customFormat="false" ht="15.75" hidden="false" customHeight="false" outlineLevel="0" collapsed="false">
      <c r="A223" s="12"/>
      <c r="B223" s="34"/>
      <c r="C223" s="12"/>
      <c r="D223" s="12"/>
      <c r="E223" s="12"/>
      <c r="F223" s="12"/>
      <c r="G223" s="18"/>
      <c r="H223" s="35"/>
      <c r="I223" s="12"/>
      <c r="M223" s="12"/>
      <c r="N223" s="18"/>
      <c r="O223" s="12"/>
      <c r="P223" s="12"/>
      <c r="Q223" s="12"/>
      <c r="R223" s="36"/>
      <c r="S223" s="36"/>
      <c r="T223" s="12"/>
      <c r="U223" s="12"/>
      <c r="V223" s="12"/>
      <c r="W223" s="12"/>
      <c r="X223" s="12"/>
    </row>
    <row r="224" customFormat="false" ht="15.75" hidden="false" customHeight="false" outlineLevel="0" collapsed="false">
      <c r="A224" s="12"/>
      <c r="B224" s="34"/>
      <c r="C224" s="12"/>
      <c r="D224" s="12"/>
      <c r="E224" s="12"/>
      <c r="F224" s="12"/>
      <c r="G224" s="18"/>
      <c r="H224" s="35"/>
      <c r="I224" s="12"/>
      <c r="M224" s="12"/>
      <c r="N224" s="18"/>
      <c r="O224" s="12"/>
      <c r="P224" s="12"/>
      <c r="Q224" s="12"/>
      <c r="R224" s="36"/>
      <c r="S224" s="36"/>
      <c r="T224" s="12"/>
      <c r="U224" s="12"/>
      <c r="V224" s="12"/>
      <c r="W224" s="12"/>
      <c r="X224" s="12"/>
    </row>
    <row r="225" customFormat="false" ht="15.75" hidden="false" customHeight="false" outlineLevel="0" collapsed="false">
      <c r="A225" s="12"/>
      <c r="B225" s="34"/>
      <c r="C225" s="12"/>
      <c r="D225" s="12"/>
      <c r="E225" s="12"/>
      <c r="F225" s="12"/>
      <c r="G225" s="18"/>
      <c r="H225" s="35"/>
      <c r="I225" s="12"/>
      <c r="M225" s="12"/>
      <c r="N225" s="18"/>
      <c r="O225" s="12"/>
      <c r="P225" s="12"/>
      <c r="Q225" s="12"/>
      <c r="R225" s="36"/>
      <c r="S225" s="36"/>
      <c r="T225" s="12"/>
      <c r="U225" s="12"/>
      <c r="V225" s="12"/>
      <c r="W225" s="12"/>
      <c r="X225" s="12"/>
    </row>
    <row r="226" customFormat="false" ht="15.75" hidden="false" customHeight="false" outlineLevel="0" collapsed="false">
      <c r="A226" s="12"/>
      <c r="B226" s="34"/>
      <c r="C226" s="12"/>
      <c r="D226" s="12"/>
      <c r="E226" s="12"/>
      <c r="F226" s="12"/>
      <c r="G226" s="18"/>
      <c r="H226" s="35"/>
      <c r="I226" s="12"/>
      <c r="M226" s="12"/>
      <c r="N226" s="18"/>
      <c r="O226" s="12"/>
      <c r="P226" s="12"/>
      <c r="Q226" s="12"/>
      <c r="R226" s="36"/>
      <c r="S226" s="36"/>
      <c r="T226" s="12"/>
      <c r="U226" s="12"/>
      <c r="V226" s="12"/>
      <c r="W226" s="12"/>
      <c r="X226" s="12"/>
    </row>
    <row r="227" customFormat="false" ht="15.75" hidden="false" customHeight="false" outlineLevel="0" collapsed="false">
      <c r="A227" s="12"/>
      <c r="B227" s="34"/>
      <c r="C227" s="12"/>
      <c r="D227" s="12"/>
      <c r="E227" s="12"/>
      <c r="F227" s="12"/>
      <c r="G227" s="18"/>
      <c r="H227" s="35"/>
      <c r="I227" s="12"/>
      <c r="M227" s="12"/>
      <c r="N227" s="18"/>
      <c r="O227" s="12"/>
      <c r="P227" s="12"/>
      <c r="Q227" s="12"/>
      <c r="R227" s="36"/>
      <c r="S227" s="36"/>
      <c r="T227" s="12"/>
      <c r="U227" s="12"/>
      <c r="V227" s="12"/>
      <c r="W227" s="12"/>
      <c r="X227" s="12"/>
    </row>
    <row r="228" customFormat="false" ht="15.75" hidden="false" customHeight="false" outlineLevel="0" collapsed="false">
      <c r="A228" s="12"/>
      <c r="B228" s="34"/>
      <c r="C228" s="12"/>
      <c r="D228" s="12"/>
      <c r="E228" s="12"/>
      <c r="F228" s="12"/>
      <c r="G228" s="18"/>
      <c r="H228" s="35"/>
      <c r="I228" s="12"/>
      <c r="M228" s="12"/>
      <c r="N228" s="18"/>
      <c r="O228" s="12"/>
      <c r="P228" s="12"/>
      <c r="Q228" s="12"/>
      <c r="R228" s="36"/>
      <c r="S228" s="36"/>
      <c r="T228" s="12"/>
      <c r="U228" s="12"/>
      <c r="V228" s="12"/>
      <c r="W228" s="12"/>
      <c r="X228" s="12"/>
    </row>
    <row r="229" customFormat="false" ht="15.75" hidden="false" customHeight="false" outlineLevel="0" collapsed="false">
      <c r="A229" s="12"/>
      <c r="B229" s="34"/>
      <c r="C229" s="12"/>
      <c r="D229" s="12"/>
      <c r="E229" s="12"/>
      <c r="F229" s="12"/>
      <c r="G229" s="18"/>
      <c r="H229" s="35"/>
      <c r="I229" s="12"/>
      <c r="M229" s="12"/>
      <c r="N229" s="18"/>
      <c r="O229" s="12"/>
      <c r="P229" s="12"/>
      <c r="Q229" s="12"/>
      <c r="R229" s="36"/>
      <c r="S229" s="36"/>
      <c r="T229" s="12"/>
      <c r="U229" s="12"/>
      <c r="V229" s="12"/>
      <c r="W229" s="12"/>
      <c r="X229" s="12"/>
    </row>
    <row r="230" customFormat="false" ht="15.75" hidden="false" customHeight="false" outlineLevel="0" collapsed="false">
      <c r="A230" s="12"/>
      <c r="B230" s="34"/>
      <c r="C230" s="12"/>
      <c r="D230" s="12"/>
      <c r="E230" s="12"/>
      <c r="F230" s="12"/>
      <c r="G230" s="18"/>
      <c r="H230" s="35"/>
      <c r="I230" s="12"/>
      <c r="M230" s="12"/>
      <c r="N230" s="18"/>
      <c r="O230" s="12"/>
      <c r="P230" s="12"/>
      <c r="Q230" s="12"/>
      <c r="R230" s="36"/>
      <c r="S230" s="36"/>
      <c r="T230" s="12"/>
      <c r="U230" s="12"/>
      <c r="V230" s="12"/>
      <c r="W230" s="12"/>
      <c r="X230" s="12"/>
    </row>
    <row r="231" customFormat="false" ht="15.75" hidden="false" customHeight="false" outlineLevel="0" collapsed="false">
      <c r="A231" s="12"/>
      <c r="B231" s="34"/>
      <c r="C231" s="12"/>
      <c r="D231" s="12"/>
      <c r="E231" s="12"/>
      <c r="F231" s="12"/>
      <c r="G231" s="18"/>
      <c r="H231" s="35"/>
      <c r="I231" s="12"/>
      <c r="M231" s="12"/>
      <c r="N231" s="18"/>
      <c r="O231" s="12"/>
      <c r="P231" s="12"/>
      <c r="Q231" s="12"/>
      <c r="R231" s="36"/>
      <c r="S231" s="36"/>
      <c r="T231" s="12"/>
      <c r="U231" s="12"/>
      <c r="V231" s="12"/>
      <c r="W231" s="12"/>
      <c r="X231" s="12"/>
    </row>
    <row r="232" customFormat="false" ht="15.75" hidden="false" customHeight="false" outlineLevel="0" collapsed="false">
      <c r="A232" s="12"/>
      <c r="B232" s="34"/>
      <c r="C232" s="12"/>
      <c r="D232" s="12"/>
      <c r="E232" s="12"/>
      <c r="F232" s="12"/>
      <c r="G232" s="18"/>
      <c r="H232" s="35"/>
      <c r="I232" s="12"/>
      <c r="M232" s="12"/>
      <c r="N232" s="18"/>
      <c r="O232" s="12"/>
      <c r="P232" s="12"/>
      <c r="Q232" s="12"/>
      <c r="R232" s="36"/>
      <c r="S232" s="36"/>
      <c r="T232" s="12"/>
      <c r="U232" s="12"/>
      <c r="V232" s="12"/>
      <c r="W232" s="12"/>
      <c r="X232" s="12"/>
    </row>
    <row r="233" customFormat="false" ht="15.75" hidden="false" customHeight="false" outlineLevel="0" collapsed="false">
      <c r="A233" s="12"/>
      <c r="B233" s="34"/>
      <c r="C233" s="12"/>
      <c r="D233" s="12"/>
      <c r="E233" s="12"/>
      <c r="F233" s="12"/>
      <c r="G233" s="18"/>
      <c r="H233" s="35"/>
      <c r="I233" s="12"/>
      <c r="M233" s="12"/>
      <c r="N233" s="18"/>
      <c r="O233" s="12"/>
      <c r="P233" s="12"/>
      <c r="Q233" s="12"/>
      <c r="R233" s="36"/>
      <c r="S233" s="36"/>
      <c r="T233" s="12"/>
      <c r="U233" s="12"/>
      <c r="V233" s="12"/>
      <c r="W233" s="12"/>
      <c r="X233" s="12"/>
    </row>
    <row r="234" customFormat="false" ht="15.75" hidden="false" customHeight="false" outlineLevel="0" collapsed="false">
      <c r="A234" s="12"/>
      <c r="B234" s="34"/>
      <c r="C234" s="12"/>
      <c r="D234" s="12"/>
      <c r="E234" s="12"/>
      <c r="F234" s="12"/>
      <c r="G234" s="18"/>
      <c r="H234" s="35"/>
      <c r="I234" s="12"/>
      <c r="M234" s="12"/>
      <c r="N234" s="18"/>
      <c r="O234" s="12"/>
      <c r="P234" s="12"/>
      <c r="Q234" s="12"/>
      <c r="R234" s="36"/>
      <c r="S234" s="36"/>
      <c r="T234" s="12"/>
      <c r="U234" s="12"/>
      <c r="V234" s="12"/>
      <c r="W234" s="12"/>
      <c r="X234" s="12"/>
    </row>
    <row r="235" customFormat="false" ht="15.75" hidden="false" customHeight="false" outlineLevel="0" collapsed="false">
      <c r="A235" s="12"/>
      <c r="B235" s="34"/>
      <c r="C235" s="12"/>
      <c r="D235" s="12"/>
      <c r="E235" s="12"/>
      <c r="F235" s="12"/>
      <c r="G235" s="18"/>
      <c r="H235" s="35"/>
      <c r="I235" s="12"/>
      <c r="M235" s="12"/>
      <c r="N235" s="18"/>
      <c r="O235" s="12"/>
      <c r="P235" s="12"/>
      <c r="Q235" s="12"/>
      <c r="R235" s="36"/>
      <c r="S235" s="36"/>
      <c r="T235" s="12"/>
      <c r="U235" s="12"/>
      <c r="V235" s="12"/>
      <c r="W235" s="12"/>
      <c r="X235" s="12"/>
    </row>
    <row r="236" customFormat="false" ht="15.75" hidden="false" customHeight="false" outlineLevel="0" collapsed="false">
      <c r="A236" s="12"/>
      <c r="B236" s="34"/>
      <c r="C236" s="12"/>
      <c r="D236" s="12"/>
      <c r="E236" s="12"/>
      <c r="F236" s="12"/>
      <c r="G236" s="18"/>
      <c r="H236" s="35"/>
      <c r="I236" s="12"/>
      <c r="M236" s="12"/>
      <c r="N236" s="18"/>
      <c r="O236" s="12"/>
      <c r="P236" s="12"/>
      <c r="Q236" s="12"/>
      <c r="R236" s="36"/>
      <c r="S236" s="36"/>
      <c r="T236" s="12"/>
      <c r="U236" s="12"/>
      <c r="V236" s="12"/>
      <c r="W236" s="12"/>
      <c r="X236" s="12"/>
    </row>
    <row r="237" customFormat="false" ht="15.75" hidden="false" customHeight="false" outlineLevel="0" collapsed="false">
      <c r="A237" s="12"/>
      <c r="B237" s="34"/>
      <c r="C237" s="12"/>
      <c r="D237" s="12"/>
      <c r="E237" s="12"/>
      <c r="F237" s="12"/>
      <c r="G237" s="18"/>
      <c r="H237" s="35"/>
      <c r="I237" s="12"/>
      <c r="M237" s="12"/>
      <c r="N237" s="18"/>
      <c r="O237" s="12"/>
      <c r="P237" s="12"/>
      <c r="Q237" s="12"/>
      <c r="R237" s="36"/>
      <c r="S237" s="36"/>
      <c r="T237" s="12"/>
      <c r="U237" s="12"/>
      <c r="V237" s="12"/>
      <c r="W237" s="12"/>
      <c r="X237" s="12"/>
    </row>
    <row r="238" customFormat="false" ht="15.75" hidden="false" customHeight="false" outlineLevel="0" collapsed="false">
      <c r="A238" s="12"/>
      <c r="B238" s="34"/>
      <c r="C238" s="12"/>
      <c r="D238" s="12"/>
      <c r="E238" s="12"/>
      <c r="F238" s="12"/>
      <c r="G238" s="18"/>
      <c r="H238" s="35"/>
      <c r="I238" s="12"/>
      <c r="M238" s="12"/>
      <c r="N238" s="18"/>
      <c r="O238" s="12"/>
      <c r="P238" s="12"/>
      <c r="Q238" s="12"/>
      <c r="R238" s="36"/>
      <c r="S238" s="36"/>
      <c r="T238" s="12"/>
      <c r="U238" s="12"/>
      <c r="V238" s="12"/>
      <c r="W238" s="12"/>
      <c r="X238" s="12"/>
    </row>
    <row r="239" customFormat="false" ht="15.75" hidden="false" customHeight="false" outlineLevel="0" collapsed="false">
      <c r="A239" s="12"/>
      <c r="B239" s="34"/>
      <c r="C239" s="12"/>
      <c r="D239" s="12"/>
      <c r="E239" s="12"/>
      <c r="F239" s="12"/>
      <c r="G239" s="18"/>
      <c r="H239" s="35"/>
      <c r="I239" s="12"/>
      <c r="M239" s="12"/>
      <c r="N239" s="18"/>
      <c r="O239" s="12"/>
      <c r="P239" s="12"/>
      <c r="Q239" s="12"/>
      <c r="R239" s="36"/>
      <c r="S239" s="36"/>
      <c r="T239" s="12"/>
      <c r="U239" s="12"/>
      <c r="V239" s="12"/>
      <c r="W239" s="12"/>
      <c r="X239" s="12"/>
    </row>
    <row r="240" customFormat="false" ht="15.75" hidden="false" customHeight="false" outlineLevel="0" collapsed="false">
      <c r="A240" s="12"/>
      <c r="B240" s="34"/>
      <c r="C240" s="12"/>
      <c r="D240" s="12"/>
      <c r="E240" s="12"/>
      <c r="F240" s="12"/>
      <c r="G240" s="18"/>
      <c r="H240" s="35"/>
      <c r="I240" s="12"/>
      <c r="M240" s="12"/>
      <c r="N240" s="18"/>
      <c r="O240" s="12"/>
      <c r="P240" s="12"/>
      <c r="Q240" s="12"/>
      <c r="R240" s="36"/>
      <c r="S240" s="36"/>
      <c r="T240" s="12"/>
      <c r="U240" s="12"/>
      <c r="V240" s="12"/>
      <c r="W240" s="12"/>
      <c r="X240" s="12"/>
    </row>
    <row r="241" customFormat="false" ht="15.75" hidden="false" customHeight="false" outlineLevel="0" collapsed="false">
      <c r="A241" s="12"/>
      <c r="B241" s="34"/>
      <c r="C241" s="12"/>
      <c r="D241" s="12"/>
      <c r="E241" s="12"/>
      <c r="F241" s="12"/>
      <c r="G241" s="18"/>
      <c r="H241" s="35"/>
      <c r="I241" s="12"/>
      <c r="M241" s="12"/>
      <c r="N241" s="18"/>
      <c r="O241" s="12"/>
      <c r="P241" s="12"/>
      <c r="Q241" s="12"/>
      <c r="R241" s="36"/>
      <c r="S241" s="36"/>
      <c r="T241" s="12"/>
      <c r="U241" s="12"/>
      <c r="V241" s="12"/>
      <c r="W241" s="12"/>
      <c r="X241" s="12"/>
    </row>
    <row r="242" customFormat="false" ht="15.75" hidden="false" customHeight="false" outlineLevel="0" collapsed="false">
      <c r="A242" s="12"/>
      <c r="B242" s="34"/>
      <c r="C242" s="12"/>
      <c r="D242" s="12"/>
      <c r="E242" s="12"/>
      <c r="F242" s="12"/>
      <c r="G242" s="18"/>
      <c r="H242" s="35"/>
      <c r="I242" s="12"/>
      <c r="M242" s="12"/>
      <c r="N242" s="18"/>
      <c r="O242" s="12"/>
      <c r="P242" s="12"/>
      <c r="Q242" s="12"/>
      <c r="R242" s="36"/>
      <c r="S242" s="36"/>
      <c r="T242" s="12"/>
      <c r="U242" s="12"/>
      <c r="V242" s="12"/>
      <c r="W242" s="12"/>
      <c r="X242" s="12"/>
    </row>
    <row r="243" customFormat="false" ht="15.75" hidden="false" customHeight="false" outlineLevel="0" collapsed="false">
      <c r="A243" s="12"/>
      <c r="B243" s="34"/>
      <c r="C243" s="12"/>
      <c r="D243" s="12"/>
      <c r="E243" s="12"/>
      <c r="F243" s="12"/>
      <c r="G243" s="18"/>
      <c r="H243" s="35"/>
      <c r="I243" s="12"/>
      <c r="M243" s="12"/>
      <c r="N243" s="18"/>
      <c r="O243" s="12"/>
      <c r="P243" s="12"/>
      <c r="Q243" s="12"/>
      <c r="R243" s="36"/>
      <c r="S243" s="36"/>
      <c r="T243" s="12"/>
      <c r="U243" s="12"/>
      <c r="V243" s="12"/>
      <c r="W243" s="12"/>
      <c r="X243" s="12"/>
    </row>
    <row r="244" customFormat="false" ht="15.75" hidden="false" customHeight="false" outlineLevel="0" collapsed="false">
      <c r="A244" s="12"/>
      <c r="B244" s="34"/>
      <c r="C244" s="12"/>
      <c r="D244" s="12"/>
      <c r="E244" s="12"/>
      <c r="F244" s="12"/>
      <c r="G244" s="18"/>
      <c r="H244" s="35"/>
      <c r="I244" s="12"/>
      <c r="M244" s="12"/>
      <c r="N244" s="18"/>
      <c r="O244" s="12"/>
      <c r="P244" s="12"/>
      <c r="Q244" s="12"/>
      <c r="R244" s="36"/>
      <c r="S244" s="36"/>
      <c r="T244" s="12"/>
      <c r="U244" s="12"/>
      <c r="V244" s="12"/>
      <c r="W244" s="12"/>
      <c r="X244" s="12"/>
    </row>
    <row r="245" customFormat="false" ht="15.75" hidden="false" customHeight="false" outlineLevel="0" collapsed="false">
      <c r="A245" s="12"/>
      <c r="B245" s="34"/>
      <c r="C245" s="12"/>
      <c r="D245" s="12"/>
      <c r="E245" s="12"/>
      <c r="F245" s="12"/>
      <c r="G245" s="18"/>
      <c r="H245" s="35"/>
      <c r="I245" s="12"/>
      <c r="M245" s="12"/>
      <c r="N245" s="18"/>
      <c r="O245" s="12"/>
      <c r="P245" s="12"/>
      <c r="Q245" s="12"/>
      <c r="R245" s="36"/>
      <c r="S245" s="36"/>
      <c r="T245" s="12"/>
      <c r="U245" s="12"/>
      <c r="V245" s="12"/>
      <c r="W245" s="12"/>
      <c r="X245" s="12"/>
    </row>
    <row r="246" customFormat="false" ht="15.75" hidden="false" customHeight="false" outlineLevel="0" collapsed="false">
      <c r="A246" s="12"/>
      <c r="B246" s="34"/>
      <c r="C246" s="12"/>
      <c r="D246" s="12"/>
      <c r="E246" s="12"/>
      <c r="F246" s="12"/>
      <c r="G246" s="18"/>
      <c r="H246" s="35"/>
      <c r="I246" s="12"/>
      <c r="M246" s="12"/>
      <c r="N246" s="18"/>
      <c r="O246" s="12"/>
      <c r="P246" s="12"/>
      <c r="Q246" s="12"/>
      <c r="R246" s="36"/>
      <c r="S246" s="36"/>
      <c r="T246" s="12"/>
      <c r="U246" s="12"/>
      <c r="V246" s="12"/>
      <c r="W246" s="12"/>
      <c r="X246" s="12"/>
    </row>
    <row r="247" customFormat="false" ht="15.75" hidden="false" customHeight="false" outlineLevel="0" collapsed="false">
      <c r="A247" s="12"/>
      <c r="B247" s="34"/>
      <c r="C247" s="12"/>
      <c r="D247" s="12"/>
      <c r="E247" s="12"/>
      <c r="F247" s="12"/>
      <c r="G247" s="18"/>
      <c r="H247" s="35"/>
      <c r="I247" s="12"/>
      <c r="M247" s="12"/>
      <c r="N247" s="18"/>
      <c r="O247" s="12"/>
      <c r="P247" s="12"/>
      <c r="Q247" s="12"/>
      <c r="R247" s="36"/>
      <c r="S247" s="36"/>
      <c r="T247" s="12"/>
      <c r="U247" s="12"/>
      <c r="V247" s="12"/>
      <c r="W247" s="12"/>
      <c r="X247" s="12"/>
    </row>
    <row r="248" customFormat="false" ht="15.75" hidden="false" customHeight="false" outlineLevel="0" collapsed="false">
      <c r="A248" s="12"/>
      <c r="B248" s="34"/>
      <c r="C248" s="12"/>
      <c r="D248" s="12"/>
      <c r="E248" s="12"/>
      <c r="F248" s="12"/>
      <c r="G248" s="18"/>
      <c r="H248" s="35"/>
      <c r="I248" s="12"/>
      <c r="M248" s="12"/>
      <c r="N248" s="18"/>
      <c r="O248" s="12"/>
      <c r="P248" s="12"/>
      <c r="Q248" s="12"/>
      <c r="R248" s="36"/>
      <c r="S248" s="36"/>
      <c r="T248" s="12"/>
      <c r="U248" s="12"/>
      <c r="V248" s="12"/>
      <c r="W248" s="12"/>
      <c r="X248" s="12"/>
    </row>
    <row r="249" customFormat="false" ht="15.75" hidden="false" customHeight="false" outlineLevel="0" collapsed="false">
      <c r="A249" s="12"/>
      <c r="B249" s="34"/>
      <c r="C249" s="12"/>
      <c r="D249" s="12"/>
      <c r="E249" s="12"/>
      <c r="F249" s="12"/>
      <c r="G249" s="18"/>
      <c r="H249" s="35"/>
      <c r="I249" s="12"/>
      <c r="M249" s="12"/>
      <c r="N249" s="18"/>
      <c r="O249" s="12"/>
      <c r="P249" s="12"/>
      <c r="Q249" s="12"/>
      <c r="R249" s="36"/>
      <c r="S249" s="36"/>
      <c r="T249" s="12"/>
      <c r="U249" s="12"/>
      <c r="V249" s="12"/>
      <c r="W249" s="12"/>
      <c r="X249" s="12"/>
    </row>
    <row r="250" customFormat="false" ht="15.75" hidden="false" customHeight="false" outlineLevel="0" collapsed="false">
      <c r="A250" s="12"/>
      <c r="B250" s="34"/>
      <c r="C250" s="12"/>
      <c r="D250" s="12"/>
      <c r="E250" s="12"/>
      <c r="F250" s="12"/>
      <c r="G250" s="18"/>
      <c r="H250" s="35"/>
      <c r="I250" s="12"/>
      <c r="M250" s="12"/>
      <c r="N250" s="18"/>
      <c r="O250" s="12"/>
      <c r="P250" s="12"/>
      <c r="Q250" s="12"/>
      <c r="R250" s="36"/>
      <c r="S250" s="36"/>
      <c r="T250" s="12"/>
      <c r="U250" s="12"/>
      <c r="V250" s="12"/>
      <c r="W250" s="12"/>
      <c r="X250" s="12"/>
    </row>
    <row r="251" customFormat="false" ht="15.75" hidden="false" customHeight="false" outlineLevel="0" collapsed="false">
      <c r="A251" s="12"/>
      <c r="B251" s="34"/>
      <c r="C251" s="12"/>
      <c r="D251" s="12"/>
      <c r="E251" s="12"/>
      <c r="F251" s="12"/>
      <c r="G251" s="18"/>
      <c r="H251" s="35"/>
      <c r="I251" s="12"/>
      <c r="M251" s="12"/>
      <c r="N251" s="18"/>
      <c r="O251" s="12"/>
      <c r="P251" s="12"/>
      <c r="Q251" s="12"/>
      <c r="R251" s="36"/>
      <c r="S251" s="36"/>
      <c r="T251" s="12"/>
      <c r="U251" s="12"/>
      <c r="V251" s="12"/>
      <c r="W251" s="12"/>
      <c r="X251" s="12"/>
    </row>
    <row r="252" customFormat="false" ht="15.75" hidden="false" customHeight="false" outlineLevel="0" collapsed="false">
      <c r="A252" s="12"/>
      <c r="B252" s="34"/>
      <c r="C252" s="12"/>
      <c r="D252" s="12"/>
      <c r="E252" s="12"/>
      <c r="F252" s="12"/>
      <c r="G252" s="18"/>
      <c r="H252" s="35"/>
      <c r="I252" s="12"/>
      <c r="M252" s="12"/>
      <c r="N252" s="18"/>
      <c r="O252" s="12"/>
      <c r="P252" s="12"/>
      <c r="Q252" s="12"/>
      <c r="R252" s="36"/>
      <c r="S252" s="36"/>
      <c r="T252" s="12"/>
      <c r="U252" s="12"/>
      <c r="V252" s="12"/>
      <c r="W252" s="12"/>
      <c r="X252" s="12"/>
    </row>
    <row r="253" customFormat="false" ht="15.75" hidden="false" customHeight="false" outlineLevel="0" collapsed="false">
      <c r="A253" s="12"/>
      <c r="B253" s="34"/>
      <c r="C253" s="12"/>
      <c r="D253" s="12"/>
      <c r="E253" s="12"/>
      <c r="F253" s="12"/>
      <c r="G253" s="18"/>
      <c r="H253" s="35"/>
      <c r="I253" s="12"/>
      <c r="M253" s="12"/>
      <c r="N253" s="18"/>
      <c r="O253" s="12"/>
      <c r="P253" s="12"/>
      <c r="Q253" s="12"/>
      <c r="R253" s="36"/>
      <c r="S253" s="36"/>
      <c r="T253" s="12"/>
      <c r="U253" s="12"/>
      <c r="V253" s="12"/>
      <c r="W253" s="12"/>
      <c r="X253" s="12"/>
    </row>
    <row r="254" customFormat="false" ht="15.75" hidden="false" customHeight="false" outlineLevel="0" collapsed="false">
      <c r="A254" s="12"/>
      <c r="B254" s="34"/>
      <c r="C254" s="12"/>
      <c r="D254" s="12"/>
      <c r="E254" s="12"/>
      <c r="F254" s="12"/>
      <c r="G254" s="18"/>
      <c r="H254" s="35"/>
      <c r="I254" s="12"/>
      <c r="M254" s="12"/>
      <c r="N254" s="18"/>
      <c r="O254" s="12"/>
      <c r="P254" s="12"/>
      <c r="Q254" s="12"/>
      <c r="R254" s="36"/>
      <c r="S254" s="36"/>
      <c r="T254" s="12"/>
      <c r="U254" s="12"/>
      <c r="V254" s="12"/>
      <c r="W254" s="12"/>
      <c r="X254" s="12"/>
    </row>
    <row r="255" customFormat="false" ht="15.75" hidden="false" customHeight="false" outlineLevel="0" collapsed="false">
      <c r="A255" s="12"/>
      <c r="B255" s="34"/>
      <c r="C255" s="12"/>
      <c r="D255" s="12"/>
      <c r="E255" s="12"/>
      <c r="F255" s="12"/>
      <c r="G255" s="18"/>
      <c r="H255" s="35"/>
      <c r="I255" s="12"/>
      <c r="M255" s="12"/>
      <c r="N255" s="18"/>
      <c r="O255" s="12"/>
      <c r="P255" s="12"/>
      <c r="Q255" s="12"/>
      <c r="R255" s="36"/>
      <c r="S255" s="36"/>
      <c r="T255" s="12"/>
      <c r="U255" s="12"/>
      <c r="V255" s="12"/>
      <c r="W255" s="12"/>
      <c r="X255" s="12"/>
    </row>
    <row r="256" customFormat="false" ht="15.75" hidden="false" customHeight="false" outlineLevel="0" collapsed="false">
      <c r="A256" s="12"/>
      <c r="B256" s="34"/>
      <c r="C256" s="12"/>
      <c r="D256" s="12"/>
      <c r="E256" s="12"/>
      <c r="F256" s="12"/>
      <c r="G256" s="18"/>
      <c r="H256" s="35"/>
      <c r="I256" s="12"/>
      <c r="M256" s="12"/>
      <c r="N256" s="18"/>
      <c r="O256" s="12"/>
      <c r="P256" s="12"/>
      <c r="Q256" s="12"/>
      <c r="R256" s="36"/>
      <c r="S256" s="36"/>
      <c r="T256" s="12"/>
      <c r="U256" s="12"/>
      <c r="V256" s="12"/>
      <c r="W256" s="12"/>
      <c r="X256" s="12"/>
    </row>
    <row r="257" customFormat="false" ht="15.75" hidden="false" customHeight="false" outlineLevel="0" collapsed="false">
      <c r="A257" s="12"/>
      <c r="B257" s="34"/>
      <c r="C257" s="12"/>
      <c r="D257" s="12"/>
      <c r="E257" s="12"/>
      <c r="F257" s="12"/>
      <c r="G257" s="18"/>
      <c r="H257" s="35"/>
      <c r="I257" s="12"/>
      <c r="M257" s="12"/>
      <c r="N257" s="18"/>
      <c r="O257" s="12"/>
      <c r="P257" s="12"/>
      <c r="Q257" s="12"/>
      <c r="R257" s="36"/>
      <c r="S257" s="36"/>
      <c r="T257" s="12"/>
      <c r="U257" s="12"/>
      <c r="V257" s="12"/>
      <c r="W257" s="12"/>
      <c r="X257" s="12"/>
    </row>
    <row r="258" customFormat="false" ht="15.75" hidden="false" customHeight="false" outlineLevel="0" collapsed="false">
      <c r="A258" s="12"/>
      <c r="B258" s="34"/>
      <c r="C258" s="12"/>
      <c r="D258" s="12"/>
      <c r="E258" s="12"/>
      <c r="F258" s="12"/>
      <c r="G258" s="18"/>
      <c r="H258" s="35"/>
      <c r="I258" s="12"/>
      <c r="M258" s="12"/>
      <c r="N258" s="18"/>
      <c r="O258" s="12"/>
      <c r="P258" s="12"/>
      <c r="Q258" s="12"/>
      <c r="R258" s="36"/>
      <c r="S258" s="36"/>
      <c r="T258" s="12"/>
      <c r="U258" s="12"/>
      <c r="V258" s="12"/>
      <c r="W258" s="12"/>
      <c r="X258" s="12"/>
    </row>
    <row r="259" customFormat="false" ht="15.75" hidden="false" customHeight="false" outlineLevel="0" collapsed="false">
      <c r="A259" s="12"/>
      <c r="B259" s="34"/>
      <c r="C259" s="12"/>
      <c r="D259" s="12"/>
      <c r="E259" s="12"/>
      <c r="F259" s="12"/>
      <c r="G259" s="18"/>
      <c r="H259" s="35"/>
      <c r="I259" s="12"/>
      <c r="M259" s="12"/>
      <c r="N259" s="18"/>
      <c r="O259" s="12"/>
      <c r="P259" s="12"/>
      <c r="Q259" s="12"/>
      <c r="R259" s="36"/>
      <c r="S259" s="36"/>
      <c r="T259" s="12"/>
      <c r="U259" s="12"/>
      <c r="V259" s="12"/>
      <c r="W259" s="12"/>
      <c r="X259" s="12"/>
    </row>
    <row r="260" customFormat="false" ht="15.75" hidden="false" customHeight="false" outlineLevel="0" collapsed="false">
      <c r="A260" s="12"/>
      <c r="B260" s="34"/>
      <c r="C260" s="12"/>
      <c r="D260" s="12"/>
      <c r="E260" s="12"/>
      <c r="F260" s="12"/>
      <c r="G260" s="18"/>
      <c r="H260" s="35"/>
      <c r="I260" s="12"/>
      <c r="M260" s="12"/>
      <c r="N260" s="18"/>
      <c r="O260" s="12"/>
      <c r="P260" s="12"/>
      <c r="Q260" s="12"/>
      <c r="R260" s="36"/>
      <c r="S260" s="36"/>
      <c r="T260" s="12"/>
      <c r="U260" s="12"/>
      <c r="V260" s="12"/>
      <c r="W260" s="12"/>
      <c r="X260" s="12"/>
    </row>
    <row r="261" customFormat="false" ht="15.75" hidden="false" customHeight="false" outlineLevel="0" collapsed="false">
      <c r="A261" s="12"/>
      <c r="B261" s="34"/>
      <c r="C261" s="12"/>
      <c r="D261" s="12"/>
      <c r="E261" s="12"/>
      <c r="F261" s="12"/>
      <c r="G261" s="18"/>
      <c r="H261" s="35"/>
      <c r="I261" s="12"/>
      <c r="M261" s="12"/>
      <c r="N261" s="18"/>
      <c r="O261" s="12"/>
      <c r="P261" s="12"/>
      <c r="Q261" s="12"/>
      <c r="R261" s="36"/>
      <c r="S261" s="36"/>
      <c r="T261" s="12"/>
      <c r="U261" s="12"/>
      <c r="V261" s="12"/>
      <c r="W261" s="12"/>
      <c r="X261" s="12"/>
    </row>
    <row r="262" customFormat="false" ht="15.75" hidden="false" customHeight="false" outlineLevel="0" collapsed="false">
      <c r="A262" s="12"/>
      <c r="B262" s="34"/>
      <c r="C262" s="12"/>
      <c r="D262" s="12"/>
      <c r="E262" s="12"/>
      <c r="F262" s="12"/>
      <c r="G262" s="18"/>
      <c r="H262" s="35"/>
      <c r="I262" s="12"/>
      <c r="M262" s="12"/>
      <c r="N262" s="18"/>
      <c r="O262" s="12"/>
      <c r="P262" s="12"/>
      <c r="Q262" s="12"/>
      <c r="R262" s="36"/>
      <c r="S262" s="36"/>
      <c r="T262" s="12"/>
      <c r="U262" s="12"/>
      <c r="V262" s="12"/>
      <c r="W262" s="12"/>
      <c r="X262" s="12"/>
    </row>
    <row r="263" customFormat="false" ht="15.75" hidden="false" customHeight="false" outlineLevel="0" collapsed="false">
      <c r="A263" s="12"/>
      <c r="B263" s="34"/>
      <c r="C263" s="12"/>
      <c r="D263" s="12"/>
      <c r="E263" s="12"/>
      <c r="F263" s="12"/>
      <c r="G263" s="18"/>
      <c r="H263" s="35"/>
      <c r="I263" s="12"/>
      <c r="M263" s="12"/>
      <c r="N263" s="18"/>
      <c r="O263" s="12"/>
      <c r="P263" s="12"/>
      <c r="Q263" s="12"/>
      <c r="R263" s="36"/>
      <c r="S263" s="36"/>
      <c r="T263" s="12"/>
      <c r="U263" s="12"/>
      <c r="V263" s="12"/>
      <c r="W263" s="12"/>
      <c r="X263" s="12"/>
    </row>
    <row r="264" customFormat="false" ht="15.75" hidden="false" customHeight="false" outlineLevel="0" collapsed="false">
      <c r="A264" s="12"/>
      <c r="B264" s="34"/>
      <c r="C264" s="12"/>
      <c r="D264" s="12"/>
      <c r="E264" s="12"/>
      <c r="F264" s="12"/>
      <c r="G264" s="18"/>
      <c r="H264" s="35"/>
      <c r="I264" s="12"/>
      <c r="M264" s="12"/>
      <c r="N264" s="18"/>
      <c r="O264" s="12"/>
      <c r="P264" s="12"/>
      <c r="Q264" s="12"/>
      <c r="R264" s="36"/>
      <c r="S264" s="36"/>
      <c r="T264" s="12"/>
      <c r="U264" s="12"/>
      <c r="V264" s="12"/>
      <c r="W264" s="12"/>
      <c r="X264" s="12"/>
    </row>
    <row r="265" customFormat="false" ht="15.75" hidden="false" customHeight="false" outlineLevel="0" collapsed="false">
      <c r="A265" s="12"/>
      <c r="B265" s="34"/>
      <c r="C265" s="12"/>
      <c r="D265" s="12"/>
      <c r="E265" s="12"/>
      <c r="F265" s="12"/>
      <c r="G265" s="18"/>
      <c r="H265" s="35"/>
      <c r="I265" s="12"/>
      <c r="M265" s="12"/>
      <c r="N265" s="18"/>
      <c r="O265" s="12"/>
      <c r="P265" s="12"/>
      <c r="Q265" s="12"/>
      <c r="R265" s="36"/>
      <c r="S265" s="36"/>
      <c r="T265" s="12"/>
      <c r="U265" s="12"/>
      <c r="V265" s="12"/>
      <c r="W265" s="12"/>
      <c r="X265" s="12"/>
    </row>
    <row r="266" customFormat="false" ht="15.75" hidden="false" customHeight="false" outlineLevel="0" collapsed="false">
      <c r="A266" s="12"/>
      <c r="B266" s="34"/>
      <c r="C266" s="12"/>
      <c r="D266" s="12"/>
      <c r="E266" s="12"/>
      <c r="F266" s="12"/>
      <c r="G266" s="18"/>
      <c r="H266" s="35"/>
      <c r="I266" s="12"/>
      <c r="M266" s="12"/>
      <c r="N266" s="18"/>
      <c r="O266" s="12"/>
      <c r="P266" s="12"/>
      <c r="Q266" s="12"/>
      <c r="R266" s="36"/>
      <c r="S266" s="36"/>
      <c r="T266" s="12"/>
      <c r="U266" s="12"/>
      <c r="V266" s="12"/>
      <c r="W266" s="12"/>
      <c r="X266" s="12"/>
    </row>
    <row r="267" customFormat="false" ht="15.75" hidden="false" customHeight="false" outlineLevel="0" collapsed="false">
      <c r="A267" s="12"/>
      <c r="B267" s="34"/>
      <c r="C267" s="12"/>
      <c r="D267" s="12"/>
      <c r="E267" s="12"/>
      <c r="F267" s="12"/>
      <c r="G267" s="18"/>
      <c r="H267" s="35"/>
      <c r="I267" s="12"/>
      <c r="M267" s="12"/>
      <c r="N267" s="18"/>
      <c r="O267" s="12"/>
      <c r="P267" s="12"/>
      <c r="Q267" s="12"/>
      <c r="R267" s="36"/>
      <c r="S267" s="36"/>
      <c r="T267" s="12"/>
      <c r="U267" s="12"/>
      <c r="V267" s="12"/>
      <c r="W267" s="12"/>
      <c r="X267" s="12"/>
    </row>
    <row r="268" customFormat="false" ht="15.75" hidden="false" customHeight="false" outlineLevel="0" collapsed="false">
      <c r="A268" s="12"/>
      <c r="B268" s="34"/>
      <c r="C268" s="12"/>
      <c r="D268" s="12"/>
      <c r="E268" s="12"/>
      <c r="F268" s="12"/>
      <c r="G268" s="18"/>
      <c r="H268" s="35"/>
      <c r="I268" s="12"/>
      <c r="M268" s="12"/>
      <c r="N268" s="18"/>
      <c r="O268" s="12"/>
      <c r="P268" s="12"/>
      <c r="Q268" s="12"/>
      <c r="R268" s="36"/>
      <c r="S268" s="36"/>
      <c r="T268" s="12"/>
      <c r="U268" s="12"/>
      <c r="V268" s="12"/>
      <c r="W268" s="12"/>
      <c r="X268" s="12"/>
    </row>
    <row r="269" customFormat="false" ht="15.75" hidden="false" customHeight="false" outlineLevel="0" collapsed="false">
      <c r="A269" s="12"/>
      <c r="B269" s="34"/>
      <c r="C269" s="12"/>
      <c r="D269" s="12"/>
      <c r="E269" s="12"/>
      <c r="F269" s="12"/>
      <c r="G269" s="18"/>
      <c r="H269" s="35"/>
      <c r="I269" s="12"/>
      <c r="M269" s="12"/>
      <c r="N269" s="18"/>
      <c r="O269" s="12"/>
      <c r="P269" s="12"/>
      <c r="Q269" s="12"/>
      <c r="R269" s="36"/>
      <c r="S269" s="36"/>
      <c r="T269" s="12"/>
      <c r="U269" s="12"/>
      <c r="V269" s="12"/>
      <c r="W269" s="12"/>
      <c r="X269" s="12"/>
    </row>
    <row r="270" customFormat="false" ht="15.75" hidden="false" customHeight="false" outlineLevel="0" collapsed="false">
      <c r="A270" s="12"/>
      <c r="B270" s="34"/>
      <c r="C270" s="12"/>
      <c r="D270" s="12"/>
      <c r="E270" s="12"/>
      <c r="F270" s="12"/>
      <c r="G270" s="18"/>
      <c r="H270" s="35"/>
      <c r="I270" s="12"/>
      <c r="M270" s="12"/>
      <c r="N270" s="18"/>
      <c r="O270" s="12"/>
      <c r="P270" s="12"/>
      <c r="Q270" s="12"/>
      <c r="R270" s="36"/>
      <c r="S270" s="36"/>
      <c r="T270" s="12"/>
      <c r="U270" s="12"/>
      <c r="V270" s="12"/>
      <c r="W270" s="12"/>
      <c r="X270" s="12"/>
    </row>
    <row r="271" customFormat="false" ht="15.75" hidden="false" customHeight="false" outlineLevel="0" collapsed="false">
      <c r="A271" s="12"/>
      <c r="B271" s="34"/>
      <c r="C271" s="12"/>
      <c r="D271" s="12"/>
      <c r="E271" s="12"/>
      <c r="F271" s="12"/>
      <c r="G271" s="18"/>
      <c r="H271" s="35"/>
      <c r="I271" s="12"/>
      <c r="M271" s="12"/>
      <c r="N271" s="18"/>
      <c r="O271" s="12"/>
      <c r="P271" s="12"/>
      <c r="Q271" s="12"/>
      <c r="R271" s="36"/>
      <c r="S271" s="36"/>
      <c r="T271" s="12"/>
      <c r="U271" s="12"/>
      <c r="V271" s="12"/>
      <c r="W271" s="12"/>
      <c r="X271" s="12"/>
    </row>
    <row r="272" customFormat="false" ht="15.75" hidden="false" customHeight="false" outlineLevel="0" collapsed="false">
      <c r="A272" s="12"/>
      <c r="B272" s="34"/>
      <c r="C272" s="12"/>
      <c r="D272" s="12"/>
      <c r="E272" s="12"/>
      <c r="F272" s="12"/>
      <c r="G272" s="18"/>
      <c r="H272" s="35"/>
      <c r="I272" s="12"/>
      <c r="M272" s="12"/>
      <c r="N272" s="18"/>
      <c r="O272" s="12"/>
      <c r="P272" s="12"/>
      <c r="Q272" s="12"/>
      <c r="R272" s="36"/>
      <c r="S272" s="36"/>
      <c r="T272" s="12"/>
      <c r="U272" s="12"/>
      <c r="V272" s="12"/>
      <c r="W272" s="12"/>
      <c r="X272" s="12"/>
    </row>
    <row r="273" customFormat="false" ht="15.75" hidden="false" customHeight="false" outlineLevel="0" collapsed="false">
      <c r="A273" s="12"/>
      <c r="B273" s="34"/>
      <c r="C273" s="12"/>
      <c r="D273" s="12"/>
      <c r="E273" s="12"/>
      <c r="F273" s="12"/>
      <c r="G273" s="18"/>
      <c r="H273" s="35"/>
      <c r="I273" s="12"/>
      <c r="M273" s="12"/>
      <c r="N273" s="18"/>
      <c r="O273" s="12"/>
      <c r="P273" s="12"/>
      <c r="Q273" s="12"/>
      <c r="R273" s="36"/>
      <c r="S273" s="36"/>
      <c r="T273" s="12"/>
      <c r="U273" s="12"/>
      <c r="V273" s="12"/>
      <c r="W273" s="12"/>
      <c r="X273" s="12"/>
    </row>
    <row r="274" customFormat="false" ht="15.75" hidden="false" customHeight="false" outlineLevel="0" collapsed="false">
      <c r="A274" s="12"/>
      <c r="B274" s="34"/>
      <c r="C274" s="12"/>
      <c r="D274" s="12"/>
      <c r="E274" s="12"/>
      <c r="F274" s="12"/>
      <c r="G274" s="18"/>
      <c r="H274" s="35"/>
      <c r="I274" s="12"/>
      <c r="M274" s="12"/>
      <c r="N274" s="18"/>
      <c r="O274" s="12"/>
      <c r="P274" s="12"/>
      <c r="Q274" s="12"/>
      <c r="R274" s="36"/>
      <c r="S274" s="36"/>
      <c r="T274" s="12"/>
      <c r="U274" s="12"/>
      <c r="V274" s="12"/>
      <c r="W274" s="12"/>
      <c r="X274" s="12"/>
    </row>
    <row r="275" customFormat="false" ht="15.75" hidden="false" customHeight="false" outlineLevel="0" collapsed="false">
      <c r="A275" s="12"/>
      <c r="B275" s="34"/>
      <c r="C275" s="12"/>
      <c r="D275" s="12"/>
      <c r="E275" s="12"/>
      <c r="F275" s="12"/>
      <c r="G275" s="18"/>
      <c r="H275" s="35"/>
      <c r="I275" s="12"/>
      <c r="M275" s="12"/>
      <c r="N275" s="18"/>
      <c r="O275" s="12"/>
      <c r="P275" s="12"/>
      <c r="Q275" s="12"/>
      <c r="R275" s="36"/>
      <c r="S275" s="36"/>
      <c r="T275" s="12"/>
      <c r="U275" s="12"/>
      <c r="V275" s="12"/>
      <c r="W275" s="12"/>
      <c r="X275" s="12"/>
    </row>
    <row r="276" customFormat="false" ht="15.75" hidden="false" customHeight="false" outlineLevel="0" collapsed="false">
      <c r="A276" s="12"/>
      <c r="B276" s="34"/>
      <c r="C276" s="12"/>
      <c r="D276" s="12"/>
      <c r="E276" s="12"/>
      <c r="F276" s="12"/>
      <c r="G276" s="18"/>
      <c r="H276" s="35"/>
      <c r="I276" s="12"/>
      <c r="M276" s="12"/>
      <c r="N276" s="18"/>
      <c r="O276" s="12"/>
      <c r="P276" s="12"/>
      <c r="Q276" s="12"/>
      <c r="R276" s="36"/>
      <c r="S276" s="36"/>
      <c r="T276" s="12"/>
      <c r="U276" s="12"/>
      <c r="V276" s="12"/>
      <c r="W276" s="12"/>
      <c r="X276" s="12"/>
    </row>
    <row r="277" customFormat="false" ht="15.75" hidden="false" customHeight="false" outlineLevel="0" collapsed="false">
      <c r="A277" s="12"/>
      <c r="B277" s="34"/>
      <c r="C277" s="12"/>
      <c r="D277" s="12"/>
      <c r="E277" s="12"/>
      <c r="F277" s="12"/>
      <c r="G277" s="18"/>
      <c r="H277" s="35"/>
      <c r="I277" s="12"/>
      <c r="M277" s="12"/>
      <c r="N277" s="18"/>
      <c r="O277" s="12"/>
      <c r="P277" s="12"/>
      <c r="Q277" s="12"/>
      <c r="R277" s="36"/>
      <c r="S277" s="36"/>
      <c r="T277" s="12"/>
      <c r="U277" s="12"/>
      <c r="V277" s="12"/>
      <c r="W277" s="12"/>
      <c r="X277" s="12"/>
    </row>
    <row r="278" customFormat="false" ht="15.75" hidden="false" customHeight="false" outlineLevel="0" collapsed="false">
      <c r="A278" s="12"/>
      <c r="B278" s="34"/>
      <c r="C278" s="12"/>
      <c r="D278" s="12"/>
      <c r="E278" s="12"/>
      <c r="F278" s="12"/>
      <c r="G278" s="18"/>
      <c r="H278" s="35"/>
      <c r="I278" s="12"/>
      <c r="M278" s="12"/>
      <c r="N278" s="18"/>
      <c r="O278" s="12"/>
      <c r="P278" s="12"/>
      <c r="Q278" s="12"/>
      <c r="R278" s="36"/>
      <c r="S278" s="36"/>
      <c r="T278" s="12"/>
      <c r="U278" s="12"/>
      <c r="V278" s="12"/>
      <c r="W278" s="12"/>
      <c r="X278" s="12"/>
    </row>
    <row r="279" customFormat="false" ht="15.75" hidden="false" customHeight="false" outlineLevel="0" collapsed="false">
      <c r="A279" s="12"/>
      <c r="B279" s="34"/>
      <c r="C279" s="12"/>
      <c r="D279" s="12"/>
      <c r="E279" s="12"/>
      <c r="F279" s="12"/>
      <c r="G279" s="18"/>
      <c r="H279" s="35"/>
      <c r="I279" s="12"/>
      <c r="M279" s="12"/>
      <c r="N279" s="18"/>
      <c r="O279" s="12"/>
      <c r="P279" s="12"/>
      <c r="Q279" s="12"/>
      <c r="R279" s="36"/>
      <c r="S279" s="36"/>
      <c r="T279" s="12"/>
      <c r="U279" s="12"/>
      <c r="V279" s="12"/>
      <c r="W279" s="12"/>
      <c r="X279" s="12"/>
    </row>
    <row r="280" customFormat="false" ht="15.75" hidden="false" customHeight="false" outlineLevel="0" collapsed="false">
      <c r="A280" s="12"/>
      <c r="B280" s="34"/>
      <c r="C280" s="12"/>
      <c r="D280" s="12"/>
      <c r="E280" s="12"/>
      <c r="F280" s="12"/>
      <c r="G280" s="18"/>
      <c r="H280" s="35"/>
      <c r="I280" s="12"/>
      <c r="M280" s="12"/>
      <c r="N280" s="18"/>
      <c r="O280" s="12"/>
      <c r="P280" s="12"/>
      <c r="Q280" s="12"/>
      <c r="R280" s="36"/>
      <c r="S280" s="36"/>
      <c r="T280" s="12"/>
      <c r="U280" s="12"/>
      <c r="V280" s="12"/>
      <c r="W280" s="12"/>
      <c r="X280" s="12"/>
    </row>
    <row r="281" customFormat="false" ht="15.75" hidden="false" customHeight="false" outlineLevel="0" collapsed="false">
      <c r="A281" s="12"/>
      <c r="B281" s="34"/>
      <c r="C281" s="12"/>
      <c r="D281" s="12"/>
      <c r="E281" s="12"/>
      <c r="F281" s="12"/>
      <c r="G281" s="18"/>
      <c r="H281" s="35"/>
      <c r="I281" s="12"/>
      <c r="M281" s="12"/>
      <c r="N281" s="18"/>
      <c r="O281" s="12"/>
      <c r="P281" s="12"/>
      <c r="Q281" s="12"/>
      <c r="R281" s="36"/>
      <c r="S281" s="36"/>
      <c r="T281" s="12"/>
      <c r="U281" s="12"/>
      <c r="V281" s="12"/>
      <c r="W281" s="12"/>
      <c r="X281" s="12"/>
    </row>
    <row r="282" customFormat="false" ht="15.75" hidden="false" customHeight="false" outlineLevel="0" collapsed="false">
      <c r="A282" s="12"/>
      <c r="B282" s="34"/>
      <c r="C282" s="12"/>
      <c r="D282" s="12"/>
      <c r="E282" s="12"/>
      <c r="F282" s="12"/>
      <c r="G282" s="18"/>
      <c r="H282" s="35"/>
      <c r="I282" s="12"/>
      <c r="M282" s="12"/>
      <c r="N282" s="18"/>
      <c r="O282" s="12"/>
      <c r="P282" s="12"/>
      <c r="Q282" s="12"/>
      <c r="R282" s="36"/>
      <c r="S282" s="36"/>
      <c r="T282" s="12"/>
      <c r="U282" s="12"/>
      <c r="V282" s="12"/>
      <c r="W282" s="12"/>
      <c r="X282" s="12"/>
    </row>
    <row r="283" customFormat="false" ht="15.75" hidden="false" customHeight="false" outlineLevel="0" collapsed="false">
      <c r="A283" s="12"/>
      <c r="B283" s="34"/>
      <c r="C283" s="12"/>
      <c r="D283" s="12"/>
      <c r="E283" s="12"/>
      <c r="F283" s="12"/>
      <c r="G283" s="18"/>
      <c r="H283" s="35"/>
      <c r="I283" s="12"/>
      <c r="M283" s="12"/>
      <c r="N283" s="18"/>
      <c r="O283" s="12"/>
      <c r="P283" s="12"/>
      <c r="Q283" s="12"/>
      <c r="R283" s="36"/>
      <c r="S283" s="36"/>
      <c r="T283" s="12"/>
      <c r="U283" s="12"/>
      <c r="V283" s="12"/>
      <c r="W283" s="12"/>
      <c r="X283" s="12"/>
    </row>
    <row r="284" customFormat="false" ht="15.75" hidden="false" customHeight="false" outlineLevel="0" collapsed="false">
      <c r="A284" s="12"/>
      <c r="B284" s="34"/>
      <c r="C284" s="12"/>
      <c r="D284" s="12"/>
      <c r="E284" s="12"/>
      <c r="F284" s="12"/>
      <c r="G284" s="18"/>
      <c r="H284" s="35"/>
      <c r="I284" s="12"/>
      <c r="M284" s="12"/>
      <c r="N284" s="18"/>
      <c r="O284" s="12"/>
      <c r="P284" s="12"/>
      <c r="Q284" s="12"/>
      <c r="R284" s="36"/>
      <c r="S284" s="36"/>
      <c r="T284" s="12"/>
      <c r="U284" s="12"/>
      <c r="V284" s="12"/>
      <c r="W284" s="12"/>
      <c r="X284" s="12"/>
    </row>
    <row r="285" customFormat="false" ht="15.75" hidden="false" customHeight="false" outlineLevel="0" collapsed="false">
      <c r="A285" s="12"/>
      <c r="B285" s="34"/>
      <c r="C285" s="12"/>
      <c r="D285" s="12"/>
      <c r="E285" s="12"/>
      <c r="F285" s="12"/>
      <c r="G285" s="18"/>
      <c r="H285" s="35"/>
      <c r="I285" s="12"/>
      <c r="M285" s="12"/>
      <c r="N285" s="18"/>
      <c r="O285" s="12"/>
      <c r="P285" s="12"/>
      <c r="Q285" s="12"/>
      <c r="R285" s="36"/>
      <c r="S285" s="36"/>
      <c r="T285" s="12"/>
      <c r="U285" s="12"/>
      <c r="V285" s="12"/>
      <c r="W285" s="12"/>
      <c r="X285" s="12"/>
    </row>
    <row r="286" customFormat="false" ht="15.75" hidden="false" customHeight="false" outlineLevel="0" collapsed="false">
      <c r="A286" s="12"/>
      <c r="B286" s="34"/>
      <c r="C286" s="12"/>
      <c r="D286" s="12"/>
      <c r="E286" s="12"/>
      <c r="F286" s="12"/>
      <c r="G286" s="18"/>
      <c r="H286" s="35"/>
      <c r="I286" s="12"/>
      <c r="M286" s="12"/>
      <c r="N286" s="18"/>
      <c r="O286" s="12"/>
      <c r="P286" s="12"/>
      <c r="Q286" s="12"/>
      <c r="R286" s="36"/>
      <c r="S286" s="36"/>
      <c r="T286" s="12"/>
      <c r="U286" s="12"/>
      <c r="V286" s="12"/>
      <c r="W286" s="12"/>
      <c r="X286" s="12"/>
    </row>
    <row r="287" customFormat="false" ht="15.75" hidden="false" customHeight="false" outlineLevel="0" collapsed="false">
      <c r="A287" s="12"/>
      <c r="B287" s="34"/>
      <c r="C287" s="12"/>
      <c r="D287" s="12"/>
      <c r="E287" s="12"/>
      <c r="F287" s="12"/>
      <c r="G287" s="18"/>
      <c r="H287" s="35"/>
      <c r="I287" s="12"/>
      <c r="M287" s="12"/>
      <c r="N287" s="18"/>
      <c r="O287" s="12"/>
      <c r="P287" s="12"/>
      <c r="Q287" s="12"/>
      <c r="R287" s="36"/>
      <c r="S287" s="36"/>
      <c r="T287" s="12"/>
      <c r="U287" s="12"/>
      <c r="V287" s="12"/>
      <c r="W287" s="12"/>
      <c r="X287" s="12"/>
    </row>
    <row r="288" customFormat="false" ht="15.75" hidden="false" customHeight="false" outlineLevel="0" collapsed="false">
      <c r="A288" s="12"/>
      <c r="B288" s="34"/>
      <c r="C288" s="12"/>
      <c r="D288" s="12"/>
      <c r="E288" s="12"/>
      <c r="F288" s="12"/>
      <c r="G288" s="18"/>
      <c r="H288" s="35"/>
      <c r="I288" s="12"/>
      <c r="M288" s="12"/>
      <c r="N288" s="18"/>
      <c r="O288" s="12"/>
      <c r="P288" s="12"/>
      <c r="Q288" s="12"/>
      <c r="R288" s="36"/>
      <c r="S288" s="36"/>
      <c r="T288" s="12"/>
      <c r="U288" s="12"/>
      <c r="V288" s="12"/>
      <c r="W288" s="12"/>
      <c r="X288" s="12"/>
    </row>
    <row r="289" customFormat="false" ht="15.75" hidden="false" customHeight="false" outlineLevel="0" collapsed="false">
      <c r="A289" s="12"/>
      <c r="B289" s="34"/>
      <c r="C289" s="12"/>
      <c r="D289" s="12"/>
      <c r="E289" s="12"/>
      <c r="F289" s="12"/>
      <c r="G289" s="18"/>
      <c r="H289" s="35"/>
      <c r="I289" s="12"/>
      <c r="M289" s="12"/>
      <c r="N289" s="18"/>
      <c r="O289" s="12"/>
      <c r="P289" s="12"/>
      <c r="Q289" s="12"/>
      <c r="R289" s="36"/>
      <c r="S289" s="36"/>
      <c r="T289" s="12"/>
      <c r="U289" s="12"/>
      <c r="V289" s="12"/>
      <c r="W289" s="12"/>
      <c r="X289" s="12"/>
    </row>
    <row r="290" customFormat="false" ht="15.75" hidden="false" customHeight="false" outlineLevel="0" collapsed="false">
      <c r="A290" s="12"/>
      <c r="B290" s="34"/>
      <c r="C290" s="12"/>
      <c r="D290" s="12"/>
      <c r="E290" s="12"/>
      <c r="F290" s="12"/>
      <c r="G290" s="18"/>
      <c r="H290" s="35"/>
      <c r="I290" s="12"/>
      <c r="M290" s="12"/>
      <c r="N290" s="18"/>
      <c r="O290" s="12"/>
      <c r="P290" s="12"/>
      <c r="Q290" s="12"/>
      <c r="R290" s="36"/>
      <c r="S290" s="36"/>
      <c r="T290" s="12"/>
      <c r="U290" s="12"/>
      <c r="V290" s="12"/>
      <c r="W290" s="12"/>
      <c r="X290" s="12"/>
    </row>
    <row r="291" customFormat="false" ht="15.75" hidden="false" customHeight="false" outlineLevel="0" collapsed="false">
      <c r="A291" s="12"/>
      <c r="B291" s="34"/>
      <c r="C291" s="12"/>
      <c r="D291" s="12"/>
      <c r="E291" s="12"/>
      <c r="F291" s="12"/>
      <c r="G291" s="18"/>
      <c r="H291" s="35"/>
      <c r="I291" s="12"/>
      <c r="M291" s="12"/>
      <c r="N291" s="18"/>
      <c r="O291" s="12"/>
      <c r="P291" s="12"/>
      <c r="Q291" s="12"/>
      <c r="R291" s="36"/>
      <c r="S291" s="36"/>
      <c r="T291" s="12"/>
      <c r="U291" s="12"/>
      <c r="V291" s="12"/>
      <c r="W291" s="12"/>
      <c r="X291" s="12"/>
    </row>
    <row r="292" customFormat="false" ht="15.75" hidden="false" customHeight="false" outlineLevel="0" collapsed="false">
      <c r="A292" s="12"/>
      <c r="B292" s="34"/>
      <c r="C292" s="12"/>
      <c r="D292" s="12"/>
      <c r="E292" s="12"/>
      <c r="F292" s="12"/>
      <c r="G292" s="18"/>
      <c r="H292" s="35"/>
      <c r="I292" s="12"/>
      <c r="M292" s="12"/>
      <c r="N292" s="18"/>
      <c r="O292" s="12"/>
      <c r="P292" s="12"/>
      <c r="Q292" s="12"/>
      <c r="R292" s="36"/>
      <c r="S292" s="36"/>
      <c r="T292" s="12"/>
      <c r="U292" s="12"/>
      <c r="V292" s="12"/>
      <c r="W292" s="12"/>
      <c r="X292" s="12"/>
    </row>
    <row r="293" customFormat="false" ht="15.75" hidden="false" customHeight="false" outlineLevel="0" collapsed="false">
      <c r="A293" s="12"/>
      <c r="B293" s="34"/>
      <c r="C293" s="12"/>
      <c r="D293" s="12"/>
      <c r="E293" s="12"/>
      <c r="F293" s="12"/>
      <c r="G293" s="18"/>
      <c r="H293" s="35"/>
      <c r="I293" s="12"/>
      <c r="M293" s="12"/>
      <c r="N293" s="18"/>
      <c r="O293" s="12"/>
      <c r="P293" s="12"/>
      <c r="Q293" s="12"/>
      <c r="R293" s="36"/>
      <c r="S293" s="36"/>
      <c r="T293" s="12"/>
      <c r="U293" s="12"/>
      <c r="V293" s="12"/>
      <c r="W293" s="12"/>
      <c r="X293" s="12"/>
    </row>
    <row r="294" customFormat="false" ht="15.75" hidden="false" customHeight="false" outlineLevel="0" collapsed="false">
      <c r="A294" s="12"/>
      <c r="B294" s="34"/>
      <c r="C294" s="12"/>
      <c r="D294" s="12"/>
      <c r="E294" s="12"/>
      <c r="F294" s="12"/>
      <c r="G294" s="18"/>
      <c r="H294" s="35"/>
      <c r="I294" s="12"/>
      <c r="M294" s="12"/>
      <c r="N294" s="18"/>
      <c r="O294" s="12"/>
      <c r="P294" s="12"/>
      <c r="Q294" s="12"/>
      <c r="R294" s="36"/>
      <c r="S294" s="36"/>
      <c r="T294" s="12"/>
      <c r="U294" s="12"/>
      <c r="V294" s="12"/>
      <c r="W294" s="12"/>
      <c r="X294" s="12"/>
    </row>
    <row r="295" customFormat="false" ht="15.75" hidden="false" customHeight="false" outlineLevel="0" collapsed="false">
      <c r="A295" s="12"/>
      <c r="B295" s="34"/>
      <c r="C295" s="12"/>
      <c r="D295" s="12"/>
      <c r="E295" s="12"/>
      <c r="F295" s="12"/>
      <c r="G295" s="18"/>
      <c r="H295" s="35"/>
      <c r="I295" s="12"/>
      <c r="M295" s="12"/>
      <c r="N295" s="18"/>
      <c r="O295" s="12"/>
      <c r="P295" s="12"/>
      <c r="Q295" s="12"/>
      <c r="R295" s="36"/>
      <c r="S295" s="36"/>
      <c r="T295" s="12"/>
      <c r="U295" s="12"/>
      <c r="V295" s="12"/>
      <c r="W295" s="12"/>
      <c r="X295" s="12"/>
    </row>
    <row r="296" customFormat="false" ht="15.75" hidden="false" customHeight="false" outlineLevel="0" collapsed="false">
      <c r="A296" s="12"/>
      <c r="B296" s="34"/>
      <c r="C296" s="12"/>
      <c r="D296" s="12"/>
      <c r="E296" s="12"/>
      <c r="F296" s="12"/>
      <c r="G296" s="18"/>
      <c r="H296" s="35"/>
      <c r="I296" s="12"/>
      <c r="M296" s="12"/>
      <c r="N296" s="18"/>
      <c r="O296" s="12"/>
      <c r="P296" s="12"/>
      <c r="Q296" s="12"/>
      <c r="R296" s="36"/>
      <c r="S296" s="36"/>
      <c r="T296" s="12"/>
      <c r="U296" s="12"/>
      <c r="V296" s="12"/>
      <c r="W296" s="12"/>
      <c r="X296" s="12"/>
    </row>
    <row r="297" customFormat="false" ht="15.75" hidden="false" customHeight="false" outlineLevel="0" collapsed="false">
      <c r="A297" s="12"/>
      <c r="B297" s="34"/>
      <c r="C297" s="12"/>
      <c r="D297" s="12"/>
      <c r="E297" s="12"/>
      <c r="F297" s="12"/>
      <c r="G297" s="18"/>
      <c r="H297" s="35"/>
      <c r="I297" s="12"/>
      <c r="M297" s="12"/>
      <c r="N297" s="18"/>
      <c r="O297" s="12"/>
      <c r="P297" s="12"/>
      <c r="Q297" s="12"/>
      <c r="R297" s="36"/>
      <c r="S297" s="36"/>
      <c r="T297" s="12"/>
      <c r="U297" s="12"/>
      <c r="V297" s="12"/>
      <c r="W297" s="12"/>
      <c r="X297" s="12"/>
    </row>
    <row r="298" customFormat="false" ht="15.75" hidden="false" customHeight="false" outlineLevel="0" collapsed="false">
      <c r="A298" s="12"/>
      <c r="B298" s="34"/>
      <c r="C298" s="12"/>
      <c r="D298" s="12"/>
      <c r="E298" s="12"/>
      <c r="F298" s="12"/>
      <c r="G298" s="18"/>
      <c r="H298" s="35"/>
      <c r="I298" s="12"/>
      <c r="M298" s="12"/>
      <c r="N298" s="18"/>
      <c r="O298" s="12"/>
      <c r="P298" s="12"/>
      <c r="Q298" s="12"/>
      <c r="R298" s="36"/>
      <c r="S298" s="36"/>
      <c r="T298" s="12"/>
      <c r="U298" s="12"/>
      <c r="V298" s="12"/>
      <c r="W298" s="12"/>
      <c r="X298" s="12"/>
    </row>
    <row r="299" customFormat="false" ht="15.75" hidden="false" customHeight="false" outlineLevel="0" collapsed="false">
      <c r="A299" s="12"/>
      <c r="B299" s="34"/>
      <c r="C299" s="12"/>
      <c r="D299" s="12"/>
      <c r="E299" s="12"/>
      <c r="F299" s="12"/>
      <c r="G299" s="18"/>
      <c r="H299" s="35"/>
      <c r="I299" s="12"/>
      <c r="M299" s="12"/>
      <c r="N299" s="18"/>
      <c r="O299" s="12"/>
      <c r="P299" s="12"/>
      <c r="Q299" s="12"/>
      <c r="R299" s="36"/>
      <c r="S299" s="36"/>
      <c r="T299" s="12"/>
      <c r="U299" s="12"/>
      <c r="V299" s="12"/>
      <c r="W299" s="12"/>
      <c r="X299" s="12"/>
    </row>
    <row r="300" customFormat="false" ht="15.75" hidden="false" customHeight="false" outlineLevel="0" collapsed="false">
      <c r="A300" s="12"/>
      <c r="B300" s="34"/>
      <c r="C300" s="12"/>
      <c r="D300" s="12"/>
      <c r="E300" s="12"/>
      <c r="F300" s="12"/>
      <c r="G300" s="18"/>
      <c r="H300" s="35"/>
      <c r="I300" s="12"/>
      <c r="M300" s="12"/>
      <c r="N300" s="18"/>
      <c r="O300" s="12"/>
      <c r="P300" s="12"/>
      <c r="Q300" s="12"/>
      <c r="R300" s="36"/>
      <c r="S300" s="36"/>
      <c r="T300" s="12"/>
      <c r="U300" s="12"/>
      <c r="V300" s="12"/>
      <c r="W300" s="12"/>
      <c r="X300" s="12"/>
    </row>
    <row r="301" customFormat="false" ht="15.75" hidden="false" customHeight="false" outlineLevel="0" collapsed="false">
      <c r="A301" s="12"/>
      <c r="B301" s="34"/>
      <c r="C301" s="12"/>
      <c r="D301" s="12"/>
      <c r="E301" s="12"/>
      <c r="F301" s="12"/>
      <c r="G301" s="18"/>
      <c r="H301" s="35"/>
      <c r="I301" s="12"/>
      <c r="M301" s="12"/>
      <c r="N301" s="18"/>
      <c r="O301" s="12"/>
      <c r="P301" s="12"/>
      <c r="Q301" s="12"/>
      <c r="R301" s="36"/>
      <c r="S301" s="36"/>
      <c r="T301" s="12"/>
      <c r="U301" s="12"/>
      <c r="V301" s="12"/>
      <c r="W301" s="12"/>
      <c r="X301" s="12"/>
    </row>
    <row r="302" customFormat="false" ht="15.75" hidden="false" customHeight="false" outlineLevel="0" collapsed="false">
      <c r="A302" s="12"/>
      <c r="B302" s="34"/>
      <c r="C302" s="12"/>
      <c r="D302" s="12"/>
      <c r="E302" s="12"/>
      <c r="F302" s="12"/>
      <c r="G302" s="18"/>
      <c r="H302" s="35"/>
      <c r="I302" s="12"/>
      <c r="M302" s="12"/>
      <c r="N302" s="18"/>
      <c r="O302" s="12"/>
      <c r="P302" s="12"/>
      <c r="Q302" s="12"/>
      <c r="R302" s="36"/>
      <c r="S302" s="36"/>
      <c r="T302" s="12"/>
      <c r="U302" s="12"/>
      <c r="V302" s="12"/>
      <c r="W302" s="12"/>
      <c r="X302" s="12"/>
    </row>
    <row r="303" customFormat="false" ht="15.75" hidden="false" customHeight="false" outlineLevel="0" collapsed="false">
      <c r="A303" s="12"/>
      <c r="B303" s="34"/>
      <c r="C303" s="12"/>
      <c r="D303" s="12"/>
      <c r="E303" s="12"/>
      <c r="F303" s="12"/>
      <c r="G303" s="18"/>
      <c r="H303" s="35"/>
      <c r="I303" s="12"/>
      <c r="M303" s="12"/>
      <c r="N303" s="18"/>
      <c r="O303" s="12"/>
      <c r="P303" s="12"/>
      <c r="Q303" s="12"/>
      <c r="R303" s="36"/>
      <c r="S303" s="36"/>
      <c r="T303" s="12"/>
      <c r="U303" s="12"/>
      <c r="V303" s="12"/>
      <c r="W303" s="12"/>
      <c r="X303" s="12"/>
    </row>
    <row r="304" customFormat="false" ht="15.75" hidden="false" customHeight="false" outlineLevel="0" collapsed="false">
      <c r="A304" s="12"/>
      <c r="B304" s="34"/>
      <c r="C304" s="12"/>
      <c r="D304" s="12"/>
      <c r="E304" s="12"/>
      <c r="F304" s="12"/>
      <c r="G304" s="18"/>
      <c r="H304" s="35"/>
      <c r="I304" s="12"/>
      <c r="M304" s="12"/>
      <c r="N304" s="18"/>
      <c r="O304" s="12"/>
      <c r="P304" s="12"/>
      <c r="Q304" s="12"/>
      <c r="R304" s="36"/>
      <c r="S304" s="36"/>
      <c r="T304" s="12"/>
      <c r="U304" s="12"/>
      <c r="V304" s="12"/>
      <c r="W304" s="12"/>
      <c r="X304" s="12"/>
    </row>
    <row r="305" customFormat="false" ht="15.75" hidden="false" customHeight="false" outlineLevel="0" collapsed="false">
      <c r="A305" s="12"/>
      <c r="B305" s="34"/>
      <c r="C305" s="12"/>
      <c r="D305" s="12"/>
      <c r="E305" s="12"/>
      <c r="F305" s="12"/>
      <c r="G305" s="18"/>
      <c r="H305" s="35"/>
      <c r="I305" s="12"/>
      <c r="M305" s="12"/>
      <c r="N305" s="18"/>
      <c r="O305" s="12"/>
      <c r="P305" s="12"/>
      <c r="Q305" s="12"/>
      <c r="R305" s="36"/>
      <c r="S305" s="36"/>
      <c r="T305" s="12"/>
      <c r="U305" s="12"/>
      <c r="V305" s="12"/>
      <c r="W305" s="12"/>
      <c r="X305" s="12"/>
    </row>
    <row r="306" customFormat="false" ht="15.75" hidden="false" customHeight="false" outlineLevel="0" collapsed="false">
      <c r="A306" s="12"/>
      <c r="B306" s="34"/>
      <c r="C306" s="12"/>
      <c r="D306" s="12"/>
      <c r="E306" s="12"/>
      <c r="F306" s="12"/>
      <c r="G306" s="18"/>
      <c r="H306" s="35"/>
      <c r="I306" s="12"/>
      <c r="M306" s="12"/>
      <c r="N306" s="18"/>
      <c r="O306" s="12"/>
      <c r="P306" s="12"/>
      <c r="Q306" s="12"/>
      <c r="R306" s="36"/>
      <c r="S306" s="36"/>
      <c r="T306" s="12"/>
      <c r="U306" s="12"/>
      <c r="V306" s="12"/>
      <c r="W306" s="12"/>
      <c r="X306" s="12"/>
    </row>
    <row r="307" customFormat="false" ht="15.75" hidden="false" customHeight="false" outlineLevel="0" collapsed="false">
      <c r="A307" s="12"/>
      <c r="B307" s="34"/>
      <c r="C307" s="12"/>
      <c r="D307" s="12"/>
      <c r="E307" s="12"/>
      <c r="F307" s="12"/>
      <c r="G307" s="18"/>
      <c r="H307" s="35"/>
      <c r="I307" s="12"/>
      <c r="M307" s="12"/>
      <c r="N307" s="18"/>
      <c r="O307" s="12"/>
      <c r="P307" s="12"/>
      <c r="Q307" s="12"/>
      <c r="R307" s="36"/>
      <c r="S307" s="36"/>
      <c r="T307" s="12"/>
      <c r="U307" s="12"/>
      <c r="V307" s="12"/>
      <c r="W307" s="12"/>
      <c r="X307" s="12"/>
    </row>
    <row r="308" customFormat="false" ht="15.75" hidden="false" customHeight="false" outlineLevel="0" collapsed="false">
      <c r="A308" s="12"/>
      <c r="B308" s="34"/>
      <c r="C308" s="12"/>
      <c r="D308" s="12"/>
      <c r="E308" s="12"/>
      <c r="F308" s="12"/>
      <c r="G308" s="18"/>
      <c r="H308" s="35"/>
      <c r="I308" s="12"/>
      <c r="M308" s="12"/>
      <c r="N308" s="18"/>
      <c r="O308" s="12"/>
      <c r="P308" s="12"/>
      <c r="Q308" s="12"/>
      <c r="R308" s="36"/>
      <c r="S308" s="36"/>
      <c r="T308" s="12"/>
      <c r="U308" s="12"/>
      <c r="V308" s="12"/>
      <c r="W308" s="12"/>
      <c r="X308" s="12"/>
    </row>
    <row r="309" customFormat="false" ht="15.75" hidden="false" customHeight="false" outlineLevel="0" collapsed="false">
      <c r="A309" s="12"/>
      <c r="B309" s="34"/>
      <c r="C309" s="12"/>
      <c r="D309" s="12"/>
      <c r="E309" s="12"/>
      <c r="F309" s="12"/>
      <c r="G309" s="18"/>
      <c r="H309" s="35"/>
      <c r="I309" s="12"/>
      <c r="M309" s="12"/>
      <c r="N309" s="18"/>
      <c r="O309" s="12"/>
      <c r="P309" s="12"/>
      <c r="Q309" s="12"/>
      <c r="R309" s="36"/>
      <c r="S309" s="36"/>
      <c r="T309" s="12"/>
      <c r="U309" s="12"/>
      <c r="V309" s="12"/>
      <c r="W309" s="12"/>
      <c r="X309" s="12"/>
    </row>
    <row r="310" customFormat="false" ht="15.75" hidden="false" customHeight="false" outlineLevel="0" collapsed="false">
      <c r="A310" s="12"/>
      <c r="B310" s="34"/>
      <c r="C310" s="12"/>
      <c r="D310" s="12"/>
      <c r="E310" s="12"/>
      <c r="F310" s="12"/>
      <c r="G310" s="18"/>
      <c r="H310" s="35"/>
      <c r="I310" s="12"/>
      <c r="M310" s="12"/>
      <c r="N310" s="18"/>
      <c r="O310" s="12"/>
      <c r="P310" s="12"/>
      <c r="Q310" s="12"/>
      <c r="R310" s="36"/>
      <c r="S310" s="36"/>
      <c r="T310" s="12"/>
      <c r="U310" s="12"/>
      <c r="V310" s="12"/>
      <c r="W310" s="12"/>
      <c r="X310" s="12"/>
    </row>
    <row r="311" customFormat="false" ht="15.75" hidden="false" customHeight="false" outlineLevel="0" collapsed="false">
      <c r="A311" s="12"/>
      <c r="B311" s="34"/>
      <c r="C311" s="12"/>
      <c r="D311" s="12"/>
      <c r="E311" s="12"/>
      <c r="F311" s="12"/>
      <c r="G311" s="18"/>
      <c r="H311" s="35"/>
      <c r="I311" s="12"/>
      <c r="M311" s="12"/>
      <c r="N311" s="18"/>
      <c r="O311" s="12"/>
      <c r="P311" s="12"/>
      <c r="Q311" s="12"/>
      <c r="R311" s="36"/>
      <c r="S311" s="36"/>
      <c r="T311" s="12"/>
      <c r="U311" s="12"/>
      <c r="V311" s="12"/>
      <c r="W311" s="12"/>
      <c r="X311" s="12"/>
    </row>
    <row r="312" customFormat="false" ht="15.75" hidden="false" customHeight="false" outlineLevel="0" collapsed="false">
      <c r="A312" s="12"/>
      <c r="B312" s="34"/>
      <c r="C312" s="12"/>
      <c r="D312" s="12"/>
      <c r="E312" s="12"/>
      <c r="F312" s="12"/>
      <c r="G312" s="18"/>
      <c r="H312" s="35"/>
      <c r="I312" s="12"/>
      <c r="M312" s="12"/>
      <c r="N312" s="18"/>
      <c r="O312" s="12"/>
      <c r="P312" s="12"/>
      <c r="Q312" s="12"/>
      <c r="R312" s="36"/>
      <c r="S312" s="36"/>
      <c r="T312" s="12"/>
      <c r="U312" s="12"/>
      <c r="V312" s="12"/>
      <c r="W312" s="12"/>
      <c r="X312" s="12"/>
    </row>
    <row r="313" customFormat="false" ht="15.75" hidden="false" customHeight="false" outlineLevel="0" collapsed="false">
      <c r="A313" s="12"/>
      <c r="B313" s="34"/>
      <c r="C313" s="12"/>
      <c r="D313" s="12"/>
      <c r="E313" s="12"/>
      <c r="F313" s="12"/>
      <c r="G313" s="18"/>
      <c r="H313" s="35"/>
      <c r="I313" s="12"/>
      <c r="M313" s="12"/>
      <c r="N313" s="18"/>
      <c r="O313" s="12"/>
      <c r="P313" s="12"/>
      <c r="Q313" s="12"/>
      <c r="R313" s="36"/>
      <c r="S313" s="36"/>
      <c r="T313" s="12"/>
      <c r="U313" s="12"/>
      <c r="V313" s="12"/>
      <c r="W313" s="12"/>
      <c r="X313" s="12"/>
    </row>
    <row r="314" customFormat="false" ht="15.75" hidden="false" customHeight="false" outlineLevel="0" collapsed="false">
      <c r="A314" s="12"/>
      <c r="B314" s="34"/>
      <c r="C314" s="12"/>
      <c r="D314" s="12"/>
      <c r="E314" s="12"/>
      <c r="F314" s="12"/>
      <c r="G314" s="18"/>
      <c r="H314" s="35"/>
      <c r="I314" s="12"/>
      <c r="M314" s="12"/>
      <c r="N314" s="18"/>
      <c r="O314" s="12"/>
      <c r="P314" s="12"/>
      <c r="Q314" s="12"/>
      <c r="R314" s="36"/>
      <c r="S314" s="36"/>
      <c r="T314" s="12"/>
      <c r="U314" s="12"/>
      <c r="V314" s="12"/>
      <c r="W314" s="12"/>
      <c r="X314" s="12"/>
    </row>
    <row r="315" customFormat="false" ht="15.75" hidden="false" customHeight="false" outlineLevel="0" collapsed="false">
      <c r="A315" s="12"/>
      <c r="B315" s="34"/>
      <c r="C315" s="12"/>
      <c r="D315" s="12"/>
      <c r="E315" s="12"/>
      <c r="F315" s="12"/>
      <c r="G315" s="18"/>
      <c r="H315" s="35"/>
      <c r="I315" s="12"/>
      <c r="M315" s="12"/>
      <c r="N315" s="18"/>
      <c r="O315" s="12"/>
      <c r="P315" s="12"/>
      <c r="Q315" s="12"/>
      <c r="R315" s="36"/>
      <c r="S315" s="36"/>
      <c r="T315" s="12"/>
      <c r="U315" s="12"/>
      <c r="V315" s="12"/>
      <c r="W315" s="12"/>
      <c r="X315" s="12"/>
    </row>
    <row r="316" customFormat="false" ht="15.75" hidden="false" customHeight="false" outlineLevel="0" collapsed="false">
      <c r="A316" s="12"/>
      <c r="B316" s="34"/>
      <c r="C316" s="12"/>
      <c r="D316" s="12"/>
      <c r="E316" s="12"/>
      <c r="F316" s="12"/>
      <c r="G316" s="18"/>
      <c r="H316" s="35"/>
      <c r="I316" s="12"/>
      <c r="M316" s="12"/>
      <c r="N316" s="18"/>
      <c r="O316" s="12"/>
      <c r="P316" s="12"/>
      <c r="Q316" s="12"/>
      <c r="R316" s="36"/>
      <c r="S316" s="36"/>
      <c r="T316" s="12"/>
      <c r="U316" s="12"/>
      <c r="V316" s="12"/>
      <c r="W316" s="12"/>
      <c r="X316" s="12"/>
    </row>
    <row r="317" customFormat="false" ht="15.75" hidden="false" customHeight="false" outlineLevel="0" collapsed="false">
      <c r="A317" s="12"/>
      <c r="B317" s="34"/>
      <c r="C317" s="12"/>
      <c r="D317" s="12"/>
      <c r="E317" s="12"/>
      <c r="F317" s="12"/>
      <c r="G317" s="18"/>
      <c r="H317" s="35"/>
      <c r="I317" s="12"/>
      <c r="M317" s="12"/>
      <c r="N317" s="18"/>
      <c r="O317" s="12"/>
      <c r="P317" s="12"/>
      <c r="Q317" s="12"/>
      <c r="R317" s="36"/>
      <c r="S317" s="36"/>
      <c r="T317" s="12"/>
      <c r="U317" s="12"/>
      <c r="V317" s="12"/>
      <c r="W317" s="12"/>
      <c r="X317" s="12"/>
    </row>
    <row r="318" customFormat="false" ht="15.75" hidden="false" customHeight="false" outlineLevel="0" collapsed="false">
      <c r="A318" s="12"/>
      <c r="B318" s="34"/>
      <c r="C318" s="12"/>
      <c r="D318" s="12"/>
      <c r="E318" s="12"/>
      <c r="F318" s="12"/>
      <c r="G318" s="18"/>
      <c r="H318" s="35"/>
      <c r="I318" s="12"/>
      <c r="M318" s="12"/>
      <c r="N318" s="18"/>
      <c r="O318" s="12"/>
      <c r="P318" s="12"/>
      <c r="Q318" s="12"/>
      <c r="R318" s="36"/>
      <c r="S318" s="36"/>
      <c r="T318" s="12"/>
      <c r="U318" s="12"/>
      <c r="V318" s="12"/>
      <c r="W318" s="12"/>
      <c r="X318" s="12"/>
    </row>
    <row r="319" customFormat="false" ht="15.75" hidden="false" customHeight="false" outlineLevel="0" collapsed="false">
      <c r="A319" s="12"/>
      <c r="B319" s="34"/>
      <c r="C319" s="12"/>
      <c r="D319" s="12"/>
      <c r="E319" s="12"/>
      <c r="F319" s="12"/>
      <c r="G319" s="18"/>
      <c r="H319" s="35"/>
      <c r="I319" s="12"/>
      <c r="M319" s="12"/>
      <c r="N319" s="18"/>
      <c r="O319" s="12"/>
      <c r="P319" s="12"/>
      <c r="Q319" s="12"/>
      <c r="R319" s="36"/>
      <c r="S319" s="36"/>
      <c r="T319" s="12"/>
      <c r="U319" s="12"/>
      <c r="V319" s="12"/>
      <c r="W319" s="12"/>
      <c r="X319" s="12"/>
    </row>
    <row r="320" customFormat="false" ht="15.75" hidden="false" customHeight="false" outlineLevel="0" collapsed="false">
      <c r="A320" s="12"/>
      <c r="B320" s="34"/>
      <c r="C320" s="12"/>
      <c r="D320" s="12"/>
      <c r="E320" s="12"/>
      <c r="F320" s="12"/>
      <c r="G320" s="18"/>
      <c r="H320" s="35"/>
      <c r="I320" s="12"/>
      <c r="M320" s="12"/>
      <c r="N320" s="18"/>
      <c r="O320" s="12"/>
      <c r="P320" s="12"/>
      <c r="Q320" s="12"/>
      <c r="R320" s="36"/>
      <c r="S320" s="36"/>
      <c r="T320" s="12"/>
      <c r="U320" s="12"/>
      <c r="V320" s="12"/>
      <c r="W320" s="12"/>
      <c r="X320" s="12"/>
    </row>
    <row r="321" customFormat="false" ht="15.75" hidden="false" customHeight="false" outlineLevel="0" collapsed="false">
      <c r="A321" s="12"/>
      <c r="B321" s="34"/>
      <c r="C321" s="12"/>
      <c r="D321" s="12"/>
      <c r="E321" s="12"/>
      <c r="F321" s="12"/>
      <c r="G321" s="18"/>
      <c r="H321" s="35"/>
      <c r="I321" s="12"/>
      <c r="M321" s="12"/>
      <c r="N321" s="18"/>
      <c r="O321" s="12"/>
      <c r="P321" s="12"/>
      <c r="Q321" s="12"/>
      <c r="R321" s="36"/>
      <c r="S321" s="36"/>
      <c r="T321" s="12"/>
      <c r="U321" s="12"/>
      <c r="V321" s="12"/>
      <c r="W321" s="12"/>
      <c r="X321" s="12"/>
    </row>
    <row r="322" customFormat="false" ht="15.75" hidden="false" customHeight="false" outlineLevel="0" collapsed="false">
      <c r="A322" s="12"/>
      <c r="B322" s="34"/>
      <c r="C322" s="12"/>
      <c r="D322" s="12"/>
      <c r="E322" s="12"/>
      <c r="F322" s="12"/>
      <c r="G322" s="18"/>
      <c r="H322" s="35"/>
      <c r="I322" s="12"/>
      <c r="M322" s="12"/>
      <c r="N322" s="18"/>
      <c r="O322" s="12"/>
      <c r="P322" s="12"/>
      <c r="Q322" s="12"/>
      <c r="R322" s="36"/>
      <c r="S322" s="36"/>
      <c r="T322" s="12"/>
      <c r="U322" s="12"/>
      <c r="V322" s="12"/>
      <c r="W322" s="12"/>
      <c r="X322" s="12"/>
    </row>
    <row r="323" customFormat="false" ht="15.75" hidden="false" customHeight="false" outlineLevel="0" collapsed="false">
      <c r="A323" s="12"/>
      <c r="B323" s="34"/>
      <c r="C323" s="12"/>
      <c r="D323" s="12"/>
      <c r="E323" s="12"/>
      <c r="F323" s="12"/>
      <c r="G323" s="18"/>
      <c r="H323" s="35"/>
      <c r="I323" s="12"/>
      <c r="M323" s="12"/>
      <c r="N323" s="18"/>
      <c r="O323" s="12"/>
      <c r="P323" s="12"/>
      <c r="Q323" s="12"/>
      <c r="R323" s="36"/>
      <c r="S323" s="36"/>
      <c r="T323" s="12"/>
      <c r="U323" s="12"/>
      <c r="V323" s="12"/>
      <c r="W323" s="12"/>
      <c r="X323" s="12"/>
    </row>
    <row r="324" customFormat="false" ht="15.75" hidden="false" customHeight="false" outlineLevel="0" collapsed="false">
      <c r="A324" s="12"/>
      <c r="B324" s="34"/>
      <c r="C324" s="12"/>
      <c r="D324" s="12"/>
      <c r="E324" s="12"/>
      <c r="F324" s="12"/>
      <c r="G324" s="18"/>
      <c r="H324" s="35"/>
      <c r="I324" s="12"/>
      <c r="M324" s="12"/>
      <c r="N324" s="18"/>
      <c r="O324" s="12"/>
      <c r="P324" s="12"/>
      <c r="Q324" s="12"/>
      <c r="R324" s="36"/>
      <c r="S324" s="36"/>
      <c r="T324" s="12"/>
      <c r="U324" s="12"/>
      <c r="V324" s="12"/>
      <c r="W324" s="12"/>
      <c r="X324" s="12"/>
    </row>
    <row r="325" customFormat="false" ht="15.75" hidden="false" customHeight="false" outlineLevel="0" collapsed="false">
      <c r="A325" s="12"/>
      <c r="B325" s="34"/>
      <c r="C325" s="12"/>
      <c r="D325" s="12"/>
      <c r="E325" s="12"/>
      <c r="F325" s="12"/>
      <c r="G325" s="18"/>
      <c r="H325" s="35"/>
      <c r="I325" s="12"/>
      <c r="M325" s="12"/>
      <c r="N325" s="18"/>
      <c r="O325" s="12"/>
      <c r="P325" s="12"/>
      <c r="Q325" s="12"/>
      <c r="R325" s="36"/>
      <c r="S325" s="36"/>
      <c r="T325" s="12"/>
      <c r="U325" s="12"/>
      <c r="V325" s="12"/>
      <c r="W325" s="12"/>
      <c r="X325" s="12"/>
    </row>
    <row r="326" customFormat="false" ht="15.75" hidden="false" customHeight="false" outlineLevel="0" collapsed="false">
      <c r="A326" s="12"/>
      <c r="B326" s="34"/>
      <c r="C326" s="12"/>
      <c r="D326" s="12"/>
      <c r="E326" s="12"/>
      <c r="F326" s="12"/>
      <c r="G326" s="18"/>
      <c r="H326" s="35"/>
      <c r="I326" s="12"/>
      <c r="M326" s="12"/>
      <c r="N326" s="18"/>
      <c r="O326" s="12"/>
      <c r="P326" s="12"/>
      <c r="Q326" s="12"/>
      <c r="R326" s="36"/>
      <c r="S326" s="36"/>
      <c r="T326" s="12"/>
      <c r="U326" s="12"/>
      <c r="V326" s="12"/>
      <c r="W326" s="12"/>
      <c r="X326" s="12"/>
    </row>
    <row r="327" customFormat="false" ht="15.75" hidden="false" customHeight="false" outlineLevel="0" collapsed="false">
      <c r="A327" s="12"/>
      <c r="B327" s="34"/>
      <c r="C327" s="12"/>
      <c r="D327" s="12"/>
      <c r="E327" s="12"/>
      <c r="F327" s="12"/>
      <c r="G327" s="18"/>
      <c r="H327" s="35"/>
      <c r="I327" s="12"/>
      <c r="M327" s="12"/>
      <c r="N327" s="18"/>
      <c r="O327" s="12"/>
      <c r="P327" s="12"/>
      <c r="Q327" s="12"/>
      <c r="R327" s="36"/>
      <c r="S327" s="36"/>
      <c r="T327" s="12"/>
      <c r="U327" s="12"/>
      <c r="V327" s="12"/>
      <c r="W327" s="12"/>
      <c r="X327" s="12"/>
    </row>
    <row r="328" customFormat="false" ht="15.75" hidden="false" customHeight="false" outlineLevel="0" collapsed="false">
      <c r="A328" s="12"/>
      <c r="B328" s="34"/>
      <c r="C328" s="12"/>
      <c r="D328" s="12"/>
      <c r="E328" s="12"/>
      <c r="F328" s="12"/>
      <c r="G328" s="18"/>
      <c r="H328" s="35"/>
      <c r="I328" s="12"/>
      <c r="M328" s="12"/>
      <c r="N328" s="18"/>
      <c r="O328" s="12"/>
      <c r="P328" s="12"/>
      <c r="Q328" s="12"/>
      <c r="R328" s="36"/>
      <c r="S328" s="36"/>
      <c r="T328" s="12"/>
      <c r="U328" s="12"/>
      <c r="V328" s="12"/>
      <c r="W328" s="12"/>
      <c r="X328" s="12"/>
    </row>
    <row r="329" customFormat="false" ht="15.75" hidden="false" customHeight="false" outlineLevel="0" collapsed="false">
      <c r="A329" s="12"/>
      <c r="B329" s="34"/>
      <c r="C329" s="12"/>
      <c r="D329" s="12"/>
      <c r="E329" s="12"/>
      <c r="F329" s="12"/>
      <c r="G329" s="18"/>
      <c r="H329" s="35"/>
      <c r="I329" s="12"/>
      <c r="M329" s="12"/>
      <c r="N329" s="18"/>
      <c r="O329" s="12"/>
      <c r="P329" s="12"/>
      <c r="Q329" s="12"/>
      <c r="R329" s="36"/>
      <c r="S329" s="36"/>
      <c r="T329" s="12"/>
      <c r="U329" s="12"/>
      <c r="V329" s="12"/>
      <c r="W329" s="12"/>
      <c r="X329" s="12"/>
    </row>
    <row r="330" customFormat="false" ht="15.75" hidden="false" customHeight="false" outlineLevel="0" collapsed="false">
      <c r="A330" s="12"/>
      <c r="B330" s="34"/>
      <c r="C330" s="12"/>
      <c r="D330" s="12"/>
      <c r="E330" s="12"/>
      <c r="F330" s="12"/>
      <c r="G330" s="18"/>
      <c r="H330" s="35"/>
      <c r="I330" s="12"/>
      <c r="M330" s="12"/>
      <c r="N330" s="18"/>
      <c r="O330" s="12"/>
      <c r="P330" s="12"/>
      <c r="Q330" s="12"/>
      <c r="R330" s="36"/>
      <c r="S330" s="36"/>
      <c r="T330" s="12"/>
      <c r="U330" s="12"/>
      <c r="V330" s="12"/>
      <c r="W330" s="12"/>
      <c r="X330" s="12"/>
    </row>
    <row r="331" customFormat="false" ht="15.75" hidden="false" customHeight="false" outlineLevel="0" collapsed="false">
      <c r="A331" s="12"/>
      <c r="B331" s="34"/>
      <c r="C331" s="12"/>
      <c r="D331" s="12"/>
      <c r="E331" s="12"/>
      <c r="F331" s="12"/>
      <c r="G331" s="18"/>
      <c r="H331" s="35"/>
      <c r="I331" s="12"/>
      <c r="M331" s="12"/>
      <c r="N331" s="18"/>
      <c r="O331" s="12"/>
      <c r="P331" s="12"/>
      <c r="Q331" s="12"/>
      <c r="R331" s="36"/>
      <c r="S331" s="36"/>
      <c r="T331" s="12"/>
      <c r="U331" s="12"/>
      <c r="V331" s="12"/>
      <c r="W331" s="12"/>
      <c r="X331" s="12"/>
    </row>
    <row r="332" customFormat="false" ht="15.75" hidden="false" customHeight="false" outlineLevel="0" collapsed="false">
      <c r="A332" s="12"/>
      <c r="B332" s="34"/>
      <c r="C332" s="12"/>
      <c r="D332" s="12"/>
      <c r="E332" s="12"/>
      <c r="F332" s="12"/>
      <c r="G332" s="18"/>
      <c r="H332" s="35"/>
      <c r="I332" s="12"/>
      <c r="M332" s="12"/>
      <c r="N332" s="18"/>
      <c r="O332" s="12"/>
      <c r="P332" s="12"/>
      <c r="Q332" s="12"/>
      <c r="R332" s="36"/>
      <c r="S332" s="36"/>
      <c r="T332" s="12"/>
      <c r="U332" s="12"/>
      <c r="V332" s="12"/>
      <c r="W332" s="12"/>
      <c r="X332" s="12"/>
    </row>
    <row r="333" customFormat="false" ht="15.75" hidden="false" customHeight="false" outlineLevel="0" collapsed="false">
      <c r="A333" s="12"/>
      <c r="B333" s="34"/>
      <c r="C333" s="12"/>
      <c r="D333" s="12"/>
      <c r="E333" s="12"/>
      <c r="F333" s="12"/>
      <c r="G333" s="18"/>
      <c r="H333" s="35"/>
      <c r="I333" s="12"/>
      <c r="M333" s="12"/>
      <c r="N333" s="18"/>
      <c r="O333" s="12"/>
      <c r="P333" s="12"/>
      <c r="Q333" s="12"/>
      <c r="R333" s="36"/>
      <c r="S333" s="36"/>
      <c r="T333" s="12"/>
      <c r="U333" s="12"/>
      <c r="V333" s="12"/>
      <c r="W333" s="12"/>
      <c r="X333" s="12"/>
    </row>
    <row r="334" customFormat="false" ht="15.75" hidden="false" customHeight="false" outlineLevel="0" collapsed="false">
      <c r="A334" s="12"/>
      <c r="B334" s="34"/>
      <c r="C334" s="12"/>
      <c r="D334" s="12"/>
      <c r="E334" s="12"/>
      <c r="F334" s="12"/>
      <c r="G334" s="18"/>
      <c r="H334" s="35"/>
      <c r="I334" s="12"/>
      <c r="M334" s="12"/>
      <c r="N334" s="18"/>
      <c r="O334" s="12"/>
      <c r="P334" s="12"/>
      <c r="Q334" s="12"/>
      <c r="R334" s="36"/>
      <c r="S334" s="36"/>
      <c r="T334" s="12"/>
      <c r="U334" s="12"/>
      <c r="V334" s="12"/>
      <c r="W334" s="12"/>
      <c r="X334" s="12"/>
    </row>
    <row r="335" customFormat="false" ht="15.75" hidden="false" customHeight="false" outlineLevel="0" collapsed="false">
      <c r="A335" s="12"/>
      <c r="B335" s="34"/>
      <c r="C335" s="12"/>
      <c r="D335" s="12"/>
      <c r="E335" s="12"/>
      <c r="F335" s="12"/>
      <c r="G335" s="18"/>
      <c r="H335" s="35"/>
      <c r="I335" s="12"/>
      <c r="M335" s="12"/>
      <c r="N335" s="18"/>
      <c r="O335" s="12"/>
      <c r="P335" s="12"/>
      <c r="Q335" s="12"/>
      <c r="R335" s="36"/>
      <c r="S335" s="36"/>
      <c r="T335" s="12"/>
      <c r="U335" s="12"/>
      <c r="V335" s="12"/>
      <c r="W335" s="12"/>
      <c r="X335" s="12"/>
    </row>
    <row r="336" customFormat="false" ht="15.75" hidden="false" customHeight="false" outlineLevel="0" collapsed="false">
      <c r="A336" s="12"/>
      <c r="B336" s="34"/>
      <c r="C336" s="12"/>
      <c r="D336" s="12"/>
      <c r="E336" s="12"/>
      <c r="F336" s="12"/>
      <c r="G336" s="18"/>
      <c r="H336" s="35"/>
      <c r="I336" s="12"/>
      <c r="M336" s="12"/>
      <c r="N336" s="18"/>
      <c r="O336" s="12"/>
      <c r="P336" s="12"/>
      <c r="Q336" s="12"/>
      <c r="R336" s="36"/>
      <c r="S336" s="36"/>
      <c r="T336" s="12"/>
      <c r="U336" s="12"/>
      <c r="V336" s="12"/>
      <c r="W336" s="12"/>
      <c r="X336" s="12"/>
    </row>
    <row r="337" customFormat="false" ht="15.75" hidden="false" customHeight="false" outlineLevel="0" collapsed="false">
      <c r="A337" s="12"/>
      <c r="B337" s="34"/>
      <c r="C337" s="12"/>
      <c r="D337" s="12"/>
      <c r="E337" s="12"/>
      <c r="F337" s="12"/>
      <c r="G337" s="18"/>
      <c r="H337" s="35"/>
      <c r="I337" s="12"/>
      <c r="M337" s="12"/>
      <c r="N337" s="18"/>
      <c r="O337" s="12"/>
      <c r="P337" s="12"/>
      <c r="Q337" s="12"/>
      <c r="R337" s="36"/>
      <c r="S337" s="36"/>
      <c r="T337" s="12"/>
      <c r="U337" s="12"/>
      <c r="V337" s="12"/>
      <c r="W337" s="12"/>
      <c r="X337" s="12"/>
    </row>
    <row r="338" customFormat="false" ht="15.75" hidden="false" customHeight="false" outlineLevel="0" collapsed="false">
      <c r="A338" s="12"/>
      <c r="B338" s="34"/>
      <c r="C338" s="12"/>
      <c r="D338" s="12"/>
      <c r="E338" s="12"/>
      <c r="F338" s="12"/>
      <c r="G338" s="18"/>
      <c r="H338" s="35"/>
      <c r="I338" s="12"/>
      <c r="M338" s="12"/>
      <c r="N338" s="18"/>
      <c r="O338" s="12"/>
      <c r="P338" s="12"/>
      <c r="Q338" s="12"/>
      <c r="R338" s="36"/>
      <c r="S338" s="36"/>
      <c r="T338" s="12"/>
      <c r="U338" s="12"/>
      <c r="V338" s="12"/>
      <c r="W338" s="12"/>
      <c r="X338" s="12"/>
    </row>
    <row r="339" customFormat="false" ht="15.75" hidden="false" customHeight="false" outlineLevel="0" collapsed="false">
      <c r="A339" s="12"/>
      <c r="B339" s="34"/>
      <c r="C339" s="12"/>
      <c r="D339" s="12"/>
      <c r="E339" s="12"/>
      <c r="F339" s="12"/>
      <c r="G339" s="18"/>
      <c r="H339" s="35"/>
      <c r="I339" s="12"/>
      <c r="M339" s="12"/>
      <c r="N339" s="18"/>
      <c r="O339" s="12"/>
      <c r="P339" s="12"/>
      <c r="Q339" s="12"/>
      <c r="R339" s="36"/>
      <c r="S339" s="36"/>
      <c r="T339" s="12"/>
      <c r="U339" s="12"/>
      <c r="V339" s="12"/>
      <c r="W339" s="12"/>
      <c r="X339" s="12"/>
    </row>
    <row r="340" customFormat="false" ht="15.75" hidden="false" customHeight="false" outlineLevel="0" collapsed="false">
      <c r="A340" s="12"/>
      <c r="B340" s="34"/>
      <c r="C340" s="12"/>
      <c r="D340" s="12"/>
      <c r="E340" s="12"/>
      <c r="F340" s="12"/>
      <c r="G340" s="18"/>
      <c r="H340" s="35"/>
      <c r="I340" s="12"/>
      <c r="M340" s="12"/>
      <c r="N340" s="18"/>
      <c r="O340" s="12"/>
      <c r="P340" s="12"/>
      <c r="Q340" s="12"/>
      <c r="R340" s="36"/>
      <c r="S340" s="36"/>
      <c r="T340" s="12"/>
      <c r="U340" s="12"/>
      <c r="V340" s="12"/>
      <c r="W340" s="12"/>
      <c r="X340" s="12"/>
    </row>
    <row r="341" customFormat="false" ht="15.75" hidden="false" customHeight="false" outlineLevel="0" collapsed="false">
      <c r="A341" s="12"/>
      <c r="B341" s="34"/>
      <c r="C341" s="12"/>
      <c r="D341" s="12"/>
      <c r="E341" s="12"/>
      <c r="F341" s="12"/>
      <c r="G341" s="18"/>
      <c r="H341" s="35"/>
      <c r="I341" s="12"/>
      <c r="M341" s="12"/>
      <c r="N341" s="18"/>
      <c r="O341" s="12"/>
      <c r="P341" s="12"/>
      <c r="Q341" s="12"/>
      <c r="R341" s="36"/>
      <c r="S341" s="36"/>
      <c r="T341" s="12"/>
      <c r="U341" s="12"/>
      <c r="V341" s="12"/>
      <c r="W341" s="12"/>
      <c r="X341" s="12"/>
    </row>
    <row r="342" customFormat="false" ht="15.75" hidden="false" customHeight="false" outlineLevel="0" collapsed="false">
      <c r="A342" s="12"/>
      <c r="B342" s="34"/>
      <c r="C342" s="12"/>
      <c r="D342" s="12"/>
      <c r="E342" s="12"/>
      <c r="F342" s="12"/>
      <c r="G342" s="18"/>
      <c r="H342" s="35"/>
      <c r="I342" s="12"/>
      <c r="M342" s="12"/>
      <c r="N342" s="18"/>
      <c r="O342" s="12"/>
      <c r="P342" s="12"/>
      <c r="Q342" s="12"/>
      <c r="R342" s="36"/>
      <c r="S342" s="36"/>
      <c r="T342" s="12"/>
      <c r="U342" s="12"/>
      <c r="V342" s="12"/>
      <c r="W342" s="12"/>
      <c r="X342" s="12"/>
    </row>
    <row r="343" customFormat="false" ht="15.75" hidden="false" customHeight="false" outlineLevel="0" collapsed="false">
      <c r="A343" s="12"/>
      <c r="B343" s="34"/>
      <c r="C343" s="12"/>
      <c r="D343" s="12"/>
      <c r="E343" s="12"/>
      <c r="F343" s="12"/>
      <c r="G343" s="18"/>
      <c r="H343" s="35"/>
      <c r="I343" s="12"/>
      <c r="M343" s="12"/>
      <c r="N343" s="18"/>
      <c r="O343" s="12"/>
      <c r="P343" s="12"/>
      <c r="Q343" s="12"/>
      <c r="R343" s="36"/>
      <c r="S343" s="36"/>
      <c r="T343" s="12"/>
      <c r="U343" s="12"/>
      <c r="V343" s="12"/>
      <c r="W343" s="12"/>
      <c r="X343" s="12"/>
    </row>
    <row r="344" customFormat="false" ht="15.75" hidden="false" customHeight="false" outlineLevel="0" collapsed="false">
      <c r="A344" s="12"/>
      <c r="B344" s="34"/>
      <c r="C344" s="12"/>
      <c r="D344" s="12"/>
      <c r="E344" s="12"/>
      <c r="F344" s="12"/>
      <c r="G344" s="18"/>
      <c r="H344" s="35"/>
      <c r="I344" s="12"/>
      <c r="M344" s="12"/>
      <c r="N344" s="18"/>
      <c r="O344" s="12"/>
      <c r="P344" s="12"/>
      <c r="Q344" s="12"/>
      <c r="R344" s="36"/>
      <c r="S344" s="36"/>
      <c r="T344" s="12"/>
      <c r="U344" s="12"/>
      <c r="V344" s="12"/>
      <c r="W344" s="12"/>
      <c r="X344" s="12"/>
    </row>
    <row r="345" customFormat="false" ht="15.75" hidden="false" customHeight="false" outlineLevel="0" collapsed="false">
      <c r="A345" s="12"/>
      <c r="B345" s="34"/>
      <c r="C345" s="12"/>
      <c r="D345" s="12"/>
      <c r="E345" s="12"/>
      <c r="F345" s="12"/>
      <c r="G345" s="18"/>
      <c r="H345" s="35"/>
      <c r="I345" s="12"/>
      <c r="M345" s="12"/>
      <c r="N345" s="18"/>
      <c r="O345" s="12"/>
      <c r="P345" s="12"/>
      <c r="Q345" s="12"/>
      <c r="R345" s="36"/>
      <c r="S345" s="36"/>
      <c r="T345" s="12"/>
      <c r="U345" s="12"/>
      <c r="V345" s="12"/>
      <c r="W345" s="12"/>
      <c r="X345" s="12"/>
    </row>
    <row r="346" customFormat="false" ht="15.75" hidden="false" customHeight="false" outlineLevel="0" collapsed="false">
      <c r="A346" s="12"/>
      <c r="B346" s="34"/>
      <c r="C346" s="12"/>
      <c r="D346" s="12"/>
      <c r="E346" s="12"/>
      <c r="F346" s="12"/>
      <c r="G346" s="18"/>
      <c r="H346" s="35"/>
      <c r="I346" s="12"/>
      <c r="M346" s="12"/>
      <c r="N346" s="18"/>
      <c r="O346" s="12"/>
      <c r="P346" s="12"/>
      <c r="Q346" s="12"/>
      <c r="R346" s="36"/>
      <c r="S346" s="36"/>
      <c r="T346" s="12"/>
      <c r="U346" s="12"/>
      <c r="V346" s="12"/>
      <c r="W346" s="12"/>
      <c r="X346" s="12"/>
    </row>
    <row r="347" customFormat="false" ht="15.75" hidden="false" customHeight="false" outlineLevel="0" collapsed="false">
      <c r="A347" s="12"/>
      <c r="B347" s="34"/>
      <c r="C347" s="12"/>
      <c r="D347" s="12"/>
      <c r="E347" s="12"/>
      <c r="F347" s="12"/>
      <c r="G347" s="18"/>
      <c r="H347" s="35"/>
      <c r="I347" s="12"/>
      <c r="M347" s="12"/>
      <c r="N347" s="18"/>
      <c r="O347" s="12"/>
      <c r="P347" s="12"/>
      <c r="Q347" s="12"/>
      <c r="R347" s="36"/>
      <c r="S347" s="36"/>
      <c r="T347" s="12"/>
      <c r="U347" s="12"/>
      <c r="V347" s="12"/>
      <c r="W347" s="12"/>
      <c r="X347" s="12"/>
    </row>
    <row r="348" customFormat="false" ht="15.75" hidden="false" customHeight="false" outlineLevel="0" collapsed="false">
      <c r="A348" s="12"/>
      <c r="B348" s="34"/>
      <c r="C348" s="12"/>
      <c r="D348" s="12"/>
      <c r="E348" s="12"/>
      <c r="F348" s="12"/>
      <c r="G348" s="18"/>
      <c r="H348" s="35"/>
      <c r="I348" s="12"/>
      <c r="M348" s="12"/>
      <c r="N348" s="18"/>
      <c r="O348" s="12"/>
      <c r="P348" s="12"/>
      <c r="Q348" s="12"/>
      <c r="R348" s="36"/>
      <c r="S348" s="36"/>
      <c r="T348" s="12"/>
      <c r="U348" s="12"/>
      <c r="V348" s="12"/>
      <c r="W348" s="12"/>
      <c r="X348" s="12"/>
    </row>
    <row r="349" customFormat="false" ht="15.75" hidden="false" customHeight="false" outlineLevel="0" collapsed="false">
      <c r="A349" s="12"/>
      <c r="B349" s="34"/>
      <c r="C349" s="12"/>
      <c r="D349" s="12"/>
      <c r="E349" s="12"/>
      <c r="F349" s="12"/>
      <c r="G349" s="18"/>
      <c r="H349" s="35"/>
      <c r="I349" s="12"/>
      <c r="M349" s="12"/>
      <c r="N349" s="18"/>
      <c r="O349" s="12"/>
      <c r="P349" s="12"/>
      <c r="Q349" s="12"/>
      <c r="R349" s="36"/>
      <c r="S349" s="36"/>
      <c r="T349" s="12"/>
      <c r="U349" s="12"/>
      <c r="V349" s="12"/>
      <c r="W349" s="12"/>
      <c r="X349" s="12"/>
    </row>
    <row r="350" customFormat="false" ht="15.75" hidden="false" customHeight="false" outlineLevel="0" collapsed="false">
      <c r="A350" s="12"/>
      <c r="B350" s="34"/>
      <c r="C350" s="12"/>
      <c r="D350" s="12"/>
      <c r="E350" s="12"/>
      <c r="F350" s="12"/>
      <c r="G350" s="18"/>
      <c r="H350" s="35"/>
      <c r="I350" s="12"/>
      <c r="M350" s="12"/>
      <c r="N350" s="18"/>
      <c r="O350" s="12"/>
      <c r="P350" s="12"/>
      <c r="Q350" s="12"/>
      <c r="R350" s="36"/>
      <c r="S350" s="36"/>
      <c r="T350" s="12"/>
      <c r="U350" s="12"/>
      <c r="V350" s="12"/>
      <c r="W350" s="12"/>
      <c r="X350" s="12"/>
    </row>
    <row r="351" customFormat="false" ht="15.75" hidden="false" customHeight="false" outlineLevel="0" collapsed="false">
      <c r="A351" s="12"/>
      <c r="B351" s="34"/>
      <c r="C351" s="12"/>
      <c r="D351" s="12"/>
      <c r="E351" s="12"/>
      <c r="F351" s="12"/>
      <c r="G351" s="18"/>
      <c r="H351" s="35"/>
      <c r="I351" s="12"/>
      <c r="M351" s="12"/>
      <c r="N351" s="18"/>
      <c r="O351" s="12"/>
      <c r="P351" s="12"/>
      <c r="Q351" s="12"/>
      <c r="R351" s="36"/>
      <c r="S351" s="36"/>
      <c r="T351" s="12"/>
      <c r="U351" s="12"/>
      <c r="V351" s="12"/>
      <c r="W351" s="12"/>
      <c r="X351" s="12"/>
    </row>
    <row r="352" customFormat="false" ht="15.75" hidden="false" customHeight="false" outlineLevel="0" collapsed="false">
      <c r="A352" s="12"/>
      <c r="B352" s="34"/>
      <c r="C352" s="12"/>
      <c r="D352" s="12"/>
      <c r="E352" s="12"/>
      <c r="F352" s="12"/>
      <c r="G352" s="18"/>
      <c r="H352" s="35"/>
      <c r="I352" s="12"/>
      <c r="M352" s="12"/>
      <c r="N352" s="18"/>
      <c r="O352" s="12"/>
      <c r="P352" s="12"/>
      <c r="Q352" s="12"/>
      <c r="R352" s="36"/>
      <c r="S352" s="36"/>
      <c r="T352" s="12"/>
      <c r="U352" s="12"/>
      <c r="V352" s="12"/>
      <c r="W352" s="12"/>
      <c r="X352" s="12"/>
    </row>
    <row r="353" customFormat="false" ht="15.75" hidden="false" customHeight="false" outlineLevel="0" collapsed="false">
      <c r="A353" s="12"/>
      <c r="B353" s="34"/>
      <c r="C353" s="12"/>
      <c r="D353" s="12"/>
      <c r="E353" s="12"/>
      <c r="F353" s="12"/>
      <c r="G353" s="18"/>
      <c r="H353" s="35"/>
      <c r="I353" s="12"/>
      <c r="M353" s="12"/>
      <c r="N353" s="18"/>
      <c r="O353" s="12"/>
      <c r="P353" s="12"/>
      <c r="Q353" s="12"/>
      <c r="R353" s="36"/>
      <c r="S353" s="36"/>
      <c r="T353" s="12"/>
      <c r="U353" s="12"/>
      <c r="V353" s="12"/>
      <c r="W353" s="12"/>
      <c r="X353" s="12"/>
    </row>
    <row r="354" customFormat="false" ht="15.75" hidden="false" customHeight="false" outlineLevel="0" collapsed="false">
      <c r="A354" s="12"/>
      <c r="B354" s="34"/>
      <c r="C354" s="12"/>
      <c r="D354" s="12"/>
      <c r="E354" s="12"/>
      <c r="F354" s="12"/>
      <c r="G354" s="18"/>
      <c r="H354" s="35"/>
      <c r="I354" s="12"/>
      <c r="M354" s="12"/>
      <c r="N354" s="18"/>
      <c r="O354" s="12"/>
      <c r="P354" s="12"/>
      <c r="Q354" s="12"/>
      <c r="R354" s="36"/>
      <c r="S354" s="36"/>
      <c r="T354" s="12"/>
      <c r="U354" s="12"/>
      <c r="V354" s="12"/>
      <c r="W354" s="12"/>
      <c r="X354" s="12"/>
    </row>
    <row r="355" customFormat="false" ht="15.75" hidden="false" customHeight="false" outlineLevel="0" collapsed="false">
      <c r="A355" s="12"/>
      <c r="B355" s="34"/>
      <c r="C355" s="12"/>
      <c r="D355" s="12"/>
      <c r="E355" s="12"/>
      <c r="F355" s="12"/>
      <c r="G355" s="18"/>
      <c r="H355" s="35"/>
      <c r="I355" s="12"/>
      <c r="M355" s="12"/>
      <c r="N355" s="18"/>
      <c r="O355" s="12"/>
      <c r="P355" s="12"/>
      <c r="Q355" s="12"/>
      <c r="R355" s="36"/>
      <c r="S355" s="36"/>
      <c r="T355" s="12"/>
      <c r="U355" s="12"/>
      <c r="V355" s="12"/>
      <c r="W355" s="12"/>
      <c r="X355" s="12"/>
    </row>
    <row r="356" customFormat="false" ht="15.75" hidden="false" customHeight="false" outlineLevel="0" collapsed="false">
      <c r="A356" s="12"/>
      <c r="B356" s="34"/>
      <c r="C356" s="12"/>
      <c r="D356" s="12"/>
      <c r="E356" s="12"/>
      <c r="F356" s="12"/>
      <c r="G356" s="18"/>
      <c r="H356" s="35"/>
      <c r="I356" s="12"/>
      <c r="M356" s="12"/>
      <c r="N356" s="18"/>
      <c r="O356" s="12"/>
      <c r="P356" s="12"/>
      <c r="Q356" s="12"/>
      <c r="R356" s="36"/>
      <c r="S356" s="36"/>
      <c r="T356" s="12"/>
      <c r="U356" s="12"/>
      <c r="V356" s="12"/>
      <c r="W356" s="12"/>
      <c r="X356" s="12"/>
    </row>
    <row r="357" customFormat="false" ht="15.75" hidden="false" customHeight="false" outlineLevel="0" collapsed="false">
      <c r="A357" s="12"/>
      <c r="B357" s="34"/>
      <c r="C357" s="12"/>
      <c r="D357" s="12"/>
      <c r="E357" s="12"/>
      <c r="F357" s="12"/>
      <c r="G357" s="18"/>
      <c r="H357" s="35"/>
      <c r="I357" s="12"/>
      <c r="M357" s="12"/>
      <c r="N357" s="18"/>
      <c r="O357" s="12"/>
      <c r="P357" s="12"/>
      <c r="Q357" s="12"/>
      <c r="R357" s="36"/>
      <c r="S357" s="36"/>
      <c r="T357" s="12"/>
      <c r="U357" s="12"/>
      <c r="V357" s="12"/>
      <c r="W357" s="12"/>
      <c r="X357" s="12"/>
    </row>
    <row r="358" customFormat="false" ht="15.75" hidden="false" customHeight="false" outlineLevel="0" collapsed="false">
      <c r="A358" s="12"/>
      <c r="B358" s="34"/>
      <c r="C358" s="12"/>
      <c r="D358" s="12"/>
      <c r="E358" s="12"/>
      <c r="F358" s="12"/>
      <c r="G358" s="18"/>
      <c r="H358" s="35"/>
      <c r="I358" s="12"/>
      <c r="M358" s="12"/>
      <c r="N358" s="18"/>
      <c r="O358" s="12"/>
      <c r="P358" s="12"/>
      <c r="Q358" s="12"/>
      <c r="R358" s="36"/>
      <c r="S358" s="36"/>
      <c r="T358" s="12"/>
      <c r="U358" s="12"/>
      <c r="V358" s="12"/>
      <c r="W358" s="12"/>
      <c r="X358" s="12"/>
    </row>
    <row r="359" customFormat="false" ht="15.75" hidden="false" customHeight="false" outlineLevel="0" collapsed="false">
      <c r="A359" s="12"/>
      <c r="B359" s="34"/>
      <c r="C359" s="12"/>
      <c r="D359" s="12"/>
      <c r="E359" s="12"/>
      <c r="F359" s="12"/>
      <c r="G359" s="18"/>
      <c r="H359" s="35"/>
      <c r="I359" s="12"/>
      <c r="M359" s="12"/>
      <c r="N359" s="18"/>
      <c r="O359" s="12"/>
      <c r="P359" s="12"/>
      <c r="Q359" s="12"/>
      <c r="R359" s="36"/>
      <c r="S359" s="36"/>
      <c r="T359" s="12"/>
      <c r="U359" s="12"/>
      <c r="V359" s="12"/>
      <c r="W359" s="12"/>
      <c r="X359" s="12"/>
    </row>
    <row r="360" customFormat="false" ht="15.75" hidden="false" customHeight="false" outlineLevel="0" collapsed="false">
      <c r="A360" s="12"/>
      <c r="B360" s="34"/>
      <c r="C360" s="12"/>
      <c r="D360" s="12"/>
      <c r="E360" s="12"/>
      <c r="F360" s="12"/>
      <c r="G360" s="18"/>
      <c r="H360" s="35"/>
      <c r="I360" s="12"/>
      <c r="M360" s="12"/>
      <c r="N360" s="18"/>
      <c r="O360" s="12"/>
      <c r="P360" s="12"/>
      <c r="Q360" s="12"/>
      <c r="R360" s="36"/>
      <c r="S360" s="36"/>
      <c r="T360" s="12"/>
      <c r="U360" s="12"/>
      <c r="V360" s="12"/>
      <c r="W360" s="12"/>
      <c r="X360" s="12"/>
    </row>
    <row r="361" customFormat="false" ht="15.75" hidden="false" customHeight="false" outlineLevel="0" collapsed="false">
      <c r="A361" s="12"/>
      <c r="B361" s="34"/>
      <c r="C361" s="12"/>
      <c r="D361" s="12"/>
      <c r="E361" s="12"/>
      <c r="F361" s="12"/>
      <c r="G361" s="18"/>
      <c r="H361" s="35"/>
      <c r="I361" s="12"/>
      <c r="M361" s="12"/>
      <c r="N361" s="18"/>
      <c r="O361" s="12"/>
      <c r="P361" s="12"/>
      <c r="Q361" s="12"/>
      <c r="R361" s="36"/>
      <c r="S361" s="36"/>
      <c r="T361" s="12"/>
      <c r="U361" s="12"/>
      <c r="V361" s="12"/>
      <c r="W361" s="12"/>
      <c r="X361" s="12"/>
    </row>
    <row r="362" customFormat="false" ht="15.75" hidden="false" customHeight="false" outlineLevel="0" collapsed="false">
      <c r="A362" s="12"/>
      <c r="B362" s="34"/>
      <c r="C362" s="12"/>
      <c r="D362" s="12"/>
      <c r="E362" s="12"/>
      <c r="F362" s="12"/>
      <c r="G362" s="18"/>
      <c r="H362" s="35"/>
      <c r="I362" s="12"/>
      <c r="M362" s="12"/>
      <c r="N362" s="18"/>
      <c r="O362" s="12"/>
      <c r="P362" s="12"/>
      <c r="Q362" s="12"/>
      <c r="R362" s="36"/>
      <c r="S362" s="36"/>
      <c r="T362" s="12"/>
      <c r="U362" s="12"/>
      <c r="V362" s="12"/>
      <c r="W362" s="12"/>
      <c r="X362" s="12"/>
    </row>
    <row r="363" customFormat="false" ht="15.75" hidden="false" customHeight="false" outlineLevel="0" collapsed="false">
      <c r="A363" s="12"/>
      <c r="B363" s="34"/>
      <c r="C363" s="12"/>
      <c r="D363" s="12"/>
      <c r="E363" s="12"/>
      <c r="F363" s="12"/>
      <c r="G363" s="18"/>
      <c r="H363" s="35"/>
      <c r="I363" s="12"/>
      <c r="M363" s="12"/>
      <c r="N363" s="18"/>
      <c r="O363" s="12"/>
      <c r="P363" s="12"/>
      <c r="Q363" s="12"/>
      <c r="R363" s="36"/>
      <c r="S363" s="36"/>
      <c r="T363" s="12"/>
      <c r="U363" s="12"/>
      <c r="V363" s="12"/>
      <c r="W363" s="12"/>
      <c r="X363" s="12"/>
    </row>
    <row r="364" customFormat="false" ht="15.75" hidden="false" customHeight="false" outlineLevel="0" collapsed="false">
      <c r="A364" s="12"/>
      <c r="B364" s="34"/>
      <c r="C364" s="12"/>
      <c r="D364" s="12"/>
      <c r="E364" s="12"/>
      <c r="F364" s="12"/>
      <c r="G364" s="18"/>
      <c r="H364" s="35"/>
      <c r="I364" s="12"/>
      <c r="M364" s="12"/>
      <c r="N364" s="18"/>
      <c r="O364" s="12"/>
      <c r="P364" s="12"/>
      <c r="Q364" s="12"/>
      <c r="R364" s="36"/>
      <c r="S364" s="36"/>
      <c r="T364" s="12"/>
      <c r="U364" s="12"/>
      <c r="V364" s="12"/>
      <c r="W364" s="12"/>
      <c r="X364" s="12"/>
    </row>
    <row r="365" customFormat="false" ht="15.75" hidden="false" customHeight="false" outlineLevel="0" collapsed="false">
      <c r="A365" s="12"/>
      <c r="B365" s="34"/>
      <c r="C365" s="12"/>
      <c r="D365" s="12"/>
      <c r="E365" s="12"/>
      <c r="F365" s="12"/>
      <c r="G365" s="18"/>
      <c r="H365" s="35"/>
      <c r="I365" s="12"/>
      <c r="M365" s="12"/>
      <c r="N365" s="18"/>
      <c r="O365" s="12"/>
      <c r="P365" s="12"/>
      <c r="Q365" s="12"/>
      <c r="R365" s="36"/>
      <c r="S365" s="36"/>
      <c r="T365" s="12"/>
      <c r="U365" s="12"/>
      <c r="V365" s="12"/>
      <c r="W365" s="12"/>
      <c r="X365" s="12"/>
    </row>
    <row r="366" customFormat="false" ht="15.75" hidden="false" customHeight="false" outlineLevel="0" collapsed="false">
      <c r="A366" s="12"/>
      <c r="B366" s="34"/>
      <c r="C366" s="12"/>
      <c r="D366" s="12"/>
      <c r="E366" s="12"/>
      <c r="F366" s="12"/>
      <c r="G366" s="18"/>
      <c r="H366" s="35"/>
      <c r="I366" s="12"/>
      <c r="M366" s="12"/>
      <c r="N366" s="18"/>
      <c r="O366" s="12"/>
      <c r="P366" s="12"/>
      <c r="Q366" s="12"/>
      <c r="R366" s="36"/>
      <c r="S366" s="36"/>
      <c r="T366" s="12"/>
      <c r="U366" s="12"/>
      <c r="V366" s="12"/>
      <c r="W366" s="12"/>
      <c r="X366" s="12"/>
    </row>
    <row r="367" customFormat="false" ht="15.75" hidden="false" customHeight="false" outlineLevel="0" collapsed="false">
      <c r="A367" s="12"/>
      <c r="B367" s="34"/>
      <c r="C367" s="12"/>
      <c r="D367" s="12"/>
      <c r="E367" s="12"/>
      <c r="F367" s="12"/>
      <c r="G367" s="18"/>
      <c r="H367" s="35"/>
      <c r="I367" s="12"/>
      <c r="M367" s="12"/>
      <c r="N367" s="18"/>
      <c r="O367" s="12"/>
      <c r="P367" s="12"/>
      <c r="Q367" s="12"/>
      <c r="R367" s="36"/>
      <c r="S367" s="36"/>
      <c r="T367" s="12"/>
      <c r="U367" s="12"/>
      <c r="V367" s="12"/>
      <c r="W367" s="12"/>
      <c r="X367" s="12"/>
    </row>
    <row r="368" customFormat="false" ht="15.75" hidden="false" customHeight="false" outlineLevel="0" collapsed="false">
      <c r="A368" s="12"/>
      <c r="B368" s="34"/>
      <c r="C368" s="12"/>
      <c r="D368" s="12"/>
      <c r="E368" s="12"/>
      <c r="F368" s="12"/>
      <c r="G368" s="18"/>
      <c r="H368" s="35"/>
      <c r="I368" s="12"/>
      <c r="M368" s="12"/>
      <c r="N368" s="18"/>
      <c r="O368" s="12"/>
      <c r="P368" s="12"/>
      <c r="Q368" s="12"/>
      <c r="R368" s="36"/>
      <c r="S368" s="36"/>
      <c r="T368" s="12"/>
      <c r="U368" s="12"/>
      <c r="V368" s="12"/>
      <c r="W368" s="12"/>
      <c r="X368" s="12"/>
    </row>
    <row r="369" customFormat="false" ht="15.75" hidden="false" customHeight="false" outlineLevel="0" collapsed="false">
      <c r="A369" s="12"/>
      <c r="B369" s="34"/>
      <c r="C369" s="12"/>
      <c r="D369" s="12"/>
      <c r="E369" s="12"/>
      <c r="F369" s="12"/>
      <c r="G369" s="18"/>
      <c r="H369" s="35"/>
      <c r="I369" s="12"/>
      <c r="M369" s="12"/>
      <c r="N369" s="18"/>
      <c r="O369" s="12"/>
      <c r="P369" s="12"/>
      <c r="Q369" s="12"/>
      <c r="R369" s="36"/>
      <c r="S369" s="36"/>
      <c r="T369" s="12"/>
      <c r="U369" s="12"/>
      <c r="V369" s="12"/>
      <c r="W369" s="12"/>
      <c r="X369" s="12"/>
    </row>
    <row r="370" customFormat="false" ht="15.75" hidden="false" customHeight="false" outlineLevel="0" collapsed="false">
      <c r="A370" s="12"/>
      <c r="B370" s="34"/>
      <c r="C370" s="12"/>
      <c r="D370" s="12"/>
      <c r="E370" s="12"/>
      <c r="F370" s="12"/>
      <c r="G370" s="18"/>
      <c r="H370" s="35"/>
      <c r="I370" s="12"/>
      <c r="M370" s="12"/>
      <c r="N370" s="18"/>
      <c r="O370" s="12"/>
      <c r="P370" s="12"/>
      <c r="Q370" s="12"/>
      <c r="R370" s="36"/>
      <c r="S370" s="36"/>
      <c r="T370" s="12"/>
      <c r="U370" s="12"/>
      <c r="V370" s="12"/>
      <c r="W370" s="12"/>
      <c r="X370" s="12"/>
    </row>
    <row r="371" customFormat="false" ht="15.75" hidden="false" customHeight="false" outlineLevel="0" collapsed="false">
      <c r="A371" s="12"/>
      <c r="B371" s="34"/>
      <c r="C371" s="12"/>
      <c r="D371" s="12"/>
      <c r="E371" s="12"/>
      <c r="F371" s="12"/>
      <c r="G371" s="18"/>
      <c r="H371" s="35"/>
      <c r="I371" s="12"/>
      <c r="M371" s="12"/>
      <c r="N371" s="18"/>
      <c r="O371" s="12"/>
      <c r="P371" s="12"/>
      <c r="Q371" s="12"/>
      <c r="R371" s="36"/>
      <c r="S371" s="36"/>
      <c r="T371" s="12"/>
      <c r="U371" s="12"/>
      <c r="V371" s="12"/>
      <c r="W371" s="12"/>
      <c r="X371" s="12"/>
    </row>
    <row r="372" customFormat="false" ht="15.75" hidden="false" customHeight="false" outlineLevel="0" collapsed="false">
      <c r="A372" s="12"/>
      <c r="B372" s="34"/>
      <c r="C372" s="12"/>
      <c r="D372" s="12"/>
      <c r="E372" s="12"/>
      <c r="F372" s="12"/>
      <c r="G372" s="18"/>
      <c r="H372" s="35"/>
      <c r="I372" s="12"/>
      <c r="M372" s="12"/>
      <c r="N372" s="18"/>
      <c r="O372" s="12"/>
      <c r="P372" s="12"/>
      <c r="Q372" s="12"/>
      <c r="R372" s="36"/>
      <c r="S372" s="36"/>
      <c r="T372" s="12"/>
      <c r="U372" s="12"/>
      <c r="V372" s="12"/>
      <c r="W372" s="12"/>
      <c r="X372" s="12"/>
    </row>
    <row r="373" customFormat="false" ht="15.75" hidden="false" customHeight="false" outlineLevel="0" collapsed="false">
      <c r="A373" s="12"/>
      <c r="B373" s="34"/>
      <c r="C373" s="12"/>
      <c r="D373" s="12"/>
      <c r="E373" s="12"/>
      <c r="F373" s="12"/>
      <c r="G373" s="18"/>
      <c r="H373" s="35"/>
      <c r="I373" s="12"/>
      <c r="M373" s="12"/>
      <c r="N373" s="18"/>
      <c r="O373" s="12"/>
      <c r="P373" s="12"/>
      <c r="Q373" s="12"/>
      <c r="R373" s="36"/>
      <c r="S373" s="36"/>
      <c r="T373" s="12"/>
      <c r="U373" s="12"/>
      <c r="V373" s="12"/>
      <c r="W373" s="12"/>
      <c r="X373" s="12"/>
    </row>
    <row r="374" customFormat="false" ht="15.75" hidden="false" customHeight="false" outlineLevel="0" collapsed="false">
      <c r="A374" s="12"/>
      <c r="B374" s="34"/>
      <c r="C374" s="12"/>
      <c r="D374" s="12"/>
      <c r="E374" s="12"/>
      <c r="F374" s="12"/>
      <c r="G374" s="18"/>
      <c r="H374" s="35"/>
      <c r="I374" s="12"/>
      <c r="M374" s="12"/>
      <c r="N374" s="18"/>
      <c r="O374" s="12"/>
      <c r="P374" s="12"/>
      <c r="Q374" s="12"/>
      <c r="R374" s="36"/>
      <c r="S374" s="36"/>
      <c r="T374" s="12"/>
      <c r="U374" s="12"/>
      <c r="V374" s="12"/>
      <c r="W374" s="12"/>
      <c r="X374" s="12"/>
    </row>
    <row r="375" customFormat="false" ht="15.75" hidden="false" customHeight="false" outlineLevel="0" collapsed="false">
      <c r="A375" s="12"/>
      <c r="B375" s="34"/>
      <c r="C375" s="12"/>
      <c r="D375" s="12"/>
      <c r="E375" s="12"/>
      <c r="F375" s="12"/>
      <c r="G375" s="18"/>
      <c r="H375" s="35"/>
      <c r="I375" s="12"/>
      <c r="M375" s="12"/>
      <c r="N375" s="18"/>
      <c r="O375" s="12"/>
      <c r="P375" s="12"/>
      <c r="Q375" s="12"/>
      <c r="R375" s="36"/>
      <c r="S375" s="36"/>
      <c r="T375" s="12"/>
      <c r="U375" s="12"/>
      <c r="V375" s="12"/>
      <c r="W375" s="12"/>
      <c r="X375" s="12"/>
    </row>
    <row r="376" customFormat="false" ht="15.75" hidden="false" customHeight="false" outlineLevel="0" collapsed="false">
      <c r="A376" s="12"/>
      <c r="B376" s="34"/>
      <c r="C376" s="12"/>
      <c r="D376" s="12"/>
      <c r="E376" s="12"/>
      <c r="F376" s="12"/>
      <c r="G376" s="18"/>
      <c r="H376" s="35"/>
      <c r="I376" s="12"/>
      <c r="M376" s="12"/>
      <c r="N376" s="18"/>
      <c r="O376" s="12"/>
      <c r="P376" s="12"/>
      <c r="Q376" s="12"/>
      <c r="R376" s="36"/>
      <c r="S376" s="36"/>
      <c r="T376" s="12"/>
      <c r="U376" s="12"/>
      <c r="V376" s="12"/>
      <c r="W376" s="12"/>
      <c r="X376" s="12"/>
    </row>
    <row r="377" customFormat="false" ht="15.75" hidden="false" customHeight="false" outlineLevel="0" collapsed="false">
      <c r="A377" s="12"/>
      <c r="B377" s="34"/>
      <c r="C377" s="12"/>
      <c r="D377" s="12"/>
      <c r="E377" s="12"/>
      <c r="F377" s="12"/>
      <c r="G377" s="18"/>
      <c r="H377" s="35"/>
      <c r="I377" s="12"/>
      <c r="M377" s="12"/>
      <c r="N377" s="18"/>
      <c r="O377" s="12"/>
      <c r="P377" s="12"/>
      <c r="Q377" s="12"/>
      <c r="R377" s="36"/>
      <c r="S377" s="36"/>
      <c r="T377" s="12"/>
      <c r="U377" s="12"/>
      <c r="V377" s="12"/>
      <c r="W377" s="12"/>
      <c r="X377" s="12"/>
    </row>
    <row r="378" customFormat="false" ht="15.75" hidden="false" customHeight="false" outlineLevel="0" collapsed="false">
      <c r="A378" s="12"/>
      <c r="B378" s="34"/>
      <c r="C378" s="12"/>
      <c r="D378" s="12"/>
      <c r="E378" s="12"/>
      <c r="F378" s="12"/>
      <c r="G378" s="18"/>
      <c r="H378" s="35"/>
      <c r="I378" s="12"/>
      <c r="M378" s="12"/>
      <c r="N378" s="18"/>
      <c r="O378" s="12"/>
      <c r="P378" s="12"/>
      <c r="Q378" s="12"/>
      <c r="R378" s="36"/>
      <c r="S378" s="36"/>
      <c r="T378" s="12"/>
      <c r="U378" s="12"/>
      <c r="V378" s="12"/>
      <c r="W378" s="12"/>
      <c r="X378" s="12"/>
    </row>
    <row r="379" customFormat="false" ht="15.75" hidden="false" customHeight="false" outlineLevel="0" collapsed="false">
      <c r="A379" s="12"/>
      <c r="B379" s="34"/>
      <c r="C379" s="12"/>
      <c r="D379" s="12"/>
      <c r="E379" s="12"/>
      <c r="F379" s="12"/>
      <c r="G379" s="18"/>
      <c r="H379" s="35"/>
      <c r="I379" s="12"/>
      <c r="M379" s="12"/>
      <c r="N379" s="18"/>
      <c r="O379" s="12"/>
      <c r="P379" s="12"/>
      <c r="Q379" s="12"/>
      <c r="R379" s="36"/>
      <c r="S379" s="36"/>
      <c r="T379" s="12"/>
      <c r="U379" s="12"/>
      <c r="V379" s="12"/>
      <c r="W379" s="12"/>
      <c r="X379" s="12"/>
    </row>
    <row r="380" customFormat="false" ht="15.75" hidden="false" customHeight="false" outlineLevel="0" collapsed="false">
      <c r="A380" s="12"/>
      <c r="B380" s="34"/>
      <c r="C380" s="12"/>
      <c r="D380" s="12"/>
      <c r="E380" s="12"/>
      <c r="F380" s="12"/>
      <c r="G380" s="18"/>
      <c r="H380" s="35"/>
      <c r="I380" s="12"/>
      <c r="M380" s="12"/>
      <c r="N380" s="18"/>
      <c r="O380" s="12"/>
      <c r="P380" s="12"/>
      <c r="Q380" s="12"/>
      <c r="R380" s="36"/>
      <c r="S380" s="36"/>
      <c r="T380" s="12"/>
      <c r="U380" s="12"/>
      <c r="V380" s="12"/>
      <c r="W380" s="12"/>
      <c r="X380" s="12"/>
    </row>
    <row r="381" customFormat="false" ht="15.75" hidden="false" customHeight="false" outlineLevel="0" collapsed="false">
      <c r="A381" s="12"/>
      <c r="B381" s="34"/>
      <c r="C381" s="12"/>
      <c r="D381" s="12"/>
      <c r="E381" s="12"/>
      <c r="F381" s="12"/>
      <c r="G381" s="18"/>
      <c r="H381" s="35"/>
      <c r="I381" s="12"/>
      <c r="M381" s="12"/>
      <c r="N381" s="18"/>
      <c r="O381" s="12"/>
      <c r="P381" s="12"/>
      <c r="Q381" s="12"/>
      <c r="R381" s="36"/>
      <c r="S381" s="36"/>
      <c r="T381" s="12"/>
      <c r="U381" s="12"/>
      <c r="V381" s="12"/>
      <c r="W381" s="12"/>
      <c r="X381" s="12"/>
    </row>
    <row r="382" customFormat="false" ht="15.75" hidden="false" customHeight="false" outlineLevel="0" collapsed="false">
      <c r="A382" s="12"/>
      <c r="B382" s="34"/>
      <c r="C382" s="12"/>
      <c r="D382" s="12"/>
      <c r="E382" s="12"/>
      <c r="F382" s="12"/>
      <c r="G382" s="18"/>
      <c r="H382" s="35"/>
      <c r="I382" s="12"/>
      <c r="M382" s="12"/>
      <c r="N382" s="18"/>
      <c r="O382" s="12"/>
      <c r="P382" s="12"/>
      <c r="Q382" s="12"/>
      <c r="R382" s="36"/>
      <c r="S382" s="36"/>
      <c r="T382" s="12"/>
      <c r="U382" s="12"/>
      <c r="V382" s="12"/>
      <c r="W382" s="12"/>
      <c r="X382" s="12"/>
    </row>
    <row r="383" customFormat="false" ht="15.75" hidden="false" customHeight="false" outlineLevel="0" collapsed="false">
      <c r="A383" s="12"/>
      <c r="B383" s="34"/>
      <c r="C383" s="12"/>
      <c r="D383" s="12"/>
      <c r="E383" s="12"/>
      <c r="F383" s="12"/>
      <c r="G383" s="18"/>
      <c r="H383" s="35"/>
      <c r="I383" s="12"/>
      <c r="M383" s="12"/>
      <c r="N383" s="18"/>
      <c r="O383" s="12"/>
      <c r="P383" s="12"/>
      <c r="Q383" s="12"/>
      <c r="R383" s="36"/>
      <c r="S383" s="36"/>
      <c r="T383" s="12"/>
      <c r="U383" s="12"/>
      <c r="V383" s="12"/>
      <c r="W383" s="12"/>
      <c r="X383" s="12"/>
    </row>
    <row r="384" customFormat="false" ht="15.75" hidden="false" customHeight="false" outlineLevel="0" collapsed="false">
      <c r="A384" s="12"/>
      <c r="B384" s="34"/>
      <c r="C384" s="12"/>
      <c r="D384" s="12"/>
      <c r="E384" s="12"/>
      <c r="F384" s="12"/>
      <c r="G384" s="18"/>
      <c r="H384" s="35"/>
      <c r="I384" s="12"/>
      <c r="M384" s="12"/>
      <c r="N384" s="18"/>
      <c r="O384" s="12"/>
      <c r="P384" s="12"/>
      <c r="Q384" s="12"/>
      <c r="R384" s="36"/>
      <c r="S384" s="36"/>
      <c r="T384" s="12"/>
      <c r="U384" s="12"/>
      <c r="V384" s="12"/>
      <c r="W384" s="12"/>
      <c r="X384" s="12"/>
    </row>
    <row r="385" customFormat="false" ht="15.75" hidden="false" customHeight="false" outlineLevel="0" collapsed="false">
      <c r="A385" s="12"/>
      <c r="B385" s="34"/>
      <c r="C385" s="12"/>
      <c r="D385" s="12"/>
      <c r="E385" s="12"/>
      <c r="F385" s="12"/>
      <c r="G385" s="18"/>
      <c r="H385" s="35"/>
      <c r="I385" s="12"/>
      <c r="M385" s="12"/>
      <c r="N385" s="18"/>
      <c r="O385" s="12"/>
      <c r="P385" s="12"/>
      <c r="Q385" s="12"/>
      <c r="R385" s="36"/>
      <c r="S385" s="36"/>
      <c r="T385" s="12"/>
      <c r="U385" s="12"/>
      <c r="V385" s="12"/>
      <c r="W385" s="12"/>
      <c r="X385" s="12"/>
    </row>
    <row r="386" customFormat="false" ht="15.75" hidden="false" customHeight="false" outlineLevel="0" collapsed="false">
      <c r="A386" s="12"/>
      <c r="B386" s="34"/>
      <c r="C386" s="12"/>
      <c r="D386" s="12"/>
      <c r="E386" s="12"/>
      <c r="F386" s="12"/>
      <c r="G386" s="18"/>
      <c r="H386" s="35"/>
      <c r="I386" s="12"/>
      <c r="M386" s="12"/>
      <c r="N386" s="18"/>
      <c r="O386" s="12"/>
      <c r="P386" s="12"/>
      <c r="Q386" s="12"/>
      <c r="R386" s="36"/>
      <c r="S386" s="36"/>
      <c r="T386" s="12"/>
      <c r="U386" s="12"/>
      <c r="V386" s="12"/>
      <c r="W386" s="12"/>
      <c r="X386" s="12"/>
    </row>
    <row r="387" customFormat="false" ht="15.75" hidden="false" customHeight="false" outlineLevel="0" collapsed="false">
      <c r="A387" s="12"/>
      <c r="B387" s="34"/>
      <c r="C387" s="12"/>
      <c r="D387" s="12"/>
      <c r="E387" s="12"/>
      <c r="F387" s="12"/>
      <c r="G387" s="18"/>
      <c r="H387" s="35"/>
      <c r="I387" s="12"/>
      <c r="M387" s="12"/>
      <c r="N387" s="18"/>
      <c r="O387" s="12"/>
      <c r="P387" s="12"/>
      <c r="Q387" s="12"/>
      <c r="R387" s="36"/>
      <c r="S387" s="36"/>
      <c r="T387" s="12"/>
      <c r="U387" s="12"/>
      <c r="V387" s="12"/>
      <c r="W387" s="12"/>
      <c r="X387" s="12"/>
    </row>
    <row r="388" customFormat="false" ht="15.75" hidden="false" customHeight="false" outlineLevel="0" collapsed="false">
      <c r="A388" s="12"/>
      <c r="B388" s="34"/>
      <c r="C388" s="12"/>
      <c r="D388" s="12"/>
      <c r="E388" s="12"/>
      <c r="F388" s="12"/>
      <c r="G388" s="18"/>
      <c r="H388" s="35"/>
      <c r="I388" s="12"/>
      <c r="M388" s="12"/>
      <c r="N388" s="18"/>
      <c r="O388" s="12"/>
      <c r="P388" s="12"/>
      <c r="Q388" s="12"/>
      <c r="R388" s="36"/>
      <c r="S388" s="36"/>
      <c r="T388" s="12"/>
      <c r="U388" s="12"/>
      <c r="V388" s="12"/>
      <c r="W388" s="12"/>
      <c r="X388" s="12"/>
    </row>
    <row r="389" customFormat="false" ht="15.75" hidden="false" customHeight="false" outlineLevel="0" collapsed="false">
      <c r="A389" s="12"/>
      <c r="B389" s="34"/>
      <c r="C389" s="12"/>
      <c r="D389" s="12"/>
      <c r="E389" s="12"/>
      <c r="F389" s="12"/>
      <c r="G389" s="18"/>
      <c r="H389" s="35"/>
      <c r="I389" s="12"/>
      <c r="M389" s="12"/>
      <c r="N389" s="18"/>
      <c r="O389" s="12"/>
      <c r="P389" s="12"/>
      <c r="Q389" s="12"/>
      <c r="R389" s="36"/>
      <c r="S389" s="36"/>
      <c r="T389" s="12"/>
      <c r="U389" s="12"/>
      <c r="V389" s="12"/>
      <c r="W389" s="12"/>
      <c r="X389" s="12"/>
    </row>
    <row r="390" customFormat="false" ht="15.75" hidden="false" customHeight="false" outlineLevel="0" collapsed="false">
      <c r="A390" s="12"/>
      <c r="B390" s="34"/>
      <c r="C390" s="12"/>
      <c r="D390" s="12"/>
      <c r="E390" s="12"/>
      <c r="F390" s="12"/>
      <c r="G390" s="18"/>
      <c r="H390" s="35"/>
      <c r="I390" s="12"/>
      <c r="M390" s="12"/>
      <c r="N390" s="18"/>
      <c r="O390" s="12"/>
      <c r="P390" s="12"/>
      <c r="Q390" s="12"/>
      <c r="R390" s="36"/>
      <c r="S390" s="36"/>
      <c r="T390" s="12"/>
      <c r="U390" s="12"/>
      <c r="V390" s="12"/>
      <c r="W390" s="12"/>
      <c r="X390" s="12"/>
    </row>
    <row r="391" customFormat="false" ht="15.75" hidden="false" customHeight="false" outlineLevel="0" collapsed="false">
      <c r="A391" s="12"/>
      <c r="B391" s="34"/>
      <c r="C391" s="12"/>
      <c r="D391" s="12"/>
      <c r="E391" s="12"/>
      <c r="F391" s="12"/>
      <c r="G391" s="18"/>
      <c r="H391" s="35"/>
      <c r="I391" s="12"/>
      <c r="M391" s="12"/>
      <c r="N391" s="18"/>
      <c r="O391" s="12"/>
      <c r="P391" s="12"/>
      <c r="Q391" s="12"/>
      <c r="R391" s="36"/>
      <c r="S391" s="36"/>
      <c r="T391" s="12"/>
      <c r="U391" s="12"/>
      <c r="V391" s="12"/>
      <c r="W391" s="12"/>
      <c r="X391" s="12"/>
    </row>
    <row r="392" customFormat="false" ht="15.75" hidden="false" customHeight="false" outlineLevel="0" collapsed="false">
      <c r="A392" s="12"/>
      <c r="B392" s="34"/>
      <c r="C392" s="12"/>
      <c r="D392" s="12"/>
      <c r="E392" s="12"/>
      <c r="F392" s="12"/>
      <c r="G392" s="18"/>
      <c r="H392" s="35"/>
      <c r="I392" s="12"/>
      <c r="M392" s="12"/>
      <c r="N392" s="18"/>
      <c r="O392" s="12"/>
      <c r="P392" s="12"/>
      <c r="Q392" s="12"/>
      <c r="R392" s="36"/>
      <c r="S392" s="36"/>
      <c r="T392" s="12"/>
      <c r="U392" s="12"/>
      <c r="V392" s="12"/>
      <c r="W392" s="12"/>
      <c r="X392" s="12"/>
    </row>
    <row r="393" customFormat="false" ht="15.75" hidden="false" customHeight="false" outlineLevel="0" collapsed="false">
      <c r="A393" s="12"/>
      <c r="B393" s="34"/>
      <c r="C393" s="12"/>
      <c r="D393" s="12"/>
      <c r="E393" s="12"/>
      <c r="F393" s="12"/>
      <c r="G393" s="18"/>
      <c r="H393" s="35"/>
      <c r="I393" s="12"/>
      <c r="M393" s="12"/>
      <c r="N393" s="18"/>
      <c r="O393" s="12"/>
      <c r="P393" s="12"/>
      <c r="Q393" s="12"/>
      <c r="R393" s="36"/>
      <c r="S393" s="36"/>
      <c r="T393" s="12"/>
      <c r="U393" s="12"/>
      <c r="V393" s="12"/>
      <c r="W393" s="12"/>
      <c r="X393" s="12"/>
    </row>
    <row r="394" customFormat="false" ht="15.75" hidden="false" customHeight="false" outlineLevel="0" collapsed="false">
      <c r="A394" s="12"/>
      <c r="B394" s="34"/>
      <c r="C394" s="12"/>
      <c r="D394" s="12"/>
      <c r="E394" s="12"/>
      <c r="F394" s="12"/>
      <c r="G394" s="18"/>
      <c r="H394" s="35"/>
      <c r="I394" s="12"/>
      <c r="M394" s="12"/>
      <c r="N394" s="18"/>
      <c r="O394" s="12"/>
      <c r="P394" s="12"/>
      <c r="Q394" s="12"/>
      <c r="R394" s="36"/>
      <c r="S394" s="36"/>
      <c r="T394" s="12"/>
      <c r="U394" s="12"/>
      <c r="V394" s="12"/>
      <c r="W394" s="12"/>
      <c r="X394" s="12"/>
    </row>
    <row r="395" customFormat="false" ht="15.75" hidden="false" customHeight="false" outlineLevel="0" collapsed="false">
      <c r="A395" s="12"/>
      <c r="B395" s="34"/>
      <c r="C395" s="12"/>
      <c r="D395" s="12"/>
      <c r="E395" s="12"/>
      <c r="F395" s="12"/>
      <c r="G395" s="18"/>
      <c r="H395" s="35"/>
      <c r="I395" s="12"/>
      <c r="M395" s="12"/>
      <c r="N395" s="18"/>
      <c r="O395" s="12"/>
      <c r="P395" s="12"/>
      <c r="Q395" s="12"/>
      <c r="R395" s="36"/>
      <c r="S395" s="36"/>
      <c r="T395" s="12"/>
      <c r="U395" s="12"/>
      <c r="V395" s="12"/>
      <c r="W395" s="12"/>
      <c r="X395" s="12"/>
    </row>
    <row r="396" customFormat="false" ht="15.75" hidden="false" customHeight="false" outlineLevel="0" collapsed="false">
      <c r="A396" s="12"/>
      <c r="B396" s="34"/>
      <c r="C396" s="12"/>
      <c r="D396" s="12"/>
      <c r="E396" s="12"/>
      <c r="F396" s="12"/>
      <c r="G396" s="18"/>
      <c r="H396" s="35"/>
      <c r="I396" s="12"/>
      <c r="M396" s="12"/>
      <c r="N396" s="18"/>
      <c r="O396" s="12"/>
      <c r="P396" s="12"/>
      <c r="Q396" s="12"/>
      <c r="R396" s="36"/>
      <c r="S396" s="36"/>
      <c r="T396" s="12"/>
      <c r="U396" s="12"/>
      <c r="V396" s="12"/>
      <c r="W396" s="12"/>
      <c r="X396" s="12"/>
    </row>
    <row r="397" customFormat="false" ht="15.75" hidden="false" customHeight="false" outlineLevel="0" collapsed="false">
      <c r="A397" s="12"/>
      <c r="B397" s="34"/>
      <c r="C397" s="12"/>
      <c r="D397" s="12"/>
      <c r="E397" s="12"/>
      <c r="F397" s="12"/>
      <c r="G397" s="18"/>
      <c r="H397" s="35"/>
      <c r="I397" s="12"/>
      <c r="M397" s="12"/>
      <c r="N397" s="18"/>
      <c r="O397" s="12"/>
      <c r="P397" s="12"/>
      <c r="Q397" s="12"/>
      <c r="R397" s="36"/>
      <c r="S397" s="36"/>
      <c r="T397" s="12"/>
      <c r="U397" s="12"/>
      <c r="V397" s="12"/>
      <c r="W397" s="12"/>
      <c r="X397" s="12"/>
    </row>
    <row r="398" customFormat="false" ht="15.75" hidden="false" customHeight="false" outlineLevel="0" collapsed="false">
      <c r="A398" s="12"/>
      <c r="B398" s="34"/>
      <c r="C398" s="12"/>
      <c r="D398" s="12"/>
      <c r="E398" s="12"/>
      <c r="F398" s="12"/>
      <c r="G398" s="18"/>
      <c r="H398" s="35"/>
      <c r="I398" s="12"/>
      <c r="M398" s="12"/>
      <c r="N398" s="18"/>
      <c r="O398" s="12"/>
      <c r="P398" s="12"/>
      <c r="Q398" s="12"/>
      <c r="R398" s="36"/>
      <c r="S398" s="36"/>
      <c r="T398" s="12"/>
      <c r="U398" s="12"/>
      <c r="V398" s="12"/>
      <c r="W398" s="12"/>
      <c r="X398" s="12"/>
    </row>
    <row r="399" customFormat="false" ht="15.75" hidden="false" customHeight="false" outlineLevel="0" collapsed="false">
      <c r="A399" s="12"/>
      <c r="B399" s="34"/>
      <c r="C399" s="12"/>
      <c r="D399" s="12"/>
      <c r="E399" s="12"/>
      <c r="F399" s="12"/>
      <c r="G399" s="18"/>
      <c r="H399" s="35"/>
      <c r="I399" s="12"/>
      <c r="M399" s="12"/>
      <c r="N399" s="18"/>
      <c r="O399" s="12"/>
      <c r="P399" s="12"/>
      <c r="Q399" s="12"/>
      <c r="R399" s="36"/>
      <c r="S399" s="36"/>
      <c r="T399" s="12"/>
      <c r="U399" s="12"/>
      <c r="V399" s="12"/>
      <c r="W399" s="12"/>
      <c r="X399" s="12"/>
    </row>
    <row r="400" customFormat="false" ht="15.75" hidden="false" customHeight="false" outlineLevel="0" collapsed="false">
      <c r="A400" s="12"/>
      <c r="B400" s="34"/>
      <c r="C400" s="12"/>
      <c r="D400" s="12"/>
      <c r="E400" s="12"/>
      <c r="F400" s="12"/>
      <c r="G400" s="18"/>
      <c r="H400" s="35"/>
      <c r="I400" s="12"/>
      <c r="M400" s="12"/>
      <c r="N400" s="18"/>
      <c r="O400" s="12"/>
      <c r="P400" s="12"/>
      <c r="Q400" s="12"/>
      <c r="R400" s="36"/>
      <c r="S400" s="36"/>
      <c r="T400" s="12"/>
      <c r="U400" s="12"/>
      <c r="V400" s="12"/>
      <c r="W400" s="12"/>
      <c r="X400" s="12"/>
    </row>
    <row r="401" customFormat="false" ht="15.75" hidden="false" customHeight="false" outlineLevel="0" collapsed="false">
      <c r="A401" s="12"/>
      <c r="B401" s="34"/>
      <c r="C401" s="12"/>
      <c r="D401" s="12"/>
      <c r="E401" s="12"/>
      <c r="F401" s="12"/>
      <c r="G401" s="18"/>
      <c r="H401" s="35"/>
      <c r="I401" s="12"/>
      <c r="M401" s="12"/>
      <c r="N401" s="18"/>
      <c r="O401" s="12"/>
      <c r="P401" s="12"/>
      <c r="Q401" s="12"/>
      <c r="R401" s="36"/>
      <c r="S401" s="36"/>
      <c r="T401" s="12"/>
      <c r="U401" s="12"/>
      <c r="V401" s="12"/>
      <c r="W401" s="12"/>
      <c r="X401" s="12"/>
    </row>
    <row r="402" customFormat="false" ht="15.75" hidden="false" customHeight="false" outlineLevel="0" collapsed="false">
      <c r="A402" s="12"/>
      <c r="B402" s="34"/>
      <c r="C402" s="12"/>
      <c r="D402" s="12"/>
      <c r="E402" s="12"/>
      <c r="F402" s="12"/>
      <c r="G402" s="18"/>
      <c r="H402" s="35"/>
      <c r="I402" s="12"/>
      <c r="M402" s="12"/>
      <c r="N402" s="18"/>
      <c r="O402" s="12"/>
      <c r="P402" s="12"/>
      <c r="Q402" s="12"/>
      <c r="R402" s="36"/>
      <c r="S402" s="36"/>
      <c r="T402" s="12"/>
      <c r="U402" s="12"/>
      <c r="V402" s="12"/>
      <c r="W402" s="12"/>
      <c r="X402" s="12"/>
    </row>
    <row r="403" customFormat="false" ht="15.75" hidden="false" customHeight="false" outlineLevel="0" collapsed="false">
      <c r="A403" s="12"/>
      <c r="B403" s="34"/>
      <c r="C403" s="12"/>
      <c r="D403" s="12"/>
      <c r="E403" s="12"/>
      <c r="F403" s="12"/>
      <c r="G403" s="18"/>
      <c r="H403" s="35"/>
      <c r="I403" s="12"/>
      <c r="M403" s="12"/>
      <c r="N403" s="18"/>
      <c r="O403" s="12"/>
      <c r="P403" s="12"/>
      <c r="Q403" s="12"/>
      <c r="R403" s="36"/>
      <c r="S403" s="36"/>
      <c r="T403" s="12"/>
      <c r="U403" s="12"/>
      <c r="V403" s="12"/>
      <c r="W403" s="12"/>
      <c r="X403" s="12"/>
    </row>
    <row r="404" customFormat="false" ht="15.75" hidden="false" customHeight="false" outlineLevel="0" collapsed="false">
      <c r="A404" s="12"/>
      <c r="B404" s="34"/>
      <c r="C404" s="12"/>
      <c r="D404" s="12"/>
      <c r="E404" s="12"/>
      <c r="F404" s="12"/>
      <c r="G404" s="18"/>
      <c r="H404" s="35"/>
      <c r="I404" s="12"/>
      <c r="M404" s="12"/>
      <c r="N404" s="18"/>
      <c r="O404" s="12"/>
      <c r="P404" s="12"/>
      <c r="Q404" s="12"/>
      <c r="R404" s="36"/>
      <c r="S404" s="36"/>
      <c r="T404" s="12"/>
      <c r="U404" s="12"/>
      <c r="V404" s="12"/>
      <c r="W404" s="12"/>
      <c r="X404" s="12"/>
    </row>
    <row r="405" customFormat="false" ht="15.75" hidden="false" customHeight="false" outlineLevel="0" collapsed="false">
      <c r="A405" s="12"/>
      <c r="B405" s="34"/>
      <c r="C405" s="12"/>
      <c r="D405" s="12"/>
      <c r="E405" s="12"/>
      <c r="F405" s="12"/>
      <c r="G405" s="18"/>
      <c r="H405" s="35"/>
      <c r="I405" s="12"/>
      <c r="M405" s="12"/>
      <c r="N405" s="18"/>
      <c r="O405" s="12"/>
      <c r="P405" s="12"/>
      <c r="Q405" s="12"/>
      <c r="R405" s="36"/>
      <c r="S405" s="36"/>
      <c r="T405" s="12"/>
      <c r="U405" s="12"/>
      <c r="V405" s="12"/>
      <c r="W405" s="12"/>
      <c r="X405" s="12"/>
    </row>
    <row r="406" customFormat="false" ht="15.75" hidden="false" customHeight="false" outlineLevel="0" collapsed="false">
      <c r="A406" s="12"/>
      <c r="B406" s="34"/>
      <c r="C406" s="12"/>
      <c r="D406" s="12"/>
      <c r="E406" s="12"/>
      <c r="F406" s="12"/>
      <c r="G406" s="18"/>
      <c r="H406" s="35"/>
      <c r="I406" s="12"/>
      <c r="M406" s="12"/>
      <c r="N406" s="18"/>
      <c r="O406" s="12"/>
      <c r="P406" s="12"/>
      <c r="Q406" s="12"/>
      <c r="R406" s="36"/>
      <c r="S406" s="36"/>
      <c r="T406" s="12"/>
      <c r="U406" s="12"/>
      <c r="V406" s="12"/>
      <c r="W406" s="12"/>
      <c r="X406" s="12"/>
    </row>
    <row r="407" customFormat="false" ht="15.75" hidden="false" customHeight="false" outlineLevel="0" collapsed="false">
      <c r="A407" s="12"/>
      <c r="B407" s="34"/>
      <c r="C407" s="12"/>
      <c r="D407" s="12"/>
      <c r="E407" s="12"/>
      <c r="F407" s="12"/>
      <c r="G407" s="18"/>
      <c r="H407" s="35"/>
      <c r="I407" s="12"/>
      <c r="M407" s="12"/>
      <c r="N407" s="18"/>
      <c r="O407" s="12"/>
      <c r="P407" s="12"/>
      <c r="Q407" s="12"/>
      <c r="R407" s="36"/>
      <c r="S407" s="36"/>
      <c r="T407" s="12"/>
      <c r="U407" s="12"/>
      <c r="V407" s="12"/>
      <c r="W407" s="12"/>
      <c r="X407" s="12"/>
    </row>
    <row r="408" customFormat="false" ht="15.75" hidden="false" customHeight="false" outlineLevel="0" collapsed="false">
      <c r="A408" s="12"/>
      <c r="B408" s="34"/>
      <c r="C408" s="12"/>
      <c r="D408" s="12"/>
      <c r="E408" s="12"/>
      <c r="F408" s="12"/>
      <c r="G408" s="18"/>
      <c r="H408" s="35"/>
      <c r="I408" s="12"/>
      <c r="M408" s="12"/>
      <c r="N408" s="18"/>
      <c r="O408" s="12"/>
      <c r="P408" s="12"/>
      <c r="Q408" s="12"/>
      <c r="R408" s="36"/>
      <c r="S408" s="36"/>
      <c r="T408" s="12"/>
      <c r="U408" s="12"/>
      <c r="V408" s="12"/>
      <c r="W408" s="12"/>
      <c r="X408" s="12"/>
    </row>
    <row r="409" customFormat="false" ht="15.75" hidden="false" customHeight="false" outlineLevel="0" collapsed="false">
      <c r="A409" s="12"/>
      <c r="B409" s="34"/>
      <c r="C409" s="12"/>
      <c r="D409" s="12"/>
      <c r="E409" s="12"/>
      <c r="F409" s="12"/>
      <c r="G409" s="18"/>
      <c r="H409" s="35"/>
      <c r="I409" s="12"/>
      <c r="M409" s="12"/>
      <c r="N409" s="18"/>
      <c r="O409" s="12"/>
      <c r="P409" s="12"/>
      <c r="Q409" s="12"/>
      <c r="R409" s="36"/>
      <c r="S409" s="36"/>
      <c r="T409" s="12"/>
      <c r="U409" s="12"/>
      <c r="V409" s="12"/>
      <c r="W409" s="12"/>
      <c r="X409" s="12"/>
    </row>
    <row r="410" customFormat="false" ht="15.75" hidden="false" customHeight="false" outlineLevel="0" collapsed="false">
      <c r="A410" s="12"/>
      <c r="B410" s="34"/>
      <c r="C410" s="12"/>
      <c r="D410" s="12"/>
      <c r="E410" s="12"/>
      <c r="F410" s="12"/>
      <c r="G410" s="18"/>
      <c r="H410" s="35"/>
      <c r="I410" s="12"/>
      <c r="M410" s="12"/>
      <c r="N410" s="18"/>
      <c r="O410" s="12"/>
      <c r="P410" s="12"/>
      <c r="Q410" s="12"/>
      <c r="R410" s="36"/>
      <c r="S410" s="36"/>
      <c r="T410" s="12"/>
      <c r="U410" s="12"/>
      <c r="V410" s="12"/>
      <c r="W410" s="12"/>
      <c r="X410" s="12"/>
    </row>
    <row r="411" customFormat="false" ht="15.75" hidden="false" customHeight="false" outlineLevel="0" collapsed="false">
      <c r="A411" s="12"/>
      <c r="B411" s="34"/>
      <c r="C411" s="12"/>
      <c r="D411" s="12"/>
      <c r="E411" s="12"/>
      <c r="F411" s="12"/>
      <c r="G411" s="18"/>
      <c r="H411" s="35"/>
      <c r="I411" s="12"/>
      <c r="M411" s="12"/>
      <c r="N411" s="18"/>
      <c r="O411" s="12"/>
      <c r="P411" s="12"/>
      <c r="Q411" s="12"/>
      <c r="R411" s="36"/>
      <c r="S411" s="36"/>
      <c r="T411" s="12"/>
      <c r="U411" s="12"/>
      <c r="V411" s="12"/>
      <c r="W411" s="12"/>
      <c r="X411" s="12"/>
    </row>
    <row r="412" customFormat="false" ht="15.75" hidden="false" customHeight="false" outlineLevel="0" collapsed="false">
      <c r="A412" s="12"/>
      <c r="B412" s="34"/>
      <c r="C412" s="12"/>
      <c r="D412" s="12"/>
      <c r="E412" s="12"/>
      <c r="F412" s="12"/>
      <c r="G412" s="18"/>
      <c r="H412" s="35"/>
      <c r="I412" s="12"/>
      <c r="M412" s="12"/>
      <c r="N412" s="18"/>
      <c r="O412" s="12"/>
      <c r="P412" s="12"/>
      <c r="Q412" s="12"/>
      <c r="R412" s="36"/>
      <c r="S412" s="36"/>
      <c r="T412" s="12"/>
      <c r="U412" s="12"/>
      <c r="V412" s="12"/>
      <c r="W412" s="12"/>
      <c r="X412" s="12"/>
    </row>
    <row r="413" customFormat="false" ht="15.75" hidden="false" customHeight="false" outlineLevel="0" collapsed="false">
      <c r="A413" s="12"/>
      <c r="B413" s="34"/>
      <c r="C413" s="12"/>
      <c r="D413" s="12"/>
      <c r="E413" s="12"/>
      <c r="F413" s="12"/>
      <c r="G413" s="18"/>
      <c r="H413" s="35"/>
      <c r="I413" s="12"/>
      <c r="M413" s="12"/>
      <c r="N413" s="18"/>
      <c r="O413" s="12"/>
      <c r="P413" s="12"/>
      <c r="Q413" s="12"/>
      <c r="R413" s="36"/>
      <c r="S413" s="36"/>
      <c r="T413" s="12"/>
      <c r="U413" s="12"/>
      <c r="V413" s="12"/>
      <c r="W413" s="12"/>
      <c r="X413" s="12"/>
    </row>
    <row r="414" customFormat="false" ht="15.75" hidden="false" customHeight="false" outlineLevel="0" collapsed="false">
      <c r="A414" s="12"/>
      <c r="B414" s="34"/>
      <c r="C414" s="12"/>
      <c r="D414" s="12"/>
      <c r="E414" s="12"/>
      <c r="F414" s="12"/>
      <c r="G414" s="18"/>
      <c r="H414" s="35"/>
      <c r="I414" s="12"/>
      <c r="M414" s="12"/>
      <c r="N414" s="18"/>
      <c r="O414" s="12"/>
      <c r="P414" s="12"/>
      <c r="Q414" s="12"/>
      <c r="R414" s="36"/>
      <c r="S414" s="36"/>
      <c r="T414" s="12"/>
      <c r="U414" s="12"/>
      <c r="V414" s="12"/>
      <c r="W414" s="12"/>
      <c r="X414" s="12"/>
    </row>
    <row r="415" customFormat="false" ht="15.75" hidden="false" customHeight="false" outlineLevel="0" collapsed="false">
      <c r="A415" s="12"/>
      <c r="B415" s="34"/>
      <c r="C415" s="12"/>
      <c r="D415" s="12"/>
      <c r="E415" s="12"/>
      <c r="F415" s="12"/>
      <c r="G415" s="18"/>
      <c r="H415" s="35"/>
      <c r="I415" s="12"/>
      <c r="M415" s="12"/>
      <c r="N415" s="18"/>
      <c r="O415" s="12"/>
      <c r="P415" s="12"/>
      <c r="Q415" s="12"/>
      <c r="R415" s="36"/>
      <c r="S415" s="36"/>
      <c r="T415" s="12"/>
      <c r="U415" s="12"/>
      <c r="V415" s="12"/>
      <c r="W415" s="12"/>
      <c r="X415" s="12"/>
    </row>
    <row r="416" customFormat="false" ht="15.75" hidden="false" customHeight="false" outlineLevel="0" collapsed="false">
      <c r="A416" s="12"/>
      <c r="B416" s="34"/>
      <c r="C416" s="12"/>
      <c r="D416" s="12"/>
      <c r="E416" s="12"/>
      <c r="F416" s="12"/>
      <c r="G416" s="18"/>
      <c r="H416" s="35"/>
      <c r="I416" s="12"/>
      <c r="M416" s="12"/>
      <c r="N416" s="18"/>
      <c r="O416" s="12"/>
      <c r="P416" s="12"/>
      <c r="Q416" s="12"/>
      <c r="R416" s="36"/>
      <c r="S416" s="36"/>
      <c r="T416" s="12"/>
      <c r="U416" s="12"/>
      <c r="V416" s="12"/>
      <c r="W416" s="12"/>
      <c r="X416" s="12"/>
    </row>
    <row r="417" customFormat="false" ht="15.75" hidden="false" customHeight="false" outlineLevel="0" collapsed="false">
      <c r="A417" s="12"/>
      <c r="B417" s="34"/>
      <c r="C417" s="12"/>
      <c r="D417" s="12"/>
      <c r="E417" s="12"/>
      <c r="F417" s="12"/>
      <c r="G417" s="18"/>
      <c r="H417" s="35"/>
      <c r="I417" s="12"/>
      <c r="M417" s="12"/>
      <c r="N417" s="18"/>
      <c r="O417" s="12"/>
      <c r="P417" s="12"/>
      <c r="Q417" s="12"/>
      <c r="R417" s="36"/>
      <c r="S417" s="36"/>
      <c r="T417" s="12"/>
      <c r="U417" s="12"/>
      <c r="V417" s="12"/>
      <c r="W417" s="12"/>
      <c r="X417" s="12"/>
    </row>
    <row r="418" customFormat="false" ht="15.75" hidden="false" customHeight="false" outlineLevel="0" collapsed="false">
      <c r="A418" s="12"/>
      <c r="B418" s="34"/>
      <c r="C418" s="12"/>
      <c r="D418" s="12"/>
      <c r="E418" s="12"/>
      <c r="F418" s="12"/>
      <c r="G418" s="18"/>
      <c r="H418" s="35"/>
      <c r="I418" s="12"/>
      <c r="M418" s="12"/>
      <c r="N418" s="18"/>
      <c r="O418" s="12"/>
      <c r="P418" s="12"/>
      <c r="Q418" s="12"/>
      <c r="R418" s="36"/>
      <c r="S418" s="36"/>
      <c r="T418" s="12"/>
      <c r="U418" s="12"/>
      <c r="V418" s="12"/>
      <c r="W418" s="12"/>
      <c r="X418" s="12"/>
    </row>
    <row r="419" customFormat="false" ht="15.75" hidden="false" customHeight="false" outlineLevel="0" collapsed="false">
      <c r="A419" s="12"/>
      <c r="B419" s="34"/>
      <c r="C419" s="12"/>
      <c r="D419" s="12"/>
      <c r="E419" s="12"/>
      <c r="F419" s="12"/>
      <c r="G419" s="18"/>
      <c r="H419" s="35"/>
      <c r="I419" s="12"/>
      <c r="M419" s="12"/>
      <c r="N419" s="18"/>
      <c r="O419" s="12"/>
      <c r="P419" s="12"/>
      <c r="Q419" s="12"/>
      <c r="R419" s="36"/>
      <c r="S419" s="36"/>
      <c r="T419" s="12"/>
      <c r="U419" s="12"/>
      <c r="V419" s="12"/>
      <c r="W419" s="12"/>
      <c r="X419" s="12"/>
    </row>
    <row r="420" customFormat="false" ht="15.75" hidden="false" customHeight="false" outlineLevel="0" collapsed="false">
      <c r="A420" s="12"/>
      <c r="B420" s="34"/>
      <c r="C420" s="12"/>
      <c r="D420" s="12"/>
      <c r="E420" s="12"/>
      <c r="F420" s="12"/>
      <c r="G420" s="18"/>
      <c r="H420" s="35"/>
      <c r="I420" s="12"/>
      <c r="M420" s="12"/>
      <c r="N420" s="18"/>
      <c r="O420" s="12"/>
      <c r="P420" s="12"/>
      <c r="Q420" s="12"/>
      <c r="R420" s="36"/>
      <c r="S420" s="36"/>
      <c r="T420" s="12"/>
      <c r="U420" s="12"/>
      <c r="V420" s="12"/>
      <c r="W420" s="12"/>
      <c r="X420" s="12"/>
    </row>
    <row r="421" customFormat="false" ht="15.75" hidden="false" customHeight="false" outlineLevel="0" collapsed="false">
      <c r="A421" s="12"/>
      <c r="B421" s="34"/>
      <c r="C421" s="12"/>
      <c r="D421" s="12"/>
      <c r="E421" s="12"/>
      <c r="F421" s="12"/>
      <c r="G421" s="18"/>
      <c r="H421" s="35"/>
      <c r="I421" s="12"/>
      <c r="M421" s="12"/>
      <c r="N421" s="18"/>
      <c r="O421" s="12"/>
      <c r="P421" s="12"/>
      <c r="Q421" s="12"/>
      <c r="R421" s="36"/>
      <c r="S421" s="36"/>
      <c r="T421" s="12"/>
      <c r="U421" s="12"/>
      <c r="V421" s="12"/>
      <c r="W421" s="12"/>
      <c r="X421" s="12"/>
    </row>
    <row r="422" customFormat="false" ht="15.75" hidden="false" customHeight="false" outlineLevel="0" collapsed="false">
      <c r="A422" s="12"/>
      <c r="B422" s="34"/>
      <c r="C422" s="12"/>
      <c r="D422" s="12"/>
      <c r="E422" s="12"/>
      <c r="F422" s="12"/>
      <c r="G422" s="18"/>
      <c r="H422" s="35"/>
      <c r="I422" s="12"/>
      <c r="M422" s="12"/>
      <c r="N422" s="18"/>
      <c r="O422" s="12"/>
      <c r="P422" s="12"/>
      <c r="Q422" s="12"/>
      <c r="R422" s="36"/>
      <c r="S422" s="36"/>
      <c r="T422" s="12"/>
      <c r="U422" s="12"/>
      <c r="V422" s="12"/>
      <c r="W422" s="12"/>
      <c r="X422" s="12"/>
    </row>
    <row r="423" customFormat="false" ht="15.75" hidden="false" customHeight="false" outlineLevel="0" collapsed="false">
      <c r="A423" s="12"/>
      <c r="B423" s="34"/>
      <c r="C423" s="12"/>
      <c r="D423" s="12"/>
      <c r="E423" s="12"/>
      <c r="F423" s="12"/>
      <c r="G423" s="18"/>
      <c r="H423" s="35"/>
      <c r="I423" s="12"/>
      <c r="M423" s="12"/>
      <c r="N423" s="18"/>
      <c r="O423" s="12"/>
      <c r="P423" s="12"/>
      <c r="Q423" s="12"/>
      <c r="R423" s="36"/>
      <c r="S423" s="36"/>
      <c r="T423" s="12"/>
      <c r="U423" s="12"/>
      <c r="V423" s="12"/>
      <c r="W423" s="12"/>
      <c r="X423" s="12"/>
    </row>
    <row r="424" customFormat="false" ht="15.75" hidden="false" customHeight="false" outlineLevel="0" collapsed="false">
      <c r="A424" s="12"/>
      <c r="B424" s="34"/>
      <c r="C424" s="12"/>
      <c r="D424" s="12"/>
      <c r="E424" s="12"/>
      <c r="F424" s="12"/>
      <c r="G424" s="18"/>
      <c r="H424" s="35"/>
      <c r="I424" s="12"/>
      <c r="M424" s="12"/>
      <c r="N424" s="18"/>
      <c r="O424" s="12"/>
      <c r="P424" s="12"/>
      <c r="Q424" s="12"/>
      <c r="R424" s="36"/>
      <c r="S424" s="36"/>
      <c r="T424" s="12"/>
      <c r="U424" s="12"/>
      <c r="V424" s="12"/>
      <c r="W424" s="12"/>
      <c r="X424" s="12"/>
    </row>
    <row r="425" customFormat="false" ht="15.75" hidden="false" customHeight="false" outlineLevel="0" collapsed="false">
      <c r="A425" s="12"/>
      <c r="B425" s="34"/>
      <c r="C425" s="12"/>
      <c r="D425" s="12"/>
      <c r="E425" s="12"/>
      <c r="F425" s="12"/>
      <c r="G425" s="18"/>
      <c r="H425" s="35"/>
      <c r="I425" s="12"/>
      <c r="M425" s="12"/>
      <c r="N425" s="18"/>
      <c r="O425" s="12"/>
      <c r="P425" s="12"/>
      <c r="Q425" s="12"/>
      <c r="R425" s="36"/>
      <c r="S425" s="36"/>
      <c r="T425" s="12"/>
      <c r="U425" s="12"/>
      <c r="V425" s="12"/>
      <c r="W425" s="12"/>
      <c r="X425" s="12"/>
    </row>
    <row r="426" customFormat="false" ht="15.75" hidden="false" customHeight="false" outlineLevel="0" collapsed="false">
      <c r="A426" s="12"/>
      <c r="B426" s="34"/>
      <c r="C426" s="12"/>
      <c r="D426" s="12"/>
      <c r="E426" s="12"/>
      <c r="F426" s="12"/>
      <c r="G426" s="18"/>
      <c r="H426" s="35"/>
      <c r="I426" s="12"/>
      <c r="M426" s="12"/>
      <c r="N426" s="18"/>
      <c r="O426" s="12"/>
      <c r="P426" s="12"/>
      <c r="Q426" s="12"/>
      <c r="R426" s="36"/>
      <c r="S426" s="36"/>
      <c r="T426" s="12"/>
      <c r="U426" s="12"/>
      <c r="V426" s="12"/>
      <c r="W426" s="12"/>
      <c r="X426" s="12"/>
    </row>
    <row r="427" customFormat="false" ht="15.75" hidden="false" customHeight="false" outlineLevel="0" collapsed="false">
      <c r="A427" s="12"/>
      <c r="B427" s="34"/>
      <c r="C427" s="12"/>
      <c r="D427" s="12"/>
      <c r="E427" s="12"/>
      <c r="F427" s="12"/>
      <c r="G427" s="18"/>
      <c r="H427" s="35"/>
      <c r="I427" s="12"/>
      <c r="M427" s="12"/>
      <c r="N427" s="18"/>
      <c r="O427" s="12"/>
      <c r="P427" s="12"/>
      <c r="Q427" s="12"/>
      <c r="R427" s="36"/>
      <c r="S427" s="36"/>
      <c r="T427" s="12"/>
      <c r="U427" s="12"/>
      <c r="V427" s="12"/>
      <c r="W427" s="12"/>
      <c r="X427" s="12"/>
    </row>
    <row r="428" customFormat="false" ht="15.75" hidden="false" customHeight="false" outlineLevel="0" collapsed="false">
      <c r="A428" s="12"/>
      <c r="B428" s="34"/>
      <c r="C428" s="12"/>
      <c r="D428" s="12"/>
      <c r="E428" s="12"/>
      <c r="F428" s="12"/>
      <c r="G428" s="18"/>
      <c r="H428" s="35"/>
      <c r="I428" s="12"/>
      <c r="M428" s="12"/>
      <c r="N428" s="18"/>
      <c r="O428" s="12"/>
      <c r="P428" s="12"/>
      <c r="Q428" s="12"/>
      <c r="R428" s="36"/>
      <c r="S428" s="36"/>
      <c r="T428" s="12"/>
      <c r="U428" s="12"/>
      <c r="V428" s="12"/>
      <c r="W428" s="12"/>
      <c r="X428" s="12"/>
    </row>
    <row r="429" customFormat="false" ht="15.75" hidden="false" customHeight="false" outlineLevel="0" collapsed="false">
      <c r="A429" s="12"/>
      <c r="B429" s="34"/>
      <c r="C429" s="12"/>
      <c r="D429" s="12"/>
      <c r="E429" s="12"/>
      <c r="F429" s="12"/>
      <c r="G429" s="18"/>
      <c r="H429" s="35"/>
      <c r="I429" s="12"/>
      <c r="M429" s="12"/>
      <c r="N429" s="18"/>
      <c r="O429" s="12"/>
      <c r="P429" s="12"/>
      <c r="Q429" s="12"/>
      <c r="R429" s="36"/>
      <c r="S429" s="36"/>
      <c r="T429" s="12"/>
      <c r="U429" s="12"/>
      <c r="V429" s="12"/>
      <c r="W429" s="12"/>
      <c r="X429" s="12"/>
    </row>
    <row r="430" customFormat="false" ht="15.75" hidden="false" customHeight="false" outlineLevel="0" collapsed="false">
      <c r="A430" s="12"/>
      <c r="B430" s="34"/>
      <c r="C430" s="12"/>
      <c r="D430" s="12"/>
      <c r="E430" s="12"/>
      <c r="F430" s="12"/>
      <c r="G430" s="18"/>
      <c r="H430" s="35"/>
      <c r="I430" s="12"/>
      <c r="M430" s="12"/>
      <c r="N430" s="18"/>
      <c r="O430" s="12"/>
      <c r="P430" s="12"/>
      <c r="Q430" s="12"/>
      <c r="R430" s="36"/>
      <c r="S430" s="36"/>
      <c r="T430" s="12"/>
      <c r="U430" s="12"/>
      <c r="V430" s="12"/>
      <c r="W430" s="12"/>
      <c r="X430" s="12"/>
    </row>
    <row r="431" customFormat="false" ht="15.75" hidden="false" customHeight="false" outlineLevel="0" collapsed="false">
      <c r="A431" s="12"/>
      <c r="B431" s="34"/>
      <c r="C431" s="12"/>
      <c r="D431" s="12"/>
      <c r="E431" s="12"/>
      <c r="F431" s="12"/>
      <c r="G431" s="18"/>
      <c r="H431" s="35"/>
      <c r="I431" s="12"/>
      <c r="M431" s="12"/>
      <c r="N431" s="18"/>
      <c r="O431" s="12"/>
      <c r="P431" s="12"/>
      <c r="Q431" s="12"/>
      <c r="R431" s="36"/>
      <c r="S431" s="36"/>
      <c r="T431" s="12"/>
      <c r="U431" s="12"/>
      <c r="V431" s="12"/>
      <c r="W431" s="12"/>
      <c r="X431" s="12"/>
    </row>
    <row r="432" customFormat="false" ht="15.75" hidden="false" customHeight="false" outlineLevel="0" collapsed="false">
      <c r="A432" s="12"/>
      <c r="B432" s="34"/>
      <c r="C432" s="12"/>
      <c r="D432" s="12"/>
      <c r="E432" s="12"/>
      <c r="F432" s="12"/>
      <c r="G432" s="18"/>
      <c r="H432" s="35"/>
      <c r="I432" s="12"/>
      <c r="M432" s="12"/>
      <c r="N432" s="18"/>
      <c r="O432" s="12"/>
      <c r="P432" s="12"/>
      <c r="Q432" s="12"/>
      <c r="R432" s="36"/>
      <c r="S432" s="36"/>
      <c r="T432" s="12"/>
      <c r="U432" s="12"/>
      <c r="V432" s="12"/>
      <c r="W432" s="12"/>
      <c r="X432" s="12"/>
    </row>
    <row r="433" customFormat="false" ht="15.75" hidden="false" customHeight="false" outlineLevel="0" collapsed="false">
      <c r="A433" s="12"/>
      <c r="B433" s="34"/>
      <c r="C433" s="12"/>
      <c r="D433" s="12"/>
      <c r="E433" s="12"/>
      <c r="F433" s="12"/>
      <c r="G433" s="18"/>
      <c r="H433" s="35"/>
      <c r="I433" s="12"/>
      <c r="M433" s="12"/>
      <c r="N433" s="18"/>
      <c r="O433" s="12"/>
      <c r="P433" s="12"/>
      <c r="Q433" s="12"/>
      <c r="R433" s="36"/>
      <c r="S433" s="36"/>
      <c r="T433" s="12"/>
      <c r="U433" s="12"/>
      <c r="V433" s="12"/>
      <c r="W433" s="12"/>
      <c r="X433" s="12"/>
    </row>
    <row r="434" customFormat="false" ht="15.75" hidden="false" customHeight="false" outlineLevel="0" collapsed="false">
      <c r="A434" s="12"/>
      <c r="B434" s="34"/>
      <c r="C434" s="12"/>
      <c r="D434" s="12"/>
      <c r="E434" s="12"/>
      <c r="F434" s="12"/>
      <c r="G434" s="18"/>
      <c r="H434" s="35"/>
      <c r="I434" s="12"/>
      <c r="M434" s="12"/>
      <c r="N434" s="18"/>
      <c r="O434" s="12"/>
      <c r="P434" s="12"/>
      <c r="Q434" s="12"/>
      <c r="R434" s="36"/>
      <c r="S434" s="36"/>
      <c r="T434" s="12"/>
      <c r="U434" s="12"/>
      <c r="V434" s="12"/>
      <c r="W434" s="12"/>
      <c r="X434" s="12"/>
    </row>
    <row r="435" customFormat="false" ht="15.75" hidden="false" customHeight="false" outlineLevel="0" collapsed="false">
      <c r="A435" s="12"/>
      <c r="B435" s="34"/>
      <c r="C435" s="12"/>
      <c r="D435" s="12"/>
      <c r="E435" s="12"/>
      <c r="F435" s="12"/>
      <c r="G435" s="18"/>
      <c r="H435" s="35"/>
      <c r="I435" s="12"/>
      <c r="M435" s="12"/>
      <c r="N435" s="18"/>
      <c r="O435" s="12"/>
      <c r="P435" s="12"/>
      <c r="Q435" s="12"/>
      <c r="R435" s="36"/>
      <c r="S435" s="36"/>
      <c r="T435" s="12"/>
      <c r="U435" s="12"/>
      <c r="V435" s="12"/>
      <c r="W435" s="12"/>
      <c r="X435" s="12"/>
    </row>
    <row r="436" customFormat="false" ht="15.75" hidden="false" customHeight="false" outlineLevel="0" collapsed="false">
      <c r="A436" s="12"/>
      <c r="B436" s="34"/>
      <c r="C436" s="12"/>
      <c r="D436" s="12"/>
      <c r="E436" s="12"/>
      <c r="F436" s="12"/>
      <c r="G436" s="18"/>
      <c r="H436" s="35"/>
      <c r="I436" s="12"/>
      <c r="M436" s="12"/>
      <c r="N436" s="18"/>
      <c r="O436" s="12"/>
      <c r="P436" s="12"/>
      <c r="Q436" s="12"/>
      <c r="R436" s="36"/>
      <c r="S436" s="36"/>
      <c r="T436" s="12"/>
      <c r="U436" s="12"/>
      <c r="V436" s="12"/>
      <c r="W436" s="12"/>
      <c r="X436" s="12"/>
    </row>
    <row r="437" customFormat="false" ht="15.75" hidden="false" customHeight="false" outlineLevel="0" collapsed="false">
      <c r="A437" s="12"/>
      <c r="B437" s="34"/>
      <c r="C437" s="12"/>
      <c r="D437" s="12"/>
      <c r="E437" s="12"/>
      <c r="F437" s="12"/>
      <c r="G437" s="18"/>
      <c r="H437" s="35"/>
      <c r="I437" s="12"/>
      <c r="M437" s="12"/>
      <c r="N437" s="18"/>
      <c r="O437" s="12"/>
      <c r="P437" s="12"/>
      <c r="Q437" s="12"/>
      <c r="R437" s="36"/>
      <c r="S437" s="36"/>
      <c r="T437" s="12"/>
      <c r="U437" s="12"/>
      <c r="V437" s="12"/>
      <c r="W437" s="12"/>
      <c r="X437" s="12"/>
    </row>
    <row r="438" customFormat="false" ht="15.75" hidden="false" customHeight="false" outlineLevel="0" collapsed="false">
      <c r="A438" s="12"/>
      <c r="B438" s="34"/>
      <c r="C438" s="12"/>
      <c r="D438" s="12"/>
      <c r="E438" s="12"/>
      <c r="F438" s="12"/>
      <c r="G438" s="18"/>
      <c r="H438" s="35"/>
      <c r="I438" s="12"/>
      <c r="M438" s="12"/>
      <c r="N438" s="18"/>
      <c r="O438" s="12"/>
      <c r="P438" s="12"/>
      <c r="Q438" s="12"/>
      <c r="R438" s="36"/>
      <c r="S438" s="36"/>
      <c r="T438" s="12"/>
      <c r="U438" s="12"/>
      <c r="V438" s="12"/>
      <c r="W438" s="12"/>
      <c r="X438" s="12"/>
    </row>
    <row r="439" customFormat="false" ht="15.75" hidden="false" customHeight="false" outlineLevel="0" collapsed="false">
      <c r="A439" s="12"/>
      <c r="B439" s="34"/>
      <c r="C439" s="12"/>
      <c r="D439" s="12"/>
      <c r="E439" s="12"/>
      <c r="F439" s="12"/>
      <c r="G439" s="18"/>
      <c r="H439" s="35"/>
      <c r="I439" s="12"/>
      <c r="M439" s="12"/>
      <c r="N439" s="18"/>
      <c r="O439" s="12"/>
      <c r="P439" s="12"/>
      <c r="Q439" s="12"/>
      <c r="R439" s="36"/>
      <c r="S439" s="36"/>
      <c r="T439" s="12"/>
      <c r="U439" s="12"/>
      <c r="V439" s="12"/>
      <c r="W439" s="12"/>
      <c r="X439" s="12"/>
    </row>
    <row r="440" customFormat="false" ht="15.75" hidden="false" customHeight="false" outlineLevel="0" collapsed="false">
      <c r="A440" s="12"/>
      <c r="B440" s="34"/>
      <c r="C440" s="12"/>
      <c r="D440" s="12"/>
      <c r="E440" s="12"/>
      <c r="F440" s="12"/>
      <c r="G440" s="18"/>
      <c r="H440" s="35"/>
      <c r="I440" s="12"/>
      <c r="M440" s="12"/>
      <c r="N440" s="18"/>
      <c r="O440" s="12"/>
      <c r="P440" s="12"/>
      <c r="Q440" s="12"/>
      <c r="R440" s="36"/>
      <c r="S440" s="36"/>
      <c r="T440" s="12"/>
      <c r="U440" s="12"/>
      <c r="V440" s="12"/>
      <c r="W440" s="12"/>
      <c r="X440" s="12"/>
    </row>
    <row r="441" customFormat="false" ht="15.75" hidden="false" customHeight="false" outlineLevel="0" collapsed="false">
      <c r="A441" s="12"/>
      <c r="B441" s="34"/>
      <c r="C441" s="12"/>
      <c r="D441" s="12"/>
      <c r="E441" s="12"/>
      <c r="F441" s="12"/>
      <c r="G441" s="18"/>
      <c r="H441" s="35"/>
      <c r="I441" s="12"/>
      <c r="M441" s="12"/>
      <c r="N441" s="18"/>
      <c r="O441" s="12"/>
      <c r="P441" s="12"/>
      <c r="Q441" s="12"/>
      <c r="R441" s="36"/>
      <c r="S441" s="36"/>
      <c r="T441" s="12"/>
      <c r="U441" s="12"/>
      <c r="V441" s="12"/>
      <c r="W441" s="12"/>
      <c r="X441" s="12"/>
    </row>
    <row r="442" customFormat="false" ht="15.75" hidden="false" customHeight="false" outlineLevel="0" collapsed="false">
      <c r="A442" s="12"/>
      <c r="B442" s="34"/>
      <c r="C442" s="12"/>
      <c r="D442" s="12"/>
      <c r="E442" s="12"/>
      <c r="F442" s="12"/>
      <c r="G442" s="18"/>
      <c r="H442" s="35"/>
      <c r="I442" s="12"/>
      <c r="M442" s="12"/>
      <c r="N442" s="18"/>
      <c r="O442" s="12"/>
      <c r="P442" s="12"/>
      <c r="Q442" s="12"/>
      <c r="R442" s="36"/>
      <c r="S442" s="36"/>
      <c r="T442" s="12"/>
      <c r="U442" s="12"/>
      <c r="V442" s="12"/>
      <c r="W442" s="12"/>
      <c r="X442" s="12"/>
    </row>
    <row r="443" customFormat="false" ht="15.75" hidden="false" customHeight="false" outlineLevel="0" collapsed="false">
      <c r="A443" s="12"/>
      <c r="B443" s="34"/>
      <c r="C443" s="12"/>
      <c r="D443" s="12"/>
      <c r="E443" s="12"/>
      <c r="F443" s="12"/>
      <c r="G443" s="18"/>
      <c r="H443" s="35"/>
      <c r="I443" s="12"/>
      <c r="M443" s="12"/>
      <c r="N443" s="18"/>
      <c r="O443" s="12"/>
      <c r="P443" s="12"/>
      <c r="Q443" s="12"/>
      <c r="R443" s="36"/>
      <c r="S443" s="36"/>
      <c r="T443" s="12"/>
      <c r="U443" s="12"/>
      <c r="V443" s="12"/>
      <c r="W443" s="12"/>
      <c r="X443" s="12"/>
    </row>
    <row r="444" customFormat="false" ht="15.75" hidden="false" customHeight="false" outlineLevel="0" collapsed="false">
      <c r="A444" s="12"/>
      <c r="B444" s="34"/>
      <c r="C444" s="12"/>
      <c r="D444" s="12"/>
      <c r="E444" s="12"/>
      <c r="F444" s="12"/>
      <c r="G444" s="18"/>
      <c r="H444" s="35"/>
      <c r="I444" s="12"/>
      <c r="M444" s="12"/>
      <c r="N444" s="18"/>
      <c r="O444" s="12"/>
      <c r="P444" s="12"/>
      <c r="Q444" s="12"/>
      <c r="R444" s="36"/>
      <c r="S444" s="36"/>
      <c r="T444" s="12"/>
      <c r="U444" s="12"/>
      <c r="V444" s="12"/>
      <c r="W444" s="12"/>
      <c r="X444" s="12"/>
    </row>
    <row r="445" customFormat="false" ht="15.75" hidden="false" customHeight="false" outlineLevel="0" collapsed="false">
      <c r="A445" s="12"/>
      <c r="B445" s="34"/>
      <c r="C445" s="12"/>
      <c r="D445" s="12"/>
      <c r="E445" s="12"/>
      <c r="F445" s="12"/>
      <c r="G445" s="18"/>
      <c r="H445" s="35"/>
      <c r="I445" s="12"/>
      <c r="M445" s="12"/>
      <c r="N445" s="18"/>
      <c r="O445" s="12"/>
      <c r="P445" s="12"/>
      <c r="Q445" s="12"/>
      <c r="R445" s="36"/>
      <c r="S445" s="36"/>
      <c r="T445" s="12"/>
      <c r="U445" s="12"/>
      <c r="V445" s="12"/>
      <c r="W445" s="12"/>
      <c r="X445" s="12"/>
    </row>
    <row r="446" customFormat="false" ht="15.75" hidden="false" customHeight="false" outlineLevel="0" collapsed="false">
      <c r="A446" s="12"/>
      <c r="B446" s="34"/>
      <c r="C446" s="12"/>
      <c r="D446" s="12"/>
      <c r="E446" s="12"/>
      <c r="F446" s="12"/>
      <c r="G446" s="18"/>
      <c r="H446" s="35"/>
      <c r="I446" s="12"/>
      <c r="M446" s="12"/>
      <c r="N446" s="18"/>
      <c r="O446" s="12"/>
      <c r="P446" s="12"/>
      <c r="Q446" s="12"/>
      <c r="R446" s="36"/>
      <c r="S446" s="36"/>
      <c r="T446" s="12"/>
      <c r="U446" s="12"/>
      <c r="V446" s="12"/>
      <c r="W446" s="12"/>
      <c r="X446" s="12"/>
    </row>
    <row r="447" customFormat="false" ht="15.75" hidden="false" customHeight="false" outlineLevel="0" collapsed="false">
      <c r="A447" s="12"/>
      <c r="B447" s="34"/>
      <c r="C447" s="12"/>
      <c r="D447" s="12"/>
      <c r="E447" s="12"/>
      <c r="F447" s="12"/>
      <c r="G447" s="18"/>
      <c r="H447" s="35"/>
      <c r="I447" s="12"/>
      <c r="M447" s="12"/>
      <c r="N447" s="18"/>
      <c r="O447" s="12"/>
      <c r="P447" s="12"/>
      <c r="Q447" s="12"/>
      <c r="R447" s="36"/>
      <c r="S447" s="36"/>
      <c r="T447" s="12"/>
      <c r="U447" s="12"/>
      <c r="V447" s="12"/>
      <c r="W447" s="12"/>
      <c r="X447" s="12"/>
    </row>
    <row r="448" customFormat="false" ht="15.75" hidden="false" customHeight="false" outlineLevel="0" collapsed="false">
      <c r="A448" s="12"/>
      <c r="B448" s="34"/>
      <c r="C448" s="12"/>
      <c r="D448" s="12"/>
      <c r="E448" s="12"/>
      <c r="F448" s="12"/>
      <c r="G448" s="18"/>
      <c r="H448" s="35"/>
      <c r="I448" s="12"/>
      <c r="M448" s="12"/>
      <c r="N448" s="18"/>
      <c r="O448" s="12"/>
      <c r="P448" s="12"/>
      <c r="Q448" s="12"/>
      <c r="R448" s="36"/>
      <c r="S448" s="36"/>
      <c r="T448" s="12"/>
      <c r="U448" s="12"/>
      <c r="V448" s="12"/>
      <c r="W448" s="12"/>
      <c r="X448" s="12"/>
    </row>
    <row r="449" customFormat="false" ht="15.75" hidden="false" customHeight="false" outlineLevel="0" collapsed="false">
      <c r="A449" s="12"/>
      <c r="B449" s="34"/>
      <c r="C449" s="12"/>
      <c r="D449" s="12"/>
      <c r="E449" s="12"/>
      <c r="F449" s="12"/>
      <c r="G449" s="18"/>
      <c r="H449" s="35"/>
      <c r="I449" s="12"/>
      <c r="M449" s="12"/>
      <c r="N449" s="18"/>
      <c r="O449" s="12"/>
      <c r="P449" s="12"/>
      <c r="Q449" s="12"/>
      <c r="R449" s="36"/>
      <c r="S449" s="36"/>
      <c r="T449" s="12"/>
      <c r="U449" s="12"/>
      <c r="V449" s="12"/>
      <c r="W449" s="12"/>
      <c r="X449" s="12"/>
    </row>
    <row r="450" customFormat="false" ht="15.75" hidden="false" customHeight="false" outlineLevel="0" collapsed="false">
      <c r="A450" s="12"/>
      <c r="B450" s="34"/>
      <c r="C450" s="12"/>
      <c r="D450" s="12"/>
      <c r="E450" s="12"/>
      <c r="F450" s="12"/>
      <c r="G450" s="18"/>
      <c r="H450" s="35"/>
      <c r="I450" s="12"/>
      <c r="M450" s="12"/>
      <c r="N450" s="18"/>
      <c r="O450" s="12"/>
      <c r="P450" s="12"/>
      <c r="Q450" s="12"/>
      <c r="R450" s="36"/>
      <c r="S450" s="36"/>
      <c r="T450" s="12"/>
      <c r="U450" s="12"/>
      <c r="V450" s="12"/>
      <c r="W450" s="12"/>
      <c r="X450" s="12"/>
    </row>
    <row r="451" customFormat="false" ht="15.75" hidden="false" customHeight="false" outlineLevel="0" collapsed="false">
      <c r="A451" s="12"/>
      <c r="B451" s="34"/>
      <c r="C451" s="12"/>
      <c r="D451" s="12"/>
      <c r="E451" s="12"/>
      <c r="F451" s="12"/>
      <c r="G451" s="18"/>
      <c r="H451" s="35"/>
      <c r="I451" s="12"/>
      <c r="M451" s="12"/>
      <c r="N451" s="18"/>
      <c r="O451" s="12"/>
      <c r="P451" s="12"/>
      <c r="Q451" s="12"/>
      <c r="R451" s="36"/>
      <c r="S451" s="36"/>
      <c r="T451" s="12"/>
      <c r="U451" s="12"/>
      <c r="V451" s="12"/>
      <c r="W451" s="12"/>
      <c r="X451" s="12"/>
    </row>
    <row r="452" customFormat="false" ht="15.75" hidden="false" customHeight="false" outlineLevel="0" collapsed="false">
      <c r="A452" s="12"/>
      <c r="B452" s="34"/>
      <c r="C452" s="12"/>
      <c r="D452" s="12"/>
      <c r="E452" s="12"/>
      <c r="F452" s="12"/>
      <c r="G452" s="18"/>
      <c r="H452" s="35"/>
      <c r="I452" s="12"/>
      <c r="M452" s="12"/>
      <c r="N452" s="18"/>
      <c r="O452" s="12"/>
      <c r="P452" s="12"/>
      <c r="Q452" s="12"/>
      <c r="R452" s="36"/>
      <c r="S452" s="36"/>
      <c r="T452" s="12"/>
      <c r="U452" s="12"/>
      <c r="V452" s="12"/>
      <c r="W452" s="12"/>
      <c r="X452" s="12"/>
    </row>
    <row r="453" customFormat="false" ht="15.75" hidden="false" customHeight="false" outlineLevel="0" collapsed="false">
      <c r="A453" s="12"/>
      <c r="B453" s="34"/>
      <c r="C453" s="12"/>
      <c r="D453" s="12"/>
      <c r="E453" s="12"/>
      <c r="F453" s="12"/>
      <c r="G453" s="18"/>
      <c r="H453" s="35"/>
      <c r="I453" s="12"/>
      <c r="M453" s="12"/>
      <c r="N453" s="18"/>
      <c r="O453" s="12"/>
      <c r="P453" s="12"/>
      <c r="Q453" s="12"/>
      <c r="R453" s="36"/>
      <c r="S453" s="36"/>
      <c r="T453" s="12"/>
      <c r="U453" s="12"/>
      <c r="V453" s="12"/>
      <c r="W453" s="12"/>
      <c r="X453" s="12"/>
    </row>
    <row r="454" customFormat="false" ht="15.75" hidden="false" customHeight="false" outlineLevel="0" collapsed="false">
      <c r="A454" s="12"/>
      <c r="B454" s="34"/>
      <c r="C454" s="12"/>
      <c r="D454" s="12"/>
      <c r="E454" s="12"/>
      <c r="F454" s="12"/>
      <c r="G454" s="18"/>
      <c r="H454" s="35"/>
      <c r="I454" s="12"/>
      <c r="M454" s="12"/>
      <c r="N454" s="18"/>
      <c r="O454" s="12"/>
      <c r="P454" s="12"/>
      <c r="Q454" s="12"/>
      <c r="R454" s="36"/>
      <c r="S454" s="36"/>
      <c r="T454" s="12"/>
      <c r="U454" s="12"/>
      <c r="V454" s="12"/>
      <c r="W454" s="12"/>
      <c r="X454" s="12"/>
    </row>
    <row r="455" customFormat="false" ht="15.75" hidden="false" customHeight="false" outlineLevel="0" collapsed="false">
      <c r="A455" s="12"/>
      <c r="B455" s="34"/>
      <c r="C455" s="12"/>
      <c r="D455" s="12"/>
      <c r="E455" s="12"/>
      <c r="F455" s="12"/>
      <c r="G455" s="18"/>
      <c r="H455" s="35"/>
      <c r="I455" s="12"/>
      <c r="M455" s="12"/>
      <c r="N455" s="18"/>
      <c r="O455" s="12"/>
      <c r="P455" s="12"/>
      <c r="Q455" s="12"/>
      <c r="R455" s="36"/>
      <c r="S455" s="36"/>
      <c r="T455" s="12"/>
      <c r="U455" s="12"/>
      <c r="V455" s="12"/>
      <c r="W455" s="12"/>
      <c r="X455" s="12"/>
    </row>
    <row r="456" customFormat="false" ht="15.75" hidden="false" customHeight="false" outlineLevel="0" collapsed="false">
      <c r="A456" s="12"/>
      <c r="B456" s="34"/>
      <c r="C456" s="12"/>
      <c r="D456" s="12"/>
      <c r="E456" s="12"/>
      <c r="F456" s="12"/>
      <c r="G456" s="18"/>
      <c r="H456" s="35"/>
      <c r="I456" s="12"/>
      <c r="M456" s="12"/>
      <c r="N456" s="18"/>
      <c r="O456" s="12"/>
      <c r="P456" s="12"/>
      <c r="Q456" s="12"/>
      <c r="R456" s="36"/>
      <c r="S456" s="36"/>
      <c r="T456" s="12"/>
      <c r="U456" s="12"/>
      <c r="V456" s="12"/>
      <c r="W456" s="12"/>
      <c r="X456" s="12"/>
    </row>
    <row r="457" customFormat="false" ht="15.75" hidden="false" customHeight="false" outlineLevel="0" collapsed="false">
      <c r="A457" s="12"/>
      <c r="B457" s="34"/>
      <c r="C457" s="12"/>
      <c r="D457" s="12"/>
      <c r="E457" s="12"/>
      <c r="F457" s="12"/>
      <c r="G457" s="18"/>
      <c r="H457" s="35"/>
      <c r="I457" s="12"/>
      <c r="M457" s="12"/>
      <c r="N457" s="18"/>
      <c r="O457" s="12"/>
      <c r="P457" s="12"/>
      <c r="Q457" s="12"/>
      <c r="R457" s="36"/>
      <c r="S457" s="36"/>
      <c r="T457" s="12"/>
      <c r="U457" s="12"/>
      <c r="V457" s="12"/>
      <c r="W457" s="12"/>
      <c r="X457" s="12"/>
    </row>
    <row r="458" customFormat="false" ht="15.75" hidden="false" customHeight="false" outlineLevel="0" collapsed="false">
      <c r="A458" s="12"/>
      <c r="B458" s="34"/>
      <c r="C458" s="12"/>
      <c r="D458" s="12"/>
      <c r="E458" s="12"/>
      <c r="F458" s="12"/>
      <c r="G458" s="18"/>
      <c r="H458" s="35"/>
      <c r="I458" s="12"/>
      <c r="M458" s="12"/>
      <c r="N458" s="18"/>
      <c r="O458" s="12"/>
      <c r="P458" s="12"/>
      <c r="Q458" s="12"/>
      <c r="R458" s="36"/>
      <c r="S458" s="36"/>
      <c r="T458" s="12"/>
      <c r="U458" s="12"/>
      <c r="V458" s="12"/>
      <c r="W458" s="12"/>
      <c r="X458" s="12"/>
    </row>
    <row r="459" customFormat="false" ht="15.75" hidden="false" customHeight="false" outlineLevel="0" collapsed="false">
      <c r="A459" s="12"/>
      <c r="B459" s="34"/>
      <c r="C459" s="12"/>
      <c r="D459" s="12"/>
      <c r="E459" s="12"/>
      <c r="F459" s="12"/>
      <c r="G459" s="18"/>
      <c r="H459" s="35"/>
      <c r="I459" s="12"/>
      <c r="M459" s="12"/>
      <c r="N459" s="18"/>
      <c r="O459" s="12"/>
      <c r="P459" s="12"/>
      <c r="Q459" s="12"/>
      <c r="R459" s="36"/>
      <c r="S459" s="36"/>
      <c r="T459" s="12"/>
      <c r="U459" s="12"/>
      <c r="V459" s="12"/>
      <c r="W459" s="12"/>
      <c r="X459" s="12"/>
    </row>
    <row r="460" customFormat="false" ht="15.75" hidden="false" customHeight="false" outlineLevel="0" collapsed="false">
      <c r="A460" s="12"/>
      <c r="B460" s="34"/>
      <c r="C460" s="12"/>
      <c r="D460" s="12"/>
      <c r="E460" s="12"/>
      <c r="F460" s="12"/>
      <c r="G460" s="18"/>
      <c r="H460" s="35"/>
      <c r="I460" s="12"/>
      <c r="M460" s="12"/>
      <c r="N460" s="18"/>
      <c r="O460" s="12"/>
      <c r="P460" s="12"/>
      <c r="Q460" s="12"/>
      <c r="R460" s="36"/>
      <c r="S460" s="36"/>
      <c r="T460" s="12"/>
      <c r="U460" s="12"/>
      <c r="V460" s="12"/>
      <c r="W460" s="12"/>
      <c r="X460" s="12"/>
    </row>
    <row r="461" customFormat="false" ht="15.75" hidden="false" customHeight="false" outlineLevel="0" collapsed="false">
      <c r="A461" s="12"/>
      <c r="B461" s="34"/>
      <c r="C461" s="12"/>
      <c r="D461" s="12"/>
      <c r="E461" s="12"/>
      <c r="F461" s="12"/>
      <c r="G461" s="18"/>
      <c r="H461" s="35"/>
      <c r="I461" s="12"/>
      <c r="M461" s="12"/>
      <c r="N461" s="18"/>
      <c r="O461" s="12"/>
      <c r="P461" s="12"/>
      <c r="Q461" s="12"/>
      <c r="R461" s="36"/>
      <c r="S461" s="36"/>
      <c r="T461" s="12"/>
      <c r="U461" s="12"/>
      <c r="V461" s="12"/>
      <c r="W461" s="12"/>
      <c r="X461" s="12"/>
    </row>
    <row r="462" customFormat="false" ht="15.75" hidden="false" customHeight="false" outlineLevel="0" collapsed="false">
      <c r="A462" s="12"/>
      <c r="B462" s="34"/>
      <c r="C462" s="12"/>
      <c r="D462" s="12"/>
      <c r="E462" s="12"/>
      <c r="F462" s="12"/>
      <c r="G462" s="18"/>
      <c r="H462" s="35"/>
      <c r="I462" s="12"/>
      <c r="M462" s="12"/>
      <c r="N462" s="18"/>
      <c r="O462" s="12"/>
      <c r="P462" s="12"/>
      <c r="Q462" s="12"/>
      <c r="R462" s="36"/>
      <c r="S462" s="36"/>
      <c r="T462" s="12"/>
      <c r="U462" s="12"/>
      <c r="V462" s="12"/>
      <c r="W462" s="12"/>
      <c r="X462" s="12"/>
    </row>
    <row r="463" customFormat="false" ht="15.75" hidden="false" customHeight="false" outlineLevel="0" collapsed="false">
      <c r="A463" s="12"/>
      <c r="B463" s="34"/>
      <c r="C463" s="12"/>
      <c r="D463" s="12"/>
      <c r="E463" s="12"/>
      <c r="F463" s="12"/>
      <c r="G463" s="18"/>
      <c r="H463" s="35"/>
      <c r="I463" s="12"/>
      <c r="M463" s="12"/>
      <c r="N463" s="18"/>
      <c r="O463" s="12"/>
      <c r="P463" s="12"/>
      <c r="Q463" s="12"/>
      <c r="R463" s="36"/>
      <c r="S463" s="36"/>
      <c r="T463" s="12"/>
      <c r="U463" s="12"/>
      <c r="V463" s="12"/>
      <c r="W463" s="12"/>
      <c r="X463" s="12"/>
    </row>
    <row r="464" customFormat="false" ht="15.75" hidden="false" customHeight="false" outlineLevel="0" collapsed="false">
      <c r="A464" s="12"/>
      <c r="B464" s="34"/>
      <c r="C464" s="12"/>
      <c r="D464" s="12"/>
      <c r="E464" s="12"/>
      <c r="F464" s="12"/>
      <c r="G464" s="18"/>
      <c r="H464" s="35"/>
      <c r="I464" s="12"/>
      <c r="M464" s="12"/>
      <c r="N464" s="18"/>
      <c r="O464" s="12"/>
      <c r="P464" s="12"/>
      <c r="Q464" s="12"/>
      <c r="R464" s="36"/>
      <c r="S464" s="36"/>
      <c r="T464" s="12"/>
      <c r="U464" s="12"/>
      <c r="V464" s="12"/>
      <c r="W464" s="12"/>
      <c r="X464" s="12"/>
    </row>
    <row r="465" customFormat="false" ht="15.75" hidden="false" customHeight="false" outlineLevel="0" collapsed="false">
      <c r="A465" s="12"/>
      <c r="B465" s="34"/>
      <c r="C465" s="12"/>
      <c r="D465" s="12"/>
      <c r="E465" s="12"/>
      <c r="F465" s="12"/>
      <c r="G465" s="18"/>
      <c r="H465" s="35"/>
      <c r="I465" s="12"/>
      <c r="M465" s="12"/>
      <c r="N465" s="18"/>
      <c r="O465" s="12"/>
      <c r="P465" s="12"/>
      <c r="Q465" s="12"/>
      <c r="R465" s="36"/>
      <c r="S465" s="36"/>
      <c r="T465" s="12"/>
      <c r="U465" s="12"/>
      <c r="V465" s="12"/>
      <c r="W465" s="12"/>
      <c r="X465" s="12"/>
    </row>
    <row r="466" customFormat="false" ht="15.75" hidden="false" customHeight="false" outlineLevel="0" collapsed="false">
      <c r="A466" s="12"/>
      <c r="B466" s="34"/>
      <c r="C466" s="12"/>
      <c r="D466" s="12"/>
      <c r="E466" s="12"/>
      <c r="F466" s="12"/>
      <c r="G466" s="18"/>
      <c r="H466" s="35"/>
      <c r="I466" s="12"/>
      <c r="M466" s="12"/>
      <c r="N466" s="18"/>
      <c r="O466" s="12"/>
      <c r="P466" s="12"/>
      <c r="Q466" s="12"/>
      <c r="R466" s="36"/>
      <c r="S466" s="36"/>
      <c r="T466" s="12"/>
      <c r="U466" s="12"/>
      <c r="V466" s="12"/>
      <c r="W466" s="12"/>
      <c r="X466" s="12"/>
    </row>
    <row r="467" customFormat="false" ht="15.75" hidden="false" customHeight="false" outlineLevel="0" collapsed="false">
      <c r="A467" s="12"/>
      <c r="B467" s="34"/>
      <c r="C467" s="12"/>
      <c r="D467" s="12"/>
      <c r="E467" s="12"/>
      <c r="F467" s="12"/>
      <c r="G467" s="18"/>
      <c r="H467" s="35"/>
      <c r="I467" s="12"/>
      <c r="M467" s="12"/>
      <c r="N467" s="18"/>
      <c r="O467" s="12"/>
      <c r="P467" s="12"/>
      <c r="Q467" s="12"/>
      <c r="R467" s="36"/>
      <c r="S467" s="36"/>
      <c r="T467" s="12"/>
      <c r="U467" s="12"/>
      <c r="V467" s="12"/>
      <c r="W467" s="12"/>
      <c r="X467" s="12"/>
    </row>
    <row r="468" customFormat="false" ht="15.75" hidden="false" customHeight="false" outlineLevel="0" collapsed="false">
      <c r="A468" s="12"/>
      <c r="B468" s="34"/>
      <c r="C468" s="12"/>
      <c r="D468" s="12"/>
      <c r="E468" s="12"/>
      <c r="F468" s="12"/>
      <c r="G468" s="18"/>
      <c r="H468" s="35"/>
      <c r="I468" s="12"/>
      <c r="M468" s="12"/>
      <c r="N468" s="18"/>
      <c r="O468" s="12"/>
      <c r="P468" s="12"/>
      <c r="Q468" s="12"/>
      <c r="R468" s="36"/>
      <c r="S468" s="36"/>
      <c r="T468" s="12"/>
      <c r="U468" s="12"/>
      <c r="V468" s="12"/>
      <c r="W468" s="12"/>
      <c r="X468" s="12"/>
    </row>
    <row r="469" customFormat="false" ht="15.75" hidden="false" customHeight="false" outlineLevel="0" collapsed="false">
      <c r="A469" s="12"/>
      <c r="B469" s="34"/>
      <c r="C469" s="12"/>
      <c r="D469" s="12"/>
      <c r="E469" s="12"/>
      <c r="F469" s="12"/>
      <c r="G469" s="18"/>
      <c r="H469" s="35"/>
      <c r="I469" s="12"/>
      <c r="M469" s="12"/>
      <c r="N469" s="18"/>
      <c r="O469" s="12"/>
      <c r="P469" s="12"/>
      <c r="Q469" s="12"/>
      <c r="R469" s="36"/>
      <c r="S469" s="36"/>
      <c r="T469" s="12"/>
      <c r="U469" s="12"/>
      <c r="V469" s="12"/>
      <c r="W469" s="12"/>
      <c r="X469" s="12"/>
    </row>
    <row r="470" customFormat="false" ht="15.75" hidden="false" customHeight="false" outlineLevel="0" collapsed="false">
      <c r="A470" s="12"/>
      <c r="B470" s="34"/>
      <c r="C470" s="12"/>
      <c r="D470" s="12"/>
      <c r="E470" s="12"/>
      <c r="F470" s="12"/>
      <c r="G470" s="18"/>
      <c r="H470" s="35"/>
      <c r="I470" s="12"/>
      <c r="M470" s="12"/>
      <c r="N470" s="18"/>
      <c r="O470" s="12"/>
      <c r="P470" s="12"/>
      <c r="Q470" s="12"/>
      <c r="R470" s="36"/>
      <c r="S470" s="36"/>
      <c r="T470" s="12"/>
      <c r="U470" s="12"/>
      <c r="V470" s="12"/>
      <c r="W470" s="12"/>
      <c r="X470" s="12"/>
    </row>
    <row r="471" customFormat="false" ht="15.75" hidden="false" customHeight="false" outlineLevel="0" collapsed="false">
      <c r="A471" s="12"/>
      <c r="B471" s="34"/>
      <c r="C471" s="12"/>
      <c r="D471" s="12"/>
      <c r="E471" s="12"/>
      <c r="F471" s="12"/>
      <c r="G471" s="18"/>
      <c r="H471" s="35"/>
      <c r="I471" s="12"/>
      <c r="M471" s="12"/>
      <c r="N471" s="18"/>
      <c r="O471" s="12"/>
      <c r="P471" s="12"/>
      <c r="Q471" s="12"/>
      <c r="R471" s="36"/>
      <c r="S471" s="36"/>
      <c r="T471" s="12"/>
      <c r="U471" s="12"/>
      <c r="V471" s="12"/>
      <c r="W471" s="12"/>
      <c r="X471" s="12"/>
    </row>
    <row r="472" customFormat="false" ht="15.75" hidden="false" customHeight="false" outlineLevel="0" collapsed="false">
      <c r="A472" s="12"/>
      <c r="B472" s="34"/>
      <c r="C472" s="12"/>
      <c r="D472" s="12"/>
      <c r="E472" s="12"/>
      <c r="F472" s="12"/>
      <c r="G472" s="18"/>
      <c r="H472" s="35"/>
      <c r="I472" s="12"/>
      <c r="M472" s="12"/>
      <c r="N472" s="18"/>
      <c r="O472" s="12"/>
      <c r="P472" s="12"/>
      <c r="Q472" s="12"/>
      <c r="R472" s="36"/>
      <c r="S472" s="36"/>
      <c r="T472" s="12"/>
      <c r="U472" s="12"/>
      <c r="V472" s="12"/>
      <c r="W472" s="12"/>
      <c r="X472" s="12"/>
    </row>
    <row r="473" customFormat="false" ht="15.75" hidden="false" customHeight="false" outlineLevel="0" collapsed="false">
      <c r="A473" s="12"/>
      <c r="B473" s="34"/>
      <c r="C473" s="12"/>
      <c r="D473" s="12"/>
      <c r="E473" s="12"/>
      <c r="F473" s="12"/>
      <c r="G473" s="18"/>
      <c r="H473" s="35"/>
      <c r="I473" s="12"/>
      <c r="M473" s="12"/>
      <c r="N473" s="18"/>
      <c r="O473" s="12"/>
      <c r="P473" s="12"/>
      <c r="Q473" s="12"/>
      <c r="R473" s="36"/>
      <c r="S473" s="36"/>
      <c r="T473" s="12"/>
      <c r="U473" s="12"/>
      <c r="V473" s="12"/>
      <c r="W473" s="12"/>
      <c r="X473" s="12"/>
    </row>
    <row r="474" customFormat="false" ht="15.75" hidden="false" customHeight="false" outlineLevel="0" collapsed="false">
      <c r="A474" s="12"/>
      <c r="B474" s="34"/>
      <c r="C474" s="12"/>
      <c r="D474" s="12"/>
      <c r="E474" s="12"/>
      <c r="F474" s="12"/>
      <c r="G474" s="18"/>
      <c r="H474" s="35"/>
      <c r="I474" s="12"/>
      <c r="M474" s="12"/>
      <c r="N474" s="18"/>
      <c r="O474" s="12"/>
      <c r="P474" s="12"/>
      <c r="Q474" s="12"/>
      <c r="R474" s="36"/>
      <c r="S474" s="36"/>
      <c r="T474" s="12"/>
      <c r="U474" s="12"/>
      <c r="V474" s="12"/>
      <c r="W474" s="12"/>
      <c r="X474" s="12"/>
    </row>
    <row r="475" customFormat="false" ht="15.75" hidden="false" customHeight="false" outlineLevel="0" collapsed="false">
      <c r="A475" s="12"/>
      <c r="B475" s="34"/>
      <c r="C475" s="12"/>
      <c r="D475" s="12"/>
      <c r="E475" s="12"/>
      <c r="F475" s="12"/>
      <c r="G475" s="18"/>
      <c r="H475" s="35"/>
      <c r="I475" s="12"/>
      <c r="M475" s="12"/>
      <c r="N475" s="18"/>
      <c r="O475" s="12"/>
      <c r="P475" s="12"/>
      <c r="Q475" s="12"/>
      <c r="R475" s="36"/>
      <c r="S475" s="36"/>
      <c r="T475" s="12"/>
      <c r="U475" s="12"/>
      <c r="V475" s="12"/>
      <c r="W475" s="12"/>
      <c r="X475" s="12"/>
    </row>
    <row r="476" customFormat="false" ht="15.75" hidden="false" customHeight="false" outlineLevel="0" collapsed="false">
      <c r="A476" s="12"/>
      <c r="B476" s="34"/>
      <c r="C476" s="12"/>
      <c r="D476" s="12"/>
      <c r="E476" s="12"/>
      <c r="F476" s="12"/>
      <c r="G476" s="18"/>
      <c r="H476" s="35"/>
      <c r="I476" s="12"/>
      <c r="M476" s="12"/>
      <c r="N476" s="18"/>
      <c r="O476" s="12"/>
      <c r="P476" s="12"/>
      <c r="Q476" s="12"/>
      <c r="R476" s="36"/>
      <c r="S476" s="36"/>
      <c r="T476" s="12"/>
      <c r="U476" s="12"/>
      <c r="V476" s="12"/>
      <c r="W476" s="12"/>
      <c r="X476" s="12"/>
    </row>
    <row r="477" customFormat="false" ht="15.75" hidden="false" customHeight="false" outlineLevel="0" collapsed="false">
      <c r="A477" s="12"/>
      <c r="B477" s="34"/>
      <c r="C477" s="12"/>
      <c r="D477" s="12"/>
      <c r="E477" s="12"/>
      <c r="F477" s="12"/>
      <c r="G477" s="18"/>
      <c r="H477" s="35"/>
      <c r="I477" s="12"/>
      <c r="M477" s="12"/>
      <c r="N477" s="18"/>
      <c r="O477" s="12"/>
      <c r="P477" s="12"/>
      <c r="Q477" s="12"/>
      <c r="R477" s="36"/>
      <c r="S477" s="36"/>
      <c r="T477" s="12"/>
      <c r="U477" s="12"/>
      <c r="V477" s="12"/>
      <c r="W477" s="12"/>
      <c r="X477" s="12"/>
    </row>
    <row r="478" customFormat="false" ht="15.75" hidden="false" customHeight="false" outlineLevel="0" collapsed="false">
      <c r="A478" s="12"/>
      <c r="B478" s="34"/>
      <c r="C478" s="12"/>
      <c r="D478" s="12"/>
      <c r="E478" s="12"/>
      <c r="F478" s="12"/>
      <c r="G478" s="18"/>
      <c r="H478" s="35"/>
      <c r="I478" s="12"/>
      <c r="M478" s="12"/>
      <c r="N478" s="18"/>
      <c r="O478" s="12"/>
      <c r="P478" s="12"/>
      <c r="Q478" s="12"/>
      <c r="R478" s="36"/>
      <c r="S478" s="36"/>
      <c r="T478" s="12"/>
      <c r="U478" s="12"/>
      <c r="V478" s="12"/>
      <c r="W478" s="12"/>
      <c r="X478" s="12"/>
    </row>
    <row r="479" customFormat="false" ht="15.75" hidden="false" customHeight="false" outlineLevel="0" collapsed="false">
      <c r="A479" s="12"/>
      <c r="B479" s="34"/>
      <c r="C479" s="12"/>
      <c r="D479" s="12"/>
      <c r="E479" s="12"/>
      <c r="F479" s="12"/>
      <c r="G479" s="18"/>
      <c r="H479" s="35"/>
      <c r="I479" s="12"/>
      <c r="M479" s="12"/>
      <c r="N479" s="18"/>
      <c r="O479" s="12"/>
      <c r="P479" s="12"/>
      <c r="Q479" s="12"/>
      <c r="R479" s="36"/>
      <c r="S479" s="36"/>
      <c r="T479" s="12"/>
      <c r="U479" s="12"/>
      <c r="V479" s="12"/>
      <c r="W479" s="12"/>
      <c r="X479" s="12"/>
    </row>
    <row r="480" customFormat="false" ht="15.75" hidden="false" customHeight="false" outlineLevel="0" collapsed="false">
      <c r="A480" s="12"/>
      <c r="B480" s="34"/>
      <c r="C480" s="12"/>
      <c r="D480" s="12"/>
      <c r="E480" s="12"/>
      <c r="F480" s="12"/>
      <c r="G480" s="18"/>
      <c r="H480" s="35"/>
      <c r="I480" s="12"/>
      <c r="M480" s="12"/>
      <c r="N480" s="18"/>
      <c r="O480" s="12"/>
      <c r="P480" s="12"/>
      <c r="Q480" s="12"/>
      <c r="R480" s="36"/>
      <c r="S480" s="36"/>
      <c r="T480" s="12"/>
      <c r="U480" s="12"/>
      <c r="V480" s="12"/>
      <c r="W480" s="12"/>
      <c r="X480" s="12"/>
    </row>
    <row r="481" customFormat="false" ht="15.75" hidden="false" customHeight="false" outlineLevel="0" collapsed="false">
      <c r="A481" s="12"/>
      <c r="B481" s="34"/>
      <c r="C481" s="12"/>
      <c r="D481" s="12"/>
      <c r="E481" s="12"/>
      <c r="F481" s="12"/>
      <c r="G481" s="18"/>
      <c r="H481" s="35"/>
      <c r="I481" s="12"/>
      <c r="M481" s="12"/>
      <c r="N481" s="18"/>
      <c r="O481" s="12"/>
      <c r="P481" s="12"/>
      <c r="Q481" s="12"/>
      <c r="R481" s="36"/>
      <c r="S481" s="36"/>
      <c r="T481" s="12"/>
      <c r="U481" s="12"/>
      <c r="V481" s="12"/>
      <c r="W481" s="12"/>
      <c r="X481" s="12"/>
    </row>
    <row r="482" customFormat="false" ht="15.75" hidden="false" customHeight="false" outlineLevel="0" collapsed="false">
      <c r="A482" s="12"/>
      <c r="B482" s="34"/>
      <c r="C482" s="12"/>
      <c r="D482" s="12"/>
      <c r="E482" s="12"/>
      <c r="F482" s="12"/>
      <c r="G482" s="18"/>
      <c r="H482" s="35"/>
      <c r="I482" s="12"/>
      <c r="M482" s="12"/>
      <c r="N482" s="18"/>
      <c r="O482" s="12"/>
      <c r="P482" s="12"/>
      <c r="Q482" s="12"/>
      <c r="R482" s="36"/>
      <c r="S482" s="36"/>
      <c r="T482" s="12"/>
      <c r="U482" s="12"/>
      <c r="V482" s="12"/>
      <c r="W482" s="12"/>
      <c r="X482" s="12"/>
    </row>
    <row r="483" customFormat="false" ht="15.75" hidden="false" customHeight="false" outlineLevel="0" collapsed="false">
      <c r="A483" s="12"/>
      <c r="B483" s="34"/>
      <c r="C483" s="12"/>
      <c r="D483" s="12"/>
      <c r="E483" s="12"/>
      <c r="F483" s="12"/>
      <c r="G483" s="18"/>
      <c r="H483" s="35"/>
      <c r="I483" s="12"/>
      <c r="M483" s="12"/>
      <c r="N483" s="18"/>
      <c r="O483" s="12"/>
      <c r="P483" s="12"/>
      <c r="Q483" s="12"/>
      <c r="R483" s="36"/>
      <c r="S483" s="36"/>
      <c r="T483" s="12"/>
      <c r="U483" s="12"/>
      <c r="V483" s="12"/>
      <c r="W483" s="12"/>
      <c r="X483" s="12"/>
    </row>
    <row r="484" customFormat="false" ht="15.75" hidden="false" customHeight="false" outlineLevel="0" collapsed="false">
      <c r="A484" s="12"/>
      <c r="B484" s="34"/>
      <c r="C484" s="12"/>
      <c r="D484" s="12"/>
      <c r="E484" s="12"/>
      <c r="F484" s="12"/>
      <c r="G484" s="18"/>
      <c r="H484" s="35"/>
      <c r="I484" s="12"/>
      <c r="M484" s="12"/>
      <c r="N484" s="18"/>
      <c r="O484" s="12"/>
      <c r="P484" s="12"/>
      <c r="Q484" s="12"/>
      <c r="R484" s="36"/>
      <c r="S484" s="36"/>
      <c r="T484" s="12"/>
      <c r="U484" s="12"/>
      <c r="V484" s="12"/>
      <c r="W484" s="12"/>
      <c r="X484" s="12"/>
    </row>
    <row r="485" customFormat="false" ht="15.75" hidden="false" customHeight="false" outlineLevel="0" collapsed="false">
      <c r="A485" s="12"/>
      <c r="B485" s="34"/>
      <c r="C485" s="12"/>
      <c r="D485" s="12"/>
      <c r="E485" s="12"/>
      <c r="F485" s="12"/>
      <c r="G485" s="18"/>
      <c r="H485" s="35"/>
      <c r="I485" s="12"/>
      <c r="M485" s="12"/>
      <c r="N485" s="18"/>
      <c r="O485" s="12"/>
      <c r="P485" s="12"/>
      <c r="Q485" s="12"/>
      <c r="R485" s="36"/>
      <c r="S485" s="36"/>
      <c r="T485" s="12"/>
      <c r="U485" s="12"/>
      <c r="V485" s="12"/>
      <c r="W485" s="12"/>
      <c r="X485" s="12"/>
    </row>
    <row r="486" customFormat="false" ht="15.75" hidden="false" customHeight="false" outlineLevel="0" collapsed="false">
      <c r="A486" s="12"/>
      <c r="B486" s="34"/>
      <c r="C486" s="12"/>
      <c r="D486" s="12"/>
      <c r="E486" s="12"/>
      <c r="F486" s="12"/>
      <c r="G486" s="18"/>
      <c r="H486" s="35"/>
      <c r="I486" s="12"/>
      <c r="M486" s="12"/>
      <c r="N486" s="18"/>
      <c r="O486" s="12"/>
      <c r="P486" s="12"/>
      <c r="Q486" s="12"/>
      <c r="R486" s="36"/>
      <c r="S486" s="36"/>
      <c r="T486" s="12"/>
      <c r="U486" s="12"/>
      <c r="V486" s="12"/>
      <c r="W486" s="12"/>
      <c r="X486" s="12"/>
    </row>
    <row r="487" customFormat="false" ht="15.75" hidden="false" customHeight="false" outlineLevel="0" collapsed="false">
      <c r="A487" s="12"/>
      <c r="B487" s="34"/>
      <c r="C487" s="12"/>
      <c r="D487" s="12"/>
      <c r="E487" s="12"/>
      <c r="F487" s="12"/>
      <c r="G487" s="18"/>
      <c r="H487" s="35"/>
      <c r="I487" s="12"/>
      <c r="M487" s="12"/>
      <c r="N487" s="18"/>
      <c r="O487" s="12"/>
      <c r="P487" s="12"/>
      <c r="Q487" s="12"/>
      <c r="R487" s="36"/>
      <c r="S487" s="36"/>
      <c r="T487" s="12"/>
      <c r="U487" s="12"/>
      <c r="V487" s="12"/>
      <c r="W487" s="12"/>
      <c r="X487" s="12"/>
    </row>
    <row r="488" customFormat="false" ht="15.75" hidden="false" customHeight="false" outlineLevel="0" collapsed="false">
      <c r="A488" s="12"/>
      <c r="B488" s="34"/>
      <c r="C488" s="12"/>
      <c r="D488" s="12"/>
      <c r="E488" s="12"/>
      <c r="F488" s="12"/>
      <c r="G488" s="18"/>
      <c r="H488" s="35"/>
      <c r="I488" s="12"/>
      <c r="M488" s="12"/>
      <c r="N488" s="18"/>
      <c r="O488" s="12"/>
      <c r="P488" s="12"/>
      <c r="Q488" s="12"/>
      <c r="R488" s="36"/>
      <c r="S488" s="36"/>
      <c r="T488" s="12"/>
      <c r="U488" s="12"/>
      <c r="V488" s="12"/>
      <c r="W488" s="12"/>
      <c r="X488" s="12"/>
    </row>
    <row r="489" customFormat="false" ht="15.75" hidden="false" customHeight="false" outlineLevel="0" collapsed="false">
      <c r="A489" s="12"/>
      <c r="B489" s="34"/>
      <c r="C489" s="12"/>
      <c r="D489" s="12"/>
      <c r="E489" s="12"/>
      <c r="F489" s="12"/>
      <c r="G489" s="18"/>
      <c r="H489" s="35"/>
      <c r="I489" s="12"/>
      <c r="M489" s="12"/>
      <c r="N489" s="18"/>
      <c r="O489" s="12"/>
      <c r="P489" s="12"/>
      <c r="Q489" s="12"/>
      <c r="R489" s="36"/>
      <c r="S489" s="36"/>
      <c r="T489" s="12"/>
      <c r="U489" s="12"/>
      <c r="V489" s="12"/>
      <c r="W489" s="12"/>
      <c r="X489" s="12"/>
    </row>
    <row r="490" customFormat="false" ht="15.75" hidden="false" customHeight="false" outlineLevel="0" collapsed="false">
      <c r="A490" s="12"/>
      <c r="B490" s="34"/>
      <c r="C490" s="12"/>
      <c r="D490" s="12"/>
      <c r="E490" s="12"/>
      <c r="F490" s="12"/>
      <c r="G490" s="18"/>
      <c r="H490" s="35"/>
      <c r="I490" s="12"/>
      <c r="M490" s="12"/>
      <c r="N490" s="18"/>
      <c r="O490" s="12"/>
      <c r="P490" s="12"/>
      <c r="Q490" s="12"/>
      <c r="R490" s="36"/>
      <c r="S490" s="36"/>
      <c r="T490" s="12"/>
      <c r="U490" s="12"/>
      <c r="V490" s="12"/>
      <c r="W490" s="12"/>
      <c r="X490" s="12"/>
    </row>
    <row r="491" customFormat="false" ht="15.75" hidden="false" customHeight="false" outlineLevel="0" collapsed="false">
      <c r="A491" s="12"/>
      <c r="B491" s="34"/>
      <c r="C491" s="12"/>
      <c r="D491" s="12"/>
      <c r="E491" s="12"/>
      <c r="F491" s="12"/>
      <c r="G491" s="18"/>
      <c r="H491" s="35"/>
      <c r="I491" s="12"/>
      <c r="M491" s="12"/>
      <c r="N491" s="18"/>
      <c r="O491" s="12"/>
      <c r="P491" s="12"/>
      <c r="Q491" s="12"/>
      <c r="R491" s="36"/>
      <c r="S491" s="36"/>
      <c r="T491" s="12"/>
      <c r="U491" s="12"/>
      <c r="V491" s="12"/>
      <c r="W491" s="12"/>
      <c r="X491" s="12"/>
    </row>
    <row r="492" customFormat="false" ht="15.75" hidden="false" customHeight="false" outlineLevel="0" collapsed="false">
      <c r="A492" s="12"/>
      <c r="B492" s="34"/>
      <c r="C492" s="12"/>
      <c r="D492" s="12"/>
      <c r="E492" s="12"/>
      <c r="F492" s="12"/>
      <c r="G492" s="18"/>
      <c r="H492" s="35"/>
      <c r="I492" s="12"/>
      <c r="M492" s="12"/>
      <c r="N492" s="18"/>
      <c r="O492" s="12"/>
      <c r="P492" s="12"/>
      <c r="Q492" s="12"/>
      <c r="R492" s="36"/>
      <c r="S492" s="36"/>
      <c r="T492" s="12"/>
      <c r="U492" s="12"/>
      <c r="V492" s="12"/>
      <c r="W492" s="12"/>
      <c r="X492" s="12"/>
    </row>
    <row r="493" customFormat="false" ht="15.75" hidden="false" customHeight="false" outlineLevel="0" collapsed="false">
      <c r="A493" s="12"/>
      <c r="B493" s="34"/>
      <c r="C493" s="12"/>
      <c r="D493" s="12"/>
      <c r="E493" s="12"/>
      <c r="F493" s="12"/>
      <c r="G493" s="18"/>
      <c r="H493" s="35"/>
      <c r="I493" s="12"/>
      <c r="M493" s="12"/>
      <c r="N493" s="18"/>
      <c r="O493" s="12"/>
      <c r="P493" s="12"/>
      <c r="Q493" s="12"/>
      <c r="R493" s="36"/>
      <c r="S493" s="36"/>
      <c r="T493" s="12"/>
      <c r="U493" s="12"/>
      <c r="V493" s="12"/>
      <c r="W493" s="12"/>
      <c r="X493" s="12"/>
    </row>
    <row r="494" customFormat="false" ht="15.75" hidden="false" customHeight="false" outlineLevel="0" collapsed="false">
      <c r="A494" s="12"/>
      <c r="B494" s="34"/>
      <c r="C494" s="12"/>
      <c r="D494" s="12"/>
      <c r="E494" s="12"/>
      <c r="F494" s="12"/>
      <c r="G494" s="18"/>
      <c r="H494" s="35"/>
      <c r="I494" s="12"/>
      <c r="M494" s="12"/>
      <c r="N494" s="18"/>
      <c r="O494" s="12"/>
      <c r="P494" s="12"/>
      <c r="Q494" s="12"/>
      <c r="R494" s="36"/>
      <c r="S494" s="36"/>
      <c r="T494" s="12"/>
      <c r="U494" s="12"/>
      <c r="V494" s="12"/>
      <c r="W494" s="12"/>
      <c r="X494" s="12"/>
    </row>
    <row r="495" customFormat="false" ht="15.75" hidden="false" customHeight="false" outlineLevel="0" collapsed="false">
      <c r="A495" s="12"/>
      <c r="B495" s="34"/>
      <c r="C495" s="12"/>
      <c r="D495" s="12"/>
      <c r="E495" s="12"/>
      <c r="F495" s="12"/>
      <c r="G495" s="18"/>
      <c r="H495" s="35"/>
      <c r="I495" s="12"/>
      <c r="M495" s="12"/>
      <c r="N495" s="18"/>
      <c r="O495" s="12"/>
      <c r="P495" s="12"/>
      <c r="Q495" s="12"/>
      <c r="R495" s="36"/>
      <c r="S495" s="36"/>
      <c r="T495" s="12"/>
      <c r="U495" s="12"/>
      <c r="V495" s="12"/>
      <c r="W495" s="12"/>
      <c r="X495" s="12"/>
    </row>
    <row r="496" customFormat="false" ht="15.75" hidden="false" customHeight="false" outlineLevel="0" collapsed="false">
      <c r="A496" s="12"/>
      <c r="B496" s="34"/>
      <c r="C496" s="12"/>
      <c r="D496" s="12"/>
      <c r="E496" s="12"/>
      <c r="F496" s="12"/>
      <c r="G496" s="18"/>
      <c r="H496" s="35"/>
      <c r="I496" s="12"/>
      <c r="M496" s="12"/>
      <c r="N496" s="18"/>
      <c r="O496" s="12"/>
      <c r="P496" s="12"/>
      <c r="Q496" s="12"/>
      <c r="R496" s="36"/>
      <c r="S496" s="36"/>
      <c r="T496" s="12"/>
      <c r="U496" s="12"/>
      <c r="V496" s="12"/>
      <c r="W496" s="12"/>
      <c r="X496" s="12"/>
    </row>
    <row r="497" customFormat="false" ht="15.75" hidden="false" customHeight="false" outlineLevel="0" collapsed="false">
      <c r="A497" s="12"/>
      <c r="B497" s="34"/>
      <c r="C497" s="12"/>
      <c r="D497" s="12"/>
      <c r="E497" s="12"/>
      <c r="F497" s="12"/>
      <c r="G497" s="18"/>
      <c r="H497" s="35"/>
      <c r="I497" s="12"/>
      <c r="M497" s="12"/>
      <c r="N497" s="18"/>
      <c r="O497" s="12"/>
      <c r="P497" s="12"/>
      <c r="Q497" s="12"/>
      <c r="R497" s="36"/>
      <c r="S497" s="36"/>
      <c r="T497" s="12"/>
      <c r="U497" s="12"/>
      <c r="V497" s="12"/>
      <c r="W497" s="12"/>
      <c r="X497" s="12"/>
    </row>
    <row r="498" customFormat="false" ht="15.75" hidden="false" customHeight="false" outlineLevel="0" collapsed="false">
      <c r="A498" s="12"/>
      <c r="B498" s="34"/>
      <c r="C498" s="12"/>
      <c r="D498" s="12"/>
      <c r="E498" s="12"/>
      <c r="F498" s="12"/>
      <c r="G498" s="18"/>
      <c r="H498" s="35"/>
      <c r="I498" s="12"/>
      <c r="M498" s="12"/>
      <c r="N498" s="18"/>
      <c r="O498" s="12"/>
      <c r="P498" s="12"/>
      <c r="Q498" s="12"/>
      <c r="R498" s="36"/>
      <c r="S498" s="36"/>
      <c r="T498" s="12"/>
      <c r="U498" s="12"/>
      <c r="V498" s="12"/>
      <c r="W498" s="12"/>
      <c r="X498" s="12"/>
    </row>
    <row r="499" customFormat="false" ht="15.75" hidden="false" customHeight="false" outlineLevel="0" collapsed="false">
      <c r="A499" s="12"/>
      <c r="B499" s="34"/>
      <c r="C499" s="12"/>
      <c r="D499" s="12"/>
      <c r="E499" s="12"/>
      <c r="F499" s="12"/>
      <c r="G499" s="18"/>
      <c r="H499" s="35"/>
      <c r="I499" s="12"/>
      <c r="M499" s="12"/>
      <c r="N499" s="18"/>
      <c r="O499" s="12"/>
      <c r="P499" s="12"/>
      <c r="Q499" s="12"/>
      <c r="R499" s="36"/>
      <c r="S499" s="36"/>
      <c r="T499" s="12"/>
      <c r="U499" s="12"/>
      <c r="V499" s="12"/>
      <c r="W499" s="12"/>
      <c r="X499" s="12"/>
    </row>
    <row r="500" customFormat="false" ht="15.75" hidden="false" customHeight="false" outlineLevel="0" collapsed="false">
      <c r="A500" s="12"/>
      <c r="B500" s="34"/>
      <c r="C500" s="12"/>
      <c r="D500" s="12"/>
      <c r="E500" s="12"/>
      <c r="F500" s="12"/>
      <c r="G500" s="18"/>
      <c r="H500" s="35"/>
      <c r="I500" s="12"/>
      <c r="M500" s="12"/>
      <c r="N500" s="18"/>
      <c r="O500" s="12"/>
      <c r="P500" s="12"/>
      <c r="Q500" s="12"/>
      <c r="R500" s="36"/>
      <c r="S500" s="36"/>
      <c r="T500" s="12"/>
      <c r="U500" s="12"/>
      <c r="V500" s="12"/>
      <c r="W500" s="12"/>
      <c r="X500" s="12"/>
    </row>
    <row r="501" customFormat="false" ht="15.75" hidden="false" customHeight="false" outlineLevel="0" collapsed="false">
      <c r="A501" s="12"/>
      <c r="B501" s="34"/>
      <c r="C501" s="12"/>
      <c r="D501" s="12"/>
      <c r="E501" s="12"/>
      <c r="F501" s="12"/>
      <c r="G501" s="18"/>
      <c r="H501" s="35"/>
      <c r="I501" s="12"/>
      <c r="M501" s="12"/>
      <c r="N501" s="18"/>
      <c r="O501" s="12"/>
      <c r="P501" s="12"/>
      <c r="Q501" s="12"/>
      <c r="R501" s="36"/>
      <c r="S501" s="36"/>
      <c r="T501" s="12"/>
      <c r="U501" s="12"/>
      <c r="V501" s="12"/>
      <c r="W501" s="12"/>
      <c r="X501" s="12"/>
    </row>
    <row r="502" customFormat="false" ht="15.75" hidden="false" customHeight="false" outlineLevel="0" collapsed="false">
      <c r="A502" s="12"/>
      <c r="B502" s="34"/>
      <c r="C502" s="12"/>
      <c r="D502" s="12"/>
      <c r="E502" s="12"/>
      <c r="F502" s="12"/>
      <c r="G502" s="18"/>
      <c r="H502" s="35"/>
      <c r="I502" s="12"/>
      <c r="M502" s="12"/>
      <c r="N502" s="18"/>
      <c r="O502" s="12"/>
      <c r="P502" s="12"/>
      <c r="Q502" s="12"/>
      <c r="R502" s="36"/>
      <c r="S502" s="36"/>
      <c r="T502" s="12"/>
      <c r="U502" s="12"/>
      <c r="V502" s="12"/>
      <c r="W502" s="12"/>
      <c r="X502" s="12"/>
    </row>
    <row r="503" customFormat="false" ht="15.75" hidden="false" customHeight="false" outlineLevel="0" collapsed="false">
      <c r="A503" s="12"/>
      <c r="B503" s="34"/>
      <c r="C503" s="12"/>
      <c r="D503" s="12"/>
      <c r="E503" s="12"/>
      <c r="F503" s="12"/>
      <c r="G503" s="18"/>
      <c r="H503" s="35"/>
      <c r="I503" s="12"/>
      <c r="M503" s="12"/>
      <c r="N503" s="18"/>
      <c r="O503" s="12"/>
      <c r="P503" s="12"/>
      <c r="Q503" s="12"/>
      <c r="R503" s="36"/>
      <c r="S503" s="36"/>
      <c r="T503" s="12"/>
      <c r="U503" s="12"/>
      <c r="V503" s="12"/>
      <c r="W503" s="12"/>
      <c r="X503" s="12"/>
    </row>
    <row r="504" customFormat="false" ht="15.75" hidden="false" customHeight="false" outlineLevel="0" collapsed="false">
      <c r="A504" s="12"/>
      <c r="B504" s="34"/>
      <c r="C504" s="12"/>
      <c r="D504" s="12"/>
      <c r="E504" s="12"/>
      <c r="F504" s="12"/>
      <c r="G504" s="18"/>
      <c r="H504" s="35"/>
      <c r="I504" s="12"/>
      <c r="M504" s="12"/>
      <c r="N504" s="18"/>
      <c r="O504" s="12"/>
      <c r="P504" s="12"/>
      <c r="Q504" s="12"/>
      <c r="R504" s="36"/>
      <c r="S504" s="36"/>
      <c r="T504" s="12"/>
      <c r="U504" s="12"/>
      <c r="V504" s="12"/>
      <c r="W504" s="12"/>
      <c r="X504" s="12"/>
    </row>
    <row r="505" customFormat="false" ht="15.75" hidden="false" customHeight="false" outlineLevel="0" collapsed="false">
      <c r="A505" s="12"/>
      <c r="B505" s="34"/>
      <c r="C505" s="12"/>
      <c r="D505" s="12"/>
      <c r="E505" s="12"/>
      <c r="F505" s="12"/>
      <c r="G505" s="18"/>
      <c r="H505" s="35"/>
      <c r="I505" s="12"/>
      <c r="M505" s="12"/>
      <c r="N505" s="18"/>
      <c r="O505" s="12"/>
      <c r="P505" s="12"/>
      <c r="Q505" s="12"/>
      <c r="R505" s="36"/>
      <c r="S505" s="36"/>
      <c r="T505" s="12"/>
      <c r="U505" s="12"/>
      <c r="V505" s="12"/>
      <c r="W505" s="12"/>
      <c r="X505" s="12"/>
    </row>
    <row r="506" customFormat="false" ht="15.75" hidden="false" customHeight="false" outlineLevel="0" collapsed="false">
      <c r="A506" s="12"/>
      <c r="B506" s="34"/>
      <c r="C506" s="12"/>
      <c r="D506" s="12"/>
      <c r="E506" s="12"/>
      <c r="F506" s="12"/>
      <c r="G506" s="18"/>
      <c r="H506" s="35"/>
      <c r="I506" s="12"/>
      <c r="M506" s="12"/>
      <c r="N506" s="18"/>
      <c r="O506" s="12"/>
      <c r="P506" s="12"/>
      <c r="Q506" s="12"/>
      <c r="R506" s="36"/>
      <c r="S506" s="36"/>
      <c r="T506" s="12"/>
      <c r="U506" s="12"/>
      <c r="V506" s="12"/>
      <c r="W506" s="12"/>
      <c r="X506" s="12"/>
    </row>
    <row r="507" customFormat="false" ht="15.75" hidden="false" customHeight="false" outlineLevel="0" collapsed="false">
      <c r="A507" s="12"/>
      <c r="B507" s="34"/>
      <c r="C507" s="12"/>
      <c r="D507" s="12"/>
      <c r="E507" s="12"/>
      <c r="F507" s="12"/>
      <c r="G507" s="18"/>
      <c r="H507" s="35"/>
      <c r="I507" s="12"/>
      <c r="M507" s="12"/>
      <c r="N507" s="18"/>
      <c r="O507" s="12"/>
      <c r="P507" s="12"/>
      <c r="Q507" s="12"/>
      <c r="R507" s="36"/>
      <c r="S507" s="36"/>
      <c r="T507" s="12"/>
      <c r="U507" s="12"/>
      <c r="V507" s="12"/>
      <c r="W507" s="12"/>
      <c r="X507" s="12"/>
    </row>
    <row r="508" customFormat="false" ht="15.75" hidden="false" customHeight="false" outlineLevel="0" collapsed="false">
      <c r="A508" s="12"/>
      <c r="B508" s="34"/>
      <c r="C508" s="12"/>
      <c r="D508" s="12"/>
      <c r="E508" s="12"/>
      <c r="F508" s="12"/>
      <c r="G508" s="18"/>
      <c r="H508" s="35"/>
      <c r="I508" s="12"/>
      <c r="M508" s="12"/>
      <c r="N508" s="18"/>
      <c r="O508" s="12"/>
      <c r="P508" s="12"/>
      <c r="Q508" s="12"/>
      <c r="R508" s="36"/>
      <c r="S508" s="36"/>
      <c r="T508" s="12"/>
      <c r="U508" s="12"/>
      <c r="V508" s="12"/>
      <c r="W508" s="12"/>
      <c r="X508" s="12"/>
    </row>
    <row r="509" customFormat="false" ht="15.75" hidden="false" customHeight="false" outlineLevel="0" collapsed="false">
      <c r="A509" s="12"/>
      <c r="B509" s="34"/>
      <c r="C509" s="12"/>
      <c r="D509" s="12"/>
      <c r="E509" s="12"/>
      <c r="F509" s="12"/>
      <c r="G509" s="18"/>
      <c r="H509" s="35"/>
      <c r="I509" s="12"/>
      <c r="M509" s="12"/>
      <c r="N509" s="18"/>
      <c r="O509" s="12"/>
      <c r="P509" s="12"/>
      <c r="Q509" s="12"/>
      <c r="R509" s="36"/>
      <c r="S509" s="36"/>
      <c r="T509" s="12"/>
      <c r="U509" s="12"/>
      <c r="V509" s="12"/>
      <c r="W509" s="12"/>
      <c r="X509" s="12"/>
    </row>
    <row r="510" customFormat="false" ht="15.75" hidden="false" customHeight="false" outlineLevel="0" collapsed="false">
      <c r="A510" s="12"/>
      <c r="B510" s="34"/>
      <c r="C510" s="12"/>
      <c r="D510" s="12"/>
      <c r="E510" s="12"/>
      <c r="F510" s="12"/>
      <c r="G510" s="18"/>
      <c r="H510" s="35"/>
      <c r="I510" s="12"/>
      <c r="M510" s="12"/>
      <c r="N510" s="18"/>
      <c r="O510" s="12"/>
      <c r="P510" s="12"/>
      <c r="Q510" s="12"/>
      <c r="R510" s="36"/>
      <c r="S510" s="36"/>
      <c r="T510" s="12"/>
      <c r="U510" s="12"/>
      <c r="V510" s="12"/>
      <c r="W510" s="12"/>
      <c r="X510" s="12"/>
    </row>
    <row r="511" customFormat="false" ht="15.75" hidden="false" customHeight="false" outlineLevel="0" collapsed="false">
      <c r="A511" s="12"/>
      <c r="B511" s="34"/>
      <c r="C511" s="12"/>
      <c r="D511" s="12"/>
      <c r="E511" s="12"/>
      <c r="F511" s="12"/>
      <c r="G511" s="18"/>
      <c r="H511" s="35"/>
      <c r="I511" s="12"/>
      <c r="M511" s="12"/>
      <c r="N511" s="18"/>
      <c r="O511" s="12"/>
      <c r="P511" s="12"/>
      <c r="Q511" s="12"/>
      <c r="R511" s="36"/>
      <c r="S511" s="36"/>
      <c r="T511" s="12"/>
      <c r="U511" s="12"/>
      <c r="V511" s="12"/>
      <c r="W511" s="12"/>
      <c r="X511" s="12"/>
    </row>
    <row r="512" customFormat="false" ht="15.75" hidden="false" customHeight="false" outlineLevel="0" collapsed="false">
      <c r="A512" s="12"/>
      <c r="B512" s="34"/>
      <c r="C512" s="12"/>
      <c r="D512" s="12"/>
      <c r="E512" s="12"/>
      <c r="F512" s="12"/>
      <c r="G512" s="18"/>
      <c r="H512" s="35"/>
      <c r="I512" s="12"/>
      <c r="M512" s="12"/>
      <c r="N512" s="18"/>
      <c r="O512" s="12"/>
      <c r="P512" s="12"/>
      <c r="Q512" s="12"/>
      <c r="R512" s="36"/>
      <c r="S512" s="36"/>
      <c r="T512" s="12"/>
      <c r="U512" s="12"/>
      <c r="V512" s="12"/>
      <c r="W512" s="12"/>
      <c r="X512" s="12"/>
    </row>
    <row r="513" customFormat="false" ht="15.75" hidden="false" customHeight="false" outlineLevel="0" collapsed="false">
      <c r="A513" s="12"/>
      <c r="B513" s="34"/>
      <c r="C513" s="12"/>
      <c r="D513" s="12"/>
      <c r="E513" s="12"/>
      <c r="F513" s="12"/>
      <c r="G513" s="18"/>
      <c r="H513" s="35"/>
      <c r="I513" s="12"/>
      <c r="M513" s="12"/>
      <c r="N513" s="18"/>
      <c r="O513" s="12"/>
      <c r="P513" s="12"/>
      <c r="Q513" s="12"/>
      <c r="R513" s="36"/>
      <c r="S513" s="36"/>
      <c r="T513" s="12"/>
      <c r="U513" s="12"/>
      <c r="V513" s="12"/>
      <c r="W513" s="12"/>
      <c r="X513" s="12"/>
    </row>
    <row r="514" customFormat="false" ht="15.75" hidden="false" customHeight="false" outlineLevel="0" collapsed="false">
      <c r="A514" s="12"/>
      <c r="B514" s="34"/>
      <c r="C514" s="12"/>
      <c r="D514" s="12"/>
      <c r="E514" s="12"/>
      <c r="F514" s="12"/>
      <c r="G514" s="18"/>
      <c r="H514" s="35"/>
      <c r="I514" s="12"/>
      <c r="M514" s="12"/>
      <c r="N514" s="18"/>
      <c r="O514" s="12"/>
      <c r="P514" s="12"/>
      <c r="Q514" s="12"/>
      <c r="R514" s="36"/>
      <c r="S514" s="36"/>
      <c r="T514" s="12"/>
      <c r="U514" s="12"/>
      <c r="V514" s="12"/>
      <c r="W514" s="12"/>
      <c r="X514" s="12"/>
    </row>
    <row r="515" customFormat="false" ht="15.75" hidden="false" customHeight="false" outlineLevel="0" collapsed="false">
      <c r="A515" s="12"/>
      <c r="B515" s="34"/>
      <c r="C515" s="12"/>
      <c r="D515" s="12"/>
      <c r="E515" s="12"/>
      <c r="F515" s="12"/>
      <c r="G515" s="18"/>
      <c r="H515" s="35"/>
      <c r="I515" s="12"/>
      <c r="M515" s="12"/>
      <c r="N515" s="18"/>
      <c r="O515" s="12"/>
      <c r="P515" s="12"/>
      <c r="Q515" s="12"/>
      <c r="R515" s="36"/>
      <c r="S515" s="36"/>
      <c r="T515" s="12"/>
      <c r="U515" s="12"/>
      <c r="V515" s="12"/>
      <c r="W515" s="12"/>
      <c r="X515" s="12"/>
    </row>
    <row r="516" customFormat="false" ht="15.75" hidden="false" customHeight="false" outlineLevel="0" collapsed="false">
      <c r="A516" s="12"/>
      <c r="B516" s="34"/>
      <c r="C516" s="12"/>
      <c r="D516" s="12"/>
      <c r="E516" s="12"/>
      <c r="F516" s="12"/>
      <c r="G516" s="18"/>
      <c r="H516" s="35"/>
      <c r="I516" s="12"/>
      <c r="M516" s="12"/>
      <c r="N516" s="18"/>
      <c r="O516" s="12"/>
      <c r="P516" s="12"/>
      <c r="Q516" s="12"/>
      <c r="R516" s="36"/>
      <c r="S516" s="36"/>
      <c r="T516" s="12"/>
      <c r="U516" s="12"/>
      <c r="V516" s="12"/>
      <c r="W516" s="12"/>
      <c r="X516" s="12"/>
    </row>
    <row r="517" customFormat="false" ht="15.75" hidden="false" customHeight="false" outlineLevel="0" collapsed="false">
      <c r="A517" s="12"/>
      <c r="B517" s="34"/>
      <c r="C517" s="12"/>
      <c r="D517" s="12"/>
      <c r="E517" s="12"/>
      <c r="F517" s="12"/>
      <c r="G517" s="18"/>
      <c r="H517" s="35"/>
      <c r="I517" s="12"/>
      <c r="M517" s="12"/>
      <c r="N517" s="18"/>
      <c r="O517" s="12"/>
      <c r="P517" s="12"/>
      <c r="Q517" s="12"/>
      <c r="R517" s="36"/>
      <c r="S517" s="36"/>
      <c r="T517" s="12"/>
      <c r="U517" s="12"/>
      <c r="V517" s="12"/>
      <c r="W517" s="12"/>
      <c r="X517" s="12"/>
    </row>
    <row r="518" customFormat="false" ht="15.75" hidden="false" customHeight="false" outlineLevel="0" collapsed="false">
      <c r="A518" s="12"/>
      <c r="B518" s="34"/>
      <c r="C518" s="12"/>
      <c r="D518" s="12"/>
      <c r="E518" s="12"/>
      <c r="F518" s="12"/>
      <c r="G518" s="18"/>
      <c r="H518" s="35"/>
      <c r="I518" s="12"/>
      <c r="M518" s="12"/>
      <c r="N518" s="18"/>
      <c r="O518" s="12"/>
      <c r="P518" s="12"/>
      <c r="Q518" s="12"/>
      <c r="R518" s="36"/>
      <c r="S518" s="36"/>
      <c r="T518" s="12"/>
      <c r="U518" s="12"/>
      <c r="V518" s="12"/>
      <c r="W518" s="12"/>
      <c r="X518" s="12"/>
    </row>
    <row r="519" customFormat="false" ht="15.75" hidden="false" customHeight="false" outlineLevel="0" collapsed="false">
      <c r="A519" s="12"/>
      <c r="B519" s="34"/>
      <c r="C519" s="12"/>
      <c r="D519" s="12"/>
      <c r="E519" s="12"/>
      <c r="F519" s="12"/>
      <c r="G519" s="18"/>
      <c r="H519" s="35"/>
      <c r="I519" s="12"/>
      <c r="M519" s="12"/>
      <c r="N519" s="18"/>
      <c r="O519" s="12"/>
      <c r="P519" s="12"/>
      <c r="Q519" s="12"/>
      <c r="R519" s="36"/>
      <c r="S519" s="36"/>
      <c r="T519" s="12"/>
      <c r="U519" s="12"/>
      <c r="V519" s="12"/>
      <c r="W519" s="12"/>
      <c r="X519" s="12"/>
    </row>
    <row r="520" customFormat="false" ht="15.75" hidden="false" customHeight="false" outlineLevel="0" collapsed="false">
      <c r="A520" s="12"/>
      <c r="B520" s="34"/>
      <c r="C520" s="12"/>
      <c r="D520" s="12"/>
      <c r="E520" s="12"/>
      <c r="F520" s="12"/>
      <c r="G520" s="18"/>
      <c r="H520" s="35"/>
      <c r="I520" s="12"/>
      <c r="M520" s="12"/>
      <c r="N520" s="18"/>
      <c r="O520" s="12"/>
      <c r="P520" s="12"/>
      <c r="Q520" s="12"/>
      <c r="R520" s="36"/>
      <c r="S520" s="36"/>
      <c r="T520" s="12"/>
      <c r="U520" s="12"/>
      <c r="V520" s="12"/>
      <c r="W520" s="12"/>
      <c r="X520" s="12"/>
    </row>
    <row r="521" customFormat="false" ht="15.75" hidden="false" customHeight="false" outlineLevel="0" collapsed="false">
      <c r="A521" s="12"/>
      <c r="B521" s="34"/>
      <c r="C521" s="12"/>
      <c r="D521" s="12"/>
      <c r="E521" s="12"/>
      <c r="F521" s="12"/>
      <c r="G521" s="18"/>
      <c r="H521" s="35"/>
      <c r="I521" s="12"/>
      <c r="M521" s="12"/>
      <c r="N521" s="18"/>
      <c r="O521" s="12"/>
      <c r="P521" s="12"/>
      <c r="Q521" s="12"/>
      <c r="R521" s="36"/>
      <c r="S521" s="36"/>
      <c r="T521" s="12"/>
      <c r="U521" s="12"/>
      <c r="V521" s="12"/>
      <c r="W521" s="12"/>
      <c r="X521" s="12"/>
    </row>
    <row r="522" customFormat="false" ht="15.75" hidden="false" customHeight="false" outlineLevel="0" collapsed="false">
      <c r="A522" s="12"/>
      <c r="B522" s="34"/>
      <c r="C522" s="12"/>
      <c r="D522" s="12"/>
      <c r="E522" s="12"/>
      <c r="F522" s="12"/>
      <c r="G522" s="18"/>
      <c r="H522" s="35"/>
      <c r="I522" s="12"/>
      <c r="M522" s="12"/>
      <c r="N522" s="18"/>
      <c r="O522" s="12"/>
      <c r="P522" s="12"/>
      <c r="Q522" s="12"/>
      <c r="R522" s="36"/>
      <c r="S522" s="36"/>
      <c r="T522" s="12"/>
      <c r="U522" s="12"/>
      <c r="V522" s="12"/>
      <c r="W522" s="12"/>
      <c r="X522" s="12"/>
    </row>
    <row r="523" customFormat="false" ht="15.75" hidden="false" customHeight="false" outlineLevel="0" collapsed="false">
      <c r="A523" s="12"/>
      <c r="B523" s="34"/>
      <c r="C523" s="12"/>
      <c r="D523" s="12"/>
      <c r="E523" s="12"/>
      <c r="F523" s="12"/>
      <c r="G523" s="18"/>
      <c r="H523" s="35"/>
      <c r="I523" s="12"/>
      <c r="M523" s="12"/>
      <c r="N523" s="18"/>
      <c r="O523" s="12"/>
      <c r="P523" s="12"/>
      <c r="Q523" s="12"/>
      <c r="R523" s="36"/>
      <c r="S523" s="36"/>
      <c r="T523" s="12"/>
      <c r="U523" s="12"/>
      <c r="V523" s="12"/>
      <c r="W523" s="12"/>
      <c r="X523" s="12"/>
    </row>
    <row r="524" customFormat="false" ht="15.75" hidden="false" customHeight="false" outlineLevel="0" collapsed="false">
      <c r="A524" s="12"/>
      <c r="B524" s="34"/>
      <c r="C524" s="12"/>
      <c r="D524" s="12"/>
      <c r="E524" s="12"/>
      <c r="F524" s="12"/>
      <c r="G524" s="18"/>
      <c r="H524" s="35"/>
      <c r="I524" s="12"/>
      <c r="M524" s="12"/>
      <c r="N524" s="18"/>
      <c r="O524" s="12"/>
      <c r="P524" s="12"/>
      <c r="Q524" s="12"/>
      <c r="R524" s="36"/>
      <c r="S524" s="36"/>
      <c r="T524" s="12"/>
      <c r="U524" s="12"/>
      <c r="V524" s="12"/>
      <c r="W524" s="12"/>
      <c r="X524" s="12"/>
    </row>
    <row r="525" customFormat="false" ht="15.75" hidden="false" customHeight="false" outlineLevel="0" collapsed="false">
      <c r="A525" s="12"/>
      <c r="B525" s="34"/>
      <c r="C525" s="12"/>
      <c r="D525" s="12"/>
      <c r="E525" s="12"/>
      <c r="F525" s="12"/>
      <c r="G525" s="18"/>
      <c r="H525" s="35"/>
      <c r="I525" s="12"/>
      <c r="M525" s="12"/>
      <c r="N525" s="18"/>
      <c r="O525" s="12"/>
      <c r="P525" s="12"/>
      <c r="Q525" s="12"/>
      <c r="R525" s="36"/>
      <c r="S525" s="36"/>
      <c r="T525" s="12"/>
      <c r="U525" s="12"/>
      <c r="V525" s="12"/>
      <c r="W525" s="12"/>
      <c r="X525" s="12"/>
    </row>
    <row r="526" customFormat="false" ht="15.75" hidden="false" customHeight="false" outlineLevel="0" collapsed="false">
      <c r="A526" s="12"/>
      <c r="B526" s="34"/>
      <c r="C526" s="12"/>
      <c r="D526" s="12"/>
      <c r="E526" s="12"/>
      <c r="F526" s="12"/>
      <c r="G526" s="18"/>
      <c r="H526" s="35"/>
      <c r="I526" s="12"/>
      <c r="M526" s="12"/>
      <c r="N526" s="18"/>
      <c r="O526" s="12"/>
      <c r="P526" s="12"/>
      <c r="Q526" s="12"/>
      <c r="R526" s="36"/>
      <c r="S526" s="36"/>
      <c r="T526" s="12"/>
      <c r="U526" s="12"/>
      <c r="V526" s="12"/>
      <c r="W526" s="12"/>
      <c r="X526" s="12"/>
    </row>
    <row r="527" customFormat="false" ht="15.75" hidden="false" customHeight="false" outlineLevel="0" collapsed="false">
      <c r="A527" s="12"/>
      <c r="B527" s="34"/>
      <c r="C527" s="12"/>
      <c r="D527" s="12"/>
      <c r="E527" s="12"/>
      <c r="F527" s="12"/>
      <c r="G527" s="18"/>
      <c r="H527" s="35"/>
      <c r="I527" s="12"/>
      <c r="M527" s="12"/>
      <c r="N527" s="18"/>
      <c r="O527" s="12"/>
      <c r="P527" s="12"/>
      <c r="Q527" s="12"/>
      <c r="R527" s="36"/>
      <c r="S527" s="36"/>
      <c r="T527" s="12"/>
      <c r="U527" s="12"/>
      <c r="V527" s="12"/>
      <c r="W527" s="12"/>
      <c r="X527" s="12"/>
    </row>
    <row r="528" customFormat="false" ht="15.75" hidden="false" customHeight="false" outlineLevel="0" collapsed="false">
      <c r="A528" s="12"/>
      <c r="B528" s="34"/>
      <c r="C528" s="12"/>
      <c r="D528" s="12"/>
      <c r="E528" s="12"/>
      <c r="F528" s="12"/>
      <c r="G528" s="18"/>
      <c r="H528" s="35"/>
      <c r="I528" s="12"/>
      <c r="M528" s="12"/>
      <c r="N528" s="18"/>
      <c r="O528" s="12"/>
      <c r="P528" s="12"/>
      <c r="Q528" s="12"/>
      <c r="R528" s="36"/>
      <c r="S528" s="36"/>
      <c r="T528" s="12"/>
      <c r="U528" s="12"/>
      <c r="V528" s="12"/>
      <c r="W528" s="12"/>
      <c r="X528" s="12"/>
    </row>
    <row r="529" customFormat="false" ht="15.75" hidden="false" customHeight="false" outlineLevel="0" collapsed="false">
      <c r="A529" s="12"/>
      <c r="B529" s="34"/>
      <c r="C529" s="12"/>
      <c r="D529" s="12"/>
      <c r="E529" s="12"/>
      <c r="F529" s="12"/>
      <c r="G529" s="18"/>
      <c r="H529" s="35"/>
      <c r="I529" s="12"/>
      <c r="M529" s="12"/>
      <c r="N529" s="18"/>
      <c r="O529" s="12"/>
      <c r="P529" s="12"/>
      <c r="Q529" s="12"/>
      <c r="R529" s="36"/>
      <c r="S529" s="36"/>
      <c r="T529" s="12"/>
      <c r="U529" s="12"/>
      <c r="V529" s="12"/>
      <c r="W529" s="12"/>
      <c r="X529" s="12"/>
    </row>
    <row r="530" customFormat="false" ht="15.75" hidden="false" customHeight="false" outlineLevel="0" collapsed="false">
      <c r="A530" s="12"/>
      <c r="B530" s="34"/>
      <c r="C530" s="12"/>
      <c r="D530" s="12"/>
      <c r="E530" s="12"/>
      <c r="F530" s="12"/>
      <c r="G530" s="18"/>
      <c r="H530" s="35"/>
      <c r="I530" s="12"/>
      <c r="M530" s="12"/>
      <c r="N530" s="18"/>
      <c r="O530" s="12"/>
      <c r="P530" s="12"/>
      <c r="Q530" s="12"/>
      <c r="R530" s="36"/>
      <c r="S530" s="36"/>
      <c r="T530" s="12"/>
      <c r="U530" s="12"/>
      <c r="V530" s="12"/>
      <c r="W530" s="12"/>
      <c r="X530" s="12"/>
    </row>
    <row r="531" customFormat="false" ht="15.75" hidden="false" customHeight="false" outlineLevel="0" collapsed="false">
      <c r="A531" s="12"/>
      <c r="B531" s="34"/>
      <c r="C531" s="12"/>
      <c r="D531" s="12"/>
      <c r="E531" s="12"/>
      <c r="F531" s="12"/>
      <c r="G531" s="18"/>
      <c r="H531" s="35"/>
      <c r="I531" s="12"/>
      <c r="M531" s="12"/>
      <c r="N531" s="18"/>
      <c r="O531" s="12"/>
      <c r="P531" s="12"/>
      <c r="Q531" s="12"/>
      <c r="R531" s="36"/>
      <c r="S531" s="36"/>
      <c r="T531" s="12"/>
      <c r="U531" s="12"/>
      <c r="V531" s="12"/>
      <c r="W531" s="12"/>
      <c r="X531" s="12"/>
    </row>
    <row r="532" customFormat="false" ht="15.75" hidden="false" customHeight="false" outlineLevel="0" collapsed="false">
      <c r="A532" s="12"/>
      <c r="B532" s="34"/>
      <c r="C532" s="12"/>
      <c r="D532" s="12"/>
      <c r="E532" s="12"/>
      <c r="F532" s="12"/>
      <c r="G532" s="18"/>
      <c r="H532" s="35"/>
      <c r="I532" s="12"/>
      <c r="M532" s="12"/>
      <c r="N532" s="18"/>
      <c r="O532" s="12"/>
      <c r="P532" s="12"/>
      <c r="Q532" s="12"/>
      <c r="R532" s="36"/>
      <c r="S532" s="36"/>
      <c r="T532" s="12"/>
      <c r="U532" s="12"/>
      <c r="V532" s="12"/>
      <c r="W532" s="12"/>
      <c r="X532" s="12"/>
    </row>
    <row r="533" customFormat="false" ht="15.75" hidden="false" customHeight="false" outlineLevel="0" collapsed="false">
      <c r="A533" s="12"/>
      <c r="B533" s="34"/>
      <c r="C533" s="12"/>
      <c r="D533" s="12"/>
      <c r="E533" s="12"/>
      <c r="F533" s="12"/>
      <c r="G533" s="18"/>
      <c r="H533" s="35"/>
      <c r="I533" s="12"/>
      <c r="M533" s="12"/>
      <c r="N533" s="18"/>
      <c r="O533" s="12"/>
      <c r="P533" s="12"/>
      <c r="Q533" s="12"/>
      <c r="R533" s="36"/>
      <c r="S533" s="36"/>
      <c r="T533" s="12"/>
      <c r="U533" s="12"/>
      <c r="V533" s="12"/>
      <c r="W533" s="12"/>
      <c r="X533" s="12"/>
    </row>
    <row r="534" customFormat="false" ht="15.75" hidden="false" customHeight="false" outlineLevel="0" collapsed="false">
      <c r="A534" s="12"/>
      <c r="B534" s="34"/>
      <c r="C534" s="12"/>
      <c r="D534" s="12"/>
      <c r="E534" s="12"/>
      <c r="F534" s="12"/>
      <c r="G534" s="18"/>
      <c r="H534" s="35"/>
      <c r="I534" s="12"/>
      <c r="M534" s="12"/>
      <c r="N534" s="18"/>
      <c r="O534" s="12"/>
      <c r="P534" s="12"/>
      <c r="Q534" s="12"/>
      <c r="R534" s="36"/>
      <c r="S534" s="36"/>
      <c r="T534" s="12"/>
      <c r="U534" s="12"/>
      <c r="V534" s="12"/>
      <c r="W534" s="12"/>
      <c r="X534" s="12"/>
    </row>
    <row r="535" customFormat="false" ht="15.75" hidden="false" customHeight="false" outlineLevel="0" collapsed="false">
      <c r="A535" s="12"/>
      <c r="B535" s="34"/>
      <c r="C535" s="12"/>
      <c r="D535" s="12"/>
      <c r="E535" s="12"/>
      <c r="F535" s="12"/>
      <c r="G535" s="18"/>
      <c r="H535" s="35"/>
      <c r="I535" s="12"/>
      <c r="M535" s="12"/>
      <c r="N535" s="18"/>
      <c r="O535" s="12"/>
      <c r="P535" s="12"/>
      <c r="Q535" s="12"/>
      <c r="R535" s="36"/>
      <c r="S535" s="36"/>
      <c r="T535" s="12"/>
      <c r="U535" s="12"/>
      <c r="V535" s="12"/>
      <c r="W535" s="12"/>
      <c r="X535" s="12"/>
    </row>
    <row r="536" customFormat="false" ht="15.75" hidden="false" customHeight="false" outlineLevel="0" collapsed="false">
      <c r="A536" s="12"/>
      <c r="B536" s="34"/>
      <c r="C536" s="12"/>
      <c r="D536" s="12"/>
      <c r="E536" s="12"/>
      <c r="F536" s="12"/>
      <c r="G536" s="18"/>
      <c r="H536" s="35"/>
      <c r="I536" s="12"/>
      <c r="M536" s="12"/>
      <c r="N536" s="18"/>
      <c r="O536" s="12"/>
      <c r="P536" s="12"/>
      <c r="Q536" s="12"/>
      <c r="R536" s="36"/>
      <c r="S536" s="36"/>
      <c r="T536" s="12"/>
      <c r="U536" s="12"/>
      <c r="V536" s="12"/>
      <c r="W536" s="12"/>
      <c r="X536" s="12"/>
    </row>
    <row r="537" customFormat="false" ht="15.75" hidden="false" customHeight="false" outlineLevel="0" collapsed="false">
      <c r="A537" s="12"/>
      <c r="B537" s="34"/>
      <c r="C537" s="12"/>
      <c r="D537" s="12"/>
      <c r="E537" s="12"/>
      <c r="F537" s="12"/>
      <c r="G537" s="18"/>
      <c r="H537" s="35"/>
      <c r="I537" s="12"/>
      <c r="M537" s="12"/>
      <c r="N537" s="18"/>
      <c r="O537" s="12"/>
      <c r="P537" s="12"/>
      <c r="Q537" s="12"/>
      <c r="R537" s="36"/>
      <c r="S537" s="36"/>
      <c r="T537" s="12"/>
      <c r="U537" s="12"/>
      <c r="V537" s="12"/>
      <c r="W537" s="12"/>
      <c r="X537" s="12"/>
    </row>
    <row r="538" customFormat="false" ht="15.75" hidden="false" customHeight="false" outlineLevel="0" collapsed="false">
      <c r="A538" s="12"/>
      <c r="B538" s="34"/>
      <c r="C538" s="12"/>
      <c r="D538" s="12"/>
      <c r="E538" s="12"/>
      <c r="F538" s="12"/>
      <c r="G538" s="18"/>
      <c r="H538" s="35"/>
      <c r="I538" s="12"/>
      <c r="M538" s="12"/>
      <c r="N538" s="18"/>
      <c r="O538" s="12"/>
      <c r="P538" s="12"/>
      <c r="Q538" s="12"/>
      <c r="R538" s="36"/>
      <c r="S538" s="36"/>
      <c r="T538" s="12"/>
      <c r="U538" s="12"/>
      <c r="V538" s="12"/>
      <c r="W538" s="12"/>
      <c r="X538" s="12"/>
    </row>
    <row r="539" customFormat="false" ht="15.75" hidden="false" customHeight="false" outlineLevel="0" collapsed="false">
      <c r="A539" s="12"/>
      <c r="B539" s="34"/>
      <c r="C539" s="12"/>
      <c r="D539" s="12"/>
      <c r="E539" s="12"/>
      <c r="F539" s="12"/>
      <c r="G539" s="18"/>
      <c r="H539" s="35"/>
      <c r="I539" s="12"/>
      <c r="M539" s="12"/>
      <c r="N539" s="18"/>
      <c r="O539" s="12"/>
      <c r="P539" s="12"/>
      <c r="Q539" s="12"/>
      <c r="R539" s="36"/>
      <c r="S539" s="36"/>
      <c r="T539" s="12"/>
      <c r="U539" s="12"/>
      <c r="V539" s="12"/>
      <c r="W539" s="12"/>
      <c r="X539" s="12"/>
    </row>
    <row r="540" customFormat="false" ht="15.75" hidden="false" customHeight="false" outlineLevel="0" collapsed="false">
      <c r="A540" s="12"/>
      <c r="B540" s="34"/>
      <c r="C540" s="12"/>
      <c r="D540" s="12"/>
      <c r="E540" s="12"/>
      <c r="F540" s="12"/>
      <c r="G540" s="18"/>
      <c r="H540" s="35"/>
      <c r="I540" s="12"/>
      <c r="M540" s="12"/>
      <c r="N540" s="18"/>
      <c r="O540" s="12"/>
      <c r="P540" s="12"/>
      <c r="Q540" s="12"/>
      <c r="R540" s="36"/>
      <c r="S540" s="36"/>
      <c r="T540" s="12"/>
      <c r="U540" s="12"/>
      <c r="V540" s="12"/>
      <c r="W540" s="12"/>
      <c r="X540" s="12"/>
    </row>
    <row r="541" customFormat="false" ht="15.75" hidden="false" customHeight="false" outlineLevel="0" collapsed="false">
      <c r="A541" s="12"/>
      <c r="B541" s="34"/>
      <c r="C541" s="12"/>
      <c r="D541" s="12"/>
      <c r="E541" s="12"/>
      <c r="F541" s="12"/>
      <c r="G541" s="18"/>
      <c r="H541" s="35"/>
      <c r="I541" s="12"/>
      <c r="M541" s="12"/>
      <c r="N541" s="18"/>
      <c r="O541" s="12"/>
      <c r="P541" s="12"/>
      <c r="Q541" s="12"/>
      <c r="R541" s="36"/>
      <c r="S541" s="36"/>
      <c r="T541" s="12"/>
      <c r="U541" s="12"/>
      <c r="V541" s="12"/>
      <c r="W541" s="12"/>
      <c r="X541" s="12"/>
    </row>
    <row r="542" customFormat="false" ht="15.75" hidden="false" customHeight="false" outlineLevel="0" collapsed="false">
      <c r="A542" s="12"/>
      <c r="B542" s="34"/>
      <c r="C542" s="12"/>
      <c r="D542" s="12"/>
      <c r="E542" s="12"/>
      <c r="F542" s="12"/>
      <c r="G542" s="18"/>
      <c r="H542" s="35"/>
      <c r="I542" s="12"/>
      <c r="M542" s="12"/>
      <c r="N542" s="18"/>
      <c r="O542" s="12"/>
      <c r="P542" s="12"/>
      <c r="Q542" s="12"/>
      <c r="R542" s="36"/>
      <c r="S542" s="36"/>
      <c r="T542" s="12"/>
      <c r="U542" s="12"/>
      <c r="V542" s="12"/>
      <c r="W542" s="12"/>
      <c r="X542" s="12"/>
    </row>
    <row r="543" customFormat="false" ht="15.75" hidden="false" customHeight="false" outlineLevel="0" collapsed="false">
      <c r="A543" s="12"/>
      <c r="B543" s="34"/>
      <c r="C543" s="12"/>
      <c r="D543" s="12"/>
      <c r="E543" s="12"/>
      <c r="F543" s="12"/>
      <c r="G543" s="18"/>
      <c r="H543" s="35"/>
      <c r="I543" s="12"/>
      <c r="M543" s="12"/>
      <c r="N543" s="18"/>
      <c r="O543" s="12"/>
      <c r="P543" s="12"/>
      <c r="Q543" s="12"/>
      <c r="R543" s="36"/>
      <c r="S543" s="36"/>
      <c r="T543" s="12"/>
      <c r="U543" s="12"/>
      <c r="V543" s="12"/>
      <c r="W543" s="12"/>
      <c r="X543" s="12"/>
    </row>
    <row r="544" customFormat="false" ht="15.75" hidden="false" customHeight="false" outlineLevel="0" collapsed="false">
      <c r="A544" s="12"/>
      <c r="B544" s="34"/>
      <c r="C544" s="12"/>
      <c r="D544" s="12"/>
      <c r="E544" s="12"/>
      <c r="F544" s="12"/>
      <c r="G544" s="18"/>
      <c r="H544" s="35"/>
      <c r="I544" s="12"/>
      <c r="M544" s="12"/>
      <c r="N544" s="18"/>
      <c r="O544" s="12"/>
      <c r="P544" s="12"/>
      <c r="Q544" s="12"/>
      <c r="R544" s="36"/>
      <c r="S544" s="36"/>
      <c r="T544" s="12"/>
      <c r="U544" s="12"/>
      <c r="V544" s="12"/>
      <c r="W544" s="12"/>
      <c r="X544" s="12"/>
    </row>
    <row r="545" customFormat="false" ht="15.75" hidden="false" customHeight="false" outlineLevel="0" collapsed="false">
      <c r="A545" s="12"/>
      <c r="B545" s="34"/>
      <c r="C545" s="12"/>
      <c r="D545" s="12"/>
      <c r="E545" s="12"/>
      <c r="F545" s="12"/>
      <c r="G545" s="18"/>
      <c r="H545" s="35"/>
      <c r="I545" s="12"/>
      <c r="M545" s="12"/>
      <c r="N545" s="18"/>
      <c r="O545" s="12"/>
      <c r="P545" s="12"/>
      <c r="Q545" s="12"/>
      <c r="R545" s="36"/>
      <c r="S545" s="36"/>
      <c r="T545" s="12"/>
      <c r="U545" s="12"/>
      <c r="V545" s="12"/>
      <c r="W545" s="12"/>
      <c r="X545" s="12"/>
    </row>
    <row r="546" customFormat="false" ht="15.75" hidden="false" customHeight="false" outlineLevel="0" collapsed="false">
      <c r="A546" s="12"/>
      <c r="B546" s="34"/>
      <c r="C546" s="12"/>
      <c r="D546" s="12"/>
      <c r="E546" s="12"/>
      <c r="F546" s="12"/>
      <c r="G546" s="18"/>
      <c r="H546" s="35"/>
      <c r="I546" s="12"/>
      <c r="M546" s="12"/>
      <c r="N546" s="18"/>
      <c r="O546" s="12"/>
      <c r="P546" s="12"/>
      <c r="Q546" s="12"/>
      <c r="R546" s="36"/>
      <c r="S546" s="36"/>
      <c r="T546" s="12"/>
      <c r="U546" s="12"/>
      <c r="V546" s="12"/>
      <c r="W546" s="12"/>
      <c r="X546" s="12"/>
    </row>
    <row r="547" customFormat="false" ht="15.75" hidden="false" customHeight="false" outlineLevel="0" collapsed="false">
      <c r="A547" s="12"/>
      <c r="B547" s="34"/>
      <c r="C547" s="12"/>
      <c r="D547" s="12"/>
      <c r="E547" s="12"/>
      <c r="F547" s="12"/>
      <c r="G547" s="18"/>
      <c r="H547" s="35"/>
      <c r="I547" s="12"/>
      <c r="M547" s="12"/>
      <c r="N547" s="18"/>
      <c r="O547" s="12"/>
      <c r="P547" s="12"/>
      <c r="Q547" s="12"/>
      <c r="R547" s="36"/>
      <c r="S547" s="36"/>
      <c r="T547" s="12"/>
      <c r="U547" s="12"/>
      <c r="V547" s="12"/>
      <c r="W547" s="12"/>
      <c r="X547" s="12"/>
    </row>
    <row r="548" customFormat="false" ht="15.75" hidden="false" customHeight="false" outlineLevel="0" collapsed="false">
      <c r="A548" s="12"/>
      <c r="B548" s="34"/>
      <c r="C548" s="12"/>
      <c r="D548" s="12"/>
      <c r="E548" s="12"/>
      <c r="F548" s="12"/>
      <c r="G548" s="18"/>
      <c r="H548" s="35"/>
      <c r="I548" s="12"/>
      <c r="M548" s="12"/>
      <c r="N548" s="18"/>
      <c r="O548" s="12"/>
      <c r="P548" s="12"/>
      <c r="Q548" s="12"/>
      <c r="R548" s="36"/>
      <c r="S548" s="36"/>
      <c r="T548" s="12"/>
      <c r="U548" s="12"/>
      <c r="V548" s="12"/>
      <c r="W548" s="12"/>
      <c r="X548" s="12"/>
    </row>
    <row r="549" customFormat="false" ht="15.75" hidden="false" customHeight="false" outlineLevel="0" collapsed="false">
      <c r="A549" s="12"/>
      <c r="B549" s="34"/>
      <c r="C549" s="12"/>
      <c r="D549" s="12"/>
      <c r="E549" s="12"/>
      <c r="F549" s="12"/>
      <c r="G549" s="18"/>
      <c r="H549" s="35"/>
      <c r="I549" s="12"/>
      <c r="M549" s="12"/>
      <c r="N549" s="18"/>
      <c r="O549" s="12"/>
      <c r="P549" s="12"/>
      <c r="Q549" s="12"/>
      <c r="R549" s="36"/>
      <c r="S549" s="36"/>
      <c r="T549" s="12"/>
      <c r="U549" s="12"/>
      <c r="V549" s="12"/>
      <c r="W549" s="12"/>
      <c r="X549" s="12"/>
    </row>
    <row r="550" customFormat="false" ht="15.75" hidden="false" customHeight="false" outlineLevel="0" collapsed="false">
      <c r="A550" s="12"/>
      <c r="B550" s="34"/>
      <c r="C550" s="12"/>
      <c r="D550" s="12"/>
      <c r="E550" s="12"/>
      <c r="F550" s="12"/>
      <c r="G550" s="18"/>
      <c r="H550" s="35"/>
      <c r="I550" s="12"/>
      <c r="M550" s="12"/>
      <c r="N550" s="18"/>
      <c r="O550" s="12"/>
      <c r="P550" s="12"/>
      <c r="Q550" s="12"/>
      <c r="R550" s="36"/>
      <c r="S550" s="36"/>
      <c r="T550" s="12"/>
      <c r="U550" s="12"/>
      <c r="V550" s="12"/>
      <c r="W550" s="12"/>
      <c r="X550" s="12"/>
    </row>
    <row r="551" customFormat="false" ht="15.75" hidden="false" customHeight="false" outlineLevel="0" collapsed="false">
      <c r="A551" s="12"/>
      <c r="B551" s="34"/>
      <c r="C551" s="12"/>
      <c r="D551" s="12"/>
      <c r="E551" s="12"/>
      <c r="F551" s="12"/>
      <c r="G551" s="18"/>
      <c r="H551" s="35"/>
      <c r="I551" s="12"/>
      <c r="M551" s="12"/>
      <c r="N551" s="18"/>
      <c r="O551" s="12"/>
      <c r="P551" s="12"/>
      <c r="Q551" s="12"/>
      <c r="R551" s="36"/>
      <c r="S551" s="36"/>
      <c r="T551" s="12"/>
      <c r="U551" s="12"/>
      <c r="V551" s="12"/>
      <c r="W551" s="12"/>
      <c r="X551" s="12"/>
    </row>
    <row r="552" customFormat="false" ht="15.75" hidden="false" customHeight="false" outlineLevel="0" collapsed="false">
      <c r="A552" s="12"/>
      <c r="B552" s="34"/>
      <c r="C552" s="12"/>
      <c r="D552" s="12"/>
      <c r="E552" s="12"/>
      <c r="F552" s="12"/>
      <c r="G552" s="18"/>
      <c r="H552" s="35"/>
      <c r="I552" s="12"/>
      <c r="M552" s="12"/>
      <c r="N552" s="18"/>
      <c r="O552" s="12"/>
      <c r="P552" s="12"/>
      <c r="Q552" s="12"/>
      <c r="R552" s="36"/>
      <c r="S552" s="36"/>
      <c r="T552" s="12"/>
      <c r="U552" s="12"/>
      <c r="V552" s="12"/>
      <c r="W552" s="12"/>
      <c r="X552" s="12"/>
    </row>
    <row r="553" customFormat="false" ht="15.75" hidden="false" customHeight="false" outlineLevel="0" collapsed="false">
      <c r="A553" s="12"/>
      <c r="B553" s="34"/>
      <c r="C553" s="12"/>
      <c r="D553" s="12"/>
      <c r="E553" s="12"/>
      <c r="F553" s="12"/>
      <c r="G553" s="18"/>
      <c r="H553" s="35"/>
      <c r="I553" s="12"/>
      <c r="M553" s="12"/>
      <c r="N553" s="18"/>
      <c r="O553" s="12"/>
      <c r="P553" s="12"/>
      <c r="Q553" s="12"/>
      <c r="R553" s="36"/>
      <c r="S553" s="36"/>
      <c r="T553" s="12"/>
      <c r="U553" s="12"/>
      <c r="V553" s="12"/>
      <c r="W553" s="12"/>
      <c r="X553" s="12"/>
    </row>
    <row r="554" customFormat="false" ht="15.75" hidden="false" customHeight="false" outlineLevel="0" collapsed="false">
      <c r="A554" s="12"/>
      <c r="B554" s="34"/>
      <c r="C554" s="12"/>
      <c r="D554" s="12"/>
      <c r="E554" s="12"/>
      <c r="F554" s="12"/>
      <c r="G554" s="18"/>
      <c r="H554" s="35"/>
      <c r="I554" s="12"/>
      <c r="M554" s="12"/>
      <c r="N554" s="18"/>
      <c r="O554" s="12"/>
      <c r="P554" s="12"/>
      <c r="Q554" s="12"/>
      <c r="R554" s="36"/>
      <c r="S554" s="36"/>
      <c r="T554" s="12"/>
      <c r="U554" s="12"/>
      <c r="V554" s="12"/>
      <c r="W554" s="12"/>
      <c r="X554" s="12"/>
    </row>
    <row r="555" customFormat="false" ht="15.75" hidden="false" customHeight="false" outlineLevel="0" collapsed="false">
      <c r="A555" s="12"/>
      <c r="B555" s="34"/>
      <c r="C555" s="12"/>
      <c r="D555" s="12"/>
      <c r="E555" s="12"/>
      <c r="F555" s="12"/>
      <c r="G555" s="18"/>
      <c r="H555" s="35"/>
      <c r="I555" s="12"/>
      <c r="M555" s="12"/>
      <c r="N555" s="18"/>
      <c r="O555" s="12"/>
      <c r="P555" s="12"/>
      <c r="Q555" s="12"/>
      <c r="R555" s="36"/>
      <c r="S555" s="36"/>
      <c r="T555" s="12"/>
      <c r="U555" s="12"/>
      <c r="V555" s="12"/>
      <c r="W555" s="12"/>
      <c r="X555" s="12"/>
    </row>
    <row r="556" customFormat="false" ht="15.75" hidden="false" customHeight="false" outlineLevel="0" collapsed="false">
      <c r="A556" s="12"/>
      <c r="B556" s="34"/>
      <c r="C556" s="12"/>
      <c r="D556" s="12"/>
      <c r="E556" s="12"/>
      <c r="F556" s="12"/>
      <c r="G556" s="18"/>
      <c r="H556" s="35"/>
      <c r="I556" s="12"/>
      <c r="M556" s="12"/>
      <c r="N556" s="18"/>
      <c r="O556" s="12"/>
      <c r="P556" s="12"/>
      <c r="Q556" s="12"/>
      <c r="R556" s="36"/>
      <c r="S556" s="36"/>
      <c r="T556" s="12"/>
      <c r="U556" s="12"/>
      <c r="V556" s="12"/>
      <c r="W556" s="12"/>
      <c r="X556" s="12"/>
    </row>
    <row r="557" customFormat="false" ht="15.75" hidden="false" customHeight="false" outlineLevel="0" collapsed="false">
      <c r="A557" s="12"/>
      <c r="B557" s="34"/>
      <c r="C557" s="12"/>
      <c r="D557" s="12"/>
      <c r="E557" s="12"/>
      <c r="F557" s="12"/>
      <c r="G557" s="18"/>
      <c r="H557" s="35"/>
      <c r="I557" s="12"/>
      <c r="M557" s="12"/>
      <c r="N557" s="18"/>
      <c r="O557" s="12"/>
      <c r="P557" s="12"/>
      <c r="Q557" s="12"/>
      <c r="R557" s="36"/>
      <c r="S557" s="36"/>
      <c r="T557" s="12"/>
      <c r="U557" s="12"/>
      <c r="V557" s="12"/>
      <c r="W557" s="12"/>
      <c r="X557" s="12"/>
    </row>
    <row r="558" customFormat="false" ht="15.75" hidden="false" customHeight="false" outlineLevel="0" collapsed="false">
      <c r="A558" s="12"/>
      <c r="B558" s="34"/>
      <c r="C558" s="12"/>
      <c r="D558" s="12"/>
      <c r="E558" s="12"/>
      <c r="F558" s="12"/>
      <c r="G558" s="18"/>
      <c r="H558" s="35"/>
      <c r="I558" s="12"/>
      <c r="M558" s="12"/>
      <c r="N558" s="18"/>
      <c r="O558" s="12"/>
      <c r="P558" s="12"/>
      <c r="Q558" s="12"/>
      <c r="R558" s="36"/>
      <c r="S558" s="36"/>
      <c r="T558" s="12"/>
      <c r="U558" s="12"/>
      <c r="V558" s="12"/>
      <c r="W558" s="12"/>
      <c r="X558" s="12"/>
    </row>
    <row r="559" customFormat="false" ht="15.75" hidden="false" customHeight="false" outlineLevel="0" collapsed="false">
      <c r="A559" s="12"/>
      <c r="B559" s="34"/>
      <c r="C559" s="12"/>
      <c r="D559" s="12"/>
      <c r="E559" s="12"/>
      <c r="F559" s="12"/>
      <c r="G559" s="18"/>
      <c r="H559" s="35"/>
      <c r="I559" s="12"/>
      <c r="M559" s="12"/>
      <c r="N559" s="18"/>
      <c r="O559" s="12"/>
      <c r="P559" s="12"/>
      <c r="Q559" s="12"/>
      <c r="R559" s="36"/>
      <c r="S559" s="36"/>
      <c r="T559" s="12"/>
      <c r="U559" s="12"/>
      <c r="V559" s="12"/>
      <c r="W559" s="12"/>
      <c r="X559" s="12"/>
    </row>
    <row r="560" customFormat="false" ht="15.75" hidden="false" customHeight="false" outlineLevel="0" collapsed="false">
      <c r="A560" s="12"/>
      <c r="B560" s="34"/>
      <c r="C560" s="12"/>
      <c r="D560" s="12"/>
      <c r="E560" s="12"/>
      <c r="F560" s="12"/>
      <c r="G560" s="18"/>
      <c r="H560" s="35"/>
      <c r="I560" s="12"/>
      <c r="M560" s="12"/>
      <c r="N560" s="18"/>
      <c r="O560" s="12"/>
      <c r="P560" s="12"/>
      <c r="Q560" s="12"/>
      <c r="R560" s="36"/>
      <c r="S560" s="36"/>
      <c r="T560" s="12"/>
      <c r="U560" s="12"/>
      <c r="V560" s="12"/>
      <c r="W560" s="12"/>
      <c r="X560" s="12"/>
    </row>
    <row r="561" customFormat="false" ht="15.75" hidden="false" customHeight="false" outlineLevel="0" collapsed="false">
      <c r="A561" s="12"/>
      <c r="B561" s="34"/>
      <c r="C561" s="12"/>
      <c r="D561" s="12"/>
      <c r="E561" s="12"/>
      <c r="F561" s="12"/>
      <c r="G561" s="18"/>
      <c r="H561" s="35"/>
      <c r="I561" s="12"/>
      <c r="M561" s="12"/>
      <c r="N561" s="18"/>
      <c r="O561" s="12"/>
      <c r="P561" s="12"/>
      <c r="Q561" s="12"/>
      <c r="R561" s="36"/>
      <c r="S561" s="36"/>
      <c r="T561" s="12"/>
      <c r="U561" s="12"/>
      <c r="V561" s="12"/>
      <c r="W561" s="12"/>
      <c r="X561" s="12"/>
    </row>
    <row r="562" customFormat="false" ht="15.75" hidden="false" customHeight="false" outlineLevel="0" collapsed="false">
      <c r="A562" s="12"/>
      <c r="B562" s="34"/>
      <c r="C562" s="12"/>
      <c r="D562" s="12"/>
      <c r="E562" s="12"/>
      <c r="F562" s="12"/>
      <c r="G562" s="18"/>
      <c r="H562" s="35"/>
      <c r="I562" s="12"/>
      <c r="M562" s="12"/>
      <c r="N562" s="18"/>
      <c r="O562" s="12"/>
      <c r="P562" s="12"/>
      <c r="Q562" s="12"/>
      <c r="R562" s="36"/>
      <c r="S562" s="36"/>
      <c r="T562" s="12"/>
      <c r="U562" s="12"/>
      <c r="V562" s="12"/>
      <c r="W562" s="12"/>
      <c r="X562" s="12"/>
    </row>
    <row r="563" customFormat="false" ht="15.75" hidden="false" customHeight="false" outlineLevel="0" collapsed="false">
      <c r="A563" s="12"/>
      <c r="B563" s="34"/>
      <c r="C563" s="12"/>
      <c r="D563" s="12"/>
      <c r="E563" s="12"/>
      <c r="F563" s="12"/>
      <c r="G563" s="18"/>
      <c r="H563" s="35"/>
      <c r="I563" s="12"/>
      <c r="M563" s="12"/>
      <c r="N563" s="18"/>
      <c r="O563" s="12"/>
      <c r="P563" s="12"/>
      <c r="Q563" s="12"/>
      <c r="R563" s="36"/>
      <c r="S563" s="36"/>
      <c r="T563" s="12"/>
      <c r="U563" s="12"/>
      <c r="V563" s="12"/>
      <c r="W563" s="12"/>
      <c r="X563" s="12"/>
    </row>
    <row r="564" customFormat="false" ht="15.75" hidden="false" customHeight="false" outlineLevel="0" collapsed="false">
      <c r="A564" s="12"/>
      <c r="B564" s="34"/>
      <c r="C564" s="12"/>
      <c r="D564" s="12"/>
      <c r="E564" s="12"/>
      <c r="F564" s="12"/>
      <c r="G564" s="18"/>
      <c r="H564" s="35"/>
      <c r="I564" s="12"/>
      <c r="M564" s="12"/>
      <c r="N564" s="18"/>
      <c r="O564" s="12"/>
      <c r="P564" s="12"/>
      <c r="Q564" s="12"/>
      <c r="R564" s="36"/>
      <c r="S564" s="36"/>
      <c r="T564" s="12"/>
      <c r="U564" s="12"/>
      <c r="V564" s="12"/>
      <c r="W564" s="12"/>
      <c r="X564" s="12"/>
    </row>
    <row r="565" customFormat="false" ht="15.75" hidden="false" customHeight="false" outlineLevel="0" collapsed="false">
      <c r="A565" s="12"/>
      <c r="B565" s="34"/>
      <c r="C565" s="12"/>
      <c r="D565" s="12"/>
      <c r="E565" s="12"/>
      <c r="F565" s="12"/>
      <c r="G565" s="18"/>
      <c r="H565" s="35"/>
      <c r="I565" s="12"/>
      <c r="M565" s="12"/>
      <c r="N565" s="18"/>
      <c r="O565" s="12"/>
      <c r="P565" s="12"/>
      <c r="Q565" s="12"/>
      <c r="R565" s="36"/>
      <c r="S565" s="36"/>
      <c r="T565" s="12"/>
      <c r="U565" s="12"/>
      <c r="V565" s="12"/>
      <c r="W565" s="12"/>
      <c r="X565" s="12"/>
    </row>
    <row r="566" customFormat="false" ht="15.75" hidden="false" customHeight="false" outlineLevel="0" collapsed="false">
      <c r="A566" s="12"/>
      <c r="B566" s="34"/>
      <c r="C566" s="12"/>
      <c r="D566" s="12"/>
      <c r="E566" s="12"/>
      <c r="F566" s="12"/>
      <c r="G566" s="18"/>
      <c r="H566" s="35"/>
      <c r="I566" s="12"/>
      <c r="M566" s="12"/>
      <c r="N566" s="18"/>
      <c r="O566" s="12"/>
      <c r="P566" s="12"/>
      <c r="Q566" s="12"/>
      <c r="R566" s="36"/>
      <c r="S566" s="36"/>
      <c r="T566" s="12"/>
      <c r="U566" s="12"/>
      <c r="V566" s="12"/>
      <c r="W566" s="12"/>
      <c r="X566" s="12"/>
    </row>
    <row r="567" customFormat="false" ht="15.75" hidden="false" customHeight="false" outlineLevel="0" collapsed="false">
      <c r="A567" s="12"/>
      <c r="B567" s="34"/>
      <c r="C567" s="12"/>
      <c r="D567" s="12"/>
      <c r="E567" s="12"/>
      <c r="F567" s="12"/>
      <c r="G567" s="18"/>
      <c r="H567" s="35"/>
      <c r="I567" s="12"/>
      <c r="M567" s="12"/>
      <c r="N567" s="18"/>
      <c r="O567" s="12"/>
      <c r="P567" s="12"/>
      <c r="Q567" s="12"/>
      <c r="R567" s="36"/>
      <c r="S567" s="36"/>
      <c r="T567" s="12"/>
      <c r="U567" s="12"/>
      <c r="V567" s="12"/>
      <c r="W567" s="12"/>
      <c r="X567" s="12"/>
    </row>
    <row r="568" customFormat="false" ht="15.75" hidden="false" customHeight="false" outlineLevel="0" collapsed="false">
      <c r="A568" s="12"/>
      <c r="B568" s="34"/>
      <c r="C568" s="12"/>
      <c r="D568" s="12"/>
      <c r="E568" s="12"/>
      <c r="F568" s="12"/>
      <c r="G568" s="18"/>
      <c r="H568" s="35"/>
      <c r="I568" s="12"/>
      <c r="M568" s="12"/>
      <c r="N568" s="18"/>
      <c r="O568" s="12"/>
      <c r="P568" s="12"/>
      <c r="Q568" s="12"/>
      <c r="R568" s="36"/>
      <c r="S568" s="36"/>
      <c r="T568" s="12"/>
      <c r="U568" s="12"/>
      <c r="V568" s="12"/>
      <c r="W568" s="12"/>
      <c r="X568" s="12"/>
    </row>
    <row r="569" customFormat="false" ht="15.75" hidden="false" customHeight="false" outlineLevel="0" collapsed="false">
      <c r="A569" s="12"/>
      <c r="B569" s="34"/>
      <c r="C569" s="12"/>
      <c r="D569" s="12"/>
      <c r="E569" s="12"/>
      <c r="F569" s="12"/>
      <c r="G569" s="18"/>
      <c r="H569" s="35"/>
      <c r="I569" s="12"/>
      <c r="M569" s="12"/>
      <c r="N569" s="18"/>
      <c r="O569" s="12"/>
      <c r="P569" s="12"/>
      <c r="Q569" s="12"/>
      <c r="R569" s="36"/>
      <c r="S569" s="36"/>
      <c r="T569" s="12"/>
      <c r="U569" s="12"/>
      <c r="V569" s="12"/>
      <c r="W569" s="12"/>
      <c r="X569" s="12"/>
    </row>
    <row r="570" customFormat="false" ht="15.75" hidden="false" customHeight="false" outlineLevel="0" collapsed="false">
      <c r="A570" s="12"/>
      <c r="B570" s="34"/>
      <c r="C570" s="12"/>
      <c r="D570" s="12"/>
      <c r="E570" s="12"/>
      <c r="F570" s="12"/>
      <c r="G570" s="18"/>
      <c r="H570" s="35"/>
      <c r="I570" s="12"/>
      <c r="M570" s="12"/>
      <c r="N570" s="18"/>
      <c r="O570" s="12"/>
      <c r="P570" s="12"/>
      <c r="Q570" s="12"/>
      <c r="R570" s="36"/>
      <c r="S570" s="36"/>
      <c r="T570" s="12"/>
      <c r="U570" s="12"/>
      <c r="V570" s="12"/>
      <c r="W570" s="12"/>
      <c r="X570" s="12"/>
    </row>
    <row r="571" customFormat="false" ht="15.75" hidden="false" customHeight="false" outlineLevel="0" collapsed="false">
      <c r="A571" s="12"/>
      <c r="B571" s="34"/>
      <c r="C571" s="12"/>
      <c r="D571" s="12"/>
      <c r="E571" s="12"/>
      <c r="F571" s="12"/>
      <c r="G571" s="18"/>
      <c r="H571" s="35"/>
      <c r="I571" s="12"/>
      <c r="M571" s="12"/>
      <c r="N571" s="18"/>
      <c r="O571" s="12"/>
      <c r="P571" s="12"/>
      <c r="Q571" s="12"/>
      <c r="R571" s="36"/>
      <c r="S571" s="36"/>
      <c r="T571" s="12"/>
      <c r="U571" s="12"/>
      <c r="V571" s="12"/>
      <c r="W571" s="12"/>
      <c r="X571" s="12"/>
    </row>
    <row r="572" customFormat="false" ht="15.75" hidden="false" customHeight="false" outlineLevel="0" collapsed="false">
      <c r="A572" s="12"/>
      <c r="B572" s="34"/>
      <c r="C572" s="12"/>
      <c r="D572" s="12"/>
      <c r="E572" s="12"/>
      <c r="F572" s="12"/>
      <c r="G572" s="18"/>
      <c r="H572" s="35"/>
      <c r="I572" s="12"/>
      <c r="M572" s="12"/>
      <c r="N572" s="18"/>
      <c r="O572" s="12"/>
      <c r="P572" s="12"/>
      <c r="Q572" s="12"/>
      <c r="R572" s="36"/>
      <c r="S572" s="36"/>
      <c r="T572" s="12"/>
      <c r="U572" s="12"/>
      <c r="V572" s="12"/>
      <c r="W572" s="12"/>
      <c r="X572" s="12"/>
    </row>
    <row r="573" customFormat="false" ht="15.75" hidden="false" customHeight="false" outlineLevel="0" collapsed="false">
      <c r="A573" s="12"/>
      <c r="B573" s="34"/>
      <c r="C573" s="12"/>
      <c r="D573" s="12"/>
      <c r="E573" s="12"/>
      <c r="F573" s="12"/>
      <c r="G573" s="18"/>
      <c r="H573" s="35"/>
      <c r="I573" s="12"/>
      <c r="M573" s="12"/>
      <c r="N573" s="18"/>
      <c r="O573" s="12"/>
      <c r="P573" s="12"/>
      <c r="Q573" s="12"/>
      <c r="R573" s="36"/>
      <c r="S573" s="36"/>
      <c r="T573" s="12"/>
      <c r="U573" s="12"/>
      <c r="V573" s="12"/>
      <c r="W573" s="12"/>
      <c r="X573" s="12"/>
    </row>
    <row r="574" customFormat="false" ht="15.75" hidden="false" customHeight="false" outlineLevel="0" collapsed="false">
      <c r="A574" s="12"/>
      <c r="B574" s="34"/>
      <c r="C574" s="12"/>
      <c r="D574" s="12"/>
      <c r="E574" s="12"/>
      <c r="F574" s="12"/>
      <c r="G574" s="18"/>
      <c r="H574" s="35"/>
      <c r="I574" s="12"/>
      <c r="M574" s="12"/>
      <c r="N574" s="18"/>
      <c r="O574" s="12"/>
      <c r="P574" s="12"/>
      <c r="Q574" s="12"/>
      <c r="R574" s="36"/>
      <c r="S574" s="36"/>
      <c r="T574" s="12"/>
      <c r="U574" s="12"/>
      <c r="V574" s="12"/>
      <c r="W574" s="12"/>
      <c r="X574" s="12"/>
    </row>
    <row r="575" customFormat="false" ht="15.75" hidden="false" customHeight="false" outlineLevel="0" collapsed="false">
      <c r="A575" s="12"/>
      <c r="B575" s="34"/>
      <c r="C575" s="12"/>
      <c r="D575" s="12"/>
      <c r="E575" s="12"/>
      <c r="F575" s="12"/>
      <c r="G575" s="18"/>
      <c r="H575" s="35"/>
      <c r="I575" s="12"/>
      <c r="M575" s="12"/>
      <c r="N575" s="18"/>
      <c r="O575" s="12"/>
      <c r="P575" s="12"/>
      <c r="Q575" s="12"/>
      <c r="R575" s="36"/>
      <c r="S575" s="36"/>
      <c r="T575" s="12"/>
      <c r="U575" s="12"/>
      <c r="V575" s="12"/>
      <c r="W575" s="12"/>
      <c r="X575" s="12"/>
    </row>
    <row r="576" customFormat="false" ht="15.75" hidden="false" customHeight="false" outlineLevel="0" collapsed="false">
      <c r="A576" s="12"/>
      <c r="B576" s="34"/>
      <c r="C576" s="12"/>
      <c r="D576" s="12"/>
      <c r="E576" s="12"/>
      <c r="F576" s="12"/>
      <c r="G576" s="18"/>
      <c r="H576" s="35"/>
      <c r="I576" s="12"/>
      <c r="M576" s="12"/>
      <c r="N576" s="18"/>
      <c r="O576" s="12"/>
      <c r="P576" s="12"/>
      <c r="Q576" s="12"/>
      <c r="R576" s="36"/>
      <c r="S576" s="36"/>
      <c r="T576" s="12"/>
      <c r="U576" s="12"/>
      <c r="V576" s="12"/>
      <c r="W576" s="12"/>
      <c r="X576" s="12"/>
    </row>
    <row r="577" customFormat="false" ht="15.75" hidden="false" customHeight="false" outlineLevel="0" collapsed="false">
      <c r="A577" s="12"/>
      <c r="B577" s="34"/>
      <c r="C577" s="12"/>
      <c r="D577" s="12"/>
      <c r="E577" s="12"/>
      <c r="F577" s="12"/>
      <c r="G577" s="18"/>
      <c r="H577" s="35"/>
      <c r="I577" s="12"/>
      <c r="M577" s="12"/>
      <c r="N577" s="18"/>
      <c r="O577" s="12"/>
      <c r="P577" s="12"/>
      <c r="Q577" s="12"/>
      <c r="R577" s="36"/>
      <c r="S577" s="36"/>
      <c r="T577" s="12"/>
      <c r="U577" s="12"/>
      <c r="V577" s="12"/>
      <c r="W577" s="12"/>
      <c r="X577" s="12"/>
    </row>
    <row r="578" customFormat="false" ht="15.75" hidden="false" customHeight="false" outlineLevel="0" collapsed="false">
      <c r="A578" s="12"/>
      <c r="B578" s="34"/>
      <c r="C578" s="12"/>
      <c r="D578" s="12"/>
      <c r="E578" s="12"/>
      <c r="F578" s="12"/>
      <c r="G578" s="18"/>
      <c r="H578" s="35"/>
      <c r="I578" s="12"/>
      <c r="M578" s="12"/>
      <c r="N578" s="18"/>
      <c r="O578" s="12"/>
      <c r="P578" s="12"/>
      <c r="Q578" s="12"/>
      <c r="R578" s="36"/>
      <c r="S578" s="36"/>
      <c r="T578" s="12"/>
      <c r="U578" s="12"/>
      <c r="V578" s="12"/>
      <c r="W578" s="12"/>
      <c r="X578" s="12"/>
    </row>
    <row r="579" customFormat="false" ht="15.75" hidden="false" customHeight="false" outlineLevel="0" collapsed="false">
      <c r="A579" s="12"/>
      <c r="B579" s="34"/>
      <c r="C579" s="12"/>
      <c r="D579" s="12"/>
      <c r="E579" s="12"/>
      <c r="F579" s="12"/>
      <c r="G579" s="18"/>
      <c r="H579" s="35"/>
      <c r="I579" s="12"/>
      <c r="M579" s="12"/>
      <c r="N579" s="18"/>
      <c r="O579" s="12"/>
      <c r="P579" s="12"/>
      <c r="Q579" s="12"/>
      <c r="R579" s="36"/>
      <c r="S579" s="36"/>
      <c r="T579" s="12"/>
      <c r="U579" s="12"/>
      <c r="V579" s="12"/>
      <c r="W579" s="12"/>
      <c r="X579" s="12"/>
    </row>
    <row r="580" customFormat="false" ht="15.75" hidden="false" customHeight="false" outlineLevel="0" collapsed="false">
      <c r="A580" s="12"/>
      <c r="B580" s="34"/>
      <c r="C580" s="12"/>
      <c r="D580" s="12"/>
      <c r="E580" s="12"/>
      <c r="F580" s="12"/>
      <c r="G580" s="18"/>
      <c r="H580" s="35"/>
      <c r="I580" s="12"/>
      <c r="M580" s="12"/>
      <c r="N580" s="18"/>
      <c r="O580" s="12"/>
      <c r="P580" s="12"/>
      <c r="Q580" s="12"/>
      <c r="R580" s="36"/>
      <c r="S580" s="36"/>
      <c r="T580" s="12"/>
      <c r="U580" s="12"/>
      <c r="V580" s="12"/>
      <c r="W580" s="12"/>
      <c r="X580" s="12"/>
    </row>
    <row r="581" customFormat="false" ht="15.75" hidden="false" customHeight="false" outlineLevel="0" collapsed="false">
      <c r="A581" s="12"/>
      <c r="B581" s="34"/>
      <c r="C581" s="12"/>
      <c r="D581" s="12"/>
      <c r="E581" s="12"/>
      <c r="F581" s="12"/>
      <c r="G581" s="18"/>
      <c r="H581" s="35"/>
      <c r="I581" s="12"/>
      <c r="M581" s="12"/>
      <c r="N581" s="18"/>
      <c r="O581" s="12"/>
      <c r="P581" s="12"/>
      <c r="Q581" s="12"/>
      <c r="R581" s="36"/>
      <c r="S581" s="36"/>
      <c r="T581" s="12"/>
      <c r="U581" s="12"/>
      <c r="V581" s="12"/>
      <c r="W581" s="12"/>
      <c r="X581" s="12"/>
    </row>
    <row r="582" customFormat="false" ht="15.75" hidden="false" customHeight="false" outlineLevel="0" collapsed="false">
      <c r="A582" s="12"/>
      <c r="B582" s="34"/>
      <c r="C582" s="12"/>
      <c r="D582" s="12"/>
      <c r="E582" s="12"/>
      <c r="F582" s="12"/>
      <c r="G582" s="18"/>
      <c r="H582" s="35"/>
      <c r="I582" s="12"/>
      <c r="M582" s="12"/>
      <c r="N582" s="18"/>
      <c r="O582" s="12"/>
      <c r="P582" s="12"/>
      <c r="Q582" s="12"/>
      <c r="R582" s="36"/>
      <c r="S582" s="36"/>
      <c r="T582" s="12"/>
      <c r="U582" s="12"/>
      <c r="V582" s="12"/>
      <c r="W582" s="12"/>
      <c r="X582" s="12"/>
    </row>
    <row r="583" customFormat="false" ht="15.75" hidden="false" customHeight="false" outlineLevel="0" collapsed="false">
      <c r="A583" s="12"/>
      <c r="B583" s="34"/>
      <c r="C583" s="12"/>
      <c r="D583" s="12"/>
      <c r="E583" s="12"/>
      <c r="F583" s="12"/>
      <c r="G583" s="18"/>
      <c r="H583" s="35"/>
      <c r="I583" s="12"/>
      <c r="M583" s="12"/>
      <c r="N583" s="18"/>
      <c r="O583" s="12"/>
      <c r="P583" s="12"/>
      <c r="Q583" s="12"/>
      <c r="R583" s="36"/>
      <c r="S583" s="36"/>
      <c r="T583" s="12"/>
      <c r="U583" s="12"/>
      <c r="V583" s="12"/>
      <c r="W583" s="12"/>
      <c r="X583" s="12"/>
    </row>
    <row r="584" customFormat="false" ht="15.75" hidden="false" customHeight="false" outlineLevel="0" collapsed="false">
      <c r="A584" s="12"/>
      <c r="B584" s="34"/>
      <c r="C584" s="12"/>
      <c r="D584" s="12"/>
      <c r="E584" s="12"/>
      <c r="F584" s="12"/>
      <c r="G584" s="18"/>
      <c r="H584" s="35"/>
      <c r="I584" s="12"/>
      <c r="M584" s="12"/>
      <c r="N584" s="18"/>
      <c r="O584" s="12"/>
      <c r="P584" s="12"/>
      <c r="Q584" s="12"/>
      <c r="R584" s="36"/>
      <c r="S584" s="36"/>
      <c r="T584" s="12"/>
      <c r="U584" s="12"/>
      <c r="V584" s="12"/>
      <c r="W584" s="12"/>
      <c r="X584" s="12"/>
    </row>
    <row r="585" customFormat="false" ht="15.75" hidden="false" customHeight="false" outlineLevel="0" collapsed="false">
      <c r="A585" s="12"/>
      <c r="B585" s="34"/>
      <c r="C585" s="12"/>
      <c r="D585" s="12"/>
      <c r="E585" s="12"/>
      <c r="F585" s="12"/>
      <c r="G585" s="18"/>
      <c r="H585" s="35"/>
      <c r="I585" s="12"/>
      <c r="M585" s="12"/>
      <c r="N585" s="18"/>
      <c r="O585" s="12"/>
      <c r="P585" s="12"/>
      <c r="Q585" s="12"/>
      <c r="R585" s="36"/>
      <c r="S585" s="36"/>
      <c r="T585" s="12"/>
      <c r="U585" s="12"/>
      <c r="V585" s="12"/>
      <c r="W585" s="12"/>
      <c r="X585" s="12"/>
    </row>
    <row r="586" customFormat="false" ht="15.75" hidden="false" customHeight="false" outlineLevel="0" collapsed="false">
      <c r="A586" s="12"/>
      <c r="B586" s="34"/>
      <c r="C586" s="12"/>
      <c r="D586" s="12"/>
      <c r="E586" s="12"/>
      <c r="F586" s="12"/>
      <c r="G586" s="18"/>
      <c r="H586" s="35"/>
      <c r="I586" s="12"/>
      <c r="M586" s="12"/>
      <c r="N586" s="18"/>
      <c r="O586" s="12"/>
      <c r="P586" s="12"/>
      <c r="Q586" s="12"/>
      <c r="R586" s="36"/>
      <c r="S586" s="36"/>
      <c r="T586" s="12"/>
      <c r="U586" s="12"/>
      <c r="V586" s="12"/>
      <c r="W586" s="12"/>
      <c r="X586" s="12"/>
    </row>
    <row r="587" customFormat="false" ht="15.75" hidden="false" customHeight="false" outlineLevel="0" collapsed="false">
      <c r="A587" s="12"/>
      <c r="B587" s="34"/>
      <c r="C587" s="12"/>
      <c r="D587" s="12"/>
      <c r="E587" s="12"/>
      <c r="F587" s="12"/>
      <c r="G587" s="18"/>
      <c r="H587" s="35"/>
      <c r="I587" s="12"/>
      <c r="M587" s="12"/>
      <c r="N587" s="18"/>
      <c r="O587" s="12"/>
      <c r="P587" s="12"/>
      <c r="Q587" s="12"/>
      <c r="R587" s="36"/>
      <c r="S587" s="36"/>
      <c r="T587" s="12"/>
      <c r="U587" s="12"/>
      <c r="V587" s="12"/>
      <c r="W587" s="12"/>
      <c r="X587" s="12"/>
    </row>
    <row r="588" customFormat="false" ht="15.75" hidden="false" customHeight="false" outlineLevel="0" collapsed="false">
      <c r="A588" s="12"/>
      <c r="B588" s="34"/>
      <c r="C588" s="12"/>
      <c r="D588" s="12"/>
      <c r="E588" s="12"/>
      <c r="F588" s="12"/>
      <c r="G588" s="18"/>
      <c r="H588" s="35"/>
      <c r="I588" s="12"/>
      <c r="M588" s="12"/>
      <c r="N588" s="18"/>
      <c r="O588" s="12"/>
      <c r="P588" s="12"/>
      <c r="Q588" s="12"/>
      <c r="R588" s="36"/>
      <c r="S588" s="36"/>
      <c r="T588" s="12"/>
      <c r="U588" s="12"/>
      <c r="V588" s="12"/>
      <c r="W588" s="12"/>
      <c r="X588" s="12"/>
    </row>
    <row r="589" customFormat="false" ht="15.75" hidden="false" customHeight="false" outlineLevel="0" collapsed="false">
      <c r="A589" s="12"/>
      <c r="B589" s="34"/>
      <c r="C589" s="12"/>
      <c r="D589" s="12"/>
      <c r="E589" s="12"/>
      <c r="F589" s="12"/>
      <c r="G589" s="18"/>
      <c r="H589" s="35"/>
      <c r="I589" s="12"/>
      <c r="M589" s="12"/>
      <c r="N589" s="18"/>
      <c r="O589" s="12"/>
      <c r="P589" s="12"/>
      <c r="Q589" s="12"/>
      <c r="R589" s="36"/>
      <c r="S589" s="36"/>
      <c r="T589" s="12"/>
      <c r="U589" s="12"/>
      <c r="V589" s="12"/>
      <c r="W589" s="12"/>
      <c r="X589" s="12"/>
    </row>
    <row r="590" customFormat="false" ht="15.75" hidden="false" customHeight="false" outlineLevel="0" collapsed="false">
      <c r="A590" s="12"/>
      <c r="B590" s="34"/>
      <c r="C590" s="12"/>
      <c r="D590" s="12"/>
      <c r="E590" s="12"/>
      <c r="F590" s="12"/>
      <c r="G590" s="18"/>
      <c r="H590" s="35"/>
      <c r="I590" s="12"/>
      <c r="M590" s="12"/>
      <c r="N590" s="18"/>
      <c r="O590" s="12"/>
      <c r="P590" s="12"/>
      <c r="Q590" s="12"/>
      <c r="R590" s="36"/>
      <c r="S590" s="36"/>
      <c r="T590" s="12"/>
      <c r="U590" s="12"/>
      <c r="V590" s="12"/>
      <c r="W590" s="12"/>
      <c r="X590" s="12"/>
    </row>
    <row r="591" customFormat="false" ht="15.75" hidden="false" customHeight="false" outlineLevel="0" collapsed="false">
      <c r="A591" s="12"/>
      <c r="B591" s="34"/>
      <c r="C591" s="12"/>
      <c r="D591" s="12"/>
      <c r="E591" s="12"/>
      <c r="F591" s="12"/>
      <c r="G591" s="18"/>
      <c r="H591" s="35"/>
      <c r="I591" s="12"/>
      <c r="M591" s="12"/>
      <c r="N591" s="18"/>
      <c r="O591" s="12"/>
      <c r="P591" s="12"/>
      <c r="Q591" s="12"/>
      <c r="R591" s="36"/>
      <c r="S591" s="36"/>
      <c r="T591" s="12"/>
      <c r="U591" s="12"/>
      <c r="V591" s="12"/>
      <c r="W591" s="12"/>
      <c r="X591" s="12"/>
    </row>
    <row r="592" customFormat="false" ht="15.75" hidden="false" customHeight="false" outlineLevel="0" collapsed="false">
      <c r="A592" s="12"/>
      <c r="B592" s="34"/>
      <c r="C592" s="12"/>
      <c r="D592" s="12"/>
      <c r="E592" s="12"/>
      <c r="F592" s="12"/>
      <c r="G592" s="18"/>
      <c r="H592" s="35"/>
      <c r="I592" s="12"/>
      <c r="M592" s="12"/>
      <c r="N592" s="18"/>
      <c r="O592" s="12"/>
      <c r="P592" s="12"/>
      <c r="Q592" s="12"/>
      <c r="R592" s="36"/>
      <c r="S592" s="36"/>
      <c r="T592" s="12"/>
      <c r="U592" s="12"/>
      <c r="V592" s="12"/>
      <c r="W592" s="12"/>
      <c r="X592" s="12"/>
    </row>
    <row r="593" customFormat="false" ht="15.75" hidden="false" customHeight="false" outlineLevel="0" collapsed="false">
      <c r="A593" s="12"/>
      <c r="B593" s="34"/>
      <c r="C593" s="12"/>
      <c r="D593" s="12"/>
      <c r="E593" s="12"/>
      <c r="F593" s="12"/>
      <c r="G593" s="18"/>
      <c r="H593" s="35"/>
      <c r="I593" s="12"/>
      <c r="M593" s="12"/>
      <c r="N593" s="18"/>
      <c r="O593" s="12"/>
      <c r="P593" s="12"/>
      <c r="Q593" s="12"/>
      <c r="R593" s="36"/>
      <c r="S593" s="36"/>
      <c r="T593" s="12"/>
      <c r="U593" s="12"/>
      <c r="V593" s="12"/>
      <c r="W593" s="12"/>
      <c r="X593" s="12"/>
    </row>
    <row r="594" customFormat="false" ht="15.75" hidden="false" customHeight="false" outlineLevel="0" collapsed="false">
      <c r="A594" s="12"/>
      <c r="B594" s="34"/>
      <c r="C594" s="12"/>
      <c r="D594" s="12"/>
      <c r="E594" s="12"/>
      <c r="F594" s="12"/>
      <c r="G594" s="18"/>
      <c r="H594" s="35"/>
      <c r="I594" s="12"/>
      <c r="M594" s="12"/>
      <c r="N594" s="18"/>
      <c r="O594" s="12"/>
      <c r="P594" s="12"/>
      <c r="Q594" s="12"/>
      <c r="R594" s="36"/>
      <c r="S594" s="36"/>
      <c r="T594" s="12"/>
      <c r="U594" s="12"/>
      <c r="V594" s="12"/>
      <c r="W594" s="12"/>
      <c r="X594" s="12"/>
    </row>
    <row r="595" customFormat="false" ht="15.75" hidden="false" customHeight="false" outlineLevel="0" collapsed="false">
      <c r="A595" s="12"/>
      <c r="B595" s="34"/>
      <c r="C595" s="12"/>
      <c r="D595" s="12"/>
      <c r="E595" s="12"/>
      <c r="F595" s="12"/>
      <c r="G595" s="18"/>
      <c r="H595" s="35"/>
      <c r="I595" s="12"/>
      <c r="M595" s="12"/>
      <c r="N595" s="18"/>
      <c r="O595" s="12"/>
      <c r="P595" s="12"/>
      <c r="Q595" s="12"/>
      <c r="R595" s="36"/>
      <c r="S595" s="36"/>
      <c r="T595" s="12"/>
      <c r="U595" s="12"/>
      <c r="V595" s="12"/>
      <c r="W595" s="12"/>
      <c r="X595" s="12"/>
    </row>
    <row r="596" customFormat="false" ht="15.75" hidden="false" customHeight="false" outlineLevel="0" collapsed="false">
      <c r="A596" s="12"/>
      <c r="B596" s="34"/>
      <c r="C596" s="12"/>
      <c r="D596" s="12"/>
      <c r="E596" s="12"/>
      <c r="F596" s="12"/>
      <c r="G596" s="18"/>
      <c r="H596" s="35"/>
      <c r="I596" s="12"/>
      <c r="M596" s="12"/>
      <c r="N596" s="18"/>
      <c r="O596" s="12"/>
      <c r="P596" s="12"/>
      <c r="Q596" s="12"/>
      <c r="R596" s="36"/>
      <c r="S596" s="36"/>
      <c r="T596" s="12"/>
      <c r="U596" s="12"/>
      <c r="V596" s="12"/>
      <c r="W596" s="12"/>
      <c r="X596" s="12"/>
    </row>
    <row r="597" customFormat="false" ht="15.75" hidden="false" customHeight="false" outlineLevel="0" collapsed="false">
      <c r="A597" s="12"/>
      <c r="B597" s="34"/>
      <c r="C597" s="12"/>
      <c r="D597" s="12"/>
      <c r="E597" s="12"/>
      <c r="F597" s="12"/>
      <c r="G597" s="18"/>
      <c r="H597" s="35"/>
      <c r="I597" s="12"/>
      <c r="M597" s="12"/>
      <c r="N597" s="18"/>
      <c r="O597" s="12"/>
      <c r="P597" s="12"/>
      <c r="Q597" s="12"/>
      <c r="R597" s="36"/>
      <c r="S597" s="36"/>
      <c r="T597" s="12"/>
      <c r="U597" s="12"/>
      <c r="V597" s="12"/>
      <c r="W597" s="12"/>
      <c r="X597" s="12"/>
    </row>
    <row r="598" customFormat="false" ht="15.75" hidden="false" customHeight="false" outlineLevel="0" collapsed="false">
      <c r="A598" s="12"/>
      <c r="B598" s="34"/>
      <c r="C598" s="12"/>
      <c r="D598" s="12"/>
      <c r="E598" s="12"/>
      <c r="F598" s="12"/>
      <c r="G598" s="18"/>
      <c r="H598" s="35"/>
      <c r="I598" s="12"/>
      <c r="M598" s="12"/>
      <c r="N598" s="18"/>
      <c r="O598" s="12"/>
      <c r="P598" s="12"/>
      <c r="Q598" s="12"/>
      <c r="R598" s="36"/>
      <c r="S598" s="36"/>
      <c r="T598" s="12"/>
      <c r="U598" s="12"/>
      <c r="V598" s="12"/>
      <c r="W598" s="12"/>
      <c r="X598" s="12"/>
    </row>
    <row r="599" customFormat="false" ht="15.75" hidden="false" customHeight="false" outlineLevel="0" collapsed="false">
      <c r="A599" s="12"/>
      <c r="B599" s="34"/>
      <c r="C599" s="12"/>
      <c r="D599" s="12"/>
      <c r="E599" s="12"/>
      <c r="F599" s="12"/>
      <c r="G599" s="18"/>
      <c r="H599" s="35"/>
      <c r="I599" s="12"/>
      <c r="M599" s="12"/>
      <c r="N599" s="18"/>
      <c r="O599" s="12"/>
      <c r="P599" s="12"/>
      <c r="Q599" s="12"/>
      <c r="R599" s="36"/>
      <c r="S599" s="36"/>
      <c r="T599" s="12"/>
      <c r="U599" s="12"/>
      <c r="V599" s="12"/>
      <c r="W599" s="12"/>
      <c r="X599" s="12"/>
    </row>
    <row r="600" customFormat="false" ht="15.75" hidden="false" customHeight="false" outlineLevel="0" collapsed="false">
      <c r="A600" s="12"/>
      <c r="B600" s="34"/>
      <c r="C600" s="12"/>
      <c r="D600" s="12"/>
      <c r="E600" s="12"/>
      <c r="F600" s="12"/>
      <c r="G600" s="18"/>
      <c r="H600" s="35"/>
      <c r="I600" s="12"/>
      <c r="M600" s="12"/>
      <c r="N600" s="18"/>
      <c r="O600" s="12"/>
      <c r="P600" s="12"/>
      <c r="Q600" s="12"/>
      <c r="R600" s="36"/>
      <c r="S600" s="36"/>
      <c r="T600" s="12"/>
      <c r="U600" s="12"/>
      <c r="V600" s="12"/>
      <c r="W600" s="12"/>
      <c r="X600" s="12"/>
    </row>
    <row r="601" customFormat="false" ht="15.75" hidden="false" customHeight="false" outlineLevel="0" collapsed="false">
      <c r="A601" s="12"/>
      <c r="B601" s="34"/>
      <c r="C601" s="12"/>
      <c r="D601" s="12"/>
      <c r="E601" s="12"/>
      <c r="F601" s="12"/>
      <c r="G601" s="18"/>
      <c r="H601" s="35"/>
      <c r="I601" s="12"/>
      <c r="M601" s="12"/>
      <c r="N601" s="18"/>
      <c r="O601" s="12"/>
      <c r="P601" s="12"/>
      <c r="Q601" s="12"/>
      <c r="R601" s="36"/>
      <c r="S601" s="36"/>
      <c r="T601" s="12"/>
      <c r="U601" s="12"/>
      <c r="V601" s="12"/>
      <c r="W601" s="12"/>
      <c r="X601" s="12"/>
    </row>
    <row r="602" customFormat="false" ht="15.75" hidden="false" customHeight="false" outlineLevel="0" collapsed="false">
      <c r="A602" s="12"/>
      <c r="B602" s="34"/>
      <c r="C602" s="12"/>
      <c r="D602" s="12"/>
      <c r="E602" s="12"/>
      <c r="F602" s="12"/>
      <c r="G602" s="18"/>
      <c r="H602" s="35"/>
      <c r="I602" s="12"/>
      <c r="M602" s="12"/>
      <c r="N602" s="18"/>
      <c r="O602" s="12"/>
      <c r="P602" s="12"/>
      <c r="Q602" s="12"/>
      <c r="R602" s="36"/>
      <c r="S602" s="36"/>
      <c r="T602" s="12"/>
      <c r="U602" s="12"/>
      <c r="V602" s="12"/>
      <c r="W602" s="12"/>
      <c r="X602" s="12"/>
    </row>
    <row r="603" customFormat="false" ht="15.75" hidden="false" customHeight="false" outlineLevel="0" collapsed="false">
      <c r="A603" s="12"/>
      <c r="B603" s="34"/>
      <c r="C603" s="12"/>
      <c r="D603" s="12"/>
      <c r="E603" s="12"/>
      <c r="F603" s="12"/>
      <c r="G603" s="18"/>
      <c r="H603" s="35"/>
      <c r="I603" s="12"/>
      <c r="M603" s="12"/>
      <c r="N603" s="18"/>
      <c r="O603" s="12"/>
      <c r="P603" s="12"/>
      <c r="Q603" s="12"/>
      <c r="R603" s="36"/>
      <c r="S603" s="36"/>
      <c r="T603" s="12"/>
      <c r="U603" s="12"/>
      <c r="V603" s="12"/>
      <c r="W603" s="12"/>
      <c r="X603" s="12"/>
    </row>
    <row r="604" customFormat="false" ht="15.75" hidden="false" customHeight="false" outlineLevel="0" collapsed="false">
      <c r="A604" s="12"/>
      <c r="B604" s="34"/>
      <c r="C604" s="12"/>
      <c r="D604" s="12"/>
      <c r="E604" s="12"/>
      <c r="F604" s="12"/>
      <c r="G604" s="18"/>
      <c r="H604" s="35"/>
      <c r="I604" s="12"/>
      <c r="M604" s="12"/>
      <c r="N604" s="18"/>
      <c r="O604" s="12"/>
      <c r="P604" s="12"/>
      <c r="Q604" s="12"/>
      <c r="R604" s="36"/>
      <c r="S604" s="36"/>
      <c r="T604" s="12"/>
      <c r="U604" s="12"/>
      <c r="V604" s="12"/>
      <c r="W604" s="12"/>
      <c r="X604" s="12"/>
    </row>
    <row r="605" customFormat="false" ht="15.75" hidden="false" customHeight="false" outlineLevel="0" collapsed="false">
      <c r="A605" s="12"/>
      <c r="B605" s="34"/>
      <c r="C605" s="12"/>
      <c r="D605" s="12"/>
      <c r="E605" s="12"/>
      <c r="F605" s="12"/>
      <c r="G605" s="18"/>
      <c r="H605" s="35"/>
      <c r="I605" s="12"/>
      <c r="M605" s="12"/>
      <c r="N605" s="18"/>
      <c r="O605" s="12"/>
      <c r="P605" s="12"/>
      <c r="Q605" s="12"/>
      <c r="R605" s="36"/>
      <c r="S605" s="36"/>
      <c r="T605" s="12"/>
      <c r="U605" s="12"/>
      <c r="V605" s="12"/>
      <c r="W605" s="12"/>
      <c r="X605" s="12"/>
    </row>
    <row r="606" customFormat="false" ht="15.75" hidden="false" customHeight="false" outlineLevel="0" collapsed="false">
      <c r="A606" s="12"/>
      <c r="B606" s="34"/>
      <c r="C606" s="12"/>
      <c r="D606" s="12"/>
      <c r="E606" s="12"/>
      <c r="F606" s="12"/>
      <c r="G606" s="18"/>
      <c r="H606" s="35"/>
      <c r="I606" s="12"/>
      <c r="M606" s="12"/>
      <c r="N606" s="18"/>
      <c r="O606" s="12"/>
      <c r="P606" s="12"/>
      <c r="Q606" s="12"/>
      <c r="R606" s="36"/>
      <c r="S606" s="36"/>
      <c r="T606" s="12"/>
      <c r="U606" s="12"/>
      <c r="V606" s="12"/>
      <c r="W606" s="12"/>
      <c r="X606" s="12"/>
    </row>
    <row r="607" customFormat="false" ht="15.75" hidden="false" customHeight="false" outlineLevel="0" collapsed="false">
      <c r="A607" s="12"/>
      <c r="B607" s="34"/>
      <c r="C607" s="12"/>
      <c r="D607" s="12"/>
      <c r="E607" s="12"/>
      <c r="F607" s="12"/>
      <c r="G607" s="18"/>
      <c r="H607" s="35"/>
      <c r="I607" s="12"/>
      <c r="M607" s="12"/>
      <c r="N607" s="18"/>
      <c r="O607" s="12"/>
      <c r="P607" s="12"/>
      <c r="Q607" s="12"/>
      <c r="R607" s="36"/>
      <c r="S607" s="36"/>
      <c r="T607" s="12"/>
      <c r="U607" s="12"/>
      <c r="V607" s="12"/>
      <c r="W607" s="12"/>
      <c r="X607" s="12"/>
    </row>
    <row r="608" customFormat="false" ht="15.75" hidden="false" customHeight="false" outlineLevel="0" collapsed="false">
      <c r="A608" s="12"/>
      <c r="B608" s="34"/>
      <c r="C608" s="12"/>
      <c r="D608" s="12"/>
      <c r="E608" s="12"/>
      <c r="F608" s="12"/>
      <c r="G608" s="18"/>
      <c r="H608" s="35"/>
      <c r="I608" s="12"/>
      <c r="M608" s="12"/>
      <c r="N608" s="18"/>
      <c r="O608" s="12"/>
      <c r="P608" s="12"/>
      <c r="Q608" s="12"/>
      <c r="R608" s="36"/>
      <c r="S608" s="36"/>
      <c r="T608" s="12"/>
      <c r="U608" s="12"/>
      <c r="V608" s="12"/>
      <c r="W608" s="12"/>
      <c r="X608" s="12"/>
    </row>
    <row r="609" customFormat="false" ht="15.75" hidden="false" customHeight="false" outlineLevel="0" collapsed="false">
      <c r="A609" s="12"/>
      <c r="B609" s="34"/>
      <c r="C609" s="12"/>
      <c r="D609" s="12"/>
      <c r="E609" s="12"/>
      <c r="F609" s="12"/>
      <c r="G609" s="18"/>
      <c r="H609" s="35"/>
      <c r="I609" s="12"/>
      <c r="M609" s="12"/>
      <c r="N609" s="18"/>
      <c r="O609" s="12"/>
      <c r="P609" s="12"/>
      <c r="Q609" s="12"/>
      <c r="R609" s="36"/>
      <c r="S609" s="36"/>
      <c r="T609" s="12"/>
      <c r="U609" s="12"/>
      <c r="V609" s="12"/>
      <c r="W609" s="12"/>
      <c r="X609" s="12"/>
    </row>
    <row r="610" customFormat="false" ht="15.75" hidden="false" customHeight="false" outlineLevel="0" collapsed="false">
      <c r="A610" s="12"/>
      <c r="B610" s="34"/>
      <c r="C610" s="12"/>
      <c r="D610" s="12"/>
      <c r="E610" s="12"/>
      <c r="F610" s="12"/>
      <c r="G610" s="18"/>
      <c r="H610" s="35"/>
      <c r="I610" s="12"/>
      <c r="M610" s="12"/>
      <c r="N610" s="18"/>
      <c r="O610" s="12"/>
      <c r="P610" s="12"/>
      <c r="Q610" s="12"/>
      <c r="R610" s="36"/>
      <c r="S610" s="36"/>
      <c r="T610" s="12"/>
      <c r="U610" s="12"/>
      <c r="V610" s="12"/>
      <c r="W610" s="12"/>
      <c r="X610" s="12"/>
    </row>
    <row r="611" customFormat="false" ht="15.75" hidden="false" customHeight="false" outlineLevel="0" collapsed="false">
      <c r="A611" s="12"/>
      <c r="B611" s="34"/>
      <c r="C611" s="12"/>
      <c r="D611" s="12"/>
      <c r="E611" s="12"/>
      <c r="F611" s="12"/>
      <c r="G611" s="18"/>
      <c r="H611" s="35"/>
      <c r="I611" s="12"/>
      <c r="M611" s="12"/>
      <c r="N611" s="18"/>
      <c r="O611" s="12"/>
      <c r="P611" s="12"/>
      <c r="Q611" s="12"/>
      <c r="R611" s="36"/>
      <c r="S611" s="36"/>
      <c r="T611" s="12"/>
      <c r="U611" s="12"/>
      <c r="V611" s="12"/>
      <c r="W611" s="12"/>
      <c r="X611" s="12"/>
    </row>
    <row r="612" customFormat="false" ht="15.75" hidden="false" customHeight="false" outlineLevel="0" collapsed="false">
      <c r="A612" s="12"/>
      <c r="B612" s="34"/>
      <c r="C612" s="12"/>
      <c r="D612" s="12"/>
      <c r="E612" s="12"/>
      <c r="F612" s="12"/>
      <c r="G612" s="18"/>
      <c r="H612" s="35"/>
      <c r="I612" s="12"/>
      <c r="M612" s="12"/>
      <c r="N612" s="18"/>
      <c r="O612" s="12"/>
      <c r="P612" s="12"/>
      <c r="Q612" s="12"/>
      <c r="R612" s="36"/>
      <c r="S612" s="36"/>
      <c r="T612" s="12"/>
      <c r="U612" s="12"/>
      <c r="V612" s="12"/>
      <c r="W612" s="12"/>
      <c r="X612" s="12"/>
    </row>
    <row r="613" customFormat="false" ht="15.75" hidden="false" customHeight="false" outlineLevel="0" collapsed="false">
      <c r="A613" s="12"/>
      <c r="B613" s="34"/>
      <c r="C613" s="12"/>
      <c r="D613" s="12"/>
      <c r="E613" s="12"/>
      <c r="F613" s="12"/>
      <c r="G613" s="18"/>
      <c r="H613" s="35"/>
      <c r="I613" s="12"/>
      <c r="M613" s="12"/>
      <c r="N613" s="18"/>
      <c r="O613" s="12"/>
      <c r="P613" s="12"/>
      <c r="Q613" s="12"/>
      <c r="R613" s="36"/>
      <c r="S613" s="36"/>
      <c r="T613" s="12"/>
      <c r="U613" s="12"/>
      <c r="V613" s="12"/>
      <c r="W613" s="12"/>
      <c r="X613" s="12"/>
    </row>
    <row r="614" customFormat="false" ht="15.75" hidden="false" customHeight="false" outlineLevel="0" collapsed="false">
      <c r="A614" s="12"/>
      <c r="B614" s="34"/>
      <c r="C614" s="12"/>
      <c r="D614" s="12"/>
      <c r="E614" s="12"/>
      <c r="F614" s="12"/>
      <c r="G614" s="18"/>
      <c r="H614" s="35"/>
      <c r="I614" s="12"/>
      <c r="M614" s="12"/>
      <c r="N614" s="18"/>
      <c r="O614" s="12"/>
      <c r="P614" s="12"/>
      <c r="Q614" s="12"/>
      <c r="R614" s="36"/>
      <c r="S614" s="36"/>
      <c r="T614" s="12"/>
      <c r="U614" s="12"/>
      <c r="V614" s="12"/>
      <c r="W614" s="12"/>
      <c r="X614" s="12"/>
    </row>
    <row r="615" customFormat="false" ht="15.75" hidden="false" customHeight="false" outlineLevel="0" collapsed="false">
      <c r="A615" s="12"/>
      <c r="B615" s="34"/>
      <c r="C615" s="12"/>
      <c r="D615" s="12"/>
      <c r="E615" s="12"/>
      <c r="F615" s="12"/>
      <c r="G615" s="18"/>
      <c r="H615" s="35"/>
      <c r="I615" s="12"/>
      <c r="M615" s="12"/>
      <c r="N615" s="18"/>
      <c r="O615" s="12"/>
      <c r="P615" s="12"/>
      <c r="Q615" s="12"/>
      <c r="R615" s="36"/>
      <c r="S615" s="36"/>
      <c r="T615" s="12"/>
      <c r="U615" s="12"/>
      <c r="V615" s="12"/>
      <c r="W615" s="12"/>
      <c r="X615" s="12"/>
    </row>
    <row r="616" customFormat="false" ht="15.75" hidden="false" customHeight="false" outlineLevel="0" collapsed="false">
      <c r="A616" s="12"/>
      <c r="B616" s="34"/>
      <c r="C616" s="12"/>
      <c r="D616" s="12"/>
      <c r="E616" s="12"/>
      <c r="F616" s="12"/>
      <c r="G616" s="18"/>
      <c r="H616" s="35"/>
      <c r="I616" s="12"/>
      <c r="M616" s="12"/>
      <c r="N616" s="18"/>
      <c r="O616" s="12"/>
      <c r="P616" s="12"/>
      <c r="Q616" s="12"/>
      <c r="R616" s="36"/>
      <c r="S616" s="36"/>
      <c r="T616" s="12"/>
      <c r="U616" s="12"/>
      <c r="V616" s="12"/>
      <c r="W616" s="12"/>
      <c r="X616" s="12"/>
    </row>
    <row r="617" customFormat="false" ht="15.75" hidden="false" customHeight="false" outlineLevel="0" collapsed="false">
      <c r="A617" s="12"/>
      <c r="B617" s="34"/>
      <c r="C617" s="12"/>
      <c r="D617" s="12"/>
      <c r="E617" s="12"/>
      <c r="F617" s="12"/>
      <c r="G617" s="18"/>
      <c r="H617" s="35"/>
      <c r="I617" s="12"/>
      <c r="M617" s="12"/>
      <c r="N617" s="18"/>
      <c r="O617" s="12"/>
      <c r="P617" s="12"/>
      <c r="Q617" s="12"/>
      <c r="R617" s="36"/>
      <c r="S617" s="36"/>
      <c r="T617" s="12"/>
      <c r="U617" s="12"/>
      <c r="V617" s="12"/>
      <c r="W617" s="12"/>
      <c r="X617" s="12"/>
    </row>
    <row r="618" customFormat="false" ht="15.75" hidden="false" customHeight="false" outlineLevel="0" collapsed="false">
      <c r="A618" s="12"/>
      <c r="B618" s="34"/>
      <c r="C618" s="12"/>
      <c r="D618" s="12"/>
      <c r="E618" s="12"/>
      <c r="F618" s="12"/>
      <c r="G618" s="18"/>
      <c r="H618" s="35"/>
      <c r="I618" s="12"/>
      <c r="M618" s="12"/>
      <c r="N618" s="18"/>
      <c r="O618" s="12"/>
      <c r="P618" s="12"/>
      <c r="Q618" s="12"/>
      <c r="R618" s="36"/>
      <c r="S618" s="36"/>
      <c r="T618" s="12"/>
      <c r="U618" s="12"/>
      <c r="V618" s="12"/>
      <c r="W618" s="12"/>
      <c r="X618" s="12"/>
    </row>
    <row r="619" customFormat="false" ht="15.75" hidden="false" customHeight="false" outlineLevel="0" collapsed="false">
      <c r="A619" s="12"/>
      <c r="B619" s="34"/>
      <c r="C619" s="12"/>
      <c r="D619" s="12"/>
      <c r="E619" s="12"/>
      <c r="F619" s="12"/>
      <c r="G619" s="18"/>
      <c r="H619" s="35"/>
      <c r="I619" s="12"/>
      <c r="M619" s="12"/>
      <c r="N619" s="18"/>
      <c r="O619" s="12"/>
      <c r="P619" s="12"/>
      <c r="Q619" s="12"/>
      <c r="R619" s="36"/>
      <c r="S619" s="36"/>
      <c r="T619" s="12"/>
      <c r="U619" s="12"/>
      <c r="V619" s="12"/>
      <c r="W619" s="12"/>
      <c r="X619" s="12"/>
    </row>
    <row r="620" customFormat="false" ht="15.75" hidden="false" customHeight="false" outlineLevel="0" collapsed="false">
      <c r="A620" s="12"/>
      <c r="B620" s="34"/>
      <c r="C620" s="12"/>
      <c r="D620" s="12"/>
      <c r="E620" s="12"/>
      <c r="F620" s="12"/>
      <c r="G620" s="18"/>
      <c r="H620" s="35"/>
      <c r="I620" s="12"/>
      <c r="M620" s="12"/>
      <c r="N620" s="18"/>
      <c r="O620" s="12"/>
      <c r="P620" s="12"/>
      <c r="Q620" s="12"/>
      <c r="R620" s="36"/>
      <c r="S620" s="36"/>
      <c r="T620" s="12"/>
      <c r="U620" s="12"/>
      <c r="V620" s="12"/>
      <c r="W620" s="12"/>
      <c r="X620" s="12"/>
    </row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AE52"/>
  <conditionalFormatting sqref="R2:S620">
    <cfRule type="expression" priority="2" aboveAverage="0" equalAverage="0" bottom="0" percent="0" rank="0" text="" dxfId="0">
      <formula>LEN(TRIM(R2))&gt;0</formula>
    </cfRule>
  </conditionalFormatting>
  <conditionalFormatting sqref="Q2:Q620">
    <cfRule type="expression" priority="3" aboveAverage="0" equalAverage="0" bottom="0" percent="0" rank="0" text="" dxfId="0">
      <formula>LEN(TRIM(Q2))&gt;0</formula>
    </cfRule>
  </conditionalFormatting>
  <conditionalFormatting sqref="G2:G620 N2:N620">
    <cfRule type="containsText" priority="4" operator="containsText" aboveAverage="0" equalAverage="0" bottom="0" percent="0" rank="0" text="x" dxfId="0">
      <formula>NOT(ISERROR(SEARCH("x",G2)))</formula>
    </cfRule>
  </conditionalFormatting>
  <conditionalFormatting sqref="T2:T620">
    <cfRule type="expression" priority="5" aboveAverage="0" equalAverage="0" bottom="0" percent="0" rank="0" text="" dxfId="0">
      <formula>LEN(TRIM(T2))&gt;0</formula>
    </cfRule>
  </conditionalFormatting>
  <conditionalFormatting sqref="W2:W620">
    <cfRule type="expression" priority="6" aboveAverage="0" equalAverage="0" bottom="0" percent="0" rank="0" text="" dxfId="0">
      <formula>LEN(TRIM(W2))&gt;0</formula>
    </cfRule>
  </conditionalFormatting>
  <conditionalFormatting sqref="X2:X620">
    <cfRule type="cellIs" priority="7" operator="equal" aboveAverage="0" equalAverage="0" bottom="0" percent="0" rank="0" text="" dxfId="0">
      <formula>"Completo"</formula>
    </cfRule>
    <cfRule type="cellIs" priority="8" operator="equal" aboveAverage="0" equalAverage="0" bottom="0" percent="0" rank="0" text="" dxfId="1">
      <formula>"No aplica"</formula>
    </cfRule>
  </conditionalFormatting>
  <conditionalFormatting sqref="G2:I620 O2:P620 U2:V620 X2:X620">
    <cfRule type="cellIs" priority="9" operator="equal" aboveAverage="0" equalAverage="0" bottom="0" percent="0" rank="0" text="" dxfId="0">
      <formula>"Completo"</formula>
    </cfRule>
    <cfRule type="cellIs" priority="10" operator="equal" aboveAverage="0" equalAverage="0" bottom="0" percent="0" rank="0" text="" dxfId="1">
      <formula>"No Aplica"</formula>
    </cfRule>
  </conditionalFormatting>
  <dataValidations count="5">
    <dataValidation allowBlank="true" errorStyle="stop" operator="between" showDropDown="false" showErrorMessage="false" showInputMessage="false" sqref="T2:T620" type="list">
      <formula1>LEYENDA!$A$23:$A$24</formula1>
      <formula2>0</formula2>
    </dataValidation>
    <dataValidation allowBlank="true" errorStyle="stop" operator="between" showDropDown="false" showErrorMessage="true" showInputMessage="false" sqref="D2:D620" type="list">
      <formula1>LEYENDA!$B$2:$D$2</formula1>
      <formula2>0</formula2>
    </dataValidation>
    <dataValidation allowBlank="true" errorStyle="stop" operator="between" showDropDown="false" showErrorMessage="false" showInputMessage="false" sqref="R2:R620" type="list">
      <formula1>LEYENDA!$A$15:$A$19</formula1>
      <formula2>0</formula2>
    </dataValidation>
    <dataValidation allowBlank="true" errorStyle="stop" operator="between" showDropDown="false" showErrorMessage="true" showInputMessage="false" sqref="H2:I620 O2:P620 U2:V620 X2:X620" type="list">
      <formula1>LEYENDA!$B$1:$C$1</formula1>
      <formula2>0</formula2>
    </dataValidation>
    <dataValidation allowBlank="true" errorStyle="stop" operator="between" showDropDown="false" showErrorMessage="false" showInputMessage="false" sqref="E2:E620" type="list">
      <formula1>LEYENDA!$A$8:$A$12</formula1>
      <formula2>0</formula2>
    </dataValidation>
  </dataValidations>
  <hyperlinks>
    <hyperlink ref="U5" r:id="rId1" display="Completo"/>
    <hyperlink ref="V5" r:id="rId2" display="Completo"/>
    <hyperlink ref="U7" r:id="rId3" display="Completo"/>
    <hyperlink ref="U8" r:id="rId4" display="Completo"/>
    <hyperlink ref="U19" r:id="rId5" display="Completo"/>
    <hyperlink ref="V19" r:id="rId6" display="Completo"/>
    <hyperlink ref="U34" r:id="rId7" display="Completo"/>
    <hyperlink ref="V34" r:id="rId8" display="Completo"/>
    <hyperlink ref="U35" r:id="rId9" display="Completo"/>
    <hyperlink ref="V35" r:id="rId10" display="Completo"/>
    <hyperlink ref="U53" r:id="rId11" display="Completo"/>
    <hyperlink ref="V53" r:id="rId12" display="Completo"/>
    <hyperlink ref="U55" r:id="rId13" display="Completo"/>
    <hyperlink ref="V55" r:id="rId14" display="Completo"/>
    <hyperlink ref="U56" r:id="rId15" display="Completo"/>
    <hyperlink ref="U57" r:id="rId16" display="Completo"/>
    <hyperlink ref="V57" r:id="rId17" display="Completo"/>
    <hyperlink ref="U61" r:id="rId18" display="Completo"/>
    <hyperlink ref="V61" r:id="rId19" display="Completo"/>
    <hyperlink ref="U62" r:id="rId20" display="Completo"/>
    <hyperlink ref="V62" r:id="rId21" display="Completo"/>
    <hyperlink ref="U63" r:id="rId22" display="Completo"/>
    <hyperlink ref="V63" r:id="rId23" display="Completo"/>
    <hyperlink ref="U64" r:id="rId24" display="Completo"/>
    <hyperlink ref="V64" r:id="rId25" display="Completo"/>
    <hyperlink ref="U65" r:id="rId26" display="Completo"/>
    <hyperlink ref="V65" r:id="rId27" display="Completo"/>
    <hyperlink ref="U66" r:id="rId28" display="Completo"/>
    <hyperlink ref="V66" r:id="rId29" display="Completo"/>
    <hyperlink ref="U67" r:id="rId30" display="Completo"/>
    <hyperlink ref="V67" r:id="rId31" display="Completo"/>
    <hyperlink ref="U96" r:id="rId32" display="Completo"/>
    <hyperlink ref="V96" r:id="rId33" display="Completo"/>
  </hyperlinks>
  <printOptions headings="false" gridLines="true" gridLinesSet="true" horizontalCentered="true" verticalCentered="false"/>
  <pageMargins left="0.7" right="0.7" top="0.75" bottom="0.75" header="0.511811023622047" footer="0.511811023622047"/>
  <pageSetup paperSize="9" scale="100" fitToWidth="1" fitToHeight="0" pageOrder="overThenDown" orientation="landscape" blackAndWhite="false" draft="false" cellComments="none" horizontalDpi="300" verticalDpi="300" copies="1"/>
  <headerFooter differentFirst="false" differentOddEven="false">
    <oddHeader/>
    <oddFooter/>
  </headerFooter>
  <drawing r:id="rId34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XFD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8" ySplit="3" topLeftCell="I4" activePane="bottomRight" state="frozen"/>
      <selection pane="topLeft" activeCell="A1" activeCellId="0" sqref="A1"/>
      <selection pane="topRight" activeCell="I1" activeCellId="0" sqref="I1"/>
      <selection pane="bottomLeft" activeCell="A4" activeCellId="0" sqref="A4"/>
      <selection pane="bottomRight" activeCell="A1" activeCellId="0" sqref="A1"/>
    </sheetView>
  </sheetViews>
  <sheetFormatPr defaultColWidth="12.6328125" defaultRowHeight="15.75" zeroHeight="false" outlineLevelRow="0" outlineLevelCol="0"/>
  <cols>
    <col collapsed="false" customWidth="true" hidden="false" outlineLevel="0" max="1" min="1" style="1" width="10.25"/>
    <col collapsed="false" customWidth="true" hidden="false" outlineLevel="0" max="2" min="2" style="1" width="10.38"/>
    <col collapsed="false" customWidth="true" hidden="false" outlineLevel="0" max="3" min="3" style="1" width="29.63"/>
    <col collapsed="false" customWidth="true" hidden="false" outlineLevel="0" max="4" min="4" style="1" width="11.25"/>
    <col collapsed="false" customWidth="true" hidden="false" outlineLevel="0" max="5" min="5" style="1" width="17.13"/>
    <col collapsed="false" customWidth="true" hidden="false" outlineLevel="0" max="6" min="6" style="1" width="36.5"/>
    <col collapsed="false" customWidth="true" hidden="false" outlineLevel="0" max="7" min="7" style="1" width="15.88"/>
    <col collapsed="false" customWidth="true" hidden="false" outlineLevel="0" max="8" min="8" style="1" width="10.88"/>
    <col collapsed="false" customWidth="true" hidden="false" outlineLevel="0" max="9" min="9" style="1" width="12.88"/>
    <col collapsed="false" customWidth="true" hidden="false" outlineLevel="0" max="10" min="10" style="1" width="12"/>
    <col collapsed="false" customWidth="true" hidden="false" outlineLevel="0" max="11" min="11" style="1" width="10"/>
    <col collapsed="false" customWidth="true" hidden="false" outlineLevel="0" max="12" min="12" style="1" width="12.25"/>
    <col collapsed="false" customWidth="true" hidden="false" outlineLevel="0" max="13" min="13" style="1" width="26.12"/>
    <col collapsed="false" customWidth="true" hidden="true" outlineLevel="0" max="14" min="14" style="1" width="18"/>
    <col collapsed="false" customWidth="true" hidden="false" outlineLevel="0" max="16" min="15" style="1" width="10.63"/>
    <col collapsed="false" customWidth="true" hidden="false" outlineLevel="0" max="17" min="17" style="1" width="8.5"/>
    <col collapsed="false" customWidth="true" hidden="false" outlineLevel="0" max="19" min="19" style="1" width="25.38"/>
    <col collapsed="false" customWidth="true" hidden="false" outlineLevel="0" max="20" min="20" style="1" width="17.88"/>
    <col collapsed="false" customWidth="true" hidden="false" outlineLevel="0" max="21" min="21" style="1" width="10.13"/>
    <col collapsed="false" customWidth="true" hidden="false" outlineLevel="0" max="22" min="22" style="1" width="11.12"/>
    <col collapsed="false" customWidth="true" hidden="false" outlineLevel="0" max="23" min="23" style="1" width="24.88"/>
    <col collapsed="false" customWidth="true" hidden="false" outlineLevel="0" max="16384" min="16383" style="1" width="11.53"/>
  </cols>
  <sheetData>
    <row r="1" customFormat="false" ht="42.5" hidden="false" customHeight="false" outlineLevel="0" collapsed="false">
      <c r="A1" s="2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/>
      <c r="J1" s="4" t="s">
        <v>8</v>
      </c>
      <c r="K1" s="2"/>
      <c r="L1" s="2" t="s">
        <v>9</v>
      </c>
      <c r="M1" s="2" t="s">
        <v>10</v>
      </c>
      <c r="N1" s="4" t="s">
        <v>11</v>
      </c>
      <c r="O1" s="3" t="s">
        <v>12</v>
      </c>
      <c r="P1" s="7" t="s">
        <v>13</v>
      </c>
      <c r="Q1" s="7" t="s">
        <v>14</v>
      </c>
      <c r="R1" s="7" t="s">
        <v>15</v>
      </c>
      <c r="S1" s="7" t="s">
        <v>16</v>
      </c>
      <c r="T1" s="7" t="s">
        <v>17</v>
      </c>
      <c r="U1" s="8" t="s">
        <v>18</v>
      </c>
      <c r="V1" s="9" t="s">
        <v>19</v>
      </c>
      <c r="W1" s="9" t="s">
        <v>20</v>
      </c>
      <c r="X1" s="10" t="s">
        <v>15</v>
      </c>
      <c r="Y1" s="11" t="s">
        <v>21</v>
      </c>
      <c r="Z1" s="11" t="s">
        <v>22</v>
      </c>
      <c r="AA1" s="12"/>
      <c r="AB1" s="12"/>
      <c r="AC1" s="12"/>
      <c r="AD1" s="12"/>
      <c r="AE1" s="12"/>
      <c r="AF1" s="12"/>
      <c r="XFC1" s="0"/>
      <c r="XFD1" s="0"/>
    </row>
    <row r="2" customFormat="false" ht="15.75" hidden="false" customHeight="false" outlineLevel="0" collapsed="false">
      <c r="A2" s="61" t="n">
        <v>7292</v>
      </c>
      <c r="B2" s="29" t="n">
        <v>45078</v>
      </c>
      <c r="C2" s="21" t="s">
        <v>38</v>
      </c>
      <c r="D2" s="21" t="s">
        <v>24</v>
      </c>
      <c r="E2" s="21" t="s">
        <v>34</v>
      </c>
      <c r="F2" s="21" t="s">
        <v>1688</v>
      </c>
      <c r="G2" s="30"/>
      <c r="H2" s="31"/>
      <c r="I2" s="21"/>
      <c r="J2" s="21"/>
      <c r="K2" s="21"/>
      <c r="L2" s="21"/>
      <c r="M2" s="21" t="s">
        <v>1689</v>
      </c>
      <c r="N2" s="30"/>
      <c r="O2" s="21"/>
      <c r="P2" s="21"/>
      <c r="Q2" s="21"/>
      <c r="R2" s="32"/>
      <c r="S2" s="32"/>
      <c r="T2" s="21"/>
      <c r="U2" s="21"/>
      <c r="V2" s="21"/>
      <c r="W2" s="21"/>
      <c r="X2" s="21" t="s">
        <v>28</v>
      </c>
    </row>
    <row r="3" customFormat="false" ht="15.75" hidden="false" customHeight="false" outlineLevel="0" collapsed="false">
      <c r="A3" s="61" t="n">
        <v>7293</v>
      </c>
      <c r="B3" s="29" t="n">
        <v>45079</v>
      </c>
      <c r="C3" s="21" t="s">
        <v>394</v>
      </c>
      <c r="D3" s="21" t="s">
        <v>24</v>
      </c>
      <c r="E3" s="21" t="s">
        <v>34</v>
      </c>
      <c r="F3" s="21" t="s">
        <v>1690</v>
      </c>
      <c r="G3" s="30"/>
      <c r="H3" s="31"/>
      <c r="I3" s="21"/>
      <c r="J3" s="21"/>
      <c r="K3" s="21"/>
      <c r="L3" s="21"/>
      <c r="M3" s="21"/>
      <c r="N3" s="30"/>
      <c r="O3" s="21"/>
      <c r="P3" s="21"/>
      <c r="Q3" s="21"/>
      <c r="R3" s="32"/>
      <c r="S3" s="32"/>
      <c r="T3" s="21"/>
      <c r="U3" s="21"/>
      <c r="V3" s="21"/>
      <c r="W3" s="21"/>
      <c r="X3" s="21" t="s">
        <v>37</v>
      </c>
    </row>
    <row r="4" customFormat="false" ht="15.75" hidden="false" customHeight="false" outlineLevel="0" collapsed="false">
      <c r="A4" s="61" t="n">
        <v>7294</v>
      </c>
      <c r="B4" s="29" t="n">
        <v>45079</v>
      </c>
      <c r="C4" s="21" t="s">
        <v>357</v>
      </c>
      <c r="D4" s="21" t="s">
        <v>24</v>
      </c>
      <c r="E4" s="21" t="s">
        <v>34</v>
      </c>
      <c r="F4" s="21" t="s">
        <v>1691</v>
      </c>
      <c r="G4" s="30"/>
      <c r="H4" s="31"/>
      <c r="I4" s="21"/>
      <c r="J4" s="21"/>
      <c r="K4" s="21"/>
      <c r="L4" s="21"/>
      <c r="M4" s="21"/>
      <c r="N4" s="30"/>
      <c r="O4" s="21"/>
      <c r="P4" s="21"/>
      <c r="Q4" s="21"/>
      <c r="R4" s="32"/>
      <c r="S4" s="32"/>
      <c r="T4" s="21"/>
      <c r="U4" s="21"/>
      <c r="V4" s="21"/>
      <c r="W4" s="21"/>
      <c r="X4" s="21" t="s">
        <v>28</v>
      </c>
    </row>
    <row r="5" customFormat="false" ht="15.75" hidden="false" customHeight="false" outlineLevel="0" collapsed="false">
      <c r="A5" s="61" t="n">
        <v>7295</v>
      </c>
      <c r="B5" s="29" t="n">
        <v>45079</v>
      </c>
      <c r="C5" s="21" t="s">
        <v>357</v>
      </c>
      <c r="D5" s="21" t="s">
        <v>24</v>
      </c>
      <c r="E5" s="21" t="s">
        <v>34</v>
      </c>
      <c r="F5" s="21" t="s">
        <v>1692</v>
      </c>
      <c r="G5" s="30"/>
      <c r="H5" s="31"/>
      <c r="I5" s="21"/>
      <c r="J5" s="21"/>
      <c r="K5" s="21"/>
      <c r="L5" s="21"/>
      <c r="M5" s="21"/>
      <c r="N5" s="30"/>
      <c r="O5" s="21"/>
      <c r="P5" s="21"/>
      <c r="Q5" s="21"/>
      <c r="R5" s="32"/>
      <c r="S5" s="32"/>
      <c r="T5" s="21"/>
      <c r="U5" s="21"/>
      <c r="V5" s="21"/>
      <c r="W5" s="21"/>
      <c r="X5" s="21" t="s">
        <v>28</v>
      </c>
    </row>
    <row r="6" customFormat="false" ht="15.75" hidden="false" customHeight="false" outlineLevel="0" collapsed="false">
      <c r="A6" s="61" t="n">
        <v>7296</v>
      </c>
      <c r="B6" s="29" t="n">
        <v>45079</v>
      </c>
      <c r="C6" s="21" t="s">
        <v>1259</v>
      </c>
      <c r="D6" s="21" t="s">
        <v>24</v>
      </c>
      <c r="E6" s="21" t="s">
        <v>25</v>
      </c>
      <c r="F6" s="21" t="s">
        <v>1693</v>
      </c>
      <c r="G6" s="30" t="s">
        <v>1694</v>
      </c>
      <c r="H6" s="45" t="str">
        <f aca="false">HYPERLINK("https://photos.app.goo.gl/KZj4bsBcxWnzJCyK7", "Completo")</f>
        <v>Completo</v>
      </c>
      <c r="I6" s="21" t="s">
        <v>28</v>
      </c>
      <c r="J6" s="21" t="s">
        <v>29</v>
      </c>
      <c r="K6" s="21" t="s">
        <v>29</v>
      </c>
      <c r="L6" s="21" t="n">
        <v>17021</v>
      </c>
      <c r="M6" s="21"/>
      <c r="N6" s="30"/>
      <c r="O6" s="21"/>
      <c r="P6" s="21"/>
      <c r="Q6" s="21"/>
      <c r="R6" s="32"/>
      <c r="S6" s="32"/>
      <c r="T6" s="21"/>
      <c r="U6" s="21"/>
      <c r="V6" s="21"/>
      <c r="W6" s="21"/>
      <c r="X6" s="21" t="s">
        <v>28</v>
      </c>
    </row>
    <row r="7" customFormat="false" ht="15.75" hidden="false" customHeight="false" outlineLevel="0" collapsed="false">
      <c r="A7" s="61" t="n">
        <v>7297</v>
      </c>
      <c r="B7" s="29" t="n">
        <v>45079</v>
      </c>
      <c r="C7" s="21" t="s">
        <v>867</v>
      </c>
      <c r="D7" s="21" t="s">
        <v>24</v>
      </c>
      <c r="E7" s="21" t="s">
        <v>25</v>
      </c>
      <c r="F7" s="21" t="s">
        <v>1695</v>
      </c>
      <c r="G7" s="30" t="s">
        <v>1696</v>
      </c>
      <c r="H7" s="45" t="str">
        <f aca="false">HYPERLINK("https://photos.app.goo.gl/GfXfVx74gbALvVuj7", "Completo")</f>
        <v>Completo</v>
      </c>
      <c r="I7" s="21" t="s">
        <v>28</v>
      </c>
      <c r="J7" s="21" t="s">
        <v>29</v>
      </c>
      <c r="K7" s="21" t="s">
        <v>29</v>
      </c>
      <c r="L7" s="21" t="s">
        <v>1697</v>
      </c>
      <c r="M7" s="21"/>
      <c r="N7" s="30"/>
      <c r="O7" s="21"/>
      <c r="P7" s="21"/>
      <c r="Q7" s="21"/>
      <c r="R7" s="32"/>
      <c r="S7" s="32"/>
      <c r="T7" s="21"/>
      <c r="U7" s="21"/>
      <c r="V7" s="21"/>
      <c r="W7" s="21"/>
      <c r="X7" s="21" t="s">
        <v>28</v>
      </c>
    </row>
    <row r="8" customFormat="false" ht="15.75" hidden="false" customHeight="false" outlineLevel="0" collapsed="false">
      <c r="A8" s="61" t="n">
        <v>7298</v>
      </c>
      <c r="B8" s="29" t="n">
        <v>45079</v>
      </c>
      <c r="C8" s="21" t="s">
        <v>867</v>
      </c>
      <c r="D8" s="21" t="s">
        <v>24</v>
      </c>
      <c r="E8" s="21" t="s">
        <v>25</v>
      </c>
      <c r="F8" s="21" t="s">
        <v>1698</v>
      </c>
      <c r="G8" s="30" t="s">
        <v>1699</v>
      </c>
      <c r="H8" s="45" t="str">
        <f aca="false">HYPERLINK("https://photos.app.goo.gl/eTUJT6uWwVpsFeVA6", "Completo")</f>
        <v>Completo</v>
      </c>
      <c r="I8" s="21" t="s">
        <v>28</v>
      </c>
      <c r="J8" s="21" t="s">
        <v>29</v>
      </c>
      <c r="K8" s="21" t="s">
        <v>29</v>
      </c>
      <c r="L8" s="21" t="s">
        <v>1697</v>
      </c>
      <c r="M8" s="21"/>
      <c r="N8" s="30"/>
      <c r="O8" s="21"/>
      <c r="P8" s="21"/>
      <c r="Q8" s="21"/>
      <c r="R8" s="32"/>
      <c r="S8" s="32"/>
      <c r="T8" s="21"/>
      <c r="U8" s="21"/>
      <c r="V8" s="21"/>
      <c r="W8" s="21"/>
      <c r="X8" s="21" t="s">
        <v>28</v>
      </c>
    </row>
    <row r="9" customFormat="false" ht="15.75" hidden="false" customHeight="false" outlineLevel="0" collapsed="false">
      <c r="A9" s="61" t="n">
        <v>7299</v>
      </c>
      <c r="B9" s="29" t="n">
        <v>45080</v>
      </c>
      <c r="C9" s="21" t="s">
        <v>205</v>
      </c>
      <c r="D9" s="21" t="s">
        <v>24</v>
      </c>
      <c r="E9" s="21" t="s">
        <v>34</v>
      </c>
      <c r="F9" s="21" t="s">
        <v>1700</v>
      </c>
      <c r="G9" s="30"/>
      <c r="H9" s="31"/>
      <c r="I9" s="21"/>
      <c r="J9" s="21"/>
      <c r="K9" s="21"/>
      <c r="L9" s="21"/>
      <c r="M9" s="21"/>
      <c r="N9" s="30"/>
      <c r="O9" s="21"/>
      <c r="P9" s="21"/>
      <c r="Q9" s="21"/>
      <c r="R9" s="32"/>
      <c r="S9" s="32"/>
      <c r="T9" s="21"/>
      <c r="U9" s="21"/>
      <c r="V9" s="21"/>
      <c r="W9" s="21"/>
      <c r="X9" s="21" t="s">
        <v>28</v>
      </c>
    </row>
    <row r="10" customFormat="false" ht="15.75" hidden="false" customHeight="false" outlineLevel="0" collapsed="false">
      <c r="A10" s="61" t="n">
        <v>7300</v>
      </c>
      <c r="B10" s="29" t="n">
        <v>45082</v>
      </c>
      <c r="C10" s="21" t="s">
        <v>904</v>
      </c>
      <c r="D10" s="21" t="s">
        <v>24</v>
      </c>
      <c r="E10" s="21" t="s">
        <v>25</v>
      </c>
      <c r="F10" s="21" t="s">
        <v>1701</v>
      </c>
      <c r="G10" s="30" t="s">
        <v>992</v>
      </c>
      <c r="H10" s="45" t="str">
        <f aca="false">HYPERLINK("https://photos.app.goo.gl/vLvYFAzAUxWUFFc8A", "Completo")</f>
        <v>Completo</v>
      </c>
      <c r="I10" s="21" t="s">
        <v>28</v>
      </c>
      <c r="J10" s="21" t="s">
        <v>29</v>
      </c>
      <c r="K10" s="21" t="s">
        <v>29</v>
      </c>
      <c r="L10" s="21" t="n">
        <v>1182</v>
      </c>
      <c r="M10" s="21"/>
      <c r="N10" s="30"/>
      <c r="O10" s="21"/>
      <c r="P10" s="21"/>
      <c r="Q10" s="21"/>
      <c r="R10" s="32"/>
      <c r="S10" s="32"/>
      <c r="T10" s="21"/>
      <c r="U10" s="21"/>
      <c r="V10" s="21"/>
      <c r="W10" s="21"/>
      <c r="X10" s="21" t="s">
        <v>28</v>
      </c>
    </row>
    <row r="11" customFormat="false" ht="15.75" hidden="false" customHeight="false" outlineLevel="0" collapsed="false">
      <c r="A11" s="61" t="n">
        <v>7301</v>
      </c>
      <c r="B11" s="29" t="n">
        <v>45082</v>
      </c>
      <c r="C11" s="21" t="s">
        <v>904</v>
      </c>
      <c r="D11" s="21" t="s">
        <v>24</v>
      </c>
      <c r="E11" s="21" t="s">
        <v>25</v>
      </c>
      <c r="F11" s="21" t="s">
        <v>1701</v>
      </c>
      <c r="G11" s="30" t="s">
        <v>992</v>
      </c>
      <c r="H11" s="45" t="str">
        <f aca="false">HYPERLINK("https://photos.app.goo.gl/pmv5rScoLzczaBj86", "Completo")</f>
        <v>Completo</v>
      </c>
      <c r="I11" s="21" t="s">
        <v>28</v>
      </c>
      <c r="J11" s="21" t="s">
        <v>29</v>
      </c>
      <c r="K11" s="21" t="s">
        <v>29</v>
      </c>
      <c r="L11" s="21" t="n">
        <v>1182</v>
      </c>
      <c r="M11" s="21"/>
      <c r="N11" s="30"/>
      <c r="O11" s="21"/>
      <c r="P11" s="21"/>
      <c r="Q11" s="21"/>
      <c r="R11" s="32"/>
      <c r="S11" s="32"/>
      <c r="T11" s="21"/>
      <c r="U11" s="21"/>
      <c r="V11" s="21"/>
      <c r="W11" s="21"/>
      <c r="X11" s="21" t="s">
        <v>28</v>
      </c>
    </row>
    <row r="12" customFormat="false" ht="15.75" hidden="false" customHeight="false" outlineLevel="0" collapsed="false">
      <c r="A12" s="61" t="n">
        <v>7302</v>
      </c>
      <c r="B12" s="29" t="n">
        <v>45082</v>
      </c>
      <c r="C12" s="21" t="s">
        <v>904</v>
      </c>
      <c r="D12" s="21" t="s">
        <v>24</v>
      </c>
      <c r="E12" s="21" t="s">
        <v>25</v>
      </c>
      <c r="F12" s="21" t="s">
        <v>1701</v>
      </c>
      <c r="G12" s="30" t="s">
        <v>992</v>
      </c>
      <c r="H12" s="45" t="str">
        <f aca="false">HYPERLINK("https://photos.app.goo.gl/SuAncrnrRkqyjWby8", "Completo")</f>
        <v>Completo</v>
      </c>
      <c r="I12" s="21" t="s">
        <v>28</v>
      </c>
      <c r="J12" s="21" t="s">
        <v>29</v>
      </c>
      <c r="K12" s="21" t="s">
        <v>29</v>
      </c>
      <c r="L12" s="21" t="n">
        <v>1182</v>
      </c>
      <c r="M12" s="21"/>
      <c r="N12" s="30"/>
      <c r="O12" s="21"/>
      <c r="P12" s="21"/>
      <c r="Q12" s="21"/>
      <c r="R12" s="32"/>
      <c r="S12" s="32"/>
      <c r="T12" s="21"/>
      <c r="U12" s="21"/>
      <c r="V12" s="21"/>
      <c r="W12" s="21"/>
      <c r="X12" s="21" t="s">
        <v>28</v>
      </c>
    </row>
    <row r="13" customFormat="false" ht="15.75" hidden="false" customHeight="false" outlineLevel="0" collapsed="false">
      <c r="A13" s="61" t="n">
        <v>7303</v>
      </c>
      <c r="B13" s="29" t="n">
        <v>45082</v>
      </c>
      <c r="C13" s="21" t="s">
        <v>904</v>
      </c>
      <c r="D13" s="21" t="s">
        <v>24</v>
      </c>
      <c r="E13" s="21" t="s">
        <v>25</v>
      </c>
      <c r="F13" s="21" t="s">
        <v>1702</v>
      </c>
      <c r="G13" s="30" t="s">
        <v>1703</v>
      </c>
      <c r="H13" s="45" t="str">
        <f aca="false">HYPERLINK("https://photos.app.goo.gl/mTpfbQtbUoiW5MLk9", "Completo")</f>
        <v>Completo</v>
      </c>
      <c r="I13" s="21" t="s">
        <v>28</v>
      </c>
      <c r="J13" s="21" t="s">
        <v>29</v>
      </c>
      <c r="K13" s="21" t="s">
        <v>29</v>
      </c>
      <c r="L13" s="21" t="n">
        <v>1183</v>
      </c>
      <c r="M13" s="21"/>
      <c r="N13" s="30"/>
      <c r="O13" s="21"/>
      <c r="P13" s="21"/>
      <c r="Q13" s="21"/>
      <c r="R13" s="32"/>
      <c r="S13" s="32"/>
      <c r="T13" s="21"/>
      <c r="U13" s="21"/>
      <c r="V13" s="21"/>
      <c r="W13" s="21"/>
      <c r="X13" s="21" t="s">
        <v>28</v>
      </c>
    </row>
    <row r="14" customFormat="false" ht="15.75" hidden="false" customHeight="false" outlineLevel="0" collapsed="false">
      <c r="A14" s="61" t="n">
        <v>7304</v>
      </c>
      <c r="B14" s="29" t="n">
        <v>45082</v>
      </c>
      <c r="C14" s="21" t="s">
        <v>1704</v>
      </c>
      <c r="D14" s="21" t="s">
        <v>24</v>
      </c>
      <c r="E14" s="21" t="s">
        <v>25</v>
      </c>
      <c r="F14" s="21" t="s">
        <v>1705</v>
      </c>
      <c r="G14" s="30" t="s">
        <v>1706</v>
      </c>
      <c r="H14" s="45" t="str">
        <f aca="false">HYPERLINK("https://photos.app.goo.gl/RQEd1i7yJu8UeA2S7", "Completo")</f>
        <v>Completo</v>
      </c>
      <c r="I14" s="21" t="s">
        <v>28</v>
      </c>
      <c r="J14" s="21" t="n">
        <v>3571571050</v>
      </c>
      <c r="K14" s="21" t="s">
        <v>1707</v>
      </c>
      <c r="L14" s="21"/>
      <c r="M14" s="21"/>
      <c r="N14" s="30"/>
      <c r="O14" s="21"/>
      <c r="P14" s="21"/>
      <c r="Q14" s="21"/>
      <c r="R14" s="32"/>
      <c r="S14" s="32"/>
      <c r="T14" s="21"/>
      <c r="U14" s="21"/>
      <c r="V14" s="21"/>
      <c r="W14" s="21"/>
      <c r="X14" s="21" t="s">
        <v>28</v>
      </c>
    </row>
    <row r="15" customFormat="false" ht="15.75" hidden="false" customHeight="false" outlineLevel="0" collapsed="false">
      <c r="A15" s="61" t="n">
        <v>7305</v>
      </c>
      <c r="B15" s="29" t="n">
        <v>45082</v>
      </c>
      <c r="C15" s="21" t="s">
        <v>357</v>
      </c>
      <c r="D15" s="21" t="s">
        <v>24</v>
      </c>
      <c r="E15" s="21" t="s">
        <v>34</v>
      </c>
      <c r="F15" s="21" t="s">
        <v>1708</v>
      </c>
      <c r="G15" s="30"/>
      <c r="H15" s="31"/>
      <c r="I15" s="21"/>
      <c r="J15" s="21"/>
      <c r="K15" s="21"/>
      <c r="L15" s="21"/>
      <c r="M15" s="21" t="s">
        <v>1709</v>
      </c>
      <c r="N15" s="30"/>
      <c r="O15" s="21"/>
      <c r="P15" s="21"/>
      <c r="Q15" s="21"/>
      <c r="R15" s="32"/>
      <c r="S15" s="32"/>
      <c r="T15" s="21"/>
      <c r="U15" s="21"/>
      <c r="V15" s="21"/>
      <c r="W15" s="21"/>
      <c r="X15" s="21" t="s">
        <v>28</v>
      </c>
    </row>
    <row r="16" customFormat="false" ht="15.75" hidden="false" customHeight="false" outlineLevel="0" collapsed="false">
      <c r="A16" s="61" t="n">
        <v>7306</v>
      </c>
      <c r="B16" s="29" t="n">
        <v>45082</v>
      </c>
      <c r="C16" s="21" t="s">
        <v>357</v>
      </c>
      <c r="D16" s="21" t="s">
        <v>24</v>
      </c>
      <c r="E16" s="21" t="s">
        <v>34</v>
      </c>
      <c r="F16" s="21" t="s">
        <v>1708</v>
      </c>
      <c r="G16" s="30"/>
      <c r="H16" s="31"/>
      <c r="I16" s="21"/>
      <c r="J16" s="21"/>
      <c r="K16" s="21"/>
      <c r="L16" s="21"/>
      <c r="M16" s="21" t="s">
        <v>1710</v>
      </c>
      <c r="N16" s="30"/>
      <c r="O16" s="21"/>
      <c r="P16" s="21"/>
      <c r="Q16" s="21"/>
      <c r="R16" s="32"/>
      <c r="S16" s="32"/>
      <c r="T16" s="21"/>
      <c r="U16" s="21"/>
      <c r="V16" s="21"/>
      <c r="W16" s="21"/>
      <c r="X16" s="21" t="s">
        <v>28</v>
      </c>
    </row>
    <row r="17" customFormat="false" ht="15.75" hidden="false" customHeight="false" outlineLevel="0" collapsed="false">
      <c r="A17" s="61" t="n">
        <v>7307</v>
      </c>
      <c r="B17" s="29" t="n">
        <v>45082</v>
      </c>
      <c r="C17" s="21" t="s">
        <v>357</v>
      </c>
      <c r="D17" s="21" t="s">
        <v>24</v>
      </c>
      <c r="E17" s="21" t="s">
        <v>34</v>
      </c>
      <c r="F17" s="21" t="s">
        <v>1711</v>
      </c>
      <c r="G17" s="30"/>
      <c r="H17" s="31"/>
      <c r="I17" s="21"/>
      <c r="J17" s="21"/>
      <c r="K17" s="21"/>
      <c r="L17" s="21"/>
      <c r="M17" s="21" t="s">
        <v>1712</v>
      </c>
      <c r="N17" s="30"/>
      <c r="O17" s="21"/>
      <c r="P17" s="21"/>
      <c r="Q17" s="21"/>
      <c r="R17" s="32"/>
      <c r="S17" s="32"/>
      <c r="T17" s="21"/>
      <c r="U17" s="21"/>
      <c r="V17" s="21"/>
      <c r="W17" s="21"/>
      <c r="X17" s="21" t="s">
        <v>28</v>
      </c>
    </row>
    <row r="18" customFormat="false" ht="15.75" hidden="false" customHeight="false" outlineLevel="0" collapsed="false">
      <c r="A18" s="61" t="n">
        <v>7308</v>
      </c>
      <c r="B18" s="29" t="n">
        <v>45082</v>
      </c>
      <c r="C18" s="21" t="s">
        <v>357</v>
      </c>
      <c r="D18" s="21" t="s">
        <v>24</v>
      </c>
      <c r="E18" s="21" t="s">
        <v>34</v>
      </c>
      <c r="F18" s="21" t="s">
        <v>1711</v>
      </c>
      <c r="G18" s="30"/>
      <c r="H18" s="31"/>
      <c r="I18" s="21"/>
      <c r="J18" s="21"/>
      <c r="K18" s="21"/>
      <c r="L18" s="21"/>
      <c r="M18" s="21" t="s">
        <v>1710</v>
      </c>
      <c r="N18" s="30"/>
      <c r="O18" s="21"/>
      <c r="P18" s="21"/>
      <c r="Q18" s="21"/>
      <c r="R18" s="32"/>
      <c r="S18" s="32"/>
      <c r="T18" s="21"/>
      <c r="U18" s="21"/>
      <c r="V18" s="21"/>
      <c r="W18" s="21"/>
      <c r="X18" s="21" t="s">
        <v>28</v>
      </c>
    </row>
    <row r="19" customFormat="false" ht="15.75" hidden="false" customHeight="false" outlineLevel="0" collapsed="false">
      <c r="A19" s="61" t="n">
        <v>7309</v>
      </c>
      <c r="B19" s="29" t="n">
        <v>45083</v>
      </c>
      <c r="C19" s="21" t="s">
        <v>872</v>
      </c>
      <c r="D19" s="21" t="s">
        <v>24</v>
      </c>
      <c r="E19" s="21" t="s">
        <v>25</v>
      </c>
      <c r="F19" s="21" t="s">
        <v>1713</v>
      </c>
      <c r="G19" s="30"/>
      <c r="H19" s="45" t="str">
        <f aca="false">HYPERLINK("https://photos.app.goo.gl/FMmsF5Pn4GVsTwbu6", "Completo")</f>
        <v>Completo</v>
      </c>
      <c r="I19" s="21" t="s">
        <v>28</v>
      </c>
      <c r="J19" s="21" t="s">
        <v>29</v>
      </c>
      <c r="K19" s="21" t="s">
        <v>29</v>
      </c>
      <c r="L19" s="21" t="n">
        <v>6216</v>
      </c>
      <c r="M19" s="21"/>
      <c r="N19" s="30"/>
      <c r="O19" s="21"/>
      <c r="P19" s="21"/>
      <c r="Q19" s="21"/>
      <c r="R19" s="32"/>
      <c r="S19" s="32"/>
      <c r="T19" s="21"/>
      <c r="U19" s="21"/>
      <c r="V19" s="21"/>
      <c r="W19" s="21"/>
      <c r="X19" s="21" t="s">
        <v>28</v>
      </c>
    </row>
    <row r="20" customFormat="false" ht="15.75" hidden="false" customHeight="false" outlineLevel="0" collapsed="false">
      <c r="A20" s="61" t="n">
        <v>7310</v>
      </c>
      <c r="B20" s="29" t="n">
        <v>45083</v>
      </c>
      <c r="C20" s="21" t="s">
        <v>593</v>
      </c>
      <c r="D20" s="21" t="s">
        <v>24</v>
      </c>
      <c r="E20" s="21" t="s">
        <v>34</v>
      </c>
      <c r="F20" s="21" t="s">
        <v>1714</v>
      </c>
      <c r="G20" s="30"/>
      <c r="H20" s="31" t="s">
        <v>37</v>
      </c>
      <c r="I20" s="21" t="s">
        <v>37</v>
      </c>
      <c r="J20" s="21"/>
      <c r="K20" s="21"/>
      <c r="L20" s="21"/>
      <c r="M20" s="21"/>
      <c r="N20" s="30"/>
      <c r="O20" s="21"/>
      <c r="P20" s="21"/>
      <c r="Q20" s="21"/>
      <c r="R20" s="32"/>
      <c r="S20" s="32"/>
      <c r="T20" s="21"/>
      <c r="U20" s="21"/>
      <c r="V20" s="21"/>
      <c r="W20" s="21"/>
      <c r="X20" s="21" t="s">
        <v>28</v>
      </c>
    </row>
    <row r="21" customFormat="false" ht="15.75" hidden="false" customHeight="false" outlineLevel="0" collapsed="false">
      <c r="A21" s="61" t="n">
        <v>7311</v>
      </c>
      <c r="B21" s="29" t="n">
        <v>45083</v>
      </c>
      <c r="C21" s="21" t="s">
        <v>872</v>
      </c>
      <c r="D21" s="21" t="s">
        <v>24</v>
      </c>
      <c r="E21" s="21" t="s">
        <v>34</v>
      </c>
      <c r="F21" s="21" t="s">
        <v>1715</v>
      </c>
      <c r="G21" s="30"/>
      <c r="H21" s="31"/>
      <c r="I21" s="21"/>
      <c r="J21" s="21"/>
      <c r="K21" s="21"/>
      <c r="L21" s="21"/>
      <c r="M21" s="21"/>
      <c r="N21" s="30"/>
      <c r="O21" s="21"/>
      <c r="P21" s="21"/>
      <c r="Q21" s="21"/>
      <c r="R21" s="32"/>
      <c r="S21" s="32"/>
      <c r="T21" s="21"/>
      <c r="U21" s="21"/>
      <c r="V21" s="21"/>
      <c r="W21" s="21"/>
      <c r="X21" s="21" t="s">
        <v>28</v>
      </c>
    </row>
    <row r="22" customFormat="false" ht="15.75" hidden="false" customHeight="false" outlineLevel="0" collapsed="false">
      <c r="A22" s="61" t="n">
        <v>7312</v>
      </c>
      <c r="B22" s="29" t="n">
        <v>45083</v>
      </c>
      <c r="C22" s="21" t="s">
        <v>872</v>
      </c>
      <c r="D22" s="21" t="s">
        <v>24</v>
      </c>
      <c r="E22" s="21" t="s">
        <v>25</v>
      </c>
      <c r="F22" s="21" t="s">
        <v>1716</v>
      </c>
      <c r="G22" s="30" t="s">
        <v>1717</v>
      </c>
      <c r="H22" s="31" t="s">
        <v>28</v>
      </c>
      <c r="I22" s="21" t="s">
        <v>28</v>
      </c>
      <c r="J22" s="21" t="s">
        <v>29</v>
      </c>
      <c r="K22" s="21" t="s">
        <v>29</v>
      </c>
      <c r="L22" s="21" t="n">
        <v>6216</v>
      </c>
      <c r="M22" s="21"/>
      <c r="N22" s="30"/>
      <c r="O22" s="21"/>
      <c r="P22" s="21"/>
      <c r="Q22" s="21"/>
      <c r="R22" s="32"/>
      <c r="S22" s="32"/>
      <c r="T22" s="21"/>
      <c r="U22" s="21"/>
      <c r="V22" s="21"/>
      <c r="W22" s="21"/>
      <c r="X22" s="21" t="s">
        <v>28</v>
      </c>
    </row>
    <row r="23" customFormat="false" ht="15.75" hidden="false" customHeight="false" outlineLevel="0" collapsed="false">
      <c r="A23" s="61" t="n">
        <v>7313</v>
      </c>
      <c r="B23" s="29" t="n">
        <v>45083</v>
      </c>
      <c r="C23" s="21" t="s">
        <v>1484</v>
      </c>
      <c r="D23" s="21" t="s">
        <v>24</v>
      </c>
      <c r="E23" s="21" t="s">
        <v>25</v>
      </c>
      <c r="F23" s="21" t="s">
        <v>1718</v>
      </c>
      <c r="G23" s="30" t="s">
        <v>1719</v>
      </c>
      <c r="H23" s="31" t="s">
        <v>28</v>
      </c>
      <c r="I23" s="21" t="s">
        <v>28</v>
      </c>
      <c r="J23" s="21" t="s">
        <v>29</v>
      </c>
      <c r="K23" s="21" t="s">
        <v>29</v>
      </c>
      <c r="L23" s="21" t="n">
        <v>959</v>
      </c>
      <c r="M23" s="21"/>
      <c r="N23" s="30"/>
      <c r="O23" s="21"/>
      <c r="P23" s="21"/>
      <c r="Q23" s="21"/>
      <c r="R23" s="32"/>
      <c r="S23" s="32"/>
      <c r="T23" s="21"/>
      <c r="U23" s="21"/>
      <c r="V23" s="21"/>
      <c r="W23" s="21"/>
      <c r="X23" s="21" t="s">
        <v>28</v>
      </c>
    </row>
    <row r="24" customFormat="false" ht="15.75" hidden="false" customHeight="false" outlineLevel="0" collapsed="false">
      <c r="A24" s="61" t="n">
        <v>7314</v>
      </c>
      <c r="B24" s="29" t="n">
        <v>45083</v>
      </c>
      <c r="C24" s="21" t="s">
        <v>872</v>
      </c>
      <c r="D24" s="21" t="s">
        <v>24</v>
      </c>
      <c r="E24" s="21" t="s">
        <v>34</v>
      </c>
      <c r="F24" s="21" t="s">
        <v>1720</v>
      </c>
      <c r="G24" s="30"/>
      <c r="H24" s="31"/>
      <c r="I24" s="21"/>
      <c r="J24" s="21"/>
      <c r="K24" s="21"/>
      <c r="L24" s="21"/>
      <c r="M24" s="21"/>
      <c r="N24" s="30"/>
      <c r="O24" s="21"/>
      <c r="P24" s="21"/>
      <c r="Q24" s="21"/>
      <c r="R24" s="32"/>
      <c r="S24" s="32"/>
      <c r="T24" s="21"/>
      <c r="U24" s="21"/>
      <c r="V24" s="21"/>
      <c r="W24" s="21"/>
      <c r="X24" s="21" t="s">
        <v>28</v>
      </c>
    </row>
    <row r="25" customFormat="false" ht="15.75" hidden="false" customHeight="false" outlineLevel="0" collapsed="false">
      <c r="A25" s="61" t="n">
        <v>7315</v>
      </c>
      <c r="B25" s="29" t="n">
        <v>45084</v>
      </c>
      <c r="C25" s="21" t="s">
        <v>274</v>
      </c>
      <c r="D25" s="21" t="s">
        <v>24</v>
      </c>
      <c r="E25" s="21" t="s">
        <v>34</v>
      </c>
      <c r="F25" s="21" t="s">
        <v>1721</v>
      </c>
      <c r="G25" s="30"/>
      <c r="H25" s="31"/>
      <c r="I25" s="21"/>
      <c r="J25" s="21"/>
      <c r="K25" s="21"/>
      <c r="L25" s="21"/>
      <c r="M25" s="21"/>
      <c r="N25" s="30"/>
      <c r="O25" s="21"/>
      <c r="P25" s="21"/>
      <c r="Q25" s="21"/>
      <c r="R25" s="32"/>
      <c r="S25" s="32"/>
      <c r="T25" s="21"/>
      <c r="U25" s="21"/>
      <c r="V25" s="21"/>
      <c r="W25" s="21"/>
      <c r="X25" s="21" t="s">
        <v>28</v>
      </c>
    </row>
    <row r="26" customFormat="false" ht="15.75" hidden="false" customHeight="false" outlineLevel="0" collapsed="false">
      <c r="A26" s="61" t="n">
        <v>7316</v>
      </c>
      <c r="B26" s="29" t="n">
        <v>45084</v>
      </c>
      <c r="C26" s="21" t="s">
        <v>274</v>
      </c>
      <c r="D26" s="21" t="s">
        <v>24</v>
      </c>
      <c r="E26" s="21" t="s">
        <v>34</v>
      </c>
      <c r="F26" s="21" t="s">
        <v>1721</v>
      </c>
      <c r="G26" s="30"/>
      <c r="H26" s="31"/>
      <c r="I26" s="21"/>
      <c r="J26" s="21"/>
      <c r="K26" s="21"/>
      <c r="L26" s="21"/>
      <c r="M26" s="21"/>
      <c r="N26" s="30"/>
      <c r="O26" s="21"/>
      <c r="P26" s="21"/>
      <c r="Q26" s="21"/>
      <c r="R26" s="32"/>
      <c r="S26" s="32"/>
      <c r="T26" s="21"/>
      <c r="U26" s="21"/>
      <c r="V26" s="21"/>
      <c r="W26" s="21"/>
      <c r="X26" s="21" t="s">
        <v>28</v>
      </c>
    </row>
    <row r="27" customFormat="false" ht="15.75" hidden="false" customHeight="false" outlineLevel="0" collapsed="false">
      <c r="A27" s="61" t="n">
        <v>7317</v>
      </c>
      <c r="B27" s="29" t="n">
        <v>45084</v>
      </c>
      <c r="C27" s="21" t="s">
        <v>841</v>
      </c>
      <c r="D27" s="21" t="s">
        <v>24</v>
      </c>
      <c r="E27" s="21" t="s">
        <v>34</v>
      </c>
      <c r="F27" s="21" t="s">
        <v>1722</v>
      </c>
      <c r="G27" s="30"/>
      <c r="H27" s="31"/>
      <c r="I27" s="21"/>
      <c r="J27" s="21"/>
      <c r="K27" s="21"/>
      <c r="L27" s="21"/>
      <c r="M27" s="21"/>
      <c r="N27" s="30"/>
      <c r="O27" s="21"/>
      <c r="P27" s="21"/>
      <c r="Q27" s="21"/>
      <c r="R27" s="32"/>
      <c r="S27" s="32"/>
      <c r="T27" s="21"/>
      <c r="U27" s="21"/>
      <c r="V27" s="21"/>
      <c r="W27" s="21"/>
      <c r="X27" s="21" t="s">
        <v>28</v>
      </c>
    </row>
    <row r="28" customFormat="false" ht="15.75" hidden="false" customHeight="false" outlineLevel="0" collapsed="false">
      <c r="A28" s="61" t="n">
        <v>7318</v>
      </c>
      <c r="B28" s="29" t="n">
        <v>45084</v>
      </c>
      <c r="C28" s="21" t="s">
        <v>1480</v>
      </c>
      <c r="D28" s="21" t="s">
        <v>24</v>
      </c>
      <c r="E28" s="21" t="s">
        <v>34</v>
      </c>
      <c r="F28" s="21" t="s">
        <v>1723</v>
      </c>
      <c r="G28" s="30"/>
      <c r="H28" s="45" t="str">
        <f aca="false">HYPERLINK("https://photos.app.goo.gl/94PfJmWRhQ9K1PrH9", "Completo")</f>
        <v>Completo</v>
      </c>
      <c r="I28" s="21" t="s">
        <v>28</v>
      </c>
      <c r="J28" s="21"/>
      <c r="K28" s="21"/>
      <c r="L28" s="21"/>
      <c r="M28" s="21"/>
      <c r="N28" s="30"/>
      <c r="O28" s="21"/>
      <c r="P28" s="21"/>
      <c r="Q28" s="21"/>
      <c r="R28" s="32"/>
      <c r="S28" s="32"/>
      <c r="T28" s="21"/>
      <c r="U28" s="21"/>
      <c r="V28" s="21"/>
      <c r="W28" s="21"/>
      <c r="X28" s="21" t="s">
        <v>28</v>
      </c>
    </row>
    <row r="29" customFormat="false" ht="15.75" hidden="false" customHeight="false" outlineLevel="0" collapsed="false">
      <c r="A29" s="61" t="n">
        <v>7319</v>
      </c>
      <c r="B29" s="29" t="n">
        <v>45085</v>
      </c>
      <c r="C29" s="21" t="s">
        <v>1724</v>
      </c>
      <c r="D29" s="21" t="s">
        <v>24</v>
      </c>
      <c r="E29" s="21" t="s">
        <v>25</v>
      </c>
      <c r="F29" s="21" t="s">
        <v>1725</v>
      </c>
      <c r="G29" s="30"/>
      <c r="H29" s="45" t="str">
        <f aca="false">HYPERLINK("https://photos.app.goo.gl/rBLUFFKH6MdL8QDN6", "Completo")</f>
        <v>Completo</v>
      </c>
      <c r="I29" s="21" t="s">
        <v>28</v>
      </c>
      <c r="J29" s="21" t="s">
        <v>29</v>
      </c>
      <c r="K29" s="21" t="s">
        <v>29</v>
      </c>
      <c r="L29" s="21" t="n">
        <v>1861</v>
      </c>
      <c r="M29" s="21"/>
      <c r="N29" s="30"/>
      <c r="O29" s="21"/>
      <c r="P29" s="21"/>
      <c r="Q29" s="21"/>
      <c r="R29" s="32"/>
      <c r="S29" s="32"/>
      <c r="T29" s="21" t="s">
        <v>74</v>
      </c>
      <c r="U29" s="46" t="s">
        <v>28</v>
      </c>
      <c r="V29" s="46" t="s">
        <v>28</v>
      </c>
      <c r="W29" s="21" t="s">
        <v>36</v>
      </c>
      <c r="X29" s="21" t="s">
        <v>28</v>
      </c>
    </row>
    <row r="30" customFormat="false" ht="15.75" hidden="false" customHeight="false" outlineLevel="0" collapsed="false">
      <c r="A30" s="61" t="n">
        <v>7320</v>
      </c>
      <c r="B30" s="29" t="n">
        <v>45085</v>
      </c>
      <c r="C30" s="21" t="s">
        <v>1456</v>
      </c>
      <c r="D30" s="21" t="s">
        <v>24</v>
      </c>
      <c r="E30" s="21" t="s">
        <v>25</v>
      </c>
      <c r="F30" s="21" t="s">
        <v>1557</v>
      </c>
      <c r="G30" s="30" t="s">
        <v>1726</v>
      </c>
      <c r="H30" s="45" t="str">
        <f aca="false">HYPERLINK("https://photos.app.goo.gl/PDvgBseEbdYQFZKC7", "Completo")</f>
        <v>Completo</v>
      </c>
      <c r="I30" s="21" t="s">
        <v>37</v>
      </c>
      <c r="J30" s="21" t="s">
        <v>29</v>
      </c>
      <c r="K30" s="21" t="s">
        <v>29</v>
      </c>
      <c r="L30" s="21" t="s">
        <v>1727</v>
      </c>
      <c r="M30" s="21"/>
      <c r="N30" s="30"/>
      <c r="O30" s="21"/>
      <c r="P30" s="21"/>
      <c r="Q30" s="21"/>
      <c r="R30" s="32"/>
      <c r="S30" s="32"/>
      <c r="T30" s="21"/>
      <c r="U30" s="21"/>
      <c r="V30" s="21"/>
      <c r="W30" s="21"/>
      <c r="X30" s="21" t="s">
        <v>28</v>
      </c>
    </row>
    <row r="31" customFormat="false" ht="15.75" hidden="false" customHeight="false" outlineLevel="0" collapsed="false">
      <c r="A31" s="61" t="n">
        <v>7321</v>
      </c>
      <c r="B31" s="29" t="n">
        <v>45085</v>
      </c>
      <c r="C31" s="21" t="s">
        <v>1456</v>
      </c>
      <c r="D31" s="21" t="s">
        <v>24</v>
      </c>
      <c r="E31" s="21" t="s">
        <v>25</v>
      </c>
      <c r="F31" s="21" t="s">
        <v>1557</v>
      </c>
      <c r="G31" s="30" t="s">
        <v>1728</v>
      </c>
      <c r="H31" s="45" t="str">
        <f aca="false">HYPERLINK("https://photos.app.goo.gl/pLVdxLUnQp2unZjZ7", "Completo")</f>
        <v>Completo</v>
      </c>
      <c r="I31" s="21" t="s">
        <v>37</v>
      </c>
      <c r="J31" s="21" t="s">
        <v>29</v>
      </c>
      <c r="K31" s="21" t="s">
        <v>29</v>
      </c>
      <c r="L31" s="21" t="s">
        <v>1727</v>
      </c>
      <c r="M31" s="21"/>
      <c r="N31" s="30"/>
      <c r="O31" s="21"/>
      <c r="P31" s="21"/>
      <c r="Q31" s="21"/>
      <c r="R31" s="32"/>
      <c r="S31" s="32"/>
      <c r="T31" s="21"/>
      <c r="U31" s="21"/>
      <c r="V31" s="21"/>
      <c r="W31" s="21"/>
      <c r="X31" s="21" t="s">
        <v>28</v>
      </c>
    </row>
    <row r="32" customFormat="false" ht="15.75" hidden="false" customHeight="false" outlineLevel="0" collapsed="false">
      <c r="A32" s="61" t="n">
        <v>7322</v>
      </c>
      <c r="B32" s="29" t="n">
        <v>45085</v>
      </c>
      <c r="C32" s="21" t="s">
        <v>1456</v>
      </c>
      <c r="D32" s="21" t="s">
        <v>24</v>
      </c>
      <c r="E32" s="21" t="s">
        <v>25</v>
      </c>
      <c r="F32" s="21" t="s">
        <v>1557</v>
      </c>
      <c r="G32" s="30" t="s">
        <v>1726</v>
      </c>
      <c r="H32" s="45" t="str">
        <f aca="false">HYPERLINK("https://photos.app.goo.gl/6iw1APgpLRi4ZsGY8", "Completo")</f>
        <v>Completo</v>
      </c>
      <c r="I32" s="21" t="s">
        <v>37</v>
      </c>
      <c r="J32" s="21" t="s">
        <v>29</v>
      </c>
      <c r="K32" s="21" t="s">
        <v>29</v>
      </c>
      <c r="L32" s="21" t="s">
        <v>1727</v>
      </c>
      <c r="M32" s="21"/>
      <c r="N32" s="30"/>
      <c r="O32" s="21"/>
      <c r="P32" s="21"/>
      <c r="Q32" s="21"/>
      <c r="R32" s="32"/>
      <c r="S32" s="32"/>
      <c r="T32" s="21"/>
      <c r="U32" s="21"/>
      <c r="V32" s="21"/>
      <c r="W32" s="21"/>
      <c r="X32" s="21" t="s">
        <v>28</v>
      </c>
    </row>
    <row r="33" customFormat="false" ht="15.75" hidden="false" customHeight="false" outlineLevel="0" collapsed="false">
      <c r="A33" s="61" t="n">
        <v>7323</v>
      </c>
      <c r="B33" s="29" t="n">
        <v>45085</v>
      </c>
      <c r="C33" s="21" t="s">
        <v>112</v>
      </c>
      <c r="D33" s="21" t="s">
        <v>24</v>
      </c>
      <c r="E33" s="21" t="s">
        <v>25</v>
      </c>
      <c r="F33" s="21" t="s">
        <v>1729</v>
      </c>
      <c r="G33" s="30" t="s">
        <v>1730</v>
      </c>
      <c r="H33" s="45" t="str">
        <f aca="false">HYPERLINK("https://photos.app.goo.gl/yAKBG9jJFGXU7NYm7", "Completo")</f>
        <v>Completo</v>
      </c>
      <c r="I33" s="21" t="s">
        <v>28</v>
      </c>
      <c r="J33" s="21" t="s">
        <v>29</v>
      </c>
      <c r="K33" s="21" t="s">
        <v>29</v>
      </c>
      <c r="L33" s="21" t="n">
        <v>4148</v>
      </c>
      <c r="M33" s="21"/>
      <c r="N33" s="30"/>
      <c r="O33" s="21"/>
      <c r="P33" s="21"/>
      <c r="Q33" s="21"/>
      <c r="R33" s="32"/>
      <c r="S33" s="32"/>
      <c r="T33" s="21"/>
      <c r="U33" s="21"/>
      <c r="V33" s="21"/>
      <c r="W33" s="21"/>
      <c r="X33" s="21" t="s">
        <v>28</v>
      </c>
    </row>
    <row r="34" customFormat="false" ht="15.75" hidden="false" customHeight="false" outlineLevel="0" collapsed="false">
      <c r="A34" s="61" t="n">
        <v>7324</v>
      </c>
      <c r="B34" s="29" t="n">
        <v>45085</v>
      </c>
      <c r="C34" s="21" t="s">
        <v>703</v>
      </c>
      <c r="D34" s="21" t="s">
        <v>24</v>
      </c>
      <c r="E34" s="21" t="s">
        <v>25</v>
      </c>
      <c r="F34" s="21" t="s">
        <v>1731</v>
      </c>
      <c r="G34" s="30" t="s">
        <v>1732</v>
      </c>
      <c r="H34" s="45" t="str">
        <f aca="false">HYPERLINK("https://photos.app.goo.gl/n7EagifVKB6oaGh27", "Completo")</f>
        <v>Completo</v>
      </c>
      <c r="I34" s="21" t="s">
        <v>28</v>
      </c>
      <c r="J34" s="21" t="s">
        <v>29</v>
      </c>
      <c r="K34" s="21" t="s">
        <v>29</v>
      </c>
      <c r="L34" s="21" t="n">
        <v>38134</v>
      </c>
      <c r="M34" s="21"/>
      <c r="N34" s="30"/>
      <c r="O34" s="21"/>
      <c r="P34" s="21"/>
      <c r="Q34" s="21"/>
      <c r="R34" s="32"/>
      <c r="S34" s="32"/>
      <c r="T34" s="21" t="s">
        <v>74</v>
      </c>
      <c r="U34" s="46" t="s">
        <v>28</v>
      </c>
      <c r="V34" s="46" t="s">
        <v>28</v>
      </c>
      <c r="W34" s="21" t="s">
        <v>36</v>
      </c>
      <c r="X34" s="21" t="s">
        <v>28</v>
      </c>
    </row>
    <row r="35" customFormat="false" ht="15.75" hidden="false" customHeight="false" outlineLevel="0" collapsed="false">
      <c r="A35" s="61" t="n">
        <v>7325</v>
      </c>
      <c r="B35" s="29" t="n">
        <v>45085</v>
      </c>
      <c r="C35" s="21" t="s">
        <v>703</v>
      </c>
      <c r="D35" s="21" t="s">
        <v>24</v>
      </c>
      <c r="E35" s="21" t="s">
        <v>25</v>
      </c>
      <c r="F35" s="21" t="s">
        <v>1733</v>
      </c>
      <c r="G35" s="30" t="s">
        <v>1732</v>
      </c>
      <c r="H35" s="31" t="s">
        <v>37</v>
      </c>
      <c r="I35" s="21" t="s">
        <v>28</v>
      </c>
      <c r="J35" s="21" t="s">
        <v>29</v>
      </c>
      <c r="K35" s="21" t="s">
        <v>29</v>
      </c>
      <c r="L35" s="21" t="n">
        <v>38134</v>
      </c>
      <c r="M35" s="21"/>
      <c r="N35" s="30"/>
      <c r="O35" s="21"/>
      <c r="P35" s="21"/>
      <c r="Q35" s="21"/>
      <c r="R35" s="32"/>
      <c r="S35" s="32"/>
      <c r="T35" s="21" t="s">
        <v>74</v>
      </c>
      <c r="U35" s="46" t="s">
        <v>28</v>
      </c>
      <c r="V35" s="46" t="s">
        <v>28</v>
      </c>
      <c r="W35" s="21" t="s">
        <v>36</v>
      </c>
      <c r="X35" s="21" t="s">
        <v>28</v>
      </c>
    </row>
    <row r="36" customFormat="false" ht="15.75" hidden="false" customHeight="false" outlineLevel="0" collapsed="false">
      <c r="A36" s="21" t="n">
        <v>7326</v>
      </c>
      <c r="B36" s="29" t="n">
        <v>45085</v>
      </c>
      <c r="C36" s="21" t="s">
        <v>703</v>
      </c>
      <c r="D36" s="21" t="s">
        <v>24</v>
      </c>
      <c r="E36" s="21" t="s">
        <v>25</v>
      </c>
      <c r="F36" s="21" t="s">
        <v>1734</v>
      </c>
      <c r="G36" s="30" t="s">
        <v>1735</v>
      </c>
      <c r="H36" s="45" t="str">
        <f aca="false">HYPERLINK("https://photos.app.goo.gl/mWqqdvhCuFbPV1QX8", "Completo")</f>
        <v>Completo</v>
      </c>
      <c r="I36" s="21" t="s">
        <v>28</v>
      </c>
      <c r="J36" s="21" t="s">
        <v>29</v>
      </c>
      <c r="K36" s="21" t="s">
        <v>29</v>
      </c>
      <c r="L36" s="21" t="n">
        <v>38134</v>
      </c>
      <c r="M36" s="21"/>
      <c r="N36" s="30"/>
      <c r="O36" s="21"/>
      <c r="P36" s="21"/>
      <c r="Q36" s="21"/>
      <c r="R36" s="32"/>
      <c r="S36" s="32"/>
      <c r="T36" s="21" t="s">
        <v>74</v>
      </c>
      <c r="U36" s="46" t="s">
        <v>28</v>
      </c>
      <c r="V36" s="46" t="s">
        <v>28</v>
      </c>
      <c r="W36" s="21" t="s">
        <v>36</v>
      </c>
      <c r="X36" s="21" t="s">
        <v>28</v>
      </c>
    </row>
    <row r="37" customFormat="false" ht="15.75" hidden="false" customHeight="false" outlineLevel="0" collapsed="false">
      <c r="A37" s="21" t="n">
        <v>7327</v>
      </c>
      <c r="B37" s="29" t="n">
        <v>45085</v>
      </c>
      <c r="C37" s="21" t="s">
        <v>703</v>
      </c>
      <c r="D37" s="21" t="s">
        <v>24</v>
      </c>
      <c r="E37" s="21" t="s">
        <v>25</v>
      </c>
      <c r="F37" s="21" t="s">
        <v>1734</v>
      </c>
      <c r="G37" s="30" t="s">
        <v>1735</v>
      </c>
      <c r="H37" s="45" t="str">
        <f aca="false">HYPERLINK("https://photos.app.goo.gl/Y22psxi7DeLJFNTF6", "Completo")</f>
        <v>Completo</v>
      </c>
      <c r="I37" s="21" t="s">
        <v>28</v>
      </c>
      <c r="J37" s="21" t="s">
        <v>29</v>
      </c>
      <c r="K37" s="21" t="s">
        <v>29</v>
      </c>
      <c r="L37" s="21" t="n">
        <v>38134</v>
      </c>
      <c r="M37" s="21"/>
      <c r="N37" s="30"/>
      <c r="O37" s="21"/>
      <c r="P37" s="21"/>
      <c r="Q37" s="21"/>
      <c r="R37" s="32"/>
      <c r="S37" s="32"/>
      <c r="T37" s="21" t="s">
        <v>74</v>
      </c>
      <c r="U37" s="46" t="s">
        <v>28</v>
      </c>
      <c r="V37" s="46" t="s">
        <v>28</v>
      </c>
      <c r="W37" s="21" t="s">
        <v>36</v>
      </c>
      <c r="X37" s="21" t="s">
        <v>28</v>
      </c>
    </row>
    <row r="38" customFormat="false" ht="15.75" hidden="false" customHeight="false" outlineLevel="0" collapsed="false">
      <c r="A38" s="21" t="n">
        <v>7328</v>
      </c>
      <c r="B38" s="29" t="n">
        <v>45085</v>
      </c>
      <c r="C38" s="21" t="s">
        <v>703</v>
      </c>
      <c r="D38" s="21" t="s">
        <v>24</v>
      </c>
      <c r="E38" s="21" t="s">
        <v>25</v>
      </c>
      <c r="F38" s="21" t="s">
        <v>1736</v>
      </c>
      <c r="G38" s="30" t="s">
        <v>1737</v>
      </c>
      <c r="H38" s="45" t="str">
        <f aca="false">HYPERLINK("https://photos.app.goo.gl/nFJuqSrUDZ4UpVgY6", "Completo")</f>
        <v>Completo</v>
      </c>
      <c r="I38" s="21" t="s">
        <v>28</v>
      </c>
      <c r="J38" s="21" t="s">
        <v>29</v>
      </c>
      <c r="K38" s="21" t="s">
        <v>29</v>
      </c>
      <c r="L38" s="21" t="n">
        <v>38134</v>
      </c>
      <c r="M38" s="21"/>
      <c r="N38" s="30"/>
      <c r="O38" s="21"/>
      <c r="P38" s="21"/>
      <c r="Q38" s="21"/>
      <c r="R38" s="32"/>
      <c r="S38" s="32"/>
      <c r="T38" s="21" t="s">
        <v>74</v>
      </c>
      <c r="U38" s="46" t="s">
        <v>28</v>
      </c>
      <c r="V38" s="46" t="s">
        <v>28</v>
      </c>
      <c r="W38" s="21" t="s">
        <v>36</v>
      </c>
      <c r="X38" s="21" t="s">
        <v>28</v>
      </c>
    </row>
    <row r="39" customFormat="false" ht="15.75" hidden="false" customHeight="false" outlineLevel="0" collapsed="false">
      <c r="A39" s="21" t="n">
        <v>7329</v>
      </c>
      <c r="B39" s="29" t="n">
        <v>45085</v>
      </c>
      <c r="C39" s="21" t="s">
        <v>703</v>
      </c>
      <c r="D39" s="21" t="s">
        <v>24</v>
      </c>
      <c r="E39" s="21" t="s">
        <v>25</v>
      </c>
      <c r="F39" s="21" t="s">
        <v>1733</v>
      </c>
      <c r="G39" s="30" t="s">
        <v>1738</v>
      </c>
      <c r="H39" s="45" t="str">
        <f aca="false">HYPERLINK("https://photos.app.goo.gl/cZPoSqR8zQR4ayYF6", "Completo")</f>
        <v>Completo</v>
      </c>
      <c r="I39" s="21" t="s">
        <v>28</v>
      </c>
      <c r="J39" s="21"/>
      <c r="K39" s="21"/>
      <c r="L39" s="21"/>
      <c r="M39" s="21"/>
      <c r="N39" s="30"/>
      <c r="O39" s="21"/>
      <c r="P39" s="21"/>
      <c r="Q39" s="21"/>
      <c r="R39" s="32"/>
      <c r="S39" s="32"/>
      <c r="T39" s="21" t="s">
        <v>74</v>
      </c>
      <c r="U39" s="46" t="s">
        <v>28</v>
      </c>
      <c r="V39" s="46" t="s">
        <v>28</v>
      </c>
      <c r="W39" s="21" t="s">
        <v>36</v>
      </c>
      <c r="X39" s="21" t="s">
        <v>28</v>
      </c>
    </row>
    <row r="40" customFormat="false" ht="15.75" hidden="false" customHeight="false" outlineLevel="0" collapsed="false">
      <c r="A40" s="21" t="n">
        <v>7330</v>
      </c>
      <c r="B40" s="29" t="n">
        <v>45085</v>
      </c>
      <c r="C40" s="21" t="s">
        <v>730</v>
      </c>
      <c r="D40" s="21" t="s">
        <v>24</v>
      </c>
      <c r="E40" s="21" t="s">
        <v>25</v>
      </c>
      <c r="F40" s="21" t="s">
        <v>1739</v>
      </c>
      <c r="G40" s="30" t="s">
        <v>1116</v>
      </c>
      <c r="H40" s="45" t="str">
        <f aca="false">HYPERLINK("https://photos.app.goo.gl/bVLpfhzE375fqj6MA", "Completo")</f>
        <v>Completo</v>
      </c>
      <c r="I40" s="21" t="s">
        <v>28</v>
      </c>
      <c r="J40" s="21" t="s">
        <v>29</v>
      </c>
      <c r="K40" s="21" t="s">
        <v>29</v>
      </c>
      <c r="L40" s="21" t="s">
        <v>29</v>
      </c>
      <c r="M40" s="21"/>
      <c r="N40" s="30"/>
      <c r="O40" s="21"/>
      <c r="P40" s="21"/>
      <c r="Q40" s="21"/>
      <c r="R40" s="32"/>
      <c r="S40" s="32"/>
      <c r="T40" s="21"/>
      <c r="U40" s="21"/>
      <c r="V40" s="21"/>
      <c r="W40" s="21"/>
      <c r="X40" s="21" t="s">
        <v>37</v>
      </c>
    </row>
    <row r="41" customFormat="false" ht="15.75" hidden="false" customHeight="false" outlineLevel="0" collapsed="false">
      <c r="A41" s="21" t="n">
        <v>7331</v>
      </c>
      <c r="B41" s="29" t="n">
        <v>45085</v>
      </c>
      <c r="C41" s="21" t="s">
        <v>705</v>
      </c>
      <c r="D41" s="21" t="s">
        <v>24</v>
      </c>
      <c r="E41" s="21" t="s">
        <v>34</v>
      </c>
      <c r="F41" s="21" t="s">
        <v>1740</v>
      </c>
      <c r="G41" s="30"/>
      <c r="H41" s="31"/>
      <c r="I41" s="21"/>
      <c r="J41" s="21"/>
      <c r="K41" s="21"/>
      <c r="L41" s="21"/>
      <c r="M41" s="21"/>
      <c r="N41" s="30"/>
      <c r="O41" s="21"/>
      <c r="P41" s="21"/>
      <c r="Q41" s="21"/>
      <c r="R41" s="32"/>
      <c r="S41" s="32"/>
      <c r="T41" s="21"/>
      <c r="U41" s="21"/>
      <c r="V41" s="21"/>
      <c r="W41" s="21"/>
      <c r="X41" s="21" t="s">
        <v>28</v>
      </c>
    </row>
    <row r="42" customFormat="false" ht="15.75" hidden="false" customHeight="false" outlineLevel="0" collapsed="false">
      <c r="A42" s="21" t="n">
        <v>7332</v>
      </c>
      <c r="B42" s="29" t="n">
        <v>45085</v>
      </c>
      <c r="C42" s="21" t="s">
        <v>705</v>
      </c>
      <c r="D42" s="21" t="s">
        <v>24</v>
      </c>
      <c r="E42" s="21" t="s">
        <v>34</v>
      </c>
      <c r="F42" s="21" t="s">
        <v>1741</v>
      </c>
      <c r="G42" s="30"/>
      <c r="H42" s="31"/>
      <c r="I42" s="21"/>
      <c r="J42" s="21"/>
      <c r="K42" s="21"/>
      <c r="L42" s="21"/>
      <c r="M42" s="21"/>
      <c r="N42" s="30"/>
      <c r="O42" s="21"/>
      <c r="P42" s="21"/>
      <c r="Q42" s="21"/>
      <c r="R42" s="32"/>
      <c r="S42" s="32"/>
      <c r="T42" s="21"/>
      <c r="U42" s="21"/>
      <c r="V42" s="21"/>
      <c r="W42" s="21"/>
      <c r="X42" s="21" t="s">
        <v>28</v>
      </c>
    </row>
    <row r="43" customFormat="false" ht="15.75" hidden="false" customHeight="false" outlineLevel="0" collapsed="false">
      <c r="A43" s="47" t="n">
        <v>1638480</v>
      </c>
      <c r="B43" s="29" t="n">
        <v>45089</v>
      </c>
      <c r="C43" s="21" t="s">
        <v>1742</v>
      </c>
      <c r="D43" s="21" t="s">
        <v>290</v>
      </c>
      <c r="E43" s="21" t="s">
        <v>25</v>
      </c>
      <c r="F43" s="21" t="s">
        <v>1743</v>
      </c>
      <c r="G43" s="30" t="s">
        <v>1744</v>
      </c>
      <c r="H43" s="45" t="str">
        <f aca="false">HYPERLINK("https://photos.app.goo.gl/x6DcWj94zb78QE9k7", "Completo")</f>
        <v>Completo</v>
      </c>
      <c r="I43" s="21" t="s">
        <v>28</v>
      </c>
      <c r="J43" s="21" t="s">
        <v>29</v>
      </c>
      <c r="K43" s="21" t="s">
        <v>29</v>
      </c>
      <c r="L43" s="21" t="n">
        <v>7232</v>
      </c>
      <c r="M43" s="21"/>
      <c r="N43" s="30"/>
      <c r="O43" s="21"/>
      <c r="P43" s="21"/>
      <c r="Q43" s="21"/>
      <c r="R43" s="32"/>
      <c r="S43" s="32"/>
      <c r="T43" s="21"/>
      <c r="U43" s="21"/>
      <c r="V43" s="21"/>
      <c r="W43" s="21"/>
      <c r="X43" s="21" t="s">
        <v>28</v>
      </c>
    </row>
    <row r="44" customFormat="false" ht="15.75" hidden="false" customHeight="false" outlineLevel="0" collapsed="false">
      <c r="A44" s="21" t="n">
        <v>7333</v>
      </c>
      <c r="B44" s="29" t="n">
        <v>45089</v>
      </c>
      <c r="C44" s="21" t="s">
        <v>776</v>
      </c>
      <c r="D44" s="21" t="s">
        <v>24</v>
      </c>
      <c r="E44" s="21" t="s">
        <v>34</v>
      </c>
      <c r="F44" s="21" t="s">
        <v>1745</v>
      </c>
      <c r="G44" s="30"/>
      <c r="H44" s="31"/>
      <c r="I44" s="21"/>
      <c r="J44" s="21"/>
      <c r="K44" s="21"/>
      <c r="L44" s="21"/>
      <c r="M44" s="21"/>
      <c r="N44" s="30"/>
      <c r="O44" s="21"/>
      <c r="P44" s="21"/>
      <c r="Q44" s="21"/>
      <c r="R44" s="32"/>
      <c r="S44" s="32"/>
      <c r="T44" s="21"/>
      <c r="U44" s="21"/>
      <c r="V44" s="21"/>
      <c r="W44" s="21"/>
      <c r="X44" s="21" t="s">
        <v>28</v>
      </c>
    </row>
    <row r="45" customFormat="false" ht="15.75" hidden="false" customHeight="false" outlineLevel="0" collapsed="false">
      <c r="A45" s="21" t="n">
        <v>7334</v>
      </c>
      <c r="B45" s="29" t="n">
        <v>45089</v>
      </c>
      <c r="C45" s="21" t="s">
        <v>776</v>
      </c>
      <c r="D45" s="21" t="s">
        <v>24</v>
      </c>
      <c r="E45" s="21" t="s">
        <v>34</v>
      </c>
      <c r="F45" s="21" t="s">
        <v>1745</v>
      </c>
      <c r="G45" s="30"/>
      <c r="H45" s="31"/>
      <c r="I45" s="21"/>
      <c r="J45" s="21"/>
      <c r="K45" s="21"/>
      <c r="L45" s="21"/>
      <c r="M45" s="21"/>
      <c r="N45" s="30"/>
      <c r="O45" s="21"/>
      <c r="P45" s="21"/>
      <c r="Q45" s="21"/>
      <c r="R45" s="32"/>
      <c r="S45" s="32"/>
      <c r="T45" s="21"/>
      <c r="U45" s="21"/>
      <c r="V45" s="21"/>
      <c r="W45" s="21"/>
      <c r="X45" s="21" t="s">
        <v>28</v>
      </c>
    </row>
    <row r="46" customFormat="false" ht="15.75" hidden="false" customHeight="false" outlineLevel="0" collapsed="false">
      <c r="A46" s="21" t="n">
        <v>7335</v>
      </c>
      <c r="B46" s="29" t="n">
        <v>45089</v>
      </c>
      <c r="C46" s="21" t="s">
        <v>776</v>
      </c>
      <c r="D46" s="21" t="s">
        <v>24</v>
      </c>
      <c r="E46" s="21" t="s">
        <v>34</v>
      </c>
      <c r="F46" s="21" t="s">
        <v>1746</v>
      </c>
      <c r="G46" s="30"/>
      <c r="H46" s="31"/>
      <c r="I46" s="21"/>
      <c r="J46" s="21"/>
      <c r="K46" s="21"/>
      <c r="L46" s="21"/>
      <c r="M46" s="21"/>
      <c r="N46" s="30"/>
      <c r="O46" s="21"/>
      <c r="P46" s="21"/>
      <c r="Q46" s="21"/>
      <c r="R46" s="32"/>
      <c r="S46" s="32"/>
      <c r="T46" s="21"/>
      <c r="U46" s="21"/>
      <c r="V46" s="21"/>
      <c r="W46" s="21"/>
      <c r="X46" s="21" t="s">
        <v>28</v>
      </c>
    </row>
    <row r="47" customFormat="false" ht="15.75" hidden="false" customHeight="false" outlineLevel="0" collapsed="false">
      <c r="A47" s="21" t="n">
        <v>7336</v>
      </c>
      <c r="B47" s="29" t="n">
        <v>45089</v>
      </c>
      <c r="C47" s="21" t="s">
        <v>1747</v>
      </c>
      <c r="D47" s="21" t="s">
        <v>24</v>
      </c>
      <c r="E47" s="21" t="s">
        <v>25</v>
      </c>
      <c r="F47" s="21" t="s">
        <v>1748</v>
      </c>
      <c r="G47" s="30" t="s">
        <v>1749</v>
      </c>
      <c r="H47" s="45" t="str">
        <f aca="false">HYPERLINK("https://photos.app.goo.gl/cXQUPyrFNRVACgNaA", "Completo")</f>
        <v>Completo</v>
      </c>
      <c r="I47" s="21" t="s">
        <v>28</v>
      </c>
      <c r="J47" s="21" t="s">
        <v>1750</v>
      </c>
      <c r="K47" s="21" t="s">
        <v>29</v>
      </c>
      <c r="L47" s="21" t="s">
        <v>29</v>
      </c>
      <c r="M47" s="21"/>
      <c r="N47" s="30"/>
      <c r="O47" s="21"/>
      <c r="P47" s="21"/>
      <c r="Q47" s="21"/>
      <c r="R47" s="32"/>
      <c r="S47" s="32"/>
      <c r="T47" s="21"/>
      <c r="U47" s="21"/>
      <c r="V47" s="21"/>
      <c r="W47" s="21"/>
      <c r="X47" s="21" t="s">
        <v>28</v>
      </c>
    </row>
    <row r="48" customFormat="false" ht="15.75" hidden="false" customHeight="false" outlineLevel="0" collapsed="false">
      <c r="A48" s="21" t="n">
        <v>7337</v>
      </c>
      <c r="B48" s="29" t="n">
        <v>45089</v>
      </c>
      <c r="C48" s="21" t="s">
        <v>1747</v>
      </c>
      <c r="D48" s="21" t="s">
        <v>24</v>
      </c>
      <c r="E48" s="21" t="s">
        <v>25</v>
      </c>
      <c r="F48" s="21" t="s">
        <v>1748</v>
      </c>
      <c r="G48" s="30" t="s">
        <v>1749</v>
      </c>
      <c r="H48" s="45" t="str">
        <f aca="false">HYPERLINK("https://photos.app.goo.gl/hGjrgVWBbPjk1Zff9", "Completo")</f>
        <v>Completo</v>
      </c>
      <c r="I48" s="21" t="s">
        <v>28</v>
      </c>
      <c r="J48" s="21" t="s">
        <v>1750</v>
      </c>
      <c r="K48" s="21" t="s">
        <v>29</v>
      </c>
      <c r="L48" s="21" t="s">
        <v>29</v>
      </c>
      <c r="M48" s="21"/>
      <c r="N48" s="30"/>
      <c r="O48" s="21"/>
      <c r="P48" s="21"/>
      <c r="Q48" s="21"/>
      <c r="R48" s="32"/>
      <c r="S48" s="32"/>
      <c r="T48" s="21"/>
      <c r="U48" s="21"/>
      <c r="V48" s="21"/>
      <c r="W48" s="21"/>
      <c r="X48" s="21" t="s">
        <v>28</v>
      </c>
    </row>
    <row r="49" customFormat="false" ht="15.75" hidden="false" customHeight="false" outlineLevel="0" collapsed="false">
      <c r="A49" s="21" t="n">
        <v>7338</v>
      </c>
      <c r="B49" s="29" t="n">
        <v>45089</v>
      </c>
      <c r="C49" s="21" t="s">
        <v>1747</v>
      </c>
      <c r="D49" s="21" t="s">
        <v>24</v>
      </c>
      <c r="E49" s="21" t="s">
        <v>25</v>
      </c>
      <c r="F49" s="21" t="s">
        <v>1748</v>
      </c>
      <c r="G49" s="30" t="s">
        <v>1751</v>
      </c>
      <c r="H49" s="45" t="str">
        <f aca="false">HYPERLINK("https://photos.app.goo.gl/LFWrj1U5Hv1NdBUM9", "Completo")</f>
        <v>Completo</v>
      </c>
      <c r="I49" s="21" t="s">
        <v>28</v>
      </c>
      <c r="J49" s="21" t="s">
        <v>1750</v>
      </c>
      <c r="K49" s="21" t="s">
        <v>29</v>
      </c>
      <c r="L49" s="21" t="s">
        <v>29</v>
      </c>
      <c r="M49" s="21"/>
      <c r="N49" s="30"/>
      <c r="O49" s="21"/>
      <c r="P49" s="21"/>
      <c r="Q49" s="21"/>
      <c r="R49" s="32"/>
      <c r="S49" s="32"/>
      <c r="T49" s="21"/>
      <c r="U49" s="21"/>
      <c r="V49" s="21"/>
      <c r="W49" s="21"/>
      <c r="X49" s="21" t="s">
        <v>28</v>
      </c>
    </row>
    <row r="50" customFormat="false" ht="15.75" hidden="false" customHeight="false" outlineLevel="0" collapsed="false">
      <c r="A50" s="21" t="n">
        <v>7339</v>
      </c>
      <c r="B50" s="29" t="n">
        <v>45089</v>
      </c>
      <c r="C50" s="21" t="s">
        <v>1747</v>
      </c>
      <c r="D50" s="21" t="s">
        <v>24</v>
      </c>
      <c r="E50" s="21" t="s">
        <v>25</v>
      </c>
      <c r="F50" s="21" t="s">
        <v>1748</v>
      </c>
      <c r="G50" s="30" t="s">
        <v>1751</v>
      </c>
      <c r="H50" s="45" t="str">
        <f aca="false">HYPERLINK("https://photos.app.goo.gl/DQeMWCMPu8PaBmMA6", "Completo")</f>
        <v>Completo</v>
      </c>
      <c r="I50" s="21" t="s">
        <v>28</v>
      </c>
      <c r="J50" s="21" t="s">
        <v>1750</v>
      </c>
      <c r="K50" s="21" t="s">
        <v>29</v>
      </c>
      <c r="L50" s="21" t="s">
        <v>29</v>
      </c>
      <c r="M50" s="21"/>
      <c r="N50" s="30"/>
      <c r="O50" s="21"/>
      <c r="P50" s="21"/>
      <c r="Q50" s="21"/>
      <c r="R50" s="32"/>
      <c r="S50" s="32"/>
      <c r="T50" s="21"/>
      <c r="U50" s="21"/>
      <c r="V50" s="21"/>
      <c r="W50" s="21"/>
      <c r="X50" s="21" t="s">
        <v>28</v>
      </c>
    </row>
    <row r="51" customFormat="false" ht="15.75" hidden="false" customHeight="false" outlineLevel="0" collapsed="false">
      <c r="A51" s="21" t="n">
        <v>7340</v>
      </c>
      <c r="B51" s="29" t="n">
        <v>45090</v>
      </c>
      <c r="C51" s="21" t="s">
        <v>1456</v>
      </c>
      <c r="D51" s="21" t="s">
        <v>24</v>
      </c>
      <c r="E51" s="21" t="s">
        <v>25</v>
      </c>
      <c r="F51" s="21" t="s">
        <v>1557</v>
      </c>
      <c r="G51" s="30" t="s">
        <v>1752</v>
      </c>
      <c r="H51" s="45" t="str">
        <f aca="false">HYPERLINK("https://photos.app.goo.gl/8TZq6g1xJavRVLcZ9", "Completo")</f>
        <v>Completo</v>
      </c>
      <c r="I51" s="21" t="s">
        <v>37</v>
      </c>
      <c r="J51" s="21" t="s">
        <v>29</v>
      </c>
      <c r="K51" s="21" t="s">
        <v>29</v>
      </c>
      <c r="L51" s="21" t="n">
        <v>54270</v>
      </c>
      <c r="M51" s="21"/>
      <c r="N51" s="30"/>
      <c r="O51" s="21"/>
      <c r="P51" s="21"/>
      <c r="Q51" s="21"/>
      <c r="R51" s="32"/>
      <c r="S51" s="32"/>
      <c r="T51" s="21"/>
      <c r="U51" s="21"/>
      <c r="V51" s="21"/>
      <c r="W51" s="21"/>
      <c r="X51" s="21" t="s">
        <v>28</v>
      </c>
    </row>
    <row r="52" customFormat="false" ht="15.75" hidden="false" customHeight="false" outlineLevel="0" collapsed="false">
      <c r="A52" s="21" t="n">
        <v>7341</v>
      </c>
      <c r="B52" s="29" t="n">
        <v>45090</v>
      </c>
      <c r="C52" s="21" t="s">
        <v>1456</v>
      </c>
      <c r="D52" s="21" t="s">
        <v>24</v>
      </c>
      <c r="E52" s="21" t="s">
        <v>25</v>
      </c>
      <c r="F52" s="21" t="s">
        <v>1557</v>
      </c>
      <c r="G52" s="30" t="s">
        <v>1753</v>
      </c>
      <c r="H52" s="45" t="str">
        <f aca="false">HYPERLINK("https://photos.app.goo.gl/H1LFspRrHhuuM14V7", "Completo")</f>
        <v>Completo</v>
      </c>
      <c r="I52" s="21" t="s">
        <v>37</v>
      </c>
      <c r="J52" s="21" t="s">
        <v>29</v>
      </c>
      <c r="K52" s="21" t="s">
        <v>29</v>
      </c>
      <c r="L52" s="21" t="n">
        <v>54270</v>
      </c>
      <c r="M52" s="21"/>
      <c r="N52" s="30"/>
      <c r="O52" s="21"/>
      <c r="P52" s="21"/>
      <c r="Q52" s="21"/>
      <c r="R52" s="32"/>
      <c r="S52" s="32"/>
      <c r="T52" s="21"/>
      <c r="U52" s="21"/>
      <c r="V52" s="21"/>
      <c r="W52" s="21"/>
      <c r="X52" s="21" t="s">
        <v>28</v>
      </c>
    </row>
    <row r="53" customFormat="false" ht="15.75" hidden="false" customHeight="false" outlineLevel="0" collapsed="false">
      <c r="A53" s="21" t="n">
        <v>7342</v>
      </c>
      <c r="B53" s="29" t="n">
        <v>45090</v>
      </c>
      <c r="C53" s="21" t="s">
        <v>760</v>
      </c>
      <c r="D53" s="21" t="s">
        <v>24</v>
      </c>
      <c r="E53" s="21" t="s">
        <v>25</v>
      </c>
      <c r="F53" s="21" t="s">
        <v>1754</v>
      </c>
      <c r="G53" s="30"/>
      <c r="H53" s="31"/>
      <c r="I53" s="21"/>
      <c r="J53" s="21"/>
      <c r="K53" s="21"/>
      <c r="L53" s="21"/>
      <c r="M53" s="21"/>
      <c r="N53" s="30"/>
      <c r="O53" s="21"/>
      <c r="P53" s="21"/>
      <c r="Q53" s="21"/>
      <c r="R53" s="32"/>
      <c r="S53" s="32"/>
      <c r="T53" s="21"/>
      <c r="U53" s="21"/>
      <c r="V53" s="21"/>
      <c r="W53" s="21"/>
      <c r="X53" s="21" t="s">
        <v>28</v>
      </c>
    </row>
    <row r="54" customFormat="false" ht="15.75" hidden="false" customHeight="false" outlineLevel="0" collapsed="false">
      <c r="A54" s="21" t="n">
        <v>7343</v>
      </c>
      <c r="B54" s="29" t="n">
        <v>45085</v>
      </c>
      <c r="C54" s="21" t="s">
        <v>703</v>
      </c>
      <c r="D54" s="21" t="s">
        <v>24</v>
      </c>
      <c r="E54" s="21" t="s">
        <v>25</v>
      </c>
      <c r="F54" s="21" t="s">
        <v>1755</v>
      </c>
      <c r="G54" s="30"/>
      <c r="H54" s="31"/>
      <c r="I54" s="21"/>
      <c r="J54" s="21"/>
      <c r="K54" s="21"/>
      <c r="L54" s="21"/>
      <c r="M54" s="21"/>
      <c r="N54" s="30"/>
      <c r="O54" s="21"/>
      <c r="P54" s="21"/>
      <c r="Q54" s="21"/>
      <c r="R54" s="32"/>
      <c r="S54" s="32"/>
      <c r="T54" s="21"/>
      <c r="U54" s="21"/>
      <c r="V54" s="21"/>
      <c r="W54" s="21"/>
      <c r="X54" s="21" t="s">
        <v>28</v>
      </c>
    </row>
    <row r="55" customFormat="false" ht="15.75" hidden="false" customHeight="false" outlineLevel="0" collapsed="false">
      <c r="A55" s="21" t="n">
        <v>7344</v>
      </c>
      <c r="B55" s="29" t="n">
        <v>45085</v>
      </c>
      <c r="C55" s="21" t="s">
        <v>703</v>
      </c>
      <c r="D55" s="21" t="s">
        <v>24</v>
      </c>
      <c r="E55" s="21" t="s">
        <v>25</v>
      </c>
      <c r="F55" s="21" t="s">
        <v>1756</v>
      </c>
      <c r="G55" s="30"/>
      <c r="H55" s="31"/>
      <c r="I55" s="21"/>
      <c r="J55" s="21"/>
      <c r="K55" s="21"/>
      <c r="L55" s="21"/>
      <c r="M55" s="21"/>
      <c r="N55" s="30"/>
      <c r="O55" s="21"/>
      <c r="P55" s="21"/>
      <c r="Q55" s="21"/>
      <c r="R55" s="32"/>
      <c r="S55" s="32"/>
      <c r="T55" s="21" t="s">
        <v>74</v>
      </c>
      <c r="U55" s="46" t="s">
        <v>28</v>
      </c>
      <c r="V55" s="46" t="s">
        <v>28</v>
      </c>
      <c r="W55" s="21" t="s">
        <v>36</v>
      </c>
      <c r="X55" s="21" t="s">
        <v>28</v>
      </c>
    </row>
    <row r="56" customFormat="false" ht="15.75" hidden="false" customHeight="false" outlineLevel="0" collapsed="false">
      <c r="A56" s="21" t="n">
        <v>7345</v>
      </c>
      <c r="B56" s="29" t="n">
        <v>45085</v>
      </c>
      <c r="C56" s="21" t="s">
        <v>1757</v>
      </c>
      <c r="D56" s="21" t="s">
        <v>24</v>
      </c>
      <c r="E56" s="21" t="s">
        <v>25</v>
      </c>
      <c r="F56" s="21" t="s">
        <v>1756</v>
      </c>
      <c r="G56" s="30"/>
      <c r="H56" s="31"/>
      <c r="I56" s="21"/>
      <c r="J56" s="21"/>
      <c r="K56" s="21"/>
      <c r="L56" s="21"/>
      <c r="M56" s="21"/>
      <c r="N56" s="30"/>
      <c r="O56" s="21"/>
      <c r="P56" s="21"/>
      <c r="Q56" s="21"/>
      <c r="R56" s="32"/>
      <c r="S56" s="32"/>
      <c r="T56" s="21" t="s">
        <v>74</v>
      </c>
      <c r="U56" s="46" t="s">
        <v>28</v>
      </c>
      <c r="V56" s="46" t="s">
        <v>28</v>
      </c>
      <c r="W56" s="21" t="s">
        <v>36</v>
      </c>
      <c r="X56" s="21" t="s">
        <v>28</v>
      </c>
    </row>
    <row r="57" customFormat="false" ht="15.75" hidden="false" customHeight="false" outlineLevel="0" collapsed="false">
      <c r="A57" s="21" t="n">
        <v>7346</v>
      </c>
      <c r="B57" s="29" t="n">
        <v>45091</v>
      </c>
      <c r="C57" s="21" t="s">
        <v>904</v>
      </c>
      <c r="D57" s="21" t="s">
        <v>24</v>
      </c>
      <c r="E57" s="21" t="s">
        <v>25</v>
      </c>
      <c r="F57" s="21" t="s">
        <v>1758</v>
      </c>
      <c r="G57" s="30" t="s">
        <v>1759</v>
      </c>
      <c r="H57" s="45" t="str">
        <f aca="false">HYPERLINK("https://photos.app.goo.gl/ntAob8XNVyRXikJ77", "Completo")</f>
        <v>Completo</v>
      </c>
      <c r="I57" s="21" t="s">
        <v>28</v>
      </c>
      <c r="J57" s="21" t="s">
        <v>29</v>
      </c>
      <c r="K57" s="21" t="s">
        <v>29</v>
      </c>
      <c r="L57" s="21"/>
      <c r="M57" s="21" t="s">
        <v>1760</v>
      </c>
      <c r="N57" s="30"/>
      <c r="O57" s="21"/>
      <c r="P57" s="21"/>
      <c r="Q57" s="21"/>
      <c r="R57" s="32"/>
      <c r="S57" s="32"/>
      <c r="T57" s="21" t="s">
        <v>74</v>
      </c>
      <c r="U57" s="46" t="s">
        <v>28</v>
      </c>
      <c r="V57" s="21" t="s">
        <v>37</v>
      </c>
      <c r="W57" s="21" t="s">
        <v>36</v>
      </c>
      <c r="X57" s="21" t="s">
        <v>28</v>
      </c>
    </row>
    <row r="58" customFormat="false" ht="15.75" hidden="false" customHeight="false" outlineLevel="0" collapsed="false">
      <c r="A58" s="21" t="n">
        <v>7347</v>
      </c>
      <c r="B58" s="29" t="n">
        <v>45091</v>
      </c>
      <c r="C58" s="21" t="s">
        <v>703</v>
      </c>
      <c r="D58" s="21" t="s">
        <v>24</v>
      </c>
      <c r="E58" s="21" t="s">
        <v>25</v>
      </c>
      <c r="F58" s="21" t="s">
        <v>1761</v>
      </c>
      <c r="G58" s="30" t="s">
        <v>1762</v>
      </c>
      <c r="H58" s="45" t="str">
        <f aca="false">HYPERLINK("https://photos.app.goo.gl/dj9ALyhEkfbWwxnk6", "Completo")</f>
        <v>Completo</v>
      </c>
      <c r="I58" s="21" t="s">
        <v>28</v>
      </c>
      <c r="J58" s="21" t="s">
        <v>29</v>
      </c>
      <c r="K58" s="21" t="s">
        <v>29</v>
      </c>
      <c r="L58" s="21" t="n">
        <v>49205</v>
      </c>
      <c r="M58" s="21"/>
      <c r="N58" s="30"/>
      <c r="O58" s="21"/>
      <c r="P58" s="21"/>
      <c r="Q58" s="21"/>
      <c r="R58" s="32"/>
      <c r="S58" s="32"/>
      <c r="T58" s="21" t="s">
        <v>74</v>
      </c>
      <c r="U58" s="46" t="s">
        <v>28</v>
      </c>
      <c r="V58" s="46" t="s">
        <v>28</v>
      </c>
      <c r="W58" s="21" t="s">
        <v>36</v>
      </c>
      <c r="X58" s="21" t="s">
        <v>28</v>
      </c>
    </row>
    <row r="59" customFormat="false" ht="15.75" hidden="false" customHeight="false" outlineLevel="0" collapsed="false">
      <c r="A59" s="21" t="n">
        <v>7348</v>
      </c>
      <c r="B59" s="29" t="n">
        <v>45092</v>
      </c>
      <c r="C59" s="21" t="s">
        <v>1290</v>
      </c>
      <c r="D59" s="21" t="s">
        <v>24</v>
      </c>
      <c r="E59" s="21" t="s">
        <v>25</v>
      </c>
      <c r="F59" s="21" t="s">
        <v>1763</v>
      </c>
      <c r="G59" s="30"/>
      <c r="H59" s="31"/>
      <c r="I59" s="21"/>
      <c r="J59" s="21"/>
      <c r="K59" s="21"/>
      <c r="L59" s="21"/>
      <c r="M59" s="21"/>
      <c r="N59" s="30"/>
      <c r="O59" s="21"/>
      <c r="P59" s="21"/>
      <c r="Q59" s="21"/>
      <c r="R59" s="32"/>
      <c r="S59" s="32"/>
      <c r="T59" s="21"/>
      <c r="U59" s="21"/>
      <c r="V59" s="21"/>
      <c r="W59" s="21"/>
      <c r="X59" s="21" t="s">
        <v>28</v>
      </c>
    </row>
    <row r="60" customFormat="false" ht="15.75" hidden="false" customHeight="false" outlineLevel="0" collapsed="false">
      <c r="A60" s="21" t="n">
        <v>7349</v>
      </c>
      <c r="B60" s="29" t="n">
        <v>45093</v>
      </c>
      <c r="C60" s="21" t="s">
        <v>841</v>
      </c>
      <c r="D60" s="21" t="s">
        <v>24</v>
      </c>
      <c r="E60" s="21" t="s">
        <v>34</v>
      </c>
      <c r="F60" s="21" t="s">
        <v>1764</v>
      </c>
      <c r="G60" s="30"/>
      <c r="H60" s="31"/>
      <c r="I60" s="21"/>
      <c r="J60" s="21"/>
      <c r="K60" s="21"/>
      <c r="L60" s="21"/>
      <c r="M60" s="21"/>
      <c r="N60" s="30"/>
      <c r="O60" s="21"/>
      <c r="P60" s="21"/>
      <c r="Q60" s="21"/>
      <c r="R60" s="32"/>
      <c r="S60" s="32"/>
      <c r="T60" s="21"/>
      <c r="U60" s="21"/>
      <c r="V60" s="21"/>
      <c r="W60" s="21"/>
      <c r="X60" s="21" t="s">
        <v>28</v>
      </c>
    </row>
    <row r="61" customFormat="false" ht="15.75" hidden="false" customHeight="false" outlineLevel="0" collapsed="false">
      <c r="A61" s="21" t="n">
        <v>7350</v>
      </c>
      <c r="B61" s="29" t="n">
        <v>45093</v>
      </c>
      <c r="C61" s="21" t="s">
        <v>1765</v>
      </c>
      <c r="D61" s="21" t="s">
        <v>24</v>
      </c>
      <c r="E61" s="21" t="s">
        <v>34</v>
      </c>
      <c r="F61" s="21" t="s">
        <v>1766</v>
      </c>
      <c r="G61" s="30"/>
      <c r="H61" s="31"/>
      <c r="I61" s="21"/>
      <c r="J61" s="21"/>
      <c r="K61" s="21"/>
      <c r="L61" s="21"/>
      <c r="M61" s="21"/>
      <c r="N61" s="30"/>
      <c r="O61" s="21"/>
      <c r="P61" s="21"/>
      <c r="Q61" s="21"/>
      <c r="R61" s="32"/>
      <c r="S61" s="32"/>
      <c r="T61" s="21"/>
      <c r="U61" s="21"/>
      <c r="V61" s="21"/>
      <c r="W61" s="21"/>
      <c r="X61" s="21" t="s">
        <v>28</v>
      </c>
    </row>
    <row r="62" customFormat="false" ht="15.75" hidden="false" customHeight="false" outlineLevel="0" collapsed="false">
      <c r="A62" s="21" t="n">
        <v>7351</v>
      </c>
      <c r="B62" s="29" t="n">
        <v>45093</v>
      </c>
      <c r="C62" s="21" t="s">
        <v>1767</v>
      </c>
      <c r="D62" s="21" t="s">
        <v>24</v>
      </c>
      <c r="E62" s="21" t="s">
        <v>34</v>
      </c>
      <c r="F62" s="21" t="s">
        <v>1768</v>
      </c>
      <c r="G62" s="30"/>
      <c r="H62" s="31"/>
      <c r="I62" s="21"/>
      <c r="J62" s="21"/>
      <c r="K62" s="21"/>
      <c r="L62" s="21"/>
      <c r="M62" s="21"/>
      <c r="N62" s="30"/>
      <c r="O62" s="21"/>
      <c r="P62" s="21"/>
      <c r="Q62" s="21"/>
      <c r="R62" s="32"/>
      <c r="S62" s="32"/>
      <c r="T62" s="21"/>
      <c r="U62" s="21"/>
      <c r="V62" s="21"/>
      <c r="W62" s="21"/>
      <c r="X62" s="21" t="s">
        <v>28</v>
      </c>
    </row>
    <row r="63" customFormat="false" ht="15.75" hidden="false" customHeight="false" outlineLevel="0" collapsed="false">
      <c r="A63" s="21" t="n">
        <v>7352</v>
      </c>
      <c r="B63" s="29" t="n">
        <v>45098</v>
      </c>
      <c r="C63" s="21" t="s">
        <v>904</v>
      </c>
      <c r="D63" s="21" t="s">
        <v>24</v>
      </c>
      <c r="E63" s="21" t="s">
        <v>25</v>
      </c>
      <c r="F63" s="21" t="s">
        <v>1758</v>
      </c>
      <c r="G63" s="30" t="s">
        <v>1769</v>
      </c>
      <c r="H63" s="45" t="str">
        <f aca="false">HYPERLINK("https://photos.app.goo.gl/j7kmoUN1MjZ5tJxZ7", "Completo")</f>
        <v>Completo</v>
      </c>
      <c r="I63" s="21" t="s">
        <v>28</v>
      </c>
      <c r="J63" s="21" t="s">
        <v>29</v>
      </c>
      <c r="K63" s="21" t="s">
        <v>29</v>
      </c>
      <c r="L63" s="21" t="s">
        <v>1760</v>
      </c>
      <c r="M63" s="21"/>
      <c r="N63" s="30"/>
      <c r="O63" s="21"/>
      <c r="P63" s="21"/>
      <c r="Q63" s="21"/>
      <c r="R63" s="32"/>
      <c r="S63" s="32"/>
      <c r="T63" s="21" t="s">
        <v>74</v>
      </c>
      <c r="U63" s="46" t="s">
        <v>28</v>
      </c>
      <c r="V63" s="21" t="s">
        <v>37</v>
      </c>
      <c r="W63" s="21" t="s">
        <v>36</v>
      </c>
      <c r="X63" s="21" t="s">
        <v>28</v>
      </c>
    </row>
    <row r="64" customFormat="false" ht="15.75" hidden="false" customHeight="false" outlineLevel="0" collapsed="false">
      <c r="A64" s="21" t="n">
        <v>7353</v>
      </c>
      <c r="B64" s="29" t="n">
        <v>45098</v>
      </c>
      <c r="C64" s="21" t="s">
        <v>1770</v>
      </c>
      <c r="D64" s="21" t="s">
        <v>24</v>
      </c>
      <c r="E64" s="21" t="s">
        <v>25</v>
      </c>
      <c r="F64" s="21" t="s">
        <v>1771</v>
      </c>
      <c r="G64" s="30" t="s">
        <v>1772</v>
      </c>
      <c r="H64" s="45" t="str">
        <f aca="false">HYPERLINK("https://photos.app.goo.gl/mziNLhJXxuxHLCTY8", "Completo")</f>
        <v>Completo</v>
      </c>
      <c r="I64" s="21" t="s">
        <v>28</v>
      </c>
      <c r="J64" s="21" t="s">
        <v>1179</v>
      </c>
      <c r="K64" s="21" t="s">
        <v>29</v>
      </c>
      <c r="L64" s="21" t="s">
        <v>29</v>
      </c>
      <c r="M64" s="21"/>
      <c r="N64" s="30"/>
      <c r="O64" s="21"/>
      <c r="P64" s="21"/>
      <c r="Q64" s="21"/>
      <c r="R64" s="32"/>
      <c r="S64" s="32"/>
      <c r="T64" s="21"/>
      <c r="U64" s="21"/>
      <c r="V64" s="21"/>
      <c r="W64" s="21"/>
      <c r="X64" s="21" t="s">
        <v>28</v>
      </c>
    </row>
    <row r="65" customFormat="false" ht="15.75" hidden="false" customHeight="false" outlineLevel="0" collapsed="false">
      <c r="A65" s="21" t="n">
        <v>7354</v>
      </c>
      <c r="B65" s="29" t="n">
        <v>45098</v>
      </c>
      <c r="C65" s="21" t="s">
        <v>616</v>
      </c>
      <c r="D65" s="21" t="s">
        <v>24</v>
      </c>
      <c r="E65" s="21" t="s">
        <v>34</v>
      </c>
      <c r="F65" s="21" t="s">
        <v>1773</v>
      </c>
      <c r="G65" s="30"/>
      <c r="H65" s="31"/>
      <c r="I65" s="21"/>
      <c r="J65" s="21"/>
      <c r="K65" s="21"/>
      <c r="L65" s="21"/>
      <c r="M65" s="21"/>
      <c r="N65" s="30"/>
      <c r="O65" s="21"/>
      <c r="P65" s="21"/>
      <c r="Q65" s="21"/>
      <c r="R65" s="32"/>
      <c r="S65" s="32"/>
      <c r="T65" s="21"/>
      <c r="U65" s="21"/>
      <c r="V65" s="21"/>
      <c r="W65" s="21"/>
      <c r="X65" s="21" t="s">
        <v>28</v>
      </c>
    </row>
    <row r="66" customFormat="false" ht="15.75" hidden="false" customHeight="false" outlineLevel="0" collapsed="false">
      <c r="A66" s="21" t="n">
        <v>7355</v>
      </c>
      <c r="B66" s="29" t="n">
        <v>45099</v>
      </c>
      <c r="C66" s="21" t="s">
        <v>75</v>
      </c>
      <c r="D66" s="21" t="s">
        <v>24</v>
      </c>
      <c r="E66" s="21" t="s">
        <v>25</v>
      </c>
      <c r="F66" s="21" t="s">
        <v>1774</v>
      </c>
      <c r="G66" s="30" t="s">
        <v>1775</v>
      </c>
      <c r="H66" s="45" t="str">
        <f aca="false">HYPERLINK("https://photos.app.goo.gl/zKM3pQNSmDfRKk928", "Completo")</f>
        <v>Completo</v>
      </c>
      <c r="I66" s="21" t="s">
        <v>28</v>
      </c>
      <c r="J66" s="21" t="s">
        <v>29</v>
      </c>
      <c r="K66" s="21" t="s">
        <v>29</v>
      </c>
      <c r="L66" s="21" t="s">
        <v>29</v>
      </c>
      <c r="M66" s="21"/>
      <c r="N66" s="30"/>
      <c r="O66" s="21"/>
      <c r="P66" s="21"/>
      <c r="Q66" s="21"/>
      <c r="R66" s="32"/>
      <c r="S66" s="32"/>
      <c r="T66" s="21"/>
      <c r="U66" s="21"/>
      <c r="V66" s="21"/>
      <c r="W66" s="21"/>
      <c r="X66" s="21" t="s">
        <v>28</v>
      </c>
    </row>
    <row r="67" customFormat="false" ht="15.75" hidden="false" customHeight="false" outlineLevel="0" collapsed="false">
      <c r="A67" s="21" t="n">
        <v>7356</v>
      </c>
      <c r="B67" s="29" t="n">
        <v>45099</v>
      </c>
      <c r="C67" s="21" t="s">
        <v>1776</v>
      </c>
      <c r="D67" s="21" t="s">
        <v>24</v>
      </c>
      <c r="E67" s="21" t="s">
        <v>25</v>
      </c>
      <c r="F67" s="21" t="s">
        <v>1777</v>
      </c>
      <c r="G67" s="30"/>
      <c r="H67" s="45" t="str">
        <f aca="false">HYPERLINK("https://photos.app.goo.gl/Cy1uDSohHdiCqaJA7", "Completo")</f>
        <v>Completo</v>
      </c>
      <c r="I67" s="21" t="s">
        <v>28</v>
      </c>
      <c r="J67" s="21" t="s">
        <v>1778</v>
      </c>
      <c r="K67" s="21"/>
      <c r="L67" s="21" t="s">
        <v>1779</v>
      </c>
      <c r="M67" s="21"/>
      <c r="N67" s="30"/>
      <c r="O67" s="21"/>
      <c r="P67" s="21"/>
      <c r="Q67" s="21"/>
      <c r="R67" s="32"/>
      <c r="S67" s="32"/>
      <c r="T67" s="21"/>
      <c r="U67" s="21"/>
      <c r="V67" s="21"/>
      <c r="W67" s="21"/>
      <c r="X67" s="21" t="s">
        <v>28</v>
      </c>
    </row>
    <row r="68" customFormat="false" ht="15.75" hidden="false" customHeight="false" outlineLevel="0" collapsed="false">
      <c r="A68" s="21" t="n">
        <v>7357</v>
      </c>
      <c r="B68" s="29" t="n">
        <v>45099</v>
      </c>
      <c r="C68" s="21" t="s">
        <v>593</v>
      </c>
      <c r="D68" s="21" t="s">
        <v>24</v>
      </c>
      <c r="E68" s="21" t="s">
        <v>34</v>
      </c>
      <c r="F68" s="21" t="s">
        <v>1780</v>
      </c>
      <c r="G68" s="30"/>
      <c r="H68" s="31"/>
      <c r="I68" s="21"/>
      <c r="J68" s="21"/>
      <c r="K68" s="21"/>
      <c r="L68" s="21"/>
      <c r="M68" s="21"/>
      <c r="N68" s="30"/>
      <c r="O68" s="21"/>
      <c r="P68" s="21"/>
      <c r="Q68" s="21"/>
      <c r="R68" s="32"/>
      <c r="S68" s="32"/>
      <c r="T68" s="21"/>
      <c r="U68" s="21"/>
      <c r="V68" s="21"/>
      <c r="W68" s="21"/>
      <c r="X68" s="21" t="s">
        <v>28</v>
      </c>
    </row>
    <row r="69" customFormat="false" ht="15.75" hidden="false" customHeight="false" outlineLevel="0" collapsed="false">
      <c r="A69" s="21" t="n">
        <v>7358</v>
      </c>
      <c r="B69" s="29" t="n">
        <v>45099</v>
      </c>
      <c r="C69" s="21" t="s">
        <v>1781</v>
      </c>
      <c r="D69" s="21" t="s">
        <v>24</v>
      </c>
      <c r="E69" s="21" t="s">
        <v>25</v>
      </c>
      <c r="F69" s="21" t="s">
        <v>1782</v>
      </c>
      <c r="G69" s="30"/>
      <c r="H69" s="45" t="str">
        <f aca="false">HYPERLINK("https://photos.app.goo.gl/RV8CjLTmioXLbv2J9", "Completo")</f>
        <v>Completo</v>
      </c>
      <c r="I69" s="21" t="s">
        <v>28</v>
      </c>
      <c r="J69" s="21"/>
      <c r="K69" s="21"/>
      <c r="L69" s="21"/>
      <c r="M69" s="21"/>
      <c r="N69" s="30"/>
      <c r="O69" s="21"/>
      <c r="P69" s="21"/>
      <c r="Q69" s="21"/>
      <c r="R69" s="32"/>
      <c r="S69" s="32"/>
      <c r="T69" s="21"/>
      <c r="U69" s="21"/>
      <c r="V69" s="21"/>
      <c r="W69" s="21"/>
      <c r="X69" s="21" t="s">
        <v>28</v>
      </c>
    </row>
    <row r="70" customFormat="false" ht="15.75" hidden="false" customHeight="false" outlineLevel="0" collapsed="false">
      <c r="A70" s="62" t="n">
        <v>1278625</v>
      </c>
      <c r="B70" s="29" t="n">
        <v>45100</v>
      </c>
      <c r="C70" s="21" t="s">
        <v>75</v>
      </c>
      <c r="D70" s="21" t="s">
        <v>24</v>
      </c>
      <c r="E70" s="21" t="s">
        <v>25</v>
      </c>
      <c r="F70" s="21" t="s">
        <v>1783</v>
      </c>
      <c r="G70" s="30" t="s">
        <v>1784</v>
      </c>
      <c r="H70" s="45" t="str">
        <f aca="false">HYPERLINK("https://photos.app.goo.gl/ugP6jzHckHETMJ6X7", "Completo")</f>
        <v>Completo</v>
      </c>
      <c r="I70" s="21" t="s">
        <v>28</v>
      </c>
      <c r="J70" s="21" t="s">
        <v>29</v>
      </c>
      <c r="K70" s="21" t="s">
        <v>29</v>
      </c>
      <c r="L70" s="21" t="s">
        <v>29</v>
      </c>
      <c r="M70" s="21" t="s">
        <v>29</v>
      </c>
      <c r="N70" s="30"/>
      <c r="O70" s="21"/>
      <c r="P70" s="21"/>
      <c r="Q70" s="21"/>
      <c r="R70" s="32"/>
      <c r="S70" s="32"/>
      <c r="T70" s="21"/>
      <c r="U70" s="21"/>
      <c r="V70" s="21"/>
      <c r="W70" s="21"/>
      <c r="X70" s="21" t="s">
        <v>28</v>
      </c>
    </row>
    <row r="71" customFormat="false" ht="15.75" hidden="false" customHeight="false" outlineLevel="0" collapsed="false">
      <c r="A71" s="21" t="s">
        <v>1785</v>
      </c>
      <c r="B71" s="29" t="n">
        <v>45100</v>
      </c>
      <c r="C71" s="21" t="s">
        <v>75</v>
      </c>
      <c r="D71" s="21" t="s">
        <v>24</v>
      </c>
      <c r="E71" s="21" t="s">
        <v>25</v>
      </c>
      <c r="F71" s="21" t="s">
        <v>1786</v>
      </c>
      <c r="G71" s="30" t="s">
        <v>1787</v>
      </c>
      <c r="H71" s="45" t="str">
        <f aca="false">HYPERLINK("https://photos.app.goo.gl/unc1PhevYnfYu8Jm8", "Completo")</f>
        <v>Completo</v>
      </c>
      <c r="I71" s="21" t="s">
        <v>28</v>
      </c>
      <c r="J71" s="21" t="s">
        <v>29</v>
      </c>
      <c r="K71" s="21" t="s">
        <v>29</v>
      </c>
      <c r="L71" s="21" t="s">
        <v>29</v>
      </c>
      <c r="M71" s="21"/>
      <c r="N71" s="30"/>
      <c r="O71" s="21"/>
      <c r="P71" s="21"/>
      <c r="Q71" s="21"/>
      <c r="R71" s="32"/>
      <c r="S71" s="32"/>
      <c r="T71" s="21"/>
      <c r="U71" s="21"/>
      <c r="V71" s="21"/>
      <c r="W71" s="21"/>
      <c r="X71" s="21" t="s">
        <v>28</v>
      </c>
    </row>
    <row r="72" customFormat="false" ht="15.75" hidden="false" customHeight="false" outlineLevel="0" collapsed="false">
      <c r="A72" s="21" t="n">
        <v>7360</v>
      </c>
      <c r="B72" s="29" t="n">
        <v>45100</v>
      </c>
      <c r="C72" s="21" t="s">
        <v>357</v>
      </c>
      <c r="D72" s="21" t="s">
        <v>24</v>
      </c>
      <c r="E72" s="21" t="s">
        <v>25</v>
      </c>
      <c r="F72" s="21" t="s">
        <v>1788</v>
      </c>
      <c r="G72" s="30"/>
      <c r="H72" s="45" t="str">
        <f aca="false">HYPERLINK("https://photos.app.goo.gl/oShbrhEhSR66xLte7", "Completo")</f>
        <v>Completo</v>
      </c>
      <c r="I72" s="21" t="s">
        <v>28</v>
      </c>
      <c r="J72" s="21" t="s">
        <v>29</v>
      </c>
      <c r="K72" s="21" t="s">
        <v>29</v>
      </c>
      <c r="L72" s="21" t="s">
        <v>1789</v>
      </c>
      <c r="M72" s="21"/>
      <c r="N72" s="30"/>
      <c r="O72" s="21"/>
      <c r="P72" s="21"/>
      <c r="Q72" s="21"/>
      <c r="R72" s="32"/>
      <c r="S72" s="32"/>
      <c r="T72" s="21"/>
      <c r="U72" s="21"/>
      <c r="V72" s="21"/>
      <c r="W72" s="21"/>
      <c r="X72" s="21" t="s">
        <v>28</v>
      </c>
    </row>
    <row r="73" customFormat="false" ht="15.75" hidden="false" customHeight="false" outlineLevel="0" collapsed="false">
      <c r="A73" s="21" t="n">
        <v>7361</v>
      </c>
      <c r="B73" s="29" t="n">
        <v>45100</v>
      </c>
      <c r="C73" s="21" t="s">
        <v>389</v>
      </c>
      <c r="D73" s="21" t="s">
        <v>24</v>
      </c>
      <c r="E73" s="21" t="s">
        <v>25</v>
      </c>
      <c r="F73" s="21" t="s">
        <v>1790</v>
      </c>
      <c r="G73" s="30"/>
      <c r="H73" s="45" t="str">
        <f aca="false">HYPERLINK("https://photos.app.goo.gl/phSte5TLRE3ZfQHv9", "Completo")</f>
        <v>Completo</v>
      </c>
      <c r="I73" s="21" t="s">
        <v>28</v>
      </c>
      <c r="J73" s="21" t="s">
        <v>29</v>
      </c>
      <c r="K73" s="21" t="s">
        <v>29</v>
      </c>
      <c r="L73" s="21" t="s">
        <v>29</v>
      </c>
      <c r="M73" s="21" t="s">
        <v>1791</v>
      </c>
      <c r="N73" s="30"/>
      <c r="O73" s="21"/>
      <c r="P73" s="21"/>
      <c r="Q73" s="21"/>
      <c r="R73" s="32"/>
      <c r="S73" s="32"/>
      <c r="T73" s="21"/>
      <c r="U73" s="21"/>
      <c r="V73" s="21"/>
      <c r="W73" s="21"/>
      <c r="X73" s="21" t="s">
        <v>28</v>
      </c>
    </row>
    <row r="74" customFormat="false" ht="15.75" hidden="false" customHeight="false" outlineLevel="0" collapsed="false">
      <c r="A74" s="21" t="n">
        <v>7359</v>
      </c>
      <c r="B74" s="29" t="n">
        <v>45100</v>
      </c>
      <c r="C74" s="21" t="s">
        <v>675</v>
      </c>
      <c r="D74" s="21" t="s">
        <v>24</v>
      </c>
      <c r="E74" s="21" t="s">
        <v>25</v>
      </c>
      <c r="F74" s="21" t="s">
        <v>1792</v>
      </c>
      <c r="G74" s="30" t="s">
        <v>1793</v>
      </c>
      <c r="H74" s="45" t="str">
        <f aca="false">HYPERLINK("https://photos.app.goo.gl/bTxqCGrXkYZnczzJ8", "Completo")</f>
        <v>Completo</v>
      </c>
      <c r="I74" s="21" t="s">
        <v>28</v>
      </c>
      <c r="J74" s="21" t="s">
        <v>29</v>
      </c>
      <c r="K74" s="21" t="s">
        <v>29</v>
      </c>
      <c r="L74" s="21" t="s">
        <v>29</v>
      </c>
      <c r="M74" s="21"/>
      <c r="N74" s="30"/>
      <c r="O74" s="21"/>
      <c r="P74" s="21"/>
      <c r="Q74" s="21"/>
      <c r="R74" s="32"/>
      <c r="S74" s="32"/>
      <c r="T74" s="21"/>
      <c r="U74" s="21"/>
      <c r="V74" s="21"/>
      <c r="W74" s="21"/>
      <c r="X74" s="21" t="s">
        <v>28</v>
      </c>
    </row>
    <row r="75" customFormat="false" ht="15.75" hidden="false" customHeight="false" outlineLevel="0" collapsed="false">
      <c r="A75" s="21" t="n">
        <v>7362</v>
      </c>
      <c r="B75" s="29" t="n">
        <v>45103</v>
      </c>
      <c r="C75" s="21" t="s">
        <v>1484</v>
      </c>
      <c r="D75" s="21" t="s">
        <v>24</v>
      </c>
      <c r="E75" s="21" t="s">
        <v>25</v>
      </c>
      <c r="F75" s="21" t="s">
        <v>1072</v>
      </c>
      <c r="G75" s="30" t="s">
        <v>1794</v>
      </c>
      <c r="H75" s="45" t="str">
        <f aca="false">HYPERLINK("https://photos.app.goo.gl/z5yMGrgjocQn5utY9", "Completo")</f>
        <v>Completo</v>
      </c>
      <c r="I75" s="21" t="s">
        <v>28</v>
      </c>
      <c r="J75" s="21"/>
      <c r="K75" s="21"/>
      <c r="L75" s="21"/>
      <c r="M75" s="21"/>
      <c r="N75" s="30"/>
      <c r="O75" s="21"/>
      <c r="P75" s="21"/>
      <c r="Q75" s="21"/>
      <c r="R75" s="32"/>
      <c r="S75" s="32"/>
      <c r="T75" s="21"/>
      <c r="U75" s="21"/>
      <c r="V75" s="21"/>
      <c r="W75" s="21"/>
      <c r="X75" s="21" t="s">
        <v>28</v>
      </c>
    </row>
    <row r="76" customFormat="false" ht="15.75" hidden="false" customHeight="false" outlineLevel="0" collapsed="false">
      <c r="A76" s="21" t="n">
        <v>7363</v>
      </c>
      <c r="B76" s="29" t="n">
        <v>45103</v>
      </c>
      <c r="C76" s="21" t="s">
        <v>1550</v>
      </c>
      <c r="D76" s="21" t="s">
        <v>24</v>
      </c>
      <c r="E76" s="21" t="s">
        <v>34</v>
      </c>
      <c r="F76" s="21" t="s">
        <v>1795</v>
      </c>
      <c r="G76" s="30"/>
      <c r="H76" s="31"/>
      <c r="I76" s="21"/>
      <c r="J76" s="21"/>
      <c r="K76" s="21"/>
      <c r="L76" s="21"/>
      <c r="M76" s="21"/>
      <c r="N76" s="30"/>
      <c r="O76" s="21"/>
      <c r="P76" s="21"/>
      <c r="Q76" s="21"/>
      <c r="R76" s="32"/>
      <c r="S76" s="32"/>
      <c r="T76" s="21"/>
      <c r="U76" s="21"/>
      <c r="V76" s="21"/>
      <c r="W76" s="21"/>
      <c r="X76" s="21" t="s">
        <v>28</v>
      </c>
    </row>
    <row r="77" customFormat="false" ht="15.75" hidden="false" customHeight="false" outlineLevel="0" collapsed="false">
      <c r="A77" s="21" t="n">
        <v>7364</v>
      </c>
      <c r="B77" s="29" t="n">
        <v>45103</v>
      </c>
      <c r="C77" s="21" t="s">
        <v>154</v>
      </c>
      <c r="D77" s="21" t="s">
        <v>24</v>
      </c>
      <c r="E77" s="21" t="s">
        <v>25</v>
      </c>
      <c r="F77" s="21" t="s">
        <v>1796</v>
      </c>
      <c r="G77" s="30" t="s">
        <v>1797</v>
      </c>
      <c r="H77" s="45" t="str">
        <f aca="false">HYPERLINK("https://photos.app.goo.gl/ydNDmgnc7kUwg6Ur5", "Completo")</f>
        <v>Completo</v>
      </c>
      <c r="I77" s="21" t="s">
        <v>28</v>
      </c>
      <c r="J77" s="21" t="s">
        <v>1798</v>
      </c>
      <c r="K77" s="21"/>
      <c r="L77" s="21"/>
      <c r="M77" s="21"/>
      <c r="N77" s="30"/>
      <c r="O77" s="21"/>
      <c r="P77" s="21"/>
      <c r="Q77" s="21"/>
      <c r="R77" s="32"/>
      <c r="S77" s="32"/>
      <c r="T77" s="21"/>
      <c r="U77" s="21"/>
      <c r="V77" s="21"/>
      <c r="W77" s="21"/>
      <c r="X77" s="21" t="s">
        <v>28</v>
      </c>
    </row>
    <row r="78" customFormat="false" ht="15.75" hidden="false" customHeight="false" outlineLevel="0" collapsed="false">
      <c r="A78" s="21" t="n">
        <v>7365</v>
      </c>
      <c r="B78" s="29" t="n">
        <v>45103</v>
      </c>
      <c r="C78" s="21" t="s">
        <v>154</v>
      </c>
      <c r="D78" s="21" t="s">
        <v>24</v>
      </c>
      <c r="E78" s="21" t="s">
        <v>25</v>
      </c>
      <c r="F78" s="21" t="s">
        <v>1796</v>
      </c>
      <c r="G78" s="30" t="s">
        <v>1797</v>
      </c>
      <c r="H78" s="45" t="str">
        <f aca="false">HYPERLINK("https://photos.app.goo.gl/J2q3EMpQ2cJbqFN98", "Completo")</f>
        <v>Completo</v>
      </c>
      <c r="I78" s="21" t="s">
        <v>28</v>
      </c>
      <c r="J78" s="21" t="s">
        <v>1799</v>
      </c>
      <c r="K78" s="21"/>
      <c r="L78" s="21"/>
      <c r="M78" s="21"/>
      <c r="N78" s="30"/>
      <c r="O78" s="21"/>
      <c r="P78" s="21"/>
      <c r="Q78" s="21"/>
      <c r="R78" s="32"/>
      <c r="S78" s="32"/>
      <c r="T78" s="21"/>
      <c r="U78" s="21"/>
      <c r="V78" s="21"/>
      <c r="W78" s="21"/>
      <c r="X78" s="21" t="s">
        <v>28</v>
      </c>
    </row>
    <row r="79" customFormat="false" ht="15.75" hidden="false" customHeight="false" outlineLevel="0" collapsed="false">
      <c r="A79" s="21" t="n">
        <v>7366</v>
      </c>
      <c r="B79" s="29" t="n">
        <v>45104</v>
      </c>
      <c r="C79" s="21" t="s">
        <v>730</v>
      </c>
      <c r="D79" s="21" t="s">
        <v>24</v>
      </c>
      <c r="E79" s="21" t="s">
        <v>34</v>
      </c>
      <c r="F79" s="21" t="s">
        <v>1800</v>
      </c>
      <c r="G79" s="30"/>
      <c r="H79" s="31"/>
      <c r="I79" s="21"/>
      <c r="J79" s="21"/>
      <c r="K79" s="21"/>
      <c r="L79" s="21"/>
      <c r="M79" s="21"/>
      <c r="N79" s="30"/>
      <c r="O79" s="21"/>
      <c r="P79" s="21"/>
      <c r="Q79" s="21"/>
      <c r="R79" s="32"/>
      <c r="S79" s="32"/>
      <c r="T79" s="21"/>
      <c r="U79" s="21"/>
      <c r="V79" s="21"/>
      <c r="W79" s="21"/>
      <c r="X79" s="21" t="s">
        <v>28</v>
      </c>
    </row>
    <row r="80" customFormat="false" ht="15.75" hidden="false" customHeight="false" outlineLevel="0" collapsed="false">
      <c r="A80" s="21" t="n">
        <v>7367</v>
      </c>
      <c r="B80" s="29" t="n">
        <v>45105</v>
      </c>
      <c r="C80" s="21" t="s">
        <v>1801</v>
      </c>
      <c r="D80" s="21" t="s">
        <v>24</v>
      </c>
      <c r="E80" s="21" t="s">
        <v>25</v>
      </c>
      <c r="F80" s="21" t="s">
        <v>1802</v>
      </c>
      <c r="G80" s="30" t="s">
        <v>1803</v>
      </c>
      <c r="H80" s="45" t="str">
        <f aca="false">HYPERLINK("https://photos.app.goo.gl/QwmYoP2ii4SDptQJA", "Completo")</f>
        <v>Completo</v>
      </c>
      <c r="I80" s="21" t="s">
        <v>28</v>
      </c>
      <c r="J80" s="21" t="s">
        <v>29</v>
      </c>
      <c r="K80" s="21" t="s">
        <v>29</v>
      </c>
      <c r="L80" s="21" t="s">
        <v>29</v>
      </c>
      <c r="M80" s="21"/>
      <c r="N80" s="30"/>
      <c r="O80" s="21"/>
      <c r="P80" s="21"/>
      <c r="Q80" s="21"/>
      <c r="R80" s="32"/>
      <c r="S80" s="32"/>
      <c r="T80" s="21"/>
      <c r="U80" s="21"/>
      <c r="V80" s="21"/>
      <c r="W80" s="21"/>
      <c r="X80" s="21" t="s">
        <v>28</v>
      </c>
    </row>
    <row r="81" customFormat="false" ht="15.75" hidden="false" customHeight="false" outlineLevel="0" collapsed="false">
      <c r="A81" s="21" t="n">
        <v>7368</v>
      </c>
      <c r="B81" s="29" t="n">
        <v>37800</v>
      </c>
      <c r="C81" s="21" t="s">
        <v>1801</v>
      </c>
      <c r="D81" s="21" t="s">
        <v>24</v>
      </c>
      <c r="E81" s="21" t="s">
        <v>25</v>
      </c>
      <c r="F81" s="21" t="s">
        <v>1802</v>
      </c>
      <c r="G81" s="30" t="s">
        <v>1803</v>
      </c>
      <c r="H81" s="45" t="str">
        <f aca="false">HYPERLINK("https://photos.app.goo.gl/LA1qe6rCAjBMbNuWA", "Completo")</f>
        <v>Completo</v>
      </c>
      <c r="I81" s="21" t="s">
        <v>28</v>
      </c>
      <c r="J81" s="21" t="s">
        <v>29</v>
      </c>
      <c r="K81" s="21" t="s">
        <v>29</v>
      </c>
      <c r="L81" s="21" t="s">
        <v>29</v>
      </c>
      <c r="M81" s="21"/>
      <c r="N81" s="30"/>
      <c r="O81" s="21"/>
      <c r="P81" s="21"/>
      <c r="Q81" s="21"/>
      <c r="R81" s="32"/>
      <c r="S81" s="32"/>
      <c r="T81" s="21"/>
      <c r="U81" s="21"/>
      <c r="V81" s="21"/>
      <c r="W81" s="21"/>
      <c r="X81" s="21" t="s">
        <v>28</v>
      </c>
    </row>
    <row r="82" customFormat="false" ht="15.75" hidden="false" customHeight="false" outlineLevel="0" collapsed="false">
      <c r="A82" s="21" t="n">
        <v>7369</v>
      </c>
      <c r="B82" s="29" t="n">
        <v>37800</v>
      </c>
      <c r="C82" s="21" t="s">
        <v>593</v>
      </c>
      <c r="D82" s="21" t="s">
        <v>24</v>
      </c>
      <c r="E82" s="21" t="s">
        <v>34</v>
      </c>
      <c r="F82" s="21" t="s">
        <v>1804</v>
      </c>
      <c r="G82" s="30"/>
      <c r="H82" s="31"/>
      <c r="I82" s="21"/>
      <c r="J82" s="21"/>
      <c r="K82" s="21"/>
      <c r="L82" s="21"/>
      <c r="M82" s="21"/>
      <c r="N82" s="30"/>
      <c r="O82" s="21"/>
      <c r="P82" s="21"/>
      <c r="Q82" s="21"/>
      <c r="R82" s="32"/>
      <c r="S82" s="32"/>
      <c r="T82" s="21"/>
      <c r="U82" s="21"/>
      <c r="V82" s="21"/>
      <c r="W82" s="21"/>
      <c r="X82" s="21" t="s">
        <v>28</v>
      </c>
    </row>
    <row r="83" customFormat="false" ht="15.75" hidden="false" customHeight="false" outlineLevel="0" collapsed="false">
      <c r="A83" s="21" t="n">
        <v>7370</v>
      </c>
      <c r="B83" s="29" t="n">
        <v>45106</v>
      </c>
      <c r="C83" s="21" t="s">
        <v>1550</v>
      </c>
      <c r="D83" s="21" t="s">
        <v>24</v>
      </c>
      <c r="E83" s="21" t="s">
        <v>34</v>
      </c>
      <c r="F83" s="21" t="s">
        <v>1805</v>
      </c>
      <c r="G83" s="30"/>
      <c r="H83" s="31"/>
      <c r="I83" s="21"/>
      <c r="J83" s="21"/>
      <c r="K83" s="21"/>
      <c r="L83" s="21"/>
      <c r="M83" s="21"/>
      <c r="N83" s="30"/>
      <c r="O83" s="21"/>
      <c r="P83" s="21"/>
      <c r="Q83" s="21"/>
      <c r="R83" s="32"/>
      <c r="S83" s="32"/>
      <c r="T83" s="21"/>
      <c r="U83" s="21"/>
      <c r="V83" s="21"/>
      <c r="W83" s="21"/>
      <c r="X83" s="21" t="s">
        <v>28</v>
      </c>
    </row>
    <row r="84" customFormat="false" ht="15.75" hidden="false" customHeight="false" outlineLevel="0" collapsed="false">
      <c r="A84" s="21" t="n">
        <v>7371</v>
      </c>
      <c r="B84" s="29" t="n">
        <v>45106</v>
      </c>
      <c r="C84" s="21" t="s">
        <v>1550</v>
      </c>
      <c r="D84" s="21" t="s">
        <v>24</v>
      </c>
      <c r="E84" s="21" t="s">
        <v>34</v>
      </c>
      <c r="F84" s="21" t="s">
        <v>1806</v>
      </c>
      <c r="G84" s="30"/>
      <c r="H84" s="31"/>
      <c r="I84" s="21"/>
      <c r="J84" s="21"/>
      <c r="K84" s="21"/>
      <c r="L84" s="21"/>
      <c r="M84" s="21"/>
      <c r="N84" s="30"/>
      <c r="O84" s="21"/>
      <c r="P84" s="21"/>
      <c r="Q84" s="21"/>
      <c r="R84" s="32"/>
      <c r="S84" s="32"/>
      <c r="T84" s="21"/>
      <c r="U84" s="21"/>
      <c r="V84" s="21"/>
      <c r="W84" s="21"/>
      <c r="X84" s="21" t="s">
        <v>28</v>
      </c>
    </row>
    <row r="85" customFormat="false" ht="15.75" hidden="false" customHeight="false" outlineLevel="0" collapsed="false">
      <c r="A85" s="21" t="n">
        <v>7372</v>
      </c>
      <c r="B85" s="29" t="n">
        <v>45106</v>
      </c>
      <c r="C85" s="21" t="s">
        <v>1550</v>
      </c>
      <c r="D85" s="21" t="s">
        <v>24</v>
      </c>
      <c r="E85" s="21" t="s">
        <v>34</v>
      </c>
      <c r="F85" s="21" t="s">
        <v>1807</v>
      </c>
      <c r="G85" s="30"/>
      <c r="H85" s="31"/>
      <c r="I85" s="21"/>
      <c r="J85" s="21"/>
      <c r="K85" s="21"/>
      <c r="L85" s="21"/>
      <c r="M85" s="21"/>
      <c r="N85" s="30"/>
      <c r="O85" s="21"/>
      <c r="P85" s="21"/>
      <c r="Q85" s="21"/>
      <c r="R85" s="32"/>
      <c r="S85" s="32"/>
      <c r="T85" s="21"/>
      <c r="U85" s="21"/>
      <c r="V85" s="21"/>
      <c r="W85" s="21"/>
      <c r="X85" s="21" t="s">
        <v>28</v>
      </c>
    </row>
    <row r="86" customFormat="false" ht="15.75" hidden="false" customHeight="false" outlineLevel="0" collapsed="false">
      <c r="A86" s="21" t="n">
        <v>7373</v>
      </c>
      <c r="B86" s="29" t="n">
        <v>45107</v>
      </c>
      <c r="C86" s="21" t="s">
        <v>1328</v>
      </c>
      <c r="D86" s="21" t="s">
        <v>24</v>
      </c>
      <c r="E86" s="21" t="s">
        <v>34</v>
      </c>
      <c r="F86" s="21" t="s">
        <v>1808</v>
      </c>
      <c r="G86" s="30"/>
      <c r="H86" s="31"/>
      <c r="I86" s="21"/>
      <c r="J86" s="21"/>
      <c r="K86" s="21"/>
      <c r="L86" s="21"/>
      <c r="M86" s="21"/>
      <c r="N86" s="30"/>
      <c r="O86" s="21"/>
      <c r="P86" s="21"/>
      <c r="Q86" s="21"/>
      <c r="R86" s="32"/>
      <c r="S86" s="32"/>
      <c r="T86" s="21"/>
      <c r="U86" s="21"/>
      <c r="V86" s="21"/>
      <c r="W86" s="21"/>
      <c r="X86" s="21" t="s">
        <v>28</v>
      </c>
    </row>
    <row r="87" customFormat="false" ht="15.75" hidden="false" customHeight="false" outlineLevel="0" collapsed="false">
      <c r="A87" s="21" t="n">
        <v>7374</v>
      </c>
      <c r="B87" s="29" t="n">
        <v>45100</v>
      </c>
      <c r="C87" s="21" t="s">
        <v>867</v>
      </c>
      <c r="D87" s="21" t="s">
        <v>24</v>
      </c>
      <c r="E87" s="21" t="s">
        <v>34</v>
      </c>
      <c r="F87" s="21" t="s">
        <v>1809</v>
      </c>
      <c r="G87" s="30"/>
      <c r="H87" s="31"/>
      <c r="I87" s="21"/>
      <c r="J87" s="21"/>
      <c r="K87" s="21"/>
      <c r="L87" s="21"/>
      <c r="M87" s="21"/>
      <c r="N87" s="30"/>
      <c r="O87" s="21"/>
      <c r="P87" s="21"/>
      <c r="Q87" s="21"/>
      <c r="R87" s="32"/>
      <c r="S87" s="32"/>
      <c r="T87" s="21"/>
      <c r="U87" s="21"/>
      <c r="V87" s="21"/>
      <c r="W87" s="21"/>
      <c r="X87" s="21" t="s">
        <v>28</v>
      </c>
    </row>
    <row r="88" customFormat="false" ht="15.75" hidden="false" customHeight="false" outlineLevel="0" collapsed="false">
      <c r="A88" s="21"/>
      <c r="B88" s="29"/>
      <c r="C88" s="21"/>
      <c r="D88" s="21"/>
      <c r="E88" s="21"/>
      <c r="F88" s="21"/>
      <c r="G88" s="30"/>
      <c r="H88" s="31"/>
      <c r="I88" s="21"/>
      <c r="J88" s="21"/>
      <c r="K88" s="21"/>
      <c r="L88" s="21"/>
      <c r="M88" s="21"/>
      <c r="N88" s="30"/>
      <c r="O88" s="21"/>
      <c r="P88" s="21"/>
      <c r="Q88" s="21"/>
      <c r="R88" s="32"/>
      <c r="S88" s="32"/>
      <c r="T88" s="21"/>
      <c r="U88" s="21"/>
      <c r="V88" s="21"/>
      <c r="W88" s="21"/>
      <c r="X88" s="21"/>
    </row>
    <row r="89" customFormat="false" ht="15.75" hidden="false" customHeight="false" outlineLevel="0" collapsed="false">
      <c r="A89" s="21"/>
      <c r="B89" s="29"/>
      <c r="C89" s="21"/>
      <c r="D89" s="21"/>
      <c r="E89" s="21"/>
      <c r="F89" s="21"/>
      <c r="G89" s="30"/>
      <c r="H89" s="31"/>
      <c r="I89" s="21"/>
      <c r="J89" s="21"/>
      <c r="K89" s="21"/>
      <c r="L89" s="21"/>
      <c r="M89" s="21"/>
      <c r="N89" s="30"/>
      <c r="O89" s="21"/>
      <c r="P89" s="21"/>
      <c r="Q89" s="21"/>
      <c r="R89" s="32"/>
      <c r="S89" s="32"/>
      <c r="T89" s="21"/>
      <c r="U89" s="21"/>
      <c r="V89" s="21"/>
      <c r="W89" s="21"/>
      <c r="X89" s="21"/>
    </row>
    <row r="90" customFormat="false" ht="15.75" hidden="false" customHeight="false" outlineLevel="0" collapsed="false">
      <c r="A90" s="21"/>
      <c r="B90" s="29"/>
      <c r="C90" s="21"/>
      <c r="D90" s="21"/>
      <c r="E90" s="21"/>
      <c r="F90" s="21"/>
      <c r="G90" s="30"/>
      <c r="H90" s="31"/>
      <c r="I90" s="21"/>
      <c r="J90" s="21"/>
      <c r="K90" s="21"/>
      <c r="L90" s="21"/>
      <c r="M90" s="21"/>
      <c r="N90" s="30"/>
      <c r="O90" s="21"/>
      <c r="P90" s="21"/>
      <c r="Q90" s="21"/>
      <c r="R90" s="32"/>
      <c r="S90" s="32"/>
      <c r="T90" s="21"/>
      <c r="U90" s="21"/>
      <c r="V90" s="21"/>
      <c r="W90" s="21"/>
      <c r="X90" s="21"/>
    </row>
    <row r="91" customFormat="false" ht="15.75" hidden="false" customHeight="false" outlineLevel="0" collapsed="false">
      <c r="A91" s="21"/>
      <c r="B91" s="29"/>
      <c r="C91" s="21"/>
      <c r="D91" s="21"/>
      <c r="E91" s="21"/>
      <c r="F91" s="21"/>
      <c r="G91" s="30"/>
      <c r="H91" s="31"/>
      <c r="I91" s="21"/>
      <c r="J91" s="21"/>
      <c r="K91" s="21"/>
      <c r="L91" s="21"/>
      <c r="M91" s="21"/>
      <c r="N91" s="30"/>
      <c r="O91" s="21"/>
      <c r="P91" s="21"/>
      <c r="Q91" s="21"/>
      <c r="R91" s="32"/>
      <c r="S91" s="32"/>
      <c r="T91" s="21"/>
      <c r="U91" s="21"/>
      <c r="V91" s="21"/>
      <c r="W91" s="21"/>
      <c r="X91" s="21"/>
    </row>
    <row r="92" customFormat="false" ht="15.75" hidden="false" customHeight="false" outlineLevel="0" collapsed="false">
      <c r="A92" s="21"/>
      <c r="B92" s="29"/>
      <c r="C92" s="21"/>
      <c r="D92" s="21"/>
      <c r="E92" s="21"/>
      <c r="F92" s="21"/>
      <c r="G92" s="30"/>
      <c r="H92" s="31"/>
      <c r="I92" s="21"/>
      <c r="J92" s="21"/>
      <c r="K92" s="21"/>
      <c r="L92" s="21"/>
      <c r="M92" s="21"/>
      <c r="N92" s="30"/>
      <c r="O92" s="21"/>
      <c r="P92" s="21"/>
      <c r="Q92" s="21"/>
      <c r="R92" s="32"/>
      <c r="S92" s="32"/>
      <c r="T92" s="21"/>
      <c r="U92" s="21"/>
      <c r="V92" s="21"/>
      <c r="W92" s="21"/>
      <c r="X92" s="21"/>
    </row>
    <row r="93" customFormat="false" ht="15.75" hidden="false" customHeight="false" outlineLevel="0" collapsed="false">
      <c r="A93" s="21"/>
      <c r="B93" s="29"/>
      <c r="C93" s="21"/>
      <c r="D93" s="21"/>
      <c r="E93" s="21"/>
      <c r="F93" s="21"/>
      <c r="G93" s="30"/>
      <c r="H93" s="31"/>
      <c r="I93" s="21"/>
      <c r="J93" s="21"/>
      <c r="K93" s="21"/>
      <c r="L93" s="21"/>
      <c r="M93" s="21"/>
      <c r="N93" s="30"/>
      <c r="O93" s="21"/>
      <c r="P93" s="21"/>
      <c r="Q93" s="21"/>
      <c r="R93" s="32"/>
      <c r="S93" s="32"/>
      <c r="T93" s="21"/>
      <c r="U93" s="21"/>
      <c r="V93" s="21"/>
      <c r="W93" s="21"/>
      <c r="X93" s="21"/>
    </row>
    <row r="94" customFormat="false" ht="15.75" hidden="false" customHeight="false" outlineLevel="0" collapsed="false">
      <c r="A94" s="21"/>
      <c r="B94" s="29"/>
      <c r="C94" s="21"/>
      <c r="D94" s="21"/>
      <c r="E94" s="21"/>
      <c r="F94" s="55"/>
      <c r="G94" s="30"/>
      <c r="H94" s="31"/>
      <c r="I94" s="21"/>
      <c r="J94" s="21"/>
      <c r="K94" s="21"/>
      <c r="L94" s="21"/>
      <c r="M94" s="21"/>
      <c r="N94" s="30"/>
      <c r="O94" s="21"/>
      <c r="P94" s="21"/>
      <c r="Q94" s="21"/>
      <c r="R94" s="32"/>
      <c r="S94" s="32"/>
      <c r="T94" s="21"/>
      <c r="U94" s="21"/>
      <c r="V94" s="21"/>
      <c r="W94" s="21"/>
      <c r="X94" s="21"/>
    </row>
    <row r="95" customFormat="false" ht="15.75" hidden="false" customHeight="false" outlineLevel="0" collapsed="false">
      <c r="A95" s="21"/>
      <c r="B95" s="29"/>
      <c r="C95" s="21"/>
      <c r="D95" s="21"/>
      <c r="E95" s="21"/>
      <c r="F95" s="21"/>
      <c r="G95" s="30"/>
      <c r="H95" s="31"/>
      <c r="I95" s="21"/>
      <c r="J95" s="21"/>
      <c r="K95" s="21"/>
      <c r="L95" s="21"/>
      <c r="M95" s="21"/>
      <c r="N95" s="30"/>
      <c r="O95" s="21"/>
      <c r="P95" s="21"/>
      <c r="Q95" s="21"/>
      <c r="R95" s="32"/>
      <c r="S95" s="32"/>
      <c r="T95" s="21"/>
      <c r="U95" s="21"/>
      <c r="V95" s="21"/>
      <c r="W95" s="21"/>
      <c r="X95" s="21"/>
    </row>
    <row r="96" customFormat="false" ht="15.75" hidden="false" customHeight="false" outlineLevel="0" collapsed="false">
      <c r="A96" s="21"/>
      <c r="B96" s="29"/>
      <c r="C96" s="21"/>
      <c r="D96" s="21"/>
      <c r="E96" s="21"/>
      <c r="F96" s="21"/>
      <c r="G96" s="30"/>
      <c r="H96" s="31"/>
      <c r="I96" s="21"/>
      <c r="J96" s="21"/>
      <c r="K96" s="21"/>
      <c r="L96" s="21"/>
      <c r="M96" s="21"/>
      <c r="N96" s="30"/>
      <c r="O96" s="21"/>
      <c r="P96" s="21"/>
      <c r="Q96" s="21"/>
      <c r="R96" s="32"/>
      <c r="S96" s="32"/>
      <c r="T96" s="21"/>
      <c r="U96" s="21"/>
      <c r="V96" s="21"/>
      <c r="W96" s="21"/>
      <c r="X96" s="21"/>
    </row>
    <row r="97" customFormat="false" ht="15.75" hidden="false" customHeight="false" outlineLevel="0" collapsed="false">
      <c r="A97" s="21"/>
      <c r="B97" s="29"/>
      <c r="C97" s="21"/>
      <c r="D97" s="21"/>
      <c r="E97" s="21"/>
      <c r="F97" s="21"/>
      <c r="G97" s="30"/>
      <c r="H97" s="31"/>
      <c r="I97" s="21"/>
      <c r="J97" s="21"/>
      <c r="K97" s="21"/>
      <c r="L97" s="21"/>
      <c r="M97" s="21"/>
      <c r="N97" s="30"/>
      <c r="O97" s="21"/>
      <c r="P97" s="21"/>
      <c r="Q97" s="21"/>
      <c r="R97" s="32"/>
      <c r="S97" s="32"/>
      <c r="T97" s="21"/>
      <c r="U97" s="21"/>
      <c r="V97" s="21"/>
      <c r="W97" s="21"/>
      <c r="X97" s="21"/>
    </row>
    <row r="98" customFormat="false" ht="15.75" hidden="false" customHeight="false" outlineLevel="0" collapsed="false">
      <c r="A98" s="21"/>
      <c r="B98" s="29"/>
      <c r="C98" s="21"/>
      <c r="D98" s="21"/>
      <c r="E98" s="21"/>
      <c r="F98" s="21"/>
      <c r="G98" s="30"/>
      <c r="H98" s="31"/>
      <c r="I98" s="21"/>
      <c r="J98" s="21"/>
      <c r="K98" s="21"/>
      <c r="L98" s="21"/>
      <c r="M98" s="21"/>
      <c r="N98" s="30"/>
      <c r="O98" s="21"/>
      <c r="P98" s="21"/>
      <c r="Q98" s="21"/>
      <c r="R98" s="32"/>
      <c r="S98" s="32"/>
      <c r="T98" s="21"/>
      <c r="U98" s="21"/>
      <c r="V98" s="21"/>
      <c r="W98" s="21"/>
      <c r="X98" s="21"/>
    </row>
    <row r="99" customFormat="false" ht="15.75" hidden="false" customHeight="false" outlineLevel="0" collapsed="false">
      <c r="A99" s="21"/>
      <c r="B99" s="29"/>
      <c r="C99" s="21"/>
      <c r="D99" s="21"/>
      <c r="E99" s="21"/>
      <c r="F99" s="21"/>
      <c r="G99" s="30"/>
      <c r="H99" s="31"/>
      <c r="I99" s="21"/>
      <c r="J99" s="21"/>
      <c r="K99" s="21"/>
      <c r="L99" s="21"/>
      <c r="M99" s="21"/>
      <c r="N99" s="30"/>
      <c r="O99" s="21"/>
      <c r="P99" s="21"/>
      <c r="Q99" s="21"/>
      <c r="R99" s="32"/>
      <c r="S99" s="32"/>
      <c r="T99" s="21"/>
      <c r="U99" s="21"/>
      <c r="V99" s="21"/>
      <c r="W99" s="21"/>
      <c r="X99" s="21"/>
    </row>
    <row r="100" customFormat="false" ht="15.75" hidden="false" customHeight="false" outlineLevel="0" collapsed="false">
      <c r="A100" s="21"/>
      <c r="B100" s="29"/>
      <c r="C100" s="21"/>
      <c r="D100" s="21"/>
      <c r="E100" s="21"/>
      <c r="F100" s="21"/>
      <c r="G100" s="30"/>
      <c r="H100" s="31"/>
      <c r="I100" s="21"/>
      <c r="J100" s="21"/>
      <c r="K100" s="21"/>
      <c r="L100" s="21"/>
      <c r="M100" s="21"/>
      <c r="N100" s="30"/>
      <c r="O100" s="21"/>
      <c r="P100" s="21"/>
      <c r="Q100" s="21"/>
      <c r="R100" s="32"/>
      <c r="S100" s="32"/>
      <c r="T100" s="21"/>
      <c r="U100" s="21"/>
      <c r="V100" s="21"/>
      <c r="W100" s="21"/>
      <c r="X100" s="21"/>
    </row>
    <row r="101" customFormat="false" ht="15.75" hidden="false" customHeight="false" outlineLevel="0" collapsed="false">
      <c r="A101" s="21"/>
      <c r="B101" s="29"/>
      <c r="C101" s="21"/>
      <c r="D101" s="21"/>
      <c r="E101" s="21"/>
      <c r="F101" s="21"/>
      <c r="G101" s="30"/>
      <c r="H101" s="31"/>
      <c r="I101" s="21"/>
      <c r="J101" s="21"/>
      <c r="K101" s="21"/>
      <c r="L101" s="21"/>
      <c r="M101" s="21"/>
      <c r="N101" s="30"/>
      <c r="O101" s="21"/>
      <c r="P101" s="21"/>
      <c r="Q101" s="21"/>
      <c r="R101" s="32"/>
      <c r="S101" s="32"/>
      <c r="T101" s="21"/>
      <c r="U101" s="21"/>
      <c r="V101" s="21"/>
      <c r="W101" s="21"/>
      <c r="X101" s="21"/>
    </row>
    <row r="102" customFormat="false" ht="15.75" hidden="false" customHeight="false" outlineLevel="0" collapsed="false">
      <c r="A102" s="21"/>
      <c r="B102" s="29"/>
      <c r="C102" s="21"/>
      <c r="D102" s="21"/>
      <c r="E102" s="21"/>
      <c r="F102" s="21"/>
      <c r="G102" s="30"/>
      <c r="H102" s="31"/>
      <c r="I102" s="21"/>
      <c r="J102" s="21"/>
      <c r="K102" s="21"/>
      <c r="L102" s="21"/>
      <c r="M102" s="21"/>
      <c r="N102" s="30"/>
      <c r="O102" s="21"/>
      <c r="P102" s="21"/>
      <c r="Q102" s="21"/>
      <c r="R102" s="32"/>
      <c r="S102" s="32"/>
      <c r="T102" s="21"/>
      <c r="U102" s="21"/>
      <c r="V102" s="21"/>
      <c r="W102" s="21"/>
      <c r="X102" s="21"/>
    </row>
    <row r="103" customFormat="false" ht="15.75" hidden="false" customHeight="false" outlineLevel="0" collapsed="false">
      <c r="A103" s="21"/>
      <c r="B103" s="29"/>
      <c r="C103" s="21"/>
      <c r="D103" s="21"/>
      <c r="E103" s="21"/>
      <c r="F103" s="21"/>
      <c r="G103" s="30"/>
      <c r="H103" s="31"/>
      <c r="I103" s="21"/>
      <c r="J103" s="21"/>
      <c r="K103" s="21"/>
      <c r="L103" s="21"/>
      <c r="M103" s="21"/>
      <c r="N103" s="30"/>
      <c r="O103" s="21"/>
      <c r="P103" s="21"/>
      <c r="Q103" s="21"/>
      <c r="R103" s="32"/>
      <c r="S103" s="32"/>
      <c r="T103" s="21"/>
      <c r="U103" s="21"/>
      <c r="V103" s="21"/>
      <c r="W103" s="21"/>
      <c r="X103" s="21"/>
    </row>
    <row r="104" customFormat="false" ht="15.75" hidden="false" customHeight="false" outlineLevel="0" collapsed="false">
      <c r="A104" s="21"/>
      <c r="B104" s="29"/>
      <c r="C104" s="21"/>
      <c r="D104" s="21"/>
      <c r="E104" s="21"/>
      <c r="F104" s="21"/>
      <c r="G104" s="30"/>
      <c r="H104" s="31"/>
      <c r="I104" s="21"/>
      <c r="J104" s="21"/>
      <c r="K104" s="21"/>
      <c r="L104" s="21"/>
      <c r="M104" s="21"/>
      <c r="N104" s="30"/>
      <c r="O104" s="21"/>
      <c r="P104" s="21"/>
      <c r="Q104" s="21"/>
      <c r="R104" s="32"/>
      <c r="S104" s="32"/>
      <c r="T104" s="21"/>
      <c r="U104" s="21"/>
      <c r="V104" s="21"/>
      <c r="W104" s="21"/>
      <c r="X104" s="21"/>
    </row>
    <row r="105" customFormat="false" ht="15.75" hidden="false" customHeight="false" outlineLevel="0" collapsed="false">
      <c r="A105" s="12"/>
      <c r="B105" s="34"/>
      <c r="C105" s="12"/>
      <c r="D105" s="12"/>
      <c r="E105" s="12"/>
      <c r="F105" s="12"/>
      <c r="G105" s="18"/>
      <c r="H105" s="35"/>
      <c r="I105" s="12"/>
      <c r="M105" s="12"/>
      <c r="N105" s="18"/>
      <c r="O105" s="12"/>
      <c r="P105" s="12"/>
      <c r="Q105" s="12"/>
      <c r="R105" s="36"/>
      <c r="S105" s="36"/>
      <c r="T105" s="12"/>
      <c r="U105" s="12"/>
      <c r="V105" s="12"/>
      <c r="W105" s="12"/>
      <c r="X105" s="12"/>
    </row>
    <row r="106" customFormat="false" ht="15.75" hidden="false" customHeight="false" outlineLevel="0" collapsed="false">
      <c r="A106" s="12"/>
      <c r="B106" s="34"/>
      <c r="C106" s="12"/>
      <c r="D106" s="12"/>
      <c r="E106" s="12"/>
      <c r="F106" s="12"/>
      <c r="G106" s="18"/>
      <c r="H106" s="35"/>
      <c r="I106" s="12"/>
      <c r="M106" s="12"/>
      <c r="N106" s="18"/>
      <c r="O106" s="12"/>
      <c r="P106" s="12"/>
      <c r="Q106" s="12"/>
      <c r="R106" s="36"/>
      <c r="S106" s="36"/>
      <c r="T106" s="12"/>
      <c r="U106" s="12"/>
      <c r="V106" s="12"/>
      <c r="W106" s="12"/>
      <c r="X106" s="12"/>
    </row>
    <row r="107" customFormat="false" ht="15.75" hidden="false" customHeight="false" outlineLevel="0" collapsed="false">
      <c r="A107" s="12"/>
      <c r="B107" s="34"/>
      <c r="C107" s="12"/>
      <c r="D107" s="12"/>
      <c r="E107" s="12"/>
      <c r="F107" s="12"/>
      <c r="G107" s="18"/>
      <c r="H107" s="35"/>
      <c r="I107" s="12"/>
      <c r="M107" s="12"/>
      <c r="N107" s="18"/>
      <c r="O107" s="12"/>
      <c r="P107" s="12"/>
      <c r="Q107" s="12"/>
      <c r="R107" s="36"/>
      <c r="S107" s="36"/>
      <c r="T107" s="12"/>
      <c r="U107" s="12"/>
      <c r="V107" s="12"/>
      <c r="W107" s="12"/>
      <c r="X107" s="12"/>
    </row>
    <row r="108" customFormat="false" ht="15.75" hidden="false" customHeight="false" outlineLevel="0" collapsed="false">
      <c r="A108" s="12"/>
      <c r="B108" s="34"/>
      <c r="C108" s="12"/>
      <c r="D108" s="12"/>
      <c r="E108" s="12"/>
      <c r="F108" s="12"/>
      <c r="G108" s="18"/>
      <c r="H108" s="35"/>
      <c r="I108" s="12"/>
      <c r="M108" s="12"/>
      <c r="N108" s="18"/>
      <c r="O108" s="12"/>
      <c r="P108" s="12"/>
      <c r="Q108" s="12"/>
      <c r="R108" s="36"/>
      <c r="S108" s="36"/>
      <c r="T108" s="12"/>
      <c r="U108" s="12"/>
      <c r="V108" s="12"/>
      <c r="W108" s="12"/>
      <c r="X108" s="12"/>
    </row>
    <row r="109" customFormat="false" ht="15.75" hidden="false" customHeight="false" outlineLevel="0" collapsed="false">
      <c r="A109" s="12"/>
      <c r="B109" s="34"/>
      <c r="C109" s="12"/>
      <c r="D109" s="12"/>
      <c r="E109" s="12"/>
      <c r="F109" s="12"/>
      <c r="G109" s="18"/>
      <c r="H109" s="35"/>
      <c r="I109" s="12"/>
      <c r="M109" s="12"/>
      <c r="N109" s="18"/>
      <c r="O109" s="12"/>
      <c r="P109" s="12"/>
      <c r="Q109" s="12"/>
      <c r="R109" s="36"/>
      <c r="S109" s="36"/>
      <c r="T109" s="12"/>
      <c r="U109" s="12"/>
      <c r="V109" s="12"/>
      <c r="W109" s="12"/>
      <c r="X109" s="12"/>
    </row>
    <row r="110" customFormat="false" ht="15.75" hidden="false" customHeight="false" outlineLevel="0" collapsed="false">
      <c r="A110" s="12"/>
      <c r="B110" s="34"/>
      <c r="C110" s="12"/>
      <c r="D110" s="12"/>
      <c r="E110" s="12"/>
      <c r="F110" s="12"/>
      <c r="G110" s="18"/>
      <c r="H110" s="35"/>
      <c r="I110" s="12"/>
      <c r="M110" s="12"/>
      <c r="N110" s="18"/>
      <c r="O110" s="12"/>
      <c r="P110" s="12"/>
      <c r="Q110" s="12"/>
      <c r="R110" s="36"/>
      <c r="S110" s="36"/>
      <c r="T110" s="12"/>
      <c r="U110" s="12"/>
      <c r="V110" s="12"/>
      <c r="W110" s="12"/>
      <c r="X110" s="12"/>
    </row>
    <row r="111" customFormat="false" ht="15.75" hidden="false" customHeight="false" outlineLevel="0" collapsed="false">
      <c r="A111" s="12"/>
      <c r="B111" s="34"/>
      <c r="C111" s="12"/>
      <c r="D111" s="12"/>
      <c r="E111" s="12"/>
      <c r="F111" s="12"/>
      <c r="G111" s="18"/>
      <c r="H111" s="35"/>
      <c r="I111" s="12"/>
      <c r="M111" s="12"/>
      <c r="N111" s="18"/>
      <c r="O111" s="12"/>
      <c r="P111" s="12"/>
      <c r="Q111" s="12"/>
      <c r="R111" s="36"/>
      <c r="S111" s="36"/>
      <c r="T111" s="12"/>
      <c r="U111" s="12"/>
      <c r="V111" s="12"/>
      <c r="W111" s="12"/>
      <c r="X111" s="12"/>
    </row>
    <row r="112" customFormat="false" ht="15.75" hidden="false" customHeight="false" outlineLevel="0" collapsed="false">
      <c r="A112" s="12"/>
      <c r="B112" s="34"/>
      <c r="C112" s="12"/>
      <c r="D112" s="12"/>
      <c r="E112" s="12"/>
      <c r="F112" s="12"/>
      <c r="G112" s="18"/>
      <c r="H112" s="35"/>
      <c r="I112" s="12"/>
      <c r="M112" s="12"/>
      <c r="N112" s="18"/>
      <c r="O112" s="12"/>
      <c r="P112" s="12"/>
      <c r="Q112" s="12"/>
      <c r="R112" s="36"/>
      <c r="S112" s="36"/>
      <c r="T112" s="12"/>
      <c r="U112" s="12"/>
      <c r="V112" s="12"/>
      <c r="W112" s="12"/>
      <c r="X112" s="12"/>
    </row>
    <row r="113" customFormat="false" ht="15.75" hidden="false" customHeight="false" outlineLevel="0" collapsed="false">
      <c r="A113" s="12"/>
      <c r="B113" s="34"/>
      <c r="C113" s="12"/>
      <c r="D113" s="12"/>
      <c r="E113" s="12"/>
      <c r="F113" s="12"/>
      <c r="G113" s="18"/>
      <c r="H113" s="35"/>
      <c r="I113" s="12"/>
      <c r="M113" s="12"/>
      <c r="N113" s="18"/>
      <c r="O113" s="12"/>
      <c r="P113" s="12"/>
      <c r="Q113" s="12"/>
      <c r="R113" s="36"/>
      <c r="S113" s="36"/>
      <c r="T113" s="12"/>
      <c r="U113" s="12"/>
      <c r="V113" s="12"/>
      <c r="W113" s="12"/>
      <c r="X113" s="12"/>
    </row>
    <row r="114" customFormat="false" ht="15.75" hidden="false" customHeight="false" outlineLevel="0" collapsed="false">
      <c r="A114" s="12"/>
      <c r="B114" s="34"/>
      <c r="C114" s="12"/>
      <c r="D114" s="12"/>
      <c r="E114" s="12"/>
      <c r="F114" s="12"/>
      <c r="G114" s="18"/>
      <c r="H114" s="35"/>
      <c r="I114" s="12"/>
      <c r="M114" s="12"/>
      <c r="N114" s="18"/>
      <c r="O114" s="12"/>
      <c r="P114" s="12"/>
      <c r="Q114" s="12"/>
      <c r="R114" s="36"/>
      <c r="S114" s="36"/>
      <c r="T114" s="12"/>
      <c r="U114" s="12"/>
      <c r="V114" s="12"/>
      <c r="W114" s="12"/>
      <c r="X114" s="12"/>
    </row>
    <row r="115" customFormat="false" ht="15.75" hidden="false" customHeight="false" outlineLevel="0" collapsed="false">
      <c r="A115" s="12"/>
      <c r="B115" s="34"/>
      <c r="C115" s="12"/>
      <c r="D115" s="12"/>
      <c r="E115" s="12"/>
      <c r="F115" s="12"/>
      <c r="G115" s="18"/>
      <c r="H115" s="35"/>
      <c r="I115" s="12"/>
      <c r="M115" s="12"/>
      <c r="N115" s="18"/>
      <c r="O115" s="12"/>
      <c r="P115" s="12"/>
      <c r="Q115" s="12"/>
      <c r="R115" s="36"/>
      <c r="S115" s="36"/>
      <c r="T115" s="12"/>
      <c r="U115" s="12"/>
      <c r="V115" s="12"/>
      <c r="W115" s="12"/>
      <c r="X115" s="12"/>
    </row>
    <row r="116" customFormat="false" ht="15.75" hidden="false" customHeight="false" outlineLevel="0" collapsed="false">
      <c r="A116" s="12"/>
      <c r="B116" s="34"/>
      <c r="C116" s="12"/>
      <c r="D116" s="12"/>
      <c r="E116" s="12"/>
      <c r="F116" s="12"/>
      <c r="G116" s="18"/>
      <c r="H116" s="35"/>
      <c r="I116" s="12"/>
      <c r="M116" s="12"/>
      <c r="N116" s="18"/>
      <c r="O116" s="12"/>
      <c r="P116" s="12"/>
      <c r="Q116" s="12"/>
      <c r="R116" s="36"/>
      <c r="S116" s="36"/>
      <c r="T116" s="12"/>
      <c r="U116" s="12"/>
      <c r="V116" s="12"/>
      <c r="W116" s="12"/>
      <c r="X116" s="12"/>
    </row>
    <row r="117" customFormat="false" ht="15.75" hidden="false" customHeight="false" outlineLevel="0" collapsed="false">
      <c r="A117" s="12"/>
      <c r="B117" s="34"/>
      <c r="C117" s="12"/>
      <c r="D117" s="12"/>
      <c r="E117" s="12"/>
      <c r="F117" s="12"/>
      <c r="G117" s="18"/>
      <c r="H117" s="35"/>
      <c r="I117" s="12"/>
      <c r="M117" s="12"/>
      <c r="N117" s="18"/>
      <c r="O117" s="12"/>
      <c r="P117" s="12"/>
      <c r="Q117" s="12"/>
      <c r="R117" s="36"/>
      <c r="S117" s="36"/>
      <c r="T117" s="12"/>
      <c r="U117" s="12"/>
      <c r="V117" s="12"/>
      <c r="W117" s="12"/>
      <c r="X117" s="12"/>
    </row>
    <row r="118" customFormat="false" ht="15.75" hidden="false" customHeight="false" outlineLevel="0" collapsed="false">
      <c r="A118" s="12"/>
      <c r="B118" s="34"/>
      <c r="C118" s="12"/>
      <c r="D118" s="12"/>
      <c r="E118" s="12"/>
      <c r="F118" s="12"/>
      <c r="G118" s="18"/>
      <c r="H118" s="35"/>
      <c r="I118" s="12"/>
      <c r="M118" s="12"/>
      <c r="N118" s="18"/>
      <c r="O118" s="12"/>
      <c r="P118" s="12"/>
      <c r="Q118" s="12"/>
      <c r="R118" s="36"/>
      <c r="S118" s="36"/>
      <c r="T118" s="12"/>
      <c r="U118" s="12"/>
      <c r="V118" s="12"/>
      <c r="W118" s="12"/>
      <c r="X118" s="12"/>
    </row>
    <row r="119" customFormat="false" ht="15.75" hidden="false" customHeight="false" outlineLevel="0" collapsed="false">
      <c r="A119" s="12"/>
      <c r="B119" s="34"/>
      <c r="C119" s="12"/>
      <c r="D119" s="12"/>
      <c r="E119" s="12"/>
      <c r="F119" s="12"/>
      <c r="G119" s="18"/>
      <c r="H119" s="35"/>
      <c r="I119" s="12"/>
      <c r="M119" s="12"/>
      <c r="N119" s="18"/>
      <c r="O119" s="12"/>
      <c r="P119" s="12"/>
      <c r="Q119" s="12"/>
      <c r="R119" s="36"/>
      <c r="S119" s="36"/>
      <c r="T119" s="12"/>
      <c r="U119" s="12"/>
      <c r="V119" s="12"/>
      <c r="W119" s="12"/>
      <c r="X119" s="12"/>
    </row>
    <row r="120" customFormat="false" ht="15.75" hidden="false" customHeight="false" outlineLevel="0" collapsed="false">
      <c r="A120" s="12"/>
      <c r="B120" s="34"/>
      <c r="C120" s="12"/>
      <c r="D120" s="12"/>
      <c r="E120" s="12"/>
      <c r="F120" s="12"/>
      <c r="G120" s="18"/>
      <c r="H120" s="35"/>
      <c r="I120" s="12"/>
      <c r="M120" s="12"/>
      <c r="N120" s="18"/>
      <c r="O120" s="12"/>
      <c r="P120" s="12"/>
      <c r="Q120" s="12"/>
      <c r="R120" s="36"/>
      <c r="S120" s="36"/>
      <c r="T120" s="12"/>
      <c r="U120" s="12"/>
      <c r="V120" s="12"/>
      <c r="W120" s="12"/>
      <c r="X120" s="12"/>
    </row>
    <row r="121" customFormat="false" ht="15.75" hidden="false" customHeight="false" outlineLevel="0" collapsed="false">
      <c r="A121" s="12"/>
      <c r="B121" s="34"/>
      <c r="C121" s="12"/>
      <c r="D121" s="12"/>
      <c r="E121" s="12"/>
      <c r="F121" s="12"/>
      <c r="G121" s="18"/>
      <c r="H121" s="35"/>
      <c r="I121" s="12"/>
      <c r="M121" s="12"/>
      <c r="N121" s="18"/>
      <c r="O121" s="12"/>
      <c r="P121" s="12"/>
      <c r="Q121" s="12"/>
      <c r="R121" s="36"/>
      <c r="S121" s="36"/>
      <c r="T121" s="12"/>
      <c r="U121" s="12"/>
      <c r="V121" s="12"/>
      <c r="W121" s="12"/>
      <c r="X121" s="12"/>
    </row>
    <row r="122" customFormat="false" ht="15.75" hidden="false" customHeight="false" outlineLevel="0" collapsed="false">
      <c r="A122" s="12"/>
      <c r="B122" s="34"/>
      <c r="C122" s="12"/>
      <c r="D122" s="12"/>
      <c r="E122" s="12"/>
      <c r="F122" s="12"/>
      <c r="G122" s="18"/>
      <c r="H122" s="35"/>
      <c r="I122" s="12"/>
      <c r="M122" s="12"/>
      <c r="N122" s="18"/>
      <c r="O122" s="12"/>
      <c r="P122" s="12"/>
      <c r="Q122" s="12"/>
      <c r="R122" s="36"/>
      <c r="S122" s="36"/>
      <c r="T122" s="12"/>
      <c r="U122" s="12"/>
      <c r="V122" s="12"/>
      <c r="W122" s="12"/>
      <c r="X122" s="12"/>
    </row>
    <row r="123" customFormat="false" ht="15.75" hidden="false" customHeight="false" outlineLevel="0" collapsed="false">
      <c r="A123" s="12"/>
      <c r="B123" s="34"/>
      <c r="C123" s="12"/>
      <c r="D123" s="12"/>
      <c r="E123" s="12"/>
      <c r="F123" s="12"/>
      <c r="G123" s="18"/>
      <c r="H123" s="35"/>
      <c r="I123" s="12"/>
      <c r="M123" s="12"/>
      <c r="N123" s="18"/>
      <c r="O123" s="12"/>
      <c r="P123" s="12"/>
      <c r="Q123" s="12"/>
      <c r="R123" s="36"/>
      <c r="S123" s="36"/>
      <c r="T123" s="12"/>
      <c r="U123" s="12"/>
      <c r="V123" s="12"/>
      <c r="W123" s="12"/>
      <c r="X123" s="12"/>
    </row>
    <row r="124" customFormat="false" ht="15.75" hidden="false" customHeight="false" outlineLevel="0" collapsed="false">
      <c r="A124" s="12"/>
      <c r="B124" s="34"/>
      <c r="C124" s="12"/>
      <c r="D124" s="12"/>
      <c r="E124" s="12"/>
      <c r="F124" s="12"/>
      <c r="G124" s="18"/>
      <c r="H124" s="35"/>
      <c r="I124" s="12"/>
      <c r="M124" s="12"/>
      <c r="N124" s="18"/>
      <c r="O124" s="12"/>
      <c r="P124" s="12"/>
      <c r="Q124" s="12"/>
      <c r="R124" s="36"/>
      <c r="S124" s="36"/>
      <c r="T124" s="12"/>
      <c r="U124" s="12"/>
      <c r="V124" s="12"/>
      <c r="W124" s="12"/>
      <c r="X124" s="12"/>
    </row>
    <row r="125" customFormat="false" ht="15.75" hidden="false" customHeight="false" outlineLevel="0" collapsed="false">
      <c r="A125" s="12"/>
      <c r="B125" s="34"/>
      <c r="C125" s="12"/>
      <c r="D125" s="12"/>
      <c r="E125" s="12"/>
      <c r="F125" s="12"/>
      <c r="G125" s="18"/>
      <c r="H125" s="35"/>
      <c r="I125" s="12"/>
      <c r="M125" s="12"/>
      <c r="N125" s="18"/>
      <c r="O125" s="12"/>
      <c r="P125" s="12"/>
      <c r="Q125" s="12"/>
      <c r="R125" s="36"/>
      <c r="S125" s="36"/>
      <c r="T125" s="12"/>
      <c r="U125" s="12"/>
      <c r="V125" s="12"/>
      <c r="W125" s="12"/>
      <c r="X125" s="12"/>
    </row>
    <row r="126" customFormat="false" ht="15.75" hidden="false" customHeight="false" outlineLevel="0" collapsed="false">
      <c r="A126" s="12"/>
      <c r="B126" s="34"/>
      <c r="C126" s="12"/>
      <c r="D126" s="12"/>
      <c r="E126" s="12"/>
      <c r="F126" s="12"/>
      <c r="G126" s="18"/>
      <c r="H126" s="35"/>
      <c r="I126" s="12"/>
      <c r="M126" s="12"/>
      <c r="N126" s="18"/>
      <c r="O126" s="12"/>
      <c r="P126" s="12"/>
      <c r="Q126" s="12"/>
      <c r="R126" s="36"/>
      <c r="S126" s="36"/>
      <c r="T126" s="12"/>
      <c r="U126" s="12"/>
      <c r="V126" s="12"/>
      <c r="W126" s="12"/>
      <c r="X126" s="12"/>
    </row>
    <row r="127" customFormat="false" ht="15.75" hidden="false" customHeight="false" outlineLevel="0" collapsed="false">
      <c r="A127" s="12"/>
      <c r="B127" s="34"/>
      <c r="C127" s="12"/>
      <c r="D127" s="12"/>
      <c r="E127" s="12"/>
      <c r="F127" s="12"/>
      <c r="G127" s="18"/>
      <c r="H127" s="35"/>
      <c r="I127" s="12"/>
      <c r="M127" s="12"/>
      <c r="N127" s="18"/>
      <c r="O127" s="12"/>
      <c r="P127" s="12"/>
      <c r="Q127" s="12"/>
      <c r="R127" s="36"/>
      <c r="S127" s="36"/>
      <c r="T127" s="12"/>
      <c r="U127" s="12"/>
      <c r="V127" s="12"/>
      <c r="W127" s="12"/>
      <c r="X127" s="12"/>
    </row>
    <row r="128" customFormat="false" ht="15.75" hidden="false" customHeight="false" outlineLevel="0" collapsed="false">
      <c r="A128" s="12"/>
      <c r="B128" s="34"/>
      <c r="C128" s="12"/>
      <c r="D128" s="12"/>
      <c r="E128" s="12"/>
      <c r="F128" s="12"/>
      <c r="G128" s="18"/>
      <c r="H128" s="35"/>
      <c r="I128" s="12"/>
      <c r="M128" s="12"/>
      <c r="N128" s="18"/>
      <c r="O128" s="12"/>
      <c r="P128" s="12"/>
      <c r="Q128" s="12"/>
      <c r="R128" s="36"/>
      <c r="S128" s="36"/>
      <c r="T128" s="12"/>
      <c r="U128" s="12"/>
      <c r="V128" s="12"/>
      <c r="W128" s="12"/>
      <c r="X128" s="12"/>
    </row>
    <row r="129" customFormat="false" ht="15.75" hidden="false" customHeight="false" outlineLevel="0" collapsed="false">
      <c r="A129" s="12"/>
      <c r="B129" s="34"/>
      <c r="C129" s="12"/>
      <c r="D129" s="12"/>
      <c r="E129" s="12"/>
      <c r="F129" s="12"/>
      <c r="G129" s="18"/>
      <c r="H129" s="35"/>
      <c r="I129" s="12"/>
      <c r="M129" s="12"/>
      <c r="N129" s="18"/>
      <c r="O129" s="12"/>
      <c r="P129" s="12"/>
      <c r="Q129" s="12"/>
      <c r="R129" s="36"/>
      <c r="S129" s="36"/>
      <c r="T129" s="12"/>
      <c r="U129" s="12"/>
      <c r="V129" s="12"/>
      <c r="W129" s="12"/>
      <c r="X129" s="12"/>
    </row>
    <row r="130" customFormat="false" ht="15.75" hidden="false" customHeight="false" outlineLevel="0" collapsed="false">
      <c r="A130" s="12"/>
      <c r="B130" s="34"/>
      <c r="C130" s="12"/>
      <c r="D130" s="12"/>
      <c r="E130" s="12"/>
      <c r="F130" s="12"/>
      <c r="G130" s="18"/>
      <c r="H130" s="35"/>
      <c r="I130" s="12"/>
      <c r="M130" s="12"/>
      <c r="N130" s="18"/>
      <c r="O130" s="12"/>
      <c r="P130" s="12"/>
      <c r="Q130" s="12"/>
      <c r="R130" s="36"/>
      <c r="S130" s="36"/>
      <c r="T130" s="12"/>
      <c r="U130" s="12"/>
      <c r="V130" s="12"/>
      <c r="W130" s="12"/>
      <c r="X130" s="12"/>
    </row>
    <row r="131" customFormat="false" ht="15.75" hidden="false" customHeight="false" outlineLevel="0" collapsed="false">
      <c r="A131" s="12"/>
      <c r="B131" s="34"/>
      <c r="C131" s="12"/>
      <c r="D131" s="12"/>
      <c r="E131" s="12"/>
      <c r="F131" s="12"/>
      <c r="G131" s="18"/>
      <c r="H131" s="35"/>
      <c r="I131" s="12"/>
      <c r="M131" s="12"/>
      <c r="N131" s="18"/>
      <c r="O131" s="12"/>
      <c r="P131" s="12"/>
      <c r="Q131" s="12"/>
      <c r="R131" s="36"/>
      <c r="S131" s="36"/>
      <c r="T131" s="12"/>
      <c r="U131" s="12"/>
      <c r="V131" s="12"/>
      <c r="W131" s="12"/>
      <c r="X131" s="12"/>
    </row>
    <row r="132" customFormat="false" ht="15.75" hidden="false" customHeight="false" outlineLevel="0" collapsed="false">
      <c r="A132" s="12"/>
      <c r="B132" s="34"/>
      <c r="C132" s="12"/>
      <c r="D132" s="12"/>
      <c r="E132" s="12"/>
      <c r="F132" s="12"/>
      <c r="G132" s="18"/>
      <c r="H132" s="35"/>
      <c r="I132" s="12"/>
      <c r="M132" s="12"/>
      <c r="N132" s="18"/>
      <c r="O132" s="12"/>
      <c r="P132" s="12"/>
      <c r="Q132" s="12"/>
      <c r="R132" s="36"/>
      <c r="S132" s="36"/>
      <c r="T132" s="12"/>
      <c r="U132" s="12"/>
      <c r="V132" s="12"/>
      <c r="W132" s="12"/>
      <c r="X132" s="12"/>
    </row>
    <row r="133" customFormat="false" ht="15.75" hidden="false" customHeight="false" outlineLevel="0" collapsed="false">
      <c r="A133" s="12"/>
      <c r="B133" s="34"/>
      <c r="C133" s="12"/>
      <c r="D133" s="12"/>
      <c r="E133" s="12"/>
      <c r="F133" s="12"/>
      <c r="G133" s="18"/>
      <c r="H133" s="35"/>
      <c r="I133" s="12"/>
      <c r="M133" s="12"/>
      <c r="N133" s="18"/>
      <c r="O133" s="12"/>
      <c r="P133" s="12"/>
      <c r="Q133" s="12"/>
      <c r="R133" s="36"/>
      <c r="S133" s="36"/>
      <c r="T133" s="12"/>
      <c r="U133" s="12"/>
      <c r="V133" s="12"/>
      <c r="W133" s="12"/>
      <c r="X133" s="12"/>
    </row>
    <row r="134" customFormat="false" ht="15.75" hidden="false" customHeight="false" outlineLevel="0" collapsed="false">
      <c r="A134" s="12"/>
      <c r="B134" s="34"/>
      <c r="C134" s="12"/>
      <c r="D134" s="12"/>
      <c r="E134" s="12"/>
      <c r="F134" s="12"/>
      <c r="G134" s="18"/>
      <c r="H134" s="35"/>
      <c r="I134" s="12"/>
      <c r="M134" s="12"/>
      <c r="N134" s="18"/>
      <c r="O134" s="12"/>
      <c r="P134" s="12"/>
      <c r="Q134" s="12"/>
      <c r="R134" s="36"/>
      <c r="S134" s="36"/>
      <c r="T134" s="12"/>
      <c r="U134" s="12"/>
      <c r="V134" s="12"/>
      <c r="W134" s="12"/>
      <c r="X134" s="12"/>
    </row>
    <row r="135" customFormat="false" ht="15.75" hidden="false" customHeight="false" outlineLevel="0" collapsed="false">
      <c r="A135" s="12"/>
      <c r="B135" s="34"/>
      <c r="C135" s="12"/>
      <c r="D135" s="12"/>
      <c r="E135" s="12"/>
      <c r="F135" s="12"/>
      <c r="G135" s="18"/>
      <c r="H135" s="35"/>
      <c r="I135" s="12"/>
      <c r="M135" s="12"/>
      <c r="N135" s="18"/>
      <c r="O135" s="12"/>
      <c r="P135" s="12"/>
      <c r="Q135" s="12"/>
      <c r="R135" s="36"/>
      <c r="S135" s="36"/>
      <c r="T135" s="12"/>
      <c r="U135" s="12"/>
      <c r="V135" s="12"/>
      <c r="W135" s="12"/>
      <c r="X135" s="12"/>
    </row>
    <row r="136" customFormat="false" ht="15.75" hidden="false" customHeight="false" outlineLevel="0" collapsed="false">
      <c r="A136" s="12"/>
      <c r="B136" s="34"/>
      <c r="C136" s="12"/>
      <c r="D136" s="12"/>
      <c r="E136" s="12"/>
      <c r="F136" s="12"/>
      <c r="G136" s="18"/>
      <c r="H136" s="35"/>
      <c r="I136" s="12"/>
      <c r="M136" s="12"/>
      <c r="N136" s="18"/>
      <c r="O136" s="12"/>
      <c r="P136" s="12"/>
      <c r="Q136" s="12"/>
      <c r="R136" s="36"/>
      <c r="S136" s="36"/>
      <c r="T136" s="12"/>
      <c r="U136" s="12"/>
      <c r="V136" s="12"/>
      <c r="W136" s="12"/>
      <c r="X136" s="12"/>
    </row>
    <row r="137" customFormat="false" ht="15.75" hidden="false" customHeight="false" outlineLevel="0" collapsed="false">
      <c r="A137" s="12"/>
      <c r="B137" s="34"/>
      <c r="C137" s="12"/>
      <c r="D137" s="12"/>
      <c r="E137" s="12"/>
      <c r="F137" s="12"/>
      <c r="G137" s="18"/>
      <c r="H137" s="35"/>
      <c r="I137" s="12"/>
      <c r="M137" s="12"/>
      <c r="N137" s="18"/>
      <c r="O137" s="12"/>
      <c r="P137" s="12"/>
      <c r="Q137" s="12"/>
      <c r="R137" s="36"/>
      <c r="S137" s="36"/>
      <c r="T137" s="12"/>
      <c r="U137" s="12"/>
      <c r="V137" s="12"/>
      <c r="W137" s="12"/>
      <c r="X137" s="12"/>
    </row>
    <row r="138" customFormat="false" ht="15.75" hidden="false" customHeight="false" outlineLevel="0" collapsed="false">
      <c r="A138" s="12"/>
      <c r="B138" s="34"/>
      <c r="C138" s="12"/>
      <c r="D138" s="12"/>
      <c r="E138" s="12"/>
      <c r="F138" s="12"/>
      <c r="G138" s="18"/>
      <c r="H138" s="35"/>
      <c r="I138" s="12"/>
      <c r="M138" s="12"/>
      <c r="N138" s="18"/>
      <c r="O138" s="12"/>
      <c r="P138" s="12"/>
      <c r="Q138" s="12"/>
      <c r="R138" s="36"/>
      <c r="S138" s="36"/>
      <c r="T138" s="12"/>
      <c r="U138" s="12"/>
      <c r="V138" s="12"/>
      <c r="W138" s="12"/>
      <c r="X138" s="12"/>
    </row>
    <row r="139" customFormat="false" ht="15.75" hidden="false" customHeight="false" outlineLevel="0" collapsed="false">
      <c r="A139" s="12"/>
      <c r="B139" s="34"/>
      <c r="C139" s="12"/>
      <c r="D139" s="12"/>
      <c r="E139" s="12"/>
      <c r="F139" s="12"/>
      <c r="G139" s="18"/>
      <c r="H139" s="35"/>
      <c r="I139" s="12"/>
      <c r="M139" s="12"/>
      <c r="N139" s="18"/>
      <c r="O139" s="12"/>
      <c r="P139" s="12"/>
      <c r="Q139" s="12"/>
      <c r="R139" s="36"/>
      <c r="S139" s="36"/>
      <c r="T139" s="12"/>
      <c r="U139" s="12"/>
      <c r="V139" s="12"/>
      <c r="W139" s="12"/>
      <c r="X139" s="12"/>
    </row>
    <row r="140" customFormat="false" ht="15.75" hidden="false" customHeight="false" outlineLevel="0" collapsed="false">
      <c r="A140" s="12"/>
      <c r="B140" s="34"/>
      <c r="C140" s="12"/>
      <c r="D140" s="12"/>
      <c r="E140" s="12"/>
      <c r="F140" s="12"/>
      <c r="G140" s="18"/>
      <c r="H140" s="35"/>
      <c r="I140" s="12"/>
      <c r="M140" s="12"/>
      <c r="N140" s="18"/>
      <c r="O140" s="12"/>
      <c r="P140" s="12"/>
      <c r="Q140" s="12"/>
      <c r="R140" s="36"/>
      <c r="S140" s="36"/>
      <c r="T140" s="12"/>
      <c r="U140" s="12"/>
      <c r="V140" s="12"/>
      <c r="W140" s="12"/>
      <c r="X140" s="12"/>
    </row>
    <row r="141" customFormat="false" ht="15.75" hidden="false" customHeight="false" outlineLevel="0" collapsed="false">
      <c r="A141" s="12"/>
      <c r="B141" s="34"/>
      <c r="C141" s="12"/>
      <c r="D141" s="12"/>
      <c r="E141" s="12"/>
      <c r="F141" s="12"/>
      <c r="G141" s="18"/>
      <c r="H141" s="35"/>
      <c r="I141" s="12"/>
      <c r="M141" s="12"/>
      <c r="N141" s="18"/>
      <c r="O141" s="12"/>
      <c r="P141" s="12"/>
      <c r="Q141" s="12"/>
      <c r="R141" s="36"/>
      <c r="S141" s="36"/>
      <c r="T141" s="12"/>
      <c r="U141" s="12"/>
      <c r="V141" s="12"/>
      <c r="W141" s="12"/>
      <c r="X141" s="12"/>
    </row>
    <row r="142" customFormat="false" ht="15.75" hidden="false" customHeight="false" outlineLevel="0" collapsed="false">
      <c r="A142" s="12"/>
      <c r="B142" s="34"/>
      <c r="C142" s="12"/>
      <c r="D142" s="12"/>
      <c r="E142" s="12"/>
      <c r="F142" s="12"/>
      <c r="G142" s="18"/>
      <c r="H142" s="35"/>
      <c r="I142" s="12"/>
      <c r="M142" s="12"/>
      <c r="N142" s="18"/>
      <c r="O142" s="12"/>
      <c r="P142" s="12"/>
      <c r="Q142" s="12"/>
      <c r="R142" s="36"/>
      <c r="S142" s="36"/>
      <c r="T142" s="12"/>
      <c r="U142" s="12"/>
      <c r="V142" s="12"/>
      <c r="W142" s="12"/>
      <c r="X142" s="12"/>
    </row>
    <row r="143" customFormat="false" ht="15.75" hidden="false" customHeight="false" outlineLevel="0" collapsed="false">
      <c r="A143" s="12"/>
      <c r="B143" s="34"/>
      <c r="C143" s="12"/>
      <c r="D143" s="12"/>
      <c r="E143" s="12"/>
      <c r="F143" s="12"/>
      <c r="G143" s="18"/>
      <c r="H143" s="35"/>
      <c r="I143" s="12"/>
      <c r="M143" s="12"/>
      <c r="N143" s="18"/>
      <c r="O143" s="12"/>
      <c r="P143" s="12"/>
      <c r="Q143" s="12"/>
      <c r="R143" s="36"/>
      <c r="S143" s="36"/>
      <c r="T143" s="12"/>
      <c r="U143" s="12"/>
      <c r="V143" s="12"/>
      <c r="W143" s="12"/>
      <c r="X143" s="12"/>
    </row>
    <row r="144" customFormat="false" ht="15.75" hidden="false" customHeight="false" outlineLevel="0" collapsed="false">
      <c r="A144" s="12"/>
      <c r="B144" s="34"/>
      <c r="C144" s="12"/>
      <c r="D144" s="12"/>
      <c r="E144" s="12"/>
      <c r="F144" s="12"/>
      <c r="G144" s="18"/>
      <c r="H144" s="35"/>
      <c r="I144" s="12"/>
      <c r="M144" s="12"/>
      <c r="N144" s="18"/>
      <c r="O144" s="12"/>
      <c r="P144" s="12"/>
      <c r="Q144" s="12"/>
      <c r="R144" s="36"/>
      <c r="S144" s="36"/>
      <c r="T144" s="12"/>
      <c r="U144" s="12"/>
      <c r="V144" s="12"/>
      <c r="W144" s="12"/>
      <c r="X144" s="12"/>
    </row>
    <row r="145" customFormat="false" ht="15.75" hidden="false" customHeight="false" outlineLevel="0" collapsed="false">
      <c r="A145" s="12"/>
      <c r="B145" s="34"/>
      <c r="C145" s="12"/>
      <c r="D145" s="12"/>
      <c r="E145" s="12"/>
      <c r="F145" s="12"/>
      <c r="G145" s="18"/>
      <c r="H145" s="35"/>
      <c r="I145" s="12"/>
      <c r="M145" s="12"/>
      <c r="N145" s="18"/>
      <c r="O145" s="12"/>
      <c r="P145" s="12"/>
      <c r="Q145" s="12"/>
      <c r="R145" s="36"/>
      <c r="S145" s="36"/>
      <c r="T145" s="12"/>
      <c r="U145" s="12"/>
      <c r="V145" s="12"/>
      <c r="W145" s="12"/>
      <c r="X145" s="12"/>
    </row>
    <row r="146" customFormat="false" ht="15.75" hidden="false" customHeight="false" outlineLevel="0" collapsed="false">
      <c r="A146" s="12"/>
      <c r="B146" s="34"/>
      <c r="C146" s="12"/>
      <c r="D146" s="12"/>
      <c r="E146" s="12"/>
      <c r="F146" s="12"/>
      <c r="G146" s="18"/>
      <c r="H146" s="35"/>
      <c r="I146" s="12"/>
      <c r="M146" s="12"/>
      <c r="N146" s="18"/>
      <c r="O146" s="12"/>
      <c r="P146" s="12"/>
      <c r="Q146" s="12"/>
      <c r="R146" s="36"/>
      <c r="S146" s="36"/>
      <c r="T146" s="12"/>
      <c r="U146" s="12"/>
      <c r="V146" s="12"/>
      <c r="W146" s="12"/>
      <c r="X146" s="12"/>
    </row>
    <row r="147" customFormat="false" ht="15.75" hidden="false" customHeight="false" outlineLevel="0" collapsed="false">
      <c r="A147" s="12"/>
      <c r="B147" s="34"/>
      <c r="C147" s="12"/>
      <c r="D147" s="12"/>
      <c r="E147" s="12"/>
      <c r="F147" s="12"/>
      <c r="G147" s="18"/>
      <c r="H147" s="35"/>
      <c r="I147" s="12"/>
      <c r="M147" s="12"/>
      <c r="N147" s="18"/>
      <c r="O147" s="12"/>
      <c r="P147" s="12"/>
      <c r="Q147" s="12"/>
      <c r="R147" s="36"/>
      <c r="S147" s="36"/>
      <c r="T147" s="12"/>
      <c r="U147" s="12"/>
      <c r="V147" s="12"/>
      <c r="W147" s="12"/>
      <c r="X147" s="12"/>
    </row>
    <row r="148" customFormat="false" ht="15.75" hidden="false" customHeight="false" outlineLevel="0" collapsed="false">
      <c r="A148" s="12"/>
      <c r="B148" s="34"/>
      <c r="C148" s="12"/>
      <c r="D148" s="12"/>
      <c r="E148" s="12"/>
      <c r="F148" s="12"/>
      <c r="G148" s="18"/>
      <c r="H148" s="35"/>
      <c r="I148" s="12"/>
      <c r="M148" s="12"/>
      <c r="N148" s="18"/>
      <c r="O148" s="12"/>
      <c r="P148" s="12"/>
      <c r="Q148" s="12"/>
      <c r="R148" s="36"/>
      <c r="S148" s="36"/>
      <c r="T148" s="12"/>
      <c r="U148" s="12"/>
      <c r="V148" s="12"/>
      <c r="W148" s="12"/>
      <c r="X148" s="12"/>
    </row>
    <row r="149" customFormat="false" ht="15.75" hidden="false" customHeight="false" outlineLevel="0" collapsed="false">
      <c r="A149" s="12"/>
      <c r="B149" s="34"/>
      <c r="C149" s="12"/>
      <c r="D149" s="12"/>
      <c r="E149" s="12"/>
      <c r="F149" s="12"/>
      <c r="G149" s="18"/>
      <c r="H149" s="35"/>
      <c r="I149" s="12"/>
      <c r="M149" s="12"/>
      <c r="N149" s="18"/>
      <c r="O149" s="12"/>
      <c r="P149" s="12"/>
      <c r="Q149" s="12"/>
      <c r="R149" s="36"/>
      <c r="S149" s="36"/>
      <c r="T149" s="12"/>
      <c r="U149" s="12"/>
      <c r="V149" s="12"/>
      <c r="W149" s="12"/>
      <c r="X149" s="12"/>
    </row>
    <row r="150" customFormat="false" ht="15.75" hidden="false" customHeight="false" outlineLevel="0" collapsed="false">
      <c r="A150" s="12"/>
      <c r="B150" s="34"/>
      <c r="C150" s="12"/>
      <c r="D150" s="12"/>
      <c r="E150" s="12"/>
      <c r="F150" s="12"/>
      <c r="G150" s="18"/>
      <c r="H150" s="35"/>
      <c r="I150" s="12"/>
      <c r="M150" s="12"/>
      <c r="N150" s="18"/>
      <c r="O150" s="12"/>
      <c r="P150" s="12"/>
      <c r="Q150" s="12"/>
      <c r="R150" s="36"/>
      <c r="S150" s="36"/>
      <c r="T150" s="12"/>
      <c r="U150" s="12"/>
      <c r="V150" s="12"/>
      <c r="W150" s="12"/>
      <c r="X150" s="12"/>
    </row>
    <row r="151" customFormat="false" ht="15.75" hidden="false" customHeight="false" outlineLevel="0" collapsed="false">
      <c r="A151" s="12"/>
      <c r="B151" s="34"/>
      <c r="C151" s="12"/>
      <c r="D151" s="12"/>
      <c r="E151" s="12"/>
      <c r="F151" s="12"/>
      <c r="G151" s="18"/>
      <c r="H151" s="35"/>
      <c r="I151" s="12"/>
      <c r="M151" s="12"/>
      <c r="N151" s="18"/>
      <c r="O151" s="12"/>
      <c r="P151" s="12"/>
      <c r="Q151" s="12"/>
      <c r="R151" s="36"/>
      <c r="S151" s="36"/>
      <c r="T151" s="12"/>
      <c r="U151" s="12"/>
      <c r="V151" s="12"/>
      <c r="W151" s="12"/>
      <c r="X151" s="12"/>
    </row>
    <row r="152" customFormat="false" ht="15.75" hidden="false" customHeight="false" outlineLevel="0" collapsed="false">
      <c r="A152" s="12"/>
      <c r="B152" s="34"/>
      <c r="C152" s="12"/>
      <c r="D152" s="12"/>
      <c r="E152" s="12"/>
      <c r="F152" s="12"/>
      <c r="G152" s="18"/>
      <c r="H152" s="35"/>
      <c r="I152" s="12"/>
      <c r="M152" s="12"/>
      <c r="N152" s="18"/>
      <c r="O152" s="12"/>
      <c r="P152" s="12"/>
      <c r="Q152" s="12"/>
      <c r="R152" s="36"/>
      <c r="S152" s="36"/>
      <c r="T152" s="12"/>
      <c r="U152" s="12"/>
      <c r="V152" s="12"/>
      <c r="W152" s="12"/>
      <c r="X152" s="12"/>
    </row>
    <row r="153" customFormat="false" ht="15.75" hidden="false" customHeight="false" outlineLevel="0" collapsed="false">
      <c r="A153" s="12"/>
      <c r="B153" s="34"/>
      <c r="C153" s="12"/>
      <c r="D153" s="12"/>
      <c r="E153" s="12"/>
      <c r="F153" s="12"/>
      <c r="G153" s="18"/>
      <c r="H153" s="35"/>
      <c r="I153" s="12"/>
      <c r="M153" s="12"/>
      <c r="N153" s="18"/>
      <c r="O153" s="12"/>
      <c r="P153" s="12"/>
      <c r="Q153" s="12"/>
      <c r="R153" s="36"/>
      <c r="S153" s="36"/>
      <c r="T153" s="12"/>
      <c r="U153" s="12"/>
      <c r="V153" s="12"/>
      <c r="W153" s="12"/>
      <c r="X153" s="12"/>
    </row>
    <row r="154" customFormat="false" ht="15.75" hidden="false" customHeight="false" outlineLevel="0" collapsed="false">
      <c r="A154" s="12"/>
      <c r="B154" s="34"/>
      <c r="C154" s="12"/>
      <c r="D154" s="12"/>
      <c r="E154" s="12"/>
      <c r="F154" s="12"/>
      <c r="G154" s="18"/>
      <c r="H154" s="35"/>
      <c r="I154" s="12"/>
      <c r="M154" s="12"/>
      <c r="N154" s="18"/>
      <c r="O154" s="12"/>
      <c r="P154" s="12"/>
      <c r="Q154" s="12"/>
      <c r="R154" s="36"/>
      <c r="S154" s="36"/>
      <c r="T154" s="12"/>
      <c r="U154" s="12"/>
      <c r="V154" s="12"/>
      <c r="W154" s="12"/>
      <c r="X154" s="12"/>
    </row>
    <row r="155" customFormat="false" ht="15.75" hidden="false" customHeight="false" outlineLevel="0" collapsed="false">
      <c r="A155" s="12"/>
      <c r="B155" s="34"/>
      <c r="C155" s="12"/>
      <c r="D155" s="12"/>
      <c r="E155" s="12"/>
      <c r="F155" s="12"/>
      <c r="G155" s="18"/>
      <c r="H155" s="35"/>
      <c r="I155" s="12"/>
      <c r="M155" s="12"/>
      <c r="N155" s="18"/>
      <c r="O155" s="12"/>
      <c r="P155" s="12"/>
      <c r="Q155" s="12"/>
      <c r="R155" s="36"/>
      <c r="S155" s="36"/>
      <c r="T155" s="12"/>
      <c r="U155" s="12"/>
      <c r="V155" s="12"/>
      <c r="W155" s="12"/>
      <c r="X155" s="12"/>
    </row>
    <row r="156" customFormat="false" ht="15.75" hidden="false" customHeight="false" outlineLevel="0" collapsed="false">
      <c r="A156" s="12"/>
      <c r="B156" s="34"/>
      <c r="C156" s="12"/>
      <c r="D156" s="12"/>
      <c r="E156" s="12"/>
      <c r="F156" s="12"/>
      <c r="G156" s="18"/>
      <c r="H156" s="35"/>
      <c r="I156" s="12"/>
      <c r="M156" s="12"/>
      <c r="N156" s="18"/>
      <c r="O156" s="12"/>
      <c r="P156" s="12"/>
      <c r="Q156" s="12"/>
      <c r="R156" s="36"/>
      <c r="S156" s="36"/>
      <c r="T156" s="12"/>
      <c r="U156" s="12"/>
      <c r="V156" s="12"/>
      <c r="W156" s="12"/>
      <c r="X156" s="12"/>
    </row>
    <row r="157" customFormat="false" ht="15.75" hidden="false" customHeight="false" outlineLevel="0" collapsed="false">
      <c r="A157" s="12"/>
      <c r="B157" s="34"/>
      <c r="C157" s="12"/>
      <c r="D157" s="12"/>
      <c r="E157" s="12"/>
      <c r="F157" s="12"/>
      <c r="G157" s="18"/>
      <c r="H157" s="35"/>
      <c r="I157" s="12"/>
      <c r="M157" s="12"/>
      <c r="N157" s="18"/>
      <c r="O157" s="12"/>
      <c r="P157" s="12"/>
      <c r="Q157" s="12"/>
      <c r="R157" s="36"/>
      <c r="S157" s="36"/>
      <c r="T157" s="12"/>
      <c r="U157" s="12"/>
      <c r="V157" s="12"/>
      <c r="W157" s="12"/>
      <c r="X157" s="12"/>
    </row>
    <row r="158" customFormat="false" ht="15.75" hidden="false" customHeight="false" outlineLevel="0" collapsed="false">
      <c r="A158" s="12"/>
      <c r="B158" s="34"/>
      <c r="C158" s="12"/>
      <c r="D158" s="12"/>
      <c r="E158" s="12"/>
      <c r="F158" s="12"/>
      <c r="G158" s="18"/>
      <c r="H158" s="35"/>
      <c r="I158" s="12"/>
      <c r="M158" s="12"/>
      <c r="N158" s="18"/>
      <c r="O158" s="12"/>
      <c r="P158" s="12"/>
      <c r="Q158" s="12"/>
      <c r="R158" s="36"/>
      <c r="S158" s="36"/>
      <c r="T158" s="12"/>
      <c r="U158" s="12"/>
      <c r="V158" s="12"/>
      <c r="W158" s="12"/>
      <c r="X158" s="12"/>
    </row>
    <row r="159" customFormat="false" ht="15.75" hidden="false" customHeight="false" outlineLevel="0" collapsed="false">
      <c r="A159" s="12"/>
      <c r="B159" s="34"/>
      <c r="C159" s="12"/>
      <c r="D159" s="12"/>
      <c r="E159" s="12"/>
      <c r="F159" s="12"/>
      <c r="G159" s="18"/>
      <c r="H159" s="35"/>
      <c r="I159" s="12"/>
      <c r="M159" s="12"/>
      <c r="N159" s="18"/>
      <c r="O159" s="12"/>
      <c r="P159" s="12"/>
      <c r="Q159" s="12"/>
      <c r="R159" s="36"/>
      <c r="S159" s="36"/>
      <c r="T159" s="12"/>
      <c r="U159" s="12"/>
      <c r="V159" s="12"/>
      <c r="W159" s="12"/>
      <c r="X159" s="12"/>
    </row>
    <row r="160" customFormat="false" ht="15.75" hidden="false" customHeight="false" outlineLevel="0" collapsed="false">
      <c r="A160" s="12"/>
      <c r="B160" s="34"/>
      <c r="C160" s="12"/>
      <c r="D160" s="12"/>
      <c r="E160" s="12"/>
      <c r="F160" s="12"/>
      <c r="G160" s="18"/>
      <c r="H160" s="35"/>
      <c r="I160" s="12"/>
      <c r="M160" s="12"/>
      <c r="N160" s="18"/>
      <c r="O160" s="12"/>
      <c r="P160" s="12"/>
      <c r="Q160" s="12"/>
      <c r="R160" s="36"/>
      <c r="S160" s="36"/>
      <c r="T160" s="12"/>
      <c r="U160" s="12"/>
      <c r="V160" s="12"/>
      <c r="W160" s="12"/>
      <c r="X160" s="12"/>
    </row>
    <row r="161" customFormat="false" ht="15.75" hidden="false" customHeight="false" outlineLevel="0" collapsed="false">
      <c r="A161" s="12"/>
      <c r="B161" s="34"/>
      <c r="C161" s="12"/>
      <c r="D161" s="12"/>
      <c r="E161" s="12"/>
      <c r="F161" s="12"/>
      <c r="G161" s="18"/>
      <c r="H161" s="35"/>
      <c r="I161" s="12"/>
      <c r="M161" s="12"/>
      <c r="N161" s="18"/>
      <c r="O161" s="12"/>
      <c r="P161" s="12"/>
      <c r="Q161" s="12"/>
      <c r="R161" s="36"/>
      <c r="S161" s="36"/>
      <c r="T161" s="12"/>
      <c r="U161" s="12"/>
      <c r="V161" s="12"/>
      <c r="W161" s="12"/>
      <c r="X161" s="12"/>
    </row>
    <row r="162" customFormat="false" ht="15.75" hidden="false" customHeight="false" outlineLevel="0" collapsed="false">
      <c r="A162" s="12"/>
      <c r="B162" s="34"/>
      <c r="C162" s="12"/>
      <c r="D162" s="12"/>
      <c r="E162" s="12"/>
      <c r="F162" s="12"/>
      <c r="G162" s="18"/>
      <c r="H162" s="35"/>
      <c r="I162" s="12"/>
      <c r="M162" s="12"/>
      <c r="N162" s="18"/>
      <c r="O162" s="12"/>
      <c r="P162" s="12"/>
      <c r="Q162" s="12"/>
      <c r="R162" s="36"/>
      <c r="S162" s="36"/>
      <c r="T162" s="12"/>
      <c r="U162" s="12"/>
      <c r="V162" s="12"/>
      <c r="W162" s="12"/>
      <c r="X162" s="12"/>
    </row>
    <row r="163" customFormat="false" ht="15.75" hidden="false" customHeight="false" outlineLevel="0" collapsed="false">
      <c r="A163" s="12"/>
      <c r="B163" s="34"/>
      <c r="C163" s="12"/>
      <c r="D163" s="12"/>
      <c r="E163" s="12"/>
      <c r="F163" s="12"/>
      <c r="G163" s="18"/>
      <c r="H163" s="35"/>
      <c r="I163" s="12"/>
      <c r="M163" s="12"/>
      <c r="N163" s="18"/>
      <c r="O163" s="12"/>
      <c r="P163" s="12"/>
      <c r="Q163" s="12"/>
      <c r="R163" s="36"/>
      <c r="S163" s="36"/>
      <c r="T163" s="12"/>
      <c r="U163" s="12"/>
      <c r="V163" s="12"/>
      <c r="W163" s="12"/>
      <c r="X163" s="12"/>
    </row>
    <row r="164" customFormat="false" ht="15.75" hidden="false" customHeight="false" outlineLevel="0" collapsed="false">
      <c r="A164" s="12"/>
      <c r="B164" s="34"/>
      <c r="C164" s="12"/>
      <c r="D164" s="12"/>
      <c r="E164" s="12"/>
      <c r="F164" s="12"/>
      <c r="G164" s="18"/>
      <c r="H164" s="35"/>
      <c r="I164" s="12"/>
      <c r="M164" s="12"/>
      <c r="N164" s="18"/>
      <c r="O164" s="12"/>
      <c r="P164" s="12"/>
      <c r="Q164" s="12"/>
      <c r="R164" s="36"/>
      <c r="S164" s="36"/>
      <c r="T164" s="12"/>
      <c r="U164" s="12"/>
      <c r="V164" s="12"/>
      <c r="W164" s="12"/>
      <c r="X164" s="12"/>
    </row>
    <row r="165" customFormat="false" ht="15.75" hidden="false" customHeight="false" outlineLevel="0" collapsed="false">
      <c r="A165" s="12"/>
      <c r="B165" s="34"/>
      <c r="C165" s="12"/>
      <c r="D165" s="12"/>
      <c r="E165" s="12"/>
      <c r="F165" s="12"/>
      <c r="G165" s="18"/>
      <c r="H165" s="35"/>
      <c r="I165" s="12"/>
      <c r="M165" s="12"/>
      <c r="N165" s="18"/>
      <c r="O165" s="12"/>
      <c r="P165" s="12"/>
      <c r="Q165" s="12"/>
      <c r="R165" s="36"/>
      <c r="S165" s="36"/>
      <c r="T165" s="12"/>
      <c r="U165" s="12"/>
      <c r="V165" s="12"/>
      <c r="W165" s="12"/>
      <c r="X165" s="12"/>
    </row>
    <row r="166" customFormat="false" ht="15.75" hidden="false" customHeight="false" outlineLevel="0" collapsed="false">
      <c r="A166" s="12"/>
      <c r="B166" s="34"/>
      <c r="C166" s="12"/>
      <c r="D166" s="12"/>
      <c r="E166" s="12"/>
      <c r="F166" s="12"/>
      <c r="G166" s="18"/>
      <c r="H166" s="35"/>
      <c r="I166" s="12"/>
      <c r="M166" s="12"/>
      <c r="N166" s="18"/>
      <c r="O166" s="12"/>
      <c r="P166" s="12"/>
      <c r="Q166" s="12"/>
      <c r="R166" s="36"/>
      <c r="S166" s="36"/>
      <c r="T166" s="12"/>
      <c r="U166" s="12"/>
      <c r="V166" s="12"/>
      <c r="W166" s="12"/>
      <c r="X166" s="12"/>
    </row>
    <row r="167" customFormat="false" ht="15.75" hidden="false" customHeight="false" outlineLevel="0" collapsed="false">
      <c r="A167" s="12"/>
      <c r="B167" s="34"/>
      <c r="C167" s="12"/>
      <c r="D167" s="12"/>
      <c r="E167" s="12"/>
      <c r="F167" s="12"/>
      <c r="G167" s="18"/>
      <c r="H167" s="35"/>
      <c r="I167" s="12"/>
      <c r="M167" s="12"/>
      <c r="N167" s="18"/>
      <c r="O167" s="12"/>
      <c r="P167" s="12"/>
      <c r="Q167" s="12"/>
      <c r="R167" s="36"/>
      <c r="S167" s="36"/>
      <c r="T167" s="12"/>
      <c r="U167" s="12"/>
      <c r="V167" s="12"/>
      <c r="W167" s="12"/>
      <c r="X167" s="12"/>
    </row>
    <row r="168" customFormat="false" ht="15.75" hidden="false" customHeight="false" outlineLevel="0" collapsed="false">
      <c r="A168" s="12"/>
      <c r="B168" s="34"/>
      <c r="C168" s="12"/>
      <c r="D168" s="12"/>
      <c r="E168" s="12"/>
      <c r="F168" s="12"/>
      <c r="G168" s="18"/>
      <c r="H168" s="35"/>
      <c r="I168" s="12"/>
      <c r="M168" s="12"/>
      <c r="N168" s="18"/>
      <c r="O168" s="12"/>
      <c r="P168" s="12"/>
      <c r="Q168" s="12"/>
      <c r="R168" s="36"/>
      <c r="S168" s="36"/>
      <c r="T168" s="12"/>
      <c r="U168" s="12"/>
      <c r="V168" s="12"/>
      <c r="W168" s="12"/>
      <c r="X168" s="12"/>
    </row>
    <row r="169" customFormat="false" ht="15.75" hidden="false" customHeight="false" outlineLevel="0" collapsed="false">
      <c r="A169" s="12"/>
      <c r="B169" s="34"/>
      <c r="C169" s="12"/>
      <c r="D169" s="12"/>
      <c r="E169" s="12"/>
      <c r="F169" s="12"/>
      <c r="G169" s="18"/>
      <c r="H169" s="35"/>
      <c r="I169" s="12"/>
      <c r="M169" s="12"/>
      <c r="N169" s="18"/>
      <c r="O169" s="12"/>
      <c r="P169" s="12"/>
      <c r="Q169" s="12"/>
      <c r="R169" s="36"/>
      <c r="S169" s="36"/>
      <c r="T169" s="12"/>
      <c r="U169" s="12"/>
      <c r="V169" s="12"/>
      <c r="W169" s="12"/>
      <c r="X169" s="12"/>
    </row>
    <row r="170" customFormat="false" ht="15.75" hidden="false" customHeight="false" outlineLevel="0" collapsed="false">
      <c r="A170" s="12"/>
      <c r="B170" s="34"/>
      <c r="C170" s="12"/>
      <c r="D170" s="12"/>
      <c r="E170" s="12"/>
      <c r="F170" s="12"/>
      <c r="G170" s="18"/>
      <c r="H170" s="35"/>
      <c r="I170" s="12"/>
      <c r="M170" s="12"/>
      <c r="N170" s="18"/>
      <c r="O170" s="12"/>
      <c r="P170" s="12"/>
      <c r="Q170" s="12"/>
      <c r="R170" s="36"/>
      <c r="S170" s="36"/>
      <c r="T170" s="12"/>
      <c r="U170" s="12"/>
      <c r="V170" s="12"/>
      <c r="W170" s="12"/>
      <c r="X170" s="12"/>
    </row>
    <row r="171" customFormat="false" ht="15.75" hidden="false" customHeight="false" outlineLevel="0" collapsed="false">
      <c r="A171" s="12"/>
      <c r="B171" s="34"/>
      <c r="C171" s="12"/>
      <c r="D171" s="12"/>
      <c r="E171" s="12"/>
      <c r="F171" s="12"/>
      <c r="G171" s="18"/>
      <c r="H171" s="35"/>
      <c r="I171" s="12"/>
      <c r="M171" s="12"/>
      <c r="N171" s="18"/>
      <c r="O171" s="12"/>
      <c r="P171" s="12"/>
      <c r="Q171" s="12"/>
      <c r="R171" s="36"/>
      <c r="S171" s="36"/>
      <c r="T171" s="12"/>
      <c r="U171" s="12"/>
      <c r="V171" s="12"/>
      <c r="W171" s="12"/>
      <c r="X171" s="12"/>
    </row>
    <row r="172" customFormat="false" ht="15.75" hidden="false" customHeight="false" outlineLevel="0" collapsed="false">
      <c r="A172" s="12"/>
      <c r="B172" s="34"/>
      <c r="C172" s="12"/>
      <c r="D172" s="12"/>
      <c r="E172" s="12"/>
      <c r="F172" s="12"/>
      <c r="G172" s="18"/>
      <c r="H172" s="35"/>
      <c r="I172" s="12"/>
      <c r="M172" s="12"/>
      <c r="N172" s="18"/>
      <c r="O172" s="12"/>
      <c r="P172" s="12"/>
      <c r="Q172" s="12"/>
      <c r="R172" s="36"/>
      <c r="S172" s="36"/>
      <c r="T172" s="12"/>
      <c r="U172" s="12"/>
      <c r="V172" s="12"/>
      <c r="W172" s="12"/>
      <c r="X172" s="12"/>
    </row>
    <row r="173" customFormat="false" ht="15.75" hidden="false" customHeight="false" outlineLevel="0" collapsed="false">
      <c r="A173" s="12"/>
      <c r="B173" s="34"/>
      <c r="C173" s="12"/>
      <c r="D173" s="12"/>
      <c r="E173" s="12"/>
      <c r="F173" s="12"/>
      <c r="G173" s="18"/>
      <c r="H173" s="35"/>
      <c r="I173" s="12"/>
      <c r="M173" s="12"/>
      <c r="N173" s="18"/>
      <c r="O173" s="12"/>
      <c r="P173" s="12"/>
      <c r="Q173" s="12"/>
      <c r="R173" s="36"/>
      <c r="S173" s="36"/>
      <c r="T173" s="12"/>
      <c r="U173" s="12"/>
      <c r="V173" s="12"/>
      <c r="W173" s="12"/>
      <c r="X173" s="12"/>
    </row>
    <row r="174" customFormat="false" ht="15.75" hidden="false" customHeight="false" outlineLevel="0" collapsed="false">
      <c r="A174" s="12"/>
      <c r="B174" s="34"/>
      <c r="C174" s="12"/>
      <c r="D174" s="12"/>
      <c r="E174" s="12"/>
      <c r="F174" s="12"/>
      <c r="G174" s="18"/>
      <c r="H174" s="35"/>
      <c r="I174" s="12"/>
      <c r="M174" s="12"/>
      <c r="N174" s="18"/>
      <c r="O174" s="12"/>
      <c r="P174" s="12"/>
      <c r="Q174" s="12"/>
      <c r="R174" s="36"/>
      <c r="S174" s="36"/>
      <c r="T174" s="12"/>
      <c r="U174" s="12"/>
      <c r="V174" s="12"/>
      <c r="W174" s="12"/>
      <c r="X174" s="12"/>
    </row>
    <row r="175" customFormat="false" ht="15.75" hidden="false" customHeight="false" outlineLevel="0" collapsed="false">
      <c r="A175" s="12"/>
      <c r="B175" s="34"/>
      <c r="C175" s="12"/>
      <c r="D175" s="12"/>
      <c r="E175" s="12"/>
      <c r="F175" s="12"/>
      <c r="G175" s="18"/>
      <c r="H175" s="35"/>
      <c r="I175" s="12"/>
      <c r="M175" s="12"/>
      <c r="N175" s="18"/>
      <c r="O175" s="12"/>
      <c r="P175" s="12"/>
      <c r="Q175" s="12"/>
      <c r="R175" s="36"/>
      <c r="S175" s="36"/>
      <c r="T175" s="12"/>
      <c r="U175" s="12"/>
      <c r="V175" s="12"/>
      <c r="W175" s="12"/>
      <c r="X175" s="12"/>
    </row>
    <row r="176" customFormat="false" ht="15.75" hidden="false" customHeight="false" outlineLevel="0" collapsed="false">
      <c r="A176" s="12"/>
      <c r="B176" s="34"/>
      <c r="C176" s="12"/>
      <c r="D176" s="12"/>
      <c r="E176" s="12"/>
      <c r="F176" s="12"/>
      <c r="G176" s="18"/>
      <c r="H176" s="35"/>
      <c r="I176" s="12"/>
      <c r="M176" s="12"/>
      <c r="N176" s="18"/>
      <c r="O176" s="12"/>
      <c r="P176" s="12"/>
      <c r="Q176" s="12"/>
      <c r="R176" s="36"/>
      <c r="S176" s="36"/>
      <c r="T176" s="12"/>
      <c r="U176" s="12"/>
      <c r="V176" s="12"/>
      <c r="W176" s="12"/>
      <c r="X176" s="12"/>
    </row>
    <row r="177" customFormat="false" ht="15.75" hidden="false" customHeight="false" outlineLevel="0" collapsed="false">
      <c r="A177" s="12"/>
      <c r="B177" s="34"/>
      <c r="C177" s="12"/>
      <c r="D177" s="12"/>
      <c r="E177" s="12"/>
      <c r="F177" s="12"/>
      <c r="G177" s="18"/>
      <c r="H177" s="35"/>
      <c r="I177" s="12"/>
      <c r="M177" s="12"/>
      <c r="N177" s="18"/>
      <c r="O177" s="12"/>
      <c r="P177" s="12"/>
      <c r="Q177" s="12"/>
      <c r="R177" s="36"/>
      <c r="S177" s="36"/>
      <c r="T177" s="12"/>
      <c r="U177" s="12"/>
      <c r="V177" s="12"/>
      <c r="W177" s="12"/>
      <c r="X177" s="12"/>
    </row>
    <row r="178" customFormat="false" ht="15.75" hidden="false" customHeight="false" outlineLevel="0" collapsed="false">
      <c r="A178" s="12"/>
      <c r="B178" s="34"/>
      <c r="C178" s="12"/>
      <c r="D178" s="12"/>
      <c r="E178" s="12"/>
      <c r="F178" s="12"/>
      <c r="G178" s="18"/>
      <c r="H178" s="35"/>
      <c r="I178" s="12"/>
      <c r="M178" s="12"/>
      <c r="N178" s="18"/>
      <c r="O178" s="12"/>
      <c r="P178" s="12"/>
      <c r="Q178" s="12"/>
      <c r="R178" s="36"/>
      <c r="S178" s="36"/>
      <c r="T178" s="12"/>
      <c r="U178" s="12"/>
      <c r="V178" s="12"/>
      <c r="W178" s="12"/>
      <c r="X178" s="12"/>
    </row>
    <row r="179" customFormat="false" ht="15.75" hidden="false" customHeight="false" outlineLevel="0" collapsed="false">
      <c r="A179" s="12"/>
      <c r="B179" s="34"/>
      <c r="C179" s="12"/>
      <c r="D179" s="12"/>
      <c r="E179" s="12"/>
      <c r="F179" s="12"/>
      <c r="G179" s="18"/>
      <c r="H179" s="35"/>
      <c r="I179" s="12"/>
      <c r="M179" s="12"/>
      <c r="N179" s="18"/>
      <c r="O179" s="12"/>
      <c r="P179" s="12"/>
      <c r="Q179" s="12"/>
      <c r="R179" s="36"/>
      <c r="S179" s="36"/>
      <c r="T179" s="12"/>
      <c r="U179" s="12"/>
      <c r="V179" s="12"/>
      <c r="W179" s="12"/>
      <c r="X179" s="12"/>
    </row>
    <row r="180" customFormat="false" ht="15.75" hidden="false" customHeight="false" outlineLevel="0" collapsed="false">
      <c r="A180" s="12"/>
      <c r="B180" s="34"/>
      <c r="C180" s="12"/>
      <c r="D180" s="12"/>
      <c r="E180" s="12"/>
      <c r="F180" s="12"/>
      <c r="G180" s="18"/>
      <c r="H180" s="35"/>
      <c r="I180" s="12"/>
      <c r="M180" s="12"/>
      <c r="N180" s="18"/>
      <c r="O180" s="12"/>
      <c r="P180" s="12"/>
      <c r="Q180" s="12"/>
      <c r="R180" s="36"/>
      <c r="S180" s="36"/>
      <c r="T180" s="12"/>
      <c r="U180" s="12"/>
      <c r="V180" s="12"/>
      <c r="W180" s="12"/>
      <c r="X180" s="12"/>
    </row>
    <row r="181" customFormat="false" ht="15.75" hidden="false" customHeight="false" outlineLevel="0" collapsed="false">
      <c r="A181" s="12"/>
      <c r="B181" s="34"/>
      <c r="C181" s="12"/>
      <c r="D181" s="12"/>
      <c r="E181" s="12"/>
      <c r="F181" s="12"/>
      <c r="G181" s="18"/>
      <c r="H181" s="35"/>
      <c r="I181" s="12"/>
      <c r="M181" s="12"/>
      <c r="N181" s="18"/>
      <c r="O181" s="12"/>
      <c r="P181" s="12"/>
      <c r="Q181" s="12"/>
      <c r="R181" s="36"/>
      <c r="S181" s="36"/>
      <c r="T181" s="12"/>
      <c r="U181" s="12"/>
      <c r="V181" s="12"/>
      <c r="W181" s="12"/>
      <c r="X181" s="12"/>
    </row>
    <row r="182" customFormat="false" ht="15.75" hidden="false" customHeight="false" outlineLevel="0" collapsed="false">
      <c r="A182" s="12"/>
      <c r="B182" s="34"/>
      <c r="C182" s="12"/>
      <c r="D182" s="12"/>
      <c r="E182" s="12"/>
      <c r="F182" s="12"/>
      <c r="G182" s="18"/>
      <c r="H182" s="35"/>
      <c r="I182" s="12"/>
      <c r="M182" s="12"/>
      <c r="N182" s="18"/>
      <c r="O182" s="12"/>
      <c r="P182" s="12"/>
      <c r="Q182" s="12"/>
      <c r="R182" s="36"/>
      <c r="S182" s="36"/>
      <c r="T182" s="12"/>
      <c r="U182" s="12"/>
      <c r="V182" s="12"/>
      <c r="W182" s="12"/>
      <c r="X182" s="12"/>
    </row>
    <row r="183" customFormat="false" ht="15.75" hidden="false" customHeight="false" outlineLevel="0" collapsed="false">
      <c r="A183" s="12"/>
      <c r="B183" s="34"/>
      <c r="C183" s="12"/>
      <c r="D183" s="12"/>
      <c r="E183" s="12"/>
      <c r="F183" s="12"/>
      <c r="G183" s="18"/>
      <c r="H183" s="35"/>
      <c r="I183" s="12"/>
      <c r="M183" s="12"/>
      <c r="N183" s="18"/>
      <c r="O183" s="12"/>
      <c r="P183" s="12"/>
      <c r="Q183" s="12"/>
      <c r="R183" s="36"/>
      <c r="S183" s="36"/>
      <c r="T183" s="12"/>
      <c r="U183" s="12"/>
      <c r="V183" s="12"/>
      <c r="W183" s="12"/>
      <c r="X183" s="12"/>
    </row>
    <row r="184" customFormat="false" ht="15.75" hidden="false" customHeight="false" outlineLevel="0" collapsed="false">
      <c r="A184" s="12"/>
      <c r="B184" s="34"/>
      <c r="C184" s="12"/>
      <c r="D184" s="12"/>
      <c r="E184" s="12"/>
      <c r="F184" s="12"/>
      <c r="G184" s="18"/>
      <c r="H184" s="35"/>
      <c r="I184" s="12"/>
      <c r="M184" s="12"/>
      <c r="N184" s="18"/>
      <c r="O184" s="12"/>
      <c r="P184" s="12"/>
      <c r="Q184" s="12"/>
      <c r="R184" s="36"/>
      <c r="S184" s="36"/>
      <c r="T184" s="12"/>
      <c r="U184" s="12"/>
      <c r="V184" s="12"/>
      <c r="W184" s="12"/>
      <c r="X184" s="12"/>
    </row>
    <row r="185" customFormat="false" ht="15.75" hidden="false" customHeight="false" outlineLevel="0" collapsed="false">
      <c r="A185" s="12"/>
      <c r="B185" s="34"/>
      <c r="C185" s="12"/>
      <c r="D185" s="12"/>
      <c r="E185" s="12"/>
      <c r="F185" s="12"/>
      <c r="G185" s="18"/>
      <c r="H185" s="35"/>
      <c r="I185" s="12"/>
      <c r="M185" s="12"/>
      <c r="N185" s="18"/>
      <c r="O185" s="12"/>
      <c r="P185" s="12"/>
      <c r="Q185" s="12"/>
      <c r="R185" s="36"/>
      <c r="S185" s="36"/>
      <c r="T185" s="12"/>
      <c r="U185" s="12"/>
      <c r="V185" s="12"/>
      <c r="W185" s="12"/>
      <c r="X185" s="12"/>
    </row>
    <row r="186" customFormat="false" ht="15.75" hidden="false" customHeight="false" outlineLevel="0" collapsed="false">
      <c r="A186" s="12"/>
      <c r="B186" s="34"/>
      <c r="C186" s="12"/>
      <c r="D186" s="12"/>
      <c r="E186" s="12"/>
      <c r="F186" s="12"/>
      <c r="G186" s="18"/>
      <c r="H186" s="35"/>
      <c r="I186" s="12"/>
      <c r="M186" s="12"/>
      <c r="N186" s="18"/>
      <c r="O186" s="12"/>
      <c r="P186" s="12"/>
      <c r="Q186" s="12"/>
      <c r="R186" s="36"/>
      <c r="S186" s="36"/>
      <c r="T186" s="12"/>
      <c r="U186" s="12"/>
      <c r="V186" s="12"/>
      <c r="W186" s="12"/>
      <c r="X186" s="12"/>
    </row>
    <row r="187" customFormat="false" ht="15.75" hidden="false" customHeight="false" outlineLevel="0" collapsed="false">
      <c r="A187" s="12"/>
      <c r="B187" s="34"/>
      <c r="C187" s="12"/>
      <c r="D187" s="12"/>
      <c r="E187" s="12"/>
      <c r="F187" s="12"/>
      <c r="G187" s="18"/>
      <c r="H187" s="35"/>
      <c r="I187" s="12"/>
      <c r="M187" s="12"/>
      <c r="N187" s="18"/>
      <c r="O187" s="12"/>
      <c r="P187" s="12"/>
      <c r="Q187" s="12"/>
      <c r="R187" s="36"/>
      <c r="S187" s="36"/>
      <c r="T187" s="12"/>
      <c r="U187" s="12"/>
      <c r="V187" s="12"/>
      <c r="W187" s="12"/>
      <c r="X187" s="12"/>
    </row>
    <row r="188" customFormat="false" ht="15.75" hidden="false" customHeight="false" outlineLevel="0" collapsed="false">
      <c r="A188" s="12"/>
      <c r="B188" s="34"/>
      <c r="C188" s="12"/>
      <c r="D188" s="12"/>
      <c r="E188" s="12"/>
      <c r="F188" s="12"/>
      <c r="G188" s="18"/>
      <c r="H188" s="35"/>
      <c r="I188" s="12"/>
      <c r="M188" s="12"/>
      <c r="N188" s="18"/>
      <c r="O188" s="12"/>
      <c r="P188" s="12"/>
      <c r="Q188" s="12"/>
      <c r="R188" s="36"/>
      <c r="S188" s="36"/>
      <c r="T188" s="12"/>
      <c r="U188" s="12"/>
      <c r="V188" s="12"/>
      <c r="W188" s="12"/>
      <c r="X188" s="12"/>
    </row>
    <row r="189" customFormat="false" ht="15.75" hidden="false" customHeight="false" outlineLevel="0" collapsed="false">
      <c r="A189" s="12"/>
      <c r="B189" s="34"/>
      <c r="C189" s="12"/>
      <c r="D189" s="12"/>
      <c r="E189" s="12"/>
      <c r="F189" s="12"/>
      <c r="G189" s="18"/>
      <c r="H189" s="35"/>
      <c r="I189" s="12"/>
      <c r="M189" s="12"/>
      <c r="N189" s="18"/>
      <c r="O189" s="12"/>
      <c r="P189" s="12"/>
      <c r="Q189" s="12"/>
      <c r="R189" s="36"/>
      <c r="S189" s="36"/>
      <c r="T189" s="12"/>
      <c r="U189" s="12"/>
      <c r="V189" s="12"/>
      <c r="W189" s="12"/>
      <c r="X189" s="12"/>
    </row>
    <row r="190" customFormat="false" ht="15.75" hidden="false" customHeight="false" outlineLevel="0" collapsed="false">
      <c r="A190" s="12"/>
      <c r="B190" s="34"/>
      <c r="C190" s="12"/>
      <c r="D190" s="12"/>
      <c r="E190" s="12"/>
      <c r="F190" s="12"/>
      <c r="G190" s="18"/>
      <c r="H190" s="35"/>
      <c r="I190" s="12"/>
      <c r="M190" s="12"/>
      <c r="N190" s="18"/>
      <c r="O190" s="12"/>
      <c r="P190" s="12"/>
      <c r="Q190" s="12"/>
      <c r="R190" s="36"/>
      <c r="S190" s="36"/>
      <c r="T190" s="12"/>
      <c r="U190" s="12"/>
      <c r="V190" s="12"/>
      <c r="W190" s="12"/>
      <c r="X190" s="12"/>
    </row>
    <row r="191" customFormat="false" ht="15.75" hidden="false" customHeight="false" outlineLevel="0" collapsed="false">
      <c r="A191" s="12"/>
      <c r="B191" s="34"/>
      <c r="C191" s="12"/>
      <c r="D191" s="12"/>
      <c r="E191" s="12"/>
      <c r="F191" s="12"/>
      <c r="G191" s="18"/>
      <c r="H191" s="35"/>
      <c r="I191" s="12"/>
      <c r="M191" s="12"/>
      <c r="N191" s="18"/>
      <c r="O191" s="12"/>
      <c r="P191" s="12"/>
      <c r="Q191" s="12"/>
      <c r="R191" s="36"/>
      <c r="S191" s="36"/>
      <c r="T191" s="12"/>
      <c r="U191" s="12"/>
      <c r="V191" s="12"/>
      <c r="W191" s="12"/>
      <c r="X191" s="12"/>
    </row>
    <row r="192" customFormat="false" ht="15.75" hidden="false" customHeight="false" outlineLevel="0" collapsed="false">
      <c r="A192" s="12"/>
      <c r="B192" s="34"/>
      <c r="C192" s="12"/>
      <c r="D192" s="12"/>
      <c r="E192" s="12"/>
      <c r="F192" s="12"/>
      <c r="G192" s="18"/>
      <c r="H192" s="35"/>
      <c r="I192" s="12"/>
      <c r="M192" s="12"/>
      <c r="N192" s="18"/>
      <c r="O192" s="12"/>
      <c r="P192" s="12"/>
      <c r="Q192" s="12"/>
      <c r="R192" s="36"/>
      <c r="S192" s="36"/>
      <c r="T192" s="12"/>
      <c r="U192" s="12"/>
      <c r="V192" s="12"/>
      <c r="W192" s="12"/>
      <c r="X192" s="12"/>
    </row>
    <row r="193" customFormat="false" ht="15.75" hidden="false" customHeight="false" outlineLevel="0" collapsed="false">
      <c r="A193" s="12"/>
      <c r="B193" s="34"/>
      <c r="C193" s="12"/>
      <c r="D193" s="12"/>
      <c r="E193" s="12"/>
      <c r="F193" s="12"/>
      <c r="G193" s="18"/>
      <c r="H193" s="35"/>
      <c r="I193" s="12"/>
      <c r="M193" s="12"/>
      <c r="N193" s="18"/>
      <c r="O193" s="12"/>
      <c r="P193" s="12"/>
      <c r="Q193" s="12"/>
      <c r="R193" s="36"/>
      <c r="S193" s="36"/>
      <c r="T193" s="12"/>
      <c r="U193" s="12"/>
      <c r="V193" s="12"/>
      <c r="W193" s="12"/>
      <c r="X193" s="12"/>
    </row>
    <row r="194" customFormat="false" ht="15.75" hidden="false" customHeight="false" outlineLevel="0" collapsed="false">
      <c r="A194" s="12"/>
      <c r="B194" s="34"/>
      <c r="C194" s="12"/>
      <c r="D194" s="12"/>
      <c r="E194" s="12"/>
      <c r="F194" s="12"/>
      <c r="G194" s="18"/>
      <c r="H194" s="35"/>
      <c r="I194" s="12"/>
      <c r="M194" s="12"/>
      <c r="N194" s="18"/>
      <c r="O194" s="12"/>
      <c r="P194" s="12"/>
      <c r="Q194" s="12"/>
      <c r="R194" s="36"/>
      <c r="S194" s="36"/>
      <c r="T194" s="12"/>
      <c r="U194" s="12"/>
      <c r="V194" s="12"/>
      <c r="W194" s="12"/>
      <c r="X194" s="12"/>
    </row>
    <row r="195" customFormat="false" ht="15.75" hidden="false" customHeight="false" outlineLevel="0" collapsed="false">
      <c r="A195" s="12"/>
      <c r="B195" s="34"/>
      <c r="C195" s="12"/>
      <c r="D195" s="12"/>
      <c r="E195" s="12"/>
      <c r="F195" s="12"/>
      <c r="G195" s="18"/>
      <c r="H195" s="35"/>
      <c r="I195" s="12"/>
      <c r="M195" s="12"/>
      <c r="N195" s="18"/>
      <c r="O195" s="12"/>
      <c r="P195" s="12"/>
      <c r="Q195" s="12"/>
      <c r="R195" s="36"/>
      <c r="S195" s="36"/>
      <c r="T195" s="12"/>
      <c r="U195" s="12"/>
      <c r="V195" s="12"/>
      <c r="W195" s="12"/>
      <c r="X195" s="12"/>
    </row>
    <row r="196" customFormat="false" ht="15.75" hidden="false" customHeight="false" outlineLevel="0" collapsed="false">
      <c r="A196" s="12"/>
      <c r="B196" s="34"/>
      <c r="C196" s="12"/>
      <c r="D196" s="12"/>
      <c r="E196" s="12"/>
      <c r="F196" s="12"/>
      <c r="G196" s="18"/>
      <c r="H196" s="35"/>
      <c r="I196" s="12"/>
      <c r="M196" s="12"/>
      <c r="N196" s="18"/>
      <c r="O196" s="12"/>
      <c r="P196" s="12"/>
      <c r="Q196" s="12"/>
      <c r="R196" s="36"/>
      <c r="S196" s="36"/>
      <c r="T196" s="12"/>
      <c r="U196" s="12"/>
      <c r="V196" s="12"/>
      <c r="W196" s="12"/>
      <c r="X196" s="12"/>
    </row>
    <row r="197" customFormat="false" ht="15.75" hidden="false" customHeight="false" outlineLevel="0" collapsed="false">
      <c r="A197" s="12"/>
      <c r="B197" s="34"/>
      <c r="C197" s="12"/>
      <c r="D197" s="12"/>
      <c r="E197" s="12"/>
      <c r="F197" s="12"/>
      <c r="G197" s="18"/>
      <c r="H197" s="35"/>
      <c r="I197" s="12"/>
      <c r="M197" s="12"/>
      <c r="N197" s="18"/>
      <c r="O197" s="12"/>
      <c r="P197" s="12"/>
      <c r="Q197" s="12"/>
      <c r="R197" s="36"/>
      <c r="S197" s="36"/>
      <c r="T197" s="12"/>
      <c r="U197" s="12"/>
      <c r="V197" s="12"/>
      <c r="W197" s="12"/>
      <c r="X197" s="12"/>
    </row>
    <row r="198" customFormat="false" ht="15.75" hidden="false" customHeight="false" outlineLevel="0" collapsed="false">
      <c r="A198" s="12"/>
      <c r="B198" s="34"/>
      <c r="C198" s="12"/>
      <c r="D198" s="12"/>
      <c r="E198" s="12"/>
      <c r="F198" s="12"/>
      <c r="G198" s="18"/>
      <c r="H198" s="35"/>
      <c r="I198" s="12"/>
      <c r="M198" s="12"/>
      <c r="N198" s="18"/>
      <c r="O198" s="12"/>
      <c r="P198" s="12"/>
      <c r="Q198" s="12"/>
      <c r="R198" s="36"/>
      <c r="S198" s="36"/>
      <c r="T198" s="12"/>
      <c r="U198" s="12"/>
      <c r="V198" s="12"/>
      <c r="W198" s="12"/>
      <c r="X198" s="12"/>
    </row>
    <row r="199" customFormat="false" ht="15.75" hidden="false" customHeight="false" outlineLevel="0" collapsed="false">
      <c r="A199" s="12"/>
      <c r="B199" s="34"/>
      <c r="C199" s="12"/>
      <c r="D199" s="12"/>
      <c r="E199" s="12"/>
      <c r="F199" s="12"/>
      <c r="G199" s="18"/>
      <c r="H199" s="35"/>
      <c r="I199" s="12"/>
      <c r="M199" s="12"/>
      <c r="N199" s="18"/>
      <c r="O199" s="12"/>
      <c r="P199" s="12"/>
      <c r="Q199" s="12"/>
      <c r="R199" s="36"/>
      <c r="S199" s="36"/>
      <c r="T199" s="12"/>
      <c r="U199" s="12"/>
      <c r="V199" s="12"/>
      <c r="W199" s="12"/>
      <c r="X199" s="12"/>
    </row>
    <row r="200" customFormat="false" ht="15.75" hidden="false" customHeight="false" outlineLevel="0" collapsed="false">
      <c r="A200" s="12"/>
      <c r="B200" s="34"/>
      <c r="C200" s="12"/>
      <c r="D200" s="12"/>
      <c r="E200" s="12"/>
      <c r="F200" s="12"/>
      <c r="G200" s="18"/>
      <c r="H200" s="35"/>
      <c r="I200" s="12"/>
      <c r="M200" s="12"/>
      <c r="N200" s="18"/>
      <c r="O200" s="12"/>
      <c r="P200" s="12"/>
      <c r="Q200" s="12"/>
      <c r="R200" s="36"/>
      <c r="S200" s="36"/>
      <c r="T200" s="12"/>
      <c r="U200" s="12"/>
      <c r="V200" s="12"/>
      <c r="W200" s="12"/>
      <c r="X200" s="12"/>
    </row>
    <row r="201" customFormat="false" ht="15.75" hidden="false" customHeight="false" outlineLevel="0" collapsed="false">
      <c r="A201" s="12"/>
      <c r="B201" s="34"/>
      <c r="C201" s="12"/>
      <c r="D201" s="12"/>
      <c r="E201" s="12"/>
      <c r="F201" s="12"/>
      <c r="G201" s="18"/>
      <c r="H201" s="35"/>
      <c r="I201" s="12"/>
      <c r="M201" s="12"/>
      <c r="N201" s="18"/>
      <c r="O201" s="12"/>
      <c r="P201" s="12"/>
      <c r="Q201" s="12"/>
      <c r="R201" s="36"/>
      <c r="S201" s="36"/>
      <c r="T201" s="12"/>
      <c r="U201" s="12"/>
      <c r="V201" s="12"/>
      <c r="W201" s="12"/>
      <c r="X201" s="12"/>
    </row>
    <row r="202" customFormat="false" ht="15.75" hidden="false" customHeight="false" outlineLevel="0" collapsed="false">
      <c r="A202" s="12"/>
      <c r="B202" s="34"/>
      <c r="C202" s="12"/>
      <c r="D202" s="12"/>
      <c r="E202" s="12"/>
      <c r="F202" s="12"/>
      <c r="G202" s="18"/>
      <c r="H202" s="35"/>
      <c r="I202" s="12"/>
      <c r="M202" s="12"/>
      <c r="N202" s="18"/>
      <c r="O202" s="12"/>
      <c r="P202" s="12"/>
      <c r="Q202" s="12"/>
      <c r="R202" s="36"/>
      <c r="S202" s="36"/>
      <c r="T202" s="12"/>
      <c r="U202" s="12"/>
      <c r="V202" s="12"/>
      <c r="W202" s="12"/>
      <c r="X202" s="12"/>
    </row>
    <row r="203" customFormat="false" ht="15.75" hidden="false" customHeight="false" outlineLevel="0" collapsed="false">
      <c r="A203" s="12"/>
      <c r="B203" s="34"/>
      <c r="C203" s="12"/>
      <c r="D203" s="12"/>
      <c r="E203" s="12"/>
      <c r="F203" s="12"/>
      <c r="G203" s="18"/>
      <c r="H203" s="35"/>
      <c r="I203" s="12"/>
      <c r="M203" s="12"/>
      <c r="N203" s="18"/>
      <c r="O203" s="12"/>
      <c r="P203" s="12"/>
      <c r="Q203" s="12"/>
      <c r="R203" s="36"/>
      <c r="S203" s="36"/>
      <c r="T203" s="12"/>
      <c r="U203" s="12"/>
      <c r="V203" s="12"/>
      <c r="W203" s="12"/>
      <c r="X203" s="12"/>
    </row>
    <row r="204" customFormat="false" ht="15.75" hidden="false" customHeight="false" outlineLevel="0" collapsed="false">
      <c r="A204" s="12"/>
      <c r="B204" s="34"/>
      <c r="C204" s="12"/>
      <c r="D204" s="12"/>
      <c r="E204" s="12"/>
      <c r="F204" s="12"/>
      <c r="G204" s="18"/>
      <c r="H204" s="35"/>
      <c r="I204" s="12"/>
      <c r="M204" s="12"/>
      <c r="N204" s="18"/>
      <c r="O204" s="12"/>
      <c r="P204" s="12"/>
      <c r="Q204" s="12"/>
      <c r="R204" s="36"/>
      <c r="S204" s="36"/>
      <c r="T204" s="12"/>
      <c r="U204" s="12"/>
      <c r="V204" s="12"/>
      <c r="W204" s="12"/>
      <c r="X204" s="12"/>
    </row>
    <row r="205" customFormat="false" ht="15.75" hidden="false" customHeight="false" outlineLevel="0" collapsed="false">
      <c r="A205" s="12"/>
      <c r="B205" s="34"/>
      <c r="C205" s="12"/>
      <c r="D205" s="12"/>
      <c r="E205" s="12"/>
      <c r="F205" s="12"/>
      <c r="G205" s="18"/>
      <c r="H205" s="35"/>
      <c r="I205" s="12"/>
      <c r="M205" s="12"/>
      <c r="N205" s="18"/>
      <c r="O205" s="12"/>
      <c r="P205" s="12"/>
      <c r="Q205" s="12"/>
      <c r="R205" s="36"/>
      <c r="S205" s="36"/>
      <c r="T205" s="12"/>
      <c r="U205" s="12"/>
      <c r="V205" s="12"/>
      <c r="W205" s="12"/>
      <c r="X205" s="12"/>
    </row>
    <row r="206" customFormat="false" ht="15.75" hidden="false" customHeight="false" outlineLevel="0" collapsed="false">
      <c r="A206" s="12"/>
      <c r="B206" s="34"/>
      <c r="C206" s="12"/>
      <c r="D206" s="12"/>
      <c r="E206" s="12"/>
      <c r="F206" s="12"/>
      <c r="G206" s="18"/>
      <c r="H206" s="35"/>
      <c r="I206" s="12"/>
      <c r="M206" s="12"/>
      <c r="N206" s="18"/>
      <c r="O206" s="12"/>
      <c r="P206" s="12"/>
      <c r="Q206" s="12"/>
      <c r="R206" s="36"/>
      <c r="S206" s="36"/>
      <c r="T206" s="12"/>
      <c r="U206" s="12"/>
      <c r="V206" s="12"/>
      <c r="W206" s="12"/>
      <c r="X206" s="12"/>
    </row>
    <row r="207" customFormat="false" ht="15.75" hidden="false" customHeight="false" outlineLevel="0" collapsed="false">
      <c r="A207" s="12"/>
      <c r="B207" s="34"/>
      <c r="C207" s="12"/>
      <c r="D207" s="12"/>
      <c r="E207" s="12"/>
      <c r="F207" s="12"/>
      <c r="G207" s="18"/>
      <c r="H207" s="35"/>
      <c r="I207" s="12"/>
      <c r="M207" s="12"/>
      <c r="N207" s="18"/>
      <c r="O207" s="12"/>
      <c r="P207" s="12"/>
      <c r="Q207" s="12"/>
      <c r="R207" s="36"/>
      <c r="S207" s="36"/>
      <c r="T207" s="12"/>
      <c r="U207" s="12"/>
      <c r="V207" s="12"/>
      <c r="W207" s="12"/>
      <c r="X207" s="12"/>
    </row>
    <row r="208" customFormat="false" ht="15.75" hidden="false" customHeight="false" outlineLevel="0" collapsed="false">
      <c r="A208" s="12"/>
      <c r="B208" s="34"/>
      <c r="C208" s="12"/>
      <c r="D208" s="12"/>
      <c r="E208" s="12"/>
      <c r="F208" s="12"/>
      <c r="G208" s="18"/>
      <c r="H208" s="35"/>
      <c r="I208" s="12"/>
      <c r="M208" s="12"/>
      <c r="N208" s="18"/>
      <c r="O208" s="12"/>
      <c r="P208" s="12"/>
      <c r="Q208" s="12"/>
      <c r="R208" s="36"/>
      <c r="S208" s="36"/>
      <c r="T208" s="12"/>
      <c r="U208" s="12"/>
      <c r="V208" s="12"/>
      <c r="W208" s="12"/>
      <c r="X208" s="12"/>
    </row>
    <row r="209" customFormat="false" ht="15.75" hidden="false" customHeight="false" outlineLevel="0" collapsed="false">
      <c r="A209" s="12"/>
      <c r="B209" s="34"/>
      <c r="C209" s="12"/>
      <c r="D209" s="12"/>
      <c r="E209" s="12"/>
      <c r="F209" s="12"/>
      <c r="G209" s="18"/>
      <c r="H209" s="35"/>
      <c r="I209" s="12"/>
      <c r="M209" s="12"/>
      <c r="N209" s="18"/>
      <c r="O209" s="12"/>
      <c r="P209" s="12"/>
      <c r="Q209" s="12"/>
      <c r="R209" s="36"/>
      <c r="S209" s="36"/>
      <c r="T209" s="12"/>
      <c r="U209" s="12"/>
      <c r="V209" s="12"/>
      <c r="W209" s="12"/>
      <c r="X209" s="12"/>
    </row>
    <row r="210" customFormat="false" ht="15.75" hidden="false" customHeight="false" outlineLevel="0" collapsed="false">
      <c r="A210" s="12"/>
      <c r="B210" s="34"/>
      <c r="C210" s="12"/>
      <c r="D210" s="12"/>
      <c r="E210" s="12"/>
      <c r="F210" s="12"/>
      <c r="G210" s="18"/>
      <c r="H210" s="35"/>
      <c r="I210" s="12"/>
      <c r="M210" s="12"/>
      <c r="N210" s="18"/>
      <c r="O210" s="12"/>
      <c r="P210" s="12"/>
      <c r="Q210" s="12"/>
      <c r="R210" s="36"/>
      <c r="S210" s="36"/>
      <c r="T210" s="12"/>
      <c r="U210" s="12"/>
      <c r="V210" s="12"/>
      <c r="W210" s="12"/>
      <c r="X210" s="12"/>
    </row>
    <row r="211" customFormat="false" ht="15.75" hidden="false" customHeight="false" outlineLevel="0" collapsed="false">
      <c r="A211" s="12"/>
      <c r="B211" s="34"/>
      <c r="C211" s="12"/>
      <c r="D211" s="12"/>
      <c r="E211" s="12"/>
      <c r="F211" s="12"/>
      <c r="G211" s="18"/>
      <c r="H211" s="35"/>
      <c r="I211" s="12"/>
      <c r="M211" s="12"/>
      <c r="N211" s="18"/>
      <c r="O211" s="12"/>
      <c r="P211" s="12"/>
      <c r="Q211" s="12"/>
      <c r="R211" s="36"/>
      <c r="S211" s="36"/>
      <c r="T211" s="12"/>
      <c r="U211" s="12"/>
      <c r="V211" s="12"/>
      <c r="W211" s="12"/>
      <c r="X211" s="12"/>
    </row>
    <row r="212" customFormat="false" ht="15.75" hidden="false" customHeight="false" outlineLevel="0" collapsed="false">
      <c r="A212" s="12"/>
      <c r="B212" s="34"/>
      <c r="C212" s="12"/>
      <c r="D212" s="12"/>
      <c r="E212" s="12"/>
      <c r="F212" s="12"/>
      <c r="G212" s="18"/>
      <c r="H212" s="35"/>
      <c r="I212" s="12"/>
      <c r="M212" s="12"/>
      <c r="N212" s="18"/>
      <c r="O212" s="12"/>
      <c r="P212" s="12"/>
      <c r="Q212" s="12"/>
      <c r="R212" s="36"/>
      <c r="S212" s="36"/>
      <c r="T212" s="12"/>
      <c r="U212" s="12"/>
      <c r="V212" s="12"/>
      <c r="W212" s="12"/>
      <c r="X212" s="12"/>
    </row>
    <row r="213" customFormat="false" ht="15.75" hidden="false" customHeight="false" outlineLevel="0" collapsed="false">
      <c r="A213" s="12"/>
      <c r="B213" s="34"/>
      <c r="C213" s="12"/>
      <c r="D213" s="12"/>
      <c r="E213" s="12"/>
      <c r="F213" s="12"/>
      <c r="G213" s="18"/>
      <c r="H213" s="35"/>
      <c r="I213" s="12"/>
      <c r="M213" s="12"/>
      <c r="N213" s="18"/>
      <c r="O213" s="12"/>
      <c r="P213" s="12"/>
      <c r="Q213" s="12"/>
      <c r="R213" s="36"/>
      <c r="S213" s="36"/>
      <c r="T213" s="12"/>
      <c r="U213" s="12"/>
      <c r="V213" s="12"/>
      <c r="W213" s="12"/>
      <c r="X213" s="12"/>
    </row>
    <row r="214" customFormat="false" ht="15.75" hidden="false" customHeight="false" outlineLevel="0" collapsed="false">
      <c r="A214" s="12"/>
      <c r="B214" s="34"/>
      <c r="C214" s="12"/>
      <c r="D214" s="12"/>
      <c r="E214" s="12"/>
      <c r="F214" s="12"/>
      <c r="G214" s="18"/>
      <c r="H214" s="35"/>
      <c r="I214" s="12"/>
      <c r="M214" s="12"/>
      <c r="N214" s="18"/>
      <c r="O214" s="12"/>
      <c r="P214" s="12"/>
      <c r="Q214" s="12"/>
      <c r="R214" s="36"/>
      <c r="S214" s="36"/>
      <c r="T214" s="12"/>
      <c r="U214" s="12"/>
      <c r="V214" s="12"/>
      <c r="W214" s="12"/>
      <c r="X214" s="12"/>
    </row>
    <row r="215" customFormat="false" ht="15.75" hidden="false" customHeight="false" outlineLevel="0" collapsed="false">
      <c r="A215" s="12"/>
      <c r="B215" s="34"/>
      <c r="C215" s="12"/>
      <c r="D215" s="12"/>
      <c r="E215" s="12"/>
      <c r="F215" s="12"/>
      <c r="G215" s="18"/>
      <c r="H215" s="35"/>
      <c r="I215" s="12"/>
      <c r="M215" s="12"/>
      <c r="N215" s="18"/>
      <c r="O215" s="12"/>
      <c r="P215" s="12"/>
      <c r="Q215" s="12"/>
      <c r="R215" s="36"/>
      <c r="S215" s="36"/>
      <c r="T215" s="12"/>
      <c r="U215" s="12"/>
      <c r="V215" s="12"/>
      <c r="W215" s="12"/>
      <c r="X215" s="12"/>
    </row>
    <row r="216" customFormat="false" ht="15.75" hidden="false" customHeight="false" outlineLevel="0" collapsed="false">
      <c r="A216" s="12"/>
      <c r="B216" s="34"/>
      <c r="C216" s="12"/>
      <c r="D216" s="12"/>
      <c r="E216" s="12"/>
      <c r="F216" s="12"/>
      <c r="G216" s="18"/>
      <c r="H216" s="35"/>
      <c r="I216" s="12"/>
      <c r="M216" s="12"/>
      <c r="N216" s="18"/>
      <c r="O216" s="12"/>
      <c r="P216" s="12"/>
      <c r="Q216" s="12"/>
      <c r="R216" s="36"/>
      <c r="S216" s="36"/>
      <c r="T216" s="12"/>
      <c r="U216" s="12"/>
      <c r="V216" s="12"/>
      <c r="W216" s="12"/>
      <c r="X216" s="12"/>
    </row>
    <row r="217" customFormat="false" ht="15.75" hidden="false" customHeight="false" outlineLevel="0" collapsed="false">
      <c r="A217" s="12"/>
      <c r="B217" s="34"/>
      <c r="C217" s="12"/>
      <c r="D217" s="12"/>
      <c r="E217" s="12"/>
      <c r="F217" s="12"/>
      <c r="G217" s="18"/>
      <c r="H217" s="35"/>
      <c r="I217" s="12"/>
      <c r="M217" s="12"/>
      <c r="N217" s="18"/>
      <c r="O217" s="12"/>
      <c r="P217" s="12"/>
      <c r="Q217" s="12"/>
      <c r="R217" s="36"/>
      <c r="S217" s="36"/>
      <c r="T217" s="12"/>
      <c r="U217" s="12"/>
      <c r="V217" s="12"/>
      <c r="W217" s="12"/>
      <c r="X217" s="12"/>
    </row>
    <row r="218" customFormat="false" ht="15.75" hidden="false" customHeight="false" outlineLevel="0" collapsed="false">
      <c r="A218" s="12"/>
      <c r="B218" s="34"/>
      <c r="C218" s="12"/>
      <c r="D218" s="12"/>
      <c r="E218" s="12"/>
      <c r="F218" s="12"/>
      <c r="G218" s="18"/>
      <c r="H218" s="35"/>
      <c r="I218" s="12"/>
      <c r="M218" s="12"/>
      <c r="N218" s="18"/>
      <c r="O218" s="12"/>
      <c r="P218" s="12"/>
      <c r="Q218" s="12"/>
      <c r="R218" s="36"/>
      <c r="S218" s="36"/>
      <c r="T218" s="12"/>
      <c r="U218" s="12"/>
      <c r="V218" s="12"/>
      <c r="W218" s="12"/>
      <c r="X218" s="12"/>
    </row>
    <row r="219" customFormat="false" ht="15.75" hidden="false" customHeight="false" outlineLevel="0" collapsed="false">
      <c r="A219" s="12"/>
      <c r="B219" s="34"/>
      <c r="C219" s="12"/>
      <c r="D219" s="12"/>
      <c r="E219" s="12"/>
      <c r="F219" s="12"/>
      <c r="G219" s="18"/>
      <c r="H219" s="35"/>
      <c r="I219" s="12"/>
      <c r="M219" s="12"/>
      <c r="N219" s="18"/>
      <c r="O219" s="12"/>
      <c r="P219" s="12"/>
      <c r="Q219" s="12"/>
      <c r="R219" s="36"/>
      <c r="S219" s="36"/>
      <c r="T219" s="12"/>
      <c r="U219" s="12"/>
      <c r="V219" s="12"/>
      <c r="W219" s="12"/>
      <c r="X219" s="12"/>
    </row>
    <row r="220" customFormat="false" ht="15.75" hidden="false" customHeight="false" outlineLevel="0" collapsed="false">
      <c r="A220" s="12"/>
      <c r="B220" s="34"/>
      <c r="C220" s="12"/>
      <c r="D220" s="12"/>
      <c r="E220" s="12"/>
      <c r="F220" s="12"/>
      <c r="G220" s="18"/>
      <c r="H220" s="35"/>
      <c r="I220" s="12"/>
      <c r="M220" s="12"/>
      <c r="N220" s="18"/>
      <c r="O220" s="12"/>
      <c r="P220" s="12"/>
      <c r="Q220" s="12"/>
      <c r="R220" s="36"/>
      <c r="S220" s="36"/>
      <c r="T220" s="12"/>
      <c r="U220" s="12"/>
      <c r="V220" s="12"/>
      <c r="W220" s="12"/>
      <c r="X220" s="12"/>
    </row>
    <row r="221" customFormat="false" ht="15.75" hidden="false" customHeight="false" outlineLevel="0" collapsed="false">
      <c r="A221" s="12"/>
      <c r="B221" s="34"/>
      <c r="C221" s="12"/>
      <c r="D221" s="12"/>
      <c r="E221" s="12"/>
      <c r="F221" s="12"/>
      <c r="G221" s="18"/>
      <c r="H221" s="35"/>
      <c r="I221" s="12"/>
      <c r="M221" s="12"/>
      <c r="N221" s="18"/>
      <c r="O221" s="12"/>
      <c r="P221" s="12"/>
      <c r="Q221" s="12"/>
      <c r="R221" s="36"/>
      <c r="S221" s="36"/>
      <c r="T221" s="12"/>
      <c r="U221" s="12"/>
      <c r="V221" s="12"/>
      <c r="W221" s="12"/>
      <c r="X221" s="12"/>
    </row>
    <row r="222" customFormat="false" ht="15.75" hidden="false" customHeight="false" outlineLevel="0" collapsed="false">
      <c r="A222" s="12"/>
      <c r="B222" s="34"/>
      <c r="C222" s="12"/>
      <c r="D222" s="12"/>
      <c r="E222" s="12"/>
      <c r="F222" s="12"/>
      <c r="G222" s="18"/>
      <c r="H222" s="35"/>
      <c r="I222" s="12"/>
      <c r="M222" s="12"/>
      <c r="N222" s="18"/>
      <c r="O222" s="12"/>
      <c r="P222" s="12"/>
      <c r="Q222" s="12"/>
      <c r="R222" s="36"/>
      <c r="S222" s="36"/>
      <c r="T222" s="12"/>
      <c r="U222" s="12"/>
      <c r="V222" s="12"/>
      <c r="W222" s="12"/>
      <c r="X222" s="12"/>
    </row>
    <row r="223" customFormat="false" ht="15.75" hidden="false" customHeight="false" outlineLevel="0" collapsed="false">
      <c r="A223" s="12"/>
      <c r="B223" s="34"/>
      <c r="C223" s="12"/>
      <c r="D223" s="12"/>
      <c r="E223" s="12"/>
      <c r="F223" s="12"/>
      <c r="G223" s="18"/>
      <c r="H223" s="35"/>
      <c r="I223" s="12"/>
      <c r="M223" s="12"/>
      <c r="N223" s="18"/>
      <c r="O223" s="12"/>
      <c r="P223" s="12"/>
      <c r="Q223" s="12"/>
      <c r="R223" s="36"/>
      <c r="S223" s="36"/>
      <c r="T223" s="12"/>
      <c r="U223" s="12"/>
      <c r="V223" s="12"/>
      <c r="W223" s="12"/>
      <c r="X223" s="12"/>
    </row>
    <row r="224" customFormat="false" ht="15.75" hidden="false" customHeight="false" outlineLevel="0" collapsed="false">
      <c r="A224" s="12"/>
      <c r="B224" s="34"/>
      <c r="C224" s="12"/>
      <c r="D224" s="12"/>
      <c r="E224" s="12"/>
      <c r="F224" s="12"/>
      <c r="G224" s="18"/>
      <c r="H224" s="35"/>
      <c r="I224" s="12"/>
      <c r="M224" s="12"/>
      <c r="N224" s="18"/>
      <c r="O224" s="12"/>
      <c r="P224" s="12"/>
      <c r="Q224" s="12"/>
      <c r="R224" s="36"/>
      <c r="S224" s="36"/>
      <c r="T224" s="12"/>
      <c r="U224" s="12"/>
      <c r="V224" s="12"/>
      <c r="W224" s="12"/>
      <c r="X224" s="12"/>
    </row>
    <row r="225" customFormat="false" ht="15.75" hidden="false" customHeight="false" outlineLevel="0" collapsed="false">
      <c r="A225" s="12"/>
      <c r="B225" s="34"/>
      <c r="C225" s="12"/>
      <c r="D225" s="12"/>
      <c r="E225" s="12"/>
      <c r="F225" s="12"/>
      <c r="G225" s="18"/>
      <c r="H225" s="35"/>
      <c r="I225" s="12"/>
      <c r="M225" s="12"/>
      <c r="N225" s="18"/>
      <c r="O225" s="12"/>
      <c r="P225" s="12"/>
      <c r="Q225" s="12"/>
      <c r="R225" s="36"/>
      <c r="S225" s="36"/>
      <c r="T225" s="12"/>
      <c r="U225" s="12"/>
      <c r="V225" s="12"/>
      <c r="W225" s="12"/>
      <c r="X225" s="12"/>
    </row>
    <row r="226" customFormat="false" ht="15.75" hidden="false" customHeight="false" outlineLevel="0" collapsed="false">
      <c r="A226" s="12"/>
      <c r="B226" s="34"/>
      <c r="C226" s="12"/>
      <c r="D226" s="12"/>
      <c r="E226" s="12"/>
      <c r="F226" s="12"/>
      <c r="G226" s="18"/>
      <c r="H226" s="35"/>
      <c r="I226" s="12"/>
      <c r="M226" s="12"/>
      <c r="N226" s="18"/>
      <c r="O226" s="12"/>
      <c r="P226" s="12"/>
      <c r="Q226" s="12"/>
      <c r="R226" s="36"/>
      <c r="S226" s="36"/>
      <c r="T226" s="12"/>
      <c r="U226" s="12"/>
      <c r="V226" s="12"/>
      <c r="W226" s="12"/>
      <c r="X226" s="12"/>
    </row>
    <row r="227" customFormat="false" ht="15.75" hidden="false" customHeight="false" outlineLevel="0" collapsed="false">
      <c r="A227" s="12"/>
      <c r="B227" s="34"/>
      <c r="C227" s="12"/>
      <c r="D227" s="12"/>
      <c r="E227" s="12"/>
      <c r="F227" s="12"/>
      <c r="G227" s="18"/>
      <c r="H227" s="35"/>
      <c r="I227" s="12"/>
      <c r="M227" s="12"/>
      <c r="N227" s="18"/>
      <c r="O227" s="12"/>
      <c r="P227" s="12"/>
      <c r="Q227" s="12"/>
      <c r="R227" s="36"/>
      <c r="S227" s="36"/>
      <c r="T227" s="12"/>
      <c r="U227" s="12"/>
      <c r="V227" s="12"/>
      <c r="W227" s="12"/>
      <c r="X227" s="12"/>
    </row>
    <row r="228" customFormat="false" ht="15.75" hidden="false" customHeight="false" outlineLevel="0" collapsed="false">
      <c r="A228" s="12"/>
      <c r="B228" s="34"/>
      <c r="C228" s="12"/>
      <c r="D228" s="12"/>
      <c r="E228" s="12"/>
      <c r="F228" s="12"/>
      <c r="G228" s="18"/>
      <c r="H228" s="35"/>
      <c r="I228" s="12"/>
      <c r="M228" s="12"/>
      <c r="N228" s="18"/>
      <c r="O228" s="12"/>
      <c r="P228" s="12"/>
      <c r="Q228" s="12"/>
      <c r="R228" s="36"/>
      <c r="S228" s="36"/>
      <c r="T228" s="12"/>
      <c r="U228" s="12"/>
      <c r="V228" s="12"/>
      <c r="W228" s="12"/>
      <c r="X228" s="12"/>
    </row>
    <row r="229" customFormat="false" ht="15.75" hidden="false" customHeight="false" outlineLevel="0" collapsed="false">
      <c r="A229" s="12"/>
      <c r="B229" s="34"/>
      <c r="C229" s="12"/>
      <c r="D229" s="12"/>
      <c r="E229" s="12"/>
      <c r="F229" s="12"/>
      <c r="G229" s="18"/>
      <c r="H229" s="35"/>
      <c r="I229" s="12"/>
      <c r="M229" s="12"/>
      <c r="N229" s="18"/>
      <c r="O229" s="12"/>
      <c r="P229" s="12"/>
      <c r="Q229" s="12"/>
      <c r="R229" s="36"/>
      <c r="S229" s="36"/>
      <c r="T229" s="12"/>
      <c r="U229" s="12"/>
      <c r="V229" s="12"/>
      <c r="W229" s="12"/>
      <c r="X229" s="12"/>
    </row>
    <row r="230" customFormat="false" ht="15.75" hidden="false" customHeight="false" outlineLevel="0" collapsed="false">
      <c r="A230" s="12"/>
      <c r="B230" s="34"/>
      <c r="C230" s="12"/>
      <c r="D230" s="12"/>
      <c r="E230" s="12"/>
      <c r="F230" s="12"/>
      <c r="G230" s="18"/>
      <c r="H230" s="35"/>
      <c r="I230" s="12"/>
      <c r="M230" s="12"/>
      <c r="N230" s="18"/>
      <c r="O230" s="12"/>
      <c r="P230" s="12"/>
      <c r="Q230" s="12"/>
      <c r="R230" s="36"/>
      <c r="S230" s="36"/>
      <c r="T230" s="12"/>
      <c r="U230" s="12"/>
      <c r="V230" s="12"/>
      <c r="W230" s="12"/>
      <c r="X230" s="12"/>
    </row>
    <row r="231" customFormat="false" ht="15.75" hidden="false" customHeight="false" outlineLevel="0" collapsed="false">
      <c r="A231" s="12"/>
      <c r="B231" s="34"/>
      <c r="C231" s="12"/>
      <c r="D231" s="12"/>
      <c r="E231" s="12"/>
      <c r="F231" s="12"/>
      <c r="G231" s="18"/>
      <c r="H231" s="35"/>
      <c r="I231" s="12"/>
      <c r="M231" s="12"/>
      <c r="N231" s="18"/>
      <c r="O231" s="12"/>
      <c r="P231" s="12"/>
      <c r="Q231" s="12"/>
      <c r="R231" s="36"/>
      <c r="S231" s="36"/>
      <c r="T231" s="12"/>
      <c r="U231" s="12"/>
      <c r="V231" s="12"/>
      <c r="W231" s="12"/>
      <c r="X231" s="12"/>
    </row>
    <row r="232" customFormat="false" ht="15.75" hidden="false" customHeight="false" outlineLevel="0" collapsed="false">
      <c r="A232" s="12"/>
      <c r="B232" s="34"/>
      <c r="C232" s="12"/>
      <c r="D232" s="12"/>
      <c r="E232" s="12"/>
      <c r="F232" s="12"/>
      <c r="G232" s="18"/>
      <c r="H232" s="35"/>
      <c r="I232" s="12"/>
      <c r="M232" s="12"/>
      <c r="N232" s="18"/>
      <c r="O232" s="12"/>
      <c r="P232" s="12"/>
      <c r="Q232" s="12"/>
      <c r="R232" s="36"/>
      <c r="S232" s="36"/>
      <c r="T232" s="12"/>
      <c r="U232" s="12"/>
      <c r="V232" s="12"/>
      <c r="W232" s="12"/>
      <c r="X232" s="12"/>
    </row>
    <row r="233" customFormat="false" ht="15.75" hidden="false" customHeight="false" outlineLevel="0" collapsed="false">
      <c r="A233" s="12"/>
      <c r="B233" s="34"/>
      <c r="C233" s="12"/>
      <c r="D233" s="12"/>
      <c r="E233" s="12"/>
      <c r="F233" s="12"/>
      <c r="G233" s="18"/>
      <c r="H233" s="35"/>
      <c r="I233" s="12"/>
      <c r="M233" s="12"/>
      <c r="N233" s="18"/>
      <c r="O233" s="12"/>
      <c r="P233" s="12"/>
      <c r="Q233" s="12"/>
      <c r="R233" s="36"/>
      <c r="S233" s="36"/>
      <c r="T233" s="12"/>
      <c r="U233" s="12"/>
      <c r="V233" s="12"/>
      <c r="W233" s="12"/>
      <c r="X233" s="12"/>
    </row>
    <row r="234" customFormat="false" ht="15.75" hidden="false" customHeight="false" outlineLevel="0" collapsed="false">
      <c r="A234" s="12"/>
      <c r="B234" s="34"/>
      <c r="C234" s="12"/>
      <c r="D234" s="12"/>
      <c r="E234" s="12"/>
      <c r="F234" s="12"/>
      <c r="G234" s="18"/>
      <c r="H234" s="35"/>
      <c r="I234" s="12"/>
      <c r="M234" s="12"/>
      <c r="N234" s="18"/>
      <c r="O234" s="12"/>
      <c r="P234" s="12"/>
      <c r="Q234" s="12"/>
      <c r="R234" s="36"/>
      <c r="S234" s="36"/>
      <c r="T234" s="12"/>
      <c r="U234" s="12"/>
      <c r="V234" s="12"/>
      <c r="W234" s="12"/>
      <c r="X234" s="12"/>
    </row>
    <row r="235" customFormat="false" ht="15.75" hidden="false" customHeight="false" outlineLevel="0" collapsed="false">
      <c r="A235" s="12"/>
      <c r="B235" s="34"/>
      <c r="C235" s="12"/>
      <c r="D235" s="12"/>
      <c r="E235" s="12"/>
      <c r="F235" s="12"/>
      <c r="G235" s="18"/>
      <c r="H235" s="35"/>
      <c r="I235" s="12"/>
      <c r="M235" s="12"/>
      <c r="N235" s="18"/>
      <c r="O235" s="12"/>
      <c r="P235" s="12"/>
      <c r="Q235" s="12"/>
      <c r="R235" s="36"/>
      <c r="S235" s="36"/>
      <c r="T235" s="12"/>
      <c r="U235" s="12"/>
      <c r="V235" s="12"/>
      <c r="W235" s="12"/>
      <c r="X235" s="12"/>
    </row>
    <row r="236" customFormat="false" ht="15.75" hidden="false" customHeight="false" outlineLevel="0" collapsed="false">
      <c r="A236" s="12"/>
      <c r="B236" s="34"/>
      <c r="C236" s="12"/>
      <c r="D236" s="12"/>
      <c r="E236" s="12"/>
      <c r="F236" s="12"/>
      <c r="G236" s="18"/>
      <c r="H236" s="35"/>
      <c r="I236" s="12"/>
      <c r="M236" s="12"/>
      <c r="N236" s="18"/>
      <c r="O236" s="12"/>
      <c r="P236" s="12"/>
      <c r="Q236" s="12"/>
      <c r="R236" s="36"/>
      <c r="S236" s="36"/>
      <c r="T236" s="12"/>
      <c r="U236" s="12"/>
      <c r="V236" s="12"/>
      <c r="W236" s="12"/>
      <c r="X236" s="12"/>
    </row>
    <row r="237" customFormat="false" ht="15.75" hidden="false" customHeight="false" outlineLevel="0" collapsed="false">
      <c r="A237" s="12"/>
      <c r="B237" s="34"/>
      <c r="C237" s="12"/>
      <c r="D237" s="12"/>
      <c r="E237" s="12"/>
      <c r="F237" s="12"/>
      <c r="G237" s="18"/>
      <c r="H237" s="35"/>
      <c r="I237" s="12"/>
      <c r="M237" s="12"/>
      <c r="N237" s="18"/>
      <c r="O237" s="12"/>
      <c r="P237" s="12"/>
      <c r="Q237" s="12"/>
      <c r="R237" s="36"/>
      <c r="S237" s="36"/>
      <c r="T237" s="12"/>
      <c r="U237" s="12"/>
      <c r="V237" s="12"/>
      <c r="W237" s="12"/>
      <c r="X237" s="12"/>
    </row>
    <row r="238" customFormat="false" ht="15.75" hidden="false" customHeight="false" outlineLevel="0" collapsed="false">
      <c r="A238" s="12"/>
      <c r="B238" s="34"/>
      <c r="C238" s="12"/>
      <c r="D238" s="12"/>
      <c r="E238" s="12"/>
      <c r="F238" s="12"/>
      <c r="G238" s="18"/>
      <c r="H238" s="35"/>
      <c r="I238" s="12"/>
      <c r="M238" s="12"/>
      <c r="N238" s="18"/>
      <c r="O238" s="12"/>
      <c r="P238" s="12"/>
      <c r="Q238" s="12"/>
      <c r="R238" s="36"/>
      <c r="S238" s="36"/>
      <c r="T238" s="12"/>
      <c r="U238" s="12"/>
      <c r="V238" s="12"/>
      <c r="W238" s="12"/>
      <c r="X238" s="12"/>
    </row>
    <row r="239" customFormat="false" ht="15.75" hidden="false" customHeight="false" outlineLevel="0" collapsed="false">
      <c r="A239" s="12"/>
      <c r="B239" s="34"/>
      <c r="C239" s="12"/>
      <c r="D239" s="12"/>
      <c r="E239" s="12"/>
      <c r="F239" s="12"/>
      <c r="G239" s="18"/>
      <c r="H239" s="35"/>
      <c r="I239" s="12"/>
      <c r="M239" s="12"/>
      <c r="N239" s="18"/>
      <c r="O239" s="12"/>
      <c r="P239" s="12"/>
      <c r="Q239" s="12"/>
      <c r="R239" s="36"/>
      <c r="S239" s="36"/>
      <c r="T239" s="12"/>
      <c r="U239" s="12"/>
      <c r="V239" s="12"/>
      <c r="W239" s="12"/>
      <c r="X239" s="12"/>
    </row>
    <row r="240" customFormat="false" ht="15.75" hidden="false" customHeight="false" outlineLevel="0" collapsed="false">
      <c r="A240" s="12"/>
      <c r="B240" s="34"/>
      <c r="C240" s="12"/>
      <c r="D240" s="12"/>
      <c r="E240" s="12"/>
      <c r="F240" s="12"/>
      <c r="G240" s="18"/>
      <c r="H240" s="35"/>
      <c r="I240" s="12"/>
      <c r="M240" s="12"/>
      <c r="N240" s="18"/>
      <c r="O240" s="12"/>
      <c r="P240" s="12"/>
      <c r="Q240" s="12"/>
      <c r="R240" s="36"/>
      <c r="S240" s="36"/>
      <c r="T240" s="12"/>
      <c r="U240" s="12"/>
      <c r="V240" s="12"/>
      <c r="W240" s="12"/>
      <c r="X240" s="12"/>
    </row>
    <row r="241" customFormat="false" ht="15.75" hidden="false" customHeight="false" outlineLevel="0" collapsed="false">
      <c r="A241" s="12"/>
      <c r="B241" s="34"/>
      <c r="C241" s="12"/>
      <c r="D241" s="12"/>
      <c r="E241" s="12"/>
      <c r="F241" s="12"/>
      <c r="G241" s="18"/>
      <c r="H241" s="35"/>
      <c r="I241" s="12"/>
      <c r="M241" s="12"/>
      <c r="N241" s="18"/>
      <c r="O241" s="12"/>
      <c r="P241" s="12"/>
      <c r="Q241" s="12"/>
      <c r="R241" s="36"/>
      <c r="S241" s="36"/>
      <c r="T241" s="12"/>
      <c r="U241" s="12"/>
      <c r="V241" s="12"/>
      <c r="W241" s="12"/>
      <c r="X241" s="12"/>
    </row>
    <row r="242" customFormat="false" ht="15.75" hidden="false" customHeight="false" outlineLevel="0" collapsed="false">
      <c r="A242" s="12"/>
      <c r="B242" s="34"/>
      <c r="C242" s="12"/>
      <c r="D242" s="12"/>
      <c r="E242" s="12"/>
      <c r="F242" s="12"/>
      <c r="G242" s="18"/>
      <c r="H242" s="35"/>
      <c r="I242" s="12"/>
      <c r="M242" s="12"/>
      <c r="N242" s="18"/>
      <c r="O242" s="12"/>
      <c r="P242" s="12"/>
      <c r="Q242" s="12"/>
      <c r="R242" s="36"/>
      <c r="S242" s="36"/>
      <c r="T242" s="12"/>
      <c r="U242" s="12"/>
      <c r="V242" s="12"/>
      <c r="W242" s="12"/>
      <c r="X242" s="12"/>
    </row>
    <row r="243" customFormat="false" ht="15.75" hidden="false" customHeight="false" outlineLevel="0" collapsed="false">
      <c r="A243" s="12"/>
      <c r="B243" s="34"/>
      <c r="C243" s="12"/>
      <c r="D243" s="12"/>
      <c r="E243" s="12"/>
      <c r="F243" s="12"/>
      <c r="G243" s="18"/>
      <c r="H243" s="35"/>
      <c r="I243" s="12"/>
      <c r="M243" s="12"/>
      <c r="N243" s="18"/>
      <c r="O243" s="12"/>
      <c r="P243" s="12"/>
      <c r="Q243" s="12"/>
      <c r="R243" s="36"/>
      <c r="S243" s="36"/>
      <c r="T243" s="12"/>
      <c r="U243" s="12"/>
      <c r="V243" s="12"/>
      <c r="W243" s="12"/>
      <c r="X243" s="12"/>
    </row>
    <row r="244" customFormat="false" ht="15.75" hidden="false" customHeight="false" outlineLevel="0" collapsed="false">
      <c r="A244" s="12"/>
      <c r="B244" s="34"/>
      <c r="C244" s="12"/>
      <c r="D244" s="12"/>
      <c r="E244" s="12"/>
      <c r="F244" s="12"/>
      <c r="G244" s="18"/>
      <c r="H244" s="35"/>
      <c r="I244" s="12"/>
      <c r="M244" s="12"/>
      <c r="N244" s="18"/>
      <c r="O244" s="12"/>
      <c r="P244" s="12"/>
      <c r="Q244" s="12"/>
      <c r="R244" s="36"/>
      <c r="S244" s="36"/>
      <c r="T244" s="12"/>
      <c r="U244" s="12"/>
      <c r="V244" s="12"/>
      <c r="W244" s="12"/>
      <c r="X244" s="12"/>
    </row>
    <row r="245" customFormat="false" ht="15.75" hidden="false" customHeight="false" outlineLevel="0" collapsed="false">
      <c r="A245" s="12"/>
      <c r="B245" s="34"/>
      <c r="C245" s="12"/>
      <c r="D245" s="12"/>
      <c r="E245" s="12"/>
      <c r="F245" s="12"/>
      <c r="G245" s="18"/>
      <c r="H245" s="35"/>
      <c r="I245" s="12"/>
      <c r="M245" s="12"/>
      <c r="N245" s="18"/>
      <c r="O245" s="12"/>
      <c r="P245" s="12"/>
      <c r="Q245" s="12"/>
      <c r="R245" s="36"/>
      <c r="S245" s="36"/>
      <c r="T245" s="12"/>
      <c r="U245" s="12"/>
      <c r="V245" s="12"/>
      <c r="W245" s="12"/>
      <c r="X245" s="12"/>
    </row>
    <row r="246" customFormat="false" ht="15.75" hidden="false" customHeight="false" outlineLevel="0" collapsed="false">
      <c r="A246" s="12"/>
      <c r="B246" s="34"/>
      <c r="C246" s="12"/>
      <c r="D246" s="12"/>
      <c r="E246" s="12"/>
      <c r="F246" s="12"/>
      <c r="G246" s="18"/>
      <c r="H246" s="35"/>
      <c r="I246" s="12"/>
      <c r="M246" s="12"/>
      <c r="N246" s="18"/>
      <c r="O246" s="12"/>
      <c r="P246" s="12"/>
      <c r="Q246" s="12"/>
      <c r="R246" s="36"/>
      <c r="S246" s="36"/>
      <c r="T246" s="12"/>
      <c r="U246" s="12"/>
      <c r="V246" s="12"/>
      <c r="W246" s="12"/>
      <c r="X246" s="12"/>
    </row>
    <row r="247" customFormat="false" ht="15.75" hidden="false" customHeight="false" outlineLevel="0" collapsed="false">
      <c r="A247" s="12"/>
      <c r="B247" s="34"/>
      <c r="C247" s="12"/>
      <c r="D247" s="12"/>
      <c r="E247" s="12"/>
      <c r="F247" s="12"/>
      <c r="G247" s="18"/>
      <c r="H247" s="35"/>
      <c r="I247" s="12"/>
      <c r="M247" s="12"/>
      <c r="N247" s="18"/>
      <c r="O247" s="12"/>
      <c r="P247" s="12"/>
      <c r="Q247" s="12"/>
      <c r="R247" s="36"/>
      <c r="S247" s="36"/>
      <c r="T247" s="12"/>
      <c r="U247" s="12"/>
      <c r="V247" s="12"/>
      <c r="W247" s="12"/>
      <c r="X247" s="12"/>
    </row>
    <row r="248" customFormat="false" ht="15.75" hidden="false" customHeight="false" outlineLevel="0" collapsed="false">
      <c r="A248" s="12"/>
      <c r="B248" s="34"/>
      <c r="C248" s="12"/>
      <c r="D248" s="12"/>
      <c r="E248" s="12"/>
      <c r="F248" s="12"/>
      <c r="G248" s="18"/>
      <c r="H248" s="35"/>
      <c r="I248" s="12"/>
      <c r="M248" s="12"/>
      <c r="N248" s="18"/>
      <c r="O248" s="12"/>
      <c r="P248" s="12"/>
      <c r="Q248" s="12"/>
      <c r="R248" s="36"/>
      <c r="S248" s="36"/>
      <c r="T248" s="12"/>
      <c r="U248" s="12"/>
      <c r="V248" s="12"/>
      <c r="W248" s="12"/>
      <c r="X248" s="12"/>
    </row>
    <row r="249" customFormat="false" ht="15.75" hidden="false" customHeight="false" outlineLevel="0" collapsed="false">
      <c r="A249" s="12"/>
      <c r="B249" s="34"/>
      <c r="C249" s="12"/>
      <c r="D249" s="12"/>
      <c r="E249" s="12"/>
      <c r="F249" s="12"/>
      <c r="G249" s="18"/>
      <c r="H249" s="35"/>
      <c r="I249" s="12"/>
      <c r="M249" s="12"/>
      <c r="N249" s="18"/>
      <c r="O249" s="12"/>
      <c r="P249" s="12"/>
      <c r="Q249" s="12"/>
      <c r="R249" s="36"/>
      <c r="S249" s="36"/>
      <c r="T249" s="12"/>
      <c r="U249" s="12"/>
      <c r="V249" s="12"/>
      <c r="W249" s="12"/>
      <c r="X249" s="12"/>
    </row>
    <row r="250" customFormat="false" ht="15.75" hidden="false" customHeight="false" outlineLevel="0" collapsed="false">
      <c r="A250" s="12"/>
      <c r="B250" s="34"/>
      <c r="C250" s="12"/>
      <c r="D250" s="12"/>
      <c r="E250" s="12"/>
      <c r="F250" s="12"/>
      <c r="G250" s="18"/>
      <c r="H250" s="35"/>
      <c r="I250" s="12"/>
      <c r="M250" s="12"/>
      <c r="N250" s="18"/>
      <c r="O250" s="12"/>
      <c r="P250" s="12"/>
      <c r="Q250" s="12"/>
      <c r="R250" s="36"/>
      <c r="S250" s="36"/>
      <c r="T250" s="12"/>
      <c r="U250" s="12"/>
      <c r="V250" s="12"/>
      <c r="W250" s="12"/>
      <c r="X250" s="12"/>
    </row>
    <row r="251" customFormat="false" ht="15.75" hidden="false" customHeight="false" outlineLevel="0" collapsed="false">
      <c r="A251" s="12"/>
      <c r="B251" s="34"/>
      <c r="C251" s="12"/>
      <c r="D251" s="12"/>
      <c r="E251" s="12"/>
      <c r="F251" s="12"/>
      <c r="G251" s="18"/>
      <c r="H251" s="35"/>
      <c r="I251" s="12"/>
      <c r="M251" s="12"/>
      <c r="N251" s="18"/>
      <c r="O251" s="12"/>
      <c r="P251" s="12"/>
      <c r="Q251" s="12"/>
      <c r="R251" s="36"/>
      <c r="S251" s="36"/>
      <c r="T251" s="12"/>
      <c r="U251" s="12"/>
      <c r="V251" s="12"/>
      <c r="W251" s="12"/>
      <c r="X251" s="12"/>
    </row>
    <row r="252" customFormat="false" ht="15.75" hidden="false" customHeight="false" outlineLevel="0" collapsed="false">
      <c r="A252" s="12"/>
      <c r="B252" s="34"/>
      <c r="C252" s="12"/>
      <c r="D252" s="12"/>
      <c r="E252" s="12"/>
      <c r="F252" s="12"/>
      <c r="G252" s="18"/>
      <c r="H252" s="35"/>
      <c r="I252" s="12"/>
      <c r="M252" s="12"/>
      <c r="N252" s="18"/>
      <c r="O252" s="12"/>
      <c r="P252" s="12"/>
      <c r="Q252" s="12"/>
      <c r="R252" s="36"/>
      <c r="S252" s="36"/>
      <c r="T252" s="12"/>
      <c r="U252" s="12"/>
      <c r="V252" s="12"/>
      <c r="W252" s="12"/>
      <c r="X252" s="12"/>
    </row>
    <row r="253" customFormat="false" ht="15.75" hidden="false" customHeight="false" outlineLevel="0" collapsed="false">
      <c r="A253" s="12"/>
      <c r="B253" s="34"/>
      <c r="C253" s="12"/>
      <c r="D253" s="12"/>
      <c r="E253" s="12"/>
      <c r="F253" s="12"/>
      <c r="G253" s="18"/>
      <c r="H253" s="35"/>
      <c r="I253" s="12"/>
      <c r="M253" s="12"/>
      <c r="N253" s="18"/>
      <c r="O253" s="12"/>
      <c r="P253" s="12"/>
      <c r="Q253" s="12"/>
      <c r="R253" s="36"/>
      <c r="S253" s="36"/>
      <c r="T253" s="12"/>
      <c r="U253" s="12"/>
      <c r="V253" s="12"/>
      <c r="W253" s="12"/>
      <c r="X253" s="12"/>
    </row>
    <row r="254" customFormat="false" ht="15.75" hidden="false" customHeight="false" outlineLevel="0" collapsed="false">
      <c r="A254" s="12"/>
      <c r="B254" s="34"/>
      <c r="C254" s="12"/>
      <c r="D254" s="12"/>
      <c r="E254" s="12"/>
      <c r="F254" s="12"/>
      <c r="G254" s="18"/>
      <c r="H254" s="35"/>
      <c r="I254" s="12"/>
      <c r="M254" s="12"/>
      <c r="N254" s="18"/>
      <c r="O254" s="12"/>
      <c r="P254" s="12"/>
      <c r="Q254" s="12"/>
      <c r="R254" s="36"/>
      <c r="S254" s="36"/>
      <c r="T254" s="12"/>
      <c r="U254" s="12"/>
      <c r="V254" s="12"/>
      <c r="W254" s="12"/>
      <c r="X254" s="12"/>
    </row>
    <row r="255" customFormat="false" ht="15.75" hidden="false" customHeight="false" outlineLevel="0" collapsed="false">
      <c r="A255" s="12"/>
      <c r="B255" s="34"/>
      <c r="C255" s="12"/>
      <c r="D255" s="12"/>
      <c r="E255" s="12"/>
      <c r="F255" s="12"/>
      <c r="G255" s="18"/>
      <c r="H255" s="35"/>
      <c r="I255" s="12"/>
      <c r="M255" s="12"/>
      <c r="N255" s="18"/>
      <c r="O255" s="12"/>
      <c r="P255" s="12"/>
      <c r="Q255" s="12"/>
      <c r="R255" s="36"/>
      <c r="S255" s="36"/>
      <c r="T255" s="12"/>
      <c r="U255" s="12"/>
      <c r="V255" s="12"/>
      <c r="W255" s="12"/>
      <c r="X255" s="12"/>
    </row>
    <row r="256" customFormat="false" ht="15.75" hidden="false" customHeight="false" outlineLevel="0" collapsed="false">
      <c r="A256" s="12"/>
      <c r="B256" s="34"/>
      <c r="C256" s="12"/>
      <c r="D256" s="12"/>
      <c r="E256" s="12"/>
      <c r="F256" s="12"/>
      <c r="G256" s="18"/>
      <c r="H256" s="35"/>
      <c r="I256" s="12"/>
      <c r="M256" s="12"/>
      <c r="N256" s="18"/>
      <c r="O256" s="12"/>
      <c r="P256" s="12"/>
      <c r="Q256" s="12"/>
      <c r="R256" s="36"/>
      <c r="S256" s="36"/>
      <c r="T256" s="12"/>
      <c r="U256" s="12"/>
      <c r="V256" s="12"/>
      <c r="W256" s="12"/>
      <c r="X256" s="12"/>
    </row>
    <row r="257" customFormat="false" ht="15.75" hidden="false" customHeight="false" outlineLevel="0" collapsed="false">
      <c r="A257" s="12"/>
      <c r="B257" s="34"/>
      <c r="C257" s="12"/>
      <c r="D257" s="12"/>
      <c r="E257" s="12"/>
      <c r="F257" s="12"/>
      <c r="G257" s="18"/>
      <c r="H257" s="35"/>
      <c r="I257" s="12"/>
      <c r="M257" s="12"/>
      <c r="N257" s="18"/>
      <c r="O257" s="12"/>
      <c r="P257" s="12"/>
      <c r="Q257" s="12"/>
      <c r="R257" s="36"/>
      <c r="S257" s="36"/>
      <c r="T257" s="12"/>
      <c r="U257" s="12"/>
      <c r="V257" s="12"/>
      <c r="W257" s="12"/>
      <c r="X257" s="12"/>
    </row>
    <row r="258" customFormat="false" ht="15.75" hidden="false" customHeight="false" outlineLevel="0" collapsed="false">
      <c r="A258" s="12"/>
      <c r="B258" s="34"/>
      <c r="C258" s="12"/>
      <c r="D258" s="12"/>
      <c r="E258" s="12"/>
      <c r="F258" s="12"/>
      <c r="G258" s="18"/>
      <c r="H258" s="35"/>
      <c r="I258" s="12"/>
      <c r="M258" s="12"/>
      <c r="N258" s="18"/>
      <c r="O258" s="12"/>
      <c r="P258" s="12"/>
      <c r="Q258" s="12"/>
      <c r="R258" s="36"/>
      <c r="S258" s="36"/>
      <c r="T258" s="12"/>
      <c r="U258" s="12"/>
      <c r="V258" s="12"/>
      <c r="W258" s="12"/>
      <c r="X258" s="12"/>
    </row>
    <row r="259" customFormat="false" ht="15.75" hidden="false" customHeight="false" outlineLevel="0" collapsed="false">
      <c r="A259" s="12"/>
      <c r="B259" s="34"/>
      <c r="C259" s="12"/>
      <c r="D259" s="12"/>
      <c r="E259" s="12"/>
      <c r="F259" s="12"/>
      <c r="G259" s="18"/>
      <c r="H259" s="35"/>
      <c r="I259" s="12"/>
      <c r="M259" s="12"/>
      <c r="N259" s="18"/>
      <c r="O259" s="12"/>
      <c r="P259" s="12"/>
      <c r="Q259" s="12"/>
      <c r="R259" s="36"/>
      <c r="S259" s="36"/>
      <c r="T259" s="12"/>
      <c r="U259" s="12"/>
      <c r="V259" s="12"/>
      <c r="W259" s="12"/>
      <c r="X259" s="12"/>
    </row>
    <row r="260" customFormat="false" ht="15.75" hidden="false" customHeight="false" outlineLevel="0" collapsed="false">
      <c r="A260" s="12"/>
      <c r="B260" s="34"/>
      <c r="C260" s="12"/>
      <c r="D260" s="12"/>
      <c r="E260" s="12"/>
      <c r="F260" s="12"/>
      <c r="G260" s="18"/>
      <c r="H260" s="35"/>
      <c r="I260" s="12"/>
      <c r="M260" s="12"/>
      <c r="N260" s="18"/>
      <c r="O260" s="12"/>
      <c r="P260" s="12"/>
      <c r="Q260" s="12"/>
      <c r="R260" s="36"/>
      <c r="S260" s="36"/>
      <c r="T260" s="12"/>
      <c r="U260" s="12"/>
      <c r="V260" s="12"/>
      <c r="W260" s="12"/>
      <c r="X260" s="12"/>
    </row>
    <row r="261" customFormat="false" ht="15.75" hidden="false" customHeight="false" outlineLevel="0" collapsed="false">
      <c r="A261" s="12"/>
      <c r="B261" s="34"/>
      <c r="C261" s="12"/>
      <c r="D261" s="12"/>
      <c r="E261" s="12"/>
      <c r="F261" s="12"/>
      <c r="G261" s="18"/>
      <c r="H261" s="35"/>
      <c r="I261" s="12"/>
      <c r="M261" s="12"/>
      <c r="N261" s="18"/>
      <c r="O261" s="12"/>
      <c r="P261" s="12"/>
      <c r="Q261" s="12"/>
      <c r="R261" s="36"/>
      <c r="S261" s="36"/>
      <c r="T261" s="12"/>
      <c r="U261" s="12"/>
      <c r="V261" s="12"/>
      <c r="W261" s="12"/>
      <c r="X261" s="12"/>
    </row>
    <row r="262" customFormat="false" ht="15.75" hidden="false" customHeight="false" outlineLevel="0" collapsed="false">
      <c r="A262" s="12"/>
      <c r="B262" s="34"/>
      <c r="C262" s="12"/>
      <c r="D262" s="12"/>
      <c r="E262" s="12"/>
      <c r="F262" s="12"/>
      <c r="G262" s="18"/>
      <c r="H262" s="35"/>
      <c r="I262" s="12"/>
      <c r="M262" s="12"/>
      <c r="N262" s="18"/>
      <c r="O262" s="12"/>
      <c r="P262" s="12"/>
      <c r="Q262" s="12"/>
      <c r="R262" s="36"/>
      <c r="S262" s="36"/>
      <c r="T262" s="12"/>
      <c r="U262" s="12"/>
      <c r="V262" s="12"/>
      <c r="W262" s="12"/>
      <c r="X262" s="12"/>
    </row>
    <row r="263" customFormat="false" ht="15.75" hidden="false" customHeight="false" outlineLevel="0" collapsed="false">
      <c r="A263" s="12"/>
      <c r="B263" s="34"/>
      <c r="C263" s="12"/>
      <c r="D263" s="12"/>
      <c r="E263" s="12"/>
      <c r="F263" s="12"/>
      <c r="G263" s="18"/>
      <c r="H263" s="35"/>
      <c r="I263" s="12"/>
      <c r="M263" s="12"/>
      <c r="N263" s="18"/>
      <c r="O263" s="12"/>
      <c r="P263" s="12"/>
      <c r="Q263" s="12"/>
      <c r="R263" s="36"/>
      <c r="S263" s="36"/>
      <c r="T263" s="12"/>
      <c r="U263" s="12"/>
      <c r="V263" s="12"/>
      <c r="W263" s="12"/>
      <c r="X263" s="12"/>
    </row>
    <row r="264" customFormat="false" ht="15.75" hidden="false" customHeight="false" outlineLevel="0" collapsed="false">
      <c r="A264" s="12"/>
      <c r="B264" s="34"/>
      <c r="C264" s="12"/>
      <c r="D264" s="12"/>
      <c r="E264" s="12"/>
      <c r="F264" s="12"/>
      <c r="G264" s="18"/>
      <c r="H264" s="35"/>
      <c r="I264" s="12"/>
      <c r="M264" s="12"/>
      <c r="N264" s="18"/>
      <c r="O264" s="12"/>
      <c r="P264" s="12"/>
      <c r="Q264" s="12"/>
      <c r="R264" s="36"/>
      <c r="S264" s="36"/>
      <c r="T264" s="12"/>
      <c r="U264" s="12"/>
      <c r="V264" s="12"/>
      <c r="W264" s="12"/>
      <c r="X264" s="12"/>
    </row>
    <row r="265" customFormat="false" ht="15.75" hidden="false" customHeight="false" outlineLevel="0" collapsed="false">
      <c r="A265" s="12"/>
      <c r="B265" s="34"/>
      <c r="C265" s="12"/>
      <c r="D265" s="12"/>
      <c r="E265" s="12"/>
      <c r="F265" s="12"/>
      <c r="G265" s="18"/>
      <c r="H265" s="35"/>
      <c r="I265" s="12"/>
      <c r="M265" s="12"/>
      <c r="N265" s="18"/>
      <c r="O265" s="12"/>
      <c r="P265" s="12"/>
      <c r="Q265" s="12"/>
      <c r="R265" s="36"/>
      <c r="S265" s="36"/>
      <c r="T265" s="12"/>
      <c r="U265" s="12"/>
      <c r="V265" s="12"/>
      <c r="W265" s="12"/>
      <c r="X265" s="12"/>
    </row>
    <row r="266" customFormat="false" ht="15.75" hidden="false" customHeight="false" outlineLevel="0" collapsed="false">
      <c r="A266" s="12"/>
      <c r="B266" s="34"/>
      <c r="C266" s="12"/>
      <c r="D266" s="12"/>
      <c r="E266" s="12"/>
      <c r="F266" s="12"/>
      <c r="G266" s="18"/>
      <c r="H266" s="35"/>
      <c r="I266" s="12"/>
      <c r="M266" s="12"/>
      <c r="N266" s="18"/>
      <c r="O266" s="12"/>
      <c r="P266" s="12"/>
      <c r="Q266" s="12"/>
      <c r="R266" s="36"/>
      <c r="S266" s="36"/>
      <c r="T266" s="12"/>
      <c r="U266" s="12"/>
      <c r="V266" s="12"/>
      <c r="W266" s="12"/>
      <c r="X266" s="12"/>
    </row>
    <row r="267" customFormat="false" ht="15.75" hidden="false" customHeight="false" outlineLevel="0" collapsed="false">
      <c r="A267" s="12"/>
      <c r="B267" s="34"/>
      <c r="C267" s="12"/>
      <c r="D267" s="12"/>
      <c r="E267" s="12"/>
      <c r="F267" s="12"/>
      <c r="G267" s="18"/>
      <c r="H267" s="35"/>
      <c r="I267" s="12"/>
      <c r="M267" s="12"/>
      <c r="N267" s="18"/>
      <c r="O267" s="12"/>
      <c r="P267" s="12"/>
      <c r="Q267" s="12"/>
      <c r="R267" s="36"/>
      <c r="S267" s="36"/>
      <c r="T267" s="12"/>
      <c r="U267" s="12"/>
      <c r="V267" s="12"/>
      <c r="W267" s="12"/>
      <c r="X267" s="12"/>
    </row>
    <row r="268" customFormat="false" ht="15.75" hidden="false" customHeight="false" outlineLevel="0" collapsed="false">
      <c r="A268" s="12"/>
      <c r="B268" s="34"/>
      <c r="C268" s="12"/>
      <c r="D268" s="12"/>
      <c r="E268" s="12"/>
      <c r="F268" s="12"/>
      <c r="G268" s="18"/>
      <c r="H268" s="35"/>
      <c r="I268" s="12"/>
      <c r="M268" s="12"/>
      <c r="N268" s="18"/>
      <c r="O268" s="12"/>
      <c r="P268" s="12"/>
      <c r="Q268" s="12"/>
      <c r="R268" s="36"/>
      <c r="S268" s="36"/>
      <c r="T268" s="12"/>
      <c r="U268" s="12"/>
      <c r="V268" s="12"/>
      <c r="W268" s="12"/>
      <c r="X268" s="12"/>
    </row>
    <row r="269" customFormat="false" ht="15.75" hidden="false" customHeight="false" outlineLevel="0" collapsed="false">
      <c r="A269" s="12"/>
      <c r="B269" s="34"/>
      <c r="C269" s="12"/>
      <c r="D269" s="12"/>
      <c r="E269" s="12"/>
      <c r="F269" s="12"/>
      <c r="G269" s="18"/>
      <c r="H269" s="35"/>
      <c r="I269" s="12"/>
      <c r="M269" s="12"/>
      <c r="N269" s="18"/>
      <c r="O269" s="12"/>
      <c r="P269" s="12"/>
      <c r="Q269" s="12"/>
      <c r="R269" s="36"/>
      <c r="S269" s="36"/>
      <c r="T269" s="12"/>
      <c r="U269" s="12"/>
      <c r="V269" s="12"/>
      <c r="W269" s="12"/>
      <c r="X269" s="12"/>
    </row>
    <row r="270" customFormat="false" ht="15.75" hidden="false" customHeight="false" outlineLevel="0" collapsed="false">
      <c r="A270" s="12"/>
      <c r="B270" s="34"/>
      <c r="C270" s="12"/>
      <c r="D270" s="12"/>
      <c r="E270" s="12"/>
      <c r="F270" s="12"/>
      <c r="G270" s="18"/>
      <c r="H270" s="35"/>
      <c r="I270" s="12"/>
      <c r="M270" s="12"/>
      <c r="N270" s="18"/>
      <c r="O270" s="12"/>
      <c r="P270" s="12"/>
      <c r="Q270" s="12"/>
      <c r="R270" s="36"/>
      <c r="S270" s="36"/>
      <c r="T270" s="12"/>
      <c r="U270" s="12"/>
      <c r="V270" s="12"/>
      <c r="W270" s="12"/>
      <c r="X270" s="12"/>
    </row>
    <row r="271" customFormat="false" ht="15.75" hidden="false" customHeight="false" outlineLevel="0" collapsed="false">
      <c r="A271" s="12"/>
      <c r="B271" s="34"/>
      <c r="C271" s="12"/>
      <c r="D271" s="12"/>
      <c r="E271" s="12"/>
      <c r="F271" s="12"/>
      <c r="G271" s="18"/>
      <c r="H271" s="35"/>
      <c r="I271" s="12"/>
      <c r="M271" s="12"/>
      <c r="N271" s="18"/>
      <c r="O271" s="12"/>
      <c r="P271" s="12"/>
      <c r="Q271" s="12"/>
      <c r="R271" s="36"/>
      <c r="S271" s="36"/>
      <c r="T271" s="12"/>
      <c r="U271" s="12"/>
      <c r="V271" s="12"/>
      <c r="W271" s="12"/>
      <c r="X271" s="12"/>
    </row>
    <row r="272" customFormat="false" ht="15.75" hidden="false" customHeight="false" outlineLevel="0" collapsed="false">
      <c r="A272" s="12"/>
      <c r="B272" s="34"/>
      <c r="C272" s="12"/>
      <c r="D272" s="12"/>
      <c r="E272" s="12"/>
      <c r="F272" s="12"/>
      <c r="G272" s="18"/>
      <c r="H272" s="35"/>
      <c r="I272" s="12"/>
      <c r="M272" s="12"/>
      <c r="N272" s="18"/>
      <c r="O272" s="12"/>
      <c r="P272" s="12"/>
      <c r="Q272" s="12"/>
      <c r="R272" s="36"/>
      <c r="S272" s="36"/>
      <c r="T272" s="12"/>
      <c r="U272" s="12"/>
      <c r="V272" s="12"/>
      <c r="W272" s="12"/>
      <c r="X272" s="12"/>
    </row>
    <row r="273" customFormat="false" ht="15.75" hidden="false" customHeight="false" outlineLevel="0" collapsed="false">
      <c r="A273" s="12"/>
      <c r="B273" s="34"/>
      <c r="C273" s="12"/>
      <c r="D273" s="12"/>
      <c r="E273" s="12"/>
      <c r="F273" s="12"/>
      <c r="G273" s="18"/>
      <c r="H273" s="35"/>
      <c r="I273" s="12"/>
      <c r="M273" s="12"/>
      <c r="N273" s="18"/>
      <c r="O273" s="12"/>
      <c r="P273" s="12"/>
      <c r="Q273" s="12"/>
      <c r="R273" s="36"/>
      <c r="S273" s="36"/>
      <c r="T273" s="12"/>
      <c r="U273" s="12"/>
      <c r="V273" s="12"/>
      <c r="W273" s="12"/>
      <c r="X273" s="12"/>
    </row>
    <row r="274" customFormat="false" ht="15.75" hidden="false" customHeight="false" outlineLevel="0" collapsed="false">
      <c r="A274" s="12"/>
      <c r="B274" s="34"/>
      <c r="C274" s="12"/>
      <c r="D274" s="12"/>
      <c r="E274" s="12"/>
      <c r="F274" s="12"/>
      <c r="G274" s="18"/>
      <c r="H274" s="35"/>
      <c r="I274" s="12"/>
      <c r="M274" s="12"/>
      <c r="N274" s="18"/>
      <c r="O274" s="12"/>
      <c r="P274" s="12"/>
      <c r="Q274" s="12"/>
      <c r="R274" s="36"/>
      <c r="S274" s="36"/>
      <c r="T274" s="12"/>
      <c r="U274" s="12"/>
      <c r="V274" s="12"/>
      <c r="W274" s="12"/>
      <c r="X274" s="12"/>
    </row>
    <row r="275" customFormat="false" ht="15.75" hidden="false" customHeight="false" outlineLevel="0" collapsed="false">
      <c r="A275" s="12"/>
      <c r="B275" s="34"/>
      <c r="C275" s="12"/>
      <c r="D275" s="12"/>
      <c r="E275" s="12"/>
      <c r="F275" s="12"/>
      <c r="G275" s="18"/>
      <c r="H275" s="35"/>
      <c r="I275" s="12"/>
      <c r="M275" s="12"/>
      <c r="N275" s="18"/>
      <c r="O275" s="12"/>
      <c r="P275" s="12"/>
      <c r="Q275" s="12"/>
      <c r="R275" s="36"/>
      <c r="S275" s="36"/>
      <c r="T275" s="12"/>
      <c r="U275" s="12"/>
      <c r="V275" s="12"/>
      <c r="W275" s="12"/>
      <c r="X275" s="12"/>
    </row>
    <row r="276" customFormat="false" ht="15.75" hidden="false" customHeight="false" outlineLevel="0" collapsed="false">
      <c r="A276" s="12"/>
      <c r="B276" s="34"/>
      <c r="C276" s="12"/>
      <c r="D276" s="12"/>
      <c r="E276" s="12"/>
      <c r="F276" s="12"/>
      <c r="G276" s="18"/>
      <c r="H276" s="35"/>
      <c r="I276" s="12"/>
      <c r="M276" s="12"/>
      <c r="N276" s="18"/>
      <c r="O276" s="12"/>
      <c r="P276" s="12"/>
      <c r="Q276" s="12"/>
      <c r="R276" s="36"/>
      <c r="S276" s="36"/>
      <c r="T276" s="12"/>
      <c r="U276" s="12"/>
      <c r="V276" s="12"/>
      <c r="W276" s="12"/>
      <c r="X276" s="12"/>
    </row>
    <row r="277" customFormat="false" ht="15.75" hidden="false" customHeight="false" outlineLevel="0" collapsed="false">
      <c r="A277" s="12"/>
      <c r="B277" s="34"/>
      <c r="C277" s="12"/>
      <c r="D277" s="12"/>
      <c r="E277" s="12"/>
      <c r="F277" s="12"/>
      <c r="G277" s="18"/>
      <c r="H277" s="35"/>
      <c r="I277" s="12"/>
      <c r="M277" s="12"/>
      <c r="N277" s="18"/>
      <c r="O277" s="12"/>
      <c r="P277" s="12"/>
      <c r="Q277" s="12"/>
      <c r="R277" s="36"/>
      <c r="S277" s="36"/>
      <c r="T277" s="12"/>
      <c r="U277" s="12"/>
      <c r="V277" s="12"/>
      <c r="W277" s="12"/>
      <c r="X277" s="12"/>
    </row>
    <row r="278" customFormat="false" ht="15.75" hidden="false" customHeight="false" outlineLevel="0" collapsed="false">
      <c r="A278" s="12"/>
      <c r="B278" s="34"/>
      <c r="C278" s="12"/>
      <c r="D278" s="12"/>
      <c r="E278" s="12"/>
      <c r="F278" s="12"/>
      <c r="G278" s="18"/>
      <c r="H278" s="35"/>
      <c r="I278" s="12"/>
      <c r="M278" s="12"/>
      <c r="N278" s="18"/>
      <c r="O278" s="12"/>
      <c r="P278" s="12"/>
      <c r="Q278" s="12"/>
      <c r="R278" s="36"/>
      <c r="S278" s="36"/>
      <c r="T278" s="12"/>
      <c r="U278" s="12"/>
      <c r="V278" s="12"/>
      <c r="W278" s="12"/>
      <c r="X278" s="12"/>
    </row>
    <row r="279" customFormat="false" ht="15.75" hidden="false" customHeight="false" outlineLevel="0" collapsed="false">
      <c r="A279" s="12"/>
      <c r="B279" s="34"/>
      <c r="C279" s="12"/>
      <c r="D279" s="12"/>
      <c r="E279" s="12"/>
      <c r="F279" s="12"/>
      <c r="G279" s="18"/>
      <c r="H279" s="35"/>
      <c r="I279" s="12"/>
      <c r="M279" s="12"/>
      <c r="N279" s="18"/>
      <c r="O279" s="12"/>
      <c r="P279" s="12"/>
      <c r="Q279" s="12"/>
      <c r="R279" s="36"/>
      <c r="S279" s="36"/>
      <c r="T279" s="12"/>
      <c r="U279" s="12"/>
      <c r="V279" s="12"/>
      <c r="W279" s="12"/>
      <c r="X279" s="12"/>
    </row>
    <row r="280" customFormat="false" ht="15.75" hidden="false" customHeight="false" outlineLevel="0" collapsed="false">
      <c r="A280" s="12"/>
      <c r="B280" s="34"/>
      <c r="C280" s="12"/>
      <c r="D280" s="12"/>
      <c r="E280" s="12"/>
      <c r="F280" s="12"/>
      <c r="G280" s="18"/>
      <c r="H280" s="35"/>
      <c r="I280" s="12"/>
      <c r="M280" s="12"/>
      <c r="N280" s="18"/>
      <c r="O280" s="12"/>
      <c r="P280" s="12"/>
      <c r="Q280" s="12"/>
      <c r="R280" s="36"/>
      <c r="S280" s="36"/>
      <c r="T280" s="12"/>
      <c r="U280" s="12"/>
      <c r="V280" s="12"/>
      <c r="W280" s="12"/>
      <c r="X280" s="12"/>
    </row>
    <row r="281" customFormat="false" ht="15.75" hidden="false" customHeight="false" outlineLevel="0" collapsed="false">
      <c r="A281" s="12"/>
      <c r="B281" s="34"/>
      <c r="C281" s="12"/>
      <c r="D281" s="12"/>
      <c r="E281" s="12"/>
      <c r="F281" s="12"/>
      <c r="G281" s="18"/>
      <c r="H281" s="35"/>
      <c r="I281" s="12"/>
      <c r="M281" s="12"/>
      <c r="N281" s="18"/>
      <c r="O281" s="12"/>
      <c r="P281" s="12"/>
      <c r="Q281" s="12"/>
      <c r="R281" s="36"/>
      <c r="S281" s="36"/>
      <c r="T281" s="12"/>
      <c r="U281" s="12"/>
      <c r="V281" s="12"/>
      <c r="W281" s="12"/>
      <c r="X281" s="12"/>
    </row>
    <row r="282" customFormat="false" ht="15.75" hidden="false" customHeight="false" outlineLevel="0" collapsed="false">
      <c r="A282" s="12"/>
      <c r="B282" s="34"/>
      <c r="C282" s="12"/>
      <c r="D282" s="12"/>
      <c r="E282" s="12"/>
      <c r="F282" s="12"/>
      <c r="G282" s="18"/>
      <c r="H282" s="35"/>
      <c r="I282" s="12"/>
      <c r="M282" s="12"/>
      <c r="N282" s="18"/>
      <c r="O282" s="12"/>
      <c r="P282" s="12"/>
      <c r="Q282" s="12"/>
      <c r="R282" s="36"/>
      <c r="S282" s="36"/>
      <c r="T282" s="12"/>
      <c r="U282" s="12"/>
      <c r="V282" s="12"/>
      <c r="W282" s="12"/>
      <c r="X282" s="12"/>
    </row>
    <row r="283" customFormat="false" ht="15.75" hidden="false" customHeight="false" outlineLevel="0" collapsed="false">
      <c r="A283" s="12"/>
      <c r="B283" s="34"/>
      <c r="C283" s="12"/>
      <c r="D283" s="12"/>
      <c r="E283" s="12"/>
      <c r="F283" s="12"/>
      <c r="G283" s="18"/>
      <c r="H283" s="35"/>
      <c r="I283" s="12"/>
      <c r="M283" s="12"/>
      <c r="N283" s="18"/>
      <c r="O283" s="12"/>
      <c r="P283" s="12"/>
      <c r="Q283" s="12"/>
      <c r="R283" s="36"/>
      <c r="S283" s="36"/>
      <c r="T283" s="12"/>
      <c r="U283" s="12"/>
      <c r="V283" s="12"/>
      <c r="W283" s="12"/>
      <c r="X283" s="12"/>
    </row>
    <row r="284" customFormat="false" ht="15.75" hidden="false" customHeight="false" outlineLevel="0" collapsed="false">
      <c r="A284" s="12"/>
      <c r="B284" s="34"/>
      <c r="C284" s="12"/>
      <c r="D284" s="12"/>
      <c r="E284" s="12"/>
      <c r="F284" s="12"/>
      <c r="G284" s="18"/>
      <c r="H284" s="35"/>
      <c r="I284" s="12"/>
      <c r="M284" s="12"/>
      <c r="N284" s="18"/>
      <c r="O284" s="12"/>
      <c r="P284" s="12"/>
      <c r="Q284" s="12"/>
      <c r="R284" s="36"/>
      <c r="S284" s="36"/>
      <c r="T284" s="12"/>
      <c r="U284" s="12"/>
      <c r="V284" s="12"/>
      <c r="W284" s="12"/>
      <c r="X284" s="12"/>
    </row>
    <row r="285" customFormat="false" ht="15.75" hidden="false" customHeight="false" outlineLevel="0" collapsed="false">
      <c r="A285" s="12"/>
      <c r="B285" s="34"/>
      <c r="C285" s="12"/>
      <c r="D285" s="12"/>
      <c r="E285" s="12"/>
      <c r="F285" s="12"/>
      <c r="G285" s="18"/>
      <c r="H285" s="35"/>
      <c r="I285" s="12"/>
      <c r="M285" s="12"/>
      <c r="N285" s="18"/>
      <c r="O285" s="12"/>
      <c r="P285" s="12"/>
      <c r="Q285" s="12"/>
      <c r="R285" s="36"/>
      <c r="S285" s="36"/>
      <c r="T285" s="12"/>
      <c r="U285" s="12"/>
      <c r="V285" s="12"/>
      <c r="W285" s="12"/>
      <c r="X285" s="12"/>
    </row>
    <row r="286" customFormat="false" ht="15.75" hidden="false" customHeight="false" outlineLevel="0" collapsed="false">
      <c r="A286" s="12"/>
      <c r="B286" s="34"/>
      <c r="C286" s="12"/>
      <c r="D286" s="12"/>
      <c r="E286" s="12"/>
      <c r="F286" s="12"/>
      <c r="G286" s="18"/>
      <c r="H286" s="35"/>
      <c r="I286" s="12"/>
      <c r="M286" s="12"/>
      <c r="N286" s="18"/>
      <c r="O286" s="12"/>
      <c r="P286" s="12"/>
      <c r="Q286" s="12"/>
      <c r="R286" s="36"/>
      <c r="S286" s="36"/>
      <c r="T286" s="12"/>
      <c r="U286" s="12"/>
      <c r="V286" s="12"/>
      <c r="W286" s="12"/>
      <c r="X286" s="12"/>
    </row>
    <row r="287" customFormat="false" ht="15.75" hidden="false" customHeight="false" outlineLevel="0" collapsed="false">
      <c r="A287" s="12"/>
      <c r="B287" s="34"/>
      <c r="C287" s="12"/>
      <c r="D287" s="12"/>
      <c r="E287" s="12"/>
      <c r="F287" s="12"/>
      <c r="G287" s="18"/>
      <c r="H287" s="35"/>
      <c r="I287" s="12"/>
      <c r="M287" s="12"/>
      <c r="N287" s="18"/>
      <c r="O287" s="12"/>
      <c r="P287" s="12"/>
      <c r="Q287" s="12"/>
      <c r="R287" s="36"/>
      <c r="S287" s="36"/>
      <c r="T287" s="12"/>
      <c r="U287" s="12"/>
      <c r="V287" s="12"/>
      <c r="W287" s="12"/>
      <c r="X287" s="12"/>
    </row>
    <row r="288" customFormat="false" ht="15.75" hidden="false" customHeight="false" outlineLevel="0" collapsed="false">
      <c r="A288" s="12"/>
      <c r="B288" s="34"/>
      <c r="C288" s="12"/>
      <c r="D288" s="12"/>
      <c r="E288" s="12"/>
      <c r="F288" s="12"/>
      <c r="G288" s="18"/>
      <c r="H288" s="35"/>
      <c r="I288" s="12"/>
      <c r="M288" s="12"/>
      <c r="N288" s="18"/>
      <c r="O288" s="12"/>
      <c r="P288" s="12"/>
      <c r="Q288" s="12"/>
      <c r="R288" s="36"/>
      <c r="S288" s="36"/>
      <c r="T288" s="12"/>
      <c r="U288" s="12"/>
      <c r="V288" s="12"/>
      <c r="W288" s="12"/>
      <c r="X288" s="12"/>
    </row>
    <row r="289" customFormat="false" ht="15.75" hidden="false" customHeight="false" outlineLevel="0" collapsed="false">
      <c r="A289" s="12"/>
      <c r="B289" s="34"/>
      <c r="C289" s="12"/>
      <c r="D289" s="12"/>
      <c r="E289" s="12"/>
      <c r="F289" s="12"/>
      <c r="G289" s="18"/>
      <c r="H289" s="35"/>
      <c r="I289" s="12"/>
      <c r="M289" s="12"/>
      <c r="N289" s="18"/>
      <c r="O289" s="12"/>
      <c r="P289" s="12"/>
      <c r="Q289" s="12"/>
      <c r="R289" s="36"/>
      <c r="S289" s="36"/>
      <c r="T289" s="12"/>
      <c r="U289" s="12"/>
      <c r="V289" s="12"/>
      <c r="W289" s="12"/>
      <c r="X289" s="12"/>
    </row>
    <row r="290" customFormat="false" ht="15.75" hidden="false" customHeight="false" outlineLevel="0" collapsed="false">
      <c r="A290" s="12"/>
      <c r="B290" s="34"/>
      <c r="C290" s="12"/>
      <c r="D290" s="12"/>
      <c r="E290" s="12"/>
      <c r="F290" s="12"/>
      <c r="G290" s="18"/>
      <c r="H290" s="35"/>
      <c r="I290" s="12"/>
      <c r="M290" s="12"/>
      <c r="N290" s="18"/>
      <c r="O290" s="12"/>
      <c r="P290" s="12"/>
      <c r="Q290" s="12"/>
      <c r="R290" s="36"/>
      <c r="S290" s="36"/>
      <c r="T290" s="12"/>
      <c r="U290" s="12"/>
      <c r="V290" s="12"/>
      <c r="W290" s="12"/>
      <c r="X290" s="12"/>
    </row>
    <row r="291" customFormat="false" ht="15.75" hidden="false" customHeight="false" outlineLevel="0" collapsed="false">
      <c r="A291" s="12"/>
      <c r="B291" s="34"/>
      <c r="C291" s="12"/>
      <c r="D291" s="12"/>
      <c r="E291" s="12"/>
      <c r="F291" s="12"/>
      <c r="G291" s="18"/>
      <c r="H291" s="35"/>
      <c r="I291" s="12"/>
      <c r="M291" s="12"/>
      <c r="N291" s="18"/>
      <c r="O291" s="12"/>
      <c r="P291" s="12"/>
      <c r="Q291" s="12"/>
      <c r="R291" s="36"/>
      <c r="S291" s="36"/>
      <c r="T291" s="12"/>
      <c r="U291" s="12"/>
      <c r="V291" s="12"/>
      <c r="W291" s="12"/>
      <c r="X291" s="12"/>
    </row>
    <row r="292" customFormat="false" ht="15.75" hidden="false" customHeight="false" outlineLevel="0" collapsed="false">
      <c r="A292" s="12"/>
      <c r="B292" s="34"/>
      <c r="C292" s="12"/>
      <c r="D292" s="12"/>
      <c r="E292" s="12"/>
      <c r="F292" s="12"/>
      <c r="G292" s="18"/>
      <c r="H292" s="35"/>
      <c r="I292" s="12"/>
      <c r="M292" s="12"/>
      <c r="N292" s="18"/>
      <c r="O292" s="12"/>
      <c r="P292" s="12"/>
      <c r="Q292" s="12"/>
      <c r="R292" s="36"/>
      <c r="S292" s="36"/>
      <c r="T292" s="12"/>
      <c r="U292" s="12"/>
      <c r="V292" s="12"/>
      <c r="W292" s="12"/>
      <c r="X292" s="12"/>
    </row>
    <row r="293" customFormat="false" ht="15.75" hidden="false" customHeight="false" outlineLevel="0" collapsed="false">
      <c r="A293" s="12"/>
      <c r="B293" s="34"/>
      <c r="C293" s="12"/>
      <c r="D293" s="12"/>
      <c r="E293" s="12"/>
      <c r="F293" s="12"/>
      <c r="G293" s="18"/>
      <c r="H293" s="35"/>
      <c r="I293" s="12"/>
      <c r="M293" s="12"/>
      <c r="N293" s="18"/>
      <c r="O293" s="12"/>
      <c r="P293" s="12"/>
      <c r="Q293" s="12"/>
      <c r="R293" s="36"/>
      <c r="S293" s="36"/>
      <c r="T293" s="12"/>
      <c r="U293" s="12"/>
      <c r="V293" s="12"/>
      <c r="W293" s="12"/>
      <c r="X293" s="12"/>
    </row>
    <row r="294" customFormat="false" ht="15.75" hidden="false" customHeight="false" outlineLevel="0" collapsed="false">
      <c r="A294" s="12"/>
      <c r="B294" s="34"/>
      <c r="C294" s="12"/>
      <c r="D294" s="12"/>
      <c r="E294" s="12"/>
      <c r="F294" s="12"/>
      <c r="G294" s="18"/>
      <c r="H294" s="35"/>
      <c r="I294" s="12"/>
      <c r="M294" s="12"/>
      <c r="N294" s="18"/>
      <c r="O294" s="12"/>
      <c r="P294" s="12"/>
      <c r="Q294" s="12"/>
      <c r="R294" s="36"/>
      <c r="S294" s="36"/>
      <c r="T294" s="12"/>
      <c r="U294" s="12"/>
      <c r="V294" s="12"/>
      <c r="W294" s="12"/>
      <c r="X294" s="12"/>
    </row>
    <row r="295" customFormat="false" ht="15.75" hidden="false" customHeight="false" outlineLevel="0" collapsed="false">
      <c r="A295" s="12"/>
      <c r="B295" s="34"/>
      <c r="C295" s="12"/>
      <c r="D295" s="12"/>
      <c r="E295" s="12"/>
      <c r="F295" s="12"/>
      <c r="G295" s="18"/>
      <c r="H295" s="35"/>
      <c r="I295" s="12"/>
      <c r="M295" s="12"/>
      <c r="N295" s="18"/>
      <c r="O295" s="12"/>
      <c r="P295" s="12"/>
      <c r="Q295" s="12"/>
      <c r="R295" s="36"/>
      <c r="S295" s="36"/>
      <c r="T295" s="12"/>
      <c r="U295" s="12"/>
      <c r="V295" s="12"/>
      <c r="W295" s="12"/>
      <c r="X295" s="12"/>
    </row>
    <row r="296" customFormat="false" ht="15.75" hidden="false" customHeight="false" outlineLevel="0" collapsed="false">
      <c r="A296" s="12"/>
      <c r="B296" s="34"/>
      <c r="C296" s="12"/>
      <c r="D296" s="12"/>
      <c r="E296" s="12"/>
      <c r="F296" s="12"/>
      <c r="G296" s="18"/>
      <c r="H296" s="35"/>
      <c r="I296" s="12"/>
      <c r="M296" s="12"/>
      <c r="N296" s="18"/>
      <c r="O296" s="12"/>
      <c r="P296" s="12"/>
      <c r="Q296" s="12"/>
      <c r="R296" s="36"/>
      <c r="S296" s="36"/>
      <c r="T296" s="12"/>
      <c r="U296" s="12"/>
      <c r="V296" s="12"/>
      <c r="W296" s="12"/>
      <c r="X296" s="12"/>
    </row>
    <row r="297" customFormat="false" ht="15.75" hidden="false" customHeight="false" outlineLevel="0" collapsed="false">
      <c r="A297" s="12"/>
      <c r="B297" s="34"/>
      <c r="C297" s="12"/>
      <c r="D297" s="12"/>
      <c r="E297" s="12"/>
      <c r="F297" s="12"/>
      <c r="G297" s="18"/>
      <c r="H297" s="35"/>
      <c r="I297" s="12"/>
      <c r="M297" s="12"/>
      <c r="N297" s="18"/>
      <c r="O297" s="12"/>
      <c r="P297" s="12"/>
      <c r="Q297" s="12"/>
      <c r="R297" s="36"/>
      <c r="S297" s="36"/>
      <c r="T297" s="12"/>
      <c r="U297" s="12"/>
      <c r="V297" s="12"/>
      <c r="W297" s="12"/>
      <c r="X297" s="12"/>
    </row>
    <row r="298" customFormat="false" ht="15.75" hidden="false" customHeight="false" outlineLevel="0" collapsed="false">
      <c r="A298" s="12"/>
      <c r="B298" s="34"/>
      <c r="C298" s="12"/>
      <c r="D298" s="12"/>
      <c r="E298" s="12"/>
      <c r="F298" s="12"/>
      <c r="G298" s="18"/>
      <c r="H298" s="35"/>
      <c r="I298" s="12"/>
      <c r="M298" s="12"/>
      <c r="N298" s="18"/>
      <c r="O298" s="12"/>
      <c r="P298" s="12"/>
      <c r="Q298" s="12"/>
      <c r="R298" s="36"/>
      <c r="S298" s="36"/>
      <c r="T298" s="12"/>
      <c r="U298" s="12"/>
      <c r="V298" s="12"/>
      <c r="W298" s="12"/>
      <c r="X298" s="12"/>
    </row>
    <row r="299" customFormat="false" ht="15.75" hidden="false" customHeight="false" outlineLevel="0" collapsed="false">
      <c r="A299" s="12"/>
      <c r="B299" s="34"/>
      <c r="C299" s="12"/>
      <c r="D299" s="12"/>
      <c r="E299" s="12"/>
      <c r="F299" s="12"/>
      <c r="G299" s="18"/>
      <c r="H299" s="35"/>
      <c r="I299" s="12"/>
      <c r="M299" s="12"/>
      <c r="N299" s="18"/>
      <c r="O299" s="12"/>
      <c r="P299" s="12"/>
      <c r="Q299" s="12"/>
      <c r="R299" s="36"/>
      <c r="S299" s="36"/>
      <c r="T299" s="12"/>
      <c r="U299" s="12"/>
      <c r="V299" s="12"/>
      <c r="W299" s="12"/>
      <c r="X299" s="12"/>
    </row>
    <row r="300" customFormat="false" ht="15.75" hidden="false" customHeight="false" outlineLevel="0" collapsed="false">
      <c r="A300" s="12"/>
      <c r="B300" s="34"/>
      <c r="C300" s="12"/>
      <c r="D300" s="12"/>
      <c r="E300" s="12"/>
      <c r="F300" s="12"/>
      <c r="G300" s="18"/>
      <c r="H300" s="35"/>
      <c r="I300" s="12"/>
      <c r="M300" s="12"/>
      <c r="N300" s="18"/>
      <c r="O300" s="12"/>
      <c r="P300" s="12"/>
      <c r="Q300" s="12"/>
      <c r="R300" s="36"/>
      <c r="S300" s="36"/>
      <c r="T300" s="12"/>
      <c r="U300" s="12"/>
      <c r="V300" s="12"/>
      <c r="W300" s="12"/>
      <c r="X300" s="12"/>
    </row>
    <row r="301" customFormat="false" ht="15.75" hidden="false" customHeight="false" outlineLevel="0" collapsed="false">
      <c r="A301" s="12"/>
      <c r="B301" s="34"/>
      <c r="C301" s="12"/>
      <c r="D301" s="12"/>
      <c r="E301" s="12"/>
      <c r="F301" s="12"/>
      <c r="G301" s="18"/>
      <c r="H301" s="35"/>
      <c r="I301" s="12"/>
      <c r="M301" s="12"/>
      <c r="N301" s="18"/>
      <c r="O301" s="12"/>
      <c r="P301" s="12"/>
      <c r="Q301" s="12"/>
      <c r="R301" s="36"/>
      <c r="S301" s="36"/>
      <c r="T301" s="12"/>
      <c r="U301" s="12"/>
      <c r="V301" s="12"/>
      <c r="W301" s="12"/>
      <c r="X301" s="12"/>
    </row>
    <row r="302" customFormat="false" ht="15.75" hidden="false" customHeight="false" outlineLevel="0" collapsed="false">
      <c r="A302" s="12"/>
      <c r="B302" s="34"/>
      <c r="C302" s="12"/>
      <c r="D302" s="12"/>
      <c r="E302" s="12"/>
      <c r="F302" s="12"/>
      <c r="G302" s="18"/>
      <c r="H302" s="35"/>
      <c r="I302" s="12"/>
      <c r="M302" s="12"/>
      <c r="N302" s="18"/>
      <c r="O302" s="12"/>
      <c r="P302" s="12"/>
      <c r="Q302" s="12"/>
      <c r="R302" s="36"/>
      <c r="S302" s="36"/>
      <c r="T302" s="12"/>
      <c r="U302" s="12"/>
      <c r="V302" s="12"/>
      <c r="W302" s="12"/>
      <c r="X302" s="12"/>
    </row>
    <row r="303" customFormat="false" ht="15.75" hidden="false" customHeight="false" outlineLevel="0" collapsed="false">
      <c r="A303" s="12"/>
      <c r="B303" s="34"/>
      <c r="C303" s="12"/>
      <c r="D303" s="12"/>
      <c r="E303" s="12"/>
      <c r="F303" s="12"/>
      <c r="G303" s="18"/>
      <c r="H303" s="35"/>
      <c r="I303" s="12"/>
      <c r="M303" s="12"/>
      <c r="N303" s="18"/>
      <c r="O303" s="12"/>
      <c r="P303" s="12"/>
      <c r="Q303" s="12"/>
      <c r="R303" s="36"/>
      <c r="S303" s="36"/>
      <c r="T303" s="12"/>
      <c r="U303" s="12"/>
      <c r="V303" s="12"/>
      <c r="W303" s="12"/>
      <c r="X303" s="12"/>
    </row>
    <row r="304" customFormat="false" ht="15.75" hidden="false" customHeight="false" outlineLevel="0" collapsed="false">
      <c r="A304" s="12"/>
      <c r="B304" s="34"/>
      <c r="C304" s="12"/>
      <c r="D304" s="12"/>
      <c r="E304" s="12"/>
      <c r="F304" s="12"/>
      <c r="G304" s="18"/>
      <c r="H304" s="35"/>
      <c r="I304" s="12"/>
      <c r="M304" s="12"/>
      <c r="N304" s="18"/>
      <c r="O304" s="12"/>
      <c r="P304" s="12"/>
      <c r="Q304" s="12"/>
      <c r="R304" s="36"/>
      <c r="S304" s="36"/>
      <c r="T304" s="12"/>
      <c r="U304" s="12"/>
      <c r="V304" s="12"/>
      <c r="W304" s="12"/>
      <c r="X304" s="12"/>
    </row>
    <row r="305" customFormat="false" ht="15.75" hidden="false" customHeight="false" outlineLevel="0" collapsed="false">
      <c r="A305" s="12"/>
      <c r="B305" s="34"/>
      <c r="C305" s="12"/>
      <c r="D305" s="12"/>
      <c r="E305" s="12"/>
      <c r="F305" s="12"/>
      <c r="G305" s="18"/>
      <c r="H305" s="35"/>
      <c r="I305" s="12"/>
      <c r="M305" s="12"/>
      <c r="N305" s="18"/>
      <c r="O305" s="12"/>
      <c r="P305" s="12"/>
      <c r="Q305" s="12"/>
      <c r="R305" s="36"/>
      <c r="S305" s="36"/>
      <c r="T305" s="12"/>
      <c r="U305" s="12"/>
      <c r="V305" s="12"/>
      <c r="W305" s="12"/>
      <c r="X305" s="12"/>
    </row>
    <row r="306" customFormat="false" ht="15.75" hidden="false" customHeight="false" outlineLevel="0" collapsed="false">
      <c r="A306" s="12"/>
      <c r="B306" s="34"/>
      <c r="C306" s="12"/>
      <c r="D306" s="12"/>
      <c r="E306" s="12"/>
      <c r="F306" s="12"/>
      <c r="G306" s="18"/>
      <c r="H306" s="35"/>
      <c r="I306" s="12"/>
      <c r="M306" s="12"/>
      <c r="N306" s="18"/>
      <c r="O306" s="12"/>
      <c r="P306" s="12"/>
      <c r="Q306" s="12"/>
      <c r="R306" s="36"/>
      <c r="S306" s="36"/>
      <c r="T306" s="12"/>
      <c r="U306" s="12"/>
      <c r="V306" s="12"/>
      <c r="W306" s="12"/>
      <c r="X306" s="12"/>
    </row>
    <row r="307" customFormat="false" ht="15.75" hidden="false" customHeight="false" outlineLevel="0" collapsed="false">
      <c r="A307" s="12"/>
      <c r="B307" s="34"/>
      <c r="C307" s="12"/>
      <c r="D307" s="12"/>
      <c r="E307" s="12"/>
      <c r="F307" s="12"/>
      <c r="G307" s="18"/>
      <c r="H307" s="35"/>
      <c r="I307" s="12"/>
      <c r="M307" s="12"/>
      <c r="N307" s="18"/>
      <c r="O307" s="12"/>
      <c r="P307" s="12"/>
      <c r="Q307" s="12"/>
      <c r="R307" s="36"/>
      <c r="S307" s="36"/>
      <c r="T307" s="12"/>
      <c r="U307" s="12"/>
      <c r="V307" s="12"/>
      <c r="W307" s="12"/>
      <c r="X307" s="12"/>
    </row>
    <row r="308" customFormat="false" ht="15.75" hidden="false" customHeight="false" outlineLevel="0" collapsed="false">
      <c r="A308" s="12"/>
      <c r="B308" s="34"/>
      <c r="C308" s="12"/>
      <c r="D308" s="12"/>
      <c r="E308" s="12"/>
      <c r="F308" s="12"/>
      <c r="G308" s="18"/>
      <c r="H308" s="35"/>
      <c r="I308" s="12"/>
      <c r="M308" s="12"/>
      <c r="N308" s="18"/>
      <c r="O308" s="12"/>
      <c r="P308" s="12"/>
      <c r="Q308" s="12"/>
      <c r="R308" s="36"/>
      <c r="S308" s="36"/>
      <c r="T308" s="12"/>
      <c r="U308" s="12"/>
      <c r="V308" s="12"/>
      <c r="W308" s="12"/>
      <c r="X308" s="12"/>
    </row>
    <row r="309" customFormat="false" ht="15.75" hidden="false" customHeight="false" outlineLevel="0" collapsed="false">
      <c r="A309" s="12"/>
      <c r="B309" s="34"/>
      <c r="C309" s="12"/>
      <c r="D309" s="12"/>
      <c r="E309" s="12"/>
      <c r="F309" s="12"/>
      <c r="G309" s="18"/>
      <c r="H309" s="35"/>
      <c r="I309" s="12"/>
      <c r="M309" s="12"/>
      <c r="N309" s="18"/>
      <c r="O309" s="12"/>
      <c r="P309" s="12"/>
      <c r="Q309" s="12"/>
      <c r="R309" s="36"/>
      <c r="S309" s="36"/>
      <c r="T309" s="12"/>
      <c r="U309" s="12"/>
      <c r="V309" s="12"/>
      <c r="W309" s="12"/>
      <c r="X309" s="12"/>
    </row>
    <row r="310" customFormat="false" ht="15.75" hidden="false" customHeight="false" outlineLevel="0" collapsed="false">
      <c r="A310" s="12"/>
      <c r="B310" s="34"/>
      <c r="C310" s="12"/>
      <c r="D310" s="12"/>
      <c r="E310" s="12"/>
      <c r="F310" s="12"/>
      <c r="G310" s="18"/>
      <c r="H310" s="35"/>
      <c r="I310" s="12"/>
      <c r="M310" s="12"/>
      <c r="N310" s="18"/>
      <c r="O310" s="12"/>
      <c r="P310" s="12"/>
      <c r="Q310" s="12"/>
      <c r="R310" s="36"/>
      <c r="S310" s="36"/>
      <c r="T310" s="12"/>
      <c r="U310" s="12"/>
      <c r="V310" s="12"/>
      <c r="W310" s="12"/>
      <c r="X310" s="12"/>
    </row>
    <row r="311" customFormat="false" ht="15.75" hidden="false" customHeight="false" outlineLevel="0" collapsed="false">
      <c r="A311" s="12"/>
      <c r="B311" s="34"/>
      <c r="C311" s="12"/>
      <c r="D311" s="12"/>
      <c r="E311" s="12"/>
      <c r="F311" s="12"/>
      <c r="G311" s="18"/>
      <c r="H311" s="35"/>
      <c r="I311" s="12"/>
      <c r="M311" s="12"/>
      <c r="N311" s="18"/>
      <c r="O311" s="12"/>
      <c r="P311" s="12"/>
      <c r="Q311" s="12"/>
      <c r="R311" s="36"/>
      <c r="S311" s="36"/>
      <c r="T311" s="12"/>
      <c r="U311" s="12"/>
      <c r="V311" s="12"/>
      <c r="W311" s="12"/>
      <c r="X311" s="12"/>
    </row>
    <row r="312" customFormat="false" ht="15.75" hidden="false" customHeight="false" outlineLevel="0" collapsed="false">
      <c r="A312" s="12"/>
      <c r="B312" s="34"/>
      <c r="C312" s="12"/>
      <c r="D312" s="12"/>
      <c r="E312" s="12"/>
      <c r="F312" s="12"/>
      <c r="G312" s="18"/>
      <c r="H312" s="35"/>
      <c r="I312" s="12"/>
      <c r="M312" s="12"/>
      <c r="N312" s="18"/>
      <c r="O312" s="12"/>
      <c r="P312" s="12"/>
      <c r="Q312" s="12"/>
      <c r="R312" s="36"/>
      <c r="S312" s="36"/>
      <c r="T312" s="12"/>
      <c r="U312" s="12"/>
      <c r="V312" s="12"/>
      <c r="W312" s="12"/>
      <c r="X312" s="12"/>
    </row>
    <row r="313" customFormat="false" ht="15.75" hidden="false" customHeight="false" outlineLevel="0" collapsed="false">
      <c r="A313" s="12"/>
      <c r="B313" s="34"/>
      <c r="C313" s="12"/>
      <c r="D313" s="12"/>
      <c r="E313" s="12"/>
      <c r="F313" s="12"/>
      <c r="G313" s="18"/>
      <c r="H313" s="35"/>
      <c r="I313" s="12"/>
      <c r="M313" s="12"/>
      <c r="N313" s="18"/>
      <c r="O313" s="12"/>
      <c r="P313" s="12"/>
      <c r="Q313" s="12"/>
      <c r="R313" s="36"/>
      <c r="S313" s="36"/>
      <c r="T313" s="12"/>
      <c r="U313" s="12"/>
      <c r="V313" s="12"/>
      <c r="W313" s="12"/>
      <c r="X313" s="12"/>
    </row>
    <row r="314" customFormat="false" ht="15.75" hidden="false" customHeight="false" outlineLevel="0" collapsed="false">
      <c r="A314" s="12"/>
      <c r="B314" s="34"/>
      <c r="C314" s="12"/>
      <c r="D314" s="12"/>
      <c r="E314" s="12"/>
      <c r="F314" s="12"/>
      <c r="G314" s="18"/>
      <c r="H314" s="35"/>
      <c r="I314" s="12"/>
      <c r="M314" s="12"/>
      <c r="N314" s="18"/>
      <c r="O314" s="12"/>
      <c r="P314" s="12"/>
      <c r="Q314" s="12"/>
      <c r="R314" s="36"/>
      <c r="S314" s="36"/>
      <c r="T314" s="12"/>
      <c r="U314" s="12"/>
      <c r="V314" s="12"/>
      <c r="W314" s="12"/>
      <c r="X314" s="12"/>
    </row>
    <row r="315" customFormat="false" ht="15.75" hidden="false" customHeight="false" outlineLevel="0" collapsed="false">
      <c r="A315" s="12"/>
      <c r="B315" s="34"/>
      <c r="C315" s="12"/>
      <c r="D315" s="12"/>
      <c r="E315" s="12"/>
      <c r="F315" s="12"/>
      <c r="G315" s="18"/>
      <c r="H315" s="35"/>
      <c r="I315" s="12"/>
      <c r="M315" s="12"/>
      <c r="N315" s="18"/>
      <c r="O315" s="12"/>
      <c r="P315" s="12"/>
      <c r="Q315" s="12"/>
      <c r="R315" s="36"/>
      <c r="S315" s="36"/>
      <c r="T315" s="12"/>
      <c r="U315" s="12"/>
      <c r="V315" s="12"/>
      <c r="W315" s="12"/>
      <c r="X315" s="12"/>
    </row>
    <row r="316" customFormat="false" ht="15.75" hidden="false" customHeight="false" outlineLevel="0" collapsed="false">
      <c r="A316" s="12"/>
      <c r="B316" s="34"/>
      <c r="C316" s="12"/>
      <c r="D316" s="12"/>
      <c r="E316" s="12"/>
      <c r="F316" s="12"/>
      <c r="G316" s="18"/>
      <c r="H316" s="35"/>
      <c r="I316" s="12"/>
      <c r="M316" s="12"/>
      <c r="N316" s="18"/>
      <c r="O316" s="12"/>
      <c r="P316" s="12"/>
      <c r="Q316" s="12"/>
      <c r="R316" s="36"/>
      <c r="S316" s="36"/>
      <c r="T316" s="12"/>
      <c r="U316" s="12"/>
      <c r="V316" s="12"/>
      <c r="W316" s="12"/>
      <c r="X316" s="12"/>
    </row>
    <row r="317" customFormat="false" ht="15.75" hidden="false" customHeight="false" outlineLevel="0" collapsed="false">
      <c r="A317" s="12"/>
      <c r="B317" s="34"/>
      <c r="C317" s="12"/>
      <c r="D317" s="12"/>
      <c r="E317" s="12"/>
      <c r="F317" s="12"/>
      <c r="G317" s="18"/>
      <c r="H317" s="35"/>
      <c r="I317" s="12"/>
      <c r="M317" s="12"/>
      <c r="N317" s="18"/>
      <c r="O317" s="12"/>
      <c r="P317" s="12"/>
      <c r="Q317" s="12"/>
      <c r="R317" s="36"/>
      <c r="S317" s="36"/>
      <c r="T317" s="12"/>
      <c r="U317" s="12"/>
      <c r="V317" s="12"/>
      <c r="W317" s="12"/>
      <c r="X317" s="12"/>
    </row>
    <row r="318" customFormat="false" ht="15.75" hidden="false" customHeight="false" outlineLevel="0" collapsed="false">
      <c r="A318" s="12"/>
      <c r="B318" s="34"/>
      <c r="C318" s="12"/>
      <c r="D318" s="12"/>
      <c r="E318" s="12"/>
      <c r="F318" s="12"/>
      <c r="G318" s="18"/>
      <c r="H318" s="35"/>
      <c r="I318" s="12"/>
      <c r="M318" s="12"/>
      <c r="N318" s="18"/>
      <c r="O318" s="12"/>
      <c r="P318" s="12"/>
      <c r="Q318" s="12"/>
      <c r="R318" s="36"/>
      <c r="S318" s="36"/>
      <c r="T318" s="12"/>
      <c r="U318" s="12"/>
      <c r="V318" s="12"/>
      <c r="W318" s="12"/>
      <c r="X318" s="12"/>
    </row>
    <row r="319" customFormat="false" ht="15.75" hidden="false" customHeight="false" outlineLevel="0" collapsed="false">
      <c r="A319" s="12"/>
      <c r="B319" s="34"/>
      <c r="C319" s="12"/>
      <c r="D319" s="12"/>
      <c r="E319" s="12"/>
      <c r="F319" s="12"/>
      <c r="G319" s="18"/>
      <c r="H319" s="35"/>
      <c r="I319" s="12"/>
      <c r="M319" s="12"/>
      <c r="N319" s="18"/>
      <c r="O319" s="12"/>
      <c r="P319" s="12"/>
      <c r="Q319" s="12"/>
      <c r="R319" s="36"/>
      <c r="S319" s="36"/>
      <c r="T319" s="12"/>
      <c r="U319" s="12"/>
      <c r="V319" s="12"/>
      <c r="W319" s="12"/>
      <c r="X319" s="12"/>
    </row>
    <row r="320" customFormat="false" ht="15.75" hidden="false" customHeight="false" outlineLevel="0" collapsed="false">
      <c r="A320" s="12"/>
      <c r="B320" s="34"/>
      <c r="C320" s="12"/>
      <c r="D320" s="12"/>
      <c r="E320" s="12"/>
      <c r="F320" s="12"/>
      <c r="G320" s="18"/>
      <c r="H320" s="35"/>
      <c r="I320" s="12"/>
      <c r="M320" s="12"/>
      <c r="N320" s="18"/>
      <c r="O320" s="12"/>
      <c r="P320" s="12"/>
      <c r="Q320" s="12"/>
      <c r="R320" s="36"/>
      <c r="S320" s="36"/>
      <c r="T320" s="12"/>
      <c r="U320" s="12"/>
      <c r="V320" s="12"/>
      <c r="W320" s="12"/>
      <c r="X320" s="12"/>
    </row>
    <row r="321" customFormat="false" ht="15.75" hidden="false" customHeight="false" outlineLevel="0" collapsed="false">
      <c r="A321" s="12"/>
      <c r="B321" s="34"/>
      <c r="C321" s="12"/>
      <c r="D321" s="12"/>
      <c r="E321" s="12"/>
      <c r="F321" s="12"/>
      <c r="G321" s="18"/>
      <c r="H321" s="35"/>
      <c r="I321" s="12"/>
      <c r="M321" s="12"/>
      <c r="N321" s="18"/>
      <c r="O321" s="12"/>
      <c r="P321" s="12"/>
      <c r="Q321" s="12"/>
      <c r="R321" s="36"/>
      <c r="S321" s="36"/>
      <c r="T321" s="12"/>
      <c r="U321" s="12"/>
      <c r="V321" s="12"/>
      <c r="W321" s="12"/>
      <c r="X321" s="12"/>
    </row>
    <row r="322" customFormat="false" ht="15.75" hidden="false" customHeight="false" outlineLevel="0" collapsed="false">
      <c r="A322" s="12"/>
      <c r="B322" s="34"/>
      <c r="C322" s="12"/>
      <c r="D322" s="12"/>
      <c r="E322" s="12"/>
      <c r="F322" s="12"/>
      <c r="G322" s="18"/>
      <c r="H322" s="35"/>
      <c r="I322" s="12"/>
      <c r="M322" s="12"/>
      <c r="N322" s="18"/>
      <c r="O322" s="12"/>
      <c r="P322" s="12"/>
      <c r="Q322" s="12"/>
      <c r="R322" s="36"/>
      <c r="S322" s="36"/>
      <c r="T322" s="12"/>
      <c r="U322" s="12"/>
      <c r="V322" s="12"/>
      <c r="W322" s="12"/>
      <c r="X322" s="12"/>
    </row>
    <row r="323" customFormat="false" ht="15.75" hidden="false" customHeight="false" outlineLevel="0" collapsed="false">
      <c r="A323" s="12"/>
      <c r="B323" s="34"/>
      <c r="C323" s="12"/>
      <c r="D323" s="12"/>
      <c r="E323" s="12"/>
      <c r="F323" s="12"/>
      <c r="G323" s="18"/>
      <c r="H323" s="35"/>
      <c r="I323" s="12"/>
      <c r="M323" s="12"/>
      <c r="N323" s="18"/>
      <c r="O323" s="12"/>
      <c r="P323" s="12"/>
      <c r="Q323" s="12"/>
      <c r="R323" s="36"/>
      <c r="S323" s="36"/>
      <c r="T323" s="12"/>
      <c r="U323" s="12"/>
      <c r="V323" s="12"/>
      <c r="W323" s="12"/>
      <c r="X323" s="12"/>
    </row>
    <row r="324" customFormat="false" ht="15.75" hidden="false" customHeight="false" outlineLevel="0" collapsed="false">
      <c r="A324" s="12"/>
      <c r="B324" s="34"/>
      <c r="C324" s="12"/>
      <c r="D324" s="12"/>
      <c r="E324" s="12"/>
      <c r="F324" s="12"/>
      <c r="G324" s="18"/>
      <c r="H324" s="35"/>
      <c r="I324" s="12"/>
      <c r="M324" s="12"/>
      <c r="N324" s="18"/>
      <c r="O324" s="12"/>
      <c r="P324" s="12"/>
      <c r="Q324" s="12"/>
      <c r="R324" s="36"/>
      <c r="S324" s="36"/>
      <c r="T324" s="12"/>
      <c r="U324" s="12"/>
      <c r="V324" s="12"/>
      <c r="W324" s="12"/>
      <c r="X324" s="12"/>
    </row>
    <row r="325" customFormat="false" ht="15.75" hidden="false" customHeight="false" outlineLevel="0" collapsed="false">
      <c r="A325" s="12"/>
      <c r="B325" s="34"/>
      <c r="C325" s="12"/>
      <c r="D325" s="12"/>
      <c r="E325" s="12"/>
      <c r="F325" s="12"/>
      <c r="G325" s="18"/>
      <c r="H325" s="35"/>
      <c r="I325" s="12"/>
      <c r="M325" s="12"/>
      <c r="N325" s="18"/>
      <c r="O325" s="12"/>
      <c r="P325" s="12"/>
      <c r="Q325" s="12"/>
      <c r="R325" s="36"/>
      <c r="S325" s="36"/>
      <c r="T325" s="12"/>
      <c r="U325" s="12"/>
      <c r="V325" s="12"/>
      <c r="W325" s="12"/>
      <c r="X325" s="12"/>
    </row>
    <row r="326" customFormat="false" ht="15.75" hidden="false" customHeight="false" outlineLevel="0" collapsed="false">
      <c r="A326" s="12"/>
      <c r="B326" s="34"/>
      <c r="C326" s="12"/>
      <c r="D326" s="12"/>
      <c r="E326" s="12"/>
      <c r="F326" s="12"/>
      <c r="G326" s="18"/>
      <c r="H326" s="35"/>
      <c r="I326" s="12"/>
      <c r="M326" s="12"/>
      <c r="N326" s="18"/>
      <c r="O326" s="12"/>
      <c r="P326" s="12"/>
      <c r="Q326" s="12"/>
      <c r="R326" s="36"/>
      <c r="S326" s="36"/>
      <c r="T326" s="12"/>
      <c r="U326" s="12"/>
      <c r="V326" s="12"/>
      <c r="W326" s="12"/>
      <c r="X326" s="12"/>
    </row>
    <row r="327" customFormat="false" ht="15.75" hidden="false" customHeight="false" outlineLevel="0" collapsed="false">
      <c r="A327" s="12"/>
      <c r="B327" s="34"/>
      <c r="C327" s="12"/>
      <c r="D327" s="12"/>
      <c r="E327" s="12"/>
      <c r="F327" s="12"/>
      <c r="G327" s="18"/>
      <c r="H327" s="35"/>
      <c r="I327" s="12"/>
      <c r="M327" s="12"/>
      <c r="N327" s="18"/>
      <c r="O327" s="12"/>
      <c r="P327" s="12"/>
      <c r="Q327" s="12"/>
      <c r="R327" s="36"/>
      <c r="S327" s="36"/>
      <c r="T327" s="12"/>
      <c r="U327" s="12"/>
      <c r="V327" s="12"/>
      <c r="W327" s="12"/>
      <c r="X327" s="12"/>
    </row>
    <row r="328" customFormat="false" ht="15.75" hidden="false" customHeight="false" outlineLevel="0" collapsed="false">
      <c r="A328" s="12"/>
      <c r="B328" s="34"/>
      <c r="C328" s="12"/>
      <c r="D328" s="12"/>
      <c r="E328" s="12"/>
      <c r="F328" s="12"/>
      <c r="G328" s="18"/>
      <c r="H328" s="35"/>
      <c r="I328" s="12"/>
      <c r="M328" s="12"/>
      <c r="N328" s="18"/>
      <c r="O328" s="12"/>
      <c r="P328" s="12"/>
      <c r="Q328" s="12"/>
      <c r="R328" s="36"/>
      <c r="S328" s="36"/>
      <c r="T328" s="12"/>
      <c r="U328" s="12"/>
      <c r="V328" s="12"/>
      <c r="W328" s="12"/>
      <c r="X328" s="12"/>
    </row>
    <row r="329" customFormat="false" ht="15.75" hidden="false" customHeight="false" outlineLevel="0" collapsed="false">
      <c r="A329" s="12"/>
      <c r="B329" s="34"/>
      <c r="C329" s="12"/>
      <c r="D329" s="12"/>
      <c r="E329" s="12"/>
      <c r="F329" s="12"/>
      <c r="G329" s="18"/>
      <c r="H329" s="35"/>
      <c r="I329" s="12"/>
      <c r="M329" s="12"/>
      <c r="N329" s="18"/>
      <c r="O329" s="12"/>
      <c r="P329" s="12"/>
      <c r="Q329" s="12"/>
      <c r="R329" s="36"/>
      <c r="S329" s="36"/>
      <c r="T329" s="12"/>
      <c r="U329" s="12"/>
      <c r="V329" s="12"/>
      <c r="W329" s="12"/>
      <c r="X329" s="12"/>
    </row>
    <row r="330" customFormat="false" ht="15.75" hidden="false" customHeight="false" outlineLevel="0" collapsed="false">
      <c r="A330" s="12"/>
      <c r="B330" s="34"/>
      <c r="C330" s="12"/>
      <c r="D330" s="12"/>
      <c r="E330" s="12"/>
      <c r="F330" s="12"/>
      <c r="G330" s="18"/>
      <c r="H330" s="35"/>
      <c r="I330" s="12"/>
      <c r="M330" s="12"/>
      <c r="N330" s="18"/>
      <c r="O330" s="12"/>
      <c r="P330" s="12"/>
      <c r="Q330" s="12"/>
      <c r="R330" s="36"/>
      <c r="S330" s="36"/>
      <c r="T330" s="12"/>
      <c r="U330" s="12"/>
      <c r="V330" s="12"/>
      <c r="W330" s="12"/>
      <c r="X330" s="12"/>
    </row>
    <row r="331" customFormat="false" ht="15.75" hidden="false" customHeight="false" outlineLevel="0" collapsed="false">
      <c r="A331" s="12"/>
      <c r="B331" s="34"/>
      <c r="C331" s="12"/>
      <c r="D331" s="12"/>
      <c r="E331" s="12"/>
      <c r="F331" s="12"/>
      <c r="G331" s="18"/>
      <c r="H331" s="35"/>
      <c r="I331" s="12"/>
      <c r="M331" s="12"/>
      <c r="N331" s="18"/>
      <c r="O331" s="12"/>
      <c r="P331" s="12"/>
      <c r="Q331" s="12"/>
      <c r="R331" s="36"/>
      <c r="S331" s="36"/>
      <c r="T331" s="12"/>
      <c r="U331" s="12"/>
      <c r="V331" s="12"/>
      <c r="W331" s="12"/>
      <c r="X331" s="12"/>
    </row>
    <row r="332" customFormat="false" ht="15.75" hidden="false" customHeight="false" outlineLevel="0" collapsed="false">
      <c r="A332" s="12"/>
      <c r="B332" s="34"/>
      <c r="C332" s="12"/>
      <c r="D332" s="12"/>
      <c r="E332" s="12"/>
      <c r="F332" s="12"/>
      <c r="G332" s="18"/>
      <c r="H332" s="35"/>
      <c r="I332" s="12"/>
      <c r="M332" s="12"/>
      <c r="N332" s="18"/>
      <c r="O332" s="12"/>
      <c r="P332" s="12"/>
      <c r="Q332" s="12"/>
      <c r="R332" s="36"/>
      <c r="S332" s="36"/>
      <c r="T332" s="12"/>
      <c r="U332" s="12"/>
      <c r="V332" s="12"/>
      <c r="W332" s="12"/>
      <c r="X332" s="12"/>
    </row>
    <row r="333" customFormat="false" ht="15.75" hidden="false" customHeight="false" outlineLevel="0" collapsed="false">
      <c r="A333" s="12"/>
      <c r="B333" s="34"/>
      <c r="C333" s="12"/>
      <c r="D333" s="12"/>
      <c r="E333" s="12"/>
      <c r="F333" s="12"/>
      <c r="G333" s="18"/>
      <c r="H333" s="35"/>
      <c r="I333" s="12"/>
      <c r="M333" s="12"/>
      <c r="N333" s="18"/>
      <c r="O333" s="12"/>
      <c r="P333" s="12"/>
      <c r="Q333" s="12"/>
      <c r="R333" s="36"/>
      <c r="S333" s="36"/>
      <c r="T333" s="12"/>
      <c r="U333" s="12"/>
      <c r="V333" s="12"/>
      <c r="W333" s="12"/>
      <c r="X333" s="12"/>
    </row>
    <row r="334" customFormat="false" ht="15.75" hidden="false" customHeight="false" outlineLevel="0" collapsed="false">
      <c r="A334" s="12"/>
      <c r="B334" s="34"/>
      <c r="C334" s="12"/>
      <c r="D334" s="12"/>
      <c r="E334" s="12"/>
      <c r="F334" s="12"/>
      <c r="G334" s="18"/>
      <c r="H334" s="35"/>
      <c r="I334" s="12"/>
      <c r="M334" s="12"/>
      <c r="N334" s="18"/>
      <c r="O334" s="12"/>
      <c r="P334" s="12"/>
      <c r="Q334" s="12"/>
      <c r="R334" s="36"/>
      <c r="S334" s="36"/>
      <c r="T334" s="12"/>
      <c r="U334" s="12"/>
      <c r="V334" s="12"/>
      <c r="W334" s="12"/>
      <c r="X334" s="12"/>
    </row>
    <row r="335" customFormat="false" ht="15.75" hidden="false" customHeight="false" outlineLevel="0" collapsed="false">
      <c r="A335" s="12"/>
      <c r="B335" s="34"/>
      <c r="C335" s="12"/>
      <c r="D335" s="12"/>
      <c r="E335" s="12"/>
      <c r="F335" s="12"/>
      <c r="G335" s="18"/>
      <c r="H335" s="35"/>
      <c r="I335" s="12"/>
      <c r="M335" s="12"/>
      <c r="N335" s="18"/>
      <c r="O335" s="12"/>
      <c r="P335" s="12"/>
      <c r="Q335" s="12"/>
      <c r="R335" s="36"/>
      <c r="S335" s="36"/>
      <c r="T335" s="12"/>
      <c r="U335" s="12"/>
      <c r="V335" s="12"/>
      <c r="W335" s="12"/>
      <c r="X335" s="12"/>
    </row>
    <row r="336" customFormat="false" ht="15.75" hidden="false" customHeight="false" outlineLevel="0" collapsed="false">
      <c r="A336" s="12"/>
      <c r="B336" s="34"/>
      <c r="C336" s="12"/>
      <c r="D336" s="12"/>
      <c r="E336" s="12"/>
      <c r="F336" s="12"/>
      <c r="G336" s="18"/>
      <c r="H336" s="35"/>
      <c r="I336" s="12"/>
      <c r="M336" s="12"/>
      <c r="N336" s="18"/>
      <c r="O336" s="12"/>
      <c r="P336" s="12"/>
      <c r="Q336" s="12"/>
      <c r="R336" s="36"/>
      <c r="S336" s="36"/>
      <c r="T336" s="12"/>
      <c r="U336" s="12"/>
      <c r="V336" s="12"/>
      <c r="W336" s="12"/>
      <c r="X336" s="12"/>
    </row>
    <row r="337" customFormat="false" ht="15.75" hidden="false" customHeight="false" outlineLevel="0" collapsed="false">
      <c r="A337" s="12"/>
      <c r="B337" s="34"/>
      <c r="C337" s="12"/>
      <c r="D337" s="12"/>
      <c r="E337" s="12"/>
      <c r="F337" s="12"/>
      <c r="G337" s="18"/>
      <c r="H337" s="35"/>
      <c r="I337" s="12"/>
      <c r="M337" s="12"/>
      <c r="N337" s="18"/>
      <c r="O337" s="12"/>
      <c r="P337" s="12"/>
      <c r="Q337" s="12"/>
      <c r="R337" s="36"/>
      <c r="S337" s="36"/>
      <c r="T337" s="12"/>
      <c r="U337" s="12"/>
      <c r="V337" s="12"/>
      <c r="W337" s="12"/>
      <c r="X337" s="12"/>
    </row>
    <row r="338" customFormat="false" ht="15.75" hidden="false" customHeight="false" outlineLevel="0" collapsed="false">
      <c r="A338" s="12"/>
      <c r="B338" s="34"/>
      <c r="C338" s="12"/>
      <c r="D338" s="12"/>
      <c r="E338" s="12"/>
      <c r="F338" s="12"/>
      <c r="G338" s="18"/>
      <c r="H338" s="35"/>
      <c r="I338" s="12"/>
      <c r="M338" s="12"/>
      <c r="N338" s="18"/>
      <c r="O338" s="12"/>
      <c r="P338" s="12"/>
      <c r="Q338" s="12"/>
      <c r="R338" s="36"/>
      <c r="S338" s="36"/>
      <c r="T338" s="12"/>
      <c r="U338" s="12"/>
      <c r="V338" s="12"/>
      <c r="W338" s="12"/>
      <c r="X338" s="12"/>
    </row>
    <row r="339" customFormat="false" ht="15.75" hidden="false" customHeight="false" outlineLevel="0" collapsed="false">
      <c r="A339" s="12"/>
      <c r="B339" s="34"/>
      <c r="C339" s="12"/>
      <c r="D339" s="12"/>
      <c r="E339" s="12"/>
      <c r="F339" s="12"/>
      <c r="G339" s="18"/>
      <c r="H339" s="35"/>
      <c r="I339" s="12"/>
      <c r="M339" s="12"/>
      <c r="N339" s="18"/>
      <c r="O339" s="12"/>
      <c r="P339" s="12"/>
      <c r="Q339" s="12"/>
      <c r="R339" s="36"/>
      <c r="S339" s="36"/>
      <c r="T339" s="12"/>
      <c r="U339" s="12"/>
      <c r="V339" s="12"/>
      <c r="W339" s="12"/>
      <c r="X339" s="12"/>
    </row>
    <row r="340" customFormat="false" ht="15.75" hidden="false" customHeight="false" outlineLevel="0" collapsed="false">
      <c r="A340" s="12"/>
      <c r="B340" s="34"/>
      <c r="C340" s="12"/>
      <c r="D340" s="12"/>
      <c r="E340" s="12"/>
      <c r="F340" s="12"/>
      <c r="G340" s="18"/>
      <c r="H340" s="35"/>
      <c r="I340" s="12"/>
      <c r="M340" s="12"/>
      <c r="N340" s="18"/>
      <c r="O340" s="12"/>
      <c r="P340" s="12"/>
      <c r="Q340" s="12"/>
      <c r="R340" s="36"/>
      <c r="S340" s="36"/>
      <c r="T340" s="12"/>
      <c r="U340" s="12"/>
      <c r="V340" s="12"/>
      <c r="W340" s="12"/>
      <c r="X340" s="12"/>
    </row>
    <row r="341" customFormat="false" ht="15.75" hidden="false" customHeight="false" outlineLevel="0" collapsed="false">
      <c r="A341" s="12"/>
      <c r="B341" s="34"/>
      <c r="C341" s="12"/>
      <c r="D341" s="12"/>
      <c r="E341" s="12"/>
      <c r="F341" s="12"/>
      <c r="G341" s="18"/>
      <c r="H341" s="35"/>
      <c r="I341" s="12"/>
      <c r="M341" s="12"/>
      <c r="N341" s="18"/>
      <c r="O341" s="12"/>
      <c r="P341" s="12"/>
      <c r="Q341" s="12"/>
      <c r="R341" s="36"/>
      <c r="S341" s="36"/>
      <c r="T341" s="12"/>
      <c r="U341" s="12"/>
      <c r="V341" s="12"/>
      <c r="W341" s="12"/>
      <c r="X341" s="12"/>
    </row>
    <row r="342" customFormat="false" ht="15.75" hidden="false" customHeight="false" outlineLevel="0" collapsed="false">
      <c r="A342" s="12"/>
      <c r="B342" s="34"/>
      <c r="C342" s="12"/>
      <c r="D342" s="12"/>
      <c r="E342" s="12"/>
      <c r="F342" s="12"/>
      <c r="G342" s="18"/>
      <c r="H342" s="35"/>
      <c r="I342" s="12"/>
      <c r="M342" s="12"/>
      <c r="N342" s="18"/>
      <c r="O342" s="12"/>
      <c r="P342" s="12"/>
      <c r="Q342" s="12"/>
      <c r="R342" s="36"/>
      <c r="S342" s="36"/>
      <c r="T342" s="12"/>
      <c r="U342" s="12"/>
      <c r="V342" s="12"/>
      <c r="W342" s="12"/>
      <c r="X342" s="12"/>
    </row>
    <row r="343" customFormat="false" ht="15.75" hidden="false" customHeight="false" outlineLevel="0" collapsed="false">
      <c r="A343" s="12"/>
      <c r="B343" s="34"/>
      <c r="C343" s="12"/>
      <c r="D343" s="12"/>
      <c r="E343" s="12"/>
      <c r="F343" s="12"/>
      <c r="G343" s="18"/>
      <c r="H343" s="35"/>
      <c r="I343" s="12"/>
      <c r="M343" s="12"/>
      <c r="N343" s="18"/>
      <c r="O343" s="12"/>
      <c r="P343" s="12"/>
      <c r="Q343" s="12"/>
      <c r="R343" s="36"/>
      <c r="S343" s="36"/>
      <c r="T343" s="12"/>
      <c r="U343" s="12"/>
      <c r="V343" s="12"/>
      <c r="W343" s="12"/>
      <c r="X343" s="12"/>
    </row>
    <row r="344" customFormat="false" ht="15.75" hidden="false" customHeight="false" outlineLevel="0" collapsed="false">
      <c r="A344" s="12"/>
      <c r="B344" s="34"/>
      <c r="C344" s="12"/>
      <c r="D344" s="12"/>
      <c r="E344" s="12"/>
      <c r="F344" s="12"/>
      <c r="G344" s="18"/>
      <c r="H344" s="35"/>
      <c r="I344" s="12"/>
      <c r="M344" s="12"/>
      <c r="N344" s="18"/>
      <c r="O344" s="12"/>
      <c r="P344" s="12"/>
      <c r="Q344" s="12"/>
      <c r="R344" s="36"/>
      <c r="S344" s="36"/>
      <c r="T344" s="12"/>
      <c r="U344" s="12"/>
      <c r="V344" s="12"/>
      <c r="W344" s="12"/>
      <c r="X344" s="12"/>
    </row>
    <row r="345" customFormat="false" ht="15.75" hidden="false" customHeight="false" outlineLevel="0" collapsed="false">
      <c r="A345" s="12"/>
      <c r="B345" s="34"/>
      <c r="C345" s="12"/>
      <c r="D345" s="12"/>
      <c r="E345" s="12"/>
      <c r="F345" s="12"/>
      <c r="G345" s="18"/>
      <c r="H345" s="35"/>
      <c r="I345" s="12"/>
      <c r="M345" s="12"/>
      <c r="N345" s="18"/>
      <c r="O345" s="12"/>
      <c r="P345" s="12"/>
      <c r="Q345" s="12"/>
      <c r="R345" s="36"/>
      <c r="S345" s="36"/>
      <c r="T345" s="12"/>
      <c r="U345" s="12"/>
      <c r="V345" s="12"/>
      <c r="W345" s="12"/>
      <c r="X345" s="12"/>
    </row>
    <row r="346" customFormat="false" ht="15.75" hidden="false" customHeight="false" outlineLevel="0" collapsed="false">
      <c r="A346" s="12"/>
      <c r="B346" s="34"/>
      <c r="C346" s="12"/>
      <c r="D346" s="12"/>
      <c r="E346" s="12"/>
      <c r="F346" s="12"/>
      <c r="G346" s="18"/>
      <c r="H346" s="35"/>
      <c r="I346" s="12"/>
      <c r="M346" s="12"/>
      <c r="N346" s="18"/>
      <c r="O346" s="12"/>
      <c r="P346" s="12"/>
      <c r="Q346" s="12"/>
      <c r="R346" s="36"/>
      <c r="S346" s="36"/>
      <c r="T346" s="12"/>
      <c r="U346" s="12"/>
      <c r="V346" s="12"/>
      <c r="W346" s="12"/>
      <c r="X346" s="12"/>
    </row>
    <row r="347" customFormat="false" ht="15.75" hidden="false" customHeight="false" outlineLevel="0" collapsed="false">
      <c r="A347" s="12"/>
      <c r="B347" s="34"/>
      <c r="C347" s="12"/>
      <c r="D347" s="12"/>
      <c r="E347" s="12"/>
      <c r="F347" s="12"/>
      <c r="G347" s="18"/>
      <c r="H347" s="35"/>
      <c r="I347" s="12"/>
      <c r="M347" s="12"/>
      <c r="N347" s="18"/>
      <c r="O347" s="12"/>
      <c r="P347" s="12"/>
      <c r="Q347" s="12"/>
      <c r="R347" s="36"/>
      <c r="S347" s="36"/>
      <c r="T347" s="12"/>
      <c r="U347" s="12"/>
      <c r="V347" s="12"/>
      <c r="W347" s="12"/>
      <c r="X347" s="12"/>
    </row>
    <row r="348" customFormat="false" ht="15.75" hidden="false" customHeight="false" outlineLevel="0" collapsed="false">
      <c r="A348" s="12"/>
      <c r="B348" s="34"/>
      <c r="C348" s="12"/>
      <c r="D348" s="12"/>
      <c r="E348" s="12"/>
      <c r="F348" s="12"/>
      <c r="G348" s="18"/>
      <c r="H348" s="35"/>
      <c r="I348" s="12"/>
      <c r="M348" s="12"/>
      <c r="N348" s="18"/>
      <c r="O348" s="12"/>
      <c r="P348" s="12"/>
      <c r="Q348" s="12"/>
      <c r="R348" s="36"/>
      <c r="S348" s="36"/>
      <c r="T348" s="12"/>
      <c r="U348" s="12"/>
      <c r="V348" s="12"/>
      <c r="W348" s="12"/>
      <c r="X348" s="12"/>
    </row>
    <row r="349" customFormat="false" ht="15.75" hidden="false" customHeight="false" outlineLevel="0" collapsed="false">
      <c r="A349" s="12"/>
      <c r="B349" s="34"/>
      <c r="C349" s="12"/>
      <c r="D349" s="12"/>
      <c r="E349" s="12"/>
      <c r="F349" s="12"/>
      <c r="G349" s="18"/>
      <c r="H349" s="35"/>
      <c r="I349" s="12"/>
      <c r="M349" s="12"/>
      <c r="N349" s="18"/>
      <c r="O349" s="12"/>
      <c r="P349" s="12"/>
      <c r="Q349" s="12"/>
      <c r="R349" s="36"/>
      <c r="S349" s="36"/>
      <c r="T349" s="12"/>
      <c r="U349" s="12"/>
      <c r="V349" s="12"/>
      <c r="W349" s="12"/>
      <c r="X349" s="12"/>
    </row>
    <row r="350" customFormat="false" ht="15.75" hidden="false" customHeight="false" outlineLevel="0" collapsed="false">
      <c r="A350" s="12"/>
      <c r="B350" s="34"/>
      <c r="C350" s="12"/>
      <c r="D350" s="12"/>
      <c r="E350" s="12"/>
      <c r="F350" s="12"/>
      <c r="G350" s="18"/>
      <c r="H350" s="35"/>
      <c r="I350" s="12"/>
      <c r="M350" s="12"/>
      <c r="N350" s="18"/>
      <c r="O350" s="12"/>
      <c r="P350" s="12"/>
      <c r="Q350" s="12"/>
      <c r="R350" s="36"/>
      <c r="S350" s="36"/>
      <c r="T350" s="12"/>
      <c r="U350" s="12"/>
      <c r="V350" s="12"/>
      <c r="W350" s="12"/>
      <c r="X350" s="12"/>
    </row>
    <row r="351" customFormat="false" ht="15.75" hidden="false" customHeight="false" outlineLevel="0" collapsed="false">
      <c r="A351" s="12"/>
      <c r="B351" s="34"/>
      <c r="C351" s="12"/>
      <c r="D351" s="12"/>
      <c r="E351" s="12"/>
      <c r="F351" s="12"/>
      <c r="G351" s="18"/>
      <c r="H351" s="35"/>
      <c r="I351" s="12"/>
      <c r="M351" s="12"/>
      <c r="N351" s="18"/>
      <c r="O351" s="12"/>
      <c r="P351" s="12"/>
      <c r="Q351" s="12"/>
      <c r="R351" s="36"/>
      <c r="S351" s="36"/>
      <c r="T351" s="12"/>
      <c r="U351" s="12"/>
      <c r="V351" s="12"/>
      <c r="W351" s="12"/>
      <c r="X351" s="12"/>
    </row>
    <row r="352" customFormat="false" ht="15.75" hidden="false" customHeight="false" outlineLevel="0" collapsed="false">
      <c r="A352" s="12"/>
      <c r="B352" s="34"/>
      <c r="C352" s="12"/>
      <c r="D352" s="12"/>
      <c r="E352" s="12"/>
      <c r="F352" s="12"/>
      <c r="G352" s="18"/>
      <c r="H352" s="35"/>
      <c r="I352" s="12"/>
      <c r="M352" s="12"/>
      <c r="N352" s="18"/>
      <c r="O352" s="12"/>
      <c r="P352" s="12"/>
      <c r="Q352" s="12"/>
      <c r="R352" s="36"/>
      <c r="S352" s="36"/>
      <c r="T352" s="12"/>
      <c r="U352" s="12"/>
      <c r="V352" s="12"/>
      <c r="W352" s="12"/>
      <c r="X352" s="12"/>
    </row>
    <row r="353" customFormat="false" ht="15.75" hidden="false" customHeight="false" outlineLevel="0" collapsed="false">
      <c r="A353" s="12"/>
      <c r="B353" s="34"/>
      <c r="C353" s="12"/>
      <c r="D353" s="12"/>
      <c r="E353" s="12"/>
      <c r="F353" s="12"/>
      <c r="G353" s="18"/>
      <c r="H353" s="35"/>
      <c r="I353" s="12"/>
      <c r="M353" s="12"/>
      <c r="N353" s="18"/>
      <c r="O353" s="12"/>
      <c r="P353" s="12"/>
      <c r="Q353" s="12"/>
      <c r="R353" s="36"/>
      <c r="S353" s="36"/>
      <c r="T353" s="12"/>
      <c r="U353" s="12"/>
      <c r="V353" s="12"/>
      <c r="W353" s="12"/>
      <c r="X353" s="12"/>
    </row>
    <row r="354" customFormat="false" ht="15.75" hidden="false" customHeight="false" outlineLevel="0" collapsed="false">
      <c r="A354" s="12"/>
      <c r="B354" s="34"/>
      <c r="C354" s="12"/>
      <c r="D354" s="12"/>
      <c r="E354" s="12"/>
      <c r="F354" s="12"/>
      <c r="G354" s="18"/>
      <c r="H354" s="35"/>
      <c r="I354" s="12"/>
      <c r="M354" s="12"/>
      <c r="N354" s="18"/>
      <c r="O354" s="12"/>
      <c r="P354" s="12"/>
      <c r="Q354" s="12"/>
      <c r="R354" s="36"/>
      <c r="S354" s="36"/>
      <c r="T354" s="12"/>
      <c r="U354" s="12"/>
      <c r="V354" s="12"/>
      <c r="W354" s="12"/>
      <c r="X354" s="12"/>
    </row>
    <row r="355" customFormat="false" ht="15.75" hidden="false" customHeight="false" outlineLevel="0" collapsed="false">
      <c r="A355" s="12"/>
      <c r="B355" s="34"/>
      <c r="C355" s="12"/>
      <c r="D355" s="12"/>
      <c r="E355" s="12"/>
      <c r="F355" s="12"/>
      <c r="G355" s="18"/>
      <c r="H355" s="35"/>
      <c r="I355" s="12"/>
      <c r="M355" s="12"/>
      <c r="N355" s="18"/>
      <c r="O355" s="12"/>
      <c r="P355" s="12"/>
      <c r="Q355" s="12"/>
      <c r="R355" s="36"/>
      <c r="S355" s="36"/>
      <c r="T355" s="12"/>
      <c r="U355" s="12"/>
      <c r="V355" s="12"/>
      <c r="W355" s="12"/>
      <c r="X355" s="12"/>
    </row>
    <row r="356" customFormat="false" ht="15.75" hidden="false" customHeight="false" outlineLevel="0" collapsed="false">
      <c r="A356" s="12"/>
      <c r="B356" s="34"/>
      <c r="C356" s="12"/>
      <c r="D356" s="12"/>
      <c r="E356" s="12"/>
      <c r="F356" s="12"/>
      <c r="G356" s="18"/>
      <c r="H356" s="35"/>
      <c r="I356" s="12"/>
      <c r="M356" s="12"/>
      <c r="N356" s="18"/>
      <c r="O356" s="12"/>
      <c r="P356" s="12"/>
      <c r="Q356" s="12"/>
      <c r="R356" s="36"/>
      <c r="S356" s="36"/>
      <c r="T356" s="12"/>
      <c r="U356" s="12"/>
      <c r="V356" s="12"/>
      <c r="W356" s="12"/>
      <c r="X356" s="12"/>
    </row>
    <row r="357" customFormat="false" ht="15.75" hidden="false" customHeight="false" outlineLevel="0" collapsed="false">
      <c r="A357" s="12"/>
      <c r="B357" s="34"/>
      <c r="C357" s="12"/>
      <c r="D357" s="12"/>
      <c r="E357" s="12"/>
      <c r="F357" s="12"/>
      <c r="G357" s="18"/>
      <c r="H357" s="35"/>
      <c r="I357" s="12"/>
      <c r="M357" s="12"/>
      <c r="N357" s="18"/>
      <c r="O357" s="12"/>
      <c r="P357" s="12"/>
      <c r="Q357" s="12"/>
      <c r="R357" s="36"/>
      <c r="S357" s="36"/>
      <c r="T357" s="12"/>
      <c r="U357" s="12"/>
      <c r="V357" s="12"/>
      <c r="W357" s="12"/>
      <c r="X357" s="12"/>
    </row>
    <row r="358" customFormat="false" ht="15.75" hidden="false" customHeight="false" outlineLevel="0" collapsed="false">
      <c r="A358" s="12"/>
      <c r="B358" s="34"/>
      <c r="C358" s="12"/>
      <c r="D358" s="12"/>
      <c r="E358" s="12"/>
      <c r="F358" s="12"/>
      <c r="G358" s="18"/>
      <c r="H358" s="35"/>
      <c r="I358" s="12"/>
      <c r="M358" s="12"/>
      <c r="N358" s="18"/>
      <c r="O358" s="12"/>
      <c r="P358" s="12"/>
      <c r="Q358" s="12"/>
      <c r="R358" s="36"/>
      <c r="S358" s="36"/>
      <c r="T358" s="12"/>
      <c r="U358" s="12"/>
      <c r="V358" s="12"/>
      <c r="W358" s="12"/>
      <c r="X358" s="12"/>
    </row>
    <row r="359" customFormat="false" ht="15.75" hidden="false" customHeight="false" outlineLevel="0" collapsed="false">
      <c r="A359" s="12"/>
      <c r="B359" s="34"/>
      <c r="C359" s="12"/>
      <c r="D359" s="12"/>
      <c r="E359" s="12"/>
      <c r="F359" s="12"/>
      <c r="G359" s="18"/>
      <c r="H359" s="35"/>
      <c r="I359" s="12"/>
      <c r="M359" s="12"/>
      <c r="N359" s="18"/>
      <c r="O359" s="12"/>
      <c r="P359" s="12"/>
      <c r="Q359" s="12"/>
      <c r="R359" s="36"/>
      <c r="S359" s="36"/>
      <c r="T359" s="12"/>
      <c r="U359" s="12"/>
      <c r="V359" s="12"/>
      <c r="W359" s="12"/>
      <c r="X359" s="12"/>
    </row>
    <row r="360" customFormat="false" ht="15.75" hidden="false" customHeight="false" outlineLevel="0" collapsed="false">
      <c r="A360" s="12"/>
      <c r="B360" s="34"/>
      <c r="C360" s="12"/>
      <c r="D360" s="12"/>
      <c r="E360" s="12"/>
      <c r="F360" s="12"/>
      <c r="G360" s="18"/>
      <c r="H360" s="35"/>
      <c r="I360" s="12"/>
      <c r="M360" s="12"/>
      <c r="N360" s="18"/>
      <c r="O360" s="12"/>
      <c r="P360" s="12"/>
      <c r="Q360" s="12"/>
      <c r="R360" s="36"/>
      <c r="S360" s="36"/>
      <c r="T360" s="12"/>
      <c r="U360" s="12"/>
      <c r="V360" s="12"/>
      <c r="W360" s="12"/>
      <c r="X360" s="12"/>
    </row>
    <row r="361" customFormat="false" ht="15.75" hidden="false" customHeight="false" outlineLevel="0" collapsed="false">
      <c r="A361" s="12"/>
      <c r="B361" s="34"/>
      <c r="C361" s="12"/>
      <c r="D361" s="12"/>
      <c r="E361" s="12"/>
      <c r="F361" s="12"/>
      <c r="G361" s="18"/>
      <c r="H361" s="35"/>
      <c r="I361" s="12"/>
      <c r="M361" s="12"/>
      <c r="N361" s="18"/>
      <c r="O361" s="12"/>
      <c r="P361" s="12"/>
      <c r="Q361" s="12"/>
      <c r="R361" s="36"/>
      <c r="S361" s="36"/>
      <c r="T361" s="12"/>
      <c r="U361" s="12"/>
      <c r="V361" s="12"/>
      <c r="W361" s="12"/>
      <c r="X361" s="12"/>
    </row>
    <row r="362" customFormat="false" ht="15.75" hidden="false" customHeight="false" outlineLevel="0" collapsed="false">
      <c r="A362" s="12"/>
      <c r="B362" s="34"/>
      <c r="C362" s="12"/>
      <c r="D362" s="12"/>
      <c r="E362" s="12"/>
      <c r="F362" s="12"/>
      <c r="G362" s="18"/>
      <c r="H362" s="35"/>
      <c r="I362" s="12"/>
      <c r="M362" s="12"/>
      <c r="N362" s="18"/>
      <c r="O362" s="12"/>
      <c r="P362" s="12"/>
      <c r="Q362" s="12"/>
      <c r="R362" s="36"/>
      <c r="S362" s="36"/>
      <c r="T362" s="12"/>
      <c r="U362" s="12"/>
      <c r="V362" s="12"/>
      <c r="W362" s="12"/>
      <c r="X362" s="12"/>
    </row>
    <row r="363" customFormat="false" ht="15.75" hidden="false" customHeight="false" outlineLevel="0" collapsed="false">
      <c r="A363" s="12"/>
      <c r="B363" s="34"/>
      <c r="C363" s="12"/>
      <c r="D363" s="12"/>
      <c r="E363" s="12"/>
      <c r="F363" s="12"/>
      <c r="G363" s="18"/>
      <c r="H363" s="35"/>
      <c r="I363" s="12"/>
      <c r="M363" s="12"/>
      <c r="N363" s="18"/>
      <c r="O363" s="12"/>
      <c r="P363" s="12"/>
      <c r="Q363" s="12"/>
      <c r="R363" s="36"/>
      <c r="S363" s="36"/>
      <c r="T363" s="12"/>
      <c r="U363" s="12"/>
      <c r="V363" s="12"/>
      <c r="W363" s="12"/>
      <c r="X363" s="12"/>
    </row>
    <row r="364" customFormat="false" ht="15.75" hidden="false" customHeight="false" outlineLevel="0" collapsed="false">
      <c r="A364" s="12"/>
      <c r="B364" s="34"/>
      <c r="C364" s="12"/>
      <c r="D364" s="12"/>
      <c r="E364" s="12"/>
      <c r="F364" s="12"/>
      <c r="G364" s="18"/>
      <c r="H364" s="35"/>
      <c r="I364" s="12"/>
      <c r="M364" s="12"/>
      <c r="N364" s="18"/>
      <c r="O364" s="12"/>
      <c r="P364" s="12"/>
      <c r="Q364" s="12"/>
      <c r="R364" s="36"/>
      <c r="S364" s="36"/>
      <c r="T364" s="12"/>
      <c r="U364" s="12"/>
      <c r="V364" s="12"/>
      <c r="W364" s="12"/>
      <c r="X364" s="12"/>
    </row>
    <row r="365" customFormat="false" ht="15.75" hidden="false" customHeight="false" outlineLevel="0" collapsed="false">
      <c r="A365" s="12"/>
      <c r="B365" s="34"/>
      <c r="C365" s="12"/>
      <c r="D365" s="12"/>
      <c r="E365" s="12"/>
      <c r="F365" s="12"/>
      <c r="G365" s="18"/>
      <c r="H365" s="35"/>
      <c r="I365" s="12"/>
      <c r="M365" s="12"/>
      <c r="N365" s="18"/>
      <c r="O365" s="12"/>
      <c r="P365" s="12"/>
      <c r="Q365" s="12"/>
      <c r="R365" s="36"/>
      <c r="S365" s="36"/>
      <c r="T365" s="12"/>
      <c r="U365" s="12"/>
      <c r="V365" s="12"/>
      <c r="W365" s="12"/>
      <c r="X365" s="12"/>
    </row>
    <row r="366" customFormat="false" ht="15.75" hidden="false" customHeight="false" outlineLevel="0" collapsed="false">
      <c r="A366" s="12"/>
      <c r="B366" s="34"/>
      <c r="C366" s="12"/>
      <c r="D366" s="12"/>
      <c r="E366" s="12"/>
      <c r="F366" s="12"/>
      <c r="G366" s="18"/>
      <c r="H366" s="35"/>
      <c r="I366" s="12"/>
      <c r="M366" s="12"/>
      <c r="N366" s="18"/>
      <c r="O366" s="12"/>
      <c r="P366" s="12"/>
      <c r="Q366" s="12"/>
      <c r="R366" s="36"/>
      <c r="S366" s="36"/>
      <c r="T366" s="12"/>
      <c r="U366" s="12"/>
      <c r="V366" s="12"/>
      <c r="W366" s="12"/>
      <c r="X366" s="12"/>
    </row>
    <row r="367" customFormat="false" ht="15.75" hidden="false" customHeight="false" outlineLevel="0" collapsed="false">
      <c r="A367" s="12"/>
      <c r="B367" s="34"/>
      <c r="C367" s="12"/>
      <c r="D367" s="12"/>
      <c r="E367" s="12"/>
      <c r="F367" s="12"/>
      <c r="G367" s="18"/>
      <c r="H367" s="35"/>
      <c r="I367" s="12"/>
      <c r="M367" s="12"/>
      <c r="N367" s="18"/>
      <c r="O367" s="12"/>
      <c r="P367" s="12"/>
      <c r="Q367" s="12"/>
      <c r="R367" s="36"/>
      <c r="S367" s="36"/>
      <c r="T367" s="12"/>
      <c r="U367" s="12"/>
      <c r="V367" s="12"/>
      <c r="W367" s="12"/>
      <c r="X367" s="12"/>
    </row>
    <row r="368" customFormat="false" ht="15.75" hidden="false" customHeight="false" outlineLevel="0" collapsed="false">
      <c r="A368" s="12"/>
      <c r="B368" s="34"/>
      <c r="C368" s="12"/>
      <c r="D368" s="12"/>
      <c r="E368" s="12"/>
      <c r="F368" s="12"/>
      <c r="G368" s="18"/>
      <c r="H368" s="35"/>
      <c r="I368" s="12"/>
      <c r="M368" s="12"/>
      <c r="N368" s="18"/>
      <c r="O368" s="12"/>
      <c r="P368" s="12"/>
      <c r="Q368" s="12"/>
      <c r="R368" s="36"/>
      <c r="S368" s="36"/>
      <c r="T368" s="12"/>
      <c r="U368" s="12"/>
      <c r="V368" s="12"/>
      <c r="W368" s="12"/>
      <c r="X368" s="12"/>
    </row>
    <row r="369" customFormat="false" ht="15.75" hidden="false" customHeight="false" outlineLevel="0" collapsed="false">
      <c r="A369" s="12"/>
      <c r="B369" s="34"/>
      <c r="C369" s="12"/>
      <c r="D369" s="12"/>
      <c r="E369" s="12"/>
      <c r="F369" s="12"/>
      <c r="G369" s="18"/>
      <c r="H369" s="35"/>
      <c r="I369" s="12"/>
      <c r="M369" s="12"/>
      <c r="N369" s="18"/>
      <c r="O369" s="12"/>
      <c r="P369" s="12"/>
      <c r="Q369" s="12"/>
      <c r="R369" s="36"/>
      <c r="S369" s="36"/>
      <c r="T369" s="12"/>
      <c r="U369" s="12"/>
      <c r="V369" s="12"/>
      <c r="W369" s="12"/>
      <c r="X369" s="12"/>
    </row>
    <row r="370" customFormat="false" ht="15.75" hidden="false" customHeight="false" outlineLevel="0" collapsed="false">
      <c r="A370" s="12"/>
      <c r="B370" s="34"/>
      <c r="C370" s="12"/>
      <c r="D370" s="12"/>
      <c r="E370" s="12"/>
      <c r="F370" s="12"/>
      <c r="G370" s="18"/>
      <c r="H370" s="35"/>
      <c r="I370" s="12"/>
      <c r="M370" s="12"/>
      <c r="N370" s="18"/>
      <c r="O370" s="12"/>
      <c r="P370" s="12"/>
      <c r="Q370" s="12"/>
      <c r="R370" s="36"/>
      <c r="S370" s="36"/>
      <c r="T370" s="12"/>
      <c r="U370" s="12"/>
      <c r="V370" s="12"/>
      <c r="W370" s="12"/>
      <c r="X370" s="12"/>
    </row>
    <row r="371" customFormat="false" ht="15.75" hidden="false" customHeight="false" outlineLevel="0" collapsed="false">
      <c r="A371" s="12"/>
      <c r="B371" s="34"/>
      <c r="C371" s="12"/>
      <c r="D371" s="12"/>
      <c r="E371" s="12"/>
      <c r="F371" s="12"/>
      <c r="G371" s="18"/>
      <c r="H371" s="35"/>
      <c r="I371" s="12"/>
      <c r="M371" s="12"/>
      <c r="N371" s="18"/>
      <c r="O371" s="12"/>
      <c r="P371" s="12"/>
      <c r="Q371" s="12"/>
      <c r="R371" s="36"/>
      <c r="S371" s="36"/>
      <c r="T371" s="12"/>
      <c r="U371" s="12"/>
      <c r="V371" s="12"/>
      <c r="W371" s="12"/>
      <c r="X371" s="12"/>
    </row>
    <row r="372" customFormat="false" ht="15.75" hidden="false" customHeight="false" outlineLevel="0" collapsed="false">
      <c r="A372" s="12"/>
      <c r="B372" s="34"/>
      <c r="C372" s="12"/>
      <c r="D372" s="12"/>
      <c r="E372" s="12"/>
      <c r="F372" s="12"/>
      <c r="G372" s="18"/>
      <c r="H372" s="35"/>
      <c r="I372" s="12"/>
      <c r="M372" s="12"/>
      <c r="N372" s="18"/>
      <c r="O372" s="12"/>
      <c r="P372" s="12"/>
      <c r="Q372" s="12"/>
      <c r="R372" s="36"/>
      <c r="S372" s="36"/>
      <c r="T372" s="12"/>
      <c r="U372" s="12"/>
      <c r="V372" s="12"/>
      <c r="W372" s="12"/>
      <c r="X372" s="12"/>
    </row>
    <row r="373" customFormat="false" ht="15.75" hidden="false" customHeight="false" outlineLevel="0" collapsed="false">
      <c r="A373" s="12"/>
      <c r="B373" s="34"/>
      <c r="C373" s="12"/>
      <c r="D373" s="12"/>
      <c r="E373" s="12"/>
      <c r="F373" s="12"/>
      <c r="G373" s="18"/>
      <c r="H373" s="35"/>
      <c r="I373" s="12"/>
      <c r="M373" s="12"/>
      <c r="N373" s="18"/>
      <c r="O373" s="12"/>
      <c r="P373" s="12"/>
      <c r="Q373" s="12"/>
      <c r="R373" s="36"/>
      <c r="S373" s="36"/>
      <c r="T373" s="12"/>
      <c r="U373" s="12"/>
      <c r="V373" s="12"/>
      <c r="W373" s="12"/>
      <c r="X373" s="12"/>
    </row>
    <row r="374" customFormat="false" ht="15.75" hidden="false" customHeight="false" outlineLevel="0" collapsed="false">
      <c r="A374" s="12"/>
      <c r="B374" s="34"/>
      <c r="C374" s="12"/>
      <c r="D374" s="12"/>
      <c r="E374" s="12"/>
      <c r="F374" s="12"/>
      <c r="G374" s="18"/>
      <c r="H374" s="35"/>
      <c r="I374" s="12"/>
      <c r="M374" s="12"/>
      <c r="N374" s="18"/>
      <c r="O374" s="12"/>
      <c r="P374" s="12"/>
      <c r="Q374" s="12"/>
      <c r="R374" s="36"/>
      <c r="S374" s="36"/>
      <c r="T374" s="12"/>
      <c r="U374" s="12"/>
      <c r="V374" s="12"/>
      <c r="W374" s="12"/>
      <c r="X374" s="12"/>
    </row>
    <row r="375" customFormat="false" ht="15.75" hidden="false" customHeight="false" outlineLevel="0" collapsed="false">
      <c r="A375" s="12"/>
      <c r="B375" s="34"/>
      <c r="C375" s="12"/>
      <c r="D375" s="12"/>
      <c r="E375" s="12"/>
      <c r="F375" s="12"/>
      <c r="G375" s="18"/>
      <c r="H375" s="35"/>
      <c r="I375" s="12"/>
      <c r="M375" s="12"/>
      <c r="N375" s="18"/>
      <c r="O375" s="12"/>
      <c r="P375" s="12"/>
      <c r="Q375" s="12"/>
      <c r="R375" s="36"/>
      <c r="S375" s="36"/>
      <c r="T375" s="12"/>
      <c r="U375" s="12"/>
      <c r="V375" s="12"/>
      <c r="W375" s="12"/>
      <c r="X375" s="12"/>
    </row>
    <row r="376" customFormat="false" ht="15.75" hidden="false" customHeight="false" outlineLevel="0" collapsed="false">
      <c r="A376" s="12"/>
      <c r="B376" s="34"/>
      <c r="C376" s="12"/>
      <c r="D376" s="12"/>
      <c r="E376" s="12"/>
      <c r="F376" s="12"/>
      <c r="G376" s="18"/>
      <c r="H376" s="35"/>
      <c r="I376" s="12"/>
      <c r="M376" s="12"/>
      <c r="N376" s="18"/>
      <c r="O376" s="12"/>
      <c r="P376" s="12"/>
      <c r="Q376" s="12"/>
      <c r="R376" s="36"/>
      <c r="S376" s="36"/>
      <c r="T376" s="12"/>
      <c r="U376" s="12"/>
      <c r="V376" s="12"/>
      <c r="W376" s="12"/>
      <c r="X376" s="12"/>
    </row>
    <row r="377" customFormat="false" ht="15.75" hidden="false" customHeight="false" outlineLevel="0" collapsed="false">
      <c r="A377" s="12"/>
      <c r="B377" s="34"/>
      <c r="C377" s="12"/>
      <c r="D377" s="12"/>
      <c r="E377" s="12"/>
      <c r="F377" s="12"/>
      <c r="G377" s="18"/>
      <c r="H377" s="35"/>
      <c r="I377" s="12"/>
      <c r="M377" s="12"/>
      <c r="N377" s="18"/>
      <c r="O377" s="12"/>
      <c r="P377" s="12"/>
      <c r="Q377" s="12"/>
      <c r="R377" s="36"/>
      <c r="S377" s="36"/>
      <c r="T377" s="12"/>
      <c r="U377" s="12"/>
      <c r="V377" s="12"/>
      <c r="W377" s="12"/>
      <c r="X377" s="12"/>
    </row>
    <row r="378" customFormat="false" ht="15.75" hidden="false" customHeight="false" outlineLevel="0" collapsed="false">
      <c r="A378" s="12"/>
      <c r="B378" s="34"/>
      <c r="C378" s="12"/>
      <c r="D378" s="12"/>
      <c r="E378" s="12"/>
      <c r="F378" s="12"/>
      <c r="G378" s="18"/>
      <c r="H378" s="35"/>
      <c r="I378" s="12"/>
      <c r="M378" s="12"/>
      <c r="N378" s="18"/>
      <c r="O378" s="12"/>
      <c r="P378" s="12"/>
      <c r="Q378" s="12"/>
      <c r="R378" s="36"/>
      <c r="S378" s="36"/>
      <c r="T378" s="12"/>
      <c r="U378" s="12"/>
      <c r="V378" s="12"/>
      <c r="W378" s="12"/>
      <c r="X378" s="12"/>
    </row>
    <row r="379" customFormat="false" ht="15.75" hidden="false" customHeight="false" outlineLevel="0" collapsed="false">
      <c r="A379" s="12"/>
      <c r="B379" s="34"/>
      <c r="C379" s="12"/>
      <c r="D379" s="12"/>
      <c r="E379" s="12"/>
      <c r="F379" s="12"/>
      <c r="G379" s="18"/>
      <c r="H379" s="35"/>
      <c r="I379" s="12"/>
      <c r="M379" s="12"/>
      <c r="N379" s="18"/>
      <c r="O379" s="12"/>
      <c r="P379" s="12"/>
      <c r="Q379" s="12"/>
      <c r="R379" s="36"/>
      <c r="S379" s="36"/>
      <c r="T379" s="12"/>
      <c r="U379" s="12"/>
      <c r="V379" s="12"/>
      <c r="W379" s="12"/>
      <c r="X379" s="12"/>
    </row>
    <row r="380" customFormat="false" ht="15.75" hidden="false" customHeight="false" outlineLevel="0" collapsed="false">
      <c r="A380" s="12"/>
      <c r="B380" s="34"/>
      <c r="C380" s="12"/>
      <c r="D380" s="12"/>
      <c r="E380" s="12"/>
      <c r="F380" s="12"/>
      <c r="G380" s="18"/>
      <c r="H380" s="35"/>
      <c r="I380" s="12"/>
      <c r="M380" s="12"/>
      <c r="N380" s="18"/>
      <c r="O380" s="12"/>
      <c r="P380" s="12"/>
      <c r="Q380" s="12"/>
      <c r="R380" s="36"/>
      <c r="S380" s="36"/>
      <c r="T380" s="12"/>
      <c r="U380" s="12"/>
      <c r="V380" s="12"/>
      <c r="W380" s="12"/>
      <c r="X380" s="12"/>
    </row>
    <row r="381" customFormat="false" ht="15.75" hidden="false" customHeight="false" outlineLevel="0" collapsed="false">
      <c r="A381" s="12"/>
      <c r="B381" s="34"/>
      <c r="C381" s="12"/>
      <c r="D381" s="12"/>
      <c r="E381" s="12"/>
      <c r="F381" s="12"/>
      <c r="G381" s="18"/>
      <c r="H381" s="35"/>
      <c r="I381" s="12"/>
      <c r="M381" s="12"/>
      <c r="N381" s="18"/>
      <c r="O381" s="12"/>
      <c r="P381" s="12"/>
      <c r="Q381" s="12"/>
      <c r="R381" s="36"/>
      <c r="S381" s="36"/>
      <c r="T381" s="12"/>
      <c r="U381" s="12"/>
      <c r="V381" s="12"/>
      <c r="W381" s="12"/>
      <c r="X381" s="12"/>
    </row>
    <row r="382" customFormat="false" ht="15.75" hidden="false" customHeight="false" outlineLevel="0" collapsed="false">
      <c r="A382" s="12"/>
      <c r="B382" s="34"/>
      <c r="C382" s="12"/>
      <c r="D382" s="12"/>
      <c r="E382" s="12"/>
      <c r="F382" s="12"/>
      <c r="G382" s="18"/>
      <c r="H382" s="35"/>
      <c r="I382" s="12"/>
      <c r="M382" s="12"/>
      <c r="N382" s="18"/>
      <c r="O382" s="12"/>
      <c r="P382" s="12"/>
      <c r="Q382" s="12"/>
      <c r="R382" s="36"/>
      <c r="S382" s="36"/>
      <c r="T382" s="12"/>
      <c r="U382" s="12"/>
      <c r="V382" s="12"/>
      <c r="W382" s="12"/>
      <c r="X382" s="12"/>
    </row>
    <row r="383" customFormat="false" ht="15.75" hidden="false" customHeight="false" outlineLevel="0" collapsed="false">
      <c r="A383" s="12"/>
      <c r="B383" s="34"/>
      <c r="C383" s="12"/>
      <c r="D383" s="12"/>
      <c r="E383" s="12"/>
      <c r="F383" s="12"/>
      <c r="G383" s="18"/>
      <c r="H383" s="35"/>
      <c r="I383" s="12"/>
      <c r="M383" s="12"/>
      <c r="N383" s="18"/>
      <c r="O383" s="12"/>
      <c r="P383" s="12"/>
      <c r="Q383" s="12"/>
      <c r="R383" s="36"/>
      <c r="S383" s="36"/>
      <c r="T383" s="12"/>
      <c r="U383" s="12"/>
      <c r="V383" s="12"/>
      <c r="W383" s="12"/>
      <c r="X383" s="12"/>
    </row>
    <row r="384" customFormat="false" ht="15.75" hidden="false" customHeight="false" outlineLevel="0" collapsed="false">
      <c r="A384" s="12"/>
      <c r="B384" s="34"/>
      <c r="C384" s="12"/>
      <c r="D384" s="12"/>
      <c r="E384" s="12"/>
      <c r="F384" s="12"/>
      <c r="G384" s="18"/>
      <c r="H384" s="35"/>
      <c r="I384" s="12"/>
      <c r="M384" s="12"/>
      <c r="N384" s="18"/>
      <c r="O384" s="12"/>
      <c r="P384" s="12"/>
      <c r="Q384" s="12"/>
      <c r="R384" s="36"/>
      <c r="S384" s="36"/>
      <c r="T384" s="12"/>
      <c r="U384" s="12"/>
      <c r="V384" s="12"/>
      <c r="W384" s="12"/>
      <c r="X384" s="12"/>
    </row>
    <row r="385" customFormat="false" ht="15.75" hidden="false" customHeight="false" outlineLevel="0" collapsed="false">
      <c r="A385" s="12"/>
      <c r="B385" s="34"/>
      <c r="C385" s="12"/>
      <c r="D385" s="12"/>
      <c r="E385" s="12"/>
      <c r="F385" s="12"/>
      <c r="G385" s="18"/>
      <c r="H385" s="35"/>
      <c r="I385" s="12"/>
      <c r="M385" s="12"/>
      <c r="N385" s="18"/>
      <c r="O385" s="12"/>
      <c r="P385" s="12"/>
      <c r="Q385" s="12"/>
      <c r="R385" s="36"/>
      <c r="S385" s="36"/>
      <c r="T385" s="12"/>
      <c r="U385" s="12"/>
      <c r="V385" s="12"/>
      <c r="W385" s="12"/>
      <c r="X385" s="12"/>
    </row>
    <row r="386" customFormat="false" ht="15.75" hidden="false" customHeight="false" outlineLevel="0" collapsed="false">
      <c r="A386" s="12"/>
      <c r="B386" s="34"/>
      <c r="C386" s="12"/>
      <c r="D386" s="12"/>
      <c r="E386" s="12"/>
      <c r="F386" s="12"/>
      <c r="G386" s="18"/>
      <c r="H386" s="35"/>
      <c r="I386" s="12"/>
      <c r="M386" s="12"/>
      <c r="N386" s="18"/>
      <c r="O386" s="12"/>
      <c r="P386" s="12"/>
      <c r="Q386" s="12"/>
      <c r="R386" s="36"/>
      <c r="S386" s="36"/>
      <c r="T386" s="12"/>
      <c r="U386" s="12"/>
      <c r="V386" s="12"/>
      <c r="W386" s="12"/>
      <c r="X386" s="12"/>
    </row>
    <row r="387" customFormat="false" ht="15.75" hidden="false" customHeight="false" outlineLevel="0" collapsed="false">
      <c r="A387" s="12"/>
      <c r="B387" s="34"/>
      <c r="C387" s="12"/>
      <c r="D387" s="12"/>
      <c r="E387" s="12"/>
      <c r="F387" s="12"/>
      <c r="G387" s="18"/>
      <c r="H387" s="35"/>
      <c r="I387" s="12"/>
      <c r="M387" s="12"/>
      <c r="N387" s="18"/>
      <c r="O387" s="12"/>
      <c r="P387" s="12"/>
      <c r="Q387" s="12"/>
      <c r="R387" s="36"/>
      <c r="S387" s="36"/>
      <c r="T387" s="12"/>
      <c r="U387" s="12"/>
      <c r="V387" s="12"/>
      <c r="W387" s="12"/>
      <c r="X387" s="12"/>
    </row>
    <row r="388" customFormat="false" ht="15.75" hidden="false" customHeight="false" outlineLevel="0" collapsed="false">
      <c r="A388" s="12"/>
      <c r="B388" s="34"/>
      <c r="C388" s="12"/>
      <c r="D388" s="12"/>
      <c r="E388" s="12"/>
      <c r="F388" s="12"/>
      <c r="G388" s="18"/>
      <c r="H388" s="35"/>
      <c r="I388" s="12"/>
      <c r="M388" s="12"/>
      <c r="N388" s="18"/>
      <c r="O388" s="12"/>
      <c r="P388" s="12"/>
      <c r="Q388" s="12"/>
      <c r="R388" s="36"/>
      <c r="S388" s="36"/>
      <c r="T388" s="12"/>
      <c r="U388" s="12"/>
      <c r="V388" s="12"/>
      <c r="W388" s="12"/>
      <c r="X388" s="12"/>
    </row>
    <row r="389" customFormat="false" ht="15.75" hidden="false" customHeight="false" outlineLevel="0" collapsed="false">
      <c r="A389" s="12"/>
      <c r="B389" s="34"/>
      <c r="C389" s="12"/>
      <c r="D389" s="12"/>
      <c r="E389" s="12"/>
      <c r="F389" s="12"/>
      <c r="G389" s="18"/>
      <c r="H389" s="35"/>
      <c r="I389" s="12"/>
      <c r="M389" s="12"/>
      <c r="N389" s="18"/>
      <c r="O389" s="12"/>
      <c r="P389" s="12"/>
      <c r="Q389" s="12"/>
      <c r="R389" s="36"/>
      <c r="S389" s="36"/>
      <c r="T389" s="12"/>
      <c r="U389" s="12"/>
      <c r="V389" s="12"/>
      <c r="W389" s="12"/>
      <c r="X389" s="12"/>
    </row>
    <row r="390" customFormat="false" ht="15.75" hidden="false" customHeight="false" outlineLevel="0" collapsed="false">
      <c r="A390" s="12"/>
      <c r="B390" s="34"/>
      <c r="C390" s="12"/>
      <c r="D390" s="12"/>
      <c r="E390" s="12"/>
      <c r="F390" s="12"/>
      <c r="G390" s="18"/>
      <c r="H390" s="35"/>
      <c r="I390" s="12"/>
      <c r="M390" s="12"/>
      <c r="N390" s="18"/>
      <c r="O390" s="12"/>
      <c r="P390" s="12"/>
      <c r="Q390" s="12"/>
      <c r="R390" s="36"/>
      <c r="S390" s="36"/>
      <c r="T390" s="12"/>
      <c r="U390" s="12"/>
      <c r="V390" s="12"/>
      <c r="W390" s="12"/>
      <c r="X390" s="12"/>
    </row>
    <row r="391" customFormat="false" ht="15.75" hidden="false" customHeight="false" outlineLevel="0" collapsed="false">
      <c r="A391" s="12"/>
      <c r="B391" s="34"/>
      <c r="C391" s="12"/>
      <c r="D391" s="12"/>
      <c r="E391" s="12"/>
      <c r="F391" s="12"/>
      <c r="G391" s="18"/>
      <c r="H391" s="35"/>
      <c r="I391" s="12"/>
      <c r="M391" s="12"/>
      <c r="N391" s="18"/>
      <c r="O391" s="12"/>
      <c r="P391" s="12"/>
      <c r="Q391" s="12"/>
      <c r="R391" s="36"/>
      <c r="S391" s="36"/>
      <c r="T391" s="12"/>
      <c r="U391" s="12"/>
      <c r="V391" s="12"/>
      <c r="W391" s="12"/>
      <c r="X391" s="12"/>
    </row>
    <row r="392" customFormat="false" ht="15.75" hidden="false" customHeight="false" outlineLevel="0" collapsed="false">
      <c r="A392" s="12"/>
      <c r="B392" s="34"/>
      <c r="C392" s="12"/>
      <c r="D392" s="12"/>
      <c r="E392" s="12"/>
      <c r="F392" s="12"/>
      <c r="G392" s="18"/>
      <c r="H392" s="35"/>
      <c r="I392" s="12"/>
      <c r="M392" s="12"/>
      <c r="N392" s="18"/>
      <c r="O392" s="12"/>
      <c r="P392" s="12"/>
      <c r="Q392" s="12"/>
      <c r="R392" s="36"/>
      <c r="S392" s="36"/>
      <c r="T392" s="12"/>
      <c r="U392" s="12"/>
      <c r="V392" s="12"/>
      <c r="W392" s="12"/>
      <c r="X392" s="12"/>
    </row>
    <row r="393" customFormat="false" ht="15.75" hidden="false" customHeight="false" outlineLevel="0" collapsed="false">
      <c r="A393" s="12"/>
      <c r="B393" s="34"/>
      <c r="C393" s="12"/>
      <c r="D393" s="12"/>
      <c r="E393" s="12"/>
      <c r="F393" s="12"/>
      <c r="G393" s="18"/>
      <c r="H393" s="35"/>
      <c r="I393" s="12"/>
      <c r="M393" s="12"/>
      <c r="N393" s="18"/>
      <c r="O393" s="12"/>
      <c r="P393" s="12"/>
      <c r="Q393" s="12"/>
      <c r="R393" s="36"/>
      <c r="S393" s="36"/>
      <c r="T393" s="12"/>
      <c r="U393" s="12"/>
      <c r="V393" s="12"/>
      <c r="W393" s="12"/>
      <c r="X393" s="12"/>
    </row>
    <row r="394" customFormat="false" ht="15.75" hidden="false" customHeight="false" outlineLevel="0" collapsed="false">
      <c r="A394" s="12"/>
      <c r="B394" s="34"/>
      <c r="C394" s="12"/>
      <c r="D394" s="12"/>
      <c r="E394" s="12"/>
      <c r="F394" s="12"/>
      <c r="G394" s="18"/>
      <c r="H394" s="35"/>
      <c r="I394" s="12"/>
      <c r="M394" s="12"/>
      <c r="N394" s="18"/>
      <c r="O394" s="12"/>
      <c r="P394" s="12"/>
      <c r="Q394" s="12"/>
      <c r="R394" s="36"/>
      <c r="S394" s="36"/>
      <c r="T394" s="12"/>
      <c r="U394" s="12"/>
      <c r="V394" s="12"/>
      <c r="W394" s="12"/>
      <c r="X394" s="12"/>
    </row>
    <row r="395" customFormat="false" ht="15.75" hidden="false" customHeight="false" outlineLevel="0" collapsed="false">
      <c r="A395" s="12"/>
      <c r="B395" s="34"/>
      <c r="C395" s="12"/>
      <c r="D395" s="12"/>
      <c r="E395" s="12"/>
      <c r="F395" s="12"/>
      <c r="G395" s="18"/>
      <c r="H395" s="35"/>
      <c r="I395" s="12"/>
      <c r="M395" s="12"/>
      <c r="N395" s="18"/>
      <c r="O395" s="12"/>
      <c r="P395" s="12"/>
      <c r="Q395" s="12"/>
      <c r="R395" s="36"/>
      <c r="S395" s="36"/>
      <c r="T395" s="12"/>
      <c r="U395" s="12"/>
      <c r="V395" s="12"/>
      <c r="W395" s="12"/>
      <c r="X395" s="12"/>
    </row>
    <row r="396" customFormat="false" ht="15.75" hidden="false" customHeight="false" outlineLevel="0" collapsed="false">
      <c r="A396" s="12"/>
      <c r="B396" s="34"/>
      <c r="C396" s="12"/>
      <c r="D396" s="12"/>
      <c r="E396" s="12"/>
      <c r="F396" s="12"/>
      <c r="G396" s="18"/>
      <c r="H396" s="35"/>
      <c r="I396" s="12"/>
      <c r="M396" s="12"/>
      <c r="N396" s="18"/>
      <c r="O396" s="12"/>
      <c r="P396" s="12"/>
      <c r="Q396" s="12"/>
      <c r="R396" s="36"/>
      <c r="S396" s="36"/>
      <c r="T396" s="12"/>
      <c r="U396" s="12"/>
      <c r="V396" s="12"/>
      <c r="W396" s="12"/>
      <c r="X396" s="12"/>
    </row>
    <row r="397" customFormat="false" ht="15.75" hidden="false" customHeight="false" outlineLevel="0" collapsed="false">
      <c r="A397" s="12"/>
      <c r="B397" s="34"/>
      <c r="C397" s="12"/>
      <c r="D397" s="12"/>
      <c r="E397" s="12"/>
      <c r="F397" s="12"/>
      <c r="G397" s="18"/>
      <c r="H397" s="35"/>
      <c r="I397" s="12"/>
      <c r="M397" s="12"/>
      <c r="N397" s="18"/>
      <c r="O397" s="12"/>
      <c r="P397" s="12"/>
      <c r="Q397" s="12"/>
      <c r="R397" s="36"/>
      <c r="S397" s="36"/>
      <c r="T397" s="12"/>
      <c r="U397" s="12"/>
      <c r="V397" s="12"/>
      <c r="W397" s="12"/>
      <c r="X397" s="12"/>
    </row>
    <row r="398" customFormat="false" ht="15.75" hidden="false" customHeight="false" outlineLevel="0" collapsed="false">
      <c r="A398" s="12"/>
      <c r="B398" s="34"/>
      <c r="C398" s="12"/>
      <c r="D398" s="12"/>
      <c r="E398" s="12"/>
      <c r="F398" s="12"/>
      <c r="G398" s="18"/>
      <c r="H398" s="35"/>
      <c r="I398" s="12"/>
      <c r="M398" s="12"/>
      <c r="N398" s="18"/>
      <c r="O398" s="12"/>
      <c r="P398" s="12"/>
      <c r="Q398" s="12"/>
      <c r="R398" s="36"/>
      <c r="S398" s="36"/>
      <c r="T398" s="12"/>
      <c r="U398" s="12"/>
      <c r="V398" s="12"/>
      <c r="W398" s="12"/>
      <c r="X398" s="12"/>
    </row>
    <row r="399" customFormat="false" ht="15.75" hidden="false" customHeight="false" outlineLevel="0" collapsed="false">
      <c r="A399" s="12"/>
      <c r="B399" s="34"/>
      <c r="C399" s="12"/>
      <c r="D399" s="12"/>
      <c r="E399" s="12"/>
      <c r="F399" s="12"/>
      <c r="G399" s="18"/>
      <c r="H399" s="35"/>
      <c r="I399" s="12"/>
      <c r="M399" s="12"/>
      <c r="N399" s="18"/>
      <c r="O399" s="12"/>
      <c r="P399" s="12"/>
      <c r="Q399" s="12"/>
      <c r="R399" s="36"/>
      <c r="S399" s="36"/>
      <c r="T399" s="12"/>
      <c r="U399" s="12"/>
      <c r="V399" s="12"/>
      <c r="W399" s="12"/>
      <c r="X399" s="12"/>
    </row>
    <row r="400" customFormat="false" ht="15.75" hidden="false" customHeight="false" outlineLevel="0" collapsed="false">
      <c r="A400" s="12"/>
      <c r="B400" s="34"/>
      <c r="C400" s="12"/>
      <c r="D400" s="12"/>
      <c r="E400" s="12"/>
      <c r="F400" s="12"/>
      <c r="G400" s="18"/>
      <c r="H400" s="35"/>
      <c r="I400" s="12"/>
      <c r="M400" s="12"/>
      <c r="N400" s="18"/>
      <c r="O400" s="12"/>
      <c r="P400" s="12"/>
      <c r="Q400" s="12"/>
      <c r="R400" s="36"/>
      <c r="S400" s="36"/>
      <c r="T400" s="12"/>
      <c r="U400" s="12"/>
      <c r="V400" s="12"/>
      <c r="W400" s="12"/>
      <c r="X400" s="12"/>
    </row>
    <row r="401" customFormat="false" ht="15.75" hidden="false" customHeight="false" outlineLevel="0" collapsed="false">
      <c r="A401" s="12"/>
      <c r="B401" s="34"/>
      <c r="C401" s="12"/>
      <c r="D401" s="12"/>
      <c r="E401" s="12"/>
      <c r="F401" s="12"/>
      <c r="G401" s="18"/>
      <c r="H401" s="35"/>
      <c r="I401" s="12"/>
      <c r="M401" s="12"/>
      <c r="N401" s="18"/>
      <c r="O401" s="12"/>
      <c r="P401" s="12"/>
      <c r="Q401" s="12"/>
      <c r="R401" s="36"/>
      <c r="S401" s="36"/>
      <c r="T401" s="12"/>
      <c r="U401" s="12"/>
      <c r="V401" s="12"/>
      <c r="W401" s="12"/>
      <c r="X401" s="12"/>
    </row>
    <row r="402" customFormat="false" ht="15.75" hidden="false" customHeight="false" outlineLevel="0" collapsed="false">
      <c r="A402" s="12"/>
      <c r="B402" s="34"/>
      <c r="C402" s="12"/>
      <c r="D402" s="12"/>
      <c r="E402" s="12"/>
      <c r="F402" s="12"/>
      <c r="G402" s="18"/>
      <c r="H402" s="35"/>
      <c r="I402" s="12"/>
      <c r="M402" s="12"/>
      <c r="N402" s="18"/>
      <c r="O402" s="12"/>
      <c r="P402" s="12"/>
      <c r="Q402" s="12"/>
      <c r="R402" s="36"/>
      <c r="S402" s="36"/>
      <c r="T402" s="12"/>
      <c r="U402" s="12"/>
      <c r="V402" s="12"/>
      <c r="W402" s="12"/>
      <c r="X402" s="12"/>
    </row>
    <row r="403" customFormat="false" ht="15.75" hidden="false" customHeight="false" outlineLevel="0" collapsed="false">
      <c r="A403" s="12"/>
      <c r="B403" s="34"/>
      <c r="C403" s="12"/>
      <c r="D403" s="12"/>
      <c r="E403" s="12"/>
      <c r="F403" s="12"/>
      <c r="G403" s="18"/>
      <c r="H403" s="35"/>
      <c r="I403" s="12"/>
      <c r="M403" s="12"/>
      <c r="N403" s="18"/>
      <c r="O403" s="12"/>
      <c r="P403" s="12"/>
      <c r="Q403" s="12"/>
      <c r="R403" s="36"/>
      <c r="S403" s="36"/>
      <c r="T403" s="12"/>
      <c r="U403" s="12"/>
      <c r="V403" s="12"/>
      <c r="W403" s="12"/>
      <c r="X403" s="12"/>
    </row>
    <row r="404" customFormat="false" ht="15.75" hidden="false" customHeight="false" outlineLevel="0" collapsed="false">
      <c r="A404" s="12"/>
      <c r="B404" s="34"/>
      <c r="C404" s="12"/>
      <c r="D404" s="12"/>
      <c r="E404" s="12"/>
      <c r="F404" s="12"/>
      <c r="G404" s="18"/>
      <c r="H404" s="35"/>
      <c r="I404" s="12"/>
      <c r="M404" s="12"/>
      <c r="N404" s="18"/>
      <c r="O404" s="12"/>
      <c r="P404" s="12"/>
      <c r="Q404" s="12"/>
      <c r="R404" s="36"/>
      <c r="S404" s="36"/>
      <c r="T404" s="12"/>
      <c r="U404" s="12"/>
      <c r="V404" s="12"/>
      <c r="W404" s="12"/>
      <c r="X404" s="12"/>
    </row>
    <row r="405" customFormat="false" ht="15.75" hidden="false" customHeight="false" outlineLevel="0" collapsed="false">
      <c r="A405" s="12"/>
      <c r="B405" s="34"/>
      <c r="C405" s="12"/>
      <c r="D405" s="12"/>
      <c r="E405" s="12"/>
      <c r="F405" s="12"/>
      <c r="G405" s="18"/>
      <c r="H405" s="35"/>
      <c r="I405" s="12"/>
      <c r="M405" s="12"/>
      <c r="N405" s="18"/>
      <c r="O405" s="12"/>
      <c r="P405" s="12"/>
      <c r="Q405" s="12"/>
      <c r="R405" s="36"/>
      <c r="S405" s="36"/>
      <c r="T405" s="12"/>
      <c r="U405" s="12"/>
      <c r="V405" s="12"/>
      <c r="W405" s="12"/>
      <c r="X405" s="12"/>
    </row>
    <row r="406" customFormat="false" ht="15.75" hidden="false" customHeight="false" outlineLevel="0" collapsed="false">
      <c r="A406" s="12"/>
      <c r="B406" s="34"/>
      <c r="C406" s="12"/>
      <c r="D406" s="12"/>
      <c r="E406" s="12"/>
      <c r="F406" s="12"/>
      <c r="G406" s="18"/>
      <c r="H406" s="35"/>
      <c r="I406" s="12"/>
      <c r="M406" s="12"/>
      <c r="N406" s="18"/>
      <c r="O406" s="12"/>
      <c r="P406" s="12"/>
      <c r="Q406" s="12"/>
      <c r="R406" s="36"/>
      <c r="S406" s="36"/>
      <c r="T406" s="12"/>
      <c r="U406" s="12"/>
      <c r="V406" s="12"/>
      <c r="W406" s="12"/>
      <c r="X406" s="12"/>
    </row>
    <row r="407" customFormat="false" ht="15.75" hidden="false" customHeight="false" outlineLevel="0" collapsed="false">
      <c r="A407" s="12"/>
      <c r="B407" s="34"/>
      <c r="C407" s="12"/>
      <c r="D407" s="12"/>
      <c r="E407" s="12"/>
      <c r="F407" s="12"/>
      <c r="G407" s="18"/>
      <c r="H407" s="35"/>
      <c r="I407" s="12"/>
      <c r="M407" s="12"/>
      <c r="N407" s="18"/>
      <c r="O407" s="12"/>
      <c r="P407" s="12"/>
      <c r="Q407" s="12"/>
      <c r="R407" s="36"/>
      <c r="S407" s="36"/>
      <c r="T407" s="12"/>
      <c r="U407" s="12"/>
      <c r="V407" s="12"/>
      <c r="W407" s="12"/>
      <c r="X407" s="12"/>
    </row>
    <row r="408" customFormat="false" ht="15.75" hidden="false" customHeight="false" outlineLevel="0" collapsed="false">
      <c r="A408" s="12"/>
      <c r="B408" s="34"/>
      <c r="C408" s="12"/>
      <c r="D408" s="12"/>
      <c r="E408" s="12"/>
      <c r="F408" s="12"/>
      <c r="G408" s="18"/>
      <c r="H408" s="35"/>
      <c r="I408" s="12"/>
      <c r="M408" s="12"/>
      <c r="N408" s="18"/>
      <c r="O408" s="12"/>
      <c r="P408" s="12"/>
      <c r="Q408" s="12"/>
      <c r="R408" s="36"/>
      <c r="S408" s="36"/>
      <c r="T408" s="12"/>
      <c r="U408" s="12"/>
      <c r="V408" s="12"/>
      <c r="W408" s="12"/>
      <c r="X408" s="12"/>
    </row>
    <row r="409" customFormat="false" ht="15.75" hidden="false" customHeight="false" outlineLevel="0" collapsed="false">
      <c r="A409" s="12"/>
      <c r="B409" s="34"/>
      <c r="C409" s="12"/>
      <c r="D409" s="12"/>
      <c r="E409" s="12"/>
      <c r="F409" s="12"/>
      <c r="G409" s="18"/>
      <c r="H409" s="35"/>
      <c r="I409" s="12"/>
      <c r="M409" s="12"/>
      <c r="N409" s="18"/>
      <c r="O409" s="12"/>
      <c r="P409" s="12"/>
      <c r="Q409" s="12"/>
      <c r="R409" s="36"/>
      <c r="S409" s="36"/>
      <c r="T409" s="12"/>
      <c r="U409" s="12"/>
      <c r="V409" s="12"/>
      <c r="W409" s="12"/>
      <c r="X409" s="12"/>
    </row>
    <row r="410" customFormat="false" ht="15.75" hidden="false" customHeight="false" outlineLevel="0" collapsed="false">
      <c r="A410" s="12"/>
      <c r="B410" s="34"/>
      <c r="C410" s="12"/>
      <c r="D410" s="12"/>
      <c r="E410" s="12"/>
      <c r="F410" s="12"/>
      <c r="G410" s="18"/>
      <c r="H410" s="35"/>
      <c r="I410" s="12"/>
      <c r="M410" s="12"/>
      <c r="N410" s="18"/>
      <c r="O410" s="12"/>
      <c r="P410" s="12"/>
      <c r="Q410" s="12"/>
      <c r="R410" s="36"/>
      <c r="S410" s="36"/>
      <c r="T410" s="12"/>
      <c r="U410" s="12"/>
      <c r="V410" s="12"/>
      <c r="W410" s="12"/>
      <c r="X410" s="12"/>
    </row>
    <row r="411" customFormat="false" ht="15.75" hidden="false" customHeight="false" outlineLevel="0" collapsed="false">
      <c r="A411" s="12"/>
      <c r="B411" s="34"/>
      <c r="C411" s="12"/>
      <c r="D411" s="12"/>
      <c r="E411" s="12"/>
      <c r="F411" s="12"/>
      <c r="G411" s="18"/>
      <c r="H411" s="35"/>
      <c r="I411" s="12"/>
      <c r="M411" s="12"/>
      <c r="N411" s="18"/>
      <c r="O411" s="12"/>
      <c r="P411" s="12"/>
      <c r="Q411" s="12"/>
      <c r="R411" s="36"/>
      <c r="S411" s="36"/>
      <c r="T411" s="12"/>
      <c r="U411" s="12"/>
      <c r="V411" s="12"/>
      <c r="W411" s="12"/>
      <c r="X411" s="12"/>
    </row>
    <row r="412" customFormat="false" ht="15.75" hidden="false" customHeight="false" outlineLevel="0" collapsed="false">
      <c r="A412" s="12"/>
      <c r="B412" s="34"/>
      <c r="C412" s="12"/>
      <c r="D412" s="12"/>
      <c r="E412" s="12"/>
      <c r="F412" s="12"/>
      <c r="G412" s="18"/>
      <c r="H412" s="35"/>
      <c r="I412" s="12"/>
      <c r="M412" s="12"/>
      <c r="N412" s="18"/>
      <c r="O412" s="12"/>
      <c r="P412" s="12"/>
      <c r="Q412" s="12"/>
      <c r="R412" s="36"/>
      <c r="S412" s="36"/>
      <c r="T412" s="12"/>
      <c r="U412" s="12"/>
      <c r="V412" s="12"/>
      <c r="W412" s="12"/>
      <c r="X412" s="12"/>
    </row>
    <row r="413" customFormat="false" ht="15.75" hidden="false" customHeight="false" outlineLevel="0" collapsed="false">
      <c r="A413" s="12"/>
      <c r="B413" s="34"/>
      <c r="C413" s="12"/>
      <c r="D413" s="12"/>
      <c r="E413" s="12"/>
      <c r="F413" s="12"/>
      <c r="G413" s="18"/>
      <c r="H413" s="35"/>
      <c r="I413" s="12"/>
      <c r="M413" s="12"/>
      <c r="N413" s="18"/>
      <c r="O413" s="12"/>
      <c r="P413" s="12"/>
      <c r="Q413" s="12"/>
      <c r="R413" s="36"/>
      <c r="S413" s="36"/>
      <c r="T413" s="12"/>
      <c r="U413" s="12"/>
      <c r="V413" s="12"/>
      <c r="W413" s="12"/>
      <c r="X413" s="12"/>
    </row>
    <row r="414" customFormat="false" ht="15.75" hidden="false" customHeight="false" outlineLevel="0" collapsed="false">
      <c r="A414" s="12"/>
      <c r="B414" s="34"/>
      <c r="C414" s="12"/>
      <c r="D414" s="12"/>
      <c r="E414" s="12"/>
      <c r="F414" s="12"/>
      <c r="G414" s="18"/>
      <c r="H414" s="35"/>
      <c r="I414" s="12"/>
      <c r="M414" s="12"/>
      <c r="N414" s="18"/>
      <c r="O414" s="12"/>
      <c r="P414" s="12"/>
      <c r="Q414" s="12"/>
      <c r="R414" s="36"/>
      <c r="S414" s="36"/>
      <c r="T414" s="12"/>
      <c r="U414" s="12"/>
      <c r="V414" s="12"/>
      <c r="W414" s="12"/>
      <c r="X414" s="12"/>
    </row>
    <row r="415" customFormat="false" ht="15.75" hidden="false" customHeight="false" outlineLevel="0" collapsed="false">
      <c r="A415" s="12"/>
      <c r="B415" s="34"/>
      <c r="C415" s="12"/>
      <c r="D415" s="12"/>
      <c r="E415" s="12"/>
      <c r="F415" s="12"/>
      <c r="G415" s="18"/>
      <c r="H415" s="35"/>
      <c r="I415" s="12"/>
      <c r="M415" s="12"/>
      <c r="N415" s="18"/>
      <c r="O415" s="12"/>
      <c r="P415" s="12"/>
      <c r="Q415" s="12"/>
      <c r="R415" s="36"/>
      <c r="S415" s="36"/>
      <c r="T415" s="12"/>
      <c r="U415" s="12"/>
      <c r="V415" s="12"/>
      <c r="W415" s="12"/>
      <c r="X415" s="12"/>
    </row>
    <row r="416" customFormat="false" ht="15.75" hidden="false" customHeight="false" outlineLevel="0" collapsed="false">
      <c r="A416" s="12"/>
      <c r="B416" s="34"/>
      <c r="C416" s="12"/>
      <c r="D416" s="12"/>
      <c r="E416" s="12"/>
      <c r="F416" s="12"/>
      <c r="G416" s="18"/>
      <c r="H416" s="35"/>
      <c r="I416" s="12"/>
      <c r="M416" s="12"/>
      <c r="N416" s="18"/>
      <c r="O416" s="12"/>
      <c r="P416" s="12"/>
      <c r="Q416" s="12"/>
      <c r="R416" s="36"/>
      <c r="S416" s="36"/>
      <c r="T416" s="12"/>
      <c r="U416" s="12"/>
      <c r="V416" s="12"/>
      <c r="W416" s="12"/>
      <c r="X416" s="12"/>
    </row>
    <row r="417" customFormat="false" ht="15.75" hidden="false" customHeight="false" outlineLevel="0" collapsed="false">
      <c r="A417" s="12"/>
      <c r="B417" s="34"/>
      <c r="C417" s="12"/>
      <c r="D417" s="12"/>
      <c r="E417" s="12"/>
      <c r="F417" s="12"/>
      <c r="G417" s="18"/>
      <c r="H417" s="35"/>
      <c r="I417" s="12"/>
      <c r="M417" s="12"/>
      <c r="N417" s="18"/>
      <c r="O417" s="12"/>
      <c r="P417" s="12"/>
      <c r="Q417" s="12"/>
      <c r="R417" s="36"/>
      <c r="S417" s="36"/>
      <c r="T417" s="12"/>
      <c r="U417" s="12"/>
      <c r="V417" s="12"/>
      <c r="W417" s="12"/>
      <c r="X417" s="12"/>
    </row>
    <row r="418" customFormat="false" ht="15.75" hidden="false" customHeight="false" outlineLevel="0" collapsed="false">
      <c r="A418" s="12"/>
      <c r="B418" s="34"/>
      <c r="C418" s="12"/>
      <c r="D418" s="12"/>
      <c r="E418" s="12"/>
      <c r="F418" s="12"/>
      <c r="G418" s="18"/>
      <c r="H418" s="35"/>
      <c r="I418" s="12"/>
      <c r="M418" s="12"/>
      <c r="N418" s="18"/>
      <c r="O418" s="12"/>
      <c r="P418" s="12"/>
      <c r="Q418" s="12"/>
      <c r="R418" s="36"/>
      <c r="S418" s="36"/>
      <c r="T418" s="12"/>
      <c r="U418" s="12"/>
      <c r="V418" s="12"/>
      <c r="W418" s="12"/>
      <c r="X418" s="12"/>
    </row>
    <row r="419" customFormat="false" ht="15.75" hidden="false" customHeight="false" outlineLevel="0" collapsed="false">
      <c r="A419" s="12"/>
      <c r="B419" s="34"/>
      <c r="C419" s="12"/>
      <c r="D419" s="12"/>
      <c r="E419" s="12"/>
      <c r="F419" s="12"/>
      <c r="G419" s="18"/>
      <c r="H419" s="35"/>
      <c r="I419" s="12"/>
      <c r="M419" s="12"/>
      <c r="N419" s="18"/>
      <c r="O419" s="12"/>
      <c r="P419" s="12"/>
      <c r="Q419" s="12"/>
      <c r="R419" s="36"/>
      <c r="S419" s="36"/>
      <c r="T419" s="12"/>
      <c r="U419" s="12"/>
      <c r="V419" s="12"/>
      <c r="W419" s="12"/>
      <c r="X419" s="12"/>
    </row>
    <row r="420" customFormat="false" ht="15.75" hidden="false" customHeight="false" outlineLevel="0" collapsed="false">
      <c r="A420" s="12"/>
      <c r="B420" s="34"/>
      <c r="C420" s="12"/>
      <c r="D420" s="12"/>
      <c r="E420" s="12"/>
      <c r="F420" s="12"/>
      <c r="G420" s="18"/>
      <c r="H420" s="35"/>
      <c r="I420" s="12"/>
      <c r="M420" s="12"/>
      <c r="N420" s="18"/>
      <c r="O420" s="12"/>
      <c r="P420" s="12"/>
      <c r="Q420" s="12"/>
      <c r="R420" s="36"/>
      <c r="S420" s="36"/>
      <c r="T420" s="12"/>
      <c r="U420" s="12"/>
      <c r="V420" s="12"/>
      <c r="W420" s="12"/>
      <c r="X420" s="12"/>
    </row>
    <row r="421" customFormat="false" ht="15.75" hidden="false" customHeight="false" outlineLevel="0" collapsed="false">
      <c r="A421" s="12"/>
      <c r="B421" s="34"/>
      <c r="C421" s="12"/>
      <c r="D421" s="12"/>
      <c r="E421" s="12"/>
      <c r="F421" s="12"/>
      <c r="G421" s="18"/>
      <c r="H421" s="35"/>
      <c r="I421" s="12"/>
      <c r="M421" s="12"/>
      <c r="N421" s="18"/>
      <c r="O421" s="12"/>
      <c r="P421" s="12"/>
      <c r="Q421" s="12"/>
      <c r="R421" s="36"/>
      <c r="S421" s="36"/>
      <c r="T421" s="12"/>
      <c r="U421" s="12"/>
      <c r="V421" s="12"/>
      <c r="W421" s="12"/>
      <c r="X421" s="12"/>
    </row>
    <row r="422" customFormat="false" ht="15.75" hidden="false" customHeight="false" outlineLevel="0" collapsed="false">
      <c r="A422" s="12"/>
      <c r="B422" s="34"/>
      <c r="C422" s="12"/>
      <c r="D422" s="12"/>
      <c r="E422" s="12"/>
      <c r="F422" s="12"/>
      <c r="G422" s="18"/>
      <c r="H422" s="35"/>
      <c r="I422" s="12"/>
      <c r="M422" s="12"/>
      <c r="N422" s="18"/>
      <c r="O422" s="12"/>
      <c r="P422" s="12"/>
      <c r="Q422" s="12"/>
      <c r="R422" s="36"/>
      <c r="S422" s="36"/>
      <c r="T422" s="12"/>
      <c r="U422" s="12"/>
      <c r="V422" s="12"/>
      <c r="W422" s="12"/>
      <c r="X422" s="12"/>
    </row>
    <row r="423" customFormat="false" ht="15.75" hidden="false" customHeight="false" outlineLevel="0" collapsed="false">
      <c r="A423" s="12"/>
      <c r="B423" s="34"/>
      <c r="C423" s="12"/>
      <c r="D423" s="12"/>
      <c r="E423" s="12"/>
      <c r="F423" s="12"/>
      <c r="G423" s="18"/>
      <c r="H423" s="35"/>
      <c r="I423" s="12"/>
      <c r="M423" s="12"/>
      <c r="N423" s="18"/>
      <c r="O423" s="12"/>
      <c r="P423" s="12"/>
      <c r="Q423" s="12"/>
      <c r="R423" s="36"/>
      <c r="S423" s="36"/>
      <c r="T423" s="12"/>
      <c r="U423" s="12"/>
      <c r="V423" s="12"/>
      <c r="W423" s="12"/>
      <c r="X423" s="12"/>
    </row>
    <row r="424" customFormat="false" ht="15.75" hidden="false" customHeight="false" outlineLevel="0" collapsed="false">
      <c r="A424" s="12"/>
      <c r="B424" s="34"/>
      <c r="C424" s="12"/>
      <c r="D424" s="12"/>
      <c r="E424" s="12"/>
      <c r="F424" s="12"/>
      <c r="G424" s="18"/>
      <c r="H424" s="35"/>
      <c r="I424" s="12"/>
      <c r="M424" s="12"/>
      <c r="N424" s="18"/>
      <c r="O424" s="12"/>
      <c r="P424" s="12"/>
      <c r="Q424" s="12"/>
      <c r="R424" s="36"/>
      <c r="S424" s="36"/>
      <c r="T424" s="12"/>
      <c r="U424" s="12"/>
      <c r="V424" s="12"/>
      <c r="W424" s="12"/>
      <c r="X424" s="12"/>
    </row>
    <row r="425" customFormat="false" ht="15.75" hidden="false" customHeight="false" outlineLevel="0" collapsed="false">
      <c r="A425" s="12"/>
      <c r="B425" s="34"/>
      <c r="C425" s="12"/>
      <c r="D425" s="12"/>
      <c r="E425" s="12"/>
      <c r="F425" s="12"/>
      <c r="G425" s="18"/>
      <c r="H425" s="35"/>
      <c r="I425" s="12"/>
      <c r="M425" s="12"/>
      <c r="N425" s="18"/>
      <c r="O425" s="12"/>
      <c r="P425" s="12"/>
      <c r="Q425" s="12"/>
      <c r="R425" s="36"/>
      <c r="S425" s="36"/>
      <c r="T425" s="12"/>
      <c r="U425" s="12"/>
      <c r="V425" s="12"/>
      <c r="W425" s="12"/>
      <c r="X425" s="12"/>
    </row>
    <row r="426" customFormat="false" ht="15.75" hidden="false" customHeight="false" outlineLevel="0" collapsed="false">
      <c r="A426" s="12"/>
      <c r="B426" s="34"/>
      <c r="C426" s="12"/>
      <c r="D426" s="12"/>
      <c r="E426" s="12"/>
      <c r="F426" s="12"/>
      <c r="G426" s="18"/>
      <c r="H426" s="35"/>
      <c r="I426" s="12"/>
      <c r="M426" s="12"/>
      <c r="N426" s="18"/>
      <c r="O426" s="12"/>
      <c r="P426" s="12"/>
      <c r="Q426" s="12"/>
      <c r="R426" s="36"/>
      <c r="S426" s="36"/>
      <c r="T426" s="12"/>
      <c r="U426" s="12"/>
      <c r="V426" s="12"/>
      <c r="W426" s="12"/>
      <c r="X426" s="12"/>
    </row>
    <row r="427" customFormat="false" ht="15.75" hidden="false" customHeight="false" outlineLevel="0" collapsed="false">
      <c r="A427" s="12"/>
      <c r="B427" s="34"/>
      <c r="C427" s="12"/>
      <c r="D427" s="12"/>
      <c r="E427" s="12"/>
      <c r="F427" s="12"/>
      <c r="G427" s="18"/>
      <c r="H427" s="35"/>
      <c r="I427" s="12"/>
      <c r="M427" s="12"/>
      <c r="N427" s="18"/>
      <c r="O427" s="12"/>
      <c r="P427" s="12"/>
      <c r="Q427" s="12"/>
      <c r="R427" s="36"/>
      <c r="S427" s="36"/>
      <c r="T427" s="12"/>
      <c r="U427" s="12"/>
      <c r="V427" s="12"/>
      <c r="W427" s="12"/>
      <c r="X427" s="12"/>
    </row>
    <row r="428" customFormat="false" ht="15.75" hidden="false" customHeight="false" outlineLevel="0" collapsed="false">
      <c r="A428" s="12"/>
      <c r="B428" s="34"/>
      <c r="C428" s="12"/>
      <c r="D428" s="12"/>
      <c r="E428" s="12"/>
      <c r="F428" s="12"/>
      <c r="G428" s="18"/>
      <c r="H428" s="35"/>
      <c r="I428" s="12"/>
      <c r="M428" s="12"/>
      <c r="N428" s="18"/>
      <c r="O428" s="12"/>
      <c r="P428" s="12"/>
      <c r="Q428" s="12"/>
      <c r="R428" s="36"/>
      <c r="S428" s="36"/>
      <c r="T428" s="12"/>
      <c r="U428" s="12"/>
      <c r="V428" s="12"/>
      <c r="W428" s="12"/>
      <c r="X428" s="12"/>
    </row>
    <row r="429" customFormat="false" ht="15.75" hidden="false" customHeight="false" outlineLevel="0" collapsed="false">
      <c r="A429" s="12"/>
      <c r="B429" s="34"/>
      <c r="C429" s="12"/>
      <c r="D429" s="12"/>
      <c r="E429" s="12"/>
      <c r="F429" s="12"/>
      <c r="G429" s="18"/>
      <c r="H429" s="35"/>
      <c r="I429" s="12"/>
      <c r="M429" s="12"/>
      <c r="N429" s="18"/>
      <c r="O429" s="12"/>
      <c r="P429" s="12"/>
      <c r="Q429" s="12"/>
      <c r="R429" s="36"/>
      <c r="S429" s="36"/>
      <c r="T429" s="12"/>
      <c r="U429" s="12"/>
      <c r="V429" s="12"/>
      <c r="W429" s="12"/>
      <c r="X429" s="12"/>
    </row>
    <row r="430" customFormat="false" ht="15.75" hidden="false" customHeight="false" outlineLevel="0" collapsed="false">
      <c r="A430" s="12"/>
      <c r="B430" s="34"/>
      <c r="C430" s="12"/>
      <c r="D430" s="12"/>
      <c r="E430" s="12"/>
      <c r="F430" s="12"/>
      <c r="G430" s="18"/>
      <c r="H430" s="35"/>
      <c r="I430" s="12"/>
      <c r="M430" s="12"/>
      <c r="N430" s="18"/>
      <c r="O430" s="12"/>
      <c r="P430" s="12"/>
      <c r="Q430" s="12"/>
      <c r="R430" s="36"/>
      <c r="S430" s="36"/>
      <c r="T430" s="12"/>
      <c r="U430" s="12"/>
      <c r="V430" s="12"/>
      <c r="W430" s="12"/>
      <c r="X430" s="12"/>
    </row>
    <row r="431" customFormat="false" ht="15.75" hidden="false" customHeight="false" outlineLevel="0" collapsed="false">
      <c r="A431" s="12"/>
      <c r="B431" s="34"/>
      <c r="C431" s="12"/>
      <c r="D431" s="12"/>
      <c r="E431" s="12"/>
      <c r="F431" s="12"/>
      <c r="G431" s="18"/>
      <c r="H431" s="35"/>
      <c r="I431" s="12"/>
      <c r="M431" s="12"/>
      <c r="N431" s="18"/>
      <c r="O431" s="12"/>
      <c r="P431" s="12"/>
      <c r="Q431" s="12"/>
      <c r="R431" s="36"/>
      <c r="S431" s="36"/>
      <c r="T431" s="12"/>
      <c r="U431" s="12"/>
      <c r="V431" s="12"/>
      <c r="W431" s="12"/>
      <c r="X431" s="12"/>
    </row>
    <row r="432" customFormat="false" ht="15.75" hidden="false" customHeight="false" outlineLevel="0" collapsed="false">
      <c r="A432" s="12"/>
      <c r="B432" s="34"/>
      <c r="C432" s="12"/>
      <c r="D432" s="12"/>
      <c r="E432" s="12"/>
      <c r="F432" s="12"/>
      <c r="G432" s="18"/>
      <c r="H432" s="35"/>
      <c r="I432" s="12"/>
      <c r="M432" s="12"/>
      <c r="N432" s="18"/>
      <c r="O432" s="12"/>
      <c r="P432" s="12"/>
      <c r="Q432" s="12"/>
      <c r="R432" s="36"/>
      <c r="S432" s="36"/>
      <c r="T432" s="12"/>
      <c r="U432" s="12"/>
      <c r="V432" s="12"/>
      <c r="W432" s="12"/>
      <c r="X432" s="12"/>
    </row>
    <row r="433" customFormat="false" ht="15.75" hidden="false" customHeight="false" outlineLevel="0" collapsed="false">
      <c r="A433" s="12"/>
      <c r="B433" s="34"/>
      <c r="C433" s="12"/>
      <c r="D433" s="12"/>
      <c r="E433" s="12"/>
      <c r="F433" s="12"/>
      <c r="G433" s="18"/>
      <c r="H433" s="35"/>
      <c r="I433" s="12"/>
      <c r="M433" s="12"/>
      <c r="N433" s="18"/>
      <c r="O433" s="12"/>
      <c r="P433" s="12"/>
      <c r="Q433" s="12"/>
      <c r="R433" s="36"/>
      <c r="S433" s="36"/>
      <c r="T433" s="12"/>
      <c r="U433" s="12"/>
      <c r="V433" s="12"/>
      <c r="W433" s="12"/>
      <c r="X433" s="12"/>
    </row>
    <row r="434" customFormat="false" ht="15.75" hidden="false" customHeight="false" outlineLevel="0" collapsed="false">
      <c r="A434" s="12"/>
      <c r="B434" s="34"/>
      <c r="C434" s="12"/>
      <c r="D434" s="12"/>
      <c r="E434" s="12"/>
      <c r="F434" s="12"/>
      <c r="G434" s="18"/>
      <c r="H434" s="35"/>
      <c r="I434" s="12"/>
      <c r="M434" s="12"/>
      <c r="N434" s="18"/>
      <c r="O434" s="12"/>
      <c r="P434" s="12"/>
      <c r="Q434" s="12"/>
      <c r="R434" s="36"/>
      <c r="S434" s="36"/>
      <c r="T434" s="12"/>
      <c r="U434" s="12"/>
      <c r="V434" s="12"/>
      <c r="W434" s="12"/>
      <c r="X434" s="12"/>
    </row>
    <row r="435" customFormat="false" ht="15.75" hidden="false" customHeight="false" outlineLevel="0" collapsed="false">
      <c r="A435" s="12"/>
      <c r="B435" s="34"/>
      <c r="C435" s="12"/>
      <c r="D435" s="12"/>
      <c r="E435" s="12"/>
      <c r="F435" s="12"/>
      <c r="G435" s="18"/>
      <c r="H435" s="35"/>
      <c r="I435" s="12"/>
      <c r="M435" s="12"/>
      <c r="N435" s="18"/>
      <c r="O435" s="12"/>
      <c r="P435" s="12"/>
      <c r="Q435" s="12"/>
      <c r="R435" s="36"/>
      <c r="S435" s="36"/>
      <c r="T435" s="12"/>
      <c r="U435" s="12"/>
      <c r="V435" s="12"/>
      <c r="W435" s="12"/>
      <c r="X435" s="12"/>
    </row>
    <row r="436" customFormat="false" ht="15.75" hidden="false" customHeight="false" outlineLevel="0" collapsed="false">
      <c r="A436" s="12"/>
      <c r="B436" s="34"/>
      <c r="C436" s="12"/>
      <c r="D436" s="12"/>
      <c r="E436" s="12"/>
      <c r="F436" s="12"/>
      <c r="G436" s="18"/>
      <c r="H436" s="35"/>
      <c r="I436" s="12"/>
      <c r="M436" s="12"/>
      <c r="N436" s="18"/>
      <c r="O436" s="12"/>
      <c r="P436" s="12"/>
      <c r="Q436" s="12"/>
      <c r="R436" s="36"/>
      <c r="S436" s="36"/>
      <c r="T436" s="12"/>
      <c r="U436" s="12"/>
      <c r="V436" s="12"/>
      <c r="W436" s="12"/>
      <c r="X436" s="12"/>
    </row>
    <row r="437" customFormat="false" ht="15.75" hidden="false" customHeight="false" outlineLevel="0" collapsed="false">
      <c r="A437" s="12"/>
      <c r="B437" s="34"/>
      <c r="C437" s="12"/>
      <c r="D437" s="12"/>
      <c r="E437" s="12"/>
      <c r="F437" s="12"/>
      <c r="G437" s="18"/>
      <c r="H437" s="35"/>
      <c r="I437" s="12"/>
      <c r="M437" s="12"/>
      <c r="N437" s="18"/>
      <c r="O437" s="12"/>
      <c r="P437" s="12"/>
      <c r="Q437" s="12"/>
      <c r="R437" s="36"/>
      <c r="S437" s="36"/>
      <c r="T437" s="12"/>
      <c r="U437" s="12"/>
      <c r="V437" s="12"/>
      <c r="W437" s="12"/>
      <c r="X437" s="12"/>
    </row>
    <row r="438" customFormat="false" ht="15.75" hidden="false" customHeight="false" outlineLevel="0" collapsed="false">
      <c r="A438" s="12"/>
      <c r="B438" s="34"/>
      <c r="C438" s="12"/>
      <c r="D438" s="12"/>
      <c r="E438" s="12"/>
      <c r="F438" s="12"/>
      <c r="G438" s="18"/>
      <c r="H438" s="35"/>
      <c r="I438" s="12"/>
      <c r="M438" s="12"/>
      <c r="N438" s="18"/>
      <c r="O438" s="12"/>
      <c r="P438" s="12"/>
      <c r="Q438" s="12"/>
      <c r="R438" s="36"/>
      <c r="S438" s="36"/>
      <c r="T438" s="12"/>
      <c r="U438" s="12"/>
      <c r="V438" s="12"/>
      <c r="W438" s="12"/>
      <c r="X438" s="12"/>
    </row>
    <row r="439" customFormat="false" ht="15.75" hidden="false" customHeight="false" outlineLevel="0" collapsed="false">
      <c r="A439" s="12"/>
      <c r="B439" s="34"/>
      <c r="C439" s="12"/>
      <c r="D439" s="12"/>
      <c r="E439" s="12"/>
      <c r="F439" s="12"/>
      <c r="G439" s="18"/>
      <c r="H439" s="35"/>
      <c r="I439" s="12"/>
      <c r="M439" s="12"/>
      <c r="N439" s="18"/>
      <c r="O439" s="12"/>
      <c r="P439" s="12"/>
      <c r="Q439" s="12"/>
      <c r="R439" s="36"/>
      <c r="S439" s="36"/>
      <c r="T439" s="12"/>
      <c r="U439" s="12"/>
      <c r="V439" s="12"/>
      <c r="W439" s="12"/>
      <c r="X439" s="12"/>
    </row>
    <row r="440" customFormat="false" ht="15.75" hidden="false" customHeight="false" outlineLevel="0" collapsed="false">
      <c r="A440" s="12"/>
      <c r="B440" s="34"/>
      <c r="C440" s="12"/>
      <c r="D440" s="12"/>
      <c r="E440" s="12"/>
      <c r="F440" s="12"/>
      <c r="G440" s="18"/>
      <c r="H440" s="35"/>
      <c r="I440" s="12"/>
      <c r="M440" s="12"/>
      <c r="N440" s="18"/>
      <c r="O440" s="12"/>
      <c r="P440" s="12"/>
      <c r="Q440" s="12"/>
      <c r="R440" s="36"/>
      <c r="S440" s="36"/>
      <c r="T440" s="12"/>
      <c r="U440" s="12"/>
      <c r="V440" s="12"/>
      <c r="W440" s="12"/>
      <c r="X440" s="12"/>
    </row>
    <row r="441" customFormat="false" ht="15.75" hidden="false" customHeight="false" outlineLevel="0" collapsed="false">
      <c r="A441" s="12"/>
      <c r="B441" s="34"/>
      <c r="C441" s="12"/>
      <c r="D441" s="12"/>
      <c r="E441" s="12"/>
      <c r="F441" s="12"/>
      <c r="G441" s="18"/>
      <c r="H441" s="35"/>
      <c r="I441" s="12"/>
      <c r="M441" s="12"/>
      <c r="N441" s="18"/>
      <c r="O441" s="12"/>
      <c r="P441" s="12"/>
      <c r="Q441" s="12"/>
      <c r="R441" s="36"/>
      <c r="S441" s="36"/>
      <c r="T441" s="12"/>
      <c r="U441" s="12"/>
      <c r="V441" s="12"/>
      <c r="W441" s="12"/>
      <c r="X441" s="12"/>
    </row>
    <row r="442" customFormat="false" ht="15.75" hidden="false" customHeight="false" outlineLevel="0" collapsed="false">
      <c r="A442" s="12"/>
      <c r="B442" s="34"/>
      <c r="C442" s="12"/>
      <c r="D442" s="12"/>
      <c r="E442" s="12"/>
      <c r="F442" s="12"/>
      <c r="G442" s="18"/>
      <c r="H442" s="35"/>
      <c r="I442" s="12"/>
      <c r="M442" s="12"/>
      <c r="N442" s="18"/>
      <c r="O442" s="12"/>
      <c r="P442" s="12"/>
      <c r="Q442" s="12"/>
      <c r="R442" s="36"/>
      <c r="S442" s="36"/>
      <c r="T442" s="12"/>
      <c r="U442" s="12"/>
      <c r="V442" s="12"/>
      <c r="W442" s="12"/>
      <c r="X442" s="12"/>
    </row>
    <row r="443" customFormat="false" ht="15.75" hidden="false" customHeight="false" outlineLevel="0" collapsed="false">
      <c r="A443" s="12"/>
      <c r="B443" s="34"/>
      <c r="C443" s="12"/>
      <c r="D443" s="12"/>
      <c r="E443" s="12"/>
      <c r="F443" s="12"/>
      <c r="G443" s="18"/>
      <c r="H443" s="35"/>
      <c r="I443" s="12"/>
      <c r="M443" s="12"/>
      <c r="N443" s="18"/>
      <c r="O443" s="12"/>
      <c r="P443" s="12"/>
      <c r="Q443" s="12"/>
      <c r="R443" s="36"/>
      <c r="S443" s="36"/>
      <c r="T443" s="12"/>
      <c r="U443" s="12"/>
      <c r="V443" s="12"/>
      <c r="W443" s="12"/>
      <c r="X443" s="12"/>
    </row>
    <row r="444" customFormat="false" ht="15.75" hidden="false" customHeight="false" outlineLevel="0" collapsed="false">
      <c r="A444" s="12"/>
      <c r="B444" s="34"/>
      <c r="C444" s="12"/>
      <c r="D444" s="12"/>
      <c r="E444" s="12"/>
      <c r="F444" s="12"/>
      <c r="G444" s="18"/>
      <c r="H444" s="35"/>
      <c r="I444" s="12"/>
      <c r="M444" s="12"/>
      <c r="N444" s="18"/>
      <c r="O444" s="12"/>
      <c r="P444" s="12"/>
      <c r="Q444" s="12"/>
      <c r="R444" s="36"/>
      <c r="S444" s="36"/>
      <c r="T444" s="12"/>
      <c r="U444" s="12"/>
      <c r="V444" s="12"/>
      <c r="W444" s="12"/>
      <c r="X444" s="12"/>
    </row>
    <row r="445" customFormat="false" ht="15.75" hidden="false" customHeight="false" outlineLevel="0" collapsed="false">
      <c r="A445" s="12"/>
      <c r="B445" s="34"/>
      <c r="C445" s="12"/>
      <c r="D445" s="12"/>
      <c r="E445" s="12"/>
      <c r="F445" s="12"/>
      <c r="G445" s="18"/>
      <c r="H445" s="35"/>
      <c r="I445" s="12"/>
      <c r="M445" s="12"/>
      <c r="N445" s="18"/>
      <c r="O445" s="12"/>
      <c r="P445" s="12"/>
      <c r="Q445" s="12"/>
      <c r="R445" s="36"/>
      <c r="S445" s="36"/>
      <c r="T445" s="12"/>
      <c r="U445" s="12"/>
      <c r="V445" s="12"/>
      <c r="W445" s="12"/>
      <c r="X445" s="12"/>
    </row>
    <row r="446" customFormat="false" ht="15.75" hidden="false" customHeight="false" outlineLevel="0" collapsed="false">
      <c r="A446" s="12"/>
      <c r="B446" s="34"/>
      <c r="C446" s="12"/>
      <c r="D446" s="12"/>
      <c r="E446" s="12"/>
      <c r="F446" s="12"/>
      <c r="G446" s="18"/>
      <c r="H446" s="35"/>
      <c r="I446" s="12"/>
      <c r="M446" s="12"/>
      <c r="N446" s="18"/>
      <c r="O446" s="12"/>
      <c r="P446" s="12"/>
      <c r="Q446" s="12"/>
      <c r="R446" s="36"/>
      <c r="S446" s="36"/>
      <c r="T446" s="12"/>
      <c r="U446" s="12"/>
      <c r="V446" s="12"/>
      <c r="W446" s="12"/>
      <c r="X446" s="12"/>
    </row>
    <row r="447" customFormat="false" ht="15.75" hidden="false" customHeight="false" outlineLevel="0" collapsed="false">
      <c r="A447" s="12"/>
      <c r="B447" s="34"/>
      <c r="C447" s="12"/>
      <c r="D447" s="12"/>
      <c r="E447" s="12"/>
      <c r="F447" s="12"/>
      <c r="G447" s="18"/>
      <c r="H447" s="35"/>
      <c r="I447" s="12"/>
      <c r="M447" s="12"/>
      <c r="N447" s="18"/>
      <c r="O447" s="12"/>
      <c r="P447" s="12"/>
      <c r="Q447" s="12"/>
      <c r="R447" s="36"/>
      <c r="S447" s="36"/>
      <c r="T447" s="12"/>
      <c r="U447" s="12"/>
      <c r="V447" s="12"/>
      <c r="W447" s="12"/>
      <c r="X447" s="12"/>
    </row>
    <row r="448" customFormat="false" ht="15.75" hidden="false" customHeight="false" outlineLevel="0" collapsed="false">
      <c r="A448" s="12"/>
      <c r="B448" s="34"/>
      <c r="C448" s="12"/>
      <c r="D448" s="12"/>
      <c r="E448" s="12"/>
      <c r="F448" s="12"/>
      <c r="G448" s="18"/>
      <c r="H448" s="35"/>
      <c r="I448" s="12"/>
      <c r="M448" s="12"/>
      <c r="N448" s="18"/>
      <c r="O448" s="12"/>
      <c r="P448" s="12"/>
      <c r="Q448" s="12"/>
      <c r="R448" s="36"/>
      <c r="S448" s="36"/>
      <c r="T448" s="12"/>
      <c r="U448" s="12"/>
      <c r="V448" s="12"/>
      <c r="W448" s="12"/>
      <c r="X448" s="12"/>
    </row>
    <row r="449" customFormat="false" ht="15.75" hidden="false" customHeight="false" outlineLevel="0" collapsed="false">
      <c r="A449" s="12"/>
      <c r="B449" s="34"/>
      <c r="C449" s="12"/>
      <c r="D449" s="12"/>
      <c r="E449" s="12"/>
      <c r="F449" s="12"/>
      <c r="G449" s="18"/>
      <c r="H449" s="35"/>
      <c r="I449" s="12"/>
      <c r="M449" s="12"/>
      <c r="N449" s="18"/>
      <c r="O449" s="12"/>
      <c r="P449" s="12"/>
      <c r="Q449" s="12"/>
      <c r="R449" s="36"/>
      <c r="S449" s="36"/>
      <c r="T449" s="12"/>
      <c r="U449" s="12"/>
      <c r="V449" s="12"/>
      <c r="W449" s="12"/>
      <c r="X449" s="12"/>
    </row>
    <row r="450" customFormat="false" ht="15.75" hidden="false" customHeight="false" outlineLevel="0" collapsed="false">
      <c r="A450" s="12"/>
      <c r="B450" s="34"/>
      <c r="C450" s="12"/>
      <c r="D450" s="12"/>
      <c r="E450" s="12"/>
      <c r="F450" s="12"/>
      <c r="G450" s="18"/>
      <c r="H450" s="35"/>
      <c r="I450" s="12"/>
      <c r="M450" s="12"/>
      <c r="N450" s="18"/>
      <c r="O450" s="12"/>
      <c r="P450" s="12"/>
      <c r="Q450" s="12"/>
      <c r="R450" s="36"/>
      <c r="S450" s="36"/>
      <c r="T450" s="12"/>
      <c r="U450" s="12"/>
      <c r="V450" s="12"/>
      <c r="W450" s="12"/>
      <c r="X450" s="12"/>
    </row>
    <row r="451" customFormat="false" ht="15.75" hidden="false" customHeight="false" outlineLevel="0" collapsed="false">
      <c r="A451" s="12"/>
      <c r="B451" s="34"/>
      <c r="C451" s="12"/>
      <c r="D451" s="12"/>
      <c r="E451" s="12"/>
      <c r="F451" s="12"/>
      <c r="G451" s="18"/>
      <c r="H451" s="35"/>
      <c r="I451" s="12"/>
      <c r="M451" s="12"/>
      <c r="N451" s="18"/>
      <c r="O451" s="12"/>
      <c r="P451" s="12"/>
      <c r="Q451" s="12"/>
      <c r="R451" s="36"/>
      <c r="S451" s="36"/>
      <c r="T451" s="12"/>
      <c r="U451" s="12"/>
      <c r="V451" s="12"/>
      <c r="W451" s="12"/>
      <c r="X451" s="12"/>
    </row>
    <row r="452" customFormat="false" ht="15.75" hidden="false" customHeight="false" outlineLevel="0" collapsed="false">
      <c r="A452" s="12"/>
      <c r="B452" s="34"/>
      <c r="C452" s="12"/>
      <c r="D452" s="12"/>
      <c r="E452" s="12"/>
      <c r="F452" s="12"/>
      <c r="G452" s="18"/>
      <c r="H452" s="35"/>
      <c r="I452" s="12"/>
      <c r="M452" s="12"/>
      <c r="N452" s="18"/>
      <c r="O452" s="12"/>
      <c r="P452" s="12"/>
      <c r="Q452" s="12"/>
      <c r="R452" s="36"/>
      <c r="S452" s="36"/>
      <c r="T452" s="12"/>
      <c r="U452" s="12"/>
      <c r="V452" s="12"/>
      <c r="W452" s="12"/>
      <c r="X452" s="12"/>
    </row>
    <row r="453" customFormat="false" ht="15.75" hidden="false" customHeight="false" outlineLevel="0" collapsed="false">
      <c r="A453" s="12"/>
      <c r="B453" s="34"/>
      <c r="C453" s="12"/>
      <c r="D453" s="12"/>
      <c r="E453" s="12"/>
      <c r="F453" s="12"/>
      <c r="G453" s="18"/>
      <c r="H453" s="35"/>
      <c r="I453" s="12"/>
      <c r="M453" s="12"/>
      <c r="N453" s="18"/>
      <c r="O453" s="12"/>
      <c r="P453" s="12"/>
      <c r="Q453" s="12"/>
      <c r="R453" s="36"/>
      <c r="S453" s="36"/>
      <c r="T453" s="12"/>
      <c r="U453" s="12"/>
      <c r="V453" s="12"/>
      <c r="W453" s="12"/>
      <c r="X453" s="12"/>
    </row>
    <row r="454" customFormat="false" ht="15.75" hidden="false" customHeight="false" outlineLevel="0" collapsed="false">
      <c r="A454" s="12"/>
      <c r="B454" s="34"/>
      <c r="C454" s="12"/>
      <c r="D454" s="12"/>
      <c r="E454" s="12"/>
      <c r="F454" s="12"/>
      <c r="G454" s="18"/>
      <c r="H454" s="35"/>
      <c r="I454" s="12"/>
      <c r="M454" s="12"/>
      <c r="N454" s="18"/>
      <c r="O454" s="12"/>
      <c r="P454" s="12"/>
      <c r="Q454" s="12"/>
      <c r="R454" s="36"/>
      <c r="S454" s="36"/>
      <c r="T454" s="12"/>
      <c r="U454" s="12"/>
      <c r="V454" s="12"/>
      <c r="W454" s="12"/>
      <c r="X454" s="12"/>
    </row>
    <row r="455" customFormat="false" ht="15.75" hidden="false" customHeight="false" outlineLevel="0" collapsed="false">
      <c r="A455" s="12"/>
      <c r="B455" s="34"/>
      <c r="C455" s="12"/>
      <c r="D455" s="12"/>
      <c r="E455" s="12"/>
      <c r="F455" s="12"/>
      <c r="G455" s="18"/>
      <c r="H455" s="35"/>
      <c r="I455" s="12"/>
      <c r="M455" s="12"/>
      <c r="N455" s="18"/>
      <c r="O455" s="12"/>
      <c r="P455" s="12"/>
      <c r="Q455" s="12"/>
      <c r="R455" s="36"/>
      <c r="S455" s="36"/>
      <c r="T455" s="12"/>
      <c r="U455" s="12"/>
      <c r="V455" s="12"/>
      <c r="W455" s="12"/>
      <c r="X455" s="12"/>
    </row>
    <row r="456" customFormat="false" ht="15.75" hidden="false" customHeight="false" outlineLevel="0" collapsed="false">
      <c r="A456" s="12"/>
      <c r="B456" s="34"/>
      <c r="C456" s="12"/>
      <c r="D456" s="12"/>
      <c r="E456" s="12"/>
      <c r="F456" s="12"/>
      <c r="G456" s="18"/>
      <c r="H456" s="35"/>
      <c r="I456" s="12"/>
      <c r="M456" s="12"/>
      <c r="N456" s="18"/>
      <c r="O456" s="12"/>
      <c r="P456" s="12"/>
      <c r="Q456" s="12"/>
      <c r="R456" s="36"/>
      <c r="S456" s="36"/>
      <c r="T456" s="12"/>
      <c r="U456" s="12"/>
      <c r="V456" s="12"/>
      <c r="W456" s="12"/>
      <c r="X456" s="12"/>
    </row>
    <row r="457" customFormat="false" ht="15.75" hidden="false" customHeight="false" outlineLevel="0" collapsed="false">
      <c r="A457" s="12"/>
      <c r="B457" s="34"/>
      <c r="C457" s="12"/>
      <c r="D457" s="12"/>
      <c r="E457" s="12"/>
      <c r="F457" s="12"/>
      <c r="G457" s="18"/>
      <c r="H457" s="35"/>
      <c r="I457" s="12"/>
      <c r="M457" s="12"/>
      <c r="N457" s="18"/>
      <c r="O457" s="12"/>
      <c r="P457" s="12"/>
      <c r="Q457" s="12"/>
      <c r="R457" s="36"/>
      <c r="S457" s="36"/>
      <c r="T457" s="12"/>
      <c r="U457" s="12"/>
      <c r="V457" s="12"/>
      <c r="W457" s="12"/>
      <c r="X457" s="12"/>
    </row>
    <row r="458" customFormat="false" ht="15.75" hidden="false" customHeight="false" outlineLevel="0" collapsed="false">
      <c r="A458" s="12"/>
      <c r="B458" s="34"/>
      <c r="C458" s="12"/>
      <c r="D458" s="12"/>
      <c r="E458" s="12"/>
      <c r="F458" s="12"/>
      <c r="G458" s="18"/>
      <c r="H458" s="35"/>
      <c r="I458" s="12"/>
      <c r="M458" s="12"/>
      <c r="N458" s="18"/>
      <c r="O458" s="12"/>
      <c r="P458" s="12"/>
      <c r="Q458" s="12"/>
      <c r="R458" s="36"/>
      <c r="S458" s="36"/>
      <c r="T458" s="12"/>
      <c r="U458" s="12"/>
      <c r="V458" s="12"/>
      <c r="W458" s="12"/>
      <c r="X458" s="12"/>
    </row>
    <row r="459" customFormat="false" ht="15.75" hidden="false" customHeight="false" outlineLevel="0" collapsed="false">
      <c r="A459" s="12"/>
      <c r="B459" s="34"/>
      <c r="C459" s="12"/>
      <c r="D459" s="12"/>
      <c r="E459" s="12"/>
      <c r="F459" s="12"/>
      <c r="G459" s="18"/>
      <c r="H459" s="35"/>
      <c r="I459" s="12"/>
      <c r="M459" s="12"/>
      <c r="N459" s="18"/>
      <c r="O459" s="12"/>
      <c r="P459" s="12"/>
      <c r="Q459" s="12"/>
      <c r="R459" s="36"/>
      <c r="S459" s="36"/>
      <c r="T459" s="12"/>
      <c r="U459" s="12"/>
      <c r="V459" s="12"/>
      <c r="W459" s="12"/>
      <c r="X459" s="12"/>
    </row>
    <row r="460" customFormat="false" ht="15.75" hidden="false" customHeight="false" outlineLevel="0" collapsed="false">
      <c r="A460" s="12"/>
      <c r="B460" s="34"/>
      <c r="C460" s="12"/>
      <c r="D460" s="12"/>
      <c r="E460" s="12"/>
      <c r="F460" s="12"/>
      <c r="G460" s="18"/>
      <c r="H460" s="35"/>
      <c r="I460" s="12"/>
      <c r="M460" s="12"/>
      <c r="N460" s="18"/>
      <c r="O460" s="12"/>
      <c r="P460" s="12"/>
      <c r="Q460" s="12"/>
      <c r="R460" s="36"/>
      <c r="S460" s="36"/>
      <c r="T460" s="12"/>
      <c r="U460" s="12"/>
      <c r="V460" s="12"/>
      <c r="W460" s="12"/>
      <c r="X460" s="12"/>
    </row>
    <row r="461" customFormat="false" ht="15.75" hidden="false" customHeight="false" outlineLevel="0" collapsed="false">
      <c r="A461" s="12"/>
      <c r="B461" s="34"/>
      <c r="C461" s="12"/>
      <c r="D461" s="12"/>
      <c r="E461" s="12"/>
      <c r="F461" s="12"/>
      <c r="G461" s="18"/>
      <c r="H461" s="35"/>
      <c r="I461" s="12"/>
      <c r="M461" s="12"/>
      <c r="N461" s="18"/>
      <c r="O461" s="12"/>
      <c r="P461" s="12"/>
      <c r="Q461" s="12"/>
      <c r="R461" s="36"/>
      <c r="S461" s="36"/>
      <c r="T461" s="12"/>
      <c r="U461" s="12"/>
      <c r="V461" s="12"/>
      <c r="W461" s="12"/>
      <c r="X461" s="12"/>
    </row>
    <row r="462" customFormat="false" ht="15.75" hidden="false" customHeight="false" outlineLevel="0" collapsed="false">
      <c r="A462" s="12"/>
      <c r="B462" s="34"/>
      <c r="C462" s="12"/>
      <c r="D462" s="12"/>
      <c r="E462" s="12"/>
      <c r="F462" s="12"/>
      <c r="G462" s="18"/>
      <c r="H462" s="35"/>
      <c r="I462" s="12"/>
      <c r="M462" s="12"/>
      <c r="N462" s="18"/>
      <c r="O462" s="12"/>
      <c r="P462" s="12"/>
      <c r="Q462" s="12"/>
      <c r="R462" s="36"/>
      <c r="S462" s="36"/>
      <c r="T462" s="12"/>
      <c r="U462" s="12"/>
      <c r="V462" s="12"/>
      <c r="W462" s="12"/>
      <c r="X462" s="12"/>
    </row>
    <row r="463" customFormat="false" ht="15.75" hidden="false" customHeight="false" outlineLevel="0" collapsed="false">
      <c r="A463" s="12"/>
      <c r="B463" s="34"/>
      <c r="C463" s="12"/>
      <c r="D463" s="12"/>
      <c r="E463" s="12"/>
      <c r="F463" s="12"/>
      <c r="G463" s="18"/>
      <c r="H463" s="35"/>
      <c r="I463" s="12"/>
      <c r="M463" s="12"/>
      <c r="N463" s="18"/>
      <c r="O463" s="12"/>
      <c r="P463" s="12"/>
      <c r="Q463" s="12"/>
      <c r="R463" s="36"/>
      <c r="S463" s="36"/>
      <c r="T463" s="12"/>
      <c r="U463" s="12"/>
      <c r="V463" s="12"/>
      <c r="W463" s="12"/>
      <c r="X463" s="12"/>
    </row>
    <row r="464" customFormat="false" ht="15.75" hidden="false" customHeight="false" outlineLevel="0" collapsed="false">
      <c r="A464" s="12"/>
      <c r="B464" s="34"/>
      <c r="C464" s="12"/>
      <c r="D464" s="12"/>
      <c r="E464" s="12"/>
      <c r="F464" s="12"/>
      <c r="G464" s="18"/>
      <c r="H464" s="35"/>
      <c r="I464" s="12"/>
      <c r="M464" s="12"/>
      <c r="N464" s="18"/>
      <c r="O464" s="12"/>
      <c r="P464" s="12"/>
      <c r="Q464" s="12"/>
      <c r="R464" s="36"/>
      <c r="S464" s="36"/>
      <c r="T464" s="12"/>
      <c r="U464" s="12"/>
      <c r="V464" s="12"/>
      <c r="W464" s="12"/>
      <c r="X464" s="12"/>
    </row>
    <row r="465" customFormat="false" ht="15.75" hidden="false" customHeight="false" outlineLevel="0" collapsed="false">
      <c r="A465" s="12"/>
      <c r="B465" s="34"/>
      <c r="C465" s="12"/>
      <c r="D465" s="12"/>
      <c r="E465" s="12"/>
      <c r="F465" s="12"/>
      <c r="G465" s="18"/>
      <c r="H465" s="35"/>
      <c r="I465" s="12"/>
      <c r="M465" s="12"/>
      <c r="N465" s="18"/>
      <c r="O465" s="12"/>
      <c r="P465" s="12"/>
      <c r="Q465" s="12"/>
      <c r="R465" s="36"/>
      <c r="S465" s="36"/>
      <c r="T465" s="12"/>
      <c r="U465" s="12"/>
      <c r="V465" s="12"/>
      <c r="W465" s="12"/>
      <c r="X465" s="12"/>
    </row>
    <row r="466" customFormat="false" ht="15.75" hidden="false" customHeight="false" outlineLevel="0" collapsed="false">
      <c r="A466" s="12"/>
      <c r="B466" s="34"/>
      <c r="C466" s="12"/>
      <c r="D466" s="12"/>
      <c r="E466" s="12"/>
      <c r="F466" s="12"/>
      <c r="G466" s="18"/>
      <c r="H466" s="35"/>
      <c r="I466" s="12"/>
      <c r="M466" s="12"/>
      <c r="N466" s="18"/>
      <c r="O466" s="12"/>
      <c r="P466" s="12"/>
      <c r="Q466" s="12"/>
      <c r="R466" s="36"/>
      <c r="S466" s="36"/>
      <c r="T466" s="12"/>
      <c r="U466" s="12"/>
      <c r="V466" s="12"/>
      <c r="W466" s="12"/>
      <c r="X466" s="12"/>
    </row>
    <row r="467" customFormat="false" ht="15.75" hidden="false" customHeight="false" outlineLevel="0" collapsed="false">
      <c r="A467" s="12"/>
      <c r="B467" s="34"/>
      <c r="C467" s="12"/>
      <c r="D467" s="12"/>
      <c r="E467" s="12"/>
      <c r="F467" s="12"/>
      <c r="G467" s="18"/>
      <c r="H467" s="35"/>
      <c r="I467" s="12"/>
      <c r="M467" s="12"/>
      <c r="N467" s="18"/>
      <c r="O467" s="12"/>
      <c r="P467" s="12"/>
      <c r="Q467" s="12"/>
      <c r="R467" s="36"/>
      <c r="S467" s="36"/>
      <c r="T467" s="12"/>
      <c r="U467" s="12"/>
      <c r="V467" s="12"/>
      <c r="W467" s="12"/>
      <c r="X467" s="12"/>
    </row>
    <row r="468" customFormat="false" ht="15.75" hidden="false" customHeight="false" outlineLevel="0" collapsed="false">
      <c r="A468" s="12"/>
      <c r="B468" s="34"/>
      <c r="C468" s="12"/>
      <c r="D468" s="12"/>
      <c r="E468" s="12"/>
      <c r="F468" s="12"/>
      <c r="G468" s="18"/>
      <c r="H468" s="35"/>
      <c r="I468" s="12"/>
      <c r="M468" s="12"/>
      <c r="N468" s="18"/>
      <c r="O468" s="12"/>
      <c r="P468" s="12"/>
      <c r="Q468" s="12"/>
      <c r="R468" s="36"/>
      <c r="S468" s="36"/>
      <c r="T468" s="12"/>
      <c r="U468" s="12"/>
      <c r="V468" s="12"/>
      <c r="W468" s="12"/>
      <c r="X468" s="12"/>
    </row>
    <row r="469" customFormat="false" ht="15.75" hidden="false" customHeight="false" outlineLevel="0" collapsed="false">
      <c r="A469" s="12"/>
      <c r="B469" s="34"/>
      <c r="C469" s="12"/>
      <c r="D469" s="12"/>
      <c r="E469" s="12"/>
      <c r="F469" s="12"/>
      <c r="G469" s="18"/>
      <c r="H469" s="35"/>
      <c r="I469" s="12"/>
      <c r="M469" s="12"/>
      <c r="N469" s="18"/>
      <c r="O469" s="12"/>
      <c r="P469" s="12"/>
      <c r="Q469" s="12"/>
      <c r="R469" s="36"/>
      <c r="S469" s="36"/>
      <c r="T469" s="12"/>
      <c r="U469" s="12"/>
      <c r="V469" s="12"/>
      <c r="W469" s="12"/>
      <c r="X469" s="12"/>
    </row>
    <row r="470" customFormat="false" ht="15.75" hidden="false" customHeight="false" outlineLevel="0" collapsed="false">
      <c r="A470" s="12"/>
      <c r="B470" s="34"/>
      <c r="C470" s="12"/>
      <c r="D470" s="12"/>
      <c r="E470" s="12"/>
      <c r="F470" s="12"/>
      <c r="G470" s="18"/>
      <c r="H470" s="35"/>
      <c r="I470" s="12"/>
      <c r="M470" s="12"/>
      <c r="N470" s="18"/>
      <c r="O470" s="12"/>
      <c r="P470" s="12"/>
      <c r="Q470" s="12"/>
      <c r="R470" s="36"/>
      <c r="S470" s="36"/>
      <c r="T470" s="12"/>
      <c r="U470" s="12"/>
      <c r="V470" s="12"/>
      <c r="W470" s="12"/>
      <c r="X470" s="12"/>
    </row>
    <row r="471" customFormat="false" ht="15.75" hidden="false" customHeight="false" outlineLevel="0" collapsed="false">
      <c r="A471" s="12"/>
      <c r="B471" s="34"/>
      <c r="C471" s="12"/>
      <c r="D471" s="12"/>
      <c r="E471" s="12"/>
      <c r="F471" s="12"/>
      <c r="G471" s="18"/>
      <c r="H471" s="35"/>
      <c r="I471" s="12"/>
      <c r="M471" s="12"/>
      <c r="N471" s="18"/>
      <c r="O471" s="12"/>
      <c r="P471" s="12"/>
      <c r="Q471" s="12"/>
      <c r="R471" s="36"/>
      <c r="S471" s="36"/>
      <c r="T471" s="12"/>
      <c r="U471" s="12"/>
      <c r="V471" s="12"/>
      <c r="W471" s="12"/>
      <c r="X471" s="12"/>
    </row>
    <row r="472" customFormat="false" ht="15.75" hidden="false" customHeight="false" outlineLevel="0" collapsed="false">
      <c r="A472" s="12"/>
      <c r="B472" s="34"/>
      <c r="C472" s="12"/>
      <c r="D472" s="12"/>
      <c r="E472" s="12"/>
      <c r="F472" s="12"/>
      <c r="G472" s="18"/>
      <c r="H472" s="35"/>
      <c r="I472" s="12"/>
      <c r="M472" s="12"/>
      <c r="N472" s="18"/>
      <c r="O472" s="12"/>
      <c r="P472" s="12"/>
      <c r="Q472" s="12"/>
      <c r="R472" s="36"/>
      <c r="S472" s="36"/>
      <c r="T472" s="12"/>
      <c r="U472" s="12"/>
      <c r="V472" s="12"/>
      <c r="W472" s="12"/>
      <c r="X472" s="12"/>
    </row>
    <row r="473" customFormat="false" ht="15.75" hidden="false" customHeight="false" outlineLevel="0" collapsed="false">
      <c r="A473" s="12"/>
      <c r="B473" s="34"/>
      <c r="C473" s="12"/>
      <c r="D473" s="12"/>
      <c r="E473" s="12"/>
      <c r="F473" s="12"/>
      <c r="G473" s="18"/>
      <c r="H473" s="35"/>
      <c r="I473" s="12"/>
      <c r="M473" s="12"/>
      <c r="N473" s="18"/>
      <c r="O473" s="12"/>
      <c r="P473" s="12"/>
      <c r="Q473" s="12"/>
      <c r="R473" s="36"/>
      <c r="S473" s="36"/>
      <c r="T473" s="12"/>
      <c r="U473" s="12"/>
      <c r="V473" s="12"/>
      <c r="W473" s="12"/>
      <c r="X473" s="12"/>
    </row>
    <row r="474" customFormat="false" ht="15.75" hidden="false" customHeight="false" outlineLevel="0" collapsed="false">
      <c r="A474" s="12"/>
      <c r="B474" s="34"/>
      <c r="C474" s="12"/>
      <c r="D474" s="12"/>
      <c r="E474" s="12"/>
      <c r="F474" s="12"/>
      <c r="G474" s="18"/>
      <c r="H474" s="35"/>
      <c r="I474" s="12"/>
      <c r="M474" s="12"/>
      <c r="N474" s="18"/>
      <c r="O474" s="12"/>
      <c r="P474" s="12"/>
      <c r="Q474" s="12"/>
      <c r="R474" s="36"/>
      <c r="S474" s="36"/>
      <c r="T474" s="12"/>
      <c r="U474" s="12"/>
      <c r="V474" s="12"/>
      <c r="W474" s="12"/>
      <c r="X474" s="12"/>
    </row>
    <row r="475" customFormat="false" ht="15.75" hidden="false" customHeight="false" outlineLevel="0" collapsed="false">
      <c r="A475" s="12"/>
      <c r="B475" s="34"/>
      <c r="C475" s="12"/>
      <c r="D475" s="12"/>
      <c r="E475" s="12"/>
      <c r="F475" s="12"/>
      <c r="G475" s="18"/>
      <c r="H475" s="35"/>
      <c r="I475" s="12"/>
      <c r="M475" s="12"/>
      <c r="N475" s="18"/>
      <c r="O475" s="12"/>
      <c r="P475" s="12"/>
      <c r="Q475" s="12"/>
      <c r="R475" s="36"/>
      <c r="S475" s="36"/>
      <c r="T475" s="12"/>
      <c r="U475" s="12"/>
      <c r="V475" s="12"/>
      <c r="W475" s="12"/>
      <c r="X475" s="12"/>
    </row>
    <row r="476" customFormat="false" ht="15.75" hidden="false" customHeight="false" outlineLevel="0" collapsed="false">
      <c r="A476" s="12"/>
      <c r="B476" s="34"/>
      <c r="C476" s="12"/>
      <c r="D476" s="12"/>
      <c r="E476" s="12"/>
      <c r="F476" s="12"/>
      <c r="G476" s="18"/>
      <c r="H476" s="35"/>
      <c r="I476" s="12"/>
      <c r="M476" s="12"/>
      <c r="N476" s="18"/>
      <c r="O476" s="12"/>
      <c r="P476" s="12"/>
      <c r="Q476" s="12"/>
      <c r="R476" s="36"/>
      <c r="S476" s="36"/>
      <c r="T476" s="12"/>
      <c r="U476" s="12"/>
      <c r="V476" s="12"/>
      <c r="W476" s="12"/>
      <c r="X476" s="12"/>
    </row>
    <row r="477" customFormat="false" ht="15.75" hidden="false" customHeight="false" outlineLevel="0" collapsed="false">
      <c r="A477" s="12"/>
      <c r="B477" s="34"/>
      <c r="C477" s="12"/>
      <c r="D477" s="12"/>
      <c r="E477" s="12"/>
      <c r="F477" s="12"/>
      <c r="G477" s="18"/>
      <c r="H477" s="35"/>
      <c r="I477" s="12"/>
      <c r="M477" s="12"/>
      <c r="N477" s="18"/>
      <c r="O477" s="12"/>
      <c r="P477" s="12"/>
      <c r="Q477" s="12"/>
      <c r="R477" s="36"/>
      <c r="S477" s="36"/>
      <c r="T477" s="12"/>
      <c r="U477" s="12"/>
      <c r="V477" s="12"/>
      <c r="W477" s="12"/>
      <c r="X477" s="12"/>
    </row>
    <row r="478" customFormat="false" ht="15.75" hidden="false" customHeight="false" outlineLevel="0" collapsed="false">
      <c r="A478" s="12"/>
      <c r="B478" s="34"/>
      <c r="C478" s="12"/>
      <c r="D478" s="12"/>
      <c r="E478" s="12"/>
      <c r="F478" s="12"/>
      <c r="G478" s="18"/>
      <c r="H478" s="35"/>
      <c r="I478" s="12"/>
      <c r="M478" s="12"/>
      <c r="N478" s="18"/>
      <c r="O478" s="12"/>
      <c r="P478" s="12"/>
      <c r="Q478" s="12"/>
      <c r="R478" s="36"/>
      <c r="S478" s="36"/>
      <c r="T478" s="12"/>
      <c r="U478" s="12"/>
      <c r="V478" s="12"/>
      <c r="W478" s="12"/>
      <c r="X478" s="12"/>
    </row>
    <row r="479" customFormat="false" ht="15.75" hidden="false" customHeight="false" outlineLevel="0" collapsed="false">
      <c r="A479" s="12"/>
      <c r="B479" s="34"/>
      <c r="C479" s="12"/>
      <c r="D479" s="12"/>
      <c r="E479" s="12"/>
      <c r="F479" s="12"/>
      <c r="G479" s="18"/>
      <c r="H479" s="35"/>
      <c r="I479" s="12"/>
      <c r="M479" s="12"/>
      <c r="N479" s="18"/>
      <c r="O479" s="12"/>
      <c r="P479" s="12"/>
      <c r="Q479" s="12"/>
      <c r="R479" s="36"/>
      <c r="S479" s="36"/>
      <c r="T479" s="12"/>
      <c r="U479" s="12"/>
      <c r="V479" s="12"/>
      <c r="W479" s="12"/>
      <c r="X479" s="12"/>
    </row>
    <row r="480" customFormat="false" ht="15.75" hidden="false" customHeight="false" outlineLevel="0" collapsed="false">
      <c r="A480" s="12"/>
      <c r="B480" s="34"/>
      <c r="C480" s="12"/>
      <c r="D480" s="12"/>
      <c r="E480" s="12"/>
      <c r="F480" s="12"/>
      <c r="G480" s="18"/>
      <c r="H480" s="35"/>
      <c r="I480" s="12"/>
      <c r="M480" s="12"/>
      <c r="N480" s="18"/>
      <c r="O480" s="12"/>
      <c r="P480" s="12"/>
      <c r="Q480" s="12"/>
      <c r="R480" s="36"/>
      <c r="S480" s="36"/>
      <c r="T480" s="12"/>
      <c r="U480" s="12"/>
      <c r="V480" s="12"/>
      <c r="W480" s="12"/>
      <c r="X480" s="12"/>
    </row>
    <row r="481" customFormat="false" ht="15.75" hidden="false" customHeight="false" outlineLevel="0" collapsed="false">
      <c r="A481" s="12"/>
      <c r="B481" s="34"/>
      <c r="C481" s="12"/>
      <c r="D481" s="12"/>
      <c r="E481" s="12"/>
      <c r="F481" s="12"/>
      <c r="G481" s="18"/>
      <c r="H481" s="35"/>
      <c r="I481" s="12"/>
      <c r="M481" s="12"/>
      <c r="N481" s="18"/>
      <c r="O481" s="12"/>
      <c r="P481" s="12"/>
      <c r="Q481" s="12"/>
      <c r="R481" s="36"/>
      <c r="S481" s="36"/>
      <c r="T481" s="12"/>
      <c r="U481" s="12"/>
      <c r="V481" s="12"/>
      <c r="W481" s="12"/>
      <c r="X481" s="12"/>
    </row>
    <row r="482" customFormat="false" ht="15.75" hidden="false" customHeight="false" outlineLevel="0" collapsed="false">
      <c r="A482" s="12"/>
      <c r="B482" s="34"/>
      <c r="C482" s="12"/>
      <c r="D482" s="12"/>
      <c r="E482" s="12"/>
      <c r="F482" s="12"/>
      <c r="G482" s="18"/>
      <c r="H482" s="35"/>
      <c r="I482" s="12"/>
      <c r="M482" s="12"/>
      <c r="N482" s="18"/>
      <c r="O482" s="12"/>
      <c r="P482" s="12"/>
      <c r="Q482" s="12"/>
      <c r="R482" s="36"/>
      <c r="S482" s="36"/>
      <c r="T482" s="12"/>
      <c r="U482" s="12"/>
      <c r="V482" s="12"/>
      <c r="W482" s="12"/>
      <c r="X482" s="12"/>
    </row>
    <row r="483" customFormat="false" ht="15.75" hidden="false" customHeight="false" outlineLevel="0" collapsed="false">
      <c r="A483" s="12"/>
      <c r="B483" s="34"/>
      <c r="C483" s="12"/>
      <c r="D483" s="12"/>
      <c r="E483" s="12"/>
      <c r="F483" s="12"/>
      <c r="G483" s="18"/>
      <c r="H483" s="35"/>
      <c r="I483" s="12"/>
      <c r="M483" s="12"/>
      <c r="N483" s="18"/>
      <c r="O483" s="12"/>
      <c r="P483" s="12"/>
      <c r="Q483" s="12"/>
      <c r="R483" s="36"/>
      <c r="S483" s="36"/>
      <c r="T483" s="12"/>
      <c r="U483" s="12"/>
      <c r="V483" s="12"/>
      <c r="W483" s="12"/>
      <c r="X483" s="12"/>
    </row>
    <row r="484" customFormat="false" ht="15.75" hidden="false" customHeight="false" outlineLevel="0" collapsed="false">
      <c r="A484" s="12"/>
      <c r="B484" s="34"/>
      <c r="C484" s="12"/>
      <c r="D484" s="12"/>
      <c r="E484" s="12"/>
      <c r="F484" s="12"/>
      <c r="G484" s="18"/>
      <c r="H484" s="35"/>
      <c r="I484" s="12"/>
      <c r="M484" s="12"/>
      <c r="N484" s="18"/>
      <c r="O484" s="12"/>
      <c r="P484" s="12"/>
      <c r="Q484" s="12"/>
      <c r="R484" s="36"/>
      <c r="S484" s="36"/>
      <c r="T484" s="12"/>
      <c r="U484" s="12"/>
      <c r="V484" s="12"/>
      <c r="W484" s="12"/>
      <c r="X484" s="12"/>
    </row>
    <row r="485" customFormat="false" ht="15.75" hidden="false" customHeight="false" outlineLevel="0" collapsed="false">
      <c r="A485" s="12"/>
      <c r="B485" s="34"/>
      <c r="C485" s="12"/>
      <c r="D485" s="12"/>
      <c r="E485" s="12"/>
      <c r="F485" s="12"/>
      <c r="G485" s="18"/>
      <c r="H485" s="35"/>
      <c r="I485" s="12"/>
      <c r="M485" s="12"/>
      <c r="N485" s="18"/>
      <c r="O485" s="12"/>
      <c r="P485" s="12"/>
      <c r="Q485" s="12"/>
      <c r="R485" s="36"/>
      <c r="S485" s="36"/>
      <c r="T485" s="12"/>
      <c r="U485" s="12"/>
      <c r="V485" s="12"/>
      <c r="W485" s="12"/>
      <c r="X485" s="12"/>
    </row>
    <row r="486" customFormat="false" ht="15.75" hidden="false" customHeight="false" outlineLevel="0" collapsed="false">
      <c r="A486" s="12"/>
      <c r="B486" s="34"/>
      <c r="C486" s="12"/>
      <c r="D486" s="12"/>
      <c r="E486" s="12"/>
      <c r="F486" s="12"/>
      <c r="G486" s="18"/>
      <c r="H486" s="35"/>
      <c r="I486" s="12"/>
      <c r="M486" s="12"/>
      <c r="N486" s="18"/>
      <c r="O486" s="12"/>
      <c r="P486" s="12"/>
      <c r="Q486" s="12"/>
      <c r="R486" s="36"/>
      <c r="S486" s="36"/>
      <c r="T486" s="12"/>
      <c r="U486" s="12"/>
      <c r="V486" s="12"/>
      <c r="W486" s="12"/>
      <c r="X486" s="12"/>
    </row>
    <row r="487" customFormat="false" ht="15.75" hidden="false" customHeight="false" outlineLevel="0" collapsed="false">
      <c r="A487" s="12"/>
      <c r="B487" s="34"/>
      <c r="C487" s="12"/>
      <c r="D487" s="12"/>
      <c r="E487" s="12"/>
      <c r="F487" s="12"/>
      <c r="G487" s="18"/>
      <c r="H487" s="35"/>
      <c r="I487" s="12"/>
      <c r="M487" s="12"/>
      <c r="N487" s="18"/>
      <c r="O487" s="12"/>
      <c r="P487" s="12"/>
      <c r="Q487" s="12"/>
      <c r="R487" s="36"/>
      <c r="S487" s="36"/>
      <c r="T487" s="12"/>
      <c r="U487" s="12"/>
      <c r="V487" s="12"/>
      <c r="W487" s="12"/>
      <c r="X487" s="12"/>
    </row>
    <row r="488" customFormat="false" ht="15.75" hidden="false" customHeight="false" outlineLevel="0" collapsed="false">
      <c r="A488" s="12"/>
      <c r="B488" s="34"/>
      <c r="C488" s="12"/>
      <c r="D488" s="12"/>
      <c r="E488" s="12"/>
      <c r="F488" s="12"/>
      <c r="G488" s="18"/>
      <c r="H488" s="35"/>
      <c r="I488" s="12"/>
      <c r="M488" s="12"/>
      <c r="N488" s="18"/>
      <c r="O488" s="12"/>
      <c r="P488" s="12"/>
      <c r="Q488" s="12"/>
      <c r="R488" s="36"/>
      <c r="S488" s="36"/>
      <c r="T488" s="12"/>
      <c r="U488" s="12"/>
      <c r="V488" s="12"/>
      <c r="W488" s="12"/>
      <c r="X488" s="12"/>
    </row>
    <row r="489" customFormat="false" ht="15.75" hidden="false" customHeight="false" outlineLevel="0" collapsed="false">
      <c r="A489" s="12"/>
      <c r="B489" s="34"/>
      <c r="C489" s="12"/>
      <c r="D489" s="12"/>
      <c r="E489" s="12"/>
      <c r="F489" s="12"/>
      <c r="G489" s="18"/>
      <c r="H489" s="35"/>
      <c r="I489" s="12"/>
      <c r="M489" s="12"/>
      <c r="N489" s="18"/>
      <c r="O489" s="12"/>
      <c r="P489" s="12"/>
      <c r="Q489" s="12"/>
      <c r="R489" s="36"/>
      <c r="S489" s="36"/>
      <c r="T489" s="12"/>
      <c r="U489" s="12"/>
      <c r="V489" s="12"/>
      <c r="W489" s="12"/>
      <c r="X489" s="12"/>
    </row>
    <row r="490" customFormat="false" ht="15.75" hidden="false" customHeight="false" outlineLevel="0" collapsed="false">
      <c r="A490" s="12"/>
      <c r="B490" s="34"/>
      <c r="C490" s="12"/>
      <c r="D490" s="12"/>
      <c r="E490" s="12"/>
      <c r="F490" s="12"/>
      <c r="G490" s="18"/>
      <c r="H490" s="35"/>
      <c r="I490" s="12"/>
      <c r="M490" s="12"/>
      <c r="N490" s="18"/>
      <c r="O490" s="12"/>
      <c r="P490" s="12"/>
      <c r="Q490" s="12"/>
      <c r="R490" s="36"/>
      <c r="S490" s="36"/>
      <c r="T490" s="12"/>
      <c r="U490" s="12"/>
      <c r="V490" s="12"/>
      <c r="W490" s="12"/>
      <c r="X490" s="12"/>
    </row>
    <row r="491" customFormat="false" ht="15.75" hidden="false" customHeight="false" outlineLevel="0" collapsed="false">
      <c r="A491" s="12"/>
      <c r="B491" s="34"/>
      <c r="C491" s="12"/>
      <c r="D491" s="12"/>
      <c r="E491" s="12"/>
      <c r="F491" s="12"/>
      <c r="G491" s="18"/>
      <c r="H491" s="35"/>
      <c r="I491" s="12"/>
      <c r="M491" s="12"/>
      <c r="N491" s="18"/>
      <c r="O491" s="12"/>
      <c r="P491" s="12"/>
      <c r="Q491" s="12"/>
      <c r="R491" s="36"/>
      <c r="S491" s="36"/>
      <c r="T491" s="12"/>
      <c r="U491" s="12"/>
      <c r="V491" s="12"/>
      <c r="W491" s="12"/>
      <c r="X491" s="12"/>
    </row>
    <row r="492" customFormat="false" ht="15.75" hidden="false" customHeight="false" outlineLevel="0" collapsed="false">
      <c r="A492" s="12"/>
      <c r="B492" s="34"/>
      <c r="C492" s="12"/>
      <c r="D492" s="12"/>
      <c r="E492" s="12"/>
      <c r="F492" s="12"/>
      <c r="G492" s="18"/>
      <c r="H492" s="35"/>
      <c r="I492" s="12"/>
      <c r="M492" s="12"/>
      <c r="N492" s="18"/>
      <c r="O492" s="12"/>
      <c r="P492" s="12"/>
      <c r="Q492" s="12"/>
      <c r="R492" s="36"/>
      <c r="S492" s="36"/>
      <c r="T492" s="12"/>
      <c r="U492" s="12"/>
      <c r="V492" s="12"/>
      <c r="W492" s="12"/>
      <c r="X492" s="12"/>
    </row>
    <row r="493" customFormat="false" ht="15.75" hidden="false" customHeight="false" outlineLevel="0" collapsed="false">
      <c r="A493" s="12"/>
      <c r="B493" s="34"/>
      <c r="C493" s="12"/>
      <c r="D493" s="12"/>
      <c r="E493" s="12"/>
      <c r="F493" s="12"/>
      <c r="G493" s="18"/>
      <c r="H493" s="35"/>
      <c r="I493" s="12"/>
      <c r="M493" s="12"/>
      <c r="N493" s="18"/>
      <c r="O493" s="12"/>
      <c r="P493" s="12"/>
      <c r="Q493" s="12"/>
      <c r="R493" s="36"/>
      <c r="S493" s="36"/>
      <c r="T493" s="12"/>
      <c r="U493" s="12"/>
      <c r="V493" s="12"/>
      <c r="W493" s="12"/>
      <c r="X493" s="12"/>
    </row>
    <row r="494" customFormat="false" ht="15.75" hidden="false" customHeight="false" outlineLevel="0" collapsed="false">
      <c r="A494" s="12"/>
      <c r="B494" s="34"/>
      <c r="C494" s="12"/>
      <c r="D494" s="12"/>
      <c r="E494" s="12"/>
      <c r="F494" s="12"/>
      <c r="G494" s="18"/>
      <c r="H494" s="35"/>
      <c r="I494" s="12"/>
      <c r="M494" s="12"/>
      <c r="N494" s="18"/>
      <c r="O494" s="12"/>
      <c r="P494" s="12"/>
      <c r="Q494" s="12"/>
      <c r="R494" s="36"/>
      <c r="S494" s="36"/>
      <c r="T494" s="12"/>
      <c r="U494" s="12"/>
      <c r="V494" s="12"/>
      <c r="W494" s="12"/>
      <c r="X494" s="12"/>
    </row>
    <row r="495" customFormat="false" ht="15.75" hidden="false" customHeight="false" outlineLevel="0" collapsed="false">
      <c r="A495" s="12"/>
      <c r="B495" s="34"/>
      <c r="C495" s="12"/>
      <c r="D495" s="12"/>
      <c r="E495" s="12"/>
      <c r="F495" s="12"/>
      <c r="G495" s="18"/>
      <c r="H495" s="35"/>
      <c r="I495" s="12"/>
      <c r="M495" s="12"/>
      <c r="N495" s="18"/>
      <c r="O495" s="12"/>
      <c r="P495" s="12"/>
      <c r="Q495" s="12"/>
      <c r="R495" s="36"/>
      <c r="S495" s="36"/>
      <c r="T495" s="12"/>
      <c r="U495" s="12"/>
      <c r="V495" s="12"/>
      <c r="W495" s="12"/>
      <c r="X495" s="12"/>
    </row>
    <row r="496" customFormat="false" ht="15.75" hidden="false" customHeight="false" outlineLevel="0" collapsed="false">
      <c r="A496" s="12"/>
      <c r="B496" s="34"/>
      <c r="C496" s="12"/>
      <c r="D496" s="12"/>
      <c r="E496" s="12"/>
      <c r="F496" s="12"/>
      <c r="G496" s="18"/>
      <c r="H496" s="35"/>
      <c r="I496" s="12"/>
      <c r="M496" s="12"/>
      <c r="N496" s="18"/>
      <c r="O496" s="12"/>
      <c r="P496" s="12"/>
      <c r="Q496" s="12"/>
      <c r="R496" s="36"/>
      <c r="S496" s="36"/>
      <c r="T496" s="12"/>
      <c r="U496" s="12"/>
      <c r="V496" s="12"/>
      <c r="W496" s="12"/>
      <c r="X496" s="12"/>
    </row>
    <row r="497" customFormat="false" ht="15.75" hidden="false" customHeight="false" outlineLevel="0" collapsed="false">
      <c r="A497" s="12"/>
      <c r="B497" s="34"/>
      <c r="C497" s="12"/>
      <c r="D497" s="12"/>
      <c r="E497" s="12"/>
      <c r="F497" s="12"/>
      <c r="G497" s="18"/>
      <c r="H497" s="35"/>
      <c r="I497" s="12"/>
      <c r="M497" s="12"/>
      <c r="N497" s="18"/>
      <c r="O497" s="12"/>
      <c r="P497" s="12"/>
      <c r="Q497" s="12"/>
      <c r="R497" s="36"/>
      <c r="S497" s="36"/>
      <c r="T497" s="12"/>
      <c r="U497" s="12"/>
      <c r="V497" s="12"/>
      <c r="W497" s="12"/>
      <c r="X497" s="12"/>
    </row>
    <row r="498" customFormat="false" ht="15.75" hidden="false" customHeight="false" outlineLevel="0" collapsed="false">
      <c r="A498" s="12"/>
      <c r="B498" s="34"/>
      <c r="C498" s="12"/>
      <c r="D498" s="12"/>
      <c r="E498" s="12"/>
      <c r="F498" s="12"/>
      <c r="G498" s="18"/>
      <c r="H498" s="35"/>
      <c r="I498" s="12"/>
      <c r="M498" s="12"/>
      <c r="N498" s="18"/>
      <c r="O498" s="12"/>
      <c r="P498" s="12"/>
      <c r="Q498" s="12"/>
      <c r="R498" s="36"/>
      <c r="S498" s="36"/>
      <c r="T498" s="12"/>
      <c r="U498" s="12"/>
      <c r="V498" s="12"/>
      <c r="W498" s="12"/>
      <c r="X498" s="12"/>
    </row>
    <row r="499" customFormat="false" ht="15.75" hidden="false" customHeight="false" outlineLevel="0" collapsed="false">
      <c r="A499" s="12"/>
      <c r="B499" s="34"/>
      <c r="C499" s="12"/>
      <c r="D499" s="12"/>
      <c r="E499" s="12"/>
      <c r="F499" s="12"/>
      <c r="G499" s="18"/>
      <c r="H499" s="35"/>
      <c r="I499" s="12"/>
      <c r="M499" s="12"/>
      <c r="N499" s="18"/>
      <c r="O499" s="12"/>
      <c r="P499" s="12"/>
      <c r="Q499" s="12"/>
      <c r="R499" s="36"/>
      <c r="S499" s="36"/>
      <c r="T499" s="12"/>
      <c r="U499" s="12"/>
      <c r="V499" s="12"/>
      <c r="W499" s="12"/>
      <c r="X499" s="12"/>
    </row>
    <row r="500" customFormat="false" ht="15.75" hidden="false" customHeight="false" outlineLevel="0" collapsed="false">
      <c r="A500" s="12"/>
      <c r="B500" s="34"/>
      <c r="C500" s="12"/>
      <c r="D500" s="12"/>
      <c r="E500" s="12"/>
      <c r="F500" s="12"/>
      <c r="G500" s="18"/>
      <c r="H500" s="35"/>
      <c r="I500" s="12"/>
      <c r="M500" s="12"/>
      <c r="N500" s="18"/>
      <c r="O500" s="12"/>
      <c r="P500" s="12"/>
      <c r="Q500" s="12"/>
      <c r="R500" s="36"/>
      <c r="S500" s="36"/>
      <c r="T500" s="12"/>
      <c r="U500" s="12"/>
      <c r="V500" s="12"/>
      <c r="W500" s="12"/>
      <c r="X500" s="12"/>
    </row>
    <row r="501" customFormat="false" ht="15.75" hidden="false" customHeight="false" outlineLevel="0" collapsed="false">
      <c r="A501" s="12"/>
      <c r="B501" s="34"/>
      <c r="C501" s="12"/>
      <c r="D501" s="12"/>
      <c r="E501" s="12"/>
      <c r="F501" s="12"/>
      <c r="G501" s="18"/>
      <c r="H501" s="35"/>
      <c r="I501" s="12"/>
      <c r="M501" s="12"/>
      <c r="N501" s="18"/>
      <c r="O501" s="12"/>
      <c r="P501" s="12"/>
      <c r="Q501" s="12"/>
      <c r="R501" s="36"/>
      <c r="S501" s="36"/>
      <c r="T501" s="12"/>
      <c r="U501" s="12"/>
      <c r="V501" s="12"/>
      <c r="W501" s="12"/>
      <c r="X501" s="12"/>
    </row>
    <row r="502" customFormat="false" ht="15.75" hidden="false" customHeight="false" outlineLevel="0" collapsed="false">
      <c r="A502" s="12"/>
      <c r="B502" s="34"/>
      <c r="C502" s="12"/>
      <c r="D502" s="12"/>
      <c r="E502" s="12"/>
      <c r="F502" s="12"/>
      <c r="G502" s="18"/>
      <c r="H502" s="35"/>
      <c r="I502" s="12"/>
      <c r="M502" s="12"/>
      <c r="N502" s="18"/>
      <c r="O502" s="12"/>
      <c r="P502" s="12"/>
      <c r="Q502" s="12"/>
      <c r="R502" s="36"/>
      <c r="S502" s="36"/>
      <c r="T502" s="12"/>
      <c r="U502" s="12"/>
      <c r="V502" s="12"/>
      <c r="W502" s="12"/>
      <c r="X502" s="12"/>
    </row>
    <row r="503" customFormat="false" ht="15.75" hidden="false" customHeight="false" outlineLevel="0" collapsed="false">
      <c r="A503" s="12"/>
      <c r="B503" s="34"/>
      <c r="C503" s="12"/>
      <c r="D503" s="12"/>
      <c r="E503" s="12"/>
      <c r="F503" s="12"/>
      <c r="G503" s="18"/>
      <c r="H503" s="35"/>
      <c r="I503" s="12"/>
      <c r="M503" s="12"/>
      <c r="N503" s="18"/>
      <c r="O503" s="12"/>
      <c r="P503" s="12"/>
      <c r="Q503" s="12"/>
      <c r="R503" s="36"/>
      <c r="S503" s="36"/>
      <c r="T503" s="12"/>
      <c r="U503" s="12"/>
      <c r="V503" s="12"/>
      <c r="W503" s="12"/>
      <c r="X503" s="12"/>
    </row>
    <row r="504" customFormat="false" ht="15.75" hidden="false" customHeight="false" outlineLevel="0" collapsed="false">
      <c r="A504" s="12"/>
      <c r="B504" s="34"/>
      <c r="C504" s="12"/>
      <c r="D504" s="12"/>
      <c r="E504" s="12"/>
      <c r="F504" s="12"/>
      <c r="G504" s="18"/>
      <c r="H504" s="35"/>
      <c r="I504" s="12"/>
      <c r="M504" s="12"/>
      <c r="N504" s="18"/>
      <c r="O504" s="12"/>
      <c r="P504" s="12"/>
      <c r="Q504" s="12"/>
      <c r="R504" s="36"/>
      <c r="S504" s="36"/>
      <c r="T504" s="12"/>
      <c r="U504" s="12"/>
      <c r="V504" s="12"/>
      <c r="W504" s="12"/>
      <c r="X504" s="12"/>
    </row>
    <row r="505" customFormat="false" ht="15.75" hidden="false" customHeight="false" outlineLevel="0" collapsed="false">
      <c r="A505" s="12"/>
      <c r="B505" s="34"/>
      <c r="C505" s="12"/>
      <c r="D505" s="12"/>
      <c r="E505" s="12"/>
      <c r="F505" s="12"/>
      <c r="G505" s="18"/>
      <c r="H505" s="35"/>
      <c r="I505" s="12"/>
      <c r="M505" s="12"/>
      <c r="N505" s="18"/>
      <c r="O505" s="12"/>
      <c r="P505" s="12"/>
      <c r="Q505" s="12"/>
      <c r="R505" s="36"/>
      <c r="S505" s="36"/>
      <c r="T505" s="12"/>
      <c r="U505" s="12"/>
      <c r="V505" s="12"/>
      <c r="W505" s="12"/>
      <c r="X505" s="12"/>
    </row>
    <row r="506" customFormat="false" ht="15.75" hidden="false" customHeight="false" outlineLevel="0" collapsed="false">
      <c r="A506" s="12"/>
      <c r="B506" s="34"/>
      <c r="C506" s="12"/>
      <c r="D506" s="12"/>
      <c r="E506" s="12"/>
      <c r="F506" s="12"/>
      <c r="G506" s="18"/>
      <c r="H506" s="35"/>
      <c r="I506" s="12"/>
      <c r="M506" s="12"/>
      <c r="N506" s="18"/>
      <c r="O506" s="12"/>
      <c r="P506" s="12"/>
      <c r="Q506" s="12"/>
      <c r="R506" s="36"/>
      <c r="S506" s="36"/>
      <c r="T506" s="12"/>
      <c r="U506" s="12"/>
      <c r="V506" s="12"/>
      <c r="W506" s="12"/>
      <c r="X506" s="12"/>
    </row>
    <row r="507" customFormat="false" ht="15.75" hidden="false" customHeight="false" outlineLevel="0" collapsed="false">
      <c r="A507" s="12"/>
      <c r="B507" s="34"/>
      <c r="C507" s="12"/>
      <c r="D507" s="12"/>
      <c r="E507" s="12"/>
      <c r="F507" s="12"/>
      <c r="G507" s="18"/>
      <c r="H507" s="35"/>
      <c r="I507" s="12"/>
      <c r="M507" s="12"/>
      <c r="N507" s="18"/>
      <c r="O507" s="12"/>
      <c r="P507" s="12"/>
      <c r="Q507" s="12"/>
      <c r="R507" s="36"/>
      <c r="S507" s="36"/>
      <c r="T507" s="12"/>
      <c r="U507" s="12"/>
      <c r="V507" s="12"/>
      <c r="W507" s="12"/>
      <c r="X507" s="12"/>
    </row>
    <row r="508" customFormat="false" ht="15.75" hidden="false" customHeight="false" outlineLevel="0" collapsed="false">
      <c r="A508" s="12"/>
      <c r="B508" s="34"/>
      <c r="C508" s="12"/>
      <c r="D508" s="12"/>
      <c r="E508" s="12"/>
      <c r="F508" s="12"/>
      <c r="G508" s="18"/>
      <c r="H508" s="35"/>
      <c r="I508" s="12"/>
      <c r="M508" s="12"/>
      <c r="N508" s="18"/>
      <c r="O508" s="12"/>
      <c r="P508" s="12"/>
      <c r="Q508" s="12"/>
      <c r="R508" s="36"/>
      <c r="S508" s="36"/>
      <c r="T508" s="12"/>
      <c r="U508" s="12"/>
      <c r="V508" s="12"/>
      <c r="W508" s="12"/>
      <c r="X508" s="12"/>
    </row>
    <row r="509" customFormat="false" ht="15.75" hidden="false" customHeight="false" outlineLevel="0" collapsed="false">
      <c r="A509" s="12"/>
      <c r="B509" s="34"/>
      <c r="C509" s="12"/>
      <c r="D509" s="12"/>
      <c r="E509" s="12"/>
      <c r="F509" s="12"/>
      <c r="G509" s="18"/>
      <c r="H509" s="35"/>
      <c r="I509" s="12"/>
      <c r="M509" s="12"/>
      <c r="N509" s="18"/>
      <c r="O509" s="12"/>
      <c r="P509" s="12"/>
      <c r="Q509" s="12"/>
      <c r="R509" s="36"/>
      <c r="S509" s="36"/>
      <c r="T509" s="12"/>
      <c r="U509" s="12"/>
      <c r="V509" s="12"/>
      <c r="W509" s="12"/>
      <c r="X509" s="12"/>
    </row>
    <row r="510" customFormat="false" ht="15.75" hidden="false" customHeight="false" outlineLevel="0" collapsed="false">
      <c r="A510" s="12"/>
      <c r="B510" s="34"/>
      <c r="C510" s="12"/>
      <c r="D510" s="12"/>
      <c r="E510" s="12"/>
      <c r="F510" s="12"/>
      <c r="G510" s="18"/>
      <c r="H510" s="35"/>
      <c r="I510" s="12"/>
      <c r="M510" s="12"/>
      <c r="N510" s="18"/>
      <c r="O510" s="12"/>
      <c r="P510" s="12"/>
      <c r="Q510" s="12"/>
      <c r="R510" s="36"/>
      <c r="S510" s="36"/>
      <c r="T510" s="12"/>
      <c r="U510" s="12"/>
      <c r="V510" s="12"/>
      <c r="W510" s="12"/>
      <c r="X510" s="12"/>
    </row>
    <row r="511" customFormat="false" ht="15.75" hidden="false" customHeight="false" outlineLevel="0" collapsed="false">
      <c r="A511" s="12"/>
      <c r="B511" s="34"/>
      <c r="C511" s="12"/>
      <c r="D511" s="12"/>
      <c r="E511" s="12"/>
      <c r="F511" s="12"/>
      <c r="G511" s="18"/>
      <c r="H511" s="35"/>
      <c r="I511" s="12"/>
      <c r="M511" s="12"/>
      <c r="N511" s="18"/>
      <c r="O511" s="12"/>
      <c r="P511" s="12"/>
      <c r="Q511" s="12"/>
      <c r="R511" s="36"/>
      <c r="S511" s="36"/>
      <c r="T511" s="12"/>
      <c r="U511" s="12"/>
      <c r="V511" s="12"/>
      <c r="W511" s="12"/>
      <c r="X511" s="12"/>
    </row>
    <row r="512" customFormat="false" ht="15.75" hidden="false" customHeight="false" outlineLevel="0" collapsed="false">
      <c r="A512" s="12"/>
      <c r="B512" s="34"/>
      <c r="C512" s="12"/>
      <c r="D512" s="12"/>
      <c r="E512" s="12"/>
      <c r="F512" s="12"/>
      <c r="G512" s="18"/>
      <c r="H512" s="35"/>
      <c r="I512" s="12"/>
      <c r="M512" s="12"/>
      <c r="N512" s="18"/>
      <c r="O512" s="12"/>
      <c r="P512" s="12"/>
      <c r="Q512" s="12"/>
      <c r="R512" s="36"/>
      <c r="S512" s="36"/>
      <c r="T512" s="12"/>
      <c r="U512" s="12"/>
      <c r="V512" s="12"/>
      <c r="W512" s="12"/>
      <c r="X512" s="12"/>
    </row>
    <row r="513" customFormat="false" ht="15.75" hidden="false" customHeight="false" outlineLevel="0" collapsed="false">
      <c r="A513" s="12"/>
      <c r="B513" s="34"/>
      <c r="C513" s="12"/>
      <c r="D513" s="12"/>
      <c r="E513" s="12"/>
      <c r="F513" s="12"/>
      <c r="G513" s="18"/>
      <c r="H513" s="35"/>
      <c r="I513" s="12"/>
      <c r="M513" s="12"/>
      <c r="N513" s="18"/>
      <c r="O513" s="12"/>
      <c r="P513" s="12"/>
      <c r="Q513" s="12"/>
      <c r="R513" s="36"/>
      <c r="S513" s="36"/>
      <c r="T513" s="12"/>
      <c r="U513" s="12"/>
      <c r="V513" s="12"/>
      <c r="W513" s="12"/>
      <c r="X513" s="12"/>
    </row>
    <row r="514" customFormat="false" ht="15.75" hidden="false" customHeight="false" outlineLevel="0" collapsed="false">
      <c r="A514" s="12"/>
      <c r="B514" s="34"/>
      <c r="C514" s="12"/>
      <c r="D514" s="12"/>
      <c r="E514" s="12"/>
      <c r="F514" s="12"/>
      <c r="G514" s="18"/>
      <c r="H514" s="35"/>
      <c r="I514" s="12"/>
      <c r="M514" s="12"/>
      <c r="N514" s="18"/>
      <c r="O514" s="12"/>
      <c r="P514" s="12"/>
      <c r="Q514" s="12"/>
      <c r="R514" s="36"/>
      <c r="S514" s="36"/>
      <c r="T514" s="12"/>
      <c r="U514" s="12"/>
      <c r="V514" s="12"/>
      <c r="W514" s="12"/>
      <c r="X514" s="12"/>
    </row>
    <row r="515" customFormat="false" ht="15.75" hidden="false" customHeight="false" outlineLevel="0" collapsed="false">
      <c r="A515" s="12"/>
      <c r="B515" s="34"/>
      <c r="C515" s="12"/>
      <c r="D515" s="12"/>
      <c r="E515" s="12"/>
      <c r="F515" s="12"/>
      <c r="G515" s="18"/>
      <c r="H515" s="35"/>
      <c r="I515" s="12"/>
      <c r="M515" s="12"/>
      <c r="N515" s="18"/>
      <c r="O515" s="12"/>
      <c r="P515" s="12"/>
      <c r="Q515" s="12"/>
      <c r="R515" s="36"/>
      <c r="S515" s="36"/>
      <c r="T515" s="12"/>
      <c r="U515" s="12"/>
      <c r="V515" s="12"/>
      <c r="W515" s="12"/>
      <c r="X515" s="12"/>
    </row>
    <row r="516" customFormat="false" ht="15.75" hidden="false" customHeight="false" outlineLevel="0" collapsed="false">
      <c r="A516" s="12"/>
      <c r="B516" s="34"/>
      <c r="C516" s="12"/>
      <c r="D516" s="12"/>
      <c r="E516" s="12"/>
      <c r="F516" s="12"/>
      <c r="G516" s="18"/>
      <c r="H516" s="35"/>
      <c r="I516" s="12"/>
      <c r="M516" s="12"/>
      <c r="N516" s="18"/>
      <c r="O516" s="12"/>
      <c r="P516" s="12"/>
      <c r="Q516" s="12"/>
      <c r="R516" s="36"/>
      <c r="S516" s="36"/>
      <c r="T516" s="12"/>
      <c r="U516" s="12"/>
      <c r="V516" s="12"/>
      <c r="W516" s="12"/>
      <c r="X516" s="12"/>
    </row>
    <row r="517" customFormat="false" ht="15.75" hidden="false" customHeight="false" outlineLevel="0" collapsed="false">
      <c r="A517" s="12"/>
      <c r="B517" s="34"/>
      <c r="C517" s="12"/>
      <c r="D517" s="12"/>
      <c r="E517" s="12"/>
      <c r="F517" s="12"/>
      <c r="G517" s="18"/>
      <c r="H517" s="35"/>
      <c r="I517" s="12"/>
      <c r="M517" s="12"/>
      <c r="N517" s="18"/>
      <c r="O517" s="12"/>
      <c r="P517" s="12"/>
      <c r="Q517" s="12"/>
      <c r="R517" s="36"/>
      <c r="S517" s="36"/>
      <c r="T517" s="12"/>
      <c r="U517" s="12"/>
      <c r="V517" s="12"/>
      <c r="W517" s="12"/>
      <c r="X517" s="12"/>
    </row>
    <row r="518" customFormat="false" ht="15.75" hidden="false" customHeight="false" outlineLevel="0" collapsed="false">
      <c r="A518" s="12"/>
      <c r="B518" s="34"/>
      <c r="C518" s="12"/>
      <c r="D518" s="12"/>
      <c r="E518" s="12"/>
      <c r="F518" s="12"/>
      <c r="G518" s="18"/>
      <c r="H518" s="35"/>
      <c r="I518" s="12"/>
      <c r="M518" s="12"/>
      <c r="N518" s="18"/>
      <c r="O518" s="12"/>
      <c r="P518" s="12"/>
      <c r="Q518" s="12"/>
      <c r="R518" s="36"/>
      <c r="S518" s="36"/>
      <c r="T518" s="12"/>
      <c r="U518" s="12"/>
      <c r="V518" s="12"/>
      <c r="W518" s="12"/>
      <c r="X518" s="12"/>
    </row>
    <row r="519" customFormat="false" ht="15.75" hidden="false" customHeight="false" outlineLevel="0" collapsed="false">
      <c r="A519" s="12"/>
      <c r="B519" s="34"/>
      <c r="C519" s="12"/>
      <c r="D519" s="12"/>
      <c r="E519" s="12"/>
      <c r="F519" s="12"/>
      <c r="G519" s="18"/>
      <c r="H519" s="35"/>
      <c r="I519" s="12"/>
      <c r="M519" s="12"/>
      <c r="N519" s="18"/>
      <c r="O519" s="12"/>
      <c r="P519" s="12"/>
      <c r="Q519" s="12"/>
      <c r="R519" s="36"/>
      <c r="S519" s="36"/>
      <c r="T519" s="12"/>
      <c r="U519" s="12"/>
      <c r="V519" s="12"/>
      <c r="W519" s="12"/>
      <c r="X519" s="12"/>
    </row>
    <row r="520" customFormat="false" ht="15.75" hidden="false" customHeight="false" outlineLevel="0" collapsed="false">
      <c r="A520" s="12"/>
      <c r="B520" s="34"/>
      <c r="C520" s="12"/>
      <c r="D520" s="12"/>
      <c r="E520" s="12"/>
      <c r="F520" s="12"/>
      <c r="G520" s="18"/>
      <c r="H520" s="35"/>
      <c r="I520" s="12"/>
      <c r="M520" s="12"/>
      <c r="N520" s="18"/>
      <c r="O520" s="12"/>
      <c r="P520" s="12"/>
      <c r="Q520" s="12"/>
      <c r="R520" s="36"/>
      <c r="S520" s="36"/>
      <c r="T520" s="12"/>
      <c r="U520" s="12"/>
      <c r="V520" s="12"/>
      <c r="W520" s="12"/>
      <c r="X520" s="12"/>
    </row>
    <row r="521" customFormat="false" ht="15.75" hidden="false" customHeight="false" outlineLevel="0" collapsed="false">
      <c r="A521" s="12"/>
      <c r="B521" s="34"/>
      <c r="C521" s="12"/>
      <c r="D521" s="12"/>
      <c r="E521" s="12"/>
      <c r="F521" s="12"/>
      <c r="G521" s="18"/>
      <c r="H521" s="35"/>
      <c r="I521" s="12"/>
      <c r="M521" s="12"/>
      <c r="N521" s="18"/>
      <c r="O521" s="12"/>
      <c r="P521" s="12"/>
      <c r="Q521" s="12"/>
      <c r="R521" s="36"/>
      <c r="S521" s="36"/>
      <c r="T521" s="12"/>
      <c r="U521" s="12"/>
      <c r="V521" s="12"/>
      <c r="W521" s="12"/>
      <c r="X521" s="12"/>
    </row>
    <row r="522" customFormat="false" ht="15.75" hidden="false" customHeight="false" outlineLevel="0" collapsed="false">
      <c r="A522" s="12"/>
      <c r="B522" s="34"/>
      <c r="C522" s="12"/>
      <c r="D522" s="12"/>
      <c r="E522" s="12"/>
      <c r="F522" s="12"/>
      <c r="G522" s="18"/>
      <c r="H522" s="35"/>
      <c r="I522" s="12"/>
      <c r="M522" s="12"/>
      <c r="N522" s="18"/>
      <c r="O522" s="12"/>
      <c r="P522" s="12"/>
      <c r="Q522" s="12"/>
      <c r="R522" s="36"/>
      <c r="S522" s="36"/>
      <c r="T522" s="12"/>
      <c r="U522" s="12"/>
      <c r="V522" s="12"/>
      <c r="W522" s="12"/>
      <c r="X522" s="12"/>
    </row>
    <row r="523" customFormat="false" ht="15.75" hidden="false" customHeight="false" outlineLevel="0" collapsed="false">
      <c r="A523" s="12"/>
      <c r="B523" s="34"/>
      <c r="C523" s="12"/>
      <c r="D523" s="12"/>
      <c r="E523" s="12"/>
      <c r="F523" s="12"/>
      <c r="G523" s="18"/>
      <c r="H523" s="35"/>
      <c r="I523" s="12"/>
      <c r="M523" s="12"/>
      <c r="N523" s="18"/>
      <c r="O523" s="12"/>
      <c r="P523" s="12"/>
      <c r="Q523" s="12"/>
      <c r="R523" s="36"/>
      <c r="S523" s="36"/>
      <c r="T523" s="12"/>
      <c r="U523" s="12"/>
      <c r="V523" s="12"/>
      <c r="W523" s="12"/>
      <c r="X523" s="12"/>
    </row>
    <row r="524" customFormat="false" ht="15.75" hidden="false" customHeight="false" outlineLevel="0" collapsed="false">
      <c r="A524" s="12"/>
      <c r="B524" s="34"/>
      <c r="C524" s="12"/>
      <c r="D524" s="12"/>
      <c r="E524" s="12"/>
      <c r="F524" s="12"/>
      <c r="G524" s="18"/>
      <c r="H524" s="35"/>
      <c r="I524" s="12"/>
      <c r="M524" s="12"/>
      <c r="N524" s="18"/>
      <c r="O524" s="12"/>
      <c r="P524" s="12"/>
      <c r="Q524" s="12"/>
      <c r="R524" s="36"/>
      <c r="S524" s="36"/>
      <c r="T524" s="12"/>
      <c r="U524" s="12"/>
      <c r="V524" s="12"/>
      <c r="W524" s="12"/>
      <c r="X524" s="12"/>
    </row>
    <row r="525" customFormat="false" ht="15.75" hidden="false" customHeight="false" outlineLevel="0" collapsed="false">
      <c r="A525" s="12"/>
      <c r="B525" s="34"/>
      <c r="C525" s="12"/>
      <c r="D525" s="12"/>
      <c r="E525" s="12"/>
      <c r="F525" s="12"/>
      <c r="G525" s="18"/>
      <c r="H525" s="35"/>
      <c r="I525" s="12"/>
      <c r="M525" s="12"/>
      <c r="N525" s="18"/>
      <c r="O525" s="12"/>
      <c r="P525" s="12"/>
      <c r="Q525" s="12"/>
      <c r="R525" s="36"/>
      <c r="S525" s="36"/>
      <c r="T525" s="12"/>
      <c r="U525" s="12"/>
      <c r="V525" s="12"/>
      <c r="W525" s="12"/>
      <c r="X525" s="12"/>
    </row>
    <row r="526" customFormat="false" ht="15.75" hidden="false" customHeight="false" outlineLevel="0" collapsed="false">
      <c r="A526" s="12"/>
      <c r="B526" s="34"/>
      <c r="C526" s="12"/>
      <c r="D526" s="12"/>
      <c r="E526" s="12"/>
      <c r="F526" s="12"/>
      <c r="G526" s="18"/>
      <c r="H526" s="35"/>
      <c r="I526" s="12"/>
      <c r="M526" s="12"/>
      <c r="N526" s="18"/>
      <c r="O526" s="12"/>
      <c r="P526" s="12"/>
      <c r="Q526" s="12"/>
      <c r="R526" s="36"/>
      <c r="S526" s="36"/>
      <c r="T526" s="12"/>
      <c r="U526" s="12"/>
      <c r="V526" s="12"/>
      <c r="W526" s="12"/>
      <c r="X526" s="12"/>
    </row>
    <row r="527" customFormat="false" ht="15.75" hidden="false" customHeight="false" outlineLevel="0" collapsed="false">
      <c r="A527" s="12"/>
      <c r="B527" s="34"/>
      <c r="C527" s="12"/>
      <c r="D527" s="12"/>
      <c r="E527" s="12"/>
      <c r="F527" s="12"/>
      <c r="G527" s="18"/>
      <c r="H527" s="35"/>
      <c r="I527" s="12"/>
      <c r="M527" s="12"/>
      <c r="N527" s="18"/>
      <c r="O527" s="12"/>
      <c r="P527" s="12"/>
      <c r="Q527" s="12"/>
      <c r="R527" s="36"/>
      <c r="S527" s="36"/>
      <c r="T527" s="12"/>
      <c r="U527" s="12"/>
      <c r="V527" s="12"/>
      <c r="W527" s="12"/>
      <c r="X527" s="12"/>
    </row>
    <row r="528" customFormat="false" ht="15.75" hidden="false" customHeight="false" outlineLevel="0" collapsed="false">
      <c r="A528" s="12"/>
      <c r="B528" s="34"/>
      <c r="C528" s="12"/>
      <c r="D528" s="12"/>
      <c r="E528" s="12"/>
      <c r="F528" s="12"/>
      <c r="G528" s="18"/>
      <c r="H528" s="35"/>
      <c r="I528" s="12"/>
      <c r="M528" s="12"/>
      <c r="N528" s="18"/>
      <c r="O528" s="12"/>
      <c r="P528" s="12"/>
      <c r="Q528" s="12"/>
      <c r="R528" s="36"/>
      <c r="S528" s="36"/>
      <c r="T528" s="12"/>
      <c r="U528" s="12"/>
      <c r="V528" s="12"/>
      <c r="W528" s="12"/>
      <c r="X528" s="12"/>
    </row>
    <row r="529" customFormat="false" ht="15.75" hidden="false" customHeight="false" outlineLevel="0" collapsed="false">
      <c r="A529" s="12"/>
      <c r="B529" s="34"/>
      <c r="C529" s="12"/>
      <c r="D529" s="12"/>
      <c r="E529" s="12"/>
      <c r="F529" s="12"/>
      <c r="G529" s="18"/>
      <c r="H529" s="35"/>
      <c r="I529" s="12"/>
      <c r="M529" s="12"/>
      <c r="N529" s="18"/>
      <c r="O529" s="12"/>
      <c r="P529" s="12"/>
      <c r="Q529" s="12"/>
      <c r="R529" s="36"/>
      <c r="S529" s="36"/>
      <c r="T529" s="12"/>
      <c r="U529" s="12"/>
      <c r="V529" s="12"/>
      <c r="W529" s="12"/>
      <c r="X529" s="12"/>
    </row>
    <row r="530" customFormat="false" ht="15.75" hidden="false" customHeight="false" outlineLevel="0" collapsed="false">
      <c r="A530" s="12"/>
      <c r="B530" s="34"/>
      <c r="C530" s="12"/>
      <c r="D530" s="12"/>
      <c r="E530" s="12"/>
      <c r="F530" s="12"/>
      <c r="G530" s="18"/>
      <c r="H530" s="35"/>
      <c r="I530" s="12"/>
      <c r="M530" s="12"/>
      <c r="N530" s="18"/>
      <c r="O530" s="12"/>
      <c r="P530" s="12"/>
      <c r="Q530" s="12"/>
      <c r="R530" s="36"/>
      <c r="S530" s="36"/>
      <c r="T530" s="12"/>
      <c r="U530" s="12"/>
      <c r="V530" s="12"/>
      <c r="W530" s="12"/>
      <c r="X530" s="12"/>
    </row>
    <row r="531" customFormat="false" ht="15.75" hidden="false" customHeight="false" outlineLevel="0" collapsed="false">
      <c r="A531" s="12"/>
      <c r="B531" s="34"/>
      <c r="C531" s="12"/>
      <c r="D531" s="12"/>
      <c r="E531" s="12"/>
      <c r="F531" s="12"/>
      <c r="G531" s="18"/>
      <c r="H531" s="35"/>
      <c r="I531" s="12"/>
      <c r="M531" s="12"/>
      <c r="N531" s="18"/>
      <c r="O531" s="12"/>
      <c r="P531" s="12"/>
      <c r="Q531" s="12"/>
      <c r="R531" s="36"/>
      <c r="S531" s="36"/>
      <c r="T531" s="12"/>
      <c r="U531" s="12"/>
      <c r="V531" s="12"/>
      <c r="W531" s="12"/>
      <c r="X531" s="12"/>
    </row>
    <row r="532" customFormat="false" ht="15.75" hidden="false" customHeight="false" outlineLevel="0" collapsed="false">
      <c r="A532" s="12"/>
      <c r="B532" s="34"/>
      <c r="C532" s="12"/>
      <c r="D532" s="12"/>
      <c r="E532" s="12"/>
      <c r="F532" s="12"/>
      <c r="G532" s="18"/>
      <c r="H532" s="35"/>
      <c r="I532" s="12"/>
      <c r="M532" s="12"/>
      <c r="N532" s="18"/>
      <c r="O532" s="12"/>
      <c r="P532" s="12"/>
      <c r="Q532" s="12"/>
      <c r="R532" s="36"/>
      <c r="S532" s="36"/>
      <c r="T532" s="12"/>
      <c r="U532" s="12"/>
      <c r="V532" s="12"/>
      <c r="W532" s="12"/>
      <c r="X532" s="12"/>
    </row>
    <row r="533" customFormat="false" ht="15.75" hidden="false" customHeight="false" outlineLevel="0" collapsed="false">
      <c r="A533" s="12"/>
      <c r="B533" s="34"/>
      <c r="C533" s="12"/>
      <c r="D533" s="12"/>
      <c r="E533" s="12"/>
      <c r="F533" s="12"/>
      <c r="G533" s="18"/>
      <c r="H533" s="35"/>
      <c r="I533" s="12"/>
      <c r="M533" s="12"/>
      <c r="N533" s="18"/>
      <c r="O533" s="12"/>
      <c r="P533" s="12"/>
      <c r="Q533" s="12"/>
      <c r="R533" s="36"/>
      <c r="S533" s="36"/>
      <c r="T533" s="12"/>
      <c r="U533" s="12"/>
      <c r="V533" s="12"/>
      <c r="W533" s="12"/>
      <c r="X533" s="12"/>
    </row>
    <row r="534" customFormat="false" ht="15.75" hidden="false" customHeight="false" outlineLevel="0" collapsed="false">
      <c r="A534" s="12"/>
      <c r="B534" s="34"/>
      <c r="C534" s="12"/>
      <c r="D534" s="12"/>
      <c r="E534" s="12"/>
      <c r="F534" s="12"/>
      <c r="G534" s="18"/>
      <c r="H534" s="35"/>
      <c r="I534" s="12"/>
      <c r="M534" s="12"/>
      <c r="N534" s="18"/>
      <c r="O534" s="12"/>
      <c r="P534" s="12"/>
      <c r="Q534" s="12"/>
      <c r="R534" s="36"/>
      <c r="S534" s="36"/>
      <c r="T534" s="12"/>
      <c r="U534" s="12"/>
      <c r="V534" s="12"/>
      <c r="W534" s="12"/>
      <c r="X534" s="12"/>
    </row>
    <row r="535" customFormat="false" ht="15.75" hidden="false" customHeight="false" outlineLevel="0" collapsed="false">
      <c r="A535" s="12"/>
      <c r="B535" s="34"/>
      <c r="C535" s="12"/>
      <c r="D535" s="12"/>
      <c r="E535" s="12"/>
      <c r="F535" s="12"/>
      <c r="G535" s="18"/>
      <c r="H535" s="35"/>
      <c r="I535" s="12"/>
      <c r="M535" s="12"/>
      <c r="N535" s="18"/>
      <c r="O535" s="12"/>
      <c r="P535" s="12"/>
      <c r="Q535" s="12"/>
      <c r="R535" s="36"/>
      <c r="S535" s="36"/>
      <c r="T535" s="12"/>
      <c r="U535" s="12"/>
      <c r="V535" s="12"/>
      <c r="W535" s="12"/>
      <c r="X535" s="12"/>
    </row>
    <row r="536" customFormat="false" ht="15.75" hidden="false" customHeight="false" outlineLevel="0" collapsed="false">
      <c r="A536" s="12"/>
      <c r="B536" s="34"/>
      <c r="C536" s="12"/>
      <c r="D536" s="12"/>
      <c r="E536" s="12"/>
      <c r="F536" s="12"/>
      <c r="G536" s="18"/>
      <c r="H536" s="35"/>
      <c r="I536" s="12"/>
      <c r="M536" s="12"/>
      <c r="N536" s="18"/>
      <c r="O536" s="12"/>
      <c r="P536" s="12"/>
      <c r="Q536" s="12"/>
      <c r="R536" s="36"/>
      <c r="S536" s="36"/>
      <c r="T536" s="12"/>
      <c r="U536" s="12"/>
      <c r="V536" s="12"/>
      <c r="W536" s="12"/>
      <c r="X536" s="12"/>
    </row>
    <row r="537" customFormat="false" ht="15.75" hidden="false" customHeight="false" outlineLevel="0" collapsed="false">
      <c r="A537" s="12"/>
      <c r="B537" s="34"/>
      <c r="C537" s="12"/>
      <c r="D537" s="12"/>
      <c r="E537" s="12"/>
      <c r="F537" s="12"/>
      <c r="G537" s="18"/>
      <c r="H537" s="35"/>
      <c r="I537" s="12"/>
      <c r="M537" s="12"/>
      <c r="N537" s="18"/>
      <c r="O537" s="12"/>
      <c r="P537" s="12"/>
      <c r="Q537" s="12"/>
      <c r="R537" s="36"/>
      <c r="S537" s="36"/>
      <c r="T537" s="12"/>
      <c r="U537" s="12"/>
      <c r="V537" s="12"/>
      <c r="W537" s="12"/>
      <c r="X537" s="12"/>
    </row>
    <row r="538" customFormat="false" ht="15.75" hidden="false" customHeight="false" outlineLevel="0" collapsed="false">
      <c r="A538" s="12"/>
      <c r="B538" s="34"/>
      <c r="C538" s="12"/>
      <c r="D538" s="12"/>
      <c r="E538" s="12"/>
      <c r="F538" s="12"/>
      <c r="G538" s="18"/>
      <c r="H538" s="35"/>
      <c r="I538" s="12"/>
      <c r="M538" s="12"/>
      <c r="N538" s="18"/>
      <c r="O538" s="12"/>
      <c r="P538" s="12"/>
      <c r="Q538" s="12"/>
      <c r="R538" s="36"/>
      <c r="S538" s="36"/>
      <c r="T538" s="12"/>
      <c r="U538" s="12"/>
      <c r="V538" s="12"/>
      <c r="W538" s="12"/>
      <c r="X538" s="12"/>
    </row>
    <row r="539" customFormat="false" ht="15.75" hidden="false" customHeight="false" outlineLevel="0" collapsed="false">
      <c r="A539" s="12"/>
      <c r="B539" s="34"/>
      <c r="C539" s="12"/>
      <c r="D539" s="12"/>
      <c r="E539" s="12"/>
      <c r="F539" s="12"/>
      <c r="G539" s="18"/>
      <c r="H539" s="35"/>
      <c r="I539" s="12"/>
      <c r="M539" s="12"/>
      <c r="N539" s="18"/>
      <c r="O539" s="12"/>
      <c r="P539" s="12"/>
      <c r="Q539" s="12"/>
      <c r="R539" s="36"/>
      <c r="S539" s="36"/>
      <c r="T539" s="12"/>
      <c r="U539" s="12"/>
      <c r="V539" s="12"/>
      <c r="W539" s="12"/>
      <c r="X539" s="12"/>
    </row>
    <row r="540" customFormat="false" ht="15.75" hidden="false" customHeight="false" outlineLevel="0" collapsed="false">
      <c r="A540" s="12"/>
      <c r="B540" s="34"/>
      <c r="C540" s="12"/>
      <c r="D540" s="12"/>
      <c r="E540" s="12"/>
      <c r="F540" s="12"/>
      <c r="G540" s="18"/>
      <c r="H540" s="35"/>
      <c r="I540" s="12"/>
      <c r="M540" s="12"/>
      <c r="N540" s="18"/>
      <c r="O540" s="12"/>
      <c r="P540" s="12"/>
      <c r="Q540" s="12"/>
      <c r="R540" s="36"/>
      <c r="S540" s="36"/>
      <c r="T540" s="12"/>
      <c r="U540" s="12"/>
      <c r="V540" s="12"/>
      <c r="W540" s="12"/>
      <c r="X540" s="12"/>
    </row>
    <row r="541" customFormat="false" ht="15.75" hidden="false" customHeight="false" outlineLevel="0" collapsed="false">
      <c r="A541" s="12"/>
      <c r="B541" s="34"/>
      <c r="C541" s="12"/>
      <c r="D541" s="12"/>
      <c r="E541" s="12"/>
      <c r="F541" s="12"/>
      <c r="G541" s="18"/>
      <c r="H541" s="35"/>
      <c r="I541" s="12"/>
      <c r="M541" s="12"/>
      <c r="N541" s="18"/>
      <c r="O541" s="12"/>
      <c r="P541" s="12"/>
      <c r="Q541" s="12"/>
      <c r="R541" s="36"/>
      <c r="S541" s="36"/>
      <c r="T541" s="12"/>
      <c r="U541" s="12"/>
      <c r="V541" s="12"/>
      <c r="W541" s="12"/>
      <c r="X541" s="12"/>
    </row>
    <row r="542" customFormat="false" ht="15.75" hidden="false" customHeight="false" outlineLevel="0" collapsed="false">
      <c r="A542" s="12"/>
      <c r="B542" s="34"/>
      <c r="C542" s="12"/>
      <c r="D542" s="12"/>
      <c r="E542" s="12"/>
      <c r="F542" s="12"/>
      <c r="G542" s="18"/>
      <c r="H542" s="35"/>
      <c r="I542" s="12"/>
      <c r="M542" s="12"/>
      <c r="N542" s="18"/>
      <c r="O542" s="12"/>
      <c r="P542" s="12"/>
      <c r="Q542" s="12"/>
      <c r="R542" s="36"/>
      <c r="S542" s="36"/>
      <c r="T542" s="12"/>
      <c r="U542" s="12"/>
      <c r="V542" s="12"/>
      <c r="W542" s="12"/>
      <c r="X542" s="12"/>
    </row>
    <row r="543" customFormat="false" ht="15.75" hidden="false" customHeight="false" outlineLevel="0" collapsed="false">
      <c r="A543" s="12"/>
      <c r="B543" s="34"/>
      <c r="C543" s="12"/>
      <c r="D543" s="12"/>
      <c r="E543" s="12"/>
      <c r="F543" s="12"/>
      <c r="G543" s="18"/>
      <c r="H543" s="35"/>
      <c r="I543" s="12"/>
      <c r="M543" s="12"/>
      <c r="N543" s="18"/>
      <c r="O543" s="12"/>
      <c r="P543" s="12"/>
      <c r="Q543" s="12"/>
      <c r="R543" s="36"/>
      <c r="S543" s="36"/>
      <c r="T543" s="12"/>
      <c r="U543" s="12"/>
      <c r="V543" s="12"/>
      <c r="W543" s="12"/>
      <c r="X543" s="12"/>
    </row>
    <row r="544" customFormat="false" ht="15.75" hidden="false" customHeight="false" outlineLevel="0" collapsed="false">
      <c r="A544" s="12"/>
      <c r="B544" s="34"/>
      <c r="C544" s="12"/>
      <c r="D544" s="12"/>
      <c r="E544" s="12"/>
      <c r="F544" s="12"/>
      <c r="G544" s="18"/>
      <c r="H544" s="35"/>
      <c r="I544" s="12"/>
      <c r="M544" s="12"/>
      <c r="N544" s="18"/>
      <c r="O544" s="12"/>
      <c r="P544" s="12"/>
      <c r="Q544" s="12"/>
      <c r="R544" s="36"/>
      <c r="S544" s="36"/>
      <c r="T544" s="12"/>
      <c r="U544" s="12"/>
      <c r="V544" s="12"/>
      <c r="W544" s="12"/>
      <c r="X544" s="12"/>
    </row>
    <row r="545" customFormat="false" ht="15.75" hidden="false" customHeight="false" outlineLevel="0" collapsed="false">
      <c r="A545" s="12"/>
      <c r="B545" s="34"/>
      <c r="C545" s="12"/>
      <c r="D545" s="12"/>
      <c r="E545" s="12"/>
      <c r="F545" s="12"/>
      <c r="G545" s="18"/>
      <c r="H545" s="35"/>
      <c r="I545" s="12"/>
      <c r="M545" s="12"/>
      <c r="N545" s="18"/>
      <c r="O545" s="12"/>
      <c r="P545" s="12"/>
      <c r="Q545" s="12"/>
      <c r="R545" s="36"/>
      <c r="S545" s="36"/>
      <c r="T545" s="12"/>
      <c r="U545" s="12"/>
      <c r="V545" s="12"/>
      <c r="W545" s="12"/>
      <c r="X545" s="12"/>
    </row>
    <row r="546" customFormat="false" ht="15.75" hidden="false" customHeight="false" outlineLevel="0" collapsed="false">
      <c r="A546" s="12"/>
      <c r="B546" s="34"/>
      <c r="C546" s="12"/>
      <c r="D546" s="12"/>
      <c r="E546" s="12"/>
      <c r="F546" s="12"/>
      <c r="G546" s="18"/>
      <c r="H546" s="35"/>
      <c r="I546" s="12"/>
      <c r="M546" s="12"/>
      <c r="N546" s="18"/>
      <c r="O546" s="12"/>
      <c r="P546" s="12"/>
      <c r="Q546" s="12"/>
      <c r="R546" s="36"/>
      <c r="S546" s="36"/>
      <c r="T546" s="12"/>
      <c r="U546" s="12"/>
      <c r="V546" s="12"/>
      <c r="W546" s="12"/>
      <c r="X546" s="12"/>
    </row>
    <row r="547" customFormat="false" ht="15.75" hidden="false" customHeight="false" outlineLevel="0" collapsed="false">
      <c r="A547" s="12"/>
      <c r="B547" s="34"/>
      <c r="C547" s="12"/>
      <c r="D547" s="12"/>
      <c r="E547" s="12"/>
      <c r="F547" s="12"/>
      <c r="G547" s="18"/>
      <c r="H547" s="35"/>
      <c r="I547" s="12"/>
      <c r="M547" s="12"/>
      <c r="N547" s="18"/>
      <c r="O547" s="12"/>
      <c r="P547" s="12"/>
      <c r="Q547" s="12"/>
      <c r="R547" s="36"/>
      <c r="S547" s="36"/>
      <c r="T547" s="12"/>
      <c r="U547" s="12"/>
      <c r="V547" s="12"/>
      <c r="W547" s="12"/>
      <c r="X547" s="12"/>
    </row>
    <row r="548" customFormat="false" ht="15.75" hidden="false" customHeight="false" outlineLevel="0" collapsed="false">
      <c r="A548" s="12"/>
      <c r="B548" s="34"/>
      <c r="C548" s="12"/>
      <c r="D548" s="12"/>
      <c r="E548" s="12"/>
      <c r="F548" s="12"/>
      <c r="G548" s="18"/>
      <c r="H548" s="35"/>
      <c r="I548" s="12"/>
      <c r="M548" s="12"/>
      <c r="N548" s="18"/>
      <c r="O548" s="12"/>
      <c r="P548" s="12"/>
      <c r="Q548" s="12"/>
      <c r="R548" s="36"/>
      <c r="S548" s="36"/>
      <c r="T548" s="12"/>
      <c r="U548" s="12"/>
      <c r="V548" s="12"/>
      <c r="W548" s="12"/>
      <c r="X548" s="12"/>
    </row>
    <row r="549" customFormat="false" ht="15.75" hidden="false" customHeight="false" outlineLevel="0" collapsed="false">
      <c r="A549" s="12"/>
      <c r="B549" s="34"/>
      <c r="C549" s="12"/>
      <c r="D549" s="12"/>
      <c r="E549" s="12"/>
      <c r="F549" s="12"/>
      <c r="G549" s="18"/>
      <c r="H549" s="35"/>
      <c r="I549" s="12"/>
      <c r="M549" s="12"/>
      <c r="N549" s="18"/>
      <c r="O549" s="12"/>
      <c r="P549" s="12"/>
      <c r="Q549" s="12"/>
      <c r="R549" s="36"/>
      <c r="S549" s="36"/>
      <c r="T549" s="12"/>
      <c r="U549" s="12"/>
      <c r="V549" s="12"/>
      <c r="W549" s="12"/>
      <c r="X549" s="12"/>
    </row>
    <row r="550" customFormat="false" ht="15.75" hidden="false" customHeight="false" outlineLevel="0" collapsed="false">
      <c r="A550" s="12"/>
      <c r="B550" s="34"/>
      <c r="C550" s="12"/>
      <c r="D550" s="12"/>
      <c r="E550" s="12"/>
      <c r="F550" s="12"/>
      <c r="G550" s="18"/>
      <c r="H550" s="35"/>
      <c r="I550" s="12"/>
      <c r="M550" s="12"/>
      <c r="N550" s="18"/>
      <c r="O550" s="12"/>
      <c r="P550" s="12"/>
      <c r="Q550" s="12"/>
      <c r="R550" s="36"/>
      <c r="S550" s="36"/>
      <c r="T550" s="12"/>
      <c r="U550" s="12"/>
      <c r="V550" s="12"/>
      <c r="W550" s="12"/>
      <c r="X550" s="12"/>
    </row>
    <row r="551" customFormat="false" ht="15.75" hidden="false" customHeight="false" outlineLevel="0" collapsed="false">
      <c r="A551" s="12"/>
      <c r="B551" s="34"/>
      <c r="C551" s="12"/>
      <c r="D551" s="12"/>
      <c r="E551" s="12"/>
      <c r="F551" s="12"/>
      <c r="G551" s="18"/>
      <c r="H551" s="35"/>
      <c r="I551" s="12"/>
      <c r="M551" s="12"/>
      <c r="N551" s="18"/>
      <c r="O551" s="12"/>
      <c r="P551" s="12"/>
      <c r="Q551" s="12"/>
      <c r="R551" s="36"/>
      <c r="S551" s="36"/>
      <c r="T551" s="12"/>
      <c r="U551" s="12"/>
      <c r="V551" s="12"/>
      <c r="W551" s="12"/>
      <c r="X551" s="12"/>
    </row>
    <row r="552" customFormat="false" ht="15.75" hidden="false" customHeight="false" outlineLevel="0" collapsed="false">
      <c r="A552" s="12"/>
      <c r="B552" s="34"/>
      <c r="C552" s="12"/>
      <c r="D552" s="12"/>
      <c r="E552" s="12"/>
      <c r="F552" s="12"/>
      <c r="G552" s="18"/>
      <c r="H552" s="35"/>
      <c r="I552" s="12"/>
      <c r="M552" s="12"/>
      <c r="N552" s="18"/>
      <c r="O552" s="12"/>
      <c r="P552" s="12"/>
      <c r="Q552" s="12"/>
      <c r="R552" s="36"/>
      <c r="S552" s="36"/>
      <c r="T552" s="12"/>
      <c r="U552" s="12"/>
      <c r="V552" s="12"/>
      <c r="W552" s="12"/>
      <c r="X552" s="12"/>
    </row>
    <row r="553" customFormat="false" ht="15.75" hidden="false" customHeight="false" outlineLevel="0" collapsed="false">
      <c r="A553" s="12"/>
      <c r="B553" s="34"/>
      <c r="C553" s="12"/>
      <c r="D553" s="12"/>
      <c r="E553" s="12"/>
      <c r="F553" s="12"/>
      <c r="G553" s="18"/>
      <c r="H553" s="35"/>
      <c r="I553" s="12"/>
      <c r="M553" s="12"/>
      <c r="N553" s="18"/>
      <c r="O553" s="12"/>
      <c r="P553" s="12"/>
      <c r="Q553" s="12"/>
      <c r="R553" s="36"/>
      <c r="S553" s="36"/>
      <c r="T553" s="12"/>
      <c r="U553" s="12"/>
      <c r="V553" s="12"/>
      <c r="W553" s="12"/>
      <c r="X553" s="12"/>
    </row>
    <row r="554" customFormat="false" ht="15.75" hidden="false" customHeight="false" outlineLevel="0" collapsed="false">
      <c r="A554" s="12"/>
      <c r="B554" s="34"/>
      <c r="C554" s="12"/>
      <c r="D554" s="12"/>
      <c r="E554" s="12"/>
      <c r="F554" s="12"/>
      <c r="G554" s="18"/>
      <c r="H554" s="35"/>
      <c r="I554" s="12"/>
      <c r="M554" s="12"/>
      <c r="N554" s="18"/>
      <c r="O554" s="12"/>
      <c r="P554" s="12"/>
      <c r="Q554" s="12"/>
      <c r="R554" s="36"/>
      <c r="S554" s="36"/>
      <c r="T554" s="12"/>
      <c r="U554" s="12"/>
      <c r="V554" s="12"/>
      <c r="W554" s="12"/>
      <c r="X554" s="12"/>
    </row>
    <row r="555" customFormat="false" ht="15.75" hidden="false" customHeight="false" outlineLevel="0" collapsed="false">
      <c r="A555" s="12"/>
      <c r="B555" s="34"/>
      <c r="C555" s="12"/>
      <c r="D555" s="12"/>
      <c r="E555" s="12"/>
      <c r="F555" s="12"/>
      <c r="G555" s="18"/>
      <c r="H555" s="35"/>
      <c r="I555" s="12"/>
      <c r="M555" s="12"/>
      <c r="N555" s="18"/>
      <c r="O555" s="12"/>
      <c r="P555" s="12"/>
      <c r="Q555" s="12"/>
      <c r="R555" s="36"/>
      <c r="S555" s="36"/>
      <c r="T555" s="12"/>
      <c r="U555" s="12"/>
      <c r="V555" s="12"/>
      <c r="W555" s="12"/>
      <c r="X555" s="12"/>
    </row>
    <row r="556" customFormat="false" ht="15.75" hidden="false" customHeight="false" outlineLevel="0" collapsed="false">
      <c r="A556" s="12"/>
      <c r="B556" s="34"/>
      <c r="C556" s="12"/>
      <c r="D556" s="12"/>
      <c r="E556" s="12"/>
      <c r="F556" s="12"/>
      <c r="G556" s="18"/>
      <c r="H556" s="35"/>
      <c r="I556" s="12"/>
      <c r="M556" s="12"/>
      <c r="N556" s="18"/>
      <c r="O556" s="12"/>
      <c r="P556" s="12"/>
      <c r="Q556" s="12"/>
      <c r="R556" s="36"/>
      <c r="S556" s="36"/>
      <c r="T556" s="12"/>
      <c r="U556" s="12"/>
      <c r="V556" s="12"/>
      <c r="W556" s="12"/>
      <c r="X556" s="12"/>
    </row>
    <row r="557" customFormat="false" ht="15.75" hidden="false" customHeight="false" outlineLevel="0" collapsed="false">
      <c r="A557" s="12"/>
      <c r="B557" s="34"/>
      <c r="C557" s="12"/>
      <c r="D557" s="12"/>
      <c r="E557" s="12"/>
      <c r="F557" s="12"/>
      <c r="G557" s="18"/>
      <c r="H557" s="35"/>
      <c r="I557" s="12"/>
      <c r="M557" s="12"/>
      <c r="N557" s="18"/>
      <c r="O557" s="12"/>
      <c r="P557" s="12"/>
      <c r="Q557" s="12"/>
      <c r="R557" s="36"/>
      <c r="S557" s="36"/>
      <c r="T557" s="12"/>
      <c r="U557" s="12"/>
      <c r="V557" s="12"/>
      <c r="W557" s="12"/>
      <c r="X557" s="12"/>
    </row>
    <row r="558" customFormat="false" ht="15.75" hidden="false" customHeight="false" outlineLevel="0" collapsed="false">
      <c r="A558" s="12"/>
      <c r="B558" s="34"/>
      <c r="C558" s="12"/>
      <c r="D558" s="12"/>
      <c r="E558" s="12"/>
      <c r="F558" s="12"/>
      <c r="G558" s="18"/>
      <c r="H558" s="35"/>
      <c r="I558" s="12"/>
      <c r="M558" s="12"/>
      <c r="N558" s="18"/>
      <c r="O558" s="12"/>
      <c r="P558" s="12"/>
      <c r="Q558" s="12"/>
      <c r="R558" s="36"/>
      <c r="S558" s="36"/>
      <c r="T558" s="12"/>
      <c r="U558" s="12"/>
      <c r="V558" s="12"/>
      <c r="W558" s="12"/>
      <c r="X558" s="12"/>
    </row>
    <row r="559" customFormat="false" ht="15.75" hidden="false" customHeight="false" outlineLevel="0" collapsed="false">
      <c r="A559" s="12"/>
      <c r="B559" s="34"/>
      <c r="C559" s="12"/>
      <c r="D559" s="12"/>
      <c r="E559" s="12"/>
      <c r="F559" s="12"/>
      <c r="G559" s="18"/>
      <c r="H559" s="35"/>
      <c r="I559" s="12"/>
      <c r="M559" s="12"/>
      <c r="N559" s="18"/>
      <c r="O559" s="12"/>
      <c r="P559" s="12"/>
      <c r="Q559" s="12"/>
      <c r="R559" s="36"/>
      <c r="S559" s="36"/>
      <c r="T559" s="12"/>
      <c r="U559" s="12"/>
      <c r="V559" s="12"/>
      <c r="W559" s="12"/>
      <c r="X559" s="12"/>
    </row>
    <row r="560" customFormat="false" ht="15.75" hidden="false" customHeight="false" outlineLevel="0" collapsed="false">
      <c r="A560" s="12"/>
      <c r="B560" s="34"/>
      <c r="C560" s="12"/>
      <c r="D560" s="12"/>
      <c r="E560" s="12"/>
      <c r="F560" s="12"/>
      <c r="G560" s="18"/>
      <c r="H560" s="35"/>
      <c r="I560" s="12"/>
      <c r="M560" s="12"/>
      <c r="N560" s="18"/>
      <c r="O560" s="12"/>
      <c r="P560" s="12"/>
      <c r="Q560" s="12"/>
      <c r="R560" s="36"/>
      <c r="S560" s="36"/>
      <c r="T560" s="12"/>
      <c r="U560" s="12"/>
      <c r="V560" s="12"/>
      <c r="W560" s="12"/>
      <c r="X560" s="12"/>
    </row>
    <row r="561" customFormat="false" ht="15.75" hidden="false" customHeight="false" outlineLevel="0" collapsed="false">
      <c r="A561" s="12"/>
      <c r="B561" s="34"/>
      <c r="C561" s="12"/>
      <c r="D561" s="12"/>
      <c r="E561" s="12"/>
      <c r="F561" s="12"/>
      <c r="G561" s="18"/>
      <c r="H561" s="35"/>
      <c r="I561" s="12"/>
      <c r="M561" s="12"/>
      <c r="N561" s="18"/>
      <c r="O561" s="12"/>
      <c r="P561" s="12"/>
      <c r="Q561" s="12"/>
      <c r="R561" s="36"/>
      <c r="S561" s="36"/>
      <c r="T561" s="12"/>
      <c r="U561" s="12"/>
      <c r="V561" s="12"/>
      <c r="W561" s="12"/>
      <c r="X561" s="12"/>
    </row>
    <row r="562" customFormat="false" ht="15.75" hidden="false" customHeight="false" outlineLevel="0" collapsed="false">
      <c r="A562" s="12"/>
      <c r="B562" s="34"/>
      <c r="C562" s="12"/>
      <c r="D562" s="12"/>
      <c r="E562" s="12"/>
      <c r="F562" s="12"/>
      <c r="G562" s="18"/>
      <c r="H562" s="35"/>
      <c r="I562" s="12"/>
      <c r="M562" s="12"/>
      <c r="N562" s="18"/>
      <c r="O562" s="12"/>
      <c r="P562" s="12"/>
      <c r="Q562" s="12"/>
      <c r="R562" s="36"/>
      <c r="S562" s="36"/>
      <c r="T562" s="12"/>
      <c r="U562" s="12"/>
      <c r="V562" s="12"/>
      <c r="W562" s="12"/>
      <c r="X562" s="12"/>
    </row>
    <row r="563" customFormat="false" ht="15.75" hidden="false" customHeight="false" outlineLevel="0" collapsed="false">
      <c r="A563" s="12"/>
      <c r="B563" s="34"/>
      <c r="C563" s="12"/>
      <c r="D563" s="12"/>
      <c r="E563" s="12"/>
      <c r="F563" s="12"/>
      <c r="G563" s="18"/>
      <c r="H563" s="35"/>
      <c r="I563" s="12"/>
      <c r="M563" s="12"/>
      <c r="N563" s="18"/>
      <c r="O563" s="12"/>
      <c r="P563" s="12"/>
      <c r="Q563" s="12"/>
      <c r="R563" s="36"/>
      <c r="S563" s="36"/>
      <c r="T563" s="12"/>
      <c r="U563" s="12"/>
      <c r="V563" s="12"/>
      <c r="W563" s="12"/>
      <c r="X563" s="12"/>
    </row>
    <row r="564" customFormat="false" ht="15.75" hidden="false" customHeight="false" outlineLevel="0" collapsed="false">
      <c r="A564" s="12"/>
      <c r="B564" s="34"/>
      <c r="C564" s="12"/>
      <c r="D564" s="12"/>
      <c r="E564" s="12"/>
      <c r="F564" s="12"/>
      <c r="G564" s="18"/>
      <c r="H564" s="35"/>
      <c r="I564" s="12"/>
      <c r="M564" s="12"/>
      <c r="N564" s="18"/>
      <c r="O564" s="12"/>
      <c r="P564" s="12"/>
      <c r="Q564" s="12"/>
      <c r="R564" s="36"/>
      <c r="S564" s="36"/>
      <c r="T564" s="12"/>
      <c r="U564" s="12"/>
      <c r="V564" s="12"/>
      <c r="W564" s="12"/>
      <c r="X564" s="12"/>
    </row>
    <row r="565" customFormat="false" ht="15.75" hidden="false" customHeight="false" outlineLevel="0" collapsed="false">
      <c r="A565" s="12"/>
      <c r="B565" s="34"/>
      <c r="C565" s="12"/>
      <c r="D565" s="12"/>
      <c r="E565" s="12"/>
      <c r="F565" s="12"/>
      <c r="G565" s="18"/>
      <c r="H565" s="35"/>
      <c r="I565" s="12"/>
      <c r="M565" s="12"/>
      <c r="N565" s="18"/>
      <c r="O565" s="12"/>
      <c r="P565" s="12"/>
      <c r="Q565" s="12"/>
      <c r="R565" s="36"/>
      <c r="S565" s="36"/>
      <c r="T565" s="12"/>
      <c r="U565" s="12"/>
      <c r="V565" s="12"/>
      <c r="W565" s="12"/>
      <c r="X565" s="12"/>
    </row>
    <row r="566" customFormat="false" ht="15.75" hidden="false" customHeight="false" outlineLevel="0" collapsed="false">
      <c r="A566" s="12"/>
      <c r="B566" s="34"/>
      <c r="C566" s="12"/>
      <c r="D566" s="12"/>
      <c r="E566" s="12"/>
      <c r="F566" s="12"/>
      <c r="G566" s="18"/>
      <c r="H566" s="35"/>
      <c r="I566" s="12"/>
      <c r="M566" s="12"/>
      <c r="N566" s="18"/>
      <c r="O566" s="12"/>
      <c r="P566" s="12"/>
      <c r="Q566" s="12"/>
      <c r="R566" s="36"/>
      <c r="S566" s="36"/>
      <c r="T566" s="12"/>
      <c r="U566" s="12"/>
      <c r="V566" s="12"/>
      <c r="W566" s="12"/>
      <c r="X566" s="12"/>
    </row>
    <row r="567" customFormat="false" ht="15.75" hidden="false" customHeight="false" outlineLevel="0" collapsed="false">
      <c r="A567" s="12"/>
      <c r="B567" s="34"/>
      <c r="C567" s="12"/>
      <c r="D567" s="12"/>
      <c r="E567" s="12"/>
      <c r="F567" s="12"/>
      <c r="G567" s="18"/>
      <c r="H567" s="35"/>
      <c r="I567" s="12"/>
      <c r="M567" s="12"/>
      <c r="N567" s="18"/>
      <c r="O567" s="12"/>
      <c r="P567" s="12"/>
      <c r="Q567" s="12"/>
      <c r="R567" s="36"/>
      <c r="S567" s="36"/>
      <c r="T567" s="12"/>
      <c r="U567" s="12"/>
      <c r="V567" s="12"/>
      <c r="W567" s="12"/>
      <c r="X567" s="12"/>
    </row>
    <row r="568" customFormat="false" ht="15.75" hidden="false" customHeight="false" outlineLevel="0" collapsed="false">
      <c r="A568" s="12"/>
      <c r="B568" s="34"/>
      <c r="C568" s="12"/>
      <c r="D568" s="12"/>
      <c r="E568" s="12"/>
      <c r="F568" s="12"/>
      <c r="G568" s="18"/>
      <c r="H568" s="35"/>
      <c r="I568" s="12"/>
      <c r="M568" s="12"/>
      <c r="N568" s="18"/>
      <c r="O568" s="12"/>
      <c r="P568" s="12"/>
      <c r="Q568" s="12"/>
      <c r="R568" s="36"/>
      <c r="S568" s="36"/>
      <c r="T568" s="12"/>
      <c r="U568" s="12"/>
      <c r="V568" s="12"/>
      <c r="W568" s="12"/>
      <c r="X568" s="12"/>
    </row>
    <row r="569" customFormat="false" ht="15.75" hidden="false" customHeight="false" outlineLevel="0" collapsed="false">
      <c r="A569" s="12"/>
      <c r="B569" s="34"/>
      <c r="C569" s="12"/>
      <c r="D569" s="12"/>
      <c r="E569" s="12"/>
      <c r="F569" s="12"/>
      <c r="G569" s="18"/>
      <c r="H569" s="35"/>
      <c r="I569" s="12"/>
      <c r="M569" s="12"/>
      <c r="N569" s="18"/>
      <c r="O569" s="12"/>
      <c r="P569" s="12"/>
      <c r="Q569" s="12"/>
      <c r="R569" s="36"/>
      <c r="S569" s="36"/>
      <c r="T569" s="12"/>
      <c r="U569" s="12"/>
      <c r="V569" s="12"/>
      <c r="W569" s="12"/>
      <c r="X569" s="12"/>
    </row>
    <row r="570" customFormat="false" ht="15.75" hidden="false" customHeight="false" outlineLevel="0" collapsed="false">
      <c r="A570" s="12"/>
      <c r="B570" s="34"/>
      <c r="C570" s="12"/>
      <c r="D570" s="12"/>
      <c r="E570" s="12"/>
      <c r="F570" s="12"/>
      <c r="G570" s="18"/>
      <c r="H570" s="35"/>
      <c r="I570" s="12"/>
      <c r="M570" s="12"/>
      <c r="N570" s="18"/>
      <c r="O570" s="12"/>
      <c r="P570" s="12"/>
      <c r="Q570" s="12"/>
      <c r="R570" s="36"/>
      <c r="S570" s="36"/>
      <c r="T570" s="12"/>
      <c r="U570" s="12"/>
      <c r="V570" s="12"/>
      <c r="W570" s="12"/>
      <c r="X570" s="12"/>
    </row>
    <row r="571" customFormat="false" ht="15.75" hidden="false" customHeight="false" outlineLevel="0" collapsed="false">
      <c r="A571" s="12"/>
      <c r="B571" s="34"/>
      <c r="C571" s="12"/>
      <c r="D571" s="12"/>
      <c r="E571" s="12"/>
      <c r="F571" s="12"/>
      <c r="G571" s="18"/>
      <c r="H571" s="35"/>
      <c r="I571" s="12"/>
      <c r="M571" s="12"/>
      <c r="N571" s="18"/>
      <c r="O571" s="12"/>
      <c r="P571" s="12"/>
      <c r="Q571" s="12"/>
      <c r="R571" s="36"/>
      <c r="S571" s="36"/>
      <c r="T571" s="12"/>
      <c r="U571" s="12"/>
      <c r="V571" s="12"/>
      <c r="W571" s="12"/>
      <c r="X571" s="12"/>
    </row>
    <row r="572" customFormat="false" ht="15.75" hidden="false" customHeight="false" outlineLevel="0" collapsed="false">
      <c r="A572" s="12"/>
      <c r="B572" s="34"/>
      <c r="C572" s="12"/>
      <c r="D572" s="12"/>
      <c r="E572" s="12"/>
      <c r="F572" s="12"/>
      <c r="G572" s="18"/>
      <c r="H572" s="35"/>
      <c r="I572" s="12"/>
      <c r="M572" s="12"/>
      <c r="N572" s="18"/>
      <c r="O572" s="12"/>
      <c r="P572" s="12"/>
      <c r="Q572" s="12"/>
      <c r="R572" s="36"/>
      <c r="S572" s="36"/>
      <c r="T572" s="12"/>
      <c r="U572" s="12"/>
      <c r="V572" s="12"/>
      <c r="W572" s="12"/>
      <c r="X572" s="12"/>
    </row>
    <row r="573" customFormat="false" ht="15.75" hidden="false" customHeight="false" outlineLevel="0" collapsed="false">
      <c r="A573" s="12"/>
      <c r="B573" s="34"/>
      <c r="C573" s="12"/>
      <c r="D573" s="12"/>
      <c r="E573" s="12"/>
      <c r="F573" s="12"/>
      <c r="G573" s="18"/>
      <c r="H573" s="35"/>
      <c r="I573" s="12"/>
      <c r="M573" s="12"/>
      <c r="N573" s="18"/>
      <c r="O573" s="12"/>
      <c r="P573" s="12"/>
      <c r="Q573" s="12"/>
      <c r="R573" s="36"/>
      <c r="S573" s="36"/>
      <c r="T573" s="12"/>
      <c r="U573" s="12"/>
      <c r="V573" s="12"/>
      <c r="W573" s="12"/>
      <c r="X573" s="12"/>
    </row>
    <row r="574" customFormat="false" ht="15.75" hidden="false" customHeight="false" outlineLevel="0" collapsed="false">
      <c r="A574" s="12"/>
      <c r="B574" s="34"/>
      <c r="C574" s="12"/>
      <c r="D574" s="12"/>
      <c r="E574" s="12"/>
      <c r="F574" s="12"/>
      <c r="G574" s="18"/>
      <c r="H574" s="35"/>
      <c r="I574" s="12"/>
      <c r="M574" s="12"/>
      <c r="N574" s="18"/>
      <c r="O574" s="12"/>
      <c r="P574" s="12"/>
      <c r="Q574" s="12"/>
      <c r="R574" s="36"/>
      <c r="S574" s="36"/>
      <c r="T574" s="12"/>
      <c r="U574" s="12"/>
      <c r="V574" s="12"/>
      <c r="W574" s="12"/>
      <c r="X574" s="12"/>
    </row>
    <row r="575" customFormat="false" ht="15.75" hidden="false" customHeight="false" outlineLevel="0" collapsed="false">
      <c r="A575" s="12"/>
      <c r="B575" s="34"/>
      <c r="C575" s="12"/>
      <c r="D575" s="12"/>
      <c r="E575" s="12"/>
      <c r="F575" s="12"/>
      <c r="G575" s="18"/>
      <c r="H575" s="35"/>
      <c r="I575" s="12"/>
      <c r="M575" s="12"/>
      <c r="N575" s="18"/>
      <c r="O575" s="12"/>
      <c r="P575" s="12"/>
      <c r="Q575" s="12"/>
      <c r="R575" s="36"/>
      <c r="S575" s="36"/>
      <c r="T575" s="12"/>
      <c r="U575" s="12"/>
      <c r="V575" s="12"/>
      <c r="W575" s="12"/>
      <c r="X575" s="12"/>
    </row>
    <row r="576" customFormat="false" ht="15.75" hidden="false" customHeight="false" outlineLevel="0" collapsed="false">
      <c r="A576" s="12"/>
      <c r="B576" s="34"/>
      <c r="C576" s="12"/>
      <c r="D576" s="12"/>
      <c r="E576" s="12"/>
      <c r="F576" s="12"/>
      <c r="G576" s="18"/>
      <c r="H576" s="35"/>
      <c r="I576" s="12"/>
      <c r="M576" s="12"/>
      <c r="N576" s="18"/>
      <c r="O576" s="12"/>
      <c r="P576" s="12"/>
      <c r="Q576" s="12"/>
      <c r="R576" s="36"/>
      <c r="S576" s="36"/>
      <c r="T576" s="12"/>
      <c r="U576" s="12"/>
      <c r="V576" s="12"/>
      <c r="W576" s="12"/>
      <c r="X576" s="12"/>
    </row>
    <row r="577" customFormat="false" ht="15.75" hidden="false" customHeight="false" outlineLevel="0" collapsed="false">
      <c r="A577" s="12"/>
      <c r="B577" s="34"/>
      <c r="C577" s="12"/>
      <c r="D577" s="12"/>
      <c r="E577" s="12"/>
      <c r="F577" s="12"/>
      <c r="G577" s="18"/>
      <c r="H577" s="35"/>
      <c r="I577" s="12"/>
      <c r="M577" s="12"/>
      <c r="N577" s="18"/>
      <c r="O577" s="12"/>
      <c r="P577" s="12"/>
      <c r="Q577" s="12"/>
      <c r="R577" s="36"/>
      <c r="S577" s="36"/>
      <c r="T577" s="12"/>
      <c r="U577" s="12"/>
      <c r="V577" s="12"/>
      <c r="W577" s="12"/>
      <c r="X577" s="12"/>
    </row>
    <row r="578" customFormat="false" ht="15.75" hidden="false" customHeight="false" outlineLevel="0" collapsed="false">
      <c r="A578" s="12"/>
      <c r="B578" s="34"/>
      <c r="C578" s="12"/>
      <c r="D578" s="12"/>
      <c r="E578" s="12"/>
      <c r="F578" s="12"/>
      <c r="G578" s="18"/>
      <c r="H578" s="35"/>
      <c r="I578" s="12"/>
      <c r="M578" s="12"/>
      <c r="N578" s="18"/>
      <c r="O578" s="12"/>
      <c r="P578" s="12"/>
      <c r="Q578" s="12"/>
      <c r="R578" s="36"/>
      <c r="S578" s="36"/>
      <c r="T578" s="12"/>
      <c r="U578" s="12"/>
      <c r="V578" s="12"/>
      <c r="W578" s="12"/>
      <c r="X578" s="12"/>
    </row>
    <row r="579" customFormat="false" ht="15.75" hidden="false" customHeight="false" outlineLevel="0" collapsed="false">
      <c r="A579" s="12"/>
      <c r="B579" s="34"/>
      <c r="C579" s="12"/>
      <c r="D579" s="12"/>
      <c r="E579" s="12"/>
      <c r="F579" s="12"/>
      <c r="G579" s="18"/>
      <c r="H579" s="35"/>
      <c r="I579" s="12"/>
      <c r="M579" s="12"/>
      <c r="N579" s="18"/>
      <c r="O579" s="12"/>
      <c r="P579" s="12"/>
      <c r="Q579" s="12"/>
      <c r="R579" s="36"/>
      <c r="S579" s="36"/>
      <c r="T579" s="12"/>
      <c r="U579" s="12"/>
      <c r="V579" s="12"/>
      <c r="W579" s="12"/>
      <c r="X579" s="12"/>
    </row>
    <row r="580" customFormat="false" ht="15.75" hidden="false" customHeight="false" outlineLevel="0" collapsed="false">
      <c r="A580" s="12"/>
      <c r="B580" s="34"/>
      <c r="C580" s="12"/>
      <c r="D580" s="12"/>
      <c r="E580" s="12"/>
      <c r="F580" s="12"/>
      <c r="G580" s="18"/>
      <c r="H580" s="35"/>
      <c r="I580" s="12"/>
      <c r="M580" s="12"/>
      <c r="N580" s="18"/>
      <c r="O580" s="12"/>
      <c r="P580" s="12"/>
      <c r="Q580" s="12"/>
      <c r="R580" s="36"/>
      <c r="S580" s="36"/>
      <c r="T580" s="12"/>
      <c r="U580" s="12"/>
      <c r="V580" s="12"/>
      <c r="W580" s="12"/>
      <c r="X580" s="12"/>
    </row>
    <row r="581" customFormat="false" ht="15.75" hidden="false" customHeight="false" outlineLevel="0" collapsed="false">
      <c r="A581" s="12"/>
      <c r="B581" s="34"/>
      <c r="C581" s="12"/>
      <c r="D581" s="12"/>
      <c r="E581" s="12"/>
      <c r="F581" s="12"/>
      <c r="G581" s="18"/>
      <c r="H581" s="35"/>
      <c r="I581" s="12"/>
      <c r="M581" s="12"/>
      <c r="N581" s="18"/>
      <c r="O581" s="12"/>
      <c r="P581" s="12"/>
      <c r="Q581" s="12"/>
      <c r="R581" s="36"/>
      <c r="S581" s="36"/>
      <c r="T581" s="12"/>
      <c r="U581" s="12"/>
      <c r="V581" s="12"/>
      <c r="W581" s="12"/>
      <c r="X581" s="12"/>
    </row>
    <row r="582" customFormat="false" ht="15.75" hidden="false" customHeight="false" outlineLevel="0" collapsed="false">
      <c r="A582" s="12"/>
      <c r="B582" s="34"/>
      <c r="C582" s="12"/>
      <c r="D582" s="12"/>
      <c r="E582" s="12"/>
      <c r="F582" s="12"/>
      <c r="G582" s="18"/>
      <c r="H582" s="35"/>
      <c r="I582" s="12"/>
      <c r="M582" s="12"/>
      <c r="N582" s="18"/>
      <c r="O582" s="12"/>
      <c r="P582" s="12"/>
      <c r="Q582" s="12"/>
      <c r="R582" s="36"/>
      <c r="S582" s="36"/>
      <c r="T582" s="12"/>
      <c r="U582" s="12"/>
      <c r="V582" s="12"/>
      <c r="W582" s="12"/>
      <c r="X582" s="12"/>
    </row>
    <row r="583" customFormat="false" ht="15.75" hidden="false" customHeight="false" outlineLevel="0" collapsed="false">
      <c r="A583" s="12"/>
      <c r="B583" s="34"/>
      <c r="C583" s="12"/>
      <c r="D583" s="12"/>
      <c r="E583" s="12"/>
      <c r="F583" s="12"/>
      <c r="G583" s="18"/>
      <c r="H583" s="35"/>
      <c r="I583" s="12"/>
      <c r="M583" s="12"/>
      <c r="N583" s="18"/>
      <c r="O583" s="12"/>
      <c r="P583" s="12"/>
      <c r="Q583" s="12"/>
      <c r="R583" s="36"/>
      <c r="S583" s="36"/>
      <c r="T583" s="12"/>
      <c r="U583" s="12"/>
      <c r="V583" s="12"/>
      <c r="W583" s="12"/>
      <c r="X583" s="12"/>
    </row>
    <row r="584" customFormat="false" ht="15.75" hidden="false" customHeight="false" outlineLevel="0" collapsed="false">
      <c r="A584" s="12"/>
      <c r="B584" s="34"/>
      <c r="C584" s="12"/>
      <c r="D584" s="12"/>
      <c r="E584" s="12"/>
      <c r="F584" s="12"/>
      <c r="G584" s="18"/>
      <c r="H584" s="35"/>
      <c r="I584" s="12"/>
      <c r="M584" s="12"/>
      <c r="N584" s="18"/>
      <c r="O584" s="12"/>
      <c r="P584" s="12"/>
      <c r="Q584" s="12"/>
      <c r="R584" s="36"/>
      <c r="S584" s="36"/>
      <c r="T584" s="12"/>
      <c r="U584" s="12"/>
      <c r="V584" s="12"/>
      <c r="W584" s="12"/>
      <c r="X584" s="12"/>
    </row>
    <row r="585" customFormat="false" ht="15.75" hidden="false" customHeight="false" outlineLevel="0" collapsed="false">
      <c r="A585" s="12"/>
      <c r="B585" s="34"/>
      <c r="C585" s="12"/>
      <c r="D585" s="12"/>
      <c r="E585" s="12"/>
      <c r="F585" s="12"/>
      <c r="G585" s="18"/>
      <c r="H585" s="35"/>
      <c r="I585" s="12"/>
      <c r="M585" s="12"/>
      <c r="N585" s="18"/>
      <c r="O585" s="12"/>
      <c r="P585" s="12"/>
      <c r="Q585" s="12"/>
      <c r="R585" s="36"/>
      <c r="S585" s="36"/>
      <c r="T585" s="12"/>
      <c r="U585" s="12"/>
      <c r="V585" s="12"/>
      <c r="W585" s="12"/>
      <c r="X585" s="12"/>
    </row>
    <row r="586" customFormat="false" ht="15.75" hidden="false" customHeight="false" outlineLevel="0" collapsed="false">
      <c r="A586" s="12"/>
      <c r="B586" s="34"/>
      <c r="C586" s="12"/>
      <c r="D586" s="12"/>
      <c r="E586" s="12"/>
      <c r="F586" s="12"/>
      <c r="G586" s="18"/>
      <c r="H586" s="35"/>
      <c r="I586" s="12"/>
      <c r="M586" s="12"/>
      <c r="N586" s="18"/>
      <c r="O586" s="12"/>
      <c r="P586" s="12"/>
      <c r="Q586" s="12"/>
      <c r="R586" s="36"/>
      <c r="S586" s="36"/>
      <c r="T586" s="12"/>
      <c r="U586" s="12"/>
      <c r="V586" s="12"/>
      <c r="W586" s="12"/>
      <c r="X586" s="12"/>
    </row>
    <row r="587" customFormat="false" ht="15.75" hidden="false" customHeight="false" outlineLevel="0" collapsed="false">
      <c r="A587" s="12"/>
      <c r="B587" s="34"/>
      <c r="C587" s="12"/>
      <c r="D587" s="12"/>
      <c r="E587" s="12"/>
      <c r="F587" s="12"/>
      <c r="G587" s="18"/>
      <c r="H587" s="35"/>
      <c r="I587" s="12"/>
      <c r="M587" s="12"/>
      <c r="N587" s="18"/>
      <c r="O587" s="12"/>
      <c r="P587" s="12"/>
      <c r="Q587" s="12"/>
      <c r="R587" s="36"/>
      <c r="S587" s="36"/>
      <c r="T587" s="12"/>
      <c r="U587" s="12"/>
      <c r="V587" s="12"/>
      <c r="W587" s="12"/>
      <c r="X587" s="12"/>
    </row>
    <row r="588" customFormat="false" ht="15.75" hidden="false" customHeight="false" outlineLevel="0" collapsed="false">
      <c r="A588" s="12"/>
      <c r="B588" s="34"/>
      <c r="C588" s="12"/>
      <c r="D588" s="12"/>
      <c r="E588" s="12"/>
      <c r="F588" s="12"/>
      <c r="G588" s="18"/>
      <c r="H588" s="35"/>
      <c r="I588" s="12"/>
      <c r="M588" s="12"/>
      <c r="N588" s="18"/>
      <c r="O588" s="12"/>
      <c r="P588" s="12"/>
      <c r="Q588" s="12"/>
      <c r="R588" s="36"/>
      <c r="S588" s="36"/>
      <c r="T588" s="12"/>
      <c r="U588" s="12"/>
      <c r="V588" s="12"/>
      <c r="W588" s="12"/>
      <c r="X588" s="12"/>
    </row>
    <row r="589" customFormat="false" ht="15.75" hidden="false" customHeight="false" outlineLevel="0" collapsed="false">
      <c r="A589" s="12"/>
      <c r="B589" s="34"/>
      <c r="C589" s="12"/>
      <c r="D589" s="12"/>
      <c r="E589" s="12"/>
      <c r="F589" s="12"/>
      <c r="G589" s="18"/>
      <c r="H589" s="35"/>
      <c r="I589" s="12"/>
      <c r="M589" s="12"/>
      <c r="N589" s="18"/>
      <c r="O589" s="12"/>
      <c r="P589" s="12"/>
      <c r="Q589" s="12"/>
      <c r="R589" s="36"/>
      <c r="S589" s="36"/>
      <c r="T589" s="12"/>
      <c r="U589" s="12"/>
      <c r="V589" s="12"/>
      <c r="W589" s="12"/>
      <c r="X589" s="12"/>
    </row>
    <row r="590" customFormat="false" ht="15.75" hidden="false" customHeight="false" outlineLevel="0" collapsed="false">
      <c r="A590" s="12"/>
      <c r="B590" s="34"/>
      <c r="C590" s="12"/>
      <c r="D590" s="12"/>
      <c r="E590" s="12"/>
      <c r="F590" s="12"/>
      <c r="G590" s="18"/>
      <c r="H590" s="35"/>
      <c r="I590" s="12"/>
      <c r="M590" s="12"/>
      <c r="N590" s="18"/>
      <c r="O590" s="12"/>
      <c r="P590" s="12"/>
      <c r="Q590" s="12"/>
      <c r="R590" s="36"/>
      <c r="S590" s="36"/>
      <c r="T590" s="12"/>
      <c r="U590" s="12"/>
      <c r="V590" s="12"/>
      <c r="W590" s="12"/>
      <c r="X590" s="12"/>
    </row>
    <row r="591" customFormat="false" ht="15.75" hidden="false" customHeight="false" outlineLevel="0" collapsed="false">
      <c r="A591" s="12"/>
      <c r="B591" s="34"/>
      <c r="C591" s="12"/>
      <c r="D591" s="12"/>
      <c r="E591" s="12"/>
      <c r="F591" s="12"/>
      <c r="G591" s="18"/>
      <c r="H591" s="35"/>
      <c r="I591" s="12"/>
      <c r="M591" s="12"/>
      <c r="N591" s="18"/>
      <c r="O591" s="12"/>
      <c r="P591" s="12"/>
      <c r="Q591" s="12"/>
      <c r="R591" s="36"/>
      <c r="S591" s="36"/>
      <c r="T591" s="12"/>
      <c r="U591" s="12"/>
      <c r="V591" s="12"/>
      <c r="W591" s="12"/>
      <c r="X591" s="12"/>
    </row>
    <row r="592" customFormat="false" ht="15.75" hidden="false" customHeight="false" outlineLevel="0" collapsed="false">
      <c r="A592" s="12"/>
      <c r="B592" s="34"/>
      <c r="C592" s="12"/>
      <c r="D592" s="12"/>
      <c r="E592" s="12"/>
      <c r="F592" s="12"/>
      <c r="G592" s="18"/>
      <c r="H592" s="35"/>
      <c r="I592" s="12"/>
      <c r="M592" s="12"/>
      <c r="N592" s="18"/>
      <c r="O592" s="12"/>
      <c r="P592" s="12"/>
      <c r="Q592" s="12"/>
      <c r="R592" s="36"/>
      <c r="S592" s="36"/>
      <c r="T592" s="12"/>
      <c r="U592" s="12"/>
      <c r="V592" s="12"/>
      <c r="W592" s="12"/>
      <c r="X592" s="12"/>
    </row>
    <row r="593" customFormat="false" ht="15.75" hidden="false" customHeight="false" outlineLevel="0" collapsed="false">
      <c r="A593" s="12"/>
      <c r="B593" s="34"/>
      <c r="C593" s="12"/>
      <c r="D593" s="12"/>
      <c r="E593" s="12"/>
      <c r="F593" s="12"/>
      <c r="G593" s="18"/>
      <c r="H593" s="35"/>
      <c r="I593" s="12"/>
      <c r="M593" s="12"/>
      <c r="N593" s="18"/>
      <c r="O593" s="12"/>
      <c r="P593" s="12"/>
      <c r="Q593" s="12"/>
      <c r="R593" s="36"/>
      <c r="S593" s="36"/>
      <c r="T593" s="12"/>
      <c r="U593" s="12"/>
      <c r="V593" s="12"/>
      <c r="W593" s="12"/>
      <c r="X593" s="12"/>
    </row>
    <row r="594" customFormat="false" ht="15.75" hidden="false" customHeight="false" outlineLevel="0" collapsed="false">
      <c r="A594" s="12"/>
      <c r="B594" s="34"/>
      <c r="C594" s="12"/>
      <c r="D594" s="12"/>
      <c r="E594" s="12"/>
      <c r="F594" s="12"/>
      <c r="G594" s="18"/>
      <c r="H594" s="35"/>
      <c r="I594" s="12"/>
      <c r="M594" s="12"/>
      <c r="N594" s="18"/>
      <c r="O594" s="12"/>
      <c r="P594" s="12"/>
      <c r="Q594" s="12"/>
      <c r="R594" s="36"/>
      <c r="S594" s="36"/>
      <c r="T594" s="12"/>
      <c r="U594" s="12"/>
      <c r="V594" s="12"/>
      <c r="W594" s="12"/>
      <c r="X594" s="12"/>
    </row>
    <row r="595" customFormat="false" ht="15.75" hidden="false" customHeight="false" outlineLevel="0" collapsed="false">
      <c r="A595" s="12"/>
      <c r="B595" s="34"/>
      <c r="C595" s="12"/>
      <c r="D595" s="12"/>
      <c r="E595" s="12"/>
      <c r="F595" s="12"/>
      <c r="G595" s="18"/>
      <c r="H595" s="35"/>
      <c r="I595" s="12"/>
      <c r="M595" s="12"/>
      <c r="N595" s="18"/>
      <c r="O595" s="12"/>
      <c r="P595" s="12"/>
      <c r="Q595" s="12"/>
      <c r="R595" s="36"/>
      <c r="S595" s="36"/>
      <c r="T595" s="12"/>
      <c r="U595" s="12"/>
      <c r="V595" s="12"/>
      <c r="W595" s="12"/>
      <c r="X595" s="12"/>
    </row>
    <row r="596" customFormat="false" ht="15.75" hidden="false" customHeight="false" outlineLevel="0" collapsed="false">
      <c r="A596" s="12"/>
      <c r="B596" s="34"/>
      <c r="C596" s="12"/>
      <c r="D596" s="12"/>
      <c r="E596" s="12"/>
      <c r="F596" s="12"/>
      <c r="G596" s="18"/>
      <c r="H596" s="35"/>
      <c r="I596" s="12"/>
      <c r="M596" s="12"/>
      <c r="N596" s="18"/>
      <c r="O596" s="12"/>
      <c r="P596" s="12"/>
      <c r="Q596" s="12"/>
      <c r="R596" s="36"/>
      <c r="S596" s="36"/>
      <c r="T596" s="12"/>
      <c r="U596" s="12"/>
      <c r="V596" s="12"/>
      <c r="W596" s="12"/>
      <c r="X596" s="12"/>
    </row>
    <row r="597" customFormat="false" ht="15.75" hidden="false" customHeight="false" outlineLevel="0" collapsed="false">
      <c r="A597" s="12"/>
      <c r="B597" s="34"/>
      <c r="C597" s="12"/>
      <c r="D597" s="12"/>
      <c r="E597" s="12"/>
      <c r="F597" s="12"/>
      <c r="G597" s="18"/>
      <c r="H597" s="35"/>
      <c r="I597" s="12"/>
      <c r="M597" s="12"/>
      <c r="N597" s="18"/>
      <c r="O597" s="12"/>
      <c r="P597" s="12"/>
      <c r="Q597" s="12"/>
      <c r="R597" s="36"/>
      <c r="S597" s="36"/>
      <c r="T597" s="12"/>
      <c r="U597" s="12"/>
      <c r="V597" s="12"/>
      <c r="W597" s="12"/>
      <c r="X597" s="12"/>
    </row>
    <row r="598" customFormat="false" ht="15.75" hidden="false" customHeight="false" outlineLevel="0" collapsed="false">
      <c r="A598" s="12"/>
      <c r="B598" s="34"/>
      <c r="C598" s="12"/>
      <c r="D598" s="12"/>
      <c r="E598" s="12"/>
      <c r="F598" s="12"/>
      <c r="G598" s="18"/>
      <c r="H598" s="35"/>
      <c r="I598" s="12"/>
      <c r="M598" s="12"/>
      <c r="N598" s="18"/>
      <c r="O598" s="12"/>
      <c r="P598" s="12"/>
      <c r="Q598" s="12"/>
      <c r="R598" s="36"/>
      <c r="S598" s="36"/>
      <c r="T598" s="12"/>
      <c r="U598" s="12"/>
      <c r="V598" s="12"/>
      <c r="W598" s="12"/>
      <c r="X598" s="12"/>
    </row>
    <row r="599" customFormat="false" ht="15.75" hidden="false" customHeight="false" outlineLevel="0" collapsed="false">
      <c r="A599" s="12"/>
      <c r="B599" s="34"/>
      <c r="C599" s="12"/>
      <c r="D599" s="12"/>
      <c r="E599" s="12"/>
      <c r="F599" s="12"/>
      <c r="G599" s="18"/>
      <c r="H599" s="35"/>
      <c r="I599" s="12"/>
      <c r="M599" s="12"/>
      <c r="N599" s="18"/>
      <c r="O599" s="12"/>
      <c r="P599" s="12"/>
      <c r="Q599" s="12"/>
      <c r="R599" s="36"/>
      <c r="S599" s="36"/>
      <c r="T599" s="12"/>
      <c r="U599" s="12"/>
      <c r="V599" s="12"/>
      <c r="W599" s="12"/>
      <c r="X599" s="12"/>
    </row>
    <row r="600" customFormat="false" ht="15.75" hidden="false" customHeight="false" outlineLevel="0" collapsed="false">
      <c r="A600" s="12"/>
      <c r="B600" s="34"/>
      <c r="C600" s="12"/>
      <c r="D600" s="12"/>
      <c r="E600" s="12"/>
      <c r="F600" s="12"/>
      <c r="G600" s="18"/>
      <c r="H600" s="35"/>
      <c r="I600" s="12"/>
      <c r="M600" s="12"/>
      <c r="N600" s="18"/>
      <c r="O600" s="12"/>
      <c r="P600" s="12"/>
      <c r="Q600" s="12"/>
      <c r="R600" s="36"/>
      <c r="S600" s="36"/>
      <c r="T600" s="12"/>
      <c r="U600" s="12"/>
      <c r="V600" s="12"/>
      <c r="W600" s="12"/>
      <c r="X600" s="12"/>
    </row>
    <row r="601" customFormat="false" ht="15.75" hidden="false" customHeight="false" outlineLevel="0" collapsed="false">
      <c r="A601" s="12"/>
      <c r="B601" s="34"/>
      <c r="C601" s="12"/>
      <c r="D601" s="12"/>
      <c r="E601" s="12"/>
      <c r="F601" s="12"/>
      <c r="G601" s="18"/>
      <c r="H601" s="35"/>
      <c r="I601" s="12"/>
      <c r="M601" s="12"/>
      <c r="N601" s="18"/>
      <c r="O601" s="12"/>
      <c r="P601" s="12"/>
      <c r="Q601" s="12"/>
      <c r="R601" s="36"/>
      <c r="S601" s="36"/>
      <c r="T601" s="12"/>
      <c r="U601" s="12"/>
      <c r="V601" s="12"/>
      <c r="W601" s="12"/>
      <c r="X601" s="12"/>
    </row>
    <row r="602" customFormat="false" ht="15.75" hidden="false" customHeight="false" outlineLevel="0" collapsed="false">
      <c r="A602" s="12"/>
      <c r="B602" s="34"/>
      <c r="C602" s="12"/>
      <c r="D602" s="12"/>
      <c r="E602" s="12"/>
      <c r="F602" s="12"/>
      <c r="G602" s="18"/>
      <c r="H602" s="35"/>
      <c r="I602" s="12"/>
      <c r="M602" s="12"/>
      <c r="N602" s="18"/>
      <c r="O602" s="12"/>
      <c r="P602" s="12"/>
      <c r="Q602" s="12"/>
      <c r="R602" s="36"/>
      <c r="S602" s="36"/>
      <c r="T602" s="12"/>
      <c r="U602" s="12"/>
      <c r="V602" s="12"/>
      <c r="W602" s="12"/>
      <c r="X602" s="12"/>
    </row>
    <row r="603" customFormat="false" ht="15.75" hidden="false" customHeight="false" outlineLevel="0" collapsed="false">
      <c r="A603" s="12"/>
      <c r="B603" s="34"/>
      <c r="C603" s="12"/>
      <c r="D603" s="12"/>
      <c r="E603" s="12"/>
      <c r="F603" s="12"/>
      <c r="G603" s="18"/>
      <c r="H603" s="35"/>
      <c r="I603" s="12"/>
      <c r="M603" s="12"/>
      <c r="N603" s="18"/>
      <c r="O603" s="12"/>
      <c r="P603" s="12"/>
      <c r="Q603" s="12"/>
      <c r="R603" s="36"/>
      <c r="S603" s="36"/>
      <c r="T603" s="12"/>
      <c r="U603" s="12"/>
      <c r="V603" s="12"/>
      <c r="W603" s="12"/>
      <c r="X603" s="12"/>
    </row>
    <row r="604" customFormat="false" ht="15.75" hidden="false" customHeight="false" outlineLevel="0" collapsed="false">
      <c r="A604" s="12"/>
      <c r="B604" s="34"/>
      <c r="C604" s="12"/>
      <c r="D604" s="12"/>
      <c r="E604" s="12"/>
      <c r="F604" s="12"/>
      <c r="G604" s="18"/>
      <c r="H604" s="35"/>
      <c r="I604" s="12"/>
      <c r="M604" s="12"/>
      <c r="N604" s="18"/>
      <c r="O604" s="12"/>
      <c r="P604" s="12"/>
      <c r="Q604" s="12"/>
      <c r="R604" s="36"/>
      <c r="S604" s="36"/>
      <c r="T604" s="12"/>
      <c r="U604" s="12"/>
      <c r="V604" s="12"/>
      <c r="W604" s="12"/>
      <c r="X604" s="12"/>
    </row>
    <row r="605" customFormat="false" ht="15.75" hidden="false" customHeight="false" outlineLevel="0" collapsed="false">
      <c r="A605" s="12"/>
      <c r="B605" s="34"/>
      <c r="C605" s="12"/>
      <c r="D605" s="12"/>
      <c r="E605" s="12"/>
      <c r="F605" s="12"/>
      <c r="G605" s="18"/>
      <c r="H605" s="35"/>
      <c r="I605" s="12"/>
      <c r="M605" s="12"/>
      <c r="N605" s="18"/>
      <c r="O605" s="12"/>
      <c r="P605" s="12"/>
      <c r="Q605" s="12"/>
      <c r="R605" s="36"/>
      <c r="S605" s="36"/>
      <c r="T605" s="12"/>
      <c r="U605" s="12"/>
      <c r="V605" s="12"/>
      <c r="W605" s="12"/>
      <c r="X605" s="12"/>
    </row>
    <row r="606" customFormat="false" ht="15.75" hidden="false" customHeight="false" outlineLevel="0" collapsed="false">
      <c r="A606" s="12"/>
      <c r="B606" s="34"/>
      <c r="C606" s="12"/>
      <c r="D606" s="12"/>
      <c r="E606" s="12"/>
      <c r="F606" s="12"/>
      <c r="G606" s="18"/>
      <c r="H606" s="35"/>
      <c r="I606" s="12"/>
      <c r="M606" s="12"/>
      <c r="N606" s="18"/>
      <c r="O606" s="12"/>
      <c r="P606" s="12"/>
      <c r="Q606" s="12"/>
      <c r="R606" s="36"/>
      <c r="S606" s="36"/>
      <c r="T606" s="12"/>
      <c r="U606" s="12"/>
      <c r="V606" s="12"/>
      <c r="W606" s="12"/>
      <c r="X606" s="12"/>
    </row>
    <row r="607" customFormat="false" ht="15.75" hidden="false" customHeight="false" outlineLevel="0" collapsed="false">
      <c r="A607" s="12"/>
      <c r="B607" s="34"/>
      <c r="C607" s="12"/>
      <c r="D607" s="12"/>
      <c r="E607" s="12"/>
      <c r="F607" s="12"/>
      <c r="G607" s="18"/>
      <c r="H607" s="35"/>
      <c r="I607" s="12"/>
      <c r="M607" s="12"/>
      <c r="N607" s="18"/>
      <c r="O607" s="12"/>
      <c r="P607" s="12"/>
      <c r="Q607" s="12"/>
      <c r="R607" s="36"/>
      <c r="S607" s="36"/>
      <c r="T607" s="12"/>
      <c r="U607" s="12"/>
      <c r="V607" s="12"/>
      <c r="W607" s="12"/>
      <c r="X607" s="12"/>
    </row>
    <row r="608" customFormat="false" ht="15.75" hidden="false" customHeight="false" outlineLevel="0" collapsed="false">
      <c r="A608" s="12"/>
      <c r="B608" s="34"/>
      <c r="C608" s="12"/>
      <c r="D608" s="12"/>
      <c r="E608" s="12"/>
      <c r="F608" s="12"/>
      <c r="G608" s="18"/>
      <c r="H608" s="35"/>
      <c r="I608" s="12"/>
      <c r="M608" s="12"/>
      <c r="N608" s="18"/>
      <c r="O608" s="12"/>
      <c r="P608" s="12"/>
      <c r="Q608" s="12"/>
      <c r="R608" s="36"/>
      <c r="S608" s="36"/>
      <c r="T608" s="12"/>
      <c r="U608" s="12"/>
      <c r="V608" s="12"/>
      <c r="W608" s="12"/>
      <c r="X608" s="12"/>
    </row>
    <row r="609" customFormat="false" ht="15.75" hidden="false" customHeight="false" outlineLevel="0" collapsed="false">
      <c r="A609" s="12"/>
      <c r="B609" s="34"/>
      <c r="C609" s="12"/>
      <c r="D609" s="12"/>
      <c r="E609" s="12"/>
      <c r="F609" s="12"/>
      <c r="G609" s="18"/>
      <c r="H609" s="35"/>
      <c r="I609" s="12"/>
      <c r="M609" s="12"/>
      <c r="N609" s="18"/>
      <c r="O609" s="12"/>
      <c r="P609" s="12"/>
      <c r="Q609" s="12"/>
      <c r="R609" s="36"/>
      <c r="S609" s="36"/>
      <c r="T609" s="12"/>
      <c r="U609" s="12"/>
      <c r="V609" s="12"/>
      <c r="W609" s="12"/>
      <c r="X609" s="12"/>
    </row>
    <row r="610" customFormat="false" ht="15.75" hidden="false" customHeight="false" outlineLevel="0" collapsed="false">
      <c r="A610" s="12"/>
      <c r="B610" s="34"/>
      <c r="C610" s="12"/>
      <c r="D610" s="12"/>
      <c r="E610" s="12"/>
      <c r="F610" s="12"/>
      <c r="G610" s="18"/>
      <c r="H610" s="35"/>
      <c r="I610" s="12"/>
      <c r="M610" s="12"/>
      <c r="N610" s="18"/>
      <c r="O610" s="12"/>
      <c r="P610" s="12"/>
      <c r="Q610" s="12"/>
      <c r="R610" s="36"/>
      <c r="S610" s="36"/>
      <c r="T610" s="12"/>
      <c r="U610" s="12"/>
      <c r="V610" s="12"/>
      <c r="W610" s="12"/>
      <c r="X610" s="12"/>
    </row>
    <row r="611" customFormat="false" ht="15.75" hidden="false" customHeight="false" outlineLevel="0" collapsed="false">
      <c r="A611" s="12"/>
      <c r="B611" s="34"/>
      <c r="C611" s="12"/>
      <c r="D611" s="12"/>
      <c r="E611" s="12"/>
      <c r="F611" s="12"/>
      <c r="G611" s="18"/>
      <c r="H611" s="35"/>
      <c r="I611" s="12"/>
      <c r="M611" s="12"/>
      <c r="N611" s="18"/>
      <c r="O611" s="12"/>
      <c r="P611" s="12"/>
      <c r="Q611" s="12"/>
      <c r="R611" s="36"/>
      <c r="S611" s="36"/>
      <c r="T611" s="12"/>
      <c r="U611" s="12"/>
      <c r="V611" s="12"/>
      <c r="W611" s="12"/>
      <c r="X611" s="12"/>
    </row>
    <row r="612" customFormat="false" ht="15.75" hidden="false" customHeight="false" outlineLevel="0" collapsed="false">
      <c r="A612" s="12"/>
      <c r="B612" s="34"/>
      <c r="C612" s="12"/>
      <c r="D612" s="12"/>
      <c r="E612" s="12"/>
      <c r="F612" s="12"/>
      <c r="G612" s="18"/>
      <c r="H612" s="35"/>
      <c r="I612" s="12"/>
      <c r="M612" s="12"/>
      <c r="N612" s="18"/>
      <c r="O612" s="12"/>
      <c r="P612" s="12"/>
      <c r="Q612" s="12"/>
      <c r="R612" s="36"/>
      <c r="S612" s="36"/>
      <c r="T612" s="12"/>
      <c r="U612" s="12"/>
      <c r="V612" s="12"/>
      <c r="W612" s="12"/>
      <c r="X612" s="12"/>
    </row>
    <row r="613" customFormat="false" ht="15.75" hidden="false" customHeight="false" outlineLevel="0" collapsed="false">
      <c r="A613" s="12"/>
      <c r="B613" s="34"/>
      <c r="C613" s="12"/>
      <c r="D613" s="12"/>
      <c r="E613" s="12"/>
      <c r="F613" s="12"/>
      <c r="G613" s="18"/>
      <c r="H613" s="35"/>
      <c r="I613" s="12"/>
      <c r="M613" s="12"/>
      <c r="N613" s="18"/>
      <c r="O613" s="12"/>
      <c r="P613" s="12"/>
      <c r="Q613" s="12"/>
      <c r="R613" s="36"/>
      <c r="S613" s="36"/>
      <c r="T613" s="12"/>
      <c r="U613" s="12"/>
      <c r="V613" s="12"/>
      <c r="W613" s="12"/>
      <c r="X613" s="12"/>
    </row>
    <row r="614" customFormat="false" ht="15.75" hidden="false" customHeight="false" outlineLevel="0" collapsed="false">
      <c r="A614" s="12"/>
      <c r="B614" s="34"/>
      <c r="C614" s="12"/>
      <c r="D614" s="12"/>
      <c r="E614" s="12"/>
      <c r="F614" s="12"/>
      <c r="G614" s="18"/>
      <c r="H614" s="35"/>
      <c r="I614" s="12"/>
      <c r="M614" s="12"/>
      <c r="N614" s="18"/>
      <c r="O614" s="12"/>
      <c r="P614" s="12"/>
      <c r="Q614" s="12"/>
      <c r="R614" s="36"/>
      <c r="S614" s="36"/>
      <c r="T614" s="12"/>
      <c r="U614" s="12"/>
      <c r="V614" s="12"/>
      <c r="W614" s="12"/>
      <c r="X614" s="12"/>
    </row>
    <row r="615" customFormat="false" ht="15.75" hidden="false" customHeight="false" outlineLevel="0" collapsed="false">
      <c r="A615" s="12"/>
      <c r="B615" s="34"/>
      <c r="C615" s="12"/>
      <c r="D615" s="12"/>
      <c r="E615" s="12"/>
      <c r="F615" s="12"/>
      <c r="G615" s="18"/>
      <c r="H615" s="35"/>
      <c r="I615" s="12"/>
      <c r="M615" s="12"/>
      <c r="N615" s="18"/>
      <c r="O615" s="12"/>
      <c r="P615" s="12"/>
      <c r="Q615" s="12"/>
      <c r="R615" s="36"/>
      <c r="S615" s="36"/>
      <c r="T615" s="12"/>
      <c r="U615" s="12"/>
      <c r="V615" s="12"/>
      <c r="W615" s="12"/>
      <c r="X615" s="12"/>
    </row>
    <row r="616" customFormat="false" ht="15.75" hidden="false" customHeight="false" outlineLevel="0" collapsed="false">
      <c r="A616" s="12"/>
      <c r="B616" s="34"/>
      <c r="C616" s="12"/>
      <c r="D616" s="12"/>
      <c r="E616" s="12"/>
      <c r="F616" s="12"/>
      <c r="G616" s="18"/>
      <c r="H616" s="35"/>
      <c r="I616" s="12"/>
      <c r="M616" s="12"/>
      <c r="N616" s="18"/>
      <c r="O616" s="12"/>
      <c r="P616" s="12"/>
      <c r="Q616" s="12"/>
      <c r="R616" s="36"/>
      <c r="S616" s="36"/>
      <c r="T616" s="12"/>
      <c r="U616" s="12"/>
      <c r="V616" s="12"/>
      <c r="W616" s="12"/>
      <c r="X616" s="12"/>
    </row>
    <row r="617" customFormat="false" ht="15.75" hidden="false" customHeight="false" outlineLevel="0" collapsed="false">
      <c r="A617" s="12"/>
      <c r="B617" s="34"/>
      <c r="C617" s="12"/>
      <c r="D617" s="12"/>
      <c r="E617" s="12"/>
      <c r="F617" s="12"/>
      <c r="G617" s="18"/>
      <c r="H617" s="35"/>
      <c r="I617" s="12"/>
      <c r="M617" s="12"/>
      <c r="N617" s="18"/>
      <c r="O617" s="12"/>
      <c r="P617" s="12"/>
      <c r="Q617" s="12"/>
      <c r="R617" s="36"/>
      <c r="S617" s="36"/>
      <c r="T617" s="12"/>
      <c r="U617" s="12"/>
      <c r="V617" s="12"/>
      <c r="W617" s="12"/>
      <c r="X617" s="12"/>
    </row>
    <row r="618" customFormat="false" ht="15.75" hidden="false" customHeight="false" outlineLevel="0" collapsed="false">
      <c r="A618" s="12"/>
      <c r="B618" s="34"/>
      <c r="C618" s="12"/>
      <c r="D618" s="12"/>
      <c r="E618" s="12"/>
      <c r="F618" s="12"/>
      <c r="G618" s="18"/>
      <c r="H618" s="35"/>
      <c r="I618" s="12"/>
      <c r="M618" s="12"/>
      <c r="N618" s="18"/>
      <c r="O618" s="12"/>
      <c r="P618" s="12"/>
      <c r="Q618" s="12"/>
      <c r="R618" s="36"/>
      <c r="S618" s="36"/>
      <c r="T618" s="12"/>
      <c r="U618" s="12"/>
      <c r="V618" s="12"/>
      <c r="W618" s="12"/>
      <c r="X618" s="12"/>
    </row>
    <row r="619" customFormat="false" ht="15.75" hidden="false" customHeight="false" outlineLevel="0" collapsed="false">
      <c r="A619" s="12"/>
      <c r="B619" s="34"/>
      <c r="C619" s="12"/>
      <c r="D619" s="12"/>
      <c r="E619" s="12"/>
      <c r="F619" s="12"/>
      <c r="G619" s="18"/>
      <c r="H619" s="35"/>
      <c r="I619" s="12"/>
      <c r="M619" s="12"/>
      <c r="N619" s="18"/>
      <c r="O619" s="12"/>
      <c r="P619" s="12"/>
      <c r="Q619" s="12"/>
      <c r="R619" s="36"/>
      <c r="S619" s="36"/>
      <c r="T619" s="12"/>
      <c r="U619" s="12"/>
      <c r="V619" s="12"/>
      <c r="W619" s="12"/>
      <c r="X619" s="12"/>
    </row>
    <row r="620" customFormat="false" ht="15.75" hidden="false" customHeight="false" outlineLevel="0" collapsed="false">
      <c r="A620" s="12"/>
      <c r="B620" s="34"/>
      <c r="C620" s="12"/>
      <c r="D620" s="12"/>
      <c r="E620" s="12"/>
      <c r="F620" s="12"/>
      <c r="G620" s="18"/>
      <c r="H620" s="35"/>
      <c r="I620" s="12"/>
      <c r="M620" s="12"/>
      <c r="N620" s="18"/>
      <c r="O620" s="12"/>
      <c r="P620" s="12"/>
      <c r="Q620" s="12"/>
      <c r="R620" s="36"/>
      <c r="S620" s="36"/>
      <c r="T620" s="12"/>
      <c r="U620" s="12"/>
      <c r="V620" s="12"/>
      <c r="W620" s="12"/>
      <c r="X620" s="12"/>
    </row>
    <row r="621" customFormat="false" ht="15.75" hidden="false" customHeight="false" outlineLevel="0" collapsed="false">
      <c r="A621" s="12"/>
      <c r="B621" s="34"/>
      <c r="C621" s="12"/>
      <c r="D621" s="12"/>
      <c r="E621" s="12"/>
      <c r="F621" s="12"/>
      <c r="G621" s="18"/>
      <c r="H621" s="35"/>
      <c r="I621" s="12"/>
      <c r="M621" s="12"/>
      <c r="N621" s="18"/>
      <c r="O621" s="12"/>
      <c r="P621" s="12"/>
      <c r="Q621" s="12"/>
      <c r="R621" s="36"/>
      <c r="S621" s="36"/>
      <c r="T621" s="12"/>
      <c r="U621" s="12"/>
      <c r="V621" s="12"/>
      <c r="W621" s="12"/>
      <c r="X621" s="12"/>
    </row>
    <row r="622" customFormat="false" ht="15.75" hidden="false" customHeight="false" outlineLevel="0" collapsed="false">
      <c r="A622" s="12"/>
      <c r="B622" s="34"/>
      <c r="C622" s="12"/>
      <c r="D622" s="12"/>
      <c r="E622" s="12"/>
      <c r="F622" s="12"/>
      <c r="G622" s="18"/>
      <c r="H622" s="35"/>
      <c r="I622" s="12"/>
      <c r="M622" s="12"/>
      <c r="N622" s="18"/>
      <c r="O622" s="12"/>
      <c r="P622" s="12"/>
      <c r="Q622" s="12"/>
      <c r="R622" s="36"/>
      <c r="S622" s="36"/>
      <c r="T622" s="12"/>
      <c r="U622" s="12"/>
      <c r="V622" s="12"/>
      <c r="W622" s="12"/>
      <c r="X622" s="12"/>
    </row>
    <row r="623" customFormat="false" ht="15.75" hidden="false" customHeight="false" outlineLevel="0" collapsed="false">
      <c r="A623" s="12"/>
      <c r="B623" s="34"/>
      <c r="C623" s="12"/>
      <c r="D623" s="12"/>
      <c r="E623" s="12"/>
      <c r="F623" s="12"/>
      <c r="G623" s="18"/>
      <c r="H623" s="35"/>
      <c r="I623" s="12"/>
      <c r="M623" s="12"/>
      <c r="N623" s="18"/>
      <c r="O623" s="12"/>
      <c r="P623" s="12"/>
      <c r="Q623" s="12"/>
      <c r="R623" s="36"/>
      <c r="S623" s="36"/>
      <c r="T623" s="12"/>
      <c r="U623" s="12"/>
      <c r="V623" s="12"/>
      <c r="W623" s="12"/>
      <c r="X623" s="12"/>
    </row>
    <row r="624" customFormat="false" ht="15.75" hidden="false" customHeight="false" outlineLevel="0" collapsed="false">
      <c r="A624" s="12"/>
      <c r="B624" s="34"/>
      <c r="C624" s="12"/>
      <c r="D624" s="12"/>
      <c r="E624" s="12"/>
      <c r="F624" s="12"/>
      <c r="G624" s="18"/>
      <c r="H624" s="35"/>
      <c r="I624" s="12"/>
      <c r="M624" s="12"/>
      <c r="N624" s="18"/>
      <c r="O624" s="12"/>
      <c r="P624" s="12"/>
      <c r="Q624" s="12"/>
      <c r="R624" s="36"/>
      <c r="S624" s="36"/>
      <c r="T624" s="12"/>
      <c r="U624" s="12"/>
      <c r="V624" s="12"/>
      <c r="W624" s="12"/>
      <c r="X624" s="12"/>
    </row>
    <row r="625" customFormat="false" ht="15.75" hidden="false" customHeight="false" outlineLevel="0" collapsed="false">
      <c r="A625" s="12"/>
      <c r="B625" s="34"/>
      <c r="C625" s="12"/>
      <c r="D625" s="12"/>
      <c r="E625" s="12"/>
      <c r="F625" s="12"/>
      <c r="G625" s="18"/>
      <c r="H625" s="35"/>
      <c r="I625" s="12"/>
      <c r="M625" s="12"/>
      <c r="N625" s="18"/>
      <c r="O625" s="12"/>
      <c r="P625" s="12"/>
      <c r="Q625" s="12"/>
      <c r="R625" s="36"/>
      <c r="S625" s="36"/>
      <c r="T625" s="12"/>
      <c r="U625" s="12"/>
      <c r="V625" s="12"/>
      <c r="W625" s="12"/>
      <c r="X625" s="12"/>
    </row>
    <row r="626" customFormat="false" ht="15.75" hidden="false" customHeight="false" outlineLevel="0" collapsed="false">
      <c r="A626" s="12"/>
      <c r="B626" s="34"/>
      <c r="C626" s="12"/>
      <c r="D626" s="12"/>
      <c r="E626" s="12"/>
      <c r="F626" s="12"/>
      <c r="G626" s="18"/>
      <c r="H626" s="35"/>
      <c r="I626" s="12"/>
      <c r="M626" s="12"/>
      <c r="N626" s="18"/>
      <c r="O626" s="12"/>
      <c r="P626" s="12"/>
      <c r="Q626" s="12"/>
      <c r="R626" s="36"/>
      <c r="S626" s="36"/>
      <c r="T626" s="12"/>
      <c r="U626" s="12"/>
      <c r="V626" s="12"/>
      <c r="W626" s="12"/>
      <c r="X626" s="12"/>
    </row>
    <row r="627" customFormat="false" ht="15.75" hidden="false" customHeight="false" outlineLevel="0" collapsed="false">
      <c r="A627" s="12"/>
      <c r="B627" s="34"/>
      <c r="C627" s="12"/>
      <c r="D627" s="12"/>
      <c r="E627" s="12"/>
      <c r="F627" s="12"/>
      <c r="G627" s="18"/>
      <c r="H627" s="35"/>
      <c r="I627" s="12"/>
      <c r="M627" s="12"/>
      <c r="N627" s="18"/>
      <c r="O627" s="12"/>
      <c r="P627" s="12"/>
      <c r="Q627" s="12"/>
      <c r="R627" s="36"/>
      <c r="S627" s="36"/>
      <c r="T627" s="12"/>
      <c r="U627" s="12"/>
      <c r="V627" s="12"/>
      <c r="W627" s="12"/>
      <c r="X627" s="12"/>
    </row>
    <row r="628" customFormat="false" ht="15.75" hidden="false" customHeight="false" outlineLevel="0" collapsed="false">
      <c r="A628" s="12"/>
      <c r="B628" s="34"/>
      <c r="C628" s="12"/>
      <c r="D628" s="12"/>
      <c r="E628" s="12"/>
      <c r="F628" s="12"/>
      <c r="G628" s="18"/>
      <c r="H628" s="35"/>
      <c r="I628" s="12"/>
      <c r="M628" s="12"/>
      <c r="N628" s="18"/>
      <c r="O628" s="12"/>
      <c r="P628" s="12"/>
      <c r="Q628" s="12"/>
      <c r="R628" s="36"/>
      <c r="S628" s="36"/>
      <c r="T628" s="12"/>
      <c r="U628" s="12"/>
      <c r="V628" s="12"/>
      <c r="W628" s="12"/>
      <c r="X628" s="12"/>
    </row>
    <row r="629" customFormat="false" ht="15.75" hidden="false" customHeight="false" outlineLevel="0" collapsed="false">
      <c r="A629" s="12"/>
      <c r="B629" s="34"/>
      <c r="C629" s="12"/>
      <c r="D629" s="12"/>
      <c r="E629" s="12"/>
      <c r="F629" s="12"/>
      <c r="G629" s="18"/>
      <c r="H629" s="35"/>
      <c r="I629" s="12"/>
      <c r="M629" s="12"/>
      <c r="N629" s="18"/>
      <c r="O629" s="12"/>
      <c r="P629" s="12"/>
      <c r="Q629" s="12"/>
      <c r="R629" s="36"/>
      <c r="S629" s="36"/>
      <c r="T629" s="12"/>
      <c r="U629" s="12"/>
      <c r="V629" s="12"/>
      <c r="W629" s="12"/>
      <c r="X629" s="12"/>
    </row>
    <row r="630" customFormat="false" ht="15.75" hidden="false" customHeight="false" outlineLevel="0" collapsed="false">
      <c r="A630" s="12"/>
      <c r="B630" s="34"/>
      <c r="C630" s="12"/>
      <c r="D630" s="12"/>
      <c r="E630" s="12"/>
      <c r="F630" s="12"/>
      <c r="G630" s="18"/>
      <c r="H630" s="35"/>
      <c r="I630" s="12"/>
      <c r="M630" s="12"/>
      <c r="N630" s="18"/>
      <c r="O630" s="12"/>
      <c r="P630" s="12"/>
      <c r="Q630" s="12"/>
      <c r="R630" s="36"/>
      <c r="S630" s="36"/>
      <c r="T630" s="12"/>
      <c r="U630" s="12"/>
      <c r="V630" s="12"/>
      <c r="W630" s="12"/>
      <c r="X630" s="12"/>
    </row>
    <row r="631" customFormat="false" ht="15.75" hidden="false" customHeight="false" outlineLevel="0" collapsed="false">
      <c r="A631" s="12"/>
      <c r="B631" s="34"/>
      <c r="C631" s="12"/>
      <c r="D631" s="12"/>
      <c r="E631" s="12"/>
      <c r="F631" s="12"/>
      <c r="G631" s="18"/>
      <c r="H631" s="35"/>
      <c r="I631" s="12"/>
      <c r="M631" s="12"/>
      <c r="N631" s="18"/>
      <c r="O631" s="12"/>
      <c r="P631" s="12"/>
      <c r="Q631" s="12"/>
      <c r="R631" s="36"/>
      <c r="S631" s="36"/>
      <c r="T631" s="12"/>
      <c r="U631" s="12"/>
      <c r="V631" s="12"/>
      <c r="W631" s="12"/>
      <c r="X631" s="12"/>
    </row>
    <row r="632" customFormat="false" ht="15.75" hidden="false" customHeight="false" outlineLevel="0" collapsed="false">
      <c r="A632" s="12"/>
      <c r="B632" s="34"/>
      <c r="C632" s="12"/>
      <c r="D632" s="12"/>
      <c r="E632" s="12"/>
      <c r="F632" s="12"/>
      <c r="G632" s="18"/>
      <c r="H632" s="35"/>
      <c r="I632" s="12"/>
      <c r="M632" s="12"/>
      <c r="N632" s="18"/>
      <c r="O632" s="12"/>
      <c r="P632" s="12"/>
      <c r="Q632" s="12"/>
      <c r="R632" s="36"/>
      <c r="S632" s="36"/>
      <c r="T632" s="12"/>
      <c r="U632" s="12"/>
      <c r="V632" s="12"/>
      <c r="W632" s="12"/>
      <c r="X632" s="12"/>
    </row>
    <row r="633" customFormat="false" ht="15.75" hidden="false" customHeight="false" outlineLevel="0" collapsed="false">
      <c r="A633" s="12"/>
      <c r="B633" s="34"/>
      <c r="C633" s="12"/>
      <c r="D633" s="12"/>
      <c r="E633" s="12"/>
      <c r="F633" s="12"/>
      <c r="G633" s="18"/>
      <c r="H633" s="35"/>
      <c r="I633" s="12"/>
      <c r="M633" s="12"/>
      <c r="N633" s="18"/>
      <c r="O633" s="12"/>
      <c r="P633" s="12"/>
      <c r="Q633" s="12"/>
      <c r="R633" s="36"/>
      <c r="S633" s="36"/>
      <c r="T633" s="12"/>
      <c r="U633" s="12"/>
      <c r="V633" s="12"/>
      <c r="W633" s="12"/>
      <c r="X633" s="12"/>
    </row>
    <row r="634" customFormat="false" ht="15.75" hidden="false" customHeight="false" outlineLevel="0" collapsed="false">
      <c r="A634" s="12"/>
      <c r="B634" s="34"/>
      <c r="C634" s="12"/>
      <c r="D634" s="12"/>
      <c r="E634" s="12"/>
      <c r="F634" s="12"/>
      <c r="G634" s="18"/>
      <c r="H634" s="35"/>
      <c r="I634" s="12"/>
      <c r="M634" s="12"/>
      <c r="N634" s="18"/>
      <c r="O634" s="12"/>
      <c r="P634" s="12"/>
      <c r="Q634" s="12"/>
      <c r="R634" s="36"/>
      <c r="S634" s="36"/>
      <c r="T634" s="12"/>
      <c r="U634" s="12"/>
      <c r="V634" s="12"/>
      <c r="W634" s="12"/>
      <c r="X634" s="12"/>
    </row>
    <row r="635" customFormat="false" ht="15.75" hidden="false" customHeight="false" outlineLevel="0" collapsed="false">
      <c r="A635" s="12"/>
      <c r="B635" s="34"/>
      <c r="C635" s="12"/>
      <c r="D635" s="12"/>
      <c r="E635" s="12"/>
      <c r="F635" s="12"/>
      <c r="G635" s="18"/>
      <c r="H635" s="35"/>
      <c r="I635" s="12"/>
      <c r="M635" s="12"/>
      <c r="N635" s="18"/>
      <c r="O635" s="12"/>
      <c r="P635" s="12"/>
      <c r="Q635" s="12"/>
      <c r="R635" s="36"/>
      <c r="S635" s="36"/>
      <c r="T635" s="12"/>
      <c r="U635" s="12"/>
      <c r="V635" s="12"/>
      <c r="W635" s="12"/>
      <c r="X635" s="12"/>
    </row>
    <row r="636" customFormat="false" ht="15.75" hidden="false" customHeight="false" outlineLevel="0" collapsed="false">
      <c r="A636" s="12"/>
      <c r="B636" s="34"/>
      <c r="C636" s="12"/>
      <c r="D636" s="12"/>
      <c r="E636" s="12"/>
      <c r="F636" s="12"/>
      <c r="G636" s="18"/>
      <c r="H636" s="35"/>
      <c r="I636" s="12"/>
      <c r="M636" s="12"/>
      <c r="N636" s="18"/>
      <c r="O636" s="12"/>
      <c r="P636" s="12"/>
      <c r="Q636" s="12"/>
      <c r="R636" s="36"/>
      <c r="S636" s="36"/>
      <c r="T636" s="12"/>
      <c r="U636" s="12"/>
      <c r="V636" s="12"/>
      <c r="W636" s="12"/>
      <c r="X636" s="12"/>
    </row>
    <row r="637" customFormat="false" ht="15.75" hidden="false" customHeight="false" outlineLevel="0" collapsed="false">
      <c r="A637" s="12"/>
      <c r="B637" s="34"/>
      <c r="C637" s="12"/>
      <c r="D637" s="12"/>
      <c r="E637" s="12"/>
      <c r="F637" s="12"/>
      <c r="G637" s="18"/>
      <c r="H637" s="35"/>
      <c r="I637" s="12"/>
      <c r="M637" s="12"/>
      <c r="N637" s="18"/>
      <c r="O637" s="12"/>
      <c r="P637" s="12"/>
      <c r="Q637" s="12"/>
      <c r="R637" s="36"/>
      <c r="S637" s="36"/>
      <c r="T637" s="12"/>
      <c r="U637" s="12"/>
      <c r="V637" s="12"/>
      <c r="W637" s="12"/>
      <c r="X637" s="12"/>
    </row>
    <row r="638" customFormat="false" ht="15.75" hidden="false" customHeight="false" outlineLevel="0" collapsed="false">
      <c r="A638" s="12"/>
      <c r="B638" s="34"/>
      <c r="C638" s="12"/>
      <c r="D638" s="12"/>
      <c r="E638" s="12"/>
      <c r="F638" s="12"/>
      <c r="G638" s="18"/>
      <c r="H638" s="35"/>
      <c r="I638" s="12"/>
      <c r="M638" s="12"/>
      <c r="N638" s="18"/>
      <c r="O638" s="12"/>
      <c r="P638" s="12"/>
      <c r="Q638" s="12"/>
      <c r="R638" s="36"/>
      <c r="S638" s="36"/>
      <c r="T638" s="12"/>
      <c r="U638" s="12"/>
      <c r="V638" s="12"/>
      <c r="W638" s="12"/>
      <c r="X638" s="12"/>
    </row>
    <row r="639" customFormat="false" ht="15.75" hidden="false" customHeight="false" outlineLevel="0" collapsed="false">
      <c r="A639" s="12"/>
      <c r="B639" s="34"/>
      <c r="C639" s="12"/>
      <c r="D639" s="12"/>
      <c r="E639" s="12"/>
      <c r="F639" s="12"/>
      <c r="G639" s="18"/>
      <c r="H639" s="35"/>
      <c r="I639" s="12"/>
      <c r="M639" s="12"/>
      <c r="N639" s="18"/>
      <c r="O639" s="12"/>
      <c r="P639" s="12"/>
      <c r="Q639" s="12"/>
      <c r="R639" s="36"/>
      <c r="S639" s="36"/>
      <c r="T639" s="12"/>
      <c r="U639" s="12"/>
      <c r="V639" s="12"/>
      <c r="W639" s="12"/>
      <c r="X639" s="12"/>
    </row>
    <row r="640" customFormat="false" ht="15.75" hidden="false" customHeight="false" outlineLevel="0" collapsed="false">
      <c r="A640" s="12"/>
      <c r="B640" s="34"/>
      <c r="C640" s="12"/>
      <c r="D640" s="12"/>
      <c r="E640" s="12"/>
      <c r="F640" s="12"/>
      <c r="G640" s="18"/>
      <c r="H640" s="35"/>
      <c r="I640" s="12"/>
      <c r="M640" s="12"/>
      <c r="N640" s="18"/>
      <c r="O640" s="12"/>
      <c r="P640" s="12"/>
      <c r="Q640" s="12"/>
      <c r="R640" s="36"/>
      <c r="S640" s="36"/>
      <c r="T640" s="12"/>
      <c r="U640" s="12"/>
      <c r="V640" s="12"/>
      <c r="W640" s="12"/>
      <c r="X640" s="12"/>
    </row>
    <row r="641" customFormat="false" ht="15.75" hidden="false" customHeight="false" outlineLevel="0" collapsed="false">
      <c r="A641" s="12"/>
      <c r="B641" s="34"/>
      <c r="C641" s="12"/>
      <c r="D641" s="12"/>
      <c r="E641" s="12"/>
      <c r="F641" s="12"/>
      <c r="G641" s="18"/>
      <c r="H641" s="35"/>
      <c r="I641" s="12"/>
      <c r="M641" s="12"/>
      <c r="N641" s="18"/>
      <c r="O641" s="12"/>
      <c r="P641" s="12"/>
      <c r="Q641" s="12"/>
      <c r="R641" s="36"/>
      <c r="S641" s="36"/>
      <c r="T641" s="12"/>
      <c r="U641" s="12"/>
      <c r="V641" s="12"/>
      <c r="W641" s="12"/>
      <c r="X641" s="12"/>
    </row>
    <row r="642" customFormat="false" ht="15.75" hidden="false" customHeight="false" outlineLevel="0" collapsed="false">
      <c r="A642" s="12"/>
      <c r="B642" s="34"/>
      <c r="C642" s="12"/>
      <c r="D642" s="12"/>
      <c r="E642" s="12"/>
      <c r="F642" s="12"/>
      <c r="G642" s="18"/>
      <c r="H642" s="35"/>
      <c r="I642" s="12"/>
      <c r="M642" s="12"/>
      <c r="N642" s="18"/>
      <c r="O642" s="12"/>
      <c r="P642" s="12"/>
      <c r="Q642" s="12"/>
      <c r="R642" s="36"/>
      <c r="S642" s="36"/>
      <c r="T642" s="12"/>
      <c r="U642" s="12"/>
      <c r="V642" s="12"/>
      <c r="W642" s="12"/>
      <c r="X642" s="12"/>
    </row>
    <row r="643" customFormat="false" ht="15.75" hidden="false" customHeight="false" outlineLevel="0" collapsed="false">
      <c r="A643" s="12"/>
      <c r="B643" s="34"/>
      <c r="C643" s="12"/>
      <c r="D643" s="12"/>
      <c r="E643" s="12"/>
      <c r="F643" s="12"/>
      <c r="G643" s="18"/>
      <c r="H643" s="35"/>
      <c r="I643" s="12"/>
      <c r="M643" s="12"/>
      <c r="N643" s="18"/>
      <c r="O643" s="12"/>
      <c r="P643" s="12"/>
      <c r="Q643" s="12"/>
      <c r="R643" s="36"/>
      <c r="S643" s="36"/>
      <c r="T643" s="12"/>
      <c r="U643" s="12"/>
      <c r="V643" s="12"/>
      <c r="W643" s="12"/>
      <c r="X643" s="12"/>
    </row>
    <row r="644" customFormat="false" ht="15.75" hidden="false" customHeight="false" outlineLevel="0" collapsed="false">
      <c r="A644" s="12"/>
      <c r="B644" s="34"/>
      <c r="C644" s="12"/>
      <c r="D644" s="12"/>
      <c r="E644" s="12"/>
      <c r="F644" s="12"/>
      <c r="G644" s="18"/>
      <c r="H644" s="35"/>
      <c r="I644" s="12"/>
      <c r="M644" s="12"/>
      <c r="N644" s="18"/>
      <c r="O644" s="12"/>
      <c r="P644" s="12"/>
      <c r="Q644" s="12"/>
      <c r="R644" s="36"/>
      <c r="S644" s="36"/>
      <c r="T644" s="12"/>
      <c r="U644" s="12"/>
      <c r="V644" s="12"/>
      <c r="W644" s="12"/>
      <c r="X644" s="12"/>
    </row>
    <row r="645" customFormat="false" ht="15.75" hidden="false" customHeight="false" outlineLevel="0" collapsed="false">
      <c r="A645" s="12"/>
      <c r="B645" s="34"/>
      <c r="C645" s="12"/>
      <c r="D645" s="12"/>
      <c r="E645" s="12"/>
      <c r="F645" s="12"/>
      <c r="G645" s="18"/>
      <c r="H645" s="35"/>
      <c r="I645" s="12"/>
      <c r="M645" s="12"/>
      <c r="N645" s="18"/>
      <c r="O645" s="12"/>
      <c r="P645" s="12"/>
      <c r="Q645" s="12"/>
      <c r="R645" s="36"/>
      <c r="S645" s="36"/>
      <c r="T645" s="12"/>
      <c r="U645" s="12"/>
      <c r="V645" s="12"/>
      <c r="W645" s="12"/>
      <c r="X645" s="12"/>
    </row>
    <row r="646" customFormat="false" ht="15.75" hidden="false" customHeight="false" outlineLevel="0" collapsed="false">
      <c r="A646" s="12"/>
      <c r="B646" s="34"/>
      <c r="C646" s="12"/>
      <c r="D646" s="12"/>
      <c r="E646" s="12"/>
      <c r="F646" s="12"/>
      <c r="G646" s="18"/>
      <c r="H646" s="35"/>
      <c r="I646" s="12"/>
      <c r="M646" s="12"/>
      <c r="N646" s="18"/>
      <c r="O646" s="12"/>
      <c r="P646" s="12"/>
      <c r="Q646" s="12"/>
      <c r="R646" s="36"/>
      <c r="S646" s="36"/>
      <c r="T646" s="12"/>
      <c r="U646" s="12"/>
      <c r="V646" s="12"/>
      <c r="W646" s="12"/>
      <c r="X646" s="12"/>
    </row>
    <row r="647" customFormat="false" ht="15.75" hidden="false" customHeight="false" outlineLevel="0" collapsed="false">
      <c r="A647" s="12"/>
      <c r="B647" s="34"/>
      <c r="C647" s="12"/>
      <c r="D647" s="12"/>
      <c r="E647" s="12"/>
      <c r="F647" s="12"/>
      <c r="G647" s="18"/>
      <c r="H647" s="35"/>
      <c r="I647" s="12"/>
      <c r="M647" s="12"/>
      <c r="N647" s="18"/>
      <c r="O647" s="12"/>
      <c r="P647" s="12"/>
      <c r="Q647" s="12"/>
      <c r="R647" s="36"/>
      <c r="S647" s="36"/>
      <c r="T647" s="12"/>
      <c r="U647" s="12"/>
      <c r="V647" s="12"/>
      <c r="W647" s="12"/>
      <c r="X647" s="12"/>
    </row>
    <row r="648" customFormat="false" ht="15.75" hidden="false" customHeight="false" outlineLevel="0" collapsed="false">
      <c r="A648" s="12"/>
      <c r="B648" s="34"/>
      <c r="C648" s="12"/>
      <c r="D648" s="12"/>
      <c r="E648" s="12"/>
      <c r="F648" s="12"/>
      <c r="G648" s="18"/>
      <c r="H648" s="35"/>
      <c r="I648" s="12"/>
      <c r="M648" s="12"/>
      <c r="N648" s="18"/>
      <c r="O648" s="12"/>
      <c r="P648" s="12"/>
      <c r="Q648" s="12"/>
      <c r="R648" s="36"/>
      <c r="S648" s="36"/>
      <c r="T648" s="12"/>
      <c r="U648" s="12"/>
      <c r="V648" s="12"/>
      <c r="W648" s="12"/>
      <c r="X648" s="12"/>
    </row>
    <row r="649" customFormat="false" ht="15.75" hidden="false" customHeight="false" outlineLevel="0" collapsed="false">
      <c r="A649" s="12"/>
      <c r="B649" s="34"/>
      <c r="C649" s="12"/>
      <c r="D649" s="12"/>
      <c r="E649" s="12"/>
      <c r="F649" s="12"/>
      <c r="G649" s="18"/>
      <c r="H649" s="35"/>
      <c r="I649" s="12"/>
      <c r="M649" s="12"/>
      <c r="N649" s="18"/>
      <c r="O649" s="12"/>
      <c r="P649" s="12"/>
      <c r="Q649" s="12"/>
      <c r="R649" s="36"/>
      <c r="S649" s="36"/>
      <c r="T649" s="12"/>
      <c r="U649" s="12"/>
      <c r="V649" s="12"/>
      <c r="W649" s="12"/>
      <c r="X649" s="12"/>
    </row>
    <row r="650" customFormat="false" ht="15.75" hidden="false" customHeight="false" outlineLevel="0" collapsed="false">
      <c r="A650" s="12"/>
      <c r="B650" s="34"/>
      <c r="C650" s="12"/>
      <c r="D650" s="12"/>
      <c r="E650" s="12"/>
      <c r="F650" s="12"/>
      <c r="G650" s="18"/>
      <c r="H650" s="35"/>
      <c r="I650" s="12"/>
      <c r="M650" s="12"/>
      <c r="N650" s="18"/>
      <c r="O650" s="12"/>
      <c r="P650" s="12"/>
      <c r="Q650" s="12"/>
      <c r="R650" s="36"/>
      <c r="S650" s="36"/>
      <c r="T650" s="12"/>
      <c r="U650" s="12"/>
      <c r="V650" s="12"/>
      <c r="W650" s="12"/>
      <c r="X650" s="12"/>
    </row>
    <row r="651" customFormat="false" ht="15.75" hidden="false" customHeight="false" outlineLevel="0" collapsed="false">
      <c r="A651" s="12"/>
      <c r="B651" s="34"/>
      <c r="C651" s="12"/>
      <c r="D651" s="12"/>
      <c r="E651" s="12"/>
      <c r="F651" s="12"/>
      <c r="G651" s="18"/>
      <c r="H651" s="35"/>
      <c r="I651" s="12"/>
      <c r="M651" s="12"/>
      <c r="N651" s="18"/>
      <c r="O651" s="12"/>
      <c r="P651" s="12"/>
      <c r="Q651" s="12"/>
      <c r="R651" s="36"/>
      <c r="S651" s="36"/>
      <c r="T651" s="12"/>
      <c r="U651" s="12"/>
      <c r="V651" s="12"/>
      <c r="W651" s="12"/>
      <c r="X651" s="12"/>
    </row>
    <row r="652" customFormat="false" ht="15.75" hidden="false" customHeight="false" outlineLevel="0" collapsed="false">
      <c r="A652" s="12"/>
      <c r="B652" s="34"/>
      <c r="C652" s="12"/>
      <c r="D652" s="12"/>
      <c r="E652" s="12"/>
      <c r="F652" s="12"/>
      <c r="G652" s="18"/>
      <c r="H652" s="35"/>
      <c r="I652" s="12"/>
      <c r="M652" s="12"/>
      <c r="N652" s="18"/>
      <c r="O652" s="12"/>
      <c r="P652" s="12"/>
      <c r="Q652" s="12"/>
      <c r="R652" s="36"/>
      <c r="S652" s="36"/>
      <c r="T652" s="12"/>
      <c r="U652" s="12"/>
      <c r="V652" s="12"/>
      <c r="W652" s="12"/>
      <c r="X652" s="12"/>
    </row>
    <row r="653" customFormat="false" ht="15.75" hidden="false" customHeight="false" outlineLevel="0" collapsed="false">
      <c r="A653" s="12"/>
      <c r="B653" s="34"/>
      <c r="C653" s="12"/>
      <c r="D653" s="12"/>
      <c r="E653" s="12"/>
      <c r="F653" s="12"/>
      <c r="G653" s="18"/>
      <c r="H653" s="35"/>
      <c r="I653" s="12"/>
      <c r="M653" s="12"/>
      <c r="N653" s="18"/>
      <c r="O653" s="12"/>
      <c r="P653" s="12"/>
      <c r="Q653" s="12"/>
      <c r="R653" s="36"/>
      <c r="S653" s="36"/>
      <c r="T653" s="12"/>
      <c r="U653" s="12"/>
      <c r="V653" s="12"/>
      <c r="W653" s="12"/>
      <c r="X653" s="12"/>
    </row>
    <row r="654" customFormat="false" ht="15.75" hidden="false" customHeight="false" outlineLevel="0" collapsed="false">
      <c r="A654" s="12"/>
      <c r="B654" s="34"/>
      <c r="C654" s="12"/>
      <c r="D654" s="12"/>
      <c r="E654" s="12"/>
      <c r="F654" s="12"/>
      <c r="G654" s="18"/>
      <c r="H654" s="35"/>
      <c r="I654" s="12"/>
      <c r="M654" s="12"/>
      <c r="N654" s="18"/>
      <c r="O654" s="12"/>
      <c r="P654" s="12"/>
      <c r="Q654" s="12"/>
      <c r="R654" s="36"/>
      <c r="S654" s="36"/>
      <c r="T654" s="12"/>
      <c r="U654" s="12"/>
      <c r="V654" s="12"/>
      <c r="W654" s="12"/>
      <c r="X654" s="12"/>
    </row>
    <row r="655" customFormat="false" ht="15.75" hidden="false" customHeight="false" outlineLevel="0" collapsed="false">
      <c r="A655" s="12"/>
      <c r="B655" s="34"/>
      <c r="C655" s="12"/>
      <c r="D655" s="12"/>
      <c r="E655" s="12"/>
      <c r="F655" s="12"/>
      <c r="G655" s="18"/>
      <c r="H655" s="35"/>
      <c r="I655" s="12"/>
      <c r="M655" s="12"/>
      <c r="N655" s="18"/>
      <c r="O655" s="12"/>
      <c r="P655" s="12"/>
      <c r="Q655" s="12"/>
      <c r="R655" s="36"/>
      <c r="S655" s="36"/>
      <c r="T655" s="12"/>
      <c r="U655" s="12"/>
      <c r="V655" s="12"/>
      <c r="W655" s="12"/>
      <c r="X655" s="12"/>
    </row>
    <row r="656" customFormat="false" ht="15.75" hidden="false" customHeight="false" outlineLevel="0" collapsed="false">
      <c r="A656" s="12"/>
      <c r="B656" s="34"/>
      <c r="C656" s="12"/>
      <c r="D656" s="12"/>
      <c r="E656" s="12"/>
      <c r="F656" s="12"/>
      <c r="G656" s="18"/>
      <c r="H656" s="35"/>
      <c r="I656" s="12"/>
      <c r="M656" s="12"/>
      <c r="N656" s="18"/>
      <c r="O656" s="12"/>
      <c r="P656" s="12"/>
      <c r="Q656" s="12"/>
      <c r="R656" s="36"/>
      <c r="S656" s="36"/>
      <c r="T656" s="12"/>
      <c r="U656" s="12"/>
      <c r="V656" s="12"/>
      <c r="W656" s="12"/>
      <c r="X656" s="12"/>
    </row>
    <row r="657" customFormat="false" ht="15.75" hidden="false" customHeight="false" outlineLevel="0" collapsed="false">
      <c r="A657" s="12"/>
      <c r="B657" s="34"/>
      <c r="C657" s="12"/>
      <c r="D657" s="12"/>
      <c r="E657" s="12"/>
      <c r="F657" s="12"/>
      <c r="G657" s="18"/>
      <c r="H657" s="35"/>
      <c r="I657" s="12"/>
      <c r="M657" s="12"/>
      <c r="N657" s="18"/>
      <c r="O657" s="12"/>
      <c r="P657" s="12"/>
      <c r="Q657" s="12"/>
      <c r="R657" s="36"/>
      <c r="S657" s="36"/>
      <c r="T657" s="12"/>
      <c r="U657" s="12"/>
      <c r="V657" s="12"/>
      <c r="W657" s="12"/>
      <c r="X657" s="12"/>
    </row>
    <row r="658" customFormat="false" ht="15.75" hidden="false" customHeight="false" outlineLevel="0" collapsed="false">
      <c r="A658" s="12"/>
      <c r="B658" s="34"/>
      <c r="C658" s="12"/>
      <c r="D658" s="12"/>
      <c r="E658" s="12"/>
      <c r="F658" s="12"/>
      <c r="G658" s="18"/>
      <c r="H658" s="35"/>
      <c r="I658" s="12"/>
      <c r="M658" s="12"/>
      <c r="N658" s="18"/>
      <c r="O658" s="12"/>
      <c r="P658" s="12"/>
      <c r="Q658" s="12"/>
      <c r="R658" s="36"/>
      <c r="S658" s="36"/>
      <c r="T658" s="12"/>
      <c r="U658" s="12"/>
      <c r="V658" s="12"/>
      <c r="W658" s="12"/>
      <c r="X658" s="12"/>
    </row>
    <row r="659" customFormat="false" ht="15.75" hidden="false" customHeight="false" outlineLevel="0" collapsed="false">
      <c r="A659" s="12"/>
      <c r="B659" s="34"/>
      <c r="C659" s="12"/>
      <c r="D659" s="12"/>
      <c r="E659" s="12"/>
      <c r="F659" s="12"/>
      <c r="G659" s="18"/>
      <c r="H659" s="35"/>
      <c r="I659" s="12"/>
      <c r="M659" s="12"/>
      <c r="N659" s="18"/>
      <c r="O659" s="12"/>
      <c r="P659" s="12"/>
      <c r="Q659" s="12"/>
      <c r="R659" s="36"/>
      <c r="S659" s="36"/>
      <c r="T659" s="12"/>
      <c r="U659" s="12"/>
      <c r="V659" s="12"/>
      <c r="W659" s="12"/>
      <c r="X659" s="12"/>
    </row>
    <row r="660" customFormat="false" ht="15.75" hidden="false" customHeight="false" outlineLevel="0" collapsed="false">
      <c r="A660" s="12"/>
      <c r="B660" s="34"/>
      <c r="C660" s="12"/>
      <c r="D660" s="12"/>
      <c r="E660" s="12"/>
      <c r="F660" s="12"/>
      <c r="G660" s="18"/>
      <c r="H660" s="35"/>
      <c r="I660" s="12"/>
      <c r="M660" s="12"/>
      <c r="N660" s="18"/>
      <c r="O660" s="12"/>
      <c r="P660" s="12"/>
      <c r="Q660" s="12"/>
      <c r="R660" s="36"/>
      <c r="S660" s="36"/>
      <c r="T660" s="12"/>
      <c r="U660" s="12"/>
      <c r="V660" s="12"/>
      <c r="W660" s="12"/>
      <c r="X660" s="12"/>
    </row>
    <row r="661" customFormat="false" ht="15.75" hidden="false" customHeight="false" outlineLevel="0" collapsed="false">
      <c r="A661" s="12"/>
      <c r="B661" s="34"/>
      <c r="C661" s="12"/>
      <c r="D661" s="12"/>
      <c r="E661" s="12"/>
      <c r="F661" s="12"/>
      <c r="G661" s="18"/>
      <c r="H661" s="35"/>
      <c r="I661" s="12"/>
      <c r="M661" s="12"/>
      <c r="N661" s="18"/>
      <c r="O661" s="12"/>
      <c r="P661" s="12"/>
      <c r="Q661" s="12"/>
      <c r="R661" s="36"/>
      <c r="S661" s="36"/>
      <c r="T661" s="12"/>
      <c r="U661" s="12"/>
      <c r="V661" s="12"/>
      <c r="W661" s="12"/>
      <c r="X661" s="12"/>
    </row>
    <row r="662" customFormat="false" ht="15.75" hidden="false" customHeight="false" outlineLevel="0" collapsed="false">
      <c r="A662" s="12"/>
      <c r="B662" s="34"/>
      <c r="C662" s="12"/>
      <c r="D662" s="12"/>
      <c r="E662" s="12"/>
      <c r="F662" s="12"/>
      <c r="G662" s="18"/>
      <c r="H662" s="35"/>
      <c r="I662" s="12"/>
      <c r="M662" s="12"/>
      <c r="N662" s="18"/>
      <c r="O662" s="12"/>
      <c r="P662" s="12"/>
      <c r="Q662" s="12"/>
      <c r="R662" s="36"/>
      <c r="S662" s="36"/>
      <c r="T662" s="12"/>
      <c r="U662" s="12"/>
      <c r="V662" s="12"/>
      <c r="W662" s="12"/>
      <c r="X662" s="12"/>
    </row>
    <row r="663" customFormat="false" ht="15.75" hidden="false" customHeight="false" outlineLevel="0" collapsed="false">
      <c r="A663" s="12"/>
      <c r="B663" s="34"/>
      <c r="C663" s="12"/>
      <c r="D663" s="12"/>
      <c r="E663" s="12"/>
      <c r="F663" s="12"/>
      <c r="G663" s="18"/>
      <c r="H663" s="35"/>
      <c r="I663" s="12"/>
      <c r="M663" s="12"/>
      <c r="N663" s="18"/>
      <c r="O663" s="12"/>
      <c r="P663" s="12"/>
      <c r="Q663" s="12"/>
      <c r="R663" s="36"/>
      <c r="S663" s="36"/>
      <c r="T663" s="12"/>
      <c r="U663" s="12"/>
      <c r="V663" s="12"/>
      <c r="W663" s="12"/>
      <c r="X663" s="12"/>
    </row>
    <row r="664" customFormat="false" ht="15.75" hidden="false" customHeight="false" outlineLevel="0" collapsed="false">
      <c r="A664" s="12"/>
      <c r="B664" s="34"/>
      <c r="C664" s="12"/>
      <c r="D664" s="12"/>
      <c r="E664" s="12"/>
      <c r="F664" s="12"/>
      <c r="G664" s="18"/>
      <c r="H664" s="35"/>
      <c r="I664" s="12"/>
      <c r="M664" s="12"/>
      <c r="N664" s="18"/>
      <c r="O664" s="12"/>
      <c r="P664" s="12"/>
      <c r="Q664" s="12"/>
      <c r="R664" s="36"/>
      <c r="S664" s="36"/>
      <c r="T664" s="12"/>
      <c r="U664" s="12"/>
      <c r="V664" s="12"/>
      <c r="W664" s="12"/>
      <c r="X664" s="12"/>
    </row>
    <row r="665" customFormat="false" ht="15.75" hidden="false" customHeight="false" outlineLevel="0" collapsed="false">
      <c r="A665" s="12"/>
      <c r="B665" s="34"/>
      <c r="C665" s="12"/>
      <c r="D665" s="12"/>
      <c r="E665" s="12"/>
      <c r="F665" s="12"/>
      <c r="G665" s="18"/>
      <c r="H665" s="35"/>
      <c r="I665" s="12"/>
      <c r="M665" s="12"/>
      <c r="N665" s="18"/>
      <c r="O665" s="12"/>
      <c r="P665" s="12"/>
      <c r="Q665" s="12"/>
      <c r="R665" s="36"/>
      <c r="S665" s="36"/>
      <c r="T665" s="12"/>
      <c r="U665" s="12"/>
      <c r="V665" s="12"/>
      <c r="W665" s="12"/>
      <c r="X665" s="12"/>
    </row>
    <row r="666" customFormat="false" ht="15.75" hidden="false" customHeight="false" outlineLevel="0" collapsed="false">
      <c r="A666" s="12"/>
      <c r="B666" s="34"/>
      <c r="C666" s="12"/>
      <c r="D666" s="12"/>
      <c r="E666" s="12"/>
      <c r="F666" s="12"/>
      <c r="G666" s="18"/>
      <c r="H666" s="35"/>
      <c r="I666" s="12"/>
      <c r="M666" s="12"/>
      <c r="N666" s="18"/>
      <c r="O666" s="12"/>
      <c r="P666" s="12"/>
      <c r="Q666" s="12"/>
      <c r="R666" s="36"/>
      <c r="S666" s="36"/>
      <c r="T666" s="12"/>
      <c r="U666" s="12"/>
      <c r="V666" s="12"/>
      <c r="W666" s="12"/>
      <c r="X666" s="12"/>
    </row>
    <row r="667" customFormat="false" ht="15.75" hidden="false" customHeight="false" outlineLevel="0" collapsed="false">
      <c r="A667" s="12"/>
      <c r="B667" s="34"/>
      <c r="C667" s="12"/>
      <c r="D667" s="12"/>
      <c r="E667" s="12"/>
      <c r="F667" s="12"/>
      <c r="G667" s="18"/>
      <c r="H667" s="35"/>
      <c r="I667" s="12"/>
      <c r="M667" s="12"/>
      <c r="N667" s="18"/>
      <c r="O667" s="12"/>
      <c r="P667" s="12"/>
      <c r="Q667" s="12"/>
      <c r="R667" s="36"/>
      <c r="S667" s="36"/>
      <c r="T667" s="12"/>
      <c r="U667" s="12"/>
      <c r="V667" s="12"/>
      <c r="W667" s="12"/>
      <c r="X667" s="12"/>
    </row>
    <row r="668" customFormat="false" ht="15.75" hidden="false" customHeight="false" outlineLevel="0" collapsed="false">
      <c r="A668" s="12"/>
      <c r="B668" s="34"/>
      <c r="C668" s="12"/>
      <c r="D668" s="12"/>
      <c r="E668" s="12"/>
      <c r="F668" s="12"/>
      <c r="G668" s="18"/>
      <c r="H668" s="35"/>
      <c r="I668" s="12"/>
      <c r="M668" s="12"/>
      <c r="N668" s="18"/>
      <c r="O668" s="12"/>
      <c r="P668" s="12"/>
      <c r="Q668" s="12"/>
      <c r="R668" s="36"/>
      <c r="S668" s="36"/>
      <c r="T668" s="12"/>
      <c r="U668" s="12"/>
      <c r="V668" s="12"/>
      <c r="W668" s="12"/>
      <c r="X668" s="12"/>
    </row>
    <row r="669" customFormat="false" ht="15.75" hidden="false" customHeight="false" outlineLevel="0" collapsed="false">
      <c r="A669" s="12"/>
      <c r="B669" s="34"/>
      <c r="C669" s="12"/>
      <c r="D669" s="12"/>
      <c r="E669" s="12"/>
      <c r="F669" s="12"/>
      <c r="G669" s="18"/>
      <c r="H669" s="35"/>
      <c r="I669" s="12"/>
      <c r="M669" s="12"/>
      <c r="N669" s="18"/>
      <c r="O669" s="12"/>
      <c r="P669" s="12"/>
      <c r="Q669" s="12"/>
      <c r="R669" s="36"/>
      <c r="S669" s="36"/>
      <c r="T669" s="12"/>
      <c r="U669" s="12"/>
      <c r="V669" s="12"/>
      <c r="W669" s="12"/>
      <c r="X669" s="12"/>
    </row>
    <row r="670" customFormat="false" ht="15.75" hidden="false" customHeight="false" outlineLevel="0" collapsed="false">
      <c r="A670" s="12"/>
      <c r="B670" s="34"/>
      <c r="C670" s="12"/>
      <c r="D670" s="12"/>
      <c r="E670" s="12"/>
      <c r="F670" s="12"/>
      <c r="G670" s="18"/>
      <c r="H670" s="35"/>
      <c r="I670" s="12"/>
      <c r="M670" s="12"/>
      <c r="N670" s="18"/>
      <c r="O670" s="12"/>
      <c r="P670" s="12"/>
      <c r="Q670" s="12"/>
      <c r="R670" s="36"/>
      <c r="S670" s="36"/>
      <c r="T670" s="12"/>
      <c r="U670" s="12"/>
      <c r="V670" s="12"/>
      <c r="W670" s="12"/>
      <c r="X670" s="12"/>
    </row>
    <row r="671" customFormat="false" ht="15.75" hidden="false" customHeight="false" outlineLevel="0" collapsed="false">
      <c r="A671" s="12"/>
      <c r="B671" s="34"/>
      <c r="C671" s="12"/>
      <c r="D671" s="12"/>
      <c r="E671" s="12"/>
      <c r="F671" s="12"/>
      <c r="G671" s="18"/>
      <c r="H671" s="35"/>
      <c r="I671" s="12"/>
      <c r="M671" s="12"/>
      <c r="N671" s="18"/>
      <c r="O671" s="12"/>
      <c r="P671" s="12"/>
      <c r="Q671" s="12"/>
      <c r="R671" s="36"/>
      <c r="S671" s="36"/>
      <c r="T671" s="12"/>
      <c r="U671" s="12"/>
      <c r="V671" s="12"/>
      <c r="W671" s="12"/>
      <c r="X671" s="12"/>
    </row>
    <row r="672" customFormat="false" ht="15.75" hidden="false" customHeight="false" outlineLevel="0" collapsed="false">
      <c r="A672" s="12"/>
      <c r="B672" s="34"/>
      <c r="C672" s="12"/>
      <c r="D672" s="12"/>
      <c r="E672" s="12"/>
      <c r="F672" s="12"/>
      <c r="G672" s="18"/>
      <c r="H672" s="35"/>
      <c r="I672" s="12"/>
      <c r="M672" s="12"/>
      <c r="N672" s="18"/>
      <c r="O672" s="12"/>
      <c r="P672" s="12"/>
      <c r="Q672" s="12"/>
      <c r="R672" s="36"/>
      <c r="S672" s="36"/>
      <c r="T672" s="12"/>
      <c r="U672" s="12"/>
      <c r="V672" s="12"/>
      <c r="W672" s="12"/>
      <c r="X672" s="12"/>
    </row>
    <row r="673" customFormat="false" ht="15.75" hidden="false" customHeight="false" outlineLevel="0" collapsed="false">
      <c r="A673" s="12"/>
      <c r="B673" s="34"/>
      <c r="C673" s="12"/>
      <c r="D673" s="12"/>
      <c r="E673" s="12"/>
      <c r="F673" s="12"/>
      <c r="G673" s="18"/>
      <c r="H673" s="35"/>
      <c r="I673" s="12"/>
      <c r="M673" s="12"/>
      <c r="N673" s="18"/>
      <c r="O673" s="12"/>
      <c r="P673" s="12"/>
      <c r="Q673" s="12"/>
      <c r="R673" s="36"/>
      <c r="S673" s="36"/>
      <c r="T673" s="12"/>
      <c r="U673" s="12"/>
      <c r="V673" s="12"/>
      <c r="W673" s="12"/>
      <c r="X673" s="12"/>
    </row>
    <row r="674" customFormat="false" ht="15.75" hidden="false" customHeight="false" outlineLevel="0" collapsed="false">
      <c r="A674" s="12"/>
      <c r="B674" s="34"/>
      <c r="C674" s="12"/>
      <c r="D674" s="12"/>
      <c r="E674" s="12"/>
      <c r="F674" s="12"/>
      <c r="G674" s="18"/>
      <c r="H674" s="35"/>
      <c r="I674" s="12"/>
      <c r="M674" s="12"/>
      <c r="N674" s="18"/>
      <c r="O674" s="12"/>
      <c r="P674" s="12"/>
      <c r="Q674" s="12"/>
      <c r="R674" s="36"/>
      <c r="S674" s="36"/>
      <c r="T674" s="12"/>
      <c r="U674" s="12"/>
      <c r="V674" s="12"/>
      <c r="W674" s="12"/>
      <c r="X674" s="12"/>
    </row>
    <row r="675" customFormat="false" ht="15.75" hidden="false" customHeight="false" outlineLevel="0" collapsed="false">
      <c r="A675" s="12"/>
      <c r="B675" s="34"/>
      <c r="C675" s="12"/>
      <c r="D675" s="12"/>
      <c r="E675" s="12"/>
      <c r="F675" s="12"/>
      <c r="G675" s="18"/>
      <c r="H675" s="35"/>
      <c r="I675" s="12"/>
      <c r="M675" s="12"/>
      <c r="N675" s="18"/>
      <c r="O675" s="12"/>
      <c r="P675" s="12"/>
      <c r="Q675" s="12"/>
      <c r="R675" s="36"/>
      <c r="S675" s="36"/>
      <c r="T675" s="12"/>
      <c r="U675" s="12"/>
      <c r="V675" s="12"/>
      <c r="W675" s="12"/>
      <c r="X675" s="12"/>
    </row>
    <row r="676" customFormat="false" ht="15.75" hidden="false" customHeight="false" outlineLevel="0" collapsed="false">
      <c r="A676" s="12"/>
      <c r="B676" s="34"/>
      <c r="C676" s="12"/>
      <c r="D676" s="12"/>
      <c r="E676" s="12"/>
      <c r="F676" s="12"/>
      <c r="G676" s="18"/>
      <c r="H676" s="35"/>
      <c r="I676" s="12"/>
      <c r="M676" s="12"/>
      <c r="N676" s="18"/>
      <c r="O676" s="12"/>
      <c r="P676" s="12"/>
      <c r="Q676" s="12"/>
      <c r="R676" s="36"/>
      <c r="S676" s="36"/>
      <c r="T676" s="12"/>
      <c r="U676" s="12"/>
      <c r="V676" s="12"/>
      <c r="W676" s="12"/>
      <c r="X676" s="12"/>
    </row>
    <row r="677" customFormat="false" ht="15.75" hidden="false" customHeight="false" outlineLevel="0" collapsed="false">
      <c r="A677" s="12"/>
      <c r="B677" s="34"/>
      <c r="C677" s="12"/>
      <c r="D677" s="12"/>
      <c r="E677" s="12"/>
      <c r="F677" s="12"/>
      <c r="G677" s="18"/>
      <c r="H677" s="35"/>
      <c r="I677" s="12"/>
      <c r="M677" s="12"/>
      <c r="N677" s="18"/>
      <c r="O677" s="12"/>
      <c r="P677" s="12"/>
      <c r="Q677" s="12"/>
      <c r="R677" s="36"/>
      <c r="S677" s="36"/>
      <c r="T677" s="12"/>
      <c r="U677" s="12"/>
      <c r="V677" s="12"/>
      <c r="W677" s="12"/>
      <c r="X677" s="12"/>
    </row>
    <row r="678" customFormat="false" ht="15.75" hidden="false" customHeight="false" outlineLevel="0" collapsed="false">
      <c r="A678" s="12"/>
      <c r="B678" s="34"/>
      <c r="C678" s="12"/>
      <c r="D678" s="12"/>
      <c r="E678" s="12"/>
      <c r="F678" s="12"/>
      <c r="G678" s="18"/>
      <c r="H678" s="35"/>
      <c r="I678" s="12"/>
      <c r="M678" s="12"/>
      <c r="N678" s="18"/>
      <c r="O678" s="12"/>
      <c r="P678" s="12"/>
      <c r="Q678" s="12"/>
      <c r="R678" s="36"/>
      <c r="S678" s="36"/>
      <c r="T678" s="12"/>
      <c r="U678" s="12"/>
      <c r="V678" s="12"/>
      <c r="W678" s="12"/>
      <c r="X678" s="12"/>
    </row>
    <row r="679" customFormat="false" ht="15.75" hidden="false" customHeight="false" outlineLevel="0" collapsed="false">
      <c r="A679" s="12"/>
      <c r="B679" s="34"/>
      <c r="C679" s="12"/>
      <c r="D679" s="12"/>
      <c r="E679" s="12"/>
      <c r="F679" s="12"/>
      <c r="G679" s="18"/>
      <c r="H679" s="35"/>
      <c r="I679" s="12"/>
      <c r="M679" s="12"/>
      <c r="N679" s="18"/>
      <c r="O679" s="12"/>
      <c r="P679" s="12"/>
      <c r="Q679" s="12"/>
      <c r="R679" s="36"/>
      <c r="S679" s="36"/>
      <c r="T679" s="12"/>
      <c r="U679" s="12"/>
      <c r="V679" s="12"/>
      <c r="W679" s="12"/>
      <c r="X679" s="12"/>
    </row>
    <row r="680" customFormat="false" ht="15.75" hidden="false" customHeight="false" outlineLevel="0" collapsed="false">
      <c r="A680" s="12"/>
      <c r="B680" s="34"/>
      <c r="C680" s="12"/>
      <c r="D680" s="12"/>
      <c r="E680" s="12"/>
      <c r="F680" s="12"/>
      <c r="G680" s="18"/>
      <c r="H680" s="35"/>
      <c r="I680" s="12"/>
      <c r="M680" s="12"/>
      <c r="N680" s="18"/>
      <c r="O680" s="12"/>
      <c r="P680" s="12"/>
      <c r="Q680" s="12"/>
      <c r="R680" s="36"/>
      <c r="S680" s="36"/>
      <c r="T680" s="12"/>
      <c r="U680" s="12"/>
      <c r="V680" s="12"/>
      <c r="W680" s="12"/>
      <c r="X680" s="12"/>
    </row>
    <row r="681" customFormat="false" ht="15.75" hidden="false" customHeight="false" outlineLevel="0" collapsed="false">
      <c r="A681" s="12"/>
      <c r="B681" s="34"/>
      <c r="C681" s="12"/>
      <c r="D681" s="12"/>
      <c r="E681" s="12"/>
      <c r="F681" s="12"/>
      <c r="G681" s="18"/>
      <c r="H681" s="35"/>
      <c r="I681" s="12"/>
      <c r="M681" s="12"/>
      <c r="N681" s="18"/>
      <c r="O681" s="12"/>
      <c r="P681" s="12"/>
      <c r="Q681" s="12"/>
      <c r="R681" s="36"/>
      <c r="S681" s="36"/>
      <c r="T681" s="12"/>
      <c r="U681" s="12"/>
      <c r="V681" s="12"/>
      <c r="W681" s="12"/>
      <c r="X681" s="12"/>
    </row>
    <row r="682" customFormat="false" ht="15.75" hidden="false" customHeight="false" outlineLevel="0" collapsed="false">
      <c r="A682" s="12"/>
      <c r="B682" s="34"/>
      <c r="C682" s="12"/>
      <c r="D682" s="12"/>
      <c r="E682" s="12"/>
      <c r="F682" s="12"/>
      <c r="G682" s="18"/>
      <c r="H682" s="35"/>
      <c r="I682" s="12"/>
      <c r="M682" s="12"/>
      <c r="N682" s="18"/>
      <c r="O682" s="12"/>
      <c r="P682" s="12"/>
      <c r="Q682" s="12"/>
      <c r="R682" s="36"/>
      <c r="S682" s="36"/>
      <c r="T682" s="12"/>
      <c r="U682" s="12"/>
      <c r="V682" s="12"/>
      <c r="W682" s="12"/>
      <c r="X682" s="12"/>
    </row>
    <row r="683" customFormat="false" ht="15.75" hidden="false" customHeight="false" outlineLevel="0" collapsed="false">
      <c r="A683" s="12"/>
      <c r="B683" s="34"/>
      <c r="C683" s="12"/>
      <c r="D683" s="12"/>
      <c r="E683" s="12"/>
      <c r="F683" s="12"/>
      <c r="G683" s="18"/>
      <c r="H683" s="35"/>
      <c r="I683" s="12"/>
      <c r="M683" s="12"/>
      <c r="N683" s="18"/>
      <c r="O683" s="12"/>
      <c r="P683" s="12"/>
      <c r="Q683" s="12"/>
      <c r="R683" s="36"/>
      <c r="S683" s="36"/>
      <c r="T683" s="12"/>
      <c r="U683" s="12"/>
      <c r="V683" s="12"/>
      <c r="W683" s="12"/>
      <c r="X683" s="12"/>
    </row>
    <row r="684" customFormat="false" ht="15.75" hidden="false" customHeight="false" outlineLevel="0" collapsed="false">
      <c r="A684" s="12"/>
      <c r="B684" s="34"/>
      <c r="C684" s="12"/>
      <c r="D684" s="12"/>
      <c r="E684" s="12"/>
      <c r="F684" s="12"/>
      <c r="G684" s="18"/>
      <c r="H684" s="35"/>
      <c r="I684" s="12"/>
      <c r="M684" s="12"/>
      <c r="N684" s="18"/>
      <c r="O684" s="12"/>
      <c r="P684" s="12"/>
      <c r="Q684" s="12"/>
      <c r="R684" s="36"/>
      <c r="S684" s="36"/>
      <c r="T684" s="12"/>
      <c r="U684" s="12"/>
      <c r="V684" s="12"/>
      <c r="W684" s="12"/>
      <c r="X684" s="12"/>
    </row>
    <row r="685" customFormat="false" ht="15.75" hidden="false" customHeight="false" outlineLevel="0" collapsed="false">
      <c r="A685" s="12"/>
      <c r="B685" s="34"/>
      <c r="C685" s="12"/>
      <c r="D685" s="12"/>
      <c r="E685" s="12"/>
      <c r="F685" s="12"/>
      <c r="G685" s="18"/>
      <c r="H685" s="35"/>
      <c r="I685" s="12"/>
      <c r="M685" s="12"/>
      <c r="N685" s="18"/>
      <c r="O685" s="12"/>
      <c r="P685" s="12"/>
      <c r="Q685" s="12"/>
      <c r="R685" s="36"/>
      <c r="S685" s="36"/>
      <c r="T685" s="12"/>
      <c r="U685" s="12"/>
      <c r="V685" s="12"/>
      <c r="W685" s="12"/>
      <c r="X685" s="12"/>
    </row>
    <row r="686" customFormat="false" ht="15.75" hidden="false" customHeight="false" outlineLevel="0" collapsed="false">
      <c r="A686" s="12"/>
      <c r="B686" s="34"/>
      <c r="C686" s="12"/>
      <c r="D686" s="12"/>
      <c r="E686" s="12"/>
      <c r="F686" s="12"/>
      <c r="G686" s="18"/>
      <c r="H686" s="35"/>
      <c r="I686" s="12"/>
      <c r="M686" s="12"/>
      <c r="N686" s="18"/>
      <c r="O686" s="12"/>
      <c r="P686" s="12"/>
      <c r="Q686" s="12"/>
      <c r="R686" s="36"/>
      <c r="S686" s="36"/>
      <c r="T686" s="12"/>
      <c r="U686" s="12"/>
      <c r="V686" s="12"/>
      <c r="W686" s="12"/>
      <c r="X686" s="12"/>
    </row>
    <row r="687" customFormat="false" ht="15.75" hidden="false" customHeight="false" outlineLevel="0" collapsed="false">
      <c r="A687" s="12"/>
      <c r="B687" s="34"/>
      <c r="C687" s="12"/>
      <c r="D687" s="12"/>
      <c r="E687" s="12"/>
      <c r="F687" s="12"/>
      <c r="G687" s="18"/>
      <c r="H687" s="35"/>
      <c r="I687" s="12"/>
      <c r="M687" s="12"/>
      <c r="N687" s="18"/>
      <c r="O687" s="12"/>
      <c r="P687" s="12"/>
      <c r="Q687" s="12"/>
      <c r="R687" s="36"/>
      <c r="S687" s="36"/>
      <c r="T687" s="12"/>
      <c r="U687" s="12"/>
      <c r="V687" s="12"/>
      <c r="W687" s="12"/>
      <c r="X687" s="12"/>
    </row>
    <row r="688" customFormat="false" ht="15.75" hidden="false" customHeight="false" outlineLevel="0" collapsed="false">
      <c r="A688" s="12"/>
      <c r="B688" s="34"/>
      <c r="C688" s="12"/>
      <c r="D688" s="12"/>
      <c r="E688" s="12"/>
      <c r="F688" s="12"/>
      <c r="G688" s="18"/>
      <c r="H688" s="35"/>
      <c r="I688" s="12"/>
      <c r="M688" s="12"/>
      <c r="N688" s="18"/>
      <c r="O688" s="12"/>
      <c r="P688" s="12"/>
      <c r="Q688" s="12"/>
      <c r="R688" s="36"/>
      <c r="S688" s="36"/>
      <c r="T688" s="12"/>
      <c r="U688" s="12"/>
      <c r="V688" s="12"/>
      <c r="W688" s="12"/>
      <c r="X688" s="12"/>
    </row>
    <row r="689" customFormat="false" ht="15.75" hidden="false" customHeight="false" outlineLevel="0" collapsed="false">
      <c r="A689" s="12"/>
      <c r="B689" s="34"/>
      <c r="C689" s="12"/>
      <c r="D689" s="12"/>
      <c r="E689" s="12"/>
      <c r="F689" s="12"/>
      <c r="G689" s="18"/>
      <c r="H689" s="35"/>
      <c r="I689" s="12"/>
      <c r="M689" s="12"/>
      <c r="N689" s="18"/>
      <c r="O689" s="12"/>
      <c r="P689" s="12"/>
      <c r="Q689" s="12"/>
      <c r="R689" s="36"/>
      <c r="S689" s="36"/>
      <c r="T689" s="12"/>
      <c r="U689" s="12"/>
      <c r="V689" s="12"/>
      <c r="W689" s="12"/>
      <c r="X689" s="12"/>
    </row>
    <row r="690" customFormat="false" ht="15.75" hidden="false" customHeight="false" outlineLevel="0" collapsed="false">
      <c r="A690" s="12"/>
      <c r="B690" s="34"/>
      <c r="C690" s="12"/>
      <c r="D690" s="12"/>
      <c r="E690" s="12"/>
      <c r="F690" s="12"/>
      <c r="G690" s="18"/>
      <c r="H690" s="35"/>
      <c r="I690" s="12"/>
      <c r="M690" s="12"/>
      <c r="N690" s="18"/>
      <c r="O690" s="12"/>
      <c r="P690" s="12"/>
      <c r="Q690" s="12"/>
      <c r="R690" s="36"/>
      <c r="S690" s="36"/>
      <c r="T690" s="12"/>
      <c r="U690" s="12"/>
      <c r="V690" s="12"/>
      <c r="W690" s="12"/>
      <c r="X690" s="12"/>
    </row>
    <row r="691" customFormat="false" ht="15.75" hidden="false" customHeight="false" outlineLevel="0" collapsed="false">
      <c r="A691" s="12"/>
      <c r="B691" s="34"/>
      <c r="C691" s="12"/>
      <c r="D691" s="12"/>
      <c r="E691" s="12"/>
      <c r="F691" s="12"/>
      <c r="G691" s="18"/>
      <c r="H691" s="35"/>
      <c r="I691" s="12"/>
      <c r="M691" s="12"/>
      <c r="N691" s="18"/>
      <c r="O691" s="12"/>
      <c r="P691" s="12"/>
      <c r="Q691" s="12"/>
      <c r="R691" s="36"/>
      <c r="S691" s="36"/>
      <c r="T691" s="12"/>
      <c r="U691" s="12"/>
      <c r="V691" s="12"/>
      <c r="W691" s="12"/>
      <c r="X691" s="12"/>
    </row>
    <row r="692" customFormat="false" ht="15.75" hidden="false" customHeight="false" outlineLevel="0" collapsed="false">
      <c r="A692" s="12"/>
      <c r="B692" s="34"/>
      <c r="C692" s="12"/>
      <c r="D692" s="12"/>
      <c r="E692" s="12"/>
      <c r="F692" s="12"/>
      <c r="G692" s="18"/>
      <c r="H692" s="35"/>
      <c r="I692" s="12"/>
      <c r="M692" s="12"/>
      <c r="N692" s="18"/>
      <c r="O692" s="12"/>
      <c r="P692" s="12"/>
      <c r="Q692" s="12"/>
      <c r="R692" s="36"/>
      <c r="S692" s="36"/>
      <c r="T692" s="12"/>
      <c r="U692" s="12"/>
      <c r="V692" s="12"/>
      <c r="W692" s="12"/>
      <c r="X692" s="12"/>
    </row>
    <row r="693" customFormat="false" ht="15.75" hidden="false" customHeight="false" outlineLevel="0" collapsed="false">
      <c r="A693" s="12"/>
      <c r="B693" s="34"/>
      <c r="C693" s="12"/>
      <c r="D693" s="12"/>
      <c r="E693" s="12"/>
      <c r="F693" s="12"/>
      <c r="G693" s="18"/>
      <c r="H693" s="35"/>
      <c r="I693" s="12"/>
      <c r="M693" s="12"/>
      <c r="N693" s="18"/>
      <c r="O693" s="12"/>
      <c r="P693" s="12"/>
      <c r="Q693" s="12"/>
      <c r="R693" s="36"/>
      <c r="S693" s="36"/>
      <c r="T693" s="12"/>
      <c r="U693" s="12"/>
      <c r="V693" s="12"/>
      <c r="W693" s="12"/>
      <c r="X693" s="12"/>
    </row>
    <row r="694" customFormat="false" ht="15.75" hidden="false" customHeight="false" outlineLevel="0" collapsed="false">
      <c r="A694" s="12"/>
      <c r="B694" s="34"/>
      <c r="C694" s="12"/>
      <c r="D694" s="12"/>
      <c r="E694" s="12"/>
      <c r="F694" s="12"/>
      <c r="G694" s="18"/>
      <c r="H694" s="35"/>
      <c r="I694" s="12"/>
      <c r="M694" s="12"/>
      <c r="N694" s="18"/>
      <c r="O694" s="12"/>
      <c r="P694" s="12"/>
      <c r="Q694" s="12"/>
      <c r="R694" s="36"/>
      <c r="S694" s="36"/>
      <c r="T694" s="12"/>
      <c r="U694" s="12"/>
      <c r="V694" s="12"/>
      <c r="W694" s="12"/>
      <c r="X694" s="12"/>
    </row>
    <row r="695" customFormat="false" ht="15.75" hidden="false" customHeight="false" outlineLevel="0" collapsed="false">
      <c r="A695" s="12"/>
      <c r="B695" s="34"/>
      <c r="C695" s="12"/>
      <c r="D695" s="12"/>
      <c r="E695" s="12"/>
      <c r="F695" s="12"/>
      <c r="G695" s="18"/>
      <c r="H695" s="35"/>
      <c r="I695" s="12"/>
      <c r="M695" s="12"/>
      <c r="N695" s="18"/>
      <c r="O695" s="12"/>
      <c r="P695" s="12"/>
      <c r="Q695" s="12"/>
      <c r="R695" s="36"/>
      <c r="S695" s="36"/>
      <c r="T695" s="12"/>
      <c r="U695" s="12"/>
      <c r="V695" s="12"/>
      <c r="W695" s="12"/>
      <c r="X695" s="12"/>
    </row>
    <row r="696" customFormat="false" ht="15.75" hidden="false" customHeight="false" outlineLevel="0" collapsed="false">
      <c r="A696" s="12"/>
      <c r="B696" s="34"/>
      <c r="C696" s="12"/>
      <c r="D696" s="12"/>
      <c r="E696" s="12"/>
      <c r="F696" s="12"/>
      <c r="G696" s="18"/>
      <c r="H696" s="35"/>
      <c r="I696" s="12"/>
      <c r="M696" s="12"/>
      <c r="N696" s="18"/>
      <c r="O696" s="12"/>
      <c r="P696" s="12"/>
      <c r="Q696" s="12"/>
      <c r="R696" s="36"/>
      <c r="S696" s="36"/>
      <c r="T696" s="12"/>
      <c r="U696" s="12"/>
      <c r="V696" s="12"/>
      <c r="W696" s="12"/>
      <c r="X696" s="12"/>
    </row>
    <row r="697" customFormat="false" ht="15.75" hidden="false" customHeight="false" outlineLevel="0" collapsed="false">
      <c r="A697" s="12"/>
      <c r="B697" s="34"/>
      <c r="C697" s="12"/>
      <c r="D697" s="12"/>
      <c r="E697" s="12"/>
      <c r="F697" s="12"/>
      <c r="G697" s="18"/>
      <c r="H697" s="35"/>
      <c r="I697" s="12"/>
      <c r="M697" s="12"/>
      <c r="N697" s="18"/>
      <c r="O697" s="12"/>
      <c r="P697" s="12"/>
      <c r="Q697" s="12"/>
      <c r="R697" s="36"/>
      <c r="S697" s="36"/>
      <c r="T697" s="12"/>
      <c r="U697" s="12"/>
      <c r="V697" s="12"/>
      <c r="W697" s="12"/>
      <c r="X697" s="12"/>
    </row>
    <row r="698" customFormat="false" ht="15.75" hidden="false" customHeight="false" outlineLevel="0" collapsed="false">
      <c r="A698" s="12"/>
      <c r="B698" s="34"/>
      <c r="C698" s="12"/>
      <c r="D698" s="12"/>
      <c r="E698" s="12"/>
      <c r="F698" s="12"/>
      <c r="G698" s="18"/>
      <c r="H698" s="35"/>
      <c r="I698" s="12"/>
      <c r="M698" s="12"/>
      <c r="N698" s="18"/>
      <c r="O698" s="12"/>
      <c r="P698" s="12"/>
      <c r="Q698" s="12"/>
      <c r="R698" s="36"/>
      <c r="S698" s="36"/>
      <c r="T698" s="12"/>
      <c r="U698" s="12"/>
      <c r="V698" s="12"/>
      <c r="W698" s="12"/>
      <c r="X698" s="12"/>
    </row>
    <row r="699" customFormat="false" ht="15.75" hidden="false" customHeight="false" outlineLevel="0" collapsed="false">
      <c r="A699" s="12"/>
      <c r="B699" s="34"/>
      <c r="C699" s="12"/>
      <c r="D699" s="12"/>
      <c r="E699" s="12"/>
      <c r="F699" s="12"/>
      <c r="G699" s="18"/>
      <c r="H699" s="35"/>
      <c r="I699" s="12"/>
      <c r="M699" s="12"/>
      <c r="N699" s="18"/>
      <c r="O699" s="12"/>
      <c r="P699" s="12"/>
      <c r="Q699" s="12"/>
      <c r="R699" s="36"/>
      <c r="S699" s="36"/>
      <c r="T699" s="12"/>
      <c r="U699" s="12"/>
      <c r="V699" s="12"/>
      <c r="W699" s="12"/>
      <c r="X699" s="12"/>
    </row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AE97"/>
  <conditionalFormatting sqref="R2:S699">
    <cfRule type="expression" priority="2" aboveAverage="0" equalAverage="0" bottom="0" percent="0" rank="0" text="" dxfId="0">
      <formula>LEN(TRIM(R2))&gt;0</formula>
    </cfRule>
  </conditionalFormatting>
  <conditionalFormatting sqref="Q2:Q699">
    <cfRule type="expression" priority="3" aboveAverage="0" equalAverage="0" bottom="0" percent="0" rank="0" text="" dxfId="0">
      <formula>LEN(TRIM(Q2))&gt;0</formula>
    </cfRule>
  </conditionalFormatting>
  <conditionalFormatting sqref="G2:G699 N2:N699">
    <cfRule type="containsText" priority="4" operator="containsText" aboveAverage="0" equalAverage="0" bottom="0" percent="0" rank="0" text="x" dxfId="0">
      <formula>NOT(ISERROR(SEARCH("x",G2)))</formula>
    </cfRule>
  </conditionalFormatting>
  <conditionalFormatting sqref="T2:T699">
    <cfRule type="expression" priority="5" aboveAverage="0" equalAverage="0" bottom="0" percent="0" rank="0" text="" dxfId="0">
      <formula>LEN(TRIM(T2))&gt;0</formula>
    </cfRule>
  </conditionalFormatting>
  <conditionalFormatting sqref="W2:W699">
    <cfRule type="expression" priority="6" aboveAverage="0" equalAverage="0" bottom="0" percent="0" rank="0" text="" dxfId="0">
      <formula>LEN(TRIM(W2))&gt;0</formula>
    </cfRule>
  </conditionalFormatting>
  <conditionalFormatting sqref="X2:X699">
    <cfRule type="cellIs" priority="7" operator="equal" aboveAverage="0" equalAverage="0" bottom="0" percent="0" rank="0" text="" dxfId="0">
      <formula>"Completo"</formula>
    </cfRule>
    <cfRule type="cellIs" priority="8" operator="equal" aboveAverage="0" equalAverage="0" bottom="0" percent="0" rank="0" text="" dxfId="1">
      <formula>"No aplica"</formula>
    </cfRule>
  </conditionalFormatting>
  <conditionalFormatting sqref="G2:I699 O2:P699 U2:V699 X2:X699">
    <cfRule type="cellIs" priority="9" operator="equal" aboveAverage="0" equalAverage="0" bottom="0" percent="0" rank="0" text="" dxfId="0">
      <formula>"Completo"</formula>
    </cfRule>
    <cfRule type="cellIs" priority="10" operator="equal" aboveAverage="0" equalAverage="0" bottom="0" percent="0" rank="0" text="" dxfId="1">
      <formula>"No Aplica"</formula>
    </cfRule>
  </conditionalFormatting>
  <dataValidations count="6">
    <dataValidation allowBlank="true" errorStyle="stop" operator="between" showDropDown="false" showErrorMessage="true" showInputMessage="false" sqref="D2:D699" type="list">
      <formula1>LEYENDA!$B$2:$D$2</formula1>
      <formula2>0</formula2>
    </dataValidation>
    <dataValidation allowBlank="true" errorStyle="stop" operator="between" showDropDown="false" showErrorMessage="false" showInputMessage="false" sqref="R2:R699" type="list">
      <formula1>LEYENDA!$A$15:$A$19</formula1>
      <formula2>0</formula2>
    </dataValidation>
    <dataValidation allowBlank="true" errorStyle="stop" operator="between" showDropDown="false" showErrorMessage="true" showInputMessage="false" sqref="H2:I699 O2:P699 U2:V699 X2:X699" type="list">
      <formula1>LEYENDA!$B$1:$C$1</formula1>
      <formula2>0</formula2>
    </dataValidation>
    <dataValidation allowBlank="true" errorStyle="stop" operator="between" showDropDown="false" showErrorMessage="false" showInputMessage="false" sqref="E2:E699" type="list">
      <formula1>LEYENDA!$A$8:$A$12</formula1>
      <formula2>0</formula2>
    </dataValidation>
    <dataValidation allowBlank="true" errorStyle="stop" operator="between" showDropDown="false" showErrorMessage="false" showInputMessage="false" sqref="T56:T699" type="list">
      <formula1>LEYENDA!$A$23:$A$24</formula1>
      <formula2>0</formula2>
    </dataValidation>
    <dataValidation allowBlank="true" errorStyle="stop" operator="between" showDropDown="false" showErrorMessage="false" showInputMessage="false" sqref="T2:T55" type="list">
      <formula1>LEYENDA!$A$23:$A$25</formula1>
      <formula2>0</formula2>
    </dataValidation>
  </dataValidations>
  <hyperlinks>
    <hyperlink ref="U29" r:id="rId1" display="Completo"/>
    <hyperlink ref="V29" r:id="rId2" display="Completo"/>
    <hyperlink ref="U34" r:id="rId3" display="Completo"/>
    <hyperlink ref="V34" r:id="rId4" display="Completo"/>
    <hyperlink ref="U35" r:id="rId5" display="Completo"/>
    <hyperlink ref="V35" r:id="rId6" display="Completo"/>
    <hyperlink ref="U36" r:id="rId7" display="Completo"/>
    <hyperlink ref="V36" r:id="rId8" display="Completo"/>
    <hyperlink ref="U37" r:id="rId9" display="Completo"/>
    <hyperlink ref="V37" r:id="rId10" display="Completo"/>
    <hyperlink ref="U38" r:id="rId11" display="Completo"/>
    <hyperlink ref="V38" r:id="rId12" display="Completo"/>
    <hyperlink ref="U39" r:id="rId13" display="Completo"/>
    <hyperlink ref="V39" r:id="rId14" display="Completo"/>
    <hyperlink ref="U55" r:id="rId15" display="Completo"/>
    <hyperlink ref="V55" r:id="rId16" display="Completo"/>
    <hyperlink ref="U56" r:id="rId17" display="Completo"/>
    <hyperlink ref="V56" r:id="rId18" display="Completo"/>
    <hyperlink ref="U57" r:id="rId19" display="Completo"/>
    <hyperlink ref="U58" r:id="rId20" display="Completo"/>
    <hyperlink ref="V58" r:id="rId21" display="Completo"/>
    <hyperlink ref="U63" r:id="rId22" display="Completo"/>
  </hyperlinks>
  <printOptions headings="false" gridLines="true" gridLinesSet="true" horizontalCentered="true" verticalCentered="false"/>
  <pageMargins left="0.7" right="0.7" top="0.75" bottom="0.75" header="0.511811023622047" footer="0.511811023622047"/>
  <pageSetup paperSize="9" scale="100" fitToWidth="1" fitToHeight="0" pageOrder="overThenDown" orientation="landscape" blackAndWhite="false" draft="false" cellComments="none" horizontalDpi="300" verticalDpi="300" copies="1"/>
  <headerFooter differentFirst="false" differentOddEven="false">
    <oddHeader/>
    <oddFooter/>
  </headerFooter>
  <drawing r:id="rId23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XFD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8" ySplit="3" topLeftCell="I13" activePane="bottomRight" state="frozen"/>
      <selection pane="topLeft" activeCell="A1" activeCellId="0" sqref="A1"/>
      <selection pane="topRight" activeCell="I1" activeCellId="0" sqref="I1"/>
      <selection pane="bottomLeft" activeCell="A13" activeCellId="0" sqref="A13"/>
      <selection pane="bottomRight" activeCell="I1" activeCellId="0" sqref="I1"/>
    </sheetView>
  </sheetViews>
  <sheetFormatPr defaultColWidth="12.6328125" defaultRowHeight="15.75" zeroHeight="false" outlineLevelRow="0" outlineLevelCol="0"/>
  <cols>
    <col collapsed="false" customWidth="true" hidden="false" outlineLevel="0" max="1" min="1" style="1" width="10.25"/>
    <col collapsed="false" customWidth="true" hidden="false" outlineLevel="0" max="2" min="2" style="1" width="10.38"/>
    <col collapsed="false" customWidth="true" hidden="false" outlineLevel="0" max="3" min="3" style="1" width="29.63"/>
    <col collapsed="false" customWidth="true" hidden="false" outlineLevel="0" max="4" min="4" style="1" width="11.25"/>
    <col collapsed="false" customWidth="true" hidden="false" outlineLevel="0" max="5" min="5" style="1" width="17.13"/>
    <col collapsed="false" customWidth="true" hidden="false" outlineLevel="0" max="6" min="6" style="1" width="33.75"/>
    <col collapsed="false" customWidth="true" hidden="false" outlineLevel="0" max="8" min="7" style="1" width="15.88"/>
    <col collapsed="false" customWidth="true" hidden="false" outlineLevel="0" max="9" min="9" style="1" width="10.88"/>
    <col collapsed="false" customWidth="true" hidden="false" outlineLevel="0" max="10" min="10" style="1" width="12.88"/>
    <col collapsed="false" customWidth="true" hidden="false" outlineLevel="0" max="11" min="11" style="1" width="12"/>
    <col collapsed="false" customWidth="true" hidden="false" outlineLevel="0" max="12" min="12" style="1" width="10"/>
    <col collapsed="false" customWidth="true" hidden="false" outlineLevel="0" max="13" min="13" style="1" width="12.25"/>
    <col collapsed="false" customWidth="true" hidden="false" outlineLevel="0" max="14" min="14" style="1" width="26.12"/>
    <col collapsed="false" customWidth="true" hidden="true" outlineLevel="0" max="15" min="15" style="1" width="18"/>
    <col collapsed="false" customWidth="true" hidden="false" outlineLevel="0" max="17" min="16" style="1" width="10.63"/>
    <col collapsed="false" customWidth="true" hidden="false" outlineLevel="0" max="18" min="18" style="1" width="8.5"/>
    <col collapsed="false" customWidth="true" hidden="false" outlineLevel="0" max="20" min="20" style="1" width="25.38"/>
    <col collapsed="false" customWidth="true" hidden="false" outlineLevel="0" max="21" min="21" style="1" width="17.88"/>
    <col collapsed="false" customWidth="true" hidden="false" outlineLevel="0" max="22" min="22" style="1" width="10.13"/>
    <col collapsed="false" customWidth="true" hidden="false" outlineLevel="0" max="23" min="23" style="1" width="11.12"/>
    <col collapsed="false" customWidth="true" hidden="false" outlineLevel="0" max="24" min="24" style="1" width="24.88"/>
    <col collapsed="false" customWidth="true" hidden="false" outlineLevel="0" max="16384" min="16383" style="1" width="11.53"/>
  </cols>
  <sheetData>
    <row r="1" customFormat="false" ht="42.5" hidden="false" customHeight="false" outlineLevel="0" collapsed="false">
      <c r="A1" s="2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/>
      <c r="J1" s="4" t="s">
        <v>8</v>
      </c>
      <c r="K1" s="2"/>
      <c r="L1" s="2" t="s">
        <v>9</v>
      </c>
      <c r="M1" s="2" t="s">
        <v>10</v>
      </c>
      <c r="N1" s="4" t="s">
        <v>11</v>
      </c>
      <c r="O1" s="3" t="s">
        <v>12</v>
      </c>
      <c r="P1" s="7" t="s">
        <v>13</v>
      </c>
      <c r="Q1" s="7" t="s">
        <v>14</v>
      </c>
      <c r="R1" s="7" t="s">
        <v>15</v>
      </c>
      <c r="S1" s="7" t="s">
        <v>16</v>
      </c>
      <c r="T1" s="7" t="s">
        <v>17</v>
      </c>
      <c r="U1" s="8" t="s">
        <v>18</v>
      </c>
      <c r="V1" s="9" t="s">
        <v>19</v>
      </c>
      <c r="W1" s="9" t="s">
        <v>20</v>
      </c>
      <c r="X1" s="10" t="s">
        <v>15</v>
      </c>
      <c r="Y1" s="11" t="s">
        <v>21</v>
      </c>
      <c r="Z1" s="11" t="s">
        <v>22</v>
      </c>
      <c r="AA1" s="12"/>
      <c r="AB1" s="12"/>
      <c r="AC1" s="12"/>
      <c r="AD1" s="12"/>
      <c r="AE1" s="12"/>
      <c r="AF1" s="12"/>
      <c r="XFC1" s="0"/>
      <c r="XFD1" s="0"/>
    </row>
    <row r="2" customFormat="false" ht="15.75" hidden="false" customHeight="false" outlineLevel="0" collapsed="false">
      <c r="A2" s="61" t="n">
        <v>7200</v>
      </c>
      <c r="B2" s="29" t="n">
        <v>45048</v>
      </c>
      <c r="C2" s="21" t="s">
        <v>1666</v>
      </c>
      <c r="D2" s="21" t="s">
        <v>24</v>
      </c>
      <c r="E2" s="21" t="s">
        <v>34</v>
      </c>
      <c r="F2" s="21" t="s">
        <v>1810</v>
      </c>
      <c r="G2" s="30" t="e">
        <f aca="false">vlookup</f>
        <v>#NAME?</v>
      </c>
      <c r="H2" s="30"/>
      <c r="I2" s="31"/>
      <c r="J2" s="21"/>
      <c r="K2" s="21"/>
      <c r="L2" s="21"/>
      <c r="M2" s="21"/>
      <c r="N2" s="21"/>
      <c r="O2" s="30"/>
      <c r="P2" s="21"/>
      <c r="Q2" s="21"/>
      <c r="R2" s="21"/>
      <c r="S2" s="32"/>
      <c r="T2" s="32"/>
      <c r="U2" s="21"/>
      <c r="V2" s="21"/>
      <c r="W2" s="21"/>
      <c r="X2" s="21"/>
      <c r="Y2" s="21" t="s">
        <v>28</v>
      </c>
    </row>
    <row r="3" customFormat="false" ht="15.75" hidden="false" customHeight="false" outlineLevel="0" collapsed="false">
      <c r="A3" s="61" t="n">
        <v>7201</v>
      </c>
      <c r="B3" s="29" t="n">
        <v>45049</v>
      </c>
      <c r="C3" s="21" t="s">
        <v>1569</v>
      </c>
      <c r="D3" s="21" t="s">
        <v>24</v>
      </c>
      <c r="E3" s="21" t="s">
        <v>34</v>
      </c>
      <c r="F3" s="21" t="s">
        <v>1811</v>
      </c>
      <c r="G3" s="30"/>
      <c r="H3" s="30"/>
      <c r="I3" s="31"/>
      <c r="J3" s="21"/>
      <c r="K3" s="21"/>
      <c r="L3" s="21"/>
      <c r="M3" s="21"/>
      <c r="N3" s="21"/>
      <c r="O3" s="30"/>
      <c r="P3" s="21"/>
      <c r="Q3" s="21"/>
      <c r="R3" s="21"/>
      <c r="S3" s="32"/>
      <c r="T3" s="32"/>
      <c r="U3" s="21"/>
      <c r="V3" s="21"/>
      <c r="W3" s="21"/>
      <c r="X3" s="21"/>
      <c r="Y3" s="21" t="s">
        <v>28</v>
      </c>
    </row>
    <row r="4" customFormat="false" ht="15.75" hidden="false" customHeight="false" outlineLevel="0" collapsed="false">
      <c r="A4" s="61" t="n">
        <v>7202</v>
      </c>
      <c r="B4" s="29" t="n">
        <v>45049</v>
      </c>
      <c r="C4" s="21" t="s">
        <v>1569</v>
      </c>
      <c r="D4" s="21" t="s">
        <v>24</v>
      </c>
      <c r="E4" s="21" t="s">
        <v>34</v>
      </c>
      <c r="F4" s="21" t="s">
        <v>1811</v>
      </c>
      <c r="G4" s="30"/>
      <c r="H4" s="30"/>
      <c r="I4" s="31"/>
      <c r="J4" s="21"/>
      <c r="K4" s="21"/>
      <c r="L4" s="21"/>
      <c r="M4" s="21"/>
      <c r="N4" s="21"/>
      <c r="O4" s="30"/>
      <c r="P4" s="21"/>
      <c r="Q4" s="21"/>
      <c r="R4" s="21"/>
      <c r="S4" s="32"/>
      <c r="T4" s="32"/>
      <c r="U4" s="21"/>
      <c r="V4" s="21"/>
      <c r="W4" s="21"/>
      <c r="X4" s="21"/>
      <c r="Y4" s="21" t="s">
        <v>28</v>
      </c>
    </row>
    <row r="5" customFormat="false" ht="15.75" hidden="false" customHeight="false" outlineLevel="0" collapsed="false">
      <c r="A5" s="61" t="n">
        <v>7203</v>
      </c>
      <c r="B5" s="29" t="n">
        <v>45049</v>
      </c>
      <c r="C5" s="21" t="s">
        <v>1569</v>
      </c>
      <c r="D5" s="21" t="s">
        <v>24</v>
      </c>
      <c r="E5" s="21" t="s">
        <v>34</v>
      </c>
      <c r="F5" s="21" t="s">
        <v>1811</v>
      </c>
      <c r="G5" s="30"/>
      <c r="H5" s="30"/>
      <c r="I5" s="31"/>
      <c r="J5" s="21"/>
      <c r="K5" s="21"/>
      <c r="L5" s="21"/>
      <c r="M5" s="21"/>
      <c r="N5" s="21"/>
      <c r="O5" s="30"/>
      <c r="P5" s="21"/>
      <c r="Q5" s="21"/>
      <c r="R5" s="21"/>
      <c r="S5" s="32"/>
      <c r="T5" s="32"/>
      <c r="U5" s="21"/>
      <c r="V5" s="21"/>
      <c r="W5" s="21"/>
      <c r="X5" s="21"/>
      <c r="Y5" s="21" t="s">
        <v>28</v>
      </c>
    </row>
    <row r="6" customFormat="false" ht="15.75" hidden="false" customHeight="false" outlineLevel="0" collapsed="false">
      <c r="A6" s="61" t="n">
        <v>7204</v>
      </c>
      <c r="B6" s="29" t="n">
        <v>45049</v>
      </c>
      <c r="C6" s="21" t="s">
        <v>1569</v>
      </c>
      <c r="D6" s="21" t="s">
        <v>24</v>
      </c>
      <c r="E6" s="21" t="s">
        <v>34</v>
      </c>
      <c r="F6" s="21" t="s">
        <v>1811</v>
      </c>
      <c r="G6" s="30"/>
      <c r="H6" s="30"/>
      <c r="I6" s="31"/>
      <c r="J6" s="21"/>
      <c r="K6" s="21"/>
      <c r="L6" s="21"/>
      <c r="M6" s="21"/>
      <c r="N6" s="21"/>
      <c r="O6" s="30"/>
      <c r="P6" s="21"/>
      <c r="Q6" s="21"/>
      <c r="R6" s="21"/>
      <c r="S6" s="32"/>
      <c r="T6" s="32"/>
      <c r="U6" s="21"/>
      <c r="V6" s="21"/>
      <c r="W6" s="21"/>
      <c r="X6" s="21"/>
      <c r="Y6" s="21" t="s">
        <v>28</v>
      </c>
    </row>
    <row r="7" customFormat="false" ht="15.75" hidden="false" customHeight="false" outlineLevel="0" collapsed="false">
      <c r="A7" s="61" t="n">
        <v>7205</v>
      </c>
      <c r="B7" s="29" t="n">
        <v>45049</v>
      </c>
      <c r="C7" s="21" t="s">
        <v>841</v>
      </c>
      <c r="D7" s="21" t="s">
        <v>24</v>
      </c>
      <c r="E7" s="21" t="s">
        <v>34</v>
      </c>
      <c r="F7" s="21" t="s">
        <v>1812</v>
      </c>
      <c r="G7" s="30"/>
      <c r="H7" s="30"/>
      <c r="I7" s="31"/>
      <c r="J7" s="21"/>
      <c r="K7" s="21"/>
      <c r="L7" s="21"/>
      <c r="M7" s="21"/>
      <c r="N7" s="21"/>
      <c r="O7" s="30"/>
      <c r="P7" s="21"/>
      <c r="Q7" s="21"/>
      <c r="R7" s="21"/>
      <c r="S7" s="32"/>
      <c r="T7" s="32"/>
      <c r="U7" s="21"/>
      <c r="V7" s="21"/>
      <c r="W7" s="21"/>
      <c r="X7" s="21"/>
      <c r="Y7" s="21" t="s">
        <v>28</v>
      </c>
    </row>
    <row r="8" customFormat="false" ht="15.75" hidden="false" customHeight="false" outlineLevel="0" collapsed="false">
      <c r="A8" s="61" t="n">
        <v>7206</v>
      </c>
      <c r="B8" s="29" t="n">
        <v>45049</v>
      </c>
      <c r="C8" s="21" t="s">
        <v>841</v>
      </c>
      <c r="D8" s="21" t="s">
        <v>24</v>
      </c>
      <c r="E8" s="21" t="s">
        <v>34</v>
      </c>
      <c r="F8" s="21" t="s">
        <v>1813</v>
      </c>
      <c r="G8" s="30"/>
      <c r="H8" s="30"/>
      <c r="I8" s="31"/>
      <c r="J8" s="21"/>
      <c r="K8" s="21"/>
      <c r="L8" s="21"/>
      <c r="M8" s="21"/>
      <c r="N8" s="21"/>
      <c r="O8" s="30"/>
      <c r="P8" s="21"/>
      <c r="Q8" s="21"/>
      <c r="R8" s="21"/>
      <c r="S8" s="32"/>
      <c r="T8" s="32"/>
      <c r="U8" s="21"/>
      <c r="V8" s="21"/>
      <c r="W8" s="21"/>
      <c r="X8" s="21"/>
      <c r="Y8" s="21" t="s">
        <v>28</v>
      </c>
    </row>
    <row r="9" customFormat="false" ht="15.75" hidden="false" customHeight="false" outlineLevel="0" collapsed="false">
      <c r="A9" s="61" t="n">
        <v>7207</v>
      </c>
      <c r="B9" s="29" t="n">
        <v>45049</v>
      </c>
      <c r="C9" s="21" t="s">
        <v>1742</v>
      </c>
      <c r="D9" s="21" t="s">
        <v>24</v>
      </c>
      <c r="E9" s="21" t="s">
        <v>34</v>
      </c>
      <c r="F9" s="21" t="s">
        <v>874</v>
      </c>
      <c r="G9" s="30"/>
      <c r="H9" s="30"/>
      <c r="I9" s="31"/>
      <c r="J9" s="21"/>
      <c r="K9" s="21"/>
      <c r="L9" s="21"/>
      <c r="M9" s="21"/>
      <c r="N9" s="21"/>
      <c r="O9" s="30"/>
      <c r="P9" s="21"/>
      <c r="Q9" s="21"/>
      <c r="R9" s="21"/>
      <c r="S9" s="32"/>
      <c r="T9" s="32"/>
      <c r="U9" s="21"/>
      <c r="V9" s="21"/>
      <c r="W9" s="21"/>
      <c r="X9" s="21"/>
      <c r="Y9" s="21" t="s">
        <v>28</v>
      </c>
    </row>
    <row r="10" customFormat="false" ht="15.75" hidden="false" customHeight="false" outlineLevel="0" collapsed="false">
      <c r="A10" s="61" t="n">
        <v>7208</v>
      </c>
      <c r="B10" s="29" t="n">
        <v>45049</v>
      </c>
      <c r="C10" s="21" t="s">
        <v>1567</v>
      </c>
      <c r="D10" s="21" t="s">
        <v>24</v>
      </c>
      <c r="E10" s="21" t="s">
        <v>34</v>
      </c>
      <c r="F10" s="21" t="s">
        <v>1814</v>
      </c>
      <c r="G10" s="30"/>
      <c r="H10" s="30"/>
      <c r="I10" s="31"/>
      <c r="J10" s="21"/>
      <c r="K10" s="21"/>
      <c r="L10" s="21"/>
      <c r="M10" s="21"/>
      <c r="N10" s="21"/>
      <c r="O10" s="30"/>
      <c r="P10" s="21"/>
      <c r="Q10" s="21"/>
      <c r="R10" s="21"/>
      <c r="S10" s="32"/>
      <c r="T10" s="32"/>
      <c r="U10" s="21"/>
      <c r="V10" s="21"/>
      <c r="W10" s="21"/>
      <c r="X10" s="21"/>
      <c r="Y10" s="21" t="s">
        <v>28</v>
      </c>
    </row>
    <row r="11" customFormat="false" ht="15.75" hidden="false" customHeight="false" outlineLevel="0" collapsed="false">
      <c r="A11" s="61" t="n">
        <v>7209</v>
      </c>
      <c r="B11" s="29" t="n">
        <v>45049</v>
      </c>
      <c r="C11" s="21" t="s">
        <v>1815</v>
      </c>
      <c r="D11" s="21" t="s">
        <v>24</v>
      </c>
      <c r="E11" s="21" t="s">
        <v>25</v>
      </c>
      <c r="F11" s="21" t="s">
        <v>1816</v>
      </c>
      <c r="G11" s="30"/>
      <c r="H11" s="30" t="s">
        <v>1817</v>
      </c>
      <c r="I11" s="45" t="str">
        <f aca="false">HYPERLINK("https://photos.app.goo.gl/RGh3TpVmiDer8Bzr9", "Completo")</f>
        <v>Completo</v>
      </c>
      <c r="J11" s="21" t="s">
        <v>28</v>
      </c>
      <c r="K11" s="21" t="s">
        <v>29</v>
      </c>
      <c r="L11" s="21" t="s">
        <v>29</v>
      </c>
      <c r="M11" s="21" t="s">
        <v>29</v>
      </c>
      <c r="N11" s="21"/>
      <c r="O11" s="30"/>
      <c r="P11" s="21"/>
      <c r="Q11" s="21"/>
      <c r="R11" s="21"/>
      <c r="S11" s="32"/>
      <c r="T11" s="32"/>
      <c r="U11" s="21"/>
      <c r="V11" s="21"/>
      <c r="W11" s="21"/>
      <c r="X11" s="21"/>
      <c r="Y11" s="21" t="s">
        <v>28</v>
      </c>
    </row>
    <row r="12" customFormat="false" ht="15.75" hidden="false" customHeight="false" outlineLevel="0" collapsed="false">
      <c r="A12" s="61" t="n">
        <v>7210</v>
      </c>
      <c r="B12" s="29" t="n">
        <v>45050</v>
      </c>
      <c r="C12" s="21" t="s">
        <v>1818</v>
      </c>
      <c r="D12" s="21" t="s">
        <v>24</v>
      </c>
      <c r="E12" s="21" t="s">
        <v>25</v>
      </c>
      <c r="F12" s="21" t="s">
        <v>1819</v>
      </c>
      <c r="G12" s="30"/>
      <c r="H12" s="30" t="s">
        <v>1820</v>
      </c>
      <c r="I12" s="45" t="str">
        <f aca="false">HYPERLINK("https://photos.app.goo.gl/U4f55mhbC4t4e4LX8", "Completo")</f>
        <v>Completo</v>
      </c>
      <c r="J12" s="21" t="s">
        <v>28</v>
      </c>
      <c r="K12" s="21" t="s">
        <v>29</v>
      </c>
      <c r="L12" s="21" t="s">
        <v>29</v>
      </c>
      <c r="M12" s="21" t="s">
        <v>29</v>
      </c>
      <c r="N12" s="21"/>
      <c r="O12" s="30"/>
      <c r="P12" s="21"/>
      <c r="Q12" s="21"/>
      <c r="R12" s="21"/>
      <c r="S12" s="32"/>
      <c r="T12" s="32"/>
      <c r="U12" s="21"/>
      <c r="V12" s="21"/>
      <c r="W12" s="21"/>
      <c r="X12" s="21"/>
      <c r="Y12" s="21" t="s">
        <v>28</v>
      </c>
    </row>
    <row r="13" customFormat="false" ht="15.75" hidden="false" customHeight="false" outlineLevel="0" collapsed="false">
      <c r="A13" s="61" t="n">
        <v>7211</v>
      </c>
      <c r="B13" s="29" t="n">
        <v>45050</v>
      </c>
      <c r="C13" s="21" t="s">
        <v>1821</v>
      </c>
      <c r="D13" s="21" t="s">
        <v>24</v>
      </c>
      <c r="E13" s="21" t="s">
        <v>25</v>
      </c>
      <c r="F13" s="21" t="s">
        <v>1554</v>
      </c>
      <c r="G13" s="30"/>
      <c r="H13" s="30" t="s">
        <v>1822</v>
      </c>
      <c r="I13" s="45" t="str">
        <f aca="false">HYPERLINK("https://photos.app.goo.gl/mbjyNReLSwNzHeMc8", "Completo")</f>
        <v>Completo</v>
      </c>
      <c r="J13" s="21" t="s">
        <v>28</v>
      </c>
      <c r="K13" s="21" t="s">
        <v>29</v>
      </c>
      <c r="L13" s="21" t="s">
        <v>29</v>
      </c>
      <c r="M13" s="21" t="s">
        <v>29</v>
      </c>
      <c r="N13" s="21"/>
      <c r="O13" s="30"/>
      <c r="P13" s="21"/>
      <c r="Q13" s="21"/>
      <c r="R13" s="21"/>
      <c r="S13" s="32"/>
      <c r="T13" s="32"/>
      <c r="U13" s="21"/>
      <c r="V13" s="21"/>
      <c r="W13" s="21"/>
      <c r="X13" s="21"/>
      <c r="Y13" s="21" t="s">
        <v>28</v>
      </c>
    </row>
    <row r="14" customFormat="false" ht="15.75" hidden="false" customHeight="false" outlineLevel="0" collapsed="false">
      <c r="A14" s="61" t="n">
        <v>7212</v>
      </c>
      <c r="B14" s="29" t="n">
        <v>45050</v>
      </c>
      <c r="C14" s="21" t="s">
        <v>188</v>
      </c>
      <c r="D14" s="21" t="s">
        <v>24</v>
      </c>
      <c r="E14" s="21" t="s">
        <v>34</v>
      </c>
      <c r="F14" s="21" t="s">
        <v>1823</v>
      </c>
      <c r="G14" s="30"/>
      <c r="H14" s="30"/>
      <c r="I14" s="31"/>
      <c r="J14" s="21"/>
      <c r="K14" s="21"/>
      <c r="L14" s="21"/>
      <c r="M14" s="21"/>
      <c r="N14" s="21"/>
      <c r="O14" s="30"/>
      <c r="P14" s="21"/>
      <c r="Q14" s="21"/>
      <c r="R14" s="21"/>
      <c r="S14" s="32"/>
      <c r="T14" s="32"/>
      <c r="U14" s="21"/>
      <c r="V14" s="21"/>
      <c r="W14" s="21"/>
      <c r="X14" s="21"/>
      <c r="Y14" s="21" t="s">
        <v>28</v>
      </c>
    </row>
    <row r="15" customFormat="false" ht="15.75" hidden="false" customHeight="false" outlineLevel="0" collapsed="false">
      <c r="A15" s="61" t="n">
        <v>7213</v>
      </c>
      <c r="B15" s="29" t="n">
        <v>45050</v>
      </c>
      <c r="C15" s="21" t="s">
        <v>84</v>
      </c>
      <c r="D15" s="21" t="s">
        <v>24</v>
      </c>
      <c r="E15" s="21" t="s">
        <v>34</v>
      </c>
      <c r="F15" s="21" t="s">
        <v>1824</v>
      </c>
      <c r="G15" s="30"/>
      <c r="H15" s="30"/>
      <c r="I15" s="31"/>
      <c r="J15" s="21"/>
      <c r="K15" s="21"/>
      <c r="L15" s="21"/>
      <c r="M15" s="21"/>
      <c r="N15" s="21"/>
      <c r="O15" s="30"/>
      <c r="P15" s="21"/>
      <c r="Q15" s="21"/>
      <c r="R15" s="21"/>
      <c r="S15" s="32"/>
      <c r="T15" s="32"/>
      <c r="U15" s="21"/>
      <c r="V15" s="21"/>
      <c r="W15" s="21"/>
      <c r="X15" s="21"/>
      <c r="Y15" s="21" t="s">
        <v>28</v>
      </c>
    </row>
    <row r="16" customFormat="false" ht="15.75" hidden="false" customHeight="false" outlineLevel="0" collapsed="false">
      <c r="A16" s="61" t="n">
        <v>7214</v>
      </c>
      <c r="B16" s="29" t="n">
        <v>45051</v>
      </c>
      <c r="C16" s="21" t="s">
        <v>1825</v>
      </c>
      <c r="D16" s="21" t="s">
        <v>24</v>
      </c>
      <c r="E16" s="21" t="s">
        <v>25</v>
      </c>
      <c r="F16" s="21" t="s">
        <v>1826</v>
      </c>
      <c r="G16" s="30"/>
      <c r="H16" s="30"/>
      <c r="I16" s="45" t="str">
        <f aca="false">HYPERLINK("https://photos.app.goo.gl/PgLih8pDTcTfbTy86", "Completo")</f>
        <v>Completo</v>
      </c>
      <c r="J16" s="21" t="s">
        <v>28</v>
      </c>
      <c r="K16" s="21" t="s">
        <v>1827</v>
      </c>
      <c r="L16" s="21"/>
      <c r="M16" s="21"/>
      <c r="N16" s="21" t="s">
        <v>1828</v>
      </c>
      <c r="O16" s="30"/>
      <c r="P16" s="21"/>
      <c r="Q16" s="21"/>
      <c r="R16" s="21"/>
      <c r="S16" s="32"/>
      <c r="T16" s="32"/>
      <c r="U16" s="21"/>
      <c r="V16" s="21"/>
      <c r="W16" s="21"/>
      <c r="X16" s="21"/>
      <c r="Y16" s="21" t="s">
        <v>28</v>
      </c>
    </row>
    <row r="17" customFormat="false" ht="15.75" hidden="false" customHeight="false" outlineLevel="0" collapsed="false">
      <c r="A17" s="61" t="n">
        <v>7215</v>
      </c>
      <c r="B17" s="29" t="n">
        <v>45054</v>
      </c>
      <c r="C17" s="21" t="s">
        <v>867</v>
      </c>
      <c r="D17" s="21" t="s">
        <v>24</v>
      </c>
      <c r="E17" s="21" t="s">
        <v>25</v>
      </c>
      <c r="F17" s="21" t="s">
        <v>1829</v>
      </c>
      <c r="G17" s="30"/>
      <c r="H17" s="30" t="s">
        <v>1830</v>
      </c>
      <c r="I17" s="45" t="str">
        <f aca="false">HYPERLINK("https://photos.app.goo.gl/3RiyQAmCmBoSHEFK6", "Completo")</f>
        <v>Completo</v>
      </c>
      <c r="J17" s="21" t="s">
        <v>28</v>
      </c>
      <c r="K17" s="21" t="s">
        <v>1831</v>
      </c>
      <c r="L17" s="21" t="s">
        <v>1832</v>
      </c>
      <c r="M17" s="21"/>
      <c r="N17" s="21"/>
      <c r="O17" s="30"/>
      <c r="P17" s="21"/>
      <c r="Q17" s="21"/>
      <c r="R17" s="21"/>
      <c r="S17" s="32"/>
      <c r="T17" s="32"/>
      <c r="U17" s="21"/>
      <c r="V17" s="21"/>
      <c r="W17" s="21"/>
      <c r="X17" s="21"/>
      <c r="Y17" s="21" t="s">
        <v>28</v>
      </c>
    </row>
    <row r="18" customFormat="false" ht="15.75" hidden="false" customHeight="false" outlineLevel="0" collapsed="false">
      <c r="A18" s="61" t="n">
        <v>7216</v>
      </c>
      <c r="B18" s="29" t="n">
        <v>45054</v>
      </c>
      <c r="C18" s="21" t="s">
        <v>867</v>
      </c>
      <c r="D18" s="21" t="s">
        <v>24</v>
      </c>
      <c r="E18" s="21" t="s">
        <v>25</v>
      </c>
      <c r="F18" s="21" t="s">
        <v>1833</v>
      </c>
      <c r="G18" s="30"/>
      <c r="H18" s="30" t="s">
        <v>1834</v>
      </c>
      <c r="I18" s="45" t="str">
        <f aca="false">HYPERLINK("https://photos.app.goo.gl/mKLDFMcbAKKW4NV27", "Completo")</f>
        <v>Completo</v>
      </c>
      <c r="J18" s="21" t="s">
        <v>28</v>
      </c>
      <c r="K18" s="21"/>
      <c r="L18" s="21"/>
      <c r="M18" s="21"/>
      <c r="N18" s="21"/>
      <c r="O18" s="30"/>
      <c r="P18" s="21"/>
      <c r="Q18" s="21"/>
      <c r="R18" s="21"/>
      <c r="S18" s="32"/>
      <c r="T18" s="32"/>
      <c r="U18" s="21"/>
      <c r="V18" s="21"/>
      <c r="W18" s="21"/>
      <c r="X18" s="21"/>
      <c r="Y18" s="21" t="s">
        <v>37</v>
      </c>
    </row>
    <row r="19" customFormat="false" ht="15.75" hidden="false" customHeight="false" outlineLevel="0" collapsed="false">
      <c r="A19" s="61" t="n">
        <v>7217</v>
      </c>
      <c r="B19" s="29" t="n">
        <v>45054</v>
      </c>
      <c r="C19" s="21" t="s">
        <v>867</v>
      </c>
      <c r="D19" s="21" t="s">
        <v>24</v>
      </c>
      <c r="E19" s="21" t="s">
        <v>25</v>
      </c>
      <c r="F19" s="21" t="s">
        <v>1835</v>
      </c>
      <c r="G19" s="30"/>
      <c r="H19" s="30" t="s">
        <v>1836</v>
      </c>
      <c r="I19" s="45" t="str">
        <f aca="false">HYPERLINK("https://photos.app.goo.gl/RC7sh58ku3xFJ7kY8", "Completo")</f>
        <v>Completo</v>
      </c>
      <c r="J19" s="21" t="s">
        <v>28</v>
      </c>
      <c r="K19" s="21"/>
      <c r="L19" s="21"/>
      <c r="M19" s="21"/>
      <c r="N19" s="21"/>
      <c r="O19" s="30"/>
      <c r="P19" s="21"/>
      <c r="Q19" s="21"/>
      <c r="R19" s="21"/>
      <c r="S19" s="32"/>
      <c r="T19" s="32"/>
      <c r="U19" s="21"/>
      <c r="V19" s="21"/>
      <c r="W19" s="21"/>
      <c r="X19" s="21"/>
      <c r="Y19" s="21" t="s">
        <v>28</v>
      </c>
    </row>
    <row r="20" customFormat="false" ht="15.75" hidden="false" customHeight="false" outlineLevel="0" collapsed="false">
      <c r="A20" s="61" t="n">
        <v>7217</v>
      </c>
      <c r="B20" s="29" t="n">
        <v>45055</v>
      </c>
      <c r="C20" s="21" t="s">
        <v>1259</v>
      </c>
      <c r="D20" s="21" t="s">
        <v>24</v>
      </c>
      <c r="E20" s="21" t="s">
        <v>25</v>
      </c>
      <c r="F20" s="21" t="s">
        <v>1837</v>
      </c>
      <c r="G20" s="30"/>
      <c r="H20" s="30"/>
      <c r="I20" s="31" t="s">
        <v>28</v>
      </c>
      <c r="J20" s="21" t="s">
        <v>28</v>
      </c>
      <c r="K20" s="21" t="s">
        <v>29</v>
      </c>
      <c r="L20" s="21" t="s">
        <v>29</v>
      </c>
      <c r="M20" s="21" t="s">
        <v>29</v>
      </c>
      <c r="N20" s="21" t="s">
        <v>1838</v>
      </c>
      <c r="O20" s="30"/>
      <c r="P20" s="21"/>
      <c r="Q20" s="21"/>
      <c r="R20" s="21"/>
      <c r="S20" s="32"/>
      <c r="T20" s="32"/>
      <c r="U20" s="21"/>
      <c r="V20" s="21"/>
      <c r="W20" s="21"/>
      <c r="X20" s="21"/>
      <c r="Y20" s="21" t="s">
        <v>37</v>
      </c>
    </row>
    <row r="21" customFormat="false" ht="15.75" hidden="false" customHeight="false" outlineLevel="0" collapsed="false">
      <c r="A21" s="61" t="n">
        <v>7218</v>
      </c>
      <c r="B21" s="29" t="n">
        <v>45055</v>
      </c>
      <c r="C21" s="21" t="s">
        <v>1259</v>
      </c>
      <c r="D21" s="21" t="s">
        <v>24</v>
      </c>
      <c r="E21" s="21" t="s">
        <v>25</v>
      </c>
      <c r="F21" s="21" t="s">
        <v>1839</v>
      </c>
      <c r="G21" s="30"/>
      <c r="H21" s="30" t="s">
        <v>1840</v>
      </c>
      <c r="I21" s="45" t="str">
        <f aca="false">HYPERLINK("https://photos.app.goo.gl/SEsFDJKGVfugiaAu6", "Completo")</f>
        <v>Completo</v>
      </c>
      <c r="J21" s="21" t="s">
        <v>28</v>
      </c>
      <c r="K21" s="21" t="s">
        <v>29</v>
      </c>
      <c r="L21" s="21" t="s">
        <v>29</v>
      </c>
      <c r="M21" s="21" t="s">
        <v>29</v>
      </c>
      <c r="N21" s="21" t="s">
        <v>1841</v>
      </c>
      <c r="O21" s="30"/>
      <c r="P21" s="21"/>
      <c r="Q21" s="21"/>
      <c r="R21" s="21"/>
      <c r="S21" s="32"/>
      <c r="T21" s="32"/>
      <c r="U21" s="21"/>
      <c r="V21" s="21"/>
      <c r="W21" s="21"/>
      <c r="X21" s="21"/>
      <c r="Y21" s="21" t="s">
        <v>28</v>
      </c>
    </row>
    <row r="22" customFormat="false" ht="15.75" hidden="false" customHeight="false" outlineLevel="0" collapsed="false">
      <c r="A22" s="61" t="n">
        <v>7219</v>
      </c>
      <c r="B22" s="29" t="n">
        <v>45055</v>
      </c>
      <c r="C22" s="21" t="s">
        <v>1259</v>
      </c>
      <c r="D22" s="21" t="s">
        <v>24</v>
      </c>
      <c r="E22" s="21" t="s">
        <v>25</v>
      </c>
      <c r="F22" s="21" t="s">
        <v>1842</v>
      </c>
      <c r="G22" s="30"/>
      <c r="H22" s="30" t="s">
        <v>1840</v>
      </c>
      <c r="I22" s="45" t="str">
        <f aca="false">HYPERLINK("https://photos.app.goo.gl/TYm2Y3n3Fu5hdzB66", "Completo")</f>
        <v>Completo</v>
      </c>
      <c r="J22" s="21" t="s">
        <v>28</v>
      </c>
      <c r="K22" s="21" t="s">
        <v>29</v>
      </c>
      <c r="L22" s="21" t="s">
        <v>29</v>
      </c>
      <c r="M22" s="21" t="s">
        <v>29</v>
      </c>
      <c r="N22" s="21" t="s">
        <v>29</v>
      </c>
      <c r="O22" s="30"/>
      <c r="P22" s="21"/>
      <c r="Q22" s="21"/>
      <c r="R22" s="21"/>
      <c r="S22" s="32"/>
      <c r="T22" s="32"/>
      <c r="U22" s="21"/>
      <c r="V22" s="21"/>
      <c r="W22" s="21"/>
      <c r="X22" s="21"/>
      <c r="Y22" s="21" t="s">
        <v>28</v>
      </c>
    </row>
    <row r="23" customFormat="false" ht="15.75" hidden="false" customHeight="false" outlineLevel="0" collapsed="false">
      <c r="A23" s="61" t="n">
        <v>7220</v>
      </c>
      <c r="B23" s="29" t="n">
        <v>45055</v>
      </c>
      <c r="C23" s="21" t="s">
        <v>1666</v>
      </c>
      <c r="D23" s="21" t="s">
        <v>24</v>
      </c>
      <c r="E23" s="21" t="s">
        <v>25</v>
      </c>
      <c r="F23" s="21" t="s">
        <v>1843</v>
      </c>
      <c r="G23" s="30"/>
      <c r="H23" s="30"/>
      <c r="I23" s="45" t="str">
        <f aca="false">HYPERLINK("https://photos.app.goo.gl/Rxds2xURCSeWwNUYA", "Completo")</f>
        <v>Completo</v>
      </c>
      <c r="J23" s="21" t="s">
        <v>28</v>
      </c>
      <c r="K23" s="21" t="s">
        <v>29</v>
      </c>
      <c r="L23" s="21" t="s">
        <v>29</v>
      </c>
      <c r="M23" s="21" t="s">
        <v>29</v>
      </c>
      <c r="N23" s="21" t="s">
        <v>29</v>
      </c>
      <c r="O23" s="30"/>
      <c r="P23" s="21"/>
      <c r="Q23" s="21"/>
      <c r="R23" s="21"/>
      <c r="S23" s="32"/>
      <c r="T23" s="32"/>
      <c r="U23" s="21"/>
      <c r="V23" s="21"/>
      <c r="W23" s="21"/>
      <c r="X23" s="21"/>
      <c r="Y23" s="21" t="s">
        <v>28</v>
      </c>
    </row>
    <row r="24" customFormat="false" ht="15.75" hidden="false" customHeight="false" outlineLevel="0" collapsed="false">
      <c r="A24" s="61" t="n">
        <v>7221</v>
      </c>
      <c r="B24" s="29" t="n">
        <v>45057</v>
      </c>
      <c r="C24" s="21" t="s">
        <v>112</v>
      </c>
      <c r="D24" s="21" t="s">
        <v>24</v>
      </c>
      <c r="E24" s="21" t="s">
        <v>34</v>
      </c>
      <c r="F24" s="21" t="s">
        <v>1844</v>
      </c>
      <c r="G24" s="30"/>
      <c r="H24" s="30"/>
      <c r="I24" s="31"/>
      <c r="J24" s="21"/>
      <c r="K24" s="21"/>
      <c r="L24" s="21"/>
      <c r="M24" s="21"/>
      <c r="N24" s="21"/>
      <c r="O24" s="30"/>
      <c r="P24" s="21"/>
      <c r="Q24" s="21"/>
      <c r="R24" s="21"/>
      <c r="S24" s="32"/>
      <c r="T24" s="32"/>
      <c r="U24" s="21"/>
      <c r="V24" s="21"/>
      <c r="W24" s="21"/>
      <c r="X24" s="21"/>
      <c r="Y24" s="21" t="s">
        <v>28</v>
      </c>
    </row>
    <row r="25" customFormat="false" ht="15.75" hidden="false" customHeight="false" outlineLevel="0" collapsed="false">
      <c r="A25" s="61" t="n">
        <v>7222</v>
      </c>
      <c r="B25" s="29" t="n">
        <v>45058</v>
      </c>
      <c r="C25" s="21" t="s">
        <v>1845</v>
      </c>
      <c r="D25" s="21" t="s">
        <v>24</v>
      </c>
      <c r="E25" s="21" t="s">
        <v>25</v>
      </c>
      <c r="F25" s="21" t="s">
        <v>1846</v>
      </c>
      <c r="G25" s="30"/>
      <c r="H25" s="30" t="s">
        <v>1847</v>
      </c>
      <c r="I25" s="45" t="str">
        <f aca="false">HYPERLINK("https://photos.app.goo.gl/AFGLmLEDE2QrEdY46", "Completo")</f>
        <v>Completo</v>
      </c>
      <c r="J25" s="21" t="s">
        <v>28</v>
      </c>
      <c r="K25" s="21" t="s">
        <v>29</v>
      </c>
      <c r="L25" s="21" t="s">
        <v>1848</v>
      </c>
      <c r="M25" s="21"/>
      <c r="N25" s="21" t="s">
        <v>29</v>
      </c>
      <c r="O25" s="30"/>
      <c r="P25" s="21"/>
      <c r="Q25" s="21"/>
      <c r="R25" s="21"/>
      <c r="S25" s="32"/>
      <c r="T25" s="32"/>
      <c r="U25" s="21"/>
      <c r="V25" s="21"/>
      <c r="W25" s="21"/>
      <c r="X25" s="21"/>
      <c r="Y25" s="21" t="s">
        <v>28</v>
      </c>
    </row>
    <row r="26" customFormat="false" ht="15.75" hidden="false" customHeight="false" outlineLevel="0" collapsed="false">
      <c r="A26" s="61" t="n">
        <v>7223</v>
      </c>
      <c r="B26" s="29" t="n">
        <v>45058</v>
      </c>
      <c r="C26" s="21" t="s">
        <v>1845</v>
      </c>
      <c r="D26" s="21" t="s">
        <v>24</v>
      </c>
      <c r="E26" s="21" t="s">
        <v>25</v>
      </c>
      <c r="F26" s="21" t="s">
        <v>1849</v>
      </c>
      <c r="G26" s="30"/>
      <c r="H26" s="30" t="s">
        <v>1847</v>
      </c>
      <c r="I26" s="45" t="str">
        <f aca="false">HYPERLINK("https://photos.app.goo.gl/ehAx7wuBbCT9zDqYA", "Completo")</f>
        <v>Completo</v>
      </c>
      <c r="J26" s="21" t="s">
        <v>28</v>
      </c>
      <c r="K26" s="21" t="s">
        <v>29</v>
      </c>
      <c r="L26" s="21" t="s">
        <v>1848</v>
      </c>
      <c r="M26" s="21"/>
      <c r="N26" s="21" t="s">
        <v>29</v>
      </c>
      <c r="O26" s="30"/>
      <c r="P26" s="21"/>
      <c r="Q26" s="21"/>
      <c r="R26" s="21"/>
      <c r="S26" s="32"/>
      <c r="T26" s="32"/>
      <c r="U26" s="21"/>
      <c r="V26" s="21"/>
      <c r="W26" s="21"/>
      <c r="X26" s="21"/>
      <c r="Y26" s="21" t="s">
        <v>28</v>
      </c>
    </row>
    <row r="27" customFormat="false" ht="15.75" hidden="false" customHeight="false" outlineLevel="0" collapsed="false">
      <c r="A27" s="61" t="n">
        <v>7224</v>
      </c>
      <c r="B27" s="29" t="n">
        <v>45058</v>
      </c>
      <c r="C27" s="21" t="s">
        <v>1845</v>
      </c>
      <c r="D27" s="21" t="s">
        <v>24</v>
      </c>
      <c r="E27" s="21" t="s">
        <v>25</v>
      </c>
      <c r="F27" s="21" t="s">
        <v>1846</v>
      </c>
      <c r="G27" s="30"/>
      <c r="H27" s="30" t="s">
        <v>1847</v>
      </c>
      <c r="I27" s="45" t="str">
        <f aca="false">HYPERLINK("https://photos.app.goo.gl/xTt6did1yszQW9os9", "Completo")</f>
        <v>Completo</v>
      </c>
      <c r="J27" s="21" t="s">
        <v>28</v>
      </c>
      <c r="K27" s="21" t="s">
        <v>29</v>
      </c>
      <c r="L27" s="21" t="s">
        <v>1848</v>
      </c>
      <c r="M27" s="21"/>
      <c r="N27" s="21" t="s">
        <v>29</v>
      </c>
      <c r="O27" s="30"/>
      <c r="P27" s="21"/>
      <c r="Q27" s="21"/>
      <c r="R27" s="21"/>
      <c r="S27" s="32"/>
      <c r="T27" s="32"/>
      <c r="U27" s="21"/>
      <c r="V27" s="21"/>
      <c r="W27" s="21"/>
      <c r="X27" s="21"/>
      <c r="Y27" s="21" t="s">
        <v>28</v>
      </c>
    </row>
    <row r="28" customFormat="false" ht="15.75" hidden="false" customHeight="false" outlineLevel="0" collapsed="false">
      <c r="A28" s="61" t="n">
        <v>7225</v>
      </c>
      <c r="B28" s="29" t="n">
        <v>45058</v>
      </c>
      <c r="C28" s="21" t="s">
        <v>1845</v>
      </c>
      <c r="D28" s="21" t="s">
        <v>24</v>
      </c>
      <c r="E28" s="21" t="s">
        <v>25</v>
      </c>
      <c r="F28" s="21" t="s">
        <v>1846</v>
      </c>
      <c r="G28" s="30"/>
      <c r="H28" s="30" t="s">
        <v>1847</v>
      </c>
      <c r="I28" s="45" t="str">
        <f aca="false">HYPERLINK("https://photos.app.goo.gl/84nvYnftGQYkfGhV7", "Completo")</f>
        <v>Completo</v>
      </c>
      <c r="J28" s="21" t="s">
        <v>28</v>
      </c>
      <c r="K28" s="21" t="s">
        <v>29</v>
      </c>
      <c r="L28" s="21" t="s">
        <v>1848</v>
      </c>
      <c r="M28" s="21"/>
      <c r="N28" s="21" t="s">
        <v>29</v>
      </c>
      <c r="O28" s="30"/>
      <c r="P28" s="21"/>
      <c r="Q28" s="21"/>
      <c r="R28" s="21"/>
      <c r="S28" s="32"/>
      <c r="T28" s="32"/>
      <c r="U28" s="21"/>
      <c r="V28" s="21"/>
      <c r="W28" s="21"/>
      <c r="X28" s="21"/>
      <c r="Y28" s="21" t="s">
        <v>28</v>
      </c>
    </row>
    <row r="29" customFormat="false" ht="15.75" hidden="false" customHeight="false" outlineLevel="0" collapsed="false">
      <c r="A29" s="61" t="n">
        <v>7226</v>
      </c>
      <c r="B29" s="29" t="n">
        <v>45058</v>
      </c>
      <c r="C29" s="21" t="s">
        <v>1845</v>
      </c>
      <c r="D29" s="21" t="s">
        <v>24</v>
      </c>
      <c r="E29" s="21" t="s">
        <v>25</v>
      </c>
      <c r="F29" s="21" t="s">
        <v>1849</v>
      </c>
      <c r="G29" s="30"/>
      <c r="H29" s="30" t="s">
        <v>1847</v>
      </c>
      <c r="I29" s="45" t="str">
        <f aca="false">HYPERLINK("https://photos.app.goo.gl/Z5bcJunt4Wk22uY76", "Completo")</f>
        <v>Completo</v>
      </c>
      <c r="J29" s="21" t="s">
        <v>28</v>
      </c>
      <c r="K29" s="21" t="s">
        <v>29</v>
      </c>
      <c r="L29" s="21" t="s">
        <v>1848</v>
      </c>
      <c r="M29" s="21"/>
      <c r="N29" s="21" t="s">
        <v>29</v>
      </c>
      <c r="O29" s="30"/>
      <c r="P29" s="21"/>
      <c r="Q29" s="21"/>
      <c r="R29" s="21"/>
      <c r="S29" s="32"/>
      <c r="T29" s="32"/>
      <c r="U29" s="21"/>
      <c r="V29" s="21"/>
      <c r="W29" s="21"/>
      <c r="X29" s="21"/>
      <c r="Y29" s="21" t="s">
        <v>28</v>
      </c>
    </row>
    <row r="30" customFormat="false" ht="15.75" hidden="false" customHeight="false" outlineLevel="0" collapsed="false">
      <c r="A30" s="61" t="n">
        <v>7227</v>
      </c>
      <c r="B30" s="29" t="n">
        <v>45058</v>
      </c>
      <c r="C30" s="21" t="s">
        <v>1845</v>
      </c>
      <c r="D30" s="21" t="s">
        <v>24</v>
      </c>
      <c r="E30" s="21" t="s">
        <v>25</v>
      </c>
      <c r="F30" s="21" t="s">
        <v>1846</v>
      </c>
      <c r="G30" s="30"/>
      <c r="H30" s="30" t="s">
        <v>1847</v>
      </c>
      <c r="I30" s="45" t="str">
        <f aca="false">HYPERLINK("https://photos.app.goo.gl/FUrYKuM7hMQhLDip7", "Completo")</f>
        <v>Completo</v>
      </c>
      <c r="J30" s="21" t="s">
        <v>28</v>
      </c>
      <c r="K30" s="21" t="s">
        <v>29</v>
      </c>
      <c r="L30" s="21" t="s">
        <v>1848</v>
      </c>
      <c r="M30" s="21"/>
      <c r="N30" s="21" t="s">
        <v>29</v>
      </c>
      <c r="O30" s="30"/>
      <c r="P30" s="21"/>
      <c r="Q30" s="21"/>
      <c r="R30" s="21"/>
      <c r="S30" s="32"/>
      <c r="T30" s="32"/>
      <c r="U30" s="21"/>
      <c r="V30" s="21"/>
      <c r="W30" s="21"/>
      <c r="X30" s="21"/>
      <c r="Y30" s="21" t="s">
        <v>28</v>
      </c>
    </row>
    <row r="31" customFormat="false" ht="15.75" hidden="false" customHeight="false" outlineLevel="0" collapsed="false">
      <c r="A31" s="63" t="n">
        <v>1578580</v>
      </c>
      <c r="B31" s="29" t="n">
        <v>45058</v>
      </c>
      <c r="C31" s="21" t="s">
        <v>599</v>
      </c>
      <c r="D31" s="21" t="s">
        <v>24</v>
      </c>
      <c r="E31" s="21" t="s">
        <v>25</v>
      </c>
      <c r="F31" s="21" t="s">
        <v>1850</v>
      </c>
      <c r="G31" s="30"/>
      <c r="H31" s="30" t="s">
        <v>1851</v>
      </c>
      <c r="I31" s="45" t="str">
        <f aca="false">HYPERLINK("https://photos.app.goo.gl/ae926bCtv9mXmtiN9", "Completo")</f>
        <v>Completo</v>
      </c>
      <c r="J31" s="21" t="s">
        <v>28</v>
      </c>
      <c r="K31" s="21" t="s">
        <v>29</v>
      </c>
      <c r="L31" s="21" t="s">
        <v>29</v>
      </c>
      <c r="M31" s="21" t="s">
        <v>29</v>
      </c>
      <c r="N31" s="21" t="s">
        <v>29</v>
      </c>
      <c r="O31" s="30"/>
      <c r="P31" s="21"/>
      <c r="Q31" s="21"/>
      <c r="R31" s="21"/>
      <c r="S31" s="32"/>
      <c r="T31" s="32"/>
      <c r="U31" s="21"/>
      <c r="V31" s="21"/>
      <c r="W31" s="21"/>
      <c r="X31" s="21"/>
      <c r="Y31" s="21" t="s">
        <v>28</v>
      </c>
    </row>
    <row r="32" customFormat="false" ht="15.75" hidden="false" customHeight="false" outlineLevel="0" collapsed="false">
      <c r="A32" s="61" t="n">
        <v>7228</v>
      </c>
      <c r="B32" s="29" t="n">
        <v>45058</v>
      </c>
      <c r="C32" s="21" t="s">
        <v>1456</v>
      </c>
      <c r="D32" s="21" t="s">
        <v>24</v>
      </c>
      <c r="E32" s="21" t="s">
        <v>25</v>
      </c>
      <c r="F32" s="21" t="s">
        <v>1852</v>
      </c>
      <c r="G32" s="30"/>
      <c r="H32" s="30" t="s">
        <v>1853</v>
      </c>
      <c r="I32" s="45" t="str">
        <f aca="false">HYPERLINK("https://photos.app.goo.gl/qhkM4zrceMjdbeVc8", "Completo")</f>
        <v>Completo</v>
      </c>
      <c r="J32" s="21" t="s">
        <v>28</v>
      </c>
      <c r="K32" s="21" t="s">
        <v>29</v>
      </c>
      <c r="L32" s="21" t="s">
        <v>29</v>
      </c>
      <c r="M32" s="21" t="n">
        <v>54131</v>
      </c>
      <c r="N32" s="21"/>
      <c r="O32" s="30"/>
      <c r="P32" s="21"/>
      <c r="Q32" s="21"/>
      <c r="R32" s="21"/>
      <c r="S32" s="32"/>
      <c r="T32" s="32"/>
      <c r="U32" s="21"/>
      <c r="V32" s="21"/>
      <c r="W32" s="21"/>
      <c r="X32" s="21"/>
      <c r="Y32" s="21" t="s">
        <v>28</v>
      </c>
    </row>
    <row r="33" customFormat="false" ht="15.75" hidden="false" customHeight="false" outlineLevel="0" collapsed="false">
      <c r="A33" s="61" t="n">
        <v>7229</v>
      </c>
      <c r="B33" s="29" t="n">
        <v>45058</v>
      </c>
      <c r="C33" s="21" t="s">
        <v>1456</v>
      </c>
      <c r="D33" s="21" t="s">
        <v>24</v>
      </c>
      <c r="E33" s="21" t="s">
        <v>25</v>
      </c>
      <c r="F33" s="21" t="s">
        <v>1852</v>
      </c>
      <c r="G33" s="30"/>
      <c r="H33" s="30" t="s">
        <v>1854</v>
      </c>
      <c r="I33" s="45" t="str">
        <f aca="false">HYPERLINK("https://photos.app.goo.gl/Sb5cdJ5btwYggp98A", "Completo")</f>
        <v>Completo</v>
      </c>
      <c r="J33" s="21" t="s">
        <v>28</v>
      </c>
      <c r="K33" s="21" t="s">
        <v>29</v>
      </c>
      <c r="L33" s="21" t="s">
        <v>29</v>
      </c>
      <c r="M33" s="21" t="n">
        <v>54131</v>
      </c>
      <c r="N33" s="21"/>
      <c r="O33" s="30"/>
      <c r="P33" s="21"/>
      <c r="Q33" s="21"/>
      <c r="R33" s="21"/>
      <c r="S33" s="32"/>
      <c r="T33" s="32"/>
      <c r="U33" s="21"/>
      <c r="V33" s="21"/>
      <c r="W33" s="21"/>
      <c r="X33" s="21"/>
      <c r="Y33" s="21" t="s">
        <v>28</v>
      </c>
    </row>
    <row r="34" customFormat="false" ht="15.75" hidden="false" customHeight="false" outlineLevel="0" collapsed="false">
      <c r="A34" s="61" t="n">
        <v>7230</v>
      </c>
      <c r="B34" s="29" t="n">
        <v>45058</v>
      </c>
      <c r="C34" s="21" t="s">
        <v>841</v>
      </c>
      <c r="D34" s="21" t="s">
        <v>24</v>
      </c>
      <c r="E34" s="21" t="s">
        <v>34</v>
      </c>
      <c r="F34" s="21" t="s">
        <v>1855</v>
      </c>
      <c r="G34" s="30"/>
      <c r="H34" s="30"/>
      <c r="I34" s="31"/>
      <c r="J34" s="21"/>
      <c r="K34" s="21"/>
      <c r="L34" s="21"/>
      <c r="M34" s="21"/>
      <c r="N34" s="21"/>
      <c r="O34" s="30"/>
      <c r="P34" s="21"/>
      <c r="Q34" s="21"/>
      <c r="R34" s="21"/>
      <c r="S34" s="32"/>
      <c r="T34" s="32"/>
      <c r="U34" s="21"/>
      <c r="V34" s="21"/>
      <c r="W34" s="21"/>
      <c r="X34" s="21"/>
      <c r="Y34" s="21" t="s">
        <v>28</v>
      </c>
    </row>
    <row r="35" customFormat="false" ht="15.75" hidden="false" customHeight="false" outlineLevel="0" collapsed="false">
      <c r="A35" s="61" t="n">
        <v>7231</v>
      </c>
      <c r="B35" s="29" t="n">
        <v>45058</v>
      </c>
      <c r="C35" s="21" t="s">
        <v>274</v>
      </c>
      <c r="D35" s="21" t="s">
        <v>24</v>
      </c>
      <c r="E35" s="21" t="s">
        <v>34</v>
      </c>
      <c r="F35" s="21" t="s">
        <v>1856</v>
      </c>
      <c r="G35" s="30"/>
      <c r="H35" s="30"/>
      <c r="I35" s="31"/>
      <c r="J35" s="21"/>
      <c r="K35" s="21"/>
      <c r="L35" s="21"/>
      <c r="M35" s="21"/>
      <c r="N35" s="21"/>
      <c r="O35" s="30"/>
      <c r="P35" s="21"/>
      <c r="Q35" s="21"/>
      <c r="R35" s="21"/>
      <c r="S35" s="32"/>
      <c r="T35" s="32"/>
      <c r="U35" s="21"/>
      <c r="V35" s="21"/>
      <c r="W35" s="21"/>
      <c r="X35" s="21"/>
      <c r="Y35" s="21" t="s">
        <v>28</v>
      </c>
    </row>
    <row r="36" customFormat="false" ht="15.75" hidden="false" customHeight="false" outlineLevel="0" collapsed="false">
      <c r="A36" s="47" t="n">
        <v>1947383</v>
      </c>
      <c r="B36" s="29" t="n">
        <v>45058</v>
      </c>
      <c r="C36" s="21" t="s">
        <v>274</v>
      </c>
      <c r="D36" s="21" t="s">
        <v>24</v>
      </c>
      <c r="E36" s="21" t="s">
        <v>34</v>
      </c>
      <c r="F36" s="21" t="s">
        <v>1857</v>
      </c>
      <c r="G36" s="30"/>
      <c r="H36" s="30"/>
      <c r="I36" s="31"/>
      <c r="J36" s="21"/>
      <c r="K36" s="21"/>
      <c r="L36" s="21"/>
      <c r="M36" s="21"/>
      <c r="N36" s="21"/>
      <c r="O36" s="30"/>
      <c r="P36" s="21"/>
      <c r="Q36" s="21"/>
      <c r="R36" s="21"/>
      <c r="S36" s="32"/>
      <c r="T36" s="32"/>
      <c r="U36" s="21"/>
      <c r="V36" s="21"/>
      <c r="W36" s="21"/>
      <c r="X36" s="21"/>
      <c r="Y36" s="21" t="s">
        <v>28</v>
      </c>
    </row>
    <row r="37" customFormat="false" ht="15.75" hidden="false" customHeight="false" outlineLevel="0" collapsed="false">
      <c r="A37" s="21" t="n">
        <v>7232</v>
      </c>
      <c r="B37" s="29" t="n">
        <v>45059</v>
      </c>
      <c r="C37" s="21" t="s">
        <v>1666</v>
      </c>
      <c r="D37" s="21" t="s">
        <v>24</v>
      </c>
      <c r="E37" s="21" t="s">
        <v>34</v>
      </c>
      <c r="F37" s="21" t="s">
        <v>1858</v>
      </c>
      <c r="G37" s="30"/>
      <c r="H37" s="30"/>
      <c r="I37" s="31"/>
      <c r="J37" s="21"/>
      <c r="K37" s="21"/>
      <c r="L37" s="21"/>
      <c r="M37" s="21"/>
      <c r="N37" s="21"/>
      <c r="O37" s="30"/>
      <c r="P37" s="21"/>
      <c r="Q37" s="21"/>
      <c r="R37" s="21"/>
      <c r="S37" s="32"/>
      <c r="T37" s="32"/>
      <c r="U37" s="21"/>
      <c r="V37" s="21"/>
      <c r="W37" s="21"/>
      <c r="X37" s="21"/>
      <c r="Y37" s="21" t="s">
        <v>28</v>
      </c>
    </row>
    <row r="38" customFormat="false" ht="15.75" hidden="false" customHeight="false" outlineLevel="0" collapsed="false">
      <c r="A38" s="21" t="n">
        <v>7233</v>
      </c>
      <c r="B38" s="29" t="n">
        <v>45061</v>
      </c>
      <c r="C38" s="21" t="s">
        <v>1259</v>
      </c>
      <c r="D38" s="21" t="s">
        <v>24</v>
      </c>
      <c r="E38" s="21" t="s">
        <v>25</v>
      </c>
      <c r="F38" s="21" t="s">
        <v>1859</v>
      </c>
      <c r="G38" s="30"/>
      <c r="H38" s="30" t="s">
        <v>1860</v>
      </c>
      <c r="I38" s="45" t="str">
        <f aca="false">HYPERLINK("https://photos.app.goo.gl/qDYqCr9DJqcgtBTs6", "Completo")</f>
        <v>Completo</v>
      </c>
      <c r="J38" s="21" t="s">
        <v>28</v>
      </c>
      <c r="K38" s="21" t="s">
        <v>29</v>
      </c>
      <c r="L38" s="21" t="s">
        <v>29</v>
      </c>
      <c r="M38" s="21" t="n">
        <v>16805</v>
      </c>
      <c r="N38" s="21"/>
      <c r="O38" s="30"/>
      <c r="P38" s="21"/>
      <c r="Q38" s="21"/>
      <c r="R38" s="21"/>
      <c r="S38" s="32"/>
      <c r="T38" s="32"/>
      <c r="U38" s="21"/>
      <c r="V38" s="21"/>
      <c r="W38" s="21"/>
      <c r="X38" s="21"/>
      <c r="Y38" s="21" t="s">
        <v>28</v>
      </c>
    </row>
    <row r="39" customFormat="false" ht="15.75" hidden="false" customHeight="false" outlineLevel="0" collapsed="false">
      <c r="A39" s="47" t="n">
        <v>1076828</v>
      </c>
      <c r="B39" s="29" t="n">
        <v>45061</v>
      </c>
      <c r="C39" s="21" t="s">
        <v>1259</v>
      </c>
      <c r="D39" s="21" t="s">
        <v>24</v>
      </c>
      <c r="E39" s="21" t="s">
        <v>25</v>
      </c>
      <c r="F39" s="21" t="s">
        <v>1859</v>
      </c>
      <c r="G39" s="30"/>
      <c r="H39" s="30" t="s">
        <v>1860</v>
      </c>
      <c r="I39" s="45" t="str">
        <f aca="false">HYPERLINK("https://photos.app.goo.gl/ekZMUXa9PJ7BUduq5", "Completo")</f>
        <v>Completo</v>
      </c>
      <c r="J39" s="21" t="s">
        <v>28</v>
      </c>
      <c r="K39" s="21" t="s">
        <v>29</v>
      </c>
      <c r="L39" s="21" t="s">
        <v>29</v>
      </c>
      <c r="M39" s="21" t="n">
        <v>16805</v>
      </c>
      <c r="N39" s="21"/>
      <c r="O39" s="30"/>
      <c r="P39" s="21"/>
      <c r="Q39" s="21"/>
      <c r="R39" s="21"/>
      <c r="S39" s="32"/>
      <c r="T39" s="32"/>
      <c r="U39" s="21"/>
      <c r="V39" s="21"/>
      <c r="W39" s="21"/>
      <c r="X39" s="21"/>
      <c r="Y39" s="21" t="s">
        <v>28</v>
      </c>
    </row>
    <row r="40" customFormat="false" ht="15.75" hidden="false" customHeight="false" outlineLevel="0" collapsed="false">
      <c r="A40" s="21" t="n">
        <v>7234</v>
      </c>
      <c r="B40" s="29" t="n">
        <v>45061</v>
      </c>
      <c r="C40" s="21" t="s">
        <v>394</v>
      </c>
      <c r="D40" s="21" t="s">
        <v>24</v>
      </c>
      <c r="E40" s="21" t="s">
        <v>34</v>
      </c>
      <c r="F40" s="21" t="s">
        <v>1861</v>
      </c>
      <c r="G40" s="30"/>
      <c r="H40" s="30"/>
      <c r="I40" s="31"/>
      <c r="J40" s="21"/>
      <c r="K40" s="21"/>
      <c r="L40" s="21"/>
      <c r="M40" s="21"/>
      <c r="N40" s="21"/>
      <c r="O40" s="30"/>
      <c r="P40" s="21"/>
      <c r="Q40" s="21"/>
      <c r="R40" s="21"/>
      <c r="S40" s="32"/>
      <c r="T40" s="32"/>
      <c r="U40" s="21"/>
      <c r="V40" s="21"/>
      <c r="W40" s="21"/>
      <c r="X40" s="21"/>
      <c r="Y40" s="21" t="s">
        <v>37</v>
      </c>
    </row>
    <row r="41" customFormat="false" ht="15.75" hidden="false" customHeight="false" outlineLevel="0" collapsed="false">
      <c r="A41" s="21" t="n">
        <v>7235</v>
      </c>
      <c r="B41" s="29" t="n">
        <v>45061</v>
      </c>
      <c r="C41" s="21" t="s">
        <v>841</v>
      </c>
      <c r="D41" s="21" t="s">
        <v>24</v>
      </c>
      <c r="E41" s="21" t="s">
        <v>34</v>
      </c>
      <c r="F41" s="21" t="s">
        <v>1862</v>
      </c>
      <c r="G41" s="30"/>
      <c r="H41" s="30"/>
      <c r="I41" s="31"/>
      <c r="J41" s="21"/>
      <c r="K41" s="21"/>
      <c r="L41" s="21"/>
      <c r="M41" s="21"/>
      <c r="N41" s="21"/>
      <c r="O41" s="30"/>
      <c r="P41" s="21"/>
      <c r="Q41" s="21"/>
      <c r="R41" s="21"/>
      <c r="S41" s="32"/>
      <c r="T41" s="32"/>
      <c r="U41" s="21" t="s">
        <v>74</v>
      </c>
      <c r="V41" s="46" t="s">
        <v>28</v>
      </c>
      <c r="W41" s="46" t="s">
        <v>28</v>
      </c>
      <c r="X41" s="21" t="s">
        <v>36</v>
      </c>
      <c r="Y41" s="21" t="s">
        <v>28</v>
      </c>
    </row>
    <row r="42" customFormat="false" ht="15.75" hidden="false" customHeight="false" outlineLevel="0" collapsed="false">
      <c r="A42" s="21" t="n">
        <v>7236</v>
      </c>
      <c r="B42" s="29" t="n">
        <v>45061</v>
      </c>
      <c r="C42" s="21" t="s">
        <v>872</v>
      </c>
      <c r="D42" s="21" t="s">
        <v>24</v>
      </c>
      <c r="E42" s="21" t="s">
        <v>34</v>
      </c>
      <c r="F42" s="21" t="s">
        <v>1863</v>
      </c>
      <c r="G42" s="30"/>
      <c r="H42" s="30"/>
      <c r="I42" s="31"/>
      <c r="J42" s="21"/>
      <c r="K42" s="21"/>
      <c r="L42" s="21"/>
      <c r="M42" s="21"/>
      <c r="N42" s="21"/>
      <c r="O42" s="30"/>
      <c r="P42" s="21"/>
      <c r="Q42" s="21"/>
      <c r="R42" s="21"/>
      <c r="S42" s="32"/>
      <c r="T42" s="32"/>
      <c r="U42" s="21"/>
      <c r="V42" s="21"/>
      <c r="W42" s="21"/>
      <c r="X42" s="21"/>
      <c r="Y42" s="21" t="s">
        <v>28</v>
      </c>
    </row>
    <row r="43" customFormat="false" ht="15.75" hidden="false" customHeight="false" outlineLevel="0" collapsed="false">
      <c r="A43" s="21" t="n">
        <v>7237</v>
      </c>
      <c r="B43" s="29" t="n">
        <v>45062</v>
      </c>
      <c r="C43" s="21" t="s">
        <v>1864</v>
      </c>
      <c r="D43" s="21" t="s">
        <v>24</v>
      </c>
      <c r="E43" s="21" t="s">
        <v>25</v>
      </c>
      <c r="F43" s="21" t="s">
        <v>1865</v>
      </c>
      <c r="G43" s="30"/>
      <c r="H43" s="30" t="s">
        <v>1866</v>
      </c>
      <c r="I43" s="45" t="str">
        <f aca="false">HYPERLINK("https://photos.app.goo.gl/rqJQn9uQsqcUhrWh9", "Completo")</f>
        <v>Completo</v>
      </c>
      <c r="J43" s="21" t="s">
        <v>28</v>
      </c>
      <c r="K43" s="21"/>
      <c r="L43" s="21"/>
      <c r="M43" s="21"/>
      <c r="N43" s="21"/>
      <c r="O43" s="30"/>
      <c r="P43" s="21"/>
      <c r="Q43" s="21"/>
      <c r="R43" s="21"/>
      <c r="S43" s="32"/>
      <c r="T43" s="32"/>
      <c r="U43" s="21"/>
      <c r="V43" s="21"/>
      <c r="W43" s="21"/>
      <c r="X43" s="21"/>
      <c r="Y43" s="21" t="s">
        <v>37</v>
      </c>
    </row>
    <row r="44" customFormat="false" ht="15.75" hidden="false" customHeight="false" outlineLevel="0" collapsed="false">
      <c r="A44" s="21" t="n">
        <v>7238</v>
      </c>
      <c r="B44" s="29" t="n">
        <v>45062</v>
      </c>
      <c r="C44" s="21" t="s">
        <v>867</v>
      </c>
      <c r="D44" s="21" t="s">
        <v>24</v>
      </c>
      <c r="E44" s="21" t="s">
        <v>25</v>
      </c>
      <c r="F44" s="21" t="s">
        <v>1867</v>
      </c>
      <c r="G44" s="30"/>
      <c r="H44" s="30" t="s">
        <v>1868</v>
      </c>
      <c r="I44" s="45" t="str">
        <f aca="false">HYPERLINK("https://photos.app.goo.gl/g5q3VK1nKvuRrJ6P6", "Completo")</f>
        <v>Completo</v>
      </c>
      <c r="J44" s="21" t="s">
        <v>28</v>
      </c>
      <c r="K44" s="21" t="s">
        <v>29</v>
      </c>
      <c r="L44" s="21" t="s">
        <v>29</v>
      </c>
      <c r="M44" s="21" t="n">
        <v>98</v>
      </c>
      <c r="N44" s="21"/>
      <c r="O44" s="30"/>
      <c r="P44" s="21"/>
      <c r="Q44" s="21"/>
      <c r="R44" s="21"/>
      <c r="S44" s="32"/>
      <c r="T44" s="32"/>
      <c r="U44" s="21"/>
      <c r="V44" s="21"/>
      <c r="W44" s="21"/>
      <c r="X44" s="21"/>
      <c r="Y44" s="21" t="s">
        <v>28</v>
      </c>
    </row>
    <row r="45" customFormat="false" ht="15.75" hidden="false" customHeight="false" outlineLevel="0" collapsed="false">
      <c r="A45" s="21" t="n">
        <v>7239</v>
      </c>
      <c r="B45" s="29" t="n">
        <v>45062</v>
      </c>
      <c r="C45" s="21" t="s">
        <v>867</v>
      </c>
      <c r="D45" s="21" t="s">
        <v>24</v>
      </c>
      <c r="E45" s="21" t="s">
        <v>25</v>
      </c>
      <c r="F45" s="21" t="s">
        <v>1869</v>
      </c>
      <c r="G45" s="30"/>
      <c r="H45" s="30" t="s">
        <v>1868</v>
      </c>
      <c r="I45" s="45" t="str">
        <f aca="false">HYPERLINK("https://photos.app.goo.gl/gXAbbShVmtxZ2sQa9", "Completo")</f>
        <v>Completo</v>
      </c>
      <c r="J45" s="21" t="s">
        <v>28</v>
      </c>
      <c r="K45" s="21" t="s">
        <v>29</v>
      </c>
      <c r="L45" s="21" t="s">
        <v>29</v>
      </c>
      <c r="M45" s="21" t="n">
        <v>98</v>
      </c>
      <c r="N45" s="21"/>
      <c r="O45" s="30"/>
      <c r="P45" s="21"/>
      <c r="Q45" s="21"/>
      <c r="R45" s="21"/>
      <c r="S45" s="32"/>
      <c r="T45" s="32"/>
      <c r="U45" s="21"/>
      <c r="V45" s="21"/>
      <c r="W45" s="21"/>
      <c r="X45" s="21"/>
      <c r="Y45" s="21" t="s">
        <v>28</v>
      </c>
    </row>
    <row r="46" customFormat="false" ht="15.75" hidden="false" customHeight="false" outlineLevel="0" collapsed="false">
      <c r="A46" s="21" t="s">
        <v>1870</v>
      </c>
      <c r="B46" s="29" t="n">
        <v>45062</v>
      </c>
      <c r="C46" s="21" t="s">
        <v>75</v>
      </c>
      <c r="D46" s="21" t="s">
        <v>290</v>
      </c>
      <c r="E46" s="21" t="s">
        <v>25</v>
      </c>
      <c r="F46" s="21" t="s">
        <v>1871</v>
      </c>
      <c r="G46" s="30"/>
      <c r="H46" s="30" t="s">
        <v>1872</v>
      </c>
      <c r="I46" s="45" t="str">
        <f aca="false">HYPERLINK("https://photos.app.goo.gl/5iG9sSBTRbVZ6xNaA", "Completo")</f>
        <v>Completo</v>
      </c>
      <c r="J46" s="21" t="s">
        <v>28</v>
      </c>
      <c r="K46" s="21" t="s">
        <v>29</v>
      </c>
      <c r="L46" s="21" t="s">
        <v>1179</v>
      </c>
      <c r="M46" s="21" t="n">
        <v>3925</v>
      </c>
      <c r="N46" s="21"/>
      <c r="O46" s="30"/>
      <c r="P46" s="21"/>
      <c r="Q46" s="21"/>
      <c r="R46" s="21"/>
      <c r="S46" s="32"/>
      <c r="T46" s="32"/>
      <c r="U46" s="21"/>
      <c r="V46" s="21"/>
      <c r="W46" s="21"/>
      <c r="X46" s="21"/>
      <c r="Y46" s="21" t="s">
        <v>28</v>
      </c>
    </row>
    <row r="47" customFormat="false" ht="15.75" hidden="false" customHeight="false" outlineLevel="0" collapsed="false">
      <c r="A47" s="21" t="n">
        <v>7240</v>
      </c>
      <c r="B47" s="29" t="n">
        <v>45062</v>
      </c>
      <c r="C47" s="21" t="s">
        <v>675</v>
      </c>
      <c r="D47" s="21" t="s">
        <v>24</v>
      </c>
      <c r="E47" s="21" t="s">
        <v>25</v>
      </c>
      <c r="F47" s="21" t="s">
        <v>1554</v>
      </c>
      <c r="G47" s="30"/>
      <c r="H47" s="30" t="s">
        <v>1873</v>
      </c>
      <c r="I47" s="45" t="str">
        <f aca="false">HYPERLINK("https://photos.app.goo.gl/PC3vPcLnsgdaCecFA", "Completo")</f>
        <v>Completo</v>
      </c>
      <c r="J47" s="21" t="s">
        <v>28</v>
      </c>
      <c r="K47" s="21" t="s">
        <v>29</v>
      </c>
      <c r="L47" s="21" t="s">
        <v>29</v>
      </c>
      <c r="M47" s="21" t="s">
        <v>29</v>
      </c>
      <c r="N47" s="21"/>
      <c r="O47" s="30"/>
      <c r="P47" s="21"/>
      <c r="Q47" s="21"/>
      <c r="R47" s="21"/>
      <c r="S47" s="32"/>
      <c r="T47" s="32"/>
      <c r="U47" s="21"/>
      <c r="V47" s="21"/>
      <c r="W47" s="21"/>
      <c r="X47" s="21"/>
      <c r="Y47" s="21" t="s">
        <v>28</v>
      </c>
    </row>
    <row r="48" customFormat="false" ht="15.75" hidden="false" customHeight="false" outlineLevel="0" collapsed="false">
      <c r="A48" s="21" t="n">
        <v>7241</v>
      </c>
      <c r="B48" s="29" t="n">
        <v>37757</v>
      </c>
      <c r="C48" s="21" t="s">
        <v>675</v>
      </c>
      <c r="D48" s="21" t="s">
        <v>24</v>
      </c>
      <c r="E48" s="21" t="s">
        <v>25</v>
      </c>
      <c r="F48" s="21" t="s">
        <v>1554</v>
      </c>
      <c r="G48" s="30"/>
      <c r="H48" s="30" t="s">
        <v>1873</v>
      </c>
      <c r="I48" s="45" t="str">
        <f aca="false">HYPERLINK("https://photos.app.goo.gl/x9Hp2Gyxn1t6awyZ6", "Completo")</f>
        <v>Completo</v>
      </c>
      <c r="J48" s="21" t="s">
        <v>28</v>
      </c>
      <c r="K48" s="21" t="s">
        <v>29</v>
      </c>
      <c r="L48" s="21" t="s">
        <v>29</v>
      </c>
      <c r="M48" s="21" t="s">
        <v>29</v>
      </c>
      <c r="N48" s="21"/>
      <c r="O48" s="30"/>
      <c r="P48" s="21"/>
      <c r="Q48" s="21"/>
      <c r="R48" s="21"/>
      <c r="S48" s="32"/>
      <c r="T48" s="32"/>
      <c r="U48" s="21"/>
      <c r="V48" s="21"/>
      <c r="W48" s="21"/>
      <c r="X48" s="21"/>
      <c r="Y48" s="21" t="s">
        <v>28</v>
      </c>
    </row>
    <row r="49" customFormat="false" ht="15.75" hidden="false" customHeight="false" outlineLevel="0" collapsed="false">
      <c r="A49" s="21" t="n">
        <v>7242</v>
      </c>
      <c r="B49" s="29" t="n">
        <v>45062</v>
      </c>
      <c r="C49" s="21" t="s">
        <v>188</v>
      </c>
      <c r="D49" s="21" t="s">
        <v>24</v>
      </c>
      <c r="E49" s="21" t="s">
        <v>34</v>
      </c>
      <c r="F49" s="21" t="s">
        <v>1874</v>
      </c>
      <c r="G49" s="30"/>
      <c r="H49" s="30"/>
      <c r="I49" s="31"/>
      <c r="J49" s="21"/>
      <c r="K49" s="21"/>
      <c r="L49" s="21"/>
      <c r="M49" s="21"/>
      <c r="N49" s="21"/>
      <c r="O49" s="30"/>
      <c r="P49" s="21"/>
      <c r="Q49" s="21"/>
      <c r="R49" s="21"/>
      <c r="S49" s="32"/>
      <c r="T49" s="32"/>
      <c r="U49" s="21"/>
      <c r="V49" s="21"/>
      <c r="W49" s="21"/>
      <c r="X49" s="21"/>
      <c r="Y49" s="21" t="s">
        <v>28</v>
      </c>
    </row>
    <row r="50" customFormat="false" ht="15.75" hidden="false" customHeight="false" outlineLevel="0" collapsed="false">
      <c r="A50" s="21" t="n">
        <v>7243</v>
      </c>
      <c r="B50" s="29" t="n">
        <v>45062</v>
      </c>
      <c r="C50" s="21" t="s">
        <v>84</v>
      </c>
      <c r="D50" s="21" t="s">
        <v>24</v>
      </c>
      <c r="E50" s="21" t="s">
        <v>34</v>
      </c>
      <c r="F50" s="21" t="s">
        <v>1875</v>
      </c>
      <c r="G50" s="30"/>
      <c r="H50" s="30" t="s">
        <v>36</v>
      </c>
      <c r="I50" s="31" t="s">
        <v>37</v>
      </c>
      <c r="J50" s="21" t="s">
        <v>37</v>
      </c>
      <c r="K50" s="21" t="s">
        <v>36</v>
      </c>
      <c r="L50" s="21" t="s">
        <v>36</v>
      </c>
      <c r="M50" s="21" t="s">
        <v>36</v>
      </c>
      <c r="N50" s="21" t="s">
        <v>36</v>
      </c>
      <c r="O50" s="30"/>
      <c r="P50" s="21"/>
      <c r="Q50" s="21"/>
      <c r="R50" s="21"/>
      <c r="S50" s="32"/>
      <c r="T50" s="32"/>
      <c r="U50" s="21"/>
      <c r="V50" s="21"/>
      <c r="W50" s="21"/>
      <c r="X50" s="21"/>
      <c r="Y50" s="21" t="s">
        <v>28</v>
      </c>
    </row>
    <row r="51" customFormat="false" ht="15.75" hidden="false" customHeight="false" outlineLevel="0" collapsed="false">
      <c r="A51" s="21" t="n">
        <v>7244</v>
      </c>
      <c r="B51" s="29" t="n">
        <v>45062</v>
      </c>
      <c r="C51" s="21" t="s">
        <v>649</v>
      </c>
      <c r="D51" s="21" t="s">
        <v>24</v>
      </c>
      <c r="E51" s="21" t="s">
        <v>34</v>
      </c>
      <c r="F51" s="21" t="s">
        <v>1876</v>
      </c>
      <c r="G51" s="30"/>
      <c r="H51" s="30"/>
      <c r="I51" s="31"/>
      <c r="J51" s="21"/>
      <c r="K51" s="21"/>
      <c r="L51" s="21"/>
      <c r="M51" s="21"/>
      <c r="N51" s="21"/>
      <c r="O51" s="30"/>
      <c r="P51" s="21"/>
      <c r="Q51" s="21"/>
      <c r="R51" s="21"/>
      <c r="S51" s="32"/>
      <c r="T51" s="32"/>
      <c r="U51" s="21"/>
      <c r="V51" s="21"/>
      <c r="W51" s="21"/>
      <c r="X51" s="21"/>
      <c r="Y51" s="21" t="s">
        <v>28</v>
      </c>
    </row>
    <row r="52" customFormat="false" ht="15.75" hidden="false" customHeight="false" outlineLevel="0" collapsed="false">
      <c r="A52" s="21" t="n">
        <v>7245</v>
      </c>
      <c r="B52" s="29" t="n">
        <v>45062</v>
      </c>
      <c r="C52" s="21" t="s">
        <v>205</v>
      </c>
      <c r="D52" s="21" t="s">
        <v>24</v>
      </c>
      <c r="E52" s="21" t="s">
        <v>34</v>
      </c>
      <c r="F52" s="21" t="s">
        <v>1877</v>
      </c>
      <c r="G52" s="30"/>
      <c r="H52" s="30"/>
      <c r="I52" s="31"/>
      <c r="J52" s="21"/>
      <c r="K52" s="21"/>
      <c r="L52" s="21"/>
      <c r="M52" s="21"/>
      <c r="N52" s="21"/>
      <c r="O52" s="30"/>
      <c r="P52" s="21"/>
      <c r="Q52" s="21"/>
      <c r="R52" s="21"/>
      <c r="S52" s="32"/>
      <c r="T52" s="32"/>
      <c r="U52" s="21"/>
      <c r="V52" s="21"/>
      <c r="W52" s="21"/>
      <c r="X52" s="21"/>
      <c r="Y52" s="21" t="s">
        <v>28</v>
      </c>
    </row>
    <row r="53" customFormat="false" ht="15.75" hidden="false" customHeight="false" outlineLevel="0" collapsed="false">
      <c r="A53" s="21" t="n">
        <v>7246</v>
      </c>
      <c r="B53" s="29" t="n">
        <v>45062</v>
      </c>
      <c r="C53" s="21" t="s">
        <v>205</v>
      </c>
      <c r="D53" s="21" t="s">
        <v>24</v>
      </c>
      <c r="E53" s="21" t="s">
        <v>34</v>
      </c>
      <c r="F53" s="21" t="s">
        <v>1878</v>
      </c>
      <c r="G53" s="30"/>
      <c r="H53" s="30"/>
      <c r="I53" s="31"/>
      <c r="J53" s="21"/>
      <c r="K53" s="21"/>
      <c r="L53" s="21"/>
      <c r="M53" s="21"/>
      <c r="N53" s="21"/>
      <c r="O53" s="30"/>
      <c r="P53" s="21"/>
      <c r="Q53" s="21"/>
      <c r="R53" s="21"/>
      <c r="S53" s="32"/>
      <c r="T53" s="32"/>
      <c r="U53" s="21"/>
      <c r="V53" s="21"/>
      <c r="W53" s="21"/>
      <c r="X53" s="21"/>
      <c r="Y53" s="21" t="s">
        <v>28</v>
      </c>
    </row>
    <row r="54" customFormat="false" ht="15.75" hidden="false" customHeight="false" outlineLevel="0" collapsed="false">
      <c r="A54" s="21" t="n">
        <v>7248</v>
      </c>
      <c r="B54" s="29" t="n">
        <v>45063</v>
      </c>
      <c r="C54" s="21" t="s">
        <v>841</v>
      </c>
      <c r="D54" s="21" t="s">
        <v>24</v>
      </c>
      <c r="E54" s="21" t="s">
        <v>25</v>
      </c>
      <c r="F54" s="21" t="s">
        <v>1879</v>
      </c>
      <c r="G54" s="30"/>
      <c r="H54" s="30" t="s">
        <v>1880</v>
      </c>
      <c r="I54" s="45" t="str">
        <f aca="false">HYPERLINK("https://photos.app.goo.gl/X4QnVV3xC4P8JAot9", "Completo")</f>
        <v>Completo</v>
      </c>
      <c r="J54" s="21" t="s">
        <v>28</v>
      </c>
      <c r="K54" s="21" t="s">
        <v>29</v>
      </c>
      <c r="L54" s="21" t="s">
        <v>29</v>
      </c>
      <c r="M54" s="21" t="n">
        <v>1541</v>
      </c>
      <c r="N54" s="21"/>
      <c r="O54" s="30"/>
      <c r="P54" s="21"/>
      <c r="Q54" s="21"/>
      <c r="R54" s="21"/>
      <c r="S54" s="32"/>
      <c r="T54" s="32"/>
      <c r="U54" s="21"/>
      <c r="V54" s="21"/>
      <c r="W54" s="21"/>
      <c r="X54" s="21"/>
      <c r="Y54" s="21" t="s">
        <v>28</v>
      </c>
    </row>
    <row r="55" customFormat="false" ht="15.75" hidden="false" customHeight="false" outlineLevel="0" collapsed="false">
      <c r="A55" s="21" t="n">
        <v>7247</v>
      </c>
      <c r="B55" s="29" t="n">
        <v>45063</v>
      </c>
      <c r="C55" s="21" t="s">
        <v>841</v>
      </c>
      <c r="D55" s="21" t="s">
        <v>24</v>
      </c>
      <c r="E55" s="21" t="s">
        <v>25</v>
      </c>
      <c r="F55" s="21" t="s">
        <v>1881</v>
      </c>
      <c r="G55" s="30"/>
      <c r="H55" s="30" t="s">
        <v>1882</v>
      </c>
      <c r="I55" s="45" t="str">
        <f aca="false">HYPERLINK("https://photos.app.goo.gl/tbJS2P5hbPDoQ2ff6", "Completo")</f>
        <v>Completo</v>
      </c>
      <c r="J55" s="21" t="s">
        <v>28</v>
      </c>
      <c r="K55" s="21" t="s">
        <v>29</v>
      </c>
      <c r="L55" s="21" t="s">
        <v>29</v>
      </c>
      <c r="M55" s="21" t="n">
        <v>1541</v>
      </c>
      <c r="N55" s="21"/>
      <c r="O55" s="30"/>
      <c r="P55" s="21"/>
      <c r="Q55" s="21"/>
      <c r="R55" s="21"/>
      <c r="S55" s="32"/>
      <c r="T55" s="32"/>
      <c r="U55" s="21"/>
      <c r="V55" s="21"/>
      <c r="W55" s="21"/>
      <c r="X55" s="21"/>
      <c r="Y55" s="21" t="s">
        <v>28</v>
      </c>
    </row>
    <row r="56" customFormat="false" ht="15.75" hidden="false" customHeight="false" outlineLevel="0" collapsed="false">
      <c r="A56" s="21" t="s">
        <v>1883</v>
      </c>
      <c r="B56" s="29" t="n">
        <v>45063</v>
      </c>
      <c r="C56" s="21" t="s">
        <v>841</v>
      </c>
      <c r="D56" s="21" t="s">
        <v>578</v>
      </c>
      <c r="E56" s="21" t="s">
        <v>25</v>
      </c>
      <c r="F56" s="21" t="s">
        <v>1884</v>
      </c>
      <c r="G56" s="30"/>
      <c r="H56" s="30"/>
      <c r="I56" s="45" t="str">
        <f aca="false">HYPERLINK("https://photos.app.goo.gl/TegzxujUbJwpwiRz6", "Completo")</f>
        <v>Completo</v>
      </c>
      <c r="J56" s="21" t="s">
        <v>28</v>
      </c>
      <c r="K56" s="21"/>
      <c r="L56" s="21"/>
      <c r="M56" s="21"/>
      <c r="N56" s="21"/>
      <c r="O56" s="30"/>
      <c r="P56" s="21"/>
      <c r="Q56" s="21"/>
      <c r="R56" s="21"/>
      <c r="S56" s="32"/>
      <c r="T56" s="32"/>
      <c r="U56" s="21"/>
      <c r="V56" s="21"/>
      <c r="W56" s="21"/>
      <c r="X56" s="21"/>
      <c r="Y56" s="21" t="s">
        <v>37</v>
      </c>
    </row>
    <row r="57" customFormat="false" ht="15.75" hidden="false" customHeight="false" outlineLevel="0" collapsed="false">
      <c r="A57" s="21" t="s">
        <v>1885</v>
      </c>
      <c r="B57" s="29" t="n">
        <v>45063</v>
      </c>
      <c r="C57" s="21" t="s">
        <v>841</v>
      </c>
      <c r="D57" s="21" t="s">
        <v>578</v>
      </c>
      <c r="E57" s="21" t="s">
        <v>25</v>
      </c>
      <c r="F57" s="21" t="s">
        <v>1886</v>
      </c>
      <c r="G57" s="30"/>
      <c r="H57" s="30"/>
      <c r="I57" s="45" t="str">
        <f aca="false">HYPERLINK("https://photos.app.goo.gl/PioPCPGJD9Rfh9ag8", "Completo")</f>
        <v>Completo</v>
      </c>
      <c r="J57" s="21" t="s">
        <v>28</v>
      </c>
      <c r="K57" s="21"/>
      <c r="L57" s="21"/>
      <c r="M57" s="21"/>
      <c r="N57" s="21"/>
      <c r="O57" s="30"/>
      <c r="P57" s="21"/>
      <c r="Q57" s="21"/>
      <c r="R57" s="21"/>
      <c r="S57" s="32"/>
      <c r="T57" s="32"/>
      <c r="U57" s="21"/>
      <c r="V57" s="21"/>
      <c r="W57" s="21"/>
      <c r="X57" s="21"/>
      <c r="Y57" s="21" t="s">
        <v>37</v>
      </c>
    </row>
    <row r="58" customFormat="false" ht="15.75" hidden="false" customHeight="false" outlineLevel="0" collapsed="false">
      <c r="A58" s="21" t="n">
        <v>7249</v>
      </c>
      <c r="B58" s="29" t="n">
        <v>45063</v>
      </c>
      <c r="C58" s="21" t="s">
        <v>357</v>
      </c>
      <c r="D58" s="21" t="s">
        <v>24</v>
      </c>
      <c r="E58" s="21" t="s">
        <v>34</v>
      </c>
      <c r="F58" s="21" t="s">
        <v>1887</v>
      </c>
      <c r="G58" s="30"/>
      <c r="H58" s="30"/>
      <c r="I58" s="31"/>
      <c r="J58" s="21"/>
      <c r="K58" s="21"/>
      <c r="L58" s="21"/>
      <c r="M58" s="21"/>
      <c r="N58" s="21"/>
      <c r="O58" s="30"/>
      <c r="P58" s="21"/>
      <c r="Q58" s="21"/>
      <c r="R58" s="21"/>
      <c r="S58" s="32"/>
      <c r="T58" s="32"/>
      <c r="U58" s="21"/>
      <c r="V58" s="21"/>
      <c r="W58" s="21"/>
      <c r="X58" s="21"/>
      <c r="Y58" s="21" t="s">
        <v>28</v>
      </c>
    </row>
    <row r="59" customFormat="false" ht="15.75" hidden="false" customHeight="false" outlineLevel="0" collapsed="false">
      <c r="A59" s="21" t="n">
        <v>7250</v>
      </c>
      <c r="B59" s="29" t="n">
        <v>45064</v>
      </c>
      <c r="C59" s="21" t="s">
        <v>389</v>
      </c>
      <c r="D59" s="21" t="s">
        <v>24</v>
      </c>
      <c r="E59" s="21" t="s">
        <v>34</v>
      </c>
      <c r="F59" s="21" t="s">
        <v>1888</v>
      </c>
      <c r="G59" s="30"/>
      <c r="H59" s="30"/>
      <c r="I59" s="31"/>
      <c r="J59" s="21"/>
      <c r="K59" s="21"/>
      <c r="L59" s="21"/>
      <c r="M59" s="21"/>
      <c r="N59" s="21"/>
      <c r="O59" s="30"/>
      <c r="P59" s="21"/>
      <c r="Q59" s="21"/>
      <c r="R59" s="21"/>
      <c r="S59" s="32"/>
      <c r="T59" s="32"/>
      <c r="U59" s="21"/>
      <c r="V59" s="21"/>
      <c r="W59" s="21"/>
      <c r="X59" s="21"/>
      <c r="Y59" s="21" t="s">
        <v>28</v>
      </c>
    </row>
    <row r="60" customFormat="false" ht="15.75" hidden="false" customHeight="false" outlineLevel="0" collapsed="false">
      <c r="A60" s="21" t="n">
        <v>7251</v>
      </c>
      <c r="B60" s="29" t="n">
        <v>45064</v>
      </c>
      <c r="C60" s="21" t="s">
        <v>389</v>
      </c>
      <c r="D60" s="21" t="s">
        <v>24</v>
      </c>
      <c r="E60" s="21" t="s">
        <v>34</v>
      </c>
      <c r="F60" s="21" t="s">
        <v>1888</v>
      </c>
      <c r="G60" s="30"/>
      <c r="H60" s="30"/>
      <c r="I60" s="31"/>
      <c r="J60" s="21"/>
      <c r="K60" s="21"/>
      <c r="L60" s="21"/>
      <c r="M60" s="21"/>
      <c r="N60" s="21"/>
      <c r="O60" s="30"/>
      <c r="P60" s="21"/>
      <c r="Q60" s="21"/>
      <c r="R60" s="21"/>
      <c r="S60" s="32"/>
      <c r="T60" s="32"/>
      <c r="U60" s="21"/>
      <c r="V60" s="21"/>
      <c r="W60" s="21"/>
      <c r="X60" s="21"/>
      <c r="Y60" s="21" t="s">
        <v>28</v>
      </c>
    </row>
    <row r="61" customFormat="false" ht="15.75" hidden="false" customHeight="false" outlineLevel="0" collapsed="false">
      <c r="A61" s="21" t="n">
        <v>7252</v>
      </c>
      <c r="B61" s="29" t="n">
        <v>45064</v>
      </c>
      <c r="C61" s="21" t="s">
        <v>389</v>
      </c>
      <c r="D61" s="21" t="s">
        <v>24</v>
      </c>
      <c r="E61" s="21" t="s">
        <v>34</v>
      </c>
      <c r="F61" s="21" t="s">
        <v>1889</v>
      </c>
      <c r="G61" s="30"/>
      <c r="H61" s="30"/>
      <c r="I61" s="31"/>
      <c r="J61" s="21"/>
      <c r="K61" s="21"/>
      <c r="L61" s="21"/>
      <c r="M61" s="21"/>
      <c r="N61" s="21"/>
      <c r="O61" s="30"/>
      <c r="P61" s="21"/>
      <c r="Q61" s="21"/>
      <c r="R61" s="21"/>
      <c r="S61" s="32"/>
      <c r="T61" s="32"/>
      <c r="U61" s="21"/>
      <c r="V61" s="21"/>
      <c r="W61" s="21"/>
      <c r="X61" s="21"/>
      <c r="Y61" s="21" t="s">
        <v>28</v>
      </c>
    </row>
    <row r="62" customFormat="false" ht="15.75" hidden="false" customHeight="false" outlineLevel="0" collapsed="false">
      <c r="A62" s="21" t="n">
        <v>7253</v>
      </c>
      <c r="B62" s="29" t="n">
        <v>45065</v>
      </c>
      <c r="C62" s="21" t="s">
        <v>709</v>
      </c>
      <c r="D62" s="21" t="s">
        <v>24</v>
      </c>
      <c r="E62" s="21" t="s">
        <v>34</v>
      </c>
      <c r="F62" s="21" t="s">
        <v>1890</v>
      </c>
      <c r="G62" s="30"/>
      <c r="H62" s="30"/>
      <c r="I62" s="31"/>
      <c r="J62" s="21"/>
      <c r="K62" s="21"/>
      <c r="L62" s="21"/>
      <c r="M62" s="21"/>
      <c r="N62" s="21"/>
      <c r="O62" s="30"/>
      <c r="P62" s="21"/>
      <c r="Q62" s="21"/>
      <c r="R62" s="21"/>
      <c r="S62" s="32"/>
      <c r="T62" s="32"/>
      <c r="U62" s="21"/>
      <c r="V62" s="21"/>
      <c r="W62" s="21"/>
      <c r="X62" s="21"/>
      <c r="Y62" s="21" t="s">
        <v>28</v>
      </c>
    </row>
    <row r="63" customFormat="false" ht="15.75" hidden="false" customHeight="false" outlineLevel="0" collapsed="false">
      <c r="A63" s="21" t="n">
        <v>7254</v>
      </c>
      <c r="B63" s="29" t="n">
        <v>45068</v>
      </c>
      <c r="C63" s="21" t="s">
        <v>1891</v>
      </c>
      <c r="D63" s="21" t="s">
        <v>24</v>
      </c>
      <c r="E63" s="21" t="s">
        <v>34</v>
      </c>
      <c r="F63" s="21" t="s">
        <v>1892</v>
      </c>
      <c r="G63" s="30"/>
      <c r="H63" s="30"/>
      <c r="I63" s="31"/>
      <c r="J63" s="21"/>
      <c r="K63" s="21"/>
      <c r="L63" s="21"/>
      <c r="M63" s="21"/>
      <c r="N63" s="21"/>
      <c r="O63" s="30"/>
      <c r="P63" s="21"/>
      <c r="Q63" s="21"/>
      <c r="R63" s="21"/>
      <c r="S63" s="32"/>
      <c r="T63" s="32"/>
      <c r="U63" s="21"/>
      <c r="V63" s="21"/>
      <c r="W63" s="21"/>
      <c r="X63" s="21"/>
      <c r="Y63" s="21" t="s">
        <v>28</v>
      </c>
    </row>
    <row r="64" customFormat="false" ht="15.75" hidden="false" customHeight="false" outlineLevel="0" collapsed="false">
      <c r="A64" s="21" t="n">
        <v>7255</v>
      </c>
      <c r="B64" s="29" t="n">
        <v>45068</v>
      </c>
      <c r="C64" s="21" t="s">
        <v>1891</v>
      </c>
      <c r="D64" s="21" t="s">
        <v>24</v>
      </c>
      <c r="E64" s="21" t="s">
        <v>34</v>
      </c>
      <c r="F64" s="21" t="s">
        <v>1893</v>
      </c>
      <c r="G64" s="30"/>
      <c r="H64" s="30"/>
      <c r="I64" s="31"/>
      <c r="J64" s="21"/>
      <c r="K64" s="21"/>
      <c r="L64" s="21"/>
      <c r="M64" s="21"/>
      <c r="N64" s="21"/>
      <c r="O64" s="30"/>
      <c r="P64" s="21"/>
      <c r="Q64" s="21"/>
      <c r="R64" s="21"/>
      <c r="S64" s="32"/>
      <c r="T64" s="32"/>
      <c r="U64" s="21"/>
      <c r="V64" s="21"/>
      <c r="W64" s="21"/>
      <c r="X64" s="21"/>
      <c r="Y64" s="21" t="s">
        <v>28</v>
      </c>
    </row>
    <row r="65" customFormat="false" ht="15.75" hidden="false" customHeight="false" outlineLevel="0" collapsed="false">
      <c r="A65" s="21" t="n">
        <v>7256</v>
      </c>
      <c r="B65" s="29" t="n">
        <v>45068</v>
      </c>
      <c r="C65" s="21" t="s">
        <v>1891</v>
      </c>
      <c r="D65" s="21" t="s">
        <v>24</v>
      </c>
      <c r="E65" s="21" t="s">
        <v>34</v>
      </c>
      <c r="F65" s="21" t="s">
        <v>1894</v>
      </c>
      <c r="G65" s="30"/>
      <c r="H65" s="30"/>
      <c r="I65" s="31"/>
      <c r="J65" s="21"/>
      <c r="K65" s="21"/>
      <c r="L65" s="21"/>
      <c r="M65" s="21"/>
      <c r="N65" s="21"/>
      <c r="O65" s="30"/>
      <c r="P65" s="21"/>
      <c r="Q65" s="21"/>
      <c r="R65" s="21"/>
      <c r="S65" s="32"/>
      <c r="T65" s="32"/>
      <c r="U65" s="21"/>
      <c r="V65" s="21"/>
      <c r="W65" s="21"/>
      <c r="X65" s="21"/>
      <c r="Y65" s="21" t="s">
        <v>28</v>
      </c>
    </row>
    <row r="66" customFormat="false" ht="15.75" hidden="false" customHeight="false" outlineLevel="0" collapsed="false">
      <c r="A66" s="21" t="n">
        <v>7257</v>
      </c>
      <c r="B66" s="29" t="n">
        <v>45068</v>
      </c>
      <c r="C66" s="21" t="s">
        <v>1891</v>
      </c>
      <c r="D66" s="21" t="s">
        <v>24</v>
      </c>
      <c r="E66" s="21" t="s">
        <v>34</v>
      </c>
      <c r="F66" s="21" t="s">
        <v>1895</v>
      </c>
      <c r="G66" s="30"/>
      <c r="H66" s="30"/>
      <c r="I66" s="31"/>
      <c r="J66" s="21"/>
      <c r="K66" s="21"/>
      <c r="L66" s="21"/>
      <c r="M66" s="21"/>
      <c r="N66" s="21"/>
      <c r="O66" s="30"/>
      <c r="P66" s="21"/>
      <c r="Q66" s="21"/>
      <c r="R66" s="21"/>
      <c r="S66" s="32"/>
      <c r="T66" s="32"/>
      <c r="U66" s="21"/>
      <c r="V66" s="21"/>
      <c r="W66" s="21"/>
      <c r="X66" s="21"/>
      <c r="Y66" s="21" t="s">
        <v>28</v>
      </c>
    </row>
    <row r="67" customFormat="false" ht="15.75" hidden="false" customHeight="false" outlineLevel="0" collapsed="false">
      <c r="A67" s="21" t="n">
        <v>7258</v>
      </c>
      <c r="B67" s="29" t="n">
        <v>45068</v>
      </c>
      <c r="C67" s="21" t="s">
        <v>1891</v>
      </c>
      <c r="D67" s="21" t="s">
        <v>24</v>
      </c>
      <c r="E67" s="21" t="s">
        <v>34</v>
      </c>
      <c r="F67" s="21" t="s">
        <v>1896</v>
      </c>
      <c r="G67" s="30"/>
      <c r="H67" s="30"/>
      <c r="I67" s="31"/>
      <c r="J67" s="21"/>
      <c r="K67" s="21"/>
      <c r="L67" s="21"/>
      <c r="M67" s="21"/>
      <c r="N67" s="21"/>
      <c r="O67" s="30"/>
      <c r="P67" s="21"/>
      <c r="Q67" s="21"/>
      <c r="R67" s="21"/>
      <c r="S67" s="32"/>
      <c r="T67" s="32"/>
      <c r="U67" s="21"/>
      <c r="V67" s="21"/>
      <c r="W67" s="21"/>
      <c r="X67" s="21"/>
      <c r="Y67" s="21" t="s">
        <v>28</v>
      </c>
    </row>
    <row r="68" customFormat="false" ht="15.75" hidden="false" customHeight="false" outlineLevel="0" collapsed="false">
      <c r="A68" s="21" t="n">
        <v>7259</v>
      </c>
      <c r="B68" s="29" t="n">
        <v>45068</v>
      </c>
      <c r="C68" s="21" t="s">
        <v>1891</v>
      </c>
      <c r="D68" s="21" t="s">
        <v>24</v>
      </c>
      <c r="E68" s="21" t="s">
        <v>34</v>
      </c>
      <c r="F68" s="21" t="s">
        <v>1897</v>
      </c>
      <c r="G68" s="30"/>
      <c r="H68" s="30"/>
      <c r="I68" s="31"/>
      <c r="J68" s="21"/>
      <c r="K68" s="21"/>
      <c r="L68" s="21"/>
      <c r="M68" s="21"/>
      <c r="N68" s="21"/>
      <c r="O68" s="30"/>
      <c r="P68" s="21"/>
      <c r="Q68" s="21"/>
      <c r="R68" s="21"/>
      <c r="S68" s="32"/>
      <c r="T68" s="32"/>
      <c r="U68" s="21"/>
      <c r="V68" s="21"/>
      <c r="W68" s="21"/>
      <c r="X68" s="21"/>
      <c r="Y68" s="21" t="s">
        <v>28</v>
      </c>
    </row>
    <row r="69" customFormat="false" ht="15.75" hidden="false" customHeight="false" outlineLevel="0" collapsed="false">
      <c r="A69" s="21" t="n">
        <v>7260</v>
      </c>
      <c r="B69" s="29" t="n">
        <v>45069</v>
      </c>
      <c r="C69" s="21" t="s">
        <v>1891</v>
      </c>
      <c r="D69" s="21" t="s">
        <v>24</v>
      </c>
      <c r="E69" s="21" t="s">
        <v>34</v>
      </c>
      <c r="F69" s="21" t="s">
        <v>1898</v>
      </c>
      <c r="G69" s="30"/>
      <c r="H69" s="30"/>
      <c r="I69" s="31"/>
      <c r="J69" s="21"/>
      <c r="K69" s="21"/>
      <c r="L69" s="21"/>
      <c r="M69" s="21"/>
      <c r="N69" s="21"/>
      <c r="O69" s="30"/>
      <c r="P69" s="21"/>
      <c r="Q69" s="21"/>
      <c r="R69" s="21"/>
      <c r="S69" s="32"/>
      <c r="T69" s="32"/>
      <c r="U69" s="21"/>
      <c r="V69" s="21"/>
      <c r="W69" s="21"/>
      <c r="X69" s="21"/>
      <c r="Y69" s="21" t="s">
        <v>28</v>
      </c>
    </row>
    <row r="70" customFormat="false" ht="15.75" hidden="false" customHeight="false" outlineLevel="0" collapsed="false">
      <c r="A70" s="21" t="n">
        <v>7261</v>
      </c>
      <c r="B70" s="29" t="n">
        <v>45069</v>
      </c>
      <c r="C70" s="21" t="s">
        <v>1891</v>
      </c>
      <c r="D70" s="21" t="s">
        <v>24</v>
      </c>
      <c r="E70" s="21" t="s">
        <v>34</v>
      </c>
      <c r="F70" s="21" t="s">
        <v>1899</v>
      </c>
      <c r="G70" s="30"/>
      <c r="H70" s="30"/>
      <c r="I70" s="31"/>
      <c r="J70" s="21"/>
      <c r="K70" s="21"/>
      <c r="L70" s="21"/>
      <c r="M70" s="21"/>
      <c r="N70" s="21"/>
      <c r="O70" s="30"/>
      <c r="P70" s="21"/>
      <c r="Q70" s="21"/>
      <c r="R70" s="21"/>
      <c r="S70" s="32"/>
      <c r="T70" s="32"/>
      <c r="U70" s="21"/>
      <c r="V70" s="21"/>
      <c r="W70" s="21"/>
      <c r="X70" s="21"/>
      <c r="Y70" s="21" t="s">
        <v>28</v>
      </c>
    </row>
    <row r="71" customFormat="false" ht="15.75" hidden="false" customHeight="false" outlineLevel="0" collapsed="false">
      <c r="A71" s="21" t="n">
        <v>7262</v>
      </c>
      <c r="B71" s="29" t="n">
        <v>45069</v>
      </c>
      <c r="C71" s="21" t="s">
        <v>1891</v>
      </c>
      <c r="D71" s="21" t="s">
        <v>24</v>
      </c>
      <c r="E71" s="21" t="s">
        <v>34</v>
      </c>
      <c r="F71" s="21" t="s">
        <v>1900</v>
      </c>
      <c r="G71" s="30"/>
      <c r="H71" s="30"/>
      <c r="I71" s="31"/>
      <c r="J71" s="21"/>
      <c r="K71" s="21"/>
      <c r="L71" s="21"/>
      <c r="M71" s="21"/>
      <c r="N71" s="21"/>
      <c r="O71" s="30"/>
      <c r="P71" s="21"/>
      <c r="Q71" s="21"/>
      <c r="R71" s="21"/>
      <c r="S71" s="32"/>
      <c r="T71" s="32"/>
      <c r="U71" s="21"/>
      <c r="V71" s="21"/>
      <c r="W71" s="21"/>
      <c r="X71" s="21"/>
      <c r="Y71" s="21" t="s">
        <v>28</v>
      </c>
    </row>
    <row r="72" customFormat="false" ht="15.75" hidden="false" customHeight="false" outlineLevel="0" collapsed="false">
      <c r="A72" s="21" t="n">
        <v>7263</v>
      </c>
      <c r="B72" s="29" t="n">
        <v>45065</v>
      </c>
      <c r="C72" s="21" t="s">
        <v>1901</v>
      </c>
      <c r="D72" s="21" t="s">
        <v>24</v>
      </c>
      <c r="E72" s="21" t="s">
        <v>34</v>
      </c>
      <c r="F72" s="21" t="s">
        <v>1902</v>
      </c>
      <c r="G72" s="30"/>
      <c r="H72" s="30"/>
      <c r="I72" s="31"/>
      <c r="J72" s="21"/>
      <c r="K72" s="21"/>
      <c r="L72" s="21"/>
      <c r="M72" s="21"/>
      <c r="N72" s="21"/>
      <c r="O72" s="30"/>
      <c r="P72" s="21"/>
      <c r="Q72" s="21"/>
      <c r="R72" s="21"/>
      <c r="S72" s="32"/>
      <c r="T72" s="32"/>
      <c r="U72" s="21"/>
      <c r="V72" s="21"/>
      <c r="W72" s="21"/>
      <c r="X72" s="21"/>
      <c r="Y72" s="21" t="s">
        <v>28</v>
      </c>
    </row>
    <row r="73" customFormat="false" ht="15.75" hidden="false" customHeight="false" outlineLevel="0" collapsed="false">
      <c r="A73" s="21" t="n">
        <v>7264</v>
      </c>
      <c r="B73" s="29" t="n">
        <v>45068</v>
      </c>
      <c r="C73" s="21" t="s">
        <v>1561</v>
      </c>
      <c r="D73" s="21" t="s">
        <v>24</v>
      </c>
      <c r="E73" s="21" t="s">
        <v>25</v>
      </c>
      <c r="F73" s="21" t="s">
        <v>1903</v>
      </c>
      <c r="G73" s="30"/>
      <c r="H73" s="30" t="s">
        <v>1904</v>
      </c>
      <c r="I73" s="45" t="str">
        <f aca="false">HYPERLINK("https://photos.app.goo.gl/qFVxten2rUqjd9yL6", "Completo")</f>
        <v>Completo</v>
      </c>
      <c r="J73" s="21" t="s">
        <v>28</v>
      </c>
      <c r="K73" s="21"/>
      <c r="L73" s="21"/>
      <c r="M73" s="21"/>
      <c r="N73" s="21"/>
      <c r="O73" s="30"/>
      <c r="P73" s="21"/>
      <c r="Q73" s="21"/>
      <c r="R73" s="21"/>
      <c r="S73" s="32"/>
      <c r="T73" s="32"/>
      <c r="U73" s="21"/>
      <c r="V73" s="21"/>
      <c r="W73" s="21"/>
      <c r="X73" s="21"/>
      <c r="Y73" s="21" t="s">
        <v>28</v>
      </c>
    </row>
    <row r="74" customFormat="false" ht="15.75" hidden="false" customHeight="false" outlineLevel="0" collapsed="false">
      <c r="A74" s="21" t="n">
        <v>7265</v>
      </c>
      <c r="B74" s="29" t="n">
        <v>45068</v>
      </c>
      <c r="C74" s="21" t="s">
        <v>1561</v>
      </c>
      <c r="D74" s="21" t="s">
        <v>24</v>
      </c>
      <c r="E74" s="21" t="s">
        <v>25</v>
      </c>
      <c r="F74" s="21" t="s">
        <v>1903</v>
      </c>
      <c r="G74" s="30"/>
      <c r="H74" s="30" t="s">
        <v>1904</v>
      </c>
      <c r="I74" s="45" t="str">
        <f aca="false">HYPERLINK("https://photos.app.goo.gl/eBQdnTVGFV2dXHxT8", "Completo")</f>
        <v>Completo</v>
      </c>
      <c r="J74" s="21" t="s">
        <v>28</v>
      </c>
      <c r="K74" s="21"/>
      <c r="L74" s="21"/>
      <c r="M74" s="21"/>
      <c r="N74" s="21"/>
      <c r="O74" s="30"/>
      <c r="P74" s="21"/>
      <c r="Q74" s="21"/>
      <c r="R74" s="21"/>
      <c r="S74" s="32"/>
      <c r="T74" s="32"/>
      <c r="U74" s="21"/>
      <c r="V74" s="21"/>
      <c r="W74" s="21"/>
      <c r="X74" s="21"/>
      <c r="Y74" s="21" t="s">
        <v>28</v>
      </c>
    </row>
    <row r="75" customFormat="false" ht="15.75" hidden="false" customHeight="false" outlineLevel="0" collapsed="false">
      <c r="A75" s="21" t="n">
        <v>7266</v>
      </c>
      <c r="B75" s="29" t="n">
        <v>45069</v>
      </c>
      <c r="C75" s="21" t="s">
        <v>1891</v>
      </c>
      <c r="D75" s="21" t="s">
        <v>24</v>
      </c>
      <c r="E75" s="21" t="s">
        <v>34</v>
      </c>
      <c r="F75" s="21" t="s">
        <v>1905</v>
      </c>
      <c r="G75" s="30"/>
      <c r="H75" s="30"/>
      <c r="I75" s="31"/>
      <c r="J75" s="21"/>
      <c r="K75" s="21"/>
      <c r="L75" s="21"/>
      <c r="M75" s="21"/>
      <c r="N75" s="21"/>
      <c r="O75" s="30"/>
      <c r="P75" s="21"/>
      <c r="Q75" s="21"/>
      <c r="R75" s="21"/>
      <c r="S75" s="32"/>
      <c r="T75" s="32"/>
      <c r="U75" s="21"/>
      <c r="V75" s="21"/>
      <c r="W75" s="21"/>
      <c r="X75" s="21"/>
      <c r="Y75" s="21" t="s">
        <v>28</v>
      </c>
    </row>
    <row r="76" customFormat="false" ht="15.75" hidden="false" customHeight="false" outlineLevel="0" collapsed="false">
      <c r="A76" s="21" t="n">
        <v>7267</v>
      </c>
      <c r="B76" s="29" t="n">
        <v>45069</v>
      </c>
      <c r="C76" s="21" t="s">
        <v>1891</v>
      </c>
      <c r="D76" s="21" t="s">
        <v>24</v>
      </c>
      <c r="E76" s="21" t="s">
        <v>34</v>
      </c>
      <c r="F76" s="21" t="s">
        <v>1906</v>
      </c>
      <c r="G76" s="30"/>
      <c r="H76" s="30"/>
      <c r="I76" s="31"/>
      <c r="J76" s="21"/>
      <c r="K76" s="21"/>
      <c r="L76" s="21"/>
      <c r="M76" s="21"/>
      <c r="N76" s="21"/>
      <c r="O76" s="30"/>
      <c r="P76" s="21"/>
      <c r="Q76" s="21"/>
      <c r="R76" s="21"/>
      <c r="S76" s="32"/>
      <c r="T76" s="32"/>
      <c r="U76" s="21"/>
      <c r="V76" s="21"/>
      <c r="W76" s="21"/>
      <c r="X76" s="21"/>
      <c r="Y76" s="21" t="s">
        <v>28</v>
      </c>
    </row>
    <row r="77" customFormat="false" ht="15.75" hidden="false" customHeight="false" outlineLevel="0" collapsed="false">
      <c r="A77" s="21" t="n">
        <v>7268</v>
      </c>
      <c r="B77" s="29" t="n">
        <v>45069</v>
      </c>
      <c r="C77" s="21" t="s">
        <v>1891</v>
      </c>
      <c r="D77" s="21" t="s">
        <v>24</v>
      </c>
      <c r="E77" s="21" t="s">
        <v>34</v>
      </c>
      <c r="F77" s="21" t="s">
        <v>1907</v>
      </c>
      <c r="G77" s="30"/>
      <c r="H77" s="30"/>
      <c r="I77" s="31"/>
      <c r="J77" s="21"/>
      <c r="K77" s="21"/>
      <c r="L77" s="21"/>
      <c r="M77" s="21"/>
      <c r="N77" s="21"/>
      <c r="O77" s="30"/>
      <c r="P77" s="21"/>
      <c r="Q77" s="21"/>
      <c r="R77" s="21"/>
      <c r="S77" s="32"/>
      <c r="T77" s="32"/>
      <c r="U77" s="21"/>
      <c r="V77" s="21"/>
      <c r="W77" s="21"/>
      <c r="X77" s="21"/>
      <c r="Y77" s="21" t="s">
        <v>28</v>
      </c>
    </row>
    <row r="78" customFormat="false" ht="15.75" hidden="false" customHeight="false" outlineLevel="0" collapsed="false">
      <c r="A78" s="21" t="n">
        <v>7269</v>
      </c>
      <c r="B78" s="29" t="n">
        <v>45069</v>
      </c>
      <c r="C78" s="21" t="s">
        <v>1891</v>
      </c>
      <c r="D78" s="21" t="s">
        <v>24</v>
      </c>
      <c r="E78" s="21" t="s">
        <v>34</v>
      </c>
      <c r="F78" s="21" t="s">
        <v>1908</v>
      </c>
      <c r="G78" s="30"/>
      <c r="H78" s="30"/>
      <c r="I78" s="31"/>
      <c r="J78" s="21"/>
      <c r="K78" s="21"/>
      <c r="L78" s="21"/>
      <c r="M78" s="21"/>
      <c r="N78" s="21"/>
      <c r="O78" s="30"/>
      <c r="P78" s="21"/>
      <c r="Q78" s="21"/>
      <c r="R78" s="21"/>
      <c r="S78" s="32"/>
      <c r="T78" s="32"/>
      <c r="U78" s="21"/>
      <c r="V78" s="21"/>
      <c r="W78" s="21"/>
      <c r="X78" s="21"/>
      <c r="Y78" s="21" t="s">
        <v>28</v>
      </c>
    </row>
    <row r="79" customFormat="false" ht="15.75" hidden="false" customHeight="false" outlineLevel="0" collapsed="false">
      <c r="A79" s="21" t="n">
        <v>7270</v>
      </c>
      <c r="B79" s="29" t="n">
        <v>45069</v>
      </c>
      <c r="C79" s="21" t="s">
        <v>1891</v>
      </c>
      <c r="D79" s="21" t="s">
        <v>24</v>
      </c>
      <c r="E79" s="21" t="s">
        <v>34</v>
      </c>
      <c r="F79" s="21" t="s">
        <v>1909</v>
      </c>
      <c r="G79" s="30"/>
      <c r="H79" s="30"/>
      <c r="I79" s="31"/>
      <c r="J79" s="21"/>
      <c r="K79" s="21"/>
      <c r="L79" s="21"/>
      <c r="M79" s="21"/>
      <c r="N79" s="21"/>
      <c r="O79" s="30"/>
      <c r="P79" s="21"/>
      <c r="Q79" s="21"/>
      <c r="R79" s="21"/>
      <c r="S79" s="32"/>
      <c r="T79" s="32"/>
      <c r="U79" s="21"/>
      <c r="V79" s="21"/>
      <c r="W79" s="21"/>
      <c r="X79" s="21"/>
      <c r="Y79" s="21" t="s">
        <v>28</v>
      </c>
    </row>
    <row r="80" customFormat="false" ht="15.75" hidden="false" customHeight="false" outlineLevel="0" collapsed="false">
      <c r="A80" s="21" t="n">
        <v>7271</v>
      </c>
      <c r="B80" s="29" t="n">
        <v>45069</v>
      </c>
      <c r="C80" s="21" t="s">
        <v>1891</v>
      </c>
      <c r="D80" s="21" t="s">
        <v>24</v>
      </c>
      <c r="E80" s="21" t="s">
        <v>34</v>
      </c>
      <c r="F80" s="21" t="s">
        <v>1910</v>
      </c>
      <c r="G80" s="30"/>
      <c r="H80" s="30"/>
      <c r="I80" s="31"/>
      <c r="J80" s="21"/>
      <c r="K80" s="21"/>
      <c r="L80" s="21"/>
      <c r="M80" s="21"/>
      <c r="N80" s="21"/>
      <c r="O80" s="30"/>
      <c r="P80" s="21"/>
      <c r="Q80" s="21"/>
      <c r="R80" s="21"/>
      <c r="S80" s="32"/>
      <c r="T80" s="32"/>
      <c r="U80" s="21"/>
      <c r="V80" s="21"/>
      <c r="W80" s="21"/>
      <c r="X80" s="21"/>
      <c r="Y80" s="21" t="s">
        <v>28</v>
      </c>
    </row>
    <row r="81" customFormat="false" ht="15.75" hidden="false" customHeight="false" outlineLevel="0" collapsed="false">
      <c r="A81" s="21" t="n">
        <v>7272</v>
      </c>
      <c r="B81" s="29" t="n">
        <v>45069</v>
      </c>
      <c r="C81" s="21" t="s">
        <v>1891</v>
      </c>
      <c r="D81" s="21" t="s">
        <v>24</v>
      </c>
      <c r="E81" s="21" t="s">
        <v>34</v>
      </c>
      <c r="F81" s="21" t="s">
        <v>1911</v>
      </c>
      <c r="G81" s="30"/>
      <c r="H81" s="30"/>
      <c r="I81" s="31"/>
      <c r="J81" s="21"/>
      <c r="K81" s="21"/>
      <c r="L81" s="21"/>
      <c r="M81" s="21"/>
      <c r="N81" s="21"/>
      <c r="O81" s="30"/>
      <c r="P81" s="21"/>
      <c r="Q81" s="21"/>
      <c r="R81" s="21"/>
      <c r="S81" s="32"/>
      <c r="T81" s="32"/>
      <c r="U81" s="21"/>
      <c r="V81" s="21"/>
      <c r="W81" s="21"/>
      <c r="X81" s="21"/>
      <c r="Y81" s="21" t="s">
        <v>28</v>
      </c>
    </row>
    <row r="82" customFormat="false" ht="15.75" hidden="false" customHeight="false" outlineLevel="0" collapsed="false">
      <c r="A82" s="21" t="n">
        <v>7273</v>
      </c>
      <c r="B82" s="29" t="n">
        <v>45069</v>
      </c>
      <c r="C82" s="21" t="s">
        <v>1891</v>
      </c>
      <c r="D82" s="21" t="s">
        <v>24</v>
      </c>
      <c r="E82" s="21" t="s">
        <v>34</v>
      </c>
      <c r="F82" s="21" t="s">
        <v>1912</v>
      </c>
      <c r="G82" s="30"/>
      <c r="H82" s="30"/>
      <c r="I82" s="31"/>
      <c r="J82" s="21"/>
      <c r="K82" s="21"/>
      <c r="L82" s="21"/>
      <c r="M82" s="21"/>
      <c r="N82" s="21"/>
      <c r="O82" s="30"/>
      <c r="P82" s="21"/>
      <c r="Q82" s="21"/>
      <c r="R82" s="21"/>
      <c r="S82" s="32"/>
      <c r="T82" s="32"/>
      <c r="U82" s="21"/>
      <c r="V82" s="21"/>
      <c r="W82" s="21"/>
      <c r="X82" s="21"/>
      <c r="Y82" s="21" t="s">
        <v>28</v>
      </c>
    </row>
    <row r="83" customFormat="false" ht="15.75" hidden="false" customHeight="false" outlineLevel="0" collapsed="false">
      <c r="A83" s="21" t="n">
        <v>7274</v>
      </c>
      <c r="B83" s="29" t="n">
        <v>45069</v>
      </c>
      <c r="C83" s="21" t="s">
        <v>1891</v>
      </c>
      <c r="D83" s="21" t="s">
        <v>24</v>
      </c>
      <c r="E83" s="21" t="s">
        <v>34</v>
      </c>
      <c r="F83" s="21" t="s">
        <v>1913</v>
      </c>
      <c r="G83" s="30"/>
      <c r="H83" s="30"/>
      <c r="I83" s="31"/>
      <c r="J83" s="21"/>
      <c r="K83" s="21"/>
      <c r="L83" s="21"/>
      <c r="M83" s="21"/>
      <c r="N83" s="21"/>
      <c r="O83" s="30"/>
      <c r="P83" s="21"/>
      <c r="Q83" s="21"/>
      <c r="R83" s="21"/>
      <c r="S83" s="32"/>
      <c r="T83" s="32"/>
      <c r="U83" s="21"/>
      <c r="V83" s="21"/>
      <c r="W83" s="21"/>
      <c r="X83" s="21"/>
      <c r="Y83" s="21" t="s">
        <v>28</v>
      </c>
    </row>
    <row r="84" customFormat="false" ht="15.75" hidden="false" customHeight="false" outlineLevel="0" collapsed="false">
      <c r="A84" s="21" t="n">
        <v>7275</v>
      </c>
      <c r="B84" s="29" t="n">
        <v>45069</v>
      </c>
      <c r="C84" s="21" t="s">
        <v>1891</v>
      </c>
      <c r="D84" s="21" t="s">
        <v>24</v>
      </c>
      <c r="E84" s="21" t="s">
        <v>34</v>
      </c>
      <c r="F84" s="21" t="s">
        <v>1914</v>
      </c>
      <c r="G84" s="30"/>
      <c r="H84" s="30"/>
      <c r="I84" s="31"/>
      <c r="J84" s="21"/>
      <c r="K84" s="21"/>
      <c r="L84" s="21"/>
      <c r="M84" s="21"/>
      <c r="N84" s="21"/>
      <c r="O84" s="30"/>
      <c r="P84" s="21"/>
      <c r="Q84" s="21"/>
      <c r="R84" s="21"/>
      <c r="S84" s="32"/>
      <c r="T84" s="32"/>
      <c r="U84" s="21"/>
      <c r="V84" s="21"/>
      <c r="W84" s="21"/>
      <c r="X84" s="21"/>
      <c r="Y84" s="21" t="s">
        <v>28</v>
      </c>
    </row>
    <row r="85" customFormat="false" ht="15.75" hidden="false" customHeight="false" outlineLevel="0" collapsed="false">
      <c r="A85" s="21" t="n">
        <v>7276</v>
      </c>
      <c r="B85" s="29" t="n">
        <v>45069</v>
      </c>
      <c r="C85" s="21" t="s">
        <v>1891</v>
      </c>
      <c r="D85" s="21" t="s">
        <v>24</v>
      </c>
      <c r="E85" s="21" t="s">
        <v>34</v>
      </c>
      <c r="F85" s="21" t="s">
        <v>1915</v>
      </c>
      <c r="G85" s="30"/>
      <c r="H85" s="30"/>
      <c r="I85" s="31"/>
      <c r="J85" s="21"/>
      <c r="K85" s="21"/>
      <c r="L85" s="21"/>
      <c r="M85" s="21"/>
      <c r="N85" s="21"/>
      <c r="O85" s="30"/>
      <c r="P85" s="21"/>
      <c r="Q85" s="21"/>
      <c r="R85" s="21"/>
      <c r="S85" s="32"/>
      <c r="T85" s="32"/>
      <c r="U85" s="21"/>
      <c r="V85" s="21"/>
      <c r="W85" s="21"/>
      <c r="X85" s="21"/>
      <c r="Y85" s="21" t="s">
        <v>28</v>
      </c>
    </row>
    <row r="86" customFormat="false" ht="15.75" hidden="false" customHeight="false" outlineLevel="0" collapsed="false">
      <c r="A86" s="21" t="n">
        <v>7277</v>
      </c>
      <c r="B86" s="29" t="n">
        <v>45069</v>
      </c>
      <c r="C86" s="21" t="s">
        <v>1891</v>
      </c>
      <c r="D86" s="21" t="s">
        <v>24</v>
      </c>
      <c r="E86" s="21" t="s">
        <v>34</v>
      </c>
      <c r="F86" s="21" t="s">
        <v>1916</v>
      </c>
      <c r="G86" s="30"/>
      <c r="H86" s="30"/>
      <c r="I86" s="31"/>
      <c r="J86" s="21"/>
      <c r="K86" s="21"/>
      <c r="L86" s="21"/>
      <c r="M86" s="21"/>
      <c r="N86" s="21"/>
      <c r="O86" s="30"/>
      <c r="P86" s="21"/>
      <c r="Q86" s="21"/>
      <c r="R86" s="21"/>
      <c r="S86" s="32"/>
      <c r="T86" s="32"/>
      <c r="U86" s="21"/>
      <c r="V86" s="21"/>
      <c r="W86" s="21"/>
      <c r="X86" s="21"/>
      <c r="Y86" s="21" t="s">
        <v>28</v>
      </c>
    </row>
    <row r="87" customFormat="false" ht="15.75" hidden="false" customHeight="false" outlineLevel="0" collapsed="false">
      <c r="A87" s="21" t="n">
        <v>7278</v>
      </c>
      <c r="B87" s="29" t="n">
        <v>45069</v>
      </c>
      <c r="C87" s="21" t="s">
        <v>1891</v>
      </c>
      <c r="D87" s="21" t="s">
        <v>24</v>
      </c>
      <c r="E87" s="21" t="s">
        <v>34</v>
      </c>
      <c r="F87" s="21" t="s">
        <v>1917</v>
      </c>
      <c r="G87" s="30"/>
      <c r="H87" s="30"/>
      <c r="I87" s="31"/>
      <c r="J87" s="21"/>
      <c r="K87" s="21"/>
      <c r="L87" s="21"/>
      <c r="M87" s="21"/>
      <c r="N87" s="21"/>
      <c r="O87" s="30"/>
      <c r="P87" s="21"/>
      <c r="Q87" s="21"/>
      <c r="R87" s="21"/>
      <c r="S87" s="32"/>
      <c r="T87" s="32"/>
      <c r="U87" s="21"/>
      <c r="V87" s="21"/>
      <c r="W87" s="21"/>
      <c r="X87" s="21"/>
      <c r="Y87" s="21" t="s">
        <v>28</v>
      </c>
    </row>
    <row r="88" customFormat="false" ht="15.75" hidden="false" customHeight="false" outlineLevel="0" collapsed="false">
      <c r="A88" s="21" t="n">
        <v>7279</v>
      </c>
      <c r="B88" s="29" t="n">
        <v>45069</v>
      </c>
      <c r="C88" s="21" t="s">
        <v>1918</v>
      </c>
      <c r="D88" s="21" t="s">
        <v>24</v>
      </c>
      <c r="E88" s="21" t="s">
        <v>34</v>
      </c>
      <c r="F88" s="21" t="s">
        <v>1919</v>
      </c>
      <c r="G88" s="30"/>
      <c r="H88" s="30"/>
      <c r="I88" s="31"/>
      <c r="J88" s="21"/>
      <c r="K88" s="21"/>
      <c r="L88" s="21"/>
      <c r="M88" s="21"/>
      <c r="N88" s="21"/>
      <c r="O88" s="30"/>
      <c r="P88" s="21"/>
      <c r="Q88" s="21"/>
      <c r="R88" s="21"/>
      <c r="S88" s="32"/>
      <c r="T88" s="32"/>
      <c r="U88" s="21"/>
      <c r="V88" s="21"/>
      <c r="W88" s="21"/>
      <c r="X88" s="21"/>
      <c r="Y88" s="21" t="s">
        <v>28</v>
      </c>
    </row>
    <row r="89" customFormat="false" ht="15.75" hidden="false" customHeight="false" outlineLevel="0" collapsed="false">
      <c r="A89" s="21" t="n">
        <v>7280</v>
      </c>
      <c r="B89" s="29" t="n">
        <v>45069</v>
      </c>
      <c r="C89" s="21" t="s">
        <v>867</v>
      </c>
      <c r="D89" s="21" t="s">
        <v>24</v>
      </c>
      <c r="E89" s="21" t="s">
        <v>34</v>
      </c>
      <c r="F89" s="21" t="s">
        <v>1920</v>
      </c>
      <c r="G89" s="30"/>
      <c r="H89" s="30"/>
      <c r="I89" s="31"/>
      <c r="J89" s="21"/>
      <c r="K89" s="21"/>
      <c r="L89" s="21"/>
      <c r="M89" s="21"/>
      <c r="N89" s="21"/>
      <c r="O89" s="30"/>
      <c r="P89" s="21"/>
      <c r="Q89" s="21"/>
      <c r="R89" s="21"/>
      <c r="S89" s="32"/>
      <c r="T89" s="32"/>
      <c r="U89" s="21"/>
      <c r="V89" s="21"/>
      <c r="W89" s="21"/>
      <c r="X89" s="21"/>
      <c r="Y89" s="21" t="s">
        <v>37</v>
      </c>
    </row>
    <row r="90" customFormat="false" ht="15.75" hidden="false" customHeight="false" outlineLevel="0" collapsed="false">
      <c r="A90" s="21" t="n">
        <v>7281</v>
      </c>
      <c r="B90" s="29" t="n">
        <v>45075</v>
      </c>
      <c r="C90" s="21" t="s">
        <v>1251</v>
      </c>
      <c r="D90" s="21" t="s">
        <v>24</v>
      </c>
      <c r="E90" s="21" t="s">
        <v>34</v>
      </c>
      <c r="F90" s="21" t="s">
        <v>874</v>
      </c>
      <c r="G90" s="30"/>
      <c r="H90" s="30"/>
      <c r="I90" s="31"/>
      <c r="J90" s="21"/>
      <c r="K90" s="21"/>
      <c r="L90" s="21"/>
      <c r="M90" s="21"/>
      <c r="N90" s="21"/>
      <c r="O90" s="30"/>
      <c r="P90" s="21"/>
      <c r="Q90" s="21"/>
      <c r="R90" s="21"/>
      <c r="S90" s="32"/>
      <c r="T90" s="32"/>
      <c r="U90" s="21"/>
      <c r="V90" s="21"/>
      <c r="W90" s="21"/>
      <c r="X90" s="21"/>
      <c r="Y90" s="21" t="s">
        <v>28</v>
      </c>
    </row>
    <row r="91" customFormat="false" ht="15.75" hidden="false" customHeight="false" outlineLevel="0" collapsed="false">
      <c r="A91" s="21" t="n">
        <v>7282</v>
      </c>
      <c r="B91" s="29" t="n">
        <v>45075</v>
      </c>
      <c r="C91" s="21" t="s">
        <v>1251</v>
      </c>
      <c r="D91" s="21" t="s">
        <v>24</v>
      </c>
      <c r="E91" s="21" t="s">
        <v>34</v>
      </c>
      <c r="F91" s="21" t="s">
        <v>874</v>
      </c>
      <c r="G91" s="30"/>
      <c r="H91" s="30"/>
      <c r="I91" s="31"/>
      <c r="J91" s="21"/>
      <c r="K91" s="21"/>
      <c r="L91" s="21"/>
      <c r="M91" s="21"/>
      <c r="N91" s="21"/>
      <c r="O91" s="30"/>
      <c r="P91" s="21"/>
      <c r="Q91" s="21"/>
      <c r="R91" s="21"/>
      <c r="S91" s="32"/>
      <c r="T91" s="32"/>
      <c r="U91" s="21"/>
      <c r="V91" s="21"/>
      <c r="W91" s="21"/>
      <c r="X91" s="21"/>
      <c r="Y91" s="21" t="s">
        <v>28</v>
      </c>
    </row>
    <row r="92" customFormat="false" ht="15.75" hidden="false" customHeight="false" outlineLevel="0" collapsed="false">
      <c r="A92" s="21" t="n">
        <v>7283</v>
      </c>
      <c r="B92" s="29" t="n">
        <v>45070</v>
      </c>
      <c r="C92" s="21" t="s">
        <v>1666</v>
      </c>
      <c r="D92" s="21" t="s">
        <v>24</v>
      </c>
      <c r="E92" s="21" t="s">
        <v>25</v>
      </c>
      <c r="F92" s="21" t="s">
        <v>1921</v>
      </c>
      <c r="G92" s="30"/>
      <c r="H92" s="30"/>
      <c r="I92" s="45" t="str">
        <f aca="false">HYPERLINK("https://photos.app.goo.gl/HVCH2PFKCi8NNtzd9", "Completo")</f>
        <v>Completo</v>
      </c>
      <c r="J92" s="21" t="s">
        <v>28</v>
      </c>
      <c r="K92" s="21" t="s">
        <v>29</v>
      </c>
      <c r="L92" s="21" t="s">
        <v>29</v>
      </c>
      <c r="M92" s="21" t="n">
        <v>407441</v>
      </c>
      <c r="N92" s="21"/>
      <c r="O92" s="30"/>
      <c r="P92" s="21"/>
      <c r="Q92" s="21"/>
      <c r="R92" s="21"/>
      <c r="S92" s="32"/>
      <c r="T92" s="32"/>
      <c r="U92" s="21"/>
      <c r="V92" s="21"/>
      <c r="W92" s="21"/>
      <c r="X92" s="21"/>
      <c r="Y92" s="21" t="s">
        <v>28</v>
      </c>
    </row>
    <row r="93" customFormat="false" ht="15.75" hidden="false" customHeight="false" outlineLevel="0" collapsed="false">
      <c r="A93" s="21" t="n">
        <v>7284</v>
      </c>
      <c r="B93" s="29" t="n">
        <v>45070</v>
      </c>
      <c r="C93" s="21" t="s">
        <v>357</v>
      </c>
      <c r="D93" s="21" t="s">
        <v>24</v>
      </c>
      <c r="E93" s="21" t="s">
        <v>25</v>
      </c>
      <c r="F93" s="21" t="s">
        <v>1922</v>
      </c>
      <c r="G93" s="30"/>
      <c r="H93" s="30"/>
      <c r="I93" s="31" t="s">
        <v>28</v>
      </c>
      <c r="J93" s="21" t="s">
        <v>28</v>
      </c>
      <c r="K93" s="21" t="s">
        <v>29</v>
      </c>
      <c r="L93" s="21" t="s">
        <v>29</v>
      </c>
      <c r="M93" s="21" t="n">
        <v>3350</v>
      </c>
      <c r="N93" s="21"/>
      <c r="O93" s="30"/>
      <c r="P93" s="21"/>
      <c r="Q93" s="21"/>
      <c r="R93" s="21"/>
      <c r="S93" s="32"/>
      <c r="T93" s="32"/>
      <c r="U93" s="21"/>
      <c r="V93" s="21"/>
      <c r="W93" s="21"/>
      <c r="X93" s="21"/>
      <c r="Y93" s="21" t="s">
        <v>37</v>
      </c>
    </row>
    <row r="94" customFormat="false" ht="15.75" hidden="false" customHeight="false" outlineLevel="0" collapsed="false">
      <c r="A94" s="21" t="n">
        <v>7285</v>
      </c>
      <c r="B94" s="29" t="n">
        <v>45070</v>
      </c>
      <c r="C94" s="21" t="s">
        <v>776</v>
      </c>
      <c r="D94" s="21" t="s">
        <v>24</v>
      </c>
      <c r="E94" s="21" t="s">
        <v>25</v>
      </c>
      <c r="F94" s="21" t="s">
        <v>1923</v>
      </c>
      <c r="G94" s="30"/>
      <c r="H94" s="30"/>
      <c r="I94" s="45" t="str">
        <f aca="false">HYPERLINK("https://photos.app.goo.gl/XCdNt9eDPjH1ahaS8", "Completo")</f>
        <v>Completo</v>
      </c>
      <c r="J94" s="21" t="s">
        <v>28</v>
      </c>
      <c r="K94" s="21" t="s">
        <v>29</v>
      </c>
      <c r="L94" s="21" t="s">
        <v>29</v>
      </c>
      <c r="M94" s="21" t="s">
        <v>29</v>
      </c>
      <c r="N94" s="21"/>
      <c r="O94" s="30"/>
      <c r="P94" s="21"/>
      <c r="Q94" s="21"/>
      <c r="R94" s="21"/>
      <c r="S94" s="32"/>
      <c r="T94" s="32"/>
      <c r="U94" s="21"/>
      <c r="V94" s="21"/>
      <c r="W94" s="21"/>
      <c r="X94" s="21"/>
      <c r="Y94" s="21" t="s">
        <v>28</v>
      </c>
    </row>
    <row r="95" customFormat="false" ht="15.75" hidden="false" customHeight="false" outlineLevel="0" collapsed="false">
      <c r="A95" s="21" t="n">
        <v>7286</v>
      </c>
      <c r="B95" s="29" t="n">
        <v>45070</v>
      </c>
      <c r="C95" s="21" t="s">
        <v>776</v>
      </c>
      <c r="D95" s="21" t="s">
        <v>24</v>
      </c>
      <c r="E95" s="21" t="s">
        <v>25</v>
      </c>
      <c r="F95" s="21" t="s">
        <v>1924</v>
      </c>
      <c r="G95" s="30"/>
      <c r="H95" s="30"/>
      <c r="I95" s="45" t="str">
        <f aca="false">HYPERLINK("https://photos.app.goo.gl/TnU5QjGUznETKN3C9", "Completo")</f>
        <v>Completo</v>
      </c>
      <c r="J95" s="21" t="s">
        <v>28</v>
      </c>
      <c r="K95" s="21" t="s">
        <v>29</v>
      </c>
      <c r="L95" s="21" t="s">
        <v>29</v>
      </c>
      <c r="M95" s="21" t="s">
        <v>29</v>
      </c>
      <c r="N95" s="21"/>
      <c r="O95" s="30"/>
      <c r="P95" s="21"/>
      <c r="Q95" s="21"/>
      <c r="R95" s="21"/>
      <c r="S95" s="32"/>
      <c r="T95" s="32"/>
      <c r="U95" s="21"/>
      <c r="V95" s="21"/>
      <c r="W95" s="21"/>
      <c r="X95" s="21"/>
      <c r="Y95" s="21" t="s">
        <v>28</v>
      </c>
    </row>
    <row r="96" customFormat="false" ht="15.75" hidden="false" customHeight="false" outlineLevel="0" collapsed="false">
      <c r="A96" s="21" t="n">
        <v>7287</v>
      </c>
      <c r="B96" s="29" t="n">
        <v>45075</v>
      </c>
      <c r="C96" s="21" t="s">
        <v>389</v>
      </c>
      <c r="D96" s="21" t="s">
        <v>24</v>
      </c>
      <c r="E96" s="21" t="s">
        <v>25</v>
      </c>
      <c r="F96" s="21" t="s">
        <v>1925</v>
      </c>
      <c r="G96" s="30"/>
      <c r="H96" s="30"/>
      <c r="I96" s="31" t="s">
        <v>28</v>
      </c>
      <c r="J96" s="21" t="s">
        <v>28</v>
      </c>
      <c r="K96" s="21"/>
      <c r="L96" s="21"/>
      <c r="M96" s="21" t="s">
        <v>1926</v>
      </c>
      <c r="N96" s="21"/>
      <c r="O96" s="30"/>
      <c r="P96" s="21"/>
      <c r="Q96" s="21"/>
      <c r="R96" s="21"/>
      <c r="S96" s="32"/>
      <c r="T96" s="32"/>
      <c r="U96" s="21"/>
      <c r="V96" s="21"/>
      <c r="W96" s="21"/>
      <c r="X96" s="21"/>
      <c r="Y96" s="21" t="s">
        <v>28</v>
      </c>
    </row>
    <row r="97" customFormat="false" ht="15.75" hidden="false" customHeight="false" outlineLevel="0" collapsed="false">
      <c r="A97" s="21" t="n">
        <v>7288</v>
      </c>
      <c r="B97" s="29" t="n">
        <v>45075</v>
      </c>
      <c r="C97" s="21" t="s">
        <v>389</v>
      </c>
      <c r="D97" s="21" t="s">
        <v>24</v>
      </c>
      <c r="E97" s="21" t="s">
        <v>25</v>
      </c>
      <c r="F97" s="55" t="s">
        <v>1927</v>
      </c>
      <c r="G97" s="30"/>
      <c r="H97" s="30"/>
      <c r="I97" s="31" t="s">
        <v>28</v>
      </c>
      <c r="J97" s="21" t="s">
        <v>28</v>
      </c>
      <c r="K97" s="21" t="s">
        <v>1928</v>
      </c>
      <c r="L97" s="21"/>
      <c r="M97" s="21"/>
      <c r="N97" s="21" t="s">
        <v>1929</v>
      </c>
      <c r="O97" s="30"/>
      <c r="P97" s="21"/>
      <c r="Q97" s="21"/>
      <c r="R97" s="21"/>
      <c r="S97" s="32"/>
      <c r="T97" s="32"/>
      <c r="U97" s="21"/>
      <c r="V97" s="21"/>
      <c r="W97" s="21"/>
      <c r="X97" s="21"/>
      <c r="Y97" s="21" t="s">
        <v>37</v>
      </c>
    </row>
    <row r="98" customFormat="false" ht="15.75" hidden="false" customHeight="false" outlineLevel="0" collapsed="false">
      <c r="A98" s="21" t="n">
        <v>7289</v>
      </c>
      <c r="B98" s="29" t="n">
        <v>45075</v>
      </c>
      <c r="C98" s="21" t="s">
        <v>841</v>
      </c>
      <c r="D98" s="21" t="s">
        <v>24</v>
      </c>
      <c r="E98" s="21" t="s">
        <v>34</v>
      </c>
      <c r="F98" s="21" t="s">
        <v>1930</v>
      </c>
      <c r="G98" s="30"/>
      <c r="H98" s="30"/>
      <c r="I98" s="31"/>
      <c r="J98" s="21"/>
      <c r="K98" s="21"/>
      <c r="L98" s="21"/>
      <c r="M98" s="21"/>
      <c r="N98" s="21"/>
      <c r="O98" s="30"/>
      <c r="P98" s="21"/>
      <c r="Q98" s="21"/>
      <c r="R98" s="21"/>
      <c r="S98" s="32"/>
      <c r="T98" s="32"/>
      <c r="U98" s="21"/>
      <c r="V98" s="21"/>
      <c r="W98" s="21"/>
      <c r="X98" s="21"/>
      <c r="Y98" s="21" t="s">
        <v>28</v>
      </c>
    </row>
    <row r="99" customFormat="false" ht="15.75" hidden="false" customHeight="false" outlineLevel="0" collapsed="false">
      <c r="A99" s="21" t="n">
        <v>7290</v>
      </c>
      <c r="B99" s="29" t="n">
        <v>45077</v>
      </c>
      <c r="C99" s="21" t="s">
        <v>112</v>
      </c>
      <c r="D99" s="21" t="s">
        <v>24</v>
      </c>
      <c r="E99" s="21" t="s">
        <v>34</v>
      </c>
      <c r="F99" s="21" t="s">
        <v>1931</v>
      </c>
      <c r="G99" s="30"/>
      <c r="H99" s="30"/>
      <c r="I99" s="31"/>
      <c r="J99" s="21"/>
      <c r="K99" s="21"/>
      <c r="L99" s="21"/>
      <c r="M99" s="21"/>
      <c r="N99" s="21"/>
      <c r="O99" s="30"/>
      <c r="P99" s="21"/>
      <c r="Q99" s="21"/>
      <c r="R99" s="21"/>
      <c r="S99" s="32"/>
      <c r="T99" s="32"/>
      <c r="U99" s="21"/>
      <c r="V99" s="21"/>
      <c r="W99" s="21"/>
      <c r="X99" s="21"/>
      <c r="Y99" s="21" t="s">
        <v>28</v>
      </c>
    </row>
    <row r="100" customFormat="false" ht="15.75" hidden="false" customHeight="false" outlineLevel="0" collapsed="false">
      <c r="A100" s="21" t="n">
        <v>7291</v>
      </c>
      <c r="B100" s="29" t="n">
        <v>45077</v>
      </c>
      <c r="C100" s="21" t="s">
        <v>716</v>
      </c>
      <c r="D100" s="21" t="s">
        <v>24</v>
      </c>
      <c r="E100" s="21" t="s">
        <v>34</v>
      </c>
      <c r="F100" s="21" t="s">
        <v>1932</v>
      </c>
      <c r="G100" s="30"/>
      <c r="H100" s="30"/>
      <c r="I100" s="31"/>
      <c r="J100" s="21"/>
      <c r="K100" s="21"/>
      <c r="L100" s="21"/>
      <c r="M100" s="21"/>
      <c r="N100" s="21"/>
      <c r="O100" s="30"/>
      <c r="P100" s="21"/>
      <c r="Q100" s="21"/>
      <c r="R100" s="21"/>
      <c r="S100" s="32"/>
      <c r="T100" s="32"/>
      <c r="U100" s="21"/>
      <c r="V100" s="21"/>
      <c r="W100" s="21"/>
      <c r="X100" s="21"/>
      <c r="Y100" s="21" t="s">
        <v>28</v>
      </c>
    </row>
    <row r="101" customFormat="false" ht="15.75" hidden="false" customHeight="false" outlineLevel="0" collapsed="false">
      <c r="A101" s="61" t="n">
        <v>7293</v>
      </c>
      <c r="B101" s="29" t="n">
        <v>45058</v>
      </c>
      <c r="C101" s="21" t="s">
        <v>1845</v>
      </c>
      <c r="D101" s="21" t="s">
        <v>24</v>
      </c>
      <c r="E101" s="21" t="s">
        <v>25</v>
      </c>
      <c r="F101" s="21" t="s">
        <v>1933</v>
      </c>
      <c r="G101" s="30"/>
      <c r="H101" s="30"/>
      <c r="I101" s="31"/>
      <c r="J101" s="21"/>
      <c r="K101" s="21"/>
      <c r="L101" s="21"/>
      <c r="M101" s="21"/>
      <c r="N101" s="21"/>
      <c r="O101" s="30"/>
      <c r="P101" s="21"/>
      <c r="Q101" s="21"/>
      <c r="R101" s="21"/>
      <c r="S101" s="32"/>
      <c r="T101" s="32"/>
      <c r="U101" s="21"/>
      <c r="V101" s="21"/>
      <c r="W101" s="21"/>
      <c r="X101" s="21"/>
      <c r="Y101" s="21" t="s">
        <v>28</v>
      </c>
    </row>
    <row r="102" customFormat="false" ht="15.75" hidden="false" customHeight="false" outlineLevel="0" collapsed="false">
      <c r="A102" s="47" t="n">
        <v>1711195</v>
      </c>
      <c r="B102" s="29"/>
      <c r="C102" s="21" t="s">
        <v>1934</v>
      </c>
      <c r="D102" s="21" t="s">
        <v>290</v>
      </c>
      <c r="E102" s="21" t="s">
        <v>34</v>
      </c>
      <c r="F102" s="21" t="s">
        <v>1935</v>
      </c>
      <c r="G102" s="30"/>
      <c r="H102" s="30"/>
      <c r="I102" s="31"/>
      <c r="J102" s="21"/>
      <c r="K102" s="21"/>
      <c r="L102" s="21"/>
      <c r="M102" s="21"/>
      <c r="N102" s="21"/>
      <c r="O102" s="30"/>
      <c r="P102" s="21"/>
      <c r="Q102" s="21"/>
      <c r="R102" s="21"/>
      <c r="S102" s="32"/>
      <c r="T102" s="32"/>
      <c r="U102" s="21"/>
      <c r="V102" s="21"/>
      <c r="W102" s="21"/>
      <c r="X102" s="21"/>
      <c r="Y102" s="21" t="s">
        <v>28</v>
      </c>
    </row>
    <row r="103" customFormat="false" ht="15.75" hidden="false" customHeight="false" outlineLevel="0" collapsed="false">
      <c r="A103" s="21"/>
      <c r="B103" s="29"/>
      <c r="C103" s="21"/>
      <c r="D103" s="21"/>
      <c r="E103" s="21"/>
      <c r="F103" s="21"/>
      <c r="G103" s="30"/>
      <c r="H103" s="30"/>
      <c r="I103" s="31"/>
      <c r="J103" s="21"/>
      <c r="K103" s="21"/>
      <c r="L103" s="21"/>
      <c r="M103" s="21"/>
      <c r="N103" s="21"/>
      <c r="O103" s="30"/>
      <c r="P103" s="21"/>
      <c r="Q103" s="21"/>
      <c r="R103" s="21"/>
      <c r="S103" s="32"/>
      <c r="T103" s="32"/>
      <c r="U103" s="21"/>
      <c r="V103" s="21"/>
      <c r="W103" s="21"/>
      <c r="X103" s="21"/>
      <c r="Y103" s="21"/>
    </row>
    <row r="104" customFormat="false" ht="15.75" hidden="false" customHeight="false" outlineLevel="0" collapsed="false">
      <c r="A104" s="21"/>
      <c r="B104" s="29"/>
      <c r="C104" s="21"/>
      <c r="D104" s="21"/>
      <c r="E104" s="21"/>
      <c r="F104" s="21"/>
      <c r="G104" s="30"/>
      <c r="H104" s="30"/>
      <c r="I104" s="31"/>
      <c r="J104" s="21"/>
      <c r="K104" s="21"/>
      <c r="L104" s="21"/>
      <c r="M104" s="21"/>
      <c r="N104" s="21"/>
      <c r="O104" s="30"/>
      <c r="P104" s="21"/>
      <c r="Q104" s="21"/>
      <c r="R104" s="21"/>
      <c r="S104" s="32"/>
      <c r="T104" s="32"/>
      <c r="U104" s="21"/>
      <c r="V104" s="21"/>
      <c r="W104" s="21"/>
      <c r="X104" s="21"/>
      <c r="Y104" s="21"/>
    </row>
    <row r="105" customFormat="false" ht="15.75" hidden="false" customHeight="false" outlineLevel="0" collapsed="false">
      <c r="A105" s="21"/>
      <c r="B105" s="29"/>
      <c r="C105" s="21"/>
      <c r="D105" s="21"/>
      <c r="E105" s="21"/>
      <c r="F105" s="21"/>
      <c r="G105" s="30"/>
      <c r="H105" s="30"/>
      <c r="I105" s="31"/>
      <c r="J105" s="21"/>
      <c r="K105" s="21"/>
      <c r="L105" s="21"/>
      <c r="M105" s="21"/>
      <c r="N105" s="21"/>
      <c r="O105" s="30"/>
      <c r="P105" s="21"/>
      <c r="Q105" s="21"/>
      <c r="R105" s="21"/>
      <c r="S105" s="32"/>
      <c r="T105" s="32"/>
      <c r="U105" s="21"/>
      <c r="V105" s="21"/>
      <c r="W105" s="21"/>
      <c r="X105" s="21"/>
      <c r="Y105" s="21"/>
    </row>
    <row r="106" customFormat="false" ht="15.75" hidden="false" customHeight="false" outlineLevel="0" collapsed="false">
      <c r="A106" s="21"/>
      <c r="B106" s="29"/>
      <c r="C106" s="21"/>
      <c r="D106" s="21"/>
      <c r="E106" s="21"/>
      <c r="F106" s="21"/>
      <c r="G106" s="30"/>
      <c r="H106" s="30"/>
      <c r="I106" s="31"/>
      <c r="J106" s="21"/>
      <c r="K106" s="21"/>
      <c r="L106" s="21"/>
      <c r="M106" s="21"/>
      <c r="N106" s="21"/>
      <c r="O106" s="30"/>
      <c r="P106" s="21"/>
      <c r="Q106" s="21"/>
      <c r="R106" s="21"/>
      <c r="S106" s="32"/>
      <c r="T106" s="32"/>
      <c r="U106" s="21"/>
      <c r="V106" s="21"/>
      <c r="W106" s="21"/>
      <c r="X106" s="21"/>
      <c r="Y106" s="21"/>
    </row>
    <row r="107" customFormat="false" ht="15.75" hidden="false" customHeight="false" outlineLevel="0" collapsed="false">
      <c r="A107" s="21"/>
      <c r="B107" s="29"/>
      <c r="C107" s="21"/>
      <c r="D107" s="21"/>
      <c r="E107" s="21"/>
      <c r="F107" s="21"/>
      <c r="G107" s="30"/>
      <c r="H107" s="30"/>
      <c r="I107" s="31"/>
      <c r="J107" s="21"/>
      <c r="K107" s="21"/>
      <c r="L107" s="21"/>
      <c r="M107" s="21"/>
      <c r="N107" s="21"/>
      <c r="O107" s="30"/>
      <c r="P107" s="21"/>
      <c r="Q107" s="21"/>
      <c r="R107" s="21"/>
      <c r="S107" s="32"/>
      <c r="T107" s="32"/>
      <c r="U107" s="21"/>
      <c r="V107" s="21"/>
      <c r="W107" s="21"/>
      <c r="X107" s="21"/>
      <c r="Y107" s="21"/>
    </row>
    <row r="108" customFormat="false" ht="15.75" hidden="false" customHeight="false" outlineLevel="0" collapsed="false">
      <c r="A108" s="12"/>
      <c r="B108" s="34"/>
      <c r="C108" s="12"/>
      <c r="D108" s="12"/>
      <c r="E108" s="12"/>
      <c r="F108" s="12"/>
      <c r="G108" s="18"/>
      <c r="H108" s="18"/>
      <c r="I108" s="35"/>
      <c r="J108" s="12"/>
      <c r="N108" s="12"/>
      <c r="O108" s="18"/>
      <c r="P108" s="12"/>
      <c r="Q108" s="12"/>
      <c r="R108" s="12"/>
      <c r="S108" s="36"/>
      <c r="T108" s="36"/>
      <c r="U108" s="12"/>
      <c r="V108" s="12"/>
      <c r="W108" s="12"/>
      <c r="X108" s="12"/>
      <c r="Y108" s="12"/>
    </row>
    <row r="109" customFormat="false" ht="15.75" hidden="false" customHeight="false" outlineLevel="0" collapsed="false">
      <c r="A109" s="12"/>
      <c r="B109" s="34"/>
      <c r="C109" s="12"/>
      <c r="D109" s="12"/>
      <c r="E109" s="12"/>
      <c r="F109" s="12"/>
      <c r="G109" s="18"/>
      <c r="H109" s="18"/>
      <c r="I109" s="35"/>
      <c r="J109" s="12"/>
      <c r="N109" s="12"/>
      <c r="O109" s="18"/>
      <c r="P109" s="12"/>
      <c r="Q109" s="12"/>
      <c r="R109" s="12"/>
      <c r="S109" s="36"/>
      <c r="T109" s="36"/>
      <c r="U109" s="12"/>
      <c r="V109" s="12"/>
      <c r="W109" s="12"/>
      <c r="X109" s="12"/>
      <c r="Y109" s="12"/>
    </row>
    <row r="110" customFormat="false" ht="15.75" hidden="false" customHeight="false" outlineLevel="0" collapsed="false">
      <c r="A110" s="12"/>
      <c r="B110" s="34"/>
      <c r="C110" s="12"/>
      <c r="D110" s="12"/>
      <c r="E110" s="12"/>
      <c r="F110" s="12"/>
      <c r="G110" s="18"/>
      <c r="H110" s="18"/>
      <c r="I110" s="35"/>
      <c r="J110" s="12"/>
      <c r="N110" s="12"/>
      <c r="O110" s="18"/>
      <c r="P110" s="12"/>
      <c r="Q110" s="12"/>
      <c r="R110" s="12"/>
      <c r="S110" s="36"/>
      <c r="T110" s="36"/>
      <c r="U110" s="12"/>
      <c r="V110" s="12"/>
      <c r="W110" s="12"/>
      <c r="X110" s="12"/>
      <c r="Y110" s="12"/>
    </row>
    <row r="111" customFormat="false" ht="15.75" hidden="false" customHeight="false" outlineLevel="0" collapsed="false">
      <c r="A111" s="12"/>
      <c r="B111" s="34"/>
      <c r="C111" s="12"/>
      <c r="D111" s="12"/>
      <c r="E111" s="12"/>
      <c r="F111" s="12"/>
      <c r="G111" s="18"/>
      <c r="H111" s="18"/>
      <c r="I111" s="35"/>
      <c r="J111" s="12"/>
      <c r="N111" s="12"/>
      <c r="O111" s="18"/>
      <c r="P111" s="12"/>
      <c r="Q111" s="12"/>
      <c r="R111" s="12"/>
      <c r="S111" s="36"/>
      <c r="T111" s="36"/>
      <c r="U111" s="12"/>
      <c r="V111" s="12"/>
      <c r="W111" s="12"/>
      <c r="X111" s="12"/>
      <c r="Y111" s="12"/>
    </row>
    <row r="112" customFormat="false" ht="15.75" hidden="false" customHeight="false" outlineLevel="0" collapsed="false">
      <c r="A112" s="12"/>
      <c r="B112" s="34"/>
      <c r="C112" s="12"/>
      <c r="D112" s="12"/>
      <c r="E112" s="12"/>
      <c r="F112" s="12"/>
      <c r="G112" s="18"/>
      <c r="H112" s="18"/>
      <c r="I112" s="35"/>
      <c r="J112" s="12"/>
      <c r="N112" s="12"/>
      <c r="O112" s="18"/>
      <c r="P112" s="12"/>
      <c r="Q112" s="12"/>
      <c r="R112" s="12"/>
      <c r="S112" s="36"/>
      <c r="T112" s="36"/>
      <c r="U112" s="12"/>
      <c r="V112" s="12"/>
      <c r="W112" s="12"/>
      <c r="X112" s="12"/>
      <c r="Y112" s="12"/>
    </row>
    <row r="113" customFormat="false" ht="15.75" hidden="false" customHeight="false" outlineLevel="0" collapsed="false">
      <c r="A113" s="12"/>
      <c r="B113" s="34"/>
      <c r="C113" s="12"/>
      <c r="D113" s="12"/>
      <c r="E113" s="12"/>
      <c r="F113" s="12"/>
      <c r="G113" s="18"/>
      <c r="H113" s="18"/>
      <c r="I113" s="35"/>
      <c r="J113" s="12"/>
      <c r="N113" s="12"/>
      <c r="O113" s="18"/>
      <c r="P113" s="12"/>
      <c r="Q113" s="12"/>
      <c r="R113" s="12"/>
      <c r="S113" s="36"/>
      <c r="T113" s="36"/>
      <c r="U113" s="12"/>
      <c r="V113" s="12"/>
      <c r="W113" s="12"/>
      <c r="X113" s="12"/>
      <c r="Y113" s="12"/>
    </row>
    <row r="114" customFormat="false" ht="15.75" hidden="false" customHeight="false" outlineLevel="0" collapsed="false">
      <c r="A114" s="12"/>
      <c r="B114" s="34"/>
      <c r="C114" s="12"/>
      <c r="D114" s="12"/>
      <c r="E114" s="12"/>
      <c r="F114" s="12"/>
      <c r="G114" s="18"/>
      <c r="H114" s="18"/>
      <c r="I114" s="35"/>
      <c r="J114" s="12"/>
      <c r="N114" s="12"/>
      <c r="O114" s="18"/>
      <c r="P114" s="12"/>
      <c r="Q114" s="12"/>
      <c r="R114" s="12"/>
      <c r="S114" s="36"/>
      <c r="T114" s="36"/>
      <c r="U114" s="12"/>
      <c r="V114" s="12"/>
      <c r="W114" s="12"/>
      <c r="X114" s="12"/>
      <c r="Y114" s="12"/>
    </row>
    <row r="115" customFormat="false" ht="15.75" hidden="false" customHeight="false" outlineLevel="0" collapsed="false">
      <c r="A115" s="12"/>
      <c r="B115" s="34"/>
      <c r="C115" s="12"/>
      <c r="D115" s="12"/>
      <c r="E115" s="12"/>
      <c r="F115" s="12"/>
      <c r="G115" s="18"/>
      <c r="H115" s="18"/>
      <c r="I115" s="35"/>
      <c r="J115" s="12"/>
      <c r="N115" s="12"/>
      <c r="O115" s="18"/>
      <c r="P115" s="12"/>
      <c r="Q115" s="12"/>
      <c r="R115" s="12"/>
      <c r="S115" s="36"/>
      <c r="T115" s="36"/>
      <c r="U115" s="12"/>
      <c r="V115" s="12"/>
      <c r="W115" s="12"/>
      <c r="X115" s="12"/>
      <c r="Y115" s="12"/>
    </row>
    <row r="116" customFormat="false" ht="15.75" hidden="false" customHeight="false" outlineLevel="0" collapsed="false">
      <c r="A116" s="12"/>
      <c r="B116" s="34"/>
      <c r="C116" s="12"/>
      <c r="D116" s="12"/>
      <c r="E116" s="12"/>
      <c r="F116" s="12"/>
      <c r="G116" s="18"/>
      <c r="H116" s="18"/>
      <c r="I116" s="35"/>
      <c r="J116" s="12"/>
      <c r="N116" s="12"/>
      <c r="O116" s="18"/>
      <c r="P116" s="12"/>
      <c r="Q116" s="12"/>
      <c r="R116" s="12"/>
      <c r="S116" s="36"/>
      <c r="T116" s="36"/>
      <c r="U116" s="12"/>
      <c r="V116" s="12"/>
      <c r="W116" s="12"/>
      <c r="X116" s="12"/>
      <c r="Y116" s="12"/>
    </row>
    <row r="117" customFormat="false" ht="15.75" hidden="false" customHeight="false" outlineLevel="0" collapsed="false">
      <c r="A117" s="12"/>
      <c r="B117" s="34"/>
      <c r="C117" s="12"/>
      <c r="D117" s="12"/>
      <c r="E117" s="12"/>
      <c r="F117" s="12"/>
      <c r="G117" s="18"/>
      <c r="H117" s="18"/>
      <c r="I117" s="35"/>
      <c r="J117" s="12"/>
      <c r="N117" s="12"/>
      <c r="O117" s="18"/>
      <c r="P117" s="12"/>
      <c r="Q117" s="12"/>
      <c r="R117" s="12"/>
      <c r="S117" s="36"/>
      <c r="T117" s="36"/>
      <c r="U117" s="12"/>
      <c r="V117" s="12"/>
      <c r="W117" s="12"/>
      <c r="X117" s="12"/>
      <c r="Y117" s="12"/>
    </row>
    <row r="118" customFormat="false" ht="15.75" hidden="false" customHeight="false" outlineLevel="0" collapsed="false">
      <c r="A118" s="12"/>
      <c r="B118" s="34"/>
      <c r="C118" s="12"/>
      <c r="D118" s="12"/>
      <c r="E118" s="12"/>
      <c r="F118" s="12"/>
      <c r="G118" s="18"/>
      <c r="H118" s="18"/>
      <c r="I118" s="35"/>
      <c r="J118" s="12"/>
      <c r="N118" s="12"/>
      <c r="O118" s="18"/>
      <c r="P118" s="12"/>
      <c r="Q118" s="12"/>
      <c r="R118" s="12"/>
      <c r="S118" s="36"/>
      <c r="T118" s="36"/>
      <c r="U118" s="12"/>
      <c r="V118" s="12"/>
      <c r="W118" s="12"/>
      <c r="X118" s="12"/>
      <c r="Y118" s="12"/>
    </row>
    <row r="119" customFormat="false" ht="15.75" hidden="false" customHeight="false" outlineLevel="0" collapsed="false">
      <c r="A119" s="12"/>
      <c r="B119" s="34"/>
      <c r="C119" s="12"/>
      <c r="D119" s="12"/>
      <c r="E119" s="12"/>
      <c r="F119" s="12"/>
      <c r="G119" s="18"/>
      <c r="H119" s="18"/>
      <c r="I119" s="35"/>
      <c r="J119" s="12"/>
      <c r="N119" s="12"/>
      <c r="O119" s="18"/>
      <c r="P119" s="12"/>
      <c r="Q119" s="12"/>
      <c r="R119" s="12"/>
      <c r="S119" s="36"/>
      <c r="T119" s="36"/>
      <c r="U119" s="12"/>
      <c r="V119" s="12"/>
      <c r="W119" s="12"/>
      <c r="X119" s="12"/>
      <c r="Y119" s="12"/>
    </row>
    <row r="120" customFormat="false" ht="15.75" hidden="false" customHeight="false" outlineLevel="0" collapsed="false">
      <c r="A120" s="12"/>
      <c r="B120" s="34"/>
      <c r="C120" s="12"/>
      <c r="D120" s="12"/>
      <c r="E120" s="12"/>
      <c r="F120" s="12"/>
      <c r="G120" s="18"/>
      <c r="H120" s="18"/>
      <c r="I120" s="35"/>
      <c r="J120" s="12"/>
      <c r="N120" s="12"/>
      <c r="O120" s="18"/>
      <c r="P120" s="12"/>
      <c r="Q120" s="12"/>
      <c r="R120" s="12"/>
      <c r="S120" s="36"/>
      <c r="T120" s="36"/>
      <c r="U120" s="12"/>
      <c r="V120" s="12"/>
      <c r="W120" s="12"/>
      <c r="X120" s="12"/>
      <c r="Y120" s="12"/>
    </row>
    <row r="121" customFormat="false" ht="15.75" hidden="false" customHeight="false" outlineLevel="0" collapsed="false">
      <c r="A121" s="12"/>
      <c r="B121" s="34"/>
      <c r="C121" s="12"/>
      <c r="D121" s="12"/>
      <c r="E121" s="12"/>
      <c r="F121" s="12"/>
      <c r="G121" s="18"/>
      <c r="H121" s="18"/>
      <c r="I121" s="35"/>
      <c r="J121" s="12"/>
      <c r="N121" s="12"/>
      <c r="O121" s="18"/>
      <c r="P121" s="12"/>
      <c r="Q121" s="12"/>
      <c r="R121" s="12"/>
      <c r="S121" s="36"/>
      <c r="T121" s="36"/>
      <c r="U121" s="12"/>
      <c r="V121" s="12"/>
      <c r="W121" s="12"/>
      <c r="X121" s="12"/>
      <c r="Y121" s="12"/>
    </row>
    <row r="122" customFormat="false" ht="15.75" hidden="false" customHeight="false" outlineLevel="0" collapsed="false">
      <c r="A122" s="12"/>
      <c r="B122" s="34"/>
      <c r="C122" s="12"/>
      <c r="D122" s="12"/>
      <c r="E122" s="12"/>
      <c r="F122" s="12"/>
      <c r="G122" s="18"/>
      <c r="H122" s="18"/>
      <c r="I122" s="35"/>
      <c r="J122" s="12"/>
      <c r="N122" s="12"/>
      <c r="O122" s="18"/>
      <c r="P122" s="12"/>
      <c r="Q122" s="12"/>
      <c r="R122" s="12"/>
      <c r="S122" s="36"/>
      <c r="T122" s="36"/>
      <c r="U122" s="12"/>
      <c r="V122" s="12"/>
      <c r="W122" s="12"/>
      <c r="X122" s="12"/>
      <c r="Y122" s="12"/>
    </row>
    <row r="123" customFormat="false" ht="15.75" hidden="false" customHeight="false" outlineLevel="0" collapsed="false">
      <c r="A123" s="12"/>
      <c r="B123" s="34"/>
      <c r="C123" s="12"/>
      <c r="D123" s="12"/>
      <c r="E123" s="12"/>
      <c r="F123" s="12"/>
      <c r="G123" s="18"/>
      <c r="H123" s="18"/>
      <c r="I123" s="35"/>
      <c r="J123" s="12"/>
      <c r="N123" s="12"/>
      <c r="O123" s="18"/>
      <c r="P123" s="12"/>
      <c r="Q123" s="12"/>
      <c r="R123" s="12"/>
      <c r="S123" s="36"/>
      <c r="T123" s="36"/>
      <c r="U123" s="12"/>
      <c r="V123" s="12"/>
      <c r="W123" s="12"/>
      <c r="X123" s="12"/>
      <c r="Y123" s="12"/>
    </row>
    <row r="124" customFormat="false" ht="15.75" hidden="false" customHeight="false" outlineLevel="0" collapsed="false">
      <c r="A124" s="12"/>
      <c r="B124" s="34"/>
      <c r="C124" s="12"/>
      <c r="D124" s="12"/>
      <c r="E124" s="12"/>
      <c r="F124" s="12"/>
      <c r="G124" s="18"/>
      <c r="H124" s="18"/>
      <c r="I124" s="35"/>
      <c r="J124" s="12"/>
      <c r="N124" s="12"/>
      <c r="O124" s="18"/>
      <c r="P124" s="12"/>
      <c r="Q124" s="12"/>
      <c r="R124" s="12"/>
      <c r="S124" s="36"/>
      <c r="T124" s="36"/>
      <c r="U124" s="12"/>
      <c r="V124" s="12"/>
      <c r="W124" s="12"/>
      <c r="X124" s="12"/>
      <c r="Y124" s="12"/>
    </row>
    <row r="125" customFormat="false" ht="15.75" hidden="false" customHeight="false" outlineLevel="0" collapsed="false">
      <c r="A125" s="12"/>
      <c r="B125" s="34"/>
      <c r="C125" s="12"/>
      <c r="D125" s="12"/>
      <c r="E125" s="12"/>
      <c r="F125" s="12"/>
      <c r="G125" s="18"/>
      <c r="H125" s="18"/>
      <c r="I125" s="35"/>
      <c r="J125" s="12"/>
      <c r="N125" s="12"/>
      <c r="O125" s="18"/>
      <c r="P125" s="12"/>
      <c r="Q125" s="12"/>
      <c r="R125" s="12"/>
      <c r="S125" s="36"/>
      <c r="T125" s="36"/>
      <c r="U125" s="12"/>
      <c r="V125" s="12"/>
      <c r="W125" s="12"/>
      <c r="X125" s="12"/>
      <c r="Y125" s="12"/>
    </row>
    <row r="126" customFormat="false" ht="15.75" hidden="false" customHeight="false" outlineLevel="0" collapsed="false">
      <c r="A126" s="12"/>
      <c r="B126" s="34"/>
      <c r="C126" s="12"/>
      <c r="D126" s="12"/>
      <c r="E126" s="12"/>
      <c r="F126" s="12"/>
      <c r="G126" s="18"/>
      <c r="H126" s="18"/>
      <c r="I126" s="35"/>
      <c r="J126" s="12"/>
      <c r="N126" s="12"/>
      <c r="O126" s="18"/>
      <c r="P126" s="12"/>
      <c r="Q126" s="12"/>
      <c r="R126" s="12"/>
      <c r="S126" s="36"/>
      <c r="T126" s="36"/>
      <c r="U126" s="12"/>
      <c r="V126" s="12"/>
      <c r="W126" s="12"/>
      <c r="X126" s="12"/>
      <c r="Y126" s="12"/>
    </row>
    <row r="127" customFormat="false" ht="15.75" hidden="false" customHeight="false" outlineLevel="0" collapsed="false">
      <c r="A127" s="12"/>
      <c r="B127" s="34"/>
      <c r="C127" s="12"/>
      <c r="D127" s="12"/>
      <c r="E127" s="12"/>
      <c r="F127" s="12"/>
      <c r="G127" s="18"/>
      <c r="H127" s="18"/>
      <c r="I127" s="35"/>
      <c r="J127" s="12"/>
      <c r="N127" s="12"/>
      <c r="O127" s="18"/>
      <c r="P127" s="12"/>
      <c r="Q127" s="12"/>
      <c r="R127" s="12"/>
      <c r="S127" s="36"/>
      <c r="T127" s="36"/>
      <c r="U127" s="12"/>
      <c r="V127" s="12"/>
      <c r="W127" s="12"/>
      <c r="X127" s="12"/>
      <c r="Y127" s="12"/>
    </row>
    <row r="128" customFormat="false" ht="15.75" hidden="false" customHeight="false" outlineLevel="0" collapsed="false">
      <c r="A128" s="12"/>
      <c r="B128" s="34"/>
      <c r="C128" s="12"/>
      <c r="D128" s="12"/>
      <c r="E128" s="12"/>
      <c r="F128" s="12"/>
      <c r="G128" s="18"/>
      <c r="H128" s="18"/>
      <c r="I128" s="35"/>
      <c r="J128" s="12"/>
      <c r="N128" s="12"/>
      <c r="O128" s="18"/>
      <c r="P128" s="12"/>
      <c r="Q128" s="12"/>
      <c r="R128" s="12"/>
      <c r="S128" s="36"/>
      <c r="T128" s="36"/>
      <c r="U128" s="12"/>
      <c r="V128" s="12"/>
      <c r="W128" s="12"/>
      <c r="X128" s="12"/>
      <c r="Y128" s="12"/>
    </row>
    <row r="129" customFormat="false" ht="15.75" hidden="false" customHeight="false" outlineLevel="0" collapsed="false">
      <c r="A129" s="12"/>
      <c r="B129" s="34"/>
      <c r="C129" s="12"/>
      <c r="D129" s="12"/>
      <c r="E129" s="12"/>
      <c r="F129" s="12"/>
      <c r="G129" s="18"/>
      <c r="H129" s="18"/>
      <c r="I129" s="35"/>
      <c r="J129" s="12"/>
      <c r="N129" s="12"/>
      <c r="O129" s="18"/>
      <c r="P129" s="12"/>
      <c r="Q129" s="12"/>
      <c r="R129" s="12"/>
      <c r="S129" s="36"/>
      <c r="T129" s="36"/>
      <c r="U129" s="12"/>
      <c r="V129" s="12"/>
      <c r="W129" s="12"/>
      <c r="X129" s="12"/>
      <c r="Y129" s="12"/>
    </row>
    <row r="130" customFormat="false" ht="15.75" hidden="false" customHeight="false" outlineLevel="0" collapsed="false">
      <c r="A130" s="12"/>
      <c r="B130" s="34"/>
      <c r="C130" s="12"/>
      <c r="D130" s="12"/>
      <c r="E130" s="12"/>
      <c r="F130" s="12"/>
      <c r="G130" s="18"/>
      <c r="H130" s="18"/>
      <c r="I130" s="35"/>
      <c r="J130" s="12"/>
      <c r="N130" s="12"/>
      <c r="O130" s="18"/>
      <c r="P130" s="12"/>
      <c r="Q130" s="12"/>
      <c r="R130" s="12"/>
      <c r="S130" s="36"/>
      <c r="T130" s="36"/>
      <c r="U130" s="12"/>
      <c r="V130" s="12"/>
      <c r="W130" s="12"/>
      <c r="X130" s="12"/>
      <c r="Y130" s="12"/>
    </row>
    <row r="131" customFormat="false" ht="15.75" hidden="false" customHeight="false" outlineLevel="0" collapsed="false">
      <c r="A131" s="12"/>
      <c r="B131" s="34"/>
      <c r="C131" s="12"/>
      <c r="D131" s="12"/>
      <c r="E131" s="12"/>
      <c r="F131" s="12"/>
      <c r="G131" s="18"/>
      <c r="H131" s="18"/>
      <c r="I131" s="35"/>
      <c r="J131" s="12"/>
      <c r="N131" s="12"/>
      <c r="O131" s="18"/>
      <c r="P131" s="12"/>
      <c r="Q131" s="12"/>
      <c r="R131" s="12"/>
      <c r="S131" s="36"/>
      <c r="T131" s="36"/>
      <c r="U131" s="12"/>
      <c r="V131" s="12"/>
      <c r="W131" s="12"/>
      <c r="X131" s="12"/>
      <c r="Y131" s="12"/>
    </row>
    <row r="132" customFormat="false" ht="15.75" hidden="false" customHeight="false" outlineLevel="0" collapsed="false">
      <c r="A132" s="12"/>
      <c r="B132" s="34"/>
      <c r="C132" s="12"/>
      <c r="D132" s="12"/>
      <c r="E132" s="12"/>
      <c r="F132" s="12"/>
      <c r="G132" s="18"/>
      <c r="H132" s="18"/>
      <c r="I132" s="35"/>
      <c r="J132" s="12"/>
      <c r="N132" s="12"/>
      <c r="O132" s="18"/>
      <c r="P132" s="12"/>
      <c r="Q132" s="12"/>
      <c r="R132" s="12"/>
      <c r="S132" s="36"/>
      <c r="T132" s="36"/>
      <c r="U132" s="12"/>
      <c r="V132" s="12"/>
      <c r="W132" s="12"/>
      <c r="X132" s="12"/>
      <c r="Y132" s="12"/>
    </row>
    <row r="133" customFormat="false" ht="15.75" hidden="false" customHeight="false" outlineLevel="0" collapsed="false">
      <c r="A133" s="12"/>
      <c r="B133" s="34"/>
      <c r="C133" s="12"/>
      <c r="D133" s="12"/>
      <c r="E133" s="12"/>
      <c r="F133" s="12"/>
      <c r="G133" s="18"/>
      <c r="H133" s="18"/>
      <c r="I133" s="35"/>
      <c r="J133" s="12"/>
      <c r="N133" s="12"/>
      <c r="O133" s="18"/>
      <c r="P133" s="12"/>
      <c r="Q133" s="12"/>
      <c r="R133" s="12"/>
      <c r="S133" s="36"/>
      <c r="T133" s="36"/>
      <c r="U133" s="12"/>
      <c r="V133" s="12"/>
      <c r="W133" s="12"/>
      <c r="X133" s="12"/>
      <c r="Y133" s="12"/>
    </row>
    <row r="134" customFormat="false" ht="15.75" hidden="false" customHeight="false" outlineLevel="0" collapsed="false">
      <c r="A134" s="12"/>
      <c r="B134" s="34"/>
      <c r="C134" s="12"/>
      <c r="D134" s="12"/>
      <c r="E134" s="12"/>
      <c r="F134" s="12"/>
      <c r="G134" s="18"/>
      <c r="H134" s="18"/>
      <c r="I134" s="35"/>
      <c r="J134" s="12"/>
      <c r="N134" s="12"/>
      <c r="O134" s="18"/>
      <c r="P134" s="12"/>
      <c r="Q134" s="12"/>
      <c r="R134" s="12"/>
      <c r="S134" s="36"/>
      <c r="T134" s="36"/>
      <c r="U134" s="12"/>
      <c r="V134" s="12"/>
      <c r="W134" s="12"/>
      <c r="X134" s="12"/>
      <c r="Y134" s="12"/>
    </row>
    <row r="135" customFormat="false" ht="15.75" hidden="false" customHeight="false" outlineLevel="0" collapsed="false">
      <c r="A135" s="12"/>
      <c r="B135" s="34"/>
      <c r="C135" s="12"/>
      <c r="D135" s="12"/>
      <c r="E135" s="12"/>
      <c r="F135" s="12"/>
      <c r="G135" s="18"/>
      <c r="H135" s="18"/>
      <c r="I135" s="35"/>
      <c r="J135" s="12"/>
      <c r="N135" s="12"/>
      <c r="O135" s="18"/>
      <c r="P135" s="12"/>
      <c r="Q135" s="12"/>
      <c r="R135" s="12"/>
      <c r="S135" s="36"/>
      <c r="T135" s="36"/>
      <c r="U135" s="12"/>
      <c r="V135" s="12"/>
      <c r="W135" s="12"/>
      <c r="X135" s="12"/>
      <c r="Y135" s="12"/>
    </row>
    <row r="136" customFormat="false" ht="15.75" hidden="false" customHeight="false" outlineLevel="0" collapsed="false">
      <c r="A136" s="12"/>
      <c r="B136" s="34"/>
      <c r="C136" s="12"/>
      <c r="D136" s="12"/>
      <c r="E136" s="12"/>
      <c r="F136" s="12"/>
      <c r="G136" s="18"/>
      <c r="H136" s="18"/>
      <c r="I136" s="35"/>
      <c r="J136" s="12"/>
      <c r="N136" s="12"/>
      <c r="O136" s="18"/>
      <c r="P136" s="12"/>
      <c r="Q136" s="12"/>
      <c r="R136" s="12"/>
      <c r="S136" s="36"/>
      <c r="T136" s="36"/>
      <c r="U136" s="12"/>
      <c r="V136" s="12"/>
      <c r="W136" s="12"/>
      <c r="X136" s="12"/>
      <c r="Y136" s="12"/>
    </row>
    <row r="137" customFormat="false" ht="15.75" hidden="false" customHeight="false" outlineLevel="0" collapsed="false">
      <c r="A137" s="12"/>
      <c r="B137" s="34"/>
      <c r="C137" s="12"/>
      <c r="D137" s="12"/>
      <c r="E137" s="12"/>
      <c r="F137" s="12"/>
      <c r="G137" s="18"/>
      <c r="H137" s="18"/>
      <c r="I137" s="35"/>
      <c r="J137" s="12"/>
      <c r="N137" s="12"/>
      <c r="O137" s="18"/>
      <c r="P137" s="12"/>
      <c r="Q137" s="12"/>
      <c r="R137" s="12"/>
      <c r="S137" s="36"/>
      <c r="T137" s="36"/>
      <c r="U137" s="12"/>
      <c r="V137" s="12"/>
      <c r="W137" s="12"/>
      <c r="X137" s="12"/>
      <c r="Y137" s="12"/>
    </row>
    <row r="138" customFormat="false" ht="15.75" hidden="false" customHeight="false" outlineLevel="0" collapsed="false">
      <c r="A138" s="12"/>
      <c r="B138" s="34"/>
      <c r="C138" s="12"/>
      <c r="D138" s="12"/>
      <c r="E138" s="12"/>
      <c r="F138" s="12"/>
      <c r="G138" s="18"/>
      <c r="H138" s="18"/>
      <c r="I138" s="35"/>
      <c r="J138" s="12"/>
      <c r="N138" s="12"/>
      <c r="O138" s="18"/>
      <c r="P138" s="12"/>
      <c r="Q138" s="12"/>
      <c r="R138" s="12"/>
      <c r="S138" s="36"/>
      <c r="T138" s="36"/>
      <c r="U138" s="12"/>
      <c r="V138" s="12"/>
      <c r="W138" s="12"/>
      <c r="X138" s="12"/>
      <c r="Y138" s="12"/>
    </row>
    <row r="139" customFormat="false" ht="15.75" hidden="false" customHeight="false" outlineLevel="0" collapsed="false">
      <c r="A139" s="12"/>
      <c r="B139" s="34"/>
      <c r="C139" s="12"/>
      <c r="D139" s="12"/>
      <c r="E139" s="12"/>
      <c r="F139" s="12"/>
      <c r="G139" s="18"/>
      <c r="H139" s="18"/>
      <c r="I139" s="35"/>
      <c r="J139" s="12"/>
      <c r="N139" s="12"/>
      <c r="O139" s="18"/>
      <c r="P139" s="12"/>
      <c r="Q139" s="12"/>
      <c r="R139" s="12"/>
      <c r="S139" s="36"/>
      <c r="T139" s="36"/>
      <c r="U139" s="12"/>
      <c r="V139" s="12"/>
      <c r="W139" s="12"/>
      <c r="X139" s="12"/>
      <c r="Y139" s="12"/>
    </row>
    <row r="140" customFormat="false" ht="15.75" hidden="false" customHeight="false" outlineLevel="0" collapsed="false">
      <c r="A140" s="12"/>
      <c r="B140" s="34"/>
      <c r="C140" s="12"/>
      <c r="D140" s="12"/>
      <c r="E140" s="12"/>
      <c r="F140" s="12"/>
      <c r="G140" s="18"/>
      <c r="H140" s="18"/>
      <c r="I140" s="35"/>
      <c r="J140" s="12"/>
      <c r="N140" s="12"/>
      <c r="O140" s="18"/>
      <c r="P140" s="12"/>
      <c r="Q140" s="12"/>
      <c r="R140" s="12"/>
      <c r="S140" s="36"/>
      <c r="T140" s="36"/>
      <c r="U140" s="12"/>
      <c r="V140" s="12"/>
      <c r="W140" s="12"/>
      <c r="X140" s="12"/>
      <c r="Y140" s="12"/>
    </row>
    <row r="141" customFormat="false" ht="15.75" hidden="false" customHeight="false" outlineLevel="0" collapsed="false">
      <c r="A141" s="12"/>
      <c r="B141" s="34"/>
      <c r="C141" s="12"/>
      <c r="D141" s="12"/>
      <c r="E141" s="12"/>
      <c r="F141" s="12"/>
      <c r="G141" s="18"/>
      <c r="H141" s="18"/>
      <c r="I141" s="35"/>
      <c r="J141" s="12"/>
      <c r="N141" s="12"/>
      <c r="O141" s="18"/>
      <c r="P141" s="12"/>
      <c r="Q141" s="12"/>
      <c r="R141" s="12"/>
      <c r="S141" s="36"/>
      <c r="T141" s="36"/>
      <c r="U141" s="12"/>
      <c r="V141" s="12"/>
      <c r="W141" s="12"/>
      <c r="X141" s="12"/>
      <c r="Y141" s="12"/>
    </row>
    <row r="142" customFormat="false" ht="15.75" hidden="false" customHeight="false" outlineLevel="0" collapsed="false">
      <c r="A142" s="12"/>
      <c r="B142" s="34"/>
      <c r="C142" s="12"/>
      <c r="D142" s="12"/>
      <c r="E142" s="12"/>
      <c r="F142" s="12"/>
      <c r="G142" s="18"/>
      <c r="H142" s="18"/>
      <c r="I142" s="35"/>
      <c r="J142" s="12"/>
      <c r="N142" s="12"/>
      <c r="O142" s="18"/>
      <c r="P142" s="12"/>
      <c r="Q142" s="12"/>
      <c r="R142" s="12"/>
      <c r="S142" s="36"/>
      <c r="T142" s="36"/>
      <c r="U142" s="12"/>
      <c r="V142" s="12"/>
      <c r="W142" s="12"/>
      <c r="X142" s="12"/>
      <c r="Y142" s="12"/>
    </row>
    <row r="143" customFormat="false" ht="15.75" hidden="false" customHeight="false" outlineLevel="0" collapsed="false">
      <c r="A143" s="12"/>
      <c r="B143" s="34"/>
      <c r="C143" s="12"/>
      <c r="D143" s="12"/>
      <c r="E143" s="12"/>
      <c r="F143" s="12"/>
      <c r="G143" s="18"/>
      <c r="H143" s="18"/>
      <c r="I143" s="35"/>
      <c r="J143" s="12"/>
      <c r="N143" s="12"/>
      <c r="O143" s="18"/>
      <c r="P143" s="12"/>
      <c r="Q143" s="12"/>
      <c r="R143" s="12"/>
      <c r="S143" s="36"/>
      <c r="T143" s="36"/>
      <c r="U143" s="12"/>
      <c r="V143" s="12"/>
      <c r="W143" s="12"/>
      <c r="X143" s="12"/>
      <c r="Y143" s="12"/>
    </row>
    <row r="144" customFormat="false" ht="15.75" hidden="false" customHeight="false" outlineLevel="0" collapsed="false">
      <c r="A144" s="12"/>
      <c r="B144" s="34"/>
      <c r="C144" s="12"/>
      <c r="D144" s="12"/>
      <c r="E144" s="12"/>
      <c r="F144" s="12"/>
      <c r="G144" s="18"/>
      <c r="H144" s="18"/>
      <c r="I144" s="35"/>
      <c r="J144" s="12"/>
      <c r="N144" s="12"/>
      <c r="O144" s="18"/>
      <c r="P144" s="12"/>
      <c r="Q144" s="12"/>
      <c r="R144" s="12"/>
      <c r="S144" s="36"/>
      <c r="T144" s="36"/>
      <c r="U144" s="12"/>
      <c r="V144" s="12"/>
      <c r="W144" s="12"/>
      <c r="X144" s="12"/>
      <c r="Y144" s="12"/>
    </row>
    <row r="145" customFormat="false" ht="15.75" hidden="false" customHeight="false" outlineLevel="0" collapsed="false">
      <c r="A145" s="12"/>
      <c r="B145" s="34"/>
      <c r="C145" s="12"/>
      <c r="D145" s="12"/>
      <c r="E145" s="12"/>
      <c r="F145" s="12"/>
      <c r="G145" s="18"/>
      <c r="H145" s="18"/>
      <c r="I145" s="35"/>
      <c r="J145" s="12"/>
      <c r="N145" s="12"/>
      <c r="O145" s="18"/>
      <c r="P145" s="12"/>
      <c r="Q145" s="12"/>
      <c r="R145" s="12"/>
      <c r="S145" s="36"/>
      <c r="T145" s="36"/>
      <c r="U145" s="12"/>
      <c r="V145" s="12"/>
      <c r="W145" s="12"/>
      <c r="X145" s="12"/>
      <c r="Y145" s="12"/>
    </row>
    <row r="146" customFormat="false" ht="15.75" hidden="false" customHeight="false" outlineLevel="0" collapsed="false">
      <c r="A146" s="12"/>
      <c r="B146" s="34"/>
      <c r="C146" s="12"/>
      <c r="D146" s="12"/>
      <c r="E146" s="12"/>
      <c r="F146" s="12"/>
      <c r="G146" s="18"/>
      <c r="H146" s="18"/>
      <c r="I146" s="35"/>
      <c r="J146" s="12"/>
      <c r="N146" s="12"/>
      <c r="O146" s="18"/>
      <c r="P146" s="12"/>
      <c r="Q146" s="12"/>
      <c r="R146" s="12"/>
      <c r="S146" s="36"/>
      <c r="T146" s="36"/>
      <c r="U146" s="12"/>
      <c r="V146" s="12"/>
      <c r="W146" s="12"/>
      <c r="X146" s="12"/>
      <c r="Y146" s="12"/>
    </row>
    <row r="147" customFormat="false" ht="15.75" hidden="false" customHeight="false" outlineLevel="0" collapsed="false">
      <c r="A147" s="12"/>
      <c r="B147" s="34"/>
      <c r="C147" s="12"/>
      <c r="D147" s="12"/>
      <c r="E147" s="12"/>
      <c r="F147" s="12"/>
      <c r="G147" s="18"/>
      <c r="H147" s="18"/>
      <c r="I147" s="35"/>
      <c r="J147" s="12"/>
      <c r="N147" s="12"/>
      <c r="O147" s="18"/>
      <c r="P147" s="12"/>
      <c r="Q147" s="12"/>
      <c r="R147" s="12"/>
      <c r="S147" s="36"/>
      <c r="T147" s="36"/>
      <c r="U147" s="12"/>
      <c r="V147" s="12"/>
      <c r="W147" s="12"/>
      <c r="X147" s="12"/>
      <c r="Y147" s="12"/>
    </row>
    <row r="148" customFormat="false" ht="15.75" hidden="false" customHeight="false" outlineLevel="0" collapsed="false">
      <c r="A148" s="12"/>
      <c r="B148" s="34"/>
      <c r="C148" s="12"/>
      <c r="D148" s="12"/>
      <c r="E148" s="12"/>
      <c r="F148" s="12"/>
      <c r="G148" s="18"/>
      <c r="H148" s="18"/>
      <c r="I148" s="35"/>
      <c r="J148" s="12"/>
      <c r="N148" s="12"/>
      <c r="O148" s="18"/>
      <c r="P148" s="12"/>
      <c r="Q148" s="12"/>
      <c r="R148" s="12"/>
      <c r="S148" s="36"/>
      <c r="T148" s="36"/>
      <c r="U148" s="12"/>
      <c r="V148" s="12"/>
      <c r="W148" s="12"/>
      <c r="X148" s="12"/>
      <c r="Y148" s="12"/>
    </row>
    <row r="149" customFormat="false" ht="15.75" hidden="false" customHeight="false" outlineLevel="0" collapsed="false">
      <c r="A149" s="12"/>
      <c r="B149" s="34"/>
      <c r="C149" s="12"/>
      <c r="D149" s="12"/>
      <c r="E149" s="12"/>
      <c r="F149" s="12"/>
      <c r="G149" s="18"/>
      <c r="H149" s="18"/>
      <c r="I149" s="35"/>
      <c r="J149" s="12"/>
      <c r="N149" s="12"/>
      <c r="O149" s="18"/>
      <c r="P149" s="12"/>
      <c r="Q149" s="12"/>
      <c r="R149" s="12"/>
      <c r="S149" s="36"/>
      <c r="T149" s="36"/>
      <c r="U149" s="12"/>
      <c r="V149" s="12"/>
      <c r="W149" s="12"/>
      <c r="X149" s="12"/>
      <c r="Y149" s="12"/>
    </row>
    <row r="150" customFormat="false" ht="15.75" hidden="false" customHeight="false" outlineLevel="0" collapsed="false">
      <c r="A150" s="12"/>
      <c r="B150" s="34"/>
      <c r="C150" s="12"/>
      <c r="D150" s="12"/>
      <c r="E150" s="12"/>
      <c r="F150" s="12"/>
      <c r="G150" s="18"/>
      <c r="H150" s="18"/>
      <c r="I150" s="35"/>
      <c r="J150" s="12"/>
      <c r="N150" s="12"/>
      <c r="O150" s="18"/>
      <c r="P150" s="12"/>
      <c r="Q150" s="12"/>
      <c r="R150" s="12"/>
      <c r="S150" s="36"/>
      <c r="T150" s="36"/>
      <c r="U150" s="12"/>
      <c r="V150" s="12"/>
      <c r="W150" s="12"/>
      <c r="X150" s="12"/>
      <c r="Y150" s="12"/>
    </row>
    <row r="151" customFormat="false" ht="15.75" hidden="false" customHeight="false" outlineLevel="0" collapsed="false">
      <c r="A151" s="12"/>
      <c r="B151" s="34"/>
      <c r="C151" s="12"/>
      <c r="D151" s="12"/>
      <c r="E151" s="12"/>
      <c r="F151" s="12"/>
      <c r="G151" s="18"/>
      <c r="H151" s="18"/>
      <c r="I151" s="35"/>
      <c r="J151" s="12"/>
      <c r="N151" s="12"/>
      <c r="O151" s="18"/>
      <c r="P151" s="12"/>
      <c r="Q151" s="12"/>
      <c r="R151" s="12"/>
      <c r="S151" s="36"/>
      <c r="T151" s="36"/>
      <c r="U151" s="12"/>
      <c r="V151" s="12"/>
      <c r="W151" s="12"/>
      <c r="X151" s="12"/>
      <c r="Y151" s="12"/>
    </row>
    <row r="152" customFormat="false" ht="15.75" hidden="false" customHeight="false" outlineLevel="0" collapsed="false">
      <c r="A152" s="12"/>
      <c r="B152" s="34"/>
      <c r="C152" s="12"/>
      <c r="D152" s="12"/>
      <c r="E152" s="12"/>
      <c r="F152" s="12"/>
      <c r="G152" s="18"/>
      <c r="H152" s="18"/>
      <c r="I152" s="35"/>
      <c r="J152" s="12"/>
      <c r="N152" s="12"/>
      <c r="O152" s="18"/>
      <c r="P152" s="12"/>
      <c r="Q152" s="12"/>
      <c r="R152" s="12"/>
      <c r="S152" s="36"/>
      <c r="T152" s="36"/>
      <c r="U152" s="12"/>
      <c r="V152" s="12"/>
      <c r="W152" s="12"/>
      <c r="X152" s="12"/>
      <c r="Y152" s="12"/>
    </row>
    <row r="153" customFormat="false" ht="15.75" hidden="false" customHeight="false" outlineLevel="0" collapsed="false">
      <c r="A153" s="12"/>
      <c r="B153" s="34"/>
      <c r="C153" s="12"/>
      <c r="D153" s="12"/>
      <c r="E153" s="12"/>
      <c r="F153" s="12"/>
      <c r="G153" s="18"/>
      <c r="H153" s="18"/>
      <c r="I153" s="35"/>
      <c r="J153" s="12"/>
      <c r="N153" s="12"/>
      <c r="O153" s="18"/>
      <c r="P153" s="12"/>
      <c r="Q153" s="12"/>
      <c r="R153" s="12"/>
      <c r="S153" s="36"/>
      <c r="T153" s="36"/>
      <c r="U153" s="12"/>
      <c r="V153" s="12"/>
      <c r="W153" s="12"/>
      <c r="X153" s="12"/>
      <c r="Y153" s="12"/>
    </row>
    <row r="154" customFormat="false" ht="15.75" hidden="false" customHeight="false" outlineLevel="0" collapsed="false">
      <c r="A154" s="12"/>
      <c r="B154" s="34"/>
      <c r="C154" s="12"/>
      <c r="D154" s="12"/>
      <c r="E154" s="12"/>
      <c r="F154" s="12"/>
      <c r="G154" s="18"/>
      <c r="H154" s="18"/>
      <c r="I154" s="35"/>
      <c r="J154" s="12"/>
      <c r="N154" s="12"/>
      <c r="O154" s="18"/>
      <c r="P154" s="12"/>
      <c r="Q154" s="12"/>
      <c r="R154" s="12"/>
      <c r="S154" s="36"/>
      <c r="T154" s="36"/>
      <c r="U154" s="12"/>
      <c r="V154" s="12"/>
      <c r="W154" s="12"/>
      <c r="X154" s="12"/>
      <c r="Y154" s="12"/>
    </row>
    <row r="155" customFormat="false" ht="15.75" hidden="false" customHeight="false" outlineLevel="0" collapsed="false">
      <c r="A155" s="12"/>
      <c r="B155" s="34"/>
      <c r="C155" s="12"/>
      <c r="D155" s="12"/>
      <c r="E155" s="12"/>
      <c r="F155" s="12"/>
      <c r="G155" s="18"/>
      <c r="H155" s="18"/>
      <c r="I155" s="35"/>
      <c r="J155" s="12"/>
      <c r="N155" s="12"/>
      <c r="O155" s="18"/>
      <c r="P155" s="12"/>
      <c r="Q155" s="12"/>
      <c r="R155" s="12"/>
      <c r="S155" s="36"/>
      <c r="T155" s="36"/>
      <c r="U155" s="12"/>
      <c r="V155" s="12"/>
      <c r="W155" s="12"/>
      <c r="X155" s="12"/>
      <c r="Y155" s="12"/>
    </row>
    <row r="156" customFormat="false" ht="15.75" hidden="false" customHeight="false" outlineLevel="0" collapsed="false">
      <c r="A156" s="12"/>
      <c r="B156" s="34"/>
      <c r="C156" s="12"/>
      <c r="D156" s="12"/>
      <c r="E156" s="12"/>
      <c r="F156" s="12"/>
      <c r="G156" s="18"/>
      <c r="H156" s="18"/>
      <c r="I156" s="35"/>
      <c r="J156" s="12"/>
      <c r="N156" s="12"/>
      <c r="O156" s="18"/>
      <c r="P156" s="12"/>
      <c r="Q156" s="12"/>
      <c r="R156" s="12"/>
      <c r="S156" s="36"/>
      <c r="T156" s="36"/>
      <c r="U156" s="12"/>
      <c r="V156" s="12"/>
      <c r="W156" s="12"/>
      <c r="X156" s="12"/>
      <c r="Y156" s="12"/>
    </row>
    <row r="157" customFormat="false" ht="15.75" hidden="false" customHeight="false" outlineLevel="0" collapsed="false">
      <c r="A157" s="12"/>
      <c r="B157" s="34"/>
      <c r="C157" s="12"/>
      <c r="D157" s="12"/>
      <c r="E157" s="12"/>
      <c r="F157" s="12"/>
      <c r="G157" s="18"/>
      <c r="H157" s="18"/>
      <c r="I157" s="35"/>
      <c r="J157" s="12"/>
      <c r="N157" s="12"/>
      <c r="O157" s="18"/>
      <c r="P157" s="12"/>
      <c r="Q157" s="12"/>
      <c r="R157" s="12"/>
      <c r="S157" s="36"/>
      <c r="T157" s="36"/>
      <c r="U157" s="12"/>
      <c r="V157" s="12"/>
      <c r="W157" s="12"/>
      <c r="X157" s="12"/>
      <c r="Y157" s="12"/>
    </row>
    <row r="158" customFormat="false" ht="15.75" hidden="false" customHeight="false" outlineLevel="0" collapsed="false">
      <c r="A158" s="12"/>
      <c r="B158" s="34"/>
      <c r="C158" s="12"/>
      <c r="D158" s="12"/>
      <c r="E158" s="12"/>
      <c r="F158" s="12"/>
      <c r="G158" s="18"/>
      <c r="H158" s="18"/>
      <c r="I158" s="35"/>
      <c r="J158" s="12"/>
      <c r="N158" s="12"/>
      <c r="O158" s="18"/>
      <c r="P158" s="12"/>
      <c r="Q158" s="12"/>
      <c r="R158" s="12"/>
      <c r="S158" s="36"/>
      <c r="T158" s="36"/>
      <c r="U158" s="12"/>
      <c r="V158" s="12"/>
      <c r="W158" s="12"/>
      <c r="X158" s="12"/>
      <c r="Y158" s="12"/>
    </row>
    <row r="159" customFormat="false" ht="15.75" hidden="false" customHeight="false" outlineLevel="0" collapsed="false">
      <c r="A159" s="12"/>
      <c r="B159" s="34"/>
      <c r="C159" s="12"/>
      <c r="D159" s="12"/>
      <c r="E159" s="12"/>
      <c r="F159" s="12"/>
      <c r="G159" s="18"/>
      <c r="H159" s="18"/>
      <c r="I159" s="35"/>
      <c r="J159" s="12"/>
      <c r="N159" s="12"/>
      <c r="O159" s="18"/>
      <c r="P159" s="12"/>
      <c r="Q159" s="12"/>
      <c r="R159" s="12"/>
      <c r="S159" s="36"/>
      <c r="T159" s="36"/>
      <c r="U159" s="12"/>
      <c r="V159" s="12"/>
      <c r="W159" s="12"/>
      <c r="X159" s="12"/>
      <c r="Y159" s="12"/>
    </row>
    <row r="160" customFormat="false" ht="15.75" hidden="false" customHeight="false" outlineLevel="0" collapsed="false">
      <c r="A160" s="12"/>
      <c r="B160" s="34"/>
      <c r="C160" s="12"/>
      <c r="D160" s="12"/>
      <c r="E160" s="12"/>
      <c r="F160" s="12"/>
      <c r="G160" s="18"/>
      <c r="H160" s="18"/>
      <c r="I160" s="35"/>
      <c r="J160" s="12"/>
      <c r="N160" s="12"/>
      <c r="O160" s="18"/>
      <c r="P160" s="12"/>
      <c r="Q160" s="12"/>
      <c r="R160" s="12"/>
      <c r="S160" s="36"/>
      <c r="T160" s="36"/>
      <c r="U160" s="12"/>
      <c r="V160" s="12"/>
      <c r="W160" s="12"/>
      <c r="X160" s="12"/>
      <c r="Y160" s="12"/>
    </row>
    <row r="161" customFormat="false" ht="15.75" hidden="false" customHeight="false" outlineLevel="0" collapsed="false">
      <c r="A161" s="12"/>
      <c r="B161" s="34"/>
      <c r="C161" s="12"/>
      <c r="D161" s="12"/>
      <c r="E161" s="12"/>
      <c r="F161" s="12"/>
      <c r="G161" s="18"/>
      <c r="H161" s="18"/>
      <c r="I161" s="35"/>
      <c r="J161" s="12"/>
      <c r="N161" s="12"/>
      <c r="O161" s="18"/>
      <c r="P161" s="12"/>
      <c r="Q161" s="12"/>
      <c r="R161" s="12"/>
      <c r="S161" s="36"/>
      <c r="T161" s="36"/>
      <c r="U161" s="12"/>
      <c r="V161" s="12"/>
      <c r="W161" s="12"/>
      <c r="X161" s="12"/>
      <c r="Y161" s="12"/>
    </row>
    <row r="162" customFormat="false" ht="15.75" hidden="false" customHeight="false" outlineLevel="0" collapsed="false">
      <c r="A162" s="12"/>
      <c r="B162" s="34"/>
      <c r="C162" s="12"/>
      <c r="D162" s="12"/>
      <c r="E162" s="12"/>
      <c r="F162" s="12"/>
      <c r="G162" s="18"/>
      <c r="H162" s="18"/>
      <c r="I162" s="35"/>
      <c r="J162" s="12"/>
      <c r="N162" s="12"/>
      <c r="O162" s="18"/>
      <c r="P162" s="12"/>
      <c r="Q162" s="12"/>
      <c r="R162" s="12"/>
      <c r="S162" s="36"/>
      <c r="T162" s="36"/>
      <c r="U162" s="12"/>
      <c r="V162" s="12"/>
      <c r="W162" s="12"/>
      <c r="X162" s="12"/>
      <c r="Y162" s="12"/>
    </row>
    <row r="163" customFormat="false" ht="15.75" hidden="false" customHeight="false" outlineLevel="0" collapsed="false">
      <c r="A163" s="12"/>
      <c r="B163" s="34"/>
      <c r="C163" s="12"/>
      <c r="D163" s="12"/>
      <c r="E163" s="12"/>
      <c r="F163" s="12"/>
      <c r="G163" s="18"/>
      <c r="H163" s="18"/>
      <c r="I163" s="35"/>
      <c r="J163" s="12"/>
      <c r="N163" s="12"/>
      <c r="O163" s="18"/>
      <c r="P163" s="12"/>
      <c r="Q163" s="12"/>
      <c r="R163" s="12"/>
      <c r="S163" s="36"/>
      <c r="T163" s="36"/>
      <c r="U163" s="12"/>
      <c r="V163" s="12"/>
      <c r="W163" s="12"/>
      <c r="X163" s="12"/>
      <c r="Y163" s="12"/>
    </row>
    <row r="164" customFormat="false" ht="15.75" hidden="false" customHeight="false" outlineLevel="0" collapsed="false">
      <c r="A164" s="12"/>
      <c r="B164" s="34"/>
      <c r="C164" s="12"/>
      <c r="D164" s="12"/>
      <c r="E164" s="12"/>
      <c r="F164" s="12"/>
      <c r="G164" s="18"/>
      <c r="H164" s="18"/>
      <c r="I164" s="35"/>
      <c r="J164" s="12"/>
      <c r="N164" s="12"/>
      <c r="O164" s="18"/>
      <c r="P164" s="12"/>
      <c r="Q164" s="12"/>
      <c r="R164" s="12"/>
      <c r="S164" s="36"/>
      <c r="T164" s="36"/>
      <c r="U164" s="12"/>
      <c r="V164" s="12"/>
      <c r="W164" s="12"/>
      <c r="X164" s="12"/>
      <c r="Y164" s="12"/>
    </row>
    <row r="165" customFormat="false" ht="15.75" hidden="false" customHeight="false" outlineLevel="0" collapsed="false">
      <c r="A165" s="12"/>
      <c r="B165" s="34"/>
      <c r="C165" s="12"/>
      <c r="D165" s="12"/>
      <c r="E165" s="12"/>
      <c r="F165" s="12"/>
      <c r="G165" s="18"/>
      <c r="H165" s="18"/>
      <c r="I165" s="35"/>
      <c r="J165" s="12"/>
      <c r="N165" s="12"/>
      <c r="O165" s="18"/>
      <c r="P165" s="12"/>
      <c r="Q165" s="12"/>
      <c r="R165" s="12"/>
      <c r="S165" s="36"/>
      <c r="T165" s="36"/>
      <c r="U165" s="12"/>
      <c r="V165" s="12"/>
      <c r="W165" s="12"/>
      <c r="X165" s="12"/>
      <c r="Y165" s="12"/>
    </row>
    <row r="166" customFormat="false" ht="15.75" hidden="false" customHeight="false" outlineLevel="0" collapsed="false">
      <c r="A166" s="12"/>
      <c r="B166" s="34"/>
      <c r="C166" s="12"/>
      <c r="D166" s="12"/>
      <c r="E166" s="12"/>
      <c r="F166" s="12"/>
      <c r="G166" s="18"/>
      <c r="H166" s="18"/>
      <c r="I166" s="35"/>
      <c r="J166" s="12"/>
      <c r="N166" s="12"/>
      <c r="O166" s="18"/>
      <c r="P166" s="12"/>
      <c r="Q166" s="12"/>
      <c r="R166" s="12"/>
      <c r="S166" s="36"/>
      <c r="T166" s="36"/>
      <c r="U166" s="12"/>
      <c r="V166" s="12"/>
      <c r="W166" s="12"/>
      <c r="X166" s="12"/>
      <c r="Y166" s="12"/>
    </row>
    <row r="167" customFormat="false" ht="15.75" hidden="false" customHeight="false" outlineLevel="0" collapsed="false">
      <c r="A167" s="12"/>
      <c r="B167" s="34"/>
      <c r="C167" s="12"/>
      <c r="D167" s="12"/>
      <c r="E167" s="12"/>
      <c r="F167" s="12"/>
      <c r="G167" s="18"/>
      <c r="H167" s="18"/>
      <c r="I167" s="35"/>
      <c r="J167" s="12"/>
      <c r="N167" s="12"/>
      <c r="O167" s="18"/>
      <c r="P167" s="12"/>
      <c r="Q167" s="12"/>
      <c r="R167" s="12"/>
      <c r="S167" s="36"/>
      <c r="T167" s="36"/>
      <c r="U167" s="12"/>
      <c r="V167" s="12"/>
      <c r="W167" s="12"/>
      <c r="X167" s="12"/>
      <c r="Y167" s="12"/>
    </row>
    <row r="168" customFormat="false" ht="15.75" hidden="false" customHeight="false" outlineLevel="0" collapsed="false">
      <c r="A168" s="12"/>
      <c r="B168" s="34"/>
      <c r="C168" s="12"/>
      <c r="D168" s="12"/>
      <c r="E168" s="12"/>
      <c r="F168" s="12"/>
      <c r="G168" s="18"/>
      <c r="H168" s="18"/>
      <c r="I168" s="35"/>
      <c r="J168" s="12"/>
      <c r="N168" s="12"/>
      <c r="O168" s="18"/>
      <c r="P168" s="12"/>
      <c r="Q168" s="12"/>
      <c r="R168" s="12"/>
      <c r="S168" s="36"/>
      <c r="T168" s="36"/>
      <c r="U168" s="12"/>
      <c r="V168" s="12"/>
      <c r="W168" s="12"/>
      <c r="X168" s="12"/>
      <c r="Y168" s="12"/>
    </row>
    <row r="169" customFormat="false" ht="15.75" hidden="false" customHeight="false" outlineLevel="0" collapsed="false">
      <c r="A169" s="12"/>
      <c r="B169" s="34"/>
      <c r="C169" s="12"/>
      <c r="D169" s="12"/>
      <c r="E169" s="12"/>
      <c r="F169" s="12"/>
      <c r="G169" s="18"/>
      <c r="H169" s="18"/>
      <c r="I169" s="35"/>
      <c r="J169" s="12"/>
      <c r="N169" s="12"/>
      <c r="O169" s="18"/>
      <c r="P169" s="12"/>
      <c r="Q169" s="12"/>
      <c r="R169" s="12"/>
      <c r="S169" s="36"/>
      <c r="T169" s="36"/>
      <c r="U169" s="12"/>
      <c r="V169" s="12"/>
      <c r="W169" s="12"/>
      <c r="X169" s="12"/>
      <c r="Y169" s="12"/>
    </row>
    <row r="170" customFormat="false" ht="15.75" hidden="false" customHeight="false" outlineLevel="0" collapsed="false">
      <c r="A170" s="12"/>
      <c r="B170" s="34"/>
      <c r="C170" s="12"/>
      <c r="D170" s="12"/>
      <c r="E170" s="12"/>
      <c r="F170" s="12"/>
      <c r="G170" s="18"/>
      <c r="H170" s="18"/>
      <c r="I170" s="35"/>
      <c r="J170" s="12"/>
      <c r="N170" s="12"/>
      <c r="O170" s="18"/>
      <c r="P170" s="12"/>
      <c r="Q170" s="12"/>
      <c r="R170" s="12"/>
      <c r="S170" s="36"/>
      <c r="T170" s="36"/>
      <c r="U170" s="12"/>
      <c r="V170" s="12"/>
      <c r="W170" s="12"/>
      <c r="X170" s="12"/>
      <c r="Y170" s="12"/>
    </row>
    <row r="171" customFormat="false" ht="15.75" hidden="false" customHeight="false" outlineLevel="0" collapsed="false">
      <c r="A171" s="12"/>
      <c r="B171" s="34"/>
      <c r="C171" s="12"/>
      <c r="D171" s="12"/>
      <c r="E171" s="12"/>
      <c r="F171" s="12"/>
      <c r="G171" s="18"/>
      <c r="H171" s="18"/>
      <c r="I171" s="35"/>
      <c r="J171" s="12"/>
      <c r="N171" s="12"/>
      <c r="O171" s="18"/>
      <c r="P171" s="12"/>
      <c r="Q171" s="12"/>
      <c r="R171" s="12"/>
      <c r="S171" s="36"/>
      <c r="T171" s="36"/>
      <c r="U171" s="12"/>
      <c r="V171" s="12"/>
      <c r="W171" s="12"/>
      <c r="X171" s="12"/>
      <c r="Y171" s="12"/>
    </row>
    <row r="172" customFormat="false" ht="15.75" hidden="false" customHeight="false" outlineLevel="0" collapsed="false">
      <c r="A172" s="12"/>
      <c r="B172" s="34"/>
      <c r="C172" s="12"/>
      <c r="D172" s="12"/>
      <c r="E172" s="12"/>
      <c r="F172" s="12"/>
      <c r="G172" s="18"/>
      <c r="H172" s="18"/>
      <c r="I172" s="35"/>
      <c r="J172" s="12"/>
      <c r="N172" s="12"/>
      <c r="O172" s="18"/>
      <c r="P172" s="12"/>
      <c r="Q172" s="12"/>
      <c r="R172" s="12"/>
      <c r="S172" s="36"/>
      <c r="T172" s="36"/>
      <c r="U172" s="12"/>
      <c r="V172" s="12"/>
      <c r="W172" s="12"/>
      <c r="X172" s="12"/>
      <c r="Y172" s="12"/>
    </row>
    <row r="173" customFormat="false" ht="15.75" hidden="false" customHeight="false" outlineLevel="0" collapsed="false">
      <c r="A173" s="12"/>
      <c r="B173" s="34"/>
      <c r="C173" s="12"/>
      <c r="D173" s="12"/>
      <c r="E173" s="12"/>
      <c r="F173" s="12"/>
      <c r="G173" s="18"/>
      <c r="H173" s="18"/>
      <c r="I173" s="35"/>
      <c r="J173" s="12"/>
      <c r="N173" s="12"/>
      <c r="O173" s="18"/>
      <c r="P173" s="12"/>
      <c r="Q173" s="12"/>
      <c r="R173" s="12"/>
      <c r="S173" s="36"/>
      <c r="T173" s="36"/>
      <c r="U173" s="12"/>
      <c r="V173" s="12"/>
      <c r="W173" s="12"/>
      <c r="X173" s="12"/>
      <c r="Y173" s="12"/>
    </row>
    <row r="174" customFormat="false" ht="15.75" hidden="false" customHeight="false" outlineLevel="0" collapsed="false">
      <c r="A174" s="12"/>
      <c r="B174" s="34"/>
      <c r="C174" s="12"/>
      <c r="D174" s="12"/>
      <c r="E174" s="12"/>
      <c r="F174" s="12"/>
      <c r="G174" s="18"/>
      <c r="H174" s="18"/>
      <c r="I174" s="35"/>
      <c r="J174" s="12"/>
      <c r="N174" s="12"/>
      <c r="O174" s="18"/>
      <c r="P174" s="12"/>
      <c r="Q174" s="12"/>
      <c r="R174" s="12"/>
      <c r="S174" s="36"/>
      <c r="T174" s="36"/>
      <c r="U174" s="12"/>
      <c r="V174" s="12"/>
      <c r="W174" s="12"/>
      <c r="X174" s="12"/>
      <c r="Y174" s="12"/>
    </row>
    <row r="175" customFormat="false" ht="15.75" hidden="false" customHeight="false" outlineLevel="0" collapsed="false">
      <c r="A175" s="12"/>
      <c r="B175" s="34"/>
      <c r="C175" s="12"/>
      <c r="D175" s="12"/>
      <c r="E175" s="12"/>
      <c r="F175" s="12"/>
      <c r="G175" s="18"/>
      <c r="H175" s="18"/>
      <c r="I175" s="35"/>
      <c r="J175" s="12"/>
      <c r="N175" s="12"/>
      <c r="O175" s="18"/>
      <c r="P175" s="12"/>
      <c r="Q175" s="12"/>
      <c r="R175" s="12"/>
      <c r="S175" s="36"/>
      <c r="T175" s="36"/>
      <c r="U175" s="12"/>
      <c r="V175" s="12"/>
      <c r="W175" s="12"/>
      <c r="X175" s="12"/>
      <c r="Y175" s="12"/>
    </row>
    <row r="176" customFormat="false" ht="15.75" hidden="false" customHeight="false" outlineLevel="0" collapsed="false">
      <c r="A176" s="12"/>
      <c r="B176" s="34"/>
      <c r="C176" s="12"/>
      <c r="D176" s="12"/>
      <c r="E176" s="12"/>
      <c r="F176" s="12"/>
      <c r="G176" s="18"/>
      <c r="H176" s="18"/>
      <c r="I176" s="35"/>
      <c r="J176" s="12"/>
      <c r="N176" s="12"/>
      <c r="O176" s="18"/>
      <c r="P176" s="12"/>
      <c r="Q176" s="12"/>
      <c r="R176" s="12"/>
      <c r="S176" s="36"/>
      <c r="T176" s="36"/>
      <c r="U176" s="12"/>
      <c r="V176" s="12"/>
      <c r="W176" s="12"/>
      <c r="X176" s="12"/>
      <c r="Y176" s="12"/>
    </row>
    <row r="177" customFormat="false" ht="15.75" hidden="false" customHeight="false" outlineLevel="0" collapsed="false">
      <c r="A177" s="12"/>
      <c r="B177" s="34"/>
      <c r="C177" s="12"/>
      <c r="D177" s="12"/>
      <c r="E177" s="12"/>
      <c r="F177" s="12"/>
      <c r="G177" s="18"/>
      <c r="H177" s="18"/>
      <c r="I177" s="35"/>
      <c r="J177" s="12"/>
      <c r="N177" s="12"/>
      <c r="O177" s="18"/>
      <c r="P177" s="12"/>
      <c r="Q177" s="12"/>
      <c r="R177" s="12"/>
      <c r="S177" s="36"/>
      <c r="T177" s="36"/>
      <c r="U177" s="12"/>
      <c r="V177" s="12"/>
      <c r="W177" s="12"/>
      <c r="X177" s="12"/>
      <c r="Y177" s="12"/>
    </row>
    <row r="178" customFormat="false" ht="15.75" hidden="false" customHeight="false" outlineLevel="0" collapsed="false">
      <c r="A178" s="12"/>
      <c r="B178" s="34"/>
      <c r="C178" s="12"/>
      <c r="D178" s="12"/>
      <c r="E178" s="12"/>
      <c r="F178" s="12"/>
      <c r="G178" s="18"/>
      <c r="H178" s="18"/>
      <c r="I178" s="35"/>
      <c r="J178" s="12"/>
      <c r="N178" s="12"/>
      <c r="O178" s="18"/>
      <c r="P178" s="12"/>
      <c r="Q178" s="12"/>
      <c r="R178" s="12"/>
      <c r="S178" s="36"/>
      <c r="T178" s="36"/>
      <c r="U178" s="12"/>
      <c r="V178" s="12"/>
      <c r="W178" s="12"/>
      <c r="X178" s="12"/>
      <c r="Y178" s="12"/>
    </row>
    <row r="179" customFormat="false" ht="15.75" hidden="false" customHeight="false" outlineLevel="0" collapsed="false">
      <c r="A179" s="12"/>
      <c r="B179" s="34"/>
      <c r="C179" s="12"/>
      <c r="D179" s="12"/>
      <c r="E179" s="12"/>
      <c r="F179" s="12"/>
      <c r="G179" s="18"/>
      <c r="H179" s="18"/>
      <c r="I179" s="35"/>
      <c r="J179" s="12"/>
      <c r="N179" s="12"/>
      <c r="O179" s="18"/>
      <c r="P179" s="12"/>
      <c r="Q179" s="12"/>
      <c r="R179" s="12"/>
      <c r="S179" s="36"/>
      <c r="T179" s="36"/>
      <c r="U179" s="12"/>
      <c r="V179" s="12"/>
      <c r="W179" s="12"/>
      <c r="X179" s="12"/>
      <c r="Y179" s="12"/>
    </row>
    <row r="180" customFormat="false" ht="15.75" hidden="false" customHeight="false" outlineLevel="0" collapsed="false">
      <c r="A180" s="12"/>
      <c r="B180" s="34"/>
      <c r="C180" s="12"/>
      <c r="D180" s="12"/>
      <c r="E180" s="12"/>
      <c r="F180" s="12"/>
      <c r="G180" s="18"/>
      <c r="H180" s="18"/>
      <c r="I180" s="35"/>
      <c r="J180" s="12"/>
      <c r="N180" s="12"/>
      <c r="O180" s="18"/>
      <c r="P180" s="12"/>
      <c r="Q180" s="12"/>
      <c r="R180" s="12"/>
      <c r="S180" s="36"/>
      <c r="T180" s="36"/>
      <c r="U180" s="12"/>
      <c r="V180" s="12"/>
      <c r="W180" s="12"/>
      <c r="X180" s="12"/>
      <c r="Y180" s="12"/>
    </row>
    <row r="181" customFormat="false" ht="15.75" hidden="false" customHeight="false" outlineLevel="0" collapsed="false">
      <c r="A181" s="12"/>
      <c r="B181" s="34"/>
      <c r="C181" s="12"/>
      <c r="D181" s="12"/>
      <c r="E181" s="12"/>
      <c r="F181" s="12"/>
      <c r="G181" s="18"/>
      <c r="H181" s="18"/>
      <c r="I181" s="35"/>
      <c r="J181" s="12"/>
      <c r="N181" s="12"/>
      <c r="O181" s="18"/>
      <c r="P181" s="12"/>
      <c r="Q181" s="12"/>
      <c r="R181" s="12"/>
      <c r="S181" s="36"/>
      <c r="T181" s="36"/>
      <c r="U181" s="12"/>
      <c r="V181" s="12"/>
      <c r="W181" s="12"/>
      <c r="X181" s="12"/>
      <c r="Y181" s="12"/>
    </row>
    <row r="182" customFormat="false" ht="15.75" hidden="false" customHeight="false" outlineLevel="0" collapsed="false">
      <c r="A182" s="12"/>
      <c r="B182" s="34"/>
      <c r="C182" s="12"/>
      <c r="D182" s="12"/>
      <c r="E182" s="12"/>
      <c r="F182" s="12"/>
      <c r="G182" s="18"/>
      <c r="H182" s="18"/>
      <c r="I182" s="35"/>
      <c r="J182" s="12"/>
      <c r="N182" s="12"/>
      <c r="O182" s="18"/>
      <c r="P182" s="12"/>
      <c r="Q182" s="12"/>
      <c r="R182" s="12"/>
      <c r="S182" s="36"/>
      <c r="T182" s="36"/>
      <c r="U182" s="12"/>
      <c r="V182" s="12"/>
      <c r="W182" s="12"/>
      <c r="X182" s="12"/>
      <c r="Y182" s="12"/>
    </row>
    <row r="183" customFormat="false" ht="15.75" hidden="false" customHeight="false" outlineLevel="0" collapsed="false">
      <c r="A183" s="12"/>
      <c r="B183" s="34"/>
      <c r="C183" s="12"/>
      <c r="D183" s="12"/>
      <c r="E183" s="12"/>
      <c r="F183" s="12"/>
      <c r="G183" s="18"/>
      <c r="H183" s="18"/>
      <c r="I183" s="35"/>
      <c r="J183" s="12"/>
      <c r="N183" s="12"/>
      <c r="O183" s="18"/>
      <c r="P183" s="12"/>
      <c r="Q183" s="12"/>
      <c r="R183" s="12"/>
      <c r="S183" s="36"/>
      <c r="T183" s="36"/>
      <c r="U183" s="12"/>
      <c r="V183" s="12"/>
      <c r="W183" s="12"/>
      <c r="X183" s="12"/>
      <c r="Y183" s="12"/>
    </row>
    <row r="184" customFormat="false" ht="15.75" hidden="false" customHeight="false" outlineLevel="0" collapsed="false">
      <c r="A184" s="12"/>
      <c r="B184" s="34"/>
      <c r="C184" s="12"/>
      <c r="D184" s="12"/>
      <c r="E184" s="12"/>
      <c r="F184" s="12"/>
      <c r="G184" s="18"/>
      <c r="H184" s="18"/>
      <c r="I184" s="35"/>
      <c r="J184" s="12"/>
      <c r="N184" s="12"/>
      <c r="O184" s="18"/>
      <c r="P184" s="12"/>
      <c r="Q184" s="12"/>
      <c r="R184" s="12"/>
      <c r="S184" s="36"/>
      <c r="T184" s="36"/>
      <c r="U184" s="12"/>
      <c r="V184" s="12"/>
      <c r="W184" s="12"/>
      <c r="X184" s="12"/>
      <c r="Y184" s="12"/>
    </row>
    <row r="185" customFormat="false" ht="15.75" hidden="false" customHeight="false" outlineLevel="0" collapsed="false">
      <c r="A185" s="12"/>
      <c r="B185" s="34"/>
      <c r="C185" s="12"/>
      <c r="D185" s="12"/>
      <c r="E185" s="12"/>
      <c r="F185" s="12"/>
      <c r="G185" s="18"/>
      <c r="H185" s="18"/>
      <c r="I185" s="35"/>
      <c r="J185" s="12"/>
      <c r="N185" s="12"/>
      <c r="O185" s="18"/>
      <c r="P185" s="12"/>
      <c r="Q185" s="12"/>
      <c r="R185" s="12"/>
      <c r="S185" s="36"/>
      <c r="T185" s="36"/>
      <c r="U185" s="12"/>
      <c r="V185" s="12"/>
      <c r="W185" s="12"/>
      <c r="X185" s="12"/>
      <c r="Y185" s="12"/>
    </row>
    <row r="186" customFormat="false" ht="15.75" hidden="false" customHeight="false" outlineLevel="0" collapsed="false">
      <c r="A186" s="12"/>
      <c r="B186" s="34"/>
      <c r="C186" s="12"/>
      <c r="D186" s="12"/>
      <c r="E186" s="12"/>
      <c r="F186" s="12"/>
      <c r="G186" s="18"/>
      <c r="H186" s="18"/>
      <c r="I186" s="35"/>
      <c r="J186" s="12"/>
      <c r="N186" s="12"/>
      <c r="O186" s="18"/>
      <c r="P186" s="12"/>
      <c r="Q186" s="12"/>
      <c r="R186" s="12"/>
      <c r="S186" s="36"/>
      <c r="T186" s="36"/>
      <c r="U186" s="12"/>
      <c r="V186" s="12"/>
      <c r="W186" s="12"/>
      <c r="X186" s="12"/>
      <c r="Y186" s="12"/>
    </row>
    <row r="187" customFormat="false" ht="15.75" hidden="false" customHeight="false" outlineLevel="0" collapsed="false">
      <c r="A187" s="12"/>
      <c r="B187" s="34"/>
      <c r="C187" s="12"/>
      <c r="D187" s="12"/>
      <c r="E187" s="12"/>
      <c r="F187" s="12"/>
      <c r="G187" s="18"/>
      <c r="H187" s="18"/>
      <c r="I187" s="35"/>
      <c r="J187" s="12"/>
      <c r="N187" s="12"/>
      <c r="O187" s="18"/>
      <c r="P187" s="12"/>
      <c r="Q187" s="12"/>
      <c r="R187" s="12"/>
      <c r="S187" s="36"/>
      <c r="T187" s="36"/>
      <c r="U187" s="12"/>
      <c r="V187" s="12"/>
      <c r="W187" s="12"/>
      <c r="X187" s="12"/>
      <c r="Y187" s="12"/>
    </row>
    <row r="188" customFormat="false" ht="15.75" hidden="false" customHeight="false" outlineLevel="0" collapsed="false">
      <c r="A188" s="12"/>
      <c r="B188" s="34"/>
      <c r="C188" s="12"/>
      <c r="D188" s="12"/>
      <c r="E188" s="12"/>
      <c r="F188" s="12"/>
      <c r="G188" s="18"/>
      <c r="H188" s="18"/>
      <c r="I188" s="35"/>
      <c r="J188" s="12"/>
      <c r="N188" s="12"/>
      <c r="O188" s="18"/>
      <c r="P188" s="12"/>
      <c r="Q188" s="12"/>
      <c r="R188" s="12"/>
      <c r="S188" s="36"/>
      <c r="T188" s="36"/>
      <c r="U188" s="12"/>
      <c r="V188" s="12"/>
      <c r="W188" s="12"/>
      <c r="X188" s="12"/>
      <c r="Y188" s="12"/>
    </row>
    <row r="189" customFormat="false" ht="15.75" hidden="false" customHeight="false" outlineLevel="0" collapsed="false">
      <c r="A189" s="12"/>
      <c r="B189" s="34"/>
      <c r="C189" s="12"/>
      <c r="D189" s="12"/>
      <c r="E189" s="12"/>
      <c r="F189" s="12"/>
      <c r="G189" s="18"/>
      <c r="H189" s="18"/>
      <c r="I189" s="35"/>
      <c r="J189" s="12"/>
      <c r="N189" s="12"/>
      <c r="O189" s="18"/>
      <c r="P189" s="12"/>
      <c r="Q189" s="12"/>
      <c r="R189" s="12"/>
      <c r="S189" s="36"/>
      <c r="T189" s="36"/>
      <c r="U189" s="12"/>
      <c r="V189" s="12"/>
      <c r="W189" s="12"/>
      <c r="X189" s="12"/>
      <c r="Y189" s="12"/>
    </row>
    <row r="190" customFormat="false" ht="15.75" hidden="false" customHeight="false" outlineLevel="0" collapsed="false">
      <c r="A190" s="12"/>
      <c r="B190" s="34"/>
      <c r="C190" s="12"/>
      <c r="D190" s="12"/>
      <c r="E190" s="12"/>
      <c r="F190" s="12"/>
      <c r="G190" s="18"/>
      <c r="H190" s="18"/>
      <c r="I190" s="35"/>
      <c r="J190" s="12"/>
      <c r="N190" s="12"/>
      <c r="O190" s="18"/>
      <c r="P190" s="12"/>
      <c r="Q190" s="12"/>
      <c r="R190" s="12"/>
      <c r="S190" s="36"/>
      <c r="T190" s="36"/>
      <c r="U190" s="12"/>
      <c r="V190" s="12"/>
      <c r="W190" s="12"/>
      <c r="X190" s="12"/>
      <c r="Y190" s="12"/>
    </row>
    <row r="191" customFormat="false" ht="15.75" hidden="false" customHeight="false" outlineLevel="0" collapsed="false">
      <c r="A191" s="12"/>
      <c r="B191" s="34"/>
      <c r="C191" s="12"/>
      <c r="D191" s="12"/>
      <c r="E191" s="12"/>
      <c r="F191" s="12"/>
      <c r="G191" s="18"/>
      <c r="H191" s="18"/>
      <c r="I191" s="35"/>
      <c r="J191" s="12"/>
      <c r="N191" s="12"/>
      <c r="O191" s="18"/>
      <c r="P191" s="12"/>
      <c r="Q191" s="12"/>
      <c r="R191" s="12"/>
      <c r="S191" s="36"/>
      <c r="T191" s="36"/>
      <c r="U191" s="12"/>
      <c r="V191" s="12"/>
      <c r="W191" s="12"/>
      <c r="X191" s="12"/>
      <c r="Y191" s="12"/>
    </row>
    <row r="192" customFormat="false" ht="15.75" hidden="false" customHeight="false" outlineLevel="0" collapsed="false">
      <c r="A192" s="12"/>
      <c r="B192" s="34"/>
      <c r="C192" s="12"/>
      <c r="D192" s="12"/>
      <c r="E192" s="12"/>
      <c r="F192" s="12"/>
      <c r="G192" s="18"/>
      <c r="H192" s="18"/>
      <c r="I192" s="35"/>
      <c r="J192" s="12"/>
      <c r="N192" s="12"/>
      <c r="O192" s="18"/>
      <c r="P192" s="12"/>
      <c r="Q192" s="12"/>
      <c r="R192" s="12"/>
      <c r="S192" s="36"/>
      <c r="T192" s="36"/>
      <c r="U192" s="12"/>
      <c r="V192" s="12"/>
      <c r="W192" s="12"/>
      <c r="X192" s="12"/>
      <c r="Y192" s="12"/>
    </row>
    <row r="193" customFormat="false" ht="15.75" hidden="false" customHeight="false" outlineLevel="0" collapsed="false">
      <c r="A193" s="12"/>
      <c r="B193" s="34"/>
      <c r="C193" s="12"/>
      <c r="D193" s="12"/>
      <c r="E193" s="12"/>
      <c r="F193" s="12"/>
      <c r="G193" s="18"/>
      <c r="H193" s="18"/>
      <c r="I193" s="35"/>
      <c r="J193" s="12"/>
      <c r="N193" s="12"/>
      <c r="O193" s="18"/>
      <c r="P193" s="12"/>
      <c r="Q193" s="12"/>
      <c r="R193" s="12"/>
      <c r="S193" s="36"/>
      <c r="T193" s="36"/>
      <c r="U193" s="12"/>
      <c r="V193" s="12"/>
      <c r="W193" s="12"/>
      <c r="X193" s="12"/>
      <c r="Y193" s="12"/>
    </row>
    <row r="194" customFormat="false" ht="15.75" hidden="false" customHeight="false" outlineLevel="0" collapsed="false">
      <c r="A194" s="12"/>
      <c r="B194" s="34"/>
      <c r="C194" s="12"/>
      <c r="D194" s="12"/>
      <c r="E194" s="12"/>
      <c r="F194" s="12"/>
      <c r="G194" s="18"/>
      <c r="H194" s="18"/>
      <c r="I194" s="35"/>
      <c r="J194" s="12"/>
      <c r="N194" s="12"/>
      <c r="O194" s="18"/>
      <c r="P194" s="12"/>
      <c r="Q194" s="12"/>
      <c r="R194" s="12"/>
      <c r="S194" s="36"/>
      <c r="T194" s="36"/>
      <c r="U194" s="12"/>
      <c r="V194" s="12"/>
      <c r="W194" s="12"/>
      <c r="X194" s="12"/>
      <c r="Y194" s="12"/>
    </row>
    <row r="195" customFormat="false" ht="15.75" hidden="false" customHeight="false" outlineLevel="0" collapsed="false">
      <c r="A195" s="12"/>
      <c r="B195" s="34"/>
      <c r="C195" s="12"/>
      <c r="D195" s="12"/>
      <c r="E195" s="12"/>
      <c r="F195" s="12"/>
      <c r="G195" s="18"/>
      <c r="H195" s="18"/>
      <c r="I195" s="35"/>
      <c r="J195" s="12"/>
      <c r="N195" s="12"/>
      <c r="O195" s="18"/>
      <c r="P195" s="12"/>
      <c r="Q195" s="12"/>
      <c r="R195" s="12"/>
      <c r="S195" s="36"/>
      <c r="T195" s="36"/>
      <c r="U195" s="12"/>
      <c r="V195" s="12"/>
      <c r="W195" s="12"/>
      <c r="X195" s="12"/>
      <c r="Y195" s="12"/>
    </row>
    <row r="196" customFormat="false" ht="15.75" hidden="false" customHeight="false" outlineLevel="0" collapsed="false">
      <c r="A196" s="12"/>
      <c r="B196" s="34"/>
      <c r="C196" s="12"/>
      <c r="D196" s="12"/>
      <c r="E196" s="12"/>
      <c r="F196" s="12"/>
      <c r="G196" s="18"/>
      <c r="H196" s="18"/>
      <c r="I196" s="35"/>
      <c r="J196" s="12"/>
      <c r="N196" s="12"/>
      <c r="O196" s="18"/>
      <c r="P196" s="12"/>
      <c r="Q196" s="12"/>
      <c r="R196" s="12"/>
      <c r="S196" s="36"/>
      <c r="T196" s="36"/>
      <c r="U196" s="12"/>
      <c r="V196" s="12"/>
      <c r="W196" s="12"/>
      <c r="X196" s="12"/>
      <c r="Y196" s="12"/>
    </row>
    <row r="197" customFormat="false" ht="15.75" hidden="false" customHeight="false" outlineLevel="0" collapsed="false">
      <c r="A197" s="12"/>
      <c r="B197" s="34"/>
      <c r="C197" s="12"/>
      <c r="D197" s="12"/>
      <c r="E197" s="12"/>
      <c r="F197" s="12"/>
      <c r="G197" s="18"/>
      <c r="H197" s="18"/>
      <c r="I197" s="35"/>
      <c r="J197" s="12"/>
      <c r="N197" s="12"/>
      <c r="O197" s="18"/>
      <c r="P197" s="12"/>
      <c r="Q197" s="12"/>
      <c r="R197" s="12"/>
      <c r="S197" s="36"/>
      <c r="T197" s="36"/>
      <c r="U197" s="12"/>
      <c r="V197" s="12"/>
      <c r="W197" s="12"/>
      <c r="X197" s="12"/>
      <c r="Y197" s="12"/>
    </row>
    <row r="198" customFormat="false" ht="15.75" hidden="false" customHeight="false" outlineLevel="0" collapsed="false">
      <c r="A198" s="12"/>
      <c r="B198" s="34"/>
      <c r="C198" s="12"/>
      <c r="D198" s="12"/>
      <c r="E198" s="12"/>
      <c r="F198" s="12"/>
      <c r="G198" s="18"/>
      <c r="H198" s="18"/>
      <c r="I198" s="35"/>
      <c r="J198" s="12"/>
      <c r="N198" s="12"/>
      <c r="O198" s="18"/>
      <c r="P198" s="12"/>
      <c r="Q198" s="12"/>
      <c r="R198" s="12"/>
      <c r="S198" s="36"/>
      <c r="T198" s="36"/>
      <c r="U198" s="12"/>
      <c r="V198" s="12"/>
      <c r="W198" s="12"/>
      <c r="X198" s="12"/>
      <c r="Y198" s="12"/>
    </row>
    <row r="199" customFormat="false" ht="15.75" hidden="false" customHeight="false" outlineLevel="0" collapsed="false">
      <c r="A199" s="12"/>
      <c r="B199" s="34"/>
      <c r="C199" s="12"/>
      <c r="D199" s="12"/>
      <c r="E199" s="12"/>
      <c r="F199" s="12"/>
      <c r="G199" s="18"/>
      <c r="H199" s="18"/>
      <c r="I199" s="35"/>
      <c r="J199" s="12"/>
      <c r="N199" s="12"/>
      <c r="O199" s="18"/>
      <c r="P199" s="12"/>
      <c r="Q199" s="12"/>
      <c r="R199" s="12"/>
      <c r="S199" s="36"/>
      <c r="T199" s="36"/>
      <c r="U199" s="12"/>
      <c r="V199" s="12"/>
      <c r="W199" s="12"/>
      <c r="X199" s="12"/>
      <c r="Y199" s="12"/>
    </row>
    <row r="200" customFormat="false" ht="15.75" hidden="false" customHeight="false" outlineLevel="0" collapsed="false">
      <c r="A200" s="12"/>
      <c r="B200" s="34"/>
      <c r="C200" s="12"/>
      <c r="D200" s="12"/>
      <c r="E200" s="12"/>
      <c r="F200" s="12"/>
      <c r="G200" s="18"/>
      <c r="H200" s="18"/>
      <c r="I200" s="35"/>
      <c r="J200" s="12"/>
      <c r="N200" s="12"/>
      <c r="O200" s="18"/>
      <c r="P200" s="12"/>
      <c r="Q200" s="12"/>
      <c r="R200" s="12"/>
      <c r="S200" s="36"/>
      <c r="T200" s="36"/>
      <c r="U200" s="12"/>
      <c r="V200" s="12"/>
      <c r="W200" s="12"/>
      <c r="X200" s="12"/>
      <c r="Y200" s="12"/>
    </row>
    <row r="201" customFormat="false" ht="15.75" hidden="false" customHeight="false" outlineLevel="0" collapsed="false">
      <c r="A201" s="12"/>
      <c r="B201" s="34"/>
      <c r="C201" s="12"/>
      <c r="D201" s="12"/>
      <c r="E201" s="12"/>
      <c r="F201" s="12"/>
      <c r="G201" s="18"/>
      <c r="H201" s="18"/>
      <c r="I201" s="35"/>
      <c r="J201" s="12"/>
      <c r="N201" s="12"/>
      <c r="O201" s="18"/>
      <c r="P201" s="12"/>
      <c r="Q201" s="12"/>
      <c r="R201" s="12"/>
      <c r="S201" s="36"/>
      <c r="T201" s="36"/>
      <c r="U201" s="12"/>
      <c r="V201" s="12"/>
      <c r="W201" s="12"/>
      <c r="X201" s="12"/>
      <c r="Y201" s="12"/>
    </row>
    <row r="202" customFormat="false" ht="15.75" hidden="false" customHeight="false" outlineLevel="0" collapsed="false">
      <c r="A202" s="12"/>
      <c r="B202" s="34"/>
      <c r="C202" s="12"/>
      <c r="D202" s="12"/>
      <c r="E202" s="12"/>
      <c r="F202" s="12"/>
      <c r="G202" s="18"/>
      <c r="H202" s="18"/>
      <c r="I202" s="35"/>
      <c r="J202" s="12"/>
      <c r="N202" s="12"/>
      <c r="O202" s="18"/>
      <c r="P202" s="12"/>
      <c r="Q202" s="12"/>
      <c r="R202" s="12"/>
      <c r="S202" s="36"/>
      <c r="T202" s="36"/>
      <c r="U202" s="12"/>
      <c r="V202" s="12"/>
      <c r="W202" s="12"/>
      <c r="X202" s="12"/>
      <c r="Y202" s="12"/>
    </row>
    <row r="203" customFormat="false" ht="15.75" hidden="false" customHeight="false" outlineLevel="0" collapsed="false">
      <c r="A203" s="12"/>
      <c r="B203" s="34"/>
      <c r="C203" s="12"/>
      <c r="D203" s="12"/>
      <c r="E203" s="12"/>
      <c r="F203" s="12"/>
      <c r="G203" s="18"/>
      <c r="H203" s="18"/>
      <c r="I203" s="35"/>
      <c r="J203" s="12"/>
      <c r="N203" s="12"/>
      <c r="O203" s="18"/>
      <c r="P203" s="12"/>
      <c r="Q203" s="12"/>
      <c r="R203" s="12"/>
      <c r="S203" s="36"/>
      <c r="T203" s="36"/>
      <c r="U203" s="12"/>
      <c r="V203" s="12"/>
      <c r="W203" s="12"/>
      <c r="X203" s="12"/>
      <c r="Y203" s="12"/>
    </row>
    <row r="204" customFormat="false" ht="15.75" hidden="false" customHeight="false" outlineLevel="0" collapsed="false">
      <c r="A204" s="12"/>
      <c r="B204" s="34"/>
      <c r="C204" s="12"/>
      <c r="D204" s="12"/>
      <c r="E204" s="12"/>
      <c r="F204" s="12"/>
      <c r="G204" s="18"/>
      <c r="H204" s="18"/>
      <c r="I204" s="35"/>
      <c r="J204" s="12"/>
      <c r="N204" s="12"/>
      <c r="O204" s="18"/>
      <c r="P204" s="12"/>
      <c r="Q204" s="12"/>
      <c r="R204" s="12"/>
      <c r="S204" s="36"/>
      <c r="T204" s="36"/>
      <c r="U204" s="12"/>
      <c r="V204" s="12"/>
      <c r="W204" s="12"/>
      <c r="X204" s="12"/>
      <c r="Y204" s="12"/>
    </row>
    <row r="205" customFormat="false" ht="15.75" hidden="false" customHeight="false" outlineLevel="0" collapsed="false">
      <c r="A205" s="12"/>
      <c r="B205" s="34"/>
      <c r="C205" s="12"/>
      <c r="D205" s="12"/>
      <c r="E205" s="12"/>
      <c r="F205" s="12"/>
      <c r="G205" s="18"/>
      <c r="H205" s="18"/>
      <c r="I205" s="35"/>
      <c r="J205" s="12"/>
      <c r="N205" s="12"/>
      <c r="O205" s="18"/>
      <c r="P205" s="12"/>
      <c r="Q205" s="12"/>
      <c r="R205" s="12"/>
      <c r="S205" s="36"/>
      <c r="T205" s="36"/>
      <c r="U205" s="12"/>
      <c r="V205" s="12"/>
      <c r="W205" s="12"/>
      <c r="X205" s="12"/>
      <c r="Y205" s="12"/>
    </row>
    <row r="206" customFormat="false" ht="15.75" hidden="false" customHeight="false" outlineLevel="0" collapsed="false">
      <c r="A206" s="12"/>
      <c r="B206" s="34"/>
      <c r="C206" s="12"/>
      <c r="D206" s="12"/>
      <c r="E206" s="12"/>
      <c r="F206" s="12"/>
      <c r="G206" s="18"/>
      <c r="H206" s="18"/>
      <c r="I206" s="35"/>
      <c r="J206" s="12"/>
      <c r="N206" s="12"/>
      <c r="O206" s="18"/>
      <c r="P206" s="12"/>
      <c r="Q206" s="12"/>
      <c r="R206" s="12"/>
      <c r="S206" s="36"/>
      <c r="T206" s="36"/>
      <c r="U206" s="12"/>
      <c r="V206" s="12"/>
      <c r="W206" s="12"/>
      <c r="X206" s="12"/>
      <c r="Y206" s="12"/>
    </row>
    <row r="207" customFormat="false" ht="15.75" hidden="false" customHeight="false" outlineLevel="0" collapsed="false">
      <c r="A207" s="12"/>
      <c r="B207" s="34"/>
      <c r="C207" s="12"/>
      <c r="D207" s="12"/>
      <c r="E207" s="12"/>
      <c r="F207" s="12"/>
      <c r="G207" s="18"/>
      <c r="H207" s="18"/>
      <c r="I207" s="35"/>
      <c r="J207" s="12"/>
      <c r="N207" s="12"/>
      <c r="O207" s="18"/>
      <c r="P207" s="12"/>
      <c r="Q207" s="12"/>
      <c r="R207" s="12"/>
      <c r="S207" s="36"/>
      <c r="T207" s="36"/>
      <c r="U207" s="12"/>
      <c r="V207" s="12"/>
      <c r="W207" s="12"/>
      <c r="X207" s="12"/>
      <c r="Y207" s="12"/>
    </row>
    <row r="208" customFormat="false" ht="15.75" hidden="false" customHeight="false" outlineLevel="0" collapsed="false">
      <c r="A208" s="12"/>
      <c r="B208" s="34"/>
      <c r="C208" s="12"/>
      <c r="D208" s="12"/>
      <c r="E208" s="12"/>
      <c r="F208" s="12"/>
      <c r="G208" s="18"/>
      <c r="H208" s="18"/>
      <c r="I208" s="35"/>
      <c r="J208" s="12"/>
      <c r="N208" s="12"/>
      <c r="O208" s="18"/>
      <c r="P208" s="12"/>
      <c r="Q208" s="12"/>
      <c r="R208" s="12"/>
      <c r="S208" s="36"/>
      <c r="T208" s="36"/>
      <c r="U208" s="12"/>
      <c r="V208" s="12"/>
      <c r="W208" s="12"/>
      <c r="X208" s="12"/>
      <c r="Y208" s="12"/>
    </row>
    <row r="209" customFormat="false" ht="15.75" hidden="false" customHeight="false" outlineLevel="0" collapsed="false">
      <c r="A209" s="12"/>
      <c r="B209" s="34"/>
      <c r="C209" s="12"/>
      <c r="D209" s="12"/>
      <c r="E209" s="12"/>
      <c r="F209" s="12"/>
      <c r="G209" s="18"/>
      <c r="H209" s="18"/>
      <c r="I209" s="35"/>
      <c r="J209" s="12"/>
      <c r="N209" s="12"/>
      <c r="O209" s="18"/>
      <c r="P209" s="12"/>
      <c r="Q209" s="12"/>
      <c r="R209" s="12"/>
      <c r="S209" s="36"/>
      <c r="T209" s="36"/>
      <c r="U209" s="12"/>
      <c r="V209" s="12"/>
      <c r="W209" s="12"/>
      <c r="X209" s="12"/>
      <c r="Y209" s="12"/>
    </row>
    <row r="210" customFormat="false" ht="15.75" hidden="false" customHeight="false" outlineLevel="0" collapsed="false">
      <c r="A210" s="12"/>
      <c r="B210" s="34"/>
      <c r="C210" s="12"/>
      <c r="D210" s="12"/>
      <c r="E210" s="12"/>
      <c r="F210" s="12"/>
      <c r="G210" s="18"/>
      <c r="H210" s="18"/>
      <c r="I210" s="35"/>
      <c r="J210" s="12"/>
      <c r="N210" s="12"/>
      <c r="O210" s="18"/>
      <c r="P210" s="12"/>
      <c r="Q210" s="12"/>
      <c r="R210" s="12"/>
      <c r="S210" s="36"/>
      <c r="T210" s="36"/>
      <c r="U210" s="12"/>
      <c r="V210" s="12"/>
      <c r="W210" s="12"/>
      <c r="X210" s="12"/>
      <c r="Y210" s="12"/>
    </row>
    <row r="211" customFormat="false" ht="15.75" hidden="false" customHeight="false" outlineLevel="0" collapsed="false">
      <c r="A211" s="12"/>
      <c r="B211" s="34"/>
      <c r="C211" s="12"/>
      <c r="D211" s="12"/>
      <c r="E211" s="12"/>
      <c r="F211" s="12"/>
      <c r="G211" s="18"/>
      <c r="H211" s="18"/>
      <c r="I211" s="35"/>
      <c r="J211" s="12"/>
      <c r="N211" s="12"/>
      <c r="O211" s="18"/>
      <c r="P211" s="12"/>
      <c r="Q211" s="12"/>
      <c r="R211" s="12"/>
      <c r="S211" s="36"/>
      <c r="T211" s="36"/>
      <c r="U211" s="12"/>
      <c r="V211" s="12"/>
      <c r="W211" s="12"/>
      <c r="X211" s="12"/>
      <c r="Y211" s="12"/>
    </row>
    <row r="212" customFormat="false" ht="15.75" hidden="false" customHeight="false" outlineLevel="0" collapsed="false">
      <c r="A212" s="12"/>
      <c r="B212" s="34"/>
      <c r="C212" s="12"/>
      <c r="D212" s="12"/>
      <c r="E212" s="12"/>
      <c r="F212" s="12"/>
      <c r="G212" s="18"/>
      <c r="H212" s="18"/>
      <c r="I212" s="35"/>
      <c r="J212" s="12"/>
      <c r="N212" s="12"/>
      <c r="O212" s="18"/>
      <c r="P212" s="12"/>
      <c r="Q212" s="12"/>
      <c r="R212" s="12"/>
      <c r="S212" s="36"/>
      <c r="T212" s="36"/>
      <c r="U212" s="12"/>
      <c r="V212" s="12"/>
      <c r="W212" s="12"/>
      <c r="X212" s="12"/>
      <c r="Y212" s="12"/>
    </row>
    <row r="213" customFormat="false" ht="15.75" hidden="false" customHeight="false" outlineLevel="0" collapsed="false">
      <c r="A213" s="12"/>
      <c r="B213" s="34"/>
      <c r="C213" s="12"/>
      <c r="D213" s="12"/>
      <c r="E213" s="12"/>
      <c r="F213" s="12"/>
      <c r="G213" s="18"/>
      <c r="H213" s="18"/>
      <c r="I213" s="35"/>
      <c r="J213" s="12"/>
      <c r="N213" s="12"/>
      <c r="O213" s="18"/>
      <c r="P213" s="12"/>
      <c r="Q213" s="12"/>
      <c r="R213" s="12"/>
      <c r="S213" s="36"/>
      <c r="T213" s="36"/>
      <c r="U213" s="12"/>
      <c r="V213" s="12"/>
      <c r="W213" s="12"/>
      <c r="X213" s="12"/>
      <c r="Y213" s="12"/>
    </row>
    <row r="214" customFormat="false" ht="15.75" hidden="false" customHeight="false" outlineLevel="0" collapsed="false">
      <c r="A214" s="12"/>
      <c r="B214" s="34"/>
      <c r="C214" s="12"/>
      <c r="D214" s="12"/>
      <c r="E214" s="12"/>
      <c r="F214" s="12"/>
      <c r="G214" s="18"/>
      <c r="H214" s="18"/>
      <c r="I214" s="35"/>
      <c r="J214" s="12"/>
      <c r="N214" s="12"/>
      <c r="O214" s="18"/>
      <c r="P214" s="12"/>
      <c r="Q214" s="12"/>
      <c r="R214" s="12"/>
      <c r="S214" s="36"/>
      <c r="T214" s="36"/>
      <c r="U214" s="12"/>
      <c r="V214" s="12"/>
      <c r="W214" s="12"/>
      <c r="X214" s="12"/>
      <c r="Y214" s="12"/>
    </row>
    <row r="215" customFormat="false" ht="15.75" hidden="false" customHeight="false" outlineLevel="0" collapsed="false">
      <c r="A215" s="12"/>
      <c r="B215" s="34"/>
      <c r="C215" s="12"/>
      <c r="D215" s="12"/>
      <c r="E215" s="12"/>
      <c r="F215" s="12"/>
      <c r="G215" s="18"/>
      <c r="H215" s="18"/>
      <c r="I215" s="35"/>
      <c r="J215" s="12"/>
      <c r="N215" s="12"/>
      <c r="O215" s="18"/>
      <c r="P215" s="12"/>
      <c r="Q215" s="12"/>
      <c r="R215" s="12"/>
      <c r="S215" s="36"/>
      <c r="T215" s="36"/>
      <c r="U215" s="12"/>
      <c r="V215" s="12"/>
      <c r="W215" s="12"/>
      <c r="X215" s="12"/>
      <c r="Y215" s="12"/>
    </row>
    <row r="216" customFormat="false" ht="15.75" hidden="false" customHeight="false" outlineLevel="0" collapsed="false">
      <c r="A216" s="12"/>
      <c r="B216" s="34"/>
      <c r="C216" s="12"/>
      <c r="D216" s="12"/>
      <c r="E216" s="12"/>
      <c r="F216" s="12"/>
      <c r="G216" s="18"/>
      <c r="H216" s="18"/>
      <c r="I216" s="35"/>
      <c r="J216" s="12"/>
      <c r="N216" s="12"/>
      <c r="O216" s="18"/>
      <c r="P216" s="12"/>
      <c r="Q216" s="12"/>
      <c r="R216" s="12"/>
      <c r="S216" s="36"/>
      <c r="T216" s="36"/>
      <c r="U216" s="12"/>
      <c r="V216" s="12"/>
      <c r="W216" s="12"/>
      <c r="X216" s="12"/>
      <c r="Y216" s="12"/>
    </row>
    <row r="217" customFormat="false" ht="15.75" hidden="false" customHeight="false" outlineLevel="0" collapsed="false">
      <c r="A217" s="12"/>
      <c r="B217" s="34"/>
      <c r="C217" s="12"/>
      <c r="D217" s="12"/>
      <c r="E217" s="12"/>
      <c r="F217" s="12"/>
      <c r="G217" s="18"/>
      <c r="H217" s="18"/>
      <c r="I217" s="35"/>
      <c r="J217" s="12"/>
      <c r="N217" s="12"/>
      <c r="O217" s="18"/>
      <c r="P217" s="12"/>
      <c r="Q217" s="12"/>
      <c r="R217" s="12"/>
      <c r="S217" s="36"/>
      <c r="T217" s="36"/>
      <c r="U217" s="12"/>
      <c r="V217" s="12"/>
      <c r="W217" s="12"/>
      <c r="X217" s="12"/>
      <c r="Y217" s="12"/>
    </row>
    <row r="218" customFormat="false" ht="15.75" hidden="false" customHeight="false" outlineLevel="0" collapsed="false">
      <c r="A218" s="12"/>
      <c r="B218" s="34"/>
      <c r="C218" s="12"/>
      <c r="D218" s="12"/>
      <c r="E218" s="12"/>
      <c r="F218" s="12"/>
      <c r="G218" s="18"/>
      <c r="H218" s="18"/>
      <c r="I218" s="35"/>
      <c r="J218" s="12"/>
      <c r="N218" s="12"/>
      <c r="O218" s="18"/>
      <c r="P218" s="12"/>
      <c r="Q218" s="12"/>
      <c r="R218" s="12"/>
      <c r="S218" s="36"/>
      <c r="T218" s="36"/>
      <c r="U218" s="12"/>
      <c r="V218" s="12"/>
      <c r="W218" s="12"/>
      <c r="X218" s="12"/>
      <c r="Y218" s="12"/>
    </row>
    <row r="219" customFormat="false" ht="15.75" hidden="false" customHeight="false" outlineLevel="0" collapsed="false">
      <c r="A219" s="12"/>
      <c r="B219" s="34"/>
      <c r="C219" s="12"/>
      <c r="D219" s="12"/>
      <c r="E219" s="12"/>
      <c r="F219" s="12"/>
      <c r="G219" s="18"/>
      <c r="H219" s="18"/>
      <c r="I219" s="35"/>
      <c r="J219" s="12"/>
      <c r="N219" s="12"/>
      <c r="O219" s="18"/>
      <c r="P219" s="12"/>
      <c r="Q219" s="12"/>
      <c r="R219" s="12"/>
      <c r="S219" s="36"/>
      <c r="T219" s="36"/>
      <c r="U219" s="12"/>
      <c r="V219" s="12"/>
      <c r="W219" s="12"/>
      <c r="X219" s="12"/>
      <c r="Y219" s="12"/>
    </row>
    <row r="220" customFormat="false" ht="15.75" hidden="false" customHeight="false" outlineLevel="0" collapsed="false">
      <c r="A220" s="12"/>
      <c r="B220" s="34"/>
      <c r="C220" s="12"/>
      <c r="D220" s="12"/>
      <c r="E220" s="12"/>
      <c r="F220" s="12"/>
      <c r="G220" s="18"/>
      <c r="H220" s="18"/>
      <c r="I220" s="35"/>
      <c r="J220" s="12"/>
      <c r="N220" s="12"/>
      <c r="O220" s="18"/>
      <c r="P220" s="12"/>
      <c r="Q220" s="12"/>
      <c r="R220" s="12"/>
      <c r="S220" s="36"/>
      <c r="T220" s="36"/>
      <c r="U220" s="12"/>
      <c r="V220" s="12"/>
      <c r="W220" s="12"/>
      <c r="X220" s="12"/>
      <c r="Y220" s="12"/>
    </row>
    <row r="221" customFormat="false" ht="15.75" hidden="false" customHeight="false" outlineLevel="0" collapsed="false">
      <c r="A221" s="12"/>
      <c r="B221" s="34"/>
      <c r="C221" s="12"/>
      <c r="D221" s="12"/>
      <c r="E221" s="12"/>
      <c r="F221" s="12"/>
      <c r="G221" s="18"/>
      <c r="H221" s="18"/>
      <c r="I221" s="35"/>
      <c r="J221" s="12"/>
      <c r="N221" s="12"/>
      <c r="O221" s="18"/>
      <c r="P221" s="12"/>
      <c r="Q221" s="12"/>
      <c r="R221" s="12"/>
      <c r="S221" s="36"/>
      <c r="T221" s="36"/>
      <c r="U221" s="12"/>
      <c r="V221" s="12"/>
      <c r="W221" s="12"/>
      <c r="X221" s="12"/>
      <c r="Y221" s="12"/>
    </row>
    <row r="222" customFormat="false" ht="15.75" hidden="false" customHeight="false" outlineLevel="0" collapsed="false">
      <c r="A222" s="12"/>
      <c r="B222" s="34"/>
      <c r="C222" s="12"/>
      <c r="D222" s="12"/>
      <c r="E222" s="12"/>
      <c r="F222" s="12"/>
      <c r="G222" s="18"/>
      <c r="H222" s="18"/>
      <c r="I222" s="35"/>
      <c r="J222" s="12"/>
      <c r="N222" s="12"/>
      <c r="O222" s="18"/>
      <c r="P222" s="12"/>
      <c r="Q222" s="12"/>
      <c r="R222" s="12"/>
      <c r="S222" s="36"/>
      <c r="T222" s="36"/>
      <c r="U222" s="12"/>
      <c r="V222" s="12"/>
      <c r="W222" s="12"/>
      <c r="X222" s="12"/>
      <c r="Y222" s="12"/>
    </row>
    <row r="223" customFormat="false" ht="15.75" hidden="false" customHeight="false" outlineLevel="0" collapsed="false">
      <c r="A223" s="12"/>
      <c r="B223" s="34"/>
      <c r="C223" s="12"/>
      <c r="D223" s="12"/>
      <c r="E223" s="12"/>
      <c r="F223" s="12"/>
      <c r="G223" s="18"/>
      <c r="H223" s="18"/>
      <c r="I223" s="35"/>
      <c r="J223" s="12"/>
      <c r="N223" s="12"/>
      <c r="O223" s="18"/>
      <c r="P223" s="12"/>
      <c r="Q223" s="12"/>
      <c r="R223" s="12"/>
      <c r="S223" s="36"/>
      <c r="T223" s="36"/>
      <c r="U223" s="12"/>
      <c r="V223" s="12"/>
      <c r="W223" s="12"/>
      <c r="X223" s="12"/>
      <c r="Y223" s="12"/>
    </row>
    <row r="224" customFormat="false" ht="15.75" hidden="false" customHeight="false" outlineLevel="0" collapsed="false">
      <c r="A224" s="12"/>
      <c r="B224" s="34"/>
      <c r="C224" s="12"/>
      <c r="D224" s="12"/>
      <c r="E224" s="12"/>
      <c r="F224" s="12"/>
      <c r="G224" s="18"/>
      <c r="H224" s="18"/>
      <c r="I224" s="35"/>
      <c r="J224" s="12"/>
      <c r="N224" s="12"/>
      <c r="O224" s="18"/>
      <c r="P224" s="12"/>
      <c r="Q224" s="12"/>
      <c r="R224" s="12"/>
      <c r="S224" s="36"/>
      <c r="T224" s="36"/>
      <c r="U224" s="12"/>
      <c r="V224" s="12"/>
      <c r="W224" s="12"/>
      <c r="X224" s="12"/>
      <c r="Y224" s="12"/>
    </row>
    <row r="225" customFormat="false" ht="15.75" hidden="false" customHeight="false" outlineLevel="0" collapsed="false">
      <c r="A225" s="12"/>
      <c r="B225" s="34"/>
      <c r="C225" s="12"/>
      <c r="D225" s="12"/>
      <c r="E225" s="12"/>
      <c r="F225" s="12"/>
      <c r="G225" s="18"/>
      <c r="H225" s="18"/>
      <c r="I225" s="35"/>
      <c r="J225" s="12"/>
      <c r="N225" s="12"/>
      <c r="O225" s="18"/>
      <c r="P225" s="12"/>
      <c r="Q225" s="12"/>
      <c r="R225" s="12"/>
      <c r="S225" s="36"/>
      <c r="T225" s="36"/>
      <c r="U225" s="12"/>
      <c r="V225" s="12"/>
      <c r="W225" s="12"/>
      <c r="X225" s="12"/>
      <c r="Y225" s="12"/>
    </row>
    <row r="226" customFormat="false" ht="15.75" hidden="false" customHeight="false" outlineLevel="0" collapsed="false">
      <c r="A226" s="12"/>
      <c r="B226" s="34"/>
      <c r="C226" s="12"/>
      <c r="D226" s="12"/>
      <c r="E226" s="12"/>
      <c r="F226" s="12"/>
      <c r="G226" s="18"/>
      <c r="H226" s="18"/>
      <c r="I226" s="35"/>
      <c r="J226" s="12"/>
      <c r="N226" s="12"/>
      <c r="O226" s="18"/>
      <c r="P226" s="12"/>
      <c r="Q226" s="12"/>
      <c r="R226" s="12"/>
      <c r="S226" s="36"/>
      <c r="T226" s="36"/>
      <c r="U226" s="12"/>
      <c r="V226" s="12"/>
      <c r="W226" s="12"/>
      <c r="X226" s="12"/>
      <c r="Y226" s="12"/>
    </row>
    <row r="227" customFormat="false" ht="15.75" hidden="false" customHeight="false" outlineLevel="0" collapsed="false">
      <c r="A227" s="12"/>
      <c r="B227" s="34"/>
      <c r="C227" s="12"/>
      <c r="D227" s="12"/>
      <c r="E227" s="12"/>
      <c r="F227" s="12"/>
      <c r="G227" s="18"/>
      <c r="H227" s="18"/>
      <c r="I227" s="35"/>
      <c r="J227" s="12"/>
      <c r="N227" s="12"/>
      <c r="O227" s="18"/>
      <c r="P227" s="12"/>
      <c r="Q227" s="12"/>
      <c r="R227" s="12"/>
      <c r="S227" s="36"/>
      <c r="T227" s="36"/>
      <c r="U227" s="12"/>
      <c r="V227" s="12"/>
      <c r="W227" s="12"/>
      <c r="X227" s="12"/>
      <c r="Y227" s="12"/>
    </row>
    <row r="228" customFormat="false" ht="15.75" hidden="false" customHeight="false" outlineLevel="0" collapsed="false">
      <c r="A228" s="12"/>
      <c r="B228" s="34"/>
      <c r="C228" s="12"/>
      <c r="D228" s="12"/>
      <c r="E228" s="12"/>
      <c r="F228" s="12"/>
      <c r="G228" s="18"/>
      <c r="H228" s="18"/>
      <c r="I228" s="35"/>
      <c r="J228" s="12"/>
      <c r="N228" s="12"/>
      <c r="O228" s="18"/>
      <c r="P228" s="12"/>
      <c r="Q228" s="12"/>
      <c r="R228" s="12"/>
      <c r="S228" s="36"/>
      <c r="T228" s="36"/>
      <c r="U228" s="12"/>
      <c r="V228" s="12"/>
      <c r="W228" s="12"/>
      <c r="X228" s="12"/>
      <c r="Y228" s="12"/>
    </row>
    <row r="229" customFormat="false" ht="15.75" hidden="false" customHeight="false" outlineLevel="0" collapsed="false">
      <c r="A229" s="12"/>
      <c r="B229" s="34"/>
      <c r="C229" s="12"/>
      <c r="D229" s="12"/>
      <c r="E229" s="12"/>
      <c r="F229" s="12"/>
      <c r="G229" s="18"/>
      <c r="H229" s="18"/>
      <c r="I229" s="35"/>
      <c r="J229" s="12"/>
      <c r="N229" s="12"/>
      <c r="O229" s="18"/>
      <c r="P229" s="12"/>
      <c r="Q229" s="12"/>
      <c r="R229" s="12"/>
      <c r="S229" s="36"/>
      <c r="T229" s="36"/>
      <c r="U229" s="12"/>
      <c r="V229" s="12"/>
      <c r="W229" s="12"/>
      <c r="X229" s="12"/>
      <c r="Y229" s="12"/>
    </row>
    <row r="230" customFormat="false" ht="15.75" hidden="false" customHeight="false" outlineLevel="0" collapsed="false">
      <c r="A230" s="12"/>
      <c r="B230" s="34"/>
      <c r="C230" s="12"/>
      <c r="D230" s="12"/>
      <c r="E230" s="12"/>
      <c r="F230" s="12"/>
      <c r="G230" s="18"/>
      <c r="H230" s="18"/>
      <c r="I230" s="35"/>
      <c r="J230" s="12"/>
      <c r="N230" s="12"/>
      <c r="O230" s="18"/>
      <c r="P230" s="12"/>
      <c r="Q230" s="12"/>
      <c r="R230" s="12"/>
      <c r="S230" s="36"/>
      <c r="T230" s="36"/>
      <c r="U230" s="12"/>
      <c r="V230" s="12"/>
      <c r="W230" s="12"/>
      <c r="X230" s="12"/>
      <c r="Y230" s="12"/>
    </row>
    <row r="231" customFormat="false" ht="15.75" hidden="false" customHeight="false" outlineLevel="0" collapsed="false">
      <c r="A231" s="12"/>
      <c r="B231" s="34"/>
      <c r="C231" s="12"/>
      <c r="D231" s="12"/>
      <c r="E231" s="12"/>
      <c r="F231" s="12"/>
      <c r="G231" s="18"/>
      <c r="H231" s="18"/>
      <c r="I231" s="35"/>
      <c r="J231" s="12"/>
      <c r="N231" s="12"/>
      <c r="O231" s="18"/>
      <c r="P231" s="12"/>
      <c r="Q231" s="12"/>
      <c r="R231" s="12"/>
      <c r="S231" s="36"/>
      <c r="T231" s="36"/>
      <c r="U231" s="12"/>
      <c r="V231" s="12"/>
      <c r="W231" s="12"/>
      <c r="X231" s="12"/>
      <c r="Y231" s="12"/>
    </row>
    <row r="232" customFormat="false" ht="15.75" hidden="false" customHeight="false" outlineLevel="0" collapsed="false">
      <c r="A232" s="12"/>
      <c r="B232" s="34"/>
      <c r="C232" s="12"/>
      <c r="D232" s="12"/>
      <c r="E232" s="12"/>
      <c r="F232" s="12"/>
      <c r="G232" s="18"/>
      <c r="H232" s="18"/>
      <c r="I232" s="35"/>
      <c r="J232" s="12"/>
      <c r="N232" s="12"/>
      <c r="O232" s="18"/>
      <c r="P232" s="12"/>
      <c r="Q232" s="12"/>
      <c r="R232" s="12"/>
      <c r="S232" s="36"/>
      <c r="T232" s="36"/>
      <c r="U232" s="12"/>
      <c r="V232" s="12"/>
      <c r="W232" s="12"/>
      <c r="X232" s="12"/>
      <c r="Y232" s="12"/>
    </row>
    <row r="233" customFormat="false" ht="15.75" hidden="false" customHeight="false" outlineLevel="0" collapsed="false">
      <c r="A233" s="12"/>
      <c r="B233" s="34"/>
      <c r="C233" s="12"/>
      <c r="D233" s="12"/>
      <c r="E233" s="12"/>
      <c r="F233" s="12"/>
      <c r="G233" s="18"/>
      <c r="H233" s="18"/>
      <c r="I233" s="35"/>
      <c r="J233" s="12"/>
      <c r="N233" s="12"/>
      <c r="O233" s="18"/>
      <c r="P233" s="12"/>
      <c r="Q233" s="12"/>
      <c r="R233" s="12"/>
      <c r="S233" s="36"/>
      <c r="T233" s="36"/>
      <c r="U233" s="12"/>
      <c r="V233" s="12"/>
      <c r="W233" s="12"/>
      <c r="X233" s="12"/>
      <c r="Y233" s="12"/>
    </row>
    <row r="234" customFormat="false" ht="15.75" hidden="false" customHeight="false" outlineLevel="0" collapsed="false">
      <c r="A234" s="12"/>
      <c r="B234" s="34"/>
      <c r="C234" s="12"/>
      <c r="D234" s="12"/>
      <c r="E234" s="12"/>
      <c r="F234" s="12"/>
      <c r="G234" s="18"/>
      <c r="H234" s="18"/>
      <c r="I234" s="35"/>
      <c r="J234" s="12"/>
      <c r="N234" s="12"/>
      <c r="O234" s="18"/>
      <c r="P234" s="12"/>
      <c r="Q234" s="12"/>
      <c r="R234" s="12"/>
      <c r="S234" s="36"/>
      <c r="T234" s="36"/>
      <c r="U234" s="12"/>
      <c r="V234" s="12"/>
      <c r="W234" s="12"/>
      <c r="X234" s="12"/>
      <c r="Y234" s="12"/>
    </row>
    <row r="235" customFormat="false" ht="15.75" hidden="false" customHeight="false" outlineLevel="0" collapsed="false">
      <c r="A235" s="12"/>
      <c r="B235" s="34"/>
      <c r="C235" s="12"/>
      <c r="D235" s="12"/>
      <c r="E235" s="12"/>
      <c r="F235" s="12"/>
      <c r="G235" s="18"/>
      <c r="H235" s="18"/>
      <c r="I235" s="35"/>
      <c r="J235" s="12"/>
      <c r="N235" s="12"/>
      <c r="O235" s="18"/>
      <c r="P235" s="12"/>
      <c r="Q235" s="12"/>
      <c r="R235" s="12"/>
      <c r="S235" s="36"/>
      <c r="T235" s="36"/>
      <c r="U235" s="12"/>
      <c r="V235" s="12"/>
      <c r="W235" s="12"/>
      <c r="X235" s="12"/>
      <c r="Y235" s="12"/>
    </row>
    <row r="236" customFormat="false" ht="15.75" hidden="false" customHeight="false" outlineLevel="0" collapsed="false">
      <c r="A236" s="12"/>
      <c r="B236" s="34"/>
      <c r="C236" s="12"/>
      <c r="D236" s="12"/>
      <c r="E236" s="12"/>
      <c r="F236" s="12"/>
      <c r="G236" s="18"/>
      <c r="H236" s="18"/>
      <c r="I236" s="35"/>
      <c r="J236" s="12"/>
      <c r="N236" s="12"/>
      <c r="O236" s="18"/>
      <c r="P236" s="12"/>
      <c r="Q236" s="12"/>
      <c r="R236" s="12"/>
      <c r="S236" s="36"/>
      <c r="T236" s="36"/>
      <c r="U236" s="12"/>
      <c r="V236" s="12"/>
      <c r="W236" s="12"/>
      <c r="X236" s="12"/>
      <c r="Y236" s="12"/>
    </row>
    <row r="237" customFormat="false" ht="15.75" hidden="false" customHeight="false" outlineLevel="0" collapsed="false">
      <c r="A237" s="12"/>
      <c r="B237" s="34"/>
      <c r="C237" s="12"/>
      <c r="D237" s="12"/>
      <c r="E237" s="12"/>
      <c r="F237" s="12"/>
      <c r="G237" s="18"/>
      <c r="H237" s="18"/>
      <c r="I237" s="35"/>
      <c r="J237" s="12"/>
      <c r="N237" s="12"/>
      <c r="O237" s="18"/>
      <c r="P237" s="12"/>
      <c r="Q237" s="12"/>
      <c r="R237" s="12"/>
      <c r="S237" s="36"/>
      <c r="T237" s="36"/>
      <c r="U237" s="12"/>
      <c r="V237" s="12"/>
      <c r="W237" s="12"/>
      <c r="X237" s="12"/>
      <c r="Y237" s="12"/>
    </row>
    <row r="238" customFormat="false" ht="15.75" hidden="false" customHeight="false" outlineLevel="0" collapsed="false">
      <c r="A238" s="12"/>
      <c r="B238" s="34"/>
      <c r="C238" s="12"/>
      <c r="D238" s="12"/>
      <c r="E238" s="12"/>
      <c r="F238" s="12"/>
      <c r="G238" s="18"/>
      <c r="H238" s="18"/>
      <c r="I238" s="35"/>
      <c r="J238" s="12"/>
      <c r="N238" s="12"/>
      <c r="O238" s="18"/>
      <c r="P238" s="12"/>
      <c r="Q238" s="12"/>
      <c r="R238" s="12"/>
      <c r="S238" s="36"/>
      <c r="T238" s="36"/>
      <c r="U238" s="12"/>
      <c r="V238" s="12"/>
      <c r="W238" s="12"/>
      <c r="X238" s="12"/>
      <c r="Y238" s="12"/>
    </row>
    <row r="239" customFormat="false" ht="15.75" hidden="false" customHeight="false" outlineLevel="0" collapsed="false">
      <c r="A239" s="12"/>
      <c r="B239" s="34"/>
      <c r="C239" s="12"/>
      <c r="D239" s="12"/>
      <c r="E239" s="12"/>
      <c r="F239" s="12"/>
      <c r="G239" s="18"/>
      <c r="H239" s="18"/>
      <c r="I239" s="35"/>
      <c r="J239" s="12"/>
      <c r="N239" s="12"/>
      <c r="O239" s="18"/>
      <c r="P239" s="12"/>
      <c r="Q239" s="12"/>
      <c r="R239" s="12"/>
      <c r="S239" s="36"/>
      <c r="T239" s="36"/>
      <c r="U239" s="12"/>
      <c r="V239" s="12"/>
      <c r="W239" s="12"/>
      <c r="X239" s="12"/>
      <c r="Y239" s="12"/>
    </row>
    <row r="240" customFormat="false" ht="15.75" hidden="false" customHeight="false" outlineLevel="0" collapsed="false">
      <c r="A240" s="12"/>
      <c r="B240" s="34"/>
      <c r="C240" s="12"/>
      <c r="D240" s="12"/>
      <c r="E240" s="12"/>
      <c r="F240" s="12"/>
      <c r="G240" s="18"/>
      <c r="H240" s="18"/>
      <c r="I240" s="35"/>
      <c r="J240" s="12"/>
      <c r="N240" s="12"/>
      <c r="O240" s="18"/>
      <c r="P240" s="12"/>
      <c r="Q240" s="12"/>
      <c r="R240" s="12"/>
      <c r="S240" s="36"/>
      <c r="T240" s="36"/>
      <c r="U240" s="12"/>
      <c r="V240" s="12"/>
      <c r="W240" s="12"/>
      <c r="X240" s="12"/>
      <c r="Y240" s="12"/>
    </row>
    <row r="241" customFormat="false" ht="15.75" hidden="false" customHeight="false" outlineLevel="0" collapsed="false">
      <c r="A241" s="12"/>
      <c r="B241" s="34"/>
      <c r="C241" s="12"/>
      <c r="D241" s="12"/>
      <c r="E241" s="12"/>
      <c r="F241" s="12"/>
      <c r="G241" s="18"/>
      <c r="H241" s="18"/>
      <c r="I241" s="35"/>
      <c r="J241" s="12"/>
      <c r="N241" s="12"/>
      <c r="O241" s="18"/>
      <c r="P241" s="12"/>
      <c r="Q241" s="12"/>
      <c r="R241" s="12"/>
      <c r="S241" s="36"/>
      <c r="T241" s="36"/>
      <c r="U241" s="12"/>
      <c r="V241" s="12"/>
      <c r="W241" s="12"/>
      <c r="X241" s="12"/>
      <c r="Y241" s="12"/>
    </row>
    <row r="242" customFormat="false" ht="15.75" hidden="false" customHeight="false" outlineLevel="0" collapsed="false">
      <c r="A242" s="12"/>
      <c r="B242" s="34"/>
      <c r="C242" s="12"/>
      <c r="D242" s="12"/>
      <c r="E242" s="12"/>
      <c r="F242" s="12"/>
      <c r="G242" s="18"/>
      <c r="H242" s="18"/>
      <c r="I242" s="35"/>
      <c r="J242" s="12"/>
      <c r="N242" s="12"/>
      <c r="O242" s="18"/>
      <c r="P242" s="12"/>
      <c r="Q242" s="12"/>
      <c r="R242" s="12"/>
      <c r="S242" s="36"/>
      <c r="T242" s="36"/>
      <c r="U242" s="12"/>
      <c r="V242" s="12"/>
      <c r="W242" s="12"/>
      <c r="X242" s="12"/>
      <c r="Y242" s="12"/>
    </row>
    <row r="243" customFormat="false" ht="15.75" hidden="false" customHeight="false" outlineLevel="0" collapsed="false">
      <c r="A243" s="12"/>
      <c r="B243" s="34"/>
      <c r="C243" s="12"/>
      <c r="D243" s="12"/>
      <c r="E243" s="12"/>
      <c r="F243" s="12"/>
      <c r="G243" s="18"/>
      <c r="H243" s="18"/>
      <c r="I243" s="35"/>
      <c r="J243" s="12"/>
      <c r="N243" s="12"/>
      <c r="O243" s="18"/>
      <c r="P243" s="12"/>
      <c r="Q243" s="12"/>
      <c r="R243" s="12"/>
      <c r="S243" s="36"/>
      <c r="T243" s="36"/>
      <c r="U243" s="12"/>
      <c r="V243" s="12"/>
      <c r="W243" s="12"/>
      <c r="X243" s="12"/>
      <c r="Y243" s="12"/>
    </row>
    <row r="244" customFormat="false" ht="15.75" hidden="false" customHeight="false" outlineLevel="0" collapsed="false">
      <c r="A244" s="12"/>
      <c r="B244" s="34"/>
      <c r="C244" s="12"/>
      <c r="D244" s="12"/>
      <c r="E244" s="12"/>
      <c r="F244" s="12"/>
      <c r="G244" s="18"/>
      <c r="H244" s="18"/>
      <c r="I244" s="35"/>
      <c r="J244" s="12"/>
      <c r="N244" s="12"/>
      <c r="O244" s="18"/>
      <c r="P244" s="12"/>
      <c r="Q244" s="12"/>
      <c r="R244" s="12"/>
      <c r="S244" s="36"/>
      <c r="T244" s="36"/>
      <c r="U244" s="12"/>
      <c r="V244" s="12"/>
      <c r="W244" s="12"/>
      <c r="X244" s="12"/>
      <c r="Y244" s="12"/>
    </row>
    <row r="245" customFormat="false" ht="15.75" hidden="false" customHeight="false" outlineLevel="0" collapsed="false">
      <c r="A245" s="12"/>
      <c r="B245" s="34"/>
      <c r="C245" s="12"/>
      <c r="D245" s="12"/>
      <c r="E245" s="12"/>
      <c r="F245" s="12"/>
      <c r="G245" s="18"/>
      <c r="H245" s="18"/>
      <c r="I245" s="35"/>
      <c r="J245" s="12"/>
      <c r="N245" s="12"/>
      <c r="O245" s="18"/>
      <c r="P245" s="12"/>
      <c r="Q245" s="12"/>
      <c r="R245" s="12"/>
      <c r="S245" s="36"/>
      <c r="T245" s="36"/>
      <c r="U245" s="12"/>
      <c r="V245" s="12"/>
      <c r="W245" s="12"/>
      <c r="X245" s="12"/>
      <c r="Y245" s="12"/>
    </row>
    <row r="246" customFormat="false" ht="15.75" hidden="false" customHeight="false" outlineLevel="0" collapsed="false">
      <c r="A246" s="12"/>
      <c r="B246" s="34"/>
      <c r="C246" s="12"/>
      <c r="D246" s="12"/>
      <c r="E246" s="12"/>
      <c r="F246" s="12"/>
      <c r="G246" s="18"/>
      <c r="H246" s="18"/>
      <c r="I246" s="35"/>
      <c r="J246" s="12"/>
      <c r="N246" s="12"/>
      <c r="O246" s="18"/>
      <c r="P246" s="12"/>
      <c r="Q246" s="12"/>
      <c r="R246" s="12"/>
      <c r="S246" s="36"/>
      <c r="T246" s="36"/>
      <c r="U246" s="12"/>
      <c r="V246" s="12"/>
      <c r="W246" s="12"/>
      <c r="X246" s="12"/>
      <c r="Y246" s="12"/>
    </row>
    <row r="247" customFormat="false" ht="15.75" hidden="false" customHeight="false" outlineLevel="0" collapsed="false">
      <c r="A247" s="12"/>
      <c r="B247" s="34"/>
      <c r="C247" s="12"/>
      <c r="D247" s="12"/>
      <c r="E247" s="12"/>
      <c r="F247" s="12"/>
      <c r="G247" s="18"/>
      <c r="H247" s="18"/>
      <c r="I247" s="35"/>
      <c r="J247" s="12"/>
      <c r="N247" s="12"/>
      <c r="O247" s="18"/>
      <c r="P247" s="12"/>
      <c r="Q247" s="12"/>
      <c r="R247" s="12"/>
      <c r="S247" s="36"/>
      <c r="T247" s="36"/>
      <c r="U247" s="12"/>
      <c r="V247" s="12"/>
      <c r="W247" s="12"/>
      <c r="X247" s="12"/>
      <c r="Y247" s="12"/>
    </row>
    <row r="248" customFormat="false" ht="15.75" hidden="false" customHeight="false" outlineLevel="0" collapsed="false">
      <c r="A248" s="12"/>
      <c r="B248" s="34"/>
      <c r="C248" s="12"/>
      <c r="D248" s="12"/>
      <c r="E248" s="12"/>
      <c r="F248" s="12"/>
      <c r="G248" s="18"/>
      <c r="H248" s="18"/>
      <c r="I248" s="35"/>
      <c r="J248" s="12"/>
      <c r="N248" s="12"/>
      <c r="O248" s="18"/>
      <c r="P248" s="12"/>
      <c r="Q248" s="12"/>
      <c r="R248" s="12"/>
      <c r="S248" s="36"/>
      <c r="T248" s="36"/>
      <c r="U248" s="12"/>
      <c r="V248" s="12"/>
      <c r="W248" s="12"/>
      <c r="X248" s="12"/>
      <c r="Y248" s="12"/>
    </row>
    <row r="249" customFormat="false" ht="15.75" hidden="false" customHeight="false" outlineLevel="0" collapsed="false">
      <c r="A249" s="12"/>
      <c r="B249" s="34"/>
      <c r="C249" s="12"/>
      <c r="D249" s="12"/>
      <c r="E249" s="12"/>
      <c r="F249" s="12"/>
      <c r="G249" s="18"/>
      <c r="H249" s="18"/>
      <c r="I249" s="35"/>
      <c r="J249" s="12"/>
      <c r="N249" s="12"/>
      <c r="O249" s="18"/>
      <c r="P249" s="12"/>
      <c r="Q249" s="12"/>
      <c r="R249" s="12"/>
      <c r="S249" s="36"/>
      <c r="T249" s="36"/>
      <c r="U249" s="12"/>
      <c r="V249" s="12"/>
      <c r="W249" s="12"/>
      <c r="X249" s="12"/>
      <c r="Y249" s="12"/>
    </row>
    <row r="250" customFormat="false" ht="15.75" hidden="false" customHeight="false" outlineLevel="0" collapsed="false">
      <c r="A250" s="12"/>
      <c r="B250" s="34"/>
      <c r="C250" s="12"/>
      <c r="D250" s="12"/>
      <c r="E250" s="12"/>
      <c r="F250" s="12"/>
      <c r="G250" s="18"/>
      <c r="H250" s="18"/>
      <c r="I250" s="35"/>
      <c r="J250" s="12"/>
      <c r="N250" s="12"/>
      <c r="O250" s="18"/>
      <c r="P250" s="12"/>
      <c r="Q250" s="12"/>
      <c r="R250" s="12"/>
      <c r="S250" s="36"/>
      <c r="T250" s="36"/>
      <c r="U250" s="12"/>
      <c r="V250" s="12"/>
      <c r="W250" s="12"/>
      <c r="X250" s="12"/>
      <c r="Y250" s="12"/>
    </row>
    <row r="251" customFormat="false" ht="15.75" hidden="false" customHeight="false" outlineLevel="0" collapsed="false">
      <c r="A251" s="12"/>
      <c r="B251" s="34"/>
      <c r="C251" s="12"/>
      <c r="D251" s="12"/>
      <c r="E251" s="12"/>
      <c r="F251" s="12"/>
      <c r="G251" s="18"/>
      <c r="H251" s="18"/>
      <c r="I251" s="35"/>
      <c r="J251" s="12"/>
      <c r="N251" s="12"/>
      <c r="O251" s="18"/>
      <c r="P251" s="12"/>
      <c r="Q251" s="12"/>
      <c r="R251" s="12"/>
      <c r="S251" s="36"/>
      <c r="T251" s="36"/>
      <c r="U251" s="12"/>
      <c r="V251" s="12"/>
      <c r="W251" s="12"/>
      <c r="X251" s="12"/>
      <c r="Y251" s="12"/>
    </row>
    <row r="252" customFormat="false" ht="15.75" hidden="false" customHeight="false" outlineLevel="0" collapsed="false">
      <c r="A252" s="12"/>
      <c r="B252" s="34"/>
      <c r="C252" s="12"/>
      <c r="D252" s="12"/>
      <c r="E252" s="12"/>
      <c r="F252" s="12"/>
      <c r="G252" s="18"/>
      <c r="H252" s="18"/>
      <c r="I252" s="35"/>
      <c r="J252" s="12"/>
      <c r="N252" s="12"/>
      <c r="O252" s="18"/>
      <c r="P252" s="12"/>
      <c r="Q252" s="12"/>
      <c r="R252" s="12"/>
      <c r="S252" s="36"/>
      <c r="T252" s="36"/>
      <c r="U252" s="12"/>
      <c r="V252" s="12"/>
      <c r="W252" s="12"/>
      <c r="X252" s="12"/>
      <c r="Y252" s="12"/>
    </row>
    <row r="253" customFormat="false" ht="15.75" hidden="false" customHeight="false" outlineLevel="0" collapsed="false">
      <c r="A253" s="12"/>
      <c r="B253" s="34"/>
      <c r="C253" s="12"/>
      <c r="D253" s="12"/>
      <c r="E253" s="12"/>
      <c r="F253" s="12"/>
      <c r="G253" s="18"/>
      <c r="H253" s="18"/>
      <c r="I253" s="35"/>
      <c r="J253" s="12"/>
      <c r="N253" s="12"/>
      <c r="O253" s="18"/>
      <c r="P253" s="12"/>
      <c r="Q253" s="12"/>
      <c r="R253" s="12"/>
      <c r="S253" s="36"/>
      <c r="T253" s="36"/>
      <c r="U253" s="12"/>
      <c r="V253" s="12"/>
      <c r="W253" s="12"/>
      <c r="X253" s="12"/>
      <c r="Y253" s="12"/>
    </row>
    <row r="254" customFormat="false" ht="15.75" hidden="false" customHeight="false" outlineLevel="0" collapsed="false">
      <c r="A254" s="12"/>
      <c r="B254" s="34"/>
      <c r="C254" s="12"/>
      <c r="D254" s="12"/>
      <c r="E254" s="12"/>
      <c r="F254" s="12"/>
      <c r="G254" s="18"/>
      <c r="H254" s="18"/>
      <c r="I254" s="35"/>
      <c r="J254" s="12"/>
      <c r="N254" s="12"/>
      <c r="O254" s="18"/>
      <c r="P254" s="12"/>
      <c r="Q254" s="12"/>
      <c r="R254" s="12"/>
      <c r="S254" s="36"/>
      <c r="T254" s="36"/>
      <c r="U254" s="12"/>
      <c r="V254" s="12"/>
      <c r="W254" s="12"/>
      <c r="X254" s="12"/>
      <c r="Y254" s="12"/>
    </row>
    <row r="255" customFormat="false" ht="15.75" hidden="false" customHeight="false" outlineLevel="0" collapsed="false">
      <c r="A255" s="12"/>
      <c r="B255" s="34"/>
      <c r="C255" s="12"/>
      <c r="D255" s="12"/>
      <c r="E255" s="12"/>
      <c r="F255" s="12"/>
      <c r="G255" s="18"/>
      <c r="H255" s="18"/>
      <c r="I255" s="35"/>
      <c r="J255" s="12"/>
      <c r="N255" s="12"/>
      <c r="O255" s="18"/>
      <c r="P255" s="12"/>
      <c r="Q255" s="12"/>
      <c r="R255" s="12"/>
      <c r="S255" s="36"/>
      <c r="T255" s="36"/>
      <c r="U255" s="12"/>
      <c r="V255" s="12"/>
      <c r="W255" s="12"/>
      <c r="X255" s="12"/>
      <c r="Y255" s="12"/>
    </row>
    <row r="256" customFormat="false" ht="15.75" hidden="false" customHeight="false" outlineLevel="0" collapsed="false">
      <c r="A256" s="12"/>
      <c r="B256" s="34"/>
      <c r="C256" s="12"/>
      <c r="D256" s="12"/>
      <c r="E256" s="12"/>
      <c r="F256" s="12"/>
      <c r="G256" s="18"/>
      <c r="H256" s="18"/>
      <c r="I256" s="35"/>
      <c r="J256" s="12"/>
      <c r="N256" s="12"/>
      <c r="O256" s="18"/>
      <c r="P256" s="12"/>
      <c r="Q256" s="12"/>
      <c r="R256" s="12"/>
      <c r="S256" s="36"/>
      <c r="T256" s="36"/>
      <c r="U256" s="12"/>
      <c r="V256" s="12"/>
      <c r="W256" s="12"/>
      <c r="X256" s="12"/>
      <c r="Y256" s="12"/>
    </row>
    <row r="257" customFormat="false" ht="15.75" hidden="false" customHeight="false" outlineLevel="0" collapsed="false">
      <c r="A257" s="12"/>
      <c r="B257" s="34"/>
      <c r="C257" s="12"/>
      <c r="D257" s="12"/>
      <c r="E257" s="12"/>
      <c r="F257" s="12"/>
      <c r="G257" s="18"/>
      <c r="H257" s="18"/>
      <c r="I257" s="35"/>
      <c r="J257" s="12"/>
      <c r="N257" s="12"/>
      <c r="O257" s="18"/>
      <c r="P257" s="12"/>
      <c r="Q257" s="12"/>
      <c r="R257" s="12"/>
      <c r="S257" s="36"/>
      <c r="T257" s="36"/>
      <c r="U257" s="12"/>
      <c r="V257" s="12"/>
      <c r="W257" s="12"/>
      <c r="X257" s="12"/>
      <c r="Y257" s="12"/>
    </row>
    <row r="258" customFormat="false" ht="15.75" hidden="false" customHeight="false" outlineLevel="0" collapsed="false">
      <c r="A258" s="12"/>
      <c r="B258" s="34"/>
      <c r="C258" s="12"/>
      <c r="D258" s="12"/>
      <c r="E258" s="12"/>
      <c r="F258" s="12"/>
      <c r="G258" s="18"/>
      <c r="H258" s="18"/>
      <c r="I258" s="35"/>
      <c r="J258" s="12"/>
      <c r="N258" s="12"/>
      <c r="O258" s="18"/>
      <c r="P258" s="12"/>
      <c r="Q258" s="12"/>
      <c r="R258" s="12"/>
      <c r="S258" s="36"/>
      <c r="T258" s="36"/>
      <c r="U258" s="12"/>
      <c r="V258" s="12"/>
      <c r="W258" s="12"/>
      <c r="X258" s="12"/>
      <c r="Y258" s="12"/>
    </row>
    <row r="259" customFormat="false" ht="15.75" hidden="false" customHeight="false" outlineLevel="0" collapsed="false">
      <c r="A259" s="12"/>
      <c r="B259" s="34"/>
      <c r="C259" s="12"/>
      <c r="D259" s="12"/>
      <c r="E259" s="12"/>
      <c r="F259" s="12"/>
      <c r="G259" s="18"/>
      <c r="H259" s="18"/>
      <c r="I259" s="35"/>
      <c r="J259" s="12"/>
      <c r="N259" s="12"/>
      <c r="O259" s="18"/>
      <c r="P259" s="12"/>
      <c r="Q259" s="12"/>
      <c r="R259" s="12"/>
      <c r="S259" s="36"/>
      <c r="T259" s="36"/>
      <c r="U259" s="12"/>
      <c r="V259" s="12"/>
      <c r="W259" s="12"/>
      <c r="X259" s="12"/>
      <c r="Y259" s="12"/>
    </row>
    <row r="260" customFormat="false" ht="15.75" hidden="false" customHeight="false" outlineLevel="0" collapsed="false">
      <c r="A260" s="12"/>
      <c r="B260" s="34"/>
      <c r="C260" s="12"/>
      <c r="D260" s="12"/>
      <c r="E260" s="12"/>
      <c r="F260" s="12"/>
      <c r="G260" s="18"/>
      <c r="H260" s="18"/>
      <c r="I260" s="35"/>
      <c r="J260" s="12"/>
      <c r="N260" s="12"/>
      <c r="O260" s="18"/>
      <c r="P260" s="12"/>
      <c r="Q260" s="12"/>
      <c r="R260" s="12"/>
      <c r="S260" s="36"/>
      <c r="T260" s="36"/>
      <c r="U260" s="12"/>
      <c r="V260" s="12"/>
      <c r="W260" s="12"/>
      <c r="X260" s="12"/>
      <c r="Y260" s="12"/>
    </row>
    <row r="261" customFormat="false" ht="15.75" hidden="false" customHeight="false" outlineLevel="0" collapsed="false">
      <c r="A261" s="12"/>
      <c r="B261" s="34"/>
      <c r="C261" s="12"/>
      <c r="D261" s="12"/>
      <c r="E261" s="12"/>
      <c r="F261" s="12"/>
      <c r="G261" s="18"/>
      <c r="H261" s="18"/>
      <c r="I261" s="35"/>
      <c r="J261" s="12"/>
      <c r="N261" s="12"/>
      <c r="O261" s="18"/>
      <c r="P261" s="12"/>
      <c r="Q261" s="12"/>
      <c r="R261" s="12"/>
      <c r="S261" s="36"/>
      <c r="T261" s="36"/>
      <c r="U261" s="12"/>
      <c r="V261" s="12"/>
      <c r="W261" s="12"/>
      <c r="X261" s="12"/>
      <c r="Y261" s="12"/>
    </row>
    <row r="262" customFormat="false" ht="15.75" hidden="false" customHeight="false" outlineLevel="0" collapsed="false">
      <c r="A262" s="12"/>
      <c r="B262" s="34"/>
      <c r="C262" s="12"/>
      <c r="D262" s="12"/>
      <c r="E262" s="12"/>
      <c r="F262" s="12"/>
      <c r="G262" s="18"/>
      <c r="H262" s="18"/>
      <c r="I262" s="35"/>
      <c r="J262" s="12"/>
      <c r="N262" s="12"/>
      <c r="O262" s="18"/>
      <c r="P262" s="12"/>
      <c r="Q262" s="12"/>
      <c r="R262" s="12"/>
      <c r="S262" s="36"/>
      <c r="T262" s="36"/>
      <c r="U262" s="12"/>
      <c r="V262" s="12"/>
      <c r="W262" s="12"/>
      <c r="X262" s="12"/>
      <c r="Y262" s="12"/>
    </row>
    <row r="263" customFormat="false" ht="15.75" hidden="false" customHeight="false" outlineLevel="0" collapsed="false">
      <c r="A263" s="12"/>
      <c r="B263" s="34"/>
      <c r="C263" s="12"/>
      <c r="D263" s="12"/>
      <c r="E263" s="12"/>
      <c r="F263" s="12"/>
      <c r="G263" s="18"/>
      <c r="H263" s="18"/>
      <c r="I263" s="35"/>
      <c r="J263" s="12"/>
      <c r="N263" s="12"/>
      <c r="O263" s="18"/>
      <c r="P263" s="12"/>
      <c r="Q263" s="12"/>
      <c r="R263" s="12"/>
      <c r="S263" s="36"/>
      <c r="T263" s="36"/>
      <c r="U263" s="12"/>
      <c r="V263" s="12"/>
      <c r="W263" s="12"/>
      <c r="X263" s="12"/>
      <c r="Y263" s="12"/>
    </row>
    <row r="264" customFormat="false" ht="15.75" hidden="false" customHeight="false" outlineLevel="0" collapsed="false">
      <c r="A264" s="12"/>
      <c r="B264" s="34"/>
      <c r="C264" s="12"/>
      <c r="D264" s="12"/>
      <c r="E264" s="12"/>
      <c r="F264" s="12"/>
      <c r="G264" s="18"/>
      <c r="H264" s="18"/>
      <c r="I264" s="35"/>
      <c r="J264" s="12"/>
      <c r="N264" s="12"/>
      <c r="O264" s="18"/>
      <c r="P264" s="12"/>
      <c r="Q264" s="12"/>
      <c r="R264" s="12"/>
      <c r="S264" s="36"/>
      <c r="T264" s="36"/>
      <c r="U264" s="12"/>
      <c r="V264" s="12"/>
      <c r="W264" s="12"/>
      <c r="X264" s="12"/>
      <c r="Y264" s="12"/>
    </row>
    <row r="265" customFormat="false" ht="15.75" hidden="false" customHeight="false" outlineLevel="0" collapsed="false">
      <c r="A265" s="12"/>
      <c r="B265" s="34"/>
      <c r="C265" s="12"/>
      <c r="D265" s="12"/>
      <c r="E265" s="12"/>
      <c r="F265" s="12"/>
      <c r="G265" s="18"/>
      <c r="H265" s="18"/>
      <c r="I265" s="35"/>
      <c r="J265" s="12"/>
      <c r="N265" s="12"/>
      <c r="O265" s="18"/>
      <c r="P265" s="12"/>
      <c r="Q265" s="12"/>
      <c r="R265" s="12"/>
      <c r="S265" s="36"/>
      <c r="T265" s="36"/>
      <c r="U265" s="12"/>
      <c r="V265" s="12"/>
      <c r="W265" s="12"/>
      <c r="X265" s="12"/>
      <c r="Y265" s="12"/>
    </row>
    <row r="266" customFormat="false" ht="15.75" hidden="false" customHeight="false" outlineLevel="0" collapsed="false">
      <c r="A266" s="12"/>
      <c r="B266" s="34"/>
      <c r="C266" s="12"/>
      <c r="D266" s="12"/>
      <c r="E266" s="12"/>
      <c r="F266" s="12"/>
      <c r="G266" s="18"/>
      <c r="H266" s="18"/>
      <c r="I266" s="35"/>
      <c r="J266" s="12"/>
      <c r="N266" s="12"/>
      <c r="O266" s="18"/>
      <c r="P266" s="12"/>
      <c r="Q266" s="12"/>
      <c r="R266" s="12"/>
      <c r="S266" s="36"/>
      <c r="T266" s="36"/>
      <c r="U266" s="12"/>
      <c r="V266" s="12"/>
      <c r="W266" s="12"/>
      <c r="X266" s="12"/>
      <c r="Y266" s="12"/>
    </row>
    <row r="267" customFormat="false" ht="15.75" hidden="false" customHeight="false" outlineLevel="0" collapsed="false">
      <c r="A267" s="12"/>
      <c r="B267" s="34"/>
      <c r="C267" s="12"/>
      <c r="D267" s="12"/>
      <c r="E267" s="12"/>
      <c r="F267" s="12"/>
      <c r="G267" s="18"/>
      <c r="H267" s="18"/>
      <c r="I267" s="35"/>
      <c r="J267" s="12"/>
      <c r="N267" s="12"/>
      <c r="O267" s="18"/>
      <c r="P267" s="12"/>
      <c r="Q267" s="12"/>
      <c r="R267" s="12"/>
      <c r="S267" s="36"/>
      <c r="T267" s="36"/>
      <c r="U267" s="12"/>
      <c r="V267" s="12"/>
      <c r="W267" s="12"/>
      <c r="X267" s="12"/>
      <c r="Y267" s="12"/>
    </row>
    <row r="268" customFormat="false" ht="15.75" hidden="false" customHeight="false" outlineLevel="0" collapsed="false">
      <c r="A268" s="12"/>
      <c r="B268" s="34"/>
      <c r="C268" s="12"/>
      <c r="D268" s="12"/>
      <c r="E268" s="12"/>
      <c r="F268" s="12"/>
      <c r="G268" s="18"/>
      <c r="H268" s="18"/>
      <c r="I268" s="35"/>
      <c r="J268" s="12"/>
      <c r="N268" s="12"/>
      <c r="O268" s="18"/>
      <c r="P268" s="12"/>
      <c r="Q268" s="12"/>
      <c r="R268" s="12"/>
      <c r="S268" s="36"/>
      <c r="T268" s="36"/>
      <c r="U268" s="12"/>
      <c r="V268" s="12"/>
      <c r="W268" s="12"/>
      <c r="X268" s="12"/>
      <c r="Y268" s="12"/>
    </row>
    <row r="269" customFormat="false" ht="15.75" hidden="false" customHeight="false" outlineLevel="0" collapsed="false">
      <c r="A269" s="12"/>
      <c r="B269" s="34"/>
      <c r="C269" s="12"/>
      <c r="D269" s="12"/>
      <c r="E269" s="12"/>
      <c r="F269" s="12"/>
      <c r="G269" s="18"/>
      <c r="H269" s="18"/>
      <c r="I269" s="35"/>
      <c r="J269" s="12"/>
      <c r="N269" s="12"/>
      <c r="O269" s="18"/>
      <c r="P269" s="12"/>
      <c r="Q269" s="12"/>
      <c r="R269" s="12"/>
      <c r="S269" s="36"/>
      <c r="T269" s="36"/>
      <c r="U269" s="12"/>
      <c r="V269" s="12"/>
      <c r="W269" s="12"/>
      <c r="X269" s="12"/>
      <c r="Y269" s="12"/>
    </row>
    <row r="270" customFormat="false" ht="15.75" hidden="false" customHeight="false" outlineLevel="0" collapsed="false">
      <c r="A270" s="12"/>
      <c r="B270" s="34"/>
      <c r="C270" s="12"/>
      <c r="D270" s="12"/>
      <c r="E270" s="12"/>
      <c r="F270" s="12"/>
      <c r="G270" s="18"/>
      <c r="H270" s="18"/>
      <c r="I270" s="35"/>
      <c r="J270" s="12"/>
      <c r="N270" s="12"/>
      <c r="O270" s="18"/>
      <c r="P270" s="12"/>
      <c r="Q270" s="12"/>
      <c r="R270" s="12"/>
      <c r="S270" s="36"/>
      <c r="T270" s="36"/>
      <c r="U270" s="12"/>
      <c r="V270" s="12"/>
      <c r="W270" s="12"/>
      <c r="X270" s="12"/>
      <c r="Y270" s="12"/>
    </row>
    <row r="271" customFormat="false" ht="15.75" hidden="false" customHeight="false" outlineLevel="0" collapsed="false">
      <c r="A271" s="12"/>
      <c r="B271" s="34"/>
      <c r="C271" s="12"/>
      <c r="D271" s="12"/>
      <c r="E271" s="12"/>
      <c r="F271" s="12"/>
      <c r="G271" s="18"/>
      <c r="H271" s="18"/>
      <c r="I271" s="35"/>
      <c r="J271" s="12"/>
      <c r="N271" s="12"/>
      <c r="O271" s="18"/>
      <c r="P271" s="12"/>
      <c r="Q271" s="12"/>
      <c r="R271" s="12"/>
      <c r="S271" s="36"/>
      <c r="T271" s="36"/>
      <c r="U271" s="12"/>
      <c r="V271" s="12"/>
      <c r="W271" s="12"/>
      <c r="X271" s="12"/>
      <c r="Y271" s="12"/>
    </row>
    <row r="272" customFormat="false" ht="15.75" hidden="false" customHeight="false" outlineLevel="0" collapsed="false">
      <c r="A272" s="12"/>
      <c r="B272" s="34"/>
      <c r="C272" s="12"/>
      <c r="D272" s="12"/>
      <c r="E272" s="12"/>
      <c r="F272" s="12"/>
      <c r="G272" s="18"/>
      <c r="H272" s="18"/>
      <c r="I272" s="35"/>
      <c r="J272" s="12"/>
      <c r="N272" s="12"/>
      <c r="O272" s="18"/>
      <c r="P272" s="12"/>
      <c r="Q272" s="12"/>
      <c r="R272" s="12"/>
      <c r="S272" s="36"/>
      <c r="T272" s="36"/>
      <c r="U272" s="12"/>
      <c r="V272" s="12"/>
      <c r="W272" s="12"/>
      <c r="X272" s="12"/>
      <c r="Y272" s="12"/>
    </row>
    <row r="273" customFormat="false" ht="15.75" hidden="false" customHeight="false" outlineLevel="0" collapsed="false">
      <c r="A273" s="12"/>
      <c r="B273" s="34"/>
      <c r="C273" s="12"/>
      <c r="D273" s="12"/>
      <c r="E273" s="12"/>
      <c r="F273" s="12"/>
      <c r="G273" s="18"/>
      <c r="H273" s="18"/>
      <c r="I273" s="35"/>
      <c r="J273" s="12"/>
      <c r="N273" s="12"/>
      <c r="O273" s="18"/>
      <c r="P273" s="12"/>
      <c r="Q273" s="12"/>
      <c r="R273" s="12"/>
      <c r="S273" s="36"/>
      <c r="T273" s="36"/>
      <c r="U273" s="12"/>
      <c r="V273" s="12"/>
      <c r="W273" s="12"/>
      <c r="X273" s="12"/>
      <c r="Y273" s="12"/>
    </row>
    <row r="274" customFormat="false" ht="15.75" hidden="false" customHeight="false" outlineLevel="0" collapsed="false">
      <c r="A274" s="12"/>
      <c r="B274" s="34"/>
      <c r="C274" s="12"/>
      <c r="D274" s="12"/>
      <c r="E274" s="12"/>
      <c r="F274" s="12"/>
      <c r="G274" s="18"/>
      <c r="H274" s="18"/>
      <c r="I274" s="35"/>
      <c r="J274" s="12"/>
      <c r="N274" s="12"/>
      <c r="O274" s="18"/>
      <c r="P274" s="12"/>
      <c r="Q274" s="12"/>
      <c r="R274" s="12"/>
      <c r="S274" s="36"/>
      <c r="T274" s="36"/>
      <c r="U274" s="12"/>
      <c r="V274" s="12"/>
      <c r="W274" s="12"/>
      <c r="X274" s="12"/>
      <c r="Y274" s="12"/>
    </row>
    <row r="275" customFormat="false" ht="15.75" hidden="false" customHeight="false" outlineLevel="0" collapsed="false">
      <c r="A275" s="12"/>
      <c r="B275" s="34"/>
      <c r="C275" s="12"/>
      <c r="D275" s="12"/>
      <c r="E275" s="12"/>
      <c r="F275" s="12"/>
      <c r="G275" s="18"/>
      <c r="H275" s="18"/>
      <c r="I275" s="35"/>
      <c r="J275" s="12"/>
      <c r="N275" s="12"/>
      <c r="O275" s="18"/>
      <c r="P275" s="12"/>
      <c r="Q275" s="12"/>
      <c r="R275" s="12"/>
      <c r="S275" s="36"/>
      <c r="T275" s="36"/>
      <c r="U275" s="12"/>
      <c r="V275" s="12"/>
      <c r="W275" s="12"/>
      <c r="X275" s="12"/>
      <c r="Y275" s="12"/>
    </row>
    <row r="276" customFormat="false" ht="15.75" hidden="false" customHeight="false" outlineLevel="0" collapsed="false">
      <c r="A276" s="12"/>
      <c r="B276" s="34"/>
      <c r="C276" s="12"/>
      <c r="D276" s="12"/>
      <c r="E276" s="12"/>
      <c r="F276" s="12"/>
      <c r="G276" s="18"/>
      <c r="H276" s="18"/>
      <c r="I276" s="35"/>
      <c r="J276" s="12"/>
      <c r="N276" s="12"/>
      <c r="O276" s="18"/>
      <c r="P276" s="12"/>
      <c r="Q276" s="12"/>
      <c r="R276" s="12"/>
      <c r="S276" s="36"/>
      <c r="T276" s="36"/>
      <c r="U276" s="12"/>
      <c r="V276" s="12"/>
      <c r="W276" s="12"/>
      <c r="X276" s="12"/>
      <c r="Y276" s="12"/>
    </row>
    <row r="277" customFormat="false" ht="15.75" hidden="false" customHeight="false" outlineLevel="0" collapsed="false">
      <c r="A277" s="12"/>
      <c r="B277" s="34"/>
      <c r="C277" s="12"/>
      <c r="D277" s="12"/>
      <c r="E277" s="12"/>
      <c r="F277" s="12"/>
      <c r="G277" s="18"/>
      <c r="H277" s="18"/>
      <c r="I277" s="35"/>
      <c r="J277" s="12"/>
      <c r="N277" s="12"/>
      <c r="O277" s="18"/>
      <c r="P277" s="12"/>
      <c r="Q277" s="12"/>
      <c r="R277" s="12"/>
      <c r="S277" s="36"/>
      <c r="T277" s="36"/>
      <c r="U277" s="12"/>
      <c r="V277" s="12"/>
      <c r="W277" s="12"/>
      <c r="X277" s="12"/>
      <c r="Y277" s="12"/>
    </row>
    <row r="278" customFormat="false" ht="15.75" hidden="false" customHeight="false" outlineLevel="0" collapsed="false">
      <c r="A278" s="12"/>
      <c r="B278" s="34"/>
      <c r="C278" s="12"/>
      <c r="D278" s="12"/>
      <c r="E278" s="12"/>
      <c r="F278" s="12"/>
      <c r="G278" s="18"/>
      <c r="H278" s="18"/>
      <c r="I278" s="35"/>
      <c r="J278" s="12"/>
      <c r="N278" s="12"/>
      <c r="O278" s="18"/>
      <c r="P278" s="12"/>
      <c r="Q278" s="12"/>
      <c r="R278" s="12"/>
      <c r="S278" s="36"/>
      <c r="T278" s="36"/>
      <c r="U278" s="12"/>
      <c r="V278" s="12"/>
      <c r="W278" s="12"/>
      <c r="X278" s="12"/>
      <c r="Y278" s="12"/>
    </row>
    <row r="279" customFormat="false" ht="15.75" hidden="false" customHeight="false" outlineLevel="0" collapsed="false">
      <c r="A279" s="12"/>
      <c r="B279" s="34"/>
      <c r="C279" s="12"/>
      <c r="D279" s="12"/>
      <c r="E279" s="12"/>
      <c r="F279" s="12"/>
      <c r="G279" s="18"/>
      <c r="H279" s="18"/>
      <c r="I279" s="35"/>
      <c r="J279" s="12"/>
      <c r="N279" s="12"/>
      <c r="O279" s="18"/>
      <c r="P279" s="12"/>
      <c r="Q279" s="12"/>
      <c r="R279" s="12"/>
      <c r="S279" s="36"/>
      <c r="T279" s="36"/>
      <c r="U279" s="12"/>
      <c r="V279" s="12"/>
      <c r="W279" s="12"/>
      <c r="X279" s="12"/>
      <c r="Y279" s="12"/>
    </row>
    <row r="280" customFormat="false" ht="15.75" hidden="false" customHeight="false" outlineLevel="0" collapsed="false">
      <c r="A280" s="12"/>
      <c r="B280" s="34"/>
      <c r="C280" s="12"/>
      <c r="D280" s="12"/>
      <c r="E280" s="12"/>
      <c r="F280" s="12"/>
      <c r="G280" s="18"/>
      <c r="H280" s="18"/>
      <c r="I280" s="35"/>
      <c r="J280" s="12"/>
      <c r="N280" s="12"/>
      <c r="O280" s="18"/>
      <c r="P280" s="12"/>
      <c r="Q280" s="12"/>
      <c r="R280" s="12"/>
      <c r="S280" s="36"/>
      <c r="T280" s="36"/>
      <c r="U280" s="12"/>
      <c r="V280" s="12"/>
      <c r="W280" s="12"/>
      <c r="X280" s="12"/>
      <c r="Y280" s="12"/>
    </row>
    <row r="281" customFormat="false" ht="15.75" hidden="false" customHeight="false" outlineLevel="0" collapsed="false">
      <c r="A281" s="12"/>
      <c r="B281" s="34"/>
      <c r="C281" s="12"/>
      <c r="D281" s="12"/>
      <c r="E281" s="12"/>
      <c r="F281" s="12"/>
      <c r="G281" s="18"/>
      <c r="H281" s="18"/>
      <c r="I281" s="35"/>
      <c r="J281" s="12"/>
      <c r="N281" s="12"/>
      <c r="O281" s="18"/>
      <c r="P281" s="12"/>
      <c r="Q281" s="12"/>
      <c r="R281" s="12"/>
      <c r="S281" s="36"/>
      <c r="T281" s="36"/>
      <c r="U281" s="12"/>
      <c r="V281" s="12"/>
      <c r="W281" s="12"/>
      <c r="X281" s="12"/>
      <c r="Y281" s="12"/>
    </row>
    <row r="282" customFormat="false" ht="15.75" hidden="false" customHeight="false" outlineLevel="0" collapsed="false">
      <c r="A282" s="12"/>
      <c r="B282" s="34"/>
      <c r="C282" s="12"/>
      <c r="D282" s="12"/>
      <c r="E282" s="12"/>
      <c r="F282" s="12"/>
      <c r="G282" s="18"/>
      <c r="H282" s="18"/>
      <c r="I282" s="35"/>
      <c r="J282" s="12"/>
      <c r="N282" s="12"/>
      <c r="O282" s="18"/>
      <c r="P282" s="12"/>
      <c r="Q282" s="12"/>
      <c r="R282" s="12"/>
      <c r="S282" s="36"/>
      <c r="T282" s="36"/>
      <c r="U282" s="12"/>
      <c r="V282" s="12"/>
      <c r="W282" s="12"/>
      <c r="X282" s="12"/>
      <c r="Y282" s="12"/>
    </row>
    <row r="283" customFormat="false" ht="15.75" hidden="false" customHeight="false" outlineLevel="0" collapsed="false">
      <c r="A283" s="12"/>
      <c r="B283" s="34"/>
      <c r="C283" s="12"/>
      <c r="D283" s="12"/>
      <c r="E283" s="12"/>
      <c r="F283" s="12"/>
      <c r="G283" s="18"/>
      <c r="H283" s="18"/>
      <c r="I283" s="35"/>
      <c r="J283" s="12"/>
      <c r="N283" s="12"/>
      <c r="O283" s="18"/>
      <c r="P283" s="12"/>
      <c r="Q283" s="12"/>
      <c r="R283" s="12"/>
      <c r="S283" s="36"/>
      <c r="T283" s="36"/>
      <c r="U283" s="12"/>
      <c r="V283" s="12"/>
      <c r="W283" s="12"/>
      <c r="X283" s="12"/>
      <c r="Y283" s="12"/>
    </row>
    <row r="284" customFormat="false" ht="15.75" hidden="false" customHeight="false" outlineLevel="0" collapsed="false">
      <c r="A284" s="12"/>
      <c r="B284" s="34"/>
      <c r="C284" s="12"/>
      <c r="D284" s="12"/>
      <c r="E284" s="12"/>
      <c r="F284" s="12"/>
      <c r="G284" s="18"/>
      <c r="H284" s="18"/>
      <c r="I284" s="35"/>
      <c r="J284" s="12"/>
      <c r="N284" s="12"/>
      <c r="O284" s="18"/>
      <c r="P284" s="12"/>
      <c r="Q284" s="12"/>
      <c r="R284" s="12"/>
      <c r="S284" s="36"/>
      <c r="T284" s="36"/>
      <c r="U284" s="12"/>
      <c r="V284" s="12"/>
      <c r="W284" s="12"/>
      <c r="X284" s="12"/>
      <c r="Y284" s="12"/>
    </row>
    <row r="285" customFormat="false" ht="15.75" hidden="false" customHeight="false" outlineLevel="0" collapsed="false">
      <c r="A285" s="12"/>
      <c r="B285" s="34"/>
      <c r="C285" s="12"/>
      <c r="D285" s="12"/>
      <c r="E285" s="12"/>
      <c r="F285" s="12"/>
      <c r="G285" s="18"/>
      <c r="H285" s="18"/>
      <c r="I285" s="35"/>
      <c r="J285" s="12"/>
      <c r="N285" s="12"/>
      <c r="O285" s="18"/>
      <c r="P285" s="12"/>
      <c r="Q285" s="12"/>
      <c r="R285" s="12"/>
      <c r="S285" s="36"/>
      <c r="T285" s="36"/>
      <c r="U285" s="12"/>
      <c r="V285" s="12"/>
      <c r="W285" s="12"/>
      <c r="X285" s="12"/>
      <c r="Y285" s="12"/>
    </row>
    <row r="286" customFormat="false" ht="15.75" hidden="false" customHeight="false" outlineLevel="0" collapsed="false">
      <c r="A286" s="12"/>
      <c r="B286" s="34"/>
      <c r="C286" s="12"/>
      <c r="D286" s="12"/>
      <c r="E286" s="12"/>
      <c r="F286" s="12"/>
      <c r="G286" s="18"/>
      <c r="H286" s="18"/>
      <c r="I286" s="35"/>
      <c r="J286" s="12"/>
      <c r="N286" s="12"/>
      <c r="O286" s="18"/>
      <c r="P286" s="12"/>
      <c r="Q286" s="12"/>
      <c r="R286" s="12"/>
      <c r="S286" s="36"/>
      <c r="T286" s="36"/>
      <c r="U286" s="12"/>
      <c r="V286" s="12"/>
      <c r="W286" s="12"/>
      <c r="X286" s="12"/>
      <c r="Y286" s="12"/>
    </row>
    <row r="287" customFormat="false" ht="15.75" hidden="false" customHeight="false" outlineLevel="0" collapsed="false">
      <c r="A287" s="12"/>
      <c r="B287" s="34"/>
      <c r="C287" s="12"/>
      <c r="D287" s="12"/>
      <c r="E287" s="12"/>
      <c r="F287" s="12"/>
      <c r="G287" s="18"/>
      <c r="H287" s="18"/>
      <c r="I287" s="35"/>
      <c r="J287" s="12"/>
      <c r="N287" s="12"/>
      <c r="O287" s="18"/>
      <c r="P287" s="12"/>
      <c r="Q287" s="12"/>
      <c r="R287" s="12"/>
      <c r="S287" s="36"/>
      <c r="T287" s="36"/>
      <c r="U287" s="12"/>
      <c r="V287" s="12"/>
      <c r="W287" s="12"/>
      <c r="X287" s="12"/>
      <c r="Y287" s="12"/>
    </row>
    <row r="288" customFormat="false" ht="15.75" hidden="false" customHeight="false" outlineLevel="0" collapsed="false">
      <c r="A288" s="12"/>
      <c r="B288" s="34"/>
      <c r="C288" s="12"/>
      <c r="D288" s="12"/>
      <c r="E288" s="12"/>
      <c r="F288" s="12"/>
      <c r="G288" s="18"/>
      <c r="H288" s="18"/>
      <c r="I288" s="35"/>
      <c r="J288" s="12"/>
      <c r="N288" s="12"/>
      <c r="O288" s="18"/>
      <c r="P288" s="12"/>
      <c r="Q288" s="12"/>
      <c r="R288" s="12"/>
      <c r="S288" s="36"/>
      <c r="T288" s="36"/>
      <c r="U288" s="12"/>
      <c r="V288" s="12"/>
      <c r="W288" s="12"/>
      <c r="X288" s="12"/>
      <c r="Y288" s="12"/>
    </row>
    <row r="289" customFormat="false" ht="15.75" hidden="false" customHeight="false" outlineLevel="0" collapsed="false">
      <c r="A289" s="12"/>
      <c r="B289" s="34"/>
      <c r="C289" s="12"/>
      <c r="D289" s="12"/>
      <c r="E289" s="12"/>
      <c r="F289" s="12"/>
      <c r="G289" s="18"/>
      <c r="H289" s="18"/>
      <c r="I289" s="35"/>
      <c r="J289" s="12"/>
      <c r="N289" s="12"/>
      <c r="O289" s="18"/>
      <c r="P289" s="12"/>
      <c r="Q289" s="12"/>
      <c r="R289" s="12"/>
      <c r="S289" s="36"/>
      <c r="T289" s="36"/>
      <c r="U289" s="12"/>
      <c r="V289" s="12"/>
      <c r="W289" s="12"/>
      <c r="X289" s="12"/>
      <c r="Y289" s="12"/>
    </row>
    <row r="290" customFormat="false" ht="15.75" hidden="false" customHeight="false" outlineLevel="0" collapsed="false">
      <c r="A290" s="12"/>
      <c r="B290" s="34"/>
      <c r="C290" s="12"/>
      <c r="D290" s="12"/>
      <c r="E290" s="12"/>
      <c r="F290" s="12"/>
      <c r="G290" s="18"/>
      <c r="H290" s="18"/>
      <c r="I290" s="35"/>
      <c r="J290" s="12"/>
      <c r="N290" s="12"/>
      <c r="O290" s="18"/>
      <c r="P290" s="12"/>
      <c r="Q290" s="12"/>
      <c r="R290" s="12"/>
      <c r="S290" s="36"/>
      <c r="T290" s="36"/>
      <c r="U290" s="12"/>
      <c r="V290" s="12"/>
      <c r="W290" s="12"/>
      <c r="X290" s="12"/>
      <c r="Y290" s="12"/>
    </row>
    <row r="291" customFormat="false" ht="15.75" hidden="false" customHeight="false" outlineLevel="0" collapsed="false">
      <c r="A291" s="12"/>
      <c r="B291" s="34"/>
      <c r="C291" s="12"/>
      <c r="D291" s="12"/>
      <c r="E291" s="12"/>
      <c r="F291" s="12"/>
      <c r="G291" s="18"/>
      <c r="H291" s="18"/>
      <c r="I291" s="35"/>
      <c r="J291" s="12"/>
      <c r="N291" s="12"/>
      <c r="O291" s="18"/>
      <c r="P291" s="12"/>
      <c r="Q291" s="12"/>
      <c r="R291" s="12"/>
      <c r="S291" s="36"/>
      <c r="T291" s="36"/>
      <c r="U291" s="12"/>
      <c r="V291" s="12"/>
      <c r="W291" s="12"/>
      <c r="X291" s="12"/>
      <c r="Y291" s="12"/>
    </row>
    <row r="292" customFormat="false" ht="15.75" hidden="false" customHeight="false" outlineLevel="0" collapsed="false">
      <c r="A292" s="12"/>
      <c r="B292" s="34"/>
      <c r="C292" s="12"/>
      <c r="D292" s="12"/>
      <c r="E292" s="12"/>
      <c r="F292" s="12"/>
      <c r="G292" s="18"/>
      <c r="H292" s="18"/>
      <c r="I292" s="35"/>
      <c r="J292" s="12"/>
      <c r="N292" s="12"/>
      <c r="O292" s="18"/>
      <c r="P292" s="12"/>
      <c r="Q292" s="12"/>
      <c r="R292" s="12"/>
      <c r="S292" s="36"/>
      <c r="T292" s="36"/>
      <c r="U292" s="12"/>
      <c r="V292" s="12"/>
      <c r="W292" s="12"/>
      <c r="X292" s="12"/>
      <c r="Y292" s="12"/>
    </row>
    <row r="293" customFormat="false" ht="15.75" hidden="false" customHeight="false" outlineLevel="0" collapsed="false">
      <c r="A293" s="12"/>
      <c r="B293" s="34"/>
      <c r="C293" s="12"/>
      <c r="D293" s="12"/>
      <c r="E293" s="12"/>
      <c r="F293" s="12"/>
      <c r="G293" s="18"/>
      <c r="H293" s="18"/>
      <c r="I293" s="35"/>
      <c r="J293" s="12"/>
      <c r="N293" s="12"/>
      <c r="O293" s="18"/>
      <c r="P293" s="12"/>
      <c r="Q293" s="12"/>
      <c r="R293" s="12"/>
      <c r="S293" s="36"/>
      <c r="T293" s="36"/>
      <c r="U293" s="12"/>
      <c r="V293" s="12"/>
      <c r="W293" s="12"/>
      <c r="X293" s="12"/>
      <c r="Y293" s="12"/>
    </row>
    <row r="294" customFormat="false" ht="15.75" hidden="false" customHeight="false" outlineLevel="0" collapsed="false">
      <c r="A294" s="12"/>
      <c r="B294" s="34"/>
      <c r="C294" s="12"/>
      <c r="D294" s="12"/>
      <c r="E294" s="12"/>
      <c r="F294" s="12"/>
      <c r="G294" s="18"/>
      <c r="H294" s="18"/>
      <c r="I294" s="35"/>
      <c r="J294" s="12"/>
      <c r="N294" s="12"/>
      <c r="O294" s="18"/>
      <c r="P294" s="12"/>
      <c r="Q294" s="12"/>
      <c r="R294" s="12"/>
      <c r="S294" s="36"/>
      <c r="T294" s="36"/>
      <c r="U294" s="12"/>
      <c r="V294" s="12"/>
      <c r="W294" s="12"/>
      <c r="X294" s="12"/>
      <c r="Y294" s="12"/>
    </row>
    <row r="295" customFormat="false" ht="15.75" hidden="false" customHeight="false" outlineLevel="0" collapsed="false">
      <c r="A295" s="12"/>
      <c r="B295" s="34"/>
      <c r="C295" s="12"/>
      <c r="D295" s="12"/>
      <c r="E295" s="12"/>
      <c r="F295" s="12"/>
      <c r="G295" s="18"/>
      <c r="H295" s="18"/>
      <c r="I295" s="35"/>
      <c r="J295" s="12"/>
      <c r="N295" s="12"/>
      <c r="O295" s="18"/>
      <c r="P295" s="12"/>
      <c r="Q295" s="12"/>
      <c r="R295" s="12"/>
      <c r="S295" s="36"/>
      <c r="T295" s="36"/>
      <c r="U295" s="12"/>
      <c r="V295" s="12"/>
      <c r="W295" s="12"/>
      <c r="X295" s="12"/>
      <c r="Y295" s="12"/>
    </row>
    <row r="296" customFormat="false" ht="15.75" hidden="false" customHeight="false" outlineLevel="0" collapsed="false">
      <c r="A296" s="12"/>
      <c r="B296" s="34"/>
      <c r="C296" s="12"/>
      <c r="D296" s="12"/>
      <c r="E296" s="12"/>
      <c r="F296" s="12"/>
      <c r="G296" s="18"/>
      <c r="H296" s="18"/>
      <c r="I296" s="35"/>
      <c r="J296" s="12"/>
      <c r="N296" s="12"/>
      <c r="O296" s="18"/>
      <c r="P296" s="12"/>
      <c r="Q296" s="12"/>
      <c r="R296" s="12"/>
      <c r="S296" s="36"/>
      <c r="T296" s="36"/>
      <c r="U296" s="12"/>
      <c r="V296" s="12"/>
      <c r="W296" s="12"/>
      <c r="X296" s="12"/>
      <c r="Y296" s="12"/>
    </row>
    <row r="297" customFormat="false" ht="15.75" hidden="false" customHeight="false" outlineLevel="0" collapsed="false">
      <c r="A297" s="12"/>
      <c r="B297" s="34"/>
      <c r="C297" s="12"/>
      <c r="D297" s="12"/>
      <c r="E297" s="12"/>
      <c r="F297" s="12"/>
      <c r="G297" s="18"/>
      <c r="H297" s="18"/>
      <c r="I297" s="35"/>
      <c r="J297" s="12"/>
      <c r="N297" s="12"/>
      <c r="O297" s="18"/>
      <c r="P297" s="12"/>
      <c r="Q297" s="12"/>
      <c r="R297" s="12"/>
      <c r="S297" s="36"/>
      <c r="T297" s="36"/>
      <c r="U297" s="12"/>
      <c r="V297" s="12"/>
      <c r="W297" s="12"/>
      <c r="X297" s="12"/>
      <c r="Y297" s="12"/>
    </row>
    <row r="298" customFormat="false" ht="15.75" hidden="false" customHeight="false" outlineLevel="0" collapsed="false">
      <c r="A298" s="12"/>
      <c r="B298" s="34"/>
      <c r="C298" s="12"/>
      <c r="D298" s="12"/>
      <c r="E298" s="12"/>
      <c r="F298" s="12"/>
      <c r="G298" s="18"/>
      <c r="H298" s="18"/>
      <c r="I298" s="35"/>
      <c r="J298" s="12"/>
      <c r="N298" s="12"/>
      <c r="O298" s="18"/>
      <c r="P298" s="12"/>
      <c r="Q298" s="12"/>
      <c r="R298" s="12"/>
      <c r="S298" s="36"/>
      <c r="T298" s="36"/>
      <c r="U298" s="12"/>
      <c r="V298" s="12"/>
      <c r="W298" s="12"/>
      <c r="X298" s="12"/>
      <c r="Y298" s="12"/>
    </row>
    <row r="299" customFormat="false" ht="15.75" hidden="false" customHeight="false" outlineLevel="0" collapsed="false">
      <c r="A299" s="12"/>
      <c r="B299" s="34"/>
      <c r="C299" s="12"/>
      <c r="D299" s="12"/>
      <c r="E299" s="12"/>
      <c r="F299" s="12"/>
      <c r="G299" s="18"/>
      <c r="H299" s="18"/>
      <c r="I299" s="35"/>
      <c r="J299" s="12"/>
      <c r="N299" s="12"/>
      <c r="O299" s="18"/>
      <c r="P299" s="12"/>
      <c r="Q299" s="12"/>
      <c r="R299" s="12"/>
      <c r="S299" s="36"/>
      <c r="T299" s="36"/>
      <c r="U299" s="12"/>
      <c r="V299" s="12"/>
      <c r="W299" s="12"/>
      <c r="X299" s="12"/>
      <c r="Y299" s="12"/>
    </row>
    <row r="300" customFormat="false" ht="15.75" hidden="false" customHeight="false" outlineLevel="0" collapsed="false">
      <c r="A300" s="12"/>
      <c r="B300" s="34"/>
      <c r="C300" s="12"/>
      <c r="D300" s="12"/>
      <c r="E300" s="12"/>
      <c r="F300" s="12"/>
      <c r="G300" s="18"/>
      <c r="H300" s="18"/>
      <c r="I300" s="35"/>
      <c r="J300" s="12"/>
      <c r="N300" s="12"/>
      <c r="O300" s="18"/>
      <c r="P300" s="12"/>
      <c r="Q300" s="12"/>
      <c r="R300" s="12"/>
      <c r="S300" s="36"/>
      <c r="T300" s="36"/>
      <c r="U300" s="12"/>
      <c r="V300" s="12"/>
      <c r="W300" s="12"/>
      <c r="X300" s="12"/>
      <c r="Y300" s="12"/>
    </row>
    <row r="301" customFormat="false" ht="15.75" hidden="false" customHeight="false" outlineLevel="0" collapsed="false">
      <c r="A301" s="12"/>
      <c r="B301" s="34"/>
      <c r="C301" s="12"/>
      <c r="D301" s="12"/>
      <c r="E301" s="12"/>
      <c r="F301" s="12"/>
      <c r="G301" s="18"/>
      <c r="H301" s="18"/>
      <c r="I301" s="35"/>
      <c r="J301" s="12"/>
      <c r="N301" s="12"/>
      <c r="O301" s="18"/>
      <c r="P301" s="12"/>
      <c r="Q301" s="12"/>
      <c r="R301" s="12"/>
      <c r="S301" s="36"/>
      <c r="T301" s="36"/>
      <c r="U301" s="12"/>
      <c r="V301" s="12"/>
      <c r="W301" s="12"/>
      <c r="X301" s="12"/>
      <c r="Y301" s="12"/>
    </row>
    <row r="302" customFormat="false" ht="15.75" hidden="false" customHeight="false" outlineLevel="0" collapsed="false">
      <c r="A302" s="12"/>
      <c r="B302" s="34"/>
      <c r="C302" s="12"/>
      <c r="D302" s="12"/>
      <c r="E302" s="12"/>
      <c r="F302" s="12"/>
      <c r="G302" s="18"/>
      <c r="H302" s="18"/>
      <c r="I302" s="35"/>
      <c r="J302" s="12"/>
      <c r="N302" s="12"/>
      <c r="O302" s="18"/>
      <c r="P302" s="12"/>
      <c r="Q302" s="12"/>
      <c r="R302" s="12"/>
      <c r="S302" s="36"/>
      <c r="T302" s="36"/>
      <c r="U302" s="12"/>
      <c r="V302" s="12"/>
      <c r="W302" s="12"/>
      <c r="X302" s="12"/>
      <c r="Y302" s="12"/>
    </row>
    <row r="303" customFormat="false" ht="15.75" hidden="false" customHeight="false" outlineLevel="0" collapsed="false">
      <c r="A303" s="12"/>
      <c r="B303" s="34"/>
      <c r="C303" s="12"/>
      <c r="D303" s="12"/>
      <c r="E303" s="12"/>
      <c r="F303" s="12"/>
      <c r="G303" s="18"/>
      <c r="H303" s="18"/>
      <c r="I303" s="35"/>
      <c r="J303" s="12"/>
      <c r="N303" s="12"/>
      <c r="O303" s="18"/>
      <c r="P303" s="12"/>
      <c r="Q303" s="12"/>
      <c r="R303" s="12"/>
      <c r="S303" s="36"/>
      <c r="T303" s="36"/>
      <c r="U303" s="12"/>
      <c r="V303" s="12"/>
      <c r="W303" s="12"/>
      <c r="X303" s="12"/>
      <c r="Y303" s="12"/>
    </row>
    <row r="304" customFormat="false" ht="15.75" hidden="false" customHeight="false" outlineLevel="0" collapsed="false">
      <c r="A304" s="12"/>
      <c r="B304" s="34"/>
      <c r="C304" s="12"/>
      <c r="D304" s="12"/>
      <c r="E304" s="12"/>
      <c r="F304" s="12"/>
      <c r="G304" s="18"/>
      <c r="H304" s="18"/>
      <c r="I304" s="35"/>
      <c r="J304" s="12"/>
      <c r="N304" s="12"/>
      <c r="O304" s="18"/>
      <c r="P304" s="12"/>
      <c r="Q304" s="12"/>
      <c r="R304" s="12"/>
      <c r="S304" s="36"/>
      <c r="T304" s="36"/>
      <c r="U304" s="12"/>
      <c r="V304" s="12"/>
      <c r="W304" s="12"/>
      <c r="X304" s="12"/>
      <c r="Y304" s="12"/>
    </row>
    <row r="305" customFormat="false" ht="15.75" hidden="false" customHeight="false" outlineLevel="0" collapsed="false">
      <c r="A305" s="12"/>
      <c r="B305" s="34"/>
      <c r="C305" s="12"/>
      <c r="D305" s="12"/>
      <c r="E305" s="12"/>
      <c r="F305" s="12"/>
      <c r="G305" s="18"/>
      <c r="H305" s="18"/>
      <c r="I305" s="35"/>
      <c r="J305" s="12"/>
      <c r="N305" s="12"/>
      <c r="O305" s="18"/>
      <c r="P305" s="12"/>
      <c r="Q305" s="12"/>
      <c r="R305" s="12"/>
      <c r="S305" s="36"/>
      <c r="T305" s="36"/>
      <c r="U305" s="12"/>
      <c r="V305" s="12"/>
      <c r="W305" s="12"/>
      <c r="X305" s="12"/>
      <c r="Y305" s="12"/>
    </row>
    <row r="306" customFormat="false" ht="15.75" hidden="false" customHeight="false" outlineLevel="0" collapsed="false">
      <c r="A306" s="12"/>
      <c r="B306" s="34"/>
      <c r="C306" s="12"/>
      <c r="D306" s="12"/>
      <c r="E306" s="12"/>
      <c r="F306" s="12"/>
      <c r="G306" s="18"/>
      <c r="H306" s="18"/>
      <c r="I306" s="35"/>
      <c r="J306" s="12"/>
      <c r="N306" s="12"/>
      <c r="O306" s="18"/>
      <c r="P306" s="12"/>
      <c r="Q306" s="12"/>
      <c r="R306" s="12"/>
      <c r="S306" s="36"/>
      <c r="T306" s="36"/>
      <c r="U306" s="12"/>
      <c r="V306" s="12"/>
      <c r="W306" s="12"/>
      <c r="X306" s="12"/>
      <c r="Y306" s="12"/>
    </row>
    <row r="307" customFormat="false" ht="15.75" hidden="false" customHeight="false" outlineLevel="0" collapsed="false">
      <c r="A307" s="12"/>
      <c r="B307" s="34"/>
      <c r="C307" s="12"/>
      <c r="D307" s="12"/>
      <c r="E307" s="12"/>
      <c r="F307" s="12"/>
      <c r="G307" s="18"/>
      <c r="H307" s="18"/>
      <c r="I307" s="35"/>
      <c r="J307" s="12"/>
      <c r="N307" s="12"/>
      <c r="O307" s="18"/>
      <c r="P307" s="12"/>
      <c r="Q307" s="12"/>
      <c r="R307" s="12"/>
      <c r="S307" s="36"/>
      <c r="T307" s="36"/>
      <c r="U307" s="12"/>
      <c r="V307" s="12"/>
      <c r="W307" s="12"/>
      <c r="X307" s="12"/>
      <c r="Y307" s="12"/>
    </row>
    <row r="308" customFormat="false" ht="15.75" hidden="false" customHeight="false" outlineLevel="0" collapsed="false">
      <c r="A308" s="12"/>
      <c r="B308" s="34"/>
      <c r="C308" s="12"/>
      <c r="D308" s="12"/>
      <c r="E308" s="12"/>
      <c r="F308" s="12"/>
      <c r="G308" s="18"/>
      <c r="H308" s="18"/>
      <c r="I308" s="35"/>
      <c r="J308" s="12"/>
      <c r="N308" s="12"/>
      <c r="O308" s="18"/>
      <c r="P308" s="12"/>
      <c r="Q308" s="12"/>
      <c r="R308" s="12"/>
      <c r="S308" s="36"/>
      <c r="T308" s="36"/>
      <c r="U308" s="12"/>
      <c r="V308" s="12"/>
      <c r="W308" s="12"/>
      <c r="X308" s="12"/>
      <c r="Y308" s="12"/>
    </row>
    <row r="309" customFormat="false" ht="15.75" hidden="false" customHeight="false" outlineLevel="0" collapsed="false">
      <c r="A309" s="12"/>
      <c r="B309" s="34"/>
      <c r="C309" s="12"/>
      <c r="D309" s="12"/>
      <c r="E309" s="12"/>
      <c r="F309" s="12"/>
      <c r="G309" s="18"/>
      <c r="H309" s="18"/>
      <c r="I309" s="35"/>
      <c r="J309" s="12"/>
      <c r="N309" s="12"/>
      <c r="O309" s="18"/>
      <c r="P309" s="12"/>
      <c r="Q309" s="12"/>
      <c r="R309" s="12"/>
      <c r="S309" s="36"/>
      <c r="T309" s="36"/>
      <c r="U309" s="12"/>
      <c r="V309" s="12"/>
      <c r="W309" s="12"/>
      <c r="X309" s="12"/>
      <c r="Y309" s="12"/>
    </row>
    <row r="310" customFormat="false" ht="15.75" hidden="false" customHeight="false" outlineLevel="0" collapsed="false">
      <c r="A310" s="12"/>
      <c r="B310" s="34"/>
      <c r="C310" s="12"/>
      <c r="D310" s="12"/>
      <c r="E310" s="12"/>
      <c r="F310" s="12"/>
      <c r="G310" s="18"/>
      <c r="H310" s="18"/>
      <c r="I310" s="35"/>
      <c r="J310" s="12"/>
      <c r="N310" s="12"/>
      <c r="O310" s="18"/>
      <c r="P310" s="12"/>
      <c r="Q310" s="12"/>
      <c r="R310" s="12"/>
      <c r="S310" s="36"/>
      <c r="T310" s="36"/>
      <c r="U310" s="12"/>
      <c r="V310" s="12"/>
      <c r="W310" s="12"/>
      <c r="X310" s="12"/>
      <c r="Y310" s="12"/>
    </row>
    <row r="311" customFormat="false" ht="15.75" hidden="false" customHeight="false" outlineLevel="0" collapsed="false">
      <c r="A311" s="12"/>
      <c r="B311" s="34"/>
      <c r="C311" s="12"/>
      <c r="D311" s="12"/>
      <c r="E311" s="12"/>
      <c r="F311" s="12"/>
      <c r="G311" s="18"/>
      <c r="H311" s="18"/>
      <c r="I311" s="35"/>
      <c r="J311" s="12"/>
      <c r="N311" s="12"/>
      <c r="O311" s="18"/>
      <c r="P311" s="12"/>
      <c r="Q311" s="12"/>
      <c r="R311" s="12"/>
      <c r="S311" s="36"/>
      <c r="T311" s="36"/>
      <c r="U311" s="12"/>
      <c r="V311" s="12"/>
      <c r="W311" s="12"/>
      <c r="X311" s="12"/>
      <c r="Y311" s="12"/>
    </row>
    <row r="312" customFormat="false" ht="15.75" hidden="false" customHeight="false" outlineLevel="0" collapsed="false">
      <c r="A312" s="12"/>
      <c r="B312" s="34"/>
      <c r="C312" s="12"/>
      <c r="D312" s="12"/>
      <c r="E312" s="12"/>
      <c r="F312" s="12"/>
      <c r="G312" s="18"/>
      <c r="H312" s="18"/>
      <c r="I312" s="35"/>
      <c r="J312" s="12"/>
      <c r="N312" s="12"/>
      <c r="O312" s="18"/>
      <c r="P312" s="12"/>
      <c r="Q312" s="12"/>
      <c r="R312" s="12"/>
      <c r="S312" s="36"/>
      <c r="T312" s="36"/>
      <c r="U312" s="12"/>
      <c r="V312" s="12"/>
      <c r="W312" s="12"/>
      <c r="X312" s="12"/>
      <c r="Y312" s="12"/>
    </row>
    <row r="313" customFormat="false" ht="15.75" hidden="false" customHeight="false" outlineLevel="0" collapsed="false">
      <c r="A313" s="12"/>
      <c r="B313" s="34"/>
      <c r="C313" s="12"/>
      <c r="D313" s="12"/>
      <c r="E313" s="12"/>
      <c r="F313" s="12"/>
      <c r="G313" s="18"/>
      <c r="H313" s="18"/>
      <c r="I313" s="35"/>
      <c r="J313" s="12"/>
      <c r="N313" s="12"/>
      <c r="O313" s="18"/>
      <c r="P313" s="12"/>
      <c r="Q313" s="12"/>
      <c r="R313" s="12"/>
      <c r="S313" s="36"/>
      <c r="T313" s="36"/>
      <c r="U313" s="12"/>
      <c r="V313" s="12"/>
      <c r="W313" s="12"/>
      <c r="X313" s="12"/>
      <c r="Y313" s="12"/>
    </row>
    <row r="314" customFormat="false" ht="15.75" hidden="false" customHeight="false" outlineLevel="0" collapsed="false">
      <c r="A314" s="12"/>
      <c r="B314" s="34"/>
      <c r="C314" s="12"/>
      <c r="D314" s="12"/>
      <c r="E314" s="12"/>
      <c r="F314" s="12"/>
      <c r="G314" s="18"/>
      <c r="H314" s="18"/>
      <c r="I314" s="35"/>
      <c r="J314" s="12"/>
      <c r="N314" s="12"/>
      <c r="O314" s="18"/>
      <c r="P314" s="12"/>
      <c r="Q314" s="12"/>
      <c r="R314" s="12"/>
      <c r="S314" s="36"/>
      <c r="T314" s="36"/>
      <c r="U314" s="12"/>
      <c r="V314" s="12"/>
      <c r="W314" s="12"/>
      <c r="X314" s="12"/>
      <c r="Y314" s="12"/>
    </row>
    <row r="315" customFormat="false" ht="15.75" hidden="false" customHeight="false" outlineLevel="0" collapsed="false">
      <c r="A315" s="12"/>
      <c r="B315" s="34"/>
      <c r="C315" s="12"/>
      <c r="D315" s="12"/>
      <c r="E315" s="12"/>
      <c r="F315" s="12"/>
      <c r="G315" s="18"/>
      <c r="H315" s="18"/>
      <c r="I315" s="35"/>
      <c r="J315" s="12"/>
      <c r="N315" s="12"/>
      <c r="O315" s="18"/>
      <c r="P315" s="12"/>
      <c r="Q315" s="12"/>
      <c r="R315" s="12"/>
      <c r="S315" s="36"/>
      <c r="T315" s="36"/>
      <c r="U315" s="12"/>
      <c r="V315" s="12"/>
      <c r="W315" s="12"/>
      <c r="X315" s="12"/>
      <c r="Y315" s="12"/>
    </row>
    <row r="316" customFormat="false" ht="15.75" hidden="false" customHeight="false" outlineLevel="0" collapsed="false">
      <c r="A316" s="12"/>
      <c r="B316" s="34"/>
      <c r="C316" s="12"/>
      <c r="D316" s="12"/>
      <c r="E316" s="12"/>
      <c r="F316" s="12"/>
      <c r="G316" s="18"/>
      <c r="H316" s="18"/>
      <c r="I316" s="35"/>
      <c r="J316" s="12"/>
      <c r="N316" s="12"/>
      <c r="O316" s="18"/>
      <c r="P316" s="12"/>
      <c r="Q316" s="12"/>
      <c r="R316" s="12"/>
      <c r="S316" s="36"/>
      <c r="T316" s="36"/>
      <c r="U316" s="12"/>
      <c r="V316" s="12"/>
      <c r="W316" s="12"/>
      <c r="X316" s="12"/>
      <c r="Y316" s="12"/>
    </row>
    <row r="317" customFormat="false" ht="15.75" hidden="false" customHeight="false" outlineLevel="0" collapsed="false">
      <c r="A317" s="12"/>
      <c r="B317" s="34"/>
      <c r="C317" s="12"/>
      <c r="D317" s="12"/>
      <c r="E317" s="12"/>
      <c r="F317" s="12"/>
      <c r="G317" s="18"/>
      <c r="H317" s="18"/>
      <c r="I317" s="35"/>
      <c r="J317" s="12"/>
      <c r="N317" s="12"/>
      <c r="O317" s="18"/>
      <c r="P317" s="12"/>
      <c r="Q317" s="12"/>
      <c r="R317" s="12"/>
      <c r="S317" s="36"/>
      <c r="T317" s="36"/>
      <c r="U317" s="12"/>
      <c r="V317" s="12"/>
      <c r="W317" s="12"/>
      <c r="X317" s="12"/>
      <c r="Y317" s="12"/>
    </row>
    <row r="318" customFormat="false" ht="15.75" hidden="false" customHeight="false" outlineLevel="0" collapsed="false">
      <c r="A318" s="12"/>
      <c r="B318" s="34"/>
      <c r="C318" s="12"/>
      <c r="D318" s="12"/>
      <c r="E318" s="12"/>
      <c r="F318" s="12"/>
      <c r="G318" s="18"/>
      <c r="H318" s="18"/>
      <c r="I318" s="35"/>
      <c r="J318" s="12"/>
      <c r="N318" s="12"/>
      <c r="O318" s="18"/>
      <c r="P318" s="12"/>
      <c r="Q318" s="12"/>
      <c r="R318" s="12"/>
      <c r="S318" s="36"/>
      <c r="T318" s="36"/>
      <c r="U318" s="12"/>
      <c r="V318" s="12"/>
      <c r="W318" s="12"/>
      <c r="X318" s="12"/>
      <c r="Y318" s="12"/>
    </row>
    <row r="319" customFormat="false" ht="15.75" hidden="false" customHeight="false" outlineLevel="0" collapsed="false">
      <c r="A319" s="12"/>
      <c r="B319" s="34"/>
      <c r="C319" s="12"/>
      <c r="D319" s="12"/>
      <c r="E319" s="12"/>
      <c r="F319" s="12"/>
      <c r="G319" s="18"/>
      <c r="H319" s="18"/>
      <c r="I319" s="35"/>
      <c r="J319" s="12"/>
      <c r="N319" s="12"/>
      <c r="O319" s="18"/>
      <c r="P319" s="12"/>
      <c r="Q319" s="12"/>
      <c r="R319" s="12"/>
      <c r="S319" s="36"/>
      <c r="T319" s="36"/>
      <c r="U319" s="12"/>
      <c r="V319" s="12"/>
      <c r="W319" s="12"/>
      <c r="X319" s="12"/>
      <c r="Y319" s="12"/>
    </row>
    <row r="320" customFormat="false" ht="15.75" hidden="false" customHeight="false" outlineLevel="0" collapsed="false">
      <c r="A320" s="12"/>
      <c r="B320" s="34"/>
      <c r="C320" s="12"/>
      <c r="D320" s="12"/>
      <c r="E320" s="12"/>
      <c r="F320" s="12"/>
      <c r="G320" s="18"/>
      <c r="H320" s="18"/>
      <c r="I320" s="35"/>
      <c r="J320" s="12"/>
      <c r="N320" s="12"/>
      <c r="O320" s="18"/>
      <c r="P320" s="12"/>
      <c r="Q320" s="12"/>
      <c r="R320" s="12"/>
      <c r="S320" s="36"/>
      <c r="T320" s="36"/>
      <c r="U320" s="12"/>
      <c r="V320" s="12"/>
      <c r="W320" s="12"/>
      <c r="X320" s="12"/>
      <c r="Y320" s="12"/>
    </row>
    <row r="321" customFormat="false" ht="15.75" hidden="false" customHeight="false" outlineLevel="0" collapsed="false">
      <c r="A321" s="12"/>
      <c r="B321" s="34"/>
      <c r="C321" s="12"/>
      <c r="D321" s="12"/>
      <c r="E321" s="12"/>
      <c r="F321" s="12"/>
      <c r="G321" s="18"/>
      <c r="H321" s="18"/>
      <c r="I321" s="35"/>
      <c r="J321" s="12"/>
      <c r="N321" s="12"/>
      <c r="O321" s="18"/>
      <c r="P321" s="12"/>
      <c r="Q321" s="12"/>
      <c r="R321" s="12"/>
      <c r="S321" s="36"/>
      <c r="T321" s="36"/>
      <c r="U321" s="12"/>
      <c r="V321" s="12"/>
      <c r="W321" s="12"/>
      <c r="X321" s="12"/>
      <c r="Y321" s="12"/>
    </row>
    <row r="322" customFormat="false" ht="15.75" hidden="false" customHeight="false" outlineLevel="0" collapsed="false">
      <c r="A322" s="12"/>
      <c r="B322" s="34"/>
      <c r="C322" s="12"/>
      <c r="D322" s="12"/>
      <c r="E322" s="12"/>
      <c r="F322" s="12"/>
      <c r="G322" s="18"/>
      <c r="H322" s="18"/>
      <c r="I322" s="35"/>
      <c r="J322" s="12"/>
      <c r="N322" s="12"/>
      <c r="O322" s="18"/>
      <c r="P322" s="12"/>
      <c r="Q322" s="12"/>
      <c r="R322" s="12"/>
      <c r="S322" s="36"/>
      <c r="T322" s="36"/>
      <c r="U322" s="12"/>
      <c r="V322" s="12"/>
      <c r="W322" s="12"/>
      <c r="X322" s="12"/>
      <c r="Y322" s="12"/>
    </row>
    <row r="323" customFormat="false" ht="15.75" hidden="false" customHeight="false" outlineLevel="0" collapsed="false">
      <c r="A323" s="12"/>
      <c r="B323" s="34"/>
      <c r="C323" s="12"/>
      <c r="D323" s="12"/>
      <c r="E323" s="12"/>
      <c r="F323" s="12"/>
      <c r="G323" s="18"/>
      <c r="H323" s="18"/>
      <c r="I323" s="35"/>
      <c r="J323" s="12"/>
      <c r="N323" s="12"/>
      <c r="O323" s="18"/>
      <c r="P323" s="12"/>
      <c r="Q323" s="12"/>
      <c r="R323" s="12"/>
      <c r="S323" s="36"/>
      <c r="T323" s="36"/>
      <c r="U323" s="12"/>
      <c r="V323" s="12"/>
      <c r="W323" s="12"/>
      <c r="X323" s="12"/>
      <c r="Y323" s="12"/>
    </row>
    <row r="324" customFormat="false" ht="15.75" hidden="false" customHeight="false" outlineLevel="0" collapsed="false">
      <c r="A324" s="12"/>
      <c r="B324" s="34"/>
      <c r="C324" s="12"/>
      <c r="D324" s="12"/>
      <c r="E324" s="12"/>
      <c r="F324" s="12"/>
      <c r="G324" s="18"/>
      <c r="H324" s="18"/>
      <c r="I324" s="35"/>
      <c r="J324" s="12"/>
      <c r="N324" s="12"/>
      <c r="O324" s="18"/>
      <c r="P324" s="12"/>
      <c r="Q324" s="12"/>
      <c r="R324" s="12"/>
      <c r="S324" s="36"/>
      <c r="T324" s="36"/>
      <c r="U324" s="12"/>
      <c r="V324" s="12"/>
      <c r="W324" s="12"/>
      <c r="X324" s="12"/>
      <c r="Y324" s="12"/>
    </row>
    <row r="325" customFormat="false" ht="15.75" hidden="false" customHeight="false" outlineLevel="0" collapsed="false">
      <c r="A325" s="12"/>
      <c r="B325" s="34"/>
      <c r="C325" s="12"/>
      <c r="D325" s="12"/>
      <c r="E325" s="12"/>
      <c r="F325" s="12"/>
      <c r="G325" s="18"/>
      <c r="H325" s="18"/>
      <c r="I325" s="35"/>
      <c r="J325" s="12"/>
      <c r="N325" s="12"/>
      <c r="O325" s="18"/>
      <c r="P325" s="12"/>
      <c r="Q325" s="12"/>
      <c r="R325" s="12"/>
      <c r="S325" s="36"/>
      <c r="T325" s="36"/>
      <c r="U325" s="12"/>
      <c r="V325" s="12"/>
      <c r="W325" s="12"/>
      <c r="X325" s="12"/>
      <c r="Y325" s="12"/>
    </row>
    <row r="326" customFormat="false" ht="15.75" hidden="false" customHeight="false" outlineLevel="0" collapsed="false">
      <c r="A326" s="12"/>
      <c r="B326" s="34"/>
      <c r="C326" s="12"/>
      <c r="D326" s="12"/>
      <c r="E326" s="12"/>
      <c r="F326" s="12"/>
      <c r="G326" s="18"/>
      <c r="H326" s="18"/>
      <c r="I326" s="35"/>
      <c r="J326" s="12"/>
      <c r="N326" s="12"/>
      <c r="O326" s="18"/>
      <c r="P326" s="12"/>
      <c r="Q326" s="12"/>
      <c r="R326" s="12"/>
      <c r="S326" s="36"/>
      <c r="T326" s="36"/>
      <c r="U326" s="12"/>
      <c r="V326" s="12"/>
      <c r="W326" s="12"/>
      <c r="X326" s="12"/>
      <c r="Y326" s="12"/>
    </row>
    <row r="327" customFormat="false" ht="15.75" hidden="false" customHeight="false" outlineLevel="0" collapsed="false">
      <c r="A327" s="12"/>
      <c r="B327" s="34"/>
      <c r="C327" s="12"/>
      <c r="D327" s="12"/>
      <c r="E327" s="12"/>
      <c r="F327" s="12"/>
      <c r="G327" s="18"/>
      <c r="H327" s="18"/>
      <c r="I327" s="35"/>
      <c r="J327" s="12"/>
      <c r="N327" s="12"/>
      <c r="O327" s="18"/>
      <c r="P327" s="12"/>
      <c r="Q327" s="12"/>
      <c r="R327" s="12"/>
      <c r="S327" s="36"/>
      <c r="T327" s="36"/>
      <c r="U327" s="12"/>
      <c r="V327" s="12"/>
      <c r="W327" s="12"/>
      <c r="X327" s="12"/>
      <c r="Y327" s="12"/>
    </row>
    <row r="328" customFormat="false" ht="15.75" hidden="false" customHeight="false" outlineLevel="0" collapsed="false">
      <c r="A328" s="12"/>
      <c r="B328" s="34"/>
      <c r="C328" s="12"/>
      <c r="D328" s="12"/>
      <c r="E328" s="12"/>
      <c r="F328" s="12"/>
      <c r="G328" s="18"/>
      <c r="H328" s="18"/>
      <c r="I328" s="35"/>
      <c r="J328" s="12"/>
      <c r="N328" s="12"/>
      <c r="O328" s="18"/>
      <c r="P328" s="12"/>
      <c r="Q328" s="12"/>
      <c r="R328" s="12"/>
      <c r="S328" s="36"/>
      <c r="T328" s="36"/>
      <c r="U328" s="12"/>
      <c r="V328" s="12"/>
      <c r="W328" s="12"/>
      <c r="X328" s="12"/>
      <c r="Y328" s="12"/>
    </row>
    <row r="329" customFormat="false" ht="15.75" hidden="false" customHeight="false" outlineLevel="0" collapsed="false">
      <c r="A329" s="12"/>
      <c r="B329" s="34"/>
      <c r="C329" s="12"/>
      <c r="D329" s="12"/>
      <c r="E329" s="12"/>
      <c r="F329" s="12"/>
      <c r="G329" s="18"/>
      <c r="H329" s="18"/>
      <c r="I329" s="35"/>
      <c r="J329" s="12"/>
      <c r="N329" s="12"/>
      <c r="O329" s="18"/>
      <c r="P329" s="12"/>
      <c r="Q329" s="12"/>
      <c r="R329" s="12"/>
      <c r="S329" s="36"/>
      <c r="T329" s="36"/>
      <c r="U329" s="12"/>
      <c r="V329" s="12"/>
      <c r="W329" s="12"/>
      <c r="X329" s="12"/>
      <c r="Y329" s="12"/>
    </row>
    <row r="330" customFormat="false" ht="15.75" hidden="false" customHeight="false" outlineLevel="0" collapsed="false">
      <c r="A330" s="12"/>
      <c r="B330" s="34"/>
      <c r="C330" s="12"/>
      <c r="D330" s="12"/>
      <c r="E330" s="12"/>
      <c r="F330" s="12"/>
      <c r="G330" s="18"/>
      <c r="H330" s="18"/>
      <c r="I330" s="35"/>
      <c r="J330" s="12"/>
      <c r="N330" s="12"/>
      <c r="O330" s="18"/>
      <c r="P330" s="12"/>
      <c r="Q330" s="12"/>
      <c r="R330" s="12"/>
      <c r="S330" s="36"/>
      <c r="T330" s="36"/>
      <c r="U330" s="12"/>
      <c r="V330" s="12"/>
      <c r="W330" s="12"/>
      <c r="X330" s="12"/>
      <c r="Y330" s="12"/>
    </row>
    <row r="331" customFormat="false" ht="15.75" hidden="false" customHeight="false" outlineLevel="0" collapsed="false">
      <c r="A331" s="12"/>
      <c r="B331" s="34"/>
      <c r="C331" s="12"/>
      <c r="D331" s="12"/>
      <c r="E331" s="12"/>
      <c r="F331" s="12"/>
      <c r="G331" s="18"/>
      <c r="H331" s="18"/>
      <c r="I331" s="35"/>
      <c r="J331" s="12"/>
      <c r="N331" s="12"/>
      <c r="O331" s="18"/>
      <c r="P331" s="12"/>
      <c r="Q331" s="12"/>
      <c r="R331" s="12"/>
      <c r="S331" s="36"/>
      <c r="T331" s="36"/>
      <c r="U331" s="12"/>
      <c r="V331" s="12"/>
      <c r="W331" s="12"/>
      <c r="X331" s="12"/>
      <c r="Y331" s="12"/>
    </row>
    <row r="332" customFormat="false" ht="15.75" hidden="false" customHeight="false" outlineLevel="0" collapsed="false">
      <c r="A332" s="12"/>
      <c r="B332" s="34"/>
      <c r="C332" s="12"/>
      <c r="D332" s="12"/>
      <c r="E332" s="12"/>
      <c r="F332" s="12"/>
      <c r="G332" s="18"/>
      <c r="H332" s="18"/>
      <c r="I332" s="35"/>
      <c r="J332" s="12"/>
      <c r="N332" s="12"/>
      <c r="O332" s="18"/>
      <c r="P332" s="12"/>
      <c r="Q332" s="12"/>
      <c r="R332" s="12"/>
      <c r="S332" s="36"/>
      <c r="T332" s="36"/>
      <c r="U332" s="12"/>
      <c r="V332" s="12"/>
      <c r="W332" s="12"/>
      <c r="X332" s="12"/>
      <c r="Y332" s="12"/>
    </row>
    <row r="333" customFormat="false" ht="15.75" hidden="false" customHeight="false" outlineLevel="0" collapsed="false">
      <c r="A333" s="12"/>
      <c r="B333" s="34"/>
      <c r="C333" s="12"/>
      <c r="D333" s="12"/>
      <c r="E333" s="12"/>
      <c r="F333" s="12"/>
      <c r="G333" s="18"/>
      <c r="H333" s="18"/>
      <c r="I333" s="35"/>
      <c r="J333" s="12"/>
      <c r="N333" s="12"/>
      <c r="O333" s="18"/>
      <c r="P333" s="12"/>
      <c r="Q333" s="12"/>
      <c r="R333" s="12"/>
      <c r="S333" s="36"/>
      <c r="T333" s="36"/>
      <c r="U333" s="12"/>
      <c r="V333" s="12"/>
      <c r="W333" s="12"/>
      <c r="X333" s="12"/>
      <c r="Y333" s="12"/>
    </row>
    <row r="334" customFormat="false" ht="15.75" hidden="false" customHeight="false" outlineLevel="0" collapsed="false">
      <c r="A334" s="12"/>
      <c r="B334" s="34"/>
      <c r="C334" s="12"/>
      <c r="D334" s="12"/>
      <c r="E334" s="12"/>
      <c r="F334" s="12"/>
      <c r="G334" s="18"/>
      <c r="H334" s="18"/>
      <c r="I334" s="35"/>
      <c r="J334" s="12"/>
      <c r="N334" s="12"/>
      <c r="O334" s="18"/>
      <c r="P334" s="12"/>
      <c r="Q334" s="12"/>
      <c r="R334" s="12"/>
      <c r="S334" s="36"/>
      <c r="T334" s="36"/>
      <c r="U334" s="12"/>
      <c r="V334" s="12"/>
      <c r="W334" s="12"/>
      <c r="X334" s="12"/>
      <c r="Y334" s="12"/>
    </row>
    <row r="335" customFormat="false" ht="15.75" hidden="false" customHeight="false" outlineLevel="0" collapsed="false">
      <c r="A335" s="12"/>
      <c r="B335" s="34"/>
      <c r="C335" s="12"/>
      <c r="D335" s="12"/>
      <c r="E335" s="12"/>
      <c r="F335" s="12"/>
      <c r="G335" s="18"/>
      <c r="H335" s="18"/>
      <c r="I335" s="35"/>
      <c r="J335" s="12"/>
      <c r="N335" s="12"/>
      <c r="O335" s="18"/>
      <c r="P335" s="12"/>
      <c r="Q335" s="12"/>
      <c r="R335" s="12"/>
      <c r="S335" s="36"/>
      <c r="T335" s="36"/>
      <c r="U335" s="12"/>
      <c r="V335" s="12"/>
      <c r="W335" s="12"/>
      <c r="X335" s="12"/>
      <c r="Y335" s="12"/>
    </row>
    <row r="336" customFormat="false" ht="15.75" hidden="false" customHeight="false" outlineLevel="0" collapsed="false">
      <c r="A336" s="12"/>
      <c r="B336" s="34"/>
      <c r="C336" s="12"/>
      <c r="D336" s="12"/>
      <c r="E336" s="12"/>
      <c r="F336" s="12"/>
      <c r="G336" s="18"/>
      <c r="H336" s="18"/>
      <c r="I336" s="35"/>
      <c r="J336" s="12"/>
      <c r="N336" s="12"/>
      <c r="O336" s="18"/>
      <c r="P336" s="12"/>
      <c r="Q336" s="12"/>
      <c r="R336" s="12"/>
      <c r="S336" s="36"/>
      <c r="T336" s="36"/>
      <c r="U336" s="12"/>
      <c r="V336" s="12"/>
      <c r="W336" s="12"/>
      <c r="X336" s="12"/>
      <c r="Y336" s="12"/>
    </row>
    <row r="337" customFormat="false" ht="15.75" hidden="false" customHeight="false" outlineLevel="0" collapsed="false">
      <c r="A337" s="12"/>
      <c r="B337" s="34"/>
      <c r="C337" s="12"/>
      <c r="D337" s="12"/>
      <c r="E337" s="12"/>
      <c r="F337" s="12"/>
      <c r="G337" s="18"/>
      <c r="H337" s="18"/>
      <c r="I337" s="35"/>
      <c r="J337" s="12"/>
      <c r="N337" s="12"/>
      <c r="O337" s="18"/>
      <c r="P337" s="12"/>
      <c r="Q337" s="12"/>
      <c r="R337" s="12"/>
      <c r="S337" s="36"/>
      <c r="T337" s="36"/>
      <c r="U337" s="12"/>
      <c r="V337" s="12"/>
      <c r="W337" s="12"/>
      <c r="X337" s="12"/>
      <c r="Y337" s="12"/>
    </row>
    <row r="338" customFormat="false" ht="15.75" hidden="false" customHeight="false" outlineLevel="0" collapsed="false">
      <c r="A338" s="12"/>
      <c r="B338" s="34"/>
      <c r="C338" s="12"/>
      <c r="D338" s="12"/>
      <c r="E338" s="12"/>
      <c r="F338" s="12"/>
      <c r="G338" s="18"/>
      <c r="H338" s="18"/>
      <c r="I338" s="35"/>
      <c r="J338" s="12"/>
      <c r="N338" s="12"/>
      <c r="O338" s="18"/>
      <c r="P338" s="12"/>
      <c r="Q338" s="12"/>
      <c r="R338" s="12"/>
      <c r="S338" s="36"/>
      <c r="T338" s="36"/>
      <c r="U338" s="12"/>
      <c r="V338" s="12"/>
      <c r="W338" s="12"/>
      <c r="X338" s="12"/>
      <c r="Y338" s="12"/>
    </row>
    <row r="339" customFormat="false" ht="15.75" hidden="false" customHeight="false" outlineLevel="0" collapsed="false">
      <c r="A339" s="12"/>
      <c r="B339" s="34"/>
      <c r="C339" s="12"/>
      <c r="D339" s="12"/>
      <c r="E339" s="12"/>
      <c r="F339" s="12"/>
      <c r="G339" s="18"/>
      <c r="H339" s="18"/>
      <c r="I339" s="35"/>
      <c r="J339" s="12"/>
      <c r="N339" s="12"/>
      <c r="O339" s="18"/>
      <c r="P339" s="12"/>
      <c r="Q339" s="12"/>
      <c r="R339" s="12"/>
      <c r="S339" s="36"/>
      <c r="T339" s="36"/>
      <c r="U339" s="12"/>
      <c r="V339" s="12"/>
      <c r="W339" s="12"/>
      <c r="X339" s="12"/>
      <c r="Y339" s="12"/>
    </row>
    <row r="340" customFormat="false" ht="15.75" hidden="false" customHeight="false" outlineLevel="0" collapsed="false">
      <c r="A340" s="12"/>
      <c r="B340" s="34"/>
      <c r="C340" s="12"/>
      <c r="D340" s="12"/>
      <c r="E340" s="12"/>
      <c r="F340" s="12"/>
      <c r="G340" s="18"/>
      <c r="H340" s="18"/>
      <c r="I340" s="35"/>
      <c r="J340" s="12"/>
      <c r="N340" s="12"/>
      <c r="O340" s="18"/>
      <c r="P340" s="12"/>
      <c r="Q340" s="12"/>
      <c r="R340" s="12"/>
      <c r="S340" s="36"/>
      <c r="T340" s="36"/>
      <c r="U340" s="12"/>
      <c r="V340" s="12"/>
      <c r="W340" s="12"/>
      <c r="X340" s="12"/>
      <c r="Y340" s="12"/>
    </row>
    <row r="341" customFormat="false" ht="15.75" hidden="false" customHeight="false" outlineLevel="0" collapsed="false">
      <c r="A341" s="12"/>
      <c r="B341" s="34"/>
      <c r="C341" s="12"/>
      <c r="D341" s="12"/>
      <c r="E341" s="12"/>
      <c r="F341" s="12"/>
      <c r="G341" s="18"/>
      <c r="H341" s="18"/>
      <c r="I341" s="35"/>
      <c r="J341" s="12"/>
      <c r="N341" s="12"/>
      <c r="O341" s="18"/>
      <c r="P341" s="12"/>
      <c r="Q341" s="12"/>
      <c r="R341" s="12"/>
      <c r="S341" s="36"/>
      <c r="T341" s="36"/>
      <c r="U341" s="12"/>
      <c r="V341" s="12"/>
      <c r="W341" s="12"/>
      <c r="X341" s="12"/>
      <c r="Y341" s="12"/>
    </row>
    <row r="342" customFormat="false" ht="15.75" hidden="false" customHeight="false" outlineLevel="0" collapsed="false">
      <c r="A342" s="12"/>
      <c r="B342" s="34"/>
      <c r="C342" s="12"/>
      <c r="D342" s="12"/>
      <c r="E342" s="12"/>
      <c r="F342" s="12"/>
      <c r="G342" s="18"/>
      <c r="H342" s="18"/>
      <c r="I342" s="35"/>
      <c r="J342" s="12"/>
      <c r="N342" s="12"/>
      <c r="O342" s="18"/>
      <c r="P342" s="12"/>
      <c r="Q342" s="12"/>
      <c r="R342" s="12"/>
      <c r="S342" s="36"/>
      <c r="T342" s="36"/>
      <c r="U342" s="12"/>
      <c r="V342" s="12"/>
      <c r="W342" s="12"/>
      <c r="X342" s="12"/>
      <c r="Y342" s="12"/>
    </row>
    <row r="343" customFormat="false" ht="15.75" hidden="false" customHeight="false" outlineLevel="0" collapsed="false">
      <c r="A343" s="12"/>
      <c r="B343" s="34"/>
      <c r="C343" s="12"/>
      <c r="D343" s="12"/>
      <c r="E343" s="12"/>
      <c r="F343" s="12"/>
      <c r="G343" s="18"/>
      <c r="H343" s="18"/>
      <c r="I343" s="35"/>
      <c r="J343" s="12"/>
      <c r="N343" s="12"/>
      <c r="O343" s="18"/>
      <c r="P343" s="12"/>
      <c r="Q343" s="12"/>
      <c r="R343" s="12"/>
      <c r="S343" s="36"/>
      <c r="T343" s="36"/>
      <c r="U343" s="12"/>
      <c r="V343" s="12"/>
      <c r="W343" s="12"/>
      <c r="X343" s="12"/>
      <c r="Y343" s="12"/>
    </row>
    <row r="344" customFormat="false" ht="15.75" hidden="false" customHeight="false" outlineLevel="0" collapsed="false">
      <c r="A344" s="12"/>
      <c r="B344" s="34"/>
      <c r="C344" s="12"/>
      <c r="D344" s="12"/>
      <c r="E344" s="12"/>
      <c r="F344" s="12"/>
      <c r="G344" s="18"/>
      <c r="H344" s="18"/>
      <c r="I344" s="35"/>
      <c r="J344" s="12"/>
      <c r="N344" s="12"/>
      <c r="O344" s="18"/>
      <c r="P344" s="12"/>
      <c r="Q344" s="12"/>
      <c r="R344" s="12"/>
      <c r="S344" s="36"/>
      <c r="T344" s="36"/>
      <c r="U344" s="12"/>
      <c r="V344" s="12"/>
      <c r="W344" s="12"/>
      <c r="X344" s="12"/>
      <c r="Y344" s="12"/>
    </row>
    <row r="345" customFormat="false" ht="15.75" hidden="false" customHeight="false" outlineLevel="0" collapsed="false">
      <c r="A345" s="12"/>
      <c r="B345" s="34"/>
      <c r="C345" s="12"/>
      <c r="D345" s="12"/>
      <c r="E345" s="12"/>
      <c r="F345" s="12"/>
      <c r="G345" s="18"/>
      <c r="H345" s="18"/>
      <c r="I345" s="35"/>
      <c r="J345" s="12"/>
      <c r="N345" s="12"/>
      <c r="O345" s="18"/>
      <c r="P345" s="12"/>
      <c r="Q345" s="12"/>
      <c r="R345" s="12"/>
      <c r="S345" s="36"/>
      <c r="T345" s="36"/>
      <c r="U345" s="12"/>
      <c r="V345" s="12"/>
      <c r="W345" s="12"/>
      <c r="X345" s="12"/>
      <c r="Y345" s="12"/>
    </row>
    <row r="346" customFormat="false" ht="15.75" hidden="false" customHeight="false" outlineLevel="0" collapsed="false">
      <c r="A346" s="12"/>
      <c r="B346" s="34"/>
      <c r="C346" s="12"/>
      <c r="D346" s="12"/>
      <c r="E346" s="12"/>
      <c r="F346" s="12"/>
      <c r="G346" s="18"/>
      <c r="H346" s="18"/>
      <c r="I346" s="35"/>
      <c r="J346" s="12"/>
      <c r="N346" s="12"/>
      <c r="O346" s="18"/>
      <c r="P346" s="12"/>
      <c r="Q346" s="12"/>
      <c r="R346" s="12"/>
      <c r="S346" s="36"/>
      <c r="T346" s="36"/>
      <c r="U346" s="12"/>
      <c r="V346" s="12"/>
      <c r="W346" s="12"/>
      <c r="X346" s="12"/>
      <c r="Y346" s="12"/>
    </row>
    <row r="347" customFormat="false" ht="15.75" hidden="false" customHeight="false" outlineLevel="0" collapsed="false">
      <c r="A347" s="12"/>
      <c r="B347" s="34"/>
      <c r="C347" s="12"/>
      <c r="D347" s="12"/>
      <c r="E347" s="12"/>
      <c r="F347" s="12"/>
      <c r="G347" s="18"/>
      <c r="H347" s="18"/>
      <c r="I347" s="35"/>
      <c r="J347" s="12"/>
      <c r="N347" s="12"/>
      <c r="O347" s="18"/>
      <c r="P347" s="12"/>
      <c r="Q347" s="12"/>
      <c r="R347" s="12"/>
      <c r="S347" s="36"/>
      <c r="T347" s="36"/>
      <c r="U347" s="12"/>
      <c r="V347" s="12"/>
      <c r="W347" s="12"/>
      <c r="X347" s="12"/>
      <c r="Y347" s="12"/>
    </row>
    <row r="348" customFormat="false" ht="15.75" hidden="false" customHeight="false" outlineLevel="0" collapsed="false">
      <c r="A348" s="12"/>
      <c r="B348" s="34"/>
      <c r="C348" s="12"/>
      <c r="D348" s="12"/>
      <c r="E348" s="12"/>
      <c r="F348" s="12"/>
      <c r="G348" s="18"/>
      <c r="H348" s="18"/>
      <c r="I348" s="35"/>
      <c r="J348" s="12"/>
      <c r="N348" s="12"/>
      <c r="O348" s="18"/>
      <c r="P348" s="12"/>
      <c r="Q348" s="12"/>
      <c r="R348" s="12"/>
      <c r="S348" s="36"/>
      <c r="T348" s="36"/>
      <c r="U348" s="12"/>
      <c r="V348" s="12"/>
      <c r="W348" s="12"/>
      <c r="X348" s="12"/>
      <c r="Y348" s="12"/>
    </row>
    <row r="349" customFormat="false" ht="15.75" hidden="false" customHeight="false" outlineLevel="0" collapsed="false">
      <c r="A349" s="12"/>
      <c r="B349" s="34"/>
      <c r="C349" s="12"/>
      <c r="D349" s="12"/>
      <c r="E349" s="12"/>
      <c r="F349" s="12"/>
      <c r="G349" s="18"/>
      <c r="H349" s="18"/>
      <c r="I349" s="35"/>
      <c r="J349" s="12"/>
      <c r="N349" s="12"/>
      <c r="O349" s="18"/>
      <c r="P349" s="12"/>
      <c r="Q349" s="12"/>
      <c r="R349" s="12"/>
      <c r="S349" s="36"/>
      <c r="T349" s="36"/>
      <c r="U349" s="12"/>
      <c r="V349" s="12"/>
      <c r="W349" s="12"/>
      <c r="X349" s="12"/>
      <c r="Y349" s="12"/>
    </row>
    <row r="350" customFormat="false" ht="15.75" hidden="false" customHeight="false" outlineLevel="0" collapsed="false">
      <c r="A350" s="12"/>
      <c r="B350" s="34"/>
      <c r="C350" s="12"/>
      <c r="D350" s="12"/>
      <c r="E350" s="12"/>
      <c r="F350" s="12"/>
      <c r="G350" s="18"/>
      <c r="H350" s="18"/>
      <c r="I350" s="35"/>
      <c r="J350" s="12"/>
      <c r="N350" s="12"/>
      <c r="O350" s="18"/>
      <c r="P350" s="12"/>
      <c r="Q350" s="12"/>
      <c r="R350" s="12"/>
      <c r="S350" s="36"/>
      <c r="T350" s="36"/>
      <c r="U350" s="12"/>
      <c r="V350" s="12"/>
      <c r="W350" s="12"/>
      <c r="X350" s="12"/>
      <c r="Y350" s="12"/>
    </row>
    <row r="351" customFormat="false" ht="15.75" hidden="false" customHeight="false" outlineLevel="0" collapsed="false">
      <c r="A351" s="12"/>
      <c r="B351" s="34"/>
      <c r="C351" s="12"/>
      <c r="D351" s="12"/>
      <c r="E351" s="12"/>
      <c r="F351" s="12"/>
      <c r="G351" s="18"/>
      <c r="H351" s="18"/>
      <c r="I351" s="35"/>
      <c r="J351" s="12"/>
      <c r="N351" s="12"/>
      <c r="O351" s="18"/>
      <c r="P351" s="12"/>
      <c r="Q351" s="12"/>
      <c r="R351" s="12"/>
      <c r="S351" s="36"/>
      <c r="T351" s="36"/>
      <c r="U351" s="12"/>
      <c r="V351" s="12"/>
      <c r="W351" s="12"/>
      <c r="X351" s="12"/>
      <c r="Y351" s="12"/>
    </row>
    <row r="352" customFormat="false" ht="15.75" hidden="false" customHeight="false" outlineLevel="0" collapsed="false">
      <c r="A352" s="12"/>
      <c r="B352" s="34"/>
      <c r="C352" s="12"/>
      <c r="D352" s="12"/>
      <c r="E352" s="12"/>
      <c r="F352" s="12"/>
      <c r="G352" s="18"/>
      <c r="H352" s="18"/>
      <c r="I352" s="35"/>
      <c r="J352" s="12"/>
      <c r="N352" s="12"/>
      <c r="O352" s="18"/>
      <c r="P352" s="12"/>
      <c r="Q352" s="12"/>
      <c r="R352" s="12"/>
      <c r="S352" s="36"/>
      <c r="T352" s="36"/>
      <c r="U352" s="12"/>
      <c r="V352" s="12"/>
      <c r="W352" s="12"/>
      <c r="X352" s="12"/>
      <c r="Y352" s="12"/>
    </row>
    <row r="353" customFormat="false" ht="15.75" hidden="false" customHeight="false" outlineLevel="0" collapsed="false">
      <c r="A353" s="12"/>
      <c r="B353" s="34"/>
      <c r="C353" s="12"/>
      <c r="D353" s="12"/>
      <c r="E353" s="12"/>
      <c r="F353" s="12"/>
      <c r="G353" s="18"/>
      <c r="H353" s="18"/>
      <c r="I353" s="35"/>
      <c r="J353" s="12"/>
      <c r="N353" s="12"/>
      <c r="O353" s="18"/>
      <c r="P353" s="12"/>
      <c r="Q353" s="12"/>
      <c r="R353" s="12"/>
      <c r="S353" s="36"/>
      <c r="T353" s="36"/>
      <c r="U353" s="12"/>
      <c r="V353" s="12"/>
      <c r="W353" s="12"/>
      <c r="X353" s="12"/>
      <c r="Y353" s="12"/>
    </row>
    <row r="354" customFormat="false" ht="15.75" hidden="false" customHeight="false" outlineLevel="0" collapsed="false">
      <c r="A354" s="12"/>
      <c r="B354" s="34"/>
      <c r="C354" s="12"/>
      <c r="D354" s="12"/>
      <c r="E354" s="12"/>
      <c r="F354" s="12"/>
      <c r="G354" s="18"/>
      <c r="H354" s="18"/>
      <c r="I354" s="35"/>
      <c r="J354" s="12"/>
      <c r="N354" s="12"/>
      <c r="O354" s="18"/>
      <c r="P354" s="12"/>
      <c r="Q354" s="12"/>
      <c r="R354" s="12"/>
      <c r="S354" s="36"/>
      <c r="T354" s="36"/>
      <c r="U354" s="12"/>
      <c r="V354" s="12"/>
      <c r="W354" s="12"/>
      <c r="X354" s="12"/>
      <c r="Y354" s="12"/>
    </row>
    <row r="355" customFormat="false" ht="15.75" hidden="false" customHeight="false" outlineLevel="0" collapsed="false">
      <c r="A355" s="12"/>
      <c r="B355" s="34"/>
      <c r="C355" s="12"/>
      <c r="D355" s="12"/>
      <c r="E355" s="12"/>
      <c r="F355" s="12"/>
      <c r="G355" s="18"/>
      <c r="H355" s="18"/>
      <c r="I355" s="35"/>
      <c r="J355" s="12"/>
      <c r="N355" s="12"/>
      <c r="O355" s="18"/>
      <c r="P355" s="12"/>
      <c r="Q355" s="12"/>
      <c r="R355" s="12"/>
      <c r="S355" s="36"/>
      <c r="T355" s="36"/>
      <c r="U355" s="12"/>
      <c r="V355" s="12"/>
      <c r="W355" s="12"/>
      <c r="X355" s="12"/>
      <c r="Y355" s="12"/>
    </row>
    <row r="356" customFormat="false" ht="15.75" hidden="false" customHeight="false" outlineLevel="0" collapsed="false">
      <c r="A356" s="12"/>
      <c r="B356" s="34"/>
      <c r="C356" s="12"/>
      <c r="D356" s="12"/>
      <c r="E356" s="12"/>
      <c r="F356" s="12"/>
      <c r="G356" s="18"/>
      <c r="H356" s="18"/>
      <c r="I356" s="35"/>
      <c r="J356" s="12"/>
      <c r="N356" s="12"/>
      <c r="O356" s="18"/>
      <c r="P356" s="12"/>
      <c r="Q356" s="12"/>
      <c r="R356" s="12"/>
      <c r="S356" s="36"/>
      <c r="T356" s="36"/>
      <c r="U356" s="12"/>
      <c r="V356" s="12"/>
      <c r="W356" s="12"/>
      <c r="X356" s="12"/>
      <c r="Y356" s="12"/>
    </row>
    <row r="357" customFormat="false" ht="15.75" hidden="false" customHeight="false" outlineLevel="0" collapsed="false">
      <c r="A357" s="12"/>
      <c r="B357" s="34"/>
      <c r="C357" s="12"/>
      <c r="D357" s="12"/>
      <c r="E357" s="12"/>
      <c r="F357" s="12"/>
      <c r="G357" s="18"/>
      <c r="H357" s="18"/>
      <c r="I357" s="35"/>
      <c r="J357" s="12"/>
      <c r="N357" s="12"/>
      <c r="O357" s="18"/>
      <c r="P357" s="12"/>
      <c r="Q357" s="12"/>
      <c r="R357" s="12"/>
      <c r="S357" s="36"/>
      <c r="T357" s="36"/>
      <c r="U357" s="12"/>
      <c r="V357" s="12"/>
      <c r="W357" s="12"/>
      <c r="X357" s="12"/>
      <c r="Y357" s="12"/>
    </row>
    <row r="358" customFormat="false" ht="15.75" hidden="false" customHeight="false" outlineLevel="0" collapsed="false">
      <c r="A358" s="12"/>
      <c r="B358" s="34"/>
      <c r="C358" s="12"/>
      <c r="D358" s="12"/>
      <c r="E358" s="12"/>
      <c r="F358" s="12"/>
      <c r="G358" s="18"/>
      <c r="H358" s="18"/>
      <c r="I358" s="35"/>
      <c r="J358" s="12"/>
      <c r="N358" s="12"/>
      <c r="O358" s="18"/>
      <c r="P358" s="12"/>
      <c r="Q358" s="12"/>
      <c r="R358" s="12"/>
      <c r="S358" s="36"/>
      <c r="T358" s="36"/>
      <c r="U358" s="12"/>
      <c r="V358" s="12"/>
      <c r="W358" s="12"/>
      <c r="X358" s="12"/>
      <c r="Y358" s="12"/>
    </row>
    <row r="359" customFormat="false" ht="15.75" hidden="false" customHeight="false" outlineLevel="0" collapsed="false">
      <c r="A359" s="12"/>
      <c r="B359" s="34"/>
      <c r="C359" s="12"/>
      <c r="D359" s="12"/>
      <c r="E359" s="12"/>
      <c r="F359" s="12"/>
      <c r="G359" s="18"/>
      <c r="H359" s="18"/>
      <c r="I359" s="35"/>
      <c r="J359" s="12"/>
      <c r="N359" s="12"/>
      <c r="O359" s="18"/>
      <c r="P359" s="12"/>
      <c r="Q359" s="12"/>
      <c r="R359" s="12"/>
      <c r="S359" s="36"/>
      <c r="T359" s="36"/>
      <c r="U359" s="12"/>
      <c r="V359" s="12"/>
      <c r="W359" s="12"/>
      <c r="X359" s="12"/>
      <c r="Y359" s="12"/>
    </row>
    <row r="360" customFormat="false" ht="15.75" hidden="false" customHeight="false" outlineLevel="0" collapsed="false">
      <c r="A360" s="12"/>
      <c r="B360" s="34"/>
      <c r="C360" s="12"/>
      <c r="D360" s="12"/>
      <c r="E360" s="12"/>
      <c r="F360" s="12"/>
      <c r="G360" s="18"/>
      <c r="H360" s="18"/>
      <c r="I360" s="35"/>
      <c r="J360" s="12"/>
      <c r="N360" s="12"/>
      <c r="O360" s="18"/>
      <c r="P360" s="12"/>
      <c r="Q360" s="12"/>
      <c r="R360" s="12"/>
      <c r="S360" s="36"/>
      <c r="T360" s="36"/>
      <c r="U360" s="12"/>
      <c r="V360" s="12"/>
      <c r="W360" s="12"/>
      <c r="X360" s="12"/>
      <c r="Y360" s="12"/>
    </row>
    <row r="361" customFormat="false" ht="15.75" hidden="false" customHeight="false" outlineLevel="0" collapsed="false">
      <c r="A361" s="12"/>
      <c r="B361" s="34"/>
      <c r="C361" s="12"/>
      <c r="D361" s="12"/>
      <c r="E361" s="12"/>
      <c r="F361" s="12"/>
      <c r="G361" s="18"/>
      <c r="H361" s="18"/>
      <c r="I361" s="35"/>
      <c r="J361" s="12"/>
      <c r="N361" s="12"/>
      <c r="O361" s="18"/>
      <c r="P361" s="12"/>
      <c r="Q361" s="12"/>
      <c r="R361" s="12"/>
      <c r="S361" s="36"/>
      <c r="T361" s="36"/>
      <c r="U361" s="12"/>
      <c r="V361" s="12"/>
      <c r="W361" s="12"/>
      <c r="X361" s="12"/>
      <c r="Y361" s="12"/>
    </row>
    <row r="362" customFormat="false" ht="15.75" hidden="false" customHeight="false" outlineLevel="0" collapsed="false">
      <c r="A362" s="12"/>
      <c r="B362" s="34"/>
      <c r="C362" s="12"/>
      <c r="D362" s="12"/>
      <c r="E362" s="12"/>
      <c r="F362" s="12"/>
      <c r="G362" s="18"/>
      <c r="H362" s="18"/>
      <c r="I362" s="35"/>
      <c r="J362" s="12"/>
      <c r="N362" s="12"/>
      <c r="O362" s="18"/>
      <c r="P362" s="12"/>
      <c r="Q362" s="12"/>
      <c r="R362" s="12"/>
      <c r="S362" s="36"/>
      <c r="T362" s="36"/>
      <c r="U362" s="12"/>
      <c r="V362" s="12"/>
      <c r="W362" s="12"/>
      <c r="X362" s="12"/>
      <c r="Y362" s="12"/>
    </row>
    <row r="363" customFormat="false" ht="15.75" hidden="false" customHeight="false" outlineLevel="0" collapsed="false">
      <c r="A363" s="12"/>
      <c r="B363" s="34"/>
      <c r="C363" s="12"/>
      <c r="D363" s="12"/>
      <c r="E363" s="12"/>
      <c r="F363" s="12"/>
      <c r="G363" s="18"/>
      <c r="H363" s="18"/>
      <c r="I363" s="35"/>
      <c r="J363" s="12"/>
      <c r="N363" s="12"/>
      <c r="O363" s="18"/>
      <c r="P363" s="12"/>
      <c r="Q363" s="12"/>
      <c r="R363" s="12"/>
      <c r="S363" s="36"/>
      <c r="T363" s="36"/>
      <c r="U363" s="12"/>
      <c r="V363" s="12"/>
      <c r="W363" s="12"/>
      <c r="X363" s="12"/>
      <c r="Y363" s="12"/>
    </row>
    <row r="364" customFormat="false" ht="15.75" hidden="false" customHeight="false" outlineLevel="0" collapsed="false">
      <c r="A364" s="12"/>
      <c r="B364" s="34"/>
      <c r="C364" s="12"/>
      <c r="D364" s="12"/>
      <c r="E364" s="12"/>
      <c r="F364" s="12"/>
      <c r="G364" s="18"/>
      <c r="H364" s="18"/>
      <c r="I364" s="35"/>
      <c r="J364" s="12"/>
      <c r="N364" s="12"/>
      <c r="O364" s="18"/>
      <c r="P364" s="12"/>
      <c r="Q364" s="12"/>
      <c r="R364" s="12"/>
      <c r="S364" s="36"/>
      <c r="T364" s="36"/>
      <c r="U364" s="12"/>
      <c r="V364" s="12"/>
      <c r="W364" s="12"/>
      <c r="X364" s="12"/>
      <c r="Y364" s="12"/>
    </row>
    <row r="365" customFormat="false" ht="15.75" hidden="false" customHeight="false" outlineLevel="0" collapsed="false">
      <c r="A365" s="12"/>
      <c r="B365" s="34"/>
      <c r="C365" s="12"/>
      <c r="D365" s="12"/>
      <c r="E365" s="12"/>
      <c r="F365" s="12"/>
      <c r="G365" s="18"/>
      <c r="H365" s="18"/>
      <c r="I365" s="35"/>
      <c r="J365" s="12"/>
      <c r="N365" s="12"/>
      <c r="O365" s="18"/>
      <c r="P365" s="12"/>
      <c r="Q365" s="12"/>
      <c r="R365" s="12"/>
      <c r="S365" s="36"/>
      <c r="T365" s="36"/>
      <c r="U365" s="12"/>
      <c r="V365" s="12"/>
      <c r="W365" s="12"/>
      <c r="X365" s="12"/>
      <c r="Y365" s="12"/>
    </row>
    <row r="366" customFormat="false" ht="15.75" hidden="false" customHeight="false" outlineLevel="0" collapsed="false">
      <c r="A366" s="12"/>
      <c r="B366" s="34"/>
      <c r="C366" s="12"/>
      <c r="D366" s="12"/>
      <c r="E366" s="12"/>
      <c r="F366" s="12"/>
      <c r="G366" s="18"/>
      <c r="H366" s="18"/>
      <c r="I366" s="35"/>
      <c r="J366" s="12"/>
      <c r="N366" s="12"/>
      <c r="O366" s="18"/>
      <c r="P366" s="12"/>
      <c r="Q366" s="12"/>
      <c r="R366" s="12"/>
      <c r="S366" s="36"/>
      <c r="T366" s="36"/>
      <c r="U366" s="12"/>
      <c r="V366" s="12"/>
      <c r="W366" s="12"/>
      <c r="X366" s="12"/>
      <c r="Y366" s="12"/>
    </row>
    <row r="367" customFormat="false" ht="15.75" hidden="false" customHeight="false" outlineLevel="0" collapsed="false">
      <c r="A367" s="12"/>
      <c r="B367" s="34"/>
      <c r="C367" s="12"/>
      <c r="D367" s="12"/>
      <c r="E367" s="12"/>
      <c r="F367" s="12"/>
      <c r="G367" s="18"/>
      <c r="H367" s="18"/>
      <c r="I367" s="35"/>
      <c r="J367" s="12"/>
      <c r="N367" s="12"/>
      <c r="O367" s="18"/>
      <c r="P367" s="12"/>
      <c r="Q367" s="12"/>
      <c r="R367" s="12"/>
      <c r="S367" s="36"/>
      <c r="T367" s="36"/>
      <c r="U367" s="12"/>
      <c r="V367" s="12"/>
      <c r="W367" s="12"/>
      <c r="X367" s="12"/>
      <c r="Y367" s="12"/>
    </row>
    <row r="368" customFormat="false" ht="15.75" hidden="false" customHeight="false" outlineLevel="0" collapsed="false">
      <c r="A368" s="12"/>
      <c r="B368" s="34"/>
      <c r="C368" s="12"/>
      <c r="D368" s="12"/>
      <c r="E368" s="12"/>
      <c r="F368" s="12"/>
      <c r="G368" s="18"/>
      <c r="H368" s="18"/>
      <c r="I368" s="35"/>
      <c r="J368" s="12"/>
      <c r="N368" s="12"/>
      <c r="O368" s="18"/>
      <c r="P368" s="12"/>
      <c r="Q368" s="12"/>
      <c r="R368" s="12"/>
      <c r="S368" s="36"/>
      <c r="T368" s="36"/>
      <c r="U368" s="12"/>
      <c r="V368" s="12"/>
      <c r="W368" s="12"/>
      <c r="X368" s="12"/>
      <c r="Y368" s="12"/>
    </row>
    <row r="369" customFormat="false" ht="15.75" hidden="false" customHeight="false" outlineLevel="0" collapsed="false">
      <c r="A369" s="12"/>
      <c r="B369" s="34"/>
      <c r="C369" s="12"/>
      <c r="D369" s="12"/>
      <c r="E369" s="12"/>
      <c r="F369" s="12"/>
      <c r="G369" s="18"/>
      <c r="H369" s="18"/>
      <c r="I369" s="35"/>
      <c r="J369" s="12"/>
      <c r="N369" s="12"/>
      <c r="O369" s="18"/>
      <c r="P369" s="12"/>
      <c r="Q369" s="12"/>
      <c r="R369" s="12"/>
      <c r="S369" s="36"/>
      <c r="T369" s="36"/>
      <c r="U369" s="12"/>
      <c r="V369" s="12"/>
      <c r="W369" s="12"/>
      <c r="X369" s="12"/>
      <c r="Y369" s="12"/>
    </row>
    <row r="370" customFormat="false" ht="15.75" hidden="false" customHeight="false" outlineLevel="0" collapsed="false">
      <c r="A370" s="12"/>
      <c r="B370" s="34"/>
      <c r="C370" s="12"/>
      <c r="D370" s="12"/>
      <c r="E370" s="12"/>
      <c r="F370" s="12"/>
      <c r="G370" s="18"/>
      <c r="H370" s="18"/>
      <c r="I370" s="35"/>
      <c r="J370" s="12"/>
      <c r="N370" s="12"/>
      <c r="O370" s="18"/>
      <c r="P370" s="12"/>
      <c r="Q370" s="12"/>
      <c r="R370" s="12"/>
      <c r="S370" s="36"/>
      <c r="T370" s="36"/>
      <c r="U370" s="12"/>
      <c r="V370" s="12"/>
      <c r="W370" s="12"/>
      <c r="X370" s="12"/>
      <c r="Y370" s="12"/>
    </row>
    <row r="371" customFormat="false" ht="15.75" hidden="false" customHeight="false" outlineLevel="0" collapsed="false">
      <c r="A371" s="12"/>
      <c r="B371" s="34"/>
      <c r="C371" s="12"/>
      <c r="D371" s="12"/>
      <c r="E371" s="12"/>
      <c r="F371" s="12"/>
      <c r="G371" s="18"/>
      <c r="H371" s="18"/>
      <c r="I371" s="35"/>
      <c r="J371" s="12"/>
      <c r="N371" s="12"/>
      <c r="O371" s="18"/>
      <c r="P371" s="12"/>
      <c r="Q371" s="12"/>
      <c r="R371" s="12"/>
      <c r="S371" s="36"/>
      <c r="T371" s="36"/>
      <c r="U371" s="12"/>
      <c r="V371" s="12"/>
      <c r="W371" s="12"/>
      <c r="X371" s="12"/>
      <c r="Y371" s="12"/>
    </row>
    <row r="372" customFormat="false" ht="15.75" hidden="false" customHeight="false" outlineLevel="0" collapsed="false">
      <c r="A372" s="12"/>
      <c r="B372" s="34"/>
      <c r="C372" s="12"/>
      <c r="D372" s="12"/>
      <c r="E372" s="12"/>
      <c r="F372" s="12"/>
      <c r="G372" s="18"/>
      <c r="H372" s="18"/>
      <c r="I372" s="35"/>
      <c r="J372" s="12"/>
      <c r="N372" s="12"/>
      <c r="O372" s="18"/>
      <c r="P372" s="12"/>
      <c r="Q372" s="12"/>
      <c r="R372" s="12"/>
      <c r="S372" s="36"/>
      <c r="T372" s="36"/>
      <c r="U372" s="12"/>
      <c r="V372" s="12"/>
      <c r="W372" s="12"/>
      <c r="X372" s="12"/>
      <c r="Y372" s="12"/>
    </row>
    <row r="373" customFormat="false" ht="15.75" hidden="false" customHeight="false" outlineLevel="0" collapsed="false">
      <c r="A373" s="12"/>
      <c r="B373" s="34"/>
      <c r="C373" s="12"/>
      <c r="D373" s="12"/>
      <c r="E373" s="12"/>
      <c r="F373" s="12"/>
      <c r="G373" s="18"/>
      <c r="H373" s="18"/>
      <c r="I373" s="35"/>
      <c r="J373" s="12"/>
      <c r="N373" s="12"/>
      <c r="O373" s="18"/>
      <c r="P373" s="12"/>
      <c r="Q373" s="12"/>
      <c r="R373" s="12"/>
      <c r="S373" s="36"/>
      <c r="T373" s="36"/>
      <c r="U373" s="12"/>
      <c r="V373" s="12"/>
      <c r="W373" s="12"/>
      <c r="X373" s="12"/>
      <c r="Y373" s="12"/>
    </row>
    <row r="374" customFormat="false" ht="15.75" hidden="false" customHeight="false" outlineLevel="0" collapsed="false">
      <c r="A374" s="12"/>
      <c r="B374" s="34"/>
      <c r="C374" s="12"/>
      <c r="D374" s="12"/>
      <c r="E374" s="12"/>
      <c r="F374" s="12"/>
      <c r="G374" s="18"/>
      <c r="H374" s="18"/>
      <c r="I374" s="35"/>
      <c r="J374" s="12"/>
      <c r="N374" s="12"/>
      <c r="O374" s="18"/>
      <c r="P374" s="12"/>
      <c r="Q374" s="12"/>
      <c r="R374" s="12"/>
      <c r="S374" s="36"/>
      <c r="T374" s="36"/>
      <c r="U374" s="12"/>
      <c r="V374" s="12"/>
      <c r="W374" s="12"/>
      <c r="X374" s="12"/>
      <c r="Y374" s="12"/>
    </row>
    <row r="375" customFormat="false" ht="15.75" hidden="false" customHeight="false" outlineLevel="0" collapsed="false">
      <c r="A375" s="12"/>
      <c r="B375" s="34"/>
      <c r="C375" s="12"/>
      <c r="D375" s="12"/>
      <c r="E375" s="12"/>
      <c r="F375" s="12"/>
      <c r="G375" s="18"/>
      <c r="H375" s="18"/>
      <c r="I375" s="35"/>
      <c r="J375" s="12"/>
      <c r="N375" s="12"/>
      <c r="O375" s="18"/>
      <c r="P375" s="12"/>
      <c r="Q375" s="12"/>
      <c r="R375" s="12"/>
      <c r="S375" s="36"/>
      <c r="T375" s="36"/>
      <c r="U375" s="12"/>
      <c r="V375" s="12"/>
      <c r="W375" s="12"/>
      <c r="X375" s="12"/>
      <c r="Y375" s="12"/>
    </row>
    <row r="376" customFormat="false" ht="15.75" hidden="false" customHeight="false" outlineLevel="0" collapsed="false">
      <c r="A376" s="12"/>
      <c r="B376" s="34"/>
      <c r="C376" s="12"/>
      <c r="D376" s="12"/>
      <c r="E376" s="12"/>
      <c r="F376" s="12"/>
      <c r="G376" s="18"/>
      <c r="H376" s="18"/>
      <c r="I376" s="35"/>
      <c r="J376" s="12"/>
      <c r="N376" s="12"/>
      <c r="O376" s="18"/>
      <c r="P376" s="12"/>
      <c r="Q376" s="12"/>
      <c r="R376" s="12"/>
      <c r="S376" s="36"/>
      <c r="T376" s="36"/>
      <c r="U376" s="12"/>
      <c r="V376" s="12"/>
      <c r="W376" s="12"/>
      <c r="X376" s="12"/>
      <c r="Y376" s="12"/>
    </row>
    <row r="377" customFormat="false" ht="15.75" hidden="false" customHeight="false" outlineLevel="0" collapsed="false">
      <c r="A377" s="12"/>
      <c r="B377" s="34"/>
      <c r="C377" s="12"/>
      <c r="D377" s="12"/>
      <c r="E377" s="12"/>
      <c r="F377" s="12"/>
      <c r="G377" s="18"/>
      <c r="H377" s="18"/>
      <c r="I377" s="35"/>
      <c r="J377" s="12"/>
      <c r="N377" s="12"/>
      <c r="O377" s="18"/>
      <c r="P377" s="12"/>
      <c r="Q377" s="12"/>
      <c r="R377" s="12"/>
      <c r="S377" s="36"/>
      <c r="T377" s="36"/>
      <c r="U377" s="12"/>
      <c r="V377" s="12"/>
      <c r="W377" s="12"/>
      <c r="X377" s="12"/>
      <c r="Y377" s="12"/>
    </row>
    <row r="378" customFormat="false" ht="15.75" hidden="false" customHeight="false" outlineLevel="0" collapsed="false">
      <c r="A378" s="12"/>
      <c r="B378" s="34"/>
      <c r="C378" s="12"/>
      <c r="D378" s="12"/>
      <c r="E378" s="12"/>
      <c r="F378" s="12"/>
      <c r="G378" s="18"/>
      <c r="H378" s="18"/>
      <c r="I378" s="35"/>
      <c r="J378" s="12"/>
      <c r="N378" s="12"/>
      <c r="O378" s="18"/>
      <c r="P378" s="12"/>
      <c r="Q378" s="12"/>
      <c r="R378" s="12"/>
      <c r="S378" s="36"/>
      <c r="T378" s="36"/>
      <c r="U378" s="12"/>
      <c r="V378" s="12"/>
      <c r="W378" s="12"/>
      <c r="X378" s="12"/>
      <c r="Y378" s="12"/>
    </row>
    <row r="379" customFormat="false" ht="15.75" hidden="false" customHeight="false" outlineLevel="0" collapsed="false">
      <c r="A379" s="12"/>
      <c r="B379" s="34"/>
      <c r="C379" s="12"/>
      <c r="D379" s="12"/>
      <c r="E379" s="12"/>
      <c r="F379" s="12"/>
      <c r="G379" s="18"/>
      <c r="H379" s="18"/>
      <c r="I379" s="35"/>
      <c r="J379" s="12"/>
      <c r="N379" s="12"/>
      <c r="O379" s="18"/>
      <c r="P379" s="12"/>
      <c r="Q379" s="12"/>
      <c r="R379" s="12"/>
      <c r="S379" s="36"/>
      <c r="T379" s="36"/>
      <c r="U379" s="12"/>
      <c r="V379" s="12"/>
      <c r="W379" s="12"/>
      <c r="X379" s="12"/>
      <c r="Y379" s="12"/>
    </row>
    <row r="380" customFormat="false" ht="15.75" hidden="false" customHeight="false" outlineLevel="0" collapsed="false">
      <c r="A380" s="12"/>
      <c r="B380" s="34"/>
      <c r="C380" s="12"/>
      <c r="D380" s="12"/>
      <c r="E380" s="12"/>
      <c r="F380" s="12"/>
      <c r="G380" s="18"/>
      <c r="H380" s="18"/>
      <c r="I380" s="35"/>
      <c r="J380" s="12"/>
      <c r="N380" s="12"/>
      <c r="O380" s="18"/>
      <c r="P380" s="12"/>
      <c r="Q380" s="12"/>
      <c r="R380" s="12"/>
      <c r="S380" s="36"/>
      <c r="T380" s="36"/>
      <c r="U380" s="12"/>
      <c r="V380" s="12"/>
      <c r="W380" s="12"/>
      <c r="X380" s="12"/>
      <c r="Y380" s="12"/>
    </row>
    <row r="381" customFormat="false" ht="15.75" hidden="false" customHeight="false" outlineLevel="0" collapsed="false">
      <c r="A381" s="12"/>
      <c r="B381" s="34"/>
      <c r="C381" s="12"/>
      <c r="D381" s="12"/>
      <c r="E381" s="12"/>
      <c r="F381" s="12"/>
      <c r="G381" s="18"/>
      <c r="H381" s="18"/>
      <c r="I381" s="35"/>
      <c r="J381" s="12"/>
      <c r="N381" s="12"/>
      <c r="O381" s="18"/>
      <c r="P381" s="12"/>
      <c r="Q381" s="12"/>
      <c r="R381" s="12"/>
      <c r="S381" s="36"/>
      <c r="T381" s="36"/>
      <c r="U381" s="12"/>
      <c r="V381" s="12"/>
      <c r="W381" s="12"/>
      <c r="X381" s="12"/>
      <c r="Y381" s="12"/>
    </row>
    <row r="382" customFormat="false" ht="15.75" hidden="false" customHeight="false" outlineLevel="0" collapsed="false">
      <c r="A382" s="12"/>
      <c r="B382" s="34"/>
      <c r="C382" s="12"/>
      <c r="D382" s="12"/>
      <c r="E382" s="12"/>
      <c r="F382" s="12"/>
      <c r="G382" s="18"/>
      <c r="H382" s="18"/>
      <c r="I382" s="35"/>
      <c r="J382" s="12"/>
      <c r="N382" s="12"/>
      <c r="O382" s="18"/>
      <c r="P382" s="12"/>
      <c r="Q382" s="12"/>
      <c r="R382" s="12"/>
      <c r="S382" s="36"/>
      <c r="T382" s="36"/>
      <c r="U382" s="12"/>
      <c r="V382" s="12"/>
      <c r="W382" s="12"/>
      <c r="X382" s="12"/>
      <c r="Y382" s="12"/>
    </row>
    <row r="383" customFormat="false" ht="15.75" hidden="false" customHeight="false" outlineLevel="0" collapsed="false">
      <c r="A383" s="12"/>
      <c r="B383" s="34"/>
      <c r="C383" s="12"/>
      <c r="D383" s="12"/>
      <c r="E383" s="12"/>
      <c r="F383" s="12"/>
      <c r="G383" s="18"/>
      <c r="H383" s="18"/>
      <c r="I383" s="35"/>
      <c r="J383" s="12"/>
      <c r="N383" s="12"/>
      <c r="O383" s="18"/>
      <c r="P383" s="12"/>
      <c r="Q383" s="12"/>
      <c r="R383" s="12"/>
      <c r="S383" s="36"/>
      <c r="T383" s="36"/>
      <c r="U383" s="12"/>
      <c r="V383" s="12"/>
      <c r="W383" s="12"/>
      <c r="X383" s="12"/>
      <c r="Y383" s="12"/>
    </row>
    <row r="384" customFormat="false" ht="15.75" hidden="false" customHeight="false" outlineLevel="0" collapsed="false">
      <c r="A384" s="12"/>
      <c r="B384" s="34"/>
      <c r="C384" s="12"/>
      <c r="D384" s="12"/>
      <c r="E384" s="12"/>
      <c r="F384" s="12"/>
      <c r="G384" s="18"/>
      <c r="H384" s="18"/>
      <c r="I384" s="35"/>
      <c r="J384" s="12"/>
      <c r="N384" s="12"/>
      <c r="O384" s="18"/>
      <c r="P384" s="12"/>
      <c r="Q384" s="12"/>
      <c r="R384" s="12"/>
      <c r="S384" s="36"/>
      <c r="T384" s="36"/>
      <c r="U384" s="12"/>
      <c r="V384" s="12"/>
      <c r="W384" s="12"/>
      <c r="X384" s="12"/>
      <c r="Y384" s="12"/>
    </row>
    <row r="385" customFormat="false" ht="15.75" hidden="false" customHeight="false" outlineLevel="0" collapsed="false">
      <c r="A385" s="12"/>
      <c r="B385" s="34"/>
      <c r="C385" s="12"/>
      <c r="D385" s="12"/>
      <c r="E385" s="12"/>
      <c r="F385" s="12"/>
      <c r="G385" s="18"/>
      <c r="H385" s="18"/>
      <c r="I385" s="35"/>
      <c r="J385" s="12"/>
      <c r="N385" s="12"/>
      <c r="O385" s="18"/>
      <c r="P385" s="12"/>
      <c r="Q385" s="12"/>
      <c r="R385" s="12"/>
      <c r="S385" s="36"/>
      <c r="T385" s="36"/>
      <c r="U385" s="12"/>
      <c r="V385" s="12"/>
      <c r="W385" s="12"/>
      <c r="X385" s="12"/>
      <c r="Y385" s="12"/>
    </row>
    <row r="386" customFormat="false" ht="15.75" hidden="false" customHeight="false" outlineLevel="0" collapsed="false">
      <c r="A386" s="12"/>
      <c r="B386" s="34"/>
      <c r="C386" s="12"/>
      <c r="D386" s="12"/>
      <c r="E386" s="12"/>
      <c r="F386" s="12"/>
      <c r="G386" s="18"/>
      <c r="H386" s="18"/>
      <c r="I386" s="35"/>
      <c r="J386" s="12"/>
      <c r="N386" s="12"/>
      <c r="O386" s="18"/>
      <c r="P386" s="12"/>
      <c r="Q386" s="12"/>
      <c r="R386" s="12"/>
      <c r="S386" s="36"/>
      <c r="T386" s="36"/>
      <c r="U386" s="12"/>
      <c r="V386" s="12"/>
      <c r="W386" s="12"/>
      <c r="X386" s="12"/>
      <c r="Y386" s="12"/>
    </row>
    <row r="387" customFormat="false" ht="15.75" hidden="false" customHeight="false" outlineLevel="0" collapsed="false">
      <c r="A387" s="12"/>
      <c r="B387" s="34"/>
      <c r="C387" s="12"/>
      <c r="D387" s="12"/>
      <c r="E387" s="12"/>
      <c r="F387" s="12"/>
      <c r="G387" s="18"/>
      <c r="H387" s="18"/>
      <c r="I387" s="35"/>
      <c r="J387" s="12"/>
      <c r="N387" s="12"/>
      <c r="O387" s="18"/>
      <c r="P387" s="12"/>
      <c r="Q387" s="12"/>
      <c r="R387" s="12"/>
      <c r="S387" s="36"/>
      <c r="T387" s="36"/>
      <c r="U387" s="12"/>
      <c r="V387" s="12"/>
      <c r="W387" s="12"/>
      <c r="X387" s="12"/>
      <c r="Y387" s="12"/>
    </row>
    <row r="388" customFormat="false" ht="15.75" hidden="false" customHeight="false" outlineLevel="0" collapsed="false">
      <c r="A388" s="12"/>
      <c r="B388" s="34"/>
      <c r="C388" s="12"/>
      <c r="D388" s="12"/>
      <c r="E388" s="12"/>
      <c r="F388" s="12"/>
      <c r="G388" s="18"/>
      <c r="H388" s="18"/>
      <c r="I388" s="35"/>
      <c r="J388" s="12"/>
      <c r="N388" s="12"/>
      <c r="O388" s="18"/>
      <c r="P388" s="12"/>
      <c r="Q388" s="12"/>
      <c r="R388" s="12"/>
      <c r="S388" s="36"/>
      <c r="T388" s="36"/>
      <c r="U388" s="12"/>
      <c r="V388" s="12"/>
      <c r="W388" s="12"/>
      <c r="X388" s="12"/>
      <c r="Y388" s="12"/>
    </row>
    <row r="389" customFormat="false" ht="15.75" hidden="false" customHeight="false" outlineLevel="0" collapsed="false">
      <c r="A389" s="12"/>
      <c r="B389" s="34"/>
      <c r="C389" s="12"/>
      <c r="D389" s="12"/>
      <c r="E389" s="12"/>
      <c r="F389" s="12"/>
      <c r="G389" s="18"/>
      <c r="H389" s="18"/>
      <c r="I389" s="35"/>
      <c r="J389" s="12"/>
      <c r="N389" s="12"/>
      <c r="O389" s="18"/>
      <c r="P389" s="12"/>
      <c r="Q389" s="12"/>
      <c r="R389" s="12"/>
      <c r="S389" s="36"/>
      <c r="T389" s="36"/>
      <c r="U389" s="12"/>
      <c r="V389" s="12"/>
      <c r="W389" s="12"/>
      <c r="X389" s="12"/>
      <c r="Y389" s="12"/>
    </row>
    <row r="390" customFormat="false" ht="15.75" hidden="false" customHeight="false" outlineLevel="0" collapsed="false">
      <c r="A390" s="12"/>
      <c r="B390" s="34"/>
      <c r="C390" s="12"/>
      <c r="D390" s="12"/>
      <c r="E390" s="12"/>
      <c r="F390" s="12"/>
      <c r="G390" s="18"/>
      <c r="H390" s="18"/>
      <c r="I390" s="35"/>
      <c r="J390" s="12"/>
      <c r="N390" s="12"/>
      <c r="O390" s="18"/>
      <c r="P390" s="12"/>
      <c r="Q390" s="12"/>
      <c r="R390" s="12"/>
      <c r="S390" s="36"/>
      <c r="T390" s="36"/>
      <c r="U390" s="12"/>
      <c r="V390" s="12"/>
      <c r="W390" s="12"/>
      <c r="X390" s="12"/>
      <c r="Y390" s="12"/>
    </row>
    <row r="391" customFormat="false" ht="15.75" hidden="false" customHeight="false" outlineLevel="0" collapsed="false">
      <c r="A391" s="12"/>
      <c r="B391" s="34"/>
      <c r="C391" s="12"/>
      <c r="D391" s="12"/>
      <c r="E391" s="12"/>
      <c r="F391" s="12"/>
      <c r="G391" s="18"/>
      <c r="H391" s="18"/>
      <c r="I391" s="35"/>
      <c r="J391" s="12"/>
      <c r="N391" s="12"/>
      <c r="O391" s="18"/>
      <c r="P391" s="12"/>
      <c r="Q391" s="12"/>
      <c r="R391" s="12"/>
      <c r="S391" s="36"/>
      <c r="T391" s="36"/>
      <c r="U391" s="12"/>
      <c r="V391" s="12"/>
      <c r="W391" s="12"/>
      <c r="X391" s="12"/>
      <c r="Y391" s="12"/>
    </row>
    <row r="392" customFormat="false" ht="15.75" hidden="false" customHeight="false" outlineLevel="0" collapsed="false">
      <c r="A392" s="12"/>
      <c r="B392" s="34"/>
      <c r="C392" s="12"/>
      <c r="D392" s="12"/>
      <c r="E392" s="12"/>
      <c r="F392" s="12"/>
      <c r="G392" s="18"/>
      <c r="H392" s="18"/>
      <c r="I392" s="35"/>
      <c r="J392" s="12"/>
      <c r="N392" s="12"/>
      <c r="O392" s="18"/>
      <c r="P392" s="12"/>
      <c r="Q392" s="12"/>
      <c r="R392" s="12"/>
      <c r="S392" s="36"/>
      <c r="T392" s="36"/>
      <c r="U392" s="12"/>
      <c r="V392" s="12"/>
      <c r="W392" s="12"/>
      <c r="X392" s="12"/>
      <c r="Y392" s="12"/>
    </row>
    <row r="393" customFormat="false" ht="15.75" hidden="false" customHeight="false" outlineLevel="0" collapsed="false">
      <c r="A393" s="12"/>
      <c r="B393" s="34"/>
      <c r="C393" s="12"/>
      <c r="D393" s="12"/>
      <c r="E393" s="12"/>
      <c r="F393" s="12"/>
      <c r="G393" s="18"/>
      <c r="H393" s="18"/>
      <c r="I393" s="35"/>
      <c r="J393" s="12"/>
      <c r="N393" s="12"/>
      <c r="O393" s="18"/>
      <c r="P393" s="12"/>
      <c r="Q393" s="12"/>
      <c r="R393" s="12"/>
      <c r="S393" s="36"/>
      <c r="T393" s="36"/>
      <c r="U393" s="12"/>
      <c r="V393" s="12"/>
      <c r="W393" s="12"/>
      <c r="X393" s="12"/>
      <c r="Y393" s="12"/>
    </row>
    <row r="394" customFormat="false" ht="15.75" hidden="false" customHeight="false" outlineLevel="0" collapsed="false">
      <c r="A394" s="12"/>
      <c r="B394" s="34"/>
      <c r="C394" s="12"/>
      <c r="D394" s="12"/>
      <c r="E394" s="12"/>
      <c r="F394" s="12"/>
      <c r="G394" s="18"/>
      <c r="H394" s="18"/>
      <c r="I394" s="35"/>
      <c r="J394" s="12"/>
      <c r="N394" s="12"/>
      <c r="O394" s="18"/>
      <c r="P394" s="12"/>
      <c r="Q394" s="12"/>
      <c r="R394" s="12"/>
      <c r="S394" s="36"/>
      <c r="T394" s="36"/>
      <c r="U394" s="12"/>
      <c r="V394" s="12"/>
      <c r="W394" s="12"/>
      <c r="X394" s="12"/>
      <c r="Y394" s="12"/>
    </row>
    <row r="395" customFormat="false" ht="15.75" hidden="false" customHeight="false" outlineLevel="0" collapsed="false">
      <c r="A395" s="12"/>
      <c r="B395" s="34"/>
      <c r="C395" s="12"/>
      <c r="D395" s="12"/>
      <c r="E395" s="12"/>
      <c r="F395" s="12"/>
      <c r="G395" s="18"/>
      <c r="H395" s="18"/>
      <c r="I395" s="35"/>
      <c r="J395" s="12"/>
      <c r="N395" s="12"/>
      <c r="O395" s="18"/>
      <c r="P395" s="12"/>
      <c r="Q395" s="12"/>
      <c r="R395" s="12"/>
      <c r="S395" s="36"/>
      <c r="T395" s="36"/>
      <c r="U395" s="12"/>
      <c r="V395" s="12"/>
      <c r="W395" s="12"/>
      <c r="X395" s="12"/>
      <c r="Y395" s="12"/>
    </row>
    <row r="396" customFormat="false" ht="15.75" hidden="false" customHeight="false" outlineLevel="0" collapsed="false">
      <c r="A396" s="12"/>
      <c r="B396" s="34"/>
      <c r="C396" s="12"/>
      <c r="D396" s="12"/>
      <c r="E396" s="12"/>
      <c r="F396" s="12"/>
      <c r="G396" s="18"/>
      <c r="H396" s="18"/>
      <c r="I396" s="35"/>
      <c r="J396" s="12"/>
      <c r="N396" s="12"/>
      <c r="O396" s="18"/>
      <c r="P396" s="12"/>
      <c r="Q396" s="12"/>
      <c r="R396" s="12"/>
      <c r="S396" s="36"/>
      <c r="T396" s="36"/>
      <c r="U396" s="12"/>
      <c r="V396" s="12"/>
      <c r="W396" s="12"/>
      <c r="X396" s="12"/>
      <c r="Y396" s="12"/>
    </row>
    <row r="397" customFormat="false" ht="15.75" hidden="false" customHeight="false" outlineLevel="0" collapsed="false">
      <c r="A397" s="12"/>
      <c r="B397" s="34"/>
      <c r="C397" s="12"/>
      <c r="D397" s="12"/>
      <c r="E397" s="12"/>
      <c r="F397" s="12"/>
      <c r="G397" s="18"/>
      <c r="H397" s="18"/>
      <c r="I397" s="35"/>
      <c r="J397" s="12"/>
      <c r="N397" s="12"/>
      <c r="O397" s="18"/>
      <c r="P397" s="12"/>
      <c r="Q397" s="12"/>
      <c r="R397" s="12"/>
      <c r="S397" s="36"/>
      <c r="T397" s="36"/>
      <c r="U397" s="12"/>
      <c r="V397" s="12"/>
      <c r="W397" s="12"/>
      <c r="X397" s="12"/>
      <c r="Y397" s="12"/>
    </row>
    <row r="398" customFormat="false" ht="15.75" hidden="false" customHeight="false" outlineLevel="0" collapsed="false">
      <c r="A398" s="12"/>
      <c r="B398" s="34"/>
      <c r="C398" s="12"/>
      <c r="D398" s="12"/>
      <c r="E398" s="12"/>
      <c r="F398" s="12"/>
      <c r="G398" s="18"/>
      <c r="H398" s="18"/>
      <c r="I398" s="35"/>
      <c r="J398" s="12"/>
      <c r="N398" s="12"/>
      <c r="O398" s="18"/>
      <c r="P398" s="12"/>
      <c r="Q398" s="12"/>
      <c r="R398" s="12"/>
      <c r="S398" s="36"/>
      <c r="T398" s="36"/>
      <c r="U398" s="12"/>
      <c r="V398" s="12"/>
      <c r="W398" s="12"/>
      <c r="X398" s="12"/>
      <c r="Y398" s="12"/>
    </row>
    <row r="399" customFormat="false" ht="15.75" hidden="false" customHeight="false" outlineLevel="0" collapsed="false">
      <c r="A399" s="12"/>
      <c r="B399" s="34"/>
      <c r="C399" s="12"/>
      <c r="D399" s="12"/>
      <c r="E399" s="12"/>
      <c r="F399" s="12"/>
      <c r="G399" s="18"/>
      <c r="H399" s="18"/>
      <c r="I399" s="35"/>
      <c r="J399" s="12"/>
      <c r="N399" s="12"/>
      <c r="O399" s="18"/>
      <c r="P399" s="12"/>
      <c r="Q399" s="12"/>
      <c r="R399" s="12"/>
      <c r="S399" s="36"/>
      <c r="T399" s="36"/>
      <c r="U399" s="12"/>
      <c r="V399" s="12"/>
      <c r="W399" s="12"/>
      <c r="X399" s="12"/>
      <c r="Y399" s="12"/>
    </row>
    <row r="400" customFormat="false" ht="15.75" hidden="false" customHeight="false" outlineLevel="0" collapsed="false">
      <c r="A400" s="12"/>
      <c r="B400" s="34"/>
      <c r="C400" s="12"/>
      <c r="D400" s="12"/>
      <c r="E400" s="12"/>
      <c r="F400" s="12"/>
      <c r="G400" s="18"/>
      <c r="H400" s="18"/>
      <c r="I400" s="35"/>
      <c r="J400" s="12"/>
      <c r="N400" s="12"/>
      <c r="O400" s="18"/>
      <c r="P400" s="12"/>
      <c r="Q400" s="12"/>
      <c r="R400" s="12"/>
      <c r="S400" s="36"/>
      <c r="T400" s="36"/>
      <c r="U400" s="12"/>
      <c r="V400" s="12"/>
      <c r="W400" s="12"/>
      <c r="X400" s="12"/>
      <c r="Y400" s="12"/>
    </row>
    <row r="401" customFormat="false" ht="15.75" hidden="false" customHeight="false" outlineLevel="0" collapsed="false">
      <c r="A401" s="12"/>
      <c r="B401" s="34"/>
      <c r="C401" s="12"/>
      <c r="D401" s="12"/>
      <c r="E401" s="12"/>
      <c r="F401" s="12"/>
      <c r="G401" s="18"/>
      <c r="H401" s="18"/>
      <c r="I401" s="35"/>
      <c r="J401" s="12"/>
      <c r="N401" s="12"/>
      <c r="O401" s="18"/>
      <c r="P401" s="12"/>
      <c r="Q401" s="12"/>
      <c r="R401" s="12"/>
      <c r="S401" s="36"/>
      <c r="T401" s="36"/>
      <c r="U401" s="12"/>
      <c r="V401" s="12"/>
      <c r="W401" s="12"/>
      <c r="X401" s="12"/>
      <c r="Y401" s="12"/>
    </row>
    <row r="402" customFormat="false" ht="15.75" hidden="false" customHeight="false" outlineLevel="0" collapsed="false">
      <c r="A402" s="12"/>
      <c r="B402" s="34"/>
      <c r="C402" s="12"/>
      <c r="D402" s="12"/>
      <c r="E402" s="12"/>
      <c r="F402" s="12"/>
      <c r="G402" s="18"/>
      <c r="H402" s="18"/>
      <c r="I402" s="35"/>
      <c r="J402" s="12"/>
      <c r="N402" s="12"/>
      <c r="O402" s="18"/>
      <c r="P402" s="12"/>
      <c r="Q402" s="12"/>
      <c r="R402" s="12"/>
      <c r="S402" s="36"/>
      <c r="T402" s="36"/>
      <c r="U402" s="12"/>
      <c r="V402" s="12"/>
      <c r="W402" s="12"/>
      <c r="X402" s="12"/>
      <c r="Y402" s="12"/>
    </row>
    <row r="403" customFormat="false" ht="15.75" hidden="false" customHeight="false" outlineLevel="0" collapsed="false">
      <c r="A403" s="12"/>
      <c r="B403" s="34"/>
      <c r="C403" s="12"/>
      <c r="D403" s="12"/>
      <c r="E403" s="12"/>
      <c r="F403" s="12"/>
      <c r="G403" s="18"/>
      <c r="H403" s="18"/>
      <c r="I403" s="35"/>
      <c r="J403" s="12"/>
      <c r="N403" s="12"/>
      <c r="O403" s="18"/>
      <c r="P403" s="12"/>
      <c r="Q403" s="12"/>
      <c r="R403" s="12"/>
      <c r="S403" s="36"/>
      <c r="T403" s="36"/>
      <c r="U403" s="12"/>
      <c r="V403" s="12"/>
      <c r="W403" s="12"/>
      <c r="X403" s="12"/>
      <c r="Y403" s="12"/>
    </row>
    <row r="404" customFormat="false" ht="15.75" hidden="false" customHeight="false" outlineLevel="0" collapsed="false">
      <c r="A404" s="12"/>
      <c r="B404" s="34"/>
      <c r="C404" s="12"/>
      <c r="D404" s="12"/>
      <c r="E404" s="12"/>
      <c r="F404" s="12"/>
      <c r="G404" s="18"/>
      <c r="H404" s="18"/>
      <c r="I404" s="35"/>
      <c r="J404" s="12"/>
      <c r="N404" s="12"/>
      <c r="O404" s="18"/>
      <c r="P404" s="12"/>
      <c r="Q404" s="12"/>
      <c r="R404" s="12"/>
      <c r="S404" s="36"/>
      <c r="T404" s="36"/>
      <c r="U404" s="12"/>
      <c r="V404" s="12"/>
      <c r="W404" s="12"/>
      <c r="X404" s="12"/>
      <c r="Y404" s="12"/>
    </row>
    <row r="405" customFormat="false" ht="15.75" hidden="false" customHeight="false" outlineLevel="0" collapsed="false">
      <c r="A405" s="12"/>
      <c r="B405" s="34"/>
      <c r="C405" s="12"/>
      <c r="D405" s="12"/>
      <c r="E405" s="12"/>
      <c r="F405" s="12"/>
      <c r="G405" s="18"/>
      <c r="H405" s="18"/>
      <c r="I405" s="35"/>
      <c r="J405" s="12"/>
      <c r="N405" s="12"/>
      <c r="O405" s="18"/>
      <c r="P405" s="12"/>
      <c r="Q405" s="12"/>
      <c r="R405" s="12"/>
      <c r="S405" s="36"/>
      <c r="T405" s="36"/>
      <c r="U405" s="12"/>
      <c r="V405" s="12"/>
      <c r="W405" s="12"/>
      <c r="X405" s="12"/>
      <c r="Y405" s="12"/>
    </row>
    <row r="406" customFormat="false" ht="15.75" hidden="false" customHeight="false" outlineLevel="0" collapsed="false">
      <c r="A406" s="12"/>
      <c r="B406" s="34"/>
      <c r="C406" s="12"/>
      <c r="D406" s="12"/>
      <c r="E406" s="12"/>
      <c r="F406" s="12"/>
      <c r="G406" s="18"/>
      <c r="H406" s="18"/>
      <c r="I406" s="35"/>
      <c r="J406" s="12"/>
      <c r="N406" s="12"/>
      <c r="O406" s="18"/>
      <c r="P406" s="12"/>
      <c r="Q406" s="12"/>
      <c r="R406" s="12"/>
      <c r="S406" s="36"/>
      <c r="T406" s="36"/>
      <c r="U406" s="12"/>
      <c r="V406" s="12"/>
      <c r="W406" s="12"/>
      <c r="X406" s="12"/>
      <c r="Y406" s="12"/>
    </row>
    <row r="407" customFormat="false" ht="15.75" hidden="false" customHeight="false" outlineLevel="0" collapsed="false">
      <c r="A407" s="12"/>
      <c r="B407" s="34"/>
      <c r="C407" s="12"/>
      <c r="D407" s="12"/>
      <c r="E407" s="12"/>
      <c r="F407" s="12"/>
      <c r="G407" s="18"/>
      <c r="H407" s="18"/>
      <c r="I407" s="35"/>
      <c r="J407" s="12"/>
      <c r="N407" s="12"/>
      <c r="O407" s="18"/>
      <c r="P407" s="12"/>
      <c r="Q407" s="12"/>
      <c r="R407" s="12"/>
      <c r="S407" s="36"/>
      <c r="T407" s="36"/>
      <c r="U407" s="12"/>
      <c r="V407" s="12"/>
      <c r="W407" s="12"/>
      <c r="X407" s="12"/>
      <c r="Y407" s="12"/>
    </row>
    <row r="408" customFormat="false" ht="15.75" hidden="false" customHeight="false" outlineLevel="0" collapsed="false">
      <c r="A408" s="12"/>
      <c r="B408" s="34"/>
      <c r="C408" s="12"/>
      <c r="D408" s="12"/>
      <c r="E408" s="12"/>
      <c r="F408" s="12"/>
      <c r="G408" s="18"/>
      <c r="H408" s="18"/>
      <c r="I408" s="35"/>
      <c r="J408" s="12"/>
      <c r="N408" s="12"/>
      <c r="O408" s="18"/>
      <c r="P408" s="12"/>
      <c r="Q408" s="12"/>
      <c r="R408" s="12"/>
      <c r="S408" s="36"/>
      <c r="T408" s="36"/>
      <c r="U408" s="12"/>
      <c r="V408" s="12"/>
      <c r="W408" s="12"/>
      <c r="X408" s="12"/>
      <c r="Y408" s="12"/>
    </row>
    <row r="409" customFormat="false" ht="15.75" hidden="false" customHeight="false" outlineLevel="0" collapsed="false">
      <c r="A409" s="12"/>
      <c r="B409" s="34"/>
      <c r="C409" s="12"/>
      <c r="D409" s="12"/>
      <c r="E409" s="12"/>
      <c r="F409" s="12"/>
      <c r="G409" s="18"/>
      <c r="H409" s="18"/>
      <c r="I409" s="35"/>
      <c r="J409" s="12"/>
      <c r="N409" s="12"/>
      <c r="O409" s="18"/>
      <c r="P409" s="12"/>
      <c r="Q409" s="12"/>
      <c r="R409" s="12"/>
      <c r="S409" s="36"/>
      <c r="T409" s="36"/>
      <c r="U409" s="12"/>
      <c r="V409" s="12"/>
      <c r="W409" s="12"/>
      <c r="X409" s="12"/>
      <c r="Y409" s="12"/>
    </row>
    <row r="410" customFormat="false" ht="15.75" hidden="false" customHeight="false" outlineLevel="0" collapsed="false">
      <c r="A410" s="12"/>
      <c r="B410" s="34"/>
      <c r="C410" s="12"/>
      <c r="D410" s="12"/>
      <c r="E410" s="12"/>
      <c r="F410" s="12"/>
      <c r="G410" s="18"/>
      <c r="H410" s="18"/>
      <c r="I410" s="35"/>
      <c r="J410" s="12"/>
      <c r="N410" s="12"/>
      <c r="O410" s="18"/>
      <c r="P410" s="12"/>
      <c r="Q410" s="12"/>
      <c r="R410" s="12"/>
      <c r="S410" s="36"/>
      <c r="T410" s="36"/>
      <c r="U410" s="12"/>
      <c r="V410" s="12"/>
      <c r="W410" s="12"/>
      <c r="X410" s="12"/>
      <c r="Y410" s="12"/>
    </row>
    <row r="411" customFormat="false" ht="15.75" hidden="false" customHeight="false" outlineLevel="0" collapsed="false">
      <c r="A411" s="12"/>
      <c r="B411" s="34"/>
      <c r="C411" s="12"/>
      <c r="D411" s="12"/>
      <c r="E411" s="12"/>
      <c r="F411" s="12"/>
      <c r="G411" s="18"/>
      <c r="H411" s="18"/>
      <c r="I411" s="35"/>
      <c r="J411" s="12"/>
      <c r="N411" s="12"/>
      <c r="O411" s="18"/>
      <c r="P411" s="12"/>
      <c r="Q411" s="12"/>
      <c r="R411" s="12"/>
      <c r="S411" s="36"/>
      <c r="T411" s="36"/>
      <c r="U411" s="12"/>
      <c r="V411" s="12"/>
      <c r="W411" s="12"/>
      <c r="X411" s="12"/>
      <c r="Y411" s="12"/>
    </row>
    <row r="412" customFormat="false" ht="15.75" hidden="false" customHeight="false" outlineLevel="0" collapsed="false">
      <c r="A412" s="12"/>
      <c r="B412" s="34"/>
      <c r="C412" s="12"/>
      <c r="D412" s="12"/>
      <c r="E412" s="12"/>
      <c r="F412" s="12"/>
      <c r="G412" s="18"/>
      <c r="H412" s="18"/>
      <c r="I412" s="35"/>
      <c r="J412" s="12"/>
      <c r="N412" s="12"/>
      <c r="O412" s="18"/>
      <c r="P412" s="12"/>
      <c r="Q412" s="12"/>
      <c r="R412" s="12"/>
      <c r="S412" s="36"/>
      <c r="T412" s="36"/>
      <c r="U412" s="12"/>
      <c r="V412" s="12"/>
      <c r="W412" s="12"/>
      <c r="X412" s="12"/>
      <c r="Y412" s="12"/>
    </row>
    <row r="413" customFormat="false" ht="15.75" hidden="false" customHeight="false" outlineLevel="0" collapsed="false">
      <c r="A413" s="12"/>
      <c r="B413" s="34"/>
      <c r="C413" s="12"/>
      <c r="D413" s="12"/>
      <c r="E413" s="12"/>
      <c r="F413" s="12"/>
      <c r="G413" s="18"/>
      <c r="H413" s="18"/>
      <c r="I413" s="35"/>
      <c r="J413" s="12"/>
      <c r="N413" s="12"/>
      <c r="O413" s="18"/>
      <c r="P413" s="12"/>
      <c r="Q413" s="12"/>
      <c r="R413" s="12"/>
      <c r="S413" s="36"/>
      <c r="T413" s="36"/>
      <c r="U413" s="12"/>
      <c r="V413" s="12"/>
      <c r="W413" s="12"/>
      <c r="X413" s="12"/>
      <c r="Y413" s="12"/>
    </row>
    <row r="414" customFormat="false" ht="15.75" hidden="false" customHeight="false" outlineLevel="0" collapsed="false">
      <c r="A414" s="12"/>
      <c r="B414" s="34"/>
      <c r="C414" s="12"/>
      <c r="D414" s="12"/>
      <c r="E414" s="12"/>
      <c r="F414" s="12"/>
      <c r="G414" s="18"/>
      <c r="H414" s="18"/>
      <c r="I414" s="35"/>
      <c r="J414" s="12"/>
      <c r="N414" s="12"/>
      <c r="O414" s="18"/>
      <c r="P414" s="12"/>
      <c r="Q414" s="12"/>
      <c r="R414" s="12"/>
      <c r="S414" s="36"/>
      <c r="T414" s="36"/>
      <c r="U414" s="12"/>
      <c r="V414" s="12"/>
      <c r="W414" s="12"/>
      <c r="X414" s="12"/>
      <c r="Y414" s="12"/>
    </row>
    <row r="415" customFormat="false" ht="15.75" hidden="false" customHeight="false" outlineLevel="0" collapsed="false">
      <c r="A415" s="12"/>
      <c r="B415" s="34"/>
      <c r="C415" s="12"/>
      <c r="D415" s="12"/>
      <c r="E415" s="12"/>
      <c r="F415" s="12"/>
      <c r="G415" s="18"/>
      <c r="H415" s="18"/>
      <c r="I415" s="35"/>
      <c r="J415" s="12"/>
      <c r="N415" s="12"/>
      <c r="O415" s="18"/>
      <c r="P415" s="12"/>
      <c r="Q415" s="12"/>
      <c r="R415" s="12"/>
      <c r="S415" s="36"/>
      <c r="T415" s="36"/>
      <c r="U415" s="12"/>
      <c r="V415" s="12"/>
      <c r="W415" s="12"/>
      <c r="X415" s="12"/>
      <c r="Y415" s="12"/>
    </row>
    <row r="416" customFormat="false" ht="15.75" hidden="false" customHeight="false" outlineLevel="0" collapsed="false">
      <c r="A416" s="12"/>
      <c r="B416" s="34"/>
      <c r="C416" s="12"/>
      <c r="D416" s="12"/>
      <c r="E416" s="12"/>
      <c r="F416" s="12"/>
      <c r="G416" s="18"/>
      <c r="H416" s="18"/>
      <c r="I416" s="35"/>
      <c r="J416" s="12"/>
      <c r="N416" s="12"/>
      <c r="O416" s="18"/>
      <c r="P416" s="12"/>
      <c r="Q416" s="12"/>
      <c r="R416" s="12"/>
      <c r="S416" s="36"/>
      <c r="T416" s="36"/>
      <c r="U416" s="12"/>
      <c r="V416" s="12"/>
      <c r="W416" s="12"/>
      <c r="X416" s="12"/>
      <c r="Y416" s="12"/>
    </row>
    <row r="417" customFormat="false" ht="15.75" hidden="false" customHeight="false" outlineLevel="0" collapsed="false">
      <c r="A417" s="12"/>
      <c r="B417" s="34"/>
      <c r="C417" s="12"/>
      <c r="D417" s="12"/>
      <c r="E417" s="12"/>
      <c r="F417" s="12"/>
      <c r="G417" s="18"/>
      <c r="H417" s="18"/>
      <c r="I417" s="35"/>
      <c r="J417" s="12"/>
      <c r="N417" s="12"/>
      <c r="O417" s="18"/>
      <c r="P417" s="12"/>
      <c r="Q417" s="12"/>
      <c r="R417" s="12"/>
      <c r="S417" s="36"/>
      <c r="T417" s="36"/>
      <c r="U417" s="12"/>
      <c r="V417" s="12"/>
      <c r="W417" s="12"/>
      <c r="X417" s="12"/>
      <c r="Y417" s="12"/>
    </row>
    <row r="418" customFormat="false" ht="15.75" hidden="false" customHeight="false" outlineLevel="0" collapsed="false">
      <c r="A418" s="12"/>
      <c r="B418" s="34"/>
      <c r="C418" s="12"/>
      <c r="D418" s="12"/>
      <c r="E418" s="12"/>
      <c r="F418" s="12"/>
      <c r="G418" s="18"/>
      <c r="H418" s="18"/>
      <c r="I418" s="35"/>
      <c r="J418" s="12"/>
      <c r="N418" s="12"/>
      <c r="O418" s="18"/>
      <c r="P418" s="12"/>
      <c r="Q418" s="12"/>
      <c r="R418" s="12"/>
      <c r="S418" s="36"/>
      <c r="T418" s="36"/>
      <c r="U418" s="12"/>
      <c r="V418" s="12"/>
      <c r="W418" s="12"/>
      <c r="X418" s="12"/>
      <c r="Y418" s="12"/>
    </row>
    <row r="419" customFormat="false" ht="15.75" hidden="false" customHeight="false" outlineLevel="0" collapsed="false">
      <c r="A419" s="12"/>
      <c r="B419" s="34"/>
      <c r="C419" s="12"/>
      <c r="D419" s="12"/>
      <c r="E419" s="12"/>
      <c r="F419" s="12"/>
      <c r="G419" s="18"/>
      <c r="H419" s="18"/>
      <c r="I419" s="35"/>
      <c r="J419" s="12"/>
      <c r="N419" s="12"/>
      <c r="O419" s="18"/>
      <c r="P419" s="12"/>
      <c r="Q419" s="12"/>
      <c r="R419" s="12"/>
      <c r="S419" s="36"/>
      <c r="T419" s="36"/>
      <c r="U419" s="12"/>
      <c r="V419" s="12"/>
      <c r="W419" s="12"/>
      <c r="X419" s="12"/>
      <c r="Y419" s="12"/>
    </row>
    <row r="420" customFormat="false" ht="15.75" hidden="false" customHeight="false" outlineLevel="0" collapsed="false">
      <c r="A420" s="12"/>
      <c r="B420" s="34"/>
      <c r="C420" s="12"/>
      <c r="D420" s="12"/>
      <c r="E420" s="12"/>
      <c r="F420" s="12"/>
      <c r="G420" s="18"/>
      <c r="H420" s="18"/>
      <c r="I420" s="35"/>
      <c r="J420" s="12"/>
      <c r="N420" s="12"/>
      <c r="O420" s="18"/>
      <c r="P420" s="12"/>
      <c r="Q420" s="12"/>
      <c r="R420" s="12"/>
      <c r="S420" s="36"/>
      <c r="T420" s="36"/>
      <c r="U420" s="12"/>
      <c r="V420" s="12"/>
      <c r="W420" s="12"/>
      <c r="X420" s="12"/>
      <c r="Y420" s="12"/>
    </row>
    <row r="421" customFormat="false" ht="15.75" hidden="false" customHeight="false" outlineLevel="0" collapsed="false">
      <c r="A421" s="12"/>
      <c r="B421" s="34"/>
      <c r="C421" s="12"/>
      <c r="D421" s="12"/>
      <c r="E421" s="12"/>
      <c r="F421" s="12"/>
      <c r="G421" s="18"/>
      <c r="H421" s="18"/>
      <c r="I421" s="35"/>
      <c r="J421" s="12"/>
      <c r="N421" s="12"/>
      <c r="O421" s="18"/>
      <c r="P421" s="12"/>
      <c r="Q421" s="12"/>
      <c r="R421" s="12"/>
      <c r="S421" s="36"/>
      <c r="T421" s="36"/>
      <c r="U421" s="12"/>
      <c r="V421" s="12"/>
      <c r="W421" s="12"/>
      <c r="X421" s="12"/>
      <c r="Y421" s="12"/>
    </row>
    <row r="422" customFormat="false" ht="15.75" hidden="false" customHeight="false" outlineLevel="0" collapsed="false">
      <c r="A422" s="12"/>
      <c r="B422" s="34"/>
      <c r="C422" s="12"/>
      <c r="D422" s="12"/>
      <c r="E422" s="12"/>
      <c r="F422" s="12"/>
      <c r="G422" s="18"/>
      <c r="H422" s="18"/>
      <c r="I422" s="35"/>
      <c r="J422" s="12"/>
      <c r="N422" s="12"/>
      <c r="O422" s="18"/>
      <c r="P422" s="12"/>
      <c r="Q422" s="12"/>
      <c r="R422" s="12"/>
      <c r="S422" s="36"/>
      <c r="T422" s="36"/>
      <c r="U422" s="12"/>
      <c r="V422" s="12"/>
      <c r="W422" s="12"/>
      <c r="X422" s="12"/>
      <c r="Y422" s="12"/>
    </row>
    <row r="423" customFormat="false" ht="15.75" hidden="false" customHeight="false" outlineLevel="0" collapsed="false">
      <c r="A423" s="12"/>
      <c r="B423" s="34"/>
      <c r="C423" s="12"/>
      <c r="D423" s="12"/>
      <c r="E423" s="12"/>
      <c r="F423" s="12"/>
      <c r="G423" s="18"/>
      <c r="H423" s="18"/>
      <c r="I423" s="35"/>
      <c r="J423" s="12"/>
      <c r="N423" s="12"/>
      <c r="O423" s="18"/>
      <c r="P423" s="12"/>
      <c r="Q423" s="12"/>
      <c r="R423" s="12"/>
      <c r="S423" s="36"/>
      <c r="T423" s="36"/>
      <c r="U423" s="12"/>
      <c r="V423" s="12"/>
      <c r="W423" s="12"/>
      <c r="X423" s="12"/>
      <c r="Y423" s="12"/>
    </row>
    <row r="424" customFormat="false" ht="15.75" hidden="false" customHeight="false" outlineLevel="0" collapsed="false">
      <c r="A424" s="12"/>
      <c r="B424" s="34"/>
      <c r="C424" s="12"/>
      <c r="D424" s="12"/>
      <c r="E424" s="12"/>
      <c r="F424" s="12"/>
      <c r="G424" s="18"/>
      <c r="H424" s="18"/>
      <c r="I424" s="35"/>
      <c r="J424" s="12"/>
      <c r="N424" s="12"/>
      <c r="O424" s="18"/>
      <c r="P424" s="12"/>
      <c r="Q424" s="12"/>
      <c r="R424" s="12"/>
      <c r="S424" s="36"/>
      <c r="T424" s="36"/>
      <c r="U424" s="12"/>
      <c r="V424" s="12"/>
      <c r="W424" s="12"/>
      <c r="X424" s="12"/>
      <c r="Y424" s="12"/>
    </row>
    <row r="425" customFormat="false" ht="15.75" hidden="false" customHeight="false" outlineLevel="0" collapsed="false">
      <c r="A425" s="12"/>
      <c r="B425" s="34"/>
      <c r="C425" s="12"/>
      <c r="D425" s="12"/>
      <c r="E425" s="12"/>
      <c r="F425" s="12"/>
      <c r="G425" s="18"/>
      <c r="H425" s="18"/>
      <c r="I425" s="35"/>
      <c r="J425" s="12"/>
      <c r="N425" s="12"/>
      <c r="O425" s="18"/>
      <c r="P425" s="12"/>
      <c r="Q425" s="12"/>
      <c r="R425" s="12"/>
      <c r="S425" s="36"/>
      <c r="T425" s="36"/>
      <c r="U425" s="12"/>
      <c r="V425" s="12"/>
      <c r="W425" s="12"/>
      <c r="X425" s="12"/>
      <c r="Y425" s="12"/>
    </row>
    <row r="426" customFormat="false" ht="15.75" hidden="false" customHeight="false" outlineLevel="0" collapsed="false">
      <c r="A426" s="12"/>
      <c r="B426" s="34"/>
      <c r="C426" s="12"/>
      <c r="D426" s="12"/>
      <c r="E426" s="12"/>
      <c r="F426" s="12"/>
      <c r="G426" s="18"/>
      <c r="H426" s="18"/>
      <c r="I426" s="35"/>
      <c r="J426" s="12"/>
      <c r="N426" s="12"/>
      <c r="O426" s="18"/>
      <c r="P426" s="12"/>
      <c r="Q426" s="12"/>
      <c r="R426" s="12"/>
      <c r="S426" s="36"/>
      <c r="T426" s="36"/>
      <c r="U426" s="12"/>
      <c r="V426" s="12"/>
      <c r="W426" s="12"/>
      <c r="X426" s="12"/>
      <c r="Y426" s="12"/>
    </row>
    <row r="427" customFormat="false" ht="15.75" hidden="false" customHeight="false" outlineLevel="0" collapsed="false">
      <c r="A427" s="12"/>
      <c r="B427" s="34"/>
      <c r="C427" s="12"/>
      <c r="D427" s="12"/>
      <c r="E427" s="12"/>
      <c r="F427" s="12"/>
      <c r="G427" s="18"/>
      <c r="H427" s="18"/>
      <c r="I427" s="35"/>
      <c r="J427" s="12"/>
      <c r="N427" s="12"/>
      <c r="O427" s="18"/>
      <c r="P427" s="12"/>
      <c r="Q427" s="12"/>
      <c r="R427" s="12"/>
      <c r="S427" s="36"/>
      <c r="T427" s="36"/>
      <c r="U427" s="12"/>
      <c r="V427" s="12"/>
      <c r="W427" s="12"/>
      <c r="X427" s="12"/>
      <c r="Y427" s="12"/>
    </row>
    <row r="428" customFormat="false" ht="15.75" hidden="false" customHeight="false" outlineLevel="0" collapsed="false">
      <c r="A428" s="12"/>
      <c r="B428" s="34"/>
      <c r="C428" s="12"/>
      <c r="D428" s="12"/>
      <c r="E428" s="12"/>
      <c r="F428" s="12"/>
      <c r="G428" s="18"/>
      <c r="H428" s="18"/>
      <c r="I428" s="35"/>
      <c r="J428" s="12"/>
      <c r="N428" s="12"/>
      <c r="O428" s="18"/>
      <c r="P428" s="12"/>
      <c r="Q428" s="12"/>
      <c r="R428" s="12"/>
      <c r="S428" s="36"/>
      <c r="T428" s="36"/>
      <c r="U428" s="12"/>
      <c r="V428" s="12"/>
      <c r="W428" s="12"/>
      <c r="X428" s="12"/>
      <c r="Y428" s="12"/>
    </row>
    <row r="429" customFormat="false" ht="15.75" hidden="false" customHeight="false" outlineLevel="0" collapsed="false">
      <c r="A429" s="12"/>
      <c r="B429" s="34"/>
      <c r="C429" s="12"/>
      <c r="D429" s="12"/>
      <c r="E429" s="12"/>
      <c r="F429" s="12"/>
      <c r="G429" s="18"/>
      <c r="H429" s="18"/>
      <c r="I429" s="35"/>
      <c r="J429" s="12"/>
      <c r="N429" s="12"/>
      <c r="O429" s="18"/>
      <c r="P429" s="12"/>
      <c r="Q429" s="12"/>
      <c r="R429" s="12"/>
      <c r="S429" s="36"/>
      <c r="T429" s="36"/>
      <c r="U429" s="12"/>
      <c r="V429" s="12"/>
      <c r="W429" s="12"/>
      <c r="X429" s="12"/>
      <c r="Y429" s="12"/>
    </row>
    <row r="430" customFormat="false" ht="15.75" hidden="false" customHeight="false" outlineLevel="0" collapsed="false">
      <c r="A430" s="12"/>
      <c r="B430" s="34"/>
      <c r="C430" s="12"/>
      <c r="D430" s="12"/>
      <c r="E430" s="12"/>
      <c r="F430" s="12"/>
      <c r="G430" s="18"/>
      <c r="H430" s="18"/>
      <c r="I430" s="35"/>
      <c r="J430" s="12"/>
      <c r="N430" s="12"/>
      <c r="O430" s="18"/>
      <c r="P430" s="12"/>
      <c r="Q430" s="12"/>
      <c r="R430" s="12"/>
      <c r="S430" s="36"/>
      <c r="T430" s="36"/>
      <c r="U430" s="12"/>
      <c r="V430" s="12"/>
      <c r="W430" s="12"/>
      <c r="X430" s="12"/>
      <c r="Y430" s="12"/>
    </row>
    <row r="431" customFormat="false" ht="15.75" hidden="false" customHeight="false" outlineLevel="0" collapsed="false">
      <c r="A431" s="12"/>
      <c r="B431" s="34"/>
      <c r="C431" s="12"/>
      <c r="D431" s="12"/>
      <c r="E431" s="12"/>
      <c r="F431" s="12"/>
      <c r="G431" s="18"/>
      <c r="H431" s="18"/>
      <c r="I431" s="35"/>
      <c r="J431" s="12"/>
      <c r="N431" s="12"/>
      <c r="O431" s="18"/>
      <c r="P431" s="12"/>
      <c r="Q431" s="12"/>
      <c r="R431" s="12"/>
      <c r="S431" s="36"/>
      <c r="T431" s="36"/>
      <c r="U431" s="12"/>
      <c r="V431" s="12"/>
      <c r="W431" s="12"/>
      <c r="X431" s="12"/>
      <c r="Y431" s="12"/>
    </row>
    <row r="432" customFormat="false" ht="15.75" hidden="false" customHeight="false" outlineLevel="0" collapsed="false">
      <c r="A432" s="12"/>
      <c r="B432" s="34"/>
      <c r="C432" s="12"/>
      <c r="D432" s="12"/>
      <c r="E432" s="12"/>
      <c r="F432" s="12"/>
      <c r="G432" s="18"/>
      <c r="H432" s="18"/>
      <c r="I432" s="35"/>
      <c r="J432" s="12"/>
      <c r="N432" s="12"/>
      <c r="O432" s="18"/>
      <c r="P432" s="12"/>
      <c r="Q432" s="12"/>
      <c r="R432" s="12"/>
      <c r="S432" s="36"/>
      <c r="T432" s="36"/>
      <c r="U432" s="12"/>
      <c r="V432" s="12"/>
      <c r="W432" s="12"/>
      <c r="X432" s="12"/>
      <c r="Y432" s="12"/>
    </row>
    <row r="433" customFormat="false" ht="15.75" hidden="false" customHeight="false" outlineLevel="0" collapsed="false">
      <c r="A433" s="12"/>
      <c r="B433" s="34"/>
      <c r="C433" s="12"/>
      <c r="D433" s="12"/>
      <c r="E433" s="12"/>
      <c r="F433" s="12"/>
      <c r="G433" s="18"/>
      <c r="H433" s="18"/>
      <c r="I433" s="35"/>
      <c r="J433" s="12"/>
      <c r="N433" s="12"/>
      <c r="O433" s="18"/>
      <c r="P433" s="12"/>
      <c r="Q433" s="12"/>
      <c r="R433" s="12"/>
      <c r="S433" s="36"/>
      <c r="T433" s="36"/>
      <c r="U433" s="12"/>
      <c r="V433" s="12"/>
      <c r="W433" s="12"/>
      <c r="X433" s="12"/>
      <c r="Y433" s="12"/>
    </row>
    <row r="434" customFormat="false" ht="15.75" hidden="false" customHeight="false" outlineLevel="0" collapsed="false">
      <c r="A434" s="12"/>
      <c r="B434" s="34"/>
      <c r="C434" s="12"/>
      <c r="D434" s="12"/>
      <c r="E434" s="12"/>
      <c r="F434" s="12"/>
      <c r="G434" s="18"/>
      <c r="H434" s="18"/>
      <c r="I434" s="35"/>
      <c r="J434" s="12"/>
      <c r="N434" s="12"/>
      <c r="O434" s="18"/>
      <c r="P434" s="12"/>
      <c r="Q434" s="12"/>
      <c r="R434" s="12"/>
      <c r="S434" s="36"/>
      <c r="T434" s="36"/>
      <c r="U434" s="12"/>
      <c r="V434" s="12"/>
      <c r="W434" s="12"/>
      <c r="X434" s="12"/>
      <c r="Y434" s="12"/>
    </row>
    <row r="435" customFormat="false" ht="15.75" hidden="false" customHeight="false" outlineLevel="0" collapsed="false">
      <c r="A435" s="12"/>
      <c r="B435" s="34"/>
      <c r="C435" s="12"/>
      <c r="D435" s="12"/>
      <c r="E435" s="12"/>
      <c r="F435" s="12"/>
      <c r="G435" s="18"/>
      <c r="H435" s="18"/>
      <c r="I435" s="35"/>
      <c r="J435" s="12"/>
      <c r="N435" s="12"/>
      <c r="O435" s="18"/>
      <c r="P435" s="12"/>
      <c r="Q435" s="12"/>
      <c r="R435" s="12"/>
      <c r="S435" s="36"/>
      <c r="T435" s="36"/>
      <c r="U435" s="12"/>
      <c r="V435" s="12"/>
      <c r="W435" s="12"/>
      <c r="X435" s="12"/>
      <c r="Y435" s="12"/>
    </row>
    <row r="436" customFormat="false" ht="15.75" hidden="false" customHeight="false" outlineLevel="0" collapsed="false">
      <c r="A436" s="12"/>
      <c r="B436" s="34"/>
      <c r="C436" s="12"/>
      <c r="D436" s="12"/>
      <c r="E436" s="12"/>
      <c r="F436" s="12"/>
      <c r="G436" s="18"/>
      <c r="H436" s="18"/>
      <c r="I436" s="35"/>
      <c r="J436" s="12"/>
      <c r="N436" s="12"/>
      <c r="O436" s="18"/>
      <c r="P436" s="12"/>
      <c r="Q436" s="12"/>
      <c r="R436" s="12"/>
      <c r="S436" s="36"/>
      <c r="T436" s="36"/>
      <c r="U436" s="12"/>
      <c r="V436" s="12"/>
      <c r="W436" s="12"/>
      <c r="X436" s="12"/>
      <c r="Y436" s="12"/>
    </row>
    <row r="437" customFormat="false" ht="15.75" hidden="false" customHeight="false" outlineLevel="0" collapsed="false">
      <c r="A437" s="12"/>
      <c r="B437" s="34"/>
      <c r="C437" s="12"/>
      <c r="D437" s="12"/>
      <c r="E437" s="12"/>
      <c r="F437" s="12"/>
      <c r="G437" s="18"/>
      <c r="H437" s="18"/>
      <c r="I437" s="35"/>
      <c r="J437" s="12"/>
      <c r="N437" s="12"/>
      <c r="O437" s="18"/>
      <c r="P437" s="12"/>
      <c r="Q437" s="12"/>
      <c r="R437" s="12"/>
      <c r="S437" s="36"/>
      <c r="T437" s="36"/>
      <c r="U437" s="12"/>
      <c r="V437" s="12"/>
      <c r="W437" s="12"/>
      <c r="X437" s="12"/>
      <c r="Y437" s="12"/>
    </row>
    <row r="438" customFormat="false" ht="15.75" hidden="false" customHeight="false" outlineLevel="0" collapsed="false">
      <c r="A438" s="12"/>
      <c r="B438" s="34"/>
      <c r="C438" s="12"/>
      <c r="D438" s="12"/>
      <c r="E438" s="12"/>
      <c r="F438" s="12"/>
      <c r="G438" s="18"/>
      <c r="H438" s="18"/>
      <c r="I438" s="35"/>
      <c r="J438" s="12"/>
      <c r="N438" s="12"/>
      <c r="O438" s="18"/>
      <c r="P438" s="12"/>
      <c r="Q438" s="12"/>
      <c r="R438" s="12"/>
      <c r="S438" s="36"/>
      <c r="T438" s="36"/>
      <c r="U438" s="12"/>
      <c r="V438" s="12"/>
      <c r="W438" s="12"/>
      <c r="X438" s="12"/>
      <c r="Y438" s="12"/>
    </row>
    <row r="439" customFormat="false" ht="15.75" hidden="false" customHeight="false" outlineLevel="0" collapsed="false">
      <c r="A439" s="12"/>
      <c r="B439" s="34"/>
      <c r="C439" s="12"/>
      <c r="D439" s="12"/>
      <c r="E439" s="12"/>
      <c r="F439" s="12"/>
      <c r="G439" s="18"/>
      <c r="H439" s="18"/>
      <c r="I439" s="35"/>
      <c r="J439" s="12"/>
      <c r="N439" s="12"/>
      <c r="O439" s="18"/>
      <c r="P439" s="12"/>
      <c r="Q439" s="12"/>
      <c r="R439" s="12"/>
      <c r="S439" s="36"/>
      <c r="T439" s="36"/>
      <c r="U439" s="12"/>
      <c r="V439" s="12"/>
      <c r="W439" s="12"/>
      <c r="X439" s="12"/>
      <c r="Y439" s="12"/>
    </row>
    <row r="440" customFormat="false" ht="15.75" hidden="false" customHeight="false" outlineLevel="0" collapsed="false">
      <c r="A440" s="12"/>
      <c r="B440" s="34"/>
      <c r="C440" s="12"/>
      <c r="D440" s="12"/>
      <c r="E440" s="12"/>
      <c r="F440" s="12"/>
      <c r="G440" s="18"/>
      <c r="H440" s="18"/>
      <c r="I440" s="35"/>
      <c r="J440" s="12"/>
      <c r="N440" s="12"/>
      <c r="O440" s="18"/>
      <c r="P440" s="12"/>
      <c r="Q440" s="12"/>
      <c r="R440" s="12"/>
      <c r="S440" s="36"/>
      <c r="T440" s="36"/>
      <c r="U440" s="12"/>
      <c r="V440" s="12"/>
      <c r="W440" s="12"/>
      <c r="X440" s="12"/>
      <c r="Y440" s="12"/>
    </row>
    <row r="441" customFormat="false" ht="15.75" hidden="false" customHeight="false" outlineLevel="0" collapsed="false">
      <c r="A441" s="12"/>
      <c r="B441" s="34"/>
      <c r="C441" s="12"/>
      <c r="D441" s="12"/>
      <c r="E441" s="12"/>
      <c r="F441" s="12"/>
      <c r="G441" s="18"/>
      <c r="H441" s="18"/>
      <c r="I441" s="35"/>
      <c r="J441" s="12"/>
      <c r="N441" s="12"/>
      <c r="O441" s="18"/>
      <c r="P441" s="12"/>
      <c r="Q441" s="12"/>
      <c r="R441" s="12"/>
      <c r="S441" s="36"/>
      <c r="T441" s="36"/>
      <c r="U441" s="12"/>
      <c r="V441" s="12"/>
      <c r="W441" s="12"/>
      <c r="X441" s="12"/>
      <c r="Y441" s="12"/>
    </row>
    <row r="442" customFormat="false" ht="15.75" hidden="false" customHeight="false" outlineLevel="0" collapsed="false">
      <c r="A442" s="12"/>
      <c r="B442" s="34"/>
      <c r="C442" s="12"/>
      <c r="D442" s="12"/>
      <c r="E442" s="12"/>
      <c r="F442" s="12"/>
      <c r="G442" s="18"/>
      <c r="H442" s="18"/>
      <c r="I442" s="35"/>
      <c r="J442" s="12"/>
      <c r="N442" s="12"/>
      <c r="O442" s="18"/>
      <c r="P442" s="12"/>
      <c r="Q442" s="12"/>
      <c r="R442" s="12"/>
      <c r="S442" s="36"/>
      <c r="T442" s="36"/>
      <c r="U442" s="12"/>
      <c r="V442" s="12"/>
      <c r="W442" s="12"/>
      <c r="X442" s="12"/>
      <c r="Y442" s="12"/>
    </row>
    <row r="443" customFormat="false" ht="15.75" hidden="false" customHeight="false" outlineLevel="0" collapsed="false">
      <c r="A443" s="12"/>
      <c r="B443" s="34"/>
      <c r="C443" s="12"/>
      <c r="D443" s="12"/>
      <c r="E443" s="12"/>
      <c r="F443" s="12"/>
      <c r="G443" s="18"/>
      <c r="H443" s="18"/>
      <c r="I443" s="35"/>
      <c r="J443" s="12"/>
      <c r="N443" s="12"/>
      <c r="O443" s="18"/>
      <c r="P443" s="12"/>
      <c r="Q443" s="12"/>
      <c r="R443" s="12"/>
      <c r="S443" s="36"/>
      <c r="T443" s="36"/>
      <c r="U443" s="12"/>
      <c r="V443" s="12"/>
      <c r="W443" s="12"/>
      <c r="X443" s="12"/>
      <c r="Y443" s="12"/>
    </row>
    <row r="444" customFormat="false" ht="15.75" hidden="false" customHeight="false" outlineLevel="0" collapsed="false">
      <c r="A444" s="12"/>
      <c r="B444" s="34"/>
      <c r="C444" s="12"/>
      <c r="D444" s="12"/>
      <c r="E444" s="12"/>
      <c r="F444" s="12"/>
      <c r="G444" s="18"/>
      <c r="H444" s="18"/>
      <c r="I444" s="35"/>
      <c r="J444" s="12"/>
      <c r="N444" s="12"/>
      <c r="O444" s="18"/>
      <c r="P444" s="12"/>
      <c r="Q444" s="12"/>
      <c r="R444" s="12"/>
      <c r="S444" s="36"/>
      <c r="T444" s="36"/>
      <c r="U444" s="12"/>
      <c r="V444" s="12"/>
      <c r="W444" s="12"/>
      <c r="X444" s="12"/>
      <c r="Y444" s="12"/>
    </row>
    <row r="445" customFormat="false" ht="15.75" hidden="false" customHeight="false" outlineLevel="0" collapsed="false">
      <c r="A445" s="12"/>
      <c r="B445" s="34"/>
      <c r="C445" s="12"/>
      <c r="D445" s="12"/>
      <c r="E445" s="12"/>
      <c r="F445" s="12"/>
      <c r="G445" s="18"/>
      <c r="H445" s="18"/>
      <c r="I445" s="35"/>
      <c r="J445" s="12"/>
      <c r="N445" s="12"/>
      <c r="O445" s="18"/>
      <c r="P445" s="12"/>
      <c r="Q445" s="12"/>
      <c r="R445" s="12"/>
      <c r="S445" s="36"/>
      <c r="T445" s="36"/>
      <c r="U445" s="12"/>
      <c r="V445" s="12"/>
      <c r="W445" s="12"/>
      <c r="X445" s="12"/>
      <c r="Y445" s="12"/>
    </row>
    <row r="446" customFormat="false" ht="15.75" hidden="false" customHeight="false" outlineLevel="0" collapsed="false">
      <c r="A446" s="12"/>
      <c r="B446" s="34"/>
      <c r="C446" s="12"/>
      <c r="D446" s="12"/>
      <c r="E446" s="12"/>
      <c r="F446" s="12"/>
      <c r="G446" s="18"/>
      <c r="H446" s="18"/>
      <c r="I446" s="35"/>
      <c r="J446" s="12"/>
      <c r="N446" s="12"/>
      <c r="O446" s="18"/>
      <c r="P446" s="12"/>
      <c r="Q446" s="12"/>
      <c r="R446" s="12"/>
      <c r="S446" s="36"/>
      <c r="T446" s="36"/>
      <c r="U446" s="12"/>
      <c r="V446" s="12"/>
      <c r="W446" s="12"/>
      <c r="X446" s="12"/>
      <c r="Y446" s="12"/>
    </row>
    <row r="447" customFormat="false" ht="15.75" hidden="false" customHeight="false" outlineLevel="0" collapsed="false">
      <c r="A447" s="12"/>
      <c r="B447" s="34"/>
      <c r="C447" s="12"/>
      <c r="D447" s="12"/>
      <c r="E447" s="12"/>
      <c r="F447" s="12"/>
      <c r="G447" s="18"/>
      <c r="H447" s="18"/>
      <c r="I447" s="35"/>
      <c r="J447" s="12"/>
      <c r="N447" s="12"/>
      <c r="O447" s="18"/>
      <c r="P447" s="12"/>
      <c r="Q447" s="12"/>
      <c r="R447" s="12"/>
      <c r="S447" s="36"/>
      <c r="T447" s="36"/>
      <c r="U447" s="12"/>
      <c r="V447" s="12"/>
      <c r="W447" s="12"/>
      <c r="X447" s="12"/>
      <c r="Y447" s="12"/>
    </row>
    <row r="448" customFormat="false" ht="15.75" hidden="false" customHeight="false" outlineLevel="0" collapsed="false">
      <c r="A448" s="12"/>
      <c r="B448" s="34"/>
      <c r="C448" s="12"/>
      <c r="D448" s="12"/>
      <c r="E448" s="12"/>
      <c r="F448" s="12"/>
      <c r="G448" s="18"/>
      <c r="H448" s="18"/>
      <c r="I448" s="35"/>
      <c r="J448" s="12"/>
      <c r="N448" s="12"/>
      <c r="O448" s="18"/>
      <c r="P448" s="12"/>
      <c r="Q448" s="12"/>
      <c r="R448" s="12"/>
      <c r="S448" s="36"/>
      <c r="T448" s="36"/>
      <c r="U448" s="12"/>
      <c r="V448" s="12"/>
      <c r="W448" s="12"/>
      <c r="X448" s="12"/>
      <c r="Y448" s="12"/>
    </row>
    <row r="449" customFormat="false" ht="15.75" hidden="false" customHeight="false" outlineLevel="0" collapsed="false">
      <c r="A449" s="12"/>
      <c r="B449" s="34"/>
      <c r="C449" s="12"/>
      <c r="D449" s="12"/>
      <c r="E449" s="12"/>
      <c r="F449" s="12"/>
      <c r="G449" s="18"/>
      <c r="H449" s="18"/>
      <c r="I449" s="35"/>
      <c r="J449" s="12"/>
      <c r="N449" s="12"/>
      <c r="O449" s="18"/>
      <c r="P449" s="12"/>
      <c r="Q449" s="12"/>
      <c r="R449" s="12"/>
      <c r="S449" s="36"/>
      <c r="T449" s="36"/>
      <c r="U449" s="12"/>
      <c r="V449" s="12"/>
      <c r="W449" s="12"/>
      <c r="X449" s="12"/>
      <c r="Y449" s="12"/>
    </row>
    <row r="450" customFormat="false" ht="15.75" hidden="false" customHeight="false" outlineLevel="0" collapsed="false">
      <c r="A450" s="12"/>
      <c r="B450" s="34"/>
      <c r="C450" s="12"/>
      <c r="D450" s="12"/>
      <c r="E450" s="12"/>
      <c r="F450" s="12"/>
      <c r="G450" s="18"/>
      <c r="H450" s="18"/>
      <c r="I450" s="35"/>
      <c r="J450" s="12"/>
      <c r="N450" s="12"/>
      <c r="O450" s="18"/>
      <c r="P450" s="12"/>
      <c r="Q450" s="12"/>
      <c r="R450" s="12"/>
      <c r="S450" s="36"/>
      <c r="T450" s="36"/>
      <c r="U450" s="12"/>
      <c r="V450" s="12"/>
      <c r="W450" s="12"/>
      <c r="X450" s="12"/>
      <c r="Y450" s="12"/>
    </row>
    <row r="451" customFormat="false" ht="15.75" hidden="false" customHeight="false" outlineLevel="0" collapsed="false">
      <c r="A451" s="12"/>
      <c r="B451" s="34"/>
      <c r="C451" s="12"/>
      <c r="D451" s="12"/>
      <c r="E451" s="12"/>
      <c r="F451" s="12"/>
      <c r="G451" s="18"/>
      <c r="H451" s="18"/>
      <c r="I451" s="35"/>
      <c r="J451" s="12"/>
      <c r="N451" s="12"/>
      <c r="O451" s="18"/>
      <c r="P451" s="12"/>
      <c r="Q451" s="12"/>
      <c r="R451" s="12"/>
      <c r="S451" s="36"/>
      <c r="T451" s="36"/>
      <c r="U451" s="12"/>
      <c r="V451" s="12"/>
      <c r="W451" s="12"/>
      <c r="X451" s="12"/>
      <c r="Y451" s="12"/>
    </row>
    <row r="452" customFormat="false" ht="15.75" hidden="false" customHeight="false" outlineLevel="0" collapsed="false">
      <c r="A452" s="12"/>
      <c r="B452" s="34"/>
      <c r="C452" s="12"/>
      <c r="D452" s="12"/>
      <c r="E452" s="12"/>
      <c r="F452" s="12"/>
      <c r="G452" s="18"/>
      <c r="H452" s="18"/>
      <c r="I452" s="35"/>
      <c r="J452" s="12"/>
      <c r="N452" s="12"/>
      <c r="O452" s="18"/>
      <c r="P452" s="12"/>
      <c r="Q452" s="12"/>
      <c r="R452" s="12"/>
      <c r="S452" s="36"/>
      <c r="T452" s="36"/>
      <c r="U452" s="12"/>
      <c r="V452" s="12"/>
      <c r="W452" s="12"/>
      <c r="X452" s="12"/>
      <c r="Y452" s="12"/>
    </row>
    <row r="453" customFormat="false" ht="15.75" hidden="false" customHeight="false" outlineLevel="0" collapsed="false">
      <c r="A453" s="12"/>
      <c r="B453" s="34"/>
      <c r="C453" s="12"/>
      <c r="D453" s="12"/>
      <c r="E453" s="12"/>
      <c r="F453" s="12"/>
      <c r="G453" s="18"/>
      <c r="H453" s="18"/>
      <c r="I453" s="35"/>
      <c r="J453" s="12"/>
      <c r="N453" s="12"/>
      <c r="O453" s="18"/>
      <c r="P453" s="12"/>
      <c r="Q453" s="12"/>
      <c r="R453" s="12"/>
      <c r="S453" s="36"/>
      <c r="T453" s="36"/>
      <c r="U453" s="12"/>
      <c r="V453" s="12"/>
      <c r="W453" s="12"/>
      <c r="X453" s="12"/>
      <c r="Y453" s="12"/>
    </row>
    <row r="454" customFormat="false" ht="15.75" hidden="false" customHeight="false" outlineLevel="0" collapsed="false">
      <c r="A454" s="12"/>
      <c r="B454" s="34"/>
      <c r="C454" s="12"/>
      <c r="D454" s="12"/>
      <c r="E454" s="12"/>
      <c r="F454" s="12"/>
      <c r="G454" s="18"/>
      <c r="H454" s="18"/>
      <c r="I454" s="35"/>
      <c r="J454" s="12"/>
      <c r="N454" s="12"/>
      <c r="O454" s="18"/>
      <c r="P454" s="12"/>
      <c r="Q454" s="12"/>
      <c r="R454" s="12"/>
      <c r="S454" s="36"/>
      <c r="T454" s="36"/>
      <c r="U454" s="12"/>
      <c r="V454" s="12"/>
      <c r="W454" s="12"/>
      <c r="X454" s="12"/>
      <c r="Y454" s="12"/>
    </row>
    <row r="455" customFormat="false" ht="15.75" hidden="false" customHeight="false" outlineLevel="0" collapsed="false">
      <c r="A455" s="12"/>
      <c r="B455" s="34"/>
      <c r="C455" s="12"/>
      <c r="D455" s="12"/>
      <c r="E455" s="12"/>
      <c r="F455" s="12"/>
      <c r="G455" s="18"/>
      <c r="H455" s="18"/>
      <c r="I455" s="35"/>
      <c r="J455" s="12"/>
      <c r="N455" s="12"/>
      <c r="O455" s="18"/>
      <c r="P455" s="12"/>
      <c r="Q455" s="12"/>
      <c r="R455" s="12"/>
      <c r="S455" s="36"/>
      <c r="T455" s="36"/>
      <c r="U455" s="12"/>
      <c r="V455" s="12"/>
      <c r="W455" s="12"/>
      <c r="X455" s="12"/>
      <c r="Y455" s="12"/>
    </row>
    <row r="456" customFormat="false" ht="15.75" hidden="false" customHeight="false" outlineLevel="0" collapsed="false">
      <c r="A456" s="12"/>
      <c r="B456" s="34"/>
      <c r="C456" s="12"/>
      <c r="D456" s="12"/>
      <c r="E456" s="12"/>
      <c r="F456" s="12"/>
      <c r="G456" s="18"/>
      <c r="H456" s="18"/>
      <c r="I456" s="35"/>
      <c r="J456" s="12"/>
      <c r="N456" s="12"/>
      <c r="O456" s="18"/>
      <c r="P456" s="12"/>
      <c r="Q456" s="12"/>
      <c r="R456" s="12"/>
      <c r="S456" s="36"/>
      <c r="T456" s="36"/>
      <c r="U456" s="12"/>
      <c r="V456" s="12"/>
      <c r="W456" s="12"/>
      <c r="X456" s="12"/>
      <c r="Y456" s="12"/>
    </row>
    <row r="457" customFormat="false" ht="15.75" hidden="false" customHeight="false" outlineLevel="0" collapsed="false">
      <c r="A457" s="12"/>
      <c r="B457" s="34"/>
      <c r="C457" s="12"/>
      <c r="D457" s="12"/>
      <c r="E457" s="12"/>
      <c r="F457" s="12"/>
      <c r="G457" s="18"/>
      <c r="H457" s="18"/>
      <c r="I457" s="35"/>
      <c r="J457" s="12"/>
      <c r="N457" s="12"/>
      <c r="O457" s="18"/>
      <c r="P457" s="12"/>
      <c r="Q457" s="12"/>
      <c r="R457" s="12"/>
      <c r="S457" s="36"/>
      <c r="T457" s="36"/>
      <c r="U457" s="12"/>
      <c r="V457" s="12"/>
      <c r="W457" s="12"/>
      <c r="X457" s="12"/>
      <c r="Y457" s="12"/>
    </row>
    <row r="458" customFormat="false" ht="15.75" hidden="false" customHeight="false" outlineLevel="0" collapsed="false">
      <c r="A458" s="12"/>
      <c r="B458" s="34"/>
      <c r="C458" s="12"/>
      <c r="D458" s="12"/>
      <c r="E458" s="12"/>
      <c r="F458" s="12"/>
      <c r="G458" s="18"/>
      <c r="H458" s="18"/>
      <c r="I458" s="35"/>
      <c r="J458" s="12"/>
      <c r="N458" s="12"/>
      <c r="O458" s="18"/>
      <c r="P458" s="12"/>
      <c r="Q458" s="12"/>
      <c r="R458" s="12"/>
      <c r="S458" s="36"/>
      <c r="T458" s="36"/>
      <c r="U458" s="12"/>
      <c r="V458" s="12"/>
      <c r="W458" s="12"/>
      <c r="X458" s="12"/>
      <c r="Y458" s="12"/>
    </row>
    <row r="459" customFormat="false" ht="15.75" hidden="false" customHeight="false" outlineLevel="0" collapsed="false">
      <c r="A459" s="12"/>
      <c r="B459" s="34"/>
      <c r="C459" s="12"/>
      <c r="D459" s="12"/>
      <c r="E459" s="12"/>
      <c r="F459" s="12"/>
      <c r="G459" s="18"/>
      <c r="H459" s="18"/>
      <c r="I459" s="35"/>
      <c r="J459" s="12"/>
      <c r="N459" s="12"/>
      <c r="O459" s="18"/>
      <c r="P459" s="12"/>
      <c r="Q459" s="12"/>
      <c r="R459" s="12"/>
      <c r="S459" s="36"/>
      <c r="T459" s="36"/>
      <c r="U459" s="12"/>
      <c r="V459" s="12"/>
      <c r="W459" s="12"/>
      <c r="X459" s="12"/>
      <c r="Y459" s="12"/>
    </row>
    <row r="460" customFormat="false" ht="15.75" hidden="false" customHeight="false" outlineLevel="0" collapsed="false">
      <c r="A460" s="12"/>
      <c r="B460" s="34"/>
      <c r="C460" s="12"/>
      <c r="D460" s="12"/>
      <c r="E460" s="12"/>
      <c r="F460" s="12"/>
      <c r="G460" s="18"/>
      <c r="H460" s="18"/>
      <c r="I460" s="35"/>
      <c r="J460" s="12"/>
      <c r="N460" s="12"/>
      <c r="O460" s="18"/>
      <c r="P460" s="12"/>
      <c r="Q460" s="12"/>
      <c r="R460" s="12"/>
      <c r="S460" s="36"/>
      <c r="T460" s="36"/>
      <c r="U460" s="12"/>
      <c r="V460" s="12"/>
      <c r="W460" s="12"/>
      <c r="X460" s="12"/>
      <c r="Y460" s="12"/>
    </row>
    <row r="461" customFormat="false" ht="15.75" hidden="false" customHeight="false" outlineLevel="0" collapsed="false">
      <c r="A461" s="12"/>
      <c r="B461" s="34"/>
      <c r="C461" s="12"/>
      <c r="D461" s="12"/>
      <c r="E461" s="12"/>
      <c r="F461" s="12"/>
      <c r="G461" s="18"/>
      <c r="H461" s="18"/>
      <c r="I461" s="35"/>
      <c r="J461" s="12"/>
      <c r="N461" s="12"/>
      <c r="O461" s="18"/>
      <c r="P461" s="12"/>
      <c r="Q461" s="12"/>
      <c r="R461" s="12"/>
      <c r="S461" s="36"/>
      <c r="T461" s="36"/>
      <c r="U461" s="12"/>
      <c r="V461" s="12"/>
      <c r="W461" s="12"/>
      <c r="X461" s="12"/>
      <c r="Y461" s="12"/>
    </row>
    <row r="462" customFormat="false" ht="15.75" hidden="false" customHeight="false" outlineLevel="0" collapsed="false">
      <c r="A462" s="12"/>
      <c r="B462" s="34"/>
      <c r="C462" s="12"/>
      <c r="D462" s="12"/>
      <c r="E462" s="12"/>
      <c r="F462" s="12"/>
      <c r="G462" s="18"/>
      <c r="H462" s="18"/>
      <c r="I462" s="35"/>
      <c r="J462" s="12"/>
      <c r="N462" s="12"/>
      <c r="O462" s="18"/>
      <c r="P462" s="12"/>
      <c r="Q462" s="12"/>
      <c r="R462" s="12"/>
      <c r="S462" s="36"/>
      <c r="T462" s="36"/>
      <c r="U462" s="12"/>
      <c r="V462" s="12"/>
      <c r="W462" s="12"/>
      <c r="X462" s="12"/>
      <c r="Y462" s="12"/>
    </row>
    <row r="463" customFormat="false" ht="15.75" hidden="false" customHeight="false" outlineLevel="0" collapsed="false">
      <c r="A463" s="12"/>
      <c r="B463" s="34"/>
      <c r="C463" s="12"/>
      <c r="D463" s="12"/>
      <c r="E463" s="12"/>
      <c r="F463" s="12"/>
      <c r="G463" s="18"/>
      <c r="H463" s="18"/>
      <c r="I463" s="35"/>
      <c r="J463" s="12"/>
      <c r="N463" s="12"/>
      <c r="O463" s="18"/>
      <c r="P463" s="12"/>
      <c r="Q463" s="12"/>
      <c r="R463" s="12"/>
      <c r="S463" s="36"/>
      <c r="T463" s="36"/>
      <c r="U463" s="12"/>
      <c r="V463" s="12"/>
      <c r="W463" s="12"/>
      <c r="X463" s="12"/>
      <c r="Y463" s="12"/>
    </row>
    <row r="464" customFormat="false" ht="15.75" hidden="false" customHeight="false" outlineLevel="0" collapsed="false">
      <c r="A464" s="12"/>
      <c r="B464" s="34"/>
      <c r="C464" s="12"/>
      <c r="D464" s="12"/>
      <c r="E464" s="12"/>
      <c r="F464" s="12"/>
      <c r="G464" s="18"/>
      <c r="H464" s="18"/>
      <c r="I464" s="35"/>
      <c r="J464" s="12"/>
      <c r="N464" s="12"/>
      <c r="O464" s="18"/>
      <c r="P464" s="12"/>
      <c r="Q464" s="12"/>
      <c r="R464" s="12"/>
      <c r="S464" s="36"/>
      <c r="T464" s="36"/>
      <c r="U464" s="12"/>
      <c r="V464" s="12"/>
      <c r="W464" s="12"/>
      <c r="X464" s="12"/>
      <c r="Y464" s="12"/>
    </row>
    <row r="465" customFormat="false" ht="15.75" hidden="false" customHeight="false" outlineLevel="0" collapsed="false">
      <c r="A465" s="12"/>
      <c r="B465" s="34"/>
      <c r="C465" s="12"/>
      <c r="D465" s="12"/>
      <c r="E465" s="12"/>
      <c r="F465" s="12"/>
      <c r="G465" s="18"/>
      <c r="H465" s="18"/>
      <c r="I465" s="35"/>
      <c r="J465" s="12"/>
      <c r="N465" s="12"/>
      <c r="O465" s="18"/>
      <c r="P465" s="12"/>
      <c r="Q465" s="12"/>
      <c r="R465" s="12"/>
      <c r="S465" s="36"/>
      <c r="T465" s="36"/>
      <c r="U465" s="12"/>
      <c r="V465" s="12"/>
      <c r="W465" s="12"/>
      <c r="X465" s="12"/>
      <c r="Y465" s="12"/>
    </row>
    <row r="466" customFormat="false" ht="15.75" hidden="false" customHeight="false" outlineLevel="0" collapsed="false">
      <c r="A466" s="12"/>
      <c r="B466" s="34"/>
      <c r="C466" s="12"/>
      <c r="D466" s="12"/>
      <c r="E466" s="12"/>
      <c r="F466" s="12"/>
      <c r="G466" s="18"/>
      <c r="H466" s="18"/>
      <c r="I466" s="35"/>
      <c r="J466" s="12"/>
      <c r="N466" s="12"/>
      <c r="O466" s="18"/>
      <c r="P466" s="12"/>
      <c r="Q466" s="12"/>
      <c r="R466" s="12"/>
      <c r="S466" s="36"/>
      <c r="T466" s="36"/>
      <c r="U466" s="12"/>
      <c r="V466" s="12"/>
      <c r="W466" s="12"/>
      <c r="X466" s="12"/>
      <c r="Y466" s="12"/>
    </row>
    <row r="467" customFormat="false" ht="15.75" hidden="false" customHeight="false" outlineLevel="0" collapsed="false">
      <c r="A467" s="12"/>
      <c r="B467" s="34"/>
      <c r="C467" s="12"/>
      <c r="D467" s="12"/>
      <c r="E467" s="12"/>
      <c r="F467" s="12"/>
      <c r="G467" s="18"/>
      <c r="H467" s="18"/>
      <c r="I467" s="35"/>
      <c r="J467" s="12"/>
      <c r="N467" s="12"/>
      <c r="O467" s="18"/>
      <c r="P467" s="12"/>
      <c r="Q467" s="12"/>
      <c r="R467" s="12"/>
      <c r="S467" s="36"/>
      <c r="T467" s="36"/>
      <c r="U467" s="12"/>
      <c r="V467" s="12"/>
      <c r="W467" s="12"/>
      <c r="X467" s="12"/>
      <c r="Y467" s="12"/>
    </row>
    <row r="468" customFormat="false" ht="15.75" hidden="false" customHeight="false" outlineLevel="0" collapsed="false">
      <c r="A468" s="12"/>
      <c r="B468" s="34"/>
      <c r="C468" s="12"/>
      <c r="D468" s="12"/>
      <c r="E468" s="12"/>
      <c r="F468" s="12"/>
      <c r="G468" s="18"/>
      <c r="H468" s="18"/>
      <c r="I468" s="35"/>
      <c r="J468" s="12"/>
      <c r="N468" s="12"/>
      <c r="O468" s="18"/>
      <c r="P468" s="12"/>
      <c r="Q468" s="12"/>
      <c r="R468" s="12"/>
      <c r="S468" s="36"/>
      <c r="T468" s="36"/>
      <c r="U468" s="12"/>
      <c r="V468" s="12"/>
      <c r="W468" s="12"/>
      <c r="X468" s="12"/>
      <c r="Y468" s="12"/>
    </row>
    <row r="469" customFormat="false" ht="15.75" hidden="false" customHeight="false" outlineLevel="0" collapsed="false">
      <c r="A469" s="12"/>
      <c r="B469" s="34"/>
      <c r="C469" s="12"/>
      <c r="D469" s="12"/>
      <c r="E469" s="12"/>
      <c r="F469" s="12"/>
      <c r="G469" s="18"/>
      <c r="H469" s="18"/>
      <c r="I469" s="35"/>
      <c r="J469" s="12"/>
      <c r="N469" s="12"/>
      <c r="O469" s="18"/>
      <c r="P469" s="12"/>
      <c r="Q469" s="12"/>
      <c r="R469" s="12"/>
      <c r="S469" s="36"/>
      <c r="T469" s="36"/>
      <c r="U469" s="12"/>
      <c r="V469" s="12"/>
      <c r="W469" s="12"/>
      <c r="X469" s="12"/>
      <c r="Y469" s="12"/>
    </row>
    <row r="470" customFormat="false" ht="15.75" hidden="false" customHeight="false" outlineLevel="0" collapsed="false">
      <c r="A470" s="12"/>
      <c r="B470" s="34"/>
      <c r="C470" s="12"/>
      <c r="D470" s="12"/>
      <c r="E470" s="12"/>
      <c r="F470" s="12"/>
      <c r="G470" s="18"/>
      <c r="H470" s="18"/>
      <c r="I470" s="35"/>
      <c r="J470" s="12"/>
      <c r="N470" s="12"/>
      <c r="O470" s="18"/>
      <c r="P470" s="12"/>
      <c r="Q470" s="12"/>
      <c r="R470" s="12"/>
      <c r="S470" s="36"/>
      <c r="T470" s="36"/>
      <c r="U470" s="12"/>
      <c r="V470" s="12"/>
      <c r="W470" s="12"/>
      <c r="X470" s="12"/>
      <c r="Y470" s="12"/>
    </row>
    <row r="471" customFormat="false" ht="15.75" hidden="false" customHeight="false" outlineLevel="0" collapsed="false">
      <c r="A471" s="12"/>
      <c r="B471" s="34"/>
      <c r="C471" s="12"/>
      <c r="D471" s="12"/>
      <c r="E471" s="12"/>
      <c r="F471" s="12"/>
      <c r="G471" s="18"/>
      <c r="H471" s="18"/>
      <c r="I471" s="35"/>
      <c r="J471" s="12"/>
      <c r="N471" s="12"/>
      <c r="O471" s="18"/>
      <c r="P471" s="12"/>
      <c r="Q471" s="12"/>
      <c r="R471" s="12"/>
      <c r="S471" s="36"/>
      <c r="T471" s="36"/>
      <c r="U471" s="12"/>
      <c r="V471" s="12"/>
      <c r="W471" s="12"/>
      <c r="X471" s="12"/>
      <c r="Y471" s="12"/>
    </row>
    <row r="472" customFormat="false" ht="15.75" hidden="false" customHeight="false" outlineLevel="0" collapsed="false">
      <c r="A472" s="12"/>
      <c r="B472" s="34"/>
      <c r="C472" s="12"/>
      <c r="D472" s="12"/>
      <c r="E472" s="12"/>
      <c r="F472" s="12"/>
      <c r="G472" s="18"/>
      <c r="H472" s="18"/>
      <c r="I472" s="35"/>
      <c r="J472" s="12"/>
      <c r="N472" s="12"/>
      <c r="O472" s="18"/>
      <c r="P472" s="12"/>
      <c r="Q472" s="12"/>
      <c r="R472" s="12"/>
      <c r="S472" s="36"/>
      <c r="T472" s="36"/>
      <c r="U472" s="12"/>
      <c r="V472" s="12"/>
      <c r="W472" s="12"/>
      <c r="X472" s="12"/>
      <c r="Y472" s="12"/>
    </row>
    <row r="473" customFormat="false" ht="15.75" hidden="false" customHeight="false" outlineLevel="0" collapsed="false">
      <c r="A473" s="12"/>
      <c r="B473" s="34"/>
      <c r="C473" s="12"/>
      <c r="D473" s="12"/>
      <c r="E473" s="12"/>
      <c r="F473" s="12"/>
      <c r="G473" s="18"/>
      <c r="H473" s="18"/>
      <c r="I473" s="35"/>
      <c r="J473" s="12"/>
      <c r="N473" s="12"/>
      <c r="O473" s="18"/>
      <c r="P473" s="12"/>
      <c r="Q473" s="12"/>
      <c r="R473" s="12"/>
      <c r="S473" s="36"/>
      <c r="T473" s="36"/>
      <c r="U473" s="12"/>
      <c r="V473" s="12"/>
      <c r="W473" s="12"/>
      <c r="X473" s="12"/>
      <c r="Y473" s="12"/>
    </row>
    <row r="474" customFormat="false" ht="15.75" hidden="false" customHeight="false" outlineLevel="0" collapsed="false">
      <c r="A474" s="12"/>
      <c r="B474" s="34"/>
      <c r="C474" s="12"/>
      <c r="D474" s="12"/>
      <c r="E474" s="12"/>
      <c r="F474" s="12"/>
      <c r="G474" s="18"/>
      <c r="H474" s="18"/>
      <c r="I474" s="35"/>
      <c r="J474" s="12"/>
      <c r="N474" s="12"/>
      <c r="O474" s="18"/>
      <c r="P474" s="12"/>
      <c r="Q474" s="12"/>
      <c r="R474" s="12"/>
      <c r="S474" s="36"/>
      <c r="T474" s="36"/>
      <c r="U474" s="12"/>
      <c r="V474" s="12"/>
      <c r="W474" s="12"/>
      <c r="X474" s="12"/>
      <c r="Y474" s="12"/>
    </row>
    <row r="475" customFormat="false" ht="15.75" hidden="false" customHeight="false" outlineLevel="0" collapsed="false">
      <c r="A475" s="12"/>
      <c r="B475" s="34"/>
      <c r="C475" s="12"/>
      <c r="D475" s="12"/>
      <c r="E475" s="12"/>
      <c r="F475" s="12"/>
      <c r="G475" s="18"/>
      <c r="H475" s="18"/>
      <c r="I475" s="35"/>
      <c r="J475" s="12"/>
      <c r="N475" s="12"/>
      <c r="O475" s="18"/>
      <c r="P475" s="12"/>
      <c r="Q475" s="12"/>
      <c r="R475" s="12"/>
      <c r="S475" s="36"/>
      <c r="T475" s="36"/>
      <c r="U475" s="12"/>
      <c r="V475" s="12"/>
      <c r="W475" s="12"/>
      <c r="X475" s="12"/>
      <c r="Y475" s="12"/>
    </row>
    <row r="476" customFormat="false" ht="15.75" hidden="false" customHeight="false" outlineLevel="0" collapsed="false">
      <c r="A476" s="12"/>
      <c r="B476" s="34"/>
      <c r="C476" s="12"/>
      <c r="D476" s="12"/>
      <c r="E476" s="12"/>
      <c r="F476" s="12"/>
      <c r="G476" s="18"/>
      <c r="H476" s="18"/>
      <c r="I476" s="35"/>
      <c r="J476" s="12"/>
      <c r="N476" s="12"/>
      <c r="O476" s="18"/>
      <c r="P476" s="12"/>
      <c r="Q476" s="12"/>
      <c r="R476" s="12"/>
      <c r="S476" s="36"/>
      <c r="T476" s="36"/>
      <c r="U476" s="12"/>
      <c r="V476" s="12"/>
      <c r="W476" s="12"/>
      <c r="X476" s="12"/>
      <c r="Y476" s="12"/>
    </row>
    <row r="477" customFormat="false" ht="15.75" hidden="false" customHeight="false" outlineLevel="0" collapsed="false">
      <c r="A477" s="12"/>
      <c r="B477" s="34"/>
      <c r="C477" s="12"/>
      <c r="D477" s="12"/>
      <c r="E477" s="12"/>
      <c r="F477" s="12"/>
      <c r="G477" s="18"/>
      <c r="H477" s="18"/>
      <c r="I477" s="35"/>
      <c r="J477" s="12"/>
      <c r="N477" s="12"/>
      <c r="O477" s="18"/>
      <c r="P477" s="12"/>
      <c r="Q477" s="12"/>
      <c r="R477" s="12"/>
      <c r="S477" s="36"/>
      <c r="T477" s="36"/>
      <c r="U477" s="12"/>
      <c r="V477" s="12"/>
      <c r="W477" s="12"/>
      <c r="X477" s="12"/>
      <c r="Y477" s="12"/>
    </row>
    <row r="478" customFormat="false" ht="15.75" hidden="false" customHeight="false" outlineLevel="0" collapsed="false">
      <c r="A478" s="12"/>
      <c r="B478" s="34"/>
      <c r="C478" s="12"/>
      <c r="D478" s="12"/>
      <c r="E478" s="12"/>
      <c r="F478" s="12"/>
      <c r="G478" s="18"/>
      <c r="H478" s="18"/>
      <c r="I478" s="35"/>
      <c r="J478" s="12"/>
      <c r="N478" s="12"/>
      <c r="O478" s="18"/>
      <c r="P478" s="12"/>
      <c r="Q478" s="12"/>
      <c r="R478" s="12"/>
      <c r="S478" s="36"/>
      <c r="T478" s="36"/>
      <c r="U478" s="12"/>
      <c r="V478" s="12"/>
      <c r="W478" s="12"/>
      <c r="X478" s="12"/>
      <c r="Y478" s="12"/>
    </row>
    <row r="479" customFormat="false" ht="15.75" hidden="false" customHeight="false" outlineLevel="0" collapsed="false">
      <c r="A479" s="12"/>
      <c r="B479" s="34"/>
      <c r="C479" s="12"/>
      <c r="D479" s="12"/>
      <c r="E479" s="12"/>
      <c r="F479" s="12"/>
      <c r="G479" s="18"/>
      <c r="H479" s="18"/>
      <c r="I479" s="35"/>
      <c r="J479" s="12"/>
      <c r="N479" s="12"/>
      <c r="O479" s="18"/>
      <c r="P479" s="12"/>
      <c r="Q479" s="12"/>
      <c r="R479" s="12"/>
      <c r="S479" s="36"/>
      <c r="T479" s="36"/>
      <c r="U479" s="12"/>
      <c r="V479" s="12"/>
      <c r="W479" s="12"/>
      <c r="X479" s="12"/>
      <c r="Y479" s="12"/>
    </row>
    <row r="480" customFormat="false" ht="15.75" hidden="false" customHeight="false" outlineLevel="0" collapsed="false">
      <c r="A480" s="12"/>
      <c r="B480" s="34"/>
      <c r="C480" s="12"/>
      <c r="D480" s="12"/>
      <c r="E480" s="12"/>
      <c r="F480" s="12"/>
      <c r="G480" s="18"/>
      <c r="H480" s="18"/>
      <c r="I480" s="35"/>
      <c r="J480" s="12"/>
      <c r="N480" s="12"/>
      <c r="O480" s="18"/>
      <c r="P480" s="12"/>
      <c r="Q480" s="12"/>
      <c r="R480" s="12"/>
      <c r="S480" s="36"/>
      <c r="T480" s="36"/>
      <c r="U480" s="12"/>
      <c r="V480" s="12"/>
      <c r="W480" s="12"/>
      <c r="X480" s="12"/>
      <c r="Y480" s="12"/>
    </row>
    <row r="481" customFormat="false" ht="15.75" hidden="false" customHeight="false" outlineLevel="0" collapsed="false">
      <c r="A481" s="12"/>
      <c r="B481" s="34"/>
      <c r="C481" s="12"/>
      <c r="D481" s="12"/>
      <c r="E481" s="12"/>
      <c r="F481" s="12"/>
      <c r="G481" s="18"/>
      <c r="H481" s="18"/>
      <c r="I481" s="35"/>
      <c r="J481" s="12"/>
      <c r="N481" s="12"/>
      <c r="O481" s="18"/>
      <c r="P481" s="12"/>
      <c r="Q481" s="12"/>
      <c r="R481" s="12"/>
      <c r="S481" s="36"/>
      <c r="T481" s="36"/>
      <c r="U481" s="12"/>
      <c r="V481" s="12"/>
      <c r="W481" s="12"/>
      <c r="X481" s="12"/>
      <c r="Y481" s="12"/>
    </row>
    <row r="482" customFormat="false" ht="15.75" hidden="false" customHeight="false" outlineLevel="0" collapsed="false">
      <c r="A482" s="12"/>
      <c r="B482" s="34"/>
      <c r="C482" s="12"/>
      <c r="D482" s="12"/>
      <c r="E482" s="12"/>
      <c r="F482" s="12"/>
      <c r="G482" s="18"/>
      <c r="H482" s="18"/>
      <c r="I482" s="35"/>
      <c r="J482" s="12"/>
      <c r="N482" s="12"/>
      <c r="O482" s="18"/>
      <c r="P482" s="12"/>
      <c r="Q482" s="12"/>
      <c r="R482" s="12"/>
      <c r="S482" s="36"/>
      <c r="T482" s="36"/>
      <c r="U482" s="12"/>
      <c r="V482" s="12"/>
      <c r="W482" s="12"/>
      <c r="X482" s="12"/>
      <c r="Y482" s="12"/>
    </row>
    <row r="483" customFormat="false" ht="15.75" hidden="false" customHeight="false" outlineLevel="0" collapsed="false">
      <c r="A483" s="12"/>
      <c r="B483" s="34"/>
      <c r="C483" s="12"/>
      <c r="D483" s="12"/>
      <c r="E483" s="12"/>
      <c r="F483" s="12"/>
      <c r="G483" s="18"/>
      <c r="H483" s="18"/>
      <c r="I483" s="35"/>
      <c r="J483" s="12"/>
      <c r="N483" s="12"/>
      <c r="O483" s="18"/>
      <c r="P483" s="12"/>
      <c r="Q483" s="12"/>
      <c r="R483" s="12"/>
      <c r="S483" s="36"/>
      <c r="T483" s="36"/>
      <c r="U483" s="12"/>
      <c r="V483" s="12"/>
      <c r="W483" s="12"/>
      <c r="X483" s="12"/>
      <c r="Y483" s="12"/>
    </row>
    <row r="484" customFormat="false" ht="15.75" hidden="false" customHeight="false" outlineLevel="0" collapsed="false">
      <c r="A484" s="12"/>
      <c r="B484" s="34"/>
      <c r="C484" s="12"/>
      <c r="D484" s="12"/>
      <c r="E484" s="12"/>
      <c r="F484" s="12"/>
      <c r="G484" s="18"/>
      <c r="H484" s="18"/>
      <c r="I484" s="35"/>
      <c r="J484" s="12"/>
      <c r="N484" s="12"/>
      <c r="O484" s="18"/>
      <c r="P484" s="12"/>
      <c r="Q484" s="12"/>
      <c r="R484" s="12"/>
      <c r="S484" s="36"/>
      <c r="T484" s="36"/>
      <c r="U484" s="12"/>
      <c r="V484" s="12"/>
      <c r="W484" s="12"/>
      <c r="X484" s="12"/>
      <c r="Y484" s="12"/>
    </row>
    <row r="485" customFormat="false" ht="15.75" hidden="false" customHeight="false" outlineLevel="0" collapsed="false">
      <c r="A485" s="12"/>
      <c r="B485" s="34"/>
      <c r="C485" s="12"/>
      <c r="D485" s="12"/>
      <c r="E485" s="12"/>
      <c r="F485" s="12"/>
      <c r="G485" s="18"/>
      <c r="H485" s="18"/>
      <c r="I485" s="35"/>
      <c r="J485" s="12"/>
      <c r="N485" s="12"/>
      <c r="O485" s="18"/>
      <c r="P485" s="12"/>
      <c r="Q485" s="12"/>
      <c r="R485" s="12"/>
      <c r="S485" s="36"/>
      <c r="T485" s="36"/>
      <c r="U485" s="12"/>
      <c r="V485" s="12"/>
      <c r="W485" s="12"/>
      <c r="X485" s="12"/>
      <c r="Y485" s="12"/>
    </row>
    <row r="486" customFormat="false" ht="15.75" hidden="false" customHeight="false" outlineLevel="0" collapsed="false">
      <c r="A486" s="12"/>
      <c r="B486" s="34"/>
      <c r="C486" s="12"/>
      <c r="D486" s="12"/>
      <c r="E486" s="12"/>
      <c r="F486" s="12"/>
      <c r="G486" s="18"/>
      <c r="H486" s="18"/>
      <c r="I486" s="35"/>
      <c r="J486" s="12"/>
      <c r="N486" s="12"/>
      <c r="O486" s="18"/>
      <c r="P486" s="12"/>
      <c r="Q486" s="12"/>
      <c r="R486" s="12"/>
      <c r="S486" s="36"/>
      <c r="T486" s="36"/>
      <c r="U486" s="12"/>
      <c r="V486" s="12"/>
      <c r="W486" s="12"/>
      <c r="X486" s="12"/>
      <c r="Y486" s="12"/>
    </row>
    <row r="487" customFormat="false" ht="15.75" hidden="false" customHeight="false" outlineLevel="0" collapsed="false">
      <c r="A487" s="12"/>
      <c r="B487" s="34"/>
      <c r="C487" s="12"/>
      <c r="D487" s="12"/>
      <c r="E487" s="12"/>
      <c r="F487" s="12"/>
      <c r="G487" s="18"/>
      <c r="H487" s="18"/>
      <c r="I487" s="35"/>
      <c r="J487" s="12"/>
      <c r="N487" s="12"/>
      <c r="O487" s="18"/>
      <c r="P487" s="12"/>
      <c r="Q487" s="12"/>
      <c r="R487" s="12"/>
      <c r="S487" s="36"/>
      <c r="T487" s="36"/>
      <c r="U487" s="12"/>
      <c r="V487" s="12"/>
      <c r="W487" s="12"/>
      <c r="X487" s="12"/>
      <c r="Y487" s="12"/>
    </row>
    <row r="488" customFormat="false" ht="15.75" hidden="false" customHeight="false" outlineLevel="0" collapsed="false">
      <c r="A488" s="12"/>
      <c r="B488" s="34"/>
      <c r="C488" s="12"/>
      <c r="D488" s="12"/>
      <c r="E488" s="12"/>
      <c r="F488" s="12"/>
      <c r="G488" s="18"/>
      <c r="H488" s="18"/>
      <c r="I488" s="35"/>
      <c r="J488" s="12"/>
      <c r="N488" s="12"/>
      <c r="O488" s="18"/>
      <c r="P488" s="12"/>
      <c r="Q488" s="12"/>
      <c r="R488" s="12"/>
      <c r="S488" s="36"/>
      <c r="T488" s="36"/>
      <c r="U488" s="12"/>
      <c r="V488" s="12"/>
      <c r="W488" s="12"/>
      <c r="X488" s="12"/>
      <c r="Y488" s="12"/>
    </row>
    <row r="489" customFormat="false" ht="15.75" hidden="false" customHeight="false" outlineLevel="0" collapsed="false">
      <c r="A489" s="12"/>
      <c r="B489" s="34"/>
      <c r="C489" s="12"/>
      <c r="D489" s="12"/>
      <c r="E489" s="12"/>
      <c r="F489" s="12"/>
      <c r="G489" s="18"/>
      <c r="H489" s="18"/>
      <c r="I489" s="35"/>
      <c r="J489" s="12"/>
      <c r="N489" s="12"/>
      <c r="O489" s="18"/>
      <c r="P489" s="12"/>
      <c r="Q489" s="12"/>
      <c r="R489" s="12"/>
      <c r="S489" s="36"/>
      <c r="T489" s="36"/>
      <c r="U489" s="12"/>
      <c r="V489" s="12"/>
      <c r="W489" s="12"/>
      <c r="X489" s="12"/>
      <c r="Y489" s="12"/>
    </row>
    <row r="490" customFormat="false" ht="15.75" hidden="false" customHeight="false" outlineLevel="0" collapsed="false">
      <c r="A490" s="12"/>
      <c r="B490" s="34"/>
      <c r="C490" s="12"/>
      <c r="D490" s="12"/>
      <c r="E490" s="12"/>
      <c r="F490" s="12"/>
      <c r="G490" s="18"/>
      <c r="H490" s="18"/>
      <c r="I490" s="35"/>
      <c r="J490" s="12"/>
      <c r="N490" s="12"/>
      <c r="O490" s="18"/>
      <c r="P490" s="12"/>
      <c r="Q490" s="12"/>
      <c r="R490" s="12"/>
      <c r="S490" s="36"/>
      <c r="T490" s="36"/>
      <c r="U490" s="12"/>
      <c r="V490" s="12"/>
      <c r="W490" s="12"/>
      <c r="X490" s="12"/>
      <c r="Y490" s="12"/>
    </row>
    <row r="491" customFormat="false" ht="15.75" hidden="false" customHeight="false" outlineLevel="0" collapsed="false">
      <c r="A491" s="12"/>
      <c r="B491" s="34"/>
      <c r="C491" s="12"/>
      <c r="D491" s="12"/>
      <c r="E491" s="12"/>
      <c r="F491" s="12"/>
      <c r="G491" s="18"/>
      <c r="H491" s="18"/>
      <c r="I491" s="35"/>
      <c r="J491" s="12"/>
      <c r="N491" s="12"/>
      <c r="O491" s="18"/>
      <c r="P491" s="12"/>
      <c r="Q491" s="12"/>
      <c r="R491" s="12"/>
      <c r="S491" s="36"/>
      <c r="T491" s="36"/>
      <c r="U491" s="12"/>
      <c r="V491" s="12"/>
      <c r="W491" s="12"/>
      <c r="X491" s="12"/>
      <c r="Y491" s="12"/>
    </row>
    <row r="492" customFormat="false" ht="15.75" hidden="false" customHeight="false" outlineLevel="0" collapsed="false">
      <c r="A492" s="12"/>
      <c r="B492" s="34"/>
      <c r="C492" s="12"/>
      <c r="D492" s="12"/>
      <c r="E492" s="12"/>
      <c r="F492" s="12"/>
      <c r="G492" s="18"/>
      <c r="H492" s="18"/>
      <c r="I492" s="35"/>
      <c r="J492" s="12"/>
      <c r="N492" s="12"/>
      <c r="O492" s="18"/>
      <c r="P492" s="12"/>
      <c r="Q492" s="12"/>
      <c r="R492" s="12"/>
      <c r="S492" s="36"/>
      <c r="T492" s="36"/>
      <c r="U492" s="12"/>
      <c r="V492" s="12"/>
      <c r="W492" s="12"/>
      <c r="X492" s="12"/>
      <c r="Y492" s="12"/>
    </row>
    <row r="493" customFormat="false" ht="15.75" hidden="false" customHeight="false" outlineLevel="0" collapsed="false">
      <c r="A493" s="12"/>
      <c r="B493" s="34"/>
      <c r="C493" s="12"/>
      <c r="D493" s="12"/>
      <c r="E493" s="12"/>
      <c r="F493" s="12"/>
      <c r="G493" s="18"/>
      <c r="H493" s="18"/>
      <c r="I493" s="35"/>
      <c r="J493" s="12"/>
      <c r="N493" s="12"/>
      <c r="O493" s="18"/>
      <c r="P493" s="12"/>
      <c r="Q493" s="12"/>
      <c r="R493" s="12"/>
      <c r="S493" s="36"/>
      <c r="T493" s="36"/>
      <c r="U493" s="12"/>
      <c r="V493" s="12"/>
      <c r="W493" s="12"/>
      <c r="X493" s="12"/>
      <c r="Y493" s="12"/>
    </row>
    <row r="494" customFormat="false" ht="15.75" hidden="false" customHeight="false" outlineLevel="0" collapsed="false">
      <c r="A494" s="12"/>
      <c r="B494" s="34"/>
      <c r="C494" s="12"/>
      <c r="D494" s="12"/>
      <c r="E494" s="12"/>
      <c r="F494" s="12"/>
      <c r="G494" s="18"/>
      <c r="H494" s="18"/>
      <c r="I494" s="35"/>
      <c r="J494" s="12"/>
      <c r="N494" s="12"/>
      <c r="O494" s="18"/>
      <c r="P494" s="12"/>
      <c r="Q494" s="12"/>
      <c r="R494" s="12"/>
      <c r="S494" s="36"/>
      <c r="T494" s="36"/>
      <c r="U494" s="12"/>
      <c r="V494" s="12"/>
      <c r="W494" s="12"/>
      <c r="X494" s="12"/>
      <c r="Y494" s="12"/>
    </row>
    <row r="495" customFormat="false" ht="15.75" hidden="false" customHeight="false" outlineLevel="0" collapsed="false">
      <c r="A495" s="12"/>
      <c r="B495" s="34"/>
      <c r="C495" s="12"/>
      <c r="D495" s="12"/>
      <c r="E495" s="12"/>
      <c r="F495" s="12"/>
      <c r="G495" s="18"/>
      <c r="H495" s="18"/>
      <c r="I495" s="35"/>
      <c r="J495" s="12"/>
      <c r="N495" s="12"/>
      <c r="O495" s="18"/>
      <c r="P495" s="12"/>
      <c r="Q495" s="12"/>
      <c r="R495" s="12"/>
      <c r="S495" s="36"/>
      <c r="T495" s="36"/>
      <c r="U495" s="12"/>
      <c r="V495" s="12"/>
      <c r="W495" s="12"/>
      <c r="X495" s="12"/>
      <c r="Y495" s="12"/>
    </row>
    <row r="496" customFormat="false" ht="15.75" hidden="false" customHeight="false" outlineLevel="0" collapsed="false">
      <c r="A496" s="12"/>
      <c r="B496" s="34"/>
      <c r="C496" s="12"/>
      <c r="D496" s="12"/>
      <c r="E496" s="12"/>
      <c r="F496" s="12"/>
      <c r="G496" s="18"/>
      <c r="H496" s="18"/>
      <c r="I496" s="35"/>
      <c r="J496" s="12"/>
      <c r="N496" s="12"/>
      <c r="O496" s="18"/>
      <c r="P496" s="12"/>
      <c r="Q496" s="12"/>
      <c r="R496" s="12"/>
      <c r="S496" s="36"/>
      <c r="T496" s="36"/>
      <c r="U496" s="12"/>
      <c r="V496" s="12"/>
      <c r="W496" s="12"/>
      <c r="X496" s="12"/>
      <c r="Y496" s="12"/>
    </row>
    <row r="497" customFormat="false" ht="15.75" hidden="false" customHeight="false" outlineLevel="0" collapsed="false">
      <c r="A497" s="12"/>
      <c r="B497" s="34"/>
      <c r="C497" s="12"/>
      <c r="D497" s="12"/>
      <c r="E497" s="12"/>
      <c r="F497" s="12"/>
      <c r="G497" s="18"/>
      <c r="H497" s="18"/>
      <c r="I497" s="35"/>
      <c r="J497" s="12"/>
      <c r="N497" s="12"/>
      <c r="O497" s="18"/>
      <c r="P497" s="12"/>
      <c r="Q497" s="12"/>
      <c r="R497" s="12"/>
      <c r="S497" s="36"/>
      <c r="T497" s="36"/>
      <c r="U497" s="12"/>
      <c r="V497" s="12"/>
      <c r="W497" s="12"/>
      <c r="X497" s="12"/>
      <c r="Y497" s="12"/>
    </row>
    <row r="498" customFormat="false" ht="15.75" hidden="false" customHeight="false" outlineLevel="0" collapsed="false">
      <c r="A498" s="12"/>
      <c r="B498" s="34"/>
      <c r="C498" s="12"/>
      <c r="D498" s="12"/>
      <c r="E498" s="12"/>
      <c r="F498" s="12"/>
      <c r="G498" s="18"/>
      <c r="H498" s="18"/>
      <c r="I498" s="35"/>
      <c r="J498" s="12"/>
      <c r="N498" s="12"/>
      <c r="O498" s="18"/>
      <c r="P498" s="12"/>
      <c r="Q498" s="12"/>
      <c r="R498" s="12"/>
      <c r="S498" s="36"/>
      <c r="T498" s="36"/>
      <c r="U498" s="12"/>
      <c r="V498" s="12"/>
      <c r="W498" s="12"/>
      <c r="X498" s="12"/>
      <c r="Y498" s="12"/>
    </row>
    <row r="499" customFormat="false" ht="15.75" hidden="false" customHeight="false" outlineLevel="0" collapsed="false">
      <c r="A499" s="12"/>
      <c r="B499" s="34"/>
      <c r="C499" s="12"/>
      <c r="D499" s="12"/>
      <c r="E499" s="12"/>
      <c r="F499" s="12"/>
      <c r="G499" s="18"/>
      <c r="H499" s="18"/>
      <c r="I499" s="35"/>
      <c r="J499" s="12"/>
      <c r="N499" s="12"/>
      <c r="O499" s="18"/>
      <c r="P499" s="12"/>
      <c r="Q499" s="12"/>
      <c r="R499" s="12"/>
      <c r="S499" s="36"/>
      <c r="T499" s="36"/>
      <c r="U499" s="12"/>
      <c r="V499" s="12"/>
      <c r="W499" s="12"/>
      <c r="X499" s="12"/>
      <c r="Y499" s="12"/>
    </row>
    <row r="500" customFormat="false" ht="15.75" hidden="false" customHeight="false" outlineLevel="0" collapsed="false">
      <c r="A500" s="12"/>
      <c r="B500" s="34"/>
      <c r="C500" s="12"/>
      <c r="D500" s="12"/>
      <c r="E500" s="12"/>
      <c r="F500" s="12"/>
      <c r="G500" s="18"/>
      <c r="H500" s="18"/>
      <c r="I500" s="35"/>
      <c r="J500" s="12"/>
      <c r="N500" s="12"/>
      <c r="O500" s="18"/>
      <c r="P500" s="12"/>
      <c r="Q500" s="12"/>
      <c r="R500" s="12"/>
      <c r="S500" s="36"/>
      <c r="T500" s="36"/>
      <c r="U500" s="12"/>
      <c r="V500" s="12"/>
      <c r="W500" s="12"/>
      <c r="X500" s="12"/>
      <c r="Y500" s="12"/>
    </row>
    <row r="501" customFormat="false" ht="15.75" hidden="false" customHeight="false" outlineLevel="0" collapsed="false">
      <c r="A501" s="12"/>
      <c r="B501" s="34"/>
      <c r="C501" s="12"/>
      <c r="D501" s="12"/>
      <c r="E501" s="12"/>
      <c r="F501" s="12"/>
      <c r="G501" s="18"/>
      <c r="H501" s="18"/>
      <c r="I501" s="35"/>
      <c r="J501" s="12"/>
      <c r="N501" s="12"/>
      <c r="O501" s="18"/>
      <c r="P501" s="12"/>
      <c r="Q501" s="12"/>
      <c r="R501" s="12"/>
      <c r="S501" s="36"/>
      <c r="T501" s="36"/>
      <c r="U501" s="12"/>
      <c r="V501" s="12"/>
      <c r="W501" s="12"/>
      <c r="X501" s="12"/>
      <c r="Y501" s="12"/>
    </row>
    <row r="502" customFormat="false" ht="15.75" hidden="false" customHeight="false" outlineLevel="0" collapsed="false">
      <c r="A502" s="12"/>
      <c r="B502" s="34"/>
      <c r="C502" s="12"/>
      <c r="D502" s="12"/>
      <c r="E502" s="12"/>
      <c r="F502" s="12"/>
      <c r="G502" s="18"/>
      <c r="H502" s="18"/>
      <c r="I502" s="35"/>
      <c r="J502" s="12"/>
      <c r="N502" s="12"/>
      <c r="O502" s="18"/>
      <c r="P502" s="12"/>
      <c r="Q502" s="12"/>
      <c r="R502" s="12"/>
      <c r="S502" s="36"/>
      <c r="T502" s="36"/>
      <c r="U502" s="12"/>
      <c r="V502" s="12"/>
      <c r="W502" s="12"/>
      <c r="X502" s="12"/>
      <c r="Y502" s="12"/>
    </row>
    <row r="503" customFormat="false" ht="15.75" hidden="false" customHeight="false" outlineLevel="0" collapsed="false">
      <c r="A503" s="12"/>
      <c r="B503" s="34"/>
      <c r="C503" s="12"/>
      <c r="D503" s="12"/>
      <c r="E503" s="12"/>
      <c r="F503" s="12"/>
      <c r="G503" s="18"/>
      <c r="H503" s="18"/>
      <c r="I503" s="35"/>
      <c r="J503" s="12"/>
      <c r="N503" s="12"/>
      <c r="O503" s="18"/>
      <c r="P503" s="12"/>
      <c r="Q503" s="12"/>
      <c r="R503" s="12"/>
      <c r="S503" s="36"/>
      <c r="T503" s="36"/>
      <c r="U503" s="12"/>
      <c r="V503" s="12"/>
      <c r="W503" s="12"/>
      <c r="X503" s="12"/>
      <c r="Y503" s="12"/>
    </row>
    <row r="504" customFormat="false" ht="15.75" hidden="false" customHeight="false" outlineLevel="0" collapsed="false">
      <c r="A504" s="12"/>
      <c r="B504" s="34"/>
      <c r="C504" s="12"/>
      <c r="D504" s="12"/>
      <c r="E504" s="12"/>
      <c r="F504" s="12"/>
      <c r="G504" s="18"/>
      <c r="H504" s="18"/>
      <c r="I504" s="35"/>
      <c r="J504" s="12"/>
      <c r="N504" s="12"/>
      <c r="O504" s="18"/>
      <c r="P504" s="12"/>
      <c r="Q504" s="12"/>
      <c r="R504" s="12"/>
      <c r="S504" s="36"/>
      <c r="T504" s="36"/>
      <c r="U504" s="12"/>
      <c r="V504" s="12"/>
      <c r="W504" s="12"/>
      <c r="X504" s="12"/>
      <c r="Y504" s="12"/>
    </row>
    <row r="505" customFormat="false" ht="15.75" hidden="false" customHeight="false" outlineLevel="0" collapsed="false">
      <c r="A505" s="12"/>
      <c r="B505" s="34"/>
      <c r="C505" s="12"/>
      <c r="D505" s="12"/>
      <c r="E505" s="12"/>
      <c r="F505" s="12"/>
      <c r="G505" s="18"/>
      <c r="H505" s="18"/>
      <c r="I505" s="35"/>
      <c r="J505" s="12"/>
      <c r="N505" s="12"/>
      <c r="O505" s="18"/>
      <c r="P505" s="12"/>
      <c r="Q505" s="12"/>
      <c r="R505" s="12"/>
      <c r="S505" s="36"/>
      <c r="T505" s="36"/>
      <c r="U505" s="12"/>
      <c r="V505" s="12"/>
      <c r="W505" s="12"/>
      <c r="X505" s="12"/>
      <c r="Y505" s="12"/>
    </row>
    <row r="506" customFormat="false" ht="15.75" hidden="false" customHeight="false" outlineLevel="0" collapsed="false">
      <c r="A506" s="12"/>
      <c r="B506" s="34"/>
      <c r="C506" s="12"/>
      <c r="D506" s="12"/>
      <c r="E506" s="12"/>
      <c r="F506" s="12"/>
      <c r="G506" s="18"/>
      <c r="H506" s="18"/>
      <c r="I506" s="35"/>
      <c r="J506" s="12"/>
      <c r="N506" s="12"/>
      <c r="O506" s="18"/>
      <c r="P506" s="12"/>
      <c r="Q506" s="12"/>
      <c r="R506" s="12"/>
      <c r="S506" s="36"/>
      <c r="T506" s="36"/>
      <c r="U506" s="12"/>
      <c r="V506" s="12"/>
      <c r="W506" s="12"/>
      <c r="X506" s="12"/>
      <c r="Y506" s="12"/>
    </row>
    <row r="507" customFormat="false" ht="15.75" hidden="false" customHeight="false" outlineLevel="0" collapsed="false">
      <c r="A507" s="12"/>
      <c r="B507" s="34"/>
      <c r="C507" s="12"/>
      <c r="D507" s="12"/>
      <c r="E507" s="12"/>
      <c r="F507" s="12"/>
      <c r="G507" s="18"/>
      <c r="H507" s="18"/>
      <c r="I507" s="35"/>
      <c r="J507" s="12"/>
      <c r="N507" s="12"/>
      <c r="O507" s="18"/>
      <c r="P507" s="12"/>
      <c r="Q507" s="12"/>
      <c r="R507" s="12"/>
      <c r="S507" s="36"/>
      <c r="T507" s="36"/>
      <c r="U507" s="12"/>
      <c r="V507" s="12"/>
      <c r="W507" s="12"/>
      <c r="X507" s="12"/>
      <c r="Y507" s="12"/>
    </row>
    <row r="508" customFormat="false" ht="15.75" hidden="false" customHeight="false" outlineLevel="0" collapsed="false">
      <c r="A508" s="12"/>
      <c r="B508" s="34"/>
      <c r="C508" s="12"/>
      <c r="D508" s="12"/>
      <c r="E508" s="12"/>
      <c r="F508" s="12"/>
      <c r="G508" s="18"/>
      <c r="H508" s="18"/>
      <c r="I508" s="35"/>
      <c r="J508" s="12"/>
      <c r="N508" s="12"/>
      <c r="O508" s="18"/>
      <c r="P508" s="12"/>
      <c r="Q508" s="12"/>
      <c r="R508" s="12"/>
      <c r="S508" s="36"/>
      <c r="T508" s="36"/>
      <c r="U508" s="12"/>
      <c r="V508" s="12"/>
      <c r="W508" s="12"/>
      <c r="X508" s="12"/>
      <c r="Y508" s="12"/>
    </row>
    <row r="509" customFormat="false" ht="15.75" hidden="false" customHeight="false" outlineLevel="0" collapsed="false">
      <c r="A509" s="12"/>
      <c r="B509" s="34"/>
      <c r="C509" s="12"/>
      <c r="D509" s="12"/>
      <c r="E509" s="12"/>
      <c r="F509" s="12"/>
      <c r="G509" s="18"/>
      <c r="H509" s="18"/>
      <c r="I509" s="35"/>
      <c r="J509" s="12"/>
      <c r="N509" s="12"/>
      <c r="O509" s="18"/>
      <c r="P509" s="12"/>
      <c r="Q509" s="12"/>
      <c r="R509" s="12"/>
      <c r="S509" s="36"/>
      <c r="T509" s="36"/>
      <c r="U509" s="12"/>
      <c r="V509" s="12"/>
      <c r="W509" s="12"/>
      <c r="X509" s="12"/>
      <c r="Y509" s="12"/>
    </row>
    <row r="510" customFormat="false" ht="15.75" hidden="false" customHeight="false" outlineLevel="0" collapsed="false">
      <c r="A510" s="12"/>
      <c r="B510" s="34"/>
      <c r="C510" s="12"/>
      <c r="D510" s="12"/>
      <c r="E510" s="12"/>
      <c r="F510" s="12"/>
      <c r="G510" s="18"/>
      <c r="H510" s="18"/>
      <c r="I510" s="35"/>
      <c r="J510" s="12"/>
      <c r="N510" s="12"/>
      <c r="O510" s="18"/>
      <c r="P510" s="12"/>
      <c r="Q510" s="12"/>
      <c r="R510" s="12"/>
      <c r="S510" s="36"/>
      <c r="T510" s="36"/>
      <c r="U510" s="12"/>
      <c r="V510" s="12"/>
      <c r="W510" s="12"/>
      <c r="X510" s="12"/>
      <c r="Y510" s="12"/>
    </row>
    <row r="511" customFormat="false" ht="15.75" hidden="false" customHeight="false" outlineLevel="0" collapsed="false">
      <c r="A511" s="12"/>
      <c r="B511" s="34"/>
      <c r="C511" s="12"/>
      <c r="D511" s="12"/>
      <c r="E511" s="12"/>
      <c r="F511" s="12"/>
      <c r="G511" s="18"/>
      <c r="H511" s="18"/>
      <c r="I511" s="35"/>
      <c r="J511" s="12"/>
      <c r="N511" s="12"/>
      <c r="O511" s="18"/>
      <c r="P511" s="12"/>
      <c r="Q511" s="12"/>
      <c r="R511" s="12"/>
      <c r="S511" s="36"/>
      <c r="T511" s="36"/>
      <c r="U511" s="12"/>
      <c r="V511" s="12"/>
      <c r="W511" s="12"/>
      <c r="X511" s="12"/>
      <c r="Y511" s="12"/>
    </row>
    <row r="512" customFormat="false" ht="15.75" hidden="false" customHeight="false" outlineLevel="0" collapsed="false">
      <c r="A512" s="12"/>
      <c r="B512" s="34"/>
      <c r="C512" s="12"/>
      <c r="D512" s="12"/>
      <c r="E512" s="12"/>
      <c r="F512" s="12"/>
      <c r="G512" s="18"/>
      <c r="H512" s="18"/>
      <c r="I512" s="35"/>
      <c r="J512" s="12"/>
      <c r="N512" s="12"/>
      <c r="O512" s="18"/>
      <c r="P512" s="12"/>
      <c r="Q512" s="12"/>
      <c r="R512" s="12"/>
      <c r="S512" s="36"/>
      <c r="T512" s="36"/>
      <c r="U512" s="12"/>
      <c r="V512" s="12"/>
      <c r="W512" s="12"/>
      <c r="X512" s="12"/>
      <c r="Y512" s="12"/>
    </row>
    <row r="513" customFormat="false" ht="15.75" hidden="false" customHeight="false" outlineLevel="0" collapsed="false">
      <c r="A513" s="12"/>
      <c r="B513" s="34"/>
      <c r="C513" s="12"/>
      <c r="D513" s="12"/>
      <c r="E513" s="12"/>
      <c r="F513" s="12"/>
      <c r="G513" s="18"/>
      <c r="H513" s="18"/>
      <c r="I513" s="35"/>
      <c r="J513" s="12"/>
      <c r="N513" s="12"/>
      <c r="O513" s="18"/>
      <c r="P513" s="12"/>
      <c r="Q513" s="12"/>
      <c r="R513" s="12"/>
      <c r="S513" s="36"/>
      <c r="T513" s="36"/>
      <c r="U513" s="12"/>
      <c r="V513" s="12"/>
      <c r="W513" s="12"/>
      <c r="X513" s="12"/>
      <c r="Y513" s="12"/>
    </row>
    <row r="514" customFormat="false" ht="15.75" hidden="false" customHeight="false" outlineLevel="0" collapsed="false">
      <c r="A514" s="12"/>
      <c r="B514" s="34"/>
      <c r="C514" s="12"/>
      <c r="D514" s="12"/>
      <c r="E514" s="12"/>
      <c r="F514" s="12"/>
      <c r="G514" s="18"/>
      <c r="H514" s="18"/>
      <c r="I514" s="35"/>
      <c r="J514" s="12"/>
      <c r="N514" s="12"/>
      <c r="O514" s="18"/>
      <c r="P514" s="12"/>
      <c r="Q514" s="12"/>
      <c r="R514" s="12"/>
      <c r="S514" s="36"/>
      <c r="T514" s="36"/>
      <c r="U514" s="12"/>
      <c r="V514" s="12"/>
      <c r="W514" s="12"/>
      <c r="X514" s="12"/>
      <c r="Y514" s="12"/>
    </row>
    <row r="515" customFormat="false" ht="15.75" hidden="false" customHeight="false" outlineLevel="0" collapsed="false">
      <c r="A515" s="12"/>
      <c r="B515" s="34"/>
      <c r="C515" s="12"/>
      <c r="D515" s="12"/>
      <c r="E515" s="12"/>
      <c r="F515" s="12"/>
      <c r="G515" s="18"/>
      <c r="H515" s="18"/>
      <c r="I515" s="35"/>
      <c r="J515" s="12"/>
      <c r="N515" s="12"/>
      <c r="O515" s="18"/>
      <c r="P515" s="12"/>
      <c r="Q515" s="12"/>
      <c r="R515" s="12"/>
      <c r="S515" s="36"/>
      <c r="T515" s="36"/>
      <c r="U515" s="12"/>
      <c r="V515" s="12"/>
      <c r="W515" s="12"/>
      <c r="X515" s="12"/>
      <c r="Y515" s="12"/>
    </row>
    <row r="516" customFormat="false" ht="15.75" hidden="false" customHeight="false" outlineLevel="0" collapsed="false">
      <c r="A516" s="12"/>
      <c r="B516" s="34"/>
      <c r="C516" s="12"/>
      <c r="D516" s="12"/>
      <c r="E516" s="12"/>
      <c r="F516" s="12"/>
      <c r="G516" s="18"/>
      <c r="H516" s="18"/>
      <c r="I516" s="35"/>
      <c r="J516" s="12"/>
      <c r="N516" s="12"/>
      <c r="O516" s="18"/>
      <c r="P516" s="12"/>
      <c r="Q516" s="12"/>
      <c r="R516" s="12"/>
      <c r="S516" s="36"/>
      <c r="T516" s="36"/>
      <c r="U516" s="12"/>
      <c r="V516" s="12"/>
      <c r="W516" s="12"/>
      <c r="X516" s="12"/>
      <c r="Y516" s="12"/>
    </row>
    <row r="517" customFormat="false" ht="15.75" hidden="false" customHeight="false" outlineLevel="0" collapsed="false">
      <c r="A517" s="12"/>
      <c r="B517" s="34"/>
      <c r="C517" s="12"/>
      <c r="D517" s="12"/>
      <c r="E517" s="12"/>
      <c r="F517" s="12"/>
      <c r="G517" s="18"/>
      <c r="H517" s="18"/>
      <c r="I517" s="35"/>
      <c r="J517" s="12"/>
      <c r="N517" s="12"/>
      <c r="O517" s="18"/>
      <c r="P517" s="12"/>
      <c r="Q517" s="12"/>
      <c r="R517" s="12"/>
      <c r="S517" s="36"/>
      <c r="T517" s="36"/>
      <c r="U517" s="12"/>
      <c r="V517" s="12"/>
      <c r="W517" s="12"/>
      <c r="X517" s="12"/>
      <c r="Y517" s="12"/>
    </row>
    <row r="518" customFormat="false" ht="15.75" hidden="false" customHeight="false" outlineLevel="0" collapsed="false">
      <c r="A518" s="12"/>
      <c r="B518" s="34"/>
      <c r="C518" s="12"/>
      <c r="D518" s="12"/>
      <c r="E518" s="12"/>
      <c r="F518" s="12"/>
      <c r="G518" s="18"/>
      <c r="H518" s="18"/>
      <c r="I518" s="35"/>
      <c r="J518" s="12"/>
      <c r="N518" s="12"/>
      <c r="O518" s="18"/>
      <c r="P518" s="12"/>
      <c r="Q518" s="12"/>
      <c r="R518" s="12"/>
      <c r="S518" s="36"/>
      <c r="T518" s="36"/>
      <c r="U518" s="12"/>
      <c r="V518" s="12"/>
      <c r="W518" s="12"/>
      <c r="X518" s="12"/>
      <c r="Y518" s="12"/>
    </row>
    <row r="519" customFormat="false" ht="15.75" hidden="false" customHeight="false" outlineLevel="0" collapsed="false">
      <c r="A519" s="12"/>
      <c r="B519" s="34"/>
      <c r="C519" s="12"/>
      <c r="D519" s="12"/>
      <c r="E519" s="12"/>
      <c r="F519" s="12"/>
      <c r="G519" s="18"/>
      <c r="H519" s="18"/>
      <c r="I519" s="35"/>
      <c r="J519" s="12"/>
      <c r="N519" s="12"/>
      <c r="O519" s="18"/>
      <c r="P519" s="12"/>
      <c r="Q519" s="12"/>
      <c r="R519" s="12"/>
      <c r="S519" s="36"/>
      <c r="T519" s="36"/>
      <c r="U519" s="12"/>
      <c r="V519" s="12"/>
      <c r="W519" s="12"/>
      <c r="X519" s="12"/>
      <c r="Y519" s="12"/>
    </row>
    <row r="520" customFormat="false" ht="15.75" hidden="false" customHeight="false" outlineLevel="0" collapsed="false">
      <c r="A520" s="12"/>
      <c r="B520" s="34"/>
      <c r="C520" s="12"/>
      <c r="D520" s="12"/>
      <c r="E520" s="12"/>
      <c r="F520" s="12"/>
      <c r="G520" s="18"/>
      <c r="H520" s="18"/>
      <c r="I520" s="35"/>
      <c r="J520" s="12"/>
      <c r="N520" s="12"/>
      <c r="O520" s="18"/>
      <c r="P520" s="12"/>
      <c r="Q520" s="12"/>
      <c r="R520" s="12"/>
      <c r="S520" s="36"/>
      <c r="T520" s="36"/>
      <c r="U520" s="12"/>
      <c r="V520" s="12"/>
      <c r="W520" s="12"/>
      <c r="X520" s="12"/>
      <c r="Y520" s="12"/>
    </row>
    <row r="521" customFormat="false" ht="15.75" hidden="false" customHeight="false" outlineLevel="0" collapsed="false">
      <c r="A521" s="12"/>
      <c r="B521" s="34"/>
      <c r="C521" s="12"/>
      <c r="D521" s="12"/>
      <c r="E521" s="12"/>
      <c r="F521" s="12"/>
      <c r="G521" s="18"/>
      <c r="H521" s="18"/>
      <c r="I521" s="35"/>
      <c r="J521" s="12"/>
      <c r="N521" s="12"/>
      <c r="O521" s="18"/>
      <c r="P521" s="12"/>
      <c r="Q521" s="12"/>
      <c r="R521" s="12"/>
      <c r="S521" s="36"/>
      <c r="T521" s="36"/>
      <c r="U521" s="12"/>
      <c r="V521" s="12"/>
      <c r="W521" s="12"/>
      <c r="X521" s="12"/>
      <c r="Y521" s="12"/>
    </row>
    <row r="522" customFormat="false" ht="15.75" hidden="false" customHeight="false" outlineLevel="0" collapsed="false">
      <c r="A522" s="12"/>
      <c r="B522" s="34"/>
      <c r="C522" s="12"/>
      <c r="D522" s="12"/>
      <c r="E522" s="12"/>
      <c r="F522" s="12"/>
      <c r="G522" s="18"/>
      <c r="H522" s="18"/>
      <c r="I522" s="35"/>
      <c r="J522" s="12"/>
      <c r="N522" s="12"/>
      <c r="O522" s="18"/>
      <c r="P522" s="12"/>
      <c r="Q522" s="12"/>
      <c r="R522" s="12"/>
      <c r="S522" s="36"/>
      <c r="T522" s="36"/>
      <c r="U522" s="12"/>
      <c r="V522" s="12"/>
      <c r="W522" s="12"/>
      <c r="X522" s="12"/>
      <c r="Y522" s="12"/>
    </row>
    <row r="523" customFormat="false" ht="15.75" hidden="false" customHeight="false" outlineLevel="0" collapsed="false">
      <c r="A523" s="12"/>
      <c r="B523" s="34"/>
      <c r="C523" s="12"/>
      <c r="D523" s="12"/>
      <c r="E523" s="12"/>
      <c r="F523" s="12"/>
      <c r="G523" s="18"/>
      <c r="H523" s="18"/>
      <c r="I523" s="35"/>
      <c r="J523" s="12"/>
      <c r="N523" s="12"/>
      <c r="O523" s="18"/>
      <c r="P523" s="12"/>
      <c r="Q523" s="12"/>
      <c r="R523" s="12"/>
      <c r="S523" s="36"/>
      <c r="T523" s="36"/>
      <c r="U523" s="12"/>
      <c r="V523" s="12"/>
      <c r="W523" s="12"/>
      <c r="X523" s="12"/>
      <c r="Y523" s="12"/>
    </row>
    <row r="524" customFormat="false" ht="15.75" hidden="false" customHeight="false" outlineLevel="0" collapsed="false">
      <c r="A524" s="12"/>
      <c r="B524" s="34"/>
      <c r="C524" s="12"/>
      <c r="D524" s="12"/>
      <c r="E524" s="12"/>
      <c r="F524" s="12"/>
      <c r="G524" s="18"/>
      <c r="H524" s="18"/>
      <c r="I524" s="35"/>
      <c r="J524" s="12"/>
      <c r="N524" s="12"/>
      <c r="O524" s="18"/>
      <c r="P524" s="12"/>
      <c r="Q524" s="12"/>
      <c r="R524" s="12"/>
      <c r="S524" s="36"/>
      <c r="T524" s="36"/>
      <c r="U524" s="12"/>
      <c r="V524" s="12"/>
      <c r="W524" s="12"/>
      <c r="X524" s="12"/>
      <c r="Y524" s="12"/>
    </row>
    <row r="525" customFormat="false" ht="15.75" hidden="false" customHeight="false" outlineLevel="0" collapsed="false">
      <c r="A525" s="12"/>
      <c r="B525" s="34"/>
      <c r="C525" s="12"/>
      <c r="D525" s="12"/>
      <c r="E525" s="12"/>
      <c r="F525" s="12"/>
      <c r="G525" s="18"/>
      <c r="H525" s="18"/>
      <c r="I525" s="35"/>
      <c r="J525" s="12"/>
      <c r="N525" s="12"/>
      <c r="O525" s="18"/>
      <c r="P525" s="12"/>
      <c r="Q525" s="12"/>
      <c r="R525" s="12"/>
      <c r="S525" s="36"/>
      <c r="T525" s="36"/>
      <c r="U525" s="12"/>
      <c r="V525" s="12"/>
      <c r="W525" s="12"/>
      <c r="X525" s="12"/>
      <c r="Y525" s="12"/>
    </row>
    <row r="526" customFormat="false" ht="15.75" hidden="false" customHeight="false" outlineLevel="0" collapsed="false">
      <c r="A526" s="12"/>
      <c r="B526" s="34"/>
      <c r="C526" s="12"/>
      <c r="D526" s="12"/>
      <c r="E526" s="12"/>
      <c r="F526" s="12"/>
      <c r="G526" s="18"/>
      <c r="H526" s="18"/>
      <c r="I526" s="35"/>
      <c r="J526" s="12"/>
      <c r="N526" s="12"/>
      <c r="O526" s="18"/>
      <c r="P526" s="12"/>
      <c r="Q526" s="12"/>
      <c r="R526" s="12"/>
      <c r="S526" s="36"/>
      <c r="T526" s="36"/>
      <c r="U526" s="12"/>
      <c r="V526" s="12"/>
      <c r="W526" s="12"/>
      <c r="X526" s="12"/>
      <c r="Y526" s="12"/>
    </row>
    <row r="527" customFormat="false" ht="15.75" hidden="false" customHeight="false" outlineLevel="0" collapsed="false">
      <c r="A527" s="12"/>
      <c r="B527" s="34"/>
      <c r="C527" s="12"/>
      <c r="D527" s="12"/>
      <c r="E527" s="12"/>
      <c r="F527" s="12"/>
      <c r="G527" s="18"/>
      <c r="H527" s="18"/>
      <c r="I527" s="35"/>
      <c r="J527" s="12"/>
      <c r="N527" s="12"/>
      <c r="O527" s="18"/>
      <c r="P527" s="12"/>
      <c r="Q527" s="12"/>
      <c r="R527" s="12"/>
      <c r="S527" s="36"/>
      <c r="T527" s="36"/>
      <c r="U527" s="12"/>
      <c r="V527" s="12"/>
      <c r="W527" s="12"/>
      <c r="X527" s="12"/>
      <c r="Y527" s="12"/>
    </row>
    <row r="528" customFormat="false" ht="15.75" hidden="false" customHeight="false" outlineLevel="0" collapsed="false">
      <c r="A528" s="12"/>
      <c r="B528" s="34"/>
      <c r="C528" s="12"/>
      <c r="D528" s="12"/>
      <c r="E528" s="12"/>
      <c r="F528" s="12"/>
      <c r="G528" s="18"/>
      <c r="H528" s="18"/>
      <c r="I528" s="35"/>
      <c r="J528" s="12"/>
      <c r="N528" s="12"/>
      <c r="O528" s="18"/>
      <c r="P528" s="12"/>
      <c r="Q528" s="12"/>
      <c r="R528" s="12"/>
      <c r="S528" s="36"/>
      <c r="T528" s="36"/>
      <c r="U528" s="12"/>
      <c r="V528" s="12"/>
      <c r="W528" s="12"/>
      <c r="X528" s="12"/>
      <c r="Y528" s="12"/>
    </row>
    <row r="529" customFormat="false" ht="15.75" hidden="false" customHeight="false" outlineLevel="0" collapsed="false">
      <c r="A529" s="12"/>
      <c r="B529" s="34"/>
      <c r="C529" s="12"/>
      <c r="D529" s="12"/>
      <c r="E529" s="12"/>
      <c r="F529" s="12"/>
      <c r="G529" s="18"/>
      <c r="H529" s="18"/>
      <c r="I529" s="35"/>
      <c r="J529" s="12"/>
      <c r="N529" s="12"/>
      <c r="O529" s="18"/>
      <c r="P529" s="12"/>
      <c r="Q529" s="12"/>
      <c r="R529" s="12"/>
      <c r="S529" s="36"/>
      <c r="T529" s="36"/>
      <c r="U529" s="12"/>
      <c r="V529" s="12"/>
      <c r="W529" s="12"/>
      <c r="X529" s="12"/>
      <c r="Y529" s="12"/>
    </row>
    <row r="530" customFormat="false" ht="15.75" hidden="false" customHeight="false" outlineLevel="0" collapsed="false">
      <c r="A530" s="12"/>
      <c r="B530" s="34"/>
      <c r="C530" s="12"/>
      <c r="D530" s="12"/>
      <c r="E530" s="12"/>
      <c r="F530" s="12"/>
      <c r="G530" s="18"/>
      <c r="H530" s="18"/>
      <c r="I530" s="35"/>
      <c r="J530" s="12"/>
      <c r="N530" s="12"/>
      <c r="O530" s="18"/>
      <c r="P530" s="12"/>
      <c r="Q530" s="12"/>
      <c r="R530" s="12"/>
      <c r="S530" s="36"/>
      <c r="T530" s="36"/>
      <c r="U530" s="12"/>
      <c r="V530" s="12"/>
      <c r="W530" s="12"/>
      <c r="X530" s="12"/>
      <c r="Y530" s="12"/>
    </row>
    <row r="531" customFormat="false" ht="15.75" hidden="false" customHeight="false" outlineLevel="0" collapsed="false">
      <c r="A531" s="12"/>
      <c r="B531" s="34"/>
      <c r="C531" s="12"/>
      <c r="D531" s="12"/>
      <c r="E531" s="12"/>
      <c r="F531" s="12"/>
      <c r="G531" s="18"/>
      <c r="H531" s="18"/>
      <c r="I531" s="35"/>
      <c r="J531" s="12"/>
      <c r="N531" s="12"/>
      <c r="O531" s="18"/>
      <c r="P531" s="12"/>
      <c r="Q531" s="12"/>
      <c r="R531" s="12"/>
      <c r="S531" s="36"/>
      <c r="T531" s="36"/>
      <c r="U531" s="12"/>
      <c r="V531" s="12"/>
      <c r="W531" s="12"/>
      <c r="X531" s="12"/>
      <c r="Y531" s="12"/>
    </row>
    <row r="532" customFormat="false" ht="15.75" hidden="false" customHeight="false" outlineLevel="0" collapsed="false">
      <c r="A532" s="12"/>
      <c r="B532" s="34"/>
      <c r="C532" s="12"/>
      <c r="D532" s="12"/>
      <c r="E532" s="12"/>
      <c r="F532" s="12"/>
      <c r="G532" s="18"/>
      <c r="H532" s="18"/>
      <c r="I532" s="35"/>
      <c r="J532" s="12"/>
      <c r="N532" s="12"/>
      <c r="O532" s="18"/>
      <c r="P532" s="12"/>
      <c r="Q532" s="12"/>
      <c r="R532" s="12"/>
      <c r="S532" s="36"/>
      <c r="T532" s="36"/>
      <c r="U532" s="12"/>
      <c r="V532" s="12"/>
      <c r="W532" s="12"/>
      <c r="X532" s="12"/>
      <c r="Y532" s="12"/>
    </row>
    <row r="533" customFormat="false" ht="15.75" hidden="false" customHeight="false" outlineLevel="0" collapsed="false">
      <c r="A533" s="12"/>
      <c r="B533" s="34"/>
      <c r="C533" s="12"/>
      <c r="D533" s="12"/>
      <c r="E533" s="12"/>
      <c r="F533" s="12"/>
      <c r="G533" s="18"/>
      <c r="H533" s="18"/>
      <c r="I533" s="35"/>
      <c r="J533" s="12"/>
      <c r="N533" s="12"/>
      <c r="O533" s="18"/>
      <c r="P533" s="12"/>
      <c r="Q533" s="12"/>
      <c r="R533" s="12"/>
      <c r="S533" s="36"/>
      <c r="T533" s="36"/>
      <c r="U533" s="12"/>
      <c r="V533" s="12"/>
      <c r="W533" s="12"/>
      <c r="X533" s="12"/>
      <c r="Y533" s="12"/>
    </row>
    <row r="534" customFormat="false" ht="15.75" hidden="false" customHeight="false" outlineLevel="0" collapsed="false">
      <c r="A534" s="12"/>
      <c r="B534" s="34"/>
      <c r="C534" s="12"/>
      <c r="D534" s="12"/>
      <c r="E534" s="12"/>
      <c r="F534" s="12"/>
      <c r="G534" s="18"/>
      <c r="H534" s="18"/>
      <c r="I534" s="35"/>
      <c r="J534" s="12"/>
      <c r="N534" s="12"/>
      <c r="O534" s="18"/>
      <c r="P534" s="12"/>
      <c r="Q534" s="12"/>
      <c r="R534" s="12"/>
      <c r="S534" s="36"/>
      <c r="T534" s="36"/>
      <c r="U534" s="12"/>
      <c r="V534" s="12"/>
      <c r="W534" s="12"/>
      <c r="X534" s="12"/>
      <c r="Y534" s="12"/>
    </row>
    <row r="535" customFormat="false" ht="15.75" hidden="false" customHeight="false" outlineLevel="0" collapsed="false">
      <c r="A535" s="12"/>
      <c r="B535" s="34"/>
      <c r="C535" s="12"/>
      <c r="D535" s="12"/>
      <c r="E535" s="12"/>
      <c r="F535" s="12"/>
      <c r="G535" s="18"/>
      <c r="H535" s="18"/>
      <c r="I535" s="35"/>
      <c r="J535" s="12"/>
      <c r="N535" s="12"/>
      <c r="O535" s="18"/>
      <c r="P535" s="12"/>
      <c r="Q535" s="12"/>
      <c r="R535" s="12"/>
      <c r="S535" s="36"/>
      <c r="T535" s="36"/>
      <c r="U535" s="12"/>
      <c r="V535" s="12"/>
      <c r="W535" s="12"/>
      <c r="X535" s="12"/>
      <c r="Y535" s="12"/>
    </row>
    <row r="536" customFormat="false" ht="15.75" hidden="false" customHeight="false" outlineLevel="0" collapsed="false">
      <c r="A536" s="12"/>
      <c r="B536" s="34"/>
      <c r="C536" s="12"/>
      <c r="D536" s="12"/>
      <c r="E536" s="12"/>
      <c r="F536" s="12"/>
      <c r="G536" s="18"/>
      <c r="H536" s="18"/>
      <c r="I536" s="35"/>
      <c r="J536" s="12"/>
      <c r="N536" s="12"/>
      <c r="O536" s="18"/>
      <c r="P536" s="12"/>
      <c r="Q536" s="12"/>
      <c r="R536" s="12"/>
      <c r="S536" s="36"/>
      <c r="T536" s="36"/>
      <c r="U536" s="12"/>
      <c r="V536" s="12"/>
      <c r="W536" s="12"/>
      <c r="X536" s="12"/>
      <c r="Y536" s="12"/>
    </row>
    <row r="537" customFormat="false" ht="15.75" hidden="false" customHeight="false" outlineLevel="0" collapsed="false">
      <c r="A537" s="12"/>
      <c r="B537" s="34"/>
      <c r="C537" s="12"/>
      <c r="D537" s="12"/>
      <c r="E537" s="12"/>
      <c r="F537" s="12"/>
      <c r="G537" s="18"/>
      <c r="H537" s="18"/>
      <c r="I537" s="35"/>
      <c r="J537" s="12"/>
      <c r="N537" s="12"/>
      <c r="O537" s="18"/>
      <c r="P537" s="12"/>
      <c r="Q537" s="12"/>
      <c r="R537" s="12"/>
      <c r="S537" s="36"/>
      <c r="T537" s="36"/>
      <c r="U537" s="12"/>
      <c r="V537" s="12"/>
      <c r="W537" s="12"/>
      <c r="X537" s="12"/>
      <c r="Y537" s="12"/>
    </row>
    <row r="538" customFormat="false" ht="15.75" hidden="false" customHeight="false" outlineLevel="0" collapsed="false">
      <c r="A538" s="12"/>
      <c r="B538" s="34"/>
      <c r="C538" s="12"/>
      <c r="D538" s="12"/>
      <c r="E538" s="12"/>
      <c r="F538" s="12"/>
      <c r="G538" s="18"/>
      <c r="H538" s="18"/>
      <c r="I538" s="35"/>
      <c r="J538" s="12"/>
      <c r="N538" s="12"/>
      <c r="O538" s="18"/>
      <c r="P538" s="12"/>
      <c r="Q538" s="12"/>
      <c r="R538" s="12"/>
      <c r="S538" s="36"/>
      <c r="T538" s="36"/>
      <c r="U538" s="12"/>
      <c r="V538" s="12"/>
      <c r="W538" s="12"/>
      <c r="X538" s="12"/>
      <c r="Y538" s="12"/>
    </row>
    <row r="539" customFormat="false" ht="15.75" hidden="false" customHeight="false" outlineLevel="0" collapsed="false">
      <c r="A539" s="12"/>
      <c r="B539" s="34"/>
      <c r="C539" s="12"/>
      <c r="D539" s="12"/>
      <c r="E539" s="12"/>
      <c r="F539" s="12"/>
      <c r="G539" s="18"/>
      <c r="H539" s="18"/>
      <c r="I539" s="35"/>
      <c r="J539" s="12"/>
      <c r="N539" s="12"/>
      <c r="O539" s="18"/>
      <c r="P539" s="12"/>
      <c r="Q539" s="12"/>
      <c r="R539" s="12"/>
      <c r="S539" s="36"/>
      <c r="T539" s="36"/>
      <c r="U539" s="12"/>
      <c r="V539" s="12"/>
      <c r="W539" s="12"/>
      <c r="X539" s="12"/>
      <c r="Y539" s="12"/>
    </row>
    <row r="540" customFormat="false" ht="15.75" hidden="false" customHeight="false" outlineLevel="0" collapsed="false">
      <c r="A540" s="12"/>
      <c r="B540" s="34"/>
      <c r="C540" s="12"/>
      <c r="D540" s="12"/>
      <c r="E540" s="12"/>
      <c r="F540" s="12"/>
      <c r="G540" s="18"/>
      <c r="H540" s="18"/>
      <c r="I540" s="35"/>
      <c r="J540" s="12"/>
      <c r="N540" s="12"/>
      <c r="O540" s="18"/>
      <c r="P540" s="12"/>
      <c r="Q540" s="12"/>
      <c r="R540" s="12"/>
      <c r="S540" s="36"/>
      <c r="T540" s="36"/>
      <c r="U540" s="12"/>
      <c r="V540" s="12"/>
      <c r="W540" s="12"/>
      <c r="X540" s="12"/>
      <c r="Y540" s="12"/>
    </row>
    <row r="541" customFormat="false" ht="15.75" hidden="false" customHeight="false" outlineLevel="0" collapsed="false">
      <c r="A541" s="12"/>
      <c r="B541" s="34"/>
      <c r="C541" s="12"/>
      <c r="D541" s="12"/>
      <c r="E541" s="12"/>
      <c r="F541" s="12"/>
      <c r="G541" s="18"/>
      <c r="H541" s="18"/>
      <c r="I541" s="35"/>
      <c r="J541" s="12"/>
      <c r="N541" s="12"/>
      <c r="O541" s="18"/>
      <c r="P541" s="12"/>
      <c r="Q541" s="12"/>
      <c r="R541" s="12"/>
      <c r="S541" s="36"/>
      <c r="T541" s="36"/>
      <c r="U541" s="12"/>
      <c r="V541" s="12"/>
      <c r="W541" s="12"/>
      <c r="X541" s="12"/>
      <c r="Y541" s="12"/>
    </row>
    <row r="542" customFormat="false" ht="15.75" hidden="false" customHeight="false" outlineLevel="0" collapsed="false">
      <c r="A542" s="12"/>
      <c r="B542" s="34"/>
      <c r="C542" s="12"/>
      <c r="D542" s="12"/>
      <c r="E542" s="12"/>
      <c r="F542" s="12"/>
      <c r="G542" s="18"/>
      <c r="H542" s="18"/>
      <c r="I542" s="35"/>
      <c r="J542" s="12"/>
      <c r="N542" s="12"/>
      <c r="O542" s="18"/>
      <c r="P542" s="12"/>
      <c r="Q542" s="12"/>
      <c r="R542" s="12"/>
      <c r="S542" s="36"/>
      <c r="T542" s="36"/>
      <c r="U542" s="12"/>
      <c r="V542" s="12"/>
      <c r="W542" s="12"/>
      <c r="X542" s="12"/>
      <c r="Y542" s="12"/>
    </row>
    <row r="543" customFormat="false" ht="15.75" hidden="false" customHeight="false" outlineLevel="0" collapsed="false">
      <c r="A543" s="12"/>
      <c r="B543" s="34"/>
      <c r="C543" s="12"/>
      <c r="D543" s="12"/>
      <c r="E543" s="12"/>
      <c r="F543" s="12"/>
      <c r="G543" s="18"/>
      <c r="H543" s="18"/>
      <c r="I543" s="35"/>
      <c r="J543" s="12"/>
      <c r="N543" s="12"/>
      <c r="O543" s="18"/>
      <c r="P543" s="12"/>
      <c r="Q543" s="12"/>
      <c r="R543" s="12"/>
      <c r="S543" s="36"/>
      <c r="T543" s="36"/>
      <c r="U543" s="12"/>
      <c r="V543" s="12"/>
      <c r="W543" s="12"/>
      <c r="X543" s="12"/>
      <c r="Y543" s="12"/>
    </row>
    <row r="544" customFormat="false" ht="15.75" hidden="false" customHeight="false" outlineLevel="0" collapsed="false">
      <c r="A544" s="12"/>
      <c r="B544" s="34"/>
      <c r="C544" s="12"/>
      <c r="D544" s="12"/>
      <c r="E544" s="12"/>
      <c r="F544" s="12"/>
      <c r="G544" s="18"/>
      <c r="H544" s="18"/>
      <c r="I544" s="35"/>
      <c r="J544" s="12"/>
      <c r="N544" s="12"/>
      <c r="O544" s="18"/>
      <c r="P544" s="12"/>
      <c r="Q544" s="12"/>
      <c r="R544" s="12"/>
      <c r="S544" s="36"/>
      <c r="T544" s="36"/>
      <c r="U544" s="12"/>
      <c r="V544" s="12"/>
      <c r="W544" s="12"/>
      <c r="X544" s="12"/>
      <c r="Y544" s="12"/>
    </row>
    <row r="545" customFormat="false" ht="15.75" hidden="false" customHeight="false" outlineLevel="0" collapsed="false">
      <c r="A545" s="12"/>
      <c r="B545" s="34"/>
      <c r="C545" s="12"/>
      <c r="D545" s="12"/>
      <c r="E545" s="12"/>
      <c r="F545" s="12"/>
      <c r="G545" s="18"/>
      <c r="H545" s="18"/>
      <c r="I545" s="35"/>
      <c r="J545" s="12"/>
      <c r="N545" s="12"/>
      <c r="O545" s="18"/>
      <c r="P545" s="12"/>
      <c r="Q545" s="12"/>
      <c r="R545" s="12"/>
      <c r="S545" s="36"/>
      <c r="T545" s="36"/>
      <c r="U545" s="12"/>
      <c r="V545" s="12"/>
      <c r="W545" s="12"/>
      <c r="X545" s="12"/>
      <c r="Y545" s="12"/>
    </row>
    <row r="546" customFormat="false" ht="15.75" hidden="false" customHeight="false" outlineLevel="0" collapsed="false">
      <c r="A546" s="12"/>
      <c r="B546" s="34"/>
      <c r="C546" s="12"/>
      <c r="D546" s="12"/>
      <c r="E546" s="12"/>
      <c r="F546" s="12"/>
      <c r="G546" s="18"/>
      <c r="H546" s="18"/>
      <c r="I546" s="35"/>
      <c r="J546" s="12"/>
      <c r="N546" s="12"/>
      <c r="O546" s="18"/>
      <c r="P546" s="12"/>
      <c r="Q546" s="12"/>
      <c r="R546" s="12"/>
      <c r="S546" s="36"/>
      <c r="T546" s="36"/>
      <c r="U546" s="12"/>
      <c r="V546" s="12"/>
      <c r="W546" s="12"/>
      <c r="X546" s="12"/>
      <c r="Y546" s="12"/>
    </row>
    <row r="547" customFormat="false" ht="15.75" hidden="false" customHeight="false" outlineLevel="0" collapsed="false">
      <c r="A547" s="12"/>
      <c r="B547" s="34"/>
      <c r="C547" s="12"/>
      <c r="D547" s="12"/>
      <c r="E547" s="12"/>
      <c r="F547" s="12"/>
      <c r="G547" s="18"/>
      <c r="H547" s="18"/>
      <c r="I547" s="35"/>
      <c r="J547" s="12"/>
      <c r="N547" s="12"/>
      <c r="O547" s="18"/>
      <c r="P547" s="12"/>
      <c r="Q547" s="12"/>
      <c r="R547" s="12"/>
      <c r="S547" s="36"/>
      <c r="T547" s="36"/>
      <c r="U547" s="12"/>
      <c r="V547" s="12"/>
      <c r="W547" s="12"/>
      <c r="X547" s="12"/>
      <c r="Y547" s="12"/>
    </row>
    <row r="548" customFormat="false" ht="15.75" hidden="false" customHeight="false" outlineLevel="0" collapsed="false">
      <c r="A548" s="12"/>
      <c r="B548" s="34"/>
      <c r="C548" s="12"/>
      <c r="D548" s="12"/>
      <c r="E548" s="12"/>
      <c r="F548" s="12"/>
      <c r="G548" s="18"/>
      <c r="H548" s="18"/>
      <c r="I548" s="35"/>
      <c r="J548" s="12"/>
      <c r="N548" s="12"/>
      <c r="O548" s="18"/>
      <c r="P548" s="12"/>
      <c r="Q548" s="12"/>
      <c r="R548" s="12"/>
      <c r="S548" s="36"/>
      <c r="T548" s="36"/>
      <c r="U548" s="12"/>
      <c r="V548" s="12"/>
      <c r="W548" s="12"/>
      <c r="X548" s="12"/>
      <c r="Y548" s="12"/>
    </row>
    <row r="549" customFormat="false" ht="15.75" hidden="false" customHeight="false" outlineLevel="0" collapsed="false">
      <c r="A549" s="12"/>
      <c r="B549" s="34"/>
      <c r="C549" s="12"/>
      <c r="D549" s="12"/>
      <c r="E549" s="12"/>
      <c r="F549" s="12"/>
      <c r="G549" s="18"/>
      <c r="H549" s="18"/>
      <c r="I549" s="35"/>
      <c r="J549" s="12"/>
      <c r="N549" s="12"/>
      <c r="O549" s="18"/>
      <c r="P549" s="12"/>
      <c r="Q549" s="12"/>
      <c r="R549" s="12"/>
      <c r="S549" s="36"/>
      <c r="T549" s="36"/>
      <c r="U549" s="12"/>
      <c r="V549" s="12"/>
      <c r="W549" s="12"/>
      <c r="X549" s="12"/>
      <c r="Y549" s="12"/>
    </row>
    <row r="550" customFormat="false" ht="15.75" hidden="false" customHeight="false" outlineLevel="0" collapsed="false">
      <c r="A550" s="12"/>
      <c r="B550" s="34"/>
      <c r="C550" s="12"/>
      <c r="D550" s="12"/>
      <c r="E550" s="12"/>
      <c r="F550" s="12"/>
      <c r="G550" s="18"/>
      <c r="H550" s="18"/>
      <c r="I550" s="35"/>
      <c r="J550" s="12"/>
      <c r="N550" s="12"/>
      <c r="O550" s="18"/>
      <c r="P550" s="12"/>
      <c r="Q550" s="12"/>
      <c r="R550" s="12"/>
      <c r="S550" s="36"/>
      <c r="T550" s="36"/>
      <c r="U550" s="12"/>
      <c r="V550" s="12"/>
      <c r="W550" s="12"/>
      <c r="X550" s="12"/>
      <c r="Y550" s="12"/>
    </row>
    <row r="551" customFormat="false" ht="15.75" hidden="false" customHeight="false" outlineLevel="0" collapsed="false">
      <c r="A551" s="12"/>
      <c r="B551" s="34"/>
      <c r="C551" s="12"/>
      <c r="D551" s="12"/>
      <c r="E551" s="12"/>
      <c r="F551" s="12"/>
      <c r="G551" s="18"/>
      <c r="H551" s="18"/>
      <c r="I551" s="35"/>
      <c r="J551" s="12"/>
      <c r="N551" s="12"/>
      <c r="O551" s="18"/>
      <c r="P551" s="12"/>
      <c r="Q551" s="12"/>
      <c r="R551" s="12"/>
      <c r="S551" s="36"/>
      <c r="T551" s="36"/>
      <c r="U551" s="12"/>
      <c r="V551" s="12"/>
      <c r="W551" s="12"/>
      <c r="X551" s="12"/>
      <c r="Y551" s="12"/>
    </row>
    <row r="552" customFormat="false" ht="15.75" hidden="false" customHeight="false" outlineLevel="0" collapsed="false">
      <c r="A552" s="12"/>
      <c r="B552" s="34"/>
      <c r="C552" s="12"/>
      <c r="D552" s="12"/>
      <c r="E552" s="12"/>
      <c r="F552" s="12"/>
      <c r="G552" s="18"/>
      <c r="H552" s="18"/>
      <c r="I552" s="35"/>
      <c r="J552" s="12"/>
      <c r="N552" s="12"/>
      <c r="O552" s="18"/>
      <c r="P552" s="12"/>
      <c r="Q552" s="12"/>
      <c r="R552" s="12"/>
      <c r="S552" s="36"/>
      <c r="T552" s="36"/>
      <c r="U552" s="12"/>
      <c r="V552" s="12"/>
      <c r="W552" s="12"/>
      <c r="X552" s="12"/>
      <c r="Y552" s="12"/>
    </row>
    <row r="553" customFormat="false" ht="15.75" hidden="false" customHeight="false" outlineLevel="0" collapsed="false">
      <c r="A553" s="12"/>
      <c r="B553" s="34"/>
      <c r="C553" s="12"/>
      <c r="D553" s="12"/>
      <c r="E553" s="12"/>
      <c r="F553" s="12"/>
      <c r="G553" s="18"/>
      <c r="H553" s="18"/>
      <c r="I553" s="35"/>
      <c r="J553" s="12"/>
      <c r="N553" s="12"/>
      <c r="O553" s="18"/>
      <c r="P553" s="12"/>
      <c r="Q553" s="12"/>
      <c r="R553" s="12"/>
      <c r="S553" s="36"/>
      <c r="T553" s="36"/>
      <c r="U553" s="12"/>
      <c r="V553" s="12"/>
      <c r="W553" s="12"/>
      <c r="X553" s="12"/>
      <c r="Y553" s="12"/>
    </row>
    <row r="554" customFormat="false" ht="15.75" hidden="false" customHeight="false" outlineLevel="0" collapsed="false">
      <c r="A554" s="12"/>
      <c r="B554" s="34"/>
      <c r="C554" s="12"/>
      <c r="D554" s="12"/>
      <c r="E554" s="12"/>
      <c r="F554" s="12"/>
      <c r="G554" s="18"/>
      <c r="H554" s="18"/>
      <c r="I554" s="35"/>
      <c r="J554" s="12"/>
      <c r="N554" s="12"/>
      <c r="O554" s="18"/>
      <c r="P554" s="12"/>
      <c r="Q554" s="12"/>
      <c r="R554" s="12"/>
      <c r="S554" s="36"/>
      <c r="T554" s="36"/>
      <c r="U554" s="12"/>
      <c r="V554" s="12"/>
      <c r="W554" s="12"/>
      <c r="X554" s="12"/>
      <c r="Y554" s="12"/>
    </row>
    <row r="555" customFormat="false" ht="15.75" hidden="false" customHeight="false" outlineLevel="0" collapsed="false">
      <c r="A555" s="12"/>
      <c r="B555" s="34"/>
      <c r="C555" s="12"/>
      <c r="D555" s="12"/>
      <c r="E555" s="12"/>
      <c r="F555" s="12"/>
      <c r="G555" s="18"/>
      <c r="H555" s="18"/>
      <c r="I555" s="35"/>
      <c r="J555" s="12"/>
      <c r="N555" s="12"/>
      <c r="O555" s="18"/>
      <c r="P555" s="12"/>
      <c r="Q555" s="12"/>
      <c r="R555" s="12"/>
      <c r="S555" s="36"/>
      <c r="T555" s="36"/>
      <c r="U555" s="12"/>
      <c r="V555" s="12"/>
      <c r="W555" s="12"/>
      <c r="X555" s="12"/>
      <c r="Y555" s="12"/>
    </row>
    <row r="556" customFormat="false" ht="15.75" hidden="false" customHeight="false" outlineLevel="0" collapsed="false">
      <c r="A556" s="12"/>
      <c r="B556" s="34"/>
      <c r="C556" s="12"/>
      <c r="D556" s="12"/>
      <c r="E556" s="12"/>
      <c r="F556" s="12"/>
      <c r="G556" s="18"/>
      <c r="H556" s="18"/>
      <c r="I556" s="35"/>
      <c r="J556" s="12"/>
      <c r="N556" s="12"/>
      <c r="O556" s="18"/>
      <c r="P556" s="12"/>
      <c r="Q556" s="12"/>
      <c r="R556" s="12"/>
      <c r="S556" s="36"/>
      <c r="T556" s="36"/>
      <c r="U556" s="12"/>
      <c r="V556" s="12"/>
      <c r="W556" s="12"/>
      <c r="X556" s="12"/>
      <c r="Y556" s="12"/>
    </row>
    <row r="557" customFormat="false" ht="15.75" hidden="false" customHeight="false" outlineLevel="0" collapsed="false">
      <c r="A557" s="12"/>
      <c r="B557" s="34"/>
      <c r="C557" s="12"/>
      <c r="D557" s="12"/>
      <c r="E557" s="12"/>
      <c r="F557" s="12"/>
      <c r="G557" s="18"/>
      <c r="H557" s="18"/>
      <c r="I557" s="35"/>
      <c r="J557" s="12"/>
      <c r="N557" s="12"/>
      <c r="O557" s="18"/>
      <c r="P557" s="12"/>
      <c r="Q557" s="12"/>
      <c r="R557" s="12"/>
      <c r="S557" s="36"/>
      <c r="T557" s="36"/>
      <c r="U557" s="12"/>
      <c r="V557" s="12"/>
      <c r="W557" s="12"/>
      <c r="X557" s="12"/>
      <c r="Y557" s="12"/>
    </row>
    <row r="558" customFormat="false" ht="15.75" hidden="false" customHeight="false" outlineLevel="0" collapsed="false">
      <c r="A558" s="12"/>
      <c r="B558" s="34"/>
      <c r="C558" s="12"/>
      <c r="D558" s="12"/>
      <c r="E558" s="12"/>
      <c r="F558" s="12"/>
      <c r="G558" s="18"/>
      <c r="H558" s="18"/>
      <c r="I558" s="35"/>
      <c r="J558" s="12"/>
      <c r="N558" s="12"/>
      <c r="O558" s="18"/>
      <c r="P558" s="12"/>
      <c r="Q558" s="12"/>
      <c r="R558" s="12"/>
      <c r="S558" s="36"/>
      <c r="T558" s="36"/>
      <c r="U558" s="12"/>
      <c r="V558" s="12"/>
      <c r="W558" s="12"/>
      <c r="X558" s="12"/>
      <c r="Y558" s="12"/>
    </row>
    <row r="559" customFormat="false" ht="15.75" hidden="false" customHeight="false" outlineLevel="0" collapsed="false">
      <c r="A559" s="12"/>
      <c r="B559" s="34"/>
      <c r="C559" s="12"/>
      <c r="D559" s="12"/>
      <c r="E559" s="12"/>
      <c r="F559" s="12"/>
      <c r="G559" s="18"/>
      <c r="H559" s="18"/>
      <c r="I559" s="35"/>
      <c r="J559" s="12"/>
      <c r="N559" s="12"/>
      <c r="O559" s="18"/>
      <c r="P559" s="12"/>
      <c r="Q559" s="12"/>
      <c r="R559" s="12"/>
      <c r="S559" s="36"/>
      <c r="T559" s="36"/>
      <c r="U559" s="12"/>
      <c r="V559" s="12"/>
      <c r="W559" s="12"/>
      <c r="X559" s="12"/>
      <c r="Y559" s="12"/>
    </row>
    <row r="560" customFormat="false" ht="15.75" hidden="false" customHeight="false" outlineLevel="0" collapsed="false">
      <c r="A560" s="12"/>
      <c r="B560" s="34"/>
      <c r="C560" s="12"/>
      <c r="D560" s="12"/>
      <c r="E560" s="12"/>
      <c r="F560" s="12"/>
      <c r="G560" s="18"/>
      <c r="H560" s="18"/>
      <c r="I560" s="35"/>
      <c r="J560" s="12"/>
      <c r="N560" s="12"/>
      <c r="O560" s="18"/>
      <c r="P560" s="12"/>
      <c r="Q560" s="12"/>
      <c r="R560" s="12"/>
      <c r="S560" s="36"/>
      <c r="T560" s="36"/>
      <c r="U560" s="12"/>
      <c r="V560" s="12"/>
      <c r="W560" s="12"/>
      <c r="X560" s="12"/>
      <c r="Y560" s="12"/>
    </row>
    <row r="561" customFormat="false" ht="15.75" hidden="false" customHeight="false" outlineLevel="0" collapsed="false">
      <c r="A561" s="12"/>
      <c r="B561" s="34"/>
      <c r="C561" s="12"/>
      <c r="D561" s="12"/>
      <c r="E561" s="12"/>
      <c r="F561" s="12"/>
      <c r="G561" s="18"/>
      <c r="H561" s="18"/>
      <c r="I561" s="35"/>
      <c r="J561" s="12"/>
      <c r="N561" s="12"/>
      <c r="O561" s="18"/>
      <c r="P561" s="12"/>
      <c r="Q561" s="12"/>
      <c r="R561" s="12"/>
      <c r="S561" s="36"/>
      <c r="T561" s="36"/>
      <c r="U561" s="12"/>
      <c r="V561" s="12"/>
      <c r="W561" s="12"/>
      <c r="X561" s="12"/>
      <c r="Y561" s="12"/>
    </row>
    <row r="562" customFormat="false" ht="15.75" hidden="false" customHeight="false" outlineLevel="0" collapsed="false">
      <c r="A562" s="12"/>
      <c r="B562" s="34"/>
      <c r="C562" s="12"/>
      <c r="D562" s="12"/>
      <c r="E562" s="12"/>
      <c r="F562" s="12"/>
      <c r="G562" s="18"/>
      <c r="H562" s="18"/>
      <c r="I562" s="35"/>
      <c r="J562" s="12"/>
      <c r="N562" s="12"/>
      <c r="O562" s="18"/>
      <c r="P562" s="12"/>
      <c r="Q562" s="12"/>
      <c r="R562" s="12"/>
      <c r="S562" s="36"/>
      <c r="T562" s="36"/>
      <c r="U562" s="12"/>
      <c r="V562" s="12"/>
      <c r="W562" s="12"/>
      <c r="X562" s="12"/>
      <c r="Y562" s="12"/>
    </row>
    <row r="563" customFormat="false" ht="15.75" hidden="false" customHeight="false" outlineLevel="0" collapsed="false">
      <c r="A563" s="12"/>
      <c r="B563" s="34"/>
      <c r="C563" s="12"/>
      <c r="D563" s="12"/>
      <c r="E563" s="12"/>
      <c r="F563" s="12"/>
      <c r="G563" s="18"/>
      <c r="H563" s="18"/>
      <c r="I563" s="35"/>
      <c r="J563" s="12"/>
      <c r="N563" s="12"/>
      <c r="O563" s="18"/>
      <c r="P563" s="12"/>
      <c r="Q563" s="12"/>
      <c r="R563" s="12"/>
      <c r="S563" s="36"/>
      <c r="T563" s="36"/>
      <c r="U563" s="12"/>
      <c r="V563" s="12"/>
      <c r="W563" s="12"/>
      <c r="X563" s="12"/>
      <c r="Y563" s="12"/>
    </row>
    <row r="564" customFormat="false" ht="15.75" hidden="false" customHeight="false" outlineLevel="0" collapsed="false">
      <c r="A564" s="12"/>
      <c r="B564" s="34"/>
      <c r="C564" s="12"/>
      <c r="D564" s="12"/>
      <c r="E564" s="12"/>
      <c r="F564" s="12"/>
      <c r="G564" s="18"/>
      <c r="H564" s="18"/>
      <c r="I564" s="35"/>
      <c r="J564" s="12"/>
      <c r="N564" s="12"/>
      <c r="O564" s="18"/>
      <c r="P564" s="12"/>
      <c r="Q564" s="12"/>
      <c r="R564" s="12"/>
      <c r="S564" s="36"/>
      <c r="T564" s="36"/>
      <c r="U564" s="12"/>
      <c r="V564" s="12"/>
      <c r="W564" s="12"/>
      <c r="X564" s="12"/>
      <c r="Y564" s="12"/>
    </row>
    <row r="565" customFormat="false" ht="15.75" hidden="false" customHeight="false" outlineLevel="0" collapsed="false">
      <c r="A565" s="12"/>
      <c r="B565" s="34"/>
      <c r="C565" s="12"/>
      <c r="D565" s="12"/>
      <c r="E565" s="12"/>
      <c r="F565" s="12"/>
      <c r="G565" s="18"/>
      <c r="H565" s="18"/>
      <c r="I565" s="35"/>
      <c r="J565" s="12"/>
      <c r="N565" s="12"/>
      <c r="O565" s="18"/>
      <c r="P565" s="12"/>
      <c r="Q565" s="12"/>
      <c r="R565" s="12"/>
      <c r="S565" s="36"/>
      <c r="T565" s="36"/>
      <c r="U565" s="12"/>
      <c r="V565" s="12"/>
      <c r="W565" s="12"/>
      <c r="X565" s="12"/>
      <c r="Y565" s="12"/>
    </row>
    <row r="566" customFormat="false" ht="15.75" hidden="false" customHeight="false" outlineLevel="0" collapsed="false">
      <c r="A566" s="12"/>
      <c r="B566" s="34"/>
      <c r="C566" s="12"/>
      <c r="D566" s="12"/>
      <c r="E566" s="12"/>
      <c r="F566" s="12"/>
      <c r="G566" s="18"/>
      <c r="H566" s="18"/>
      <c r="I566" s="35"/>
      <c r="J566" s="12"/>
      <c r="N566" s="12"/>
      <c r="O566" s="18"/>
      <c r="P566" s="12"/>
      <c r="Q566" s="12"/>
      <c r="R566" s="12"/>
      <c r="S566" s="36"/>
      <c r="T566" s="36"/>
      <c r="U566" s="12"/>
      <c r="V566" s="12"/>
      <c r="W566" s="12"/>
      <c r="X566" s="12"/>
      <c r="Y566" s="12"/>
    </row>
    <row r="567" customFormat="false" ht="15.75" hidden="false" customHeight="false" outlineLevel="0" collapsed="false">
      <c r="A567" s="12"/>
      <c r="B567" s="34"/>
      <c r="C567" s="12"/>
      <c r="D567" s="12"/>
      <c r="E567" s="12"/>
      <c r="F567" s="12"/>
      <c r="G567" s="18"/>
      <c r="H567" s="18"/>
      <c r="I567" s="35"/>
      <c r="J567" s="12"/>
      <c r="N567" s="12"/>
      <c r="O567" s="18"/>
      <c r="P567" s="12"/>
      <c r="Q567" s="12"/>
      <c r="R567" s="12"/>
      <c r="S567" s="36"/>
      <c r="T567" s="36"/>
      <c r="U567" s="12"/>
      <c r="V567" s="12"/>
      <c r="W567" s="12"/>
      <c r="X567" s="12"/>
      <c r="Y567" s="12"/>
    </row>
    <row r="568" customFormat="false" ht="15.75" hidden="false" customHeight="false" outlineLevel="0" collapsed="false">
      <c r="A568" s="12"/>
      <c r="B568" s="34"/>
      <c r="C568" s="12"/>
      <c r="D568" s="12"/>
      <c r="E568" s="12"/>
      <c r="F568" s="12"/>
      <c r="G568" s="18"/>
      <c r="H568" s="18"/>
      <c r="I568" s="35"/>
      <c r="J568" s="12"/>
      <c r="N568" s="12"/>
      <c r="O568" s="18"/>
      <c r="P568" s="12"/>
      <c r="Q568" s="12"/>
      <c r="R568" s="12"/>
      <c r="S568" s="36"/>
      <c r="T568" s="36"/>
      <c r="U568" s="12"/>
      <c r="V568" s="12"/>
      <c r="W568" s="12"/>
      <c r="X568" s="12"/>
      <c r="Y568" s="12"/>
    </row>
    <row r="569" customFormat="false" ht="15.75" hidden="false" customHeight="false" outlineLevel="0" collapsed="false">
      <c r="A569" s="12"/>
      <c r="B569" s="34"/>
      <c r="C569" s="12"/>
      <c r="D569" s="12"/>
      <c r="E569" s="12"/>
      <c r="F569" s="12"/>
      <c r="G569" s="18"/>
      <c r="H569" s="18"/>
      <c r="I569" s="35"/>
      <c r="J569" s="12"/>
      <c r="N569" s="12"/>
      <c r="O569" s="18"/>
      <c r="P569" s="12"/>
      <c r="Q569" s="12"/>
      <c r="R569" s="12"/>
      <c r="S569" s="36"/>
      <c r="T569" s="36"/>
      <c r="U569" s="12"/>
      <c r="V569" s="12"/>
      <c r="W569" s="12"/>
      <c r="X569" s="12"/>
      <c r="Y569" s="12"/>
    </row>
    <row r="570" customFormat="false" ht="15.75" hidden="false" customHeight="false" outlineLevel="0" collapsed="false">
      <c r="A570" s="12"/>
      <c r="B570" s="34"/>
      <c r="C570" s="12"/>
      <c r="D570" s="12"/>
      <c r="E570" s="12"/>
      <c r="F570" s="12"/>
      <c r="G570" s="18"/>
      <c r="H570" s="18"/>
      <c r="I570" s="35"/>
      <c r="J570" s="12"/>
      <c r="N570" s="12"/>
      <c r="O570" s="18"/>
      <c r="P570" s="12"/>
      <c r="Q570" s="12"/>
      <c r="R570" s="12"/>
      <c r="S570" s="36"/>
      <c r="T570" s="36"/>
      <c r="U570" s="12"/>
      <c r="V570" s="12"/>
      <c r="W570" s="12"/>
      <c r="X570" s="12"/>
      <c r="Y570" s="12"/>
    </row>
    <row r="571" customFormat="false" ht="15.75" hidden="false" customHeight="false" outlineLevel="0" collapsed="false">
      <c r="A571" s="12"/>
      <c r="B571" s="34"/>
      <c r="C571" s="12"/>
      <c r="D571" s="12"/>
      <c r="E571" s="12"/>
      <c r="F571" s="12"/>
      <c r="G571" s="18"/>
      <c r="H571" s="18"/>
      <c r="I571" s="35"/>
      <c r="J571" s="12"/>
      <c r="N571" s="12"/>
      <c r="O571" s="18"/>
      <c r="P571" s="12"/>
      <c r="Q571" s="12"/>
      <c r="R571" s="12"/>
      <c r="S571" s="36"/>
      <c r="T571" s="36"/>
      <c r="U571" s="12"/>
      <c r="V571" s="12"/>
      <c r="W571" s="12"/>
      <c r="X571" s="12"/>
      <c r="Y571" s="12"/>
    </row>
    <row r="572" customFormat="false" ht="15.75" hidden="false" customHeight="false" outlineLevel="0" collapsed="false">
      <c r="A572" s="12"/>
      <c r="B572" s="34"/>
      <c r="C572" s="12"/>
      <c r="D572" s="12"/>
      <c r="E572" s="12"/>
      <c r="F572" s="12"/>
      <c r="G572" s="18"/>
      <c r="H572" s="18"/>
      <c r="I572" s="35"/>
      <c r="J572" s="12"/>
      <c r="N572" s="12"/>
      <c r="O572" s="18"/>
      <c r="P572" s="12"/>
      <c r="Q572" s="12"/>
      <c r="R572" s="12"/>
      <c r="S572" s="36"/>
      <c r="T572" s="36"/>
      <c r="U572" s="12"/>
      <c r="V572" s="12"/>
      <c r="W572" s="12"/>
      <c r="X572" s="12"/>
      <c r="Y572" s="12"/>
    </row>
    <row r="573" customFormat="false" ht="15.75" hidden="false" customHeight="false" outlineLevel="0" collapsed="false">
      <c r="A573" s="12"/>
      <c r="B573" s="34"/>
      <c r="C573" s="12"/>
      <c r="D573" s="12"/>
      <c r="E573" s="12"/>
      <c r="F573" s="12"/>
      <c r="G573" s="18"/>
      <c r="H573" s="18"/>
      <c r="I573" s="35"/>
      <c r="J573" s="12"/>
      <c r="N573" s="12"/>
      <c r="O573" s="18"/>
      <c r="P573" s="12"/>
      <c r="Q573" s="12"/>
      <c r="R573" s="12"/>
      <c r="S573" s="36"/>
      <c r="T573" s="36"/>
      <c r="U573" s="12"/>
      <c r="V573" s="12"/>
      <c r="W573" s="12"/>
      <c r="X573" s="12"/>
      <c r="Y573" s="12"/>
    </row>
    <row r="574" customFormat="false" ht="15.75" hidden="false" customHeight="false" outlineLevel="0" collapsed="false">
      <c r="A574" s="12"/>
      <c r="B574" s="34"/>
      <c r="C574" s="12"/>
      <c r="D574" s="12"/>
      <c r="E574" s="12"/>
      <c r="F574" s="12"/>
      <c r="G574" s="18"/>
      <c r="H574" s="18"/>
      <c r="I574" s="35"/>
      <c r="J574" s="12"/>
      <c r="N574" s="12"/>
      <c r="O574" s="18"/>
      <c r="P574" s="12"/>
      <c r="Q574" s="12"/>
      <c r="R574" s="12"/>
      <c r="S574" s="36"/>
      <c r="T574" s="36"/>
      <c r="U574" s="12"/>
      <c r="V574" s="12"/>
      <c r="W574" s="12"/>
      <c r="X574" s="12"/>
      <c r="Y574" s="12"/>
    </row>
    <row r="575" customFormat="false" ht="15.75" hidden="false" customHeight="false" outlineLevel="0" collapsed="false">
      <c r="A575" s="12"/>
      <c r="B575" s="34"/>
      <c r="C575" s="12"/>
      <c r="D575" s="12"/>
      <c r="E575" s="12"/>
      <c r="F575" s="12"/>
      <c r="G575" s="18"/>
      <c r="H575" s="18"/>
      <c r="I575" s="35"/>
      <c r="J575" s="12"/>
      <c r="N575" s="12"/>
      <c r="O575" s="18"/>
      <c r="P575" s="12"/>
      <c r="Q575" s="12"/>
      <c r="R575" s="12"/>
      <c r="S575" s="36"/>
      <c r="T575" s="36"/>
      <c r="U575" s="12"/>
      <c r="V575" s="12"/>
      <c r="W575" s="12"/>
      <c r="X575" s="12"/>
      <c r="Y575" s="12"/>
    </row>
    <row r="576" customFormat="false" ht="15.75" hidden="false" customHeight="false" outlineLevel="0" collapsed="false">
      <c r="A576" s="12"/>
      <c r="B576" s="34"/>
      <c r="C576" s="12"/>
      <c r="D576" s="12"/>
      <c r="E576" s="12"/>
      <c r="F576" s="12"/>
      <c r="G576" s="18"/>
      <c r="H576" s="18"/>
      <c r="I576" s="35"/>
      <c r="J576" s="12"/>
      <c r="N576" s="12"/>
      <c r="O576" s="18"/>
      <c r="P576" s="12"/>
      <c r="Q576" s="12"/>
      <c r="R576" s="12"/>
      <c r="S576" s="36"/>
      <c r="T576" s="36"/>
      <c r="U576" s="12"/>
      <c r="V576" s="12"/>
      <c r="W576" s="12"/>
      <c r="X576" s="12"/>
      <c r="Y576" s="12"/>
    </row>
    <row r="577" customFormat="false" ht="15.75" hidden="false" customHeight="false" outlineLevel="0" collapsed="false">
      <c r="A577" s="12"/>
      <c r="B577" s="34"/>
      <c r="C577" s="12"/>
      <c r="D577" s="12"/>
      <c r="E577" s="12"/>
      <c r="F577" s="12"/>
      <c r="G577" s="18"/>
      <c r="H577" s="18"/>
      <c r="I577" s="35"/>
      <c r="J577" s="12"/>
      <c r="N577" s="12"/>
      <c r="O577" s="18"/>
      <c r="P577" s="12"/>
      <c r="Q577" s="12"/>
      <c r="R577" s="12"/>
      <c r="S577" s="36"/>
      <c r="T577" s="36"/>
      <c r="U577" s="12"/>
      <c r="V577" s="12"/>
      <c r="W577" s="12"/>
      <c r="X577" s="12"/>
      <c r="Y577" s="12"/>
    </row>
    <row r="578" customFormat="false" ht="15.75" hidden="false" customHeight="false" outlineLevel="0" collapsed="false">
      <c r="A578" s="12"/>
      <c r="B578" s="34"/>
      <c r="C578" s="12"/>
      <c r="D578" s="12"/>
      <c r="E578" s="12"/>
      <c r="F578" s="12"/>
      <c r="G578" s="18"/>
      <c r="H578" s="18"/>
      <c r="I578" s="35"/>
      <c r="J578" s="12"/>
      <c r="N578" s="12"/>
      <c r="O578" s="18"/>
      <c r="P578" s="12"/>
      <c r="Q578" s="12"/>
      <c r="R578" s="12"/>
      <c r="S578" s="36"/>
      <c r="T578" s="36"/>
      <c r="U578" s="12"/>
      <c r="V578" s="12"/>
      <c r="W578" s="12"/>
      <c r="X578" s="12"/>
      <c r="Y578" s="12"/>
    </row>
    <row r="579" customFormat="false" ht="15.75" hidden="false" customHeight="false" outlineLevel="0" collapsed="false">
      <c r="A579" s="12"/>
      <c r="B579" s="34"/>
      <c r="C579" s="12"/>
      <c r="D579" s="12"/>
      <c r="E579" s="12"/>
      <c r="F579" s="12"/>
      <c r="G579" s="18"/>
      <c r="H579" s="18"/>
      <c r="I579" s="35"/>
      <c r="J579" s="12"/>
      <c r="N579" s="12"/>
      <c r="O579" s="18"/>
      <c r="P579" s="12"/>
      <c r="Q579" s="12"/>
      <c r="R579" s="12"/>
      <c r="S579" s="36"/>
      <c r="T579" s="36"/>
      <c r="U579" s="12"/>
      <c r="V579" s="12"/>
      <c r="W579" s="12"/>
      <c r="X579" s="12"/>
      <c r="Y579" s="12"/>
    </row>
    <row r="580" customFormat="false" ht="15.75" hidden="false" customHeight="false" outlineLevel="0" collapsed="false">
      <c r="A580" s="12"/>
      <c r="B580" s="34"/>
      <c r="C580" s="12"/>
      <c r="D580" s="12"/>
      <c r="E580" s="12"/>
      <c r="F580" s="12"/>
      <c r="G580" s="18"/>
      <c r="H580" s="18"/>
      <c r="I580" s="35"/>
      <c r="J580" s="12"/>
      <c r="N580" s="12"/>
      <c r="O580" s="18"/>
      <c r="P580" s="12"/>
      <c r="Q580" s="12"/>
      <c r="R580" s="12"/>
      <c r="S580" s="36"/>
      <c r="T580" s="36"/>
      <c r="U580" s="12"/>
      <c r="V580" s="12"/>
      <c r="W580" s="12"/>
      <c r="X580" s="12"/>
      <c r="Y580" s="12"/>
    </row>
    <row r="581" customFormat="false" ht="15.75" hidden="false" customHeight="false" outlineLevel="0" collapsed="false">
      <c r="A581" s="12"/>
      <c r="B581" s="34"/>
      <c r="C581" s="12"/>
      <c r="D581" s="12"/>
      <c r="E581" s="12"/>
      <c r="F581" s="12"/>
      <c r="G581" s="18"/>
      <c r="H581" s="18"/>
      <c r="I581" s="35"/>
      <c r="J581" s="12"/>
      <c r="N581" s="12"/>
      <c r="O581" s="18"/>
      <c r="P581" s="12"/>
      <c r="Q581" s="12"/>
      <c r="R581" s="12"/>
      <c r="S581" s="36"/>
      <c r="T581" s="36"/>
      <c r="U581" s="12"/>
      <c r="V581" s="12"/>
      <c r="W581" s="12"/>
      <c r="X581" s="12"/>
      <c r="Y581" s="12"/>
    </row>
    <row r="582" customFormat="false" ht="15.75" hidden="false" customHeight="false" outlineLevel="0" collapsed="false">
      <c r="A582" s="12"/>
      <c r="B582" s="34"/>
      <c r="C582" s="12"/>
      <c r="D582" s="12"/>
      <c r="E582" s="12"/>
      <c r="F582" s="12"/>
      <c r="G582" s="18"/>
      <c r="H582" s="18"/>
      <c r="I582" s="35"/>
      <c r="J582" s="12"/>
      <c r="N582" s="12"/>
      <c r="O582" s="18"/>
      <c r="P582" s="12"/>
      <c r="Q582" s="12"/>
      <c r="R582" s="12"/>
      <c r="S582" s="36"/>
      <c r="T582" s="36"/>
      <c r="U582" s="12"/>
      <c r="V582" s="12"/>
      <c r="W582" s="12"/>
      <c r="X582" s="12"/>
      <c r="Y582" s="12"/>
    </row>
    <row r="583" customFormat="false" ht="15.75" hidden="false" customHeight="false" outlineLevel="0" collapsed="false">
      <c r="A583" s="12"/>
      <c r="B583" s="34"/>
      <c r="C583" s="12"/>
      <c r="D583" s="12"/>
      <c r="E583" s="12"/>
      <c r="F583" s="12"/>
      <c r="G583" s="18"/>
      <c r="H583" s="18"/>
      <c r="I583" s="35"/>
      <c r="J583" s="12"/>
      <c r="N583" s="12"/>
      <c r="O583" s="18"/>
      <c r="P583" s="12"/>
      <c r="Q583" s="12"/>
      <c r="R583" s="12"/>
      <c r="S583" s="36"/>
      <c r="T583" s="36"/>
      <c r="U583" s="12"/>
      <c r="V583" s="12"/>
      <c r="W583" s="12"/>
      <c r="X583" s="12"/>
      <c r="Y583" s="12"/>
    </row>
    <row r="584" customFormat="false" ht="15.75" hidden="false" customHeight="false" outlineLevel="0" collapsed="false">
      <c r="A584" s="12"/>
      <c r="B584" s="34"/>
      <c r="C584" s="12"/>
      <c r="D584" s="12"/>
      <c r="E584" s="12"/>
      <c r="F584" s="12"/>
      <c r="G584" s="18"/>
      <c r="H584" s="18"/>
      <c r="I584" s="35"/>
      <c r="J584" s="12"/>
      <c r="N584" s="12"/>
      <c r="O584" s="18"/>
      <c r="P584" s="12"/>
      <c r="Q584" s="12"/>
      <c r="R584" s="12"/>
      <c r="S584" s="36"/>
      <c r="T584" s="36"/>
      <c r="U584" s="12"/>
      <c r="V584" s="12"/>
      <c r="W584" s="12"/>
      <c r="X584" s="12"/>
      <c r="Y584" s="12"/>
    </row>
    <row r="585" customFormat="false" ht="15.75" hidden="false" customHeight="false" outlineLevel="0" collapsed="false">
      <c r="A585" s="12"/>
      <c r="B585" s="34"/>
      <c r="C585" s="12"/>
      <c r="D585" s="12"/>
      <c r="E585" s="12"/>
      <c r="F585" s="12"/>
      <c r="G585" s="18"/>
      <c r="H585" s="18"/>
      <c r="I585" s="35"/>
      <c r="J585" s="12"/>
      <c r="N585" s="12"/>
      <c r="O585" s="18"/>
      <c r="P585" s="12"/>
      <c r="Q585" s="12"/>
      <c r="R585" s="12"/>
      <c r="S585" s="36"/>
      <c r="T585" s="36"/>
      <c r="U585" s="12"/>
      <c r="V585" s="12"/>
      <c r="W585" s="12"/>
      <c r="X585" s="12"/>
      <c r="Y585" s="12"/>
    </row>
    <row r="586" customFormat="false" ht="15.75" hidden="false" customHeight="false" outlineLevel="0" collapsed="false">
      <c r="A586" s="12"/>
      <c r="B586" s="34"/>
      <c r="C586" s="12"/>
      <c r="D586" s="12"/>
      <c r="E586" s="12"/>
      <c r="F586" s="12"/>
      <c r="G586" s="18"/>
      <c r="H586" s="18"/>
      <c r="I586" s="35"/>
      <c r="J586" s="12"/>
      <c r="N586" s="12"/>
      <c r="O586" s="18"/>
      <c r="P586" s="12"/>
      <c r="Q586" s="12"/>
      <c r="R586" s="12"/>
      <c r="S586" s="36"/>
      <c r="T586" s="36"/>
      <c r="U586" s="12"/>
      <c r="V586" s="12"/>
      <c r="W586" s="12"/>
      <c r="X586" s="12"/>
      <c r="Y586" s="12"/>
    </row>
    <row r="587" customFormat="false" ht="15.75" hidden="false" customHeight="false" outlineLevel="0" collapsed="false">
      <c r="A587" s="12"/>
      <c r="B587" s="34"/>
      <c r="C587" s="12"/>
      <c r="D587" s="12"/>
      <c r="E587" s="12"/>
      <c r="F587" s="12"/>
      <c r="G587" s="18"/>
      <c r="H587" s="18"/>
      <c r="I587" s="35"/>
      <c r="J587" s="12"/>
      <c r="N587" s="12"/>
      <c r="O587" s="18"/>
      <c r="P587" s="12"/>
      <c r="Q587" s="12"/>
      <c r="R587" s="12"/>
      <c r="S587" s="36"/>
      <c r="T587" s="36"/>
      <c r="U587" s="12"/>
      <c r="V587" s="12"/>
      <c r="W587" s="12"/>
      <c r="X587" s="12"/>
      <c r="Y587" s="12"/>
    </row>
    <row r="588" customFormat="false" ht="15.75" hidden="false" customHeight="false" outlineLevel="0" collapsed="false">
      <c r="A588" s="12"/>
      <c r="B588" s="34"/>
      <c r="C588" s="12"/>
      <c r="D588" s="12"/>
      <c r="E588" s="12"/>
      <c r="F588" s="12"/>
      <c r="G588" s="18"/>
      <c r="H588" s="18"/>
      <c r="I588" s="35"/>
      <c r="J588" s="12"/>
      <c r="N588" s="12"/>
      <c r="O588" s="18"/>
      <c r="P588" s="12"/>
      <c r="Q588" s="12"/>
      <c r="R588" s="12"/>
      <c r="S588" s="36"/>
      <c r="T588" s="36"/>
      <c r="U588" s="12"/>
      <c r="V588" s="12"/>
      <c r="W588" s="12"/>
      <c r="X588" s="12"/>
      <c r="Y588" s="12"/>
    </row>
    <row r="589" customFormat="false" ht="15.75" hidden="false" customHeight="false" outlineLevel="0" collapsed="false">
      <c r="A589" s="12"/>
      <c r="B589" s="34"/>
      <c r="C589" s="12"/>
      <c r="D589" s="12"/>
      <c r="E589" s="12"/>
      <c r="F589" s="12"/>
      <c r="G589" s="18"/>
      <c r="H589" s="18"/>
      <c r="I589" s="35"/>
      <c r="J589" s="12"/>
      <c r="N589" s="12"/>
      <c r="O589" s="18"/>
      <c r="P589" s="12"/>
      <c r="Q589" s="12"/>
      <c r="R589" s="12"/>
      <c r="S589" s="36"/>
      <c r="T589" s="36"/>
      <c r="U589" s="12"/>
      <c r="V589" s="12"/>
      <c r="W589" s="12"/>
      <c r="X589" s="12"/>
      <c r="Y589" s="12"/>
    </row>
    <row r="590" customFormat="false" ht="15.75" hidden="false" customHeight="false" outlineLevel="0" collapsed="false">
      <c r="A590" s="12"/>
      <c r="B590" s="34"/>
      <c r="C590" s="12"/>
      <c r="D590" s="12"/>
      <c r="E590" s="12"/>
      <c r="F590" s="12"/>
      <c r="G590" s="18"/>
      <c r="H590" s="18"/>
      <c r="I590" s="35"/>
      <c r="J590" s="12"/>
      <c r="N590" s="12"/>
      <c r="O590" s="18"/>
      <c r="P590" s="12"/>
      <c r="Q590" s="12"/>
      <c r="R590" s="12"/>
      <c r="S590" s="36"/>
      <c r="T590" s="36"/>
      <c r="U590" s="12"/>
      <c r="V590" s="12"/>
      <c r="W590" s="12"/>
      <c r="X590" s="12"/>
      <c r="Y590" s="12"/>
    </row>
    <row r="591" customFormat="false" ht="15.75" hidden="false" customHeight="false" outlineLevel="0" collapsed="false">
      <c r="A591" s="12"/>
      <c r="B591" s="34"/>
      <c r="C591" s="12"/>
      <c r="D591" s="12"/>
      <c r="E591" s="12"/>
      <c r="F591" s="12"/>
      <c r="G591" s="18"/>
      <c r="H591" s="18"/>
      <c r="I591" s="35"/>
      <c r="J591" s="12"/>
      <c r="N591" s="12"/>
      <c r="O591" s="18"/>
      <c r="P591" s="12"/>
      <c r="Q591" s="12"/>
      <c r="R591" s="12"/>
      <c r="S591" s="36"/>
      <c r="T591" s="36"/>
      <c r="U591" s="12"/>
      <c r="V591" s="12"/>
      <c r="W591" s="12"/>
      <c r="X591" s="12"/>
      <c r="Y591" s="12"/>
    </row>
    <row r="592" customFormat="false" ht="15.75" hidden="false" customHeight="false" outlineLevel="0" collapsed="false">
      <c r="A592" s="12"/>
      <c r="B592" s="34"/>
      <c r="C592" s="12"/>
      <c r="D592" s="12"/>
      <c r="E592" s="12"/>
      <c r="F592" s="12"/>
      <c r="G592" s="18"/>
      <c r="H592" s="18"/>
      <c r="I592" s="35"/>
      <c r="J592" s="12"/>
      <c r="N592" s="12"/>
      <c r="O592" s="18"/>
      <c r="P592" s="12"/>
      <c r="Q592" s="12"/>
      <c r="R592" s="12"/>
      <c r="S592" s="36"/>
      <c r="T592" s="36"/>
      <c r="U592" s="12"/>
      <c r="V592" s="12"/>
      <c r="W592" s="12"/>
      <c r="X592" s="12"/>
      <c r="Y592" s="12"/>
    </row>
    <row r="593" customFormat="false" ht="15.75" hidden="false" customHeight="false" outlineLevel="0" collapsed="false">
      <c r="A593" s="12"/>
      <c r="B593" s="34"/>
      <c r="C593" s="12"/>
      <c r="D593" s="12"/>
      <c r="E593" s="12"/>
      <c r="F593" s="12"/>
      <c r="G593" s="18"/>
      <c r="H593" s="18"/>
      <c r="I593" s="35"/>
      <c r="J593" s="12"/>
      <c r="N593" s="12"/>
      <c r="O593" s="18"/>
      <c r="P593" s="12"/>
      <c r="Q593" s="12"/>
      <c r="R593" s="12"/>
      <c r="S593" s="36"/>
      <c r="T593" s="36"/>
      <c r="U593" s="12"/>
      <c r="V593" s="12"/>
      <c r="W593" s="12"/>
      <c r="X593" s="12"/>
      <c r="Y593" s="12"/>
    </row>
    <row r="594" customFormat="false" ht="15.75" hidden="false" customHeight="false" outlineLevel="0" collapsed="false">
      <c r="A594" s="12"/>
      <c r="B594" s="34"/>
      <c r="C594" s="12"/>
      <c r="D594" s="12"/>
      <c r="E594" s="12"/>
      <c r="F594" s="12"/>
      <c r="G594" s="18"/>
      <c r="H594" s="18"/>
      <c r="I594" s="35"/>
      <c r="J594" s="12"/>
      <c r="N594" s="12"/>
      <c r="O594" s="18"/>
      <c r="P594" s="12"/>
      <c r="Q594" s="12"/>
      <c r="R594" s="12"/>
      <c r="S594" s="36"/>
      <c r="T594" s="36"/>
      <c r="U594" s="12"/>
      <c r="V594" s="12"/>
      <c r="W594" s="12"/>
      <c r="X594" s="12"/>
      <c r="Y594" s="12"/>
    </row>
    <row r="595" customFormat="false" ht="15.75" hidden="false" customHeight="false" outlineLevel="0" collapsed="false">
      <c r="A595" s="12"/>
      <c r="B595" s="34"/>
      <c r="C595" s="12"/>
      <c r="D595" s="12"/>
      <c r="E595" s="12"/>
      <c r="F595" s="12"/>
      <c r="G595" s="18"/>
      <c r="H595" s="18"/>
      <c r="I595" s="35"/>
      <c r="J595" s="12"/>
      <c r="N595" s="12"/>
      <c r="O595" s="18"/>
      <c r="P595" s="12"/>
      <c r="Q595" s="12"/>
      <c r="R595" s="12"/>
      <c r="S595" s="36"/>
      <c r="T595" s="36"/>
      <c r="U595" s="12"/>
      <c r="V595" s="12"/>
      <c r="W595" s="12"/>
      <c r="X595" s="12"/>
      <c r="Y595" s="12"/>
    </row>
    <row r="596" customFormat="false" ht="15.75" hidden="false" customHeight="false" outlineLevel="0" collapsed="false">
      <c r="A596" s="12"/>
      <c r="B596" s="34"/>
      <c r="C596" s="12"/>
      <c r="D596" s="12"/>
      <c r="E596" s="12"/>
      <c r="F596" s="12"/>
      <c r="G596" s="18"/>
      <c r="H596" s="18"/>
      <c r="I596" s="35"/>
      <c r="J596" s="12"/>
      <c r="N596" s="12"/>
      <c r="O596" s="18"/>
      <c r="P596" s="12"/>
      <c r="Q596" s="12"/>
      <c r="R596" s="12"/>
      <c r="S596" s="36"/>
      <c r="T596" s="36"/>
      <c r="U596" s="12"/>
      <c r="V596" s="12"/>
      <c r="W596" s="12"/>
      <c r="X596" s="12"/>
      <c r="Y596" s="12"/>
    </row>
    <row r="597" customFormat="false" ht="15.75" hidden="false" customHeight="false" outlineLevel="0" collapsed="false">
      <c r="A597" s="12"/>
      <c r="B597" s="34"/>
      <c r="C597" s="12"/>
      <c r="D597" s="12"/>
      <c r="E597" s="12"/>
      <c r="F597" s="12"/>
      <c r="G597" s="18"/>
      <c r="H597" s="18"/>
      <c r="I597" s="35"/>
      <c r="J597" s="12"/>
      <c r="N597" s="12"/>
      <c r="O597" s="18"/>
      <c r="P597" s="12"/>
      <c r="Q597" s="12"/>
      <c r="R597" s="12"/>
      <c r="S597" s="36"/>
      <c r="T597" s="36"/>
      <c r="U597" s="12"/>
      <c r="V597" s="12"/>
      <c r="W597" s="12"/>
      <c r="X597" s="12"/>
      <c r="Y597" s="12"/>
    </row>
    <row r="598" customFormat="false" ht="15.75" hidden="false" customHeight="false" outlineLevel="0" collapsed="false">
      <c r="A598" s="12"/>
      <c r="B598" s="34"/>
      <c r="C598" s="12"/>
      <c r="D598" s="12"/>
      <c r="E598" s="12"/>
      <c r="F598" s="12"/>
      <c r="G598" s="18"/>
      <c r="H598" s="18"/>
      <c r="I598" s="35"/>
      <c r="J598" s="12"/>
      <c r="N598" s="12"/>
      <c r="O598" s="18"/>
      <c r="P598" s="12"/>
      <c r="Q598" s="12"/>
      <c r="R598" s="12"/>
      <c r="S598" s="36"/>
      <c r="T598" s="36"/>
      <c r="U598" s="12"/>
      <c r="V598" s="12"/>
      <c r="W598" s="12"/>
      <c r="X598" s="12"/>
      <c r="Y598" s="12"/>
    </row>
    <row r="599" customFormat="false" ht="15.75" hidden="false" customHeight="false" outlineLevel="0" collapsed="false">
      <c r="A599" s="12"/>
      <c r="B599" s="34"/>
      <c r="C599" s="12"/>
      <c r="D599" s="12"/>
      <c r="E599" s="12"/>
      <c r="F599" s="12"/>
      <c r="G599" s="18"/>
      <c r="H599" s="18"/>
      <c r="I599" s="35"/>
      <c r="J599" s="12"/>
      <c r="N599" s="12"/>
      <c r="O599" s="18"/>
      <c r="P599" s="12"/>
      <c r="Q599" s="12"/>
      <c r="R599" s="12"/>
      <c r="S599" s="36"/>
      <c r="T599" s="36"/>
      <c r="U599" s="12"/>
      <c r="V599" s="12"/>
      <c r="W599" s="12"/>
      <c r="X599" s="12"/>
      <c r="Y599" s="12"/>
    </row>
    <row r="600" customFormat="false" ht="15.75" hidden="false" customHeight="false" outlineLevel="0" collapsed="false">
      <c r="A600" s="12"/>
      <c r="B600" s="34"/>
      <c r="C600" s="12"/>
      <c r="D600" s="12"/>
      <c r="E600" s="12"/>
      <c r="F600" s="12"/>
      <c r="G600" s="18"/>
      <c r="H600" s="18"/>
      <c r="I600" s="35"/>
      <c r="J600" s="12"/>
      <c r="N600" s="12"/>
      <c r="O600" s="18"/>
      <c r="P600" s="12"/>
      <c r="Q600" s="12"/>
      <c r="R600" s="12"/>
      <c r="S600" s="36"/>
      <c r="T600" s="36"/>
      <c r="U600" s="12"/>
      <c r="V600" s="12"/>
      <c r="W600" s="12"/>
      <c r="X600" s="12"/>
      <c r="Y600" s="12"/>
    </row>
    <row r="601" customFormat="false" ht="15.75" hidden="false" customHeight="false" outlineLevel="0" collapsed="false">
      <c r="A601" s="12"/>
      <c r="B601" s="34"/>
      <c r="C601" s="12"/>
      <c r="D601" s="12"/>
      <c r="E601" s="12"/>
      <c r="F601" s="12"/>
      <c r="G601" s="18"/>
      <c r="H601" s="18"/>
      <c r="I601" s="35"/>
      <c r="J601" s="12"/>
      <c r="N601" s="12"/>
      <c r="O601" s="18"/>
      <c r="P601" s="12"/>
      <c r="Q601" s="12"/>
      <c r="R601" s="12"/>
      <c r="S601" s="36"/>
      <c r="T601" s="36"/>
      <c r="U601" s="12"/>
      <c r="V601" s="12"/>
      <c r="W601" s="12"/>
      <c r="X601" s="12"/>
      <c r="Y601" s="12"/>
    </row>
    <row r="602" customFormat="false" ht="15.75" hidden="false" customHeight="false" outlineLevel="0" collapsed="false">
      <c r="A602" s="12"/>
      <c r="B602" s="34"/>
      <c r="C602" s="12"/>
      <c r="D602" s="12"/>
      <c r="E602" s="12"/>
      <c r="F602" s="12"/>
      <c r="G602" s="18"/>
      <c r="H602" s="18"/>
      <c r="I602" s="35"/>
      <c r="J602" s="12"/>
      <c r="N602" s="12"/>
      <c r="O602" s="18"/>
      <c r="P602" s="12"/>
      <c r="Q602" s="12"/>
      <c r="R602" s="12"/>
      <c r="S602" s="36"/>
      <c r="T602" s="36"/>
      <c r="U602" s="12"/>
      <c r="V602" s="12"/>
      <c r="W602" s="12"/>
      <c r="X602" s="12"/>
      <c r="Y602" s="12"/>
    </row>
    <row r="603" customFormat="false" ht="15.75" hidden="false" customHeight="false" outlineLevel="0" collapsed="false">
      <c r="A603" s="12"/>
      <c r="B603" s="34"/>
      <c r="C603" s="12"/>
      <c r="D603" s="12"/>
      <c r="E603" s="12"/>
      <c r="F603" s="12"/>
      <c r="G603" s="18"/>
      <c r="H603" s="18"/>
      <c r="I603" s="35"/>
      <c r="J603" s="12"/>
      <c r="N603" s="12"/>
      <c r="O603" s="18"/>
      <c r="P603" s="12"/>
      <c r="Q603" s="12"/>
      <c r="R603" s="12"/>
      <c r="S603" s="36"/>
      <c r="T603" s="36"/>
      <c r="U603" s="12"/>
      <c r="V603" s="12"/>
      <c r="W603" s="12"/>
      <c r="X603" s="12"/>
      <c r="Y603" s="12"/>
    </row>
    <row r="604" customFormat="false" ht="15.75" hidden="false" customHeight="false" outlineLevel="0" collapsed="false">
      <c r="A604" s="12"/>
      <c r="B604" s="34"/>
      <c r="C604" s="12"/>
      <c r="D604" s="12"/>
      <c r="E604" s="12"/>
      <c r="F604" s="12"/>
      <c r="G604" s="18"/>
      <c r="H604" s="18"/>
      <c r="I604" s="35"/>
      <c r="J604" s="12"/>
      <c r="N604" s="12"/>
      <c r="O604" s="18"/>
      <c r="P604" s="12"/>
      <c r="Q604" s="12"/>
      <c r="R604" s="12"/>
      <c r="S604" s="36"/>
      <c r="T604" s="36"/>
      <c r="U604" s="12"/>
      <c r="V604" s="12"/>
      <c r="W604" s="12"/>
      <c r="X604" s="12"/>
      <c r="Y604" s="12"/>
    </row>
    <row r="605" customFormat="false" ht="15.75" hidden="false" customHeight="false" outlineLevel="0" collapsed="false">
      <c r="A605" s="12"/>
      <c r="B605" s="34"/>
      <c r="C605" s="12"/>
      <c r="D605" s="12"/>
      <c r="E605" s="12"/>
      <c r="F605" s="12"/>
      <c r="G605" s="18"/>
      <c r="H605" s="18"/>
      <c r="I605" s="35"/>
      <c r="J605" s="12"/>
      <c r="N605" s="12"/>
      <c r="O605" s="18"/>
      <c r="P605" s="12"/>
      <c r="Q605" s="12"/>
      <c r="R605" s="12"/>
      <c r="S605" s="36"/>
      <c r="T605" s="36"/>
      <c r="U605" s="12"/>
      <c r="V605" s="12"/>
      <c r="W605" s="12"/>
      <c r="X605" s="12"/>
      <c r="Y605" s="12"/>
    </row>
    <row r="606" customFormat="false" ht="15.75" hidden="false" customHeight="false" outlineLevel="0" collapsed="false">
      <c r="A606" s="12"/>
      <c r="B606" s="34"/>
      <c r="C606" s="12"/>
      <c r="D606" s="12"/>
      <c r="E606" s="12"/>
      <c r="F606" s="12"/>
      <c r="G606" s="18"/>
      <c r="H606" s="18"/>
      <c r="I606" s="35"/>
      <c r="J606" s="12"/>
      <c r="N606" s="12"/>
      <c r="O606" s="18"/>
      <c r="P606" s="12"/>
      <c r="Q606" s="12"/>
      <c r="R606" s="12"/>
      <c r="S606" s="36"/>
      <c r="T606" s="36"/>
      <c r="U606" s="12"/>
      <c r="V606" s="12"/>
      <c r="W606" s="12"/>
      <c r="X606" s="12"/>
      <c r="Y606" s="12"/>
    </row>
    <row r="607" customFormat="false" ht="15.75" hidden="false" customHeight="false" outlineLevel="0" collapsed="false">
      <c r="A607" s="12"/>
      <c r="B607" s="34"/>
      <c r="C607" s="12"/>
      <c r="D607" s="12"/>
      <c r="E607" s="12"/>
      <c r="F607" s="12"/>
      <c r="G607" s="18"/>
      <c r="H607" s="18"/>
      <c r="I607" s="35"/>
      <c r="J607" s="12"/>
      <c r="N607" s="12"/>
      <c r="O607" s="18"/>
      <c r="P607" s="12"/>
      <c r="Q607" s="12"/>
      <c r="R607" s="12"/>
      <c r="S607" s="36"/>
      <c r="T607" s="36"/>
      <c r="U607" s="12"/>
      <c r="V607" s="12"/>
      <c r="W607" s="12"/>
      <c r="X607" s="12"/>
      <c r="Y607" s="12"/>
    </row>
    <row r="608" customFormat="false" ht="15.75" hidden="false" customHeight="false" outlineLevel="0" collapsed="false">
      <c r="A608" s="12"/>
      <c r="B608" s="34"/>
      <c r="C608" s="12"/>
      <c r="D608" s="12"/>
      <c r="E608" s="12"/>
      <c r="F608" s="12"/>
      <c r="G608" s="18"/>
      <c r="H608" s="18"/>
      <c r="I608" s="35"/>
      <c r="J608" s="12"/>
      <c r="N608" s="12"/>
      <c r="O608" s="18"/>
      <c r="P608" s="12"/>
      <c r="Q608" s="12"/>
      <c r="R608" s="12"/>
      <c r="S608" s="36"/>
      <c r="T608" s="36"/>
      <c r="U608" s="12"/>
      <c r="V608" s="12"/>
      <c r="W608" s="12"/>
      <c r="X608" s="12"/>
      <c r="Y608" s="12"/>
    </row>
    <row r="609" customFormat="false" ht="15.75" hidden="false" customHeight="false" outlineLevel="0" collapsed="false">
      <c r="A609" s="12"/>
      <c r="B609" s="34"/>
      <c r="C609" s="12"/>
      <c r="D609" s="12"/>
      <c r="E609" s="12"/>
      <c r="F609" s="12"/>
      <c r="G609" s="18"/>
      <c r="H609" s="18"/>
      <c r="I609" s="35"/>
      <c r="J609" s="12"/>
      <c r="N609" s="12"/>
      <c r="O609" s="18"/>
      <c r="P609" s="12"/>
      <c r="Q609" s="12"/>
      <c r="R609" s="12"/>
      <c r="S609" s="36"/>
      <c r="T609" s="36"/>
      <c r="U609" s="12"/>
      <c r="V609" s="12"/>
      <c r="W609" s="12"/>
      <c r="X609" s="12"/>
      <c r="Y609" s="12"/>
    </row>
    <row r="610" customFormat="false" ht="15.75" hidden="false" customHeight="false" outlineLevel="0" collapsed="false">
      <c r="A610" s="12"/>
      <c r="B610" s="34"/>
      <c r="C610" s="12"/>
      <c r="D610" s="12"/>
      <c r="E610" s="12"/>
      <c r="F610" s="12"/>
      <c r="G610" s="18"/>
      <c r="H610" s="18"/>
      <c r="I610" s="35"/>
      <c r="J610" s="12"/>
      <c r="N610" s="12"/>
      <c r="O610" s="18"/>
      <c r="P610" s="12"/>
      <c r="Q610" s="12"/>
      <c r="R610" s="12"/>
      <c r="S610" s="36"/>
      <c r="T610" s="36"/>
      <c r="U610" s="12"/>
      <c r="V610" s="12"/>
      <c r="W610" s="12"/>
      <c r="X610" s="12"/>
      <c r="Y610" s="12"/>
    </row>
    <row r="611" customFormat="false" ht="15.75" hidden="false" customHeight="false" outlineLevel="0" collapsed="false">
      <c r="A611" s="12"/>
      <c r="B611" s="34"/>
      <c r="C611" s="12"/>
      <c r="D611" s="12"/>
      <c r="E611" s="12"/>
      <c r="F611" s="12"/>
      <c r="G611" s="18"/>
      <c r="H611" s="18"/>
      <c r="I611" s="35"/>
      <c r="J611" s="12"/>
      <c r="N611" s="12"/>
      <c r="O611" s="18"/>
      <c r="P611" s="12"/>
      <c r="Q611" s="12"/>
      <c r="R611" s="12"/>
      <c r="S611" s="36"/>
      <c r="T611" s="36"/>
      <c r="U611" s="12"/>
      <c r="V611" s="12"/>
      <c r="W611" s="12"/>
      <c r="X611" s="12"/>
      <c r="Y611" s="12"/>
    </row>
    <row r="612" customFormat="false" ht="15.75" hidden="false" customHeight="false" outlineLevel="0" collapsed="false">
      <c r="A612" s="12"/>
      <c r="B612" s="34"/>
      <c r="C612" s="12"/>
      <c r="D612" s="12"/>
      <c r="E612" s="12"/>
      <c r="F612" s="12"/>
      <c r="G612" s="18"/>
      <c r="H612" s="18"/>
      <c r="I612" s="35"/>
      <c r="J612" s="12"/>
      <c r="N612" s="12"/>
      <c r="O612" s="18"/>
      <c r="P612" s="12"/>
      <c r="Q612" s="12"/>
      <c r="R612" s="12"/>
      <c r="S612" s="36"/>
      <c r="T612" s="36"/>
      <c r="U612" s="12"/>
      <c r="V612" s="12"/>
      <c r="W612" s="12"/>
      <c r="X612" s="12"/>
      <c r="Y612" s="12"/>
    </row>
    <row r="613" customFormat="false" ht="15.75" hidden="false" customHeight="false" outlineLevel="0" collapsed="false">
      <c r="A613" s="12"/>
      <c r="B613" s="34"/>
      <c r="C613" s="12"/>
      <c r="D613" s="12"/>
      <c r="E613" s="12"/>
      <c r="F613" s="12"/>
      <c r="G613" s="18"/>
      <c r="H613" s="18"/>
      <c r="I613" s="35"/>
      <c r="J613" s="12"/>
      <c r="N613" s="12"/>
      <c r="O613" s="18"/>
      <c r="P613" s="12"/>
      <c r="Q613" s="12"/>
      <c r="R613" s="12"/>
      <c r="S613" s="36"/>
      <c r="T613" s="36"/>
      <c r="U613" s="12"/>
      <c r="V613" s="12"/>
      <c r="W613" s="12"/>
      <c r="X613" s="12"/>
      <c r="Y613" s="12"/>
    </row>
    <row r="614" customFormat="false" ht="15.75" hidden="false" customHeight="false" outlineLevel="0" collapsed="false">
      <c r="A614" s="12"/>
      <c r="B614" s="34"/>
      <c r="C614" s="12"/>
      <c r="D614" s="12"/>
      <c r="E614" s="12"/>
      <c r="F614" s="12"/>
      <c r="G614" s="18"/>
      <c r="H614" s="18"/>
      <c r="I614" s="35"/>
      <c r="J614" s="12"/>
      <c r="N614" s="12"/>
      <c r="O614" s="18"/>
      <c r="P614" s="12"/>
      <c r="Q614" s="12"/>
      <c r="R614" s="12"/>
      <c r="S614" s="36"/>
      <c r="T614" s="36"/>
      <c r="U614" s="12"/>
      <c r="V614" s="12"/>
      <c r="W614" s="12"/>
      <c r="X614" s="12"/>
      <c r="Y614" s="12"/>
    </row>
    <row r="615" customFormat="false" ht="15.75" hidden="false" customHeight="false" outlineLevel="0" collapsed="false">
      <c r="A615" s="12"/>
      <c r="B615" s="34"/>
      <c r="C615" s="12"/>
      <c r="D615" s="12"/>
      <c r="E615" s="12"/>
      <c r="F615" s="12"/>
      <c r="G615" s="18"/>
      <c r="H615" s="18"/>
      <c r="I615" s="35"/>
      <c r="J615" s="12"/>
      <c r="N615" s="12"/>
      <c r="O615" s="18"/>
      <c r="P615" s="12"/>
      <c r="Q615" s="12"/>
      <c r="R615" s="12"/>
      <c r="S615" s="36"/>
      <c r="T615" s="36"/>
      <c r="U615" s="12"/>
      <c r="V615" s="12"/>
      <c r="W615" s="12"/>
      <c r="X615" s="12"/>
      <c r="Y615" s="12"/>
    </row>
    <row r="616" customFormat="false" ht="15.75" hidden="false" customHeight="false" outlineLevel="0" collapsed="false">
      <c r="A616" s="12"/>
      <c r="B616" s="34"/>
      <c r="C616" s="12"/>
      <c r="D616" s="12"/>
      <c r="E616" s="12"/>
      <c r="F616" s="12"/>
      <c r="G616" s="18"/>
      <c r="H616" s="18"/>
      <c r="I616" s="35"/>
      <c r="J616" s="12"/>
      <c r="N616" s="12"/>
      <c r="O616" s="18"/>
      <c r="P616" s="12"/>
      <c r="Q616" s="12"/>
      <c r="R616" s="12"/>
      <c r="S616" s="36"/>
      <c r="T616" s="36"/>
      <c r="U616" s="12"/>
      <c r="V616" s="12"/>
      <c r="W616" s="12"/>
      <c r="X616" s="12"/>
      <c r="Y616" s="12"/>
    </row>
    <row r="617" customFormat="false" ht="15.75" hidden="false" customHeight="false" outlineLevel="0" collapsed="false">
      <c r="A617" s="12"/>
      <c r="B617" s="34"/>
      <c r="C617" s="12"/>
      <c r="D617" s="12"/>
      <c r="E617" s="12"/>
      <c r="F617" s="12"/>
      <c r="G617" s="18"/>
      <c r="H617" s="18"/>
      <c r="I617" s="35"/>
      <c r="J617" s="12"/>
      <c r="N617" s="12"/>
      <c r="O617" s="18"/>
      <c r="P617" s="12"/>
      <c r="Q617" s="12"/>
      <c r="R617" s="12"/>
      <c r="S617" s="36"/>
      <c r="T617" s="36"/>
      <c r="U617" s="12"/>
      <c r="V617" s="12"/>
      <c r="W617" s="12"/>
      <c r="X617" s="12"/>
      <c r="Y617" s="12"/>
    </row>
    <row r="618" customFormat="false" ht="15.75" hidden="false" customHeight="false" outlineLevel="0" collapsed="false">
      <c r="A618" s="12"/>
      <c r="B618" s="34"/>
      <c r="C618" s="12"/>
      <c r="D618" s="12"/>
      <c r="E618" s="12"/>
      <c r="F618" s="12"/>
      <c r="G618" s="18"/>
      <c r="H618" s="18"/>
      <c r="I618" s="35"/>
      <c r="J618" s="12"/>
      <c r="N618" s="12"/>
      <c r="O618" s="18"/>
      <c r="P618" s="12"/>
      <c r="Q618" s="12"/>
      <c r="R618" s="12"/>
      <c r="S618" s="36"/>
      <c r="T618" s="36"/>
      <c r="U618" s="12"/>
      <c r="V618" s="12"/>
      <c r="W618" s="12"/>
      <c r="X618" s="12"/>
      <c r="Y618" s="12"/>
    </row>
    <row r="619" customFormat="false" ht="15.75" hidden="false" customHeight="false" outlineLevel="0" collapsed="false">
      <c r="A619" s="12"/>
      <c r="B619" s="34"/>
      <c r="C619" s="12"/>
      <c r="D619" s="12"/>
      <c r="E619" s="12"/>
      <c r="F619" s="12"/>
      <c r="G619" s="18"/>
      <c r="H619" s="18"/>
      <c r="I619" s="35"/>
      <c r="J619" s="12"/>
      <c r="N619" s="12"/>
      <c r="O619" s="18"/>
      <c r="P619" s="12"/>
      <c r="Q619" s="12"/>
      <c r="R619" s="12"/>
      <c r="S619" s="36"/>
      <c r="T619" s="36"/>
      <c r="U619" s="12"/>
      <c r="V619" s="12"/>
      <c r="W619" s="12"/>
      <c r="X619" s="12"/>
      <c r="Y619" s="12"/>
    </row>
    <row r="620" customFormat="false" ht="15.75" hidden="false" customHeight="false" outlineLevel="0" collapsed="false">
      <c r="A620" s="12"/>
      <c r="B620" s="34"/>
      <c r="C620" s="12"/>
      <c r="D620" s="12"/>
      <c r="E620" s="12"/>
      <c r="F620" s="12"/>
      <c r="G620" s="18"/>
      <c r="H620" s="18"/>
      <c r="I620" s="35"/>
      <c r="J620" s="12"/>
      <c r="N620" s="12"/>
      <c r="O620" s="18"/>
      <c r="P620" s="12"/>
      <c r="Q620" s="12"/>
      <c r="R620" s="12"/>
      <c r="S620" s="36"/>
      <c r="T620" s="36"/>
      <c r="U620" s="12"/>
      <c r="V620" s="12"/>
      <c r="W620" s="12"/>
      <c r="X620" s="12"/>
      <c r="Y620" s="12"/>
    </row>
    <row r="621" customFormat="false" ht="15.75" hidden="false" customHeight="false" outlineLevel="0" collapsed="false">
      <c r="A621" s="12"/>
      <c r="B621" s="34"/>
      <c r="C621" s="12"/>
      <c r="D621" s="12"/>
      <c r="E621" s="12"/>
      <c r="F621" s="12"/>
      <c r="G621" s="18"/>
      <c r="H621" s="18"/>
      <c r="I621" s="35"/>
      <c r="J621" s="12"/>
      <c r="N621" s="12"/>
      <c r="O621" s="18"/>
      <c r="P621" s="12"/>
      <c r="Q621" s="12"/>
      <c r="R621" s="12"/>
      <c r="S621" s="36"/>
      <c r="T621" s="36"/>
      <c r="U621" s="12"/>
      <c r="V621" s="12"/>
      <c r="W621" s="12"/>
      <c r="X621" s="12"/>
      <c r="Y621" s="12"/>
    </row>
    <row r="622" customFormat="false" ht="15.75" hidden="false" customHeight="false" outlineLevel="0" collapsed="false">
      <c r="A622" s="12"/>
      <c r="B622" s="34"/>
      <c r="C622" s="12"/>
      <c r="D622" s="12"/>
      <c r="E622" s="12"/>
      <c r="F622" s="12"/>
      <c r="G622" s="18"/>
      <c r="H622" s="18"/>
      <c r="I622" s="35"/>
      <c r="J622" s="12"/>
      <c r="N622" s="12"/>
      <c r="O622" s="18"/>
      <c r="P622" s="12"/>
      <c r="Q622" s="12"/>
      <c r="R622" s="12"/>
      <c r="S622" s="36"/>
      <c r="T622" s="36"/>
      <c r="U622" s="12"/>
      <c r="V622" s="12"/>
      <c r="W622" s="12"/>
      <c r="X622" s="12"/>
      <c r="Y622" s="12"/>
    </row>
    <row r="623" customFormat="false" ht="15.75" hidden="false" customHeight="false" outlineLevel="0" collapsed="false">
      <c r="A623" s="12"/>
      <c r="B623" s="34"/>
      <c r="C623" s="12"/>
      <c r="D623" s="12"/>
      <c r="E623" s="12"/>
      <c r="F623" s="12"/>
      <c r="G623" s="18"/>
      <c r="H623" s="18"/>
      <c r="I623" s="35"/>
      <c r="J623" s="12"/>
      <c r="N623" s="12"/>
      <c r="O623" s="18"/>
      <c r="P623" s="12"/>
      <c r="Q623" s="12"/>
      <c r="R623" s="12"/>
      <c r="S623" s="36"/>
      <c r="T623" s="36"/>
      <c r="U623" s="12"/>
      <c r="V623" s="12"/>
      <c r="W623" s="12"/>
      <c r="X623" s="12"/>
      <c r="Y623" s="12"/>
    </row>
    <row r="624" customFormat="false" ht="15.75" hidden="false" customHeight="false" outlineLevel="0" collapsed="false">
      <c r="A624" s="12"/>
      <c r="B624" s="34"/>
      <c r="C624" s="12"/>
      <c r="D624" s="12"/>
      <c r="E624" s="12"/>
      <c r="F624" s="12"/>
      <c r="G624" s="18"/>
      <c r="H624" s="18"/>
      <c r="I624" s="35"/>
      <c r="J624" s="12"/>
      <c r="N624" s="12"/>
      <c r="O624" s="18"/>
      <c r="P624" s="12"/>
      <c r="Q624" s="12"/>
      <c r="R624" s="12"/>
      <c r="S624" s="36"/>
      <c r="T624" s="36"/>
      <c r="U624" s="12"/>
      <c r="V624" s="12"/>
      <c r="W624" s="12"/>
      <c r="X624" s="12"/>
      <c r="Y624" s="12"/>
    </row>
    <row r="625" customFormat="false" ht="15.75" hidden="false" customHeight="false" outlineLevel="0" collapsed="false">
      <c r="A625" s="12"/>
      <c r="B625" s="34"/>
      <c r="C625" s="12"/>
      <c r="D625" s="12"/>
      <c r="E625" s="12"/>
      <c r="F625" s="12"/>
      <c r="G625" s="18"/>
      <c r="H625" s="18"/>
      <c r="I625" s="35"/>
      <c r="J625" s="12"/>
      <c r="N625" s="12"/>
      <c r="O625" s="18"/>
      <c r="P625" s="12"/>
      <c r="Q625" s="12"/>
      <c r="R625" s="12"/>
      <c r="S625" s="36"/>
      <c r="T625" s="36"/>
      <c r="U625" s="12"/>
      <c r="V625" s="12"/>
      <c r="W625" s="12"/>
      <c r="X625" s="12"/>
      <c r="Y625" s="12"/>
    </row>
    <row r="626" customFormat="false" ht="15.75" hidden="false" customHeight="false" outlineLevel="0" collapsed="false">
      <c r="A626" s="12"/>
      <c r="B626" s="34"/>
      <c r="C626" s="12"/>
      <c r="D626" s="12"/>
      <c r="E626" s="12"/>
      <c r="F626" s="12"/>
      <c r="G626" s="18"/>
      <c r="H626" s="18"/>
      <c r="I626" s="35"/>
      <c r="J626" s="12"/>
      <c r="N626" s="12"/>
      <c r="O626" s="18"/>
      <c r="P626" s="12"/>
      <c r="Q626" s="12"/>
      <c r="R626" s="12"/>
      <c r="S626" s="36"/>
      <c r="T626" s="36"/>
      <c r="U626" s="12"/>
      <c r="V626" s="12"/>
      <c r="W626" s="12"/>
      <c r="X626" s="12"/>
      <c r="Y626" s="12"/>
    </row>
    <row r="627" customFormat="false" ht="15.75" hidden="false" customHeight="false" outlineLevel="0" collapsed="false">
      <c r="A627" s="12"/>
      <c r="B627" s="34"/>
      <c r="C627" s="12"/>
      <c r="D627" s="12"/>
      <c r="E627" s="12"/>
      <c r="F627" s="12"/>
      <c r="G627" s="18"/>
      <c r="H627" s="18"/>
      <c r="I627" s="35"/>
      <c r="J627" s="12"/>
      <c r="N627" s="12"/>
      <c r="O627" s="18"/>
      <c r="P627" s="12"/>
      <c r="Q627" s="12"/>
      <c r="R627" s="12"/>
      <c r="S627" s="36"/>
      <c r="T627" s="36"/>
      <c r="U627" s="12"/>
      <c r="V627" s="12"/>
      <c r="W627" s="12"/>
      <c r="X627" s="12"/>
      <c r="Y627" s="12"/>
    </row>
    <row r="628" customFormat="false" ht="15.75" hidden="false" customHeight="false" outlineLevel="0" collapsed="false">
      <c r="A628" s="12"/>
      <c r="B628" s="34"/>
      <c r="C628" s="12"/>
      <c r="D628" s="12"/>
      <c r="E628" s="12"/>
      <c r="F628" s="12"/>
      <c r="G628" s="18"/>
      <c r="H628" s="18"/>
      <c r="I628" s="35"/>
      <c r="J628" s="12"/>
      <c r="N628" s="12"/>
      <c r="O628" s="18"/>
      <c r="P628" s="12"/>
      <c r="Q628" s="12"/>
      <c r="R628" s="12"/>
      <c r="S628" s="36"/>
      <c r="T628" s="36"/>
      <c r="U628" s="12"/>
      <c r="V628" s="12"/>
      <c r="W628" s="12"/>
      <c r="X628" s="12"/>
      <c r="Y628" s="12"/>
    </row>
    <row r="629" customFormat="false" ht="15.75" hidden="false" customHeight="false" outlineLevel="0" collapsed="false">
      <c r="A629" s="12"/>
      <c r="B629" s="34"/>
      <c r="C629" s="12"/>
      <c r="D629" s="12"/>
      <c r="E629" s="12"/>
      <c r="F629" s="12"/>
      <c r="G629" s="18"/>
      <c r="H629" s="18"/>
      <c r="I629" s="35"/>
      <c r="J629" s="12"/>
      <c r="N629" s="12"/>
      <c r="O629" s="18"/>
      <c r="P629" s="12"/>
      <c r="Q629" s="12"/>
      <c r="R629" s="12"/>
      <c r="S629" s="36"/>
      <c r="T629" s="36"/>
      <c r="U629" s="12"/>
      <c r="V629" s="12"/>
      <c r="W629" s="12"/>
      <c r="X629" s="12"/>
      <c r="Y629" s="12"/>
    </row>
    <row r="630" customFormat="false" ht="15.75" hidden="false" customHeight="false" outlineLevel="0" collapsed="false">
      <c r="A630" s="12"/>
      <c r="B630" s="34"/>
      <c r="C630" s="12"/>
      <c r="D630" s="12"/>
      <c r="E630" s="12"/>
      <c r="F630" s="12"/>
      <c r="G630" s="18"/>
      <c r="H630" s="18"/>
      <c r="I630" s="35"/>
      <c r="J630" s="12"/>
      <c r="N630" s="12"/>
      <c r="O630" s="18"/>
      <c r="P630" s="12"/>
      <c r="Q630" s="12"/>
      <c r="R630" s="12"/>
      <c r="S630" s="36"/>
      <c r="T630" s="36"/>
      <c r="U630" s="12"/>
      <c r="V630" s="12"/>
      <c r="W630" s="12"/>
      <c r="X630" s="12"/>
      <c r="Y630" s="12"/>
    </row>
    <row r="631" customFormat="false" ht="15.75" hidden="false" customHeight="false" outlineLevel="0" collapsed="false">
      <c r="A631" s="12"/>
      <c r="B631" s="34"/>
      <c r="C631" s="12"/>
      <c r="D631" s="12"/>
      <c r="E631" s="12"/>
      <c r="F631" s="12"/>
      <c r="G631" s="18"/>
      <c r="H631" s="18"/>
      <c r="I631" s="35"/>
      <c r="J631" s="12"/>
      <c r="N631" s="12"/>
      <c r="O631" s="18"/>
      <c r="P631" s="12"/>
      <c r="Q631" s="12"/>
      <c r="R631" s="12"/>
      <c r="S631" s="36"/>
      <c r="T631" s="36"/>
      <c r="U631" s="12"/>
      <c r="V631" s="12"/>
      <c r="W631" s="12"/>
      <c r="X631" s="12"/>
      <c r="Y631" s="12"/>
    </row>
    <row r="632" customFormat="false" ht="15.75" hidden="false" customHeight="false" outlineLevel="0" collapsed="false">
      <c r="A632" s="12"/>
      <c r="B632" s="34"/>
      <c r="C632" s="12"/>
      <c r="D632" s="12"/>
      <c r="E632" s="12"/>
      <c r="F632" s="12"/>
      <c r="G632" s="18"/>
      <c r="H632" s="18"/>
      <c r="I632" s="35"/>
      <c r="J632" s="12"/>
      <c r="N632" s="12"/>
      <c r="O632" s="18"/>
      <c r="P632" s="12"/>
      <c r="Q632" s="12"/>
      <c r="R632" s="12"/>
      <c r="S632" s="36"/>
      <c r="T632" s="36"/>
      <c r="U632" s="12"/>
      <c r="V632" s="12"/>
      <c r="W632" s="12"/>
      <c r="X632" s="12"/>
      <c r="Y632" s="12"/>
    </row>
    <row r="633" customFormat="false" ht="15.75" hidden="false" customHeight="false" outlineLevel="0" collapsed="false">
      <c r="A633" s="12"/>
      <c r="B633" s="34"/>
      <c r="C633" s="12"/>
      <c r="D633" s="12"/>
      <c r="E633" s="12"/>
      <c r="F633" s="12"/>
      <c r="G633" s="18"/>
      <c r="H633" s="18"/>
      <c r="I633" s="35"/>
      <c r="J633" s="12"/>
      <c r="N633" s="12"/>
      <c r="O633" s="18"/>
      <c r="P633" s="12"/>
      <c r="Q633" s="12"/>
      <c r="R633" s="12"/>
      <c r="S633" s="36"/>
      <c r="T633" s="36"/>
      <c r="U633" s="12"/>
      <c r="V633" s="12"/>
      <c r="W633" s="12"/>
      <c r="X633" s="12"/>
      <c r="Y633" s="12"/>
    </row>
    <row r="634" customFormat="false" ht="15.75" hidden="false" customHeight="false" outlineLevel="0" collapsed="false">
      <c r="A634" s="12"/>
      <c r="B634" s="34"/>
      <c r="C634" s="12"/>
      <c r="D634" s="12"/>
      <c r="E634" s="12"/>
      <c r="F634" s="12"/>
      <c r="G634" s="18"/>
      <c r="H634" s="18"/>
      <c r="I634" s="35"/>
      <c r="J634" s="12"/>
      <c r="N634" s="12"/>
      <c r="O634" s="18"/>
      <c r="P634" s="12"/>
      <c r="Q634" s="12"/>
      <c r="R634" s="12"/>
      <c r="S634" s="36"/>
      <c r="T634" s="36"/>
      <c r="U634" s="12"/>
      <c r="V634" s="12"/>
      <c r="W634" s="12"/>
      <c r="X634" s="12"/>
      <c r="Y634" s="12"/>
    </row>
    <row r="635" customFormat="false" ht="15.75" hidden="false" customHeight="false" outlineLevel="0" collapsed="false">
      <c r="A635" s="12"/>
      <c r="B635" s="34"/>
      <c r="C635" s="12"/>
      <c r="D635" s="12"/>
      <c r="E635" s="12"/>
      <c r="F635" s="12"/>
      <c r="G635" s="18"/>
      <c r="H635" s="18"/>
      <c r="I635" s="35"/>
      <c r="J635" s="12"/>
      <c r="N635" s="12"/>
      <c r="O635" s="18"/>
      <c r="P635" s="12"/>
      <c r="Q635" s="12"/>
      <c r="R635" s="12"/>
      <c r="S635" s="36"/>
      <c r="T635" s="36"/>
      <c r="U635" s="12"/>
      <c r="V635" s="12"/>
      <c r="W635" s="12"/>
      <c r="X635" s="12"/>
      <c r="Y635" s="12"/>
    </row>
    <row r="636" customFormat="false" ht="15.75" hidden="false" customHeight="false" outlineLevel="0" collapsed="false">
      <c r="A636" s="12"/>
      <c r="B636" s="34"/>
      <c r="C636" s="12"/>
      <c r="D636" s="12"/>
      <c r="E636" s="12"/>
      <c r="F636" s="12"/>
      <c r="G636" s="18"/>
      <c r="H636" s="18"/>
      <c r="I636" s="35"/>
      <c r="J636" s="12"/>
      <c r="N636" s="12"/>
      <c r="O636" s="18"/>
      <c r="P636" s="12"/>
      <c r="Q636" s="12"/>
      <c r="R636" s="12"/>
      <c r="S636" s="36"/>
      <c r="T636" s="36"/>
      <c r="U636" s="12"/>
      <c r="V636" s="12"/>
      <c r="W636" s="12"/>
      <c r="X636" s="12"/>
      <c r="Y636" s="12"/>
    </row>
    <row r="637" customFormat="false" ht="15.75" hidden="false" customHeight="false" outlineLevel="0" collapsed="false">
      <c r="A637" s="12"/>
      <c r="B637" s="34"/>
      <c r="C637" s="12"/>
      <c r="D637" s="12"/>
      <c r="E637" s="12"/>
      <c r="F637" s="12"/>
      <c r="G637" s="18"/>
      <c r="H637" s="18"/>
      <c r="I637" s="35"/>
      <c r="J637" s="12"/>
      <c r="N637" s="12"/>
      <c r="O637" s="18"/>
      <c r="P637" s="12"/>
      <c r="Q637" s="12"/>
      <c r="R637" s="12"/>
      <c r="S637" s="36"/>
      <c r="T637" s="36"/>
      <c r="U637" s="12"/>
      <c r="V637" s="12"/>
      <c r="W637" s="12"/>
      <c r="X637" s="12"/>
      <c r="Y637" s="12"/>
    </row>
    <row r="638" customFormat="false" ht="15.75" hidden="false" customHeight="false" outlineLevel="0" collapsed="false">
      <c r="A638" s="12"/>
      <c r="B638" s="34"/>
      <c r="C638" s="12"/>
      <c r="D638" s="12"/>
      <c r="E638" s="12"/>
      <c r="F638" s="12"/>
      <c r="G638" s="18"/>
      <c r="H638" s="18"/>
      <c r="I638" s="35"/>
      <c r="J638" s="12"/>
      <c r="N638" s="12"/>
      <c r="O638" s="18"/>
      <c r="P638" s="12"/>
      <c r="Q638" s="12"/>
      <c r="R638" s="12"/>
      <c r="S638" s="36"/>
      <c r="T638" s="36"/>
      <c r="U638" s="12"/>
      <c r="V638" s="12"/>
      <c r="W638" s="12"/>
      <c r="X638" s="12"/>
      <c r="Y638" s="12"/>
    </row>
    <row r="639" customFormat="false" ht="15.75" hidden="false" customHeight="false" outlineLevel="0" collapsed="false">
      <c r="A639" s="12"/>
      <c r="B639" s="34"/>
      <c r="C639" s="12"/>
      <c r="D639" s="12"/>
      <c r="E639" s="12"/>
      <c r="F639" s="12"/>
      <c r="G639" s="18"/>
      <c r="H639" s="18"/>
      <c r="I639" s="35"/>
      <c r="J639" s="12"/>
      <c r="N639" s="12"/>
      <c r="O639" s="18"/>
      <c r="P639" s="12"/>
      <c r="Q639" s="12"/>
      <c r="R639" s="12"/>
      <c r="S639" s="36"/>
      <c r="T639" s="36"/>
      <c r="U639" s="12"/>
      <c r="V639" s="12"/>
      <c r="W639" s="12"/>
      <c r="X639" s="12"/>
      <c r="Y639" s="12"/>
    </row>
    <row r="640" customFormat="false" ht="15.75" hidden="false" customHeight="false" outlineLevel="0" collapsed="false">
      <c r="A640" s="12"/>
      <c r="B640" s="34"/>
      <c r="C640" s="12"/>
      <c r="D640" s="12"/>
      <c r="E640" s="12"/>
      <c r="F640" s="12"/>
      <c r="G640" s="18"/>
      <c r="H640" s="18"/>
      <c r="I640" s="35"/>
      <c r="J640" s="12"/>
      <c r="N640" s="12"/>
      <c r="O640" s="18"/>
      <c r="P640" s="12"/>
      <c r="Q640" s="12"/>
      <c r="R640" s="12"/>
      <c r="S640" s="36"/>
      <c r="T640" s="36"/>
      <c r="U640" s="12"/>
      <c r="V640" s="12"/>
      <c r="W640" s="12"/>
      <c r="X640" s="12"/>
      <c r="Y640" s="12"/>
    </row>
    <row r="641" customFormat="false" ht="15.75" hidden="false" customHeight="false" outlineLevel="0" collapsed="false">
      <c r="A641" s="12"/>
      <c r="B641" s="34"/>
      <c r="C641" s="12"/>
      <c r="D641" s="12"/>
      <c r="E641" s="12"/>
      <c r="F641" s="12"/>
      <c r="G641" s="18"/>
      <c r="H641" s="18"/>
      <c r="I641" s="35"/>
      <c r="J641" s="12"/>
      <c r="N641" s="12"/>
      <c r="O641" s="18"/>
      <c r="P641" s="12"/>
      <c r="Q641" s="12"/>
      <c r="R641" s="12"/>
      <c r="S641" s="36"/>
      <c r="T641" s="36"/>
      <c r="U641" s="12"/>
      <c r="V641" s="12"/>
      <c r="W641" s="12"/>
      <c r="X641" s="12"/>
      <c r="Y641" s="12"/>
    </row>
    <row r="642" customFormat="false" ht="15.75" hidden="false" customHeight="false" outlineLevel="0" collapsed="false">
      <c r="A642" s="12"/>
      <c r="B642" s="34"/>
      <c r="C642" s="12"/>
      <c r="D642" s="12"/>
      <c r="E642" s="12"/>
      <c r="F642" s="12"/>
      <c r="G642" s="18"/>
      <c r="H642" s="18"/>
      <c r="I642" s="35"/>
      <c r="J642" s="12"/>
      <c r="N642" s="12"/>
      <c r="O642" s="18"/>
      <c r="P642" s="12"/>
      <c r="Q642" s="12"/>
      <c r="R642" s="12"/>
      <c r="S642" s="36"/>
      <c r="T642" s="36"/>
      <c r="U642" s="12"/>
      <c r="V642" s="12"/>
      <c r="W642" s="12"/>
      <c r="X642" s="12"/>
      <c r="Y642" s="12"/>
    </row>
    <row r="643" customFormat="false" ht="15.75" hidden="false" customHeight="false" outlineLevel="0" collapsed="false">
      <c r="A643" s="12"/>
      <c r="B643" s="34"/>
      <c r="C643" s="12"/>
      <c r="D643" s="12"/>
      <c r="E643" s="12"/>
      <c r="F643" s="12"/>
      <c r="G643" s="18"/>
      <c r="H643" s="18"/>
      <c r="I643" s="35"/>
      <c r="J643" s="12"/>
      <c r="N643" s="12"/>
      <c r="O643" s="18"/>
      <c r="P643" s="12"/>
      <c r="Q643" s="12"/>
      <c r="R643" s="12"/>
      <c r="S643" s="36"/>
      <c r="T643" s="36"/>
      <c r="U643" s="12"/>
      <c r="V643" s="12"/>
      <c r="W643" s="12"/>
      <c r="X643" s="12"/>
      <c r="Y643" s="12"/>
    </row>
    <row r="644" customFormat="false" ht="15.75" hidden="false" customHeight="false" outlineLevel="0" collapsed="false">
      <c r="A644" s="12"/>
      <c r="B644" s="34"/>
      <c r="C644" s="12"/>
      <c r="D644" s="12"/>
      <c r="E644" s="12"/>
      <c r="F644" s="12"/>
      <c r="G644" s="18"/>
      <c r="H644" s="18"/>
      <c r="I644" s="35"/>
      <c r="J644" s="12"/>
      <c r="N644" s="12"/>
      <c r="O644" s="18"/>
      <c r="P644" s="12"/>
      <c r="Q644" s="12"/>
      <c r="R644" s="12"/>
      <c r="S644" s="36"/>
      <c r="T644" s="36"/>
      <c r="U644" s="12"/>
      <c r="V644" s="12"/>
      <c r="W644" s="12"/>
      <c r="X644" s="12"/>
      <c r="Y644" s="12"/>
    </row>
    <row r="645" customFormat="false" ht="15.75" hidden="false" customHeight="false" outlineLevel="0" collapsed="false">
      <c r="A645" s="12"/>
      <c r="B645" s="34"/>
      <c r="C645" s="12"/>
      <c r="D645" s="12"/>
      <c r="E645" s="12"/>
      <c r="F645" s="12"/>
      <c r="G645" s="18"/>
      <c r="H645" s="18"/>
      <c r="I645" s="35"/>
      <c r="J645" s="12"/>
      <c r="N645" s="12"/>
      <c r="O645" s="18"/>
      <c r="P645" s="12"/>
      <c r="Q645" s="12"/>
      <c r="R645" s="12"/>
      <c r="S645" s="36"/>
      <c r="T645" s="36"/>
      <c r="U645" s="12"/>
      <c r="V645" s="12"/>
      <c r="W645" s="12"/>
      <c r="X645" s="12"/>
      <c r="Y645" s="12"/>
    </row>
    <row r="646" customFormat="false" ht="15.75" hidden="false" customHeight="false" outlineLevel="0" collapsed="false">
      <c r="A646" s="12"/>
      <c r="B646" s="34"/>
      <c r="C646" s="12"/>
      <c r="D646" s="12"/>
      <c r="E646" s="12"/>
      <c r="F646" s="12"/>
      <c r="G646" s="18"/>
      <c r="H646" s="18"/>
      <c r="I646" s="35"/>
      <c r="J646" s="12"/>
      <c r="N646" s="12"/>
      <c r="O646" s="18"/>
      <c r="P646" s="12"/>
      <c r="Q646" s="12"/>
      <c r="R646" s="12"/>
      <c r="S646" s="36"/>
      <c r="T646" s="36"/>
      <c r="U646" s="12"/>
      <c r="V646" s="12"/>
      <c r="W646" s="12"/>
      <c r="X646" s="12"/>
      <c r="Y646" s="12"/>
    </row>
    <row r="647" customFormat="false" ht="15.75" hidden="false" customHeight="false" outlineLevel="0" collapsed="false">
      <c r="A647" s="12"/>
      <c r="B647" s="34"/>
      <c r="C647" s="12"/>
      <c r="D647" s="12"/>
      <c r="E647" s="12"/>
      <c r="F647" s="12"/>
      <c r="G647" s="18"/>
      <c r="H647" s="18"/>
      <c r="I647" s="35"/>
      <c r="J647" s="12"/>
      <c r="N647" s="12"/>
      <c r="O647" s="18"/>
      <c r="P647" s="12"/>
      <c r="Q647" s="12"/>
      <c r="R647" s="12"/>
      <c r="S647" s="36"/>
      <c r="T647" s="36"/>
      <c r="U647" s="12"/>
      <c r="V647" s="12"/>
      <c r="W647" s="12"/>
      <c r="X647" s="12"/>
      <c r="Y647" s="12"/>
    </row>
    <row r="648" customFormat="false" ht="15.75" hidden="false" customHeight="false" outlineLevel="0" collapsed="false">
      <c r="A648" s="12"/>
      <c r="B648" s="34"/>
      <c r="C648" s="12"/>
      <c r="D648" s="12"/>
      <c r="E648" s="12"/>
      <c r="F648" s="12"/>
      <c r="G648" s="18"/>
      <c r="H648" s="18"/>
      <c r="I648" s="35"/>
      <c r="J648" s="12"/>
      <c r="N648" s="12"/>
      <c r="O648" s="18"/>
      <c r="P648" s="12"/>
      <c r="Q648" s="12"/>
      <c r="R648" s="12"/>
      <c r="S648" s="36"/>
      <c r="T648" s="36"/>
      <c r="U648" s="12"/>
      <c r="V648" s="12"/>
      <c r="W648" s="12"/>
      <c r="X648" s="12"/>
      <c r="Y648" s="12"/>
    </row>
    <row r="649" customFormat="false" ht="15.75" hidden="false" customHeight="false" outlineLevel="0" collapsed="false">
      <c r="A649" s="12"/>
      <c r="B649" s="34"/>
      <c r="C649" s="12"/>
      <c r="D649" s="12"/>
      <c r="E649" s="12"/>
      <c r="F649" s="12"/>
      <c r="G649" s="18"/>
      <c r="H649" s="18"/>
      <c r="I649" s="35"/>
      <c r="J649" s="12"/>
      <c r="N649" s="12"/>
      <c r="O649" s="18"/>
      <c r="P649" s="12"/>
      <c r="Q649" s="12"/>
      <c r="R649" s="12"/>
      <c r="S649" s="36"/>
      <c r="T649" s="36"/>
      <c r="U649" s="12"/>
      <c r="V649" s="12"/>
      <c r="W649" s="12"/>
      <c r="X649" s="12"/>
      <c r="Y649" s="12"/>
    </row>
    <row r="650" customFormat="false" ht="15.75" hidden="false" customHeight="false" outlineLevel="0" collapsed="false">
      <c r="A650" s="12"/>
      <c r="B650" s="34"/>
      <c r="C650" s="12"/>
      <c r="D650" s="12"/>
      <c r="E650" s="12"/>
      <c r="F650" s="12"/>
      <c r="G650" s="18"/>
      <c r="H650" s="18"/>
      <c r="I650" s="35"/>
      <c r="J650" s="12"/>
      <c r="N650" s="12"/>
      <c r="O650" s="18"/>
      <c r="P650" s="12"/>
      <c r="Q650" s="12"/>
      <c r="R650" s="12"/>
      <c r="S650" s="36"/>
      <c r="T650" s="36"/>
      <c r="U650" s="12"/>
      <c r="V650" s="12"/>
      <c r="W650" s="12"/>
      <c r="X650" s="12"/>
      <c r="Y650" s="12"/>
    </row>
    <row r="651" customFormat="false" ht="15.75" hidden="false" customHeight="false" outlineLevel="0" collapsed="false">
      <c r="A651" s="12"/>
      <c r="B651" s="34"/>
      <c r="C651" s="12"/>
      <c r="D651" s="12"/>
      <c r="E651" s="12"/>
      <c r="F651" s="12"/>
      <c r="G651" s="18"/>
      <c r="H651" s="18"/>
      <c r="I651" s="35"/>
      <c r="J651" s="12"/>
      <c r="N651" s="12"/>
      <c r="O651" s="18"/>
      <c r="P651" s="12"/>
      <c r="Q651" s="12"/>
      <c r="R651" s="12"/>
      <c r="S651" s="36"/>
      <c r="T651" s="36"/>
      <c r="U651" s="12"/>
      <c r="V651" s="12"/>
      <c r="W651" s="12"/>
      <c r="X651" s="12"/>
      <c r="Y651" s="12"/>
    </row>
    <row r="652" customFormat="false" ht="15.75" hidden="false" customHeight="false" outlineLevel="0" collapsed="false">
      <c r="A652" s="12"/>
      <c r="B652" s="34"/>
      <c r="C652" s="12"/>
      <c r="D652" s="12"/>
      <c r="E652" s="12"/>
      <c r="F652" s="12"/>
      <c r="G652" s="18"/>
      <c r="H652" s="18"/>
      <c r="I652" s="35"/>
      <c r="J652" s="12"/>
      <c r="N652" s="12"/>
      <c r="O652" s="18"/>
      <c r="P652" s="12"/>
      <c r="Q652" s="12"/>
      <c r="R652" s="12"/>
      <c r="S652" s="36"/>
      <c r="T652" s="36"/>
      <c r="U652" s="12"/>
      <c r="V652" s="12"/>
      <c r="W652" s="12"/>
      <c r="X652" s="12"/>
      <c r="Y652" s="12"/>
    </row>
    <row r="653" customFormat="false" ht="15.75" hidden="false" customHeight="false" outlineLevel="0" collapsed="false">
      <c r="A653" s="12"/>
      <c r="B653" s="34"/>
      <c r="C653" s="12"/>
      <c r="D653" s="12"/>
      <c r="E653" s="12"/>
      <c r="F653" s="12"/>
      <c r="G653" s="18"/>
      <c r="H653" s="18"/>
      <c r="I653" s="35"/>
      <c r="J653" s="12"/>
      <c r="N653" s="12"/>
      <c r="O653" s="18"/>
      <c r="P653" s="12"/>
      <c r="Q653" s="12"/>
      <c r="R653" s="12"/>
      <c r="S653" s="36"/>
      <c r="T653" s="36"/>
      <c r="U653" s="12"/>
      <c r="V653" s="12"/>
      <c r="W653" s="12"/>
      <c r="X653" s="12"/>
      <c r="Y653" s="12"/>
    </row>
    <row r="654" customFormat="false" ht="15.75" hidden="false" customHeight="false" outlineLevel="0" collapsed="false">
      <c r="A654" s="12"/>
      <c r="B654" s="34"/>
      <c r="C654" s="12"/>
      <c r="D654" s="12"/>
      <c r="E654" s="12"/>
      <c r="F654" s="12"/>
      <c r="G654" s="18"/>
      <c r="H654" s="18"/>
      <c r="I654" s="35"/>
      <c r="J654" s="12"/>
      <c r="N654" s="12"/>
      <c r="O654" s="18"/>
      <c r="P654" s="12"/>
      <c r="Q654" s="12"/>
      <c r="R654" s="12"/>
      <c r="S654" s="36"/>
      <c r="T654" s="36"/>
      <c r="U654" s="12"/>
      <c r="V654" s="12"/>
      <c r="W654" s="12"/>
      <c r="X654" s="12"/>
      <c r="Y654" s="12"/>
    </row>
    <row r="655" customFormat="false" ht="15.75" hidden="false" customHeight="false" outlineLevel="0" collapsed="false">
      <c r="A655" s="12"/>
      <c r="B655" s="34"/>
      <c r="C655" s="12"/>
      <c r="D655" s="12"/>
      <c r="E655" s="12"/>
      <c r="F655" s="12"/>
      <c r="G655" s="18"/>
      <c r="H655" s="18"/>
      <c r="I655" s="35"/>
      <c r="J655" s="12"/>
      <c r="N655" s="12"/>
      <c r="O655" s="18"/>
      <c r="P655" s="12"/>
      <c r="Q655" s="12"/>
      <c r="R655" s="12"/>
      <c r="S655" s="36"/>
      <c r="T655" s="36"/>
      <c r="U655" s="12"/>
      <c r="V655" s="12"/>
      <c r="W655" s="12"/>
      <c r="X655" s="12"/>
      <c r="Y655" s="12"/>
    </row>
    <row r="656" customFormat="false" ht="15.75" hidden="false" customHeight="false" outlineLevel="0" collapsed="false">
      <c r="A656" s="12"/>
      <c r="B656" s="34"/>
      <c r="C656" s="12"/>
      <c r="D656" s="12"/>
      <c r="E656" s="12"/>
      <c r="F656" s="12"/>
      <c r="G656" s="18"/>
      <c r="H656" s="18"/>
      <c r="I656" s="35"/>
      <c r="J656" s="12"/>
      <c r="N656" s="12"/>
      <c r="O656" s="18"/>
      <c r="P656" s="12"/>
      <c r="Q656" s="12"/>
      <c r="R656" s="12"/>
      <c r="S656" s="36"/>
      <c r="T656" s="36"/>
      <c r="U656" s="12"/>
      <c r="V656" s="12"/>
      <c r="W656" s="12"/>
      <c r="X656" s="12"/>
      <c r="Y656" s="12"/>
    </row>
    <row r="657" customFormat="false" ht="15.75" hidden="false" customHeight="false" outlineLevel="0" collapsed="false">
      <c r="A657" s="12"/>
      <c r="B657" s="34"/>
      <c r="C657" s="12"/>
      <c r="D657" s="12"/>
      <c r="E657" s="12"/>
      <c r="F657" s="12"/>
      <c r="G657" s="18"/>
      <c r="H657" s="18"/>
      <c r="I657" s="35"/>
      <c r="J657" s="12"/>
      <c r="N657" s="12"/>
      <c r="O657" s="18"/>
      <c r="P657" s="12"/>
      <c r="Q657" s="12"/>
      <c r="R657" s="12"/>
      <c r="S657" s="36"/>
      <c r="T657" s="36"/>
      <c r="U657" s="12"/>
      <c r="V657" s="12"/>
      <c r="W657" s="12"/>
      <c r="X657" s="12"/>
      <c r="Y657" s="12"/>
    </row>
    <row r="658" customFormat="false" ht="15.75" hidden="false" customHeight="false" outlineLevel="0" collapsed="false">
      <c r="A658" s="12"/>
      <c r="B658" s="34"/>
      <c r="C658" s="12"/>
      <c r="D658" s="12"/>
      <c r="E658" s="12"/>
      <c r="F658" s="12"/>
      <c r="G658" s="18"/>
      <c r="H658" s="18"/>
      <c r="I658" s="35"/>
      <c r="J658" s="12"/>
      <c r="N658" s="12"/>
      <c r="O658" s="18"/>
      <c r="P658" s="12"/>
      <c r="Q658" s="12"/>
      <c r="R658" s="12"/>
      <c r="S658" s="36"/>
      <c r="T658" s="36"/>
      <c r="U658" s="12"/>
      <c r="V658" s="12"/>
      <c r="W658" s="12"/>
      <c r="X658" s="12"/>
      <c r="Y658" s="12"/>
    </row>
    <row r="659" customFormat="false" ht="15.75" hidden="false" customHeight="false" outlineLevel="0" collapsed="false">
      <c r="A659" s="12"/>
      <c r="B659" s="34"/>
      <c r="C659" s="12"/>
      <c r="D659" s="12"/>
      <c r="E659" s="12"/>
      <c r="F659" s="12"/>
      <c r="G659" s="18"/>
      <c r="H659" s="18"/>
      <c r="I659" s="35"/>
      <c r="J659" s="12"/>
      <c r="N659" s="12"/>
      <c r="O659" s="18"/>
      <c r="P659" s="12"/>
      <c r="Q659" s="12"/>
      <c r="R659" s="12"/>
      <c r="S659" s="36"/>
      <c r="T659" s="36"/>
      <c r="U659" s="12"/>
      <c r="V659" s="12"/>
      <c r="W659" s="12"/>
      <c r="X659" s="12"/>
      <c r="Y659" s="12"/>
    </row>
    <row r="660" customFormat="false" ht="15.75" hidden="false" customHeight="false" outlineLevel="0" collapsed="false">
      <c r="A660" s="12"/>
      <c r="B660" s="34"/>
      <c r="C660" s="12"/>
      <c r="D660" s="12"/>
      <c r="E660" s="12"/>
      <c r="F660" s="12"/>
      <c r="G660" s="18"/>
      <c r="H660" s="18"/>
      <c r="I660" s="35"/>
      <c r="J660" s="12"/>
      <c r="N660" s="12"/>
      <c r="O660" s="18"/>
      <c r="P660" s="12"/>
      <c r="Q660" s="12"/>
      <c r="R660" s="12"/>
      <c r="S660" s="36"/>
      <c r="T660" s="36"/>
      <c r="U660" s="12"/>
      <c r="V660" s="12"/>
      <c r="W660" s="12"/>
      <c r="X660" s="12"/>
      <c r="Y660" s="12"/>
    </row>
    <row r="661" customFormat="false" ht="15.75" hidden="false" customHeight="false" outlineLevel="0" collapsed="false">
      <c r="A661" s="12"/>
      <c r="B661" s="34"/>
      <c r="C661" s="12"/>
      <c r="D661" s="12"/>
      <c r="E661" s="12"/>
      <c r="F661" s="12"/>
      <c r="G661" s="18"/>
      <c r="H661" s="18"/>
      <c r="I661" s="35"/>
      <c r="J661" s="12"/>
      <c r="N661" s="12"/>
      <c r="O661" s="18"/>
      <c r="P661" s="12"/>
      <c r="Q661" s="12"/>
      <c r="R661" s="12"/>
      <c r="S661" s="36"/>
      <c r="T661" s="36"/>
      <c r="U661" s="12"/>
      <c r="V661" s="12"/>
      <c r="W661" s="12"/>
      <c r="X661" s="12"/>
      <c r="Y661" s="12"/>
    </row>
    <row r="662" customFormat="false" ht="15.75" hidden="false" customHeight="false" outlineLevel="0" collapsed="false">
      <c r="A662" s="12"/>
      <c r="B662" s="34"/>
      <c r="C662" s="12"/>
      <c r="D662" s="12"/>
      <c r="E662" s="12"/>
      <c r="F662" s="12"/>
      <c r="G662" s="18"/>
      <c r="H662" s="18"/>
      <c r="I662" s="35"/>
      <c r="J662" s="12"/>
      <c r="N662" s="12"/>
      <c r="O662" s="18"/>
      <c r="P662" s="12"/>
      <c r="Q662" s="12"/>
      <c r="R662" s="12"/>
      <c r="S662" s="36"/>
      <c r="T662" s="36"/>
      <c r="U662" s="12"/>
      <c r="V662" s="12"/>
      <c r="W662" s="12"/>
      <c r="X662" s="12"/>
      <c r="Y662" s="12"/>
    </row>
    <row r="663" customFormat="false" ht="15.75" hidden="false" customHeight="false" outlineLevel="0" collapsed="false">
      <c r="A663" s="12"/>
      <c r="B663" s="34"/>
      <c r="C663" s="12"/>
      <c r="D663" s="12"/>
      <c r="E663" s="12"/>
      <c r="F663" s="12"/>
      <c r="G663" s="18"/>
      <c r="H663" s="18"/>
      <c r="I663" s="35"/>
      <c r="J663" s="12"/>
      <c r="N663" s="12"/>
      <c r="O663" s="18"/>
      <c r="P663" s="12"/>
      <c r="Q663" s="12"/>
      <c r="R663" s="12"/>
      <c r="S663" s="36"/>
      <c r="T663" s="36"/>
      <c r="U663" s="12"/>
      <c r="V663" s="12"/>
      <c r="W663" s="12"/>
      <c r="X663" s="12"/>
      <c r="Y663" s="12"/>
    </row>
    <row r="664" customFormat="false" ht="15.75" hidden="false" customHeight="false" outlineLevel="0" collapsed="false">
      <c r="A664" s="12"/>
      <c r="B664" s="34"/>
      <c r="C664" s="12"/>
      <c r="D664" s="12"/>
      <c r="E664" s="12"/>
      <c r="F664" s="12"/>
      <c r="G664" s="18"/>
      <c r="H664" s="18"/>
      <c r="I664" s="35"/>
      <c r="J664" s="12"/>
      <c r="N664" s="12"/>
      <c r="O664" s="18"/>
      <c r="P664" s="12"/>
      <c r="Q664" s="12"/>
      <c r="R664" s="12"/>
      <c r="S664" s="36"/>
      <c r="T664" s="36"/>
      <c r="U664" s="12"/>
      <c r="V664" s="12"/>
      <c r="W664" s="12"/>
      <c r="X664" s="12"/>
      <c r="Y664" s="12"/>
    </row>
    <row r="665" customFormat="false" ht="15.75" hidden="false" customHeight="false" outlineLevel="0" collapsed="false">
      <c r="A665" s="12"/>
      <c r="B665" s="34"/>
      <c r="C665" s="12"/>
      <c r="D665" s="12"/>
      <c r="E665" s="12"/>
      <c r="F665" s="12"/>
      <c r="G665" s="18"/>
      <c r="H665" s="18"/>
      <c r="I665" s="35"/>
      <c r="J665" s="12"/>
      <c r="N665" s="12"/>
      <c r="O665" s="18"/>
      <c r="P665" s="12"/>
      <c r="Q665" s="12"/>
      <c r="R665" s="12"/>
      <c r="S665" s="36"/>
      <c r="T665" s="36"/>
      <c r="U665" s="12"/>
      <c r="V665" s="12"/>
      <c r="W665" s="12"/>
      <c r="X665" s="12"/>
      <c r="Y665" s="12"/>
    </row>
    <row r="666" customFormat="false" ht="15.75" hidden="false" customHeight="false" outlineLevel="0" collapsed="false">
      <c r="A666" s="12"/>
      <c r="B666" s="34"/>
      <c r="C666" s="12"/>
      <c r="D666" s="12"/>
      <c r="E666" s="12"/>
      <c r="F666" s="12"/>
      <c r="G666" s="18"/>
      <c r="H666" s="18"/>
      <c r="I666" s="35"/>
      <c r="J666" s="12"/>
      <c r="N666" s="12"/>
      <c r="O666" s="18"/>
      <c r="P666" s="12"/>
      <c r="Q666" s="12"/>
      <c r="R666" s="12"/>
      <c r="S666" s="36"/>
      <c r="T666" s="36"/>
      <c r="U666" s="12"/>
      <c r="V666" s="12"/>
      <c r="W666" s="12"/>
      <c r="X666" s="12"/>
      <c r="Y666" s="12"/>
    </row>
    <row r="667" customFormat="false" ht="15.75" hidden="false" customHeight="false" outlineLevel="0" collapsed="false">
      <c r="A667" s="12"/>
      <c r="B667" s="34"/>
      <c r="C667" s="12"/>
      <c r="D667" s="12"/>
      <c r="E667" s="12"/>
      <c r="F667" s="12"/>
      <c r="G667" s="18"/>
      <c r="H667" s="18"/>
      <c r="I667" s="35"/>
      <c r="J667" s="12"/>
      <c r="N667" s="12"/>
      <c r="O667" s="18"/>
      <c r="P667" s="12"/>
      <c r="Q667" s="12"/>
      <c r="R667" s="12"/>
      <c r="S667" s="36"/>
      <c r="T667" s="36"/>
      <c r="U667" s="12"/>
      <c r="V667" s="12"/>
      <c r="W667" s="12"/>
      <c r="X667" s="12"/>
      <c r="Y667" s="12"/>
    </row>
    <row r="668" customFormat="false" ht="15.75" hidden="false" customHeight="false" outlineLevel="0" collapsed="false">
      <c r="A668" s="12"/>
      <c r="B668" s="34"/>
      <c r="C668" s="12"/>
      <c r="D668" s="12"/>
      <c r="E668" s="12"/>
      <c r="F668" s="12"/>
      <c r="G668" s="18"/>
      <c r="H668" s="18"/>
      <c r="I668" s="35"/>
      <c r="J668" s="12"/>
      <c r="N668" s="12"/>
      <c r="O668" s="18"/>
      <c r="P668" s="12"/>
      <c r="Q668" s="12"/>
      <c r="R668" s="12"/>
      <c r="S668" s="36"/>
      <c r="T668" s="36"/>
      <c r="U668" s="12"/>
      <c r="V668" s="12"/>
      <c r="W668" s="12"/>
      <c r="X668" s="12"/>
      <c r="Y668" s="12"/>
    </row>
    <row r="669" customFormat="false" ht="15.75" hidden="false" customHeight="false" outlineLevel="0" collapsed="false">
      <c r="A669" s="12"/>
      <c r="B669" s="34"/>
      <c r="C669" s="12"/>
      <c r="D669" s="12"/>
      <c r="E669" s="12"/>
      <c r="F669" s="12"/>
      <c r="G669" s="18"/>
      <c r="H669" s="18"/>
      <c r="I669" s="35"/>
      <c r="J669" s="12"/>
      <c r="N669" s="12"/>
      <c r="O669" s="18"/>
      <c r="P669" s="12"/>
      <c r="Q669" s="12"/>
      <c r="R669" s="12"/>
      <c r="S669" s="36"/>
      <c r="T669" s="36"/>
      <c r="U669" s="12"/>
      <c r="V669" s="12"/>
      <c r="W669" s="12"/>
      <c r="X669" s="12"/>
      <c r="Y669" s="12"/>
    </row>
    <row r="670" customFormat="false" ht="15.75" hidden="false" customHeight="false" outlineLevel="0" collapsed="false">
      <c r="A670" s="12"/>
      <c r="B670" s="34"/>
      <c r="C670" s="12"/>
      <c r="D670" s="12"/>
      <c r="E670" s="12"/>
      <c r="F670" s="12"/>
      <c r="G670" s="18"/>
      <c r="H670" s="18"/>
      <c r="I670" s="35"/>
      <c r="J670" s="12"/>
      <c r="N670" s="12"/>
      <c r="O670" s="18"/>
      <c r="P670" s="12"/>
      <c r="Q670" s="12"/>
      <c r="R670" s="12"/>
      <c r="S670" s="36"/>
      <c r="T670" s="36"/>
      <c r="U670" s="12"/>
      <c r="V670" s="12"/>
      <c r="W670" s="12"/>
      <c r="X670" s="12"/>
      <c r="Y670" s="12"/>
    </row>
    <row r="671" customFormat="false" ht="15.75" hidden="false" customHeight="false" outlineLevel="0" collapsed="false">
      <c r="A671" s="12"/>
      <c r="B671" s="34"/>
      <c r="C671" s="12"/>
      <c r="D671" s="12"/>
      <c r="E671" s="12"/>
      <c r="F671" s="12"/>
      <c r="G671" s="18"/>
      <c r="H671" s="18"/>
      <c r="I671" s="35"/>
      <c r="J671" s="12"/>
      <c r="N671" s="12"/>
      <c r="O671" s="18"/>
      <c r="P671" s="12"/>
      <c r="Q671" s="12"/>
      <c r="R671" s="12"/>
      <c r="S671" s="36"/>
      <c r="T671" s="36"/>
      <c r="U671" s="12"/>
      <c r="V671" s="12"/>
      <c r="W671" s="12"/>
      <c r="X671" s="12"/>
      <c r="Y671" s="12"/>
    </row>
    <row r="672" customFormat="false" ht="15.75" hidden="false" customHeight="false" outlineLevel="0" collapsed="false">
      <c r="A672" s="12"/>
      <c r="B672" s="34"/>
      <c r="C672" s="12"/>
      <c r="D672" s="12"/>
      <c r="E672" s="12"/>
      <c r="F672" s="12"/>
      <c r="G672" s="18"/>
      <c r="H672" s="18"/>
      <c r="I672" s="35"/>
      <c r="J672" s="12"/>
      <c r="N672" s="12"/>
      <c r="O672" s="18"/>
      <c r="P672" s="12"/>
      <c r="Q672" s="12"/>
      <c r="R672" s="12"/>
      <c r="S672" s="36"/>
      <c r="T672" s="36"/>
      <c r="U672" s="12"/>
      <c r="V672" s="12"/>
      <c r="W672" s="12"/>
      <c r="X672" s="12"/>
      <c r="Y672" s="12"/>
    </row>
    <row r="673" customFormat="false" ht="15.75" hidden="false" customHeight="false" outlineLevel="0" collapsed="false">
      <c r="A673" s="12"/>
      <c r="B673" s="34"/>
      <c r="C673" s="12"/>
      <c r="D673" s="12"/>
      <c r="E673" s="12"/>
      <c r="F673" s="12"/>
      <c r="G673" s="18"/>
      <c r="H673" s="18"/>
      <c r="I673" s="35"/>
      <c r="J673" s="12"/>
      <c r="N673" s="12"/>
      <c r="O673" s="18"/>
      <c r="P673" s="12"/>
      <c r="Q673" s="12"/>
      <c r="R673" s="12"/>
      <c r="S673" s="36"/>
      <c r="T673" s="36"/>
      <c r="U673" s="12"/>
      <c r="V673" s="12"/>
      <c r="W673" s="12"/>
      <c r="X673" s="12"/>
      <c r="Y673" s="12"/>
    </row>
    <row r="674" customFormat="false" ht="15.75" hidden="false" customHeight="false" outlineLevel="0" collapsed="false">
      <c r="A674" s="12"/>
      <c r="B674" s="34"/>
      <c r="C674" s="12"/>
      <c r="D674" s="12"/>
      <c r="E674" s="12"/>
      <c r="F674" s="12"/>
      <c r="G674" s="18"/>
      <c r="H674" s="18"/>
      <c r="I674" s="35"/>
      <c r="J674" s="12"/>
      <c r="N674" s="12"/>
      <c r="O674" s="18"/>
      <c r="P674" s="12"/>
      <c r="Q674" s="12"/>
      <c r="R674" s="12"/>
      <c r="S674" s="36"/>
      <c r="T674" s="36"/>
      <c r="U674" s="12"/>
      <c r="V674" s="12"/>
      <c r="W674" s="12"/>
      <c r="X674" s="12"/>
      <c r="Y674" s="12"/>
    </row>
    <row r="675" customFormat="false" ht="15.75" hidden="false" customHeight="false" outlineLevel="0" collapsed="false">
      <c r="A675" s="12"/>
      <c r="B675" s="34"/>
      <c r="C675" s="12"/>
      <c r="D675" s="12"/>
      <c r="E675" s="12"/>
      <c r="F675" s="12"/>
      <c r="G675" s="18"/>
      <c r="H675" s="18"/>
      <c r="I675" s="35"/>
      <c r="J675" s="12"/>
      <c r="N675" s="12"/>
      <c r="O675" s="18"/>
      <c r="P675" s="12"/>
      <c r="Q675" s="12"/>
      <c r="R675" s="12"/>
      <c r="S675" s="36"/>
      <c r="T675" s="36"/>
      <c r="U675" s="12"/>
      <c r="V675" s="12"/>
      <c r="W675" s="12"/>
      <c r="X675" s="12"/>
      <c r="Y675" s="12"/>
    </row>
    <row r="676" customFormat="false" ht="15.75" hidden="false" customHeight="false" outlineLevel="0" collapsed="false">
      <c r="A676" s="12"/>
      <c r="B676" s="34"/>
      <c r="C676" s="12"/>
      <c r="D676" s="12"/>
      <c r="E676" s="12"/>
      <c r="F676" s="12"/>
      <c r="G676" s="18"/>
      <c r="H676" s="18"/>
      <c r="I676" s="35"/>
      <c r="J676" s="12"/>
      <c r="N676" s="12"/>
      <c r="O676" s="18"/>
      <c r="P676" s="12"/>
      <c r="Q676" s="12"/>
      <c r="R676" s="12"/>
      <c r="S676" s="36"/>
      <c r="T676" s="36"/>
      <c r="U676" s="12"/>
      <c r="V676" s="12"/>
      <c r="W676" s="12"/>
      <c r="X676" s="12"/>
      <c r="Y676" s="12"/>
    </row>
    <row r="677" customFormat="false" ht="15.75" hidden="false" customHeight="false" outlineLevel="0" collapsed="false">
      <c r="A677" s="12"/>
      <c r="B677" s="34"/>
      <c r="C677" s="12"/>
      <c r="D677" s="12"/>
      <c r="E677" s="12"/>
      <c r="F677" s="12"/>
      <c r="G677" s="18"/>
      <c r="H677" s="18"/>
      <c r="I677" s="35"/>
      <c r="J677" s="12"/>
      <c r="N677" s="12"/>
      <c r="O677" s="18"/>
      <c r="P677" s="12"/>
      <c r="Q677" s="12"/>
      <c r="R677" s="12"/>
      <c r="S677" s="36"/>
      <c r="T677" s="36"/>
      <c r="U677" s="12"/>
      <c r="V677" s="12"/>
      <c r="W677" s="12"/>
      <c r="X677" s="12"/>
      <c r="Y677" s="12"/>
    </row>
    <row r="678" customFormat="false" ht="15.75" hidden="false" customHeight="false" outlineLevel="0" collapsed="false">
      <c r="A678" s="12"/>
      <c r="B678" s="34"/>
      <c r="C678" s="12"/>
      <c r="D678" s="12"/>
      <c r="E678" s="12"/>
      <c r="F678" s="12"/>
      <c r="G678" s="18"/>
      <c r="H678" s="18"/>
      <c r="I678" s="35"/>
      <c r="J678" s="12"/>
      <c r="N678" s="12"/>
      <c r="O678" s="18"/>
      <c r="P678" s="12"/>
      <c r="Q678" s="12"/>
      <c r="R678" s="12"/>
      <c r="S678" s="36"/>
      <c r="T678" s="36"/>
      <c r="U678" s="12"/>
      <c r="V678" s="12"/>
      <c r="W678" s="12"/>
      <c r="X678" s="12"/>
      <c r="Y678" s="12"/>
    </row>
    <row r="679" customFormat="false" ht="15.75" hidden="false" customHeight="false" outlineLevel="0" collapsed="false">
      <c r="A679" s="12"/>
      <c r="B679" s="34"/>
      <c r="C679" s="12"/>
      <c r="D679" s="12"/>
      <c r="E679" s="12"/>
      <c r="F679" s="12"/>
      <c r="G679" s="18"/>
      <c r="H679" s="18"/>
      <c r="I679" s="35"/>
      <c r="J679" s="12"/>
      <c r="N679" s="12"/>
      <c r="O679" s="18"/>
      <c r="P679" s="12"/>
      <c r="Q679" s="12"/>
      <c r="R679" s="12"/>
      <c r="S679" s="36"/>
      <c r="T679" s="36"/>
      <c r="U679" s="12"/>
      <c r="V679" s="12"/>
      <c r="W679" s="12"/>
      <c r="X679" s="12"/>
      <c r="Y679" s="12"/>
    </row>
    <row r="680" customFormat="false" ht="15.75" hidden="false" customHeight="false" outlineLevel="0" collapsed="false">
      <c r="A680" s="12"/>
      <c r="B680" s="34"/>
      <c r="C680" s="12"/>
      <c r="D680" s="12"/>
      <c r="E680" s="12"/>
      <c r="F680" s="12"/>
      <c r="G680" s="18"/>
      <c r="H680" s="18"/>
      <c r="I680" s="35"/>
      <c r="J680" s="12"/>
      <c r="N680" s="12"/>
      <c r="O680" s="18"/>
      <c r="P680" s="12"/>
      <c r="Q680" s="12"/>
      <c r="R680" s="12"/>
      <c r="S680" s="36"/>
      <c r="T680" s="36"/>
      <c r="U680" s="12"/>
      <c r="V680" s="12"/>
      <c r="W680" s="12"/>
      <c r="X680" s="12"/>
      <c r="Y680" s="12"/>
    </row>
    <row r="681" customFormat="false" ht="15.75" hidden="false" customHeight="false" outlineLevel="0" collapsed="false">
      <c r="A681" s="12"/>
      <c r="B681" s="34"/>
      <c r="C681" s="12"/>
      <c r="D681" s="12"/>
      <c r="E681" s="12"/>
      <c r="F681" s="12"/>
      <c r="G681" s="18"/>
      <c r="H681" s="18"/>
      <c r="I681" s="35"/>
      <c r="J681" s="12"/>
      <c r="N681" s="12"/>
      <c r="O681" s="18"/>
      <c r="P681" s="12"/>
      <c r="Q681" s="12"/>
      <c r="R681" s="12"/>
      <c r="S681" s="36"/>
      <c r="T681" s="36"/>
      <c r="U681" s="12"/>
      <c r="V681" s="12"/>
      <c r="W681" s="12"/>
      <c r="X681" s="12"/>
      <c r="Y681" s="12"/>
    </row>
    <row r="682" customFormat="false" ht="15.75" hidden="false" customHeight="false" outlineLevel="0" collapsed="false">
      <c r="A682" s="12"/>
      <c r="B682" s="34"/>
      <c r="C682" s="12"/>
      <c r="D682" s="12"/>
      <c r="E682" s="12"/>
      <c r="F682" s="12"/>
      <c r="G682" s="18"/>
      <c r="H682" s="18"/>
      <c r="I682" s="35"/>
      <c r="J682" s="12"/>
      <c r="N682" s="12"/>
      <c r="O682" s="18"/>
      <c r="P682" s="12"/>
      <c r="Q682" s="12"/>
      <c r="R682" s="12"/>
      <c r="S682" s="36"/>
      <c r="T682" s="36"/>
      <c r="U682" s="12"/>
      <c r="V682" s="12"/>
      <c r="W682" s="12"/>
      <c r="X682" s="12"/>
      <c r="Y682" s="12"/>
    </row>
    <row r="683" customFormat="false" ht="15.75" hidden="false" customHeight="false" outlineLevel="0" collapsed="false">
      <c r="A683" s="12"/>
      <c r="B683" s="34"/>
      <c r="C683" s="12"/>
      <c r="D683" s="12"/>
      <c r="E683" s="12"/>
      <c r="F683" s="12"/>
      <c r="G683" s="18"/>
      <c r="H683" s="18"/>
      <c r="I683" s="35"/>
      <c r="J683" s="12"/>
      <c r="N683" s="12"/>
      <c r="O683" s="18"/>
      <c r="P683" s="12"/>
      <c r="Q683" s="12"/>
      <c r="R683" s="12"/>
      <c r="S683" s="36"/>
      <c r="T683" s="36"/>
      <c r="U683" s="12"/>
      <c r="V683" s="12"/>
      <c r="W683" s="12"/>
      <c r="X683" s="12"/>
      <c r="Y683" s="12"/>
    </row>
    <row r="684" customFormat="false" ht="15.75" hidden="false" customHeight="false" outlineLevel="0" collapsed="false">
      <c r="A684" s="12"/>
      <c r="B684" s="34"/>
      <c r="C684" s="12"/>
      <c r="D684" s="12"/>
      <c r="E684" s="12"/>
      <c r="F684" s="12"/>
      <c r="G684" s="18"/>
      <c r="H684" s="18"/>
      <c r="I684" s="35"/>
      <c r="J684" s="12"/>
      <c r="N684" s="12"/>
      <c r="O684" s="18"/>
      <c r="P684" s="12"/>
      <c r="Q684" s="12"/>
      <c r="R684" s="12"/>
      <c r="S684" s="36"/>
      <c r="T684" s="36"/>
      <c r="U684" s="12"/>
      <c r="V684" s="12"/>
      <c r="W684" s="12"/>
      <c r="X684" s="12"/>
      <c r="Y684" s="12"/>
    </row>
    <row r="685" customFormat="false" ht="15.75" hidden="false" customHeight="false" outlineLevel="0" collapsed="false">
      <c r="A685" s="12"/>
      <c r="B685" s="34"/>
      <c r="C685" s="12"/>
      <c r="D685" s="12"/>
      <c r="E685" s="12"/>
      <c r="F685" s="12"/>
      <c r="G685" s="18"/>
      <c r="H685" s="18"/>
      <c r="I685" s="35"/>
      <c r="J685" s="12"/>
      <c r="N685" s="12"/>
      <c r="O685" s="18"/>
      <c r="P685" s="12"/>
      <c r="Q685" s="12"/>
      <c r="R685" s="12"/>
      <c r="S685" s="36"/>
      <c r="T685" s="36"/>
      <c r="U685" s="12"/>
      <c r="V685" s="12"/>
      <c r="W685" s="12"/>
      <c r="X685" s="12"/>
      <c r="Y685" s="12"/>
    </row>
    <row r="686" customFormat="false" ht="15.75" hidden="false" customHeight="false" outlineLevel="0" collapsed="false">
      <c r="A686" s="12"/>
      <c r="B686" s="34"/>
      <c r="C686" s="12"/>
      <c r="D686" s="12"/>
      <c r="E686" s="12"/>
      <c r="F686" s="12"/>
      <c r="G686" s="18"/>
      <c r="H686" s="18"/>
      <c r="I686" s="35"/>
      <c r="J686" s="12"/>
      <c r="N686" s="12"/>
      <c r="O686" s="18"/>
      <c r="P686" s="12"/>
      <c r="Q686" s="12"/>
      <c r="R686" s="12"/>
      <c r="S686" s="36"/>
      <c r="T686" s="36"/>
      <c r="U686" s="12"/>
      <c r="V686" s="12"/>
      <c r="W686" s="12"/>
      <c r="X686" s="12"/>
      <c r="Y686" s="12"/>
    </row>
    <row r="687" customFormat="false" ht="15.75" hidden="false" customHeight="false" outlineLevel="0" collapsed="false">
      <c r="A687" s="12"/>
      <c r="B687" s="34"/>
      <c r="C687" s="12"/>
      <c r="D687" s="12"/>
      <c r="E687" s="12"/>
      <c r="F687" s="12"/>
      <c r="G687" s="18"/>
      <c r="H687" s="18"/>
      <c r="I687" s="35"/>
      <c r="J687" s="12"/>
      <c r="N687" s="12"/>
      <c r="O687" s="18"/>
      <c r="P687" s="12"/>
      <c r="Q687" s="12"/>
      <c r="R687" s="12"/>
      <c r="S687" s="36"/>
      <c r="T687" s="36"/>
      <c r="U687" s="12"/>
      <c r="V687" s="12"/>
      <c r="W687" s="12"/>
      <c r="X687" s="12"/>
      <c r="Y687" s="12"/>
    </row>
    <row r="688" customFormat="false" ht="15.75" hidden="false" customHeight="false" outlineLevel="0" collapsed="false">
      <c r="A688" s="12"/>
      <c r="B688" s="34"/>
      <c r="C688" s="12"/>
      <c r="D688" s="12"/>
      <c r="E688" s="12"/>
      <c r="F688" s="12"/>
      <c r="G688" s="18"/>
      <c r="H688" s="18"/>
      <c r="I688" s="35"/>
      <c r="J688" s="12"/>
      <c r="N688" s="12"/>
      <c r="O688" s="18"/>
      <c r="P688" s="12"/>
      <c r="Q688" s="12"/>
      <c r="R688" s="12"/>
      <c r="S688" s="36"/>
      <c r="T688" s="36"/>
      <c r="U688" s="12"/>
      <c r="V688" s="12"/>
      <c r="W688" s="12"/>
      <c r="X688" s="12"/>
      <c r="Y688" s="12"/>
    </row>
    <row r="689" customFormat="false" ht="15.75" hidden="false" customHeight="false" outlineLevel="0" collapsed="false">
      <c r="A689" s="12"/>
      <c r="B689" s="34"/>
      <c r="C689" s="12"/>
      <c r="D689" s="12"/>
      <c r="E689" s="12"/>
      <c r="F689" s="12"/>
      <c r="G689" s="18"/>
      <c r="H689" s="18"/>
      <c r="I689" s="35"/>
      <c r="J689" s="12"/>
      <c r="N689" s="12"/>
      <c r="O689" s="18"/>
      <c r="P689" s="12"/>
      <c r="Q689" s="12"/>
      <c r="R689" s="12"/>
      <c r="S689" s="36"/>
      <c r="T689" s="36"/>
      <c r="U689" s="12"/>
      <c r="V689" s="12"/>
      <c r="W689" s="12"/>
      <c r="X689" s="12"/>
      <c r="Y689" s="12"/>
    </row>
    <row r="690" customFormat="false" ht="15.75" hidden="false" customHeight="false" outlineLevel="0" collapsed="false">
      <c r="A690" s="12"/>
      <c r="B690" s="34"/>
      <c r="C690" s="12"/>
      <c r="D690" s="12"/>
      <c r="E690" s="12"/>
      <c r="F690" s="12"/>
      <c r="G690" s="18"/>
      <c r="H690" s="18"/>
      <c r="I690" s="35"/>
      <c r="J690" s="12"/>
      <c r="N690" s="12"/>
      <c r="O690" s="18"/>
      <c r="P690" s="12"/>
      <c r="Q690" s="12"/>
      <c r="R690" s="12"/>
      <c r="S690" s="36"/>
      <c r="T690" s="36"/>
      <c r="U690" s="12"/>
      <c r="V690" s="12"/>
      <c r="W690" s="12"/>
      <c r="X690" s="12"/>
      <c r="Y690" s="12"/>
    </row>
    <row r="691" customFormat="false" ht="15.75" hidden="false" customHeight="false" outlineLevel="0" collapsed="false">
      <c r="A691" s="12"/>
      <c r="B691" s="34"/>
      <c r="C691" s="12"/>
      <c r="D691" s="12"/>
      <c r="E691" s="12"/>
      <c r="F691" s="12"/>
      <c r="G691" s="18"/>
      <c r="H691" s="18"/>
      <c r="I691" s="35"/>
      <c r="J691" s="12"/>
      <c r="N691" s="12"/>
      <c r="O691" s="18"/>
      <c r="P691" s="12"/>
      <c r="Q691" s="12"/>
      <c r="R691" s="12"/>
      <c r="S691" s="36"/>
      <c r="T691" s="36"/>
      <c r="U691" s="12"/>
      <c r="V691" s="12"/>
      <c r="W691" s="12"/>
      <c r="X691" s="12"/>
      <c r="Y691" s="12"/>
    </row>
    <row r="692" customFormat="false" ht="15.75" hidden="false" customHeight="false" outlineLevel="0" collapsed="false">
      <c r="A692" s="12"/>
      <c r="B692" s="34"/>
      <c r="C692" s="12"/>
      <c r="D692" s="12"/>
      <c r="E692" s="12"/>
      <c r="F692" s="12"/>
      <c r="G692" s="18"/>
      <c r="H692" s="18"/>
      <c r="I692" s="35"/>
      <c r="J692" s="12"/>
      <c r="N692" s="12"/>
      <c r="O692" s="18"/>
      <c r="P692" s="12"/>
      <c r="Q692" s="12"/>
      <c r="R692" s="12"/>
      <c r="S692" s="36"/>
      <c r="T692" s="36"/>
      <c r="U692" s="12"/>
      <c r="V692" s="12"/>
      <c r="W692" s="12"/>
      <c r="X692" s="12"/>
      <c r="Y692" s="12"/>
    </row>
    <row r="693" customFormat="false" ht="15.75" hidden="false" customHeight="false" outlineLevel="0" collapsed="false">
      <c r="A693" s="12"/>
      <c r="B693" s="34"/>
      <c r="C693" s="12"/>
      <c r="D693" s="12"/>
      <c r="E693" s="12"/>
      <c r="F693" s="12"/>
      <c r="G693" s="18"/>
      <c r="H693" s="18"/>
      <c r="I693" s="35"/>
      <c r="J693" s="12"/>
      <c r="N693" s="12"/>
      <c r="O693" s="18"/>
      <c r="P693" s="12"/>
      <c r="Q693" s="12"/>
      <c r="R693" s="12"/>
      <c r="S693" s="36"/>
      <c r="T693" s="36"/>
      <c r="U693" s="12"/>
      <c r="V693" s="12"/>
      <c r="W693" s="12"/>
      <c r="X693" s="12"/>
      <c r="Y693" s="12"/>
    </row>
    <row r="694" customFormat="false" ht="15.75" hidden="false" customHeight="false" outlineLevel="0" collapsed="false">
      <c r="A694" s="12"/>
      <c r="B694" s="34"/>
      <c r="C694" s="12"/>
      <c r="D694" s="12"/>
      <c r="E694" s="12"/>
      <c r="F694" s="12"/>
      <c r="G694" s="18"/>
      <c r="H694" s="18"/>
      <c r="I694" s="35"/>
      <c r="J694" s="12"/>
      <c r="N694" s="12"/>
      <c r="O694" s="18"/>
      <c r="P694" s="12"/>
      <c r="Q694" s="12"/>
      <c r="R694" s="12"/>
      <c r="S694" s="36"/>
      <c r="T694" s="36"/>
      <c r="U694" s="12"/>
      <c r="V694" s="12"/>
      <c r="W694" s="12"/>
      <c r="X694" s="12"/>
      <c r="Y694" s="12"/>
    </row>
    <row r="695" customFormat="false" ht="15.75" hidden="false" customHeight="false" outlineLevel="0" collapsed="false">
      <c r="A695" s="12"/>
      <c r="B695" s="34"/>
      <c r="C695" s="12"/>
      <c r="D695" s="12"/>
      <c r="E695" s="12"/>
      <c r="F695" s="12"/>
      <c r="G695" s="18"/>
      <c r="H695" s="18"/>
      <c r="I695" s="35"/>
      <c r="J695" s="12"/>
      <c r="N695" s="12"/>
      <c r="O695" s="18"/>
      <c r="P695" s="12"/>
      <c r="Q695" s="12"/>
      <c r="R695" s="12"/>
      <c r="S695" s="36"/>
      <c r="T695" s="36"/>
      <c r="U695" s="12"/>
      <c r="V695" s="12"/>
      <c r="W695" s="12"/>
      <c r="X695" s="12"/>
      <c r="Y695" s="12"/>
    </row>
    <row r="696" customFormat="false" ht="15.75" hidden="false" customHeight="false" outlineLevel="0" collapsed="false">
      <c r="A696" s="12"/>
      <c r="B696" s="34"/>
      <c r="C696" s="12"/>
      <c r="D696" s="12"/>
      <c r="E696" s="12"/>
      <c r="F696" s="12"/>
      <c r="G696" s="18"/>
      <c r="H696" s="18"/>
      <c r="I696" s="35"/>
      <c r="J696" s="12"/>
      <c r="N696" s="12"/>
      <c r="O696" s="18"/>
      <c r="P696" s="12"/>
      <c r="Q696" s="12"/>
      <c r="R696" s="12"/>
      <c r="S696" s="36"/>
      <c r="T696" s="36"/>
      <c r="U696" s="12"/>
      <c r="V696" s="12"/>
      <c r="W696" s="12"/>
      <c r="X696" s="12"/>
      <c r="Y696" s="12"/>
    </row>
    <row r="697" customFormat="false" ht="15.75" hidden="false" customHeight="false" outlineLevel="0" collapsed="false">
      <c r="A697" s="12"/>
      <c r="B697" s="34"/>
      <c r="C697" s="12"/>
      <c r="D697" s="12"/>
      <c r="E697" s="12"/>
      <c r="F697" s="12"/>
      <c r="G697" s="18"/>
      <c r="H697" s="18"/>
      <c r="I697" s="35"/>
      <c r="J697" s="12"/>
      <c r="N697" s="12"/>
      <c r="O697" s="18"/>
      <c r="P697" s="12"/>
      <c r="Q697" s="12"/>
      <c r="R697" s="12"/>
      <c r="S697" s="36"/>
      <c r="T697" s="36"/>
      <c r="U697" s="12"/>
      <c r="V697" s="12"/>
      <c r="W697" s="12"/>
      <c r="X697" s="12"/>
      <c r="Y697" s="12"/>
    </row>
    <row r="698" customFormat="false" ht="15.75" hidden="false" customHeight="false" outlineLevel="0" collapsed="false">
      <c r="A698" s="12"/>
      <c r="B698" s="34"/>
      <c r="C698" s="12"/>
      <c r="D698" s="12"/>
      <c r="E698" s="12"/>
      <c r="F698" s="12"/>
      <c r="G698" s="18"/>
      <c r="H698" s="18"/>
      <c r="I698" s="35"/>
      <c r="J698" s="12"/>
      <c r="N698" s="12"/>
      <c r="O698" s="18"/>
      <c r="P698" s="12"/>
      <c r="Q698" s="12"/>
      <c r="R698" s="12"/>
      <c r="S698" s="36"/>
      <c r="T698" s="36"/>
      <c r="U698" s="12"/>
      <c r="V698" s="12"/>
      <c r="W698" s="12"/>
      <c r="X698" s="12"/>
      <c r="Y698" s="12"/>
    </row>
    <row r="699" customFormat="false" ht="15.75" hidden="false" customHeight="false" outlineLevel="0" collapsed="false">
      <c r="A699" s="12"/>
      <c r="B699" s="34"/>
      <c r="C699" s="12"/>
      <c r="D699" s="12"/>
      <c r="E699" s="12"/>
      <c r="F699" s="12"/>
      <c r="G699" s="18"/>
      <c r="H699" s="18"/>
      <c r="I699" s="35"/>
      <c r="J699" s="12"/>
      <c r="N699" s="12"/>
      <c r="O699" s="18"/>
      <c r="P699" s="12"/>
      <c r="Q699" s="12"/>
      <c r="R699" s="12"/>
      <c r="S699" s="36"/>
      <c r="T699" s="36"/>
      <c r="U699" s="12"/>
      <c r="V699" s="12"/>
      <c r="W699" s="12"/>
      <c r="X699" s="12"/>
      <c r="Y699" s="12"/>
    </row>
    <row r="700" customFormat="false" ht="15.75" hidden="false" customHeight="false" outlineLevel="0" collapsed="false">
      <c r="A700" s="12"/>
      <c r="B700" s="34"/>
      <c r="C700" s="12"/>
      <c r="D700" s="12"/>
      <c r="E700" s="12"/>
      <c r="F700" s="12"/>
      <c r="G700" s="18"/>
      <c r="H700" s="18"/>
      <c r="I700" s="35"/>
      <c r="J700" s="12"/>
      <c r="N700" s="12"/>
      <c r="O700" s="18"/>
      <c r="P700" s="12"/>
      <c r="Q700" s="12"/>
      <c r="R700" s="12"/>
      <c r="S700" s="36"/>
      <c r="T700" s="36"/>
      <c r="U700" s="12"/>
      <c r="V700" s="12"/>
      <c r="W700" s="12"/>
      <c r="X700" s="12"/>
      <c r="Y700" s="12"/>
    </row>
    <row r="701" customFormat="false" ht="15.75" hidden="false" customHeight="false" outlineLevel="0" collapsed="false">
      <c r="A701" s="12"/>
      <c r="B701" s="34"/>
      <c r="C701" s="12"/>
      <c r="D701" s="12"/>
      <c r="E701" s="12"/>
      <c r="F701" s="12"/>
      <c r="G701" s="18"/>
      <c r="H701" s="18"/>
      <c r="I701" s="35"/>
      <c r="J701" s="12"/>
      <c r="N701" s="12"/>
      <c r="O701" s="18"/>
      <c r="P701" s="12"/>
      <c r="Q701" s="12"/>
      <c r="R701" s="12"/>
      <c r="S701" s="36"/>
      <c r="T701" s="36"/>
      <c r="U701" s="12"/>
      <c r="V701" s="12"/>
      <c r="W701" s="12"/>
      <c r="X701" s="12"/>
      <c r="Y701" s="12"/>
    </row>
    <row r="702" customFormat="false" ht="15.75" hidden="false" customHeight="false" outlineLevel="0" collapsed="false">
      <c r="A702" s="12"/>
      <c r="B702" s="34"/>
      <c r="C702" s="12"/>
      <c r="D702" s="12"/>
      <c r="E702" s="12"/>
      <c r="F702" s="12"/>
      <c r="G702" s="18"/>
      <c r="H702" s="18"/>
      <c r="I702" s="35"/>
      <c r="J702" s="12"/>
      <c r="N702" s="12"/>
      <c r="O702" s="18"/>
      <c r="P702" s="12"/>
      <c r="Q702" s="12"/>
      <c r="R702" s="12"/>
      <c r="S702" s="36"/>
      <c r="T702" s="36"/>
      <c r="U702" s="12"/>
      <c r="V702" s="12"/>
      <c r="W702" s="12"/>
      <c r="X702" s="12"/>
      <c r="Y702" s="12"/>
    </row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AF102"/>
  <conditionalFormatting sqref="S2:T702">
    <cfRule type="expression" priority="2" aboveAverage="0" equalAverage="0" bottom="0" percent="0" rank="0" text="" dxfId="0">
      <formula>LEN(TRIM(S2))&gt;0</formula>
    </cfRule>
  </conditionalFormatting>
  <conditionalFormatting sqref="R2:R702">
    <cfRule type="expression" priority="3" aboveAverage="0" equalAverage="0" bottom="0" percent="0" rank="0" text="" dxfId="0">
      <formula>LEN(TRIM(R2))&gt;0</formula>
    </cfRule>
  </conditionalFormatting>
  <conditionalFormatting sqref="G2:H702 O2:O702">
    <cfRule type="containsText" priority="4" operator="containsText" aboveAverage="0" equalAverage="0" bottom="0" percent="0" rank="0" text="x" dxfId="0">
      <formula>NOT(ISERROR(SEARCH("x",G2)))</formula>
    </cfRule>
  </conditionalFormatting>
  <conditionalFormatting sqref="U2:U702">
    <cfRule type="expression" priority="5" aboveAverage="0" equalAverage="0" bottom="0" percent="0" rank="0" text="" dxfId="0">
      <formula>LEN(TRIM(U2))&gt;0</formula>
    </cfRule>
  </conditionalFormatting>
  <conditionalFormatting sqref="X2:X702">
    <cfRule type="expression" priority="6" aboveAverage="0" equalAverage="0" bottom="0" percent="0" rank="0" text="" dxfId="0">
      <formula>LEN(TRIM(X2))&gt;0</formula>
    </cfRule>
  </conditionalFormatting>
  <conditionalFormatting sqref="Y2:Y702">
    <cfRule type="cellIs" priority="7" operator="equal" aboveAverage="0" equalAverage="0" bottom="0" percent="0" rank="0" text="" dxfId="0">
      <formula>"Completo"</formula>
    </cfRule>
    <cfRule type="cellIs" priority="8" operator="equal" aboveAverage="0" equalAverage="0" bottom="0" percent="0" rank="0" text="" dxfId="1">
      <formula>"No aplica"</formula>
    </cfRule>
  </conditionalFormatting>
  <conditionalFormatting sqref="G2:J702 P2:Q702 V2:W702 Y2:Y702">
    <cfRule type="cellIs" priority="9" operator="equal" aboveAverage="0" equalAverage="0" bottom="0" percent="0" rank="0" text="" dxfId="0">
      <formula>"Completo"</formula>
    </cfRule>
    <cfRule type="cellIs" priority="10" operator="equal" aboveAverage="0" equalAverage="0" bottom="0" percent="0" rank="0" text="" dxfId="1">
      <formula>"No Aplica"</formula>
    </cfRule>
  </conditionalFormatting>
  <dataValidations count="6">
    <dataValidation allowBlank="true" errorStyle="stop" operator="between" showDropDown="false" showErrorMessage="false" showInputMessage="false" sqref="U56:U702" type="list">
      <formula1>LEYENDA!$A$23:$A$24</formula1>
      <formula2>0</formula2>
    </dataValidation>
    <dataValidation allowBlank="true" errorStyle="stop" operator="between" showDropDown="false" showErrorMessage="true" showInputMessage="false" sqref="D2:D702" type="list">
      <formula1>LEYENDA!$B$2:$D$2</formula1>
      <formula2>0</formula2>
    </dataValidation>
    <dataValidation allowBlank="true" errorStyle="stop" operator="between" showDropDown="false" showErrorMessage="false" showInputMessage="false" sqref="S2:S702" type="list">
      <formula1>LEYENDA!$A$15:$A$19</formula1>
      <formula2>0</formula2>
    </dataValidation>
    <dataValidation allowBlank="true" errorStyle="stop" operator="between" showDropDown="false" showErrorMessage="true" showInputMessage="false" sqref="I2:J702 P2:Q702 V2:W702 Y2:Y702" type="list">
      <formula1>LEYENDA!$B$1:$C$1</formula1>
      <formula2>0</formula2>
    </dataValidation>
    <dataValidation allowBlank="true" errorStyle="stop" operator="between" showDropDown="false" showErrorMessage="false" showInputMessage="false" sqref="E2:E702" type="list">
      <formula1>LEYENDA!$A$8:$A$12</formula1>
      <formula2>0</formula2>
    </dataValidation>
    <dataValidation allowBlank="true" errorStyle="stop" operator="between" showDropDown="false" showErrorMessage="false" showInputMessage="false" sqref="U2:U55" type="list">
      <formula1>LEYENDA!$A$23:$A$25</formula1>
      <formula2>0</formula2>
    </dataValidation>
  </dataValidations>
  <hyperlinks>
    <hyperlink ref="V41" r:id="rId1" display="Completo"/>
    <hyperlink ref="W41" r:id="rId2" display="Completo"/>
  </hyperlinks>
  <printOptions headings="false" gridLines="true" gridLinesSet="true" horizontalCentered="true" verticalCentered="false"/>
  <pageMargins left="0.7" right="0.7" top="0.75" bottom="0.75" header="0.511811023622047" footer="0.511811023622047"/>
  <pageSetup paperSize="9" scale="100" fitToWidth="1" fitToHeight="0" pageOrder="overThenDown" orientation="landscape" blackAndWhite="false" draft="false" cellComments="none" horizontalDpi="300" verticalDpi="300" copies="1"/>
  <headerFooter differentFirst="false" differentOddEven="false">
    <oddHeader/>
    <oddFooter/>
  </headerFooter>
  <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XFD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7" ySplit="3" topLeftCell="H4" activePane="bottomRight" state="frozen"/>
      <selection pane="topLeft" activeCell="A1" activeCellId="0" sqref="A1"/>
      <selection pane="topRight" activeCell="H1" activeCellId="0" sqref="H1"/>
      <selection pane="bottomLeft" activeCell="A4" activeCellId="0" sqref="A4"/>
      <selection pane="bottomRight" activeCell="A1" activeCellId="0" sqref="A1"/>
    </sheetView>
  </sheetViews>
  <sheetFormatPr defaultColWidth="12.6328125" defaultRowHeight="15.75" zeroHeight="false" outlineLevelRow="0" outlineLevelCol="0"/>
  <cols>
    <col collapsed="false" customWidth="true" hidden="false" outlineLevel="0" max="1" min="1" style="1" width="10.25"/>
    <col collapsed="false" customWidth="true" hidden="false" outlineLevel="0" max="2" min="2" style="1" width="10.38"/>
    <col collapsed="false" customWidth="true" hidden="false" outlineLevel="0" max="3" min="3" style="1" width="29.63"/>
    <col collapsed="false" customWidth="true" hidden="false" outlineLevel="0" max="4" min="4" style="1" width="11.25"/>
    <col collapsed="false" customWidth="true" hidden="false" outlineLevel="0" max="5" min="5" style="1" width="17.13"/>
    <col collapsed="false" customWidth="true" hidden="false" outlineLevel="0" max="6" min="6" style="1" width="33.75"/>
    <col collapsed="false" customWidth="true" hidden="false" outlineLevel="0" max="7" min="7" style="1" width="15.88"/>
    <col collapsed="false" customWidth="true" hidden="false" outlineLevel="0" max="8" min="8" style="1" width="10.88"/>
    <col collapsed="false" customWidth="true" hidden="false" outlineLevel="0" max="9" min="9" style="1" width="12.88"/>
    <col collapsed="false" customWidth="true" hidden="false" outlineLevel="0" max="10" min="10" style="1" width="12"/>
    <col collapsed="false" customWidth="true" hidden="false" outlineLevel="0" max="11" min="11" style="1" width="10"/>
    <col collapsed="false" customWidth="true" hidden="false" outlineLevel="0" max="12" min="12" style="1" width="12.25"/>
    <col collapsed="false" customWidth="true" hidden="false" outlineLevel="0" max="13" min="13" style="1" width="26.12"/>
    <col collapsed="false" customWidth="true" hidden="false" outlineLevel="0" max="14" min="14" style="1" width="18"/>
    <col collapsed="false" customWidth="true" hidden="false" outlineLevel="0" max="16" min="15" style="1" width="10.63"/>
    <col collapsed="false" customWidth="true" hidden="false" outlineLevel="0" max="17" min="17" style="1" width="8.5"/>
    <col collapsed="false" customWidth="true" hidden="false" outlineLevel="0" max="19" min="19" style="1" width="25.38"/>
    <col collapsed="false" customWidth="true" hidden="false" outlineLevel="0" max="20" min="20" style="1" width="17.88"/>
    <col collapsed="false" customWidth="true" hidden="false" outlineLevel="0" max="21" min="21" style="1" width="10.13"/>
    <col collapsed="false" customWidth="true" hidden="false" outlineLevel="0" max="22" min="22" style="1" width="11.12"/>
    <col collapsed="false" customWidth="true" hidden="false" outlineLevel="0" max="23" min="23" style="1" width="24.88"/>
    <col collapsed="false" customWidth="true" hidden="false" outlineLevel="0" max="16384" min="16384" style="1" width="11.53"/>
  </cols>
  <sheetData>
    <row r="1" customFormat="false" ht="68" hidden="false" customHeight="false" outlineLevel="0" collapsed="false">
      <c r="A1" s="2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/>
      <c r="J1" s="4" t="s">
        <v>8</v>
      </c>
      <c r="K1" s="2"/>
      <c r="L1" s="2" t="s">
        <v>9</v>
      </c>
      <c r="M1" s="2" t="s">
        <v>10</v>
      </c>
      <c r="N1" s="4" t="s">
        <v>11</v>
      </c>
      <c r="O1" s="3" t="s">
        <v>12</v>
      </c>
      <c r="P1" s="7" t="s">
        <v>13</v>
      </c>
      <c r="Q1" s="7" t="s">
        <v>14</v>
      </c>
      <c r="R1" s="7" t="s">
        <v>15</v>
      </c>
      <c r="S1" s="7" t="s">
        <v>16</v>
      </c>
      <c r="T1" s="7" t="s">
        <v>17</v>
      </c>
      <c r="U1" s="8" t="s">
        <v>18</v>
      </c>
      <c r="V1" s="9" t="s">
        <v>19</v>
      </c>
      <c r="W1" s="9" t="s">
        <v>20</v>
      </c>
      <c r="X1" s="10" t="s">
        <v>15</v>
      </c>
      <c r="Y1" s="11" t="s">
        <v>21</v>
      </c>
      <c r="Z1" s="11" t="s">
        <v>22</v>
      </c>
      <c r="AA1" s="12"/>
      <c r="AB1" s="12"/>
      <c r="AC1" s="12"/>
      <c r="AD1" s="12"/>
      <c r="AE1" s="12"/>
      <c r="AF1" s="12"/>
      <c r="XFD1" s="0"/>
    </row>
    <row r="2" customFormat="false" ht="15.75" hidden="false" customHeight="false" outlineLevel="0" collapsed="false">
      <c r="A2" s="61" t="n">
        <v>7138</v>
      </c>
      <c r="B2" s="29" t="n">
        <v>45017</v>
      </c>
      <c r="C2" s="21" t="s">
        <v>1456</v>
      </c>
      <c r="D2" s="21" t="s">
        <v>24</v>
      </c>
      <c r="E2" s="21" t="s">
        <v>34</v>
      </c>
      <c r="F2" s="21" t="s">
        <v>1936</v>
      </c>
      <c r="G2" s="30" t="s">
        <v>36</v>
      </c>
      <c r="H2" s="31"/>
      <c r="I2" s="21"/>
      <c r="J2" s="21"/>
      <c r="K2" s="21"/>
      <c r="L2" s="21"/>
      <c r="M2" s="21"/>
      <c r="N2" s="30"/>
      <c r="O2" s="21"/>
      <c r="P2" s="21"/>
      <c r="Q2" s="21"/>
      <c r="R2" s="32"/>
      <c r="S2" s="32"/>
      <c r="T2" s="21"/>
      <c r="U2" s="21"/>
      <c r="V2" s="21"/>
      <c r="W2" s="21"/>
      <c r="X2" s="21" t="s">
        <v>28</v>
      </c>
    </row>
    <row r="3" customFormat="false" ht="15.75" hidden="false" customHeight="false" outlineLevel="0" collapsed="false">
      <c r="A3" s="61" t="n">
        <v>7139</v>
      </c>
      <c r="B3" s="29" t="n">
        <v>45017</v>
      </c>
      <c r="C3" s="21" t="s">
        <v>1456</v>
      </c>
      <c r="D3" s="21" t="s">
        <v>24</v>
      </c>
      <c r="E3" s="21" t="s">
        <v>34</v>
      </c>
      <c r="F3" s="21" t="s">
        <v>1937</v>
      </c>
      <c r="G3" s="30" t="s">
        <v>36</v>
      </c>
      <c r="H3" s="31"/>
      <c r="I3" s="21"/>
      <c r="J3" s="21"/>
      <c r="K3" s="21"/>
      <c r="L3" s="21"/>
      <c r="M3" s="21"/>
      <c r="N3" s="30"/>
      <c r="O3" s="21"/>
      <c r="P3" s="21"/>
      <c r="Q3" s="21"/>
      <c r="R3" s="32"/>
      <c r="S3" s="32"/>
      <c r="T3" s="21"/>
      <c r="U3" s="21"/>
      <c r="V3" s="21"/>
      <c r="W3" s="21"/>
      <c r="X3" s="21" t="s">
        <v>28</v>
      </c>
    </row>
    <row r="4" customFormat="false" ht="15.75" hidden="false" customHeight="false" outlineLevel="0" collapsed="false">
      <c r="A4" s="61" t="n">
        <v>7140</v>
      </c>
      <c r="B4" s="29" t="n">
        <v>45019</v>
      </c>
      <c r="C4" s="21" t="s">
        <v>389</v>
      </c>
      <c r="D4" s="21" t="s">
        <v>24</v>
      </c>
      <c r="E4" s="21" t="s">
        <v>25</v>
      </c>
      <c r="F4" s="21" t="s">
        <v>1938</v>
      </c>
      <c r="G4" s="30" t="s">
        <v>36</v>
      </c>
      <c r="H4" s="45" t="str">
        <f aca="false">HYPERLINK("https://photos.app.goo.gl/jwq7MdnNoL3yePtj6", "Completo")</f>
        <v>Completo</v>
      </c>
      <c r="I4" s="21" t="s">
        <v>28</v>
      </c>
      <c r="J4" s="21"/>
      <c r="K4" s="21"/>
      <c r="L4" s="21"/>
      <c r="M4" s="21" t="s">
        <v>1939</v>
      </c>
      <c r="N4" s="30"/>
      <c r="O4" s="21"/>
      <c r="P4" s="21"/>
      <c r="Q4" s="21"/>
      <c r="R4" s="32"/>
      <c r="S4" s="32"/>
      <c r="T4" s="21"/>
      <c r="U4" s="21"/>
      <c r="V4" s="21"/>
      <c r="W4" s="21"/>
      <c r="X4" s="21" t="s">
        <v>28</v>
      </c>
    </row>
    <row r="5" customFormat="false" ht="15.75" hidden="false" customHeight="false" outlineLevel="0" collapsed="false">
      <c r="A5" s="61" t="n">
        <v>7141</v>
      </c>
      <c r="B5" s="29" t="n">
        <v>45019</v>
      </c>
      <c r="C5" s="21" t="s">
        <v>841</v>
      </c>
      <c r="D5" s="21" t="s">
        <v>24</v>
      </c>
      <c r="E5" s="21" t="s">
        <v>25</v>
      </c>
      <c r="F5" s="21" t="s">
        <v>1940</v>
      </c>
      <c r="G5" s="30" t="s">
        <v>1941</v>
      </c>
      <c r="H5" s="45" t="str">
        <f aca="false">HYPERLINK("https://photos.app.goo.gl/LLAgPoJPYdLJnKdF9", "Completo")</f>
        <v>Completo</v>
      </c>
      <c r="I5" s="21" t="s">
        <v>28</v>
      </c>
      <c r="J5" s="21" t="s">
        <v>29</v>
      </c>
      <c r="K5" s="21" t="s">
        <v>29</v>
      </c>
      <c r="L5" s="21" t="n">
        <v>1474</v>
      </c>
      <c r="M5" s="21"/>
      <c r="N5" s="30"/>
      <c r="O5" s="21"/>
      <c r="P5" s="21"/>
      <c r="Q5" s="21"/>
      <c r="R5" s="32"/>
      <c r="S5" s="32"/>
      <c r="T5" s="21" t="s">
        <v>74</v>
      </c>
      <c r="U5" s="46" t="s">
        <v>28</v>
      </c>
      <c r="V5" s="64" t="s">
        <v>28</v>
      </c>
      <c r="W5" s="21" t="s">
        <v>36</v>
      </c>
      <c r="X5" s="21" t="s">
        <v>28</v>
      </c>
    </row>
    <row r="6" customFormat="false" ht="15.75" hidden="false" customHeight="false" outlineLevel="0" collapsed="false">
      <c r="A6" s="61" t="n">
        <v>7142</v>
      </c>
      <c r="B6" s="29" t="n">
        <v>45020</v>
      </c>
      <c r="C6" s="21" t="s">
        <v>389</v>
      </c>
      <c r="D6" s="21" t="s">
        <v>24</v>
      </c>
      <c r="E6" s="21" t="s">
        <v>34</v>
      </c>
      <c r="F6" s="21" t="s">
        <v>1942</v>
      </c>
      <c r="G6" s="30" t="s">
        <v>36</v>
      </c>
      <c r="H6" s="31"/>
      <c r="I6" s="21"/>
      <c r="J6" s="21"/>
      <c r="K6" s="21"/>
      <c r="L6" s="21"/>
      <c r="M6" s="21"/>
      <c r="N6" s="30"/>
      <c r="O6" s="21"/>
      <c r="P6" s="21"/>
      <c r="Q6" s="21"/>
      <c r="R6" s="32"/>
      <c r="S6" s="32"/>
      <c r="T6" s="21"/>
      <c r="U6" s="21"/>
      <c r="V6" s="21"/>
      <c r="W6" s="21"/>
      <c r="X6" s="21" t="s">
        <v>28</v>
      </c>
    </row>
    <row r="7" customFormat="false" ht="15.75" hidden="false" customHeight="false" outlineLevel="0" collapsed="false">
      <c r="A7" s="61" t="n">
        <v>7143</v>
      </c>
      <c r="B7" s="29" t="n">
        <v>45020</v>
      </c>
      <c r="C7" s="21" t="s">
        <v>188</v>
      </c>
      <c r="D7" s="21" t="s">
        <v>24</v>
      </c>
      <c r="E7" s="21" t="s">
        <v>34</v>
      </c>
      <c r="F7" s="21" t="s">
        <v>1943</v>
      </c>
      <c r="G7" s="30"/>
      <c r="H7" s="31"/>
      <c r="I7" s="21"/>
      <c r="J7" s="21"/>
      <c r="K7" s="21"/>
      <c r="L7" s="21"/>
      <c r="M7" s="21"/>
      <c r="N7" s="30"/>
      <c r="O7" s="21"/>
      <c r="P7" s="21"/>
      <c r="Q7" s="21"/>
      <c r="R7" s="32"/>
      <c r="S7" s="32"/>
      <c r="T7" s="21"/>
      <c r="U7" s="21"/>
      <c r="V7" s="21"/>
      <c r="W7" s="21"/>
      <c r="X7" s="21" t="s">
        <v>28</v>
      </c>
    </row>
    <row r="8" customFormat="false" ht="15.75" hidden="false" customHeight="false" outlineLevel="0" collapsed="false">
      <c r="A8" s="61" t="n">
        <v>7144</v>
      </c>
      <c r="B8" s="29" t="n">
        <v>45020</v>
      </c>
      <c r="C8" s="21" t="s">
        <v>188</v>
      </c>
      <c r="D8" s="21" t="s">
        <v>24</v>
      </c>
      <c r="E8" s="21" t="s">
        <v>34</v>
      </c>
      <c r="F8" s="21" t="s">
        <v>1944</v>
      </c>
      <c r="G8" s="30"/>
      <c r="H8" s="31"/>
      <c r="I8" s="21"/>
      <c r="J8" s="21"/>
      <c r="K8" s="21"/>
      <c r="L8" s="21"/>
      <c r="M8" s="21"/>
      <c r="N8" s="30"/>
      <c r="O8" s="21"/>
      <c r="P8" s="21"/>
      <c r="Q8" s="21"/>
      <c r="R8" s="32"/>
      <c r="S8" s="32"/>
      <c r="T8" s="21"/>
      <c r="U8" s="21"/>
      <c r="V8" s="21"/>
      <c r="W8" s="21"/>
      <c r="X8" s="21" t="s">
        <v>28</v>
      </c>
    </row>
    <row r="9" customFormat="false" ht="15.75" hidden="false" customHeight="false" outlineLevel="0" collapsed="false">
      <c r="A9" s="61" t="n">
        <v>7145</v>
      </c>
      <c r="B9" s="29" t="n">
        <v>45021</v>
      </c>
      <c r="C9" s="21" t="s">
        <v>188</v>
      </c>
      <c r="D9" s="21" t="s">
        <v>24</v>
      </c>
      <c r="E9" s="21" t="s">
        <v>34</v>
      </c>
      <c r="F9" s="21" t="s">
        <v>1945</v>
      </c>
      <c r="G9" s="30"/>
      <c r="H9" s="31"/>
      <c r="I9" s="21"/>
      <c r="J9" s="21"/>
      <c r="K9" s="21"/>
      <c r="L9" s="21"/>
      <c r="M9" s="21"/>
      <c r="N9" s="30"/>
      <c r="O9" s="21"/>
      <c r="P9" s="21"/>
      <c r="Q9" s="21"/>
      <c r="R9" s="32"/>
      <c r="S9" s="32"/>
      <c r="T9" s="21"/>
      <c r="U9" s="21"/>
      <c r="V9" s="21"/>
      <c r="W9" s="21"/>
      <c r="X9" s="21" t="s">
        <v>28</v>
      </c>
    </row>
    <row r="10" customFormat="false" ht="15.75" hidden="false" customHeight="false" outlineLevel="0" collapsed="false">
      <c r="A10" s="61" t="n">
        <v>7146</v>
      </c>
      <c r="B10" s="29" t="n">
        <v>45021</v>
      </c>
      <c r="C10" s="21" t="s">
        <v>75</v>
      </c>
      <c r="D10" s="21" t="s">
        <v>24</v>
      </c>
      <c r="E10" s="21" t="s">
        <v>25</v>
      </c>
      <c r="F10" s="21" t="s">
        <v>1946</v>
      </c>
      <c r="G10" s="30" t="s">
        <v>36</v>
      </c>
      <c r="H10" s="45" t="str">
        <f aca="false">HYPERLINK("https://photos.app.goo.gl/bsDaH2X4PQXhQGjW8", "Completo")</f>
        <v>Completo</v>
      </c>
      <c r="I10" s="21" t="s">
        <v>28</v>
      </c>
      <c r="J10" s="21" t="s">
        <v>29</v>
      </c>
      <c r="K10" s="21" t="s">
        <v>29</v>
      </c>
      <c r="L10" s="21" t="n">
        <v>3894</v>
      </c>
      <c r="M10" s="21" t="s">
        <v>29</v>
      </c>
      <c r="N10" s="30"/>
      <c r="O10" s="21"/>
      <c r="P10" s="21"/>
      <c r="Q10" s="21"/>
      <c r="R10" s="32"/>
      <c r="S10" s="32"/>
      <c r="T10" s="21"/>
      <c r="U10" s="21"/>
      <c r="V10" s="21"/>
      <c r="W10" s="21"/>
      <c r="X10" s="21" t="s">
        <v>28</v>
      </c>
    </row>
    <row r="11" customFormat="false" ht="15.75" hidden="false" customHeight="false" outlineLevel="0" collapsed="false">
      <c r="A11" s="61" t="n">
        <v>7147</v>
      </c>
      <c r="B11" s="29" t="n">
        <v>45021</v>
      </c>
      <c r="C11" s="21" t="s">
        <v>188</v>
      </c>
      <c r="D11" s="21" t="s">
        <v>24</v>
      </c>
      <c r="E11" s="21" t="s">
        <v>34</v>
      </c>
      <c r="F11" s="21" t="s">
        <v>1947</v>
      </c>
      <c r="G11" s="30"/>
      <c r="H11" s="31"/>
      <c r="I11" s="21"/>
      <c r="J11" s="21"/>
      <c r="K11" s="21"/>
      <c r="L11" s="21"/>
      <c r="M11" s="21"/>
      <c r="N11" s="30"/>
      <c r="O11" s="21"/>
      <c r="P11" s="21"/>
      <c r="Q11" s="21"/>
      <c r="R11" s="32"/>
      <c r="S11" s="32"/>
      <c r="T11" s="21"/>
      <c r="U11" s="21"/>
      <c r="V11" s="21"/>
      <c r="W11" s="21"/>
      <c r="X11" s="21" t="s">
        <v>28</v>
      </c>
    </row>
    <row r="12" customFormat="false" ht="15.75" hidden="false" customHeight="false" outlineLevel="0" collapsed="false">
      <c r="A12" s="61" t="n">
        <v>7148</v>
      </c>
      <c r="B12" s="29" t="n">
        <v>45021</v>
      </c>
      <c r="C12" s="21" t="s">
        <v>84</v>
      </c>
      <c r="D12" s="21" t="s">
        <v>24</v>
      </c>
      <c r="E12" s="21" t="s">
        <v>34</v>
      </c>
      <c r="F12" s="21" t="s">
        <v>1948</v>
      </c>
      <c r="G12" s="30" t="s">
        <v>36</v>
      </c>
      <c r="H12" s="31"/>
      <c r="I12" s="21"/>
      <c r="J12" s="21"/>
      <c r="K12" s="21"/>
      <c r="L12" s="21"/>
      <c r="M12" s="21"/>
      <c r="N12" s="30"/>
      <c r="O12" s="21"/>
      <c r="P12" s="21"/>
      <c r="Q12" s="21"/>
      <c r="R12" s="32"/>
      <c r="S12" s="32"/>
      <c r="T12" s="21"/>
      <c r="U12" s="21"/>
      <c r="V12" s="21"/>
      <c r="W12" s="21"/>
      <c r="X12" s="21" t="s">
        <v>28</v>
      </c>
    </row>
    <row r="13" customFormat="false" ht="15.75" hidden="false" customHeight="false" outlineLevel="0" collapsed="false">
      <c r="A13" s="61" t="n">
        <v>7149</v>
      </c>
      <c r="B13" s="29" t="n">
        <v>45022</v>
      </c>
      <c r="C13" s="21" t="s">
        <v>1949</v>
      </c>
      <c r="D13" s="21" t="s">
        <v>24</v>
      </c>
      <c r="E13" s="21" t="s">
        <v>74</v>
      </c>
      <c r="F13" s="21" t="s">
        <v>1950</v>
      </c>
      <c r="G13" s="30"/>
      <c r="H13" s="45" t="str">
        <f aca="false">HYPERLINK("https://photos.app.goo.gl/hNPabDBeg1dPDaee9", "Completo")</f>
        <v>Completo</v>
      </c>
      <c r="I13" s="21" t="s">
        <v>28</v>
      </c>
      <c r="J13" s="21"/>
      <c r="K13" s="21"/>
      <c r="L13" s="21"/>
      <c r="M13" s="21"/>
      <c r="N13" s="30"/>
      <c r="O13" s="21" t="s">
        <v>28</v>
      </c>
      <c r="P13" s="46" t="str">
        <f aca="false">HYPERLINK("https://photos.app.goo.gl/DtcjCDar7iJ8ocCDA", "Completo")</f>
        <v>Completo</v>
      </c>
      <c r="Q13" s="21" t="s">
        <v>73</v>
      </c>
      <c r="R13" s="32" t="s">
        <v>74</v>
      </c>
      <c r="S13" s="32" t="s">
        <v>36</v>
      </c>
      <c r="T13" s="21"/>
      <c r="U13" s="21"/>
      <c r="V13" s="21"/>
      <c r="W13" s="21"/>
      <c r="X13" s="21" t="s">
        <v>28</v>
      </c>
    </row>
    <row r="14" customFormat="false" ht="15.75" hidden="false" customHeight="false" outlineLevel="0" collapsed="false">
      <c r="A14" s="63" t="n">
        <v>1573832</v>
      </c>
      <c r="B14" s="29" t="n">
        <v>45022</v>
      </c>
      <c r="C14" s="21" t="s">
        <v>1569</v>
      </c>
      <c r="D14" s="21" t="s">
        <v>290</v>
      </c>
      <c r="E14" s="21" t="s">
        <v>25</v>
      </c>
      <c r="F14" s="21" t="s">
        <v>1951</v>
      </c>
      <c r="G14" s="30" t="s">
        <v>1952</v>
      </c>
      <c r="H14" s="45" t="str">
        <f aca="false">HYPERLINK("https://photos.app.goo.gl/DfGX69Z9WfvViiRB6", "Completo")</f>
        <v>Completo</v>
      </c>
      <c r="I14" s="21" t="s">
        <v>28</v>
      </c>
      <c r="J14" s="21" t="s">
        <v>29</v>
      </c>
      <c r="K14" s="21" t="s">
        <v>29</v>
      </c>
      <c r="L14" s="21" t="s">
        <v>29</v>
      </c>
      <c r="M14" s="21" t="s">
        <v>29</v>
      </c>
      <c r="N14" s="30"/>
      <c r="O14" s="21"/>
      <c r="P14" s="21"/>
      <c r="Q14" s="21"/>
      <c r="R14" s="32"/>
      <c r="S14" s="32"/>
      <c r="T14" s="21" t="s">
        <v>74</v>
      </c>
      <c r="U14" s="46" t="s">
        <v>28</v>
      </c>
      <c r="V14" s="46" t="s">
        <v>28</v>
      </c>
      <c r="W14" s="21" t="s">
        <v>36</v>
      </c>
      <c r="X14" s="21" t="s">
        <v>28</v>
      </c>
    </row>
    <row r="15" customFormat="false" ht="15.75" hidden="false" customHeight="false" outlineLevel="0" collapsed="false">
      <c r="A15" s="63" t="n">
        <v>1162569</v>
      </c>
      <c r="B15" s="29" t="n">
        <v>45022</v>
      </c>
      <c r="C15" s="21" t="s">
        <v>1953</v>
      </c>
      <c r="D15" s="21" t="s">
        <v>290</v>
      </c>
      <c r="E15" s="21" t="s">
        <v>25</v>
      </c>
      <c r="F15" s="21" t="s">
        <v>600</v>
      </c>
      <c r="G15" s="30" t="s">
        <v>1954</v>
      </c>
      <c r="H15" s="45" t="str">
        <f aca="false">HYPERLINK("https://photos.app.goo.gl/GExw1jGBrUhrhexa7", "Completo")</f>
        <v>Completo</v>
      </c>
      <c r="I15" s="21" t="s">
        <v>28</v>
      </c>
      <c r="J15" s="21" t="s">
        <v>29</v>
      </c>
      <c r="K15" s="21" t="s">
        <v>29</v>
      </c>
      <c r="L15" s="21" t="s">
        <v>29</v>
      </c>
      <c r="M15" s="21" t="s">
        <v>29</v>
      </c>
      <c r="N15" s="30"/>
      <c r="O15" s="21"/>
      <c r="P15" s="21"/>
      <c r="Q15" s="21"/>
      <c r="R15" s="32"/>
      <c r="S15" s="32"/>
      <c r="T15" s="21" t="s">
        <v>74</v>
      </c>
      <c r="U15" s="46" t="s">
        <v>28</v>
      </c>
      <c r="V15" s="46" t="s">
        <v>28</v>
      </c>
      <c r="W15" s="21" t="s">
        <v>36</v>
      </c>
      <c r="X15" s="21" t="s">
        <v>28</v>
      </c>
    </row>
    <row r="16" customFormat="false" ht="15.75" hidden="false" customHeight="false" outlineLevel="0" collapsed="false">
      <c r="A16" s="61" t="n">
        <v>7150</v>
      </c>
      <c r="B16" s="29" t="n">
        <v>45022</v>
      </c>
      <c r="C16" s="21" t="s">
        <v>1955</v>
      </c>
      <c r="D16" s="21" t="s">
        <v>24</v>
      </c>
      <c r="E16" s="21" t="s">
        <v>25</v>
      </c>
      <c r="F16" s="21" t="s">
        <v>1956</v>
      </c>
      <c r="G16" s="30" t="s">
        <v>1957</v>
      </c>
      <c r="H16" s="45" t="str">
        <f aca="false">HYPERLINK("https://photos.app.goo.gl/bUWx9MioyCPqYxRPA", "Completo")</f>
        <v>Completo</v>
      </c>
      <c r="I16" s="21" t="s">
        <v>28</v>
      </c>
      <c r="J16" s="21" t="s">
        <v>29</v>
      </c>
      <c r="K16" s="21" t="s">
        <v>29</v>
      </c>
      <c r="L16" s="21" t="n">
        <v>53421</v>
      </c>
      <c r="M16" s="21" t="s">
        <v>29</v>
      </c>
      <c r="N16" s="30"/>
      <c r="O16" s="21"/>
      <c r="P16" s="21"/>
      <c r="Q16" s="21"/>
      <c r="R16" s="32"/>
      <c r="S16" s="32"/>
      <c r="T16" s="21"/>
      <c r="U16" s="21"/>
      <c r="V16" s="21"/>
      <c r="W16" s="21"/>
      <c r="X16" s="21" t="s">
        <v>28</v>
      </c>
    </row>
    <row r="17" customFormat="false" ht="15.75" hidden="false" customHeight="false" outlineLevel="0" collapsed="false">
      <c r="A17" s="61" t="n">
        <v>7151</v>
      </c>
      <c r="B17" s="29" t="n">
        <v>45022</v>
      </c>
      <c r="C17" s="21" t="s">
        <v>1955</v>
      </c>
      <c r="D17" s="21" t="s">
        <v>24</v>
      </c>
      <c r="E17" s="21" t="s">
        <v>25</v>
      </c>
      <c r="F17" s="21" t="s">
        <v>1958</v>
      </c>
      <c r="G17" s="30" t="s">
        <v>1959</v>
      </c>
      <c r="H17" s="45" t="str">
        <f aca="false">HYPERLINK("https://photos.app.goo.gl/ZaBcjDCWVh7MbWER9", "Completo")</f>
        <v>Completo</v>
      </c>
      <c r="I17" s="21" t="s">
        <v>28</v>
      </c>
      <c r="J17" s="21" t="s">
        <v>29</v>
      </c>
      <c r="K17" s="21" t="s">
        <v>29</v>
      </c>
      <c r="L17" s="21" t="n">
        <v>53421</v>
      </c>
      <c r="M17" s="21" t="s">
        <v>29</v>
      </c>
      <c r="N17" s="30"/>
      <c r="O17" s="21"/>
      <c r="P17" s="21"/>
      <c r="Q17" s="21"/>
      <c r="R17" s="32"/>
      <c r="S17" s="32"/>
      <c r="T17" s="21"/>
      <c r="U17" s="21"/>
      <c r="V17" s="21"/>
      <c r="W17" s="21"/>
      <c r="X17" s="21" t="s">
        <v>28</v>
      </c>
    </row>
    <row r="18" customFormat="false" ht="15.75" hidden="false" customHeight="false" outlineLevel="0" collapsed="false">
      <c r="A18" s="61" t="n">
        <v>7152</v>
      </c>
      <c r="B18" s="29" t="n">
        <v>45022</v>
      </c>
      <c r="C18" s="21" t="s">
        <v>1955</v>
      </c>
      <c r="D18" s="21" t="s">
        <v>24</v>
      </c>
      <c r="E18" s="21" t="s">
        <v>25</v>
      </c>
      <c r="F18" s="21" t="s">
        <v>1960</v>
      </c>
      <c r="G18" s="30" t="s">
        <v>1959</v>
      </c>
      <c r="H18" s="45" t="str">
        <f aca="false">HYPERLINK("https://photos.app.goo.gl/hmjbCHg8fFa3WLKDA", "Completo")</f>
        <v>Completo</v>
      </c>
      <c r="I18" s="21" t="s">
        <v>28</v>
      </c>
      <c r="J18" s="21" t="s">
        <v>29</v>
      </c>
      <c r="K18" s="21" t="s">
        <v>29</v>
      </c>
      <c r="L18" s="21" t="n">
        <v>53421</v>
      </c>
      <c r="M18" s="21" t="s">
        <v>29</v>
      </c>
      <c r="N18" s="30"/>
      <c r="O18" s="21"/>
      <c r="P18" s="21"/>
      <c r="Q18" s="21"/>
      <c r="R18" s="32"/>
      <c r="S18" s="32"/>
      <c r="T18" s="21"/>
      <c r="U18" s="21"/>
      <c r="V18" s="21"/>
      <c r="W18" s="21"/>
      <c r="X18" s="21" t="s">
        <v>28</v>
      </c>
    </row>
    <row r="19" customFormat="false" ht="15.75" hidden="false" customHeight="false" outlineLevel="0" collapsed="false">
      <c r="A19" s="61" t="n">
        <v>7153</v>
      </c>
      <c r="B19" s="29" t="n">
        <v>45022</v>
      </c>
      <c r="C19" s="21" t="s">
        <v>1290</v>
      </c>
      <c r="D19" s="21" t="s">
        <v>24</v>
      </c>
      <c r="E19" s="21" t="s">
        <v>25</v>
      </c>
      <c r="F19" s="21" t="s">
        <v>1961</v>
      </c>
      <c r="G19" s="30" t="s">
        <v>1962</v>
      </c>
      <c r="H19" s="45" t="str">
        <f aca="false">HYPERLINK("https://photos.app.goo.gl/f27VEuD17n3cBpRQ9", "Completo")</f>
        <v>Completo</v>
      </c>
      <c r="I19" s="21" t="s">
        <v>28</v>
      </c>
      <c r="J19" s="21" t="s">
        <v>29</v>
      </c>
      <c r="K19" s="21" t="s">
        <v>29</v>
      </c>
      <c r="L19" s="21" t="s">
        <v>29</v>
      </c>
      <c r="M19" s="21" t="s">
        <v>29</v>
      </c>
      <c r="N19" s="30"/>
      <c r="O19" s="21"/>
      <c r="P19" s="21"/>
      <c r="Q19" s="21"/>
      <c r="R19" s="32"/>
      <c r="S19" s="32"/>
      <c r="T19" s="21" t="s">
        <v>74</v>
      </c>
      <c r="U19" s="46" t="s">
        <v>28</v>
      </c>
      <c r="V19" s="46" t="s">
        <v>28</v>
      </c>
      <c r="W19" s="21" t="s">
        <v>36</v>
      </c>
      <c r="X19" s="21" t="s">
        <v>28</v>
      </c>
    </row>
    <row r="20" customFormat="false" ht="15.75" hidden="false" customHeight="false" outlineLevel="0" collapsed="false">
      <c r="A20" s="61" t="n">
        <v>7154</v>
      </c>
      <c r="B20" s="29" t="n">
        <v>45022</v>
      </c>
      <c r="C20" s="21" t="s">
        <v>613</v>
      </c>
      <c r="D20" s="21" t="s">
        <v>24</v>
      </c>
      <c r="E20" s="21" t="s">
        <v>25</v>
      </c>
      <c r="F20" s="21" t="s">
        <v>1075</v>
      </c>
      <c r="G20" s="30" t="s">
        <v>1963</v>
      </c>
      <c r="H20" s="45" t="str">
        <f aca="false">HYPERLINK("https://photos.app.goo.gl/WGhh5hbcrDF1RkXG6", "Completo")</f>
        <v>Completo</v>
      </c>
      <c r="I20" s="21" t="s">
        <v>28</v>
      </c>
      <c r="J20" s="21" t="s">
        <v>29</v>
      </c>
      <c r="K20" s="21" t="s">
        <v>29</v>
      </c>
      <c r="L20" s="21" t="s">
        <v>29</v>
      </c>
      <c r="M20" s="21" t="s">
        <v>29</v>
      </c>
      <c r="N20" s="30"/>
      <c r="O20" s="21"/>
      <c r="P20" s="21"/>
      <c r="Q20" s="21"/>
      <c r="R20" s="32"/>
      <c r="S20" s="32"/>
      <c r="T20" s="21" t="s">
        <v>74</v>
      </c>
      <c r="U20" s="46" t="s">
        <v>28</v>
      </c>
      <c r="V20" s="46" t="s">
        <v>28</v>
      </c>
      <c r="W20" s="21" t="s">
        <v>36</v>
      </c>
      <c r="X20" s="21" t="s">
        <v>28</v>
      </c>
    </row>
    <row r="21" customFormat="false" ht="15.75" hidden="false" customHeight="false" outlineLevel="0" collapsed="false">
      <c r="A21" s="61" t="n">
        <v>7155</v>
      </c>
      <c r="B21" s="29" t="n">
        <v>45026</v>
      </c>
      <c r="C21" s="21" t="s">
        <v>1010</v>
      </c>
      <c r="D21" s="21" t="s">
        <v>24</v>
      </c>
      <c r="E21" s="21" t="s">
        <v>25</v>
      </c>
      <c r="F21" s="21" t="s">
        <v>1593</v>
      </c>
      <c r="G21" s="30" t="s">
        <v>1964</v>
      </c>
      <c r="H21" s="45" t="str">
        <f aca="false">HYPERLINK("https://photos.app.goo.gl/TS7EeddHXZJa4eEh6", "Completo")</f>
        <v>Completo</v>
      </c>
      <c r="I21" s="21" t="s">
        <v>28</v>
      </c>
      <c r="J21" s="21" t="s">
        <v>29</v>
      </c>
      <c r="K21" s="21" t="s">
        <v>29</v>
      </c>
      <c r="L21" s="21" t="s">
        <v>29</v>
      </c>
      <c r="M21" s="21" t="s">
        <v>1965</v>
      </c>
      <c r="N21" s="30"/>
      <c r="O21" s="21"/>
      <c r="P21" s="21"/>
      <c r="Q21" s="21"/>
      <c r="R21" s="32"/>
      <c r="S21" s="32"/>
      <c r="T21" s="21"/>
      <c r="U21" s="21"/>
      <c r="V21" s="21"/>
      <c r="W21" s="21"/>
      <c r="X21" s="21" t="s">
        <v>28</v>
      </c>
    </row>
    <row r="22" customFormat="false" ht="15.75" hidden="false" customHeight="false" outlineLevel="0" collapsed="false">
      <c r="A22" s="61" t="n">
        <v>7156</v>
      </c>
      <c r="B22" s="29" t="n">
        <v>45026</v>
      </c>
      <c r="C22" s="21" t="s">
        <v>872</v>
      </c>
      <c r="D22" s="21" t="s">
        <v>24</v>
      </c>
      <c r="E22" s="21" t="s">
        <v>25</v>
      </c>
      <c r="F22" s="21" t="s">
        <v>1966</v>
      </c>
      <c r="G22" s="30" t="s">
        <v>29</v>
      </c>
      <c r="H22" s="45" t="str">
        <f aca="false">HYPERLINK("https://photos.app.goo.gl/dtAANYoy8yRJ2E1NA", "Completo")</f>
        <v>Completo</v>
      </c>
      <c r="I22" s="21" t="s">
        <v>28</v>
      </c>
      <c r="J22" s="21" t="s">
        <v>29</v>
      </c>
      <c r="K22" s="21" t="s">
        <v>29</v>
      </c>
      <c r="L22" s="21" t="n">
        <v>6420</v>
      </c>
      <c r="M22" s="21" t="s">
        <v>29</v>
      </c>
      <c r="N22" s="30"/>
      <c r="O22" s="21"/>
      <c r="P22" s="21"/>
      <c r="Q22" s="21"/>
      <c r="R22" s="32"/>
      <c r="S22" s="32"/>
      <c r="T22" s="21"/>
      <c r="U22" s="21"/>
      <c r="V22" s="21"/>
      <c r="W22" s="21"/>
      <c r="X22" s="21" t="s">
        <v>28</v>
      </c>
    </row>
    <row r="23" customFormat="false" ht="15.75" hidden="false" customHeight="false" outlineLevel="0" collapsed="false">
      <c r="A23" s="61" t="n">
        <v>7157</v>
      </c>
      <c r="B23" s="29" t="n">
        <v>45026</v>
      </c>
      <c r="C23" s="21" t="s">
        <v>1456</v>
      </c>
      <c r="D23" s="21" t="s">
        <v>24</v>
      </c>
      <c r="E23" s="21" t="s">
        <v>25</v>
      </c>
      <c r="F23" s="21" t="s">
        <v>1967</v>
      </c>
      <c r="G23" s="30" t="s">
        <v>29</v>
      </c>
      <c r="H23" s="45" t="str">
        <f aca="false">HYPERLINK("https://photos.app.goo.gl/bCAmu6SGVLN7hELJ6", "Completo")</f>
        <v>Completo</v>
      </c>
      <c r="I23" s="21" t="s">
        <v>28</v>
      </c>
      <c r="J23" s="21" t="s">
        <v>29</v>
      </c>
      <c r="K23" s="21" t="s">
        <v>29</v>
      </c>
      <c r="L23" s="21" t="n">
        <v>53893</v>
      </c>
      <c r="M23" s="21" t="s">
        <v>29</v>
      </c>
      <c r="N23" s="30"/>
      <c r="O23" s="21"/>
      <c r="P23" s="21"/>
      <c r="Q23" s="21"/>
      <c r="R23" s="32"/>
      <c r="S23" s="32"/>
      <c r="T23" s="21"/>
      <c r="U23" s="21"/>
      <c r="V23" s="21"/>
      <c r="W23" s="21"/>
      <c r="X23" s="21" t="s">
        <v>28</v>
      </c>
    </row>
    <row r="24" customFormat="false" ht="15.75" hidden="false" customHeight="false" outlineLevel="0" collapsed="false">
      <c r="A24" s="61" t="n">
        <v>7158</v>
      </c>
      <c r="B24" s="29" t="n">
        <v>45026</v>
      </c>
      <c r="C24" s="21" t="s">
        <v>1456</v>
      </c>
      <c r="D24" s="21" t="s">
        <v>24</v>
      </c>
      <c r="E24" s="21" t="s">
        <v>25</v>
      </c>
      <c r="F24" s="21" t="s">
        <v>1968</v>
      </c>
      <c r="G24" s="30" t="s">
        <v>1969</v>
      </c>
      <c r="H24" s="45" t="str">
        <f aca="false">HYPERLINK("https://photos.app.goo.gl/6vJhy4aXKiRaF2L87", "Completo")</f>
        <v>Completo</v>
      </c>
      <c r="I24" s="21" t="s">
        <v>28</v>
      </c>
      <c r="J24" s="21" t="s">
        <v>29</v>
      </c>
      <c r="K24" s="21" t="s">
        <v>29</v>
      </c>
      <c r="L24" s="21" t="n">
        <v>53887</v>
      </c>
      <c r="M24" s="21" t="s">
        <v>29</v>
      </c>
      <c r="N24" s="30"/>
      <c r="O24" s="21"/>
      <c r="P24" s="21"/>
      <c r="Q24" s="21"/>
      <c r="R24" s="32"/>
      <c r="S24" s="32"/>
      <c r="T24" s="21"/>
      <c r="U24" s="21"/>
      <c r="V24" s="21"/>
      <c r="W24" s="21"/>
      <c r="X24" s="21" t="s">
        <v>28</v>
      </c>
    </row>
    <row r="25" customFormat="false" ht="15.75" hidden="false" customHeight="false" outlineLevel="0" collapsed="false">
      <c r="A25" s="61" t="n">
        <v>7159</v>
      </c>
      <c r="B25" s="29" t="n">
        <v>45026</v>
      </c>
      <c r="C25" s="21" t="s">
        <v>1456</v>
      </c>
      <c r="D25" s="21" t="s">
        <v>24</v>
      </c>
      <c r="E25" s="21" t="s">
        <v>25</v>
      </c>
      <c r="F25" s="21" t="s">
        <v>1968</v>
      </c>
      <c r="G25" s="30" t="s">
        <v>1970</v>
      </c>
      <c r="H25" s="45" t="str">
        <f aca="false">HYPERLINK("https://photos.app.goo.gl/3ntUnTvR8WT9Kxbz7", "Completo")</f>
        <v>Completo</v>
      </c>
      <c r="I25" s="21" t="s">
        <v>28</v>
      </c>
      <c r="J25" s="21" t="s">
        <v>29</v>
      </c>
      <c r="K25" s="21" t="s">
        <v>29</v>
      </c>
      <c r="L25" s="21" t="n">
        <v>53887</v>
      </c>
      <c r="M25" s="21" t="s">
        <v>36</v>
      </c>
      <c r="N25" s="30"/>
      <c r="O25" s="21"/>
      <c r="P25" s="21"/>
      <c r="Q25" s="21"/>
      <c r="R25" s="32"/>
      <c r="S25" s="32"/>
      <c r="T25" s="21"/>
      <c r="U25" s="21"/>
      <c r="V25" s="21"/>
      <c r="W25" s="21"/>
      <c r="X25" s="21" t="s">
        <v>28</v>
      </c>
    </row>
    <row r="26" customFormat="false" ht="15.75" hidden="false" customHeight="false" outlineLevel="0" collapsed="false">
      <c r="A26" s="61" t="n">
        <v>7160</v>
      </c>
      <c r="B26" s="29" t="n">
        <v>45026</v>
      </c>
      <c r="C26" s="21" t="s">
        <v>133</v>
      </c>
      <c r="D26" s="21" t="s">
        <v>24</v>
      </c>
      <c r="E26" s="21" t="s">
        <v>25</v>
      </c>
      <c r="F26" s="21" t="s">
        <v>1971</v>
      </c>
      <c r="G26" s="30" t="s">
        <v>1972</v>
      </c>
      <c r="H26" s="45" t="str">
        <f aca="false">HYPERLINK("https://photos.app.goo.gl/tKDqVAJV7oTsvqwM7", "Completo")</f>
        <v>Completo</v>
      </c>
      <c r="I26" s="21" t="s">
        <v>28</v>
      </c>
      <c r="J26" s="21" t="s">
        <v>29</v>
      </c>
      <c r="K26" s="21" t="s">
        <v>29</v>
      </c>
      <c r="L26" s="21" t="n">
        <v>421</v>
      </c>
      <c r="M26" s="21"/>
      <c r="N26" s="30"/>
      <c r="O26" s="21"/>
      <c r="P26" s="21"/>
      <c r="Q26" s="21"/>
      <c r="R26" s="32"/>
      <c r="S26" s="32"/>
      <c r="T26" s="21" t="s">
        <v>74</v>
      </c>
      <c r="U26" s="46" t="s">
        <v>28</v>
      </c>
      <c r="V26" s="46" t="s">
        <v>28</v>
      </c>
      <c r="W26" s="21" t="s">
        <v>36</v>
      </c>
      <c r="X26" s="21" t="s">
        <v>28</v>
      </c>
    </row>
    <row r="27" customFormat="false" ht="15.75" hidden="false" customHeight="false" outlineLevel="0" collapsed="false">
      <c r="A27" s="61" t="n">
        <v>7161</v>
      </c>
      <c r="B27" s="29" t="n">
        <v>45026</v>
      </c>
      <c r="C27" s="21" t="s">
        <v>133</v>
      </c>
      <c r="D27" s="21" t="s">
        <v>24</v>
      </c>
      <c r="E27" s="21" t="s">
        <v>25</v>
      </c>
      <c r="F27" s="21" t="s">
        <v>1971</v>
      </c>
      <c r="G27" s="30" t="s">
        <v>1972</v>
      </c>
      <c r="H27" s="45" t="str">
        <f aca="false">HYPERLINK("https://photos.app.goo.gl/XZzfCPWtDzzgsKAc8", "Completo")</f>
        <v>Completo</v>
      </c>
      <c r="I27" s="21" t="s">
        <v>28</v>
      </c>
      <c r="J27" s="21" t="s">
        <v>29</v>
      </c>
      <c r="K27" s="21" t="s">
        <v>29</v>
      </c>
      <c r="L27" s="21" t="n">
        <v>421</v>
      </c>
      <c r="M27" s="21"/>
      <c r="N27" s="30"/>
      <c r="O27" s="21"/>
      <c r="P27" s="21"/>
      <c r="Q27" s="21"/>
      <c r="R27" s="32"/>
      <c r="S27" s="32"/>
      <c r="T27" s="21" t="s">
        <v>74</v>
      </c>
      <c r="U27" s="46" t="s">
        <v>28</v>
      </c>
      <c r="V27" s="46" t="s">
        <v>28</v>
      </c>
      <c r="W27" s="21" t="s">
        <v>36</v>
      </c>
      <c r="X27" s="21" t="s">
        <v>28</v>
      </c>
    </row>
    <row r="28" customFormat="false" ht="15.75" hidden="false" customHeight="false" outlineLevel="0" collapsed="false">
      <c r="A28" s="61" t="n">
        <v>7162</v>
      </c>
      <c r="B28" s="29" t="n">
        <v>45026</v>
      </c>
      <c r="C28" s="21" t="s">
        <v>133</v>
      </c>
      <c r="D28" s="21" t="s">
        <v>24</v>
      </c>
      <c r="E28" s="21" t="s">
        <v>25</v>
      </c>
      <c r="F28" s="21" t="s">
        <v>1971</v>
      </c>
      <c r="G28" s="30" t="s">
        <v>1972</v>
      </c>
      <c r="H28" s="45" t="str">
        <f aca="false">HYPERLINK("https://photos.app.goo.gl/Q873LnoH3gVMcREQ9", "Completo")</f>
        <v>Completo</v>
      </c>
      <c r="I28" s="21" t="s">
        <v>28</v>
      </c>
      <c r="J28" s="21" t="s">
        <v>29</v>
      </c>
      <c r="K28" s="21" t="s">
        <v>29</v>
      </c>
      <c r="L28" s="21" t="n">
        <v>421</v>
      </c>
      <c r="M28" s="21"/>
      <c r="N28" s="30"/>
      <c r="O28" s="21"/>
      <c r="P28" s="21"/>
      <c r="Q28" s="21"/>
      <c r="R28" s="32"/>
      <c r="S28" s="32"/>
      <c r="T28" s="21" t="s">
        <v>74</v>
      </c>
      <c r="U28" s="46" t="s">
        <v>28</v>
      </c>
      <c r="V28" s="46" t="s">
        <v>28</v>
      </c>
      <c r="W28" s="21" t="s">
        <v>36</v>
      </c>
      <c r="X28" s="21" t="s">
        <v>28</v>
      </c>
    </row>
    <row r="29" customFormat="false" ht="15.75" hidden="false" customHeight="false" outlineLevel="0" collapsed="false">
      <c r="A29" s="61" t="n">
        <v>7163</v>
      </c>
      <c r="B29" s="29" t="n">
        <v>45026</v>
      </c>
      <c r="C29" s="21" t="s">
        <v>133</v>
      </c>
      <c r="D29" s="21" t="s">
        <v>24</v>
      </c>
      <c r="E29" s="21" t="s">
        <v>25</v>
      </c>
      <c r="F29" s="21" t="s">
        <v>1971</v>
      </c>
      <c r="G29" s="30" t="s">
        <v>1972</v>
      </c>
      <c r="H29" s="45" t="str">
        <f aca="false">HYPERLINK("https://photos.app.goo.gl/QzM7SUDW3yiKUvNS6", "Completo")</f>
        <v>Completo</v>
      </c>
      <c r="I29" s="21" t="s">
        <v>28</v>
      </c>
      <c r="J29" s="21" t="s">
        <v>29</v>
      </c>
      <c r="K29" s="21" t="s">
        <v>29</v>
      </c>
      <c r="L29" s="21" t="n">
        <v>421</v>
      </c>
      <c r="M29" s="21"/>
      <c r="N29" s="30"/>
      <c r="O29" s="21"/>
      <c r="P29" s="21"/>
      <c r="Q29" s="21"/>
      <c r="R29" s="32"/>
      <c r="S29" s="32"/>
      <c r="T29" s="21" t="s">
        <v>74</v>
      </c>
      <c r="U29" s="46" t="s">
        <v>28</v>
      </c>
      <c r="V29" s="46" t="s">
        <v>28</v>
      </c>
      <c r="W29" s="21" t="s">
        <v>36</v>
      </c>
      <c r="X29" s="21" t="s">
        <v>28</v>
      </c>
    </row>
    <row r="30" customFormat="false" ht="15.75" hidden="false" customHeight="false" outlineLevel="0" collapsed="false">
      <c r="A30" s="61" t="n">
        <v>7164</v>
      </c>
      <c r="B30" s="29" t="n">
        <v>45026</v>
      </c>
      <c r="C30" s="21" t="s">
        <v>133</v>
      </c>
      <c r="D30" s="21" t="s">
        <v>24</v>
      </c>
      <c r="E30" s="21" t="s">
        <v>25</v>
      </c>
      <c r="F30" s="21" t="s">
        <v>1973</v>
      </c>
      <c r="G30" s="30" t="s">
        <v>1974</v>
      </c>
      <c r="H30" s="45" t="str">
        <f aca="false">HYPERLINK("https://photos.app.goo.gl/H6p74DShvgQ6TLhi6", "Completo")</f>
        <v>Completo</v>
      </c>
      <c r="I30" s="21" t="s">
        <v>28</v>
      </c>
      <c r="J30" s="21" t="s">
        <v>29</v>
      </c>
      <c r="K30" s="21" t="s">
        <v>29</v>
      </c>
      <c r="L30" s="21" t="n">
        <v>421</v>
      </c>
      <c r="M30" s="21"/>
      <c r="N30" s="30"/>
      <c r="O30" s="21"/>
      <c r="P30" s="21"/>
      <c r="Q30" s="21"/>
      <c r="R30" s="32"/>
      <c r="S30" s="32"/>
      <c r="T30" s="21" t="s">
        <v>74</v>
      </c>
      <c r="U30" s="46" t="s">
        <v>28</v>
      </c>
      <c r="V30" s="21" t="s">
        <v>37</v>
      </c>
      <c r="W30" s="12" t="s">
        <v>1975</v>
      </c>
      <c r="X30" s="21" t="s">
        <v>28</v>
      </c>
    </row>
    <row r="31" customFormat="false" ht="15.75" hidden="false" customHeight="false" outlineLevel="0" collapsed="false">
      <c r="A31" s="61" t="n">
        <v>7165</v>
      </c>
      <c r="B31" s="29" t="n">
        <v>45026</v>
      </c>
      <c r="C31" s="21" t="s">
        <v>133</v>
      </c>
      <c r="D31" s="21" t="s">
        <v>24</v>
      </c>
      <c r="E31" s="21" t="s">
        <v>25</v>
      </c>
      <c r="F31" s="21" t="s">
        <v>1976</v>
      </c>
      <c r="G31" s="30" t="s">
        <v>1974</v>
      </c>
      <c r="H31" s="45" t="str">
        <f aca="false">HYPERLINK("https://photos.app.goo.gl/db6kgt6JmpZ2f4vn9", "Completo")</f>
        <v>Completo</v>
      </c>
      <c r="I31" s="21" t="s">
        <v>28</v>
      </c>
      <c r="J31" s="21" t="s">
        <v>29</v>
      </c>
      <c r="K31" s="21" t="s">
        <v>29</v>
      </c>
      <c r="L31" s="21" t="n">
        <v>421</v>
      </c>
      <c r="M31" s="21"/>
      <c r="N31" s="30"/>
      <c r="O31" s="21"/>
      <c r="P31" s="21"/>
      <c r="Q31" s="21"/>
      <c r="R31" s="32"/>
      <c r="S31" s="32"/>
      <c r="T31" s="21" t="s">
        <v>74</v>
      </c>
      <c r="U31" s="46" t="s">
        <v>28</v>
      </c>
      <c r="V31" s="21" t="s">
        <v>37</v>
      </c>
      <c r="W31" s="12" t="s">
        <v>1975</v>
      </c>
      <c r="X31" s="21" t="s">
        <v>28</v>
      </c>
    </row>
    <row r="32" customFormat="false" ht="15.75" hidden="false" customHeight="false" outlineLevel="0" collapsed="false">
      <c r="A32" s="61" t="n">
        <v>7166</v>
      </c>
      <c r="B32" s="29" t="n">
        <v>45026</v>
      </c>
      <c r="C32" s="21" t="s">
        <v>133</v>
      </c>
      <c r="D32" s="21" t="s">
        <v>24</v>
      </c>
      <c r="E32" s="21" t="s">
        <v>25</v>
      </c>
      <c r="F32" s="21" t="s">
        <v>1976</v>
      </c>
      <c r="G32" s="30" t="s">
        <v>1974</v>
      </c>
      <c r="H32" s="45" t="str">
        <f aca="false">HYPERLINK("https://photos.app.goo.gl/jcy6YgURQBEZ3u9X9", "Completo")</f>
        <v>Completo</v>
      </c>
      <c r="I32" s="21" t="s">
        <v>28</v>
      </c>
      <c r="J32" s="21" t="s">
        <v>29</v>
      </c>
      <c r="K32" s="21" t="s">
        <v>29</v>
      </c>
      <c r="L32" s="21" t="n">
        <v>421</v>
      </c>
      <c r="M32" s="21"/>
      <c r="N32" s="30"/>
      <c r="O32" s="21"/>
      <c r="P32" s="21"/>
      <c r="Q32" s="21"/>
      <c r="R32" s="32"/>
      <c r="S32" s="32"/>
      <c r="T32" s="21" t="s">
        <v>74</v>
      </c>
      <c r="U32" s="46" t="s">
        <v>28</v>
      </c>
      <c r="V32" s="21" t="s">
        <v>37</v>
      </c>
      <c r="W32" s="12" t="s">
        <v>1975</v>
      </c>
      <c r="X32" s="21" t="s">
        <v>28</v>
      </c>
    </row>
    <row r="33" customFormat="false" ht="15.75" hidden="false" customHeight="false" outlineLevel="0" collapsed="false">
      <c r="A33" s="61" t="n">
        <v>7167</v>
      </c>
      <c r="B33" s="29" t="n">
        <v>45026</v>
      </c>
      <c r="C33" s="21" t="s">
        <v>133</v>
      </c>
      <c r="D33" s="21" t="s">
        <v>24</v>
      </c>
      <c r="E33" s="21" t="s">
        <v>25</v>
      </c>
      <c r="F33" s="21" t="s">
        <v>1976</v>
      </c>
      <c r="G33" s="30" t="s">
        <v>1974</v>
      </c>
      <c r="H33" s="45" t="str">
        <f aca="false">HYPERLINK("https://photos.app.goo.gl/bmqF88C5yXXWVjky6", "Completo")</f>
        <v>Completo</v>
      </c>
      <c r="I33" s="21" t="s">
        <v>28</v>
      </c>
      <c r="J33" s="21" t="s">
        <v>29</v>
      </c>
      <c r="K33" s="21" t="s">
        <v>29</v>
      </c>
      <c r="L33" s="21" t="n">
        <v>421</v>
      </c>
      <c r="M33" s="21"/>
      <c r="N33" s="30"/>
      <c r="O33" s="21"/>
      <c r="P33" s="21"/>
      <c r="Q33" s="21"/>
      <c r="R33" s="32"/>
      <c r="S33" s="32"/>
      <c r="T33" s="21" t="s">
        <v>74</v>
      </c>
      <c r="U33" s="46" t="s">
        <v>28</v>
      </c>
      <c r="V33" s="21" t="s">
        <v>37</v>
      </c>
      <c r="W33" s="12" t="s">
        <v>1975</v>
      </c>
      <c r="X33" s="21" t="s">
        <v>28</v>
      </c>
    </row>
    <row r="34" customFormat="false" ht="15.75" hidden="false" customHeight="false" outlineLevel="0" collapsed="false">
      <c r="A34" s="61" t="n">
        <v>7168</v>
      </c>
      <c r="B34" s="29" t="n">
        <v>45026</v>
      </c>
      <c r="C34" s="21" t="s">
        <v>133</v>
      </c>
      <c r="D34" s="21" t="s">
        <v>24</v>
      </c>
      <c r="E34" s="21" t="s">
        <v>25</v>
      </c>
      <c r="F34" s="21" t="s">
        <v>1976</v>
      </c>
      <c r="G34" s="30" t="s">
        <v>1974</v>
      </c>
      <c r="H34" s="45" t="str">
        <f aca="false">HYPERLINK("https://photos.app.goo.gl/RGynaeLH1Ltsazno9", "Completo")</f>
        <v>Completo</v>
      </c>
      <c r="I34" s="21" t="s">
        <v>28</v>
      </c>
      <c r="J34" s="21" t="s">
        <v>29</v>
      </c>
      <c r="K34" s="21" t="s">
        <v>29</v>
      </c>
      <c r="L34" s="21" t="n">
        <v>421</v>
      </c>
      <c r="M34" s="21"/>
      <c r="N34" s="30"/>
      <c r="O34" s="21"/>
      <c r="P34" s="21"/>
      <c r="Q34" s="21"/>
      <c r="R34" s="32"/>
      <c r="S34" s="32"/>
      <c r="T34" s="21" t="s">
        <v>74</v>
      </c>
      <c r="U34" s="46" t="s">
        <v>28</v>
      </c>
      <c r="V34" s="21" t="s">
        <v>37</v>
      </c>
      <c r="W34" s="21" t="s">
        <v>1977</v>
      </c>
      <c r="X34" s="21" t="s">
        <v>28</v>
      </c>
    </row>
    <row r="35" customFormat="false" ht="15.75" hidden="false" customHeight="false" outlineLevel="0" collapsed="false">
      <c r="A35" s="61" t="n">
        <v>7169</v>
      </c>
      <c r="B35" s="29" t="n">
        <v>45026</v>
      </c>
      <c r="C35" s="21" t="s">
        <v>133</v>
      </c>
      <c r="D35" s="21" t="s">
        <v>24</v>
      </c>
      <c r="E35" s="21" t="s">
        <v>25</v>
      </c>
      <c r="F35" s="21" t="s">
        <v>1976</v>
      </c>
      <c r="G35" s="30" t="s">
        <v>1974</v>
      </c>
      <c r="H35" s="45" t="str">
        <f aca="false">HYPERLINK("https://photos.app.goo.gl/ttSGhsoahzs8VZ4T9", "Completo")</f>
        <v>Completo</v>
      </c>
      <c r="I35" s="21" t="s">
        <v>28</v>
      </c>
      <c r="J35" s="21" t="s">
        <v>29</v>
      </c>
      <c r="K35" s="21" t="s">
        <v>29</v>
      </c>
      <c r="L35" s="21" t="n">
        <v>421</v>
      </c>
      <c r="M35" s="21"/>
      <c r="N35" s="30"/>
      <c r="O35" s="21"/>
      <c r="P35" s="21"/>
      <c r="Q35" s="21"/>
      <c r="R35" s="32"/>
      <c r="S35" s="32"/>
      <c r="T35" s="21" t="s">
        <v>74</v>
      </c>
      <c r="U35" s="46" t="s">
        <v>28</v>
      </c>
      <c r="V35" s="21" t="s">
        <v>37</v>
      </c>
      <c r="W35" s="65" t="s">
        <v>1975</v>
      </c>
      <c r="X35" s="21" t="s">
        <v>28</v>
      </c>
    </row>
    <row r="36" customFormat="false" ht="15.75" hidden="false" customHeight="false" outlineLevel="0" collapsed="false">
      <c r="A36" s="21" t="n">
        <v>7170</v>
      </c>
      <c r="B36" s="29" t="n">
        <v>45026</v>
      </c>
      <c r="C36" s="21" t="s">
        <v>133</v>
      </c>
      <c r="D36" s="21" t="s">
        <v>24</v>
      </c>
      <c r="E36" s="21" t="s">
        <v>25</v>
      </c>
      <c r="F36" s="21" t="s">
        <v>1976</v>
      </c>
      <c r="G36" s="30" t="s">
        <v>1974</v>
      </c>
      <c r="H36" s="45" t="str">
        <f aca="false">HYPERLINK("https://photos.app.goo.gl/DmdhEi1SHCXCkLak7", "Completo")</f>
        <v>Completo</v>
      </c>
      <c r="I36" s="21" t="s">
        <v>28</v>
      </c>
      <c r="J36" s="21" t="s">
        <v>29</v>
      </c>
      <c r="K36" s="21" t="s">
        <v>29</v>
      </c>
      <c r="L36" s="21" t="n">
        <v>421</v>
      </c>
      <c r="M36" s="21"/>
      <c r="N36" s="30"/>
      <c r="O36" s="21"/>
      <c r="P36" s="21"/>
      <c r="Q36" s="21"/>
      <c r="R36" s="32"/>
      <c r="S36" s="32"/>
      <c r="T36" s="21" t="s">
        <v>74</v>
      </c>
      <c r="U36" s="46" t="s">
        <v>28</v>
      </c>
      <c r="V36" s="46" t="s">
        <v>28</v>
      </c>
      <c r="W36" s="65" t="s">
        <v>36</v>
      </c>
      <c r="X36" s="21" t="s">
        <v>28</v>
      </c>
    </row>
    <row r="37" customFormat="false" ht="15.75" hidden="false" customHeight="false" outlineLevel="0" collapsed="false">
      <c r="A37" s="21" t="n">
        <v>7171</v>
      </c>
      <c r="B37" s="29" t="n">
        <v>45026</v>
      </c>
      <c r="C37" s="21" t="s">
        <v>133</v>
      </c>
      <c r="D37" s="21" t="s">
        <v>24</v>
      </c>
      <c r="E37" s="21" t="s">
        <v>25</v>
      </c>
      <c r="F37" s="21" t="s">
        <v>1973</v>
      </c>
      <c r="G37" s="30" t="s">
        <v>1974</v>
      </c>
      <c r="H37" s="45" t="str">
        <f aca="false">HYPERLINK("https://photos.app.goo.gl/XWMbyMWDEYRUUD9MA", "Completo")</f>
        <v>Completo</v>
      </c>
      <c r="I37" s="21" t="s">
        <v>28</v>
      </c>
      <c r="J37" s="21" t="s">
        <v>29</v>
      </c>
      <c r="K37" s="21" t="s">
        <v>29</v>
      </c>
      <c r="L37" s="21" t="n">
        <v>421</v>
      </c>
      <c r="M37" s="21"/>
      <c r="N37" s="30"/>
      <c r="O37" s="21"/>
      <c r="P37" s="21"/>
      <c r="Q37" s="21"/>
      <c r="R37" s="32"/>
      <c r="S37" s="32"/>
      <c r="T37" s="21" t="s">
        <v>74</v>
      </c>
      <c r="U37" s="46" t="s">
        <v>28</v>
      </c>
      <c r="V37" s="21" t="s">
        <v>37</v>
      </c>
      <c r="W37" s="65" t="s">
        <v>1975</v>
      </c>
      <c r="X37" s="21" t="s">
        <v>28</v>
      </c>
    </row>
    <row r="38" customFormat="false" ht="15.75" hidden="false" customHeight="false" outlineLevel="0" collapsed="false">
      <c r="A38" s="21" t="n">
        <v>7172</v>
      </c>
      <c r="B38" s="29" t="n">
        <v>45026</v>
      </c>
      <c r="C38" s="21" t="s">
        <v>133</v>
      </c>
      <c r="D38" s="21" t="s">
        <v>24</v>
      </c>
      <c r="E38" s="21" t="s">
        <v>25</v>
      </c>
      <c r="F38" s="21" t="s">
        <v>1976</v>
      </c>
      <c r="G38" s="30" t="s">
        <v>1974</v>
      </c>
      <c r="H38" s="45" t="str">
        <f aca="false">HYPERLINK("https://photos.app.goo.gl/A85ZgcnbpkV3gTpC8", "Completo")</f>
        <v>Completo</v>
      </c>
      <c r="I38" s="21" t="s">
        <v>28</v>
      </c>
      <c r="J38" s="21" t="s">
        <v>29</v>
      </c>
      <c r="K38" s="21" t="s">
        <v>29</v>
      </c>
      <c r="L38" s="21" t="n">
        <v>421</v>
      </c>
      <c r="M38" s="21"/>
      <c r="N38" s="30"/>
      <c r="O38" s="21"/>
      <c r="P38" s="21"/>
      <c r="Q38" s="21"/>
      <c r="R38" s="32"/>
      <c r="S38" s="32"/>
      <c r="T38" s="21" t="s">
        <v>74</v>
      </c>
      <c r="U38" s="46" t="s">
        <v>28</v>
      </c>
      <c r="V38" s="21" t="s">
        <v>37</v>
      </c>
      <c r="W38" s="65" t="s">
        <v>1975</v>
      </c>
      <c r="X38" s="21" t="s">
        <v>28</v>
      </c>
    </row>
    <row r="39" customFormat="false" ht="15.75" hidden="false" customHeight="false" outlineLevel="0" collapsed="false">
      <c r="A39" s="21" t="n">
        <v>7173</v>
      </c>
      <c r="B39" s="29" t="n">
        <v>45026</v>
      </c>
      <c r="C39" s="21" t="s">
        <v>133</v>
      </c>
      <c r="D39" s="21" t="s">
        <v>24</v>
      </c>
      <c r="E39" s="21" t="s">
        <v>25</v>
      </c>
      <c r="F39" s="21" t="s">
        <v>1976</v>
      </c>
      <c r="G39" s="30" t="s">
        <v>1974</v>
      </c>
      <c r="H39" s="45" t="str">
        <f aca="false">HYPERLINK("https://photos.app.goo.gl/8XJyWnCCSLVr2QU17", "Completo")</f>
        <v>Completo</v>
      </c>
      <c r="I39" s="21" t="s">
        <v>28</v>
      </c>
      <c r="J39" s="21" t="s">
        <v>29</v>
      </c>
      <c r="K39" s="21" t="s">
        <v>29</v>
      </c>
      <c r="L39" s="21" t="n">
        <v>421</v>
      </c>
      <c r="M39" s="21"/>
      <c r="N39" s="30"/>
      <c r="O39" s="21"/>
      <c r="P39" s="21"/>
      <c r="Q39" s="21"/>
      <c r="R39" s="32"/>
      <c r="S39" s="32"/>
      <c r="T39" s="21" t="s">
        <v>74</v>
      </c>
      <c r="U39" s="46" t="s">
        <v>28</v>
      </c>
      <c r="V39" s="21" t="s">
        <v>37</v>
      </c>
      <c r="W39" s="65" t="s">
        <v>1975</v>
      </c>
      <c r="X39" s="21" t="s">
        <v>28</v>
      </c>
    </row>
    <row r="40" customFormat="false" ht="15.75" hidden="false" customHeight="false" outlineLevel="0" collapsed="false">
      <c r="A40" s="21" t="n">
        <v>7174</v>
      </c>
      <c r="B40" s="29" t="n">
        <v>45026</v>
      </c>
      <c r="C40" s="21" t="s">
        <v>133</v>
      </c>
      <c r="D40" s="21" t="s">
        <v>24</v>
      </c>
      <c r="E40" s="21" t="s">
        <v>25</v>
      </c>
      <c r="F40" s="21" t="s">
        <v>1554</v>
      </c>
      <c r="G40" s="30" t="s">
        <v>1978</v>
      </c>
      <c r="H40" s="45" t="str">
        <f aca="false">HYPERLINK("https://photos.app.goo.gl/1GiSpsDieRNJWJbW7", "Completo")</f>
        <v>Completo</v>
      </c>
      <c r="I40" s="21" t="s">
        <v>28</v>
      </c>
      <c r="J40" s="21" t="s">
        <v>29</v>
      </c>
      <c r="K40" s="21" t="s">
        <v>29</v>
      </c>
      <c r="L40" s="21" t="n">
        <v>423</v>
      </c>
      <c r="M40" s="21"/>
      <c r="N40" s="30"/>
      <c r="O40" s="21"/>
      <c r="P40" s="21"/>
      <c r="Q40" s="21"/>
      <c r="R40" s="32"/>
      <c r="S40" s="32"/>
      <c r="T40" s="21" t="s">
        <v>74</v>
      </c>
      <c r="U40" s="46" t="s">
        <v>28</v>
      </c>
      <c r="V40" s="21" t="s">
        <v>37</v>
      </c>
      <c r="W40" s="21" t="s">
        <v>1975</v>
      </c>
      <c r="X40" s="21" t="s">
        <v>28</v>
      </c>
    </row>
    <row r="41" customFormat="false" ht="15.75" hidden="false" customHeight="false" outlineLevel="0" collapsed="false">
      <c r="A41" s="21" t="n">
        <v>7175</v>
      </c>
      <c r="B41" s="29" t="n">
        <v>45026</v>
      </c>
      <c r="C41" s="21" t="s">
        <v>133</v>
      </c>
      <c r="D41" s="21" t="s">
        <v>24</v>
      </c>
      <c r="E41" s="21" t="s">
        <v>25</v>
      </c>
      <c r="F41" s="21" t="s">
        <v>1554</v>
      </c>
      <c r="G41" s="30" t="s">
        <v>1978</v>
      </c>
      <c r="H41" s="45" t="str">
        <f aca="false">HYPERLINK("https://photos.app.goo.gl/fDoxkRqq2MN3F9JFA", "Completo")</f>
        <v>Completo</v>
      </c>
      <c r="I41" s="21" t="s">
        <v>28</v>
      </c>
      <c r="J41" s="21" t="s">
        <v>29</v>
      </c>
      <c r="K41" s="21" t="s">
        <v>29</v>
      </c>
      <c r="L41" s="21" t="n">
        <v>423</v>
      </c>
      <c r="M41" s="21"/>
      <c r="N41" s="30"/>
      <c r="O41" s="21"/>
      <c r="P41" s="21"/>
      <c r="Q41" s="21"/>
      <c r="R41" s="32"/>
      <c r="S41" s="32"/>
      <c r="T41" s="21" t="s">
        <v>74</v>
      </c>
      <c r="U41" s="46" t="s">
        <v>28</v>
      </c>
      <c r="V41" s="21" t="s">
        <v>37</v>
      </c>
      <c r="W41" s="21" t="s">
        <v>1975</v>
      </c>
      <c r="X41" s="21" t="s">
        <v>28</v>
      </c>
    </row>
    <row r="42" customFormat="false" ht="15.75" hidden="false" customHeight="false" outlineLevel="0" collapsed="false">
      <c r="A42" s="21" t="n">
        <v>7176</v>
      </c>
      <c r="B42" s="29" t="n">
        <v>45026</v>
      </c>
      <c r="C42" s="21" t="s">
        <v>133</v>
      </c>
      <c r="D42" s="21" t="s">
        <v>24</v>
      </c>
      <c r="E42" s="21" t="s">
        <v>25</v>
      </c>
      <c r="F42" s="21" t="s">
        <v>1554</v>
      </c>
      <c r="G42" s="30" t="s">
        <v>1978</v>
      </c>
      <c r="H42" s="45" t="str">
        <f aca="false">HYPERLINK("https://photos.app.goo.gl/HvyB5K2MDh3qwxKC8", "Completo")</f>
        <v>Completo</v>
      </c>
      <c r="I42" s="21" t="s">
        <v>28</v>
      </c>
      <c r="J42" s="21" t="s">
        <v>29</v>
      </c>
      <c r="K42" s="21" t="s">
        <v>29</v>
      </c>
      <c r="L42" s="21" t="n">
        <v>422</v>
      </c>
      <c r="M42" s="21"/>
      <c r="N42" s="30"/>
      <c r="O42" s="21"/>
      <c r="P42" s="21"/>
      <c r="Q42" s="21"/>
      <c r="R42" s="32"/>
      <c r="S42" s="32"/>
      <c r="T42" s="21" t="s">
        <v>74</v>
      </c>
      <c r="U42" s="46" t="s">
        <v>28</v>
      </c>
      <c r="V42" s="21" t="s">
        <v>37</v>
      </c>
      <c r="W42" s="21" t="s">
        <v>1975</v>
      </c>
      <c r="X42" s="21" t="s">
        <v>28</v>
      </c>
    </row>
    <row r="43" customFormat="false" ht="15.75" hidden="false" customHeight="false" outlineLevel="0" collapsed="false">
      <c r="A43" s="21" t="n">
        <v>7177</v>
      </c>
      <c r="B43" s="29" t="n">
        <v>45026</v>
      </c>
      <c r="C43" s="21" t="s">
        <v>1259</v>
      </c>
      <c r="D43" s="21" t="s">
        <v>24</v>
      </c>
      <c r="E43" s="21" t="s">
        <v>25</v>
      </c>
      <c r="F43" s="21" t="s">
        <v>1979</v>
      </c>
      <c r="G43" s="30" t="s">
        <v>1980</v>
      </c>
      <c r="H43" s="45" t="str">
        <f aca="false">HYPERLINK("https://photos.app.goo.gl/YdpRKoA7avqWcevk8", "Completo")</f>
        <v>Completo</v>
      </c>
      <c r="I43" s="21" t="s">
        <v>28</v>
      </c>
      <c r="J43" s="21" t="s">
        <v>29</v>
      </c>
      <c r="K43" s="21" t="s">
        <v>29</v>
      </c>
      <c r="L43" s="21" t="s">
        <v>29</v>
      </c>
      <c r="M43" s="21" t="s">
        <v>29</v>
      </c>
      <c r="N43" s="30"/>
      <c r="O43" s="21"/>
      <c r="P43" s="21"/>
      <c r="Q43" s="21"/>
      <c r="R43" s="32"/>
      <c r="S43" s="32"/>
      <c r="T43" s="21"/>
      <c r="U43" s="21"/>
      <c r="V43" s="21"/>
      <c r="W43" s="21"/>
      <c r="X43" s="21" t="s">
        <v>37</v>
      </c>
    </row>
    <row r="44" customFormat="false" ht="15.75" hidden="false" customHeight="false" outlineLevel="0" collapsed="false">
      <c r="A44" s="21" t="n">
        <v>7178</v>
      </c>
      <c r="B44" s="29" t="n">
        <v>45026</v>
      </c>
      <c r="C44" s="21" t="s">
        <v>1259</v>
      </c>
      <c r="D44" s="21" t="s">
        <v>24</v>
      </c>
      <c r="E44" s="21" t="s">
        <v>25</v>
      </c>
      <c r="F44" s="21" t="s">
        <v>1981</v>
      </c>
      <c r="G44" s="30" t="s">
        <v>1982</v>
      </c>
      <c r="H44" s="45" t="str">
        <f aca="false">HYPERLINK("https://photos.app.goo.gl/ptMQut9Faaj39FR97", "Completo")</f>
        <v>Completo</v>
      </c>
      <c r="I44" s="21" t="s">
        <v>28</v>
      </c>
      <c r="J44" s="21"/>
      <c r="K44" s="21"/>
      <c r="L44" s="21"/>
      <c r="M44" s="21"/>
      <c r="N44" s="30"/>
      <c r="O44" s="21"/>
      <c r="P44" s="21"/>
      <c r="Q44" s="21"/>
      <c r="R44" s="32"/>
      <c r="S44" s="32"/>
      <c r="T44" s="21"/>
      <c r="U44" s="21"/>
      <c r="V44" s="21"/>
      <c r="W44" s="21"/>
      <c r="X44" s="21" t="s">
        <v>37</v>
      </c>
    </row>
    <row r="45" customFormat="false" ht="15.75" hidden="false" customHeight="false" outlineLevel="0" collapsed="false">
      <c r="A45" s="21" t="n">
        <v>7179</v>
      </c>
      <c r="B45" s="29" t="n">
        <v>45027</v>
      </c>
      <c r="C45" s="21" t="s">
        <v>1259</v>
      </c>
      <c r="D45" s="21" t="s">
        <v>24</v>
      </c>
      <c r="E45" s="21" t="s">
        <v>34</v>
      </c>
      <c r="F45" s="21" t="s">
        <v>1983</v>
      </c>
      <c r="G45" s="30"/>
      <c r="H45" s="31"/>
      <c r="I45" s="21"/>
      <c r="J45" s="21"/>
      <c r="K45" s="21"/>
      <c r="L45" s="21"/>
      <c r="M45" s="21"/>
      <c r="N45" s="30"/>
      <c r="O45" s="21"/>
      <c r="P45" s="21"/>
      <c r="Q45" s="21"/>
      <c r="R45" s="32"/>
      <c r="S45" s="32"/>
      <c r="T45" s="21"/>
      <c r="U45" s="21"/>
      <c r="V45" s="21"/>
      <c r="W45" s="21"/>
      <c r="X45" s="21" t="s">
        <v>28</v>
      </c>
    </row>
    <row r="46" customFormat="false" ht="15.75" hidden="false" customHeight="false" outlineLevel="0" collapsed="false">
      <c r="A46" s="47" t="n">
        <v>1675735</v>
      </c>
      <c r="B46" s="29" t="n">
        <v>45028</v>
      </c>
      <c r="C46" s="21" t="s">
        <v>357</v>
      </c>
      <c r="D46" s="21" t="s">
        <v>578</v>
      </c>
      <c r="E46" s="21" t="s">
        <v>25</v>
      </c>
      <c r="F46" s="21" t="s">
        <v>1984</v>
      </c>
      <c r="G46" s="30"/>
      <c r="H46" s="45" t="str">
        <f aca="false">HYPERLINK("https://photos.app.goo.gl/jM6GThLQty3gKeow7", "Completo")</f>
        <v>Completo</v>
      </c>
      <c r="I46" s="21" t="s">
        <v>28</v>
      </c>
      <c r="J46" s="21"/>
      <c r="K46" s="21"/>
      <c r="L46" s="21"/>
      <c r="M46" s="21"/>
      <c r="N46" s="30"/>
      <c r="O46" s="21"/>
      <c r="P46" s="21"/>
      <c r="Q46" s="21"/>
      <c r="R46" s="32"/>
      <c r="S46" s="32"/>
      <c r="T46" s="21"/>
      <c r="U46" s="21"/>
      <c r="V46" s="21"/>
      <c r="W46" s="21"/>
      <c r="X46" s="21" t="s">
        <v>28</v>
      </c>
    </row>
    <row r="47" customFormat="false" ht="15.75" hidden="false" customHeight="false" outlineLevel="0" collapsed="false">
      <c r="A47" s="21" t="n">
        <v>7180</v>
      </c>
      <c r="B47" s="29" t="n">
        <v>45029</v>
      </c>
      <c r="C47" s="21" t="s">
        <v>112</v>
      </c>
      <c r="D47" s="21" t="s">
        <v>24</v>
      </c>
      <c r="E47" s="21" t="s">
        <v>34</v>
      </c>
      <c r="F47" s="21" t="s">
        <v>1985</v>
      </c>
      <c r="G47" s="30"/>
      <c r="H47" s="31"/>
      <c r="I47" s="21"/>
      <c r="J47" s="21"/>
      <c r="K47" s="21"/>
      <c r="L47" s="21"/>
      <c r="M47" s="21"/>
      <c r="N47" s="30"/>
      <c r="O47" s="21"/>
      <c r="P47" s="21"/>
      <c r="Q47" s="21"/>
      <c r="R47" s="32"/>
      <c r="S47" s="32"/>
      <c r="T47" s="21"/>
      <c r="U47" s="21"/>
      <c r="V47" s="21"/>
      <c r="W47" s="21"/>
      <c r="X47" s="21" t="s">
        <v>28</v>
      </c>
    </row>
    <row r="48" customFormat="false" ht="15.75" hidden="false" customHeight="false" outlineLevel="0" collapsed="false">
      <c r="A48" s="21" t="n">
        <v>7181</v>
      </c>
      <c r="B48" s="29" t="n">
        <v>45029</v>
      </c>
      <c r="C48" s="21" t="s">
        <v>872</v>
      </c>
      <c r="D48" s="21" t="s">
        <v>24</v>
      </c>
      <c r="E48" s="21" t="s">
        <v>25</v>
      </c>
      <c r="F48" s="21" t="s">
        <v>1986</v>
      </c>
      <c r="G48" s="30" t="s">
        <v>1987</v>
      </c>
      <c r="H48" s="45" t="str">
        <f aca="false">HYPERLINK("https://photos.app.goo.gl/Dc8vsurG7gMsFDgBA", "Completo")</f>
        <v>Completo</v>
      </c>
      <c r="I48" s="21" t="s">
        <v>28</v>
      </c>
      <c r="J48" s="21" t="s">
        <v>29</v>
      </c>
      <c r="K48" s="21" t="s">
        <v>29</v>
      </c>
      <c r="L48" s="21" t="n">
        <v>4609</v>
      </c>
      <c r="M48" s="21" t="s">
        <v>29</v>
      </c>
      <c r="N48" s="30"/>
      <c r="O48" s="21"/>
      <c r="P48" s="21"/>
      <c r="Q48" s="21"/>
      <c r="R48" s="32"/>
      <c r="S48" s="32"/>
      <c r="T48" s="21"/>
      <c r="U48" s="21"/>
      <c r="V48" s="21"/>
      <c r="W48" s="21"/>
      <c r="X48" s="21" t="s">
        <v>28</v>
      </c>
    </row>
    <row r="49" customFormat="false" ht="15.75" hidden="false" customHeight="false" outlineLevel="0" collapsed="false">
      <c r="A49" s="21" t="n">
        <v>7182</v>
      </c>
      <c r="B49" s="29" t="n">
        <v>45029</v>
      </c>
      <c r="C49" s="21" t="s">
        <v>112</v>
      </c>
      <c r="D49" s="21" t="s">
        <v>24</v>
      </c>
      <c r="E49" s="21" t="s">
        <v>34</v>
      </c>
      <c r="F49" s="21" t="s">
        <v>1988</v>
      </c>
      <c r="G49" s="30"/>
      <c r="H49" s="31"/>
      <c r="I49" s="21"/>
      <c r="J49" s="21"/>
      <c r="K49" s="21"/>
      <c r="L49" s="21"/>
      <c r="M49" s="21"/>
      <c r="N49" s="30"/>
      <c r="O49" s="21"/>
      <c r="P49" s="21"/>
      <c r="Q49" s="21"/>
      <c r="R49" s="32"/>
      <c r="S49" s="32"/>
      <c r="T49" s="21"/>
      <c r="U49" s="21"/>
      <c r="V49" s="21"/>
      <c r="W49" s="21"/>
      <c r="X49" s="21" t="s">
        <v>28</v>
      </c>
    </row>
    <row r="50" customFormat="false" ht="15.75" hidden="false" customHeight="false" outlineLevel="0" collapsed="false">
      <c r="A50" s="21" t="n">
        <v>7183</v>
      </c>
      <c r="B50" s="29" t="n">
        <v>45030</v>
      </c>
      <c r="C50" s="21" t="s">
        <v>84</v>
      </c>
      <c r="D50" s="21" t="s">
        <v>24</v>
      </c>
      <c r="E50" s="21" t="s">
        <v>34</v>
      </c>
      <c r="F50" s="21" t="s">
        <v>1989</v>
      </c>
      <c r="G50" s="30"/>
      <c r="H50" s="31"/>
      <c r="I50" s="21"/>
      <c r="J50" s="21"/>
      <c r="K50" s="21"/>
      <c r="L50" s="21"/>
      <c r="M50" s="21"/>
      <c r="N50" s="30"/>
      <c r="O50" s="21"/>
      <c r="P50" s="21"/>
      <c r="Q50" s="21"/>
      <c r="R50" s="32"/>
      <c r="S50" s="32"/>
      <c r="T50" s="21"/>
      <c r="U50" s="21"/>
      <c r="V50" s="21"/>
      <c r="W50" s="21"/>
      <c r="X50" s="21" t="s">
        <v>28</v>
      </c>
    </row>
    <row r="51" customFormat="false" ht="15.75" hidden="false" customHeight="false" outlineLevel="0" collapsed="false">
      <c r="A51" s="21" t="n">
        <v>7184</v>
      </c>
      <c r="B51" s="29" t="n">
        <v>45032</v>
      </c>
      <c r="C51" s="21" t="s">
        <v>1990</v>
      </c>
      <c r="D51" s="21" t="s">
        <v>24</v>
      </c>
      <c r="E51" s="21" t="s">
        <v>25</v>
      </c>
      <c r="F51" s="21" t="s">
        <v>1991</v>
      </c>
      <c r="G51" s="30" t="s">
        <v>1992</v>
      </c>
      <c r="H51" s="45" t="str">
        <f aca="false">HYPERLINK("https://photos.app.goo.gl/i8u4Vz89Njox36Kh7", "Completo")</f>
        <v>Completo</v>
      </c>
      <c r="I51" s="21" t="s">
        <v>28</v>
      </c>
      <c r="J51" s="21" t="s">
        <v>29</v>
      </c>
      <c r="K51" s="21" t="s">
        <v>29</v>
      </c>
      <c r="L51" s="21" t="n">
        <v>7741</v>
      </c>
      <c r="M51" s="21"/>
      <c r="N51" s="30"/>
      <c r="O51" s="21"/>
      <c r="P51" s="21"/>
      <c r="Q51" s="21"/>
      <c r="R51" s="32"/>
      <c r="S51" s="32"/>
      <c r="T51" s="21"/>
      <c r="U51" s="21"/>
      <c r="V51" s="21"/>
      <c r="W51" s="21"/>
      <c r="X51" s="21" t="s">
        <v>28</v>
      </c>
    </row>
    <row r="52" customFormat="false" ht="15.75" hidden="false" customHeight="false" outlineLevel="0" collapsed="false">
      <c r="A52" s="21" t="n">
        <v>7185</v>
      </c>
      <c r="B52" s="29" t="n">
        <v>45034</v>
      </c>
      <c r="C52" s="21" t="s">
        <v>1993</v>
      </c>
      <c r="D52" s="21" t="s">
        <v>24</v>
      </c>
      <c r="E52" s="21" t="s">
        <v>25</v>
      </c>
      <c r="F52" s="21" t="s">
        <v>1723</v>
      </c>
      <c r="G52" s="30" t="s">
        <v>1994</v>
      </c>
      <c r="H52" s="45" t="str">
        <f aca="false">HYPERLINK("https://photos.app.goo.gl/EENmCVYJ8qTr5q7m8", "Completo")</f>
        <v>Completo</v>
      </c>
      <c r="I52" s="21" t="s">
        <v>28</v>
      </c>
      <c r="J52" s="21" t="s">
        <v>36</v>
      </c>
      <c r="K52" s="21" t="s">
        <v>36</v>
      </c>
      <c r="L52" s="21" t="s">
        <v>36</v>
      </c>
      <c r="M52" s="21" t="s">
        <v>36</v>
      </c>
      <c r="N52" s="30"/>
      <c r="O52" s="21"/>
      <c r="P52" s="21"/>
      <c r="Q52" s="21"/>
      <c r="R52" s="32"/>
      <c r="S52" s="32"/>
      <c r="T52" s="21"/>
      <c r="U52" s="21"/>
      <c r="V52" s="21"/>
      <c r="W52" s="21"/>
      <c r="X52" s="21" t="s">
        <v>28</v>
      </c>
    </row>
    <row r="53" customFormat="false" ht="15.75" hidden="false" customHeight="false" outlineLevel="0" collapsed="false">
      <c r="A53" s="21" t="s">
        <v>1995</v>
      </c>
      <c r="B53" s="29" t="n">
        <v>45034</v>
      </c>
      <c r="C53" s="21" t="s">
        <v>1259</v>
      </c>
      <c r="D53" s="21" t="s">
        <v>24</v>
      </c>
      <c r="E53" s="21" t="s">
        <v>25</v>
      </c>
      <c r="F53" s="21" t="s">
        <v>1996</v>
      </c>
      <c r="G53" s="30" t="s">
        <v>1997</v>
      </c>
      <c r="H53" s="45" t="str">
        <f aca="false">HYPERLINK("https://photos.app.goo.gl/UAG62W5WPCQhbF9d8", "Completo")</f>
        <v>Completo</v>
      </c>
      <c r="I53" s="21" t="s">
        <v>28</v>
      </c>
      <c r="J53" s="21" t="s">
        <v>36</v>
      </c>
      <c r="K53" s="21" t="s">
        <v>36</v>
      </c>
      <c r="L53" s="21" t="s">
        <v>36</v>
      </c>
      <c r="M53" s="21" t="s">
        <v>36</v>
      </c>
      <c r="N53" s="30"/>
      <c r="O53" s="21"/>
      <c r="P53" s="21"/>
      <c r="Q53" s="21"/>
      <c r="R53" s="32"/>
      <c r="S53" s="32"/>
      <c r="T53" s="21"/>
      <c r="U53" s="21"/>
      <c r="V53" s="21"/>
      <c r="W53" s="21"/>
      <c r="X53" s="21" t="s">
        <v>28</v>
      </c>
    </row>
    <row r="54" customFormat="false" ht="15.75" hidden="false" customHeight="false" outlineLevel="0" collapsed="false">
      <c r="A54" s="21" t="n">
        <v>7186</v>
      </c>
      <c r="B54" s="29" t="n">
        <v>45037</v>
      </c>
      <c r="C54" s="21" t="s">
        <v>389</v>
      </c>
      <c r="D54" s="21" t="s">
        <v>24</v>
      </c>
      <c r="E54" s="21" t="s">
        <v>25</v>
      </c>
      <c r="F54" s="21" t="s">
        <v>1998</v>
      </c>
      <c r="G54" s="30"/>
      <c r="H54" s="45" t="str">
        <f aca="false">HYPERLINK("https://photos.app.goo.gl/QRLhTDiZrJchF18R6", "Completo")</f>
        <v>Completo</v>
      </c>
      <c r="I54" s="21" t="s">
        <v>28</v>
      </c>
      <c r="J54" s="21" t="s">
        <v>29</v>
      </c>
      <c r="K54" s="21" t="s">
        <v>29</v>
      </c>
      <c r="L54" s="21" t="s">
        <v>29</v>
      </c>
      <c r="M54" s="21" t="s">
        <v>29</v>
      </c>
      <c r="N54" s="30"/>
      <c r="O54" s="21"/>
      <c r="P54" s="21"/>
      <c r="Q54" s="21"/>
      <c r="R54" s="32"/>
      <c r="S54" s="32"/>
      <c r="T54" s="21"/>
      <c r="U54" s="21"/>
      <c r="V54" s="21"/>
      <c r="W54" s="21"/>
      <c r="X54" s="21"/>
    </row>
    <row r="55" customFormat="false" ht="15.75" hidden="false" customHeight="false" outlineLevel="0" collapsed="false">
      <c r="A55" s="21" t="n">
        <v>7187</v>
      </c>
      <c r="B55" s="29" t="n">
        <v>45037</v>
      </c>
      <c r="C55" s="21" t="s">
        <v>274</v>
      </c>
      <c r="D55" s="21" t="s">
        <v>24</v>
      </c>
      <c r="E55" s="21" t="s">
        <v>25</v>
      </c>
      <c r="F55" s="21" t="s">
        <v>1999</v>
      </c>
      <c r="G55" s="30" t="s">
        <v>2000</v>
      </c>
      <c r="H55" s="45" t="str">
        <f aca="false">HYPERLINK("https://photos.app.goo.gl/Vk1XtHKixBJXAwi37", "Completo")</f>
        <v>Completo</v>
      </c>
      <c r="I55" s="21" t="s">
        <v>28</v>
      </c>
      <c r="J55" s="21" t="s">
        <v>29</v>
      </c>
      <c r="K55" s="21" t="s">
        <v>29</v>
      </c>
      <c r="L55" s="21" t="s">
        <v>29</v>
      </c>
      <c r="M55" s="21" t="s">
        <v>29</v>
      </c>
      <c r="N55" s="30"/>
      <c r="O55" s="21"/>
      <c r="P55" s="21"/>
      <c r="Q55" s="21"/>
      <c r="R55" s="32"/>
      <c r="S55" s="32"/>
      <c r="T55" s="21"/>
      <c r="U55" s="21"/>
      <c r="V55" s="21"/>
      <c r="W55" s="21"/>
      <c r="X55" s="21" t="s">
        <v>28</v>
      </c>
    </row>
    <row r="56" customFormat="false" ht="15.75" hidden="false" customHeight="false" outlineLevel="0" collapsed="false">
      <c r="A56" s="21" t="n">
        <v>7188</v>
      </c>
      <c r="B56" s="29" t="n">
        <v>45037</v>
      </c>
      <c r="C56" s="21" t="s">
        <v>841</v>
      </c>
      <c r="D56" s="21" t="s">
        <v>24</v>
      </c>
      <c r="E56" s="21" t="s">
        <v>25</v>
      </c>
      <c r="F56" s="21" t="s">
        <v>2001</v>
      </c>
      <c r="G56" s="30" t="s">
        <v>2002</v>
      </c>
      <c r="H56" s="45" t="str">
        <f aca="false">HYPERLINK("https://photos.app.goo.gl/744HuZQrwGr8kS338", "Completo")</f>
        <v>Completo</v>
      </c>
      <c r="I56" s="21" t="s">
        <v>28</v>
      </c>
      <c r="J56" s="21" t="s">
        <v>29</v>
      </c>
      <c r="K56" s="21" t="s">
        <v>342</v>
      </c>
      <c r="L56" s="21" t="n">
        <v>1504</v>
      </c>
      <c r="M56" s="21" t="s">
        <v>29</v>
      </c>
      <c r="N56" s="30"/>
      <c r="O56" s="21"/>
      <c r="P56" s="21"/>
      <c r="Q56" s="21"/>
      <c r="R56" s="32"/>
      <c r="S56" s="32"/>
      <c r="T56" s="21"/>
      <c r="U56" s="21"/>
      <c r="V56" s="21"/>
      <c r="W56" s="21"/>
      <c r="X56" s="21" t="s">
        <v>28</v>
      </c>
    </row>
    <row r="57" customFormat="false" ht="15.75" hidden="false" customHeight="false" outlineLevel="0" collapsed="false">
      <c r="A57" s="21" t="n">
        <v>7189</v>
      </c>
      <c r="B57" s="29" t="n">
        <v>45037</v>
      </c>
      <c r="C57" s="21" t="s">
        <v>841</v>
      </c>
      <c r="D57" s="21" t="s">
        <v>24</v>
      </c>
      <c r="E57" s="21" t="s">
        <v>25</v>
      </c>
      <c r="F57" s="21" t="s">
        <v>2003</v>
      </c>
      <c r="G57" s="30" t="s">
        <v>2004</v>
      </c>
      <c r="H57" s="45" t="str">
        <f aca="false">HYPERLINK("https://photos.app.goo.gl/kTQqMGpoRVojBaSX8", "Completo")</f>
        <v>Completo</v>
      </c>
      <c r="I57" s="21" t="s">
        <v>28</v>
      </c>
      <c r="J57" s="21" t="s">
        <v>29</v>
      </c>
      <c r="K57" s="21" t="s">
        <v>29</v>
      </c>
      <c r="L57" s="21" t="n">
        <v>1504</v>
      </c>
      <c r="M57" s="21" t="s">
        <v>29</v>
      </c>
      <c r="N57" s="30"/>
      <c r="O57" s="21"/>
      <c r="P57" s="21"/>
      <c r="Q57" s="21"/>
      <c r="R57" s="32"/>
      <c r="S57" s="32"/>
      <c r="T57" s="21"/>
      <c r="U57" s="21"/>
      <c r="V57" s="21"/>
      <c r="W57" s="21"/>
      <c r="X57" s="21" t="s">
        <v>28</v>
      </c>
    </row>
    <row r="58" customFormat="false" ht="15.75" hidden="false" customHeight="false" outlineLevel="0" collapsed="false">
      <c r="A58" s="21" t="n">
        <v>7190</v>
      </c>
      <c r="B58" s="29" t="n">
        <v>45037</v>
      </c>
      <c r="C58" s="21" t="s">
        <v>841</v>
      </c>
      <c r="D58" s="21" t="s">
        <v>24</v>
      </c>
      <c r="E58" s="21" t="s">
        <v>25</v>
      </c>
      <c r="F58" s="21" t="s">
        <v>2005</v>
      </c>
      <c r="G58" s="30" t="s">
        <v>2006</v>
      </c>
      <c r="H58" s="45" t="str">
        <f aca="false">HYPERLINK("https://photos.app.goo.gl/ARw9cLx4HNAHmRZ26", "Completo")</f>
        <v>Completo</v>
      </c>
      <c r="I58" s="21" t="s">
        <v>28</v>
      </c>
      <c r="J58" s="21" t="s">
        <v>29</v>
      </c>
      <c r="K58" s="21" t="s">
        <v>29</v>
      </c>
      <c r="L58" s="21" t="n">
        <v>1504</v>
      </c>
      <c r="M58" s="21" t="s">
        <v>29</v>
      </c>
      <c r="N58" s="30"/>
      <c r="O58" s="21"/>
      <c r="P58" s="21"/>
      <c r="Q58" s="21"/>
      <c r="R58" s="32"/>
      <c r="S58" s="32"/>
      <c r="T58" s="21"/>
      <c r="U58" s="21"/>
      <c r="V58" s="21"/>
      <c r="W58" s="21"/>
      <c r="X58" s="21" t="s">
        <v>37</v>
      </c>
    </row>
    <row r="59" customFormat="false" ht="15.75" hidden="false" customHeight="false" outlineLevel="0" collapsed="false">
      <c r="A59" s="21" t="n">
        <v>7191</v>
      </c>
      <c r="B59" s="29" t="n">
        <v>45042</v>
      </c>
      <c r="C59" s="21" t="s">
        <v>2007</v>
      </c>
      <c r="D59" s="21" t="s">
        <v>24</v>
      </c>
      <c r="E59" s="21" t="s">
        <v>25</v>
      </c>
      <c r="F59" s="21" t="s">
        <v>2008</v>
      </c>
      <c r="G59" s="30" t="s">
        <v>2009</v>
      </c>
      <c r="H59" s="45" t="str">
        <f aca="false">HYPERLINK("https://photos.app.goo.gl/8CD3MGfvg4whp8nHA", "Completo")</f>
        <v>Completo</v>
      </c>
      <c r="I59" s="21" t="s">
        <v>28</v>
      </c>
      <c r="J59" s="21" t="n">
        <v>3572531318</v>
      </c>
      <c r="K59" s="21" t="s">
        <v>2010</v>
      </c>
      <c r="L59" s="21"/>
      <c r="M59" s="21" t="s">
        <v>2011</v>
      </c>
      <c r="N59" s="30"/>
      <c r="O59" s="21"/>
      <c r="P59" s="21"/>
      <c r="Q59" s="21"/>
      <c r="R59" s="32"/>
      <c r="S59" s="32"/>
      <c r="T59" s="21"/>
      <c r="U59" s="21"/>
      <c r="V59" s="21"/>
      <c r="W59" s="21"/>
      <c r="X59" s="21" t="s">
        <v>28</v>
      </c>
    </row>
    <row r="60" customFormat="false" ht="15.75" hidden="false" customHeight="false" outlineLevel="0" collapsed="false">
      <c r="A60" s="21" t="n">
        <v>7192</v>
      </c>
      <c r="B60" s="29" t="n">
        <v>45041</v>
      </c>
      <c r="C60" s="21" t="s">
        <v>649</v>
      </c>
      <c r="D60" s="21" t="s">
        <v>24</v>
      </c>
      <c r="E60" s="21" t="s">
        <v>25</v>
      </c>
      <c r="F60" s="21" t="s">
        <v>2012</v>
      </c>
      <c r="G60" s="30" t="s">
        <v>2013</v>
      </c>
      <c r="H60" s="45" t="str">
        <f aca="false">HYPERLINK("https://photos.app.goo.gl/iYUjY54XqU1easGs8", "Completo")</f>
        <v>Completo</v>
      </c>
      <c r="I60" s="21" t="s">
        <v>28</v>
      </c>
      <c r="J60" s="21" t="s">
        <v>29</v>
      </c>
      <c r="K60" s="21" t="s">
        <v>29</v>
      </c>
      <c r="L60" s="21" t="s">
        <v>29</v>
      </c>
      <c r="M60" s="21" t="s">
        <v>29</v>
      </c>
      <c r="N60" s="30"/>
      <c r="O60" s="21"/>
      <c r="P60" s="21"/>
      <c r="Q60" s="21"/>
      <c r="R60" s="32"/>
      <c r="S60" s="32"/>
      <c r="T60" s="21"/>
      <c r="U60" s="21"/>
      <c r="V60" s="21"/>
      <c r="W60" s="21"/>
      <c r="X60" s="21" t="s">
        <v>28</v>
      </c>
    </row>
    <row r="61" customFormat="false" ht="15.75" hidden="false" customHeight="false" outlineLevel="0" collapsed="false">
      <c r="A61" s="21" t="n">
        <v>7193</v>
      </c>
      <c r="B61" s="29" t="n">
        <v>45042</v>
      </c>
      <c r="C61" s="21" t="s">
        <v>84</v>
      </c>
      <c r="D61" s="21" t="s">
        <v>24</v>
      </c>
      <c r="E61" s="21" t="s">
        <v>25</v>
      </c>
      <c r="F61" s="21" t="s">
        <v>2014</v>
      </c>
      <c r="G61" s="30"/>
      <c r="H61" s="31"/>
      <c r="I61" s="21"/>
      <c r="J61" s="21"/>
      <c r="K61" s="21"/>
      <c r="L61" s="21"/>
      <c r="M61" s="21"/>
      <c r="N61" s="30"/>
      <c r="O61" s="21"/>
      <c r="P61" s="21"/>
      <c r="Q61" s="21"/>
      <c r="R61" s="32"/>
      <c r="S61" s="32"/>
      <c r="T61" s="21"/>
      <c r="U61" s="21"/>
      <c r="V61" s="21"/>
      <c r="W61" s="21"/>
      <c r="X61" s="21" t="s">
        <v>28</v>
      </c>
    </row>
    <row r="62" customFormat="false" ht="15.75" hidden="false" customHeight="false" outlineLevel="0" collapsed="false">
      <c r="A62" s="21" t="n">
        <v>7194</v>
      </c>
      <c r="B62" s="29" t="n">
        <v>45042</v>
      </c>
      <c r="C62" s="21" t="s">
        <v>67</v>
      </c>
      <c r="D62" s="21" t="s">
        <v>24</v>
      </c>
      <c r="E62" s="21" t="s">
        <v>25</v>
      </c>
      <c r="F62" s="21" t="s">
        <v>2015</v>
      </c>
      <c r="G62" s="30"/>
      <c r="H62" s="31"/>
      <c r="I62" s="21"/>
      <c r="J62" s="21"/>
      <c r="K62" s="21"/>
      <c r="L62" s="21"/>
      <c r="M62" s="21"/>
      <c r="N62" s="30"/>
      <c r="O62" s="21"/>
      <c r="P62" s="21"/>
      <c r="Q62" s="21"/>
      <c r="R62" s="32"/>
      <c r="S62" s="32"/>
      <c r="T62" s="21"/>
      <c r="U62" s="21"/>
      <c r="V62" s="21"/>
      <c r="W62" s="21"/>
      <c r="X62" s="21"/>
    </row>
    <row r="63" customFormat="false" ht="15.75" hidden="false" customHeight="false" outlineLevel="0" collapsed="false">
      <c r="A63" s="21" t="n">
        <v>7195</v>
      </c>
      <c r="B63" s="29" t="n">
        <v>45043</v>
      </c>
      <c r="C63" s="21" t="s">
        <v>1891</v>
      </c>
      <c r="D63" s="21" t="s">
        <v>24</v>
      </c>
      <c r="E63" s="21" t="s">
        <v>34</v>
      </c>
      <c r="F63" s="21" t="s">
        <v>2016</v>
      </c>
      <c r="G63" s="30"/>
      <c r="H63" s="31"/>
      <c r="I63" s="21"/>
      <c r="J63" s="21"/>
      <c r="K63" s="21"/>
      <c r="L63" s="21"/>
      <c r="M63" s="21"/>
      <c r="N63" s="30"/>
      <c r="O63" s="21"/>
      <c r="P63" s="21"/>
      <c r="Q63" s="21"/>
      <c r="R63" s="32"/>
      <c r="S63" s="32"/>
      <c r="T63" s="21"/>
      <c r="U63" s="21"/>
      <c r="V63" s="21"/>
      <c r="W63" s="21"/>
      <c r="X63" s="21" t="s">
        <v>37</v>
      </c>
    </row>
    <row r="64" customFormat="false" ht="15.75" hidden="false" customHeight="false" outlineLevel="0" collapsed="false">
      <c r="A64" s="21" t="n">
        <v>7196</v>
      </c>
      <c r="B64" s="29" t="n">
        <v>45044</v>
      </c>
      <c r="C64" s="21" t="s">
        <v>705</v>
      </c>
      <c r="D64" s="21" t="s">
        <v>24</v>
      </c>
      <c r="E64" s="21" t="s">
        <v>34</v>
      </c>
      <c r="F64" s="21" t="s">
        <v>2017</v>
      </c>
      <c r="G64" s="30"/>
      <c r="H64" s="31"/>
      <c r="I64" s="21"/>
      <c r="J64" s="21"/>
      <c r="K64" s="21"/>
      <c r="L64" s="21"/>
      <c r="M64" s="21"/>
      <c r="N64" s="30"/>
      <c r="O64" s="21"/>
      <c r="P64" s="21"/>
      <c r="Q64" s="21"/>
      <c r="R64" s="32"/>
      <c r="S64" s="32"/>
      <c r="T64" s="21"/>
      <c r="U64" s="21"/>
      <c r="V64" s="21"/>
      <c r="W64" s="21"/>
      <c r="X64" s="21" t="s">
        <v>28</v>
      </c>
    </row>
    <row r="65" customFormat="false" ht="15.75" hidden="false" customHeight="false" outlineLevel="0" collapsed="false">
      <c r="A65" s="21" t="n">
        <v>7197</v>
      </c>
      <c r="B65" s="29" t="n">
        <v>45044</v>
      </c>
      <c r="C65" s="21" t="s">
        <v>705</v>
      </c>
      <c r="D65" s="21" t="s">
        <v>24</v>
      </c>
      <c r="E65" s="21" t="s">
        <v>34</v>
      </c>
      <c r="F65" s="21" t="s">
        <v>2018</v>
      </c>
      <c r="G65" s="30"/>
      <c r="H65" s="31"/>
      <c r="I65" s="21"/>
      <c r="J65" s="21"/>
      <c r="K65" s="21"/>
      <c r="L65" s="21"/>
      <c r="M65" s="21"/>
      <c r="N65" s="30"/>
      <c r="O65" s="21"/>
      <c r="P65" s="21"/>
      <c r="Q65" s="21"/>
      <c r="R65" s="32"/>
      <c r="S65" s="32"/>
      <c r="T65" s="21"/>
      <c r="U65" s="21"/>
      <c r="V65" s="21"/>
      <c r="W65" s="21"/>
      <c r="X65" s="21" t="s">
        <v>28</v>
      </c>
    </row>
    <row r="66" customFormat="false" ht="15.75" hidden="false" customHeight="false" outlineLevel="0" collapsed="false">
      <c r="A66" s="21" t="n">
        <v>7198</v>
      </c>
      <c r="B66" s="29" t="n">
        <v>45044</v>
      </c>
      <c r="C66" s="21" t="s">
        <v>841</v>
      </c>
      <c r="D66" s="21" t="s">
        <v>24</v>
      </c>
      <c r="E66" s="21" t="s">
        <v>25</v>
      </c>
      <c r="F66" s="21" t="s">
        <v>2005</v>
      </c>
      <c r="G66" s="30" t="s">
        <v>2006</v>
      </c>
      <c r="H66" s="45" t="str">
        <f aca="false">HYPERLINK("https://photos.app.goo.gl/xhAMewdZV6JnoWeG6", "Completo")</f>
        <v>Completo</v>
      </c>
      <c r="I66" s="21" t="s">
        <v>28</v>
      </c>
      <c r="J66" s="21" t="s">
        <v>29</v>
      </c>
      <c r="K66" s="21" t="s">
        <v>29</v>
      </c>
      <c r="L66" s="21" t="n">
        <v>1517</v>
      </c>
      <c r="M66" s="21"/>
      <c r="N66" s="30"/>
      <c r="O66" s="21"/>
      <c r="P66" s="21"/>
      <c r="Q66" s="21"/>
      <c r="R66" s="32"/>
      <c r="S66" s="32"/>
      <c r="T66" s="21" t="s">
        <v>74</v>
      </c>
      <c r="U66" s="46" t="s">
        <v>28</v>
      </c>
      <c r="V66" s="46" t="s">
        <v>28</v>
      </c>
      <c r="W66" s="21" t="s">
        <v>36</v>
      </c>
      <c r="X66" s="21" t="s">
        <v>28</v>
      </c>
    </row>
    <row r="67" customFormat="false" ht="15.75" hidden="false" customHeight="false" outlineLevel="0" collapsed="false">
      <c r="A67" s="21" t="n">
        <v>7199</v>
      </c>
      <c r="B67" s="29" t="n">
        <v>45044</v>
      </c>
      <c r="C67" s="21" t="s">
        <v>841</v>
      </c>
      <c r="D67" s="21" t="s">
        <v>24</v>
      </c>
      <c r="E67" s="21" t="s">
        <v>25</v>
      </c>
      <c r="F67" s="21" t="s">
        <v>2005</v>
      </c>
      <c r="G67" s="30" t="s">
        <v>2006</v>
      </c>
      <c r="H67" s="45" t="str">
        <f aca="false">HYPERLINK("https://photos.app.goo.gl/eW9kVSCV8gQ7bfUk8", "Completo")</f>
        <v>Completo</v>
      </c>
      <c r="I67" s="21" t="s">
        <v>28</v>
      </c>
      <c r="J67" s="21" t="s">
        <v>29</v>
      </c>
      <c r="K67" s="21" t="s">
        <v>29</v>
      </c>
      <c r="L67" s="21" t="n">
        <v>1517</v>
      </c>
      <c r="M67" s="21"/>
      <c r="N67" s="30"/>
      <c r="O67" s="21"/>
      <c r="P67" s="21"/>
      <c r="Q67" s="21"/>
      <c r="R67" s="32"/>
      <c r="S67" s="32"/>
      <c r="T67" s="21" t="s">
        <v>74</v>
      </c>
      <c r="U67" s="46" t="s">
        <v>28</v>
      </c>
      <c r="V67" s="46" t="s">
        <v>28</v>
      </c>
      <c r="W67" s="21" t="s">
        <v>36</v>
      </c>
      <c r="X67" s="21" t="s">
        <v>28</v>
      </c>
    </row>
    <row r="68" customFormat="false" ht="15.75" hidden="false" customHeight="false" outlineLevel="0" collapsed="false">
      <c r="A68" s="21"/>
      <c r="B68" s="29"/>
      <c r="C68" s="21"/>
      <c r="D68" s="21"/>
      <c r="E68" s="21"/>
      <c r="F68" s="21"/>
      <c r="G68" s="30"/>
      <c r="H68" s="31"/>
      <c r="I68" s="21"/>
      <c r="J68" s="21"/>
      <c r="K68" s="21"/>
      <c r="L68" s="21"/>
      <c r="M68" s="21"/>
      <c r="N68" s="30"/>
      <c r="O68" s="21"/>
      <c r="P68" s="21"/>
      <c r="Q68" s="21"/>
      <c r="R68" s="32"/>
      <c r="S68" s="32"/>
      <c r="T68" s="21"/>
      <c r="U68" s="21"/>
      <c r="V68" s="21"/>
      <c r="W68" s="21"/>
      <c r="X68" s="21"/>
    </row>
    <row r="69" customFormat="false" ht="15.75" hidden="false" customHeight="false" outlineLevel="0" collapsed="false">
      <c r="A69" s="21"/>
      <c r="B69" s="29"/>
      <c r="C69" s="21"/>
      <c r="D69" s="21"/>
      <c r="E69" s="21"/>
      <c r="F69" s="21"/>
      <c r="G69" s="30"/>
      <c r="H69" s="31"/>
      <c r="I69" s="21"/>
      <c r="J69" s="21"/>
      <c r="K69" s="21"/>
      <c r="L69" s="21"/>
      <c r="M69" s="21"/>
      <c r="N69" s="30"/>
      <c r="O69" s="21"/>
      <c r="P69" s="21"/>
      <c r="Q69" s="21"/>
      <c r="R69" s="32"/>
      <c r="S69" s="32"/>
      <c r="T69" s="21"/>
      <c r="U69" s="21"/>
      <c r="V69" s="21"/>
      <c r="W69" s="21"/>
      <c r="X69" s="21"/>
    </row>
    <row r="70" customFormat="false" ht="15.75" hidden="false" customHeight="false" outlineLevel="0" collapsed="false">
      <c r="A70" s="21"/>
      <c r="B70" s="29"/>
      <c r="C70" s="21"/>
      <c r="D70" s="21"/>
      <c r="E70" s="21"/>
      <c r="F70" s="21"/>
      <c r="G70" s="30"/>
      <c r="H70" s="31"/>
      <c r="I70" s="21"/>
      <c r="J70" s="21"/>
      <c r="K70" s="21"/>
      <c r="L70" s="21"/>
      <c r="M70" s="21"/>
      <c r="N70" s="30"/>
      <c r="O70" s="21"/>
      <c r="P70" s="21"/>
      <c r="Q70" s="21"/>
      <c r="R70" s="32"/>
      <c r="S70" s="32"/>
      <c r="T70" s="21"/>
      <c r="U70" s="21"/>
      <c r="V70" s="21"/>
      <c r="W70" s="21"/>
      <c r="X70" s="21"/>
    </row>
    <row r="71" customFormat="false" ht="15.75" hidden="false" customHeight="false" outlineLevel="0" collapsed="false">
      <c r="A71" s="21"/>
      <c r="B71" s="29"/>
      <c r="C71" s="21"/>
      <c r="D71" s="21"/>
      <c r="E71" s="21"/>
      <c r="F71" s="21"/>
      <c r="G71" s="30"/>
      <c r="H71" s="31"/>
      <c r="I71" s="21"/>
      <c r="J71" s="21"/>
      <c r="K71" s="21"/>
      <c r="L71" s="21"/>
      <c r="M71" s="21"/>
      <c r="N71" s="30"/>
      <c r="O71" s="21"/>
      <c r="P71" s="21"/>
      <c r="Q71" s="21"/>
      <c r="R71" s="32"/>
      <c r="S71" s="32"/>
      <c r="T71" s="21"/>
      <c r="U71" s="21"/>
      <c r="V71" s="21"/>
      <c r="W71" s="21"/>
      <c r="X71" s="21"/>
    </row>
    <row r="72" customFormat="false" ht="15.75" hidden="false" customHeight="false" outlineLevel="0" collapsed="false">
      <c r="A72" s="21"/>
      <c r="B72" s="29"/>
      <c r="C72" s="21"/>
      <c r="D72" s="21"/>
      <c r="E72" s="21"/>
      <c r="F72" s="21"/>
      <c r="G72" s="30"/>
      <c r="H72" s="31"/>
      <c r="I72" s="21"/>
      <c r="J72" s="21"/>
      <c r="K72" s="21"/>
      <c r="L72" s="21"/>
      <c r="M72" s="21"/>
      <c r="N72" s="30"/>
      <c r="O72" s="21"/>
      <c r="P72" s="21"/>
      <c r="Q72" s="21"/>
      <c r="R72" s="32"/>
      <c r="S72" s="32"/>
      <c r="T72" s="21"/>
      <c r="U72" s="21"/>
      <c r="V72" s="21"/>
      <c r="W72" s="21"/>
      <c r="X72" s="21"/>
    </row>
    <row r="73" customFormat="false" ht="15.75" hidden="false" customHeight="false" outlineLevel="0" collapsed="false">
      <c r="A73" s="21"/>
      <c r="B73" s="29"/>
      <c r="C73" s="21"/>
      <c r="D73" s="21"/>
      <c r="E73" s="21"/>
      <c r="F73" s="21"/>
      <c r="G73" s="30"/>
      <c r="H73" s="31"/>
      <c r="I73" s="21"/>
      <c r="J73" s="21"/>
      <c r="K73" s="21"/>
      <c r="L73" s="21"/>
      <c r="M73" s="21"/>
      <c r="N73" s="30"/>
      <c r="O73" s="21"/>
      <c r="P73" s="21"/>
      <c r="Q73" s="21"/>
      <c r="R73" s="32"/>
      <c r="S73" s="32"/>
      <c r="T73" s="21"/>
      <c r="U73" s="21"/>
      <c r="V73" s="21"/>
      <c r="W73" s="21"/>
      <c r="X73" s="21"/>
    </row>
    <row r="74" customFormat="false" ht="15.75" hidden="false" customHeight="false" outlineLevel="0" collapsed="false">
      <c r="A74" s="21"/>
      <c r="B74" s="29"/>
      <c r="C74" s="21"/>
      <c r="D74" s="21"/>
      <c r="E74" s="21"/>
      <c r="F74" s="21"/>
      <c r="G74" s="30"/>
      <c r="H74" s="31"/>
      <c r="I74" s="21"/>
      <c r="J74" s="21"/>
      <c r="K74" s="21"/>
      <c r="L74" s="21"/>
      <c r="M74" s="21"/>
      <c r="N74" s="30"/>
      <c r="O74" s="21"/>
      <c r="P74" s="21"/>
      <c r="Q74" s="21"/>
      <c r="R74" s="32"/>
      <c r="S74" s="32"/>
      <c r="T74" s="21"/>
      <c r="U74" s="21"/>
      <c r="V74" s="21"/>
      <c r="W74" s="21"/>
      <c r="X74" s="21"/>
    </row>
    <row r="75" customFormat="false" ht="15.75" hidden="false" customHeight="false" outlineLevel="0" collapsed="false">
      <c r="A75" s="21"/>
      <c r="B75" s="29"/>
      <c r="C75" s="21"/>
      <c r="D75" s="21"/>
      <c r="E75" s="21"/>
      <c r="F75" s="21"/>
      <c r="G75" s="30"/>
      <c r="H75" s="31"/>
      <c r="I75" s="21"/>
      <c r="J75" s="21"/>
      <c r="K75" s="21"/>
      <c r="L75" s="21"/>
      <c r="M75" s="21"/>
      <c r="N75" s="30"/>
      <c r="O75" s="21"/>
      <c r="P75" s="21"/>
      <c r="Q75" s="21"/>
      <c r="R75" s="32"/>
      <c r="S75" s="32"/>
      <c r="T75" s="21"/>
      <c r="U75" s="21"/>
      <c r="V75" s="21"/>
      <c r="W75" s="21"/>
      <c r="X75" s="21"/>
    </row>
    <row r="76" customFormat="false" ht="15.75" hidden="false" customHeight="false" outlineLevel="0" collapsed="false">
      <c r="A76" s="21"/>
      <c r="B76" s="29"/>
      <c r="C76" s="21"/>
      <c r="D76" s="21"/>
      <c r="E76" s="21"/>
      <c r="F76" s="21"/>
      <c r="G76" s="30"/>
      <c r="H76" s="31"/>
      <c r="I76" s="21"/>
      <c r="J76" s="21"/>
      <c r="K76" s="21"/>
      <c r="L76" s="21"/>
      <c r="M76" s="21"/>
      <c r="N76" s="30"/>
      <c r="O76" s="21"/>
      <c r="P76" s="21"/>
      <c r="Q76" s="21"/>
      <c r="R76" s="32"/>
      <c r="S76" s="32"/>
      <c r="T76" s="21"/>
      <c r="U76" s="21"/>
      <c r="V76" s="21"/>
      <c r="W76" s="21"/>
      <c r="X76" s="21"/>
    </row>
    <row r="77" customFormat="false" ht="15.75" hidden="false" customHeight="false" outlineLevel="0" collapsed="false">
      <c r="A77" s="12"/>
      <c r="B77" s="34"/>
      <c r="C77" s="12"/>
      <c r="D77" s="12"/>
      <c r="E77" s="12"/>
      <c r="F77" s="12"/>
      <c r="G77" s="18"/>
      <c r="H77" s="35"/>
      <c r="I77" s="12"/>
      <c r="M77" s="12"/>
      <c r="N77" s="18"/>
      <c r="O77" s="12"/>
      <c r="P77" s="12"/>
      <c r="Q77" s="12"/>
      <c r="R77" s="36"/>
      <c r="S77" s="36"/>
      <c r="T77" s="12"/>
      <c r="U77" s="12"/>
      <c r="V77" s="12"/>
      <c r="W77" s="12"/>
      <c r="X77" s="12"/>
    </row>
    <row r="78" customFormat="false" ht="15.75" hidden="false" customHeight="false" outlineLevel="0" collapsed="false">
      <c r="A78" s="12"/>
      <c r="B78" s="34"/>
      <c r="C78" s="12"/>
      <c r="D78" s="12"/>
      <c r="E78" s="12"/>
      <c r="F78" s="12"/>
      <c r="G78" s="18"/>
      <c r="H78" s="35"/>
      <c r="I78" s="12"/>
      <c r="M78" s="12"/>
      <c r="N78" s="18"/>
      <c r="O78" s="12"/>
      <c r="P78" s="12"/>
      <c r="Q78" s="12"/>
      <c r="R78" s="36"/>
      <c r="S78" s="36"/>
      <c r="T78" s="12"/>
      <c r="U78" s="12"/>
      <c r="V78" s="12"/>
      <c r="W78" s="12"/>
      <c r="X78" s="12"/>
    </row>
    <row r="79" customFormat="false" ht="15.75" hidden="false" customHeight="false" outlineLevel="0" collapsed="false">
      <c r="A79" s="12"/>
      <c r="B79" s="34"/>
      <c r="C79" s="12"/>
      <c r="D79" s="12"/>
      <c r="E79" s="12"/>
      <c r="F79" s="12"/>
      <c r="G79" s="18"/>
      <c r="H79" s="35"/>
      <c r="I79" s="12"/>
      <c r="M79" s="12"/>
      <c r="N79" s="18"/>
      <c r="O79" s="12"/>
      <c r="P79" s="12"/>
      <c r="Q79" s="12"/>
      <c r="R79" s="36"/>
      <c r="S79" s="36"/>
      <c r="T79" s="12"/>
      <c r="U79" s="12"/>
      <c r="V79" s="12"/>
      <c r="W79" s="12"/>
      <c r="X79" s="12"/>
    </row>
    <row r="80" customFormat="false" ht="15.75" hidden="false" customHeight="false" outlineLevel="0" collapsed="false">
      <c r="A80" s="12"/>
      <c r="B80" s="34"/>
      <c r="C80" s="12"/>
      <c r="D80" s="12"/>
      <c r="E80" s="12"/>
      <c r="F80" s="12"/>
      <c r="G80" s="18"/>
      <c r="H80" s="35"/>
      <c r="I80" s="12"/>
      <c r="M80" s="12"/>
      <c r="N80" s="18"/>
      <c r="O80" s="12"/>
      <c r="P80" s="12"/>
      <c r="Q80" s="12"/>
      <c r="R80" s="36"/>
      <c r="S80" s="36"/>
      <c r="T80" s="12"/>
      <c r="U80" s="12"/>
      <c r="V80" s="12"/>
      <c r="W80" s="12"/>
      <c r="X80" s="12"/>
    </row>
    <row r="81" customFormat="false" ht="15.75" hidden="false" customHeight="false" outlineLevel="0" collapsed="false">
      <c r="A81" s="12"/>
      <c r="B81" s="34"/>
      <c r="C81" s="12"/>
      <c r="D81" s="12"/>
      <c r="E81" s="12"/>
      <c r="F81" s="12"/>
      <c r="G81" s="18"/>
      <c r="H81" s="35"/>
      <c r="I81" s="12"/>
      <c r="M81" s="12"/>
      <c r="N81" s="18"/>
      <c r="O81" s="12"/>
      <c r="P81" s="12"/>
      <c r="Q81" s="12"/>
      <c r="R81" s="36"/>
      <c r="S81" s="36"/>
      <c r="T81" s="12"/>
      <c r="U81" s="12"/>
      <c r="V81" s="12"/>
      <c r="W81" s="12"/>
      <c r="X81" s="12"/>
    </row>
    <row r="82" customFormat="false" ht="15.75" hidden="false" customHeight="false" outlineLevel="0" collapsed="false">
      <c r="A82" s="12"/>
      <c r="B82" s="34"/>
      <c r="C82" s="12"/>
      <c r="D82" s="12"/>
      <c r="E82" s="12"/>
      <c r="F82" s="12"/>
      <c r="G82" s="18"/>
      <c r="H82" s="35"/>
      <c r="I82" s="12"/>
      <c r="M82" s="12"/>
      <c r="N82" s="18"/>
      <c r="O82" s="12"/>
      <c r="P82" s="12"/>
      <c r="Q82" s="12"/>
      <c r="R82" s="36"/>
      <c r="S82" s="36"/>
      <c r="T82" s="12"/>
      <c r="U82" s="12"/>
      <c r="V82" s="12"/>
      <c r="W82" s="12"/>
      <c r="X82" s="12"/>
    </row>
    <row r="83" customFormat="false" ht="15.75" hidden="false" customHeight="false" outlineLevel="0" collapsed="false">
      <c r="A83" s="12"/>
      <c r="B83" s="34"/>
      <c r="C83" s="12"/>
      <c r="D83" s="12"/>
      <c r="E83" s="12"/>
      <c r="F83" s="12"/>
      <c r="G83" s="18"/>
      <c r="H83" s="35"/>
      <c r="I83" s="12"/>
      <c r="M83" s="12"/>
      <c r="N83" s="18"/>
      <c r="O83" s="12"/>
      <c r="P83" s="12"/>
      <c r="Q83" s="12"/>
      <c r="R83" s="36"/>
      <c r="S83" s="36"/>
      <c r="T83" s="12"/>
      <c r="U83" s="12"/>
      <c r="V83" s="12"/>
      <c r="W83" s="12"/>
      <c r="X83" s="12"/>
    </row>
    <row r="84" customFormat="false" ht="15.75" hidden="false" customHeight="false" outlineLevel="0" collapsed="false">
      <c r="A84" s="12"/>
      <c r="B84" s="34"/>
      <c r="C84" s="12"/>
      <c r="D84" s="12"/>
      <c r="E84" s="12"/>
      <c r="F84" s="12"/>
      <c r="G84" s="18"/>
      <c r="H84" s="35"/>
      <c r="I84" s="12"/>
      <c r="M84" s="12"/>
      <c r="N84" s="18"/>
      <c r="O84" s="12"/>
      <c r="P84" s="12"/>
      <c r="Q84" s="12"/>
      <c r="R84" s="36"/>
      <c r="S84" s="36"/>
      <c r="T84" s="12"/>
      <c r="U84" s="12"/>
      <c r="V84" s="12"/>
      <c r="W84" s="12"/>
      <c r="X84" s="12"/>
    </row>
    <row r="85" customFormat="false" ht="15.75" hidden="false" customHeight="false" outlineLevel="0" collapsed="false">
      <c r="A85" s="12"/>
      <c r="B85" s="34"/>
      <c r="C85" s="12"/>
      <c r="D85" s="12"/>
      <c r="E85" s="12"/>
      <c r="F85" s="12"/>
      <c r="G85" s="18"/>
      <c r="H85" s="35"/>
      <c r="I85" s="12"/>
      <c r="M85" s="12"/>
      <c r="N85" s="18"/>
      <c r="O85" s="12"/>
      <c r="P85" s="12"/>
      <c r="Q85" s="12"/>
      <c r="R85" s="36"/>
      <c r="S85" s="36"/>
      <c r="T85" s="12"/>
      <c r="U85" s="12"/>
      <c r="V85" s="12"/>
      <c r="W85" s="12"/>
      <c r="X85" s="12"/>
    </row>
    <row r="86" customFormat="false" ht="15.75" hidden="false" customHeight="false" outlineLevel="0" collapsed="false">
      <c r="A86" s="12"/>
      <c r="B86" s="34"/>
      <c r="C86" s="12"/>
      <c r="D86" s="12"/>
      <c r="E86" s="12"/>
      <c r="F86" s="12"/>
      <c r="G86" s="18"/>
      <c r="H86" s="35"/>
      <c r="I86" s="12"/>
      <c r="M86" s="12"/>
      <c r="N86" s="18"/>
      <c r="O86" s="12"/>
      <c r="P86" s="12"/>
      <c r="Q86" s="12"/>
      <c r="R86" s="36"/>
      <c r="S86" s="36"/>
      <c r="T86" s="12"/>
      <c r="U86" s="12"/>
      <c r="V86" s="12"/>
      <c r="W86" s="12"/>
      <c r="X86" s="12"/>
    </row>
    <row r="87" customFormat="false" ht="15.75" hidden="false" customHeight="false" outlineLevel="0" collapsed="false">
      <c r="A87" s="12"/>
      <c r="B87" s="34"/>
      <c r="C87" s="12"/>
      <c r="D87" s="12"/>
      <c r="E87" s="12"/>
      <c r="F87" s="12"/>
      <c r="G87" s="18"/>
      <c r="H87" s="35"/>
      <c r="I87" s="12"/>
      <c r="M87" s="12"/>
      <c r="N87" s="18"/>
      <c r="O87" s="12"/>
      <c r="P87" s="12"/>
      <c r="Q87" s="12"/>
      <c r="R87" s="36"/>
      <c r="S87" s="36"/>
      <c r="T87" s="12"/>
      <c r="U87" s="12"/>
      <c r="V87" s="12"/>
      <c r="W87" s="12"/>
      <c r="X87" s="12"/>
    </row>
    <row r="88" customFormat="false" ht="15.75" hidden="false" customHeight="false" outlineLevel="0" collapsed="false">
      <c r="A88" s="12"/>
      <c r="B88" s="34"/>
      <c r="C88" s="12"/>
      <c r="D88" s="12"/>
      <c r="E88" s="12"/>
      <c r="F88" s="12"/>
      <c r="G88" s="18"/>
      <c r="H88" s="35"/>
      <c r="I88" s="12"/>
      <c r="M88" s="12"/>
      <c r="N88" s="18"/>
      <c r="O88" s="12"/>
      <c r="P88" s="12"/>
      <c r="Q88" s="12"/>
      <c r="R88" s="36"/>
      <c r="S88" s="36"/>
      <c r="T88" s="12"/>
      <c r="U88" s="12"/>
      <c r="V88" s="12"/>
      <c r="W88" s="12"/>
      <c r="X88" s="12"/>
    </row>
    <row r="89" customFormat="false" ht="15.75" hidden="false" customHeight="false" outlineLevel="0" collapsed="false">
      <c r="A89" s="12"/>
      <c r="B89" s="34"/>
      <c r="C89" s="12"/>
      <c r="D89" s="12"/>
      <c r="E89" s="12"/>
      <c r="F89" s="12"/>
      <c r="G89" s="18"/>
      <c r="H89" s="35"/>
      <c r="I89" s="12"/>
      <c r="M89" s="12"/>
      <c r="N89" s="18"/>
      <c r="O89" s="12"/>
      <c r="P89" s="12"/>
      <c r="Q89" s="12"/>
      <c r="R89" s="36"/>
      <c r="S89" s="36"/>
      <c r="T89" s="12"/>
      <c r="U89" s="12"/>
      <c r="V89" s="12"/>
      <c r="W89" s="12"/>
      <c r="X89" s="12"/>
    </row>
    <row r="90" customFormat="false" ht="15.75" hidden="false" customHeight="false" outlineLevel="0" collapsed="false">
      <c r="A90" s="12"/>
      <c r="B90" s="34"/>
      <c r="C90" s="12"/>
      <c r="D90" s="12"/>
      <c r="E90" s="12"/>
      <c r="F90" s="12"/>
      <c r="G90" s="18"/>
      <c r="H90" s="35"/>
      <c r="I90" s="12"/>
      <c r="M90" s="12"/>
      <c r="N90" s="18"/>
      <c r="O90" s="12"/>
      <c r="P90" s="12"/>
      <c r="Q90" s="12"/>
      <c r="R90" s="36"/>
      <c r="S90" s="36"/>
      <c r="T90" s="12"/>
      <c r="U90" s="12"/>
      <c r="V90" s="12"/>
      <c r="W90" s="12"/>
      <c r="X90" s="12"/>
    </row>
    <row r="91" customFormat="false" ht="15.75" hidden="false" customHeight="false" outlineLevel="0" collapsed="false">
      <c r="A91" s="12"/>
      <c r="B91" s="34"/>
      <c r="C91" s="12"/>
      <c r="D91" s="12"/>
      <c r="E91" s="12"/>
      <c r="F91" s="12"/>
      <c r="G91" s="18"/>
      <c r="H91" s="35"/>
      <c r="I91" s="12"/>
      <c r="M91" s="12"/>
      <c r="N91" s="18"/>
      <c r="O91" s="12"/>
      <c r="P91" s="12"/>
      <c r="Q91" s="12"/>
      <c r="R91" s="36"/>
      <c r="S91" s="36"/>
      <c r="T91" s="12"/>
      <c r="U91" s="12"/>
      <c r="V91" s="12"/>
      <c r="W91" s="12"/>
      <c r="X91" s="12"/>
    </row>
    <row r="92" customFormat="false" ht="15.75" hidden="false" customHeight="false" outlineLevel="0" collapsed="false">
      <c r="A92" s="12"/>
      <c r="B92" s="34"/>
      <c r="C92" s="12"/>
      <c r="D92" s="12"/>
      <c r="E92" s="12"/>
      <c r="F92" s="12"/>
      <c r="G92" s="18"/>
      <c r="H92" s="35"/>
      <c r="I92" s="12"/>
      <c r="M92" s="12"/>
      <c r="N92" s="18"/>
      <c r="O92" s="12"/>
      <c r="P92" s="12"/>
      <c r="Q92" s="12"/>
      <c r="R92" s="36"/>
      <c r="S92" s="36"/>
      <c r="T92" s="12"/>
      <c r="U92" s="12"/>
      <c r="V92" s="12"/>
      <c r="W92" s="12"/>
      <c r="X92" s="12"/>
    </row>
    <row r="93" customFormat="false" ht="15.75" hidden="false" customHeight="false" outlineLevel="0" collapsed="false">
      <c r="A93" s="12"/>
      <c r="B93" s="34"/>
      <c r="C93" s="12"/>
      <c r="D93" s="12"/>
      <c r="E93" s="12"/>
      <c r="F93" s="12"/>
      <c r="G93" s="18"/>
      <c r="H93" s="35"/>
      <c r="I93" s="12"/>
      <c r="M93" s="12"/>
      <c r="N93" s="18"/>
      <c r="O93" s="12"/>
      <c r="P93" s="12"/>
      <c r="Q93" s="12"/>
      <c r="R93" s="36"/>
      <c r="S93" s="36"/>
      <c r="T93" s="12"/>
      <c r="U93" s="12"/>
      <c r="V93" s="12"/>
      <c r="W93" s="12"/>
      <c r="X93" s="12"/>
    </row>
    <row r="94" customFormat="false" ht="15.75" hidden="false" customHeight="false" outlineLevel="0" collapsed="false">
      <c r="A94" s="12"/>
      <c r="B94" s="34"/>
      <c r="C94" s="12"/>
      <c r="D94" s="12"/>
      <c r="E94" s="12"/>
      <c r="F94" s="12"/>
      <c r="G94" s="18"/>
      <c r="H94" s="35"/>
      <c r="I94" s="12"/>
      <c r="M94" s="12"/>
      <c r="N94" s="18"/>
      <c r="O94" s="12"/>
      <c r="P94" s="12"/>
      <c r="Q94" s="12"/>
      <c r="R94" s="36"/>
      <c r="S94" s="36"/>
      <c r="T94" s="12"/>
      <c r="U94" s="12"/>
      <c r="V94" s="12"/>
      <c r="W94" s="12"/>
      <c r="X94" s="12"/>
    </row>
    <row r="95" customFormat="false" ht="15.75" hidden="false" customHeight="false" outlineLevel="0" collapsed="false">
      <c r="A95" s="12"/>
      <c r="B95" s="34"/>
      <c r="C95" s="12"/>
      <c r="D95" s="12"/>
      <c r="E95" s="12"/>
      <c r="F95" s="12"/>
      <c r="G95" s="18"/>
      <c r="H95" s="35"/>
      <c r="I95" s="12"/>
      <c r="M95" s="12"/>
      <c r="N95" s="18"/>
      <c r="O95" s="12"/>
      <c r="P95" s="12"/>
      <c r="Q95" s="12"/>
      <c r="R95" s="36"/>
      <c r="S95" s="36"/>
      <c r="T95" s="12"/>
      <c r="U95" s="12"/>
      <c r="V95" s="12"/>
      <c r="W95" s="12"/>
      <c r="X95" s="12"/>
    </row>
    <row r="96" customFormat="false" ht="15.75" hidden="false" customHeight="false" outlineLevel="0" collapsed="false">
      <c r="A96" s="12"/>
      <c r="B96" s="34"/>
      <c r="C96" s="12"/>
      <c r="D96" s="12"/>
      <c r="E96" s="12"/>
      <c r="F96" s="12"/>
      <c r="G96" s="18"/>
      <c r="H96" s="35"/>
      <c r="I96" s="12"/>
      <c r="M96" s="12"/>
      <c r="N96" s="18"/>
      <c r="O96" s="12"/>
      <c r="P96" s="12"/>
      <c r="Q96" s="12"/>
      <c r="R96" s="36"/>
      <c r="S96" s="36"/>
      <c r="T96" s="12"/>
      <c r="U96" s="12"/>
      <c r="V96" s="12"/>
      <c r="W96" s="12"/>
      <c r="X96" s="12"/>
    </row>
    <row r="97" customFormat="false" ht="15.75" hidden="false" customHeight="false" outlineLevel="0" collapsed="false">
      <c r="A97" s="12"/>
      <c r="B97" s="34"/>
      <c r="C97" s="12"/>
      <c r="D97" s="12"/>
      <c r="E97" s="12"/>
      <c r="F97" s="12"/>
      <c r="G97" s="18"/>
      <c r="H97" s="35"/>
      <c r="I97" s="12"/>
      <c r="M97" s="12"/>
      <c r="N97" s="18"/>
      <c r="O97" s="12"/>
      <c r="P97" s="12"/>
      <c r="Q97" s="12"/>
      <c r="R97" s="36"/>
      <c r="S97" s="36"/>
      <c r="T97" s="12"/>
      <c r="U97" s="12"/>
      <c r="V97" s="12"/>
      <c r="W97" s="12"/>
      <c r="X97" s="12"/>
    </row>
    <row r="98" customFormat="false" ht="15.75" hidden="false" customHeight="false" outlineLevel="0" collapsed="false">
      <c r="A98" s="12"/>
      <c r="B98" s="34"/>
      <c r="C98" s="12"/>
      <c r="D98" s="12"/>
      <c r="E98" s="12"/>
      <c r="F98" s="12"/>
      <c r="G98" s="18"/>
      <c r="H98" s="35"/>
      <c r="I98" s="12"/>
      <c r="M98" s="12"/>
      <c r="N98" s="18"/>
      <c r="O98" s="12"/>
      <c r="P98" s="12"/>
      <c r="Q98" s="12"/>
      <c r="R98" s="36"/>
      <c r="S98" s="36"/>
      <c r="T98" s="12"/>
      <c r="U98" s="12"/>
      <c r="V98" s="12"/>
      <c r="W98" s="12"/>
      <c r="X98" s="12"/>
    </row>
    <row r="99" customFormat="false" ht="15.75" hidden="false" customHeight="false" outlineLevel="0" collapsed="false">
      <c r="A99" s="12"/>
      <c r="B99" s="34"/>
      <c r="C99" s="12"/>
      <c r="D99" s="12"/>
      <c r="E99" s="12"/>
      <c r="F99" s="12"/>
      <c r="G99" s="18"/>
      <c r="H99" s="35"/>
      <c r="I99" s="12"/>
      <c r="M99" s="12"/>
      <c r="N99" s="18"/>
      <c r="O99" s="12"/>
      <c r="P99" s="12"/>
      <c r="Q99" s="12"/>
      <c r="R99" s="36"/>
      <c r="S99" s="36"/>
      <c r="T99" s="12"/>
      <c r="U99" s="12"/>
      <c r="V99" s="12"/>
      <c r="W99" s="12"/>
      <c r="X99" s="12"/>
    </row>
    <row r="100" customFormat="false" ht="15.75" hidden="false" customHeight="false" outlineLevel="0" collapsed="false">
      <c r="A100" s="12"/>
      <c r="B100" s="34"/>
      <c r="C100" s="12"/>
      <c r="D100" s="12"/>
      <c r="E100" s="12"/>
      <c r="F100" s="12"/>
      <c r="G100" s="18"/>
      <c r="H100" s="35"/>
      <c r="I100" s="12"/>
      <c r="M100" s="12"/>
      <c r="N100" s="18"/>
      <c r="O100" s="12"/>
      <c r="P100" s="12"/>
      <c r="Q100" s="12"/>
      <c r="R100" s="36"/>
      <c r="S100" s="36"/>
      <c r="T100" s="12"/>
      <c r="U100" s="12"/>
      <c r="V100" s="12"/>
      <c r="W100" s="12"/>
      <c r="X100" s="12"/>
    </row>
    <row r="101" customFormat="false" ht="15.75" hidden="false" customHeight="false" outlineLevel="0" collapsed="false">
      <c r="A101" s="12"/>
      <c r="B101" s="34"/>
      <c r="C101" s="12"/>
      <c r="D101" s="12"/>
      <c r="E101" s="12"/>
      <c r="F101" s="12"/>
      <c r="G101" s="18"/>
      <c r="H101" s="35"/>
      <c r="I101" s="12"/>
      <c r="M101" s="12"/>
      <c r="N101" s="18"/>
      <c r="O101" s="12"/>
      <c r="P101" s="12"/>
      <c r="Q101" s="12"/>
      <c r="R101" s="36"/>
      <c r="S101" s="36"/>
      <c r="T101" s="12"/>
      <c r="U101" s="12"/>
      <c r="V101" s="12"/>
      <c r="W101" s="12"/>
      <c r="X101" s="12"/>
    </row>
    <row r="102" customFormat="false" ht="15.75" hidden="false" customHeight="false" outlineLevel="0" collapsed="false">
      <c r="A102" s="12"/>
      <c r="B102" s="34"/>
      <c r="C102" s="12"/>
      <c r="D102" s="12"/>
      <c r="E102" s="12"/>
      <c r="F102" s="12"/>
      <c r="G102" s="18"/>
      <c r="H102" s="35"/>
      <c r="I102" s="12"/>
      <c r="M102" s="12"/>
      <c r="N102" s="18"/>
      <c r="O102" s="12"/>
      <c r="P102" s="12"/>
      <c r="Q102" s="12"/>
      <c r="R102" s="36"/>
      <c r="S102" s="36"/>
      <c r="T102" s="12"/>
      <c r="U102" s="12"/>
      <c r="V102" s="12"/>
      <c r="W102" s="12"/>
      <c r="X102" s="12"/>
    </row>
    <row r="103" customFormat="false" ht="15.75" hidden="false" customHeight="false" outlineLevel="0" collapsed="false">
      <c r="A103" s="12"/>
      <c r="B103" s="34"/>
      <c r="C103" s="12"/>
      <c r="D103" s="12"/>
      <c r="E103" s="12"/>
      <c r="F103" s="12"/>
      <c r="G103" s="18"/>
      <c r="H103" s="35"/>
      <c r="I103" s="12"/>
      <c r="M103" s="12"/>
      <c r="N103" s="18"/>
      <c r="O103" s="12"/>
      <c r="P103" s="12"/>
      <c r="Q103" s="12"/>
      <c r="R103" s="36"/>
      <c r="S103" s="36"/>
      <c r="T103" s="12"/>
      <c r="U103" s="12"/>
      <c r="V103" s="12"/>
      <c r="W103" s="12"/>
      <c r="X103" s="12"/>
    </row>
    <row r="104" customFormat="false" ht="15.75" hidden="false" customHeight="false" outlineLevel="0" collapsed="false">
      <c r="A104" s="12"/>
      <c r="B104" s="34"/>
      <c r="C104" s="12"/>
      <c r="D104" s="12"/>
      <c r="E104" s="12"/>
      <c r="F104" s="12"/>
      <c r="G104" s="18"/>
      <c r="H104" s="35"/>
      <c r="I104" s="12"/>
      <c r="M104" s="12"/>
      <c r="N104" s="18"/>
      <c r="O104" s="12"/>
      <c r="P104" s="12"/>
      <c r="Q104" s="12"/>
      <c r="R104" s="36"/>
      <c r="S104" s="36"/>
      <c r="T104" s="12"/>
      <c r="U104" s="12"/>
      <c r="V104" s="12"/>
      <c r="W104" s="12"/>
      <c r="X104" s="12"/>
    </row>
    <row r="105" customFormat="false" ht="15.75" hidden="false" customHeight="false" outlineLevel="0" collapsed="false">
      <c r="A105" s="12"/>
      <c r="B105" s="34"/>
      <c r="C105" s="12"/>
      <c r="D105" s="12"/>
      <c r="E105" s="12"/>
      <c r="F105" s="12"/>
      <c r="G105" s="18"/>
      <c r="H105" s="35"/>
      <c r="I105" s="12"/>
      <c r="M105" s="12"/>
      <c r="N105" s="18"/>
      <c r="O105" s="12"/>
      <c r="P105" s="12"/>
      <c r="Q105" s="12"/>
      <c r="R105" s="36"/>
      <c r="S105" s="36"/>
      <c r="T105" s="12"/>
      <c r="U105" s="12"/>
      <c r="V105" s="12"/>
      <c r="W105" s="12"/>
      <c r="X105" s="12"/>
    </row>
    <row r="106" customFormat="false" ht="15.75" hidden="false" customHeight="false" outlineLevel="0" collapsed="false">
      <c r="A106" s="12"/>
      <c r="B106" s="34"/>
      <c r="C106" s="12"/>
      <c r="D106" s="12"/>
      <c r="E106" s="12"/>
      <c r="F106" s="12"/>
      <c r="G106" s="18"/>
      <c r="H106" s="35"/>
      <c r="I106" s="12"/>
      <c r="M106" s="12"/>
      <c r="N106" s="18"/>
      <c r="O106" s="12"/>
      <c r="P106" s="12"/>
      <c r="Q106" s="12"/>
      <c r="R106" s="36"/>
      <c r="S106" s="36"/>
      <c r="T106" s="12"/>
      <c r="U106" s="12"/>
      <c r="V106" s="12"/>
      <c r="W106" s="12"/>
      <c r="X106" s="12"/>
    </row>
    <row r="107" customFormat="false" ht="15.75" hidden="false" customHeight="false" outlineLevel="0" collapsed="false">
      <c r="A107" s="12"/>
      <c r="B107" s="34"/>
      <c r="C107" s="12"/>
      <c r="D107" s="12"/>
      <c r="E107" s="12"/>
      <c r="F107" s="12"/>
      <c r="G107" s="18"/>
      <c r="H107" s="35"/>
      <c r="I107" s="12"/>
      <c r="M107" s="12"/>
      <c r="N107" s="18"/>
      <c r="O107" s="12"/>
      <c r="P107" s="12"/>
      <c r="Q107" s="12"/>
      <c r="R107" s="36"/>
      <c r="S107" s="36"/>
      <c r="T107" s="12"/>
      <c r="U107" s="12"/>
      <c r="V107" s="12"/>
      <c r="W107" s="12"/>
      <c r="X107" s="12"/>
    </row>
    <row r="108" customFormat="false" ht="15.75" hidden="false" customHeight="false" outlineLevel="0" collapsed="false">
      <c r="A108" s="12"/>
      <c r="B108" s="34"/>
      <c r="C108" s="12"/>
      <c r="D108" s="12"/>
      <c r="E108" s="12"/>
      <c r="F108" s="12"/>
      <c r="G108" s="18"/>
      <c r="H108" s="35"/>
      <c r="I108" s="12"/>
      <c r="M108" s="12"/>
      <c r="N108" s="18"/>
      <c r="O108" s="12"/>
      <c r="P108" s="12"/>
      <c r="Q108" s="12"/>
      <c r="R108" s="36"/>
      <c r="S108" s="36"/>
      <c r="T108" s="12"/>
      <c r="U108" s="12"/>
      <c r="V108" s="12"/>
      <c r="W108" s="12"/>
      <c r="X108" s="12"/>
    </row>
    <row r="109" customFormat="false" ht="15.75" hidden="false" customHeight="false" outlineLevel="0" collapsed="false">
      <c r="A109" s="12"/>
      <c r="B109" s="34"/>
      <c r="C109" s="12"/>
      <c r="D109" s="12"/>
      <c r="E109" s="12"/>
      <c r="F109" s="12"/>
      <c r="G109" s="18"/>
      <c r="H109" s="35"/>
      <c r="I109" s="12"/>
      <c r="M109" s="12"/>
      <c r="N109" s="18"/>
      <c r="O109" s="12"/>
      <c r="P109" s="12"/>
      <c r="Q109" s="12"/>
      <c r="R109" s="36"/>
      <c r="S109" s="36"/>
      <c r="T109" s="12"/>
      <c r="U109" s="12"/>
      <c r="V109" s="12"/>
      <c r="W109" s="12"/>
      <c r="X109" s="12"/>
    </row>
    <row r="110" customFormat="false" ht="15.75" hidden="false" customHeight="false" outlineLevel="0" collapsed="false">
      <c r="A110" s="12"/>
      <c r="B110" s="34"/>
      <c r="C110" s="12"/>
      <c r="D110" s="12"/>
      <c r="E110" s="12"/>
      <c r="F110" s="12"/>
      <c r="G110" s="18"/>
      <c r="H110" s="35"/>
      <c r="I110" s="12"/>
      <c r="M110" s="12"/>
      <c r="N110" s="18"/>
      <c r="O110" s="12"/>
      <c r="P110" s="12"/>
      <c r="Q110" s="12"/>
      <c r="R110" s="36"/>
      <c r="S110" s="36"/>
      <c r="T110" s="12"/>
      <c r="U110" s="12"/>
      <c r="V110" s="12"/>
      <c r="W110" s="12"/>
      <c r="X110" s="12"/>
    </row>
    <row r="111" customFormat="false" ht="15.75" hidden="false" customHeight="false" outlineLevel="0" collapsed="false">
      <c r="A111" s="12"/>
      <c r="B111" s="34"/>
      <c r="C111" s="12"/>
      <c r="D111" s="12"/>
      <c r="E111" s="12"/>
      <c r="F111" s="12"/>
      <c r="G111" s="18"/>
      <c r="H111" s="35"/>
      <c r="I111" s="12"/>
      <c r="M111" s="12"/>
      <c r="N111" s="18"/>
      <c r="O111" s="12"/>
      <c r="P111" s="12"/>
      <c r="Q111" s="12"/>
      <c r="R111" s="36"/>
      <c r="S111" s="36"/>
      <c r="T111" s="12"/>
      <c r="U111" s="12"/>
      <c r="V111" s="12"/>
      <c r="W111" s="12"/>
      <c r="X111" s="12"/>
    </row>
    <row r="112" customFormat="false" ht="15.75" hidden="false" customHeight="false" outlineLevel="0" collapsed="false">
      <c r="A112" s="12"/>
      <c r="B112" s="34"/>
      <c r="C112" s="12"/>
      <c r="D112" s="12"/>
      <c r="E112" s="12"/>
      <c r="F112" s="12"/>
      <c r="G112" s="18"/>
      <c r="H112" s="35"/>
      <c r="I112" s="12"/>
      <c r="M112" s="12"/>
      <c r="N112" s="18"/>
      <c r="O112" s="12"/>
      <c r="P112" s="12"/>
      <c r="Q112" s="12"/>
      <c r="R112" s="36"/>
      <c r="S112" s="36"/>
      <c r="T112" s="12"/>
      <c r="U112" s="12"/>
      <c r="V112" s="12"/>
      <c r="W112" s="12"/>
      <c r="X112" s="12"/>
    </row>
    <row r="113" customFormat="false" ht="15.75" hidden="false" customHeight="false" outlineLevel="0" collapsed="false">
      <c r="A113" s="12"/>
      <c r="B113" s="34"/>
      <c r="C113" s="12"/>
      <c r="D113" s="12"/>
      <c r="E113" s="12"/>
      <c r="F113" s="12"/>
      <c r="G113" s="18"/>
      <c r="H113" s="35"/>
      <c r="I113" s="12"/>
      <c r="M113" s="12"/>
      <c r="N113" s="18"/>
      <c r="O113" s="12"/>
      <c r="P113" s="12"/>
      <c r="Q113" s="12"/>
      <c r="R113" s="36"/>
      <c r="S113" s="36"/>
      <c r="T113" s="12"/>
      <c r="U113" s="12"/>
      <c r="V113" s="12"/>
      <c r="W113" s="12"/>
      <c r="X113" s="12"/>
    </row>
    <row r="114" customFormat="false" ht="15.75" hidden="false" customHeight="false" outlineLevel="0" collapsed="false">
      <c r="A114" s="12"/>
      <c r="B114" s="34"/>
      <c r="C114" s="12"/>
      <c r="D114" s="12"/>
      <c r="E114" s="12"/>
      <c r="F114" s="12"/>
      <c r="G114" s="18"/>
      <c r="H114" s="35"/>
      <c r="I114" s="12"/>
      <c r="M114" s="12"/>
      <c r="N114" s="18"/>
      <c r="O114" s="12"/>
      <c r="P114" s="12"/>
      <c r="Q114" s="12"/>
      <c r="R114" s="36"/>
      <c r="S114" s="36"/>
      <c r="T114" s="12"/>
      <c r="U114" s="12"/>
      <c r="V114" s="12"/>
      <c r="W114" s="12"/>
      <c r="X114" s="12"/>
    </row>
    <row r="115" customFormat="false" ht="15.75" hidden="false" customHeight="false" outlineLevel="0" collapsed="false">
      <c r="A115" s="12"/>
      <c r="B115" s="34"/>
      <c r="C115" s="12"/>
      <c r="D115" s="12"/>
      <c r="E115" s="12"/>
      <c r="F115" s="12"/>
      <c r="G115" s="18"/>
      <c r="H115" s="35"/>
      <c r="I115" s="12"/>
      <c r="M115" s="12"/>
      <c r="N115" s="18"/>
      <c r="O115" s="12"/>
      <c r="P115" s="12"/>
      <c r="Q115" s="12"/>
      <c r="R115" s="36"/>
      <c r="S115" s="36"/>
      <c r="T115" s="12"/>
      <c r="U115" s="12"/>
      <c r="V115" s="12"/>
      <c r="W115" s="12"/>
      <c r="X115" s="12"/>
    </row>
    <row r="116" customFormat="false" ht="15.75" hidden="false" customHeight="false" outlineLevel="0" collapsed="false">
      <c r="A116" s="12"/>
      <c r="B116" s="34"/>
      <c r="C116" s="12"/>
      <c r="D116" s="12"/>
      <c r="E116" s="12"/>
      <c r="F116" s="12"/>
      <c r="G116" s="18"/>
      <c r="H116" s="35"/>
      <c r="I116" s="12"/>
      <c r="M116" s="12"/>
      <c r="N116" s="18"/>
      <c r="O116" s="12"/>
      <c r="P116" s="12"/>
      <c r="Q116" s="12"/>
      <c r="R116" s="36"/>
      <c r="S116" s="36"/>
      <c r="T116" s="12"/>
      <c r="U116" s="12"/>
      <c r="V116" s="12"/>
      <c r="W116" s="12"/>
      <c r="X116" s="12"/>
    </row>
    <row r="117" customFormat="false" ht="15.75" hidden="false" customHeight="false" outlineLevel="0" collapsed="false">
      <c r="A117" s="12"/>
      <c r="B117" s="34"/>
      <c r="C117" s="12"/>
      <c r="D117" s="12"/>
      <c r="E117" s="12"/>
      <c r="F117" s="12"/>
      <c r="G117" s="18"/>
      <c r="H117" s="35"/>
      <c r="I117" s="12"/>
      <c r="M117" s="12"/>
      <c r="N117" s="18"/>
      <c r="O117" s="12"/>
      <c r="P117" s="12"/>
      <c r="Q117" s="12"/>
      <c r="R117" s="36"/>
      <c r="S117" s="36"/>
      <c r="T117" s="12"/>
      <c r="U117" s="12"/>
      <c r="V117" s="12"/>
      <c r="W117" s="12"/>
      <c r="X117" s="12"/>
    </row>
    <row r="118" customFormat="false" ht="15.75" hidden="false" customHeight="false" outlineLevel="0" collapsed="false">
      <c r="A118" s="12"/>
      <c r="B118" s="34"/>
      <c r="C118" s="12"/>
      <c r="D118" s="12"/>
      <c r="E118" s="12"/>
      <c r="F118" s="12"/>
      <c r="G118" s="18"/>
      <c r="H118" s="35"/>
      <c r="I118" s="12"/>
      <c r="M118" s="12"/>
      <c r="N118" s="18"/>
      <c r="O118" s="12"/>
      <c r="P118" s="12"/>
      <c r="Q118" s="12"/>
      <c r="R118" s="36"/>
      <c r="S118" s="36"/>
      <c r="T118" s="12"/>
      <c r="U118" s="12"/>
      <c r="V118" s="12"/>
      <c r="W118" s="12"/>
      <c r="X118" s="12"/>
    </row>
    <row r="119" customFormat="false" ht="15.75" hidden="false" customHeight="false" outlineLevel="0" collapsed="false">
      <c r="A119" s="12"/>
      <c r="B119" s="34"/>
      <c r="C119" s="12"/>
      <c r="D119" s="12"/>
      <c r="E119" s="12"/>
      <c r="F119" s="12"/>
      <c r="G119" s="18"/>
      <c r="H119" s="35"/>
      <c r="I119" s="12"/>
      <c r="M119" s="12"/>
      <c r="N119" s="18"/>
      <c r="O119" s="12"/>
      <c r="P119" s="12"/>
      <c r="Q119" s="12"/>
      <c r="R119" s="36"/>
      <c r="S119" s="36"/>
      <c r="T119" s="12"/>
      <c r="U119" s="12"/>
      <c r="V119" s="12"/>
      <c r="W119" s="12"/>
      <c r="X119" s="12"/>
    </row>
    <row r="120" customFormat="false" ht="15.75" hidden="false" customHeight="false" outlineLevel="0" collapsed="false">
      <c r="A120" s="12"/>
      <c r="B120" s="34"/>
      <c r="C120" s="12"/>
      <c r="D120" s="12"/>
      <c r="E120" s="12"/>
      <c r="F120" s="12"/>
      <c r="G120" s="18"/>
      <c r="H120" s="35"/>
      <c r="I120" s="12"/>
      <c r="M120" s="12"/>
      <c r="N120" s="18"/>
      <c r="O120" s="12"/>
      <c r="P120" s="12"/>
      <c r="Q120" s="12"/>
      <c r="R120" s="36"/>
      <c r="S120" s="36"/>
      <c r="T120" s="12"/>
      <c r="U120" s="12"/>
      <c r="V120" s="12"/>
      <c r="W120" s="12"/>
      <c r="X120" s="12"/>
    </row>
    <row r="121" customFormat="false" ht="15.75" hidden="false" customHeight="false" outlineLevel="0" collapsed="false">
      <c r="A121" s="12"/>
      <c r="B121" s="34"/>
      <c r="C121" s="12"/>
      <c r="D121" s="12"/>
      <c r="E121" s="12"/>
      <c r="F121" s="12"/>
      <c r="G121" s="18"/>
      <c r="H121" s="35"/>
      <c r="I121" s="12"/>
      <c r="M121" s="12"/>
      <c r="N121" s="18"/>
      <c r="O121" s="12"/>
      <c r="P121" s="12"/>
      <c r="Q121" s="12"/>
      <c r="R121" s="36"/>
      <c r="S121" s="36"/>
      <c r="T121" s="12"/>
      <c r="U121" s="12"/>
      <c r="V121" s="12"/>
      <c r="W121" s="12"/>
      <c r="X121" s="12"/>
    </row>
    <row r="122" customFormat="false" ht="15.75" hidden="false" customHeight="false" outlineLevel="0" collapsed="false">
      <c r="A122" s="12"/>
      <c r="B122" s="34"/>
      <c r="C122" s="12"/>
      <c r="D122" s="12"/>
      <c r="E122" s="12"/>
      <c r="F122" s="12"/>
      <c r="G122" s="18"/>
      <c r="H122" s="35"/>
      <c r="I122" s="12"/>
      <c r="M122" s="12"/>
      <c r="N122" s="18"/>
      <c r="O122" s="12"/>
      <c r="P122" s="12"/>
      <c r="Q122" s="12"/>
      <c r="R122" s="36"/>
      <c r="S122" s="36"/>
      <c r="T122" s="12"/>
      <c r="U122" s="12"/>
      <c r="V122" s="12"/>
      <c r="W122" s="12"/>
      <c r="X122" s="12"/>
    </row>
    <row r="123" customFormat="false" ht="15.75" hidden="false" customHeight="false" outlineLevel="0" collapsed="false">
      <c r="A123" s="12"/>
      <c r="B123" s="34"/>
      <c r="C123" s="12"/>
      <c r="D123" s="12"/>
      <c r="E123" s="12"/>
      <c r="F123" s="12"/>
      <c r="G123" s="18"/>
      <c r="H123" s="35"/>
      <c r="I123" s="12"/>
      <c r="M123" s="12"/>
      <c r="N123" s="18"/>
      <c r="O123" s="12"/>
      <c r="P123" s="12"/>
      <c r="Q123" s="12"/>
      <c r="R123" s="36"/>
      <c r="S123" s="36"/>
      <c r="T123" s="12"/>
      <c r="U123" s="12"/>
      <c r="V123" s="12"/>
      <c r="W123" s="12"/>
      <c r="X123" s="12"/>
    </row>
    <row r="124" customFormat="false" ht="15.75" hidden="false" customHeight="false" outlineLevel="0" collapsed="false">
      <c r="A124" s="12"/>
      <c r="B124" s="34"/>
      <c r="C124" s="12"/>
      <c r="D124" s="12"/>
      <c r="E124" s="12"/>
      <c r="F124" s="12"/>
      <c r="G124" s="18"/>
      <c r="H124" s="35"/>
      <c r="I124" s="12"/>
      <c r="M124" s="12"/>
      <c r="N124" s="18"/>
      <c r="O124" s="12"/>
      <c r="P124" s="12"/>
      <c r="Q124" s="12"/>
      <c r="R124" s="36"/>
      <c r="S124" s="36"/>
      <c r="T124" s="12"/>
      <c r="U124" s="12"/>
      <c r="V124" s="12"/>
      <c r="W124" s="12"/>
      <c r="X124" s="12"/>
    </row>
    <row r="125" customFormat="false" ht="15.75" hidden="false" customHeight="false" outlineLevel="0" collapsed="false">
      <c r="A125" s="12"/>
      <c r="B125" s="34"/>
      <c r="C125" s="12"/>
      <c r="D125" s="12"/>
      <c r="E125" s="12"/>
      <c r="F125" s="12"/>
      <c r="G125" s="18"/>
      <c r="H125" s="35"/>
      <c r="I125" s="12"/>
      <c r="M125" s="12"/>
      <c r="N125" s="18"/>
      <c r="O125" s="12"/>
      <c r="P125" s="12"/>
      <c r="Q125" s="12"/>
      <c r="R125" s="36"/>
      <c r="S125" s="36"/>
      <c r="T125" s="12"/>
      <c r="U125" s="12"/>
      <c r="V125" s="12"/>
      <c r="W125" s="12"/>
      <c r="X125" s="12"/>
    </row>
    <row r="126" customFormat="false" ht="15.75" hidden="false" customHeight="false" outlineLevel="0" collapsed="false">
      <c r="A126" s="12"/>
      <c r="B126" s="34"/>
      <c r="C126" s="12"/>
      <c r="D126" s="12"/>
      <c r="E126" s="12"/>
      <c r="F126" s="12"/>
      <c r="G126" s="18"/>
      <c r="H126" s="35"/>
      <c r="I126" s="12"/>
      <c r="M126" s="12"/>
      <c r="N126" s="18"/>
      <c r="O126" s="12"/>
      <c r="P126" s="12"/>
      <c r="Q126" s="12"/>
      <c r="R126" s="36"/>
      <c r="S126" s="36"/>
      <c r="T126" s="12"/>
      <c r="U126" s="12"/>
      <c r="V126" s="12"/>
      <c r="W126" s="12"/>
      <c r="X126" s="12"/>
    </row>
    <row r="127" customFormat="false" ht="15.75" hidden="false" customHeight="false" outlineLevel="0" collapsed="false">
      <c r="A127" s="12"/>
      <c r="B127" s="34"/>
      <c r="C127" s="12"/>
      <c r="D127" s="12"/>
      <c r="E127" s="12"/>
      <c r="F127" s="12"/>
      <c r="G127" s="18"/>
      <c r="H127" s="35"/>
      <c r="I127" s="12"/>
      <c r="M127" s="12"/>
      <c r="N127" s="18"/>
      <c r="O127" s="12"/>
      <c r="P127" s="12"/>
      <c r="Q127" s="12"/>
      <c r="R127" s="36"/>
      <c r="S127" s="36"/>
      <c r="T127" s="12"/>
      <c r="U127" s="12"/>
      <c r="V127" s="12"/>
      <c r="W127" s="12"/>
      <c r="X127" s="12"/>
    </row>
    <row r="128" customFormat="false" ht="15.75" hidden="false" customHeight="false" outlineLevel="0" collapsed="false">
      <c r="A128" s="12"/>
      <c r="B128" s="34"/>
      <c r="C128" s="12"/>
      <c r="D128" s="12"/>
      <c r="E128" s="12"/>
      <c r="F128" s="12"/>
      <c r="G128" s="18"/>
      <c r="H128" s="35"/>
      <c r="I128" s="12"/>
      <c r="M128" s="12"/>
      <c r="N128" s="18"/>
      <c r="O128" s="12"/>
      <c r="P128" s="12"/>
      <c r="Q128" s="12"/>
      <c r="R128" s="36"/>
      <c r="S128" s="36"/>
      <c r="T128" s="12"/>
      <c r="U128" s="12"/>
      <c r="V128" s="12"/>
      <c r="W128" s="12"/>
      <c r="X128" s="12"/>
    </row>
    <row r="129" customFormat="false" ht="15.75" hidden="false" customHeight="false" outlineLevel="0" collapsed="false">
      <c r="A129" s="12"/>
      <c r="B129" s="34"/>
      <c r="C129" s="12"/>
      <c r="D129" s="12"/>
      <c r="E129" s="12"/>
      <c r="F129" s="12"/>
      <c r="G129" s="18"/>
      <c r="H129" s="35"/>
      <c r="I129" s="12"/>
      <c r="M129" s="12"/>
      <c r="N129" s="18"/>
      <c r="O129" s="12"/>
      <c r="P129" s="12"/>
      <c r="Q129" s="12"/>
      <c r="R129" s="36"/>
      <c r="S129" s="36"/>
      <c r="T129" s="12"/>
      <c r="U129" s="12"/>
      <c r="V129" s="12"/>
      <c r="W129" s="12"/>
      <c r="X129" s="12"/>
    </row>
    <row r="130" customFormat="false" ht="15.75" hidden="false" customHeight="false" outlineLevel="0" collapsed="false">
      <c r="A130" s="12"/>
      <c r="B130" s="34"/>
      <c r="C130" s="12"/>
      <c r="D130" s="12"/>
      <c r="E130" s="12"/>
      <c r="F130" s="12"/>
      <c r="G130" s="18"/>
      <c r="H130" s="35"/>
      <c r="I130" s="12"/>
      <c r="M130" s="12"/>
      <c r="N130" s="18"/>
      <c r="O130" s="12"/>
      <c r="P130" s="12"/>
      <c r="Q130" s="12"/>
      <c r="R130" s="36"/>
      <c r="S130" s="36"/>
      <c r="T130" s="12"/>
      <c r="U130" s="12"/>
      <c r="V130" s="12"/>
      <c r="W130" s="12"/>
      <c r="X130" s="12"/>
    </row>
    <row r="131" customFormat="false" ht="15.75" hidden="false" customHeight="false" outlineLevel="0" collapsed="false">
      <c r="A131" s="12"/>
      <c r="B131" s="34"/>
      <c r="C131" s="12"/>
      <c r="D131" s="12"/>
      <c r="E131" s="12"/>
      <c r="F131" s="12"/>
      <c r="G131" s="18"/>
      <c r="H131" s="35"/>
      <c r="I131" s="12"/>
      <c r="M131" s="12"/>
      <c r="N131" s="18"/>
      <c r="O131" s="12"/>
      <c r="P131" s="12"/>
      <c r="Q131" s="12"/>
      <c r="R131" s="36"/>
      <c r="S131" s="36"/>
      <c r="T131" s="12"/>
      <c r="U131" s="12"/>
      <c r="V131" s="12"/>
      <c r="W131" s="12"/>
      <c r="X131" s="12"/>
    </row>
    <row r="132" customFormat="false" ht="15.75" hidden="false" customHeight="false" outlineLevel="0" collapsed="false">
      <c r="A132" s="12"/>
      <c r="B132" s="34"/>
      <c r="C132" s="12"/>
      <c r="D132" s="12"/>
      <c r="E132" s="12"/>
      <c r="F132" s="12"/>
      <c r="G132" s="18"/>
      <c r="H132" s="35"/>
      <c r="I132" s="12"/>
      <c r="M132" s="12"/>
      <c r="N132" s="18"/>
      <c r="O132" s="12"/>
      <c r="P132" s="12"/>
      <c r="Q132" s="12"/>
      <c r="R132" s="36"/>
      <c r="S132" s="36"/>
      <c r="T132" s="12"/>
      <c r="U132" s="12"/>
      <c r="V132" s="12"/>
      <c r="W132" s="12"/>
      <c r="X132" s="12"/>
    </row>
    <row r="133" customFormat="false" ht="15.75" hidden="false" customHeight="false" outlineLevel="0" collapsed="false">
      <c r="A133" s="12"/>
      <c r="B133" s="34"/>
      <c r="C133" s="12"/>
      <c r="D133" s="12"/>
      <c r="E133" s="12"/>
      <c r="F133" s="12"/>
      <c r="G133" s="18"/>
      <c r="H133" s="35"/>
      <c r="I133" s="12"/>
      <c r="M133" s="12"/>
      <c r="N133" s="18"/>
      <c r="O133" s="12"/>
      <c r="P133" s="12"/>
      <c r="Q133" s="12"/>
      <c r="R133" s="36"/>
      <c r="S133" s="36"/>
      <c r="T133" s="12"/>
      <c r="U133" s="12"/>
      <c r="V133" s="12"/>
      <c r="W133" s="12"/>
      <c r="X133" s="12"/>
    </row>
    <row r="134" customFormat="false" ht="15.75" hidden="false" customHeight="false" outlineLevel="0" collapsed="false">
      <c r="A134" s="12"/>
      <c r="B134" s="34"/>
      <c r="C134" s="12"/>
      <c r="D134" s="12"/>
      <c r="E134" s="12"/>
      <c r="F134" s="12"/>
      <c r="G134" s="18"/>
      <c r="H134" s="35"/>
      <c r="I134" s="12"/>
      <c r="M134" s="12"/>
      <c r="N134" s="18"/>
      <c r="O134" s="12"/>
      <c r="P134" s="12"/>
      <c r="Q134" s="12"/>
      <c r="R134" s="36"/>
      <c r="S134" s="36"/>
      <c r="T134" s="12"/>
      <c r="U134" s="12"/>
      <c r="V134" s="12"/>
      <c r="W134" s="12"/>
      <c r="X134" s="12"/>
    </row>
    <row r="135" customFormat="false" ht="15.75" hidden="false" customHeight="false" outlineLevel="0" collapsed="false">
      <c r="A135" s="12"/>
      <c r="B135" s="34"/>
      <c r="C135" s="12"/>
      <c r="D135" s="12"/>
      <c r="E135" s="12"/>
      <c r="F135" s="12"/>
      <c r="G135" s="18"/>
      <c r="H135" s="35"/>
      <c r="I135" s="12"/>
      <c r="M135" s="12"/>
      <c r="N135" s="18"/>
      <c r="O135" s="12"/>
      <c r="P135" s="12"/>
      <c r="Q135" s="12"/>
      <c r="R135" s="36"/>
      <c r="S135" s="36"/>
      <c r="T135" s="12"/>
      <c r="U135" s="12"/>
      <c r="V135" s="12"/>
      <c r="W135" s="12"/>
      <c r="X135" s="12"/>
    </row>
    <row r="136" customFormat="false" ht="15.75" hidden="false" customHeight="false" outlineLevel="0" collapsed="false">
      <c r="A136" s="12"/>
      <c r="B136" s="34"/>
      <c r="C136" s="12"/>
      <c r="D136" s="12"/>
      <c r="E136" s="12"/>
      <c r="F136" s="12"/>
      <c r="G136" s="18"/>
      <c r="H136" s="35"/>
      <c r="I136" s="12"/>
      <c r="M136" s="12"/>
      <c r="N136" s="18"/>
      <c r="O136" s="12"/>
      <c r="P136" s="12"/>
      <c r="Q136" s="12"/>
      <c r="R136" s="36"/>
      <c r="S136" s="36"/>
      <c r="T136" s="12"/>
      <c r="U136" s="12"/>
      <c r="V136" s="12"/>
      <c r="W136" s="12"/>
      <c r="X136" s="12"/>
    </row>
    <row r="137" customFormat="false" ht="15.75" hidden="false" customHeight="false" outlineLevel="0" collapsed="false">
      <c r="A137" s="12"/>
      <c r="B137" s="34"/>
      <c r="C137" s="12"/>
      <c r="D137" s="12"/>
      <c r="E137" s="12"/>
      <c r="F137" s="12"/>
      <c r="G137" s="18"/>
      <c r="H137" s="35"/>
      <c r="I137" s="12"/>
      <c r="M137" s="12"/>
      <c r="N137" s="18"/>
      <c r="O137" s="12"/>
      <c r="P137" s="12"/>
      <c r="Q137" s="12"/>
      <c r="R137" s="36"/>
      <c r="S137" s="36"/>
      <c r="T137" s="12"/>
      <c r="U137" s="12"/>
      <c r="V137" s="12"/>
      <c r="W137" s="12"/>
      <c r="X137" s="12"/>
    </row>
    <row r="138" customFormat="false" ht="15.75" hidden="false" customHeight="false" outlineLevel="0" collapsed="false">
      <c r="A138" s="12"/>
      <c r="B138" s="34"/>
      <c r="C138" s="12"/>
      <c r="D138" s="12"/>
      <c r="E138" s="12"/>
      <c r="F138" s="12"/>
      <c r="G138" s="18"/>
      <c r="H138" s="35"/>
      <c r="I138" s="12"/>
      <c r="M138" s="12"/>
      <c r="N138" s="18"/>
      <c r="O138" s="12"/>
      <c r="P138" s="12"/>
      <c r="Q138" s="12"/>
      <c r="R138" s="36"/>
      <c r="S138" s="36"/>
      <c r="T138" s="12"/>
      <c r="U138" s="12"/>
      <c r="V138" s="12"/>
      <c r="W138" s="12"/>
      <c r="X138" s="12"/>
    </row>
    <row r="139" customFormat="false" ht="15.75" hidden="false" customHeight="false" outlineLevel="0" collapsed="false">
      <c r="A139" s="12"/>
      <c r="B139" s="34"/>
      <c r="C139" s="12"/>
      <c r="D139" s="12"/>
      <c r="E139" s="12"/>
      <c r="F139" s="12"/>
      <c r="G139" s="18"/>
      <c r="H139" s="35"/>
      <c r="I139" s="12"/>
      <c r="M139" s="12"/>
      <c r="N139" s="18"/>
      <c r="O139" s="12"/>
      <c r="P139" s="12"/>
      <c r="Q139" s="12"/>
      <c r="R139" s="36"/>
      <c r="S139" s="36"/>
      <c r="T139" s="12"/>
      <c r="U139" s="12"/>
      <c r="V139" s="12"/>
      <c r="W139" s="12"/>
      <c r="X139" s="12"/>
    </row>
    <row r="140" customFormat="false" ht="15.75" hidden="false" customHeight="false" outlineLevel="0" collapsed="false">
      <c r="A140" s="12"/>
      <c r="B140" s="34"/>
      <c r="C140" s="12"/>
      <c r="D140" s="12"/>
      <c r="E140" s="12"/>
      <c r="F140" s="12"/>
      <c r="G140" s="18"/>
      <c r="H140" s="35"/>
      <c r="I140" s="12"/>
      <c r="M140" s="12"/>
      <c r="N140" s="18"/>
      <c r="O140" s="12"/>
      <c r="P140" s="12"/>
      <c r="Q140" s="12"/>
      <c r="R140" s="36"/>
      <c r="S140" s="36"/>
      <c r="T140" s="12"/>
      <c r="U140" s="12"/>
      <c r="V140" s="12"/>
      <c r="W140" s="12"/>
      <c r="X140" s="12"/>
    </row>
    <row r="141" customFormat="false" ht="15.75" hidden="false" customHeight="false" outlineLevel="0" collapsed="false">
      <c r="A141" s="12"/>
      <c r="B141" s="34"/>
      <c r="C141" s="12"/>
      <c r="D141" s="12"/>
      <c r="E141" s="12"/>
      <c r="F141" s="12"/>
      <c r="G141" s="18"/>
      <c r="H141" s="35"/>
      <c r="I141" s="12"/>
      <c r="M141" s="12"/>
      <c r="N141" s="18"/>
      <c r="O141" s="12"/>
      <c r="P141" s="12"/>
      <c r="Q141" s="12"/>
      <c r="R141" s="36"/>
      <c r="S141" s="36"/>
      <c r="T141" s="12"/>
      <c r="U141" s="12"/>
      <c r="V141" s="12"/>
      <c r="W141" s="12"/>
      <c r="X141" s="12"/>
    </row>
    <row r="142" customFormat="false" ht="15.75" hidden="false" customHeight="false" outlineLevel="0" collapsed="false">
      <c r="A142" s="12"/>
      <c r="B142" s="34"/>
      <c r="C142" s="12"/>
      <c r="D142" s="12"/>
      <c r="E142" s="12"/>
      <c r="F142" s="12"/>
      <c r="G142" s="18"/>
      <c r="H142" s="35"/>
      <c r="I142" s="12"/>
      <c r="M142" s="12"/>
      <c r="N142" s="18"/>
      <c r="O142" s="12"/>
      <c r="P142" s="12"/>
      <c r="Q142" s="12"/>
      <c r="R142" s="36"/>
      <c r="S142" s="36"/>
      <c r="T142" s="12"/>
      <c r="U142" s="12"/>
      <c r="V142" s="12"/>
      <c r="W142" s="12"/>
      <c r="X142" s="12"/>
    </row>
    <row r="143" customFormat="false" ht="15.75" hidden="false" customHeight="false" outlineLevel="0" collapsed="false">
      <c r="A143" s="12"/>
      <c r="B143" s="34"/>
      <c r="C143" s="12"/>
      <c r="D143" s="12"/>
      <c r="E143" s="12"/>
      <c r="F143" s="12"/>
      <c r="G143" s="18"/>
      <c r="H143" s="35"/>
      <c r="I143" s="12"/>
      <c r="M143" s="12"/>
      <c r="N143" s="18"/>
      <c r="O143" s="12"/>
      <c r="P143" s="12"/>
      <c r="Q143" s="12"/>
      <c r="R143" s="36"/>
      <c r="S143" s="36"/>
      <c r="T143" s="12"/>
      <c r="U143" s="12"/>
      <c r="V143" s="12"/>
      <c r="W143" s="12"/>
      <c r="X143" s="12"/>
    </row>
    <row r="144" customFormat="false" ht="15.75" hidden="false" customHeight="false" outlineLevel="0" collapsed="false">
      <c r="A144" s="12"/>
      <c r="B144" s="34"/>
      <c r="C144" s="12"/>
      <c r="D144" s="12"/>
      <c r="E144" s="12"/>
      <c r="F144" s="12"/>
      <c r="G144" s="18"/>
      <c r="H144" s="35"/>
      <c r="I144" s="12"/>
      <c r="M144" s="12"/>
      <c r="N144" s="18"/>
      <c r="O144" s="12"/>
      <c r="P144" s="12"/>
      <c r="Q144" s="12"/>
      <c r="R144" s="36"/>
      <c r="S144" s="36"/>
      <c r="T144" s="12"/>
      <c r="U144" s="12"/>
      <c r="V144" s="12"/>
      <c r="W144" s="12"/>
      <c r="X144" s="12"/>
    </row>
    <row r="145" customFormat="false" ht="15.75" hidden="false" customHeight="false" outlineLevel="0" collapsed="false">
      <c r="A145" s="12"/>
      <c r="B145" s="34"/>
      <c r="C145" s="12"/>
      <c r="D145" s="12"/>
      <c r="E145" s="12"/>
      <c r="F145" s="12"/>
      <c r="G145" s="18"/>
      <c r="H145" s="35"/>
      <c r="I145" s="12"/>
      <c r="M145" s="12"/>
      <c r="N145" s="18"/>
      <c r="O145" s="12"/>
      <c r="P145" s="12"/>
      <c r="Q145" s="12"/>
      <c r="R145" s="36"/>
      <c r="S145" s="36"/>
      <c r="T145" s="12"/>
      <c r="U145" s="12"/>
      <c r="V145" s="12"/>
      <c r="W145" s="12"/>
      <c r="X145" s="12"/>
    </row>
    <row r="146" customFormat="false" ht="15.75" hidden="false" customHeight="false" outlineLevel="0" collapsed="false">
      <c r="A146" s="12"/>
      <c r="B146" s="34"/>
      <c r="C146" s="12"/>
      <c r="D146" s="12"/>
      <c r="E146" s="12"/>
      <c r="F146" s="12"/>
      <c r="G146" s="18"/>
      <c r="H146" s="35"/>
      <c r="I146" s="12"/>
      <c r="M146" s="12"/>
      <c r="N146" s="18"/>
      <c r="O146" s="12"/>
      <c r="P146" s="12"/>
      <c r="Q146" s="12"/>
      <c r="R146" s="36"/>
      <c r="S146" s="36"/>
      <c r="T146" s="12"/>
      <c r="U146" s="12"/>
      <c r="V146" s="12"/>
      <c r="W146" s="12"/>
      <c r="X146" s="12"/>
    </row>
    <row r="147" customFormat="false" ht="15.75" hidden="false" customHeight="false" outlineLevel="0" collapsed="false">
      <c r="A147" s="12"/>
      <c r="B147" s="34"/>
      <c r="C147" s="12"/>
      <c r="D147" s="12"/>
      <c r="E147" s="12"/>
      <c r="F147" s="12"/>
      <c r="G147" s="18"/>
      <c r="H147" s="35"/>
      <c r="I147" s="12"/>
      <c r="M147" s="12"/>
      <c r="N147" s="18"/>
      <c r="O147" s="12"/>
      <c r="P147" s="12"/>
      <c r="Q147" s="12"/>
      <c r="R147" s="36"/>
      <c r="S147" s="36"/>
      <c r="T147" s="12"/>
      <c r="U147" s="12"/>
      <c r="V147" s="12"/>
      <c r="W147" s="12"/>
      <c r="X147" s="12"/>
    </row>
    <row r="148" customFormat="false" ht="15.75" hidden="false" customHeight="false" outlineLevel="0" collapsed="false">
      <c r="A148" s="12"/>
      <c r="B148" s="34"/>
      <c r="C148" s="12"/>
      <c r="D148" s="12"/>
      <c r="E148" s="12"/>
      <c r="F148" s="12"/>
      <c r="G148" s="18"/>
      <c r="H148" s="35"/>
      <c r="I148" s="12"/>
      <c r="M148" s="12"/>
      <c r="N148" s="18"/>
      <c r="O148" s="12"/>
      <c r="P148" s="12"/>
      <c r="Q148" s="12"/>
      <c r="R148" s="36"/>
      <c r="S148" s="36"/>
      <c r="T148" s="12"/>
      <c r="U148" s="12"/>
      <c r="V148" s="12"/>
      <c r="W148" s="12"/>
      <c r="X148" s="12"/>
    </row>
    <row r="149" customFormat="false" ht="15.75" hidden="false" customHeight="false" outlineLevel="0" collapsed="false">
      <c r="A149" s="12"/>
      <c r="B149" s="34"/>
      <c r="C149" s="12"/>
      <c r="D149" s="12"/>
      <c r="E149" s="12"/>
      <c r="F149" s="12"/>
      <c r="G149" s="18"/>
      <c r="H149" s="35"/>
      <c r="I149" s="12"/>
      <c r="M149" s="12"/>
      <c r="N149" s="18"/>
      <c r="O149" s="12"/>
      <c r="P149" s="12"/>
      <c r="Q149" s="12"/>
      <c r="R149" s="36"/>
      <c r="S149" s="36"/>
      <c r="T149" s="12"/>
      <c r="U149" s="12"/>
      <c r="V149" s="12"/>
      <c r="W149" s="12"/>
      <c r="X149" s="12"/>
    </row>
    <row r="150" customFormat="false" ht="15.75" hidden="false" customHeight="false" outlineLevel="0" collapsed="false">
      <c r="A150" s="12"/>
      <c r="B150" s="34"/>
      <c r="C150" s="12"/>
      <c r="D150" s="12"/>
      <c r="E150" s="12"/>
      <c r="F150" s="12"/>
      <c r="G150" s="18"/>
      <c r="H150" s="35"/>
      <c r="I150" s="12"/>
      <c r="M150" s="12"/>
      <c r="N150" s="18"/>
      <c r="O150" s="12"/>
      <c r="P150" s="12"/>
      <c r="Q150" s="12"/>
      <c r="R150" s="36"/>
      <c r="S150" s="36"/>
      <c r="T150" s="12"/>
      <c r="U150" s="12"/>
      <c r="V150" s="12"/>
      <c r="W150" s="12"/>
      <c r="X150" s="12"/>
    </row>
    <row r="151" customFormat="false" ht="15.75" hidden="false" customHeight="false" outlineLevel="0" collapsed="false">
      <c r="A151" s="12"/>
      <c r="B151" s="34"/>
      <c r="C151" s="12"/>
      <c r="D151" s="12"/>
      <c r="E151" s="12"/>
      <c r="F151" s="12"/>
      <c r="G151" s="18"/>
      <c r="H151" s="35"/>
      <c r="I151" s="12"/>
      <c r="M151" s="12"/>
      <c r="N151" s="18"/>
      <c r="O151" s="12"/>
      <c r="P151" s="12"/>
      <c r="Q151" s="12"/>
      <c r="R151" s="36"/>
      <c r="S151" s="36"/>
      <c r="T151" s="12"/>
      <c r="U151" s="12"/>
      <c r="V151" s="12"/>
      <c r="W151" s="12"/>
      <c r="X151" s="12"/>
    </row>
    <row r="152" customFormat="false" ht="15.75" hidden="false" customHeight="false" outlineLevel="0" collapsed="false">
      <c r="A152" s="12"/>
      <c r="B152" s="34"/>
      <c r="C152" s="12"/>
      <c r="D152" s="12"/>
      <c r="E152" s="12"/>
      <c r="F152" s="12"/>
      <c r="G152" s="18"/>
      <c r="H152" s="35"/>
      <c r="I152" s="12"/>
      <c r="M152" s="12"/>
      <c r="N152" s="18"/>
      <c r="O152" s="12"/>
      <c r="P152" s="12"/>
      <c r="Q152" s="12"/>
      <c r="R152" s="36"/>
      <c r="S152" s="36"/>
      <c r="T152" s="12"/>
      <c r="U152" s="12"/>
      <c r="V152" s="12"/>
      <c r="W152" s="12"/>
      <c r="X152" s="12"/>
    </row>
    <row r="153" customFormat="false" ht="15.75" hidden="false" customHeight="false" outlineLevel="0" collapsed="false">
      <c r="A153" s="12"/>
      <c r="B153" s="34"/>
      <c r="C153" s="12"/>
      <c r="D153" s="12"/>
      <c r="E153" s="12"/>
      <c r="F153" s="12"/>
      <c r="G153" s="18"/>
      <c r="H153" s="35"/>
      <c r="I153" s="12"/>
      <c r="M153" s="12"/>
      <c r="N153" s="18"/>
      <c r="O153" s="12"/>
      <c r="P153" s="12"/>
      <c r="Q153" s="12"/>
      <c r="R153" s="36"/>
      <c r="S153" s="36"/>
      <c r="T153" s="12"/>
      <c r="U153" s="12"/>
      <c r="V153" s="12"/>
      <c r="W153" s="12"/>
      <c r="X153" s="12"/>
    </row>
    <row r="154" customFormat="false" ht="15.75" hidden="false" customHeight="false" outlineLevel="0" collapsed="false">
      <c r="A154" s="12"/>
      <c r="B154" s="34"/>
      <c r="C154" s="12"/>
      <c r="D154" s="12"/>
      <c r="E154" s="12"/>
      <c r="F154" s="12"/>
      <c r="G154" s="18"/>
      <c r="H154" s="35"/>
      <c r="I154" s="12"/>
      <c r="M154" s="12"/>
      <c r="N154" s="18"/>
      <c r="O154" s="12"/>
      <c r="P154" s="12"/>
      <c r="Q154" s="12"/>
      <c r="R154" s="36"/>
      <c r="S154" s="36"/>
      <c r="T154" s="12"/>
      <c r="U154" s="12"/>
      <c r="V154" s="12"/>
      <c r="W154" s="12"/>
      <c r="X154" s="12"/>
    </row>
    <row r="155" customFormat="false" ht="15.75" hidden="false" customHeight="false" outlineLevel="0" collapsed="false">
      <c r="A155" s="12"/>
      <c r="B155" s="34"/>
      <c r="C155" s="12"/>
      <c r="D155" s="12"/>
      <c r="E155" s="12"/>
      <c r="F155" s="12"/>
      <c r="G155" s="18"/>
      <c r="H155" s="35"/>
      <c r="I155" s="12"/>
      <c r="M155" s="12"/>
      <c r="N155" s="18"/>
      <c r="O155" s="12"/>
      <c r="P155" s="12"/>
      <c r="Q155" s="12"/>
      <c r="R155" s="36"/>
      <c r="S155" s="36"/>
      <c r="T155" s="12"/>
      <c r="U155" s="12"/>
      <c r="V155" s="12"/>
      <c r="W155" s="12"/>
      <c r="X155" s="12"/>
    </row>
    <row r="156" customFormat="false" ht="15.75" hidden="false" customHeight="false" outlineLevel="0" collapsed="false">
      <c r="A156" s="12"/>
      <c r="B156" s="34"/>
      <c r="C156" s="12"/>
      <c r="D156" s="12"/>
      <c r="E156" s="12"/>
      <c r="F156" s="12"/>
      <c r="G156" s="18"/>
      <c r="H156" s="35"/>
      <c r="I156" s="12"/>
      <c r="M156" s="12"/>
      <c r="N156" s="18"/>
      <c r="O156" s="12"/>
      <c r="P156" s="12"/>
      <c r="Q156" s="12"/>
      <c r="R156" s="36"/>
      <c r="S156" s="36"/>
      <c r="T156" s="12"/>
      <c r="U156" s="12"/>
      <c r="V156" s="12"/>
      <c r="W156" s="12"/>
      <c r="X156" s="12"/>
    </row>
    <row r="157" customFormat="false" ht="15.75" hidden="false" customHeight="false" outlineLevel="0" collapsed="false">
      <c r="A157" s="12"/>
      <c r="B157" s="34"/>
      <c r="C157" s="12"/>
      <c r="D157" s="12"/>
      <c r="E157" s="12"/>
      <c r="F157" s="12"/>
      <c r="G157" s="18"/>
      <c r="H157" s="35"/>
      <c r="I157" s="12"/>
      <c r="M157" s="12"/>
      <c r="N157" s="18"/>
      <c r="O157" s="12"/>
      <c r="P157" s="12"/>
      <c r="Q157" s="12"/>
      <c r="R157" s="36"/>
      <c r="S157" s="36"/>
      <c r="T157" s="12"/>
      <c r="U157" s="12"/>
      <c r="V157" s="12"/>
      <c r="W157" s="12"/>
      <c r="X157" s="12"/>
    </row>
    <row r="158" customFormat="false" ht="15.75" hidden="false" customHeight="false" outlineLevel="0" collapsed="false">
      <c r="A158" s="12"/>
      <c r="B158" s="34"/>
      <c r="C158" s="12"/>
      <c r="D158" s="12"/>
      <c r="E158" s="12"/>
      <c r="F158" s="12"/>
      <c r="G158" s="18"/>
      <c r="H158" s="35"/>
      <c r="I158" s="12"/>
      <c r="M158" s="12"/>
      <c r="N158" s="18"/>
      <c r="O158" s="12"/>
      <c r="P158" s="12"/>
      <c r="Q158" s="12"/>
      <c r="R158" s="36"/>
      <c r="S158" s="36"/>
      <c r="T158" s="12"/>
      <c r="U158" s="12"/>
      <c r="V158" s="12"/>
      <c r="W158" s="12"/>
      <c r="X158" s="12"/>
    </row>
    <row r="159" customFormat="false" ht="15.75" hidden="false" customHeight="false" outlineLevel="0" collapsed="false">
      <c r="A159" s="12"/>
      <c r="B159" s="34"/>
      <c r="C159" s="12"/>
      <c r="D159" s="12"/>
      <c r="E159" s="12"/>
      <c r="F159" s="12"/>
      <c r="G159" s="18"/>
      <c r="H159" s="35"/>
      <c r="I159" s="12"/>
      <c r="M159" s="12"/>
      <c r="N159" s="18"/>
      <c r="O159" s="12"/>
      <c r="P159" s="12"/>
      <c r="Q159" s="12"/>
      <c r="R159" s="36"/>
      <c r="S159" s="36"/>
      <c r="T159" s="12"/>
      <c r="U159" s="12"/>
      <c r="V159" s="12"/>
      <c r="W159" s="12"/>
      <c r="X159" s="12"/>
    </row>
    <row r="160" customFormat="false" ht="15.75" hidden="false" customHeight="false" outlineLevel="0" collapsed="false">
      <c r="A160" s="12"/>
      <c r="B160" s="34"/>
      <c r="C160" s="12"/>
      <c r="D160" s="12"/>
      <c r="E160" s="12"/>
      <c r="F160" s="12"/>
      <c r="G160" s="18"/>
      <c r="H160" s="35"/>
      <c r="I160" s="12"/>
      <c r="M160" s="12"/>
      <c r="N160" s="18"/>
      <c r="O160" s="12"/>
      <c r="P160" s="12"/>
      <c r="Q160" s="12"/>
      <c r="R160" s="36"/>
      <c r="S160" s="36"/>
      <c r="T160" s="12"/>
      <c r="U160" s="12"/>
      <c r="V160" s="12"/>
      <c r="W160" s="12"/>
      <c r="X160" s="12"/>
    </row>
    <row r="161" customFormat="false" ht="15.75" hidden="false" customHeight="false" outlineLevel="0" collapsed="false">
      <c r="A161" s="12"/>
      <c r="B161" s="34"/>
      <c r="C161" s="12"/>
      <c r="D161" s="12"/>
      <c r="E161" s="12"/>
      <c r="F161" s="12"/>
      <c r="G161" s="18"/>
      <c r="H161" s="35"/>
      <c r="I161" s="12"/>
      <c r="M161" s="12"/>
      <c r="N161" s="18"/>
      <c r="O161" s="12"/>
      <c r="P161" s="12"/>
      <c r="Q161" s="12"/>
      <c r="R161" s="36"/>
      <c r="S161" s="36"/>
      <c r="T161" s="12"/>
      <c r="U161" s="12"/>
      <c r="V161" s="12"/>
      <c r="W161" s="12"/>
      <c r="X161" s="12"/>
    </row>
    <row r="162" customFormat="false" ht="15.75" hidden="false" customHeight="false" outlineLevel="0" collapsed="false">
      <c r="A162" s="12"/>
      <c r="B162" s="34"/>
      <c r="C162" s="12"/>
      <c r="D162" s="12"/>
      <c r="E162" s="12"/>
      <c r="F162" s="12"/>
      <c r="G162" s="18"/>
      <c r="H162" s="35"/>
      <c r="I162" s="12"/>
      <c r="M162" s="12"/>
      <c r="N162" s="18"/>
      <c r="O162" s="12"/>
      <c r="P162" s="12"/>
      <c r="Q162" s="12"/>
      <c r="R162" s="36"/>
      <c r="S162" s="36"/>
      <c r="T162" s="12"/>
      <c r="U162" s="12"/>
      <c r="V162" s="12"/>
      <c r="W162" s="12"/>
      <c r="X162" s="12"/>
    </row>
    <row r="163" customFormat="false" ht="15.75" hidden="false" customHeight="false" outlineLevel="0" collapsed="false">
      <c r="A163" s="12"/>
      <c r="B163" s="34"/>
      <c r="C163" s="12"/>
      <c r="D163" s="12"/>
      <c r="E163" s="12"/>
      <c r="F163" s="12"/>
      <c r="G163" s="18"/>
      <c r="H163" s="35"/>
      <c r="I163" s="12"/>
      <c r="M163" s="12"/>
      <c r="N163" s="18"/>
      <c r="O163" s="12"/>
      <c r="P163" s="12"/>
      <c r="Q163" s="12"/>
      <c r="R163" s="36"/>
      <c r="S163" s="36"/>
      <c r="T163" s="12"/>
      <c r="U163" s="12"/>
      <c r="V163" s="12"/>
      <c r="W163" s="12"/>
      <c r="X163" s="12"/>
    </row>
    <row r="164" customFormat="false" ht="15.75" hidden="false" customHeight="false" outlineLevel="0" collapsed="false">
      <c r="A164" s="12"/>
      <c r="B164" s="34"/>
      <c r="C164" s="12"/>
      <c r="D164" s="12"/>
      <c r="E164" s="12"/>
      <c r="F164" s="12"/>
      <c r="G164" s="18"/>
      <c r="H164" s="35"/>
      <c r="I164" s="12"/>
      <c r="M164" s="12"/>
      <c r="N164" s="18"/>
      <c r="O164" s="12"/>
      <c r="P164" s="12"/>
      <c r="Q164" s="12"/>
      <c r="R164" s="36"/>
      <c r="S164" s="36"/>
      <c r="T164" s="12"/>
      <c r="U164" s="12"/>
      <c r="V164" s="12"/>
      <c r="W164" s="12"/>
      <c r="X164" s="12"/>
    </row>
    <row r="165" customFormat="false" ht="15.75" hidden="false" customHeight="false" outlineLevel="0" collapsed="false">
      <c r="A165" s="12"/>
      <c r="B165" s="34"/>
      <c r="C165" s="12"/>
      <c r="D165" s="12"/>
      <c r="E165" s="12"/>
      <c r="F165" s="12"/>
      <c r="G165" s="18"/>
      <c r="H165" s="35"/>
      <c r="I165" s="12"/>
      <c r="M165" s="12"/>
      <c r="N165" s="18"/>
      <c r="O165" s="12"/>
      <c r="P165" s="12"/>
      <c r="Q165" s="12"/>
      <c r="R165" s="36"/>
      <c r="S165" s="36"/>
      <c r="T165" s="12"/>
      <c r="U165" s="12"/>
      <c r="V165" s="12"/>
      <c r="W165" s="12"/>
      <c r="X165" s="12"/>
    </row>
    <row r="166" customFormat="false" ht="15.75" hidden="false" customHeight="false" outlineLevel="0" collapsed="false">
      <c r="A166" s="12"/>
      <c r="B166" s="34"/>
      <c r="C166" s="12"/>
      <c r="D166" s="12"/>
      <c r="E166" s="12"/>
      <c r="F166" s="12"/>
      <c r="G166" s="18"/>
      <c r="H166" s="35"/>
      <c r="I166" s="12"/>
      <c r="M166" s="12"/>
      <c r="N166" s="18"/>
      <c r="O166" s="12"/>
      <c r="P166" s="12"/>
      <c r="Q166" s="12"/>
      <c r="R166" s="36"/>
      <c r="S166" s="36"/>
      <c r="T166" s="12"/>
      <c r="U166" s="12"/>
      <c r="V166" s="12"/>
      <c r="W166" s="12"/>
      <c r="X166" s="12"/>
    </row>
    <row r="167" customFormat="false" ht="15.75" hidden="false" customHeight="false" outlineLevel="0" collapsed="false">
      <c r="A167" s="12"/>
      <c r="B167" s="34"/>
      <c r="C167" s="12"/>
      <c r="D167" s="12"/>
      <c r="E167" s="12"/>
      <c r="F167" s="12"/>
      <c r="G167" s="18"/>
      <c r="H167" s="35"/>
      <c r="I167" s="12"/>
      <c r="M167" s="12"/>
      <c r="N167" s="18"/>
      <c r="O167" s="12"/>
      <c r="P167" s="12"/>
      <c r="Q167" s="12"/>
      <c r="R167" s="36"/>
      <c r="S167" s="36"/>
      <c r="T167" s="12"/>
      <c r="U167" s="12"/>
      <c r="V167" s="12"/>
      <c r="W167" s="12"/>
      <c r="X167" s="12"/>
    </row>
    <row r="168" customFormat="false" ht="15.75" hidden="false" customHeight="false" outlineLevel="0" collapsed="false">
      <c r="A168" s="12"/>
      <c r="B168" s="34"/>
      <c r="C168" s="12"/>
      <c r="D168" s="12"/>
      <c r="E168" s="12"/>
      <c r="F168" s="12"/>
      <c r="G168" s="18"/>
      <c r="H168" s="35"/>
      <c r="I168" s="12"/>
      <c r="M168" s="12"/>
      <c r="N168" s="18"/>
      <c r="O168" s="12"/>
      <c r="P168" s="12"/>
      <c r="Q168" s="12"/>
      <c r="R168" s="36"/>
      <c r="S168" s="36"/>
      <c r="T168" s="12"/>
      <c r="U168" s="12"/>
      <c r="V168" s="12"/>
      <c r="W168" s="12"/>
      <c r="X168" s="12"/>
    </row>
    <row r="169" customFormat="false" ht="15.75" hidden="false" customHeight="false" outlineLevel="0" collapsed="false">
      <c r="A169" s="12"/>
      <c r="B169" s="34"/>
      <c r="C169" s="12"/>
      <c r="D169" s="12"/>
      <c r="E169" s="12"/>
      <c r="F169" s="12"/>
      <c r="G169" s="18"/>
      <c r="H169" s="35"/>
      <c r="I169" s="12"/>
      <c r="M169" s="12"/>
      <c r="N169" s="18"/>
      <c r="O169" s="12"/>
      <c r="P169" s="12"/>
      <c r="Q169" s="12"/>
      <c r="R169" s="36"/>
      <c r="S169" s="36"/>
      <c r="T169" s="12"/>
      <c r="U169" s="12"/>
      <c r="V169" s="12"/>
      <c r="W169" s="12"/>
      <c r="X169" s="12"/>
    </row>
    <row r="170" customFormat="false" ht="15.75" hidden="false" customHeight="false" outlineLevel="0" collapsed="false">
      <c r="A170" s="12"/>
      <c r="B170" s="34"/>
      <c r="C170" s="12"/>
      <c r="D170" s="12"/>
      <c r="E170" s="12"/>
      <c r="F170" s="12"/>
      <c r="G170" s="18"/>
      <c r="H170" s="35"/>
      <c r="I170" s="12"/>
      <c r="M170" s="12"/>
      <c r="N170" s="18"/>
      <c r="O170" s="12"/>
      <c r="P170" s="12"/>
      <c r="Q170" s="12"/>
      <c r="R170" s="36"/>
      <c r="S170" s="36"/>
      <c r="T170" s="12"/>
      <c r="U170" s="12"/>
      <c r="V170" s="12"/>
      <c r="W170" s="12"/>
      <c r="X170" s="12"/>
    </row>
    <row r="171" customFormat="false" ht="15.75" hidden="false" customHeight="false" outlineLevel="0" collapsed="false">
      <c r="A171" s="12"/>
      <c r="B171" s="34"/>
      <c r="C171" s="12"/>
      <c r="D171" s="12"/>
      <c r="E171" s="12"/>
      <c r="F171" s="12"/>
      <c r="G171" s="18"/>
      <c r="H171" s="35"/>
      <c r="I171" s="12"/>
      <c r="M171" s="12"/>
      <c r="N171" s="18"/>
      <c r="O171" s="12"/>
      <c r="P171" s="12"/>
      <c r="Q171" s="12"/>
      <c r="R171" s="36"/>
      <c r="S171" s="36"/>
      <c r="T171" s="12"/>
      <c r="U171" s="12"/>
      <c r="V171" s="12"/>
      <c r="W171" s="12"/>
      <c r="X171" s="12"/>
    </row>
    <row r="172" customFormat="false" ht="15.75" hidden="false" customHeight="false" outlineLevel="0" collapsed="false">
      <c r="A172" s="12"/>
      <c r="B172" s="34"/>
      <c r="C172" s="12"/>
      <c r="D172" s="12"/>
      <c r="E172" s="12"/>
      <c r="F172" s="12"/>
      <c r="G172" s="18"/>
      <c r="H172" s="35"/>
      <c r="I172" s="12"/>
      <c r="M172" s="12"/>
      <c r="N172" s="18"/>
      <c r="O172" s="12"/>
      <c r="P172" s="12"/>
      <c r="Q172" s="12"/>
      <c r="R172" s="36"/>
      <c r="S172" s="36"/>
      <c r="T172" s="12"/>
      <c r="U172" s="12"/>
      <c r="V172" s="12"/>
      <c r="W172" s="12"/>
      <c r="X172" s="12"/>
    </row>
    <row r="173" customFormat="false" ht="15.75" hidden="false" customHeight="false" outlineLevel="0" collapsed="false">
      <c r="A173" s="12"/>
      <c r="B173" s="34"/>
      <c r="C173" s="12"/>
      <c r="D173" s="12"/>
      <c r="E173" s="12"/>
      <c r="F173" s="12"/>
      <c r="G173" s="18"/>
      <c r="H173" s="35"/>
      <c r="I173" s="12"/>
      <c r="M173" s="12"/>
      <c r="N173" s="18"/>
      <c r="O173" s="12"/>
      <c r="P173" s="12"/>
      <c r="Q173" s="12"/>
      <c r="R173" s="36"/>
      <c r="S173" s="36"/>
      <c r="T173" s="12"/>
      <c r="U173" s="12"/>
      <c r="V173" s="12"/>
      <c r="W173" s="12"/>
      <c r="X173" s="12"/>
    </row>
    <row r="174" customFormat="false" ht="15.75" hidden="false" customHeight="false" outlineLevel="0" collapsed="false">
      <c r="A174" s="12"/>
      <c r="B174" s="34"/>
      <c r="C174" s="12"/>
      <c r="D174" s="12"/>
      <c r="E174" s="12"/>
      <c r="F174" s="12"/>
      <c r="G174" s="18"/>
      <c r="H174" s="35"/>
      <c r="I174" s="12"/>
      <c r="M174" s="12"/>
      <c r="N174" s="18"/>
      <c r="O174" s="12"/>
      <c r="P174" s="12"/>
      <c r="Q174" s="12"/>
      <c r="R174" s="36"/>
      <c r="S174" s="36"/>
      <c r="T174" s="12"/>
      <c r="U174" s="12"/>
      <c r="V174" s="12"/>
      <c r="W174" s="12"/>
      <c r="X174" s="12"/>
    </row>
    <row r="175" customFormat="false" ht="15.75" hidden="false" customHeight="false" outlineLevel="0" collapsed="false">
      <c r="A175" s="12"/>
      <c r="B175" s="34"/>
      <c r="C175" s="12"/>
      <c r="D175" s="12"/>
      <c r="E175" s="12"/>
      <c r="F175" s="12"/>
      <c r="G175" s="18"/>
      <c r="H175" s="35"/>
      <c r="I175" s="12"/>
      <c r="M175" s="12"/>
      <c r="N175" s="18"/>
      <c r="O175" s="12"/>
      <c r="P175" s="12"/>
      <c r="Q175" s="12"/>
      <c r="R175" s="36"/>
      <c r="S175" s="36"/>
      <c r="T175" s="12"/>
      <c r="U175" s="12"/>
      <c r="V175" s="12"/>
      <c r="W175" s="12"/>
      <c r="X175" s="12"/>
    </row>
    <row r="176" customFormat="false" ht="15.75" hidden="false" customHeight="false" outlineLevel="0" collapsed="false">
      <c r="A176" s="12"/>
      <c r="B176" s="34"/>
      <c r="C176" s="12"/>
      <c r="D176" s="12"/>
      <c r="E176" s="12"/>
      <c r="F176" s="12"/>
      <c r="G176" s="18"/>
      <c r="H176" s="35"/>
      <c r="I176" s="12"/>
      <c r="M176" s="12"/>
      <c r="N176" s="18"/>
      <c r="O176" s="12"/>
      <c r="P176" s="12"/>
      <c r="Q176" s="12"/>
      <c r="R176" s="36"/>
      <c r="S176" s="36"/>
      <c r="T176" s="12"/>
      <c r="U176" s="12"/>
      <c r="V176" s="12"/>
      <c r="W176" s="12"/>
      <c r="X176" s="12"/>
    </row>
    <row r="177" customFormat="false" ht="15.75" hidden="false" customHeight="false" outlineLevel="0" collapsed="false">
      <c r="A177" s="12"/>
      <c r="B177" s="34"/>
      <c r="C177" s="12"/>
      <c r="D177" s="12"/>
      <c r="E177" s="12"/>
      <c r="F177" s="12"/>
      <c r="G177" s="18"/>
      <c r="H177" s="35"/>
      <c r="I177" s="12"/>
      <c r="M177" s="12"/>
      <c r="N177" s="18"/>
      <c r="O177" s="12"/>
      <c r="P177" s="12"/>
      <c r="Q177" s="12"/>
      <c r="R177" s="36"/>
      <c r="S177" s="36"/>
      <c r="T177" s="12"/>
      <c r="U177" s="12"/>
      <c r="V177" s="12"/>
      <c r="W177" s="12"/>
      <c r="X177" s="12"/>
    </row>
    <row r="178" customFormat="false" ht="15.75" hidden="false" customHeight="false" outlineLevel="0" collapsed="false">
      <c r="A178" s="12"/>
      <c r="B178" s="34"/>
      <c r="C178" s="12"/>
      <c r="D178" s="12"/>
      <c r="E178" s="12"/>
      <c r="F178" s="12"/>
      <c r="G178" s="18"/>
      <c r="H178" s="35"/>
      <c r="I178" s="12"/>
      <c r="M178" s="12"/>
      <c r="N178" s="18"/>
      <c r="O178" s="12"/>
      <c r="P178" s="12"/>
      <c r="Q178" s="12"/>
      <c r="R178" s="36"/>
      <c r="S178" s="36"/>
      <c r="T178" s="12"/>
      <c r="U178" s="12"/>
      <c r="V178" s="12"/>
      <c r="W178" s="12"/>
      <c r="X178" s="12"/>
    </row>
    <row r="179" customFormat="false" ht="15.75" hidden="false" customHeight="false" outlineLevel="0" collapsed="false">
      <c r="A179" s="12"/>
      <c r="B179" s="34"/>
      <c r="C179" s="12"/>
      <c r="D179" s="12"/>
      <c r="E179" s="12"/>
      <c r="F179" s="12"/>
      <c r="G179" s="18"/>
      <c r="H179" s="35"/>
      <c r="I179" s="12"/>
      <c r="M179" s="12"/>
      <c r="N179" s="18"/>
      <c r="O179" s="12"/>
      <c r="P179" s="12"/>
      <c r="Q179" s="12"/>
      <c r="R179" s="36"/>
      <c r="S179" s="36"/>
      <c r="T179" s="12"/>
      <c r="U179" s="12"/>
      <c r="V179" s="12"/>
      <c r="W179" s="12"/>
      <c r="X179" s="12"/>
    </row>
    <row r="180" customFormat="false" ht="15.75" hidden="false" customHeight="false" outlineLevel="0" collapsed="false">
      <c r="A180" s="12"/>
      <c r="B180" s="34"/>
      <c r="C180" s="12"/>
      <c r="D180" s="12"/>
      <c r="E180" s="12"/>
      <c r="F180" s="12"/>
      <c r="G180" s="18"/>
      <c r="H180" s="35"/>
      <c r="I180" s="12"/>
      <c r="M180" s="12"/>
      <c r="N180" s="18"/>
      <c r="O180" s="12"/>
      <c r="P180" s="12"/>
      <c r="Q180" s="12"/>
      <c r="R180" s="36"/>
      <c r="S180" s="36"/>
      <c r="T180" s="12"/>
      <c r="U180" s="12"/>
      <c r="V180" s="12"/>
      <c r="W180" s="12"/>
      <c r="X180" s="12"/>
    </row>
    <row r="181" customFormat="false" ht="15.75" hidden="false" customHeight="false" outlineLevel="0" collapsed="false">
      <c r="A181" s="12"/>
      <c r="B181" s="34"/>
      <c r="C181" s="12"/>
      <c r="D181" s="12"/>
      <c r="E181" s="12"/>
      <c r="F181" s="12"/>
      <c r="G181" s="18"/>
      <c r="H181" s="35"/>
      <c r="I181" s="12"/>
      <c r="M181" s="12"/>
      <c r="N181" s="18"/>
      <c r="O181" s="12"/>
      <c r="P181" s="12"/>
      <c r="Q181" s="12"/>
      <c r="R181" s="36"/>
      <c r="S181" s="36"/>
      <c r="T181" s="12"/>
      <c r="U181" s="12"/>
      <c r="V181" s="12"/>
      <c r="W181" s="12"/>
      <c r="X181" s="12"/>
    </row>
    <row r="182" customFormat="false" ht="15.75" hidden="false" customHeight="false" outlineLevel="0" collapsed="false">
      <c r="A182" s="12"/>
      <c r="B182" s="34"/>
      <c r="C182" s="12"/>
      <c r="D182" s="12"/>
      <c r="E182" s="12"/>
      <c r="F182" s="12"/>
      <c r="G182" s="18"/>
      <c r="H182" s="35"/>
      <c r="I182" s="12"/>
      <c r="M182" s="12"/>
      <c r="N182" s="18"/>
      <c r="O182" s="12"/>
      <c r="P182" s="12"/>
      <c r="Q182" s="12"/>
      <c r="R182" s="36"/>
      <c r="S182" s="36"/>
      <c r="T182" s="12"/>
      <c r="U182" s="12"/>
      <c r="V182" s="12"/>
      <c r="W182" s="12"/>
      <c r="X182" s="12"/>
    </row>
    <row r="183" customFormat="false" ht="15.75" hidden="false" customHeight="false" outlineLevel="0" collapsed="false">
      <c r="A183" s="12"/>
      <c r="B183" s="34"/>
      <c r="C183" s="12"/>
      <c r="D183" s="12"/>
      <c r="E183" s="12"/>
      <c r="F183" s="12"/>
      <c r="G183" s="18"/>
      <c r="H183" s="35"/>
      <c r="I183" s="12"/>
      <c r="M183" s="12"/>
      <c r="N183" s="18"/>
      <c r="O183" s="12"/>
      <c r="P183" s="12"/>
      <c r="Q183" s="12"/>
      <c r="R183" s="36"/>
      <c r="S183" s="36"/>
      <c r="T183" s="12"/>
      <c r="U183" s="12"/>
      <c r="V183" s="12"/>
      <c r="W183" s="12"/>
      <c r="X183" s="12"/>
    </row>
    <row r="184" customFormat="false" ht="15.75" hidden="false" customHeight="false" outlineLevel="0" collapsed="false">
      <c r="A184" s="12"/>
      <c r="B184" s="34"/>
      <c r="C184" s="12"/>
      <c r="D184" s="12"/>
      <c r="E184" s="12"/>
      <c r="F184" s="12"/>
      <c r="G184" s="18"/>
      <c r="H184" s="35"/>
      <c r="I184" s="12"/>
      <c r="M184" s="12"/>
      <c r="N184" s="18"/>
      <c r="O184" s="12"/>
      <c r="P184" s="12"/>
      <c r="Q184" s="12"/>
      <c r="R184" s="36"/>
      <c r="S184" s="36"/>
      <c r="T184" s="12"/>
      <c r="U184" s="12"/>
      <c r="V184" s="12"/>
      <c r="W184" s="12"/>
      <c r="X184" s="12"/>
    </row>
    <row r="185" customFormat="false" ht="15.75" hidden="false" customHeight="false" outlineLevel="0" collapsed="false">
      <c r="A185" s="12"/>
      <c r="B185" s="34"/>
      <c r="C185" s="12"/>
      <c r="D185" s="12"/>
      <c r="E185" s="12"/>
      <c r="F185" s="12"/>
      <c r="G185" s="18"/>
      <c r="H185" s="35"/>
      <c r="I185" s="12"/>
      <c r="M185" s="12"/>
      <c r="N185" s="18"/>
      <c r="O185" s="12"/>
      <c r="P185" s="12"/>
      <c r="Q185" s="12"/>
      <c r="R185" s="36"/>
      <c r="S185" s="36"/>
      <c r="T185" s="12"/>
      <c r="U185" s="12"/>
      <c r="V185" s="12"/>
      <c r="W185" s="12"/>
      <c r="X185" s="12"/>
    </row>
    <row r="186" customFormat="false" ht="15.75" hidden="false" customHeight="false" outlineLevel="0" collapsed="false">
      <c r="A186" s="12"/>
      <c r="B186" s="34"/>
      <c r="C186" s="12"/>
      <c r="D186" s="12"/>
      <c r="E186" s="12"/>
      <c r="F186" s="12"/>
      <c r="G186" s="18"/>
      <c r="H186" s="35"/>
      <c r="I186" s="12"/>
      <c r="M186" s="12"/>
      <c r="N186" s="18"/>
      <c r="O186" s="12"/>
      <c r="P186" s="12"/>
      <c r="Q186" s="12"/>
      <c r="R186" s="36"/>
      <c r="S186" s="36"/>
      <c r="T186" s="12"/>
      <c r="U186" s="12"/>
      <c r="V186" s="12"/>
      <c r="W186" s="12"/>
      <c r="X186" s="12"/>
    </row>
    <row r="187" customFormat="false" ht="15.75" hidden="false" customHeight="false" outlineLevel="0" collapsed="false">
      <c r="A187" s="12"/>
      <c r="B187" s="34"/>
      <c r="C187" s="12"/>
      <c r="D187" s="12"/>
      <c r="E187" s="12"/>
      <c r="F187" s="12"/>
      <c r="G187" s="18"/>
      <c r="H187" s="35"/>
      <c r="I187" s="12"/>
      <c r="M187" s="12"/>
      <c r="N187" s="18"/>
      <c r="O187" s="12"/>
      <c r="P187" s="12"/>
      <c r="Q187" s="12"/>
      <c r="R187" s="36"/>
      <c r="S187" s="36"/>
      <c r="T187" s="12"/>
      <c r="U187" s="12"/>
      <c r="V187" s="12"/>
      <c r="W187" s="12"/>
      <c r="X187" s="12"/>
    </row>
    <row r="188" customFormat="false" ht="15.75" hidden="false" customHeight="false" outlineLevel="0" collapsed="false">
      <c r="A188" s="12"/>
      <c r="B188" s="34"/>
      <c r="C188" s="12"/>
      <c r="D188" s="12"/>
      <c r="E188" s="12"/>
      <c r="F188" s="12"/>
      <c r="G188" s="18"/>
      <c r="H188" s="35"/>
      <c r="I188" s="12"/>
      <c r="M188" s="12"/>
      <c r="N188" s="18"/>
      <c r="O188" s="12"/>
      <c r="P188" s="12"/>
      <c r="Q188" s="12"/>
      <c r="R188" s="36"/>
      <c r="S188" s="36"/>
      <c r="T188" s="12"/>
      <c r="U188" s="12"/>
      <c r="V188" s="12"/>
      <c r="W188" s="12"/>
      <c r="X188" s="12"/>
    </row>
    <row r="189" customFormat="false" ht="15.75" hidden="false" customHeight="false" outlineLevel="0" collapsed="false">
      <c r="A189" s="12"/>
      <c r="B189" s="34"/>
      <c r="C189" s="12"/>
      <c r="D189" s="12"/>
      <c r="E189" s="12"/>
      <c r="F189" s="12"/>
      <c r="G189" s="18"/>
      <c r="H189" s="35"/>
      <c r="I189" s="12"/>
      <c r="M189" s="12"/>
      <c r="N189" s="18"/>
      <c r="O189" s="12"/>
      <c r="P189" s="12"/>
      <c r="Q189" s="12"/>
      <c r="R189" s="36"/>
      <c r="S189" s="36"/>
      <c r="T189" s="12"/>
      <c r="U189" s="12"/>
      <c r="V189" s="12"/>
      <c r="W189" s="12"/>
      <c r="X189" s="12"/>
    </row>
    <row r="190" customFormat="false" ht="15.75" hidden="false" customHeight="false" outlineLevel="0" collapsed="false">
      <c r="A190" s="12"/>
      <c r="B190" s="34"/>
      <c r="C190" s="12"/>
      <c r="D190" s="12"/>
      <c r="E190" s="12"/>
      <c r="F190" s="12"/>
      <c r="G190" s="18"/>
      <c r="H190" s="35"/>
      <c r="I190" s="12"/>
      <c r="M190" s="12"/>
      <c r="N190" s="18"/>
      <c r="O190" s="12"/>
      <c r="P190" s="12"/>
      <c r="Q190" s="12"/>
      <c r="R190" s="36"/>
      <c r="S190" s="36"/>
      <c r="T190" s="12"/>
      <c r="U190" s="12"/>
      <c r="V190" s="12"/>
      <c r="W190" s="12"/>
      <c r="X190" s="12"/>
    </row>
    <row r="191" customFormat="false" ht="15.75" hidden="false" customHeight="false" outlineLevel="0" collapsed="false">
      <c r="A191" s="12"/>
      <c r="B191" s="34"/>
      <c r="C191" s="12"/>
      <c r="D191" s="12"/>
      <c r="E191" s="12"/>
      <c r="F191" s="12"/>
      <c r="G191" s="18"/>
      <c r="H191" s="35"/>
      <c r="I191" s="12"/>
      <c r="M191" s="12"/>
      <c r="N191" s="18"/>
      <c r="O191" s="12"/>
      <c r="P191" s="12"/>
      <c r="Q191" s="12"/>
      <c r="R191" s="36"/>
      <c r="S191" s="36"/>
      <c r="T191" s="12"/>
      <c r="U191" s="12"/>
      <c r="V191" s="12"/>
      <c r="W191" s="12"/>
      <c r="X191" s="12"/>
    </row>
    <row r="192" customFormat="false" ht="15.75" hidden="false" customHeight="false" outlineLevel="0" collapsed="false">
      <c r="A192" s="12"/>
      <c r="B192" s="34"/>
      <c r="C192" s="12"/>
      <c r="D192" s="12"/>
      <c r="E192" s="12"/>
      <c r="F192" s="12"/>
      <c r="G192" s="18"/>
      <c r="H192" s="35"/>
      <c r="I192" s="12"/>
      <c r="M192" s="12"/>
      <c r="N192" s="18"/>
      <c r="O192" s="12"/>
      <c r="P192" s="12"/>
      <c r="Q192" s="12"/>
      <c r="R192" s="36"/>
      <c r="S192" s="36"/>
      <c r="T192" s="12"/>
      <c r="U192" s="12"/>
      <c r="V192" s="12"/>
      <c r="W192" s="12"/>
      <c r="X192" s="12"/>
    </row>
    <row r="193" customFormat="false" ht="15.75" hidden="false" customHeight="false" outlineLevel="0" collapsed="false">
      <c r="A193" s="12"/>
      <c r="B193" s="34"/>
      <c r="C193" s="12"/>
      <c r="D193" s="12"/>
      <c r="E193" s="12"/>
      <c r="F193" s="12"/>
      <c r="G193" s="18"/>
      <c r="H193" s="35"/>
      <c r="I193" s="12"/>
      <c r="M193" s="12"/>
      <c r="N193" s="18"/>
      <c r="O193" s="12"/>
      <c r="P193" s="12"/>
      <c r="Q193" s="12"/>
      <c r="R193" s="36"/>
      <c r="S193" s="36"/>
      <c r="T193" s="12"/>
      <c r="U193" s="12"/>
      <c r="V193" s="12"/>
      <c r="W193" s="12"/>
      <c r="X193" s="12"/>
    </row>
    <row r="194" customFormat="false" ht="15.75" hidden="false" customHeight="false" outlineLevel="0" collapsed="false">
      <c r="A194" s="12"/>
      <c r="B194" s="34"/>
      <c r="C194" s="12"/>
      <c r="D194" s="12"/>
      <c r="E194" s="12"/>
      <c r="F194" s="12"/>
      <c r="G194" s="18"/>
      <c r="H194" s="35"/>
      <c r="I194" s="12"/>
      <c r="M194" s="12"/>
      <c r="N194" s="18"/>
      <c r="O194" s="12"/>
      <c r="P194" s="12"/>
      <c r="Q194" s="12"/>
      <c r="R194" s="36"/>
      <c r="S194" s="36"/>
      <c r="T194" s="12"/>
      <c r="U194" s="12"/>
      <c r="V194" s="12"/>
      <c r="W194" s="12"/>
      <c r="X194" s="12"/>
    </row>
    <row r="195" customFormat="false" ht="15.75" hidden="false" customHeight="false" outlineLevel="0" collapsed="false">
      <c r="A195" s="12"/>
      <c r="B195" s="34"/>
      <c r="C195" s="12"/>
      <c r="D195" s="12"/>
      <c r="E195" s="12"/>
      <c r="F195" s="12"/>
      <c r="G195" s="18"/>
      <c r="H195" s="35"/>
      <c r="I195" s="12"/>
      <c r="M195" s="12"/>
      <c r="N195" s="18"/>
      <c r="O195" s="12"/>
      <c r="P195" s="12"/>
      <c r="Q195" s="12"/>
      <c r="R195" s="36"/>
      <c r="S195" s="36"/>
      <c r="T195" s="12"/>
      <c r="U195" s="12"/>
      <c r="V195" s="12"/>
      <c r="W195" s="12"/>
      <c r="X195" s="12"/>
    </row>
    <row r="196" customFormat="false" ht="15.75" hidden="false" customHeight="false" outlineLevel="0" collapsed="false">
      <c r="A196" s="12"/>
      <c r="B196" s="34"/>
      <c r="C196" s="12"/>
      <c r="D196" s="12"/>
      <c r="E196" s="12"/>
      <c r="F196" s="12"/>
      <c r="G196" s="18"/>
      <c r="H196" s="35"/>
      <c r="I196" s="12"/>
      <c r="M196" s="12"/>
      <c r="N196" s="18"/>
      <c r="O196" s="12"/>
      <c r="P196" s="12"/>
      <c r="Q196" s="12"/>
      <c r="R196" s="36"/>
      <c r="S196" s="36"/>
      <c r="T196" s="12"/>
      <c r="U196" s="12"/>
      <c r="V196" s="12"/>
      <c r="W196" s="12"/>
      <c r="X196" s="12"/>
    </row>
    <row r="197" customFormat="false" ht="15.75" hidden="false" customHeight="false" outlineLevel="0" collapsed="false">
      <c r="A197" s="12"/>
      <c r="B197" s="34"/>
      <c r="C197" s="12"/>
      <c r="D197" s="12"/>
      <c r="E197" s="12"/>
      <c r="F197" s="12"/>
      <c r="G197" s="18"/>
      <c r="H197" s="35"/>
      <c r="I197" s="12"/>
      <c r="M197" s="12"/>
      <c r="N197" s="18"/>
      <c r="O197" s="12"/>
      <c r="P197" s="12"/>
      <c r="Q197" s="12"/>
      <c r="R197" s="36"/>
      <c r="S197" s="36"/>
      <c r="T197" s="12"/>
      <c r="U197" s="12"/>
      <c r="V197" s="12"/>
      <c r="W197" s="12"/>
      <c r="X197" s="12"/>
    </row>
    <row r="198" customFormat="false" ht="15.75" hidden="false" customHeight="false" outlineLevel="0" collapsed="false">
      <c r="A198" s="12"/>
      <c r="B198" s="34"/>
      <c r="C198" s="12"/>
      <c r="D198" s="12"/>
      <c r="E198" s="12"/>
      <c r="F198" s="12"/>
      <c r="G198" s="18"/>
      <c r="H198" s="35"/>
      <c r="I198" s="12"/>
      <c r="M198" s="12"/>
      <c r="N198" s="18"/>
      <c r="O198" s="12"/>
      <c r="P198" s="12"/>
      <c r="Q198" s="12"/>
      <c r="R198" s="36"/>
      <c r="S198" s="36"/>
      <c r="T198" s="12"/>
      <c r="U198" s="12"/>
      <c r="V198" s="12"/>
      <c r="W198" s="12"/>
      <c r="X198" s="12"/>
    </row>
    <row r="199" customFormat="false" ht="15.75" hidden="false" customHeight="false" outlineLevel="0" collapsed="false">
      <c r="A199" s="12"/>
      <c r="B199" s="34"/>
      <c r="C199" s="12"/>
      <c r="D199" s="12"/>
      <c r="E199" s="12"/>
      <c r="F199" s="12"/>
      <c r="G199" s="18"/>
      <c r="H199" s="35"/>
      <c r="I199" s="12"/>
      <c r="M199" s="12"/>
      <c r="N199" s="18"/>
      <c r="O199" s="12"/>
      <c r="P199" s="12"/>
      <c r="Q199" s="12"/>
      <c r="R199" s="36"/>
      <c r="S199" s="36"/>
      <c r="T199" s="12"/>
      <c r="U199" s="12"/>
      <c r="V199" s="12"/>
      <c r="W199" s="12"/>
      <c r="X199" s="12"/>
    </row>
    <row r="200" customFormat="false" ht="15.75" hidden="false" customHeight="false" outlineLevel="0" collapsed="false">
      <c r="A200" s="12"/>
      <c r="B200" s="34"/>
      <c r="C200" s="12"/>
      <c r="D200" s="12"/>
      <c r="E200" s="12"/>
      <c r="F200" s="12"/>
      <c r="G200" s="18"/>
      <c r="H200" s="35"/>
      <c r="I200" s="12"/>
      <c r="M200" s="12"/>
      <c r="N200" s="18"/>
      <c r="O200" s="12"/>
      <c r="P200" s="12"/>
      <c r="Q200" s="12"/>
      <c r="R200" s="36"/>
      <c r="S200" s="36"/>
      <c r="T200" s="12"/>
      <c r="U200" s="12"/>
      <c r="V200" s="12"/>
      <c r="W200" s="12"/>
      <c r="X200" s="12"/>
    </row>
    <row r="201" customFormat="false" ht="15.75" hidden="false" customHeight="false" outlineLevel="0" collapsed="false">
      <c r="A201" s="12"/>
      <c r="B201" s="34"/>
      <c r="C201" s="12"/>
      <c r="D201" s="12"/>
      <c r="E201" s="12"/>
      <c r="F201" s="12"/>
      <c r="G201" s="18"/>
      <c r="H201" s="35"/>
      <c r="I201" s="12"/>
      <c r="M201" s="12"/>
      <c r="N201" s="18"/>
      <c r="O201" s="12"/>
      <c r="P201" s="12"/>
      <c r="Q201" s="12"/>
      <c r="R201" s="36"/>
      <c r="S201" s="36"/>
      <c r="T201" s="12"/>
      <c r="U201" s="12"/>
      <c r="V201" s="12"/>
      <c r="W201" s="12"/>
      <c r="X201" s="12"/>
    </row>
    <row r="202" customFormat="false" ht="15.75" hidden="false" customHeight="false" outlineLevel="0" collapsed="false">
      <c r="A202" s="12"/>
      <c r="B202" s="34"/>
      <c r="C202" s="12"/>
      <c r="D202" s="12"/>
      <c r="E202" s="12"/>
      <c r="F202" s="12"/>
      <c r="G202" s="18"/>
      <c r="H202" s="35"/>
      <c r="I202" s="12"/>
      <c r="M202" s="12"/>
      <c r="N202" s="18"/>
      <c r="O202" s="12"/>
      <c r="P202" s="12"/>
      <c r="Q202" s="12"/>
      <c r="R202" s="36"/>
      <c r="S202" s="36"/>
      <c r="T202" s="12"/>
      <c r="U202" s="12"/>
      <c r="V202" s="12"/>
      <c r="W202" s="12"/>
      <c r="X202" s="12"/>
    </row>
    <row r="203" customFormat="false" ht="15.75" hidden="false" customHeight="false" outlineLevel="0" collapsed="false">
      <c r="A203" s="12"/>
      <c r="B203" s="34"/>
      <c r="C203" s="12"/>
      <c r="D203" s="12"/>
      <c r="E203" s="12"/>
      <c r="F203" s="12"/>
      <c r="G203" s="18"/>
      <c r="H203" s="35"/>
      <c r="I203" s="12"/>
      <c r="M203" s="12"/>
      <c r="N203" s="18"/>
      <c r="O203" s="12"/>
      <c r="P203" s="12"/>
      <c r="Q203" s="12"/>
      <c r="R203" s="36"/>
      <c r="S203" s="36"/>
      <c r="T203" s="12"/>
      <c r="U203" s="12"/>
      <c r="V203" s="12"/>
      <c r="W203" s="12"/>
      <c r="X203" s="12"/>
    </row>
    <row r="204" customFormat="false" ht="15.75" hidden="false" customHeight="false" outlineLevel="0" collapsed="false">
      <c r="A204" s="12"/>
      <c r="B204" s="34"/>
      <c r="C204" s="12"/>
      <c r="D204" s="12"/>
      <c r="E204" s="12"/>
      <c r="F204" s="12"/>
      <c r="G204" s="18"/>
      <c r="H204" s="35"/>
      <c r="I204" s="12"/>
      <c r="M204" s="12"/>
      <c r="N204" s="18"/>
      <c r="O204" s="12"/>
      <c r="P204" s="12"/>
      <c r="Q204" s="12"/>
      <c r="R204" s="36"/>
      <c r="S204" s="36"/>
      <c r="T204" s="12"/>
      <c r="U204" s="12"/>
      <c r="V204" s="12"/>
      <c r="W204" s="12"/>
      <c r="X204" s="12"/>
    </row>
    <row r="205" customFormat="false" ht="15.75" hidden="false" customHeight="false" outlineLevel="0" collapsed="false">
      <c r="A205" s="12"/>
      <c r="B205" s="34"/>
      <c r="C205" s="12"/>
      <c r="D205" s="12"/>
      <c r="E205" s="12"/>
      <c r="F205" s="12"/>
      <c r="G205" s="18"/>
      <c r="H205" s="35"/>
      <c r="I205" s="12"/>
      <c r="M205" s="12"/>
      <c r="N205" s="18"/>
      <c r="O205" s="12"/>
      <c r="P205" s="12"/>
      <c r="Q205" s="12"/>
      <c r="R205" s="36"/>
      <c r="S205" s="36"/>
      <c r="T205" s="12"/>
      <c r="U205" s="12"/>
      <c r="V205" s="12"/>
      <c r="W205" s="12"/>
      <c r="X205" s="12"/>
    </row>
    <row r="206" customFormat="false" ht="15.75" hidden="false" customHeight="false" outlineLevel="0" collapsed="false">
      <c r="A206" s="12"/>
      <c r="B206" s="34"/>
      <c r="C206" s="12"/>
      <c r="D206" s="12"/>
      <c r="E206" s="12"/>
      <c r="F206" s="12"/>
      <c r="G206" s="18"/>
      <c r="H206" s="35"/>
      <c r="I206" s="12"/>
      <c r="M206" s="12"/>
      <c r="N206" s="18"/>
      <c r="O206" s="12"/>
      <c r="P206" s="12"/>
      <c r="Q206" s="12"/>
      <c r="R206" s="36"/>
      <c r="S206" s="36"/>
      <c r="T206" s="12"/>
      <c r="U206" s="12"/>
      <c r="V206" s="12"/>
      <c r="W206" s="12"/>
      <c r="X206" s="12"/>
    </row>
    <row r="207" customFormat="false" ht="15.75" hidden="false" customHeight="false" outlineLevel="0" collapsed="false">
      <c r="A207" s="12"/>
      <c r="B207" s="34"/>
      <c r="C207" s="12"/>
      <c r="D207" s="12"/>
      <c r="E207" s="12"/>
      <c r="F207" s="12"/>
      <c r="G207" s="18"/>
      <c r="H207" s="35"/>
      <c r="I207" s="12"/>
      <c r="M207" s="12"/>
      <c r="N207" s="18"/>
      <c r="O207" s="12"/>
      <c r="P207" s="12"/>
      <c r="Q207" s="12"/>
      <c r="R207" s="36"/>
      <c r="S207" s="36"/>
      <c r="T207" s="12"/>
      <c r="U207" s="12"/>
      <c r="V207" s="12"/>
      <c r="W207" s="12"/>
      <c r="X207" s="12"/>
    </row>
    <row r="208" customFormat="false" ht="15.75" hidden="false" customHeight="false" outlineLevel="0" collapsed="false">
      <c r="A208" s="12"/>
      <c r="B208" s="34"/>
      <c r="C208" s="12"/>
      <c r="D208" s="12"/>
      <c r="E208" s="12"/>
      <c r="F208" s="12"/>
      <c r="G208" s="18"/>
      <c r="H208" s="35"/>
      <c r="I208" s="12"/>
      <c r="M208" s="12"/>
      <c r="N208" s="18"/>
      <c r="O208" s="12"/>
      <c r="P208" s="12"/>
      <c r="Q208" s="12"/>
      <c r="R208" s="36"/>
      <c r="S208" s="36"/>
      <c r="T208" s="12"/>
      <c r="U208" s="12"/>
      <c r="V208" s="12"/>
      <c r="W208" s="12"/>
      <c r="X208" s="12"/>
    </row>
    <row r="209" customFormat="false" ht="15.75" hidden="false" customHeight="false" outlineLevel="0" collapsed="false">
      <c r="A209" s="12"/>
      <c r="B209" s="34"/>
      <c r="C209" s="12"/>
      <c r="D209" s="12"/>
      <c r="E209" s="12"/>
      <c r="F209" s="12"/>
      <c r="G209" s="18"/>
      <c r="H209" s="35"/>
      <c r="I209" s="12"/>
      <c r="M209" s="12"/>
      <c r="N209" s="18"/>
      <c r="O209" s="12"/>
      <c r="P209" s="12"/>
      <c r="Q209" s="12"/>
      <c r="R209" s="36"/>
      <c r="S209" s="36"/>
      <c r="T209" s="12"/>
      <c r="U209" s="12"/>
      <c r="V209" s="12"/>
      <c r="W209" s="12"/>
      <c r="X209" s="12"/>
    </row>
    <row r="210" customFormat="false" ht="15.75" hidden="false" customHeight="false" outlineLevel="0" collapsed="false">
      <c r="A210" s="12"/>
      <c r="B210" s="34"/>
      <c r="C210" s="12"/>
      <c r="D210" s="12"/>
      <c r="E210" s="12"/>
      <c r="F210" s="12"/>
      <c r="G210" s="18"/>
      <c r="H210" s="35"/>
      <c r="I210" s="12"/>
      <c r="M210" s="12"/>
      <c r="N210" s="18"/>
      <c r="O210" s="12"/>
      <c r="P210" s="12"/>
      <c r="Q210" s="12"/>
      <c r="R210" s="36"/>
      <c r="S210" s="36"/>
      <c r="T210" s="12"/>
      <c r="U210" s="12"/>
      <c r="V210" s="12"/>
      <c r="W210" s="12"/>
      <c r="X210" s="12"/>
    </row>
    <row r="211" customFormat="false" ht="15.75" hidden="false" customHeight="false" outlineLevel="0" collapsed="false">
      <c r="A211" s="12"/>
      <c r="B211" s="34"/>
      <c r="C211" s="12"/>
      <c r="D211" s="12"/>
      <c r="E211" s="12"/>
      <c r="F211" s="12"/>
      <c r="G211" s="18"/>
      <c r="H211" s="35"/>
      <c r="I211" s="12"/>
      <c r="M211" s="12"/>
      <c r="N211" s="18"/>
      <c r="O211" s="12"/>
      <c r="P211" s="12"/>
      <c r="Q211" s="12"/>
      <c r="R211" s="36"/>
      <c r="S211" s="36"/>
      <c r="T211" s="12"/>
      <c r="U211" s="12"/>
      <c r="V211" s="12"/>
      <c r="W211" s="12"/>
      <c r="X211" s="12"/>
    </row>
    <row r="212" customFormat="false" ht="15.75" hidden="false" customHeight="false" outlineLevel="0" collapsed="false">
      <c r="A212" s="12"/>
      <c r="B212" s="34"/>
      <c r="C212" s="12"/>
      <c r="D212" s="12"/>
      <c r="E212" s="12"/>
      <c r="F212" s="12"/>
      <c r="G212" s="18"/>
      <c r="H212" s="35"/>
      <c r="I212" s="12"/>
      <c r="M212" s="12"/>
      <c r="N212" s="18"/>
      <c r="O212" s="12"/>
      <c r="P212" s="12"/>
      <c r="Q212" s="12"/>
      <c r="R212" s="36"/>
      <c r="S212" s="36"/>
      <c r="T212" s="12"/>
      <c r="U212" s="12"/>
      <c r="V212" s="12"/>
      <c r="W212" s="12"/>
      <c r="X212" s="12"/>
    </row>
    <row r="213" customFormat="false" ht="15.75" hidden="false" customHeight="false" outlineLevel="0" collapsed="false">
      <c r="A213" s="12"/>
      <c r="B213" s="34"/>
      <c r="C213" s="12"/>
      <c r="D213" s="12"/>
      <c r="E213" s="12"/>
      <c r="F213" s="12"/>
      <c r="G213" s="18"/>
      <c r="H213" s="35"/>
      <c r="I213" s="12"/>
      <c r="M213" s="12"/>
      <c r="N213" s="18"/>
      <c r="O213" s="12"/>
      <c r="P213" s="12"/>
      <c r="Q213" s="12"/>
      <c r="R213" s="36"/>
      <c r="S213" s="36"/>
      <c r="T213" s="12"/>
      <c r="U213" s="12"/>
      <c r="V213" s="12"/>
      <c r="W213" s="12"/>
      <c r="X213" s="12"/>
    </row>
    <row r="214" customFormat="false" ht="15.75" hidden="false" customHeight="false" outlineLevel="0" collapsed="false">
      <c r="A214" s="12"/>
      <c r="B214" s="34"/>
      <c r="C214" s="12"/>
      <c r="D214" s="12"/>
      <c r="E214" s="12"/>
      <c r="F214" s="12"/>
      <c r="G214" s="18"/>
      <c r="H214" s="35"/>
      <c r="I214" s="12"/>
      <c r="M214" s="12"/>
      <c r="N214" s="18"/>
      <c r="O214" s="12"/>
      <c r="P214" s="12"/>
      <c r="Q214" s="12"/>
      <c r="R214" s="36"/>
      <c r="S214" s="36"/>
      <c r="T214" s="12"/>
      <c r="U214" s="12"/>
      <c r="V214" s="12"/>
      <c r="W214" s="12"/>
      <c r="X214" s="12"/>
    </row>
    <row r="215" customFormat="false" ht="15.75" hidden="false" customHeight="false" outlineLevel="0" collapsed="false">
      <c r="A215" s="12"/>
      <c r="B215" s="34"/>
      <c r="C215" s="12"/>
      <c r="D215" s="12"/>
      <c r="E215" s="12"/>
      <c r="F215" s="12"/>
      <c r="G215" s="18"/>
      <c r="H215" s="35"/>
      <c r="I215" s="12"/>
      <c r="M215" s="12"/>
      <c r="N215" s="18"/>
      <c r="O215" s="12"/>
      <c r="P215" s="12"/>
      <c r="Q215" s="12"/>
      <c r="R215" s="36"/>
      <c r="S215" s="36"/>
      <c r="T215" s="12"/>
      <c r="U215" s="12"/>
      <c r="V215" s="12"/>
      <c r="W215" s="12"/>
      <c r="X215" s="12"/>
    </row>
    <row r="216" customFormat="false" ht="15.75" hidden="false" customHeight="false" outlineLevel="0" collapsed="false">
      <c r="A216" s="12"/>
      <c r="B216" s="34"/>
      <c r="C216" s="12"/>
      <c r="D216" s="12"/>
      <c r="E216" s="12"/>
      <c r="F216" s="12"/>
      <c r="G216" s="18"/>
      <c r="H216" s="35"/>
      <c r="I216" s="12"/>
      <c r="M216" s="12"/>
      <c r="N216" s="18"/>
      <c r="O216" s="12"/>
      <c r="P216" s="12"/>
      <c r="Q216" s="12"/>
      <c r="R216" s="36"/>
      <c r="S216" s="36"/>
      <c r="T216" s="12"/>
      <c r="U216" s="12"/>
      <c r="V216" s="12"/>
      <c r="W216" s="12"/>
      <c r="X216" s="12"/>
    </row>
    <row r="217" customFormat="false" ht="15.75" hidden="false" customHeight="false" outlineLevel="0" collapsed="false">
      <c r="A217" s="12"/>
      <c r="B217" s="34"/>
      <c r="C217" s="12"/>
      <c r="D217" s="12"/>
      <c r="E217" s="12"/>
      <c r="F217" s="12"/>
      <c r="G217" s="18"/>
      <c r="H217" s="35"/>
      <c r="I217" s="12"/>
      <c r="M217" s="12"/>
      <c r="N217" s="18"/>
      <c r="O217" s="12"/>
      <c r="P217" s="12"/>
      <c r="Q217" s="12"/>
      <c r="R217" s="36"/>
      <c r="S217" s="36"/>
      <c r="T217" s="12"/>
      <c r="U217" s="12"/>
      <c r="V217" s="12"/>
      <c r="W217" s="12"/>
      <c r="X217" s="12"/>
    </row>
    <row r="218" customFormat="false" ht="15.75" hidden="false" customHeight="false" outlineLevel="0" collapsed="false">
      <c r="A218" s="12"/>
      <c r="B218" s="34"/>
      <c r="C218" s="12"/>
      <c r="D218" s="12"/>
      <c r="E218" s="12"/>
      <c r="F218" s="12"/>
      <c r="G218" s="18"/>
      <c r="H218" s="35"/>
      <c r="I218" s="12"/>
      <c r="M218" s="12"/>
      <c r="N218" s="18"/>
      <c r="O218" s="12"/>
      <c r="P218" s="12"/>
      <c r="Q218" s="12"/>
      <c r="R218" s="36"/>
      <c r="S218" s="36"/>
      <c r="T218" s="12"/>
      <c r="U218" s="12"/>
      <c r="V218" s="12"/>
      <c r="W218" s="12"/>
      <c r="X218" s="12"/>
    </row>
    <row r="219" customFormat="false" ht="15.75" hidden="false" customHeight="false" outlineLevel="0" collapsed="false">
      <c r="A219" s="12"/>
      <c r="B219" s="34"/>
      <c r="C219" s="12"/>
      <c r="D219" s="12"/>
      <c r="E219" s="12"/>
      <c r="F219" s="12"/>
      <c r="G219" s="18"/>
      <c r="H219" s="35"/>
      <c r="I219" s="12"/>
      <c r="M219" s="12"/>
      <c r="N219" s="18"/>
      <c r="O219" s="12"/>
      <c r="P219" s="12"/>
      <c r="Q219" s="12"/>
      <c r="R219" s="36"/>
      <c r="S219" s="36"/>
      <c r="T219" s="12"/>
      <c r="U219" s="12"/>
      <c r="V219" s="12"/>
      <c r="W219" s="12"/>
      <c r="X219" s="12"/>
    </row>
    <row r="220" customFormat="false" ht="15.75" hidden="false" customHeight="false" outlineLevel="0" collapsed="false">
      <c r="A220" s="12"/>
      <c r="B220" s="34"/>
      <c r="C220" s="12"/>
      <c r="D220" s="12"/>
      <c r="E220" s="12"/>
      <c r="F220" s="12"/>
      <c r="G220" s="18"/>
      <c r="H220" s="35"/>
      <c r="I220" s="12"/>
      <c r="M220" s="12"/>
      <c r="N220" s="18"/>
      <c r="O220" s="12"/>
      <c r="P220" s="12"/>
      <c r="Q220" s="12"/>
      <c r="R220" s="36"/>
      <c r="S220" s="36"/>
      <c r="T220" s="12"/>
      <c r="U220" s="12"/>
      <c r="V220" s="12"/>
      <c r="W220" s="12"/>
      <c r="X220" s="12"/>
    </row>
    <row r="221" customFormat="false" ht="15.75" hidden="false" customHeight="false" outlineLevel="0" collapsed="false">
      <c r="A221" s="12"/>
      <c r="B221" s="34"/>
      <c r="C221" s="12"/>
      <c r="D221" s="12"/>
      <c r="E221" s="12"/>
      <c r="F221" s="12"/>
      <c r="G221" s="18"/>
      <c r="H221" s="35"/>
      <c r="I221" s="12"/>
      <c r="M221" s="12"/>
      <c r="N221" s="18"/>
      <c r="O221" s="12"/>
      <c r="P221" s="12"/>
      <c r="Q221" s="12"/>
      <c r="R221" s="36"/>
      <c r="S221" s="36"/>
      <c r="T221" s="12"/>
      <c r="U221" s="12"/>
      <c r="V221" s="12"/>
      <c r="W221" s="12"/>
      <c r="X221" s="12"/>
    </row>
    <row r="222" customFormat="false" ht="15.75" hidden="false" customHeight="false" outlineLevel="0" collapsed="false">
      <c r="A222" s="12"/>
      <c r="B222" s="34"/>
      <c r="C222" s="12"/>
      <c r="D222" s="12"/>
      <c r="E222" s="12"/>
      <c r="F222" s="12"/>
      <c r="G222" s="18"/>
      <c r="H222" s="35"/>
      <c r="I222" s="12"/>
      <c r="M222" s="12"/>
      <c r="N222" s="18"/>
      <c r="O222" s="12"/>
      <c r="P222" s="12"/>
      <c r="Q222" s="12"/>
      <c r="R222" s="36"/>
      <c r="S222" s="36"/>
      <c r="T222" s="12"/>
      <c r="U222" s="12"/>
      <c r="V222" s="12"/>
      <c r="W222" s="12"/>
      <c r="X222" s="12"/>
    </row>
    <row r="223" customFormat="false" ht="15.75" hidden="false" customHeight="false" outlineLevel="0" collapsed="false">
      <c r="A223" s="12"/>
      <c r="B223" s="34"/>
      <c r="C223" s="12"/>
      <c r="D223" s="12"/>
      <c r="E223" s="12"/>
      <c r="F223" s="12"/>
      <c r="G223" s="18"/>
      <c r="H223" s="35"/>
      <c r="I223" s="12"/>
      <c r="M223" s="12"/>
      <c r="N223" s="18"/>
      <c r="O223" s="12"/>
      <c r="P223" s="12"/>
      <c r="Q223" s="12"/>
      <c r="R223" s="36"/>
      <c r="S223" s="36"/>
      <c r="T223" s="12"/>
      <c r="U223" s="12"/>
      <c r="V223" s="12"/>
      <c r="W223" s="12"/>
      <c r="X223" s="12"/>
    </row>
    <row r="224" customFormat="false" ht="15.75" hidden="false" customHeight="false" outlineLevel="0" collapsed="false">
      <c r="A224" s="12"/>
      <c r="B224" s="34"/>
      <c r="C224" s="12"/>
      <c r="D224" s="12"/>
      <c r="E224" s="12"/>
      <c r="F224" s="12"/>
      <c r="G224" s="18"/>
      <c r="H224" s="35"/>
      <c r="I224" s="12"/>
      <c r="M224" s="12"/>
      <c r="N224" s="18"/>
      <c r="O224" s="12"/>
      <c r="P224" s="12"/>
      <c r="Q224" s="12"/>
      <c r="R224" s="36"/>
      <c r="S224" s="36"/>
      <c r="T224" s="12"/>
      <c r="U224" s="12"/>
      <c r="V224" s="12"/>
      <c r="W224" s="12"/>
      <c r="X224" s="12"/>
    </row>
    <row r="225" customFormat="false" ht="15.75" hidden="false" customHeight="false" outlineLevel="0" collapsed="false">
      <c r="A225" s="12"/>
      <c r="B225" s="34"/>
      <c r="C225" s="12"/>
      <c r="D225" s="12"/>
      <c r="E225" s="12"/>
      <c r="F225" s="12"/>
      <c r="G225" s="18"/>
      <c r="H225" s="35"/>
      <c r="I225" s="12"/>
      <c r="M225" s="12"/>
      <c r="N225" s="18"/>
      <c r="O225" s="12"/>
      <c r="P225" s="12"/>
      <c r="Q225" s="12"/>
      <c r="R225" s="36"/>
      <c r="S225" s="36"/>
      <c r="T225" s="12"/>
      <c r="U225" s="12"/>
      <c r="V225" s="12"/>
      <c r="W225" s="12"/>
      <c r="X225" s="12"/>
    </row>
    <row r="226" customFormat="false" ht="15.75" hidden="false" customHeight="false" outlineLevel="0" collapsed="false">
      <c r="A226" s="12"/>
      <c r="B226" s="34"/>
      <c r="C226" s="12"/>
      <c r="D226" s="12"/>
      <c r="E226" s="12"/>
      <c r="F226" s="12"/>
      <c r="G226" s="18"/>
      <c r="H226" s="35"/>
      <c r="I226" s="12"/>
      <c r="M226" s="12"/>
      <c r="N226" s="18"/>
      <c r="O226" s="12"/>
      <c r="P226" s="12"/>
      <c r="Q226" s="12"/>
      <c r="R226" s="36"/>
      <c r="S226" s="36"/>
      <c r="T226" s="12"/>
      <c r="U226" s="12"/>
      <c r="V226" s="12"/>
      <c r="W226" s="12"/>
      <c r="X226" s="12"/>
    </row>
    <row r="227" customFormat="false" ht="15.75" hidden="false" customHeight="false" outlineLevel="0" collapsed="false">
      <c r="A227" s="12"/>
      <c r="B227" s="34"/>
      <c r="C227" s="12"/>
      <c r="D227" s="12"/>
      <c r="E227" s="12"/>
      <c r="F227" s="12"/>
      <c r="G227" s="18"/>
      <c r="H227" s="35"/>
      <c r="I227" s="12"/>
      <c r="M227" s="12"/>
      <c r="N227" s="18"/>
      <c r="O227" s="12"/>
      <c r="P227" s="12"/>
      <c r="Q227" s="12"/>
      <c r="R227" s="36"/>
      <c r="S227" s="36"/>
      <c r="T227" s="12"/>
      <c r="U227" s="12"/>
      <c r="V227" s="12"/>
      <c r="W227" s="12"/>
      <c r="X227" s="12"/>
    </row>
    <row r="228" customFormat="false" ht="15.75" hidden="false" customHeight="false" outlineLevel="0" collapsed="false">
      <c r="A228" s="12"/>
      <c r="B228" s="34"/>
      <c r="C228" s="12"/>
      <c r="D228" s="12"/>
      <c r="E228" s="12"/>
      <c r="F228" s="12"/>
      <c r="G228" s="18"/>
      <c r="H228" s="35"/>
      <c r="I228" s="12"/>
      <c r="M228" s="12"/>
      <c r="N228" s="18"/>
      <c r="O228" s="12"/>
      <c r="P228" s="12"/>
      <c r="Q228" s="12"/>
      <c r="R228" s="36"/>
      <c r="S228" s="36"/>
      <c r="T228" s="12"/>
      <c r="U228" s="12"/>
      <c r="V228" s="12"/>
      <c r="W228" s="12"/>
      <c r="X228" s="12"/>
    </row>
    <row r="229" customFormat="false" ht="15.75" hidden="false" customHeight="false" outlineLevel="0" collapsed="false">
      <c r="A229" s="12"/>
      <c r="B229" s="34"/>
      <c r="C229" s="12"/>
      <c r="D229" s="12"/>
      <c r="E229" s="12"/>
      <c r="F229" s="12"/>
      <c r="G229" s="18"/>
      <c r="H229" s="35"/>
      <c r="I229" s="12"/>
      <c r="M229" s="12"/>
      <c r="N229" s="18"/>
      <c r="O229" s="12"/>
      <c r="P229" s="12"/>
      <c r="Q229" s="12"/>
      <c r="R229" s="36"/>
      <c r="S229" s="36"/>
      <c r="T229" s="12"/>
      <c r="U229" s="12"/>
      <c r="V229" s="12"/>
      <c r="W229" s="12"/>
      <c r="X229" s="12"/>
    </row>
    <row r="230" customFormat="false" ht="15.75" hidden="false" customHeight="false" outlineLevel="0" collapsed="false">
      <c r="A230" s="12"/>
      <c r="B230" s="34"/>
      <c r="C230" s="12"/>
      <c r="D230" s="12"/>
      <c r="E230" s="12"/>
      <c r="F230" s="12"/>
      <c r="G230" s="18"/>
      <c r="H230" s="35"/>
      <c r="I230" s="12"/>
      <c r="M230" s="12"/>
      <c r="N230" s="18"/>
      <c r="O230" s="12"/>
      <c r="P230" s="12"/>
      <c r="Q230" s="12"/>
      <c r="R230" s="36"/>
      <c r="S230" s="36"/>
      <c r="T230" s="12"/>
      <c r="U230" s="12"/>
      <c r="V230" s="12"/>
      <c r="W230" s="12"/>
      <c r="X230" s="12"/>
    </row>
    <row r="231" customFormat="false" ht="15.75" hidden="false" customHeight="false" outlineLevel="0" collapsed="false">
      <c r="A231" s="12"/>
      <c r="B231" s="34"/>
      <c r="C231" s="12"/>
      <c r="D231" s="12"/>
      <c r="E231" s="12"/>
      <c r="F231" s="12"/>
      <c r="G231" s="18"/>
      <c r="H231" s="35"/>
      <c r="I231" s="12"/>
      <c r="M231" s="12"/>
      <c r="N231" s="18"/>
      <c r="O231" s="12"/>
      <c r="P231" s="12"/>
      <c r="Q231" s="12"/>
      <c r="R231" s="36"/>
      <c r="S231" s="36"/>
      <c r="T231" s="12"/>
      <c r="U231" s="12"/>
      <c r="V231" s="12"/>
      <c r="W231" s="12"/>
      <c r="X231" s="12"/>
    </row>
    <row r="232" customFormat="false" ht="15.75" hidden="false" customHeight="false" outlineLevel="0" collapsed="false">
      <c r="A232" s="12"/>
      <c r="B232" s="34"/>
      <c r="C232" s="12"/>
      <c r="D232" s="12"/>
      <c r="E232" s="12"/>
      <c r="F232" s="12"/>
      <c r="G232" s="18"/>
      <c r="H232" s="35"/>
      <c r="I232" s="12"/>
      <c r="M232" s="12"/>
      <c r="N232" s="18"/>
      <c r="O232" s="12"/>
      <c r="P232" s="12"/>
      <c r="Q232" s="12"/>
      <c r="R232" s="36"/>
      <c r="S232" s="36"/>
      <c r="T232" s="12"/>
      <c r="U232" s="12"/>
      <c r="V232" s="12"/>
      <c r="W232" s="12"/>
      <c r="X232" s="12"/>
    </row>
    <row r="233" customFormat="false" ht="15.75" hidden="false" customHeight="false" outlineLevel="0" collapsed="false">
      <c r="A233" s="12"/>
      <c r="B233" s="34"/>
      <c r="C233" s="12"/>
      <c r="D233" s="12"/>
      <c r="E233" s="12"/>
      <c r="F233" s="12"/>
      <c r="G233" s="18"/>
      <c r="H233" s="35"/>
      <c r="I233" s="12"/>
      <c r="M233" s="12"/>
      <c r="N233" s="18"/>
      <c r="O233" s="12"/>
      <c r="P233" s="12"/>
      <c r="Q233" s="12"/>
      <c r="R233" s="36"/>
      <c r="S233" s="36"/>
      <c r="T233" s="12"/>
      <c r="U233" s="12"/>
      <c r="V233" s="12"/>
      <c r="W233" s="12"/>
      <c r="X233" s="12"/>
    </row>
    <row r="234" customFormat="false" ht="15.75" hidden="false" customHeight="false" outlineLevel="0" collapsed="false">
      <c r="A234" s="12"/>
      <c r="B234" s="34"/>
      <c r="C234" s="12"/>
      <c r="D234" s="12"/>
      <c r="E234" s="12"/>
      <c r="F234" s="12"/>
      <c r="G234" s="18"/>
      <c r="H234" s="35"/>
      <c r="I234" s="12"/>
      <c r="M234" s="12"/>
      <c r="N234" s="18"/>
      <c r="O234" s="12"/>
      <c r="P234" s="12"/>
      <c r="Q234" s="12"/>
      <c r="R234" s="36"/>
      <c r="S234" s="36"/>
      <c r="T234" s="12"/>
      <c r="U234" s="12"/>
      <c r="V234" s="12"/>
      <c r="W234" s="12"/>
      <c r="X234" s="12"/>
    </row>
    <row r="235" customFormat="false" ht="15.75" hidden="false" customHeight="false" outlineLevel="0" collapsed="false">
      <c r="A235" s="12"/>
      <c r="B235" s="34"/>
      <c r="C235" s="12"/>
      <c r="D235" s="12"/>
      <c r="E235" s="12"/>
      <c r="F235" s="12"/>
      <c r="G235" s="18"/>
      <c r="H235" s="35"/>
      <c r="I235" s="12"/>
      <c r="M235" s="12"/>
      <c r="N235" s="18"/>
      <c r="O235" s="12"/>
      <c r="P235" s="12"/>
      <c r="Q235" s="12"/>
      <c r="R235" s="36"/>
      <c r="S235" s="36"/>
      <c r="T235" s="12"/>
      <c r="U235" s="12"/>
      <c r="V235" s="12"/>
      <c r="W235" s="12"/>
      <c r="X235" s="12"/>
    </row>
    <row r="236" customFormat="false" ht="15.75" hidden="false" customHeight="false" outlineLevel="0" collapsed="false">
      <c r="A236" s="12"/>
      <c r="B236" s="34"/>
      <c r="C236" s="12"/>
      <c r="D236" s="12"/>
      <c r="E236" s="12"/>
      <c r="F236" s="12"/>
      <c r="G236" s="18"/>
      <c r="H236" s="35"/>
      <c r="I236" s="12"/>
      <c r="M236" s="12"/>
      <c r="N236" s="18"/>
      <c r="O236" s="12"/>
      <c r="P236" s="12"/>
      <c r="Q236" s="12"/>
      <c r="R236" s="36"/>
      <c r="S236" s="36"/>
      <c r="T236" s="12"/>
      <c r="U236" s="12"/>
      <c r="V236" s="12"/>
      <c r="W236" s="12"/>
      <c r="X236" s="12"/>
    </row>
    <row r="237" customFormat="false" ht="15.75" hidden="false" customHeight="false" outlineLevel="0" collapsed="false">
      <c r="A237" s="12"/>
      <c r="B237" s="34"/>
      <c r="C237" s="12"/>
      <c r="D237" s="12"/>
      <c r="E237" s="12"/>
      <c r="F237" s="12"/>
      <c r="G237" s="18"/>
      <c r="H237" s="35"/>
      <c r="I237" s="12"/>
      <c r="M237" s="12"/>
      <c r="N237" s="18"/>
      <c r="O237" s="12"/>
      <c r="P237" s="12"/>
      <c r="Q237" s="12"/>
      <c r="R237" s="36"/>
      <c r="S237" s="36"/>
      <c r="T237" s="12"/>
      <c r="U237" s="12"/>
      <c r="V237" s="12"/>
      <c r="W237" s="12"/>
      <c r="X237" s="12"/>
    </row>
    <row r="238" customFormat="false" ht="15.75" hidden="false" customHeight="false" outlineLevel="0" collapsed="false">
      <c r="A238" s="12"/>
      <c r="B238" s="34"/>
      <c r="C238" s="12"/>
      <c r="D238" s="12"/>
      <c r="E238" s="12"/>
      <c r="F238" s="12"/>
      <c r="G238" s="18"/>
      <c r="H238" s="35"/>
      <c r="I238" s="12"/>
      <c r="M238" s="12"/>
      <c r="N238" s="18"/>
      <c r="O238" s="12"/>
      <c r="P238" s="12"/>
      <c r="Q238" s="12"/>
      <c r="R238" s="36"/>
      <c r="S238" s="36"/>
      <c r="T238" s="12"/>
      <c r="U238" s="12"/>
      <c r="V238" s="12"/>
      <c r="W238" s="12"/>
      <c r="X238" s="12"/>
    </row>
    <row r="239" customFormat="false" ht="15.75" hidden="false" customHeight="false" outlineLevel="0" collapsed="false">
      <c r="A239" s="12"/>
      <c r="B239" s="34"/>
      <c r="C239" s="12"/>
      <c r="D239" s="12"/>
      <c r="E239" s="12"/>
      <c r="F239" s="12"/>
      <c r="G239" s="18"/>
      <c r="H239" s="35"/>
      <c r="I239" s="12"/>
      <c r="M239" s="12"/>
      <c r="N239" s="18"/>
      <c r="O239" s="12"/>
      <c r="P239" s="12"/>
      <c r="Q239" s="12"/>
      <c r="R239" s="36"/>
      <c r="S239" s="36"/>
      <c r="T239" s="12"/>
      <c r="U239" s="12"/>
      <c r="V239" s="12"/>
      <c r="W239" s="12"/>
      <c r="X239" s="12"/>
    </row>
    <row r="240" customFormat="false" ht="15.75" hidden="false" customHeight="false" outlineLevel="0" collapsed="false">
      <c r="A240" s="12"/>
      <c r="B240" s="34"/>
      <c r="C240" s="12"/>
      <c r="D240" s="12"/>
      <c r="E240" s="12"/>
      <c r="F240" s="12"/>
      <c r="G240" s="18"/>
      <c r="H240" s="35"/>
      <c r="I240" s="12"/>
      <c r="M240" s="12"/>
      <c r="N240" s="18"/>
      <c r="O240" s="12"/>
      <c r="P240" s="12"/>
      <c r="Q240" s="12"/>
      <c r="R240" s="36"/>
      <c r="S240" s="36"/>
      <c r="T240" s="12"/>
      <c r="U240" s="12"/>
      <c r="V240" s="12"/>
      <c r="W240" s="12"/>
      <c r="X240" s="12"/>
    </row>
    <row r="241" customFormat="false" ht="15.75" hidden="false" customHeight="false" outlineLevel="0" collapsed="false">
      <c r="A241" s="12"/>
      <c r="B241" s="34"/>
      <c r="C241" s="12"/>
      <c r="D241" s="12"/>
      <c r="E241" s="12"/>
      <c r="F241" s="12"/>
      <c r="G241" s="18"/>
      <c r="H241" s="35"/>
      <c r="I241" s="12"/>
      <c r="M241" s="12"/>
      <c r="N241" s="18"/>
      <c r="O241" s="12"/>
      <c r="P241" s="12"/>
      <c r="Q241" s="12"/>
      <c r="R241" s="36"/>
      <c r="S241" s="36"/>
      <c r="T241" s="12"/>
      <c r="U241" s="12"/>
      <c r="V241" s="12"/>
      <c r="W241" s="12"/>
      <c r="X241" s="12"/>
    </row>
    <row r="242" customFormat="false" ht="15.75" hidden="false" customHeight="false" outlineLevel="0" collapsed="false">
      <c r="A242" s="12"/>
      <c r="B242" s="34"/>
      <c r="C242" s="12"/>
      <c r="D242" s="12"/>
      <c r="E242" s="12"/>
      <c r="F242" s="12"/>
      <c r="G242" s="18"/>
      <c r="H242" s="35"/>
      <c r="I242" s="12"/>
      <c r="M242" s="12"/>
      <c r="N242" s="18"/>
      <c r="O242" s="12"/>
      <c r="P242" s="12"/>
      <c r="Q242" s="12"/>
      <c r="R242" s="36"/>
      <c r="S242" s="36"/>
      <c r="T242" s="12"/>
      <c r="U242" s="12"/>
      <c r="V242" s="12"/>
      <c r="W242" s="12"/>
      <c r="X242" s="12"/>
    </row>
    <row r="243" customFormat="false" ht="15.75" hidden="false" customHeight="false" outlineLevel="0" collapsed="false">
      <c r="A243" s="12"/>
      <c r="B243" s="34"/>
      <c r="C243" s="12"/>
      <c r="D243" s="12"/>
      <c r="E243" s="12"/>
      <c r="F243" s="12"/>
      <c r="G243" s="18"/>
      <c r="H243" s="35"/>
      <c r="I243" s="12"/>
      <c r="M243" s="12"/>
      <c r="N243" s="18"/>
      <c r="O243" s="12"/>
      <c r="P243" s="12"/>
      <c r="Q243" s="12"/>
      <c r="R243" s="36"/>
      <c r="S243" s="36"/>
      <c r="T243" s="12"/>
      <c r="U243" s="12"/>
      <c r="V243" s="12"/>
      <c r="W243" s="12"/>
      <c r="X243" s="12"/>
    </row>
    <row r="244" customFormat="false" ht="15.75" hidden="false" customHeight="false" outlineLevel="0" collapsed="false">
      <c r="A244" s="12"/>
      <c r="B244" s="34"/>
      <c r="C244" s="12"/>
      <c r="D244" s="12"/>
      <c r="E244" s="12"/>
      <c r="F244" s="12"/>
      <c r="G244" s="18"/>
      <c r="H244" s="35"/>
      <c r="I244" s="12"/>
      <c r="M244" s="12"/>
      <c r="N244" s="18"/>
      <c r="O244" s="12"/>
      <c r="P244" s="12"/>
      <c r="Q244" s="12"/>
      <c r="R244" s="36"/>
      <c r="S244" s="36"/>
      <c r="T244" s="12"/>
      <c r="U244" s="12"/>
      <c r="V244" s="12"/>
      <c r="W244" s="12"/>
      <c r="X244" s="12"/>
    </row>
    <row r="245" customFormat="false" ht="15.75" hidden="false" customHeight="false" outlineLevel="0" collapsed="false">
      <c r="A245" s="12"/>
      <c r="B245" s="34"/>
      <c r="C245" s="12"/>
      <c r="D245" s="12"/>
      <c r="E245" s="12"/>
      <c r="F245" s="12"/>
      <c r="G245" s="18"/>
      <c r="H245" s="35"/>
      <c r="I245" s="12"/>
      <c r="M245" s="12"/>
      <c r="N245" s="18"/>
      <c r="O245" s="12"/>
      <c r="P245" s="12"/>
      <c r="Q245" s="12"/>
      <c r="R245" s="36"/>
      <c r="S245" s="36"/>
      <c r="T245" s="12"/>
      <c r="U245" s="12"/>
      <c r="V245" s="12"/>
      <c r="W245" s="12"/>
      <c r="X245" s="12"/>
    </row>
    <row r="246" customFormat="false" ht="15.75" hidden="false" customHeight="false" outlineLevel="0" collapsed="false">
      <c r="A246" s="12"/>
      <c r="B246" s="34"/>
      <c r="C246" s="12"/>
      <c r="D246" s="12"/>
      <c r="E246" s="12"/>
      <c r="F246" s="12"/>
      <c r="G246" s="18"/>
      <c r="H246" s="35"/>
      <c r="I246" s="12"/>
      <c r="M246" s="12"/>
      <c r="N246" s="18"/>
      <c r="O246" s="12"/>
      <c r="P246" s="12"/>
      <c r="Q246" s="12"/>
      <c r="R246" s="36"/>
      <c r="S246" s="36"/>
      <c r="T246" s="12"/>
      <c r="U246" s="12"/>
      <c r="V246" s="12"/>
      <c r="W246" s="12"/>
      <c r="X246" s="12"/>
    </row>
    <row r="247" customFormat="false" ht="15.75" hidden="false" customHeight="false" outlineLevel="0" collapsed="false">
      <c r="A247" s="12"/>
      <c r="B247" s="34"/>
      <c r="C247" s="12"/>
      <c r="D247" s="12"/>
      <c r="E247" s="12"/>
      <c r="F247" s="12"/>
      <c r="G247" s="18"/>
      <c r="H247" s="35"/>
      <c r="I247" s="12"/>
      <c r="M247" s="12"/>
      <c r="N247" s="18"/>
      <c r="O247" s="12"/>
      <c r="P247" s="12"/>
      <c r="Q247" s="12"/>
      <c r="R247" s="36"/>
      <c r="S247" s="36"/>
      <c r="T247" s="12"/>
      <c r="U247" s="12"/>
      <c r="V247" s="12"/>
      <c r="W247" s="12"/>
      <c r="X247" s="12"/>
    </row>
    <row r="248" customFormat="false" ht="15.75" hidden="false" customHeight="false" outlineLevel="0" collapsed="false">
      <c r="A248" s="12"/>
      <c r="B248" s="34"/>
      <c r="C248" s="12"/>
      <c r="D248" s="12"/>
      <c r="E248" s="12"/>
      <c r="F248" s="12"/>
      <c r="G248" s="18"/>
      <c r="H248" s="35"/>
      <c r="I248" s="12"/>
      <c r="M248" s="12"/>
      <c r="N248" s="18"/>
      <c r="O248" s="12"/>
      <c r="P248" s="12"/>
      <c r="Q248" s="12"/>
      <c r="R248" s="36"/>
      <c r="S248" s="36"/>
      <c r="T248" s="12"/>
      <c r="U248" s="12"/>
      <c r="V248" s="12"/>
      <c r="W248" s="12"/>
      <c r="X248" s="12"/>
    </row>
    <row r="249" customFormat="false" ht="15.75" hidden="false" customHeight="false" outlineLevel="0" collapsed="false">
      <c r="A249" s="12"/>
      <c r="B249" s="34"/>
      <c r="C249" s="12"/>
      <c r="D249" s="12"/>
      <c r="E249" s="12"/>
      <c r="F249" s="12"/>
      <c r="G249" s="18"/>
      <c r="H249" s="35"/>
      <c r="I249" s="12"/>
      <c r="M249" s="12"/>
      <c r="N249" s="18"/>
      <c r="O249" s="12"/>
      <c r="P249" s="12"/>
      <c r="Q249" s="12"/>
      <c r="R249" s="36"/>
      <c r="S249" s="36"/>
      <c r="T249" s="12"/>
      <c r="U249" s="12"/>
      <c r="V249" s="12"/>
      <c r="W249" s="12"/>
      <c r="X249" s="12"/>
    </row>
    <row r="250" customFormat="false" ht="15.75" hidden="false" customHeight="false" outlineLevel="0" collapsed="false">
      <c r="A250" s="12"/>
      <c r="B250" s="34"/>
      <c r="C250" s="12"/>
      <c r="D250" s="12"/>
      <c r="E250" s="12"/>
      <c r="F250" s="12"/>
      <c r="G250" s="18"/>
      <c r="H250" s="35"/>
      <c r="I250" s="12"/>
      <c r="M250" s="12"/>
      <c r="N250" s="18"/>
      <c r="O250" s="12"/>
      <c r="P250" s="12"/>
      <c r="Q250" s="12"/>
      <c r="R250" s="36"/>
      <c r="S250" s="36"/>
      <c r="T250" s="12"/>
      <c r="U250" s="12"/>
      <c r="V250" s="12"/>
      <c r="W250" s="12"/>
      <c r="X250" s="12"/>
    </row>
    <row r="251" customFormat="false" ht="15.75" hidden="false" customHeight="false" outlineLevel="0" collapsed="false">
      <c r="A251" s="12"/>
      <c r="B251" s="34"/>
      <c r="C251" s="12"/>
      <c r="D251" s="12"/>
      <c r="E251" s="12"/>
      <c r="F251" s="12"/>
      <c r="G251" s="18"/>
      <c r="H251" s="35"/>
      <c r="I251" s="12"/>
      <c r="M251" s="12"/>
      <c r="N251" s="18"/>
      <c r="O251" s="12"/>
      <c r="P251" s="12"/>
      <c r="Q251" s="12"/>
      <c r="R251" s="36"/>
      <c r="S251" s="36"/>
      <c r="T251" s="12"/>
      <c r="U251" s="12"/>
      <c r="V251" s="12"/>
      <c r="W251" s="12"/>
      <c r="X251" s="12"/>
    </row>
    <row r="252" customFormat="false" ht="15.75" hidden="false" customHeight="false" outlineLevel="0" collapsed="false">
      <c r="A252" s="12"/>
      <c r="B252" s="34"/>
      <c r="C252" s="12"/>
      <c r="D252" s="12"/>
      <c r="E252" s="12"/>
      <c r="F252" s="12"/>
      <c r="G252" s="18"/>
      <c r="H252" s="35"/>
      <c r="I252" s="12"/>
      <c r="M252" s="12"/>
      <c r="N252" s="18"/>
      <c r="O252" s="12"/>
      <c r="P252" s="12"/>
      <c r="Q252" s="12"/>
      <c r="R252" s="36"/>
      <c r="S252" s="36"/>
      <c r="T252" s="12"/>
      <c r="U252" s="12"/>
      <c r="V252" s="12"/>
      <c r="W252" s="12"/>
      <c r="X252" s="12"/>
    </row>
    <row r="253" customFormat="false" ht="15.75" hidden="false" customHeight="false" outlineLevel="0" collapsed="false">
      <c r="A253" s="12"/>
      <c r="B253" s="34"/>
      <c r="C253" s="12"/>
      <c r="D253" s="12"/>
      <c r="E253" s="12"/>
      <c r="F253" s="12"/>
      <c r="G253" s="18"/>
      <c r="H253" s="35"/>
      <c r="I253" s="12"/>
      <c r="M253" s="12"/>
      <c r="N253" s="18"/>
      <c r="O253" s="12"/>
      <c r="P253" s="12"/>
      <c r="Q253" s="12"/>
      <c r="R253" s="36"/>
      <c r="S253" s="36"/>
      <c r="T253" s="12"/>
      <c r="U253" s="12"/>
      <c r="V253" s="12"/>
      <c r="W253" s="12"/>
      <c r="X253" s="12"/>
    </row>
    <row r="254" customFormat="false" ht="15.75" hidden="false" customHeight="false" outlineLevel="0" collapsed="false">
      <c r="A254" s="12"/>
      <c r="B254" s="34"/>
      <c r="C254" s="12"/>
      <c r="D254" s="12"/>
      <c r="E254" s="12"/>
      <c r="F254" s="12"/>
      <c r="G254" s="18"/>
      <c r="H254" s="35"/>
      <c r="I254" s="12"/>
      <c r="M254" s="12"/>
      <c r="N254" s="18"/>
      <c r="O254" s="12"/>
      <c r="P254" s="12"/>
      <c r="Q254" s="12"/>
      <c r="R254" s="36"/>
      <c r="S254" s="36"/>
      <c r="T254" s="12"/>
      <c r="U254" s="12"/>
      <c r="V254" s="12"/>
      <c r="W254" s="12"/>
      <c r="X254" s="12"/>
    </row>
    <row r="255" customFormat="false" ht="15.75" hidden="false" customHeight="false" outlineLevel="0" collapsed="false">
      <c r="A255" s="12"/>
      <c r="B255" s="34"/>
      <c r="C255" s="12"/>
      <c r="D255" s="12"/>
      <c r="E255" s="12"/>
      <c r="F255" s="12"/>
      <c r="G255" s="18"/>
      <c r="H255" s="35"/>
      <c r="I255" s="12"/>
      <c r="M255" s="12"/>
      <c r="N255" s="18"/>
      <c r="O255" s="12"/>
      <c r="P255" s="12"/>
      <c r="Q255" s="12"/>
      <c r="R255" s="36"/>
      <c r="S255" s="36"/>
      <c r="T255" s="12"/>
      <c r="U255" s="12"/>
      <c r="V255" s="12"/>
      <c r="W255" s="12"/>
      <c r="X255" s="12"/>
    </row>
    <row r="256" customFormat="false" ht="15.75" hidden="false" customHeight="false" outlineLevel="0" collapsed="false">
      <c r="A256" s="12"/>
      <c r="B256" s="34"/>
      <c r="C256" s="12"/>
      <c r="D256" s="12"/>
      <c r="E256" s="12"/>
      <c r="F256" s="12"/>
      <c r="G256" s="18"/>
      <c r="H256" s="35"/>
      <c r="I256" s="12"/>
      <c r="M256" s="12"/>
      <c r="N256" s="18"/>
      <c r="O256" s="12"/>
      <c r="P256" s="12"/>
      <c r="Q256" s="12"/>
      <c r="R256" s="36"/>
      <c r="S256" s="36"/>
      <c r="T256" s="12"/>
      <c r="U256" s="12"/>
      <c r="V256" s="12"/>
      <c r="W256" s="12"/>
      <c r="X256" s="12"/>
    </row>
    <row r="257" customFormat="false" ht="15.75" hidden="false" customHeight="false" outlineLevel="0" collapsed="false">
      <c r="A257" s="12"/>
      <c r="B257" s="34"/>
      <c r="C257" s="12"/>
      <c r="D257" s="12"/>
      <c r="E257" s="12"/>
      <c r="F257" s="12"/>
      <c r="G257" s="18"/>
      <c r="H257" s="35"/>
      <c r="I257" s="12"/>
      <c r="M257" s="12"/>
      <c r="N257" s="18"/>
      <c r="O257" s="12"/>
      <c r="P257" s="12"/>
      <c r="Q257" s="12"/>
      <c r="R257" s="36"/>
      <c r="S257" s="36"/>
      <c r="T257" s="12"/>
      <c r="U257" s="12"/>
      <c r="V257" s="12"/>
      <c r="W257" s="12"/>
      <c r="X257" s="12"/>
    </row>
    <row r="258" customFormat="false" ht="15.75" hidden="false" customHeight="false" outlineLevel="0" collapsed="false">
      <c r="A258" s="12"/>
      <c r="B258" s="34"/>
      <c r="C258" s="12"/>
      <c r="D258" s="12"/>
      <c r="E258" s="12"/>
      <c r="F258" s="12"/>
      <c r="G258" s="18"/>
      <c r="H258" s="35"/>
      <c r="I258" s="12"/>
      <c r="M258" s="12"/>
      <c r="N258" s="18"/>
      <c r="O258" s="12"/>
      <c r="P258" s="12"/>
      <c r="Q258" s="12"/>
      <c r="R258" s="36"/>
      <c r="S258" s="36"/>
      <c r="T258" s="12"/>
      <c r="U258" s="12"/>
      <c r="V258" s="12"/>
      <c r="W258" s="12"/>
      <c r="X258" s="12"/>
    </row>
    <row r="259" customFormat="false" ht="15.75" hidden="false" customHeight="false" outlineLevel="0" collapsed="false">
      <c r="A259" s="12"/>
      <c r="B259" s="34"/>
      <c r="C259" s="12"/>
      <c r="D259" s="12"/>
      <c r="E259" s="12"/>
      <c r="F259" s="12"/>
      <c r="G259" s="18"/>
      <c r="H259" s="35"/>
      <c r="I259" s="12"/>
      <c r="M259" s="12"/>
      <c r="N259" s="18"/>
      <c r="O259" s="12"/>
      <c r="P259" s="12"/>
      <c r="Q259" s="12"/>
      <c r="R259" s="36"/>
      <c r="S259" s="36"/>
      <c r="T259" s="12"/>
      <c r="U259" s="12"/>
      <c r="V259" s="12"/>
      <c r="W259" s="12"/>
      <c r="X259" s="12"/>
    </row>
    <row r="260" customFormat="false" ht="15.75" hidden="false" customHeight="false" outlineLevel="0" collapsed="false">
      <c r="A260" s="12"/>
      <c r="B260" s="34"/>
      <c r="C260" s="12"/>
      <c r="D260" s="12"/>
      <c r="E260" s="12"/>
      <c r="F260" s="12"/>
      <c r="G260" s="18"/>
      <c r="H260" s="35"/>
      <c r="I260" s="12"/>
      <c r="M260" s="12"/>
      <c r="N260" s="18"/>
      <c r="O260" s="12"/>
      <c r="P260" s="12"/>
      <c r="Q260" s="12"/>
      <c r="R260" s="36"/>
      <c r="S260" s="36"/>
      <c r="T260" s="12"/>
      <c r="U260" s="12"/>
      <c r="V260" s="12"/>
      <c r="W260" s="12"/>
      <c r="X260" s="12"/>
    </row>
    <row r="261" customFormat="false" ht="15.75" hidden="false" customHeight="false" outlineLevel="0" collapsed="false">
      <c r="A261" s="12"/>
      <c r="B261" s="34"/>
      <c r="C261" s="12"/>
      <c r="D261" s="12"/>
      <c r="E261" s="12"/>
      <c r="F261" s="12"/>
      <c r="G261" s="18"/>
      <c r="H261" s="35"/>
      <c r="I261" s="12"/>
      <c r="M261" s="12"/>
      <c r="N261" s="18"/>
      <c r="O261" s="12"/>
      <c r="P261" s="12"/>
      <c r="Q261" s="12"/>
      <c r="R261" s="36"/>
      <c r="S261" s="36"/>
      <c r="T261" s="12"/>
      <c r="U261" s="12"/>
      <c r="V261" s="12"/>
      <c r="W261" s="12"/>
      <c r="X261" s="12"/>
    </row>
    <row r="262" customFormat="false" ht="15.75" hidden="false" customHeight="false" outlineLevel="0" collapsed="false">
      <c r="A262" s="12"/>
      <c r="B262" s="34"/>
      <c r="C262" s="12"/>
      <c r="D262" s="12"/>
      <c r="E262" s="12"/>
      <c r="F262" s="12"/>
      <c r="G262" s="18"/>
      <c r="H262" s="35"/>
      <c r="I262" s="12"/>
      <c r="M262" s="12"/>
      <c r="N262" s="18"/>
      <c r="O262" s="12"/>
      <c r="P262" s="12"/>
      <c r="Q262" s="12"/>
      <c r="R262" s="36"/>
      <c r="S262" s="36"/>
      <c r="T262" s="12"/>
      <c r="U262" s="12"/>
      <c r="V262" s="12"/>
      <c r="W262" s="12"/>
      <c r="X262" s="12"/>
    </row>
    <row r="263" customFormat="false" ht="15.75" hidden="false" customHeight="false" outlineLevel="0" collapsed="false">
      <c r="A263" s="12"/>
      <c r="B263" s="34"/>
      <c r="C263" s="12"/>
      <c r="D263" s="12"/>
      <c r="E263" s="12"/>
      <c r="F263" s="12"/>
      <c r="G263" s="18"/>
      <c r="H263" s="35"/>
      <c r="I263" s="12"/>
      <c r="M263" s="12"/>
      <c r="N263" s="18"/>
      <c r="O263" s="12"/>
      <c r="P263" s="12"/>
      <c r="Q263" s="12"/>
      <c r="R263" s="36"/>
      <c r="S263" s="36"/>
      <c r="T263" s="12"/>
      <c r="U263" s="12"/>
      <c r="V263" s="12"/>
      <c r="W263" s="12"/>
      <c r="X263" s="12"/>
    </row>
    <row r="264" customFormat="false" ht="15.75" hidden="false" customHeight="false" outlineLevel="0" collapsed="false">
      <c r="A264" s="12"/>
      <c r="B264" s="34"/>
      <c r="C264" s="12"/>
      <c r="D264" s="12"/>
      <c r="E264" s="12"/>
      <c r="F264" s="12"/>
      <c r="G264" s="18"/>
      <c r="H264" s="35"/>
      <c r="I264" s="12"/>
      <c r="M264" s="12"/>
      <c r="N264" s="18"/>
      <c r="O264" s="12"/>
      <c r="P264" s="12"/>
      <c r="Q264" s="12"/>
      <c r="R264" s="36"/>
      <c r="S264" s="36"/>
      <c r="T264" s="12"/>
      <c r="U264" s="12"/>
      <c r="V264" s="12"/>
      <c r="W264" s="12"/>
      <c r="X264" s="12"/>
    </row>
    <row r="265" customFormat="false" ht="15.75" hidden="false" customHeight="false" outlineLevel="0" collapsed="false">
      <c r="A265" s="12"/>
      <c r="B265" s="34"/>
      <c r="C265" s="12"/>
      <c r="D265" s="12"/>
      <c r="E265" s="12"/>
      <c r="F265" s="12"/>
      <c r="G265" s="18"/>
      <c r="H265" s="35"/>
      <c r="I265" s="12"/>
      <c r="M265" s="12"/>
      <c r="N265" s="18"/>
      <c r="O265" s="12"/>
      <c r="P265" s="12"/>
      <c r="Q265" s="12"/>
      <c r="R265" s="36"/>
      <c r="S265" s="36"/>
      <c r="T265" s="12"/>
      <c r="U265" s="12"/>
      <c r="V265" s="12"/>
      <c r="W265" s="12"/>
      <c r="X265" s="12"/>
    </row>
    <row r="266" customFormat="false" ht="15.75" hidden="false" customHeight="false" outlineLevel="0" collapsed="false">
      <c r="A266" s="12"/>
      <c r="B266" s="34"/>
      <c r="C266" s="12"/>
      <c r="D266" s="12"/>
      <c r="E266" s="12"/>
      <c r="F266" s="12"/>
      <c r="G266" s="18"/>
      <c r="H266" s="35"/>
      <c r="I266" s="12"/>
      <c r="M266" s="12"/>
      <c r="N266" s="18"/>
      <c r="O266" s="12"/>
      <c r="P266" s="12"/>
      <c r="Q266" s="12"/>
      <c r="R266" s="36"/>
      <c r="S266" s="36"/>
      <c r="T266" s="12"/>
      <c r="U266" s="12"/>
      <c r="V266" s="12"/>
      <c r="W266" s="12"/>
      <c r="X266" s="12"/>
    </row>
    <row r="267" customFormat="false" ht="15.75" hidden="false" customHeight="false" outlineLevel="0" collapsed="false">
      <c r="A267" s="12"/>
      <c r="B267" s="34"/>
      <c r="C267" s="12"/>
      <c r="D267" s="12"/>
      <c r="E267" s="12"/>
      <c r="F267" s="12"/>
      <c r="G267" s="18"/>
      <c r="H267" s="35"/>
      <c r="I267" s="12"/>
      <c r="M267" s="12"/>
      <c r="N267" s="18"/>
      <c r="O267" s="12"/>
      <c r="P267" s="12"/>
      <c r="Q267" s="12"/>
      <c r="R267" s="36"/>
      <c r="S267" s="36"/>
      <c r="T267" s="12"/>
      <c r="U267" s="12"/>
      <c r="V267" s="12"/>
      <c r="W267" s="12"/>
      <c r="X267" s="12"/>
    </row>
    <row r="268" customFormat="false" ht="15.75" hidden="false" customHeight="false" outlineLevel="0" collapsed="false">
      <c r="A268" s="12"/>
      <c r="B268" s="34"/>
      <c r="C268" s="12"/>
      <c r="D268" s="12"/>
      <c r="E268" s="12"/>
      <c r="F268" s="12"/>
      <c r="G268" s="18"/>
      <c r="H268" s="35"/>
      <c r="I268" s="12"/>
      <c r="M268" s="12"/>
      <c r="N268" s="18"/>
      <c r="O268" s="12"/>
      <c r="P268" s="12"/>
      <c r="Q268" s="12"/>
      <c r="R268" s="36"/>
      <c r="S268" s="36"/>
      <c r="T268" s="12"/>
      <c r="U268" s="12"/>
      <c r="V268" s="12"/>
      <c r="W268" s="12"/>
      <c r="X268" s="12"/>
    </row>
    <row r="269" customFormat="false" ht="15.75" hidden="false" customHeight="false" outlineLevel="0" collapsed="false">
      <c r="A269" s="12"/>
      <c r="B269" s="34"/>
      <c r="C269" s="12"/>
      <c r="D269" s="12"/>
      <c r="E269" s="12"/>
      <c r="F269" s="12"/>
      <c r="G269" s="18"/>
      <c r="H269" s="35"/>
      <c r="I269" s="12"/>
      <c r="M269" s="12"/>
      <c r="N269" s="18"/>
      <c r="O269" s="12"/>
      <c r="P269" s="12"/>
      <c r="Q269" s="12"/>
      <c r="R269" s="36"/>
      <c r="S269" s="36"/>
      <c r="T269" s="12"/>
      <c r="U269" s="12"/>
      <c r="V269" s="12"/>
      <c r="W269" s="12"/>
      <c r="X269" s="12"/>
    </row>
    <row r="270" customFormat="false" ht="15.75" hidden="false" customHeight="false" outlineLevel="0" collapsed="false">
      <c r="A270" s="12"/>
      <c r="B270" s="34"/>
      <c r="C270" s="12"/>
      <c r="D270" s="12"/>
      <c r="E270" s="12"/>
      <c r="F270" s="12"/>
      <c r="G270" s="18"/>
      <c r="H270" s="35"/>
      <c r="I270" s="12"/>
      <c r="M270" s="12"/>
      <c r="N270" s="18"/>
      <c r="O270" s="12"/>
      <c r="P270" s="12"/>
      <c r="Q270" s="12"/>
      <c r="R270" s="36"/>
      <c r="S270" s="36"/>
      <c r="T270" s="12"/>
      <c r="U270" s="12"/>
      <c r="V270" s="12"/>
      <c r="W270" s="12"/>
      <c r="X270" s="12"/>
    </row>
    <row r="271" customFormat="false" ht="15.75" hidden="false" customHeight="false" outlineLevel="0" collapsed="false">
      <c r="A271" s="12"/>
      <c r="B271" s="34"/>
      <c r="C271" s="12"/>
      <c r="D271" s="12"/>
      <c r="E271" s="12"/>
      <c r="F271" s="12"/>
      <c r="G271" s="18"/>
      <c r="H271" s="35"/>
      <c r="I271" s="12"/>
      <c r="M271" s="12"/>
      <c r="N271" s="18"/>
      <c r="O271" s="12"/>
      <c r="P271" s="12"/>
      <c r="Q271" s="12"/>
      <c r="R271" s="36"/>
      <c r="S271" s="36"/>
      <c r="T271" s="12"/>
      <c r="U271" s="12"/>
      <c r="V271" s="12"/>
      <c r="W271" s="12"/>
      <c r="X271" s="12"/>
    </row>
    <row r="272" customFormat="false" ht="15.75" hidden="false" customHeight="false" outlineLevel="0" collapsed="false">
      <c r="A272" s="12"/>
      <c r="B272" s="34"/>
      <c r="C272" s="12"/>
      <c r="D272" s="12"/>
      <c r="E272" s="12"/>
      <c r="F272" s="12"/>
      <c r="G272" s="18"/>
      <c r="H272" s="35"/>
      <c r="I272" s="12"/>
      <c r="M272" s="12"/>
      <c r="N272" s="18"/>
      <c r="O272" s="12"/>
      <c r="P272" s="12"/>
      <c r="Q272" s="12"/>
      <c r="R272" s="36"/>
      <c r="S272" s="36"/>
      <c r="T272" s="12"/>
      <c r="U272" s="12"/>
      <c r="V272" s="12"/>
      <c r="W272" s="12"/>
      <c r="X272" s="12"/>
    </row>
    <row r="273" customFormat="false" ht="15.75" hidden="false" customHeight="false" outlineLevel="0" collapsed="false">
      <c r="A273" s="12"/>
      <c r="B273" s="34"/>
      <c r="C273" s="12"/>
      <c r="D273" s="12"/>
      <c r="E273" s="12"/>
      <c r="F273" s="12"/>
      <c r="G273" s="18"/>
      <c r="H273" s="35"/>
      <c r="I273" s="12"/>
      <c r="M273" s="12"/>
      <c r="N273" s="18"/>
      <c r="O273" s="12"/>
      <c r="P273" s="12"/>
      <c r="Q273" s="12"/>
      <c r="R273" s="36"/>
      <c r="S273" s="36"/>
      <c r="T273" s="12"/>
      <c r="U273" s="12"/>
      <c r="V273" s="12"/>
      <c r="W273" s="12"/>
      <c r="X273" s="12"/>
    </row>
    <row r="274" customFormat="false" ht="15.75" hidden="false" customHeight="false" outlineLevel="0" collapsed="false">
      <c r="A274" s="12"/>
      <c r="B274" s="34"/>
      <c r="C274" s="12"/>
      <c r="D274" s="12"/>
      <c r="E274" s="12"/>
      <c r="F274" s="12"/>
      <c r="G274" s="18"/>
      <c r="H274" s="35"/>
      <c r="I274" s="12"/>
      <c r="M274" s="12"/>
      <c r="N274" s="18"/>
      <c r="O274" s="12"/>
      <c r="P274" s="12"/>
      <c r="Q274" s="12"/>
      <c r="R274" s="36"/>
      <c r="S274" s="36"/>
      <c r="T274" s="12"/>
      <c r="U274" s="12"/>
      <c r="V274" s="12"/>
      <c r="W274" s="12"/>
      <c r="X274" s="12"/>
    </row>
    <row r="275" customFormat="false" ht="15.75" hidden="false" customHeight="false" outlineLevel="0" collapsed="false">
      <c r="A275" s="12"/>
      <c r="B275" s="34"/>
      <c r="C275" s="12"/>
      <c r="D275" s="12"/>
      <c r="E275" s="12"/>
      <c r="F275" s="12"/>
      <c r="G275" s="18"/>
      <c r="H275" s="35"/>
      <c r="I275" s="12"/>
      <c r="M275" s="12"/>
      <c r="N275" s="18"/>
      <c r="O275" s="12"/>
      <c r="P275" s="12"/>
      <c r="Q275" s="12"/>
      <c r="R275" s="36"/>
      <c r="S275" s="36"/>
      <c r="T275" s="12"/>
      <c r="U275" s="12"/>
      <c r="V275" s="12"/>
      <c r="W275" s="12"/>
      <c r="X275" s="12"/>
    </row>
    <row r="276" customFormat="false" ht="15.75" hidden="false" customHeight="false" outlineLevel="0" collapsed="false">
      <c r="A276" s="12"/>
      <c r="B276" s="34"/>
      <c r="C276" s="12"/>
      <c r="D276" s="12"/>
      <c r="E276" s="12"/>
      <c r="F276" s="12"/>
      <c r="G276" s="18"/>
      <c r="H276" s="35"/>
      <c r="I276" s="12"/>
      <c r="M276" s="12"/>
      <c r="N276" s="18"/>
      <c r="O276" s="12"/>
      <c r="P276" s="12"/>
      <c r="Q276" s="12"/>
      <c r="R276" s="36"/>
      <c r="S276" s="36"/>
      <c r="T276" s="12"/>
      <c r="U276" s="12"/>
      <c r="V276" s="12"/>
      <c r="W276" s="12"/>
      <c r="X276" s="12"/>
    </row>
    <row r="277" customFormat="false" ht="15.75" hidden="false" customHeight="false" outlineLevel="0" collapsed="false">
      <c r="A277" s="12"/>
      <c r="B277" s="34"/>
      <c r="C277" s="12"/>
      <c r="D277" s="12"/>
      <c r="E277" s="12"/>
      <c r="F277" s="12"/>
      <c r="G277" s="18"/>
      <c r="H277" s="35"/>
      <c r="I277" s="12"/>
      <c r="M277" s="12"/>
      <c r="N277" s="18"/>
      <c r="O277" s="12"/>
      <c r="P277" s="12"/>
      <c r="Q277" s="12"/>
      <c r="R277" s="36"/>
      <c r="S277" s="36"/>
      <c r="T277" s="12"/>
      <c r="U277" s="12"/>
      <c r="V277" s="12"/>
      <c r="W277" s="12"/>
      <c r="X277" s="12"/>
    </row>
    <row r="278" customFormat="false" ht="15.75" hidden="false" customHeight="false" outlineLevel="0" collapsed="false">
      <c r="A278" s="12"/>
      <c r="B278" s="34"/>
      <c r="C278" s="12"/>
      <c r="D278" s="12"/>
      <c r="E278" s="12"/>
      <c r="F278" s="12"/>
      <c r="G278" s="18"/>
      <c r="H278" s="35"/>
      <c r="I278" s="12"/>
      <c r="M278" s="12"/>
      <c r="N278" s="18"/>
      <c r="O278" s="12"/>
      <c r="P278" s="12"/>
      <c r="Q278" s="12"/>
      <c r="R278" s="36"/>
      <c r="S278" s="36"/>
      <c r="T278" s="12"/>
      <c r="U278" s="12"/>
      <c r="V278" s="12"/>
      <c r="W278" s="12"/>
      <c r="X278" s="12"/>
    </row>
    <row r="279" customFormat="false" ht="15.75" hidden="false" customHeight="false" outlineLevel="0" collapsed="false">
      <c r="A279" s="12"/>
      <c r="B279" s="34"/>
      <c r="C279" s="12"/>
      <c r="D279" s="12"/>
      <c r="E279" s="12"/>
      <c r="F279" s="12"/>
      <c r="G279" s="18"/>
      <c r="H279" s="35"/>
      <c r="I279" s="12"/>
      <c r="M279" s="12"/>
      <c r="N279" s="18"/>
      <c r="O279" s="12"/>
      <c r="P279" s="12"/>
      <c r="Q279" s="12"/>
      <c r="R279" s="36"/>
      <c r="S279" s="36"/>
      <c r="T279" s="12"/>
      <c r="U279" s="12"/>
      <c r="V279" s="12"/>
      <c r="W279" s="12"/>
      <c r="X279" s="12"/>
    </row>
    <row r="280" customFormat="false" ht="15.75" hidden="false" customHeight="false" outlineLevel="0" collapsed="false">
      <c r="A280" s="12"/>
      <c r="B280" s="34"/>
      <c r="C280" s="12"/>
      <c r="D280" s="12"/>
      <c r="E280" s="12"/>
      <c r="F280" s="12"/>
      <c r="G280" s="18"/>
      <c r="H280" s="35"/>
      <c r="I280" s="12"/>
      <c r="M280" s="12"/>
      <c r="N280" s="18"/>
      <c r="O280" s="12"/>
      <c r="P280" s="12"/>
      <c r="Q280" s="12"/>
      <c r="R280" s="36"/>
      <c r="S280" s="36"/>
      <c r="T280" s="12"/>
      <c r="U280" s="12"/>
      <c r="V280" s="12"/>
      <c r="W280" s="12"/>
      <c r="X280" s="12"/>
    </row>
    <row r="281" customFormat="false" ht="15.75" hidden="false" customHeight="false" outlineLevel="0" collapsed="false">
      <c r="A281" s="12"/>
      <c r="B281" s="34"/>
      <c r="C281" s="12"/>
      <c r="D281" s="12"/>
      <c r="E281" s="12"/>
      <c r="F281" s="12"/>
      <c r="G281" s="18"/>
      <c r="H281" s="35"/>
      <c r="I281" s="12"/>
      <c r="M281" s="12"/>
      <c r="N281" s="18"/>
      <c r="O281" s="12"/>
      <c r="P281" s="12"/>
      <c r="Q281" s="12"/>
      <c r="R281" s="36"/>
      <c r="S281" s="36"/>
      <c r="T281" s="12"/>
      <c r="U281" s="12"/>
      <c r="V281" s="12"/>
      <c r="W281" s="12"/>
      <c r="X281" s="12"/>
    </row>
    <row r="282" customFormat="false" ht="15.75" hidden="false" customHeight="false" outlineLevel="0" collapsed="false">
      <c r="A282" s="12"/>
      <c r="B282" s="34"/>
      <c r="C282" s="12"/>
      <c r="D282" s="12"/>
      <c r="E282" s="12"/>
      <c r="F282" s="12"/>
      <c r="G282" s="18"/>
      <c r="H282" s="35"/>
      <c r="I282" s="12"/>
      <c r="M282" s="12"/>
      <c r="N282" s="18"/>
      <c r="O282" s="12"/>
      <c r="P282" s="12"/>
      <c r="Q282" s="12"/>
      <c r="R282" s="36"/>
      <c r="S282" s="36"/>
      <c r="T282" s="12"/>
      <c r="U282" s="12"/>
      <c r="V282" s="12"/>
      <c r="W282" s="12"/>
      <c r="X282" s="12"/>
    </row>
    <row r="283" customFormat="false" ht="15.75" hidden="false" customHeight="false" outlineLevel="0" collapsed="false">
      <c r="A283" s="12"/>
      <c r="B283" s="34"/>
      <c r="C283" s="12"/>
      <c r="D283" s="12"/>
      <c r="E283" s="12"/>
      <c r="F283" s="12"/>
      <c r="G283" s="18"/>
      <c r="H283" s="35"/>
      <c r="I283" s="12"/>
      <c r="M283" s="12"/>
      <c r="N283" s="18"/>
      <c r="O283" s="12"/>
      <c r="P283" s="12"/>
      <c r="Q283" s="12"/>
      <c r="R283" s="36"/>
      <c r="S283" s="36"/>
      <c r="T283" s="12"/>
      <c r="U283" s="12"/>
      <c r="V283" s="12"/>
      <c r="W283" s="12"/>
      <c r="X283" s="12"/>
    </row>
    <row r="284" customFormat="false" ht="15.75" hidden="false" customHeight="false" outlineLevel="0" collapsed="false">
      <c r="A284" s="12"/>
      <c r="B284" s="34"/>
      <c r="C284" s="12"/>
      <c r="D284" s="12"/>
      <c r="E284" s="12"/>
      <c r="F284" s="12"/>
      <c r="G284" s="18"/>
      <c r="H284" s="35"/>
      <c r="I284" s="12"/>
      <c r="M284" s="12"/>
      <c r="N284" s="18"/>
      <c r="O284" s="12"/>
      <c r="P284" s="12"/>
      <c r="Q284" s="12"/>
      <c r="R284" s="36"/>
      <c r="S284" s="36"/>
      <c r="T284" s="12"/>
      <c r="U284" s="12"/>
      <c r="V284" s="12"/>
      <c r="W284" s="12"/>
      <c r="X284" s="12"/>
    </row>
    <row r="285" customFormat="false" ht="15.75" hidden="false" customHeight="false" outlineLevel="0" collapsed="false">
      <c r="A285" s="12"/>
      <c r="B285" s="34"/>
      <c r="C285" s="12"/>
      <c r="D285" s="12"/>
      <c r="E285" s="12"/>
      <c r="F285" s="12"/>
      <c r="G285" s="18"/>
      <c r="H285" s="35"/>
      <c r="I285" s="12"/>
      <c r="M285" s="12"/>
      <c r="N285" s="18"/>
      <c r="O285" s="12"/>
      <c r="P285" s="12"/>
      <c r="Q285" s="12"/>
      <c r="R285" s="36"/>
      <c r="S285" s="36"/>
      <c r="T285" s="12"/>
      <c r="U285" s="12"/>
      <c r="V285" s="12"/>
      <c r="W285" s="12"/>
      <c r="X285" s="12"/>
    </row>
    <row r="286" customFormat="false" ht="15.75" hidden="false" customHeight="false" outlineLevel="0" collapsed="false">
      <c r="A286" s="12"/>
      <c r="B286" s="34"/>
      <c r="C286" s="12"/>
      <c r="D286" s="12"/>
      <c r="E286" s="12"/>
      <c r="F286" s="12"/>
      <c r="G286" s="18"/>
      <c r="H286" s="35"/>
      <c r="I286" s="12"/>
      <c r="M286" s="12"/>
      <c r="N286" s="18"/>
      <c r="O286" s="12"/>
      <c r="P286" s="12"/>
      <c r="Q286" s="12"/>
      <c r="R286" s="36"/>
      <c r="S286" s="36"/>
      <c r="T286" s="12"/>
      <c r="U286" s="12"/>
      <c r="V286" s="12"/>
      <c r="W286" s="12"/>
      <c r="X286" s="12"/>
    </row>
    <row r="287" customFormat="false" ht="15.75" hidden="false" customHeight="false" outlineLevel="0" collapsed="false">
      <c r="A287" s="12"/>
      <c r="B287" s="34"/>
      <c r="C287" s="12"/>
      <c r="D287" s="12"/>
      <c r="E287" s="12"/>
      <c r="F287" s="12"/>
      <c r="G287" s="18"/>
      <c r="H287" s="35"/>
      <c r="I287" s="12"/>
      <c r="M287" s="12"/>
      <c r="N287" s="18"/>
      <c r="O287" s="12"/>
      <c r="P287" s="12"/>
      <c r="Q287" s="12"/>
      <c r="R287" s="36"/>
      <c r="S287" s="36"/>
      <c r="T287" s="12"/>
      <c r="U287" s="12"/>
      <c r="V287" s="12"/>
      <c r="W287" s="12"/>
      <c r="X287" s="12"/>
    </row>
    <row r="288" customFormat="false" ht="15.75" hidden="false" customHeight="false" outlineLevel="0" collapsed="false">
      <c r="A288" s="12"/>
      <c r="B288" s="34"/>
      <c r="C288" s="12"/>
      <c r="D288" s="12"/>
      <c r="E288" s="12"/>
      <c r="F288" s="12"/>
      <c r="G288" s="18"/>
      <c r="H288" s="35"/>
      <c r="I288" s="12"/>
      <c r="M288" s="12"/>
      <c r="N288" s="18"/>
      <c r="O288" s="12"/>
      <c r="P288" s="12"/>
      <c r="Q288" s="12"/>
      <c r="R288" s="36"/>
      <c r="S288" s="36"/>
      <c r="T288" s="12"/>
      <c r="U288" s="12"/>
      <c r="V288" s="12"/>
      <c r="W288" s="12"/>
      <c r="X288" s="12"/>
    </row>
    <row r="289" customFormat="false" ht="15.75" hidden="false" customHeight="false" outlineLevel="0" collapsed="false">
      <c r="A289" s="12"/>
      <c r="B289" s="34"/>
      <c r="C289" s="12"/>
      <c r="D289" s="12"/>
      <c r="E289" s="12"/>
      <c r="F289" s="12"/>
      <c r="G289" s="18"/>
      <c r="H289" s="35"/>
      <c r="I289" s="12"/>
      <c r="M289" s="12"/>
      <c r="N289" s="18"/>
      <c r="O289" s="12"/>
      <c r="P289" s="12"/>
      <c r="Q289" s="12"/>
      <c r="R289" s="36"/>
      <c r="S289" s="36"/>
      <c r="T289" s="12"/>
      <c r="U289" s="12"/>
      <c r="V289" s="12"/>
      <c r="W289" s="12"/>
      <c r="X289" s="12"/>
    </row>
    <row r="290" customFormat="false" ht="15.75" hidden="false" customHeight="false" outlineLevel="0" collapsed="false">
      <c r="A290" s="12"/>
      <c r="B290" s="34"/>
      <c r="C290" s="12"/>
      <c r="D290" s="12"/>
      <c r="E290" s="12"/>
      <c r="F290" s="12"/>
      <c r="G290" s="18"/>
      <c r="H290" s="35"/>
      <c r="I290" s="12"/>
      <c r="M290" s="12"/>
      <c r="N290" s="18"/>
      <c r="O290" s="12"/>
      <c r="P290" s="12"/>
      <c r="Q290" s="12"/>
      <c r="R290" s="36"/>
      <c r="S290" s="36"/>
      <c r="T290" s="12"/>
      <c r="U290" s="12"/>
      <c r="V290" s="12"/>
      <c r="W290" s="12"/>
      <c r="X290" s="12"/>
    </row>
    <row r="291" customFormat="false" ht="15.75" hidden="false" customHeight="false" outlineLevel="0" collapsed="false">
      <c r="A291" s="12"/>
      <c r="B291" s="34"/>
      <c r="C291" s="12"/>
      <c r="D291" s="12"/>
      <c r="E291" s="12"/>
      <c r="F291" s="12"/>
      <c r="G291" s="18"/>
      <c r="H291" s="35"/>
      <c r="I291" s="12"/>
      <c r="M291" s="12"/>
      <c r="N291" s="18"/>
      <c r="O291" s="12"/>
      <c r="P291" s="12"/>
      <c r="Q291" s="12"/>
      <c r="R291" s="36"/>
      <c r="S291" s="36"/>
      <c r="T291" s="12"/>
      <c r="U291" s="12"/>
      <c r="V291" s="12"/>
      <c r="W291" s="12"/>
      <c r="X291" s="12"/>
    </row>
    <row r="292" customFormat="false" ht="15.75" hidden="false" customHeight="false" outlineLevel="0" collapsed="false">
      <c r="A292" s="12"/>
      <c r="B292" s="34"/>
      <c r="C292" s="12"/>
      <c r="D292" s="12"/>
      <c r="E292" s="12"/>
      <c r="F292" s="12"/>
      <c r="G292" s="18"/>
      <c r="H292" s="35"/>
      <c r="I292" s="12"/>
      <c r="M292" s="12"/>
      <c r="N292" s="18"/>
      <c r="O292" s="12"/>
      <c r="P292" s="12"/>
      <c r="Q292" s="12"/>
      <c r="R292" s="36"/>
      <c r="S292" s="36"/>
      <c r="T292" s="12"/>
      <c r="U292" s="12"/>
      <c r="V292" s="12"/>
      <c r="W292" s="12"/>
      <c r="X292" s="12"/>
    </row>
    <row r="293" customFormat="false" ht="15.75" hidden="false" customHeight="false" outlineLevel="0" collapsed="false">
      <c r="A293" s="12"/>
      <c r="B293" s="34"/>
      <c r="C293" s="12"/>
      <c r="D293" s="12"/>
      <c r="E293" s="12"/>
      <c r="F293" s="12"/>
      <c r="G293" s="18"/>
      <c r="H293" s="35"/>
      <c r="I293" s="12"/>
      <c r="M293" s="12"/>
      <c r="N293" s="18"/>
      <c r="O293" s="12"/>
      <c r="P293" s="12"/>
      <c r="Q293" s="12"/>
      <c r="R293" s="36"/>
      <c r="S293" s="36"/>
      <c r="T293" s="12"/>
      <c r="U293" s="12"/>
      <c r="V293" s="12"/>
      <c r="W293" s="12"/>
      <c r="X293" s="12"/>
    </row>
    <row r="294" customFormat="false" ht="15.75" hidden="false" customHeight="false" outlineLevel="0" collapsed="false">
      <c r="A294" s="12"/>
      <c r="B294" s="34"/>
      <c r="C294" s="12"/>
      <c r="D294" s="12"/>
      <c r="E294" s="12"/>
      <c r="F294" s="12"/>
      <c r="G294" s="18"/>
      <c r="H294" s="35"/>
      <c r="I294" s="12"/>
      <c r="M294" s="12"/>
      <c r="N294" s="18"/>
      <c r="O294" s="12"/>
      <c r="P294" s="12"/>
      <c r="Q294" s="12"/>
      <c r="R294" s="36"/>
      <c r="S294" s="36"/>
      <c r="T294" s="12"/>
      <c r="U294" s="12"/>
      <c r="V294" s="12"/>
      <c r="W294" s="12"/>
      <c r="X294" s="12"/>
    </row>
    <row r="295" customFormat="false" ht="15.75" hidden="false" customHeight="false" outlineLevel="0" collapsed="false">
      <c r="A295" s="12"/>
      <c r="B295" s="34"/>
      <c r="C295" s="12"/>
      <c r="D295" s="12"/>
      <c r="E295" s="12"/>
      <c r="F295" s="12"/>
      <c r="G295" s="18"/>
      <c r="H295" s="35"/>
      <c r="I295" s="12"/>
      <c r="M295" s="12"/>
      <c r="N295" s="18"/>
      <c r="O295" s="12"/>
      <c r="P295" s="12"/>
      <c r="Q295" s="12"/>
      <c r="R295" s="36"/>
      <c r="S295" s="36"/>
      <c r="T295" s="12"/>
      <c r="U295" s="12"/>
      <c r="V295" s="12"/>
      <c r="W295" s="12"/>
      <c r="X295" s="12"/>
    </row>
    <row r="296" customFormat="false" ht="15.75" hidden="false" customHeight="false" outlineLevel="0" collapsed="false">
      <c r="A296" s="12"/>
      <c r="B296" s="34"/>
      <c r="C296" s="12"/>
      <c r="D296" s="12"/>
      <c r="E296" s="12"/>
      <c r="F296" s="12"/>
      <c r="G296" s="18"/>
      <c r="H296" s="35"/>
      <c r="I296" s="12"/>
      <c r="M296" s="12"/>
      <c r="N296" s="18"/>
      <c r="O296" s="12"/>
      <c r="P296" s="12"/>
      <c r="Q296" s="12"/>
      <c r="R296" s="36"/>
      <c r="S296" s="36"/>
      <c r="T296" s="12"/>
      <c r="U296" s="12"/>
      <c r="V296" s="12"/>
      <c r="W296" s="12"/>
      <c r="X296" s="12"/>
    </row>
    <row r="297" customFormat="false" ht="15.75" hidden="false" customHeight="false" outlineLevel="0" collapsed="false">
      <c r="A297" s="12"/>
      <c r="B297" s="34"/>
      <c r="C297" s="12"/>
      <c r="D297" s="12"/>
      <c r="E297" s="12"/>
      <c r="F297" s="12"/>
      <c r="G297" s="18"/>
      <c r="H297" s="35"/>
      <c r="I297" s="12"/>
      <c r="M297" s="12"/>
      <c r="N297" s="18"/>
      <c r="O297" s="12"/>
      <c r="P297" s="12"/>
      <c r="Q297" s="12"/>
      <c r="R297" s="36"/>
      <c r="S297" s="36"/>
      <c r="T297" s="12"/>
      <c r="U297" s="12"/>
      <c r="V297" s="12"/>
      <c r="W297" s="12"/>
      <c r="X297" s="12"/>
    </row>
    <row r="298" customFormat="false" ht="15.75" hidden="false" customHeight="false" outlineLevel="0" collapsed="false">
      <c r="A298" s="12"/>
      <c r="B298" s="34"/>
      <c r="C298" s="12"/>
      <c r="D298" s="12"/>
      <c r="E298" s="12"/>
      <c r="F298" s="12"/>
      <c r="G298" s="18"/>
      <c r="H298" s="35"/>
      <c r="I298" s="12"/>
      <c r="M298" s="12"/>
      <c r="N298" s="18"/>
      <c r="O298" s="12"/>
      <c r="P298" s="12"/>
      <c r="Q298" s="12"/>
      <c r="R298" s="36"/>
      <c r="S298" s="36"/>
      <c r="T298" s="12"/>
      <c r="U298" s="12"/>
      <c r="V298" s="12"/>
      <c r="W298" s="12"/>
      <c r="X298" s="12"/>
    </row>
    <row r="299" customFormat="false" ht="15.75" hidden="false" customHeight="false" outlineLevel="0" collapsed="false">
      <c r="A299" s="12"/>
      <c r="B299" s="34"/>
      <c r="C299" s="12"/>
      <c r="D299" s="12"/>
      <c r="E299" s="12"/>
      <c r="F299" s="12"/>
      <c r="G299" s="18"/>
      <c r="H299" s="35"/>
      <c r="I299" s="12"/>
      <c r="M299" s="12"/>
      <c r="N299" s="18"/>
      <c r="O299" s="12"/>
      <c r="P299" s="12"/>
      <c r="Q299" s="12"/>
      <c r="R299" s="36"/>
      <c r="S299" s="36"/>
      <c r="T299" s="12"/>
      <c r="U299" s="12"/>
      <c r="V299" s="12"/>
      <c r="W299" s="12"/>
      <c r="X299" s="12"/>
    </row>
    <row r="300" customFormat="false" ht="15.75" hidden="false" customHeight="false" outlineLevel="0" collapsed="false">
      <c r="A300" s="12"/>
      <c r="B300" s="34"/>
      <c r="C300" s="12"/>
      <c r="D300" s="12"/>
      <c r="E300" s="12"/>
      <c r="F300" s="12"/>
      <c r="G300" s="18"/>
      <c r="H300" s="35"/>
      <c r="I300" s="12"/>
      <c r="M300" s="12"/>
      <c r="N300" s="18"/>
      <c r="O300" s="12"/>
      <c r="P300" s="12"/>
      <c r="Q300" s="12"/>
      <c r="R300" s="36"/>
      <c r="S300" s="36"/>
      <c r="T300" s="12"/>
      <c r="U300" s="12"/>
      <c r="V300" s="12"/>
      <c r="W300" s="12"/>
      <c r="X300" s="12"/>
    </row>
    <row r="301" customFormat="false" ht="15.75" hidden="false" customHeight="false" outlineLevel="0" collapsed="false">
      <c r="A301" s="12"/>
      <c r="B301" s="34"/>
      <c r="C301" s="12"/>
      <c r="D301" s="12"/>
      <c r="E301" s="12"/>
      <c r="F301" s="12"/>
      <c r="G301" s="18"/>
      <c r="H301" s="35"/>
      <c r="I301" s="12"/>
      <c r="M301" s="12"/>
      <c r="N301" s="18"/>
      <c r="O301" s="12"/>
      <c r="P301" s="12"/>
      <c r="Q301" s="12"/>
      <c r="R301" s="36"/>
      <c r="S301" s="36"/>
      <c r="T301" s="12"/>
      <c r="U301" s="12"/>
      <c r="V301" s="12"/>
      <c r="W301" s="12"/>
      <c r="X301" s="12"/>
    </row>
    <row r="302" customFormat="false" ht="15.75" hidden="false" customHeight="false" outlineLevel="0" collapsed="false">
      <c r="A302" s="12"/>
      <c r="B302" s="34"/>
      <c r="C302" s="12"/>
      <c r="D302" s="12"/>
      <c r="E302" s="12"/>
      <c r="F302" s="12"/>
      <c r="G302" s="18"/>
      <c r="H302" s="35"/>
      <c r="I302" s="12"/>
      <c r="M302" s="12"/>
      <c r="N302" s="18"/>
      <c r="O302" s="12"/>
      <c r="P302" s="12"/>
      <c r="Q302" s="12"/>
      <c r="R302" s="36"/>
      <c r="S302" s="36"/>
      <c r="T302" s="12"/>
      <c r="U302" s="12"/>
      <c r="V302" s="12"/>
      <c r="W302" s="12"/>
      <c r="X302" s="12"/>
    </row>
    <row r="303" customFormat="false" ht="15.75" hidden="false" customHeight="false" outlineLevel="0" collapsed="false">
      <c r="A303" s="12"/>
      <c r="B303" s="34"/>
      <c r="C303" s="12"/>
      <c r="D303" s="12"/>
      <c r="E303" s="12"/>
      <c r="F303" s="12"/>
      <c r="G303" s="18"/>
      <c r="H303" s="35"/>
      <c r="I303" s="12"/>
      <c r="M303" s="12"/>
      <c r="N303" s="18"/>
      <c r="O303" s="12"/>
      <c r="P303" s="12"/>
      <c r="Q303" s="12"/>
      <c r="R303" s="36"/>
      <c r="S303" s="36"/>
      <c r="T303" s="12"/>
      <c r="U303" s="12"/>
      <c r="V303" s="12"/>
      <c r="W303" s="12"/>
      <c r="X303" s="12"/>
    </row>
    <row r="304" customFormat="false" ht="15.75" hidden="false" customHeight="false" outlineLevel="0" collapsed="false">
      <c r="A304" s="12"/>
      <c r="B304" s="34"/>
      <c r="C304" s="12"/>
      <c r="D304" s="12"/>
      <c r="E304" s="12"/>
      <c r="F304" s="12"/>
      <c r="G304" s="18"/>
      <c r="H304" s="35"/>
      <c r="I304" s="12"/>
      <c r="M304" s="12"/>
      <c r="N304" s="18"/>
      <c r="O304" s="12"/>
      <c r="P304" s="12"/>
      <c r="Q304" s="12"/>
      <c r="R304" s="36"/>
      <c r="S304" s="36"/>
      <c r="T304" s="12"/>
      <c r="U304" s="12"/>
      <c r="V304" s="12"/>
      <c r="W304" s="12"/>
      <c r="X304" s="12"/>
    </row>
    <row r="305" customFormat="false" ht="15.75" hidden="false" customHeight="false" outlineLevel="0" collapsed="false">
      <c r="A305" s="12"/>
      <c r="B305" s="34"/>
      <c r="C305" s="12"/>
      <c r="D305" s="12"/>
      <c r="E305" s="12"/>
      <c r="F305" s="12"/>
      <c r="G305" s="18"/>
      <c r="H305" s="35"/>
      <c r="I305" s="12"/>
      <c r="M305" s="12"/>
      <c r="N305" s="18"/>
      <c r="O305" s="12"/>
      <c r="P305" s="12"/>
      <c r="Q305" s="12"/>
      <c r="R305" s="36"/>
      <c r="S305" s="36"/>
      <c r="T305" s="12"/>
      <c r="U305" s="12"/>
      <c r="V305" s="12"/>
      <c r="W305" s="12"/>
      <c r="X305" s="12"/>
    </row>
    <row r="306" customFormat="false" ht="15.75" hidden="false" customHeight="false" outlineLevel="0" collapsed="false">
      <c r="A306" s="12"/>
      <c r="B306" s="34"/>
      <c r="C306" s="12"/>
      <c r="D306" s="12"/>
      <c r="E306" s="12"/>
      <c r="F306" s="12"/>
      <c r="G306" s="18"/>
      <c r="H306" s="35"/>
      <c r="I306" s="12"/>
      <c r="M306" s="12"/>
      <c r="N306" s="18"/>
      <c r="O306" s="12"/>
      <c r="P306" s="12"/>
      <c r="Q306" s="12"/>
      <c r="R306" s="36"/>
      <c r="S306" s="36"/>
      <c r="T306" s="12"/>
      <c r="U306" s="12"/>
      <c r="V306" s="12"/>
      <c r="W306" s="12"/>
      <c r="X306" s="12"/>
    </row>
    <row r="307" customFormat="false" ht="15.75" hidden="false" customHeight="false" outlineLevel="0" collapsed="false">
      <c r="A307" s="12"/>
      <c r="B307" s="34"/>
      <c r="C307" s="12"/>
      <c r="D307" s="12"/>
      <c r="E307" s="12"/>
      <c r="F307" s="12"/>
      <c r="G307" s="18"/>
      <c r="H307" s="35"/>
      <c r="I307" s="12"/>
      <c r="M307" s="12"/>
      <c r="N307" s="18"/>
      <c r="O307" s="12"/>
      <c r="P307" s="12"/>
      <c r="Q307" s="12"/>
      <c r="R307" s="36"/>
      <c r="S307" s="36"/>
      <c r="T307" s="12"/>
      <c r="U307" s="12"/>
      <c r="V307" s="12"/>
      <c r="W307" s="12"/>
      <c r="X307" s="12"/>
    </row>
    <row r="308" customFormat="false" ht="15.75" hidden="false" customHeight="false" outlineLevel="0" collapsed="false">
      <c r="A308" s="12"/>
      <c r="B308" s="34"/>
      <c r="C308" s="12"/>
      <c r="D308" s="12"/>
      <c r="E308" s="12"/>
      <c r="F308" s="12"/>
      <c r="G308" s="18"/>
      <c r="H308" s="35"/>
      <c r="I308" s="12"/>
      <c r="M308" s="12"/>
      <c r="N308" s="18"/>
      <c r="O308" s="12"/>
      <c r="P308" s="12"/>
      <c r="Q308" s="12"/>
      <c r="R308" s="36"/>
      <c r="S308" s="36"/>
      <c r="T308" s="12"/>
      <c r="U308" s="12"/>
      <c r="V308" s="12"/>
      <c r="W308" s="12"/>
      <c r="X308" s="12"/>
    </row>
    <row r="309" customFormat="false" ht="15.75" hidden="false" customHeight="false" outlineLevel="0" collapsed="false">
      <c r="A309" s="12"/>
      <c r="B309" s="34"/>
      <c r="C309" s="12"/>
      <c r="D309" s="12"/>
      <c r="E309" s="12"/>
      <c r="F309" s="12"/>
      <c r="G309" s="18"/>
      <c r="H309" s="35"/>
      <c r="I309" s="12"/>
      <c r="M309" s="12"/>
      <c r="N309" s="18"/>
      <c r="O309" s="12"/>
      <c r="P309" s="12"/>
      <c r="Q309" s="12"/>
      <c r="R309" s="36"/>
      <c r="S309" s="36"/>
      <c r="T309" s="12"/>
      <c r="U309" s="12"/>
      <c r="V309" s="12"/>
      <c r="W309" s="12"/>
      <c r="X309" s="12"/>
    </row>
    <row r="310" customFormat="false" ht="15.75" hidden="false" customHeight="false" outlineLevel="0" collapsed="false">
      <c r="A310" s="12"/>
      <c r="B310" s="34"/>
      <c r="C310" s="12"/>
      <c r="D310" s="12"/>
      <c r="E310" s="12"/>
      <c r="F310" s="12"/>
      <c r="G310" s="18"/>
      <c r="H310" s="35"/>
      <c r="I310" s="12"/>
      <c r="M310" s="12"/>
      <c r="N310" s="18"/>
      <c r="O310" s="12"/>
      <c r="P310" s="12"/>
      <c r="Q310" s="12"/>
      <c r="R310" s="36"/>
      <c r="S310" s="36"/>
      <c r="T310" s="12"/>
      <c r="U310" s="12"/>
      <c r="V310" s="12"/>
      <c r="W310" s="12"/>
      <c r="X310" s="12"/>
    </row>
    <row r="311" customFormat="false" ht="15.75" hidden="false" customHeight="false" outlineLevel="0" collapsed="false">
      <c r="A311" s="12"/>
      <c r="B311" s="34"/>
      <c r="C311" s="12"/>
      <c r="D311" s="12"/>
      <c r="E311" s="12"/>
      <c r="F311" s="12"/>
      <c r="G311" s="18"/>
      <c r="H311" s="35"/>
      <c r="I311" s="12"/>
      <c r="M311" s="12"/>
      <c r="N311" s="18"/>
      <c r="O311" s="12"/>
      <c r="P311" s="12"/>
      <c r="Q311" s="12"/>
      <c r="R311" s="36"/>
      <c r="S311" s="36"/>
      <c r="T311" s="12"/>
      <c r="U311" s="12"/>
      <c r="V311" s="12"/>
      <c r="W311" s="12"/>
      <c r="X311" s="12"/>
    </row>
    <row r="312" customFormat="false" ht="15.75" hidden="false" customHeight="false" outlineLevel="0" collapsed="false">
      <c r="A312" s="12"/>
      <c r="B312" s="34"/>
      <c r="C312" s="12"/>
      <c r="D312" s="12"/>
      <c r="E312" s="12"/>
      <c r="F312" s="12"/>
      <c r="G312" s="18"/>
      <c r="H312" s="35"/>
      <c r="I312" s="12"/>
      <c r="M312" s="12"/>
      <c r="N312" s="18"/>
      <c r="O312" s="12"/>
      <c r="P312" s="12"/>
      <c r="Q312" s="12"/>
      <c r="R312" s="36"/>
      <c r="S312" s="36"/>
      <c r="T312" s="12"/>
      <c r="U312" s="12"/>
      <c r="V312" s="12"/>
      <c r="W312" s="12"/>
      <c r="X312" s="12"/>
    </row>
    <row r="313" customFormat="false" ht="15.75" hidden="false" customHeight="false" outlineLevel="0" collapsed="false">
      <c r="A313" s="12"/>
      <c r="B313" s="34"/>
      <c r="C313" s="12"/>
      <c r="D313" s="12"/>
      <c r="E313" s="12"/>
      <c r="F313" s="12"/>
      <c r="G313" s="18"/>
      <c r="H313" s="35"/>
      <c r="I313" s="12"/>
      <c r="M313" s="12"/>
      <c r="N313" s="18"/>
      <c r="O313" s="12"/>
      <c r="P313" s="12"/>
      <c r="Q313" s="12"/>
      <c r="R313" s="36"/>
      <c r="S313" s="36"/>
      <c r="T313" s="12"/>
      <c r="U313" s="12"/>
      <c r="V313" s="12"/>
      <c r="W313" s="12"/>
      <c r="X313" s="12"/>
    </row>
    <row r="314" customFormat="false" ht="15.75" hidden="false" customHeight="false" outlineLevel="0" collapsed="false">
      <c r="A314" s="12"/>
      <c r="B314" s="34"/>
      <c r="C314" s="12"/>
      <c r="D314" s="12"/>
      <c r="E314" s="12"/>
      <c r="F314" s="12"/>
      <c r="G314" s="18"/>
      <c r="H314" s="35"/>
      <c r="I314" s="12"/>
      <c r="M314" s="12"/>
      <c r="N314" s="18"/>
      <c r="O314" s="12"/>
      <c r="P314" s="12"/>
      <c r="Q314" s="12"/>
      <c r="R314" s="36"/>
      <c r="S314" s="36"/>
      <c r="T314" s="12"/>
      <c r="U314" s="12"/>
      <c r="V314" s="12"/>
      <c r="W314" s="12"/>
      <c r="X314" s="12"/>
    </row>
    <row r="315" customFormat="false" ht="15.75" hidden="false" customHeight="false" outlineLevel="0" collapsed="false">
      <c r="A315" s="12"/>
      <c r="B315" s="34"/>
      <c r="C315" s="12"/>
      <c r="D315" s="12"/>
      <c r="E315" s="12"/>
      <c r="F315" s="12"/>
      <c r="G315" s="18"/>
      <c r="H315" s="35"/>
      <c r="I315" s="12"/>
      <c r="M315" s="12"/>
      <c r="N315" s="18"/>
      <c r="O315" s="12"/>
      <c r="P315" s="12"/>
      <c r="Q315" s="12"/>
      <c r="R315" s="36"/>
      <c r="S315" s="36"/>
      <c r="T315" s="12"/>
      <c r="U315" s="12"/>
      <c r="V315" s="12"/>
      <c r="W315" s="12"/>
      <c r="X315" s="12"/>
    </row>
    <row r="316" customFormat="false" ht="15.75" hidden="false" customHeight="false" outlineLevel="0" collapsed="false">
      <c r="A316" s="12"/>
      <c r="B316" s="34"/>
      <c r="C316" s="12"/>
      <c r="D316" s="12"/>
      <c r="E316" s="12"/>
      <c r="F316" s="12"/>
      <c r="G316" s="18"/>
      <c r="H316" s="35"/>
      <c r="I316" s="12"/>
      <c r="M316" s="12"/>
      <c r="N316" s="18"/>
      <c r="O316" s="12"/>
      <c r="P316" s="12"/>
      <c r="Q316" s="12"/>
      <c r="R316" s="36"/>
      <c r="S316" s="36"/>
      <c r="T316" s="12"/>
      <c r="U316" s="12"/>
      <c r="V316" s="12"/>
      <c r="W316" s="12"/>
      <c r="X316" s="12"/>
    </row>
    <row r="317" customFormat="false" ht="15.75" hidden="false" customHeight="false" outlineLevel="0" collapsed="false">
      <c r="A317" s="12"/>
      <c r="B317" s="34"/>
      <c r="C317" s="12"/>
      <c r="D317" s="12"/>
      <c r="E317" s="12"/>
      <c r="F317" s="12"/>
      <c r="G317" s="18"/>
      <c r="H317" s="35"/>
      <c r="I317" s="12"/>
      <c r="M317" s="12"/>
      <c r="N317" s="18"/>
      <c r="O317" s="12"/>
      <c r="P317" s="12"/>
      <c r="Q317" s="12"/>
      <c r="R317" s="36"/>
      <c r="S317" s="36"/>
      <c r="T317" s="12"/>
      <c r="U317" s="12"/>
      <c r="V317" s="12"/>
      <c r="W317" s="12"/>
      <c r="X317" s="12"/>
    </row>
    <row r="318" customFormat="false" ht="15.75" hidden="false" customHeight="false" outlineLevel="0" collapsed="false">
      <c r="A318" s="12"/>
      <c r="B318" s="34"/>
      <c r="C318" s="12"/>
      <c r="D318" s="12"/>
      <c r="E318" s="12"/>
      <c r="F318" s="12"/>
      <c r="G318" s="18"/>
      <c r="H318" s="35"/>
      <c r="I318" s="12"/>
      <c r="M318" s="12"/>
      <c r="N318" s="18"/>
      <c r="O318" s="12"/>
      <c r="P318" s="12"/>
      <c r="Q318" s="12"/>
      <c r="R318" s="36"/>
      <c r="S318" s="36"/>
      <c r="T318" s="12"/>
      <c r="U318" s="12"/>
      <c r="V318" s="12"/>
      <c r="W318" s="12"/>
      <c r="X318" s="12"/>
    </row>
    <row r="319" customFormat="false" ht="15.75" hidden="false" customHeight="false" outlineLevel="0" collapsed="false">
      <c r="A319" s="12"/>
      <c r="B319" s="34"/>
      <c r="C319" s="12"/>
      <c r="D319" s="12"/>
      <c r="E319" s="12"/>
      <c r="F319" s="12"/>
      <c r="G319" s="18"/>
      <c r="H319" s="35"/>
      <c r="I319" s="12"/>
      <c r="M319" s="12"/>
      <c r="N319" s="18"/>
      <c r="O319" s="12"/>
      <c r="P319" s="12"/>
      <c r="Q319" s="12"/>
      <c r="R319" s="36"/>
      <c r="S319" s="36"/>
      <c r="T319" s="12"/>
      <c r="U319" s="12"/>
      <c r="V319" s="12"/>
      <c r="W319" s="12"/>
      <c r="X319" s="12"/>
    </row>
    <row r="320" customFormat="false" ht="15.75" hidden="false" customHeight="false" outlineLevel="0" collapsed="false">
      <c r="A320" s="12"/>
      <c r="B320" s="34"/>
      <c r="C320" s="12"/>
      <c r="D320" s="12"/>
      <c r="E320" s="12"/>
      <c r="F320" s="12"/>
      <c r="G320" s="18"/>
      <c r="H320" s="35"/>
      <c r="I320" s="12"/>
      <c r="M320" s="12"/>
      <c r="N320" s="18"/>
      <c r="O320" s="12"/>
      <c r="P320" s="12"/>
      <c r="Q320" s="12"/>
      <c r="R320" s="36"/>
      <c r="S320" s="36"/>
      <c r="T320" s="12"/>
      <c r="U320" s="12"/>
      <c r="V320" s="12"/>
      <c r="W320" s="12"/>
      <c r="X320" s="12"/>
    </row>
    <row r="321" customFormat="false" ht="15.75" hidden="false" customHeight="false" outlineLevel="0" collapsed="false">
      <c r="A321" s="12"/>
      <c r="B321" s="34"/>
      <c r="C321" s="12"/>
      <c r="D321" s="12"/>
      <c r="E321" s="12"/>
      <c r="F321" s="12"/>
      <c r="G321" s="18"/>
      <c r="H321" s="35"/>
      <c r="I321" s="12"/>
      <c r="M321" s="12"/>
      <c r="N321" s="18"/>
      <c r="O321" s="12"/>
      <c r="P321" s="12"/>
      <c r="Q321" s="12"/>
      <c r="R321" s="36"/>
      <c r="S321" s="36"/>
      <c r="T321" s="12"/>
      <c r="U321" s="12"/>
      <c r="V321" s="12"/>
      <c r="W321" s="12"/>
      <c r="X321" s="12"/>
    </row>
    <row r="322" customFormat="false" ht="15.75" hidden="false" customHeight="false" outlineLevel="0" collapsed="false">
      <c r="A322" s="12"/>
      <c r="B322" s="34"/>
      <c r="C322" s="12"/>
      <c r="D322" s="12"/>
      <c r="E322" s="12"/>
      <c r="F322" s="12"/>
      <c r="G322" s="18"/>
      <c r="H322" s="35"/>
      <c r="I322" s="12"/>
      <c r="M322" s="12"/>
      <c r="N322" s="18"/>
      <c r="O322" s="12"/>
      <c r="P322" s="12"/>
      <c r="Q322" s="12"/>
      <c r="R322" s="36"/>
      <c r="S322" s="36"/>
      <c r="T322" s="12"/>
      <c r="U322" s="12"/>
      <c r="V322" s="12"/>
      <c r="W322" s="12"/>
      <c r="X322" s="12"/>
    </row>
    <row r="323" customFormat="false" ht="15.75" hidden="false" customHeight="false" outlineLevel="0" collapsed="false">
      <c r="A323" s="12"/>
      <c r="B323" s="34"/>
      <c r="C323" s="12"/>
      <c r="D323" s="12"/>
      <c r="E323" s="12"/>
      <c r="F323" s="12"/>
      <c r="G323" s="18"/>
      <c r="H323" s="35"/>
      <c r="I323" s="12"/>
      <c r="M323" s="12"/>
      <c r="N323" s="18"/>
      <c r="O323" s="12"/>
      <c r="P323" s="12"/>
      <c r="Q323" s="12"/>
      <c r="R323" s="36"/>
      <c r="S323" s="36"/>
      <c r="T323" s="12"/>
      <c r="U323" s="12"/>
      <c r="V323" s="12"/>
      <c r="W323" s="12"/>
      <c r="X323" s="12"/>
    </row>
    <row r="324" customFormat="false" ht="15.75" hidden="false" customHeight="false" outlineLevel="0" collapsed="false">
      <c r="A324" s="12"/>
      <c r="B324" s="34"/>
      <c r="C324" s="12"/>
      <c r="D324" s="12"/>
      <c r="E324" s="12"/>
      <c r="F324" s="12"/>
      <c r="G324" s="18"/>
      <c r="H324" s="35"/>
      <c r="I324" s="12"/>
      <c r="M324" s="12"/>
      <c r="N324" s="18"/>
      <c r="O324" s="12"/>
      <c r="P324" s="12"/>
      <c r="Q324" s="12"/>
      <c r="R324" s="36"/>
      <c r="S324" s="36"/>
      <c r="T324" s="12"/>
      <c r="U324" s="12"/>
      <c r="V324" s="12"/>
      <c r="W324" s="12"/>
      <c r="X324" s="12"/>
    </row>
    <row r="325" customFormat="false" ht="15.75" hidden="false" customHeight="false" outlineLevel="0" collapsed="false">
      <c r="A325" s="12"/>
      <c r="B325" s="34"/>
      <c r="C325" s="12"/>
      <c r="D325" s="12"/>
      <c r="E325" s="12"/>
      <c r="F325" s="12"/>
      <c r="G325" s="18"/>
      <c r="H325" s="35"/>
      <c r="I325" s="12"/>
      <c r="M325" s="12"/>
      <c r="N325" s="18"/>
      <c r="O325" s="12"/>
      <c r="P325" s="12"/>
      <c r="Q325" s="12"/>
      <c r="R325" s="36"/>
      <c r="S325" s="36"/>
      <c r="T325" s="12"/>
      <c r="U325" s="12"/>
      <c r="V325" s="12"/>
      <c r="W325" s="12"/>
      <c r="X325" s="12"/>
    </row>
    <row r="326" customFormat="false" ht="15.75" hidden="false" customHeight="false" outlineLevel="0" collapsed="false">
      <c r="A326" s="12"/>
      <c r="B326" s="34"/>
      <c r="C326" s="12"/>
      <c r="D326" s="12"/>
      <c r="E326" s="12"/>
      <c r="F326" s="12"/>
      <c r="G326" s="18"/>
      <c r="H326" s="35"/>
      <c r="I326" s="12"/>
      <c r="M326" s="12"/>
      <c r="N326" s="18"/>
      <c r="O326" s="12"/>
      <c r="P326" s="12"/>
      <c r="Q326" s="12"/>
      <c r="R326" s="36"/>
      <c r="S326" s="36"/>
      <c r="T326" s="12"/>
      <c r="U326" s="12"/>
      <c r="V326" s="12"/>
      <c r="W326" s="12"/>
      <c r="X326" s="12"/>
    </row>
    <row r="327" customFormat="false" ht="15.75" hidden="false" customHeight="false" outlineLevel="0" collapsed="false">
      <c r="A327" s="12"/>
      <c r="B327" s="34"/>
      <c r="C327" s="12"/>
      <c r="D327" s="12"/>
      <c r="E327" s="12"/>
      <c r="F327" s="12"/>
      <c r="G327" s="18"/>
      <c r="H327" s="35"/>
      <c r="I327" s="12"/>
      <c r="M327" s="12"/>
      <c r="N327" s="18"/>
      <c r="O327" s="12"/>
      <c r="P327" s="12"/>
      <c r="Q327" s="12"/>
      <c r="R327" s="36"/>
      <c r="S327" s="36"/>
      <c r="T327" s="12"/>
      <c r="U327" s="12"/>
      <c r="V327" s="12"/>
      <c r="W327" s="12"/>
      <c r="X327" s="12"/>
    </row>
    <row r="328" customFormat="false" ht="15.75" hidden="false" customHeight="false" outlineLevel="0" collapsed="false">
      <c r="A328" s="12"/>
      <c r="B328" s="34"/>
      <c r="C328" s="12"/>
      <c r="D328" s="12"/>
      <c r="E328" s="12"/>
      <c r="F328" s="12"/>
      <c r="G328" s="18"/>
      <c r="H328" s="35"/>
      <c r="I328" s="12"/>
      <c r="M328" s="12"/>
      <c r="N328" s="18"/>
      <c r="O328" s="12"/>
      <c r="P328" s="12"/>
      <c r="Q328" s="12"/>
      <c r="R328" s="36"/>
      <c r="S328" s="36"/>
      <c r="T328" s="12"/>
      <c r="U328" s="12"/>
      <c r="V328" s="12"/>
      <c r="W328" s="12"/>
      <c r="X328" s="12"/>
    </row>
    <row r="329" customFormat="false" ht="15.75" hidden="false" customHeight="false" outlineLevel="0" collapsed="false">
      <c r="A329" s="12"/>
      <c r="B329" s="34"/>
      <c r="C329" s="12"/>
      <c r="D329" s="12"/>
      <c r="E329" s="12"/>
      <c r="F329" s="12"/>
      <c r="G329" s="18"/>
      <c r="H329" s="35"/>
      <c r="I329" s="12"/>
      <c r="M329" s="12"/>
      <c r="N329" s="18"/>
      <c r="O329" s="12"/>
      <c r="P329" s="12"/>
      <c r="Q329" s="12"/>
      <c r="R329" s="36"/>
      <c r="S329" s="36"/>
      <c r="T329" s="12"/>
      <c r="U329" s="12"/>
      <c r="V329" s="12"/>
      <c r="W329" s="12"/>
      <c r="X329" s="12"/>
    </row>
    <row r="330" customFormat="false" ht="15.75" hidden="false" customHeight="false" outlineLevel="0" collapsed="false">
      <c r="A330" s="12"/>
      <c r="B330" s="34"/>
      <c r="C330" s="12"/>
      <c r="D330" s="12"/>
      <c r="E330" s="12"/>
      <c r="F330" s="12"/>
      <c r="G330" s="18"/>
      <c r="H330" s="35"/>
      <c r="I330" s="12"/>
      <c r="M330" s="12"/>
      <c r="N330" s="18"/>
      <c r="O330" s="12"/>
      <c r="P330" s="12"/>
      <c r="Q330" s="12"/>
      <c r="R330" s="36"/>
      <c r="S330" s="36"/>
      <c r="T330" s="12"/>
      <c r="U330" s="12"/>
      <c r="V330" s="12"/>
      <c r="W330" s="12"/>
      <c r="X330" s="12"/>
    </row>
    <row r="331" customFormat="false" ht="15.75" hidden="false" customHeight="false" outlineLevel="0" collapsed="false">
      <c r="A331" s="12"/>
      <c r="B331" s="34"/>
      <c r="C331" s="12"/>
      <c r="D331" s="12"/>
      <c r="E331" s="12"/>
      <c r="F331" s="12"/>
      <c r="G331" s="18"/>
      <c r="H331" s="35"/>
      <c r="I331" s="12"/>
      <c r="M331" s="12"/>
      <c r="N331" s="18"/>
      <c r="O331" s="12"/>
      <c r="P331" s="12"/>
      <c r="Q331" s="12"/>
      <c r="R331" s="36"/>
      <c r="S331" s="36"/>
      <c r="T331" s="12"/>
      <c r="U331" s="12"/>
      <c r="V331" s="12"/>
      <c r="W331" s="12"/>
      <c r="X331" s="12"/>
    </row>
    <row r="332" customFormat="false" ht="15.75" hidden="false" customHeight="false" outlineLevel="0" collapsed="false">
      <c r="A332" s="12"/>
      <c r="B332" s="34"/>
      <c r="C332" s="12"/>
      <c r="D332" s="12"/>
      <c r="E332" s="12"/>
      <c r="F332" s="12"/>
      <c r="G332" s="18"/>
      <c r="H332" s="35"/>
      <c r="I332" s="12"/>
      <c r="M332" s="12"/>
      <c r="N332" s="18"/>
      <c r="O332" s="12"/>
      <c r="P332" s="12"/>
      <c r="Q332" s="12"/>
      <c r="R332" s="36"/>
      <c r="S332" s="36"/>
      <c r="T332" s="12"/>
      <c r="U332" s="12"/>
      <c r="V332" s="12"/>
      <c r="W332" s="12"/>
      <c r="X332" s="12"/>
    </row>
    <row r="333" customFormat="false" ht="15.75" hidden="false" customHeight="false" outlineLevel="0" collapsed="false">
      <c r="A333" s="12"/>
      <c r="B333" s="34"/>
      <c r="C333" s="12"/>
      <c r="D333" s="12"/>
      <c r="E333" s="12"/>
      <c r="F333" s="12"/>
      <c r="G333" s="18"/>
      <c r="H333" s="35"/>
      <c r="I333" s="12"/>
      <c r="M333" s="12"/>
      <c r="N333" s="18"/>
      <c r="O333" s="12"/>
      <c r="P333" s="12"/>
      <c r="Q333" s="12"/>
      <c r="R333" s="36"/>
      <c r="S333" s="36"/>
      <c r="T333" s="12"/>
      <c r="U333" s="12"/>
      <c r="V333" s="12"/>
      <c r="W333" s="12"/>
      <c r="X333" s="12"/>
    </row>
    <row r="334" customFormat="false" ht="15.75" hidden="false" customHeight="false" outlineLevel="0" collapsed="false">
      <c r="A334" s="12"/>
      <c r="B334" s="34"/>
      <c r="C334" s="12"/>
      <c r="D334" s="12"/>
      <c r="E334" s="12"/>
      <c r="F334" s="12"/>
      <c r="G334" s="18"/>
      <c r="H334" s="35"/>
      <c r="I334" s="12"/>
      <c r="M334" s="12"/>
      <c r="N334" s="18"/>
      <c r="O334" s="12"/>
      <c r="P334" s="12"/>
      <c r="Q334" s="12"/>
      <c r="R334" s="36"/>
      <c r="S334" s="36"/>
      <c r="T334" s="12"/>
      <c r="U334" s="12"/>
      <c r="V334" s="12"/>
      <c r="W334" s="12"/>
      <c r="X334" s="12"/>
    </row>
    <row r="335" customFormat="false" ht="15.75" hidden="false" customHeight="false" outlineLevel="0" collapsed="false">
      <c r="A335" s="12"/>
      <c r="B335" s="34"/>
      <c r="C335" s="12"/>
      <c r="D335" s="12"/>
      <c r="E335" s="12"/>
      <c r="F335" s="12"/>
      <c r="G335" s="18"/>
      <c r="H335" s="35"/>
      <c r="I335" s="12"/>
      <c r="M335" s="12"/>
      <c r="N335" s="18"/>
      <c r="O335" s="12"/>
      <c r="P335" s="12"/>
      <c r="Q335" s="12"/>
      <c r="R335" s="36"/>
      <c r="S335" s="36"/>
      <c r="T335" s="12"/>
      <c r="U335" s="12"/>
      <c r="V335" s="12"/>
      <c r="W335" s="12"/>
      <c r="X335" s="12"/>
    </row>
    <row r="336" customFormat="false" ht="15.75" hidden="false" customHeight="false" outlineLevel="0" collapsed="false">
      <c r="A336" s="12"/>
      <c r="B336" s="34"/>
      <c r="C336" s="12"/>
      <c r="D336" s="12"/>
      <c r="E336" s="12"/>
      <c r="F336" s="12"/>
      <c r="G336" s="18"/>
      <c r="H336" s="35"/>
      <c r="I336" s="12"/>
      <c r="M336" s="12"/>
      <c r="N336" s="18"/>
      <c r="O336" s="12"/>
      <c r="P336" s="12"/>
      <c r="Q336" s="12"/>
      <c r="R336" s="36"/>
      <c r="S336" s="36"/>
      <c r="T336" s="12"/>
      <c r="U336" s="12"/>
      <c r="V336" s="12"/>
      <c r="W336" s="12"/>
      <c r="X336" s="12"/>
    </row>
    <row r="337" customFormat="false" ht="15.75" hidden="false" customHeight="false" outlineLevel="0" collapsed="false">
      <c r="A337" s="12"/>
      <c r="B337" s="34"/>
      <c r="C337" s="12"/>
      <c r="D337" s="12"/>
      <c r="E337" s="12"/>
      <c r="F337" s="12"/>
      <c r="G337" s="18"/>
      <c r="H337" s="35"/>
      <c r="I337" s="12"/>
      <c r="M337" s="12"/>
      <c r="N337" s="18"/>
      <c r="O337" s="12"/>
      <c r="P337" s="12"/>
      <c r="Q337" s="12"/>
      <c r="R337" s="36"/>
      <c r="S337" s="36"/>
      <c r="T337" s="12"/>
      <c r="U337" s="12"/>
      <c r="V337" s="12"/>
      <c r="W337" s="12"/>
      <c r="X337" s="12"/>
    </row>
    <row r="338" customFormat="false" ht="15.75" hidden="false" customHeight="false" outlineLevel="0" collapsed="false">
      <c r="A338" s="12"/>
      <c r="B338" s="34"/>
      <c r="C338" s="12"/>
      <c r="D338" s="12"/>
      <c r="E338" s="12"/>
      <c r="F338" s="12"/>
      <c r="G338" s="18"/>
      <c r="H338" s="35"/>
      <c r="I338" s="12"/>
      <c r="M338" s="12"/>
      <c r="N338" s="18"/>
      <c r="O338" s="12"/>
      <c r="P338" s="12"/>
      <c r="Q338" s="12"/>
      <c r="R338" s="36"/>
      <c r="S338" s="36"/>
      <c r="T338" s="12"/>
      <c r="U338" s="12"/>
      <c r="V338" s="12"/>
      <c r="W338" s="12"/>
      <c r="X338" s="12"/>
    </row>
    <row r="339" customFormat="false" ht="15.75" hidden="false" customHeight="false" outlineLevel="0" collapsed="false">
      <c r="A339" s="12"/>
      <c r="B339" s="34"/>
      <c r="C339" s="12"/>
      <c r="D339" s="12"/>
      <c r="E339" s="12"/>
      <c r="F339" s="12"/>
      <c r="G339" s="18"/>
      <c r="H339" s="35"/>
      <c r="I339" s="12"/>
      <c r="M339" s="12"/>
      <c r="N339" s="18"/>
      <c r="O339" s="12"/>
      <c r="P339" s="12"/>
      <c r="Q339" s="12"/>
      <c r="R339" s="36"/>
      <c r="S339" s="36"/>
      <c r="T339" s="12"/>
      <c r="U339" s="12"/>
      <c r="V339" s="12"/>
      <c r="W339" s="12"/>
      <c r="X339" s="12"/>
    </row>
    <row r="340" customFormat="false" ht="15.75" hidden="false" customHeight="false" outlineLevel="0" collapsed="false">
      <c r="A340" s="12"/>
      <c r="B340" s="34"/>
      <c r="C340" s="12"/>
      <c r="D340" s="12"/>
      <c r="E340" s="12"/>
      <c r="F340" s="12"/>
      <c r="G340" s="18"/>
      <c r="H340" s="35"/>
      <c r="I340" s="12"/>
      <c r="M340" s="12"/>
      <c r="N340" s="18"/>
      <c r="O340" s="12"/>
      <c r="P340" s="12"/>
      <c r="Q340" s="12"/>
      <c r="R340" s="36"/>
      <c r="S340" s="36"/>
      <c r="T340" s="12"/>
      <c r="U340" s="12"/>
      <c r="V340" s="12"/>
      <c r="W340" s="12"/>
      <c r="X340" s="12"/>
    </row>
    <row r="341" customFormat="false" ht="15.75" hidden="false" customHeight="false" outlineLevel="0" collapsed="false">
      <c r="A341" s="12"/>
      <c r="B341" s="34"/>
      <c r="C341" s="12"/>
      <c r="D341" s="12"/>
      <c r="E341" s="12"/>
      <c r="F341" s="12"/>
      <c r="G341" s="18"/>
      <c r="H341" s="35"/>
      <c r="I341" s="12"/>
      <c r="M341" s="12"/>
      <c r="N341" s="18"/>
      <c r="O341" s="12"/>
      <c r="P341" s="12"/>
      <c r="Q341" s="12"/>
      <c r="R341" s="36"/>
      <c r="S341" s="36"/>
      <c r="T341" s="12"/>
      <c r="U341" s="12"/>
      <c r="V341" s="12"/>
      <c r="W341" s="12"/>
      <c r="X341" s="12"/>
    </row>
    <row r="342" customFormat="false" ht="15.75" hidden="false" customHeight="false" outlineLevel="0" collapsed="false">
      <c r="A342" s="12"/>
      <c r="B342" s="34"/>
      <c r="C342" s="12"/>
      <c r="D342" s="12"/>
      <c r="E342" s="12"/>
      <c r="F342" s="12"/>
      <c r="G342" s="18"/>
      <c r="H342" s="35"/>
      <c r="I342" s="12"/>
      <c r="M342" s="12"/>
      <c r="N342" s="18"/>
      <c r="O342" s="12"/>
      <c r="P342" s="12"/>
      <c r="Q342" s="12"/>
      <c r="R342" s="36"/>
      <c r="S342" s="36"/>
      <c r="T342" s="12"/>
      <c r="U342" s="12"/>
      <c r="V342" s="12"/>
      <c r="W342" s="12"/>
      <c r="X342" s="12"/>
    </row>
    <row r="343" customFormat="false" ht="15.75" hidden="false" customHeight="false" outlineLevel="0" collapsed="false">
      <c r="A343" s="12"/>
      <c r="B343" s="34"/>
      <c r="C343" s="12"/>
      <c r="D343" s="12"/>
      <c r="E343" s="12"/>
      <c r="F343" s="12"/>
      <c r="G343" s="18"/>
      <c r="H343" s="35"/>
      <c r="I343" s="12"/>
      <c r="M343" s="12"/>
      <c r="N343" s="18"/>
      <c r="O343" s="12"/>
      <c r="P343" s="12"/>
      <c r="Q343" s="12"/>
      <c r="R343" s="36"/>
      <c r="S343" s="36"/>
      <c r="T343" s="12"/>
      <c r="U343" s="12"/>
      <c r="V343" s="12"/>
      <c r="W343" s="12"/>
      <c r="X343" s="12"/>
    </row>
    <row r="344" customFormat="false" ht="15.75" hidden="false" customHeight="false" outlineLevel="0" collapsed="false">
      <c r="A344" s="12"/>
      <c r="B344" s="34"/>
      <c r="C344" s="12"/>
      <c r="D344" s="12"/>
      <c r="E344" s="12"/>
      <c r="F344" s="12"/>
      <c r="G344" s="18"/>
      <c r="H344" s="35"/>
      <c r="I344" s="12"/>
      <c r="M344" s="12"/>
      <c r="N344" s="18"/>
      <c r="O344" s="12"/>
      <c r="P344" s="12"/>
      <c r="Q344" s="12"/>
      <c r="R344" s="36"/>
      <c r="S344" s="36"/>
      <c r="T344" s="12"/>
      <c r="U344" s="12"/>
      <c r="V344" s="12"/>
      <c r="W344" s="12"/>
      <c r="X344" s="12"/>
    </row>
    <row r="345" customFormat="false" ht="15.75" hidden="false" customHeight="false" outlineLevel="0" collapsed="false">
      <c r="A345" s="12"/>
      <c r="B345" s="34"/>
      <c r="C345" s="12"/>
      <c r="D345" s="12"/>
      <c r="E345" s="12"/>
      <c r="F345" s="12"/>
      <c r="G345" s="18"/>
      <c r="H345" s="35"/>
      <c r="I345" s="12"/>
      <c r="M345" s="12"/>
      <c r="N345" s="18"/>
      <c r="O345" s="12"/>
      <c r="P345" s="12"/>
      <c r="Q345" s="12"/>
      <c r="R345" s="36"/>
      <c r="S345" s="36"/>
      <c r="T345" s="12"/>
      <c r="U345" s="12"/>
      <c r="V345" s="12"/>
      <c r="W345" s="12"/>
      <c r="X345" s="12"/>
    </row>
    <row r="346" customFormat="false" ht="15.75" hidden="false" customHeight="false" outlineLevel="0" collapsed="false">
      <c r="A346" s="12"/>
      <c r="B346" s="34"/>
      <c r="C346" s="12"/>
      <c r="D346" s="12"/>
      <c r="E346" s="12"/>
      <c r="F346" s="12"/>
      <c r="G346" s="18"/>
      <c r="H346" s="35"/>
      <c r="I346" s="12"/>
      <c r="M346" s="12"/>
      <c r="N346" s="18"/>
      <c r="O346" s="12"/>
      <c r="P346" s="12"/>
      <c r="Q346" s="12"/>
      <c r="R346" s="36"/>
      <c r="S346" s="36"/>
      <c r="T346" s="12"/>
      <c r="U346" s="12"/>
      <c r="V346" s="12"/>
      <c r="W346" s="12"/>
      <c r="X346" s="12"/>
    </row>
    <row r="347" customFormat="false" ht="15.75" hidden="false" customHeight="false" outlineLevel="0" collapsed="false">
      <c r="A347" s="12"/>
      <c r="B347" s="34"/>
      <c r="C347" s="12"/>
      <c r="D347" s="12"/>
      <c r="E347" s="12"/>
      <c r="F347" s="12"/>
      <c r="G347" s="18"/>
      <c r="H347" s="35"/>
      <c r="I347" s="12"/>
      <c r="M347" s="12"/>
      <c r="N347" s="18"/>
      <c r="O347" s="12"/>
      <c r="P347" s="12"/>
      <c r="Q347" s="12"/>
      <c r="R347" s="36"/>
      <c r="S347" s="36"/>
      <c r="T347" s="12"/>
      <c r="U347" s="12"/>
      <c r="V347" s="12"/>
      <c r="W347" s="12"/>
      <c r="X347" s="12"/>
    </row>
    <row r="348" customFormat="false" ht="15.75" hidden="false" customHeight="false" outlineLevel="0" collapsed="false">
      <c r="A348" s="12"/>
      <c r="B348" s="34"/>
      <c r="C348" s="12"/>
      <c r="D348" s="12"/>
      <c r="E348" s="12"/>
      <c r="F348" s="12"/>
      <c r="G348" s="18"/>
      <c r="H348" s="35"/>
      <c r="I348" s="12"/>
      <c r="M348" s="12"/>
      <c r="N348" s="18"/>
      <c r="O348" s="12"/>
      <c r="P348" s="12"/>
      <c r="Q348" s="12"/>
      <c r="R348" s="36"/>
      <c r="S348" s="36"/>
      <c r="T348" s="12"/>
      <c r="U348" s="12"/>
      <c r="V348" s="12"/>
      <c r="W348" s="12"/>
      <c r="X348" s="12"/>
    </row>
    <row r="349" customFormat="false" ht="15.75" hidden="false" customHeight="false" outlineLevel="0" collapsed="false">
      <c r="A349" s="12"/>
      <c r="B349" s="34"/>
      <c r="C349" s="12"/>
      <c r="D349" s="12"/>
      <c r="E349" s="12"/>
      <c r="F349" s="12"/>
      <c r="G349" s="18"/>
      <c r="H349" s="35"/>
      <c r="I349" s="12"/>
      <c r="M349" s="12"/>
      <c r="N349" s="18"/>
      <c r="O349" s="12"/>
      <c r="P349" s="12"/>
      <c r="Q349" s="12"/>
      <c r="R349" s="36"/>
      <c r="S349" s="36"/>
      <c r="T349" s="12"/>
      <c r="U349" s="12"/>
      <c r="V349" s="12"/>
      <c r="W349" s="12"/>
      <c r="X349" s="12"/>
    </row>
    <row r="350" customFormat="false" ht="15.75" hidden="false" customHeight="false" outlineLevel="0" collapsed="false">
      <c r="A350" s="12"/>
      <c r="B350" s="34"/>
      <c r="C350" s="12"/>
      <c r="D350" s="12"/>
      <c r="E350" s="12"/>
      <c r="F350" s="12"/>
      <c r="G350" s="18"/>
      <c r="H350" s="35"/>
      <c r="I350" s="12"/>
      <c r="M350" s="12"/>
      <c r="N350" s="18"/>
      <c r="O350" s="12"/>
      <c r="P350" s="12"/>
      <c r="Q350" s="12"/>
      <c r="R350" s="36"/>
      <c r="S350" s="36"/>
      <c r="T350" s="12"/>
      <c r="U350" s="12"/>
      <c r="V350" s="12"/>
      <c r="W350" s="12"/>
      <c r="X350" s="12"/>
    </row>
    <row r="351" customFormat="false" ht="15.75" hidden="false" customHeight="false" outlineLevel="0" collapsed="false">
      <c r="A351" s="12"/>
      <c r="B351" s="34"/>
      <c r="C351" s="12"/>
      <c r="D351" s="12"/>
      <c r="E351" s="12"/>
      <c r="F351" s="12"/>
      <c r="G351" s="18"/>
      <c r="H351" s="35"/>
      <c r="I351" s="12"/>
      <c r="M351" s="12"/>
      <c r="N351" s="18"/>
      <c r="O351" s="12"/>
      <c r="P351" s="12"/>
      <c r="Q351" s="12"/>
      <c r="R351" s="36"/>
      <c r="S351" s="36"/>
      <c r="T351" s="12"/>
      <c r="U351" s="12"/>
      <c r="V351" s="12"/>
      <c r="W351" s="12"/>
      <c r="X351" s="12"/>
    </row>
    <row r="352" customFormat="false" ht="15.75" hidden="false" customHeight="false" outlineLevel="0" collapsed="false">
      <c r="A352" s="12"/>
      <c r="B352" s="34"/>
      <c r="C352" s="12"/>
      <c r="D352" s="12"/>
      <c r="E352" s="12"/>
      <c r="F352" s="12"/>
      <c r="G352" s="18"/>
      <c r="H352" s="35"/>
      <c r="I352" s="12"/>
      <c r="M352" s="12"/>
      <c r="N352" s="18"/>
      <c r="O352" s="12"/>
      <c r="P352" s="12"/>
      <c r="Q352" s="12"/>
      <c r="R352" s="36"/>
      <c r="S352" s="36"/>
      <c r="T352" s="12"/>
      <c r="U352" s="12"/>
      <c r="V352" s="12"/>
      <c r="W352" s="12"/>
      <c r="X352" s="12"/>
    </row>
    <row r="353" customFormat="false" ht="15.75" hidden="false" customHeight="false" outlineLevel="0" collapsed="false">
      <c r="A353" s="12"/>
      <c r="B353" s="34"/>
      <c r="C353" s="12"/>
      <c r="D353" s="12"/>
      <c r="E353" s="12"/>
      <c r="F353" s="12"/>
      <c r="G353" s="18"/>
      <c r="H353" s="35"/>
      <c r="I353" s="12"/>
      <c r="M353" s="12"/>
      <c r="N353" s="18"/>
      <c r="O353" s="12"/>
      <c r="P353" s="12"/>
      <c r="Q353" s="12"/>
      <c r="R353" s="36"/>
      <c r="S353" s="36"/>
      <c r="T353" s="12"/>
      <c r="U353" s="12"/>
      <c r="V353" s="12"/>
      <c r="W353" s="12"/>
      <c r="X353" s="12"/>
    </row>
    <row r="354" customFormat="false" ht="15.75" hidden="false" customHeight="false" outlineLevel="0" collapsed="false">
      <c r="A354" s="12"/>
      <c r="B354" s="34"/>
      <c r="C354" s="12"/>
      <c r="D354" s="12"/>
      <c r="E354" s="12"/>
      <c r="F354" s="12"/>
      <c r="G354" s="18"/>
      <c r="H354" s="35"/>
      <c r="I354" s="12"/>
      <c r="M354" s="12"/>
      <c r="N354" s="18"/>
      <c r="O354" s="12"/>
      <c r="P354" s="12"/>
      <c r="Q354" s="12"/>
      <c r="R354" s="36"/>
      <c r="S354" s="36"/>
      <c r="T354" s="12"/>
      <c r="U354" s="12"/>
      <c r="V354" s="12"/>
      <c r="W354" s="12"/>
      <c r="X354" s="12"/>
    </row>
    <row r="355" customFormat="false" ht="15.75" hidden="false" customHeight="false" outlineLevel="0" collapsed="false">
      <c r="A355" s="12"/>
      <c r="B355" s="34"/>
      <c r="C355" s="12"/>
      <c r="D355" s="12"/>
      <c r="E355" s="12"/>
      <c r="F355" s="12"/>
      <c r="G355" s="18"/>
      <c r="H355" s="35"/>
      <c r="I355" s="12"/>
      <c r="M355" s="12"/>
      <c r="N355" s="18"/>
      <c r="O355" s="12"/>
      <c r="P355" s="12"/>
      <c r="Q355" s="12"/>
      <c r="R355" s="36"/>
      <c r="S355" s="36"/>
      <c r="T355" s="12"/>
      <c r="U355" s="12"/>
      <c r="V355" s="12"/>
      <c r="W355" s="12"/>
      <c r="X355" s="12"/>
    </row>
    <row r="356" customFormat="false" ht="15.75" hidden="false" customHeight="false" outlineLevel="0" collapsed="false">
      <c r="A356" s="12"/>
      <c r="B356" s="34"/>
      <c r="C356" s="12"/>
      <c r="D356" s="12"/>
      <c r="E356" s="12"/>
      <c r="F356" s="12"/>
      <c r="G356" s="18"/>
      <c r="H356" s="35"/>
      <c r="I356" s="12"/>
      <c r="M356" s="12"/>
      <c r="N356" s="18"/>
      <c r="O356" s="12"/>
      <c r="P356" s="12"/>
      <c r="Q356" s="12"/>
      <c r="R356" s="36"/>
      <c r="S356" s="36"/>
      <c r="T356" s="12"/>
      <c r="U356" s="12"/>
      <c r="V356" s="12"/>
      <c r="W356" s="12"/>
      <c r="X356" s="12"/>
    </row>
    <row r="357" customFormat="false" ht="15.75" hidden="false" customHeight="false" outlineLevel="0" collapsed="false">
      <c r="A357" s="12"/>
      <c r="B357" s="34"/>
      <c r="C357" s="12"/>
      <c r="D357" s="12"/>
      <c r="E357" s="12"/>
      <c r="F357" s="12"/>
      <c r="G357" s="18"/>
      <c r="H357" s="35"/>
      <c r="I357" s="12"/>
      <c r="M357" s="12"/>
      <c r="N357" s="18"/>
      <c r="O357" s="12"/>
      <c r="P357" s="12"/>
      <c r="Q357" s="12"/>
      <c r="R357" s="36"/>
      <c r="S357" s="36"/>
      <c r="T357" s="12"/>
      <c r="U357" s="12"/>
      <c r="V357" s="12"/>
      <c r="W357" s="12"/>
      <c r="X357" s="12"/>
    </row>
    <row r="358" customFormat="false" ht="15.75" hidden="false" customHeight="false" outlineLevel="0" collapsed="false">
      <c r="A358" s="12"/>
      <c r="B358" s="34"/>
      <c r="C358" s="12"/>
      <c r="D358" s="12"/>
      <c r="E358" s="12"/>
      <c r="F358" s="12"/>
      <c r="G358" s="18"/>
      <c r="H358" s="35"/>
      <c r="I358" s="12"/>
      <c r="M358" s="12"/>
      <c r="N358" s="18"/>
      <c r="O358" s="12"/>
      <c r="P358" s="12"/>
      <c r="Q358" s="12"/>
      <c r="R358" s="36"/>
      <c r="S358" s="36"/>
      <c r="T358" s="12"/>
      <c r="U358" s="12"/>
      <c r="V358" s="12"/>
      <c r="W358" s="12"/>
      <c r="X358" s="12"/>
    </row>
    <row r="359" customFormat="false" ht="15.75" hidden="false" customHeight="false" outlineLevel="0" collapsed="false">
      <c r="A359" s="12"/>
      <c r="B359" s="34"/>
      <c r="C359" s="12"/>
      <c r="D359" s="12"/>
      <c r="E359" s="12"/>
      <c r="F359" s="12"/>
      <c r="G359" s="18"/>
      <c r="H359" s="35"/>
      <c r="I359" s="12"/>
      <c r="M359" s="12"/>
      <c r="N359" s="18"/>
      <c r="O359" s="12"/>
      <c r="P359" s="12"/>
      <c r="Q359" s="12"/>
      <c r="R359" s="36"/>
      <c r="S359" s="36"/>
      <c r="T359" s="12"/>
      <c r="U359" s="12"/>
      <c r="V359" s="12"/>
      <c r="W359" s="12"/>
      <c r="X359" s="12"/>
    </row>
    <row r="360" customFormat="false" ht="15.75" hidden="false" customHeight="false" outlineLevel="0" collapsed="false">
      <c r="A360" s="12"/>
      <c r="B360" s="34"/>
      <c r="C360" s="12"/>
      <c r="D360" s="12"/>
      <c r="E360" s="12"/>
      <c r="F360" s="12"/>
      <c r="G360" s="18"/>
      <c r="H360" s="35"/>
      <c r="I360" s="12"/>
      <c r="M360" s="12"/>
      <c r="N360" s="18"/>
      <c r="O360" s="12"/>
      <c r="P360" s="12"/>
      <c r="Q360" s="12"/>
      <c r="R360" s="36"/>
      <c r="S360" s="36"/>
      <c r="T360" s="12"/>
      <c r="U360" s="12"/>
      <c r="V360" s="12"/>
      <c r="W360" s="12"/>
      <c r="X360" s="12"/>
    </row>
    <row r="361" customFormat="false" ht="15.75" hidden="false" customHeight="false" outlineLevel="0" collapsed="false">
      <c r="A361" s="12"/>
      <c r="B361" s="34"/>
      <c r="C361" s="12"/>
      <c r="D361" s="12"/>
      <c r="E361" s="12"/>
      <c r="F361" s="12"/>
      <c r="G361" s="18"/>
      <c r="H361" s="35"/>
      <c r="I361" s="12"/>
      <c r="M361" s="12"/>
      <c r="N361" s="18"/>
      <c r="O361" s="12"/>
      <c r="P361" s="12"/>
      <c r="Q361" s="12"/>
      <c r="R361" s="36"/>
      <c r="S361" s="36"/>
      <c r="T361" s="12"/>
      <c r="U361" s="12"/>
      <c r="V361" s="12"/>
      <c r="W361" s="12"/>
      <c r="X361" s="12"/>
    </row>
    <row r="362" customFormat="false" ht="15.75" hidden="false" customHeight="false" outlineLevel="0" collapsed="false">
      <c r="A362" s="12"/>
      <c r="B362" s="34"/>
      <c r="C362" s="12"/>
      <c r="D362" s="12"/>
      <c r="E362" s="12"/>
      <c r="F362" s="12"/>
      <c r="G362" s="18"/>
      <c r="H362" s="35"/>
      <c r="I362" s="12"/>
      <c r="M362" s="12"/>
      <c r="N362" s="18"/>
      <c r="O362" s="12"/>
      <c r="P362" s="12"/>
      <c r="Q362" s="12"/>
      <c r="R362" s="36"/>
      <c r="S362" s="36"/>
      <c r="T362" s="12"/>
      <c r="U362" s="12"/>
      <c r="V362" s="12"/>
      <c r="W362" s="12"/>
      <c r="X362" s="12"/>
    </row>
    <row r="363" customFormat="false" ht="15.75" hidden="false" customHeight="false" outlineLevel="0" collapsed="false">
      <c r="A363" s="12"/>
      <c r="B363" s="34"/>
      <c r="C363" s="12"/>
      <c r="D363" s="12"/>
      <c r="E363" s="12"/>
      <c r="F363" s="12"/>
      <c r="G363" s="18"/>
      <c r="H363" s="35"/>
      <c r="I363" s="12"/>
      <c r="M363" s="12"/>
      <c r="N363" s="18"/>
      <c r="O363" s="12"/>
      <c r="P363" s="12"/>
      <c r="Q363" s="12"/>
      <c r="R363" s="36"/>
      <c r="S363" s="36"/>
      <c r="T363" s="12"/>
      <c r="U363" s="12"/>
      <c r="V363" s="12"/>
      <c r="W363" s="12"/>
      <c r="X363" s="12"/>
    </row>
    <row r="364" customFormat="false" ht="15.75" hidden="false" customHeight="false" outlineLevel="0" collapsed="false">
      <c r="A364" s="12"/>
      <c r="B364" s="34"/>
      <c r="C364" s="12"/>
      <c r="D364" s="12"/>
      <c r="E364" s="12"/>
      <c r="F364" s="12"/>
      <c r="G364" s="18"/>
      <c r="H364" s="35"/>
      <c r="I364" s="12"/>
      <c r="M364" s="12"/>
      <c r="N364" s="18"/>
      <c r="O364" s="12"/>
      <c r="P364" s="12"/>
      <c r="Q364" s="12"/>
      <c r="R364" s="36"/>
      <c r="S364" s="36"/>
      <c r="T364" s="12"/>
      <c r="U364" s="12"/>
      <c r="V364" s="12"/>
      <c r="W364" s="12"/>
      <c r="X364" s="12"/>
    </row>
    <row r="365" customFormat="false" ht="15.75" hidden="false" customHeight="false" outlineLevel="0" collapsed="false">
      <c r="A365" s="12"/>
      <c r="B365" s="34"/>
      <c r="C365" s="12"/>
      <c r="D365" s="12"/>
      <c r="E365" s="12"/>
      <c r="F365" s="12"/>
      <c r="G365" s="18"/>
      <c r="H365" s="35"/>
      <c r="I365" s="12"/>
      <c r="M365" s="12"/>
      <c r="N365" s="18"/>
      <c r="O365" s="12"/>
      <c r="P365" s="12"/>
      <c r="Q365" s="12"/>
      <c r="R365" s="36"/>
      <c r="S365" s="36"/>
      <c r="T365" s="12"/>
      <c r="U365" s="12"/>
      <c r="V365" s="12"/>
      <c r="W365" s="12"/>
      <c r="X365" s="12"/>
    </row>
    <row r="366" customFormat="false" ht="15.75" hidden="false" customHeight="false" outlineLevel="0" collapsed="false">
      <c r="A366" s="12"/>
      <c r="B366" s="34"/>
      <c r="C366" s="12"/>
      <c r="D366" s="12"/>
      <c r="E366" s="12"/>
      <c r="F366" s="12"/>
      <c r="G366" s="18"/>
      <c r="H366" s="35"/>
      <c r="I366" s="12"/>
      <c r="M366" s="12"/>
      <c r="N366" s="18"/>
      <c r="O366" s="12"/>
      <c r="P366" s="12"/>
      <c r="Q366" s="12"/>
      <c r="R366" s="36"/>
      <c r="S366" s="36"/>
      <c r="T366" s="12"/>
      <c r="U366" s="12"/>
      <c r="V366" s="12"/>
      <c r="W366" s="12"/>
      <c r="X366" s="12"/>
    </row>
    <row r="367" customFormat="false" ht="15.75" hidden="false" customHeight="false" outlineLevel="0" collapsed="false">
      <c r="A367" s="12"/>
      <c r="B367" s="34"/>
      <c r="C367" s="12"/>
      <c r="D367" s="12"/>
      <c r="E367" s="12"/>
      <c r="F367" s="12"/>
      <c r="G367" s="18"/>
      <c r="H367" s="35"/>
      <c r="I367" s="12"/>
      <c r="M367" s="12"/>
      <c r="N367" s="18"/>
      <c r="O367" s="12"/>
      <c r="P367" s="12"/>
      <c r="Q367" s="12"/>
      <c r="R367" s="36"/>
      <c r="S367" s="36"/>
      <c r="T367" s="12"/>
      <c r="U367" s="12"/>
      <c r="V367" s="12"/>
      <c r="W367" s="12"/>
      <c r="X367" s="12"/>
    </row>
    <row r="368" customFormat="false" ht="15.75" hidden="false" customHeight="false" outlineLevel="0" collapsed="false">
      <c r="A368" s="12"/>
      <c r="B368" s="34"/>
      <c r="C368" s="12"/>
      <c r="D368" s="12"/>
      <c r="E368" s="12"/>
      <c r="F368" s="12"/>
      <c r="G368" s="18"/>
      <c r="H368" s="35"/>
      <c r="I368" s="12"/>
      <c r="M368" s="12"/>
      <c r="N368" s="18"/>
      <c r="O368" s="12"/>
      <c r="P368" s="12"/>
      <c r="Q368" s="12"/>
      <c r="R368" s="36"/>
      <c r="S368" s="36"/>
      <c r="T368" s="12"/>
      <c r="U368" s="12"/>
      <c r="V368" s="12"/>
      <c r="W368" s="12"/>
      <c r="X368" s="12"/>
    </row>
    <row r="369" customFormat="false" ht="15.75" hidden="false" customHeight="false" outlineLevel="0" collapsed="false">
      <c r="A369" s="12"/>
      <c r="B369" s="34"/>
      <c r="C369" s="12"/>
      <c r="D369" s="12"/>
      <c r="E369" s="12"/>
      <c r="F369" s="12"/>
      <c r="G369" s="18"/>
      <c r="H369" s="35"/>
      <c r="I369" s="12"/>
      <c r="M369" s="12"/>
      <c r="N369" s="18"/>
      <c r="O369" s="12"/>
      <c r="P369" s="12"/>
      <c r="Q369" s="12"/>
      <c r="R369" s="36"/>
      <c r="S369" s="36"/>
      <c r="T369" s="12"/>
      <c r="U369" s="12"/>
      <c r="V369" s="12"/>
      <c r="W369" s="12"/>
      <c r="X369" s="12"/>
    </row>
    <row r="370" customFormat="false" ht="15.75" hidden="false" customHeight="false" outlineLevel="0" collapsed="false">
      <c r="A370" s="12"/>
      <c r="B370" s="34"/>
      <c r="C370" s="12"/>
      <c r="D370" s="12"/>
      <c r="E370" s="12"/>
      <c r="F370" s="12"/>
      <c r="G370" s="18"/>
      <c r="H370" s="35"/>
      <c r="I370" s="12"/>
      <c r="M370" s="12"/>
      <c r="N370" s="18"/>
      <c r="O370" s="12"/>
      <c r="P370" s="12"/>
      <c r="Q370" s="12"/>
      <c r="R370" s="36"/>
      <c r="S370" s="36"/>
      <c r="T370" s="12"/>
      <c r="U370" s="12"/>
      <c r="V370" s="12"/>
      <c r="W370" s="12"/>
      <c r="X370" s="12"/>
    </row>
    <row r="371" customFormat="false" ht="15.75" hidden="false" customHeight="false" outlineLevel="0" collapsed="false">
      <c r="A371" s="12"/>
      <c r="B371" s="34"/>
      <c r="C371" s="12"/>
      <c r="D371" s="12"/>
      <c r="E371" s="12"/>
      <c r="F371" s="12"/>
      <c r="G371" s="18"/>
      <c r="H371" s="35"/>
      <c r="I371" s="12"/>
      <c r="M371" s="12"/>
      <c r="N371" s="18"/>
      <c r="O371" s="12"/>
      <c r="P371" s="12"/>
      <c r="Q371" s="12"/>
      <c r="R371" s="36"/>
      <c r="S371" s="36"/>
      <c r="T371" s="12"/>
      <c r="U371" s="12"/>
      <c r="V371" s="12"/>
      <c r="W371" s="12"/>
      <c r="X371" s="12"/>
    </row>
    <row r="372" customFormat="false" ht="15.75" hidden="false" customHeight="false" outlineLevel="0" collapsed="false">
      <c r="A372" s="12"/>
      <c r="B372" s="34"/>
      <c r="C372" s="12"/>
      <c r="D372" s="12"/>
      <c r="E372" s="12"/>
      <c r="F372" s="12"/>
      <c r="G372" s="18"/>
      <c r="H372" s="35"/>
      <c r="I372" s="12"/>
      <c r="M372" s="12"/>
      <c r="N372" s="18"/>
      <c r="O372" s="12"/>
      <c r="P372" s="12"/>
      <c r="Q372" s="12"/>
      <c r="R372" s="36"/>
      <c r="S372" s="36"/>
      <c r="T372" s="12"/>
      <c r="U372" s="12"/>
      <c r="V372" s="12"/>
      <c r="W372" s="12"/>
      <c r="X372" s="12"/>
    </row>
    <row r="373" customFormat="false" ht="15.75" hidden="false" customHeight="false" outlineLevel="0" collapsed="false">
      <c r="A373" s="12"/>
      <c r="B373" s="34"/>
      <c r="C373" s="12"/>
      <c r="D373" s="12"/>
      <c r="E373" s="12"/>
      <c r="F373" s="12"/>
      <c r="G373" s="18"/>
      <c r="H373" s="35"/>
      <c r="I373" s="12"/>
      <c r="M373" s="12"/>
      <c r="N373" s="18"/>
      <c r="O373" s="12"/>
      <c r="P373" s="12"/>
      <c r="Q373" s="12"/>
      <c r="R373" s="36"/>
      <c r="S373" s="36"/>
      <c r="T373" s="12"/>
      <c r="U373" s="12"/>
      <c r="V373" s="12"/>
      <c r="W373" s="12"/>
      <c r="X373" s="12"/>
    </row>
    <row r="374" customFormat="false" ht="15.75" hidden="false" customHeight="false" outlineLevel="0" collapsed="false">
      <c r="A374" s="12"/>
      <c r="B374" s="34"/>
      <c r="C374" s="12"/>
      <c r="D374" s="12"/>
      <c r="E374" s="12"/>
      <c r="F374" s="12"/>
      <c r="G374" s="18"/>
      <c r="H374" s="35"/>
      <c r="I374" s="12"/>
      <c r="M374" s="12"/>
      <c r="N374" s="18"/>
      <c r="O374" s="12"/>
      <c r="P374" s="12"/>
      <c r="Q374" s="12"/>
      <c r="R374" s="36"/>
      <c r="S374" s="36"/>
      <c r="T374" s="12"/>
      <c r="U374" s="12"/>
      <c r="V374" s="12"/>
      <c r="W374" s="12"/>
      <c r="X374" s="12"/>
    </row>
    <row r="375" customFormat="false" ht="15.75" hidden="false" customHeight="false" outlineLevel="0" collapsed="false">
      <c r="A375" s="12"/>
      <c r="B375" s="34"/>
      <c r="C375" s="12"/>
      <c r="D375" s="12"/>
      <c r="E375" s="12"/>
      <c r="F375" s="12"/>
      <c r="G375" s="18"/>
      <c r="H375" s="35"/>
      <c r="I375" s="12"/>
      <c r="M375" s="12"/>
      <c r="N375" s="18"/>
      <c r="O375" s="12"/>
      <c r="P375" s="12"/>
      <c r="Q375" s="12"/>
      <c r="R375" s="36"/>
      <c r="S375" s="36"/>
      <c r="T375" s="12"/>
      <c r="U375" s="12"/>
      <c r="V375" s="12"/>
      <c r="W375" s="12"/>
      <c r="X375" s="12"/>
    </row>
    <row r="376" customFormat="false" ht="15.75" hidden="false" customHeight="false" outlineLevel="0" collapsed="false">
      <c r="A376" s="12"/>
      <c r="B376" s="34"/>
      <c r="C376" s="12"/>
      <c r="D376" s="12"/>
      <c r="E376" s="12"/>
      <c r="F376" s="12"/>
      <c r="G376" s="18"/>
      <c r="H376" s="35"/>
      <c r="I376" s="12"/>
      <c r="M376" s="12"/>
      <c r="N376" s="18"/>
      <c r="O376" s="12"/>
      <c r="P376" s="12"/>
      <c r="Q376" s="12"/>
      <c r="R376" s="36"/>
      <c r="S376" s="36"/>
      <c r="T376" s="12"/>
      <c r="U376" s="12"/>
      <c r="V376" s="12"/>
      <c r="W376" s="12"/>
      <c r="X376" s="12"/>
    </row>
    <row r="377" customFormat="false" ht="15.75" hidden="false" customHeight="false" outlineLevel="0" collapsed="false">
      <c r="A377" s="12"/>
      <c r="B377" s="34"/>
      <c r="C377" s="12"/>
      <c r="D377" s="12"/>
      <c r="E377" s="12"/>
      <c r="F377" s="12"/>
      <c r="G377" s="18"/>
      <c r="H377" s="35"/>
      <c r="I377" s="12"/>
      <c r="M377" s="12"/>
      <c r="N377" s="18"/>
      <c r="O377" s="12"/>
      <c r="P377" s="12"/>
      <c r="Q377" s="12"/>
      <c r="R377" s="36"/>
      <c r="S377" s="36"/>
      <c r="T377" s="12"/>
      <c r="U377" s="12"/>
      <c r="V377" s="12"/>
      <c r="W377" s="12"/>
      <c r="X377" s="12"/>
    </row>
    <row r="378" customFormat="false" ht="15.75" hidden="false" customHeight="false" outlineLevel="0" collapsed="false">
      <c r="A378" s="12"/>
      <c r="B378" s="34"/>
      <c r="C378" s="12"/>
      <c r="D378" s="12"/>
      <c r="E378" s="12"/>
      <c r="F378" s="12"/>
      <c r="G378" s="18"/>
      <c r="H378" s="35"/>
      <c r="I378" s="12"/>
      <c r="M378" s="12"/>
      <c r="N378" s="18"/>
      <c r="O378" s="12"/>
      <c r="P378" s="12"/>
      <c r="Q378" s="12"/>
      <c r="R378" s="36"/>
      <c r="S378" s="36"/>
      <c r="T378" s="12"/>
      <c r="U378" s="12"/>
      <c r="V378" s="12"/>
      <c r="W378" s="12"/>
      <c r="X378" s="12"/>
    </row>
    <row r="379" customFormat="false" ht="15.75" hidden="false" customHeight="false" outlineLevel="0" collapsed="false">
      <c r="A379" s="12"/>
      <c r="B379" s="34"/>
      <c r="C379" s="12"/>
      <c r="D379" s="12"/>
      <c r="E379" s="12"/>
      <c r="F379" s="12"/>
      <c r="G379" s="18"/>
      <c r="H379" s="35"/>
      <c r="I379" s="12"/>
      <c r="M379" s="12"/>
      <c r="N379" s="18"/>
      <c r="O379" s="12"/>
      <c r="P379" s="12"/>
      <c r="Q379" s="12"/>
      <c r="R379" s="36"/>
      <c r="S379" s="36"/>
      <c r="T379" s="12"/>
      <c r="U379" s="12"/>
      <c r="V379" s="12"/>
      <c r="W379" s="12"/>
      <c r="X379" s="12"/>
    </row>
    <row r="380" customFormat="false" ht="15.75" hidden="false" customHeight="false" outlineLevel="0" collapsed="false">
      <c r="A380" s="12"/>
      <c r="B380" s="34"/>
      <c r="C380" s="12"/>
      <c r="D380" s="12"/>
      <c r="E380" s="12"/>
      <c r="F380" s="12"/>
      <c r="G380" s="18"/>
      <c r="H380" s="35"/>
      <c r="I380" s="12"/>
      <c r="M380" s="12"/>
      <c r="N380" s="18"/>
      <c r="O380" s="12"/>
      <c r="P380" s="12"/>
      <c r="Q380" s="12"/>
      <c r="R380" s="36"/>
      <c r="S380" s="36"/>
      <c r="T380" s="12"/>
      <c r="U380" s="12"/>
      <c r="V380" s="12"/>
      <c r="W380" s="12"/>
      <c r="X380" s="12"/>
    </row>
    <row r="381" customFormat="false" ht="15.75" hidden="false" customHeight="false" outlineLevel="0" collapsed="false">
      <c r="A381" s="12"/>
      <c r="B381" s="34"/>
      <c r="C381" s="12"/>
      <c r="D381" s="12"/>
      <c r="E381" s="12"/>
      <c r="F381" s="12"/>
      <c r="G381" s="18"/>
      <c r="H381" s="35"/>
      <c r="I381" s="12"/>
      <c r="M381" s="12"/>
      <c r="N381" s="18"/>
      <c r="O381" s="12"/>
      <c r="P381" s="12"/>
      <c r="Q381" s="12"/>
      <c r="R381" s="36"/>
      <c r="S381" s="36"/>
      <c r="T381" s="12"/>
      <c r="U381" s="12"/>
      <c r="V381" s="12"/>
      <c r="W381" s="12"/>
      <c r="X381" s="12"/>
    </row>
    <row r="382" customFormat="false" ht="15.75" hidden="false" customHeight="false" outlineLevel="0" collapsed="false">
      <c r="A382" s="12"/>
      <c r="B382" s="34"/>
      <c r="C382" s="12"/>
      <c r="D382" s="12"/>
      <c r="E382" s="12"/>
      <c r="F382" s="12"/>
      <c r="G382" s="18"/>
      <c r="H382" s="35"/>
      <c r="I382" s="12"/>
      <c r="M382" s="12"/>
      <c r="N382" s="18"/>
      <c r="O382" s="12"/>
      <c r="P382" s="12"/>
      <c r="Q382" s="12"/>
      <c r="R382" s="36"/>
      <c r="S382" s="36"/>
      <c r="T382" s="12"/>
      <c r="U382" s="12"/>
      <c r="V382" s="12"/>
      <c r="W382" s="12"/>
      <c r="X382" s="12"/>
    </row>
    <row r="383" customFormat="false" ht="15.75" hidden="false" customHeight="false" outlineLevel="0" collapsed="false">
      <c r="A383" s="12"/>
      <c r="B383" s="34"/>
      <c r="C383" s="12"/>
      <c r="D383" s="12"/>
      <c r="E383" s="12"/>
      <c r="F383" s="12"/>
      <c r="G383" s="18"/>
      <c r="H383" s="35"/>
      <c r="I383" s="12"/>
      <c r="M383" s="12"/>
      <c r="N383" s="18"/>
      <c r="O383" s="12"/>
      <c r="P383" s="12"/>
      <c r="Q383" s="12"/>
      <c r="R383" s="36"/>
      <c r="S383" s="36"/>
      <c r="T383" s="12"/>
      <c r="U383" s="12"/>
      <c r="V383" s="12"/>
      <c r="W383" s="12"/>
      <c r="X383" s="12"/>
    </row>
    <row r="384" customFormat="false" ht="15.75" hidden="false" customHeight="false" outlineLevel="0" collapsed="false">
      <c r="A384" s="12"/>
      <c r="B384" s="34"/>
      <c r="C384" s="12"/>
      <c r="D384" s="12"/>
      <c r="E384" s="12"/>
      <c r="F384" s="12"/>
      <c r="G384" s="18"/>
      <c r="H384" s="35"/>
      <c r="I384" s="12"/>
      <c r="M384" s="12"/>
      <c r="N384" s="18"/>
      <c r="O384" s="12"/>
      <c r="P384" s="12"/>
      <c r="Q384" s="12"/>
      <c r="R384" s="36"/>
      <c r="S384" s="36"/>
      <c r="T384" s="12"/>
      <c r="U384" s="12"/>
      <c r="V384" s="12"/>
      <c r="W384" s="12"/>
      <c r="X384" s="12"/>
    </row>
    <row r="385" customFormat="false" ht="15.75" hidden="false" customHeight="false" outlineLevel="0" collapsed="false">
      <c r="A385" s="12"/>
      <c r="B385" s="34"/>
      <c r="C385" s="12"/>
      <c r="D385" s="12"/>
      <c r="E385" s="12"/>
      <c r="F385" s="12"/>
      <c r="G385" s="18"/>
      <c r="H385" s="35"/>
      <c r="I385" s="12"/>
      <c r="M385" s="12"/>
      <c r="N385" s="18"/>
      <c r="O385" s="12"/>
      <c r="P385" s="12"/>
      <c r="Q385" s="12"/>
      <c r="R385" s="36"/>
      <c r="S385" s="36"/>
      <c r="T385" s="12"/>
      <c r="U385" s="12"/>
      <c r="V385" s="12"/>
      <c r="W385" s="12"/>
      <c r="X385" s="12"/>
    </row>
    <row r="386" customFormat="false" ht="15.75" hidden="false" customHeight="false" outlineLevel="0" collapsed="false">
      <c r="A386" s="12"/>
      <c r="B386" s="34"/>
      <c r="C386" s="12"/>
      <c r="D386" s="12"/>
      <c r="E386" s="12"/>
      <c r="F386" s="12"/>
      <c r="G386" s="18"/>
      <c r="H386" s="35"/>
      <c r="I386" s="12"/>
      <c r="M386" s="12"/>
      <c r="N386" s="18"/>
      <c r="O386" s="12"/>
      <c r="P386" s="12"/>
      <c r="Q386" s="12"/>
      <c r="R386" s="36"/>
      <c r="S386" s="36"/>
      <c r="T386" s="12"/>
      <c r="U386" s="12"/>
      <c r="V386" s="12"/>
      <c r="W386" s="12"/>
      <c r="X386" s="12"/>
    </row>
    <row r="387" customFormat="false" ht="15.75" hidden="false" customHeight="false" outlineLevel="0" collapsed="false">
      <c r="A387" s="12"/>
      <c r="B387" s="34"/>
      <c r="C387" s="12"/>
      <c r="D387" s="12"/>
      <c r="E387" s="12"/>
      <c r="F387" s="12"/>
      <c r="G387" s="18"/>
      <c r="H387" s="35"/>
      <c r="I387" s="12"/>
      <c r="M387" s="12"/>
      <c r="N387" s="18"/>
      <c r="O387" s="12"/>
      <c r="P387" s="12"/>
      <c r="Q387" s="12"/>
      <c r="R387" s="36"/>
      <c r="S387" s="36"/>
      <c r="T387" s="12"/>
      <c r="U387" s="12"/>
      <c r="V387" s="12"/>
      <c r="W387" s="12"/>
      <c r="X387" s="12"/>
    </row>
    <row r="388" customFormat="false" ht="15.75" hidden="false" customHeight="false" outlineLevel="0" collapsed="false">
      <c r="A388" s="12"/>
      <c r="B388" s="34"/>
      <c r="C388" s="12"/>
      <c r="D388" s="12"/>
      <c r="E388" s="12"/>
      <c r="F388" s="12"/>
      <c r="G388" s="18"/>
      <c r="H388" s="35"/>
      <c r="I388" s="12"/>
      <c r="M388" s="12"/>
      <c r="N388" s="18"/>
      <c r="O388" s="12"/>
      <c r="P388" s="12"/>
      <c r="Q388" s="12"/>
      <c r="R388" s="36"/>
      <c r="S388" s="36"/>
      <c r="T388" s="12"/>
      <c r="U388" s="12"/>
      <c r="V388" s="12"/>
      <c r="W388" s="12"/>
      <c r="X388" s="12"/>
    </row>
    <row r="389" customFormat="false" ht="15.75" hidden="false" customHeight="false" outlineLevel="0" collapsed="false">
      <c r="A389" s="12"/>
      <c r="B389" s="34"/>
      <c r="C389" s="12"/>
      <c r="D389" s="12"/>
      <c r="E389" s="12"/>
      <c r="F389" s="12"/>
      <c r="G389" s="18"/>
      <c r="H389" s="35"/>
      <c r="I389" s="12"/>
      <c r="M389" s="12"/>
      <c r="N389" s="18"/>
      <c r="O389" s="12"/>
      <c r="P389" s="12"/>
      <c r="Q389" s="12"/>
      <c r="R389" s="36"/>
      <c r="S389" s="36"/>
      <c r="T389" s="12"/>
      <c r="U389" s="12"/>
      <c r="V389" s="12"/>
      <c r="W389" s="12"/>
      <c r="X389" s="12"/>
    </row>
    <row r="390" customFormat="false" ht="15.75" hidden="false" customHeight="false" outlineLevel="0" collapsed="false">
      <c r="A390" s="12"/>
      <c r="B390" s="34"/>
      <c r="C390" s="12"/>
      <c r="D390" s="12"/>
      <c r="E390" s="12"/>
      <c r="F390" s="12"/>
      <c r="G390" s="18"/>
      <c r="H390" s="35"/>
      <c r="I390" s="12"/>
      <c r="M390" s="12"/>
      <c r="N390" s="18"/>
      <c r="O390" s="12"/>
      <c r="P390" s="12"/>
      <c r="Q390" s="12"/>
      <c r="R390" s="36"/>
      <c r="S390" s="36"/>
      <c r="T390" s="12"/>
      <c r="U390" s="12"/>
      <c r="V390" s="12"/>
      <c r="W390" s="12"/>
      <c r="X390" s="12"/>
    </row>
    <row r="391" customFormat="false" ht="15.75" hidden="false" customHeight="false" outlineLevel="0" collapsed="false">
      <c r="A391" s="12"/>
      <c r="B391" s="34"/>
      <c r="C391" s="12"/>
      <c r="D391" s="12"/>
      <c r="E391" s="12"/>
      <c r="F391" s="12"/>
      <c r="G391" s="18"/>
      <c r="H391" s="35"/>
      <c r="I391" s="12"/>
      <c r="M391" s="12"/>
      <c r="N391" s="18"/>
      <c r="O391" s="12"/>
      <c r="P391" s="12"/>
      <c r="Q391" s="12"/>
      <c r="R391" s="36"/>
      <c r="S391" s="36"/>
      <c r="T391" s="12"/>
      <c r="U391" s="12"/>
      <c r="V391" s="12"/>
      <c r="W391" s="12"/>
      <c r="X391" s="12"/>
    </row>
    <row r="392" customFormat="false" ht="15.75" hidden="false" customHeight="false" outlineLevel="0" collapsed="false">
      <c r="A392" s="12"/>
      <c r="B392" s="34"/>
      <c r="C392" s="12"/>
      <c r="D392" s="12"/>
      <c r="E392" s="12"/>
      <c r="F392" s="12"/>
      <c r="G392" s="18"/>
      <c r="H392" s="35"/>
      <c r="I392" s="12"/>
      <c r="M392" s="12"/>
      <c r="N392" s="18"/>
      <c r="O392" s="12"/>
      <c r="P392" s="12"/>
      <c r="Q392" s="12"/>
      <c r="R392" s="36"/>
      <c r="S392" s="36"/>
      <c r="T392" s="12"/>
      <c r="U392" s="12"/>
      <c r="V392" s="12"/>
      <c r="W392" s="12"/>
      <c r="X392" s="12"/>
    </row>
    <row r="393" customFormat="false" ht="15.75" hidden="false" customHeight="false" outlineLevel="0" collapsed="false">
      <c r="A393" s="12"/>
      <c r="B393" s="34"/>
      <c r="C393" s="12"/>
      <c r="D393" s="12"/>
      <c r="E393" s="12"/>
      <c r="F393" s="12"/>
      <c r="G393" s="18"/>
      <c r="H393" s="35"/>
      <c r="I393" s="12"/>
      <c r="M393" s="12"/>
      <c r="N393" s="18"/>
      <c r="O393" s="12"/>
      <c r="P393" s="12"/>
      <c r="Q393" s="12"/>
      <c r="R393" s="36"/>
      <c r="S393" s="36"/>
      <c r="T393" s="12"/>
      <c r="U393" s="12"/>
      <c r="V393" s="12"/>
      <c r="W393" s="12"/>
      <c r="X393" s="12"/>
    </row>
    <row r="394" customFormat="false" ht="15.75" hidden="false" customHeight="false" outlineLevel="0" collapsed="false">
      <c r="A394" s="12"/>
      <c r="B394" s="34"/>
      <c r="C394" s="12"/>
      <c r="D394" s="12"/>
      <c r="E394" s="12"/>
      <c r="F394" s="12"/>
      <c r="G394" s="18"/>
      <c r="H394" s="35"/>
      <c r="I394" s="12"/>
      <c r="M394" s="12"/>
      <c r="N394" s="18"/>
      <c r="O394" s="12"/>
      <c r="P394" s="12"/>
      <c r="Q394" s="12"/>
      <c r="R394" s="36"/>
      <c r="S394" s="36"/>
      <c r="T394" s="12"/>
      <c r="U394" s="12"/>
      <c r="V394" s="12"/>
      <c r="W394" s="12"/>
      <c r="X394" s="12"/>
    </row>
    <row r="395" customFormat="false" ht="15.75" hidden="false" customHeight="false" outlineLevel="0" collapsed="false">
      <c r="A395" s="12"/>
      <c r="B395" s="34"/>
      <c r="C395" s="12"/>
      <c r="D395" s="12"/>
      <c r="E395" s="12"/>
      <c r="F395" s="12"/>
      <c r="G395" s="18"/>
      <c r="H395" s="35"/>
      <c r="I395" s="12"/>
      <c r="M395" s="12"/>
      <c r="N395" s="18"/>
      <c r="O395" s="12"/>
      <c r="P395" s="12"/>
      <c r="Q395" s="12"/>
      <c r="R395" s="36"/>
      <c r="S395" s="36"/>
      <c r="T395" s="12"/>
      <c r="U395" s="12"/>
      <c r="V395" s="12"/>
      <c r="W395" s="12"/>
      <c r="X395" s="12"/>
    </row>
    <row r="396" customFormat="false" ht="15.75" hidden="false" customHeight="false" outlineLevel="0" collapsed="false">
      <c r="A396" s="12"/>
      <c r="B396" s="34"/>
      <c r="C396" s="12"/>
      <c r="D396" s="12"/>
      <c r="E396" s="12"/>
      <c r="F396" s="12"/>
      <c r="G396" s="18"/>
      <c r="H396" s="35"/>
      <c r="I396" s="12"/>
      <c r="M396" s="12"/>
      <c r="N396" s="18"/>
      <c r="O396" s="12"/>
      <c r="P396" s="12"/>
      <c r="Q396" s="12"/>
      <c r="R396" s="36"/>
      <c r="S396" s="36"/>
      <c r="T396" s="12"/>
      <c r="U396" s="12"/>
      <c r="V396" s="12"/>
      <c r="W396" s="12"/>
      <c r="X396" s="12"/>
    </row>
    <row r="397" customFormat="false" ht="15.75" hidden="false" customHeight="false" outlineLevel="0" collapsed="false">
      <c r="A397" s="12"/>
      <c r="B397" s="34"/>
      <c r="C397" s="12"/>
      <c r="D397" s="12"/>
      <c r="E397" s="12"/>
      <c r="F397" s="12"/>
      <c r="G397" s="18"/>
      <c r="H397" s="35"/>
      <c r="I397" s="12"/>
      <c r="M397" s="12"/>
      <c r="N397" s="18"/>
      <c r="O397" s="12"/>
      <c r="P397" s="12"/>
      <c r="Q397" s="12"/>
      <c r="R397" s="36"/>
      <c r="S397" s="36"/>
      <c r="T397" s="12"/>
      <c r="U397" s="12"/>
      <c r="V397" s="12"/>
      <c r="W397" s="12"/>
      <c r="X397" s="12"/>
    </row>
    <row r="398" customFormat="false" ht="15.75" hidden="false" customHeight="false" outlineLevel="0" collapsed="false">
      <c r="A398" s="12"/>
      <c r="B398" s="34"/>
      <c r="C398" s="12"/>
      <c r="D398" s="12"/>
      <c r="E398" s="12"/>
      <c r="F398" s="12"/>
      <c r="G398" s="18"/>
      <c r="H398" s="35"/>
      <c r="I398" s="12"/>
      <c r="M398" s="12"/>
      <c r="N398" s="18"/>
      <c r="O398" s="12"/>
      <c r="P398" s="12"/>
      <c r="Q398" s="12"/>
      <c r="R398" s="36"/>
      <c r="S398" s="36"/>
      <c r="T398" s="12"/>
      <c r="U398" s="12"/>
      <c r="V398" s="12"/>
      <c r="W398" s="12"/>
      <c r="X398" s="12"/>
    </row>
    <row r="399" customFormat="false" ht="15.75" hidden="false" customHeight="false" outlineLevel="0" collapsed="false">
      <c r="A399" s="12"/>
      <c r="B399" s="34"/>
      <c r="C399" s="12"/>
      <c r="D399" s="12"/>
      <c r="E399" s="12"/>
      <c r="F399" s="12"/>
      <c r="G399" s="18"/>
      <c r="H399" s="35"/>
      <c r="I399" s="12"/>
      <c r="M399" s="12"/>
      <c r="N399" s="18"/>
      <c r="O399" s="12"/>
      <c r="P399" s="12"/>
      <c r="Q399" s="12"/>
      <c r="R399" s="36"/>
      <c r="S399" s="36"/>
      <c r="T399" s="12"/>
      <c r="U399" s="12"/>
      <c r="V399" s="12"/>
      <c r="W399" s="12"/>
      <c r="X399" s="12"/>
    </row>
    <row r="400" customFormat="false" ht="15.75" hidden="false" customHeight="false" outlineLevel="0" collapsed="false">
      <c r="A400" s="12"/>
      <c r="B400" s="34"/>
      <c r="C400" s="12"/>
      <c r="D400" s="12"/>
      <c r="E400" s="12"/>
      <c r="F400" s="12"/>
      <c r="G400" s="18"/>
      <c r="H400" s="35"/>
      <c r="I400" s="12"/>
      <c r="M400" s="12"/>
      <c r="N400" s="18"/>
      <c r="O400" s="12"/>
      <c r="P400" s="12"/>
      <c r="Q400" s="12"/>
      <c r="R400" s="36"/>
      <c r="S400" s="36"/>
      <c r="T400" s="12"/>
      <c r="U400" s="12"/>
      <c r="V400" s="12"/>
      <c r="W400" s="12"/>
      <c r="X400" s="12"/>
    </row>
    <row r="401" customFormat="false" ht="15.75" hidden="false" customHeight="false" outlineLevel="0" collapsed="false">
      <c r="A401" s="12"/>
      <c r="B401" s="34"/>
      <c r="C401" s="12"/>
      <c r="D401" s="12"/>
      <c r="E401" s="12"/>
      <c r="F401" s="12"/>
      <c r="G401" s="18"/>
      <c r="H401" s="35"/>
      <c r="I401" s="12"/>
      <c r="M401" s="12"/>
      <c r="N401" s="18"/>
      <c r="O401" s="12"/>
      <c r="P401" s="12"/>
      <c r="Q401" s="12"/>
      <c r="R401" s="36"/>
      <c r="S401" s="36"/>
      <c r="T401" s="12"/>
      <c r="U401" s="12"/>
      <c r="V401" s="12"/>
      <c r="W401" s="12"/>
      <c r="X401" s="12"/>
    </row>
    <row r="402" customFormat="false" ht="15.75" hidden="false" customHeight="false" outlineLevel="0" collapsed="false">
      <c r="A402" s="12"/>
      <c r="B402" s="34"/>
      <c r="C402" s="12"/>
      <c r="D402" s="12"/>
      <c r="E402" s="12"/>
      <c r="F402" s="12"/>
      <c r="G402" s="18"/>
      <c r="H402" s="35"/>
      <c r="I402" s="12"/>
      <c r="M402" s="12"/>
      <c r="N402" s="18"/>
      <c r="O402" s="12"/>
      <c r="P402" s="12"/>
      <c r="Q402" s="12"/>
      <c r="R402" s="36"/>
      <c r="S402" s="36"/>
      <c r="T402" s="12"/>
      <c r="U402" s="12"/>
      <c r="V402" s="12"/>
      <c r="W402" s="12"/>
      <c r="X402" s="12"/>
    </row>
    <row r="403" customFormat="false" ht="15.75" hidden="false" customHeight="false" outlineLevel="0" collapsed="false">
      <c r="A403" s="12"/>
      <c r="B403" s="34"/>
      <c r="C403" s="12"/>
      <c r="D403" s="12"/>
      <c r="E403" s="12"/>
      <c r="F403" s="12"/>
      <c r="G403" s="18"/>
      <c r="H403" s="35"/>
      <c r="I403" s="12"/>
      <c r="M403" s="12"/>
      <c r="N403" s="18"/>
      <c r="O403" s="12"/>
      <c r="P403" s="12"/>
      <c r="Q403" s="12"/>
      <c r="R403" s="36"/>
      <c r="S403" s="36"/>
      <c r="T403" s="12"/>
      <c r="U403" s="12"/>
      <c r="V403" s="12"/>
      <c r="W403" s="12"/>
      <c r="X403" s="12"/>
    </row>
    <row r="404" customFormat="false" ht="15.75" hidden="false" customHeight="false" outlineLevel="0" collapsed="false">
      <c r="A404" s="12"/>
      <c r="B404" s="34"/>
      <c r="C404" s="12"/>
      <c r="D404" s="12"/>
      <c r="E404" s="12"/>
      <c r="F404" s="12"/>
      <c r="G404" s="18"/>
      <c r="H404" s="35"/>
      <c r="I404" s="12"/>
      <c r="M404" s="12"/>
      <c r="N404" s="18"/>
      <c r="O404" s="12"/>
      <c r="P404" s="12"/>
      <c r="Q404" s="12"/>
      <c r="R404" s="36"/>
      <c r="S404" s="36"/>
      <c r="T404" s="12"/>
      <c r="U404" s="12"/>
      <c r="V404" s="12"/>
      <c r="W404" s="12"/>
      <c r="X404" s="12"/>
    </row>
    <row r="405" customFormat="false" ht="15.75" hidden="false" customHeight="false" outlineLevel="0" collapsed="false">
      <c r="A405" s="12"/>
      <c r="B405" s="34"/>
      <c r="C405" s="12"/>
      <c r="D405" s="12"/>
      <c r="E405" s="12"/>
      <c r="F405" s="12"/>
      <c r="G405" s="18"/>
      <c r="H405" s="35"/>
      <c r="I405" s="12"/>
      <c r="M405" s="12"/>
      <c r="N405" s="18"/>
      <c r="O405" s="12"/>
      <c r="P405" s="12"/>
      <c r="Q405" s="12"/>
      <c r="R405" s="36"/>
      <c r="S405" s="36"/>
      <c r="T405" s="12"/>
      <c r="U405" s="12"/>
      <c r="V405" s="12"/>
      <c r="W405" s="12"/>
      <c r="X405" s="12"/>
    </row>
    <row r="406" customFormat="false" ht="15.75" hidden="false" customHeight="false" outlineLevel="0" collapsed="false">
      <c r="A406" s="12"/>
      <c r="B406" s="34"/>
      <c r="C406" s="12"/>
      <c r="D406" s="12"/>
      <c r="E406" s="12"/>
      <c r="F406" s="12"/>
      <c r="G406" s="18"/>
      <c r="H406" s="35"/>
      <c r="I406" s="12"/>
      <c r="M406" s="12"/>
      <c r="N406" s="18"/>
      <c r="O406" s="12"/>
      <c r="P406" s="12"/>
      <c r="Q406" s="12"/>
      <c r="R406" s="36"/>
      <c r="S406" s="36"/>
      <c r="T406" s="12"/>
      <c r="U406" s="12"/>
      <c r="V406" s="12"/>
      <c r="W406" s="12"/>
      <c r="X406" s="12"/>
    </row>
    <row r="407" customFormat="false" ht="15.75" hidden="false" customHeight="false" outlineLevel="0" collapsed="false">
      <c r="A407" s="12"/>
      <c r="B407" s="34"/>
      <c r="C407" s="12"/>
      <c r="D407" s="12"/>
      <c r="E407" s="12"/>
      <c r="F407" s="12"/>
      <c r="G407" s="18"/>
      <c r="H407" s="35"/>
      <c r="I407" s="12"/>
      <c r="M407" s="12"/>
      <c r="N407" s="18"/>
      <c r="O407" s="12"/>
      <c r="P407" s="12"/>
      <c r="Q407" s="12"/>
      <c r="R407" s="36"/>
      <c r="S407" s="36"/>
      <c r="T407" s="12"/>
      <c r="U407" s="12"/>
      <c r="V407" s="12"/>
      <c r="W407" s="12"/>
      <c r="X407" s="12"/>
    </row>
    <row r="408" customFormat="false" ht="15.75" hidden="false" customHeight="false" outlineLevel="0" collapsed="false">
      <c r="A408" s="12"/>
      <c r="B408" s="34"/>
      <c r="C408" s="12"/>
      <c r="D408" s="12"/>
      <c r="E408" s="12"/>
      <c r="F408" s="12"/>
      <c r="G408" s="18"/>
      <c r="H408" s="35"/>
      <c r="I408" s="12"/>
      <c r="M408" s="12"/>
      <c r="N408" s="18"/>
      <c r="O408" s="12"/>
      <c r="P408" s="12"/>
      <c r="Q408" s="12"/>
      <c r="R408" s="36"/>
      <c r="S408" s="36"/>
      <c r="T408" s="12"/>
      <c r="U408" s="12"/>
      <c r="V408" s="12"/>
      <c r="W408" s="12"/>
      <c r="X408" s="12"/>
    </row>
    <row r="409" customFormat="false" ht="15.75" hidden="false" customHeight="false" outlineLevel="0" collapsed="false">
      <c r="A409" s="12"/>
      <c r="B409" s="34"/>
      <c r="C409" s="12"/>
      <c r="D409" s="12"/>
      <c r="E409" s="12"/>
      <c r="F409" s="12"/>
      <c r="G409" s="18"/>
      <c r="H409" s="35"/>
      <c r="I409" s="12"/>
      <c r="M409" s="12"/>
      <c r="N409" s="18"/>
      <c r="O409" s="12"/>
      <c r="P409" s="12"/>
      <c r="Q409" s="12"/>
      <c r="R409" s="36"/>
      <c r="S409" s="36"/>
      <c r="T409" s="12"/>
      <c r="U409" s="12"/>
      <c r="V409" s="12"/>
      <c r="W409" s="12"/>
      <c r="X409" s="12"/>
    </row>
    <row r="410" customFormat="false" ht="15.75" hidden="false" customHeight="false" outlineLevel="0" collapsed="false">
      <c r="A410" s="12"/>
      <c r="B410" s="34"/>
      <c r="C410" s="12"/>
      <c r="D410" s="12"/>
      <c r="E410" s="12"/>
      <c r="F410" s="12"/>
      <c r="G410" s="18"/>
      <c r="H410" s="35"/>
      <c r="I410" s="12"/>
      <c r="M410" s="12"/>
      <c r="N410" s="18"/>
      <c r="O410" s="12"/>
      <c r="P410" s="12"/>
      <c r="Q410" s="12"/>
      <c r="R410" s="36"/>
      <c r="S410" s="36"/>
      <c r="T410" s="12"/>
      <c r="U410" s="12"/>
      <c r="V410" s="12"/>
      <c r="W410" s="12"/>
      <c r="X410" s="12"/>
    </row>
    <row r="411" customFormat="false" ht="15.75" hidden="false" customHeight="false" outlineLevel="0" collapsed="false">
      <c r="A411" s="12"/>
      <c r="B411" s="34"/>
      <c r="C411" s="12"/>
      <c r="D411" s="12"/>
      <c r="E411" s="12"/>
      <c r="F411" s="12"/>
      <c r="G411" s="18"/>
      <c r="H411" s="35"/>
      <c r="I411" s="12"/>
      <c r="M411" s="12"/>
      <c r="N411" s="18"/>
      <c r="O411" s="12"/>
      <c r="P411" s="12"/>
      <c r="Q411" s="12"/>
      <c r="R411" s="36"/>
      <c r="S411" s="36"/>
      <c r="T411" s="12"/>
      <c r="U411" s="12"/>
      <c r="V411" s="12"/>
      <c r="W411" s="12"/>
      <c r="X411" s="12"/>
    </row>
    <row r="412" customFormat="false" ht="15.75" hidden="false" customHeight="false" outlineLevel="0" collapsed="false">
      <c r="A412" s="12"/>
      <c r="B412" s="34"/>
      <c r="C412" s="12"/>
      <c r="D412" s="12"/>
      <c r="E412" s="12"/>
      <c r="F412" s="12"/>
      <c r="G412" s="18"/>
      <c r="H412" s="35"/>
      <c r="I412" s="12"/>
      <c r="M412" s="12"/>
      <c r="N412" s="18"/>
      <c r="O412" s="12"/>
      <c r="P412" s="12"/>
      <c r="Q412" s="12"/>
      <c r="R412" s="36"/>
      <c r="S412" s="36"/>
      <c r="T412" s="12"/>
      <c r="U412" s="12"/>
      <c r="V412" s="12"/>
      <c r="W412" s="12"/>
      <c r="X412" s="12"/>
    </row>
    <row r="413" customFormat="false" ht="15.75" hidden="false" customHeight="false" outlineLevel="0" collapsed="false">
      <c r="A413" s="12"/>
      <c r="B413" s="34"/>
      <c r="C413" s="12"/>
      <c r="D413" s="12"/>
      <c r="E413" s="12"/>
      <c r="F413" s="12"/>
      <c r="G413" s="18"/>
      <c r="H413" s="35"/>
      <c r="I413" s="12"/>
      <c r="M413" s="12"/>
      <c r="N413" s="18"/>
      <c r="O413" s="12"/>
      <c r="P413" s="12"/>
      <c r="Q413" s="12"/>
      <c r="R413" s="36"/>
      <c r="S413" s="36"/>
      <c r="T413" s="12"/>
      <c r="U413" s="12"/>
      <c r="V413" s="12"/>
      <c r="W413" s="12"/>
      <c r="X413" s="12"/>
    </row>
    <row r="414" customFormat="false" ht="15.75" hidden="false" customHeight="false" outlineLevel="0" collapsed="false">
      <c r="A414" s="12"/>
      <c r="B414" s="34"/>
      <c r="C414" s="12"/>
      <c r="D414" s="12"/>
      <c r="E414" s="12"/>
      <c r="F414" s="12"/>
      <c r="G414" s="18"/>
      <c r="H414" s="35"/>
      <c r="I414" s="12"/>
      <c r="M414" s="12"/>
      <c r="N414" s="18"/>
      <c r="O414" s="12"/>
      <c r="P414" s="12"/>
      <c r="Q414" s="12"/>
      <c r="R414" s="36"/>
      <c r="S414" s="36"/>
      <c r="T414" s="12"/>
      <c r="U414" s="12"/>
      <c r="V414" s="12"/>
      <c r="W414" s="12"/>
      <c r="X414" s="12"/>
    </row>
    <row r="415" customFormat="false" ht="15.75" hidden="false" customHeight="false" outlineLevel="0" collapsed="false">
      <c r="A415" s="12"/>
      <c r="B415" s="34"/>
      <c r="C415" s="12"/>
      <c r="D415" s="12"/>
      <c r="E415" s="12"/>
      <c r="F415" s="12"/>
      <c r="G415" s="18"/>
      <c r="H415" s="35"/>
      <c r="I415" s="12"/>
      <c r="M415" s="12"/>
      <c r="N415" s="18"/>
      <c r="O415" s="12"/>
      <c r="P415" s="12"/>
      <c r="Q415" s="12"/>
      <c r="R415" s="36"/>
      <c r="S415" s="36"/>
      <c r="T415" s="12"/>
      <c r="U415" s="12"/>
      <c r="V415" s="12"/>
      <c r="W415" s="12"/>
      <c r="X415" s="12"/>
    </row>
    <row r="416" customFormat="false" ht="15.75" hidden="false" customHeight="false" outlineLevel="0" collapsed="false">
      <c r="A416" s="12"/>
      <c r="B416" s="34"/>
      <c r="C416" s="12"/>
      <c r="D416" s="12"/>
      <c r="E416" s="12"/>
      <c r="F416" s="12"/>
      <c r="G416" s="18"/>
      <c r="H416" s="35"/>
      <c r="I416" s="12"/>
      <c r="M416" s="12"/>
      <c r="N416" s="18"/>
      <c r="O416" s="12"/>
      <c r="P416" s="12"/>
      <c r="Q416" s="12"/>
      <c r="R416" s="36"/>
      <c r="S416" s="36"/>
      <c r="T416" s="12"/>
      <c r="U416" s="12"/>
      <c r="V416" s="12"/>
      <c r="W416" s="12"/>
      <c r="X416" s="12"/>
    </row>
    <row r="417" customFormat="false" ht="15.75" hidden="false" customHeight="false" outlineLevel="0" collapsed="false">
      <c r="A417" s="12"/>
      <c r="B417" s="34"/>
      <c r="C417" s="12"/>
      <c r="D417" s="12"/>
      <c r="E417" s="12"/>
      <c r="F417" s="12"/>
      <c r="G417" s="18"/>
      <c r="H417" s="35"/>
      <c r="I417" s="12"/>
      <c r="M417" s="12"/>
      <c r="N417" s="18"/>
      <c r="O417" s="12"/>
      <c r="P417" s="12"/>
      <c r="Q417" s="12"/>
      <c r="R417" s="36"/>
      <c r="S417" s="36"/>
      <c r="T417" s="12"/>
      <c r="U417" s="12"/>
      <c r="V417" s="12"/>
      <c r="W417" s="12"/>
      <c r="X417" s="12"/>
    </row>
    <row r="418" customFormat="false" ht="15.75" hidden="false" customHeight="false" outlineLevel="0" collapsed="false">
      <c r="A418" s="12"/>
      <c r="B418" s="34"/>
      <c r="C418" s="12"/>
      <c r="D418" s="12"/>
      <c r="E418" s="12"/>
      <c r="F418" s="12"/>
      <c r="G418" s="18"/>
      <c r="H418" s="35"/>
      <c r="I418" s="12"/>
      <c r="M418" s="12"/>
      <c r="N418" s="18"/>
      <c r="O418" s="12"/>
      <c r="P418" s="12"/>
      <c r="Q418" s="12"/>
      <c r="R418" s="36"/>
      <c r="S418" s="36"/>
      <c r="T418" s="12"/>
      <c r="U418" s="12"/>
      <c r="V418" s="12"/>
      <c r="W418" s="12"/>
      <c r="X418" s="12"/>
    </row>
    <row r="419" customFormat="false" ht="15.75" hidden="false" customHeight="false" outlineLevel="0" collapsed="false">
      <c r="A419" s="12"/>
      <c r="B419" s="34"/>
      <c r="C419" s="12"/>
      <c r="D419" s="12"/>
      <c r="E419" s="12"/>
      <c r="F419" s="12"/>
      <c r="G419" s="18"/>
      <c r="H419" s="35"/>
      <c r="I419" s="12"/>
      <c r="M419" s="12"/>
      <c r="N419" s="18"/>
      <c r="O419" s="12"/>
      <c r="P419" s="12"/>
      <c r="Q419" s="12"/>
      <c r="R419" s="36"/>
      <c r="S419" s="36"/>
      <c r="T419" s="12"/>
      <c r="U419" s="12"/>
      <c r="V419" s="12"/>
      <c r="W419" s="12"/>
      <c r="X419" s="12"/>
    </row>
    <row r="420" customFormat="false" ht="15.75" hidden="false" customHeight="false" outlineLevel="0" collapsed="false">
      <c r="A420" s="12"/>
      <c r="B420" s="34"/>
      <c r="C420" s="12"/>
      <c r="D420" s="12"/>
      <c r="E420" s="12"/>
      <c r="F420" s="12"/>
      <c r="G420" s="18"/>
      <c r="H420" s="35"/>
      <c r="I420" s="12"/>
      <c r="M420" s="12"/>
      <c r="N420" s="18"/>
      <c r="O420" s="12"/>
      <c r="P420" s="12"/>
      <c r="Q420" s="12"/>
      <c r="R420" s="36"/>
      <c r="S420" s="36"/>
      <c r="T420" s="12"/>
      <c r="U420" s="12"/>
      <c r="V420" s="12"/>
      <c r="W420" s="12"/>
      <c r="X420" s="12"/>
    </row>
    <row r="421" customFormat="false" ht="15.75" hidden="false" customHeight="false" outlineLevel="0" collapsed="false">
      <c r="A421" s="12"/>
      <c r="B421" s="34"/>
      <c r="C421" s="12"/>
      <c r="D421" s="12"/>
      <c r="E421" s="12"/>
      <c r="F421" s="12"/>
      <c r="G421" s="18"/>
      <c r="H421" s="35"/>
      <c r="I421" s="12"/>
      <c r="M421" s="12"/>
      <c r="N421" s="18"/>
      <c r="O421" s="12"/>
      <c r="P421" s="12"/>
      <c r="Q421" s="12"/>
      <c r="R421" s="36"/>
      <c r="S421" s="36"/>
      <c r="T421" s="12"/>
      <c r="U421" s="12"/>
      <c r="V421" s="12"/>
      <c r="W421" s="12"/>
      <c r="X421" s="12"/>
    </row>
    <row r="422" customFormat="false" ht="15.75" hidden="false" customHeight="false" outlineLevel="0" collapsed="false">
      <c r="A422" s="12"/>
      <c r="B422" s="34"/>
      <c r="C422" s="12"/>
      <c r="D422" s="12"/>
      <c r="E422" s="12"/>
      <c r="F422" s="12"/>
      <c r="G422" s="18"/>
      <c r="H422" s="35"/>
      <c r="I422" s="12"/>
      <c r="M422" s="12"/>
      <c r="N422" s="18"/>
      <c r="O422" s="12"/>
      <c r="P422" s="12"/>
      <c r="Q422" s="12"/>
      <c r="R422" s="36"/>
      <c r="S422" s="36"/>
      <c r="T422" s="12"/>
      <c r="U422" s="12"/>
      <c r="V422" s="12"/>
      <c r="W422" s="12"/>
      <c r="X422" s="12"/>
    </row>
    <row r="423" customFormat="false" ht="15.75" hidden="false" customHeight="false" outlineLevel="0" collapsed="false">
      <c r="A423" s="12"/>
      <c r="B423" s="34"/>
      <c r="C423" s="12"/>
      <c r="D423" s="12"/>
      <c r="E423" s="12"/>
      <c r="F423" s="12"/>
      <c r="G423" s="18"/>
      <c r="H423" s="35"/>
      <c r="I423" s="12"/>
      <c r="M423" s="12"/>
      <c r="N423" s="18"/>
      <c r="O423" s="12"/>
      <c r="P423" s="12"/>
      <c r="Q423" s="12"/>
      <c r="R423" s="36"/>
      <c r="S423" s="36"/>
      <c r="T423" s="12"/>
      <c r="U423" s="12"/>
      <c r="V423" s="12"/>
      <c r="W423" s="12"/>
      <c r="X423" s="12"/>
    </row>
    <row r="424" customFormat="false" ht="15.75" hidden="false" customHeight="false" outlineLevel="0" collapsed="false">
      <c r="A424" s="12"/>
      <c r="B424" s="34"/>
      <c r="C424" s="12"/>
      <c r="D424" s="12"/>
      <c r="E424" s="12"/>
      <c r="F424" s="12"/>
      <c r="G424" s="18"/>
      <c r="H424" s="35"/>
      <c r="I424" s="12"/>
      <c r="M424" s="12"/>
      <c r="N424" s="18"/>
      <c r="O424" s="12"/>
      <c r="P424" s="12"/>
      <c r="Q424" s="12"/>
      <c r="R424" s="36"/>
      <c r="S424" s="36"/>
      <c r="T424" s="12"/>
      <c r="U424" s="12"/>
      <c r="V424" s="12"/>
      <c r="W424" s="12"/>
      <c r="X424" s="12"/>
    </row>
    <row r="425" customFormat="false" ht="15.75" hidden="false" customHeight="false" outlineLevel="0" collapsed="false">
      <c r="A425" s="12"/>
      <c r="B425" s="34"/>
      <c r="C425" s="12"/>
      <c r="D425" s="12"/>
      <c r="E425" s="12"/>
      <c r="F425" s="12"/>
      <c r="G425" s="18"/>
      <c r="H425" s="35"/>
      <c r="I425" s="12"/>
      <c r="M425" s="12"/>
      <c r="N425" s="18"/>
      <c r="O425" s="12"/>
      <c r="P425" s="12"/>
      <c r="Q425" s="12"/>
      <c r="R425" s="36"/>
      <c r="S425" s="36"/>
      <c r="T425" s="12"/>
      <c r="U425" s="12"/>
      <c r="V425" s="12"/>
      <c r="W425" s="12"/>
      <c r="X425" s="12"/>
    </row>
    <row r="426" customFormat="false" ht="15.75" hidden="false" customHeight="false" outlineLevel="0" collapsed="false">
      <c r="A426" s="12"/>
      <c r="B426" s="34"/>
      <c r="C426" s="12"/>
      <c r="D426" s="12"/>
      <c r="E426" s="12"/>
      <c r="F426" s="12"/>
      <c r="G426" s="18"/>
      <c r="H426" s="35"/>
      <c r="I426" s="12"/>
      <c r="M426" s="12"/>
      <c r="N426" s="18"/>
      <c r="O426" s="12"/>
      <c r="P426" s="12"/>
      <c r="Q426" s="12"/>
      <c r="R426" s="36"/>
      <c r="S426" s="36"/>
      <c r="T426" s="12"/>
      <c r="U426" s="12"/>
      <c r="V426" s="12"/>
      <c r="W426" s="12"/>
      <c r="X426" s="12"/>
    </row>
    <row r="427" customFormat="false" ht="15.75" hidden="false" customHeight="false" outlineLevel="0" collapsed="false">
      <c r="A427" s="12"/>
      <c r="B427" s="34"/>
      <c r="C427" s="12"/>
      <c r="D427" s="12"/>
      <c r="E427" s="12"/>
      <c r="F427" s="12"/>
      <c r="G427" s="18"/>
      <c r="H427" s="35"/>
      <c r="I427" s="12"/>
      <c r="M427" s="12"/>
      <c r="N427" s="18"/>
      <c r="O427" s="12"/>
      <c r="P427" s="12"/>
      <c r="Q427" s="12"/>
      <c r="R427" s="36"/>
      <c r="S427" s="36"/>
      <c r="T427" s="12"/>
      <c r="U427" s="12"/>
      <c r="V427" s="12"/>
      <c r="W427" s="12"/>
      <c r="X427" s="12"/>
    </row>
    <row r="428" customFormat="false" ht="15.75" hidden="false" customHeight="false" outlineLevel="0" collapsed="false">
      <c r="A428" s="12"/>
      <c r="B428" s="34"/>
      <c r="C428" s="12"/>
      <c r="D428" s="12"/>
      <c r="E428" s="12"/>
      <c r="F428" s="12"/>
      <c r="G428" s="18"/>
      <c r="H428" s="35"/>
      <c r="I428" s="12"/>
      <c r="M428" s="12"/>
      <c r="N428" s="18"/>
      <c r="O428" s="12"/>
      <c r="P428" s="12"/>
      <c r="Q428" s="12"/>
      <c r="R428" s="36"/>
      <c r="S428" s="36"/>
      <c r="T428" s="12"/>
      <c r="U428" s="12"/>
      <c r="V428" s="12"/>
      <c r="W428" s="12"/>
      <c r="X428" s="12"/>
    </row>
    <row r="429" customFormat="false" ht="15.75" hidden="false" customHeight="false" outlineLevel="0" collapsed="false">
      <c r="A429" s="12"/>
      <c r="B429" s="34"/>
      <c r="C429" s="12"/>
      <c r="D429" s="12"/>
      <c r="E429" s="12"/>
      <c r="F429" s="12"/>
      <c r="G429" s="18"/>
      <c r="H429" s="35"/>
      <c r="I429" s="12"/>
      <c r="M429" s="12"/>
      <c r="N429" s="18"/>
      <c r="O429" s="12"/>
      <c r="P429" s="12"/>
      <c r="Q429" s="12"/>
      <c r="R429" s="36"/>
      <c r="S429" s="36"/>
      <c r="T429" s="12"/>
      <c r="U429" s="12"/>
      <c r="V429" s="12"/>
      <c r="W429" s="12"/>
      <c r="X429" s="12"/>
    </row>
    <row r="430" customFormat="false" ht="15.75" hidden="false" customHeight="false" outlineLevel="0" collapsed="false">
      <c r="A430" s="12"/>
      <c r="B430" s="34"/>
      <c r="C430" s="12"/>
      <c r="D430" s="12"/>
      <c r="E430" s="12"/>
      <c r="F430" s="12"/>
      <c r="G430" s="18"/>
      <c r="H430" s="35"/>
      <c r="I430" s="12"/>
      <c r="M430" s="12"/>
      <c r="N430" s="18"/>
      <c r="O430" s="12"/>
      <c r="P430" s="12"/>
      <c r="Q430" s="12"/>
      <c r="R430" s="36"/>
      <c r="S430" s="36"/>
      <c r="T430" s="12"/>
      <c r="U430" s="12"/>
      <c r="V430" s="12"/>
      <c r="W430" s="12"/>
      <c r="X430" s="12"/>
    </row>
    <row r="431" customFormat="false" ht="15.75" hidden="false" customHeight="false" outlineLevel="0" collapsed="false">
      <c r="A431" s="12"/>
      <c r="B431" s="34"/>
      <c r="C431" s="12"/>
      <c r="D431" s="12"/>
      <c r="E431" s="12"/>
      <c r="F431" s="12"/>
      <c r="G431" s="18"/>
      <c r="H431" s="35"/>
      <c r="I431" s="12"/>
      <c r="M431" s="12"/>
      <c r="N431" s="18"/>
      <c r="O431" s="12"/>
      <c r="P431" s="12"/>
      <c r="Q431" s="12"/>
      <c r="R431" s="36"/>
      <c r="S431" s="36"/>
      <c r="T431" s="12"/>
      <c r="U431" s="12"/>
      <c r="V431" s="12"/>
      <c r="W431" s="12"/>
      <c r="X431" s="12"/>
    </row>
    <row r="432" customFormat="false" ht="15.75" hidden="false" customHeight="false" outlineLevel="0" collapsed="false">
      <c r="A432" s="12"/>
      <c r="B432" s="34"/>
      <c r="C432" s="12"/>
      <c r="D432" s="12"/>
      <c r="E432" s="12"/>
      <c r="F432" s="12"/>
      <c r="G432" s="18"/>
      <c r="H432" s="35"/>
      <c r="I432" s="12"/>
      <c r="M432" s="12"/>
      <c r="N432" s="18"/>
      <c r="O432" s="12"/>
      <c r="P432" s="12"/>
      <c r="Q432" s="12"/>
      <c r="R432" s="36"/>
      <c r="S432" s="36"/>
      <c r="T432" s="12"/>
      <c r="U432" s="12"/>
      <c r="V432" s="12"/>
      <c r="W432" s="12"/>
      <c r="X432" s="12"/>
    </row>
    <row r="433" customFormat="false" ht="15.75" hidden="false" customHeight="false" outlineLevel="0" collapsed="false">
      <c r="A433" s="12"/>
      <c r="B433" s="34"/>
      <c r="C433" s="12"/>
      <c r="D433" s="12"/>
      <c r="E433" s="12"/>
      <c r="F433" s="12"/>
      <c r="G433" s="18"/>
      <c r="H433" s="35"/>
      <c r="I433" s="12"/>
      <c r="M433" s="12"/>
      <c r="N433" s="18"/>
      <c r="O433" s="12"/>
      <c r="P433" s="12"/>
      <c r="Q433" s="12"/>
      <c r="R433" s="36"/>
      <c r="S433" s="36"/>
      <c r="T433" s="12"/>
      <c r="U433" s="12"/>
      <c r="V433" s="12"/>
      <c r="W433" s="12"/>
      <c r="X433" s="12"/>
    </row>
    <row r="434" customFormat="false" ht="15.75" hidden="false" customHeight="false" outlineLevel="0" collapsed="false">
      <c r="A434" s="12"/>
      <c r="B434" s="34"/>
      <c r="C434" s="12"/>
      <c r="D434" s="12"/>
      <c r="E434" s="12"/>
      <c r="F434" s="12"/>
      <c r="G434" s="18"/>
      <c r="H434" s="35"/>
      <c r="I434" s="12"/>
      <c r="M434" s="12"/>
      <c r="N434" s="18"/>
      <c r="O434" s="12"/>
      <c r="P434" s="12"/>
      <c r="Q434" s="12"/>
      <c r="R434" s="36"/>
      <c r="S434" s="36"/>
      <c r="T434" s="12"/>
      <c r="U434" s="12"/>
      <c r="V434" s="12"/>
      <c r="W434" s="12"/>
      <c r="X434" s="12"/>
    </row>
    <row r="435" customFormat="false" ht="15.75" hidden="false" customHeight="false" outlineLevel="0" collapsed="false">
      <c r="A435" s="12"/>
      <c r="B435" s="34"/>
      <c r="C435" s="12"/>
      <c r="D435" s="12"/>
      <c r="E435" s="12"/>
      <c r="F435" s="12"/>
      <c r="G435" s="18"/>
      <c r="H435" s="35"/>
      <c r="I435" s="12"/>
      <c r="M435" s="12"/>
      <c r="N435" s="18"/>
      <c r="O435" s="12"/>
      <c r="P435" s="12"/>
      <c r="Q435" s="12"/>
      <c r="R435" s="36"/>
      <c r="S435" s="36"/>
      <c r="T435" s="12"/>
      <c r="U435" s="12"/>
      <c r="V435" s="12"/>
      <c r="W435" s="12"/>
      <c r="X435" s="12"/>
    </row>
    <row r="436" customFormat="false" ht="15.75" hidden="false" customHeight="false" outlineLevel="0" collapsed="false">
      <c r="A436" s="12"/>
      <c r="B436" s="34"/>
      <c r="C436" s="12"/>
      <c r="D436" s="12"/>
      <c r="E436" s="12"/>
      <c r="F436" s="12"/>
      <c r="G436" s="18"/>
      <c r="H436" s="35"/>
      <c r="I436" s="12"/>
      <c r="M436" s="12"/>
      <c r="N436" s="18"/>
      <c r="O436" s="12"/>
      <c r="P436" s="12"/>
      <c r="Q436" s="12"/>
      <c r="R436" s="36"/>
      <c r="S436" s="36"/>
      <c r="T436" s="12"/>
      <c r="U436" s="12"/>
      <c r="V436" s="12"/>
      <c r="W436" s="12"/>
      <c r="X436" s="12"/>
    </row>
    <row r="437" customFormat="false" ht="15.75" hidden="false" customHeight="false" outlineLevel="0" collapsed="false">
      <c r="A437" s="12"/>
      <c r="B437" s="34"/>
      <c r="C437" s="12"/>
      <c r="D437" s="12"/>
      <c r="E437" s="12"/>
      <c r="F437" s="12"/>
      <c r="G437" s="18"/>
      <c r="H437" s="35"/>
      <c r="I437" s="12"/>
      <c r="M437" s="12"/>
      <c r="N437" s="18"/>
      <c r="O437" s="12"/>
      <c r="P437" s="12"/>
      <c r="Q437" s="12"/>
      <c r="R437" s="36"/>
      <c r="S437" s="36"/>
      <c r="T437" s="12"/>
      <c r="U437" s="12"/>
      <c r="V437" s="12"/>
      <c r="W437" s="12"/>
      <c r="X437" s="12"/>
    </row>
    <row r="438" customFormat="false" ht="15.75" hidden="false" customHeight="false" outlineLevel="0" collapsed="false">
      <c r="A438" s="12"/>
      <c r="B438" s="34"/>
      <c r="C438" s="12"/>
      <c r="D438" s="12"/>
      <c r="E438" s="12"/>
      <c r="F438" s="12"/>
      <c r="G438" s="18"/>
      <c r="H438" s="35"/>
      <c r="I438" s="12"/>
      <c r="M438" s="12"/>
      <c r="N438" s="18"/>
      <c r="O438" s="12"/>
      <c r="P438" s="12"/>
      <c r="Q438" s="12"/>
      <c r="R438" s="36"/>
      <c r="S438" s="36"/>
      <c r="T438" s="12"/>
      <c r="U438" s="12"/>
      <c r="V438" s="12"/>
      <c r="W438" s="12"/>
      <c r="X438" s="12"/>
    </row>
    <row r="439" customFormat="false" ht="15.75" hidden="false" customHeight="false" outlineLevel="0" collapsed="false">
      <c r="A439" s="12"/>
      <c r="B439" s="34"/>
      <c r="C439" s="12"/>
      <c r="D439" s="12"/>
      <c r="E439" s="12"/>
      <c r="F439" s="12"/>
      <c r="G439" s="18"/>
      <c r="H439" s="35"/>
      <c r="I439" s="12"/>
      <c r="M439" s="12"/>
      <c r="N439" s="18"/>
      <c r="O439" s="12"/>
      <c r="P439" s="12"/>
      <c r="Q439" s="12"/>
      <c r="R439" s="36"/>
      <c r="S439" s="36"/>
      <c r="T439" s="12"/>
      <c r="U439" s="12"/>
      <c r="V439" s="12"/>
      <c r="W439" s="12"/>
      <c r="X439" s="12"/>
    </row>
    <row r="440" customFormat="false" ht="15.75" hidden="false" customHeight="false" outlineLevel="0" collapsed="false">
      <c r="A440" s="12"/>
      <c r="B440" s="34"/>
      <c r="C440" s="12"/>
      <c r="D440" s="12"/>
      <c r="E440" s="12"/>
      <c r="F440" s="12"/>
      <c r="G440" s="18"/>
      <c r="H440" s="35"/>
      <c r="I440" s="12"/>
      <c r="M440" s="12"/>
      <c r="N440" s="18"/>
      <c r="O440" s="12"/>
      <c r="P440" s="12"/>
      <c r="Q440" s="12"/>
      <c r="R440" s="36"/>
      <c r="S440" s="36"/>
      <c r="T440" s="12"/>
      <c r="U440" s="12"/>
      <c r="V440" s="12"/>
      <c r="W440" s="12"/>
      <c r="X440" s="12"/>
    </row>
    <row r="441" customFormat="false" ht="15.75" hidden="false" customHeight="false" outlineLevel="0" collapsed="false">
      <c r="A441" s="12"/>
      <c r="B441" s="34"/>
      <c r="C441" s="12"/>
      <c r="D441" s="12"/>
      <c r="E441" s="12"/>
      <c r="F441" s="12"/>
      <c r="G441" s="18"/>
      <c r="H441" s="35"/>
      <c r="I441" s="12"/>
      <c r="M441" s="12"/>
      <c r="N441" s="18"/>
      <c r="O441" s="12"/>
      <c r="P441" s="12"/>
      <c r="Q441" s="12"/>
      <c r="R441" s="36"/>
      <c r="S441" s="36"/>
      <c r="T441" s="12"/>
      <c r="U441" s="12"/>
      <c r="V441" s="12"/>
      <c r="W441" s="12"/>
      <c r="X441" s="12"/>
    </row>
    <row r="442" customFormat="false" ht="15.75" hidden="false" customHeight="false" outlineLevel="0" collapsed="false">
      <c r="A442" s="12"/>
      <c r="B442" s="34"/>
      <c r="C442" s="12"/>
      <c r="D442" s="12"/>
      <c r="E442" s="12"/>
      <c r="F442" s="12"/>
      <c r="G442" s="18"/>
      <c r="H442" s="35"/>
      <c r="I442" s="12"/>
      <c r="M442" s="12"/>
      <c r="N442" s="18"/>
      <c r="O442" s="12"/>
      <c r="P442" s="12"/>
      <c r="Q442" s="12"/>
      <c r="R442" s="36"/>
      <c r="S442" s="36"/>
      <c r="T442" s="12"/>
      <c r="U442" s="12"/>
      <c r="V442" s="12"/>
      <c r="W442" s="12"/>
      <c r="X442" s="12"/>
    </row>
    <row r="443" customFormat="false" ht="15.75" hidden="false" customHeight="false" outlineLevel="0" collapsed="false">
      <c r="A443" s="12"/>
      <c r="B443" s="34"/>
      <c r="C443" s="12"/>
      <c r="D443" s="12"/>
      <c r="E443" s="12"/>
      <c r="F443" s="12"/>
      <c r="G443" s="18"/>
      <c r="H443" s="35"/>
      <c r="I443" s="12"/>
      <c r="M443" s="12"/>
      <c r="N443" s="18"/>
      <c r="O443" s="12"/>
      <c r="P443" s="12"/>
      <c r="Q443" s="12"/>
      <c r="R443" s="36"/>
      <c r="S443" s="36"/>
      <c r="T443" s="12"/>
      <c r="U443" s="12"/>
      <c r="V443" s="12"/>
      <c r="W443" s="12"/>
      <c r="X443" s="12"/>
    </row>
    <row r="444" customFormat="false" ht="15.75" hidden="false" customHeight="false" outlineLevel="0" collapsed="false">
      <c r="A444" s="12"/>
      <c r="B444" s="34"/>
      <c r="C444" s="12"/>
      <c r="D444" s="12"/>
      <c r="E444" s="12"/>
      <c r="F444" s="12"/>
      <c r="G444" s="18"/>
      <c r="H444" s="35"/>
      <c r="I444" s="12"/>
      <c r="M444" s="12"/>
      <c r="N444" s="18"/>
      <c r="O444" s="12"/>
      <c r="P444" s="12"/>
      <c r="Q444" s="12"/>
      <c r="R444" s="36"/>
      <c r="S444" s="36"/>
      <c r="T444" s="12"/>
      <c r="U444" s="12"/>
      <c r="V444" s="12"/>
      <c r="W444" s="12"/>
      <c r="X444" s="12"/>
    </row>
    <row r="445" customFormat="false" ht="15.75" hidden="false" customHeight="false" outlineLevel="0" collapsed="false">
      <c r="A445" s="12"/>
      <c r="B445" s="34"/>
      <c r="C445" s="12"/>
      <c r="D445" s="12"/>
      <c r="E445" s="12"/>
      <c r="F445" s="12"/>
      <c r="G445" s="18"/>
      <c r="H445" s="35"/>
      <c r="I445" s="12"/>
      <c r="M445" s="12"/>
      <c r="N445" s="18"/>
      <c r="O445" s="12"/>
      <c r="P445" s="12"/>
      <c r="Q445" s="12"/>
      <c r="R445" s="36"/>
      <c r="S445" s="36"/>
      <c r="T445" s="12"/>
      <c r="U445" s="12"/>
      <c r="V445" s="12"/>
      <c r="W445" s="12"/>
      <c r="X445" s="12"/>
    </row>
    <row r="446" customFormat="false" ht="15.75" hidden="false" customHeight="false" outlineLevel="0" collapsed="false">
      <c r="A446" s="12"/>
      <c r="B446" s="34"/>
      <c r="C446" s="12"/>
      <c r="D446" s="12"/>
      <c r="E446" s="12"/>
      <c r="F446" s="12"/>
      <c r="G446" s="18"/>
      <c r="H446" s="35"/>
      <c r="I446" s="12"/>
      <c r="M446" s="12"/>
      <c r="N446" s="18"/>
      <c r="O446" s="12"/>
      <c r="P446" s="12"/>
      <c r="Q446" s="12"/>
      <c r="R446" s="36"/>
      <c r="S446" s="36"/>
      <c r="T446" s="12"/>
      <c r="U446" s="12"/>
      <c r="V446" s="12"/>
      <c r="W446" s="12"/>
      <c r="X446" s="12"/>
    </row>
    <row r="447" customFormat="false" ht="15.75" hidden="false" customHeight="false" outlineLevel="0" collapsed="false">
      <c r="A447" s="12"/>
      <c r="B447" s="34"/>
      <c r="C447" s="12"/>
      <c r="D447" s="12"/>
      <c r="E447" s="12"/>
      <c r="F447" s="12"/>
      <c r="G447" s="18"/>
      <c r="H447" s="35"/>
      <c r="I447" s="12"/>
      <c r="M447" s="12"/>
      <c r="N447" s="18"/>
      <c r="O447" s="12"/>
      <c r="P447" s="12"/>
      <c r="Q447" s="12"/>
      <c r="R447" s="36"/>
      <c r="S447" s="36"/>
      <c r="T447" s="12"/>
      <c r="U447" s="12"/>
      <c r="V447" s="12"/>
      <c r="W447" s="12"/>
      <c r="X447" s="12"/>
    </row>
    <row r="448" customFormat="false" ht="15.75" hidden="false" customHeight="false" outlineLevel="0" collapsed="false">
      <c r="A448" s="12"/>
      <c r="B448" s="34"/>
      <c r="C448" s="12"/>
      <c r="D448" s="12"/>
      <c r="E448" s="12"/>
      <c r="F448" s="12"/>
      <c r="G448" s="18"/>
      <c r="H448" s="35"/>
      <c r="I448" s="12"/>
      <c r="M448" s="12"/>
      <c r="N448" s="18"/>
      <c r="O448" s="12"/>
      <c r="P448" s="12"/>
      <c r="Q448" s="12"/>
      <c r="R448" s="36"/>
      <c r="S448" s="36"/>
      <c r="T448" s="12"/>
      <c r="U448" s="12"/>
      <c r="V448" s="12"/>
      <c r="W448" s="12"/>
      <c r="X448" s="12"/>
    </row>
    <row r="449" customFormat="false" ht="15.75" hidden="false" customHeight="false" outlineLevel="0" collapsed="false">
      <c r="A449" s="12"/>
      <c r="B449" s="34"/>
      <c r="C449" s="12"/>
      <c r="D449" s="12"/>
      <c r="E449" s="12"/>
      <c r="F449" s="12"/>
      <c r="G449" s="18"/>
      <c r="H449" s="35"/>
      <c r="I449" s="12"/>
      <c r="M449" s="12"/>
      <c r="N449" s="18"/>
      <c r="O449" s="12"/>
      <c r="P449" s="12"/>
      <c r="Q449" s="12"/>
      <c r="R449" s="36"/>
      <c r="S449" s="36"/>
      <c r="T449" s="12"/>
      <c r="U449" s="12"/>
      <c r="V449" s="12"/>
      <c r="W449" s="12"/>
      <c r="X449" s="12"/>
    </row>
    <row r="450" customFormat="false" ht="15.75" hidden="false" customHeight="false" outlineLevel="0" collapsed="false">
      <c r="A450" s="12"/>
      <c r="B450" s="34"/>
      <c r="C450" s="12"/>
      <c r="D450" s="12"/>
      <c r="E450" s="12"/>
      <c r="F450" s="12"/>
      <c r="G450" s="18"/>
      <c r="H450" s="35"/>
      <c r="I450" s="12"/>
      <c r="M450" s="12"/>
      <c r="N450" s="18"/>
      <c r="O450" s="12"/>
      <c r="P450" s="12"/>
      <c r="Q450" s="12"/>
      <c r="R450" s="36"/>
      <c r="S450" s="36"/>
      <c r="T450" s="12"/>
      <c r="U450" s="12"/>
      <c r="V450" s="12"/>
      <c r="W450" s="12"/>
      <c r="X450" s="12"/>
    </row>
    <row r="451" customFormat="false" ht="15.75" hidden="false" customHeight="false" outlineLevel="0" collapsed="false">
      <c r="A451" s="12"/>
      <c r="B451" s="34"/>
      <c r="C451" s="12"/>
      <c r="D451" s="12"/>
      <c r="E451" s="12"/>
      <c r="F451" s="12"/>
      <c r="G451" s="18"/>
      <c r="H451" s="35"/>
      <c r="I451" s="12"/>
      <c r="M451" s="12"/>
      <c r="N451" s="18"/>
      <c r="O451" s="12"/>
      <c r="P451" s="12"/>
      <c r="Q451" s="12"/>
      <c r="R451" s="36"/>
      <c r="S451" s="36"/>
      <c r="T451" s="12"/>
      <c r="U451" s="12"/>
      <c r="V451" s="12"/>
      <c r="W451" s="12"/>
      <c r="X451" s="12"/>
    </row>
    <row r="452" customFormat="false" ht="15.75" hidden="false" customHeight="false" outlineLevel="0" collapsed="false">
      <c r="A452" s="12"/>
      <c r="B452" s="34"/>
      <c r="C452" s="12"/>
      <c r="D452" s="12"/>
      <c r="E452" s="12"/>
      <c r="F452" s="12"/>
      <c r="G452" s="18"/>
      <c r="H452" s="35"/>
      <c r="I452" s="12"/>
      <c r="M452" s="12"/>
      <c r="N452" s="18"/>
      <c r="O452" s="12"/>
      <c r="P452" s="12"/>
      <c r="Q452" s="12"/>
      <c r="R452" s="36"/>
      <c r="S452" s="36"/>
      <c r="T452" s="12"/>
      <c r="U452" s="12"/>
      <c r="V452" s="12"/>
      <c r="W452" s="12"/>
      <c r="X452" s="12"/>
    </row>
    <row r="453" customFormat="false" ht="15.75" hidden="false" customHeight="false" outlineLevel="0" collapsed="false">
      <c r="A453" s="12"/>
      <c r="B453" s="34"/>
      <c r="C453" s="12"/>
      <c r="D453" s="12"/>
      <c r="E453" s="12"/>
      <c r="F453" s="12"/>
      <c r="G453" s="18"/>
      <c r="H453" s="35"/>
      <c r="I453" s="12"/>
      <c r="M453" s="12"/>
      <c r="N453" s="18"/>
      <c r="O453" s="12"/>
      <c r="P453" s="12"/>
      <c r="Q453" s="12"/>
      <c r="R453" s="36"/>
      <c r="S453" s="36"/>
      <c r="T453" s="12"/>
      <c r="U453" s="12"/>
      <c r="V453" s="12"/>
      <c r="W453" s="12"/>
      <c r="X453" s="12"/>
    </row>
    <row r="454" customFormat="false" ht="15.75" hidden="false" customHeight="false" outlineLevel="0" collapsed="false">
      <c r="A454" s="12"/>
      <c r="B454" s="34"/>
      <c r="C454" s="12"/>
      <c r="D454" s="12"/>
      <c r="E454" s="12"/>
      <c r="F454" s="12"/>
      <c r="G454" s="18"/>
      <c r="H454" s="35"/>
      <c r="I454" s="12"/>
      <c r="M454" s="12"/>
      <c r="N454" s="18"/>
      <c r="O454" s="12"/>
      <c r="P454" s="12"/>
      <c r="Q454" s="12"/>
      <c r="R454" s="36"/>
      <c r="S454" s="36"/>
      <c r="T454" s="12"/>
      <c r="U454" s="12"/>
      <c r="V454" s="12"/>
      <c r="W454" s="12"/>
      <c r="X454" s="12"/>
    </row>
    <row r="455" customFormat="false" ht="15.75" hidden="false" customHeight="false" outlineLevel="0" collapsed="false">
      <c r="A455" s="12"/>
      <c r="B455" s="34"/>
      <c r="C455" s="12"/>
      <c r="D455" s="12"/>
      <c r="E455" s="12"/>
      <c r="F455" s="12"/>
      <c r="G455" s="18"/>
      <c r="H455" s="35"/>
      <c r="I455" s="12"/>
      <c r="M455" s="12"/>
      <c r="N455" s="18"/>
      <c r="O455" s="12"/>
      <c r="P455" s="12"/>
      <c r="Q455" s="12"/>
      <c r="R455" s="36"/>
      <c r="S455" s="36"/>
      <c r="T455" s="12"/>
      <c r="U455" s="12"/>
      <c r="V455" s="12"/>
      <c r="W455" s="12"/>
      <c r="X455" s="12"/>
    </row>
    <row r="456" customFormat="false" ht="15.75" hidden="false" customHeight="false" outlineLevel="0" collapsed="false">
      <c r="A456" s="12"/>
      <c r="B456" s="34"/>
      <c r="C456" s="12"/>
      <c r="D456" s="12"/>
      <c r="E456" s="12"/>
      <c r="F456" s="12"/>
      <c r="G456" s="18"/>
      <c r="H456" s="35"/>
      <c r="I456" s="12"/>
      <c r="M456" s="12"/>
      <c r="N456" s="18"/>
      <c r="O456" s="12"/>
      <c r="P456" s="12"/>
      <c r="Q456" s="12"/>
      <c r="R456" s="36"/>
      <c r="S456" s="36"/>
      <c r="T456" s="12"/>
      <c r="U456" s="12"/>
      <c r="V456" s="12"/>
      <c r="W456" s="12"/>
      <c r="X456" s="12"/>
    </row>
    <row r="457" customFormat="false" ht="15.75" hidden="false" customHeight="false" outlineLevel="0" collapsed="false">
      <c r="A457" s="12"/>
      <c r="B457" s="34"/>
      <c r="C457" s="12"/>
      <c r="D457" s="12"/>
      <c r="E457" s="12"/>
      <c r="F457" s="12"/>
      <c r="G457" s="18"/>
      <c r="H457" s="35"/>
      <c r="I457" s="12"/>
      <c r="M457" s="12"/>
      <c r="N457" s="18"/>
      <c r="O457" s="12"/>
      <c r="P457" s="12"/>
      <c r="Q457" s="12"/>
      <c r="R457" s="36"/>
      <c r="S457" s="36"/>
      <c r="T457" s="12"/>
      <c r="U457" s="12"/>
      <c r="V457" s="12"/>
      <c r="W457" s="12"/>
      <c r="X457" s="12"/>
    </row>
    <row r="458" customFormat="false" ht="15.75" hidden="false" customHeight="false" outlineLevel="0" collapsed="false">
      <c r="A458" s="12"/>
      <c r="B458" s="34"/>
      <c r="C458" s="12"/>
      <c r="D458" s="12"/>
      <c r="E458" s="12"/>
      <c r="F458" s="12"/>
      <c r="G458" s="18"/>
      <c r="H458" s="35"/>
      <c r="I458" s="12"/>
      <c r="M458" s="12"/>
      <c r="N458" s="18"/>
      <c r="O458" s="12"/>
      <c r="P458" s="12"/>
      <c r="Q458" s="12"/>
      <c r="R458" s="36"/>
      <c r="S458" s="36"/>
      <c r="T458" s="12"/>
      <c r="U458" s="12"/>
      <c r="V458" s="12"/>
      <c r="W458" s="12"/>
      <c r="X458" s="12"/>
    </row>
    <row r="459" customFormat="false" ht="15.75" hidden="false" customHeight="false" outlineLevel="0" collapsed="false">
      <c r="A459" s="12"/>
      <c r="B459" s="34"/>
      <c r="C459" s="12"/>
      <c r="D459" s="12"/>
      <c r="E459" s="12"/>
      <c r="F459" s="12"/>
      <c r="G459" s="18"/>
      <c r="H459" s="35"/>
      <c r="I459" s="12"/>
      <c r="M459" s="12"/>
      <c r="N459" s="18"/>
      <c r="O459" s="12"/>
      <c r="P459" s="12"/>
      <c r="Q459" s="12"/>
      <c r="R459" s="36"/>
      <c r="S459" s="36"/>
      <c r="T459" s="12"/>
      <c r="U459" s="12"/>
      <c r="V459" s="12"/>
      <c r="W459" s="12"/>
      <c r="X459" s="12"/>
    </row>
    <row r="460" customFormat="false" ht="15.75" hidden="false" customHeight="false" outlineLevel="0" collapsed="false">
      <c r="A460" s="12"/>
      <c r="B460" s="34"/>
      <c r="C460" s="12"/>
      <c r="D460" s="12"/>
      <c r="E460" s="12"/>
      <c r="F460" s="12"/>
      <c r="G460" s="18"/>
      <c r="H460" s="35"/>
      <c r="I460" s="12"/>
      <c r="M460" s="12"/>
      <c r="N460" s="18"/>
      <c r="O460" s="12"/>
      <c r="P460" s="12"/>
      <c r="Q460" s="12"/>
      <c r="R460" s="36"/>
      <c r="S460" s="36"/>
      <c r="T460" s="12"/>
      <c r="U460" s="12"/>
      <c r="V460" s="12"/>
      <c r="W460" s="12"/>
      <c r="X460" s="12"/>
    </row>
    <row r="461" customFormat="false" ht="15.75" hidden="false" customHeight="false" outlineLevel="0" collapsed="false">
      <c r="A461" s="12"/>
      <c r="B461" s="34"/>
      <c r="C461" s="12"/>
      <c r="D461" s="12"/>
      <c r="E461" s="12"/>
      <c r="F461" s="12"/>
      <c r="G461" s="18"/>
      <c r="H461" s="35"/>
      <c r="I461" s="12"/>
      <c r="M461" s="12"/>
      <c r="N461" s="18"/>
      <c r="O461" s="12"/>
      <c r="P461" s="12"/>
      <c r="Q461" s="12"/>
      <c r="R461" s="36"/>
      <c r="S461" s="36"/>
      <c r="T461" s="12"/>
      <c r="U461" s="12"/>
      <c r="V461" s="12"/>
      <c r="W461" s="12"/>
      <c r="X461" s="12"/>
    </row>
    <row r="462" customFormat="false" ht="15.75" hidden="false" customHeight="false" outlineLevel="0" collapsed="false">
      <c r="A462" s="12"/>
      <c r="B462" s="34"/>
      <c r="C462" s="12"/>
      <c r="D462" s="12"/>
      <c r="E462" s="12"/>
      <c r="F462" s="12"/>
      <c r="G462" s="18"/>
      <c r="H462" s="35"/>
      <c r="I462" s="12"/>
      <c r="M462" s="12"/>
      <c r="N462" s="18"/>
      <c r="O462" s="12"/>
      <c r="P462" s="12"/>
      <c r="Q462" s="12"/>
      <c r="R462" s="36"/>
      <c r="S462" s="36"/>
      <c r="T462" s="12"/>
      <c r="U462" s="12"/>
      <c r="V462" s="12"/>
      <c r="W462" s="12"/>
      <c r="X462" s="12"/>
    </row>
    <row r="463" customFormat="false" ht="15.75" hidden="false" customHeight="false" outlineLevel="0" collapsed="false">
      <c r="A463" s="12"/>
      <c r="B463" s="34"/>
      <c r="C463" s="12"/>
      <c r="D463" s="12"/>
      <c r="E463" s="12"/>
      <c r="F463" s="12"/>
      <c r="G463" s="18"/>
      <c r="H463" s="35"/>
      <c r="I463" s="12"/>
      <c r="M463" s="12"/>
      <c r="N463" s="18"/>
      <c r="O463" s="12"/>
      <c r="P463" s="12"/>
      <c r="Q463" s="12"/>
      <c r="R463" s="36"/>
      <c r="S463" s="36"/>
      <c r="T463" s="12"/>
      <c r="U463" s="12"/>
      <c r="V463" s="12"/>
      <c r="W463" s="12"/>
      <c r="X463" s="12"/>
    </row>
    <row r="464" customFormat="false" ht="15.75" hidden="false" customHeight="false" outlineLevel="0" collapsed="false">
      <c r="A464" s="12"/>
      <c r="B464" s="34"/>
      <c r="C464" s="12"/>
      <c r="D464" s="12"/>
      <c r="E464" s="12"/>
      <c r="F464" s="12"/>
      <c r="G464" s="18"/>
      <c r="H464" s="35"/>
      <c r="I464" s="12"/>
      <c r="M464" s="12"/>
      <c r="N464" s="18"/>
      <c r="O464" s="12"/>
      <c r="P464" s="12"/>
      <c r="Q464" s="12"/>
      <c r="R464" s="36"/>
      <c r="S464" s="36"/>
      <c r="T464" s="12"/>
      <c r="U464" s="12"/>
      <c r="V464" s="12"/>
      <c r="W464" s="12"/>
      <c r="X464" s="12"/>
    </row>
    <row r="465" customFormat="false" ht="15.75" hidden="false" customHeight="false" outlineLevel="0" collapsed="false">
      <c r="A465" s="12"/>
      <c r="B465" s="34"/>
      <c r="C465" s="12"/>
      <c r="D465" s="12"/>
      <c r="E465" s="12"/>
      <c r="F465" s="12"/>
      <c r="G465" s="18"/>
      <c r="H465" s="35"/>
      <c r="I465" s="12"/>
      <c r="M465" s="12"/>
      <c r="N465" s="18"/>
      <c r="O465" s="12"/>
      <c r="P465" s="12"/>
      <c r="Q465" s="12"/>
      <c r="R465" s="36"/>
      <c r="S465" s="36"/>
      <c r="T465" s="12"/>
      <c r="U465" s="12"/>
      <c r="V465" s="12"/>
      <c r="W465" s="12"/>
      <c r="X465" s="12"/>
    </row>
    <row r="466" customFormat="false" ht="15.75" hidden="false" customHeight="false" outlineLevel="0" collapsed="false">
      <c r="A466" s="12"/>
      <c r="B466" s="34"/>
      <c r="C466" s="12"/>
      <c r="D466" s="12"/>
      <c r="E466" s="12"/>
      <c r="F466" s="12"/>
      <c r="G466" s="18"/>
      <c r="H466" s="35"/>
      <c r="I466" s="12"/>
      <c r="M466" s="12"/>
      <c r="N466" s="18"/>
      <c r="O466" s="12"/>
      <c r="P466" s="12"/>
      <c r="Q466" s="12"/>
      <c r="R466" s="36"/>
      <c r="S466" s="36"/>
      <c r="T466" s="12"/>
      <c r="U466" s="12"/>
      <c r="V466" s="12"/>
      <c r="W466" s="12"/>
      <c r="X466" s="12"/>
    </row>
    <row r="467" customFormat="false" ht="15.75" hidden="false" customHeight="false" outlineLevel="0" collapsed="false">
      <c r="A467" s="12"/>
      <c r="B467" s="34"/>
      <c r="C467" s="12"/>
      <c r="D467" s="12"/>
      <c r="E467" s="12"/>
      <c r="F467" s="12"/>
      <c r="G467" s="18"/>
      <c r="H467" s="35"/>
      <c r="I467" s="12"/>
      <c r="M467" s="12"/>
      <c r="N467" s="18"/>
      <c r="O467" s="12"/>
      <c r="P467" s="12"/>
      <c r="Q467" s="12"/>
      <c r="R467" s="36"/>
      <c r="S467" s="36"/>
      <c r="T467" s="12"/>
      <c r="U467" s="12"/>
      <c r="V467" s="12"/>
      <c r="W467" s="12"/>
      <c r="X467" s="12"/>
    </row>
    <row r="468" customFormat="false" ht="15.75" hidden="false" customHeight="false" outlineLevel="0" collapsed="false">
      <c r="A468" s="12"/>
      <c r="B468" s="34"/>
      <c r="C468" s="12"/>
      <c r="D468" s="12"/>
      <c r="E468" s="12"/>
      <c r="F468" s="12"/>
      <c r="G468" s="18"/>
      <c r="H468" s="35"/>
      <c r="I468" s="12"/>
      <c r="M468" s="12"/>
      <c r="N468" s="18"/>
      <c r="O468" s="12"/>
      <c r="P468" s="12"/>
      <c r="Q468" s="12"/>
      <c r="R468" s="36"/>
      <c r="S468" s="36"/>
      <c r="T468" s="12"/>
      <c r="U468" s="12"/>
      <c r="V468" s="12"/>
      <c r="W468" s="12"/>
      <c r="X468" s="12"/>
    </row>
    <row r="469" customFormat="false" ht="15.75" hidden="false" customHeight="false" outlineLevel="0" collapsed="false">
      <c r="A469" s="12"/>
      <c r="B469" s="34"/>
      <c r="C469" s="12"/>
      <c r="D469" s="12"/>
      <c r="E469" s="12"/>
      <c r="F469" s="12"/>
      <c r="G469" s="18"/>
      <c r="H469" s="35"/>
      <c r="I469" s="12"/>
      <c r="M469" s="12"/>
      <c r="N469" s="18"/>
      <c r="O469" s="12"/>
      <c r="P469" s="12"/>
      <c r="Q469" s="12"/>
      <c r="R469" s="36"/>
      <c r="S469" s="36"/>
      <c r="T469" s="12"/>
      <c r="U469" s="12"/>
      <c r="V469" s="12"/>
      <c r="W469" s="12"/>
      <c r="X469" s="12"/>
    </row>
    <row r="470" customFormat="false" ht="15.75" hidden="false" customHeight="false" outlineLevel="0" collapsed="false">
      <c r="A470" s="12"/>
      <c r="B470" s="34"/>
      <c r="C470" s="12"/>
      <c r="D470" s="12"/>
      <c r="E470" s="12"/>
      <c r="F470" s="12"/>
      <c r="G470" s="18"/>
      <c r="H470" s="35"/>
      <c r="I470" s="12"/>
      <c r="M470" s="12"/>
      <c r="N470" s="18"/>
      <c r="O470" s="12"/>
      <c r="P470" s="12"/>
      <c r="Q470" s="12"/>
      <c r="R470" s="36"/>
      <c r="S470" s="36"/>
      <c r="T470" s="12"/>
      <c r="U470" s="12"/>
      <c r="V470" s="12"/>
      <c r="W470" s="12"/>
      <c r="X470" s="12"/>
    </row>
    <row r="471" customFormat="false" ht="15.75" hidden="false" customHeight="false" outlineLevel="0" collapsed="false">
      <c r="A471" s="12"/>
      <c r="B471" s="34"/>
      <c r="C471" s="12"/>
      <c r="D471" s="12"/>
      <c r="E471" s="12"/>
      <c r="F471" s="12"/>
      <c r="G471" s="18"/>
      <c r="H471" s="35"/>
      <c r="I471" s="12"/>
      <c r="M471" s="12"/>
      <c r="N471" s="18"/>
      <c r="O471" s="12"/>
      <c r="P471" s="12"/>
      <c r="Q471" s="12"/>
      <c r="R471" s="36"/>
      <c r="S471" s="36"/>
      <c r="T471" s="12"/>
      <c r="U471" s="12"/>
      <c r="V471" s="12"/>
      <c r="W471" s="12"/>
      <c r="X471" s="12"/>
    </row>
    <row r="472" customFormat="false" ht="15.75" hidden="false" customHeight="false" outlineLevel="0" collapsed="false">
      <c r="A472" s="12"/>
      <c r="B472" s="34"/>
      <c r="C472" s="12"/>
      <c r="D472" s="12"/>
      <c r="E472" s="12"/>
      <c r="F472" s="12"/>
      <c r="G472" s="18"/>
      <c r="H472" s="35"/>
      <c r="I472" s="12"/>
      <c r="M472" s="12"/>
      <c r="N472" s="18"/>
      <c r="O472" s="12"/>
      <c r="P472" s="12"/>
      <c r="Q472" s="12"/>
      <c r="R472" s="36"/>
      <c r="S472" s="36"/>
      <c r="T472" s="12"/>
      <c r="U472" s="12"/>
      <c r="V472" s="12"/>
      <c r="W472" s="12"/>
      <c r="X472" s="12"/>
    </row>
    <row r="473" customFormat="false" ht="15.75" hidden="false" customHeight="false" outlineLevel="0" collapsed="false">
      <c r="A473" s="12"/>
      <c r="B473" s="34"/>
      <c r="C473" s="12"/>
      <c r="D473" s="12"/>
      <c r="E473" s="12"/>
      <c r="F473" s="12"/>
      <c r="G473" s="18"/>
      <c r="H473" s="35"/>
      <c r="I473" s="12"/>
      <c r="M473" s="12"/>
      <c r="N473" s="18"/>
      <c r="O473" s="12"/>
      <c r="P473" s="12"/>
      <c r="Q473" s="12"/>
      <c r="R473" s="36"/>
      <c r="S473" s="36"/>
      <c r="T473" s="12"/>
      <c r="U473" s="12"/>
      <c r="V473" s="12"/>
      <c r="W473" s="12"/>
      <c r="X473" s="12"/>
    </row>
    <row r="474" customFormat="false" ht="15.75" hidden="false" customHeight="false" outlineLevel="0" collapsed="false">
      <c r="A474" s="12"/>
      <c r="B474" s="34"/>
      <c r="C474" s="12"/>
      <c r="D474" s="12"/>
      <c r="E474" s="12"/>
      <c r="F474" s="12"/>
      <c r="G474" s="18"/>
      <c r="H474" s="35"/>
      <c r="I474" s="12"/>
      <c r="M474" s="12"/>
      <c r="N474" s="18"/>
      <c r="O474" s="12"/>
      <c r="P474" s="12"/>
      <c r="Q474" s="12"/>
      <c r="R474" s="36"/>
      <c r="S474" s="36"/>
      <c r="T474" s="12"/>
      <c r="U474" s="12"/>
      <c r="V474" s="12"/>
      <c r="W474" s="12"/>
      <c r="X474" s="12"/>
    </row>
    <row r="475" customFormat="false" ht="15.75" hidden="false" customHeight="false" outlineLevel="0" collapsed="false">
      <c r="A475" s="12"/>
      <c r="B475" s="34"/>
      <c r="C475" s="12"/>
      <c r="D475" s="12"/>
      <c r="E475" s="12"/>
      <c r="F475" s="12"/>
      <c r="G475" s="18"/>
      <c r="H475" s="35"/>
      <c r="I475" s="12"/>
      <c r="M475" s="12"/>
      <c r="N475" s="18"/>
      <c r="O475" s="12"/>
      <c r="P475" s="12"/>
      <c r="Q475" s="12"/>
      <c r="R475" s="36"/>
      <c r="S475" s="36"/>
      <c r="T475" s="12"/>
      <c r="U475" s="12"/>
      <c r="V475" s="12"/>
      <c r="W475" s="12"/>
      <c r="X475" s="12"/>
    </row>
    <row r="476" customFormat="false" ht="15.75" hidden="false" customHeight="false" outlineLevel="0" collapsed="false">
      <c r="A476" s="12"/>
      <c r="B476" s="34"/>
      <c r="C476" s="12"/>
      <c r="D476" s="12"/>
      <c r="E476" s="12"/>
      <c r="F476" s="12"/>
      <c r="G476" s="18"/>
      <c r="H476" s="35"/>
      <c r="I476" s="12"/>
      <c r="M476" s="12"/>
      <c r="N476" s="18"/>
      <c r="O476" s="12"/>
      <c r="P476" s="12"/>
      <c r="Q476" s="12"/>
      <c r="R476" s="36"/>
      <c r="S476" s="36"/>
      <c r="T476" s="12"/>
      <c r="U476" s="12"/>
      <c r="V476" s="12"/>
      <c r="W476" s="12"/>
      <c r="X476" s="12"/>
    </row>
    <row r="477" customFormat="false" ht="15.75" hidden="false" customHeight="false" outlineLevel="0" collapsed="false">
      <c r="A477" s="12"/>
      <c r="B477" s="34"/>
      <c r="C477" s="12"/>
      <c r="D477" s="12"/>
      <c r="E477" s="12"/>
      <c r="F477" s="12"/>
      <c r="G477" s="18"/>
      <c r="H477" s="35"/>
      <c r="I477" s="12"/>
      <c r="M477" s="12"/>
      <c r="N477" s="18"/>
      <c r="O477" s="12"/>
      <c r="P477" s="12"/>
      <c r="Q477" s="12"/>
      <c r="R477" s="36"/>
      <c r="S477" s="36"/>
      <c r="T477" s="12"/>
      <c r="U477" s="12"/>
      <c r="V477" s="12"/>
      <c r="W477" s="12"/>
      <c r="X477" s="12"/>
    </row>
    <row r="478" customFormat="false" ht="15.75" hidden="false" customHeight="false" outlineLevel="0" collapsed="false">
      <c r="A478" s="12"/>
      <c r="B478" s="34"/>
      <c r="C478" s="12"/>
      <c r="D478" s="12"/>
      <c r="E478" s="12"/>
      <c r="F478" s="12"/>
      <c r="G478" s="18"/>
      <c r="H478" s="35"/>
      <c r="I478" s="12"/>
      <c r="M478" s="12"/>
      <c r="N478" s="18"/>
      <c r="O478" s="12"/>
      <c r="P478" s="12"/>
      <c r="Q478" s="12"/>
      <c r="R478" s="36"/>
      <c r="S478" s="36"/>
      <c r="T478" s="12"/>
      <c r="U478" s="12"/>
      <c r="V478" s="12"/>
      <c r="W478" s="12"/>
      <c r="X478" s="12"/>
    </row>
    <row r="479" customFormat="false" ht="15.75" hidden="false" customHeight="false" outlineLevel="0" collapsed="false">
      <c r="A479" s="12"/>
      <c r="B479" s="34"/>
      <c r="C479" s="12"/>
      <c r="D479" s="12"/>
      <c r="E479" s="12"/>
      <c r="F479" s="12"/>
      <c r="G479" s="18"/>
      <c r="H479" s="35"/>
      <c r="I479" s="12"/>
      <c r="M479" s="12"/>
      <c r="N479" s="18"/>
      <c r="O479" s="12"/>
      <c r="P479" s="12"/>
      <c r="Q479" s="12"/>
      <c r="R479" s="36"/>
      <c r="S479" s="36"/>
      <c r="T479" s="12"/>
      <c r="U479" s="12"/>
      <c r="V479" s="12"/>
      <c r="W479" s="12"/>
      <c r="X479" s="12"/>
    </row>
    <row r="480" customFormat="false" ht="15.75" hidden="false" customHeight="false" outlineLevel="0" collapsed="false">
      <c r="A480" s="12"/>
      <c r="B480" s="34"/>
      <c r="C480" s="12"/>
      <c r="D480" s="12"/>
      <c r="E480" s="12"/>
      <c r="F480" s="12"/>
      <c r="G480" s="18"/>
      <c r="H480" s="35"/>
      <c r="I480" s="12"/>
      <c r="M480" s="12"/>
      <c r="N480" s="18"/>
      <c r="O480" s="12"/>
      <c r="P480" s="12"/>
      <c r="Q480" s="12"/>
      <c r="R480" s="36"/>
      <c r="S480" s="36"/>
      <c r="T480" s="12"/>
      <c r="U480" s="12"/>
      <c r="V480" s="12"/>
      <c r="W480" s="12"/>
      <c r="X480" s="12"/>
    </row>
    <row r="481" customFormat="false" ht="15.75" hidden="false" customHeight="false" outlineLevel="0" collapsed="false">
      <c r="A481" s="12"/>
      <c r="B481" s="34"/>
      <c r="C481" s="12"/>
      <c r="D481" s="12"/>
      <c r="E481" s="12"/>
      <c r="F481" s="12"/>
      <c r="G481" s="18"/>
      <c r="H481" s="35"/>
      <c r="I481" s="12"/>
      <c r="M481" s="12"/>
      <c r="N481" s="18"/>
      <c r="O481" s="12"/>
      <c r="P481" s="12"/>
      <c r="Q481" s="12"/>
      <c r="R481" s="36"/>
      <c r="S481" s="36"/>
      <c r="T481" s="12"/>
      <c r="U481" s="12"/>
      <c r="V481" s="12"/>
      <c r="W481" s="12"/>
      <c r="X481" s="12"/>
    </row>
    <row r="482" customFormat="false" ht="15.75" hidden="false" customHeight="false" outlineLevel="0" collapsed="false">
      <c r="A482" s="12"/>
      <c r="B482" s="34"/>
      <c r="C482" s="12"/>
      <c r="D482" s="12"/>
      <c r="E482" s="12"/>
      <c r="F482" s="12"/>
      <c r="G482" s="18"/>
      <c r="H482" s="35"/>
      <c r="I482" s="12"/>
      <c r="M482" s="12"/>
      <c r="N482" s="18"/>
      <c r="O482" s="12"/>
      <c r="P482" s="12"/>
      <c r="Q482" s="12"/>
      <c r="R482" s="36"/>
      <c r="S482" s="36"/>
      <c r="T482" s="12"/>
      <c r="U482" s="12"/>
      <c r="V482" s="12"/>
      <c r="W482" s="12"/>
      <c r="X482" s="12"/>
    </row>
    <row r="483" customFormat="false" ht="15.75" hidden="false" customHeight="false" outlineLevel="0" collapsed="false">
      <c r="A483" s="12"/>
      <c r="B483" s="34"/>
      <c r="C483" s="12"/>
      <c r="D483" s="12"/>
      <c r="E483" s="12"/>
      <c r="F483" s="12"/>
      <c r="G483" s="18"/>
      <c r="H483" s="35"/>
      <c r="I483" s="12"/>
      <c r="M483" s="12"/>
      <c r="N483" s="18"/>
      <c r="O483" s="12"/>
      <c r="P483" s="12"/>
      <c r="Q483" s="12"/>
      <c r="R483" s="36"/>
      <c r="S483" s="36"/>
      <c r="T483" s="12"/>
      <c r="U483" s="12"/>
      <c r="V483" s="12"/>
      <c r="W483" s="12"/>
      <c r="X483" s="12"/>
    </row>
    <row r="484" customFormat="false" ht="15.75" hidden="false" customHeight="false" outlineLevel="0" collapsed="false">
      <c r="A484" s="12"/>
      <c r="B484" s="34"/>
      <c r="C484" s="12"/>
      <c r="D484" s="12"/>
      <c r="E484" s="12"/>
      <c r="F484" s="12"/>
      <c r="G484" s="18"/>
      <c r="H484" s="35"/>
      <c r="I484" s="12"/>
      <c r="M484" s="12"/>
      <c r="N484" s="18"/>
      <c r="O484" s="12"/>
      <c r="P484" s="12"/>
      <c r="Q484" s="12"/>
      <c r="R484" s="36"/>
      <c r="S484" s="36"/>
      <c r="T484" s="12"/>
      <c r="U484" s="12"/>
      <c r="V484" s="12"/>
      <c r="W484" s="12"/>
      <c r="X484" s="12"/>
    </row>
    <row r="485" customFormat="false" ht="15.75" hidden="false" customHeight="false" outlineLevel="0" collapsed="false">
      <c r="A485" s="12"/>
      <c r="B485" s="34"/>
      <c r="C485" s="12"/>
      <c r="D485" s="12"/>
      <c r="E485" s="12"/>
      <c r="F485" s="12"/>
      <c r="G485" s="18"/>
      <c r="H485" s="35"/>
      <c r="I485" s="12"/>
      <c r="M485" s="12"/>
      <c r="N485" s="18"/>
      <c r="O485" s="12"/>
      <c r="P485" s="12"/>
      <c r="Q485" s="12"/>
      <c r="R485" s="36"/>
      <c r="S485" s="36"/>
      <c r="T485" s="12"/>
      <c r="U485" s="12"/>
      <c r="V485" s="12"/>
      <c r="W485" s="12"/>
      <c r="X485" s="12"/>
    </row>
    <row r="486" customFormat="false" ht="15.75" hidden="false" customHeight="false" outlineLevel="0" collapsed="false">
      <c r="A486" s="12"/>
      <c r="B486" s="34"/>
      <c r="C486" s="12"/>
      <c r="D486" s="12"/>
      <c r="E486" s="12"/>
      <c r="F486" s="12"/>
      <c r="G486" s="18"/>
      <c r="H486" s="35"/>
      <c r="I486" s="12"/>
      <c r="M486" s="12"/>
      <c r="N486" s="18"/>
      <c r="O486" s="12"/>
      <c r="P486" s="12"/>
      <c r="Q486" s="12"/>
      <c r="R486" s="36"/>
      <c r="S486" s="36"/>
      <c r="T486" s="12"/>
      <c r="U486" s="12"/>
      <c r="V486" s="12"/>
      <c r="W486" s="12"/>
      <c r="X486" s="12"/>
    </row>
    <row r="487" customFormat="false" ht="15.75" hidden="false" customHeight="false" outlineLevel="0" collapsed="false">
      <c r="A487" s="12"/>
      <c r="B487" s="34"/>
      <c r="C487" s="12"/>
      <c r="D487" s="12"/>
      <c r="E487" s="12"/>
      <c r="F487" s="12"/>
      <c r="G487" s="18"/>
      <c r="H487" s="35"/>
      <c r="I487" s="12"/>
      <c r="M487" s="12"/>
      <c r="N487" s="18"/>
      <c r="O487" s="12"/>
      <c r="P487" s="12"/>
      <c r="Q487" s="12"/>
      <c r="R487" s="36"/>
      <c r="S487" s="36"/>
      <c r="T487" s="12"/>
      <c r="U487" s="12"/>
      <c r="V487" s="12"/>
      <c r="W487" s="12"/>
      <c r="X487" s="12"/>
    </row>
    <row r="488" customFormat="false" ht="15.75" hidden="false" customHeight="false" outlineLevel="0" collapsed="false">
      <c r="A488" s="12"/>
      <c r="B488" s="34"/>
      <c r="C488" s="12"/>
      <c r="D488" s="12"/>
      <c r="E488" s="12"/>
      <c r="F488" s="12"/>
      <c r="G488" s="18"/>
      <c r="H488" s="35"/>
      <c r="I488" s="12"/>
      <c r="M488" s="12"/>
      <c r="N488" s="18"/>
      <c r="O488" s="12"/>
      <c r="P488" s="12"/>
      <c r="Q488" s="12"/>
      <c r="R488" s="36"/>
      <c r="S488" s="36"/>
      <c r="T488" s="12"/>
      <c r="U488" s="12"/>
      <c r="V488" s="12"/>
      <c r="W488" s="12"/>
      <c r="X488" s="12"/>
    </row>
    <row r="489" customFormat="false" ht="15.75" hidden="false" customHeight="false" outlineLevel="0" collapsed="false">
      <c r="A489" s="12"/>
      <c r="B489" s="34"/>
      <c r="C489" s="12"/>
      <c r="D489" s="12"/>
      <c r="E489" s="12"/>
      <c r="F489" s="12"/>
      <c r="G489" s="18"/>
      <c r="H489" s="35"/>
      <c r="I489" s="12"/>
      <c r="M489" s="12"/>
      <c r="N489" s="18"/>
      <c r="O489" s="12"/>
      <c r="P489" s="12"/>
      <c r="Q489" s="12"/>
      <c r="R489" s="36"/>
      <c r="S489" s="36"/>
      <c r="T489" s="12"/>
      <c r="U489" s="12"/>
      <c r="V489" s="12"/>
      <c r="W489" s="12"/>
      <c r="X489" s="12"/>
    </row>
    <row r="490" customFormat="false" ht="15.75" hidden="false" customHeight="false" outlineLevel="0" collapsed="false">
      <c r="A490" s="12"/>
      <c r="B490" s="34"/>
      <c r="C490" s="12"/>
      <c r="D490" s="12"/>
      <c r="E490" s="12"/>
      <c r="F490" s="12"/>
      <c r="G490" s="18"/>
      <c r="H490" s="35"/>
      <c r="I490" s="12"/>
      <c r="M490" s="12"/>
      <c r="N490" s="18"/>
      <c r="O490" s="12"/>
      <c r="P490" s="12"/>
      <c r="Q490" s="12"/>
      <c r="R490" s="36"/>
      <c r="S490" s="36"/>
      <c r="T490" s="12"/>
      <c r="U490" s="12"/>
      <c r="V490" s="12"/>
      <c r="W490" s="12"/>
      <c r="X490" s="12"/>
    </row>
    <row r="491" customFormat="false" ht="15.75" hidden="false" customHeight="false" outlineLevel="0" collapsed="false">
      <c r="A491" s="12"/>
      <c r="B491" s="34"/>
      <c r="C491" s="12"/>
      <c r="D491" s="12"/>
      <c r="E491" s="12"/>
      <c r="F491" s="12"/>
      <c r="G491" s="18"/>
      <c r="H491" s="35"/>
      <c r="I491" s="12"/>
      <c r="M491" s="12"/>
      <c r="N491" s="18"/>
      <c r="O491" s="12"/>
      <c r="P491" s="12"/>
      <c r="Q491" s="12"/>
      <c r="R491" s="36"/>
      <c r="S491" s="36"/>
      <c r="T491" s="12"/>
      <c r="U491" s="12"/>
      <c r="V491" s="12"/>
      <c r="W491" s="12"/>
      <c r="X491" s="12"/>
    </row>
    <row r="492" customFormat="false" ht="15.75" hidden="false" customHeight="false" outlineLevel="0" collapsed="false">
      <c r="A492" s="12"/>
      <c r="B492" s="34"/>
      <c r="C492" s="12"/>
      <c r="D492" s="12"/>
      <c r="E492" s="12"/>
      <c r="F492" s="12"/>
      <c r="G492" s="18"/>
      <c r="H492" s="35"/>
      <c r="I492" s="12"/>
      <c r="M492" s="12"/>
      <c r="N492" s="18"/>
      <c r="O492" s="12"/>
      <c r="P492" s="12"/>
      <c r="Q492" s="12"/>
      <c r="R492" s="36"/>
      <c r="S492" s="36"/>
      <c r="T492" s="12"/>
      <c r="U492" s="12"/>
      <c r="V492" s="12"/>
      <c r="W492" s="12"/>
      <c r="X492" s="12"/>
    </row>
    <row r="493" customFormat="false" ht="15.75" hidden="false" customHeight="false" outlineLevel="0" collapsed="false">
      <c r="A493" s="12"/>
      <c r="B493" s="34"/>
      <c r="C493" s="12"/>
      <c r="D493" s="12"/>
      <c r="E493" s="12"/>
      <c r="F493" s="12"/>
      <c r="G493" s="18"/>
      <c r="H493" s="35"/>
      <c r="I493" s="12"/>
      <c r="M493" s="12"/>
      <c r="N493" s="18"/>
      <c r="O493" s="12"/>
      <c r="P493" s="12"/>
      <c r="Q493" s="12"/>
      <c r="R493" s="36"/>
      <c r="S493" s="36"/>
      <c r="T493" s="12"/>
      <c r="U493" s="12"/>
      <c r="V493" s="12"/>
      <c r="W493" s="12"/>
      <c r="X493" s="12"/>
    </row>
    <row r="494" customFormat="false" ht="15.75" hidden="false" customHeight="false" outlineLevel="0" collapsed="false">
      <c r="A494" s="12"/>
      <c r="B494" s="34"/>
      <c r="C494" s="12"/>
      <c r="D494" s="12"/>
      <c r="E494" s="12"/>
      <c r="F494" s="12"/>
      <c r="G494" s="18"/>
      <c r="H494" s="35"/>
      <c r="I494" s="12"/>
      <c r="M494" s="12"/>
      <c r="N494" s="18"/>
      <c r="O494" s="12"/>
      <c r="P494" s="12"/>
      <c r="Q494" s="12"/>
      <c r="R494" s="36"/>
      <c r="S494" s="36"/>
      <c r="T494" s="12"/>
      <c r="U494" s="12"/>
      <c r="V494" s="12"/>
      <c r="W494" s="12"/>
      <c r="X494" s="12"/>
    </row>
    <row r="495" customFormat="false" ht="15.75" hidden="false" customHeight="false" outlineLevel="0" collapsed="false">
      <c r="A495" s="12"/>
      <c r="B495" s="34"/>
      <c r="C495" s="12"/>
      <c r="D495" s="12"/>
      <c r="E495" s="12"/>
      <c r="F495" s="12"/>
      <c r="G495" s="18"/>
      <c r="H495" s="35"/>
      <c r="I495" s="12"/>
      <c r="M495" s="12"/>
      <c r="N495" s="18"/>
      <c r="O495" s="12"/>
      <c r="P495" s="12"/>
      <c r="Q495" s="12"/>
      <c r="R495" s="36"/>
      <c r="S495" s="36"/>
      <c r="T495" s="12"/>
      <c r="U495" s="12"/>
      <c r="V495" s="12"/>
      <c r="W495" s="12"/>
      <c r="X495" s="12"/>
    </row>
    <row r="496" customFormat="false" ht="15.75" hidden="false" customHeight="false" outlineLevel="0" collapsed="false">
      <c r="A496" s="12"/>
      <c r="B496" s="34"/>
      <c r="C496" s="12"/>
      <c r="D496" s="12"/>
      <c r="E496" s="12"/>
      <c r="F496" s="12"/>
      <c r="G496" s="18"/>
      <c r="H496" s="35"/>
      <c r="I496" s="12"/>
      <c r="M496" s="12"/>
      <c r="N496" s="18"/>
      <c r="O496" s="12"/>
      <c r="P496" s="12"/>
      <c r="Q496" s="12"/>
      <c r="R496" s="36"/>
      <c r="S496" s="36"/>
      <c r="T496" s="12"/>
      <c r="U496" s="12"/>
      <c r="V496" s="12"/>
      <c r="W496" s="12"/>
      <c r="X496" s="12"/>
    </row>
    <row r="497" customFormat="false" ht="15.75" hidden="false" customHeight="false" outlineLevel="0" collapsed="false">
      <c r="A497" s="12"/>
      <c r="B497" s="34"/>
      <c r="C497" s="12"/>
      <c r="D497" s="12"/>
      <c r="E497" s="12"/>
      <c r="F497" s="12"/>
      <c r="G497" s="18"/>
      <c r="H497" s="35"/>
      <c r="I497" s="12"/>
      <c r="M497" s="12"/>
      <c r="N497" s="18"/>
      <c r="O497" s="12"/>
      <c r="P497" s="12"/>
      <c r="Q497" s="12"/>
      <c r="R497" s="36"/>
      <c r="S497" s="36"/>
      <c r="T497" s="12"/>
      <c r="U497" s="12"/>
      <c r="V497" s="12"/>
      <c r="W497" s="12"/>
      <c r="X497" s="12"/>
    </row>
    <row r="498" customFormat="false" ht="15.75" hidden="false" customHeight="false" outlineLevel="0" collapsed="false">
      <c r="A498" s="12"/>
      <c r="B498" s="34"/>
      <c r="C498" s="12"/>
      <c r="D498" s="12"/>
      <c r="E498" s="12"/>
      <c r="F498" s="12"/>
      <c r="G498" s="18"/>
      <c r="H498" s="35"/>
      <c r="I498" s="12"/>
      <c r="M498" s="12"/>
      <c r="N498" s="18"/>
      <c r="O498" s="12"/>
      <c r="P498" s="12"/>
      <c r="Q498" s="12"/>
      <c r="R498" s="36"/>
      <c r="S498" s="36"/>
      <c r="T498" s="12"/>
      <c r="U498" s="12"/>
      <c r="V498" s="12"/>
      <c r="W498" s="12"/>
      <c r="X498" s="12"/>
    </row>
    <row r="499" customFormat="false" ht="15.75" hidden="false" customHeight="false" outlineLevel="0" collapsed="false">
      <c r="A499" s="12"/>
      <c r="B499" s="34"/>
      <c r="C499" s="12"/>
      <c r="D499" s="12"/>
      <c r="E499" s="12"/>
      <c r="F499" s="12"/>
      <c r="G499" s="18"/>
      <c r="H499" s="35"/>
      <c r="I499" s="12"/>
      <c r="M499" s="12"/>
      <c r="N499" s="18"/>
      <c r="O499" s="12"/>
      <c r="P499" s="12"/>
      <c r="Q499" s="12"/>
      <c r="R499" s="36"/>
      <c r="S499" s="36"/>
      <c r="T499" s="12"/>
      <c r="U499" s="12"/>
      <c r="V499" s="12"/>
      <c r="W499" s="12"/>
      <c r="X499" s="12"/>
    </row>
    <row r="500" customFormat="false" ht="15.75" hidden="false" customHeight="false" outlineLevel="0" collapsed="false">
      <c r="A500" s="12"/>
      <c r="B500" s="34"/>
      <c r="C500" s="12"/>
      <c r="D500" s="12"/>
      <c r="E500" s="12"/>
      <c r="F500" s="12"/>
      <c r="G500" s="18"/>
      <c r="H500" s="35"/>
      <c r="I500" s="12"/>
      <c r="M500" s="12"/>
      <c r="N500" s="18"/>
      <c r="O500" s="12"/>
      <c r="P500" s="12"/>
      <c r="Q500" s="12"/>
      <c r="R500" s="36"/>
      <c r="S500" s="36"/>
      <c r="T500" s="12"/>
      <c r="U500" s="12"/>
      <c r="V500" s="12"/>
      <c r="W500" s="12"/>
      <c r="X500" s="12"/>
    </row>
    <row r="501" customFormat="false" ht="15.75" hidden="false" customHeight="false" outlineLevel="0" collapsed="false">
      <c r="A501" s="12"/>
      <c r="B501" s="34"/>
      <c r="C501" s="12"/>
      <c r="D501" s="12"/>
      <c r="E501" s="12"/>
      <c r="F501" s="12"/>
      <c r="G501" s="18"/>
      <c r="H501" s="35"/>
      <c r="I501" s="12"/>
      <c r="M501" s="12"/>
      <c r="N501" s="18"/>
      <c r="O501" s="12"/>
      <c r="P501" s="12"/>
      <c r="Q501" s="12"/>
      <c r="R501" s="36"/>
      <c r="S501" s="36"/>
      <c r="T501" s="12"/>
      <c r="U501" s="12"/>
      <c r="V501" s="12"/>
      <c r="W501" s="12"/>
      <c r="X501" s="12"/>
    </row>
    <row r="502" customFormat="false" ht="15.75" hidden="false" customHeight="false" outlineLevel="0" collapsed="false">
      <c r="A502" s="12"/>
      <c r="B502" s="34"/>
      <c r="C502" s="12"/>
      <c r="D502" s="12"/>
      <c r="E502" s="12"/>
      <c r="F502" s="12"/>
      <c r="G502" s="18"/>
      <c r="H502" s="35"/>
      <c r="I502" s="12"/>
      <c r="M502" s="12"/>
      <c r="N502" s="18"/>
      <c r="O502" s="12"/>
      <c r="P502" s="12"/>
      <c r="Q502" s="12"/>
      <c r="R502" s="36"/>
      <c r="S502" s="36"/>
      <c r="T502" s="12"/>
      <c r="U502" s="12"/>
      <c r="V502" s="12"/>
      <c r="W502" s="12"/>
      <c r="X502" s="12"/>
    </row>
    <row r="503" customFormat="false" ht="15.75" hidden="false" customHeight="false" outlineLevel="0" collapsed="false">
      <c r="A503" s="12"/>
      <c r="B503" s="34"/>
      <c r="C503" s="12"/>
      <c r="D503" s="12"/>
      <c r="E503" s="12"/>
      <c r="F503" s="12"/>
      <c r="G503" s="18"/>
      <c r="H503" s="35"/>
      <c r="I503" s="12"/>
      <c r="M503" s="12"/>
      <c r="N503" s="18"/>
      <c r="O503" s="12"/>
      <c r="P503" s="12"/>
      <c r="Q503" s="12"/>
      <c r="R503" s="36"/>
      <c r="S503" s="36"/>
      <c r="T503" s="12"/>
      <c r="U503" s="12"/>
      <c r="V503" s="12"/>
      <c r="W503" s="12"/>
      <c r="X503" s="12"/>
    </row>
    <row r="504" customFormat="false" ht="15.75" hidden="false" customHeight="false" outlineLevel="0" collapsed="false">
      <c r="A504" s="12"/>
      <c r="B504" s="34"/>
      <c r="C504" s="12"/>
      <c r="D504" s="12"/>
      <c r="E504" s="12"/>
      <c r="F504" s="12"/>
      <c r="G504" s="18"/>
      <c r="H504" s="35"/>
      <c r="I504" s="12"/>
      <c r="M504" s="12"/>
      <c r="N504" s="18"/>
      <c r="O504" s="12"/>
      <c r="P504" s="12"/>
      <c r="Q504" s="12"/>
      <c r="R504" s="36"/>
      <c r="S504" s="36"/>
      <c r="T504" s="12"/>
      <c r="U504" s="12"/>
      <c r="V504" s="12"/>
      <c r="W504" s="12"/>
      <c r="X504" s="12"/>
    </row>
    <row r="505" customFormat="false" ht="15.75" hidden="false" customHeight="false" outlineLevel="0" collapsed="false">
      <c r="A505" s="12"/>
      <c r="B505" s="34"/>
      <c r="C505" s="12"/>
      <c r="D505" s="12"/>
      <c r="E505" s="12"/>
      <c r="F505" s="12"/>
      <c r="G505" s="18"/>
      <c r="H505" s="35"/>
      <c r="I505" s="12"/>
      <c r="M505" s="12"/>
      <c r="N505" s="18"/>
      <c r="O505" s="12"/>
      <c r="P505" s="12"/>
      <c r="Q505" s="12"/>
      <c r="R505" s="36"/>
      <c r="S505" s="36"/>
      <c r="T505" s="12"/>
      <c r="U505" s="12"/>
      <c r="V505" s="12"/>
      <c r="W505" s="12"/>
      <c r="X505" s="12"/>
    </row>
    <row r="506" customFormat="false" ht="15.75" hidden="false" customHeight="false" outlineLevel="0" collapsed="false">
      <c r="A506" s="12"/>
      <c r="B506" s="34"/>
      <c r="C506" s="12"/>
      <c r="D506" s="12"/>
      <c r="E506" s="12"/>
      <c r="F506" s="12"/>
      <c r="G506" s="18"/>
      <c r="H506" s="35"/>
      <c r="I506" s="12"/>
      <c r="M506" s="12"/>
      <c r="N506" s="18"/>
      <c r="O506" s="12"/>
      <c r="P506" s="12"/>
      <c r="Q506" s="12"/>
      <c r="R506" s="36"/>
      <c r="S506" s="36"/>
      <c r="T506" s="12"/>
      <c r="U506" s="12"/>
      <c r="V506" s="12"/>
      <c r="W506" s="12"/>
      <c r="X506" s="12"/>
    </row>
    <row r="507" customFormat="false" ht="15.75" hidden="false" customHeight="false" outlineLevel="0" collapsed="false">
      <c r="A507" s="12"/>
      <c r="B507" s="34"/>
      <c r="C507" s="12"/>
      <c r="D507" s="12"/>
      <c r="E507" s="12"/>
      <c r="F507" s="12"/>
      <c r="G507" s="18"/>
      <c r="H507" s="35"/>
      <c r="I507" s="12"/>
      <c r="M507" s="12"/>
      <c r="N507" s="18"/>
      <c r="O507" s="12"/>
      <c r="P507" s="12"/>
      <c r="Q507" s="12"/>
      <c r="R507" s="36"/>
      <c r="S507" s="36"/>
      <c r="T507" s="12"/>
      <c r="U507" s="12"/>
      <c r="V507" s="12"/>
      <c r="W507" s="12"/>
      <c r="X507" s="12"/>
    </row>
    <row r="508" customFormat="false" ht="15.75" hidden="false" customHeight="false" outlineLevel="0" collapsed="false">
      <c r="A508" s="12"/>
      <c r="B508" s="34"/>
      <c r="C508" s="12"/>
      <c r="D508" s="12"/>
      <c r="E508" s="12"/>
      <c r="F508" s="12"/>
      <c r="G508" s="18"/>
      <c r="H508" s="35"/>
      <c r="I508" s="12"/>
      <c r="M508" s="12"/>
      <c r="N508" s="18"/>
      <c r="O508" s="12"/>
      <c r="P508" s="12"/>
      <c r="Q508" s="12"/>
      <c r="R508" s="36"/>
      <c r="S508" s="36"/>
      <c r="T508" s="12"/>
      <c r="U508" s="12"/>
      <c r="V508" s="12"/>
      <c r="W508" s="12"/>
      <c r="X508" s="12"/>
    </row>
    <row r="509" customFormat="false" ht="15.75" hidden="false" customHeight="false" outlineLevel="0" collapsed="false">
      <c r="A509" s="12"/>
      <c r="B509" s="34"/>
      <c r="C509" s="12"/>
      <c r="D509" s="12"/>
      <c r="E509" s="12"/>
      <c r="F509" s="12"/>
      <c r="G509" s="18"/>
      <c r="H509" s="35"/>
      <c r="I509" s="12"/>
      <c r="M509" s="12"/>
      <c r="N509" s="18"/>
      <c r="O509" s="12"/>
      <c r="P509" s="12"/>
      <c r="Q509" s="12"/>
      <c r="R509" s="36"/>
      <c r="S509" s="36"/>
      <c r="T509" s="12"/>
      <c r="U509" s="12"/>
      <c r="V509" s="12"/>
      <c r="W509" s="12"/>
      <c r="X509" s="12"/>
    </row>
    <row r="510" customFormat="false" ht="15.75" hidden="false" customHeight="false" outlineLevel="0" collapsed="false">
      <c r="A510" s="12"/>
      <c r="B510" s="34"/>
      <c r="C510" s="12"/>
      <c r="D510" s="12"/>
      <c r="E510" s="12"/>
      <c r="F510" s="12"/>
      <c r="G510" s="18"/>
      <c r="H510" s="35"/>
      <c r="I510" s="12"/>
      <c r="M510" s="12"/>
      <c r="N510" s="18"/>
      <c r="O510" s="12"/>
      <c r="P510" s="12"/>
      <c r="Q510" s="12"/>
      <c r="R510" s="36"/>
      <c r="S510" s="36"/>
      <c r="T510" s="12"/>
      <c r="U510" s="12"/>
      <c r="V510" s="12"/>
      <c r="W510" s="12"/>
      <c r="X510" s="12"/>
    </row>
    <row r="511" customFormat="false" ht="15.75" hidden="false" customHeight="false" outlineLevel="0" collapsed="false">
      <c r="A511" s="12"/>
      <c r="B511" s="34"/>
      <c r="C511" s="12"/>
      <c r="D511" s="12"/>
      <c r="E511" s="12"/>
      <c r="F511" s="12"/>
      <c r="G511" s="18"/>
      <c r="H511" s="35"/>
      <c r="I511" s="12"/>
      <c r="M511" s="12"/>
      <c r="N511" s="18"/>
      <c r="O511" s="12"/>
      <c r="P511" s="12"/>
      <c r="Q511" s="12"/>
      <c r="R511" s="36"/>
      <c r="S511" s="36"/>
      <c r="T511" s="12"/>
      <c r="U511" s="12"/>
      <c r="V511" s="12"/>
      <c r="W511" s="12"/>
      <c r="X511" s="12"/>
    </row>
    <row r="512" customFormat="false" ht="15.75" hidden="false" customHeight="false" outlineLevel="0" collapsed="false">
      <c r="A512" s="12"/>
      <c r="B512" s="34"/>
      <c r="C512" s="12"/>
      <c r="D512" s="12"/>
      <c r="E512" s="12"/>
      <c r="F512" s="12"/>
      <c r="G512" s="18"/>
      <c r="H512" s="35"/>
      <c r="I512" s="12"/>
      <c r="M512" s="12"/>
      <c r="N512" s="18"/>
      <c r="O512" s="12"/>
      <c r="P512" s="12"/>
      <c r="Q512" s="12"/>
      <c r="R512" s="36"/>
      <c r="S512" s="36"/>
      <c r="T512" s="12"/>
      <c r="U512" s="12"/>
      <c r="V512" s="12"/>
      <c r="W512" s="12"/>
      <c r="X512" s="12"/>
    </row>
    <row r="513" customFormat="false" ht="15.75" hidden="false" customHeight="false" outlineLevel="0" collapsed="false">
      <c r="A513" s="12"/>
      <c r="B513" s="34"/>
      <c r="C513" s="12"/>
      <c r="D513" s="12"/>
      <c r="E513" s="12"/>
      <c r="F513" s="12"/>
      <c r="G513" s="18"/>
      <c r="H513" s="35"/>
      <c r="I513" s="12"/>
      <c r="M513" s="12"/>
      <c r="N513" s="18"/>
      <c r="O513" s="12"/>
      <c r="P513" s="12"/>
      <c r="Q513" s="12"/>
      <c r="R513" s="36"/>
      <c r="S513" s="36"/>
      <c r="T513" s="12"/>
      <c r="U513" s="12"/>
      <c r="V513" s="12"/>
      <c r="W513" s="12"/>
      <c r="X513" s="12"/>
    </row>
    <row r="514" customFormat="false" ht="15.75" hidden="false" customHeight="false" outlineLevel="0" collapsed="false">
      <c r="A514" s="12"/>
      <c r="B514" s="34"/>
      <c r="C514" s="12"/>
      <c r="D514" s="12"/>
      <c r="E514" s="12"/>
      <c r="F514" s="12"/>
      <c r="G514" s="18"/>
      <c r="H514" s="35"/>
      <c r="I514" s="12"/>
      <c r="M514" s="12"/>
      <c r="N514" s="18"/>
      <c r="O514" s="12"/>
      <c r="P514" s="12"/>
      <c r="Q514" s="12"/>
      <c r="R514" s="36"/>
      <c r="S514" s="36"/>
      <c r="T514" s="12"/>
      <c r="U514" s="12"/>
      <c r="V514" s="12"/>
      <c r="W514" s="12"/>
      <c r="X514" s="12"/>
    </row>
    <row r="515" customFormat="false" ht="15.75" hidden="false" customHeight="false" outlineLevel="0" collapsed="false">
      <c r="A515" s="12"/>
      <c r="B515" s="34"/>
      <c r="C515" s="12"/>
      <c r="D515" s="12"/>
      <c r="E515" s="12"/>
      <c r="F515" s="12"/>
      <c r="G515" s="18"/>
      <c r="H515" s="35"/>
      <c r="I515" s="12"/>
      <c r="M515" s="12"/>
      <c r="N515" s="18"/>
      <c r="O515" s="12"/>
      <c r="P515" s="12"/>
      <c r="Q515" s="12"/>
      <c r="R515" s="36"/>
      <c r="S515" s="36"/>
      <c r="T515" s="12"/>
      <c r="U515" s="12"/>
      <c r="V515" s="12"/>
      <c r="W515" s="12"/>
      <c r="X515" s="12"/>
    </row>
    <row r="516" customFormat="false" ht="15.75" hidden="false" customHeight="false" outlineLevel="0" collapsed="false">
      <c r="A516" s="12"/>
      <c r="B516" s="34"/>
      <c r="C516" s="12"/>
      <c r="D516" s="12"/>
      <c r="E516" s="12"/>
      <c r="F516" s="12"/>
      <c r="G516" s="18"/>
      <c r="H516" s="35"/>
      <c r="I516" s="12"/>
      <c r="M516" s="12"/>
      <c r="N516" s="18"/>
      <c r="O516" s="12"/>
      <c r="P516" s="12"/>
      <c r="Q516" s="12"/>
      <c r="R516" s="36"/>
      <c r="S516" s="36"/>
      <c r="T516" s="12"/>
      <c r="U516" s="12"/>
      <c r="V516" s="12"/>
      <c r="W516" s="12"/>
      <c r="X516" s="12"/>
    </row>
    <row r="517" customFormat="false" ht="15.75" hidden="false" customHeight="false" outlineLevel="0" collapsed="false">
      <c r="A517" s="12"/>
      <c r="B517" s="34"/>
      <c r="C517" s="12"/>
      <c r="D517" s="12"/>
      <c r="E517" s="12"/>
      <c r="F517" s="12"/>
      <c r="G517" s="18"/>
      <c r="H517" s="35"/>
      <c r="I517" s="12"/>
      <c r="M517" s="12"/>
      <c r="N517" s="18"/>
      <c r="O517" s="12"/>
      <c r="P517" s="12"/>
      <c r="Q517" s="12"/>
      <c r="R517" s="36"/>
      <c r="S517" s="36"/>
      <c r="T517" s="12"/>
      <c r="U517" s="12"/>
      <c r="V517" s="12"/>
      <c r="W517" s="12"/>
      <c r="X517" s="12"/>
    </row>
    <row r="518" customFormat="false" ht="15.75" hidden="false" customHeight="false" outlineLevel="0" collapsed="false">
      <c r="A518" s="12"/>
      <c r="B518" s="34"/>
      <c r="C518" s="12"/>
      <c r="D518" s="12"/>
      <c r="E518" s="12"/>
      <c r="F518" s="12"/>
      <c r="G518" s="18"/>
      <c r="H518" s="35"/>
      <c r="I518" s="12"/>
      <c r="M518" s="12"/>
      <c r="N518" s="18"/>
      <c r="O518" s="12"/>
      <c r="P518" s="12"/>
      <c r="Q518" s="12"/>
      <c r="R518" s="36"/>
      <c r="S518" s="36"/>
      <c r="T518" s="12"/>
      <c r="U518" s="12"/>
      <c r="V518" s="12"/>
      <c r="W518" s="12"/>
      <c r="X518" s="12"/>
    </row>
    <row r="519" customFormat="false" ht="15.75" hidden="false" customHeight="false" outlineLevel="0" collapsed="false">
      <c r="A519" s="12"/>
      <c r="B519" s="34"/>
      <c r="C519" s="12"/>
      <c r="D519" s="12"/>
      <c r="E519" s="12"/>
      <c r="F519" s="12"/>
      <c r="G519" s="18"/>
      <c r="H519" s="35"/>
      <c r="I519" s="12"/>
      <c r="M519" s="12"/>
      <c r="N519" s="18"/>
      <c r="O519" s="12"/>
      <c r="P519" s="12"/>
      <c r="Q519" s="12"/>
      <c r="R519" s="36"/>
      <c r="S519" s="36"/>
      <c r="T519" s="12"/>
      <c r="U519" s="12"/>
      <c r="V519" s="12"/>
      <c r="W519" s="12"/>
      <c r="X519" s="12"/>
    </row>
    <row r="520" customFormat="false" ht="15.75" hidden="false" customHeight="false" outlineLevel="0" collapsed="false">
      <c r="A520" s="12"/>
      <c r="B520" s="34"/>
      <c r="C520" s="12"/>
      <c r="D520" s="12"/>
      <c r="E520" s="12"/>
      <c r="F520" s="12"/>
      <c r="G520" s="18"/>
      <c r="H520" s="35"/>
      <c r="I520" s="12"/>
      <c r="M520" s="12"/>
      <c r="N520" s="18"/>
      <c r="O520" s="12"/>
      <c r="P520" s="12"/>
      <c r="Q520" s="12"/>
      <c r="R520" s="36"/>
      <c r="S520" s="36"/>
      <c r="T520" s="12"/>
      <c r="U520" s="12"/>
      <c r="V520" s="12"/>
      <c r="W520" s="12"/>
      <c r="X520" s="12"/>
    </row>
    <row r="521" customFormat="false" ht="15.75" hidden="false" customHeight="false" outlineLevel="0" collapsed="false">
      <c r="A521" s="12"/>
      <c r="B521" s="34"/>
      <c r="C521" s="12"/>
      <c r="D521" s="12"/>
      <c r="E521" s="12"/>
      <c r="F521" s="12"/>
      <c r="G521" s="18"/>
      <c r="H521" s="35"/>
      <c r="I521" s="12"/>
      <c r="M521" s="12"/>
      <c r="N521" s="18"/>
      <c r="O521" s="12"/>
      <c r="P521" s="12"/>
      <c r="Q521" s="12"/>
      <c r="R521" s="36"/>
      <c r="S521" s="36"/>
      <c r="T521" s="12"/>
      <c r="U521" s="12"/>
      <c r="V521" s="12"/>
      <c r="W521" s="12"/>
      <c r="X521" s="12"/>
    </row>
    <row r="522" customFormat="false" ht="15.75" hidden="false" customHeight="false" outlineLevel="0" collapsed="false">
      <c r="A522" s="12"/>
      <c r="B522" s="34"/>
      <c r="C522" s="12"/>
      <c r="D522" s="12"/>
      <c r="E522" s="12"/>
      <c r="F522" s="12"/>
      <c r="G522" s="18"/>
      <c r="H522" s="35"/>
      <c r="I522" s="12"/>
      <c r="M522" s="12"/>
      <c r="N522" s="18"/>
      <c r="O522" s="12"/>
      <c r="P522" s="12"/>
      <c r="Q522" s="12"/>
      <c r="R522" s="36"/>
      <c r="S522" s="36"/>
      <c r="T522" s="12"/>
      <c r="U522" s="12"/>
      <c r="V522" s="12"/>
      <c r="W522" s="12"/>
      <c r="X522" s="12"/>
    </row>
    <row r="523" customFormat="false" ht="15.75" hidden="false" customHeight="false" outlineLevel="0" collapsed="false">
      <c r="A523" s="12"/>
      <c r="B523" s="34"/>
      <c r="C523" s="12"/>
      <c r="D523" s="12"/>
      <c r="E523" s="12"/>
      <c r="F523" s="12"/>
      <c r="G523" s="18"/>
      <c r="H523" s="35"/>
      <c r="I523" s="12"/>
      <c r="M523" s="12"/>
      <c r="N523" s="18"/>
      <c r="O523" s="12"/>
      <c r="P523" s="12"/>
      <c r="Q523" s="12"/>
      <c r="R523" s="36"/>
      <c r="S523" s="36"/>
      <c r="T523" s="12"/>
      <c r="U523" s="12"/>
      <c r="V523" s="12"/>
      <c r="W523" s="12"/>
      <c r="X523" s="12"/>
    </row>
    <row r="524" customFormat="false" ht="15.75" hidden="false" customHeight="false" outlineLevel="0" collapsed="false">
      <c r="A524" s="12"/>
      <c r="B524" s="34"/>
      <c r="C524" s="12"/>
      <c r="D524" s="12"/>
      <c r="E524" s="12"/>
      <c r="F524" s="12"/>
      <c r="G524" s="18"/>
      <c r="H524" s="35"/>
      <c r="I524" s="12"/>
      <c r="M524" s="12"/>
      <c r="N524" s="18"/>
      <c r="O524" s="12"/>
      <c r="P524" s="12"/>
      <c r="Q524" s="12"/>
      <c r="R524" s="36"/>
      <c r="S524" s="36"/>
      <c r="T524" s="12"/>
      <c r="U524" s="12"/>
      <c r="V524" s="12"/>
      <c r="W524" s="12"/>
      <c r="X524" s="12"/>
    </row>
    <row r="525" customFormat="false" ht="15.75" hidden="false" customHeight="false" outlineLevel="0" collapsed="false">
      <c r="A525" s="12"/>
      <c r="B525" s="34"/>
      <c r="C525" s="12"/>
      <c r="D525" s="12"/>
      <c r="E525" s="12"/>
      <c r="F525" s="12"/>
      <c r="G525" s="18"/>
      <c r="H525" s="35"/>
      <c r="I525" s="12"/>
      <c r="M525" s="12"/>
      <c r="N525" s="18"/>
      <c r="O525" s="12"/>
      <c r="P525" s="12"/>
      <c r="Q525" s="12"/>
      <c r="R525" s="36"/>
      <c r="S525" s="36"/>
      <c r="T525" s="12"/>
      <c r="U525" s="12"/>
      <c r="V525" s="12"/>
      <c r="W525" s="12"/>
      <c r="X525" s="12"/>
    </row>
    <row r="526" customFormat="false" ht="15.75" hidden="false" customHeight="false" outlineLevel="0" collapsed="false">
      <c r="A526" s="12"/>
      <c r="B526" s="34"/>
      <c r="C526" s="12"/>
      <c r="D526" s="12"/>
      <c r="E526" s="12"/>
      <c r="F526" s="12"/>
      <c r="G526" s="18"/>
      <c r="H526" s="35"/>
      <c r="I526" s="12"/>
      <c r="M526" s="12"/>
      <c r="N526" s="18"/>
      <c r="O526" s="12"/>
      <c r="P526" s="12"/>
      <c r="Q526" s="12"/>
      <c r="R526" s="36"/>
      <c r="S526" s="36"/>
      <c r="T526" s="12"/>
      <c r="U526" s="12"/>
      <c r="V526" s="12"/>
      <c r="W526" s="12"/>
      <c r="X526" s="12"/>
    </row>
    <row r="527" customFormat="false" ht="15.75" hidden="false" customHeight="false" outlineLevel="0" collapsed="false">
      <c r="A527" s="12"/>
      <c r="B527" s="34"/>
      <c r="C527" s="12"/>
      <c r="D527" s="12"/>
      <c r="E527" s="12"/>
      <c r="F527" s="12"/>
      <c r="G527" s="18"/>
      <c r="H527" s="35"/>
      <c r="I527" s="12"/>
      <c r="M527" s="12"/>
      <c r="N527" s="18"/>
      <c r="O527" s="12"/>
      <c r="P527" s="12"/>
      <c r="Q527" s="12"/>
      <c r="R527" s="36"/>
      <c r="S527" s="36"/>
      <c r="T527" s="12"/>
      <c r="U527" s="12"/>
      <c r="V527" s="12"/>
      <c r="W527" s="12"/>
      <c r="X527" s="12"/>
    </row>
    <row r="528" customFormat="false" ht="15.75" hidden="false" customHeight="false" outlineLevel="0" collapsed="false">
      <c r="A528" s="12"/>
      <c r="B528" s="34"/>
      <c r="C528" s="12"/>
      <c r="D528" s="12"/>
      <c r="E528" s="12"/>
      <c r="F528" s="12"/>
      <c r="G528" s="18"/>
      <c r="H528" s="35"/>
      <c r="I528" s="12"/>
      <c r="M528" s="12"/>
      <c r="N528" s="18"/>
      <c r="O528" s="12"/>
      <c r="P528" s="12"/>
      <c r="Q528" s="12"/>
      <c r="R528" s="36"/>
      <c r="S528" s="36"/>
      <c r="T528" s="12"/>
      <c r="U528" s="12"/>
      <c r="V528" s="12"/>
      <c r="W528" s="12"/>
      <c r="X528" s="12"/>
    </row>
    <row r="529" customFormat="false" ht="15.75" hidden="false" customHeight="false" outlineLevel="0" collapsed="false">
      <c r="A529" s="12"/>
      <c r="B529" s="34"/>
      <c r="C529" s="12"/>
      <c r="D529" s="12"/>
      <c r="E529" s="12"/>
      <c r="F529" s="12"/>
      <c r="G529" s="18"/>
      <c r="H529" s="35"/>
      <c r="I529" s="12"/>
      <c r="M529" s="12"/>
      <c r="N529" s="18"/>
      <c r="O529" s="12"/>
      <c r="P529" s="12"/>
      <c r="Q529" s="12"/>
      <c r="R529" s="36"/>
      <c r="S529" s="36"/>
      <c r="T529" s="12"/>
      <c r="U529" s="12"/>
      <c r="V529" s="12"/>
      <c r="W529" s="12"/>
      <c r="X529" s="12"/>
    </row>
    <row r="530" customFormat="false" ht="15.75" hidden="false" customHeight="false" outlineLevel="0" collapsed="false">
      <c r="A530" s="12"/>
      <c r="B530" s="34"/>
      <c r="C530" s="12"/>
      <c r="D530" s="12"/>
      <c r="E530" s="12"/>
      <c r="F530" s="12"/>
      <c r="G530" s="18"/>
      <c r="H530" s="35"/>
      <c r="I530" s="12"/>
      <c r="M530" s="12"/>
      <c r="N530" s="18"/>
      <c r="O530" s="12"/>
      <c r="P530" s="12"/>
      <c r="Q530" s="12"/>
      <c r="R530" s="36"/>
      <c r="S530" s="36"/>
      <c r="T530" s="12"/>
      <c r="U530" s="12"/>
      <c r="V530" s="12"/>
      <c r="W530" s="12"/>
      <c r="X530" s="12"/>
    </row>
    <row r="531" customFormat="false" ht="15.75" hidden="false" customHeight="false" outlineLevel="0" collapsed="false">
      <c r="A531" s="12"/>
      <c r="B531" s="34"/>
      <c r="C531" s="12"/>
      <c r="D531" s="12"/>
      <c r="E531" s="12"/>
      <c r="F531" s="12"/>
      <c r="G531" s="18"/>
      <c r="H531" s="35"/>
      <c r="I531" s="12"/>
      <c r="M531" s="12"/>
      <c r="N531" s="18"/>
      <c r="O531" s="12"/>
      <c r="P531" s="12"/>
      <c r="Q531" s="12"/>
      <c r="R531" s="36"/>
      <c r="S531" s="36"/>
      <c r="T531" s="12"/>
      <c r="U531" s="12"/>
      <c r="V531" s="12"/>
      <c r="W531" s="12"/>
      <c r="X531" s="12"/>
    </row>
    <row r="532" customFormat="false" ht="15.75" hidden="false" customHeight="false" outlineLevel="0" collapsed="false">
      <c r="A532" s="12"/>
      <c r="B532" s="34"/>
      <c r="C532" s="12"/>
      <c r="D532" s="12"/>
      <c r="E532" s="12"/>
      <c r="F532" s="12"/>
      <c r="G532" s="18"/>
      <c r="H532" s="35"/>
      <c r="I532" s="12"/>
      <c r="M532" s="12"/>
      <c r="N532" s="18"/>
      <c r="O532" s="12"/>
      <c r="P532" s="12"/>
      <c r="Q532" s="12"/>
      <c r="R532" s="36"/>
      <c r="S532" s="36"/>
      <c r="T532" s="12"/>
      <c r="U532" s="12"/>
      <c r="V532" s="12"/>
      <c r="W532" s="12"/>
      <c r="X532" s="12"/>
    </row>
    <row r="533" customFormat="false" ht="15.75" hidden="false" customHeight="false" outlineLevel="0" collapsed="false">
      <c r="A533" s="12"/>
      <c r="B533" s="34"/>
      <c r="C533" s="12"/>
      <c r="D533" s="12"/>
      <c r="E533" s="12"/>
      <c r="F533" s="12"/>
      <c r="G533" s="18"/>
      <c r="H533" s="35"/>
      <c r="I533" s="12"/>
      <c r="M533" s="12"/>
      <c r="N533" s="18"/>
      <c r="O533" s="12"/>
      <c r="P533" s="12"/>
      <c r="Q533" s="12"/>
      <c r="R533" s="36"/>
      <c r="S533" s="36"/>
      <c r="T533" s="12"/>
      <c r="U533" s="12"/>
      <c r="V533" s="12"/>
      <c r="W533" s="12"/>
      <c r="X533" s="12"/>
    </row>
    <row r="534" customFormat="false" ht="15.75" hidden="false" customHeight="false" outlineLevel="0" collapsed="false">
      <c r="A534" s="12"/>
      <c r="B534" s="34"/>
      <c r="C534" s="12"/>
      <c r="D534" s="12"/>
      <c r="E534" s="12"/>
      <c r="F534" s="12"/>
      <c r="G534" s="18"/>
      <c r="H534" s="35"/>
      <c r="I534" s="12"/>
      <c r="M534" s="12"/>
      <c r="N534" s="18"/>
      <c r="O534" s="12"/>
      <c r="P534" s="12"/>
      <c r="Q534" s="12"/>
      <c r="R534" s="36"/>
      <c r="S534" s="36"/>
      <c r="T534" s="12"/>
      <c r="U534" s="12"/>
      <c r="V534" s="12"/>
      <c r="W534" s="12"/>
      <c r="X534" s="12"/>
    </row>
    <row r="535" customFormat="false" ht="15.75" hidden="false" customHeight="false" outlineLevel="0" collapsed="false">
      <c r="A535" s="12"/>
      <c r="B535" s="34"/>
      <c r="C535" s="12"/>
      <c r="D535" s="12"/>
      <c r="E535" s="12"/>
      <c r="F535" s="12"/>
      <c r="G535" s="18"/>
      <c r="H535" s="35"/>
      <c r="I535" s="12"/>
      <c r="M535" s="12"/>
      <c r="N535" s="18"/>
      <c r="O535" s="12"/>
      <c r="P535" s="12"/>
      <c r="Q535" s="12"/>
      <c r="R535" s="36"/>
      <c r="S535" s="36"/>
      <c r="T535" s="12"/>
      <c r="U535" s="12"/>
      <c r="V535" s="12"/>
      <c r="W535" s="12"/>
      <c r="X535" s="12"/>
    </row>
    <row r="536" customFormat="false" ht="15.75" hidden="false" customHeight="false" outlineLevel="0" collapsed="false">
      <c r="A536" s="12"/>
      <c r="B536" s="34"/>
      <c r="C536" s="12"/>
      <c r="D536" s="12"/>
      <c r="E536" s="12"/>
      <c r="F536" s="12"/>
      <c r="G536" s="18"/>
      <c r="H536" s="35"/>
      <c r="I536" s="12"/>
      <c r="M536" s="12"/>
      <c r="N536" s="18"/>
      <c r="O536" s="12"/>
      <c r="P536" s="12"/>
      <c r="Q536" s="12"/>
      <c r="R536" s="36"/>
      <c r="S536" s="36"/>
      <c r="T536" s="12"/>
      <c r="U536" s="12"/>
      <c r="V536" s="12"/>
      <c r="W536" s="12"/>
      <c r="X536" s="12"/>
    </row>
    <row r="537" customFormat="false" ht="15.75" hidden="false" customHeight="false" outlineLevel="0" collapsed="false">
      <c r="A537" s="12"/>
      <c r="B537" s="34"/>
      <c r="C537" s="12"/>
      <c r="D537" s="12"/>
      <c r="E537" s="12"/>
      <c r="F537" s="12"/>
      <c r="G537" s="18"/>
      <c r="H537" s="35"/>
      <c r="I537" s="12"/>
      <c r="M537" s="12"/>
      <c r="N537" s="18"/>
      <c r="O537" s="12"/>
      <c r="P537" s="12"/>
      <c r="Q537" s="12"/>
      <c r="R537" s="36"/>
      <c r="S537" s="36"/>
      <c r="T537" s="12"/>
      <c r="U537" s="12"/>
      <c r="V537" s="12"/>
      <c r="W537" s="12"/>
      <c r="X537" s="12"/>
    </row>
    <row r="538" customFormat="false" ht="15.75" hidden="false" customHeight="false" outlineLevel="0" collapsed="false">
      <c r="A538" s="12"/>
      <c r="B538" s="34"/>
      <c r="C538" s="12"/>
      <c r="D538" s="12"/>
      <c r="E538" s="12"/>
      <c r="F538" s="12"/>
      <c r="G538" s="18"/>
      <c r="H538" s="35"/>
      <c r="I538" s="12"/>
      <c r="M538" s="12"/>
      <c r="N538" s="18"/>
      <c r="O538" s="12"/>
      <c r="P538" s="12"/>
      <c r="Q538" s="12"/>
      <c r="R538" s="36"/>
      <c r="S538" s="36"/>
      <c r="T538" s="12"/>
      <c r="U538" s="12"/>
      <c r="V538" s="12"/>
      <c r="W538" s="12"/>
      <c r="X538" s="12"/>
    </row>
    <row r="539" customFormat="false" ht="15.75" hidden="false" customHeight="false" outlineLevel="0" collapsed="false">
      <c r="A539" s="12"/>
      <c r="B539" s="34"/>
      <c r="C539" s="12"/>
      <c r="D539" s="12"/>
      <c r="E539" s="12"/>
      <c r="F539" s="12"/>
      <c r="G539" s="18"/>
      <c r="H539" s="35"/>
      <c r="I539" s="12"/>
      <c r="M539" s="12"/>
      <c r="N539" s="18"/>
      <c r="O539" s="12"/>
      <c r="P539" s="12"/>
      <c r="Q539" s="12"/>
      <c r="R539" s="36"/>
      <c r="S539" s="36"/>
      <c r="T539" s="12"/>
      <c r="U539" s="12"/>
      <c r="V539" s="12"/>
      <c r="W539" s="12"/>
      <c r="X539" s="12"/>
    </row>
    <row r="540" customFormat="false" ht="15.75" hidden="false" customHeight="false" outlineLevel="0" collapsed="false">
      <c r="A540" s="12"/>
      <c r="B540" s="34"/>
      <c r="C540" s="12"/>
      <c r="D540" s="12"/>
      <c r="E540" s="12"/>
      <c r="F540" s="12"/>
      <c r="G540" s="18"/>
      <c r="H540" s="35"/>
      <c r="I540" s="12"/>
      <c r="M540" s="12"/>
      <c r="N540" s="18"/>
      <c r="O540" s="12"/>
      <c r="P540" s="12"/>
      <c r="Q540" s="12"/>
      <c r="R540" s="36"/>
      <c r="S540" s="36"/>
      <c r="T540" s="12"/>
      <c r="U540" s="12"/>
      <c r="V540" s="12"/>
      <c r="W540" s="12"/>
      <c r="X540" s="12"/>
    </row>
    <row r="541" customFormat="false" ht="15.75" hidden="false" customHeight="false" outlineLevel="0" collapsed="false">
      <c r="A541" s="12"/>
      <c r="B541" s="34"/>
      <c r="C541" s="12"/>
      <c r="D541" s="12"/>
      <c r="E541" s="12"/>
      <c r="F541" s="12"/>
      <c r="G541" s="18"/>
      <c r="H541" s="35"/>
      <c r="I541" s="12"/>
      <c r="M541" s="12"/>
      <c r="N541" s="18"/>
      <c r="O541" s="12"/>
      <c r="P541" s="12"/>
      <c r="Q541" s="12"/>
      <c r="R541" s="36"/>
      <c r="S541" s="36"/>
      <c r="T541" s="12"/>
      <c r="U541" s="12"/>
      <c r="V541" s="12"/>
      <c r="W541" s="12"/>
      <c r="X541" s="12"/>
    </row>
    <row r="542" customFormat="false" ht="15.75" hidden="false" customHeight="false" outlineLevel="0" collapsed="false">
      <c r="A542" s="12"/>
      <c r="B542" s="34"/>
      <c r="C542" s="12"/>
      <c r="D542" s="12"/>
      <c r="E542" s="12"/>
      <c r="F542" s="12"/>
      <c r="G542" s="18"/>
      <c r="H542" s="35"/>
      <c r="I542" s="12"/>
      <c r="M542" s="12"/>
      <c r="N542" s="18"/>
      <c r="O542" s="12"/>
      <c r="P542" s="12"/>
      <c r="Q542" s="12"/>
      <c r="R542" s="36"/>
      <c r="S542" s="36"/>
      <c r="T542" s="12"/>
      <c r="U542" s="12"/>
      <c r="V542" s="12"/>
      <c r="W542" s="12"/>
      <c r="X542" s="12"/>
    </row>
    <row r="543" customFormat="false" ht="15.75" hidden="false" customHeight="false" outlineLevel="0" collapsed="false">
      <c r="A543" s="12"/>
      <c r="B543" s="34"/>
      <c r="C543" s="12"/>
      <c r="D543" s="12"/>
      <c r="E543" s="12"/>
      <c r="F543" s="12"/>
      <c r="G543" s="18"/>
      <c r="H543" s="35"/>
      <c r="I543" s="12"/>
      <c r="M543" s="12"/>
      <c r="N543" s="18"/>
      <c r="O543" s="12"/>
      <c r="P543" s="12"/>
      <c r="Q543" s="12"/>
      <c r="R543" s="36"/>
      <c r="S543" s="36"/>
      <c r="T543" s="12"/>
      <c r="U543" s="12"/>
      <c r="V543" s="12"/>
      <c r="W543" s="12"/>
      <c r="X543" s="12"/>
    </row>
    <row r="544" customFormat="false" ht="15.75" hidden="false" customHeight="false" outlineLevel="0" collapsed="false">
      <c r="A544" s="12"/>
      <c r="B544" s="34"/>
      <c r="C544" s="12"/>
      <c r="D544" s="12"/>
      <c r="E544" s="12"/>
      <c r="F544" s="12"/>
      <c r="G544" s="18"/>
      <c r="H544" s="35"/>
      <c r="I544" s="12"/>
      <c r="M544" s="12"/>
      <c r="N544" s="18"/>
      <c r="O544" s="12"/>
      <c r="P544" s="12"/>
      <c r="Q544" s="12"/>
      <c r="R544" s="36"/>
      <c r="S544" s="36"/>
      <c r="T544" s="12"/>
      <c r="U544" s="12"/>
      <c r="V544" s="12"/>
      <c r="W544" s="12"/>
      <c r="X544" s="12"/>
    </row>
    <row r="545" customFormat="false" ht="15.75" hidden="false" customHeight="false" outlineLevel="0" collapsed="false">
      <c r="A545" s="12"/>
      <c r="B545" s="34"/>
      <c r="C545" s="12"/>
      <c r="D545" s="12"/>
      <c r="E545" s="12"/>
      <c r="F545" s="12"/>
      <c r="G545" s="18"/>
      <c r="H545" s="35"/>
      <c r="I545" s="12"/>
      <c r="M545" s="12"/>
      <c r="N545" s="18"/>
      <c r="O545" s="12"/>
      <c r="P545" s="12"/>
      <c r="Q545" s="12"/>
      <c r="R545" s="36"/>
      <c r="S545" s="36"/>
      <c r="T545" s="12"/>
      <c r="U545" s="12"/>
      <c r="V545" s="12"/>
      <c r="W545" s="12"/>
      <c r="X545" s="12"/>
    </row>
    <row r="546" customFormat="false" ht="15.75" hidden="false" customHeight="false" outlineLevel="0" collapsed="false">
      <c r="A546" s="12"/>
      <c r="B546" s="34"/>
      <c r="C546" s="12"/>
      <c r="D546" s="12"/>
      <c r="E546" s="12"/>
      <c r="F546" s="12"/>
      <c r="G546" s="18"/>
      <c r="H546" s="35"/>
      <c r="I546" s="12"/>
      <c r="M546" s="12"/>
      <c r="N546" s="18"/>
      <c r="O546" s="12"/>
      <c r="P546" s="12"/>
      <c r="Q546" s="12"/>
      <c r="R546" s="36"/>
      <c r="S546" s="36"/>
      <c r="T546" s="12"/>
      <c r="U546" s="12"/>
      <c r="V546" s="12"/>
      <c r="W546" s="12"/>
      <c r="X546" s="12"/>
    </row>
    <row r="547" customFormat="false" ht="15.75" hidden="false" customHeight="false" outlineLevel="0" collapsed="false">
      <c r="A547" s="12"/>
      <c r="B547" s="34"/>
      <c r="C547" s="12"/>
      <c r="D547" s="12"/>
      <c r="E547" s="12"/>
      <c r="F547" s="12"/>
      <c r="G547" s="18"/>
      <c r="H547" s="35"/>
      <c r="I547" s="12"/>
      <c r="M547" s="12"/>
      <c r="N547" s="18"/>
      <c r="O547" s="12"/>
      <c r="P547" s="12"/>
      <c r="Q547" s="12"/>
      <c r="R547" s="36"/>
      <c r="S547" s="36"/>
      <c r="T547" s="12"/>
      <c r="U547" s="12"/>
      <c r="V547" s="12"/>
      <c r="W547" s="12"/>
      <c r="X547" s="12"/>
    </row>
    <row r="548" customFormat="false" ht="15.75" hidden="false" customHeight="false" outlineLevel="0" collapsed="false">
      <c r="A548" s="12"/>
      <c r="B548" s="34"/>
      <c r="C548" s="12"/>
      <c r="D548" s="12"/>
      <c r="E548" s="12"/>
      <c r="F548" s="12"/>
      <c r="G548" s="18"/>
      <c r="H548" s="35"/>
      <c r="I548" s="12"/>
      <c r="M548" s="12"/>
      <c r="N548" s="18"/>
      <c r="O548" s="12"/>
      <c r="P548" s="12"/>
      <c r="Q548" s="12"/>
      <c r="R548" s="36"/>
      <c r="S548" s="36"/>
      <c r="T548" s="12"/>
      <c r="U548" s="12"/>
      <c r="V548" s="12"/>
      <c r="W548" s="12"/>
      <c r="X548" s="12"/>
    </row>
    <row r="549" customFormat="false" ht="15.75" hidden="false" customHeight="false" outlineLevel="0" collapsed="false">
      <c r="A549" s="12"/>
      <c r="B549" s="34"/>
      <c r="C549" s="12"/>
      <c r="D549" s="12"/>
      <c r="E549" s="12"/>
      <c r="F549" s="12"/>
      <c r="G549" s="18"/>
      <c r="H549" s="35"/>
      <c r="I549" s="12"/>
      <c r="M549" s="12"/>
      <c r="N549" s="18"/>
      <c r="O549" s="12"/>
      <c r="P549" s="12"/>
      <c r="Q549" s="12"/>
      <c r="R549" s="36"/>
      <c r="S549" s="36"/>
      <c r="T549" s="12"/>
      <c r="U549" s="12"/>
      <c r="V549" s="12"/>
      <c r="W549" s="12"/>
      <c r="X549" s="12"/>
    </row>
    <row r="550" customFormat="false" ht="15.75" hidden="false" customHeight="false" outlineLevel="0" collapsed="false">
      <c r="A550" s="12"/>
      <c r="B550" s="34"/>
      <c r="C550" s="12"/>
      <c r="D550" s="12"/>
      <c r="E550" s="12"/>
      <c r="F550" s="12"/>
      <c r="G550" s="18"/>
      <c r="H550" s="35"/>
      <c r="I550" s="12"/>
      <c r="M550" s="12"/>
      <c r="N550" s="18"/>
      <c r="O550" s="12"/>
      <c r="P550" s="12"/>
      <c r="Q550" s="12"/>
      <c r="R550" s="36"/>
      <c r="S550" s="36"/>
      <c r="T550" s="12"/>
      <c r="U550" s="12"/>
      <c r="V550" s="12"/>
      <c r="W550" s="12"/>
      <c r="X550" s="12"/>
    </row>
    <row r="551" customFormat="false" ht="15.75" hidden="false" customHeight="false" outlineLevel="0" collapsed="false">
      <c r="A551" s="12"/>
      <c r="B551" s="34"/>
      <c r="C551" s="12"/>
      <c r="D551" s="12"/>
      <c r="E551" s="12"/>
      <c r="F551" s="12"/>
      <c r="G551" s="18"/>
      <c r="H551" s="35"/>
      <c r="I551" s="12"/>
      <c r="M551" s="12"/>
      <c r="N551" s="18"/>
      <c r="O551" s="12"/>
      <c r="P551" s="12"/>
      <c r="Q551" s="12"/>
      <c r="R551" s="36"/>
      <c r="S551" s="36"/>
      <c r="T551" s="12"/>
      <c r="U551" s="12"/>
      <c r="V551" s="12"/>
      <c r="W551" s="12"/>
      <c r="X551" s="12"/>
    </row>
    <row r="552" customFormat="false" ht="15.75" hidden="false" customHeight="false" outlineLevel="0" collapsed="false">
      <c r="A552" s="12"/>
      <c r="B552" s="34"/>
      <c r="C552" s="12"/>
      <c r="D552" s="12"/>
      <c r="E552" s="12"/>
      <c r="F552" s="12"/>
      <c r="G552" s="18"/>
      <c r="H552" s="35"/>
      <c r="I552" s="12"/>
      <c r="M552" s="12"/>
      <c r="N552" s="18"/>
      <c r="O552" s="12"/>
      <c r="P552" s="12"/>
      <c r="Q552" s="12"/>
      <c r="R552" s="36"/>
      <c r="S552" s="36"/>
      <c r="T552" s="12"/>
      <c r="U552" s="12"/>
      <c r="V552" s="12"/>
      <c r="W552" s="12"/>
      <c r="X552" s="12"/>
    </row>
    <row r="553" customFormat="false" ht="15.75" hidden="false" customHeight="false" outlineLevel="0" collapsed="false">
      <c r="A553" s="12"/>
      <c r="B553" s="34"/>
      <c r="C553" s="12"/>
      <c r="D553" s="12"/>
      <c r="E553" s="12"/>
      <c r="F553" s="12"/>
      <c r="G553" s="18"/>
      <c r="H553" s="35"/>
      <c r="I553" s="12"/>
      <c r="M553" s="12"/>
      <c r="N553" s="18"/>
      <c r="O553" s="12"/>
      <c r="P553" s="12"/>
      <c r="Q553" s="12"/>
      <c r="R553" s="36"/>
      <c r="S553" s="36"/>
      <c r="T553" s="12"/>
      <c r="U553" s="12"/>
      <c r="V553" s="12"/>
      <c r="W553" s="12"/>
      <c r="X553" s="12"/>
    </row>
    <row r="554" customFormat="false" ht="15.75" hidden="false" customHeight="false" outlineLevel="0" collapsed="false">
      <c r="A554" s="12"/>
      <c r="B554" s="34"/>
      <c r="C554" s="12"/>
      <c r="D554" s="12"/>
      <c r="E554" s="12"/>
      <c r="F554" s="12"/>
      <c r="G554" s="18"/>
      <c r="H554" s="35"/>
      <c r="I554" s="12"/>
      <c r="M554" s="12"/>
      <c r="N554" s="18"/>
      <c r="O554" s="12"/>
      <c r="P554" s="12"/>
      <c r="Q554" s="12"/>
      <c r="R554" s="36"/>
      <c r="S554" s="36"/>
      <c r="T554" s="12"/>
      <c r="U554" s="12"/>
      <c r="V554" s="12"/>
      <c r="W554" s="12"/>
      <c r="X554" s="12"/>
    </row>
    <row r="555" customFormat="false" ht="15.75" hidden="false" customHeight="false" outlineLevel="0" collapsed="false">
      <c r="A555" s="12"/>
      <c r="B555" s="34"/>
      <c r="C555" s="12"/>
      <c r="D555" s="12"/>
      <c r="E555" s="12"/>
      <c r="F555" s="12"/>
      <c r="G555" s="18"/>
      <c r="H555" s="35"/>
      <c r="I555" s="12"/>
      <c r="M555" s="12"/>
      <c r="N555" s="18"/>
      <c r="O555" s="12"/>
      <c r="P555" s="12"/>
      <c r="Q555" s="12"/>
      <c r="R555" s="36"/>
      <c r="S555" s="36"/>
      <c r="T555" s="12"/>
      <c r="U555" s="12"/>
      <c r="V555" s="12"/>
      <c r="W555" s="12"/>
      <c r="X555" s="12"/>
    </row>
    <row r="556" customFormat="false" ht="15.75" hidden="false" customHeight="false" outlineLevel="0" collapsed="false">
      <c r="A556" s="12"/>
      <c r="B556" s="34"/>
      <c r="C556" s="12"/>
      <c r="D556" s="12"/>
      <c r="E556" s="12"/>
      <c r="F556" s="12"/>
      <c r="G556" s="18"/>
      <c r="H556" s="35"/>
      <c r="I556" s="12"/>
      <c r="M556" s="12"/>
      <c r="N556" s="18"/>
      <c r="O556" s="12"/>
      <c r="P556" s="12"/>
      <c r="Q556" s="12"/>
      <c r="R556" s="36"/>
      <c r="S556" s="36"/>
      <c r="T556" s="12"/>
      <c r="U556" s="12"/>
      <c r="V556" s="12"/>
      <c r="W556" s="12"/>
      <c r="X556" s="12"/>
    </row>
    <row r="557" customFormat="false" ht="15.75" hidden="false" customHeight="false" outlineLevel="0" collapsed="false">
      <c r="A557" s="12"/>
      <c r="B557" s="34"/>
      <c r="C557" s="12"/>
      <c r="D557" s="12"/>
      <c r="E557" s="12"/>
      <c r="F557" s="12"/>
      <c r="G557" s="18"/>
      <c r="H557" s="35"/>
      <c r="I557" s="12"/>
      <c r="M557" s="12"/>
      <c r="N557" s="18"/>
      <c r="O557" s="12"/>
      <c r="P557" s="12"/>
      <c r="Q557" s="12"/>
      <c r="R557" s="36"/>
      <c r="S557" s="36"/>
      <c r="T557" s="12"/>
      <c r="U557" s="12"/>
      <c r="V557" s="12"/>
      <c r="W557" s="12"/>
      <c r="X557" s="12"/>
    </row>
    <row r="558" customFormat="false" ht="15.75" hidden="false" customHeight="false" outlineLevel="0" collapsed="false">
      <c r="A558" s="12"/>
      <c r="B558" s="34"/>
      <c r="C558" s="12"/>
      <c r="D558" s="12"/>
      <c r="E558" s="12"/>
      <c r="F558" s="12"/>
      <c r="G558" s="18"/>
      <c r="H558" s="35"/>
      <c r="I558" s="12"/>
      <c r="M558" s="12"/>
      <c r="N558" s="18"/>
      <c r="O558" s="12"/>
      <c r="P558" s="12"/>
      <c r="Q558" s="12"/>
      <c r="R558" s="36"/>
      <c r="S558" s="36"/>
      <c r="T558" s="12"/>
      <c r="U558" s="12"/>
      <c r="V558" s="12"/>
      <c r="W558" s="12"/>
      <c r="X558" s="12"/>
    </row>
    <row r="559" customFormat="false" ht="15.75" hidden="false" customHeight="false" outlineLevel="0" collapsed="false">
      <c r="A559" s="12"/>
      <c r="B559" s="34"/>
      <c r="C559" s="12"/>
      <c r="D559" s="12"/>
      <c r="E559" s="12"/>
      <c r="F559" s="12"/>
      <c r="G559" s="18"/>
      <c r="H559" s="35"/>
      <c r="I559" s="12"/>
      <c r="M559" s="12"/>
      <c r="N559" s="18"/>
      <c r="O559" s="12"/>
      <c r="P559" s="12"/>
      <c r="Q559" s="12"/>
      <c r="R559" s="36"/>
      <c r="S559" s="36"/>
      <c r="T559" s="12"/>
      <c r="U559" s="12"/>
      <c r="V559" s="12"/>
      <c r="W559" s="12"/>
      <c r="X559" s="12"/>
    </row>
    <row r="560" customFormat="false" ht="15.75" hidden="false" customHeight="false" outlineLevel="0" collapsed="false">
      <c r="A560" s="12"/>
      <c r="B560" s="34"/>
      <c r="C560" s="12"/>
      <c r="D560" s="12"/>
      <c r="E560" s="12"/>
      <c r="F560" s="12"/>
      <c r="G560" s="18"/>
      <c r="H560" s="35"/>
      <c r="I560" s="12"/>
      <c r="M560" s="12"/>
      <c r="N560" s="18"/>
      <c r="O560" s="12"/>
      <c r="P560" s="12"/>
      <c r="Q560" s="12"/>
      <c r="R560" s="36"/>
      <c r="S560" s="36"/>
      <c r="T560" s="12"/>
      <c r="U560" s="12"/>
      <c r="V560" s="12"/>
      <c r="W560" s="12"/>
      <c r="X560" s="12"/>
    </row>
    <row r="561" customFormat="false" ht="15.75" hidden="false" customHeight="false" outlineLevel="0" collapsed="false">
      <c r="A561" s="12"/>
      <c r="B561" s="34"/>
      <c r="C561" s="12"/>
      <c r="D561" s="12"/>
      <c r="E561" s="12"/>
      <c r="F561" s="12"/>
      <c r="G561" s="18"/>
      <c r="H561" s="35"/>
      <c r="I561" s="12"/>
      <c r="M561" s="12"/>
      <c r="N561" s="18"/>
      <c r="O561" s="12"/>
      <c r="P561" s="12"/>
      <c r="Q561" s="12"/>
      <c r="R561" s="36"/>
      <c r="S561" s="36"/>
      <c r="T561" s="12"/>
      <c r="U561" s="12"/>
      <c r="V561" s="12"/>
      <c r="W561" s="12"/>
      <c r="X561" s="12"/>
    </row>
    <row r="562" customFormat="false" ht="15.75" hidden="false" customHeight="false" outlineLevel="0" collapsed="false">
      <c r="A562" s="12"/>
      <c r="B562" s="34"/>
      <c r="C562" s="12"/>
      <c r="D562" s="12"/>
      <c r="E562" s="12"/>
      <c r="F562" s="12"/>
      <c r="G562" s="18"/>
      <c r="H562" s="35"/>
      <c r="I562" s="12"/>
      <c r="M562" s="12"/>
      <c r="N562" s="18"/>
      <c r="O562" s="12"/>
      <c r="P562" s="12"/>
      <c r="Q562" s="12"/>
      <c r="R562" s="36"/>
      <c r="S562" s="36"/>
      <c r="T562" s="12"/>
      <c r="U562" s="12"/>
      <c r="V562" s="12"/>
      <c r="W562" s="12"/>
      <c r="X562" s="12"/>
    </row>
    <row r="563" customFormat="false" ht="15.75" hidden="false" customHeight="false" outlineLevel="0" collapsed="false">
      <c r="A563" s="12"/>
      <c r="B563" s="34"/>
      <c r="C563" s="12"/>
      <c r="D563" s="12"/>
      <c r="E563" s="12"/>
      <c r="F563" s="12"/>
      <c r="G563" s="18"/>
      <c r="H563" s="35"/>
      <c r="I563" s="12"/>
      <c r="M563" s="12"/>
      <c r="N563" s="18"/>
      <c r="O563" s="12"/>
      <c r="P563" s="12"/>
      <c r="Q563" s="12"/>
      <c r="R563" s="36"/>
      <c r="S563" s="36"/>
      <c r="T563" s="12"/>
      <c r="U563" s="12"/>
      <c r="V563" s="12"/>
      <c r="W563" s="12"/>
      <c r="X563" s="12"/>
    </row>
    <row r="564" customFormat="false" ht="15.75" hidden="false" customHeight="false" outlineLevel="0" collapsed="false">
      <c r="A564" s="12"/>
      <c r="B564" s="34"/>
      <c r="C564" s="12"/>
      <c r="D564" s="12"/>
      <c r="E564" s="12"/>
      <c r="F564" s="12"/>
      <c r="G564" s="18"/>
      <c r="H564" s="35"/>
      <c r="I564" s="12"/>
      <c r="M564" s="12"/>
      <c r="N564" s="18"/>
      <c r="O564" s="12"/>
      <c r="P564" s="12"/>
      <c r="Q564" s="12"/>
      <c r="R564" s="36"/>
      <c r="S564" s="36"/>
      <c r="T564" s="12"/>
      <c r="U564" s="12"/>
      <c r="V564" s="12"/>
      <c r="W564" s="12"/>
      <c r="X564" s="12"/>
    </row>
    <row r="565" customFormat="false" ht="15.75" hidden="false" customHeight="false" outlineLevel="0" collapsed="false">
      <c r="A565" s="12"/>
      <c r="B565" s="34"/>
      <c r="C565" s="12"/>
      <c r="D565" s="12"/>
      <c r="E565" s="12"/>
      <c r="F565" s="12"/>
      <c r="G565" s="18"/>
      <c r="H565" s="35"/>
      <c r="I565" s="12"/>
      <c r="M565" s="12"/>
      <c r="N565" s="18"/>
      <c r="O565" s="12"/>
      <c r="P565" s="12"/>
      <c r="Q565" s="12"/>
      <c r="R565" s="36"/>
      <c r="S565" s="36"/>
      <c r="T565" s="12"/>
      <c r="U565" s="12"/>
      <c r="V565" s="12"/>
      <c r="W565" s="12"/>
      <c r="X565" s="12"/>
    </row>
    <row r="566" customFormat="false" ht="15.75" hidden="false" customHeight="false" outlineLevel="0" collapsed="false">
      <c r="A566" s="12"/>
      <c r="B566" s="34"/>
      <c r="C566" s="12"/>
      <c r="D566" s="12"/>
      <c r="E566" s="12"/>
      <c r="F566" s="12"/>
      <c r="G566" s="18"/>
      <c r="H566" s="35"/>
      <c r="I566" s="12"/>
      <c r="M566" s="12"/>
      <c r="N566" s="18"/>
      <c r="O566" s="12"/>
      <c r="P566" s="12"/>
      <c r="Q566" s="12"/>
      <c r="R566" s="36"/>
      <c r="S566" s="36"/>
      <c r="T566" s="12"/>
      <c r="U566" s="12"/>
      <c r="V566" s="12"/>
      <c r="W566" s="12"/>
      <c r="X566" s="12"/>
    </row>
    <row r="567" customFormat="false" ht="15.75" hidden="false" customHeight="false" outlineLevel="0" collapsed="false">
      <c r="A567" s="12"/>
      <c r="B567" s="34"/>
      <c r="C567" s="12"/>
      <c r="D567" s="12"/>
      <c r="E567" s="12"/>
      <c r="F567" s="12"/>
      <c r="G567" s="18"/>
      <c r="H567" s="35"/>
      <c r="I567" s="12"/>
      <c r="M567" s="12"/>
      <c r="N567" s="18"/>
      <c r="O567" s="12"/>
      <c r="P567" s="12"/>
      <c r="Q567" s="12"/>
      <c r="R567" s="36"/>
      <c r="S567" s="36"/>
      <c r="T567" s="12"/>
      <c r="U567" s="12"/>
      <c r="V567" s="12"/>
      <c r="W567" s="12"/>
      <c r="X567" s="12"/>
    </row>
    <row r="568" customFormat="false" ht="15.75" hidden="false" customHeight="false" outlineLevel="0" collapsed="false">
      <c r="A568" s="12"/>
      <c r="B568" s="34"/>
      <c r="C568" s="12"/>
      <c r="D568" s="12"/>
      <c r="E568" s="12"/>
      <c r="F568" s="12"/>
      <c r="G568" s="18"/>
      <c r="H568" s="35"/>
      <c r="I568" s="12"/>
      <c r="M568" s="12"/>
      <c r="N568" s="18"/>
      <c r="O568" s="12"/>
      <c r="P568" s="12"/>
      <c r="Q568" s="12"/>
      <c r="R568" s="36"/>
      <c r="S568" s="36"/>
      <c r="T568" s="12"/>
      <c r="U568" s="12"/>
      <c r="V568" s="12"/>
      <c r="W568" s="12"/>
      <c r="X568" s="12"/>
    </row>
    <row r="569" customFormat="false" ht="15.75" hidden="false" customHeight="false" outlineLevel="0" collapsed="false">
      <c r="A569" s="12"/>
      <c r="B569" s="34"/>
      <c r="C569" s="12"/>
      <c r="D569" s="12"/>
      <c r="E569" s="12"/>
      <c r="F569" s="12"/>
      <c r="G569" s="18"/>
      <c r="H569" s="35"/>
      <c r="I569" s="12"/>
      <c r="M569" s="12"/>
      <c r="N569" s="18"/>
      <c r="O569" s="12"/>
      <c r="P569" s="12"/>
      <c r="Q569" s="12"/>
      <c r="R569" s="36"/>
      <c r="S569" s="36"/>
      <c r="T569" s="12"/>
      <c r="U569" s="12"/>
      <c r="V569" s="12"/>
      <c r="W569" s="12"/>
      <c r="X569" s="12"/>
    </row>
    <row r="570" customFormat="false" ht="15.75" hidden="false" customHeight="false" outlineLevel="0" collapsed="false">
      <c r="A570" s="12"/>
      <c r="B570" s="34"/>
      <c r="C570" s="12"/>
      <c r="D570" s="12"/>
      <c r="E570" s="12"/>
      <c r="F570" s="12"/>
      <c r="G570" s="18"/>
      <c r="H570" s="35"/>
      <c r="I570" s="12"/>
      <c r="M570" s="12"/>
      <c r="N570" s="18"/>
      <c r="O570" s="12"/>
      <c r="P570" s="12"/>
      <c r="Q570" s="12"/>
      <c r="R570" s="36"/>
      <c r="S570" s="36"/>
      <c r="T570" s="12"/>
      <c r="U570" s="12"/>
      <c r="V570" s="12"/>
      <c r="W570" s="12"/>
      <c r="X570" s="12"/>
    </row>
    <row r="571" customFormat="false" ht="15.75" hidden="false" customHeight="false" outlineLevel="0" collapsed="false">
      <c r="A571" s="12"/>
      <c r="B571" s="34"/>
      <c r="C571" s="12"/>
      <c r="D571" s="12"/>
      <c r="E571" s="12"/>
      <c r="F571" s="12"/>
      <c r="G571" s="18"/>
      <c r="H571" s="35"/>
      <c r="I571" s="12"/>
      <c r="M571" s="12"/>
      <c r="N571" s="18"/>
      <c r="O571" s="12"/>
      <c r="P571" s="12"/>
      <c r="Q571" s="12"/>
      <c r="R571" s="36"/>
      <c r="S571" s="36"/>
      <c r="T571" s="12"/>
      <c r="U571" s="12"/>
      <c r="V571" s="12"/>
      <c r="W571" s="12"/>
      <c r="X571" s="12"/>
    </row>
    <row r="572" customFormat="false" ht="15.75" hidden="false" customHeight="false" outlineLevel="0" collapsed="false">
      <c r="A572" s="12"/>
      <c r="B572" s="34"/>
      <c r="C572" s="12"/>
      <c r="D572" s="12"/>
      <c r="E572" s="12"/>
      <c r="F572" s="12"/>
      <c r="G572" s="18"/>
      <c r="H572" s="35"/>
      <c r="I572" s="12"/>
      <c r="M572" s="12"/>
      <c r="N572" s="18"/>
      <c r="O572" s="12"/>
      <c r="P572" s="12"/>
      <c r="Q572" s="12"/>
      <c r="R572" s="36"/>
      <c r="S572" s="36"/>
      <c r="T572" s="12"/>
      <c r="U572" s="12"/>
      <c r="V572" s="12"/>
      <c r="W572" s="12"/>
      <c r="X572" s="12"/>
    </row>
    <row r="573" customFormat="false" ht="15.75" hidden="false" customHeight="false" outlineLevel="0" collapsed="false">
      <c r="A573" s="12"/>
      <c r="B573" s="34"/>
      <c r="C573" s="12"/>
      <c r="D573" s="12"/>
      <c r="E573" s="12"/>
      <c r="F573" s="12"/>
      <c r="G573" s="18"/>
      <c r="H573" s="35"/>
      <c r="I573" s="12"/>
      <c r="M573" s="12"/>
      <c r="N573" s="18"/>
      <c r="O573" s="12"/>
      <c r="P573" s="12"/>
      <c r="Q573" s="12"/>
      <c r="R573" s="36"/>
      <c r="S573" s="36"/>
      <c r="T573" s="12"/>
      <c r="U573" s="12"/>
      <c r="V573" s="12"/>
      <c r="W573" s="12"/>
      <c r="X573" s="12"/>
    </row>
    <row r="574" customFormat="false" ht="15.75" hidden="false" customHeight="false" outlineLevel="0" collapsed="false">
      <c r="A574" s="12"/>
      <c r="B574" s="34"/>
      <c r="C574" s="12"/>
      <c r="D574" s="12"/>
      <c r="E574" s="12"/>
      <c r="F574" s="12"/>
      <c r="G574" s="18"/>
      <c r="H574" s="35"/>
      <c r="I574" s="12"/>
      <c r="M574" s="12"/>
      <c r="N574" s="18"/>
      <c r="O574" s="12"/>
      <c r="P574" s="12"/>
      <c r="Q574" s="12"/>
      <c r="R574" s="36"/>
      <c r="S574" s="36"/>
      <c r="T574" s="12"/>
      <c r="U574" s="12"/>
      <c r="V574" s="12"/>
      <c r="W574" s="12"/>
      <c r="X574" s="12"/>
    </row>
    <row r="575" customFormat="false" ht="15.75" hidden="false" customHeight="false" outlineLevel="0" collapsed="false">
      <c r="A575" s="12"/>
      <c r="B575" s="34"/>
      <c r="C575" s="12"/>
      <c r="D575" s="12"/>
      <c r="E575" s="12"/>
      <c r="F575" s="12"/>
      <c r="G575" s="18"/>
      <c r="H575" s="35"/>
      <c r="I575" s="12"/>
      <c r="M575" s="12"/>
      <c r="N575" s="18"/>
      <c r="O575" s="12"/>
      <c r="P575" s="12"/>
      <c r="Q575" s="12"/>
      <c r="R575" s="36"/>
      <c r="S575" s="36"/>
      <c r="T575" s="12"/>
      <c r="U575" s="12"/>
      <c r="V575" s="12"/>
      <c r="W575" s="12"/>
      <c r="X575" s="12"/>
    </row>
    <row r="576" customFormat="false" ht="15.75" hidden="false" customHeight="false" outlineLevel="0" collapsed="false">
      <c r="A576" s="12"/>
      <c r="B576" s="34"/>
      <c r="C576" s="12"/>
      <c r="D576" s="12"/>
      <c r="E576" s="12"/>
      <c r="F576" s="12"/>
      <c r="G576" s="18"/>
      <c r="H576" s="35"/>
      <c r="I576" s="12"/>
      <c r="M576" s="12"/>
      <c r="N576" s="18"/>
      <c r="O576" s="12"/>
      <c r="P576" s="12"/>
      <c r="Q576" s="12"/>
      <c r="R576" s="36"/>
      <c r="S576" s="36"/>
      <c r="T576" s="12"/>
      <c r="U576" s="12"/>
      <c r="V576" s="12"/>
      <c r="W576" s="12"/>
      <c r="X576" s="12"/>
    </row>
    <row r="577" customFormat="false" ht="15.75" hidden="false" customHeight="false" outlineLevel="0" collapsed="false">
      <c r="A577" s="12"/>
      <c r="B577" s="34"/>
      <c r="C577" s="12"/>
      <c r="D577" s="12"/>
      <c r="E577" s="12"/>
      <c r="F577" s="12"/>
      <c r="G577" s="18"/>
      <c r="H577" s="35"/>
      <c r="I577" s="12"/>
      <c r="M577" s="12"/>
      <c r="N577" s="18"/>
      <c r="O577" s="12"/>
      <c r="P577" s="12"/>
      <c r="Q577" s="12"/>
      <c r="R577" s="36"/>
      <c r="S577" s="36"/>
      <c r="T577" s="12"/>
      <c r="U577" s="12"/>
      <c r="V577" s="12"/>
      <c r="W577" s="12"/>
      <c r="X577" s="12"/>
    </row>
    <row r="578" customFormat="false" ht="15.75" hidden="false" customHeight="false" outlineLevel="0" collapsed="false">
      <c r="A578" s="12"/>
      <c r="B578" s="34"/>
      <c r="C578" s="12"/>
      <c r="D578" s="12"/>
      <c r="E578" s="12"/>
      <c r="F578" s="12"/>
      <c r="G578" s="18"/>
      <c r="H578" s="35"/>
      <c r="I578" s="12"/>
      <c r="M578" s="12"/>
      <c r="N578" s="18"/>
      <c r="O578" s="12"/>
      <c r="P578" s="12"/>
      <c r="Q578" s="12"/>
      <c r="R578" s="36"/>
      <c r="S578" s="36"/>
      <c r="T578" s="12"/>
      <c r="U578" s="12"/>
      <c r="V578" s="12"/>
      <c r="W578" s="12"/>
      <c r="X578" s="12"/>
    </row>
    <row r="579" customFormat="false" ht="15.75" hidden="false" customHeight="false" outlineLevel="0" collapsed="false">
      <c r="A579" s="12"/>
      <c r="B579" s="34"/>
      <c r="C579" s="12"/>
      <c r="D579" s="12"/>
      <c r="E579" s="12"/>
      <c r="F579" s="12"/>
      <c r="G579" s="18"/>
      <c r="H579" s="35"/>
      <c r="I579" s="12"/>
      <c r="M579" s="12"/>
      <c r="N579" s="18"/>
      <c r="O579" s="12"/>
      <c r="P579" s="12"/>
      <c r="Q579" s="12"/>
      <c r="R579" s="36"/>
      <c r="S579" s="36"/>
      <c r="T579" s="12"/>
      <c r="U579" s="12"/>
      <c r="V579" s="12"/>
      <c r="W579" s="12"/>
      <c r="X579" s="12"/>
    </row>
    <row r="580" customFormat="false" ht="15.75" hidden="false" customHeight="false" outlineLevel="0" collapsed="false">
      <c r="A580" s="12"/>
      <c r="B580" s="34"/>
      <c r="C580" s="12"/>
      <c r="D580" s="12"/>
      <c r="E580" s="12"/>
      <c r="F580" s="12"/>
      <c r="G580" s="18"/>
      <c r="H580" s="35"/>
      <c r="I580" s="12"/>
      <c r="M580" s="12"/>
      <c r="N580" s="18"/>
      <c r="O580" s="12"/>
      <c r="P580" s="12"/>
      <c r="Q580" s="12"/>
      <c r="R580" s="36"/>
      <c r="S580" s="36"/>
      <c r="T580" s="12"/>
      <c r="U580" s="12"/>
      <c r="V580" s="12"/>
      <c r="W580" s="12"/>
      <c r="X580" s="12"/>
    </row>
    <row r="581" customFormat="false" ht="15.75" hidden="false" customHeight="false" outlineLevel="0" collapsed="false">
      <c r="A581" s="12"/>
      <c r="B581" s="34"/>
      <c r="C581" s="12"/>
      <c r="D581" s="12"/>
      <c r="E581" s="12"/>
      <c r="F581" s="12"/>
      <c r="G581" s="18"/>
      <c r="H581" s="35"/>
      <c r="I581" s="12"/>
      <c r="M581" s="12"/>
      <c r="N581" s="18"/>
      <c r="O581" s="12"/>
      <c r="P581" s="12"/>
      <c r="Q581" s="12"/>
      <c r="R581" s="36"/>
      <c r="S581" s="36"/>
      <c r="T581" s="12"/>
      <c r="U581" s="12"/>
      <c r="V581" s="12"/>
      <c r="W581" s="12"/>
      <c r="X581" s="12"/>
    </row>
    <row r="582" customFormat="false" ht="15.75" hidden="false" customHeight="false" outlineLevel="0" collapsed="false">
      <c r="A582" s="12"/>
      <c r="B582" s="34"/>
      <c r="C582" s="12"/>
      <c r="D582" s="12"/>
      <c r="E582" s="12"/>
      <c r="F582" s="12"/>
      <c r="G582" s="18"/>
      <c r="H582" s="35"/>
      <c r="I582" s="12"/>
      <c r="M582" s="12"/>
      <c r="N582" s="18"/>
      <c r="O582" s="12"/>
      <c r="P582" s="12"/>
      <c r="Q582" s="12"/>
      <c r="R582" s="36"/>
      <c r="S582" s="36"/>
      <c r="T582" s="12"/>
      <c r="U582" s="12"/>
      <c r="V582" s="12"/>
      <c r="W582" s="12"/>
      <c r="X582" s="12"/>
    </row>
    <row r="583" customFormat="false" ht="15.75" hidden="false" customHeight="false" outlineLevel="0" collapsed="false">
      <c r="A583" s="12"/>
      <c r="B583" s="34"/>
      <c r="C583" s="12"/>
      <c r="D583" s="12"/>
      <c r="E583" s="12"/>
      <c r="F583" s="12"/>
      <c r="G583" s="18"/>
      <c r="H583" s="35"/>
      <c r="I583" s="12"/>
      <c r="M583" s="12"/>
      <c r="N583" s="18"/>
      <c r="O583" s="12"/>
      <c r="P583" s="12"/>
      <c r="Q583" s="12"/>
      <c r="R583" s="36"/>
      <c r="S583" s="36"/>
      <c r="T583" s="12"/>
      <c r="U583" s="12"/>
      <c r="V583" s="12"/>
      <c r="W583" s="12"/>
      <c r="X583" s="12"/>
    </row>
    <row r="584" customFormat="false" ht="15.75" hidden="false" customHeight="false" outlineLevel="0" collapsed="false">
      <c r="A584" s="12"/>
      <c r="B584" s="34"/>
      <c r="C584" s="12"/>
      <c r="D584" s="12"/>
      <c r="E584" s="12"/>
      <c r="F584" s="12"/>
      <c r="G584" s="18"/>
      <c r="H584" s="35"/>
      <c r="I584" s="12"/>
      <c r="M584" s="12"/>
      <c r="N584" s="18"/>
      <c r="O584" s="12"/>
      <c r="P584" s="12"/>
      <c r="Q584" s="12"/>
      <c r="R584" s="36"/>
      <c r="S584" s="36"/>
      <c r="T584" s="12"/>
      <c r="U584" s="12"/>
      <c r="V584" s="12"/>
      <c r="W584" s="12"/>
      <c r="X584" s="12"/>
    </row>
    <row r="585" customFormat="false" ht="15.75" hidden="false" customHeight="false" outlineLevel="0" collapsed="false">
      <c r="A585" s="12"/>
      <c r="B585" s="34"/>
      <c r="C585" s="12"/>
      <c r="D585" s="12"/>
      <c r="E585" s="12"/>
      <c r="F585" s="12"/>
      <c r="G585" s="18"/>
      <c r="H585" s="35"/>
      <c r="I585" s="12"/>
      <c r="M585" s="12"/>
      <c r="N585" s="18"/>
      <c r="O585" s="12"/>
      <c r="P585" s="12"/>
      <c r="Q585" s="12"/>
      <c r="R585" s="36"/>
      <c r="S585" s="36"/>
      <c r="T585" s="12"/>
      <c r="U585" s="12"/>
      <c r="V585" s="12"/>
      <c r="W585" s="12"/>
      <c r="X585" s="12"/>
    </row>
    <row r="586" customFormat="false" ht="15.75" hidden="false" customHeight="false" outlineLevel="0" collapsed="false">
      <c r="A586" s="12"/>
      <c r="B586" s="34"/>
      <c r="C586" s="12"/>
      <c r="D586" s="12"/>
      <c r="E586" s="12"/>
      <c r="F586" s="12"/>
      <c r="G586" s="18"/>
      <c r="H586" s="35"/>
      <c r="I586" s="12"/>
      <c r="M586" s="12"/>
      <c r="N586" s="18"/>
      <c r="O586" s="12"/>
      <c r="P586" s="12"/>
      <c r="Q586" s="12"/>
      <c r="R586" s="36"/>
      <c r="S586" s="36"/>
      <c r="T586" s="12"/>
      <c r="U586" s="12"/>
      <c r="V586" s="12"/>
      <c r="W586" s="12"/>
      <c r="X586" s="12"/>
    </row>
    <row r="587" customFormat="false" ht="15.75" hidden="false" customHeight="false" outlineLevel="0" collapsed="false">
      <c r="A587" s="12"/>
      <c r="B587" s="34"/>
      <c r="C587" s="12"/>
      <c r="D587" s="12"/>
      <c r="E587" s="12"/>
      <c r="F587" s="12"/>
      <c r="G587" s="18"/>
      <c r="H587" s="35"/>
      <c r="I587" s="12"/>
      <c r="M587" s="12"/>
      <c r="N587" s="18"/>
      <c r="O587" s="12"/>
      <c r="P587" s="12"/>
      <c r="Q587" s="12"/>
      <c r="R587" s="36"/>
      <c r="S587" s="36"/>
      <c r="T587" s="12"/>
      <c r="U587" s="12"/>
      <c r="V587" s="12"/>
      <c r="W587" s="12"/>
      <c r="X587" s="12"/>
    </row>
    <row r="588" customFormat="false" ht="15.75" hidden="false" customHeight="false" outlineLevel="0" collapsed="false">
      <c r="A588" s="12"/>
      <c r="B588" s="34"/>
      <c r="C588" s="12"/>
      <c r="D588" s="12"/>
      <c r="E588" s="12"/>
      <c r="F588" s="12"/>
      <c r="G588" s="18"/>
      <c r="H588" s="35"/>
      <c r="I588" s="12"/>
      <c r="M588" s="12"/>
      <c r="N588" s="18"/>
      <c r="O588" s="12"/>
      <c r="P588" s="12"/>
      <c r="Q588" s="12"/>
      <c r="R588" s="36"/>
      <c r="S588" s="36"/>
      <c r="T588" s="12"/>
      <c r="U588" s="12"/>
      <c r="V588" s="12"/>
      <c r="W588" s="12"/>
      <c r="X588" s="12"/>
    </row>
    <row r="589" customFormat="false" ht="15.75" hidden="false" customHeight="false" outlineLevel="0" collapsed="false">
      <c r="A589" s="12"/>
      <c r="B589" s="34"/>
      <c r="C589" s="12"/>
      <c r="D589" s="12"/>
      <c r="E589" s="12"/>
      <c r="F589" s="12"/>
      <c r="G589" s="18"/>
      <c r="H589" s="35"/>
      <c r="I589" s="12"/>
      <c r="M589" s="12"/>
      <c r="N589" s="18"/>
      <c r="O589" s="12"/>
      <c r="P589" s="12"/>
      <c r="Q589" s="12"/>
      <c r="R589" s="36"/>
      <c r="S589" s="36"/>
      <c r="T589" s="12"/>
      <c r="U589" s="12"/>
      <c r="V589" s="12"/>
      <c r="W589" s="12"/>
      <c r="X589" s="12"/>
    </row>
    <row r="590" customFormat="false" ht="15.75" hidden="false" customHeight="false" outlineLevel="0" collapsed="false">
      <c r="A590" s="12"/>
      <c r="B590" s="34"/>
      <c r="C590" s="12"/>
      <c r="D590" s="12"/>
      <c r="E590" s="12"/>
      <c r="F590" s="12"/>
      <c r="G590" s="18"/>
      <c r="H590" s="35"/>
      <c r="I590" s="12"/>
      <c r="M590" s="12"/>
      <c r="N590" s="18"/>
      <c r="O590" s="12"/>
      <c r="P590" s="12"/>
      <c r="Q590" s="12"/>
      <c r="R590" s="36"/>
      <c r="S590" s="36"/>
      <c r="T590" s="12"/>
      <c r="U590" s="12"/>
      <c r="V590" s="12"/>
      <c r="W590" s="12"/>
      <c r="X590" s="12"/>
    </row>
    <row r="591" customFormat="false" ht="15.75" hidden="false" customHeight="false" outlineLevel="0" collapsed="false">
      <c r="A591" s="12"/>
      <c r="B591" s="34"/>
      <c r="C591" s="12"/>
      <c r="D591" s="12"/>
      <c r="E591" s="12"/>
      <c r="F591" s="12"/>
      <c r="G591" s="18"/>
      <c r="H591" s="35"/>
      <c r="I591" s="12"/>
      <c r="M591" s="12"/>
      <c r="N591" s="18"/>
      <c r="O591" s="12"/>
      <c r="P591" s="12"/>
      <c r="Q591" s="12"/>
      <c r="R591" s="36"/>
      <c r="S591" s="36"/>
      <c r="T591" s="12"/>
      <c r="U591" s="12"/>
      <c r="V591" s="12"/>
      <c r="W591" s="12"/>
      <c r="X591" s="12"/>
    </row>
    <row r="592" customFormat="false" ht="15.75" hidden="false" customHeight="false" outlineLevel="0" collapsed="false">
      <c r="A592" s="12"/>
      <c r="B592" s="34"/>
      <c r="C592" s="12"/>
      <c r="D592" s="12"/>
      <c r="E592" s="12"/>
      <c r="F592" s="12"/>
      <c r="G592" s="18"/>
      <c r="H592" s="35"/>
      <c r="I592" s="12"/>
      <c r="M592" s="12"/>
      <c r="N592" s="18"/>
      <c r="O592" s="12"/>
      <c r="P592" s="12"/>
      <c r="Q592" s="12"/>
      <c r="R592" s="36"/>
      <c r="S592" s="36"/>
      <c r="T592" s="12"/>
      <c r="U592" s="12"/>
      <c r="V592" s="12"/>
      <c r="W592" s="12"/>
      <c r="X592" s="12"/>
    </row>
    <row r="593" customFormat="false" ht="15.75" hidden="false" customHeight="false" outlineLevel="0" collapsed="false">
      <c r="A593" s="12"/>
      <c r="B593" s="34"/>
      <c r="C593" s="12"/>
      <c r="D593" s="12"/>
      <c r="E593" s="12"/>
      <c r="F593" s="12"/>
      <c r="G593" s="18"/>
      <c r="H593" s="35"/>
      <c r="I593" s="12"/>
      <c r="M593" s="12"/>
      <c r="N593" s="18"/>
      <c r="O593" s="12"/>
      <c r="P593" s="12"/>
      <c r="Q593" s="12"/>
      <c r="R593" s="36"/>
      <c r="S593" s="36"/>
      <c r="T593" s="12"/>
      <c r="U593" s="12"/>
      <c r="V593" s="12"/>
      <c r="W593" s="12"/>
      <c r="X593" s="12"/>
    </row>
    <row r="594" customFormat="false" ht="15.75" hidden="false" customHeight="false" outlineLevel="0" collapsed="false">
      <c r="A594" s="12"/>
      <c r="B594" s="34"/>
      <c r="C594" s="12"/>
      <c r="D594" s="12"/>
      <c r="E594" s="12"/>
      <c r="F594" s="12"/>
      <c r="G594" s="18"/>
      <c r="H594" s="35"/>
      <c r="I594" s="12"/>
      <c r="M594" s="12"/>
      <c r="N594" s="18"/>
      <c r="O594" s="12"/>
      <c r="P594" s="12"/>
      <c r="Q594" s="12"/>
      <c r="R594" s="36"/>
      <c r="S594" s="36"/>
      <c r="T594" s="12"/>
      <c r="U594" s="12"/>
      <c r="V594" s="12"/>
      <c r="W594" s="12"/>
      <c r="X594" s="12"/>
    </row>
    <row r="595" customFormat="false" ht="15.75" hidden="false" customHeight="false" outlineLevel="0" collapsed="false">
      <c r="A595" s="12"/>
      <c r="B595" s="34"/>
      <c r="C595" s="12"/>
      <c r="D595" s="12"/>
      <c r="E595" s="12"/>
      <c r="F595" s="12"/>
      <c r="G595" s="18"/>
      <c r="H595" s="35"/>
      <c r="I595" s="12"/>
      <c r="M595" s="12"/>
      <c r="N595" s="18"/>
      <c r="O595" s="12"/>
      <c r="P595" s="12"/>
      <c r="Q595" s="12"/>
      <c r="R595" s="36"/>
      <c r="S595" s="36"/>
      <c r="T595" s="12"/>
      <c r="U595" s="12"/>
      <c r="V595" s="12"/>
      <c r="W595" s="12"/>
      <c r="X595" s="12"/>
    </row>
    <row r="596" customFormat="false" ht="15.75" hidden="false" customHeight="false" outlineLevel="0" collapsed="false">
      <c r="A596" s="12"/>
      <c r="B596" s="34"/>
      <c r="C596" s="12"/>
      <c r="D596" s="12"/>
      <c r="E596" s="12"/>
      <c r="F596" s="12"/>
      <c r="G596" s="18"/>
      <c r="H596" s="35"/>
      <c r="I596" s="12"/>
      <c r="M596" s="12"/>
      <c r="N596" s="18"/>
      <c r="O596" s="12"/>
      <c r="P596" s="12"/>
      <c r="Q596" s="12"/>
      <c r="R596" s="36"/>
      <c r="S596" s="36"/>
      <c r="T596" s="12"/>
      <c r="U596" s="12"/>
      <c r="V596" s="12"/>
      <c r="W596" s="12"/>
      <c r="X596" s="12"/>
    </row>
    <row r="597" customFormat="false" ht="15.75" hidden="false" customHeight="false" outlineLevel="0" collapsed="false">
      <c r="A597" s="12"/>
      <c r="B597" s="34"/>
      <c r="C597" s="12"/>
      <c r="D597" s="12"/>
      <c r="E597" s="12"/>
      <c r="F597" s="12"/>
      <c r="G597" s="18"/>
      <c r="H597" s="35"/>
      <c r="I597" s="12"/>
      <c r="M597" s="12"/>
      <c r="N597" s="18"/>
      <c r="O597" s="12"/>
      <c r="P597" s="12"/>
      <c r="Q597" s="12"/>
      <c r="R597" s="36"/>
      <c r="S597" s="36"/>
      <c r="T597" s="12"/>
      <c r="U597" s="12"/>
      <c r="V597" s="12"/>
      <c r="W597" s="12"/>
      <c r="X597" s="12"/>
    </row>
    <row r="598" customFormat="false" ht="15.75" hidden="false" customHeight="false" outlineLevel="0" collapsed="false">
      <c r="A598" s="12"/>
      <c r="B598" s="34"/>
      <c r="C598" s="12"/>
      <c r="D598" s="12"/>
      <c r="E598" s="12"/>
      <c r="F598" s="12"/>
      <c r="G598" s="18"/>
      <c r="H598" s="35"/>
      <c r="I598" s="12"/>
      <c r="M598" s="12"/>
      <c r="N598" s="18"/>
      <c r="O598" s="12"/>
      <c r="P598" s="12"/>
      <c r="Q598" s="12"/>
      <c r="R598" s="36"/>
      <c r="S598" s="36"/>
      <c r="T598" s="12"/>
      <c r="U598" s="12"/>
      <c r="V598" s="12"/>
      <c r="W598" s="12"/>
      <c r="X598" s="12"/>
    </row>
    <row r="599" customFormat="false" ht="15.75" hidden="false" customHeight="false" outlineLevel="0" collapsed="false">
      <c r="A599" s="12"/>
      <c r="B599" s="34"/>
      <c r="C599" s="12"/>
      <c r="D599" s="12"/>
      <c r="E599" s="12"/>
      <c r="F599" s="12"/>
      <c r="G599" s="18"/>
      <c r="H599" s="35"/>
      <c r="I599" s="12"/>
      <c r="M599" s="12"/>
      <c r="N599" s="18"/>
      <c r="O599" s="12"/>
      <c r="P599" s="12"/>
      <c r="Q599" s="12"/>
      <c r="R599" s="36"/>
      <c r="S599" s="36"/>
      <c r="T599" s="12"/>
      <c r="U599" s="12"/>
      <c r="V599" s="12"/>
      <c r="W599" s="12"/>
      <c r="X599" s="12"/>
    </row>
    <row r="600" customFormat="false" ht="15.75" hidden="false" customHeight="false" outlineLevel="0" collapsed="false">
      <c r="A600" s="12"/>
      <c r="B600" s="34"/>
      <c r="C600" s="12"/>
      <c r="D600" s="12"/>
      <c r="E600" s="12"/>
      <c r="F600" s="12"/>
      <c r="G600" s="18"/>
      <c r="H600" s="35"/>
      <c r="I600" s="12"/>
      <c r="M600" s="12"/>
      <c r="N600" s="18"/>
      <c r="O600" s="12"/>
      <c r="P600" s="12"/>
      <c r="Q600" s="12"/>
      <c r="R600" s="36"/>
      <c r="S600" s="36"/>
      <c r="T600" s="12"/>
      <c r="U600" s="12"/>
      <c r="V600" s="12"/>
      <c r="W600" s="12"/>
      <c r="X600" s="12"/>
    </row>
    <row r="601" customFormat="false" ht="15.75" hidden="false" customHeight="false" outlineLevel="0" collapsed="false">
      <c r="A601" s="12"/>
      <c r="B601" s="34"/>
      <c r="C601" s="12"/>
      <c r="D601" s="12"/>
      <c r="E601" s="12"/>
      <c r="F601" s="12"/>
      <c r="G601" s="18"/>
      <c r="H601" s="35"/>
      <c r="I601" s="12"/>
      <c r="M601" s="12"/>
      <c r="N601" s="18"/>
      <c r="O601" s="12"/>
      <c r="P601" s="12"/>
      <c r="Q601" s="12"/>
      <c r="R601" s="36"/>
      <c r="S601" s="36"/>
      <c r="T601" s="12"/>
      <c r="U601" s="12"/>
      <c r="V601" s="12"/>
      <c r="W601" s="12"/>
      <c r="X601" s="12"/>
    </row>
    <row r="602" customFormat="false" ht="15.75" hidden="false" customHeight="false" outlineLevel="0" collapsed="false">
      <c r="A602" s="12"/>
      <c r="B602" s="34"/>
      <c r="C602" s="12"/>
      <c r="D602" s="12"/>
      <c r="E602" s="12"/>
      <c r="F602" s="12"/>
      <c r="G602" s="18"/>
      <c r="H602" s="35"/>
      <c r="I602" s="12"/>
      <c r="M602" s="12"/>
      <c r="N602" s="18"/>
      <c r="O602" s="12"/>
      <c r="P602" s="12"/>
      <c r="Q602" s="12"/>
      <c r="R602" s="36"/>
      <c r="S602" s="36"/>
      <c r="T602" s="12"/>
      <c r="U602" s="12"/>
      <c r="V602" s="12"/>
      <c r="W602" s="12"/>
      <c r="X602" s="12"/>
    </row>
    <row r="603" customFormat="false" ht="15.75" hidden="false" customHeight="false" outlineLevel="0" collapsed="false">
      <c r="A603" s="12"/>
      <c r="B603" s="34"/>
      <c r="C603" s="12"/>
      <c r="D603" s="12"/>
      <c r="E603" s="12"/>
      <c r="F603" s="12"/>
      <c r="G603" s="18"/>
      <c r="H603" s="35"/>
      <c r="I603" s="12"/>
      <c r="M603" s="12"/>
      <c r="N603" s="18"/>
      <c r="O603" s="12"/>
      <c r="P603" s="12"/>
      <c r="Q603" s="12"/>
      <c r="R603" s="36"/>
      <c r="S603" s="36"/>
      <c r="T603" s="12"/>
      <c r="U603" s="12"/>
      <c r="V603" s="12"/>
      <c r="W603" s="12"/>
      <c r="X603" s="12"/>
    </row>
    <row r="604" customFormat="false" ht="15.75" hidden="false" customHeight="false" outlineLevel="0" collapsed="false">
      <c r="A604" s="12"/>
      <c r="B604" s="34"/>
      <c r="C604" s="12"/>
      <c r="D604" s="12"/>
      <c r="E604" s="12"/>
      <c r="F604" s="12"/>
      <c r="G604" s="18"/>
      <c r="H604" s="35"/>
      <c r="I604" s="12"/>
      <c r="M604" s="12"/>
      <c r="N604" s="18"/>
      <c r="O604" s="12"/>
      <c r="P604" s="12"/>
      <c r="Q604" s="12"/>
      <c r="R604" s="36"/>
      <c r="S604" s="36"/>
      <c r="T604" s="12"/>
      <c r="U604" s="12"/>
      <c r="V604" s="12"/>
      <c r="W604" s="12"/>
      <c r="X604" s="12"/>
    </row>
    <row r="605" customFormat="false" ht="15.75" hidden="false" customHeight="false" outlineLevel="0" collapsed="false">
      <c r="A605" s="12"/>
      <c r="B605" s="34"/>
      <c r="C605" s="12"/>
      <c r="D605" s="12"/>
      <c r="E605" s="12"/>
      <c r="F605" s="12"/>
      <c r="G605" s="18"/>
      <c r="H605" s="35"/>
      <c r="I605" s="12"/>
      <c r="M605" s="12"/>
      <c r="N605" s="18"/>
      <c r="O605" s="12"/>
      <c r="P605" s="12"/>
      <c r="Q605" s="12"/>
      <c r="R605" s="36"/>
      <c r="S605" s="36"/>
      <c r="T605" s="12"/>
      <c r="U605" s="12"/>
      <c r="V605" s="12"/>
      <c r="W605" s="12"/>
      <c r="X605" s="12"/>
    </row>
    <row r="606" customFormat="false" ht="15.75" hidden="false" customHeight="false" outlineLevel="0" collapsed="false">
      <c r="A606" s="12"/>
      <c r="B606" s="34"/>
      <c r="C606" s="12"/>
      <c r="D606" s="12"/>
      <c r="E606" s="12"/>
      <c r="F606" s="12"/>
      <c r="G606" s="18"/>
      <c r="H606" s="35"/>
      <c r="I606" s="12"/>
      <c r="M606" s="12"/>
      <c r="N606" s="18"/>
      <c r="O606" s="12"/>
      <c r="P606" s="12"/>
      <c r="Q606" s="12"/>
      <c r="R606" s="36"/>
      <c r="S606" s="36"/>
      <c r="T606" s="12"/>
      <c r="U606" s="12"/>
      <c r="V606" s="12"/>
      <c r="W606" s="12"/>
      <c r="X606" s="12"/>
    </row>
    <row r="607" customFormat="false" ht="15.75" hidden="false" customHeight="false" outlineLevel="0" collapsed="false">
      <c r="A607" s="12"/>
      <c r="B607" s="34"/>
      <c r="C607" s="12"/>
      <c r="D607" s="12"/>
      <c r="E607" s="12"/>
      <c r="F607" s="12"/>
      <c r="G607" s="18"/>
      <c r="H607" s="35"/>
      <c r="I607" s="12"/>
      <c r="M607" s="12"/>
      <c r="N607" s="18"/>
      <c r="O607" s="12"/>
      <c r="P607" s="12"/>
      <c r="Q607" s="12"/>
      <c r="R607" s="36"/>
      <c r="S607" s="36"/>
      <c r="T607" s="12"/>
      <c r="U607" s="12"/>
      <c r="V607" s="12"/>
      <c r="W607" s="12"/>
      <c r="X607" s="12"/>
    </row>
    <row r="608" customFormat="false" ht="15.75" hidden="false" customHeight="false" outlineLevel="0" collapsed="false">
      <c r="A608" s="12"/>
      <c r="B608" s="34"/>
      <c r="C608" s="12"/>
      <c r="D608" s="12"/>
      <c r="E608" s="12"/>
      <c r="F608" s="12"/>
      <c r="G608" s="18"/>
      <c r="H608" s="35"/>
      <c r="I608" s="12"/>
      <c r="M608" s="12"/>
      <c r="N608" s="18"/>
      <c r="O608" s="12"/>
      <c r="P608" s="12"/>
      <c r="Q608" s="12"/>
      <c r="R608" s="36"/>
      <c r="S608" s="36"/>
      <c r="T608" s="12"/>
      <c r="U608" s="12"/>
      <c r="V608" s="12"/>
      <c r="W608" s="12"/>
      <c r="X608" s="12"/>
    </row>
    <row r="609" customFormat="false" ht="15.75" hidden="false" customHeight="false" outlineLevel="0" collapsed="false">
      <c r="A609" s="12"/>
      <c r="B609" s="34"/>
      <c r="C609" s="12"/>
      <c r="D609" s="12"/>
      <c r="E609" s="12"/>
      <c r="F609" s="12"/>
      <c r="G609" s="18"/>
      <c r="H609" s="35"/>
      <c r="I609" s="12"/>
      <c r="M609" s="12"/>
      <c r="N609" s="18"/>
      <c r="O609" s="12"/>
      <c r="P609" s="12"/>
      <c r="Q609" s="12"/>
      <c r="R609" s="36"/>
      <c r="S609" s="36"/>
      <c r="T609" s="12"/>
      <c r="U609" s="12"/>
      <c r="V609" s="12"/>
      <c r="W609" s="12"/>
      <c r="X609" s="12"/>
    </row>
    <row r="610" customFormat="false" ht="15.75" hidden="false" customHeight="false" outlineLevel="0" collapsed="false">
      <c r="A610" s="12"/>
      <c r="B610" s="34"/>
      <c r="C610" s="12"/>
      <c r="D610" s="12"/>
      <c r="E610" s="12"/>
      <c r="F610" s="12"/>
      <c r="G610" s="18"/>
      <c r="H610" s="35"/>
      <c r="I610" s="12"/>
      <c r="M610" s="12"/>
      <c r="N610" s="18"/>
      <c r="O610" s="12"/>
      <c r="P610" s="12"/>
      <c r="Q610" s="12"/>
      <c r="R610" s="36"/>
      <c r="S610" s="36"/>
      <c r="T610" s="12"/>
      <c r="U610" s="12"/>
      <c r="V610" s="12"/>
      <c r="W610" s="12"/>
      <c r="X610" s="12"/>
    </row>
    <row r="611" customFormat="false" ht="15.75" hidden="false" customHeight="false" outlineLevel="0" collapsed="false">
      <c r="A611" s="12"/>
      <c r="B611" s="34"/>
      <c r="C611" s="12"/>
      <c r="D611" s="12"/>
      <c r="E611" s="12"/>
      <c r="F611" s="12"/>
      <c r="G611" s="18"/>
      <c r="H611" s="35"/>
      <c r="I611" s="12"/>
      <c r="M611" s="12"/>
      <c r="N611" s="18"/>
      <c r="O611" s="12"/>
      <c r="P611" s="12"/>
      <c r="Q611" s="12"/>
      <c r="R611" s="36"/>
      <c r="S611" s="36"/>
      <c r="T611" s="12"/>
      <c r="U611" s="12"/>
      <c r="V611" s="12"/>
      <c r="W611" s="12"/>
      <c r="X611" s="12"/>
    </row>
    <row r="612" customFormat="false" ht="15.75" hidden="false" customHeight="false" outlineLevel="0" collapsed="false">
      <c r="A612" s="12"/>
      <c r="B612" s="34"/>
      <c r="C612" s="12"/>
      <c r="D612" s="12"/>
      <c r="E612" s="12"/>
      <c r="F612" s="12"/>
      <c r="G612" s="18"/>
      <c r="H612" s="35"/>
      <c r="I612" s="12"/>
      <c r="M612" s="12"/>
      <c r="N612" s="18"/>
      <c r="O612" s="12"/>
      <c r="P612" s="12"/>
      <c r="Q612" s="12"/>
      <c r="R612" s="36"/>
      <c r="S612" s="36"/>
      <c r="T612" s="12"/>
      <c r="U612" s="12"/>
      <c r="V612" s="12"/>
      <c r="W612" s="12"/>
      <c r="X612" s="12"/>
    </row>
    <row r="613" customFormat="false" ht="15.75" hidden="false" customHeight="false" outlineLevel="0" collapsed="false">
      <c r="A613" s="12"/>
      <c r="B613" s="34"/>
      <c r="C613" s="12"/>
      <c r="D613" s="12"/>
      <c r="E613" s="12"/>
      <c r="F613" s="12"/>
      <c r="G613" s="18"/>
      <c r="H613" s="35"/>
      <c r="I613" s="12"/>
      <c r="M613" s="12"/>
      <c r="N613" s="18"/>
      <c r="O613" s="12"/>
      <c r="P613" s="12"/>
      <c r="Q613" s="12"/>
      <c r="R613" s="36"/>
      <c r="S613" s="36"/>
      <c r="T613" s="12"/>
      <c r="U613" s="12"/>
      <c r="V613" s="12"/>
      <c r="W613" s="12"/>
      <c r="X613" s="12"/>
    </row>
    <row r="614" customFormat="false" ht="15.75" hidden="false" customHeight="false" outlineLevel="0" collapsed="false">
      <c r="A614" s="12"/>
      <c r="B614" s="34"/>
      <c r="C614" s="12"/>
      <c r="D614" s="12"/>
      <c r="E614" s="12"/>
      <c r="F614" s="12"/>
      <c r="G614" s="18"/>
      <c r="H614" s="35"/>
      <c r="I614" s="12"/>
      <c r="M614" s="12"/>
      <c r="N614" s="18"/>
      <c r="O614" s="12"/>
      <c r="P614" s="12"/>
      <c r="Q614" s="12"/>
      <c r="R614" s="36"/>
      <c r="S614" s="36"/>
      <c r="T614" s="12"/>
      <c r="U614" s="12"/>
      <c r="V614" s="12"/>
      <c r="W614" s="12"/>
      <c r="X614" s="12"/>
    </row>
    <row r="615" customFormat="false" ht="15.75" hidden="false" customHeight="false" outlineLevel="0" collapsed="false">
      <c r="A615" s="12"/>
      <c r="B615" s="34"/>
      <c r="C615" s="12"/>
      <c r="D615" s="12"/>
      <c r="E615" s="12"/>
      <c r="F615" s="12"/>
      <c r="G615" s="18"/>
      <c r="H615" s="35"/>
      <c r="I615" s="12"/>
      <c r="M615" s="12"/>
      <c r="N615" s="18"/>
      <c r="O615" s="12"/>
      <c r="P615" s="12"/>
      <c r="Q615" s="12"/>
      <c r="R615" s="36"/>
      <c r="S615" s="36"/>
      <c r="T615" s="12"/>
      <c r="U615" s="12"/>
      <c r="V615" s="12"/>
      <c r="W615" s="12"/>
      <c r="X615" s="12"/>
    </row>
    <row r="616" customFormat="false" ht="15.75" hidden="false" customHeight="false" outlineLevel="0" collapsed="false">
      <c r="A616" s="12"/>
      <c r="B616" s="34"/>
      <c r="C616" s="12"/>
      <c r="D616" s="12"/>
      <c r="E616" s="12"/>
      <c r="F616" s="12"/>
      <c r="G616" s="18"/>
      <c r="H616" s="35"/>
      <c r="I616" s="12"/>
      <c r="M616" s="12"/>
      <c r="N616" s="18"/>
      <c r="O616" s="12"/>
      <c r="P616" s="12"/>
      <c r="Q616" s="12"/>
      <c r="R616" s="36"/>
      <c r="S616" s="36"/>
      <c r="T616" s="12"/>
      <c r="U616" s="12"/>
      <c r="V616" s="12"/>
      <c r="W616" s="12"/>
      <c r="X616" s="12"/>
    </row>
    <row r="617" customFormat="false" ht="15.75" hidden="false" customHeight="false" outlineLevel="0" collapsed="false">
      <c r="A617" s="12"/>
      <c r="B617" s="34"/>
      <c r="C617" s="12"/>
      <c r="D617" s="12"/>
      <c r="E617" s="12"/>
      <c r="F617" s="12"/>
      <c r="G617" s="18"/>
      <c r="H617" s="35"/>
      <c r="I617" s="12"/>
      <c r="M617" s="12"/>
      <c r="N617" s="18"/>
      <c r="O617" s="12"/>
      <c r="P617" s="12"/>
      <c r="Q617" s="12"/>
      <c r="R617" s="36"/>
      <c r="S617" s="36"/>
      <c r="T617" s="12"/>
      <c r="U617" s="12"/>
      <c r="V617" s="12"/>
      <c r="W617" s="12"/>
      <c r="X617" s="12"/>
    </row>
    <row r="618" customFormat="false" ht="15.75" hidden="false" customHeight="false" outlineLevel="0" collapsed="false">
      <c r="A618" s="12"/>
      <c r="B618" s="34"/>
      <c r="C618" s="12"/>
      <c r="D618" s="12"/>
      <c r="E618" s="12"/>
      <c r="F618" s="12"/>
      <c r="G618" s="18"/>
      <c r="H618" s="35"/>
      <c r="I618" s="12"/>
      <c r="M618" s="12"/>
      <c r="N618" s="18"/>
      <c r="O618" s="12"/>
      <c r="P618" s="12"/>
      <c r="Q618" s="12"/>
      <c r="R618" s="36"/>
      <c r="S618" s="36"/>
      <c r="T618" s="12"/>
      <c r="U618" s="12"/>
      <c r="V618" s="12"/>
      <c r="W618" s="12"/>
      <c r="X618" s="12"/>
    </row>
    <row r="619" customFormat="false" ht="15.75" hidden="false" customHeight="false" outlineLevel="0" collapsed="false">
      <c r="A619" s="12"/>
      <c r="B619" s="34"/>
      <c r="C619" s="12"/>
      <c r="D619" s="12"/>
      <c r="E619" s="12"/>
      <c r="F619" s="12"/>
      <c r="G619" s="18"/>
      <c r="H619" s="35"/>
      <c r="I619" s="12"/>
      <c r="M619" s="12"/>
      <c r="N619" s="18"/>
      <c r="O619" s="12"/>
      <c r="P619" s="12"/>
      <c r="Q619" s="12"/>
      <c r="R619" s="36"/>
      <c r="S619" s="36"/>
      <c r="T619" s="12"/>
      <c r="U619" s="12"/>
      <c r="V619" s="12"/>
      <c r="W619" s="12"/>
      <c r="X619" s="12"/>
    </row>
    <row r="620" customFormat="false" ht="15.75" hidden="false" customHeight="false" outlineLevel="0" collapsed="false">
      <c r="A620" s="12"/>
      <c r="B620" s="34"/>
      <c r="C620" s="12"/>
      <c r="D620" s="12"/>
      <c r="E620" s="12"/>
      <c r="F620" s="12"/>
      <c r="G620" s="18"/>
      <c r="H620" s="35"/>
      <c r="I620" s="12"/>
      <c r="M620" s="12"/>
      <c r="N620" s="18"/>
      <c r="O620" s="12"/>
      <c r="P620" s="12"/>
      <c r="Q620" s="12"/>
      <c r="R620" s="36"/>
      <c r="S620" s="36"/>
      <c r="T620" s="12"/>
      <c r="U620" s="12"/>
      <c r="V620" s="12"/>
      <c r="W620" s="12"/>
      <c r="X620" s="12"/>
    </row>
    <row r="621" customFormat="false" ht="15.75" hidden="false" customHeight="false" outlineLevel="0" collapsed="false">
      <c r="A621" s="12"/>
      <c r="B621" s="34"/>
      <c r="C621" s="12"/>
      <c r="D621" s="12"/>
      <c r="E621" s="12"/>
      <c r="F621" s="12"/>
      <c r="G621" s="18"/>
      <c r="H621" s="35"/>
      <c r="I621" s="12"/>
      <c r="M621" s="12"/>
      <c r="N621" s="18"/>
      <c r="O621" s="12"/>
      <c r="P621" s="12"/>
      <c r="Q621" s="12"/>
      <c r="R621" s="36"/>
      <c r="S621" s="36"/>
      <c r="T621" s="12"/>
      <c r="U621" s="12"/>
      <c r="V621" s="12"/>
      <c r="W621" s="12"/>
      <c r="X621" s="12"/>
    </row>
    <row r="622" customFormat="false" ht="15.75" hidden="false" customHeight="false" outlineLevel="0" collapsed="false">
      <c r="A622" s="12"/>
      <c r="B622" s="34"/>
      <c r="C622" s="12"/>
      <c r="D622" s="12"/>
      <c r="E622" s="12"/>
      <c r="F622" s="12"/>
      <c r="G622" s="18"/>
      <c r="H622" s="35"/>
      <c r="I622" s="12"/>
      <c r="M622" s="12"/>
      <c r="N622" s="18"/>
      <c r="O622" s="12"/>
      <c r="P622" s="12"/>
      <c r="Q622" s="12"/>
      <c r="R622" s="36"/>
      <c r="S622" s="36"/>
      <c r="T622" s="12"/>
      <c r="U622" s="12"/>
      <c r="V622" s="12"/>
      <c r="W622" s="12"/>
      <c r="X622" s="12"/>
    </row>
    <row r="623" customFormat="false" ht="15.75" hidden="false" customHeight="false" outlineLevel="0" collapsed="false">
      <c r="A623" s="12"/>
      <c r="B623" s="34"/>
      <c r="C623" s="12"/>
      <c r="D623" s="12"/>
      <c r="E623" s="12"/>
      <c r="F623" s="12"/>
      <c r="G623" s="18"/>
      <c r="H623" s="35"/>
      <c r="I623" s="12"/>
      <c r="M623" s="12"/>
      <c r="N623" s="18"/>
      <c r="O623" s="12"/>
      <c r="P623" s="12"/>
      <c r="Q623" s="12"/>
      <c r="R623" s="36"/>
      <c r="S623" s="36"/>
      <c r="T623" s="12"/>
      <c r="U623" s="12"/>
      <c r="V623" s="12"/>
      <c r="W623" s="12"/>
      <c r="X623" s="12"/>
    </row>
    <row r="624" customFormat="false" ht="15.75" hidden="false" customHeight="false" outlineLevel="0" collapsed="false">
      <c r="A624" s="12"/>
      <c r="B624" s="34"/>
      <c r="C624" s="12"/>
      <c r="D624" s="12"/>
      <c r="E624" s="12"/>
      <c r="F624" s="12"/>
      <c r="G624" s="18"/>
      <c r="H624" s="35"/>
      <c r="I624" s="12"/>
      <c r="M624" s="12"/>
      <c r="N624" s="18"/>
      <c r="O624" s="12"/>
      <c r="P624" s="12"/>
      <c r="Q624" s="12"/>
      <c r="R624" s="36"/>
      <c r="S624" s="36"/>
      <c r="T624" s="12"/>
      <c r="U624" s="12"/>
      <c r="V624" s="12"/>
      <c r="W624" s="12"/>
      <c r="X624" s="12"/>
    </row>
    <row r="625" customFormat="false" ht="15.75" hidden="false" customHeight="false" outlineLevel="0" collapsed="false">
      <c r="A625" s="12"/>
      <c r="B625" s="34"/>
      <c r="C625" s="12"/>
      <c r="D625" s="12"/>
      <c r="E625" s="12"/>
      <c r="F625" s="12"/>
      <c r="G625" s="18"/>
      <c r="H625" s="35"/>
      <c r="I625" s="12"/>
      <c r="M625" s="12"/>
      <c r="N625" s="18"/>
      <c r="O625" s="12"/>
      <c r="P625" s="12"/>
      <c r="Q625" s="12"/>
      <c r="R625" s="36"/>
      <c r="S625" s="36"/>
      <c r="T625" s="12"/>
      <c r="U625" s="12"/>
      <c r="V625" s="12"/>
      <c r="W625" s="12"/>
      <c r="X625" s="12"/>
    </row>
    <row r="626" customFormat="false" ht="15.75" hidden="false" customHeight="false" outlineLevel="0" collapsed="false">
      <c r="A626" s="12"/>
      <c r="B626" s="34"/>
      <c r="C626" s="12"/>
      <c r="D626" s="12"/>
      <c r="E626" s="12"/>
      <c r="F626" s="12"/>
      <c r="G626" s="18"/>
      <c r="H626" s="35"/>
      <c r="I626" s="12"/>
      <c r="M626" s="12"/>
      <c r="N626" s="18"/>
      <c r="O626" s="12"/>
      <c r="P626" s="12"/>
      <c r="Q626" s="12"/>
      <c r="R626" s="36"/>
      <c r="S626" s="36"/>
      <c r="T626" s="12"/>
      <c r="U626" s="12"/>
      <c r="V626" s="12"/>
      <c r="W626" s="12"/>
      <c r="X626" s="12"/>
    </row>
    <row r="627" customFormat="false" ht="15.75" hidden="false" customHeight="false" outlineLevel="0" collapsed="false">
      <c r="A627" s="12"/>
      <c r="B627" s="34"/>
      <c r="C627" s="12"/>
      <c r="D627" s="12"/>
      <c r="E627" s="12"/>
      <c r="F627" s="12"/>
      <c r="G627" s="18"/>
      <c r="H627" s="35"/>
      <c r="I627" s="12"/>
      <c r="M627" s="12"/>
      <c r="N627" s="18"/>
      <c r="O627" s="12"/>
      <c r="P627" s="12"/>
      <c r="Q627" s="12"/>
      <c r="R627" s="36"/>
      <c r="S627" s="36"/>
      <c r="T627" s="12"/>
      <c r="U627" s="12"/>
      <c r="V627" s="12"/>
      <c r="W627" s="12"/>
      <c r="X627" s="12"/>
    </row>
    <row r="628" customFormat="false" ht="15.75" hidden="false" customHeight="false" outlineLevel="0" collapsed="false">
      <c r="A628" s="12"/>
      <c r="B628" s="34"/>
      <c r="C628" s="12"/>
      <c r="D628" s="12"/>
      <c r="E628" s="12"/>
      <c r="F628" s="12"/>
      <c r="G628" s="18"/>
      <c r="H628" s="35"/>
      <c r="I628" s="12"/>
      <c r="M628" s="12"/>
      <c r="N628" s="18"/>
      <c r="O628" s="12"/>
      <c r="P628" s="12"/>
      <c r="Q628" s="12"/>
      <c r="R628" s="36"/>
      <c r="S628" s="36"/>
      <c r="T628" s="12"/>
      <c r="U628" s="12"/>
      <c r="V628" s="12"/>
      <c r="W628" s="12"/>
      <c r="X628" s="12"/>
    </row>
    <row r="629" customFormat="false" ht="15.75" hidden="false" customHeight="false" outlineLevel="0" collapsed="false">
      <c r="A629" s="12"/>
      <c r="B629" s="34"/>
      <c r="C629" s="12"/>
      <c r="D629" s="12"/>
      <c r="E629" s="12"/>
      <c r="F629" s="12"/>
      <c r="G629" s="18"/>
      <c r="H629" s="35"/>
      <c r="I629" s="12"/>
      <c r="M629" s="12"/>
      <c r="N629" s="18"/>
      <c r="O629" s="12"/>
      <c r="P629" s="12"/>
      <c r="Q629" s="12"/>
      <c r="R629" s="36"/>
      <c r="S629" s="36"/>
      <c r="T629" s="12"/>
      <c r="U629" s="12"/>
      <c r="V629" s="12"/>
      <c r="W629" s="12"/>
      <c r="X629" s="12"/>
    </row>
    <row r="630" customFormat="false" ht="15.75" hidden="false" customHeight="false" outlineLevel="0" collapsed="false">
      <c r="A630" s="12"/>
      <c r="B630" s="34"/>
      <c r="C630" s="12"/>
      <c r="D630" s="12"/>
      <c r="E630" s="12"/>
      <c r="F630" s="12"/>
      <c r="G630" s="18"/>
      <c r="H630" s="35"/>
      <c r="I630" s="12"/>
      <c r="M630" s="12"/>
      <c r="N630" s="18"/>
      <c r="O630" s="12"/>
      <c r="P630" s="12"/>
      <c r="Q630" s="12"/>
      <c r="R630" s="36"/>
      <c r="S630" s="36"/>
      <c r="T630" s="12"/>
      <c r="U630" s="12"/>
      <c r="V630" s="12"/>
      <c r="W630" s="12"/>
      <c r="X630" s="12"/>
    </row>
    <row r="631" customFormat="false" ht="15.75" hidden="false" customHeight="false" outlineLevel="0" collapsed="false">
      <c r="A631" s="12"/>
      <c r="B631" s="34"/>
      <c r="C631" s="12"/>
      <c r="D631" s="12"/>
      <c r="E631" s="12"/>
      <c r="F631" s="12"/>
      <c r="G631" s="18"/>
      <c r="H631" s="35"/>
      <c r="I631" s="12"/>
      <c r="M631" s="12"/>
      <c r="N631" s="18"/>
      <c r="O631" s="12"/>
      <c r="P631" s="12"/>
      <c r="Q631" s="12"/>
      <c r="R631" s="36"/>
      <c r="S631" s="36"/>
      <c r="T631" s="12"/>
      <c r="U631" s="12"/>
      <c r="V631" s="12"/>
      <c r="W631" s="12"/>
      <c r="X631" s="12"/>
    </row>
    <row r="632" customFormat="false" ht="15.75" hidden="false" customHeight="false" outlineLevel="0" collapsed="false">
      <c r="A632" s="12"/>
      <c r="B632" s="34"/>
      <c r="C632" s="12"/>
      <c r="D632" s="12"/>
      <c r="E632" s="12"/>
      <c r="F632" s="12"/>
      <c r="G632" s="18"/>
      <c r="H632" s="35"/>
      <c r="I632" s="12"/>
      <c r="M632" s="12"/>
      <c r="N632" s="18"/>
      <c r="O632" s="12"/>
      <c r="P632" s="12"/>
      <c r="Q632" s="12"/>
      <c r="R632" s="36"/>
      <c r="S632" s="36"/>
      <c r="T632" s="12"/>
      <c r="U632" s="12"/>
      <c r="V632" s="12"/>
      <c r="W632" s="12"/>
      <c r="X632" s="12"/>
    </row>
    <row r="633" customFormat="false" ht="15.75" hidden="false" customHeight="false" outlineLevel="0" collapsed="false">
      <c r="A633" s="12"/>
      <c r="B633" s="34"/>
      <c r="C633" s="12"/>
      <c r="D633" s="12"/>
      <c r="E633" s="12"/>
      <c r="F633" s="12"/>
      <c r="G633" s="18"/>
      <c r="H633" s="35"/>
      <c r="I633" s="12"/>
      <c r="M633" s="12"/>
      <c r="N633" s="18"/>
      <c r="O633" s="12"/>
      <c r="P633" s="12"/>
      <c r="Q633" s="12"/>
      <c r="R633" s="36"/>
      <c r="S633" s="36"/>
      <c r="T633" s="12"/>
      <c r="U633" s="12"/>
      <c r="V633" s="12"/>
      <c r="W633" s="12"/>
      <c r="X633" s="12"/>
    </row>
    <row r="634" customFormat="false" ht="15.75" hidden="false" customHeight="false" outlineLevel="0" collapsed="false">
      <c r="A634" s="12"/>
      <c r="B634" s="34"/>
      <c r="C634" s="12"/>
      <c r="D634" s="12"/>
      <c r="E634" s="12"/>
      <c r="F634" s="12"/>
      <c r="G634" s="18"/>
      <c r="H634" s="35"/>
      <c r="I634" s="12"/>
      <c r="M634" s="12"/>
      <c r="N634" s="18"/>
      <c r="O634" s="12"/>
      <c r="P634" s="12"/>
      <c r="Q634" s="12"/>
      <c r="R634" s="36"/>
      <c r="S634" s="36"/>
      <c r="T634" s="12"/>
      <c r="U634" s="12"/>
      <c r="V634" s="12"/>
      <c r="W634" s="12"/>
      <c r="X634" s="12"/>
    </row>
    <row r="635" customFormat="false" ht="15.75" hidden="false" customHeight="false" outlineLevel="0" collapsed="false">
      <c r="A635" s="12"/>
      <c r="B635" s="34"/>
      <c r="C635" s="12"/>
      <c r="D635" s="12"/>
      <c r="E635" s="12"/>
      <c r="F635" s="12"/>
      <c r="G635" s="18"/>
      <c r="H635" s="35"/>
      <c r="I635" s="12"/>
      <c r="M635" s="12"/>
      <c r="N635" s="18"/>
      <c r="O635" s="12"/>
      <c r="P635" s="12"/>
      <c r="Q635" s="12"/>
      <c r="R635" s="36"/>
      <c r="S635" s="36"/>
      <c r="T635" s="12"/>
      <c r="U635" s="12"/>
      <c r="V635" s="12"/>
      <c r="W635" s="12"/>
      <c r="X635" s="12"/>
    </row>
    <row r="636" customFormat="false" ht="15.75" hidden="false" customHeight="false" outlineLevel="0" collapsed="false">
      <c r="A636" s="12"/>
      <c r="B636" s="34"/>
      <c r="C636" s="12"/>
      <c r="D636" s="12"/>
      <c r="E636" s="12"/>
      <c r="F636" s="12"/>
      <c r="G636" s="18"/>
      <c r="H636" s="35"/>
      <c r="I636" s="12"/>
      <c r="M636" s="12"/>
      <c r="N636" s="18"/>
      <c r="O636" s="12"/>
      <c r="P636" s="12"/>
      <c r="Q636" s="12"/>
      <c r="R636" s="36"/>
      <c r="S636" s="36"/>
      <c r="T636" s="12"/>
      <c r="U636" s="12"/>
      <c r="V636" s="12"/>
      <c r="W636" s="12"/>
      <c r="X636" s="12"/>
    </row>
    <row r="637" customFormat="false" ht="15.75" hidden="false" customHeight="false" outlineLevel="0" collapsed="false">
      <c r="A637" s="12"/>
      <c r="B637" s="34"/>
      <c r="C637" s="12"/>
      <c r="D637" s="12"/>
      <c r="E637" s="12"/>
      <c r="F637" s="12"/>
      <c r="G637" s="18"/>
      <c r="H637" s="35"/>
      <c r="I637" s="12"/>
      <c r="M637" s="12"/>
      <c r="N637" s="18"/>
      <c r="O637" s="12"/>
      <c r="P637" s="12"/>
      <c r="Q637" s="12"/>
      <c r="R637" s="36"/>
      <c r="S637" s="36"/>
      <c r="T637" s="12"/>
      <c r="U637" s="12"/>
      <c r="V637" s="12"/>
      <c r="W637" s="12"/>
      <c r="X637" s="12"/>
    </row>
    <row r="638" customFormat="false" ht="15.75" hidden="false" customHeight="false" outlineLevel="0" collapsed="false">
      <c r="A638" s="12"/>
      <c r="B638" s="34"/>
      <c r="C638" s="12"/>
      <c r="D638" s="12"/>
      <c r="E638" s="12"/>
      <c r="F638" s="12"/>
      <c r="G638" s="18"/>
      <c r="H638" s="35"/>
      <c r="I638" s="12"/>
      <c r="M638" s="12"/>
      <c r="N638" s="18"/>
      <c r="O638" s="12"/>
      <c r="P638" s="12"/>
      <c r="Q638" s="12"/>
      <c r="R638" s="36"/>
      <c r="S638" s="36"/>
      <c r="T638" s="12"/>
      <c r="U638" s="12"/>
      <c r="V638" s="12"/>
      <c r="W638" s="12"/>
      <c r="X638" s="12"/>
    </row>
    <row r="639" customFormat="false" ht="15.75" hidden="false" customHeight="false" outlineLevel="0" collapsed="false">
      <c r="A639" s="12"/>
      <c r="B639" s="34"/>
      <c r="C639" s="12"/>
      <c r="D639" s="12"/>
      <c r="E639" s="12"/>
      <c r="F639" s="12"/>
      <c r="G639" s="18"/>
      <c r="H639" s="35"/>
      <c r="I639" s="12"/>
      <c r="M639" s="12"/>
      <c r="N639" s="18"/>
      <c r="O639" s="12"/>
      <c r="P639" s="12"/>
      <c r="Q639" s="12"/>
      <c r="R639" s="36"/>
      <c r="S639" s="36"/>
      <c r="T639" s="12"/>
      <c r="U639" s="12"/>
      <c r="V639" s="12"/>
      <c r="W639" s="12"/>
      <c r="X639" s="12"/>
    </row>
    <row r="640" customFormat="false" ht="15.75" hidden="false" customHeight="false" outlineLevel="0" collapsed="false">
      <c r="A640" s="12"/>
      <c r="B640" s="34"/>
      <c r="C640" s="12"/>
      <c r="D640" s="12"/>
      <c r="E640" s="12"/>
      <c r="F640" s="12"/>
      <c r="G640" s="18"/>
      <c r="H640" s="35"/>
      <c r="I640" s="12"/>
      <c r="M640" s="12"/>
      <c r="N640" s="18"/>
      <c r="O640" s="12"/>
      <c r="P640" s="12"/>
      <c r="Q640" s="12"/>
      <c r="R640" s="36"/>
      <c r="S640" s="36"/>
      <c r="T640" s="12"/>
      <c r="U640" s="12"/>
      <c r="V640" s="12"/>
      <c r="W640" s="12"/>
      <c r="X640" s="12"/>
    </row>
    <row r="641" customFormat="false" ht="15.75" hidden="false" customHeight="false" outlineLevel="0" collapsed="false">
      <c r="A641" s="12"/>
      <c r="B641" s="34"/>
      <c r="C641" s="12"/>
      <c r="D641" s="12"/>
      <c r="E641" s="12"/>
      <c r="F641" s="12"/>
      <c r="G641" s="18"/>
      <c r="H641" s="35"/>
      <c r="I641" s="12"/>
      <c r="M641" s="12"/>
      <c r="N641" s="18"/>
      <c r="O641" s="12"/>
      <c r="P641" s="12"/>
      <c r="Q641" s="12"/>
      <c r="R641" s="36"/>
      <c r="S641" s="36"/>
      <c r="T641" s="12"/>
      <c r="U641" s="12"/>
      <c r="V641" s="12"/>
      <c r="W641" s="12"/>
      <c r="X641" s="12"/>
    </row>
    <row r="642" customFormat="false" ht="15.75" hidden="false" customHeight="false" outlineLevel="0" collapsed="false">
      <c r="A642" s="12"/>
      <c r="B642" s="34"/>
      <c r="C642" s="12"/>
      <c r="D642" s="12"/>
      <c r="E642" s="12"/>
      <c r="F642" s="12"/>
      <c r="G642" s="18"/>
      <c r="H642" s="35"/>
      <c r="I642" s="12"/>
      <c r="M642" s="12"/>
      <c r="N642" s="18"/>
      <c r="O642" s="12"/>
      <c r="P642" s="12"/>
      <c r="Q642" s="12"/>
      <c r="R642" s="36"/>
      <c r="S642" s="36"/>
      <c r="T642" s="12"/>
      <c r="U642" s="12"/>
      <c r="V642" s="12"/>
      <c r="W642" s="12"/>
      <c r="X642" s="12"/>
    </row>
    <row r="643" customFormat="false" ht="15.75" hidden="false" customHeight="false" outlineLevel="0" collapsed="false">
      <c r="A643" s="12"/>
      <c r="B643" s="34"/>
      <c r="C643" s="12"/>
      <c r="D643" s="12"/>
      <c r="E643" s="12"/>
      <c r="F643" s="12"/>
      <c r="G643" s="18"/>
      <c r="H643" s="35"/>
      <c r="I643" s="12"/>
      <c r="M643" s="12"/>
      <c r="N643" s="18"/>
      <c r="O643" s="12"/>
      <c r="P643" s="12"/>
      <c r="Q643" s="12"/>
      <c r="R643" s="36"/>
      <c r="S643" s="36"/>
      <c r="T643" s="12"/>
      <c r="U643" s="12"/>
      <c r="V643" s="12"/>
      <c r="W643" s="12"/>
      <c r="X643" s="12"/>
    </row>
    <row r="644" customFormat="false" ht="15.75" hidden="false" customHeight="false" outlineLevel="0" collapsed="false">
      <c r="A644" s="12"/>
      <c r="B644" s="34"/>
      <c r="C644" s="12"/>
      <c r="D644" s="12"/>
      <c r="E644" s="12"/>
      <c r="F644" s="12"/>
      <c r="G644" s="18"/>
      <c r="H644" s="35"/>
      <c r="I644" s="12"/>
      <c r="M644" s="12"/>
      <c r="N644" s="18"/>
      <c r="O644" s="12"/>
      <c r="P644" s="12"/>
      <c r="Q644" s="12"/>
      <c r="R644" s="36"/>
      <c r="S644" s="36"/>
      <c r="T644" s="12"/>
      <c r="U644" s="12"/>
      <c r="V644" s="12"/>
      <c r="W644" s="12"/>
      <c r="X644" s="12"/>
    </row>
    <row r="645" customFormat="false" ht="15.75" hidden="false" customHeight="false" outlineLevel="0" collapsed="false">
      <c r="A645" s="12"/>
      <c r="B645" s="34"/>
      <c r="C645" s="12"/>
      <c r="D645" s="12"/>
      <c r="E645" s="12"/>
      <c r="F645" s="12"/>
      <c r="G645" s="18"/>
      <c r="H645" s="35"/>
      <c r="I645" s="12"/>
      <c r="M645" s="12"/>
      <c r="N645" s="18"/>
      <c r="O645" s="12"/>
      <c r="P645" s="12"/>
      <c r="Q645" s="12"/>
      <c r="R645" s="36"/>
      <c r="S645" s="36"/>
      <c r="T645" s="12"/>
      <c r="U645" s="12"/>
      <c r="V645" s="12"/>
      <c r="W645" s="12"/>
      <c r="X645" s="12"/>
    </row>
    <row r="646" customFormat="false" ht="15.75" hidden="false" customHeight="false" outlineLevel="0" collapsed="false">
      <c r="A646" s="12"/>
      <c r="B646" s="34"/>
      <c r="C646" s="12"/>
      <c r="D646" s="12"/>
      <c r="E646" s="12"/>
      <c r="F646" s="12"/>
      <c r="G646" s="18"/>
      <c r="H646" s="35"/>
      <c r="I646" s="12"/>
      <c r="M646" s="12"/>
      <c r="N646" s="18"/>
      <c r="O646" s="12"/>
      <c r="P646" s="12"/>
      <c r="Q646" s="12"/>
      <c r="R646" s="36"/>
      <c r="S646" s="36"/>
      <c r="T646" s="12"/>
      <c r="U646" s="12"/>
      <c r="V646" s="12"/>
      <c r="W646" s="12"/>
      <c r="X646" s="12"/>
    </row>
    <row r="647" customFormat="false" ht="15.75" hidden="false" customHeight="false" outlineLevel="0" collapsed="false">
      <c r="A647" s="12"/>
      <c r="B647" s="34"/>
      <c r="C647" s="12"/>
      <c r="D647" s="12"/>
      <c r="E647" s="12"/>
      <c r="F647" s="12"/>
      <c r="G647" s="18"/>
      <c r="H647" s="35"/>
      <c r="I647" s="12"/>
      <c r="M647" s="12"/>
      <c r="N647" s="18"/>
      <c r="O647" s="12"/>
      <c r="P647" s="12"/>
      <c r="Q647" s="12"/>
      <c r="R647" s="36"/>
      <c r="S647" s="36"/>
      <c r="T647" s="12"/>
      <c r="U647" s="12"/>
      <c r="V647" s="12"/>
      <c r="W647" s="12"/>
      <c r="X647" s="12"/>
    </row>
    <row r="648" customFormat="false" ht="15.75" hidden="false" customHeight="false" outlineLevel="0" collapsed="false">
      <c r="A648" s="12"/>
      <c r="B648" s="34"/>
      <c r="C648" s="12"/>
      <c r="D648" s="12"/>
      <c r="E648" s="12"/>
      <c r="F648" s="12"/>
      <c r="G648" s="18"/>
      <c r="H648" s="35"/>
      <c r="I648" s="12"/>
      <c r="M648" s="12"/>
      <c r="N648" s="18"/>
      <c r="O648" s="12"/>
      <c r="P648" s="12"/>
      <c r="Q648" s="12"/>
      <c r="R648" s="36"/>
      <c r="S648" s="36"/>
      <c r="T648" s="12"/>
      <c r="U648" s="12"/>
      <c r="V648" s="12"/>
      <c r="W648" s="12"/>
      <c r="X648" s="12"/>
    </row>
    <row r="649" customFormat="false" ht="15.75" hidden="false" customHeight="false" outlineLevel="0" collapsed="false">
      <c r="A649" s="12"/>
      <c r="B649" s="34"/>
      <c r="C649" s="12"/>
      <c r="D649" s="12"/>
      <c r="E649" s="12"/>
      <c r="F649" s="12"/>
      <c r="G649" s="18"/>
      <c r="H649" s="35"/>
      <c r="I649" s="12"/>
      <c r="M649" s="12"/>
      <c r="N649" s="18"/>
      <c r="O649" s="12"/>
      <c r="P649" s="12"/>
      <c r="Q649" s="12"/>
      <c r="R649" s="36"/>
      <c r="S649" s="36"/>
      <c r="T649" s="12"/>
      <c r="U649" s="12"/>
      <c r="V649" s="12"/>
      <c r="W649" s="12"/>
      <c r="X649" s="12"/>
    </row>
    <row r="650" customFormat="false" ht="15.75" hidden="false" customHeight="false" outlineLevel="0" collapsed="false">
      <c r="A650" s="12"/>
      <c r="B650" s="34"/>
      <c r="C650" s="12"/>
      <c r="D650" s="12"/>
      <c r="E650" s="12"/>
      <c r="F650" s="12"/>
      <c r="G650" s="18"/>
      <c r="H650" s="35"/>
      <c r="I650" s="12"/>
      <c r="M650" s="12"/>
      <c r="N650" s="18"/>
      <c r="O650" s="12"/>
      <c r="P650" s="12"/>
      <c r="Q650" s="12"/>
      <c r="R650" s="36"/>
      <c r="S650" s="36"/>
      <c r="T650" s="12"/>
      <c r="U650" s="12"/>
      <c r="V650" s="12"/>
      <c r="W650" s="12"/>
      <c r="X650" s="12"/>
    </row>
    <row r="651" customFormat="false" ht="15.75" hidden="false" customHeight="false" outlineLevel="0" collapsed="false">
      <c r="A651" s="12"/>
      <c r="B651" s="34"/>
      <c r="C651" s="12"/>
      <c r="D651" s="12"/>
      <c r="E651" s="12"/>
      <c r="F651" s="12"/>
      <c r="G651" s="18"/>
      <c r="H651" s="35"/>
      <c r="I651" s="12"/>
      <c r="M651" s="12"/>
      <c r="N651" s="18"/>
      <c r="O651" s="12"/>
      <c r="P651" s="12"/>
      <c r="Q651" s="12"/>
      <c r="R651" s="36"/>
      <c r="S651" s="36"/>
      <c r="T651" s="12"/>
      <c r="U651" s="12"/>
      <c r="V651" s="12"/>
      <c r="W651" s="12"/>
      <c r="X651" s="12"/>
    </row>
    <row r="652" customFormat="false" ht="15.75" hidden="false" customHeight="false" outlineLevel="0" collapsed="false">
      <c r="A652" s="12"/>
      <c r="B652" s="34"/>
      <c r="C652" s="12"/>
      <c r="D652" s="12"/>
      <c r="E652" s="12"/>
      <c r="F652" s="12"/>
      <c r="G652" s="18"/>
      <c r="H652" s="35"/>
      <c r="I652" s="12"/>
      <c r="M652" s="12"/>
      <c r="N652" s="18"/>
      <c r="O652" s="12"/>
      <c r="P652" s="12"/>
      <c r="Q652" s="12"/>
      <c r="R652" s="36"/>
      <c r="S652" s="36"/>
      <c r="T652" s="12"/>
      <c r="U652" s="12"/>
      <c r="V652" s="12"/>
      <c r="W652" s="12"/>
      <c r="X652" s="12"/>
    </row>
    <row r="653" customFormat="false" ht="15.75" hidden="false" customHeight="false" outlineLevel="0" collapsed="false">
      <c r="A653" s="12"/>
      <c r="B653" s="34"/>
      <c r="C653" s="12"/>
      <c r="D653" s="12"/>
      <c r="E653" s="12"/>
      <c r="F653" s="12"/>
      <c r="G653" s="18"/>
      <c r="H653" s="35"/>
      <c r="I653" s="12"/>
      <c r="M653" s="12"/>
      <c r="N653" s="18"/>
      <c r="O653" s="12"/>
      <c r="P653" s="12"/>
      <c r="Q653" s="12"/>
      <c r="R653" s="36"/>
      <c r="S653" s="36"/>
      <c r="T653" s="12"/>
      <c r="U653" s="12"/>
      <c r="V653" s="12"/>
      <c r="W653" s="12"/>
      <c r="X653" s="12"/>
    </row>
    <row r="654" customFormat="false" ht="15.75" hidden="false" customHeight="false" outlineLevel="0" collapsed="false">
      <c r="A654" s="12"/>
      <c r="B654" s="34"/>
      <c r="C654" s="12"/>
      <c r="D654" s="12"/>
      <c r="E654" s="12"/>
      <c r="F654" s="12"/>
      <c r="G654" s="18"/>
      <c r="H654" s="35"/>
      <c r="I654" s="12"/>
      <c r="M654" s="12"/>
      <c r="N654" s="18"/>
      <c r="O654" s="12"/>
      <c r="P654" s="12"/>
      <c r="Q654" s="12"/>
      <c r="R654" s="36"/>
      <c r="S654" s="36"/>
      <c r="T654" s="12"/>
      <c r="U654" s="12"/>
      <c r="V654" s="12"/>
      <c r="W654" s="12"/>
      <c r="X654" s="12"/>
    </row>
    <row r="655" customFormat="false" ht="15.75" hidden="false" customHeight="false" outlineLevel="0" collapsed="false">
      <c r="A655" s="12"/>
      <c r="B655" s="34"/>
      <c r="C655" s="12"/>
      <c r="D655" s="12"/>
      <c r="E655" s="12"/>
      <c r="F655" s="12"/>
      <c r="G655" s="18"/>
      <c r="H655" s="35"/>
      <c r="I655" s="12"/>
      <c r="M655" s="12"/>
      <c r="N655" s="18"/>
      <c r="O655" s="12"/>
      <c r="P655" s="12"/>
      <c r="Q655" s="12"/>
      <c r="R655" s="36"/>
      <c r="S655" s="36"/>
      <c r="T655" s="12"/>
      <c r="U655" s="12"/>
      <c r="V655" s="12"/>
      <c r="W655" s="12"/>
      <c r="X655" s="12"/>
    </row>
    <row r="656" customFormat="false" ht="15.75" hidden="false" customHeight="false" outlineLevel="0" collapsed="false">
      <c r="A656" s="12"/>
      <c r="B656" s="34"/>
      <c r="C656" s="12"/>
      <c r="D656" s="12"/>
      <c r="E656" s="12"/>
      <c r="F656" s="12"/>
      <c r="G656" s="18"/>
      <c r="H656" s="35"/>
      <c r="I656" s="12"/>
      <c r="M656" s="12"/>
      <c r="N656" s="18"/>
      <c r="O656" s="12"/>
      <c r="P656" s="12"/>
      <c r="Q656" s="12"/>
      <c r="R656" s="36"/>
      <c r="S656" s="36"/>
      <c r="T656" s="12"/>
      <c r="U656" s="12"/>
      <c r="V656" s="12"/>
      <c r="W656" s="12"/>
      <c r="X656" s="12"/>
    </row>
    <row r="657" customFormat="false" ht="15.75" hidden="false" customHeight="false" outlineLevel="0" collapsed="false">
      <c r="A657" s="12"/>
      <c r="B657" s="34"/>
      <c r="C657" s="12"/>
      <c r="D657" s="12"/>
      <c r="E657" s="12"/>
      <c r="F657" s="12"/>
      <c r="G657" s="18"/>
      <c r="H657" s="35"/>
      <c r="I657" s="12"/>
      <c r="M657" s="12"/>
      <c r="N657" s="18"/>
      <c r="O657" s="12"/>
      <c r="P657" s="12"/>
      <c r="Q657" s="12"/>
      <c r="R657" s="36"/>
      <c r="S657" s="36"/>
      <c r="T657" s="12"/>
      <c r="U657" s="12"/>
      <c r="V657" s="12"/>
      <c r="W657" s="12"/>
      <c r="X657" s="12"/>
    </row>
    <row r="658" customFormat="false" ht="15.75" hidden="false" customHeight="false" outlineLevel="0" collapsed="false">
      <c r="A658" s="12"/>
      <c r="B658" s="34"/>
      <c r="C658" s="12"/>
      <c r="D658" s="12"/>
      <c r="E658" s="12"/>
      <c r="F658" s="12"/>
      <c r="G658" s="18"/>
      <c r="H658" s="35"/>
      <c r="I658" s="12"/>
      <c r="M658" s="12"/>
      <c r="N658" s="18"/>
      <c r="O658" s="12"/>
      <c r="P658" s="12"/>
      <c r="Q658" s="12"/>
      <c r="R658" s="36"/>
      <c r="S658" s="36"/>
      <c r="T658" s="12"/>
      <c r="U658" s="12"/>
      <c r="V658" s="12"/>
      <c r="W658" s="12"/>
      <c r="X658" s="12"/>
    </row>
    <row r="659" customFormat="false" ht="15.75" hidden="false" customHeight="false" outlineLevel="0" collapsed="false">
      <c r="A659" s="12"/>
      <c r="B659" s="34"/>
      <c r="C659" s="12"/>
      <c r="D659" s="12"/>
      <c r="E659" s="12"/>
      <c r="F659" s="12"/>
      <c r="G659" s="18"/>
      <c r="H659" s="35"/>
      <c r="I659" s="12"/>
      <c r="M659" s="12"/>
      <c r="N659" s="18"/>
      <c r="O659" s="12"/>
      <c r="P659" s="12"/>
      <c r="Q659" s="12"/>
      <c r="R659" s="36"/>
      <c r="S659" s="36"/>
      <c r="T659" s="12"/>
      <c r="U659" s="12"/>
      <c r="V659" s="12"/>
      <c r="W659" s="12"/>
      <c r="X659" s="12"/>
    </row>
    <row r="660" customFormat="false" ht="15.75" hidden="false" customHeight="false" outlineLevel="0" collapsed="false">
      <c r="A660" s="12"/>
      <c r="B660" s="34"/>
      <c r="C660" s="12"/>
      <c r="D660" s="12"/>
      <c r="E660" s="12"/>
      <c r="F660" s="12"/>
      <c r="G660" s="18"/>
      <c r="H660" s="35"/>
      <c r="I660" s="12"/>
      <c r="M660" s="12"/>
      <c r="N660" s="18"/>
      <c r="O660" s="12"/>
      <c r="P660" s="12"/>
      <c r="Q660" s="12"/>
      <c r="R660" s="36"/>
      <c r="S660" s="36"/>
      <c r="T660" s="12"/>
      <c r="U660" s="12"/>
      <c r="V660" s="12"/>
      <c r="W660" s="12"/>
      <c r="X660" s="12"/>
    </row>
    <row r="661" customFormat="false" ht="15.75" hidden="false" customHeight="false" outlineLevel="0" collapsed="false">
      <c r="A661" s="12"/>
      <c r="B661" s="34"/>
      <c r="C661" s="12"/>
      <c r="D661" s="12"/>
      <c r="E661" s="12"/>
      <c r="F661" s="12"/>
      <c r="G661" s="18"/>
      <c r="H661" s="35"/>
      <c r="I661" s="12"/>
      <c r="M661" s="12"/>
      <c r="N661" s="18"/>
      <c r="O661" s="12"/>
      <c r="P661" s="12"/>
      <c r="Q661" s="12"/>
      <c r="R661" s="36"/>
      <c r="S661" s="36"/>
      <c r="T661" s="12"/>
      <c r="U661" s="12"/>
      <c r="V661" s="12"/>
      <c r="W661" s="12"/>
      <c r="X661" s="12"/>
    </row>
    <row r="662" customFormat="false" ht="15.75" hidden="false" customHeight="false" outlineLevel="0" collapsed="false">
      <c r="A662" s="12"/>
      <c r="B662" s="34"/>
      <c r="C662" s="12"/>
      <c r="D662" s="12"/>
      <c r="E662" s="12"/>
      <c r="F662" s="12"/>
      <c r="G662" s="18"/>
      <c r="H662" s="35"/>
      <c r="I662" s="12"/>
      <c r="M662" s="12"/>
      <c r="N662" s="18"/>
      <c r="O662" s="12"/>
      <c r="P662" s="12"/>
      <c r="Q662" s="12"/>
      <c r="R662" s="36"/>
      <c r="S662" s="36"/>
      <c r="T662" s="12"/>
      <c r="U662" s="12"/>
      <c r="V662" s="12"/>
      <c r="W662" s="12"/>
      <c r="X662" s="12"/>
    </row>
    <row r="663" customFormat="false" ht="15.75" hidden="false" customHeight="false" outlineLevel="0" collapsed="false">
      <c r="A663" s="12"/>
      <c r="B663" s="34"/>
      <c r="C663" s="12"/>
      <c r="D663" s="12"/>
      <c r="E663" s="12"/>
      <c r="F663" s="12"/>
      <c r="G663" s="18"/>
      <c r="H663" s="35"/>
      <c r="I663" s="12"/>
      <c r="M663" s="12"/>
      <c r="N663" s="18"/>
      <c r="O663" s="12"/>
      <c r="P663" s="12"/>
      <c r="Q663" s="12"/>
      <c r="R663" s="36"/>
      <c r="S663" s="36"/>
      <c r="T663" s="12"/>
      <c r="U663" s="12"/>
      <c r="V663" s="12"/>
      <c r="W663" s="12"/>
      <c r="X663" s="12"/>
    </row>
    <row r="664" customFormat="false" ht="15.75" hidden="false" customHeight="false" outlineLevel="0" collapsed="false">
      <c r="A664" s="12"/>
      <c r="B664" s="34"/>
      <c r="C664" s="12"/>
      <c r="D664" s="12"/>
      <c r="E664" s="12"/>
      <c r="F664" s="12"/>
      <c r="G664" s="18"/>
      <c r="H664" s="35"/>
      <c r="I664" s="12"/>
      <c r="M664" s="12"/>
      <c r="N664" s="18"/>
      <c r="O664" s="12"/>
      <c r="P664" s="12"/>
      <c r="Q664" s="12"/>
      <c r="R664" s="36"/>
      <c r="S664" s="36"/>
      <c r="T664" s="12"/>
      <c r="U664" s="12"/>
      <c r="V664" s="12"/>
      <c r="W664" s="12"/>
      <c r="X664" s="12"/>
    </row>
    <row r="665" customFormat="false" ht="15.75" hidden="false" customHeight="false" outlineLevel="0" collapsed="false">
      <c r="A665" s="12"/>
      <c r="B665" s="34"/>
      <c r="C665" s="12"/>
      <c r="D665" s="12"/>
      <c r="E665" s="12"/>
      <c r="F665" s="12"/>
      <c r="G665" s="18"/>
      <c r="H665" s="35"/>
      <c r="I665" s="12"/>
      <c r="M665" s="12"/>
      <c r="N665" s="18"/>
      <c r="O665" s="12"/>
      <c r="P665" s="12"/>
      <c r="Q665" s="12"/>
      <c r="R665" s="36"/>
      <c r="S665" s="36"/>
      <c r="T665" s="12"/>
      <c r="U665" s="12"/>
      <c r="V665" s="12"/>
      <c r="W665" s="12"/>
      <c r="X665" s="12"/>
    </row>
    <row r="666" customFormat="false" ht="15.75" hidden="false" customHeight="false" outlineLevel="0" collapsed="false">
      <c r="A666" s="12"/>
      <c r="B666" s="34"/>
      <c r="C666" s="12"/>
      <c r="D666" s="12"/>
      <c r="E666" s="12"/>
      <c r="F666" s="12"/>
      <c r="G666" s="18"/>
      <c r="H666" s="35"/>
      <c r="I666" s="12"/>
      <c r="M666" s="12"/>
      <c r="N666" s="18"/>
      <c r="O666" s="12"/>
      <c r="P666" s="12"/>
      <c r="Q666" s="12"/>
      <c r="R666" s="36"/>
      <c r="S666" s="36"/>
      <c r="T666" s="12"/>
      <c r="U666" s="12"/>
      <c r="V666" s="12"/>
      <c r="W666" s="12"/>
      <c r="X666" s="12"/>
    </row>
    <row r="667" customFormat="false" ht="15.75" hidden="false" customHeight="false" outlineLevel="0" collapsed="false">
      <c r="A667" s="12"/>
      <c r="B667" s="34"/>
      <c r="C667" s="12"/>
      <c r="D667" s="12"/>
      <c r="E667" s="12"/>
      <c r="F667" s="12"/>
      <c r="G667" s="18"/>
      <c r="H667" s="35"/>
      <c r="I667" s="12"/>
      <c r="M667" s="12"/>
      <c r="N667" s="18"/>
      <c r="O667" s="12"/>
      <c r="P667" s="12"/>
      <c r="Q667" s="12"/>
      <c r="R667" s="36"/>
      <c r="S667" s="36"/>
      <c r="T667" s="12"/>
      <c r="U667" s="12"/>
      <c r="V667" s="12"/>
      <c r="W667" s="12"/>
      <c r="X667" s="12"/>
    </row>
    <row r="668" customFormat="false" ht="15.75" hidden="false" customHeight="false" outlineLevel="0" collapsed="false">
      <c r="A668" s="12"/>
      <c r="B668" s="34"/>
      <c r="C668" s="12"/>
      <c r="D668" s="12"/>
      <c r="E668" s="12"/>
      <c r="F668" s="12"/>
      <c r="G668" s="18"/>
      <c r="H668" s="35"/>
      <c r="I668" s="12"/>
      <c r="M668" s="12"/>
      <c r="N668" s="18"/>
      <c r="O668" s="12"/>
      <c r="P668" s="12"/>
      <c r="Q668" s="12"/>
      <c r="R668" s="36"/>
      <c r="S668" s="36"/>
      <c r="T668" s="12"/>
      <c r="U668" s="12"/>
      <c r="V668" s="12"/>
      <c r="W668" s="12"/>
      <c r="X668" s="12"/>
    </row>
    <row r="669" customFormat="false" ht="15.75" hidden="false" customHeight="false" outlineLevel="0" collapsed="false">
      <c r="A669" s="12"/>
      <c r="B669" s="34"/>
      <c r="C669" s="12"/>
      <c r="D669" s="12"/>
      <c r="E669" s="12"/>
      <c r="F669" s="12"/>
      <c r="G669" s="18"/>
      <c r="H669" s="35"/>
      <c r="I669" s="12"/>
      <c r="M669" s="12"/>
      <c r="N669" s="18"/>
      <c r="O669" s="12"/>
      <c r="P669" s="12"/>
      <c r="Q669" s="12"/>
      <c r="R669" s="36"/>
      <c r="S669" s="36"/>
      <c r="T669" s="12"/>
      <c r="U669" s="12"/>
      <c r="V669" s="12"/>
      <c r="W669" s="12"/>
      <c r="X669" s="12"/>
    </row>
    <row r="670" customFormat="false" ht="15.75" hidden="false" customHeight="false" outlineLevel="0" collapsed="false">
      <c r="A670" s="12"/>
      <c r="B670" s="34"/>
      <c r="C670" s="12"/>
      <c r="D670" s="12"/>
      <c r="E670" s="12"/>
      <c r="F670" s="12"/>
      <c r="G670" s="18"/>
      <c r="H670" s="35"/>
      <c r="I670" s="12"/>
      <c r="M670" s="12"/>
      <c r="N670" s="18"/>
      <c r="O670" s="12"/>
      <c r="P670" s="12"/>
      <c r="Q670" s="12"/>
      <c r="R670" s="36"/>
      <c r="S670" s="36"/>
      <c r="T670" s="12"/>
      <c r="U670" s="12"/>
      <c r="V670" s="12"/>
      <c r="W670" s="12"/>
      <c r="X670" s="12"/>
    </row>
    <row r="671" customFormat="false" ht="15.75" hidden="false" customHeight="false" outlineLevel="0" collapsed="false">
      <c r="A671" s="12"/>
      <c r="B671" s="34"/>
      <c r="C671" s="12"/>
      <c r="D671" s="12"/>
      <c r="E671" s="12"/>
      <c r="F671" s="12"/>
      <c r="G671" s="18"/>
      <c r="H671" s="35"/>
      <c r="I671" s="12"/>
      <c r="M671" s="12"/>
      <c r="N671" s="18"/>
      <c r="O671" s="12"/>
      <c r="P671" s="12"/>
      <c r="Q671" s="12"/>
      <c r="R671" s="36"/>
      <c r="S671" s="36"/>
      <c r="T671" s="12"/>
      <c r="U671" s="12"/>
      <c r="V671" s="12"/>
      <c r="W671" s="12"/>
      <c r="X671" s="12"/>
    </row>
    <row r="672" customFormat="false" ht="15.75" hidden="false" customHeight="false" outlineLevel="0" collapsed="false">
      <c r="A672" s="12"/>
      <c r="B672" s="34"/>
      <c r="C672" s="12"/>
      <c r="D672" s="12"/>
      <c r="E672" s="12"/>
      <c r="F672" s="12"/>
      <c r="G672" s="18"/>
      <c r="H672" s="35"/>
      <c r="I672" s="12"/>
      <c r="M672" s="12"/>
      <c r="N672" s="18"/>
      <c r="O672" s="12"/>
      <c r="P672" s="12"/>
      <c r="Q672" s="12"/>
      <c r="R672" s="36"/>
      <c r="S672" s="36"/>
      <c r="T672" s="12"/>
      <c r="U672" s="12"/>
      <c r="V672" s="12"/>
      <c r="W672" s="12"/>
      <c r="X672" s="12"/>
    </row>
    <row r="673" customFormat="false" ht="15.75" hidden="false" customHeight="false" outlineLevel="0" collapsed="false">
      <c r="A673" s="12"/>
      <c r="B673" s="34"/>
      <c r="C673" s="12"/>
      <c r="D673" s="12"/>
      <c r="E673" s="12"/>
      <c r="F673" s="12"/>
      <c r="G673" s="18"/>
      <c r="H673" s="35"/>
      <c r="I673" s="12"/>
      <c r="M673" s="12"/>
      <c r="N673" s="18"/>
      <c r="O673" s="12"/>
      <c r="P673" s="12"/>
      <c r="Q673" s="12"/>
      <c r="R673" s="36"/>
      <c r="S673" s="36"/>
      <c r="T673" s="12"/>
      <c r="U673" s="12"/>
      <c r="V673" s="12"/>
      <c r="W673" s="12"/>
      <c r="X673" s="12"/>
    </row>
    <row r="674" customFormat="false" ht="15.75" hidden="false" customHeight="false" outlineLevel="0" collapsed="false">
      <c r="A674" s="12"/>
      <c r="B674" s="34"/>
      <c r="C674" s="12"/>
      <c r="D674" s="12"/>
      <c r="E674" s="12"/>
      <c r="F674" s="12"/>
      <c r="G674" s="18"/>
      <c r="H674" s="35"/>
      <c r="I674" s="12"/>
      <c r="M674" s="12"/>
      <c r="N674" s="18"/>
      <c r="O674" s="12"/>
      <c r="P674" s="12"/>
      <c r="Q674" s="12"/>
      <c r="R674" s="36"/>
      <c r="S674" s="36"/>
      <c r="T674" s="12"/>
      <c r="U674" s="12"/>
      <c r="V674" s="12"/>
      <c r="W674" s="12"/>
      <c r="X674" s="12"/>
    </row>
    <row r="675" customFormat="false" ht="15.75" hidden="false" customHeight="false" outlineLevel="0" collapsed="false">
      <c r="A675" s="12"/>
      <c r="B675" s="34"/>
      <c r="C675" s="12"/>
      <c r="D675" s="12"/>
      <c r="E675" s="12"/>
      <c r="F675" s="12"/>
      <c r="G675" s="18"/>
      <c r="H675" s="35"/>
      <c r="I675" s="12"/>
      <c r="M675" s="12"/>
      <c r="N675" s="18"/>
      <c r="O675" s="12"/>
      <c r="P675" s="12"/>
      <c r="Q675" s="12"/>
      <c r="R675" s="36"/>
      <c r="S675" s="36"/>
      <c r="T675" s="12"/>
      <c r="U675" s="12"/>
      <c r="V675" s="12"/>
      <c r="W675" s="12"/>
      <c r="X675" s="12"/>
    </row>
    <row r="676" customFormat="false" ht="15.75" hidden="false" customHeight="false" outlineLevel="0" collapsed="false">
      <c r="A676" s="12"/>
      <c r="B676" s="34"/>
      <c r="C676" s="12"/>
      <c r="D676" s="12"/>
      <c r="E676" s="12"/>
      <c r="F676" s="12"/>
      <c r="G676" s="18"/>
      <c r="H676" s="35"/>
      <c r="I676" s="12"/>
      <c r="M676" s="12"/>
      <c r="N676" s="18"/>
      <c r="O676" s="12"/>
      <c r="P676" s="12"/>
      <c r="Q676" s="12"/>
      <c r="R676" s="36"/>
      <c r="S676" s="36"/>
      <c r="T676" s="12"/>
      <c r="U676" s="12"/>
      <c r="V676" s="12"/>
      <c r="W676" s="12"/>
      <c r="X676" s="12"/>
    </row>
    <row r="677" customFormat="false" ht="15.75" hidden="false" customHeight="false" outlineLevel="0" collapsed="false">
      <c r="A677" s="12"/>
      <c r="B677" s="34"/>
      <c r="C677" s="12"/>
      <c r="D677" s="12"/>
      <c r="E677" s="12"/>
      <c r="F677" s="12"/>
      <c r="G677" s="18"/>
      <c r="H677" s="35"/>
      <c r="I677" s="12"/>
      <c r="M677" s="12"/>
      <c r="N677" s="18"/>
      <c r="O677" s="12"/>
      <c r="P677" s="12"/>
      <c r="Q677" s="12"/>
      <c r="R677" s="36"/>
      <c r="S677" s="36"/>
      <c r="T677" s="12"/>
      <c r="U677" s="12"/>
      <c r="V677" s="12"/>
      <c r="W677" s="12"/>
      <c r="X677" s="12"/>
    </row>
    <row r="678" customFormat="false" ht="15.75" hidden="false" customHeight="false" outlineLevel="0" collapsed="false">
      <c r="A678" s="12"/>
      <c r="B678" s="34"/>
      <c r="C678" s="12"/>
      <c r="D678" s="12"/>
      <c r="E678" s="12"/>
      <c r="F678" s="12"/>
      <c r="G678" s="18"/>
      <c r="H678" s="35"/>
      <c r="I678" s="12"/>
      <c r="M678" s="12"/>
      <c r="N678" s="18"/>
      <c r="O678" s="12"/>
      <c r="P678" s="12"/>
      <c r="Q678" s="12"/>
      <c r="R678" s="36"/>
      <c r="S678" s="36"/>
      <c r="T678" s="12"/>
      <c r="U678" s="12"/>
      <c r="V678" s="12"/>
      <c r="W678" s="12"/>
      <c r="X678" s="12"/>
    </row>
    <row r="679" customFormat="false" ht="15.75" hidden="false" customHeight="false" outlineLevel="0" collapsed="false">
      <c r="A679" s="12"/>
      <c r="B679" s="34"/>
      <c r="C679" s="12"/>
      <c r="D679" s="12"/>
      <c r="E679" s="12"/>
      <c r="F679" s="12"/>
      <c r="G679" s="18"/>
      <c r="H679" s="35"/>
      <c r="I679" s="12"/>
      <c r="M679" s="12"/>
      <c r="N679" s="18"/>
      <c r="O679" s="12"/>
      <c r="P679" s="12"/>
      <c r="Q679" s="12"/>
      <c r="R679" s="36"/>
      <c r="S679" s="36"/>
      <c r="T679" s="12"/>
      <c r="U679" s="12"/>
      <c r="V679" s="12"/>
      <c r="W679" s="12"/>
      <c r="X679" s="12"/>
    </row>
    <row r="680" customFormat="false" ht="15.75" hidden="false" customHeight="false" outlineLevel="0" collapsed="false">
      <c r="A680" s="12"/>
      <c r="B680" s="34"/>
      <c r="C680" s="12"/>
      <c r="D680" s="12"/>
      <c r="E680" s="12"/>
      <c r="F680" s="12"/>
      <c r="G680" s="18"/>
      <c r="H680" s="35"/>
      <c r="I680" s="12"/>
      <c r="M680" s="12"/>
      <c r="N680" s="18"/>
      <c r="O680" s="12"/>
      <c r="P680" s="12"/>
      <c r="Q680" s="12"/>
      <c r="R680" s="36"/>
      <c r="S680" s="36"/>
      <c r="T680" s="12"/>
      <c r="U680" s="12"/>
      <c r="V680" s="12"/>
      <c r="W680" s="12"/>
      <c r="X680" s="12"/>
    </row>
    <row r="681" customFormat="false" ht="15.75" hidden="false" customHeight="false" outlineLevel="0" collapsed="false">
      <c r="A681" s="12"/>
      <c r="B681" s="34"/>
      <c r="C681" s="12"/>
      <c r="D681" s="12"/>
      <c r="E681" s="12"/>
      <c r="F681" s="12"/>
      <c r="G681" s="18"/>
      <c r="H681" s="35"/>
      <c r="I681" s="12"/>
      <c r="M681" s="12"/>
      <c r="N681" s="18"/>
      <c r="O681" s="12"/>
      <c r="P681" s="12"/>
      <c r="Q681" s="12"/>
      <c r="R681" s="36"/>
      <c r="S681" s="36"/>
      <c r="T681" s="12"/>
      <c r="U681" s="12"/>
      <c r="V681" s="12"/>
      <c r="W681" s="12"/>
      <c r="X681" s="12"/>
    </row>
    <row r="682" customFormat="false" ht="15.75" hidden="false" customHeight="false" outlineLevel="0" collapsed="false">
      <c r="A682" s="12"/>
      <c r="B682" s="34"/>
      <c r="C682" s="12"/>
      <c r="D682" s="12"/>
      <c r="E682" s="12"/>
      <c r="F682" s="12"/>
      <c r="G682" s="18"/>
      <c r="H682" s="35"/>
      <c r="I682" s="12"/>
      <c r="M682" s="12"/>
      <c r="N682" s="18"/>
      <c r="O682" s="12"/>
      <c r="P682" s="12"/>
      <c r="Q682" s="12"/>
      <c r="R682" s="36"/>
      <c r="S682" s="36"/>
      <c r="T682" s="12"/>
      <c r="U682" s="12"/>
      <c r="V682" s="12"/>
      <c r="W682" s="12"/>
      <c r="X682" s="12"/>
    </row>
    <row r="683" customFormat="false" ht="15.75" hidden="false" customHeight="false" outlineLevel="0" collapsed="false">
      <c r="A683" s="12"/>
      <c r="B683" s="34"/>
      <c r="C683" s="12"/>
      <c r="D683" s="12"/>
      <c r="E683" s="12"/>
      <c r="F683" s="12"/>
      <c r="G683" s="18"/>
      <c r="H683" s="35"/>
      <c r="I683" s="12"/>
      <c r="M683" s="12"/>
      <c r="N683" s="18"/>
      <c r="O683" s="12"/>
      <c r="P683" s="12"/>
      <c r="Q683" s="12"/>
      <c r="R683" s="36"/>
      <c r="S683" s="36"/>
      <c r="T683" s="12"/>
      <c r="U683" s="12"/>
      <c r="V683" s="12"/>
      <c r="W683" s="12"/>
      <c r="X683" s="12"/>
    </row>
    <row r="684" customFormat="false" ht="15.75" hidden="false" customHeight="false" outlineLevel="0" collapsed="false">
      <c r="A684" s="12"/>
      <c r="B684" s="34"/>
      <c r="C684" s="12"/>
      <c r="D684" s="12"/>
      <c r="E684" s="12"/>
      <c r="F684" s="12"/>
      <c r="G684" s="18"/>
      <c r="H684" s="35"/>
      <c r="I684" s="12"/>
      <c r="M684" s="12"/>
      <c r="N684" s="18"/>
      <c r="O684" s="12"/>
      <c r="P684" s="12"/>
      <c r="Q684" s="12"/>
      <c r="R684" s="36"/>
      <c r="S684" s="36"/>
      <c r="T684" s="12"/>
      <c r="U684" s="12"/>
      <c r="V684" s="12"/>
      <c r="W684" s="12"/>
      <c r="X684" s="12"/>
    </row>
    <row r="685" customFormat="false" ht="15.75" hidden="false" customHeight="false" outlineLevel="0" collapsed="false">
      <c r="A685" s="12"/>
      <c r="B685" s="34"/>
      <c r="C685" s="12"/>
      <c r="D685" s="12"/>
      <c r="E685" s="12"/>
      <c r="F685" s="12"/>
      <c r="G685" s="18"/>
      <c r="H685" s="35"/>
      <c r="I685" s="12"/>
      <c r="M685" s="12"/>
      <c r="N685" s="18"/>
      <c r="O685" s="12"/>
      <c r="P685" s="12"/>
      <c r="Q685" s="12"/>
      <c r="R685" s="36"/>
      <c r="S685" s="36"/>
      <c r="T685" s="12"/>
      <c r="U685" s="12"/>
      <c r="V685" s="12"/>
      <c r="W685" s="12"/>
      <c r="X685" s="12"/>
    </row>
    <row r="686" customFormat="false" ht="15.75" hidden="false" customHeight="false" outlineLevel="0" collapsed="false">
      <c r="A686" s="12"/>
      <c r="B686" s="34"/>
      <c r="C686" s="12"/>
      <c r="D686" s="12"/>
      <c r="E686" s="12"/>
      <c r="F686" s="12"/>
      <c r="G686" s="18"/>
      <c r="H686" s="35"/>
      <c r="I686" s="12"/>
      <c r="M686" s="12"/>
      <c r="N686" s="18"/>
      <c r="O686" s="12"/>
      <c r="P686" s="12"/>
      <c r="Q686" s="12"/>
      <c r="R686" s="36"/>
      <c r="S686" s="36"/>
      <c r="T686" s="12"/>
      <c r="U686" s="12"/>
      <c r="V686" s="12"/>
      <c r="W686" s="12"/>
      <c r="X686" s="12"/>
    </row>
    <row r="687" customFormat="false" ht="15.75" hidden="false" customHeight="false" outlineLevel="0" collapsed="false">
      <c r="A687" s="12"/>
      <c r="B687" s="34"/>
      <c r="C687" s="12"/>
      <c r="D687" s="12"/>
      <c r="E687" s="12"/>
      <c r="F687" s="12"/>
      <c r="G687" s="18"/>
      <c r="H687" s="35"/>
      <c r="I687" s="12"/>
      <c r="M687" s="12"/>
      <c r="N687" s="18"/>
      <c r="O687" s="12"/>
      <c r="P687" s="12"/>
      <c r="Q687" s="12"/>
      <c r="R687" s="36"/>
      <c r="S687" s="36"/>
      <c r="T687" s="12"/>
      <c r="U687" s="12"/>
      <c r="V687" s="12"/>
      <c r="W687" s="12"/>
      <c r="X687" s="12"/>
    </row>
    <row r="688" customFormat="false" ht="15.75" hidden="false" customHeight="false" outlineLevel="0" collapsed="false">
      <c r="A688" s="12"/>
      <c r="B688" s="34"/>
      <c r="C688" s="12"/>
      <c r="D688" s="12"/>
      <c r="E688" s="12"/>
      <c r="F688" s="12"/>
      <c r="G688" s="18"/>
      <c r="H688" s="35"/>
      <c r="I688" s="12"/>
      <c r="M688" s="12"/>
      <c r="N688" s="18"/>
      <c r="O688" s="12"/>
      <c r="P688" s="12"/>
      <c r="Q688" s="12"/>
      <c r="R688" s="36"/>
      <c r="S688" s="36"/>
      <c r="T688" s="12"/>
      <c r="U688" s="12"/>
      <c r="V688" s="12"/>
      <c r="W688" s="12"/>
      <c r="X688" s="12"/>
    </row>
    <row r="689" customFormat="false" ht="15.75" hidden="false" customHeight="false" outlineLevel="0" collapsed="false">
      <c r="A689" s="12"/>
      <c r="B689" s="34"/>
      <c r="C689" s="12"/>
      <c r="D689" s="12"/>
      <c r="E689" s="12"/>
      <c r="F689" s="12"/>
      <c r="G689" s="18"/>
      <c r="H689" s="35"/>
      <c r="I689" s="12"/>
      <c r="M689" s="12"/>
      <c r="N689" s="18"/>
      <c r="O689" s="12"/>
      <c r="P689" s="12"/>
      <c r="Q689" s="12"/>
      <c r="R689" s="36"/>
      <c r="S689" s="36"/>
      <c r="T689" s="12"/>
      <c r="U689" s="12"/>
      <c r="V689" s="12"/>
      <c r="W689" s="12"/>
      <c r="X689" s="12"/>
    </row>
    <row r="690" customFormat="false" ht="15.75" hidden="false" customHeight="false" outlineLevel="0" collapsed="false">
      <c r="A690" s="12"/>
      <c r="B690" s="34"/>
      <c r="C690" s="12"/>
      <c r="D690" s="12"/>
      <c r="E690" s="12"/>
      <c r="F690" s="12"/>
      <c r="G690" s="18"/>
      <c r="H690" s="35"/>
      <c r="I690" s="12"/>
      <c r="M690" s="12"/>
      <c r="N690" s="18"/>
      <c r="O690" s="12"/>
      <c r="P690" s="12"/>
      <c r="Q690" s="12"/>
      <c r="R690" s="36"/>
      <c r="S690" s="36"/>
      <c r="T690" s="12"/>
      <c r="U690" s="12"/>
      <c r="V690" s="12"/>
      <c r="W690" s="12"/>
      <c r="X690" s="12"/>
    </row>
    <row r="691" customFormat="false" ht="15.75" hidden="false" customHeight="false" outlineLevel="0" collapsed="false">
      <c r="A691" s="12"/>
      <c r="B691" s="34"/>
      <c r="C691" s="12"/>
      <c r="D691" s="12"/>
      <c r="E691" s="12"/>
      <c r="F691" s="12"/>
      <c r="G691" s="18"/>
      <c r="H691" s="35"/>
      <c r="I691" s="12"/>
      <c r="M691" s="12"/>
      <c r="N691" s="18"/>
      <c r="O691" s="12"/>
      <c r="P691" s="12"/>
      <c r="Q691" s="12"/>
      <c r="R691" s="36"/>
      <c r="S691" s="36"/>
      <c r="T691" s="12"/>
      <c r="U691" s="12"/>
      <c r="V691" s="12"/>
      <c r="W691" s="12"/>
      <c r="X691" s="12"/>
    </row>
    <row r="692" customFormat="false" ht="15.75" hidden="false" customHeight="false" outlineLevel="0" collapsed="false">
      <c r="A692" s="12"/>
      <c r="B692" s="34"/>
      <c r="C692" s="12"/>
      <c r="D692" s="12"/>
      <c r="E692" s="12"/>
      <c r="F692" s="12"/>
      <c r="G692" s="18"/>
      <c r="H692" s="35"/>
      <c r="I692" s="12"/>
      <c r="M692" s="12"/>
      <c r="N692" s="18"/>
      <c r="O692" s="12"/>
      <c r="P692" s="12"/>
      <c r="Q692" s="12"/>
      <c r="R692" s="36"/>
      <c r="S692" s="36"/>
      <c r="T692" s="12"/>
      <c r="U692" s="12"/>
      <c r="V692" s="12"/>
      <c r="W692" s="12"/>
      <c r="X692" s="12"/>
    </row>
    <row r="693" customFormat="false" ht="15.75" hidden="false" customHeight="false" outlineLevel="0" collapsed="false">
      <c r="A693" s="12"/>
      <c r="B693" s="34"/>
      <c r="C693" s="12"/>
      <c r="D693" s="12"/>
      <c r="E693" s="12"/>
      <c r="F693" s="12"/>
      <c r="G693" s="18"/>
      <c r="H693" s="35"/>
      <c r="I693" s="12"/>
      <c r="M693" s="12"/>
      <c r="N693" s="18"/>
      <c r="O693" s="12"/>
      <c r="P693" s="12"/>
      <c r="Q693" s="12"/>
      <c r="R693" s="36"/>
      <c r="S693" s="36"/>
      <c r="T693" s="12"/>
      <c r="U693" s="12"/>
      <c r="V693" s="12"/>
      <c r="W693" s="12"/>
      <c r="X693" s="12"/>
    </row>
    <row r="694" customFormat="false" ht="15.75" hidden="false" customHeight="false" outlineLevel="0" collapsed="false">
      <c r="A694" s="12"/>
      <c r="B694" s="34"/>
      <c r="C694" s="12"/>
      <c r="D694" s="12"/>
      <c r="E694" s="12"/>
      <c r="F694" s="12"/>
      <c r="G694" s="18"/>
      <c r="H694" s="35"/>
      <c r="I694" s="12"/>
      <c r="M694" s="12"/>
      <c r="N694" s="18"/>
      <c r="O694" s="12"/>
      <c r="P694" s="12"/>
      <c r="Q694" s="12"/>
      <c r="R694" s="36"/>
      <c r="S694" s="36"/>
      <c r="T694" s="12"/>
      <c r="U694" s="12"/>
      <c r="V694" s="12"/>
      <c r="W694" s="12"/>
      <c r="X694" s="12"/>
    </row>
    <row r="695" customFormat="false" ht="15.75" hidden="false" customHeight="false" outlineLevel="0" collapsed="false">
      <c r="A695" s="12"/>
      <c r="B695" s="34"/>
      <c r="C695" s="12"/>
      <c r="D695" s="12"/>
      <c r="E695" s="12"/>
      <c r="F695" s="12"/>
      <c r="G695" s="18"/>
      <c r="H695" s="35"/>
      <c r="I695" s="12"/>
      <c r="M695" s="12"/>
      <c r="N695" s="18"/>
      <c r="O695" s="12"/>
      <c r="P695" s="12"/>
      <c r="Q695" s="12"/>
      <c r="R695" s="36"/>
      <c r="S695" s="36"/>
      <c r="T695" s="12"/>
      <c r="U695" s="12"/>
      <c r="V695" s="12"/>
      <c r="W695" s="12"/>
      <c r="X695" s="12"/>
    </row>
    <row r="696" customFormat="false" ht="15.75" hidden="false" customHeight="false" outlineLevel="0" collapsed="false">
      <c r="A696" s="12"/>
      <c r="B696" s="34"/>
      <c r="C696" s="12"/>
      <c r="D696" s="12"/>
      <c r="E696" s="12"/>
      <c r="F696" s="12"/>
      <c r="G696" s="18"/>
      <c r="H696" s="35"/>
      <c r="I696" s="12"/>
      <c r="M696" s="12"/>
      <c r="N696" s="18"/>
      <c r="O696" s="12"/>
      <c r="P696" s="12"/>
      <c r="Q696" s="12"/>
      <c r="R696" s="36"/>
      <c r="S696" s="36"/>
      <c r="T696" s="12"/>
      <c r="U696" s="12"/>
      <c r="V696" s="12"/>
      <c r="W696" s="12"/>
      <c r="X696" s="12"/>
    </row>
    <row r="697" customFormat="false" ht="15.75" hidden="false" customHeight="false" outlineLevel="0" collapsed="false">
      <c r="A697" s="12"/>
      <c r="B697" s="34"/>
      <c r="C697" s="12"/>
      <c r="D697" s="12"/>
      <c r="E697" s="12"/>
      <c r="F697" s="12"/>
      <c r="G697" s="18"/>
      <c r="H697" s="35"/>
      <c r="I697" s="12"/>
      <c r="M697" s="12"/>
      <c r="N697" s="18"/>
      <c r="O697" s="12"/>
      <c r="P697" s="12"/>
      <c r="Q697" s="12"/>
      <c r="R697" s="36"/>
      <c r="S697" s="36"/>
      <c r="T697" s="12"/>
      <c r="U697" s="12"/>
      <c r="V697" s="12"/>
      <c r="W697" s="12"/>
      <c r="X697" s="12"/>
    </row>
    <row r="698" customFormat="false" ht="15.75" hidden="false" customHeight="false" outlineLevel="0" collapsed="false">
      <c r="A698" s="12"/>
      <c r="B698" s="34"/>
      <c r="C698" s="12"/>
      <c r="D698" s="12"/>
      <c r="E698" s="12"/>
      <c r="F698" s="12"/>
      <c r="G698" s="18"/>
      <c r="H698" s="35"/>
      <c r="I698" s="12"/>
      <c r="M698" s="12"/>
      <c r="N698" s="18"/>
      <c r="O698" s="12"/>
      <c r="P698" s="12"/>
      <c r="Q698" s="12"/>
      <c r="R698" s="36"/>
      <c r="S698" s="36"/>
      <c r="T698" s="12"/>
      <c r="U698" s="12"/>
      <c r="V698" s="12"/>
      <c r="W698" s="12"/>
      <c r="X698" s="12"/>
    </row>
    <row r="699" customFormat="false" ht="15.75" hidden="false" customHeight="false" outlineLevel="0" collapsed="false">
      <c r="A699" s="12"/>
      <c r="B699" s="34"/>
      <c r="C699" s="12"/>
      <c r="D699" s="12"/>
      <c r="E699" s="12"/>
      <c r="F699" s="12"/>
      <c r="G699" s="18"/>
      <c r="H699" s="35"/>
      <c r="I699" s="12"/>
      <c r="M699" s="12"/>
      <c r="N699" s="18"/>
      <c r="O699" s="12"/>
      <c r="P699" s="12"/>
      <c r="Q699" s="12"/>
      <c r="R699" s="36"/>
      <c r="S699" s="36"/>
      <c r="T699" s="12"/>
      <c r="U699" s="12"/>
      <c r="V699" s="12"/>
      <c r="W699" s="12"/>
      <c r="X699" s="12"/>
    </row>
    <row r="700" customFormat="false" ht="15.75" hidden="false" customHeight="false" outlineLevel="0" collapsed="false">
      <c r="A700" s="12"/>
      <c r="B700" s="34"/>
      <c r="C700" s="12"/>
      <c r="D700" s="12"/>
      <c r="E700" s="12"/>
      <c r="F700" s="12"/>
      <c r="G700" s="18"/>
      <c r="H700" s="35"/>
      <c r="I700" s="12"/>
      <c r="M700" s="12"/>
      <c r="N700" s="18"/>
      <c r="O700" s="12"/>
      <c r="P700" s="12"/>
      <c r="Q700" s="12"/>
      <c r="R700" s="36"/>
      <c r="S700" s="36"/>
      <c r="T700" s="12"/>
      <c r="U700" s="12"/>
      <c r="V700" s="12"/>
      <c r="W700" s="12"/>
      <c r="X700" s="12"/>
    </row>
    <row r="701" customFormat="false" ht="15.75" hidden="false" customHeight="false" outlineLevel="0" collapsed="false">
      <c r="A701" s="12"/>
      <c r="B701" s="34"/>
      <c r="C701" s="12"/>
      <c r="D701" s="12"/>
      <c r="E701" s="12"/>
      <c r="F701" s="12"/>
      <c r="G701" s="18"/>
      <c r="H701" s="35"/>
      <c r="I701" s="12"/>
      <c r="M701" s="12"/>
      <c r="N701" s="18"/>
      <c r="O701" s="12"/>
      <c r="P701" s="12"/>
      <c r="Q701" s="12"/>
      <c r="R701" s="36"/>
      <c r="S701" s="36"/>
      <c r="T701" s="12"/>
      <c r="U701" s="12"/>
      <c r="V701" s="12"/>
      <c r="W701" s="12"/>
      <c r="X701" s="12"/>
    </row>
    <row r="702" customFormat="false" ht="15.75" hidden="false" customHeight="false" outlineLevel="0" collapsed="false">
      <c r="A702" s="12"/>
      <c r="B702" s="34"/>
      <c r="C702" s="12"/>
      <c r="D702" s="12"/>
      <c r="E702" s="12"/>
      <c r="F702" s="12"/>
      <c r="G702" s="18"/>
      <c r="H702" s="35"/>
      <c r="I702" s="12"/>
      <c r="M702" s="12"/>
      <c r="N702" s="18"/>
      <c r="O702" s="12"/>
      <c r="P702" s="12"/>
      <c r="Q702" s="12"/>
      <c r="R702" s="36"/>
      <c r="S702" s="36"/>
      <c r="T702" s="12"/>
      <c r="U702" s="12"/>
      <c r="V702" s="12"/>
      <c r="W702" s="12"/>
      <c r="X702" s="12"/>
    </row>
    <row r="1048575" customFormat="false" ht="12.8" hidden="false" customHeight="true" outlineLevel="0" collapsed="false"/>
    <row r="1048576" customFormat="false" ht="12.8" hidden="false" customHeight="true" outlineLevel="0" collapsed="false"/>
  </sheetData>
  <conditionalFormatting sqref="R2:S702">
    <cfRule type="expression" priority="2" aboveAverage="0" equalAverage="0" bottom="0" percent="0" rank="0" text="" dxfId="0">
      <formula>LEN(TRIM(R2))&gt;0</formula>
    </cfRule>
  </conditionalFormatting>
  <conditionalFormatting sqref="Q2:Q702">
    <cfRule type="expression" priority="3" aboveAverage="0" equalAverage="0" bottom="0" percent="0" rank="0" text="" dxfId="0">
      <formula>LEN(TRIM(Q2))&gt;0</formula>
    </cfRule>
  </conditionalFormatting>
  <conditionalFormatting sqref="G2:G702 N2:N702">
    <cfRule type="containsText" priority="4" operator="containsText" aboveAverage="0" equalAverage="0" bottom="0" percent="0" rank="0" text="x" dxfId="0">
      <formula>NOT(ISERROR(SEARCH("x",G2)))</formula>
    </cfRule>
  </conditionalFormatting>
  <conditionalFormatting sqref="T2:T702">
    <cfRule type="expression" priority="5" aboveAverage="0" equalAverage="0" bottom="0" percent="0" rank="0" text="" dxfId="0">
      <formula>LEN(TRIM(T2))&gt;0</formula>
    </cfRule>
  </conditionalFormatting>
  <conditionalFormatting sqref="W2:W702">
    <cfRule type="expression" priority="6" aboveAverage="0" equalAverage="0" bottom="0" percent="0" rank="0" text="" dxfId="0">
      <formula>LEN(TRIM(W2))&gt;0</formula>
    </cfRule>
  </conditionalFormatting>
  <conditionalFormatting sqref="X2:X702">
    <cfRule type="cellIs" priority="7" operator="equal" aboveAverage="0" equalAverage="0" bottom="0" percent="0" rank="0" text="" dxfId="0">
      <formula>"Completo"</formula>
    </cfRule>
    <cfRule type="cellIs" priority="8" operator="equal" aboveAverage="0" equalAverage="0" bottom="0" percent="0" rank="0" text="" dxfId="1">
      <formula>"No aplica"</formula>
    </cfRule>
  </conditionalFormatting>
  <conditionalFormatting sqref="G2:I702 O2:P702 U2:V702 X2:X702">
    <cfRule type="cellIs" priority="9" operator="equal" aboveAverage="0" equalAverage="0" bottom="0" percent="0" rank="0" text="" dxfId="0">
      <formula>"Completo"</formula>
    </cfRule>
    <cfRule type="cellIs" priority="10" operator="equal" aboveAverage="0" equalAverage="0" bottom="0" percent="0" rank="0" text="" dxfId="1">
      <formula>"No Aplica"</formula>
    </cfRule>
  </conditionalFormatting>
  <dataValidations count="6">
    <dataValidation allowBlank="true" errorStyle="stop" operator="between" showDropDown="false" showErrorMessage="false" showInputMessage="false" sqref="T56:T702" type="list">
      <formula1>LEYENDA!$A$23:$A$24</formula1>
      <formula2>0</formula2>
    </dataValidation>
    <dataValidation allowBlank="true" errorStyle="stop" operator="between" showDropDown="false" showErrorMessage="true" showInputMessage="false" sqref="D2:D702" type="list">
      <formula1>LEYENDA!$B$2:$D$2</formula1>
      <formula2>0</formula2>
    </dataValidation>
    <dataValidation allowBlank="true" errorStyle="stop" operator="between" showDropDown="false" showErrorMessage="false" showInputMessage="false" sqref="R2:R702" type="list">
      <formula1>LEYENDA!$A$15:$A$19</formula1>
      <formula2>0</formula2>
    </dataValidation>
    <dataValidation allowBlank="true" errorStyle="stop" operator="between" showDropDown="false" showErrorMessage="true" showInputMessage="false" sqref="H2:I702 O2:P702 U2:V702 X2:X702" type="list">
      <formula1>LEYENDA!$B$1:$C$1</formula1>
      <formula2>0</formula2>
    </dataValidation>
    <dataValidation allowBlank="true" errorStyle="stop" operator="between" showDropDown="false" showErrorMessage="false" showInputMessage="false" sqref="E2:E702" type="list">
      <formula1>LEYENDA!$A$8:$A$12</formula1>
      <formula2>0</formula2>
    </dataValidation>
    <dataValidation allowBlank="true" errorStyle="stop" operator="between" showDropDown="false" showErrorMessage="false" showInputMessage="false" sqref="T2:T55" type="list">
      <formula1>LEYENDA!$A$23:$A$25</formula1>
      <formula2>0</formula2>
    </dataValidation>
  </dataValidations>
  <hyperlinks>
    <hyperlink ref="U5" r:id="rId1" display="Completo"/>
    <hyperlink ref="V5" r:id="rId2" display="Completo"/>
    <hyperlink ref="U14" r:id="rId3" display="Completo"/>
    <hyperlink ref="V14" r:id="rId4" display="Completo"/>
    <hyperlink ref="U15" r:id="rId5" display="Completo"/>
    <hyperlink ref="V15" r:id="rId6" display="Completo"/>
    <hyperlink ref="U19" r:id="rId7" display="Completo"/>
    <hyperlink ref="V19" r:id="rId8" display="Completo"/>
    <hyperlink ref="U20" r:id="rId9" display="Completo"/>
    <hyperlink ref="V20" r:id="rId10" display="Completo"/>
    <hyperlink ref="U26" r:id="rId11" display="Completo"/>
    <hyperlink ref="V26" r:id="rId12" display="Completo"/>
    <hyperlink ref="U27" r:id="rId13" display="Completo"/>
    <hyperlink ref="V27" r:id="rId14" display="Completo"/>
    <hyperlink ref="U28" r:id="rId15" display="Completo"/>
    <hyperlink ref="V28" r:id="rId16" display="Completo"/>
    <hyperlink ref="U29" r:id="rId17" display="Completo"/>
    <hyperlink ref="V29" r:id="rId18" display="Completo"/>
    <hyperlink ref="U30" r:id="rId19" display="Completo"/>
    <hyperlink ref="U31" r:id="rId20" display="Completo"/>
    <hyperlink ref="U32" r:id="rId21" display="Completo"/>
    <hyperlink ref="U33" r:id="rId22" display="Completo"/>
    <hyperlink ref="U34" r:id="rId23" display="Completo"/>
    <hyperlink ref="U35" r:id="rId24" display="Completo"/>
    <hyperlink ref="U36" r:id="rId25" display="Completo"/>
    <hyperlink ref="V36" r:id="rId26" display="Completo"/>
    <hyperlink ref="U37" r:id="rId27" display="Completo"/>
    <hyperlink ref="U38" r:id="rId28" display="Completo"/>
    <hyperlink ref="U39" r:id="rId29" display="Completo"/>
    <hyperlink ref="U40" r:id="rId30" display="Completo"/>
    <hyperlink ref="U41" r:id="rId31" display="Completo"/>
    <hyperlink ref="U42" r:id="rId32" display="Completo"/>
    <hyperlink ref="U66" r:id="rId33" display="Completo"/>
    <hyperlink ref="V66" r:id="rId34" display="Completo"/>
    <hyperlink ref="U67" r:id="rId35" display="Completo"/>
    <hyperlink ref="V67" r:id="rId36" display="Completo"/>
  </hyperlinks>
  <printOptions headings="false" gridLines="true" gridLinesSet="true" horizontalCentered="true" verticalCentered="false"/>
  <pageMargins left="0.7" right="0.7" top="0.75" bottom="0.75" header="0.511811023622047" footer="0.511811023622047"/>
  <pageSetup paperSize="9" scale="100" fitToWidth="1" fitToHeight="0" pageOrder="overThenDown" orientation="landscape" blackAndWhite="false" draft="false" cellComments="none" horizontalDpi="300" verticalDpi="300" copies="1"/>
  <headerFooter differentFirst="false" differentOddEven="false">
    <oddHeader/>
    <oddFooter/>
  </headerFooter>
  <drawing r:id="rId37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XFD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7" ySplit="0" topLeftCell="H1" activePane="topRight" state="frozen"/>
      <selection pane="topLeft" activeCell="A1" activeCellId="0" sqref="A1"/>
      <selection pane="topRight" activeCell="H1" activeCellId="0" sqref="H1"/>
    </sheetView>
  </sheetViews>
  <sheetFormatPr defaultColWidth="12.6328125" defaultRowHeight="15.75" zeroHeight="false" outlineLevelRow="0" outlineLevelCol="0"/>
  <cols>
    <col collapsed="false" customWidth="true" hidden="false" outlineLevel="0" max="1" min="1" style="1" width="10.25"/>
    <col collapsed="false" customWidth="true" hidden="false" outlineLevel="0" max="2" min="2" style="1" width="10.38"/>
    <col collapsed="false" customWidth="true" hidden="false" outlineLevel="0" max="3" min="3" style="1" width="29.63"/>
    <col collapsed="false" customWidth="true" hidden="false" outlineLevel="0" max="4" min="4" style="1" width="11.25"/>
    <col collapsed="false" customWidth="true" hidden="false" outlineLevel="0" max="5" min="5" style="1" width="17.13"/>
    <col collapsed="false" customWidth="true" hidden="false" outlineLevel="0" max="6" min="6" style="1" width="40"/>
    <col collapsed="false" customWidth="true" hidden="false" outlineLevel="0" max="7" min="7" style="1" width="15.88"/>
    <col collapsed="false" customWidth="true" hidden="false" outlineLevel="0" max="8" min="8" style="1" width="10.88"/>
    <col collapsed="false" customWidth="true" hidden="false" outlineLevel="0" max="9" min="9" style="1" width="12.88"/>
    <col collapsed="false" customWidth="true" hidden="false" outlineLevel="0" max="10" min="10" style="1" width="12"/>
    <col collapsed="false" customWidth="true" hidden="false" outlineLevel="0" max="11" min="11" style="1" width="10"/>
    <col collapsed="false" customWidth="true" hidden="false" outlineLevel="0" max="12" min="12" style="1" width="12.25"/>
    <col collapsed="false" customWidth="true" hidden="false" outlineLevel="0" max="13" min="13" style="1" width="26.12"/>
    <col collapsed="false" customWidth="true" hidden="false" outlineLevel="0" max="14" min="14" style="1" width="18"/>
    <col collapsed="false" customWidth="true" hidden="false" outlineLevel="0" max="16" min="15" style="1" width="10.63"/>
    <col collapsed="false" customWidth="true" hidden="false" outlineLevel="0" max="17" min="17" style="1" width="8.5"/>
    <col collapsed="false" customWidth="true" hidden="false" outlineLevel="0" max="19" min="19" style="1" width="25.38"/>
    <col collapsed="false" customWidth="true" hidden="false" outlineLevel="0" max="20" min="20" style="1" width="17.88"/>
    <col collapsed="false" customWidth="true" hidden="false" outlineLevel="0" max="21" min="21" style="1" width="10.13"/>
    <col collapsed="false" customWidth="true" hidden="false" outlineLevel="0" max="22" min="22" style="1" width="11.12"/>
    <col collapsed="false" customWidth="true" hidden="false" outlineLevel="0" max="23" min="23" style="1" width="54"/>
    <col collapsed="false" customWidth="true" hidden="false" outlineLevel="0" max="16384" min="16384" style="1" width="11.53"/>
  </cols>
  <sheetData>
    <row r="1" customFormat="false" ht="68" hidden="false" customHeight="false" outlineLevel="0" collapsed="false">
      <c r="A1" s="2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/>
      <c r="J1" s="4" t="s">
        <v>8</v>
      </c>
      <c r="K1" s="2"/>
      <c r="L1" s="2" t="s">
        <v>9</v>
      </c>
      <c r="M1" s="2" t="s">
        <v>10</v>
      </c>
      <c r="N1" s="4" t="s">
        <v>11</v>
      </c>
      <c r="O1" s="3" t="s">
        <v>12</v>
      </c>
      <c r="P1" s="7" t="s">
        <v>13</v>
      </c>
      <c r="Q1" s="7" t="s">
        <v>14</v>
      </c>
      <c r="R1" s="7" t="s">
        <v>15</v>
      </c>
      <c r="S1" s="7" t="s">
        <v>16</v>
      </c>
      <c r="T1" s="7" t="s">
        <v>17</v>
      </c>
      <c r="U1" s="8" t="s">
        <v>18</v>
      </c>
      <c r="V1" s="9" t="s">
        <v>19</v>
      </c>
      <c r="W1" s="9" t="s">
        <v>20</v>
      </c>
      <c r="X1" s="10" t="s">
        <v>15</v>
      </c>
      <c r="Y1" s="11" t="s">
        <v>21</v>
      </c>
      <c r="Z1" s="11" t="s">
        <v>22</v>
      </c>
      <c r="AA1" s="12"/>
      <c r="AB1" s="12"/>
      <c r="AC1" s="12"/>
      <c r="AD1" s="12"/>
      <c r="AE1" s="12"/>
      <c r="AF1" s="12"/>
      <c r="XFD1" s="0"/>
    </row>
    <row r="2" customFormat="false" ht="15.75" hidden="false" customHeight="false" outlineLevel="0" collapsed="false">
      <c r="A2" s="61" t="n">
        <v>4510</v>
      </c>
      <c r="B2" s="29" t="n">
        <v>44986</v>
      </c>
      <c r="C2" s="21" t="s">
        <v>2019</v>
      </c>
      <c r="D2" s="21" t="s">
        <v>290</v>
      </c>
      <c r="E2" s="21" t="s">
        <v>25</v>
      </c>
      <c r="F2" s="21" t="s">
        <v>2020</v>
      </c>
      <c r="G2" s="30"/>
      <c r="H2" s="45" t="str">
        <f aca="false">HYPERLINK("https://photos.app.goo.gl/NqVYVeBb5jQ2vkEm7", "Completo")</f>
        <v>Completo</v>
      </c>
      <c r="I2" s="21" t="s">
        <v>28</v>
      </c>
      <c r="J2" s="21" t="s">
        <v>29</v>
      </c>
      <c r="K2" s="21" t="s">
        <v>29</v>
      </c>
      <c r="L2" s="21" t="n">
        <v>1131</v>
      </c>
      <c r="M2" s="21"/>
      <c r="N2" s="30"/>
      <c r="O2" s="21"/>
      <c r="P2" s="21"/>
      <c r="Q2" s="21"/>
      <c r="R2" s="32"/>
      <c r="S2" s="32"/>
      <c r="T2" s="21"/>
      <c r="U2" s="21"/>
      <c r="V2" s="21"/>
      <c r="W2" s="21"/>
      <c r="X2" s="21" t="s">
        <v>28</v>
      </c>
    </row>
    <row r="3" customFormat="false" ht="15.75" hidden="false" customHeight="false" outlineLevel="0" collapsed="false">
      <c r="A3" s="61" t="n">
        <v>7073</v>
      </c>
      <c r="B3" s="29" t="n">
        <v>44986</v>
      </c>
      <c r="C3" s="21" t="s">
        <v>389</v>
      </c>
      <c r="D3" s="21" t="s">
        <v>24</v>
      </c>
      <c r="E3" s="21" t="s">
        <v>25</v>
      </c>
      <c r="F3" s="21" t="s">
        <v>2021</v>
      </c>
      <c r="G3" s="30"/>
      <c r="H3" s="45" t="str">
        <f aca="false">HYPERLINK("https://photos.app.goo.gl/ZWSmQrUuz2bKs8hu7", "Completo")</f>
        <v>Completo</v>
      </c>
      <c r="I3" s="21" t="s">
        <v>28</v>
      </c>
      <c r="J3" s="21" t="s">
        <v>29</v>
      </c>
      <c r="K3" s="21" t="s">
        <v>29</v>
      </c>
      <c r="L3" s="21" t="s">
        <v>29</v>
      </c>
      <c r="M3" s="21" t="s">
        <v>2022</v>
      </c>
      <c r="N3" s="30"/>
      <c r="O3" s="21"/>
      <c r="P3" s="66"/>
      <c r="Q3" s="21"/>
      <c r="R3" s="32"/>
      <c r="S3" s="32"/>
      <c r="T3" s="21"/>
      <c r="U3" s="21"/>
      <c r="V3" s="21"/>
      <c r="W3" s="21"/>
      <c r="X3" s="21" t="s">
        <v>28</v>
      </c>
    </row>
    <row r="4" customFormat="false" ht="15.75" hidden="false" customHeight="false" outlineLevel="0" collapsed="false">
      <c r="A4" s="61" t="n">
        <v>7074</v>
      </c>
      <c r="B4" s="29" t="n">
        <v>44986</v>
      </c>
      <c r="C4" s="12" t="s">
        <v>1456</v>
      </c>
      <c r="D4" s="21"/>
      <c r="E4" s="21"/>
      <c r="F4" s="21"/>
      <c r="G4" s="30"/>
      <c r="H4" s="45" t="str">
        <f aca="false">HYPERLINK("https://photos.app.goo.gl/HwBmJuUpdoQ4bUHbA", "Completo")</f>
        <v>Completo</v>
      </c>
      <c r="I4" s="21" t="s">
        <v>28</v>
      </c>
      <c r="J4" s="21" t="s">
        <v>29</v>
      </c>
      <c r="K4" s="21" t="s">
        <v>29</v>
      </c>
      <c r="L4" s="21" t="s">
        <v>29</v>
      </c>
      <c r="M4" s="21" t="s">
        <v>29</v>
      </c>
      <c r="N4" s="30"/>
      <c r="O4" s="21"/>
      <c r="P4" s="21"/>
      <c r="Q4" s="21"/>
      <c r="R4" s="32"/>
      <c r="S4" s="32"/>
      <c r="T4" s="21"/>
      <c r="U4" s="21"/>
      <c r="V4" s="21"/>
      <c r="W4" s="21"/>
      <c r="X4" s="21" t="s">
        <v>28</v>
      </c>
    </row>
    <row r="5" customFormat="false" ht="15.75" hidden="false" customHeight="false" outlineLevel="0" collapsed="false">
      <c r="A5" s="61" t="n">
        <v>7075</v>
      </c>
      <c r="B5" s="29" t="n">
        <v>44987</v>
      </c>
      <c r="C5" s="21" t="s">
        <v>2023</v>
      </c>
      <c r="D5" s="21" t="s">
        <v>24</v>
      </c>
      <c r="E5" s="21" t="s">
        <v>25</v>
      </c>
      <c r="F5" s="21" t="s">
        <v>1695</v>
      </c>
      <c r="G5" s="30" t="s">
        <v>2024</v>
      </c>
      <c r="H5" s="45" t="str">
        <f aca="false">HYPERLINK("https://photos.app.goo.gl/pNH8HAxiSfXm6JqU8", "Completo")</f>
        <v>Completo</v>
      </c>
      <c r="I5" s="21" t="s">
        <v>28</v>
      </c>
      <c r="J5" s="21" t="s">
        <v>2025</v>
      </c>
      <c r="K5" s="21"/>
      <c r="L5" s="21"/>
      <c r="M5" s="21"/>
      <c r="N5" s="30"/>
      <c r="O5" s="21"/>
      <c r="P5" s="21"/>
      <c r="Q5" s="21"/>
      <c r="R5" s="32"/>
      <c r="S5" s="32"/>
      <c r="T5" s="21"/>
      <c r="U5" s="21"/>
      <c r="V5" s="21"/>
      <c r="W5" s="21"/>
      <c r="X5" s="21" t="s">
        <v>28</v>
      </c>
    </row>
    <row r="6" customFormat="false" ht="15.75" hidden="false" customHeight="false" outlineLevel="0" collapsed="false">
      <c r="A6" s="61" t="n">
        <v>7076</v>
      </c>
      <c r="B6" s="29" t="n">
        <v>44987</v>
      </c>
      <c r="C6" s="21" t="s">
        <v>2026</v>
      </c>
      <c r="D6" s="21" t="s">
        <v>24</v>
      </c>
      <c r="E6" s="21" t="s">
        <v>25</v>
      </c>
      <c r="F6" s="21" t="s">
        <v>2027</v>
      </c>
      <c r="G6" s="30"/>
      <c r="H6" s="31" t="s">
        <v>28</v>
      </c>
      <c r="I6" s="21" t="s">
        <v>28</v>
      </c>
      <c r="J6" s="21" t="s">
        <v>2028</v>
      </c>
      <c r="K6" s="21"/>
      <c r="L6" s="21"/>
      <c r="M6" s="21"/>
      <c r="N6" s="30"/>
      <c r="O6" s="21"/>
      <c r="P6" s="66"/>
      <c r="Q6" s="21"/>
      <c r="R6" s="32"/>
      <c r="S6" s="32"/>
      <c r="T6" s="21"/>
      <c r="U6" s="21"/>
      <c r="V6" s="21"/>
      <c r="W6" s="21"/>
      <c r="X6" s="21" t="s">
        <v>28</v>
      </c>
    </row>
    <row r="7" customFormat="false" ht="15.75" hidden="false" customHeight="false" outlineLevel="0" collapsed="false">
      <c r="A7" s="61" t="n">
        <v>7077</v>
      </c>
      <c r="B7" s="29" t="n">
        <v>44987</v>
      </c>
      <c r="C7" s="21" t="s">
        <v>2029</v>
      </c>
      <c r="D7" s="21" t="s">
        <v>24</v>
      </c>
      <c r="E7" s="21" t="s">
        <v>25</v>
      </c>
      <c r="F7" s="21" t="s">
        <v>2027</v>
      </c>
      <c r="G7" s="30"/>
      <c r="H7" s="31" t="s">
        <v>28</v>
      </c>
      <c r="I7" s="21" t="s">
        <v>28</v>
      </c>
      <c r="J7" s="21"/>
      <c r="K7" s="21"/>
      <c r="L7" s="21"/>
      <c r="M7" s="21"/>
      <c r="N7" s="30"/>
      <c r="O7" s="21"/>
      <c r="P7" s="21"/>
      <c r="Q7" s="21"/>
      <c r="R7" s="32"/>
      <c r="S7" s="32"/>
      <c r="T7" s="21"/>
      <c r="U7" s="21"/>
      <c r="V7" s="21"/>
      <c r="W7" s="21"/>
      <c r="X7" s="21" t="s">
        <v>28</v>
      </c>
    </row>
    <row r="8" customFormat="false" ht="15.75" hidden="false" customHeight="false" outlineLevel="0" collapsed="false">
      <c r="A8" s="61" t="n">
        <v>7078</v>
      </c>
      <c r="B8" s="29" t="n">
        <v>44988</v>
      </c>
      <c r="C8" s="21" t="s">
        <v>2030</v>
      </c>
      <c r="D8" s="21" t="s">
        <v>24</v>
      </c>
      <c r="E8" s="21" t="s">
        <v>34</v>
      </c>
      <c r="F8" s="21" t="s">
        <v>2031</v>
      </c>
      <c r="G8" s="30"/>
      <c r="H8" s="31"/>
      <c r="I8" s="21"/>
      <c r="J8" s="21"/>
      <c r="K8" s="21"/>
      <c r="L8" s="21"/>
      <c r="M8" s="21" t="s">
        <v>2032</v>
      </c>
      <c r="N8" s="30"/>
      <c r="O8" s="21"/>
      <c r="P8" s="21"/>
      <c r="Q8" s="21"/>
      <c r="R8" s="32"/>
      <c r="S8" s="32"/>
      <c r="T8" s="21"/>
      <c r="U8" s="21"/>
      <c r="V8" s="21"/>
      <c r="W8" s="21"/>
      <c r="X8" s="21" t="s">
        <v>28</v>
      </c>
    </row>
    <row r="9" customFormat="false" ht="15.75" hidden="false" customHeight="false" outlineLevel="0" collapsed="false">
      <c r="A9" s="61" t="n">
        <v>7079</v>
      </c>
      <c r="B9" s="29" t="n">
        <v>44989</v>
      </c>
      <c r="C9" s="21" t="s">
        <v>2033</v>
      </c>
      <c r="D9" s="21" t="s">
        <v>24</v>
      </c>
      <c r="E9" s="21" t="s">
        <v>25</v>
      </c>
      <c r="F9" s="21" t="s">
        <v>2034</v>
      </c>
      <c r="G9" s="30"/>
      <c r="H9" s="45" t="str">
        <f aca="false">HYPERLINK("https://photos.app.goo.gl/jtznN93pE9oGVdnU8", "Completo")</f>
        <v>Completo</v>
      </c>
      <c r="I9" s="21" t="s">
        <v>28</v>
      </c>
      <c r="J9" s="21" t="s">
        <v>29</v>
      </c>
      <c r="K9" s="21" t="s">
        <v>29</v>
      </c>
      <c r="L9" s="21" t="s">
        <v>29</v>
      </c>
      <c r="M9" s="21" t="s">
        <v>29</v>
      </c>
      <c r="N9" s="30"/>
      <c r="O9" s="21"/>
      <c r="P9" s="21"/>
      <c r="Q9" s="21"/>
      <c r="R9" s="32"/>
      <c r="S9" s="32"/>
      <c r="T9" s="21"/>
      <c r="U9" s="21"/>
      <c r="V9" s="21"/>
      <c r="W9" s="21"/>
      <c r="X9" s="21" t="s">
        <v>28</v>
      </c>
    </row>
    <row r="10" customFormat="false" ht="15.75" hidden="false" customHeight="false" outlineLevel="0" collapsed="false">
      <c r="A10" s="61" t="n">
        <v>7080</v>
      </c>
      <c r="B10" s="29" t="n">
        <v>44989</v>
      </c>
      <c r="C10" s="21" t="s">
        <v>1328</v>
      </c>
      <c r="D10" s="21" t="s">
        <v>24</v>
      </c>
      <c r="E10" s="21" t="s">
        <v>34</v>
      </c>
      <c r="F10" s="21" t="s">
        <v>2035</v>
      </c>
      <c r="G10" s="30"/>
      <c r="H10" s="31"/>
      <c r="I10" s="21"/>
      <c r="J10" s="21"/>
      <c r="K10" s="21"/>
      <c r="L10" s="21"/>
      <c r="M10" s="21" t="s">
        <v>2036</v>
      </c>
      <c r="N10" s="30"/>
      <c r="O10" s="21"/>
      <c r="P10" s="21"/>
      <c r="Q10" s="21"/>
      <c r="R10" s="32"/>
      <c r="S10" s="32"/>
      <c r="T10" s="21"/>
      <c r="U10" s="21"/>
      <c r="V10" s="21"/>
      <c r="W10" s="21"/>
      <c r="X10" s="21" t="s">
        <v>28</v>
      </c>
    </row>
    <row r="11" customFormat="false" ht="15.75" hidden="false" customHeight="false" outlineLevel="0" collapsed="false">
      <c r="A11" s="61" t="n">
        <v>7081</v>
      </c>
      <c r="B11" s="29" t="n">
        <v>44989</v>
      </c>
      <c r="C11" s="21" t="s">
        <v>188</v>
      </c>
      <c r="D11" s="21" t="s">
        <v>24</v>
      </c>
      <c r="E11" s="21" t="s">
        <v>34</v>
      </c>
      <c r="F11" s="21" t="s">
        <v>2037</v>
      </c>
      <c r="G11" s="30"/>
      <c r="H11" s="31"/>
      <c r="I11" s="21"/>
      <c r="J11" s="21"/>
      <c r="K11" s="21"/>
      <c r="L11" s="21"/>
      <c r="M11" s="21" t="s">
        <v>1189</v>
      </c>
      <c r="N11" s="30"/>
      <c r="O11" s="21"/>
      <c r="P11" s="21"/>
      <c r="Q11" s="21"/>
      <c r="R11" s="32"/>
      <c r="S11" s="32"/>
      <c r="T11" s="21"/>
      <c r="U11" s="21"/>
      <c r="V11" s="21"/>
      <c r="W11" s="21"/>
      <c r="X11" s="21" t="s">
        <v>28</v>
      </c>
    </row>
    <row r="12" customFormat="false" ht="15.75" hidden="false" customHeight="false" outlineLevel="0" collapsed="false">
      <c r="A12" s="63" t="n">
        <v>1385733</v>
      </c>
      <c r="B12" s="29" t="n">
        <v>44991</v>
      </c>
      <c r="C12" s="21" t="s">
        <v>299</v>
      </c>
      <c r="D12" s="21" t="s">
        <v>290</v>
      </c>
      <c r="E12" s="21" t="s">
        <v>25</v>
      </c>
      <c r="F12" s="21" t="s">
        <v>2038</v>
      </c>
      <c r="G12" s="30" t="s">
        <v>2039</v>
      </c>
      <c r="H12" s="45" t="str">
        <f aca="false">HYPERLINK("https://photos.app.goo.gl/57oLQhb9TYdJxv9J8", "Completo")</f>
        <v>Completo</v>
      </c>
      <c r="I12" s="21" t="s">
        <v>28</v>
      </c>
      <c r="J12" s="21" t="s">
        <v>29</v>
      </c>
      <c r="K12" s="21" t="s">
        <v>29</v>
      </c>
      <c r="L12" s="21" t="s">
        <v>29</v>
      </c>
      <c r="M12" s="21" t="s">
        <v>2040</v>
      </c>
      <c r="N12" s="30"/>
      <c r="O12" s="21"/>
      <c r="P12" s="21"/>
      <c r="Q12" s="21"/>
      <c r="R12" s="32"/>
      <c r="S12" s="32"/>
      <c r="T12" s="21"/>
      <c r="U12" s="21"/>
      <c r="V12" s="21"/>
      <c r="W12" s="21"/>
      <c r="X12" s="21" t="s">
        <v>28</v>
      </c>
    </row>
    <row r="13" customFormat="false" ht="15.75" hidden="false" customHeight="false" outlineLevel="0" collapsed="false">
      <c r="A13" s="61" t="n">
        <v>7082</v>
      </c>
      <c r="B13" s="29" t="n">
        <v>44991</v>
      </c>
      <c r="C13" s="21" t="s">
        <v>299</v>
      </c>
      <c r="D13" s="21" t="s">
        <v>24</v>
      </c>
      <c r="E13" s="21" t="s">
        <v>25</v>
      </c>
      <c r="F13" s="21" t="s">
        <v>2041</v>
      </c>
      <c r="G13" s="30" t="s">
        <v>2042</v>
      </c>
      <c r="H13" s="45" t="str">
        <f aca="false">HYPERLINK("https://photos.app.goo.gl/vAYy6TKrxyWw4quc7", "Completo")</f>
        <v>Completo</v>
      </c>
      <c r="I13" s="21" t="s">
        <v>28</v>
      </c>
      <c r="J13" s="21" t="s">
        <v>29</v>
      </c>
      <c r="K13" s="21" t="s">
        <v>29</v>
      </c>
      <c r="L13" s="21" t="s">
        <v>29</v>
      </c>
      <c r="M13" s="21" t="s">
        <v>29</v>
      </c>
      <c r="N13" s="30"/>
      <c r="O13" s="21"/>
      <c r="P13" s="21"/>
      <c r="Q13" s="21"/>
      <c r="R13" s="32"/>
      <c r="S13" s="32"/>
      <c r="T13" s="21"/>
      <c r="U13" s="21"/>
      <c r="V13" s="21"/>
      <c r="W13" s="21"/>
      <c r="X13" s="21" t="s">
        <v>28</v>
      </c>
    </row>
    <row r="14" customFormat="false" ht="15.75" hidden="false" customHeight="false" outlineLevel="0" collapsed="false">
      <c r="A14" s="61" t="n">
        <v>7083</v>
      </c>
      <c r="B14" s="29" t="n">
        <v>44991</v>
      </c>
      <c r="C14" s="21" t="s">
        <v>299</v>
      </c>
      <c r="D14" s="21" t="s">
        <v>24</v>
      </c>
      <c r="E14" s="21" t="s">
        <v>25</v>
      </c>
      <c r="F14" s="21" t="s">
        <v>2041</v>
      </c>
      <c r="G14" s="30" t="s">
        <v>2042</v>
      </c>
      <c r="H14" s="45" t="str">
        <f aca="false">HYPERLINK("https://photos.app.goo.gl/Kgbb5mFdD7B4iMMY6", "Completo")</f>
        <v>Completo</v>
      </c>
      <c r="I14" s="21" t="s">
        <v>28</v>
      </c>
      <c r="J14" s="21" t="s">
        <v>29</v>
      </c>
      <c r="K14" s="21" t="s">
        <v>29</v>
      </c>
      <c r="L14" s="21" t="s">
        <v>29</v>
      </c>
      <c r="M14" s="21" t="s">
        <v>29</v>
      </c>
      <c r="N14" s="30"/>
      <c r="O14" s="21"/>
      <c r="P14" s="21"/>
      <c r="Q14" s="21"/>
      <c r="R14" s="32"/>
      <c r="S14" s="32"/>
      <c r="T14" s="21" t="s">
        <v>58</v>
      </c>
      <c r="U14" s="46" t="s">
        <v>28</v>
      </c>
      <c r="V14" s="46" t="s">
        <v>28</v>
      </c>
      <c r="W14" s="21" t="s">
        <v>29</v>
      </c>
      <c r="X14" s="21" t="s">
        <v>28</v>
      </c>
    </row>
    <row r="15" customFormat="false" ht="15.75" hidden="false" customHeight="false" outlineLevel="0" collapsed="false">
      <c r="A15" s="61" t="n">
        <v>7084</v>
      </c>
      <c r="B15" s="29" t="n">
        <v>44988</v>
      </c>
      <c r="C15" s="21" t="s">
        <v>613</v>
      </c>
      <c r="D15" s="21" t="s">
        <v>24</v>
      </c>
      <c r="E15" s="21" t="s">
        <v>25</v>
      </c>
      <c r="F15" s="21" t="s">
        <v>2043</v>
      </c>
      <c r="G15" s="30"/>
      <c r="H15" s="45" t="str">
        <f aca="false">HYPERLINK("https://photos.app.goo.gl/8fG6rz8ZjU7i7FBKA", "Completo")</f>
        <v>Completo</v>
      </c>
      <c r="I15" s="21" t="s">
        <v>28</v>
      </c>
      <c r="J15" s="21"/>
      <c r="K15" s="21"/>
      <c r="L15" s="21"/>
      <c r="M15" s="21"/>
      <c r="N15" s="30"/>
      <c r="O15" s="21"/>
      <c r="P15" s="66"/>
      <c r="Q15" s="21"/>
      <c r="R15" s="32"/>
      <c r="S15" s="32"/>
      <c r="T15" s="21"/>
      <c r="U15" s="21"/>
      <c r="V15" s="21"/>
      <c r="W15" s="21"/>
      <c r="X15" s="21" t="s">
        <v>37</v>
      </c>
    </row>
    <row r="16" customFormat="false" ht="15.75" hidden="false" customHeight="false" outlineLevel="0" collapsed="false">
      <c r="A16" s="61" t="n">
        <v>7085</v>
      </c>
      <c r="B16" s="29" t="n">
        <v>44992</v>
      </c>
      <c r="C16" s="21" t="s">
        <v>2044</v>
      </c>
      <c r="D16" s="21" t="s">
        <v>24</v>
      </c>
      <c r="E16" s="21" t="s">
        <v>25</v>
      </c>
      <c r="F16" s="21" t="s">
        <v>2045</v>
      </c>
      <c r="G16" s="30" t="s">
        <v>2046</v>
      </c>
      <c r="H16" s="45" t="str">
        <f aca="false">HYPERLINK("https://photos.app.goo.gl/kT8knVFVX5XMYbbe9", "Completo")</f>
        <v>Completo</v>
      </c>
      <c r="I16" s="21" t="s">
        <v>28</v>
      </c>
      <c r="J16" s="21" t="s">
        <v>2047</v>
      </c>
      <c r="K16" s="21" t="s">
        <v>2048</v>
      </c>
      <c r="L16" s="21"/>
      <c r="M16" s="21"/>
      <c r="N16" s="30"/>
      <c r="O16" s="21"/>
      <c r="P16" s="66"/>
      <c r="Q16" s="21"/>
      <c r="R16" s="32"/>
      <c r="S16" s="32"/>
      <c r="T16" s="21"/>
      <c r="U16" s="21"/>
      <c r="V16" s="21"/>
      <c r="W16" s="21"/>
      <c r="X16" s="21" t="s">
        <v>28</v>
      </c>
    </row>
    <row r="17" customFormat="false" ht="15.75" hidden="false" customHeight="false" outlineLevel="0" collapsed="false">
      <c r="A17" s="61" t="n">
        <v>7086</v>
      </c>
      <c r="B17" s="29" t="n">
        <v>44992</v>
      </c>
      <c r="C17" s="21" t="s">
        <v>2044</v>
      </c>
      <c r="D17" s="21" t="s">
        <v>24</v>
      </c>
      <c r="E17" s="21" t="s">
        <v>25</v>
      </c>
      <c r="F17" s="21" t="s">
        <v>2049</v>
      </c>
      <c r="G17" s="30" t="s">
        <v>2050</v>
      </c>
      <c r="H17" s="45" t="str">
        <f aca="false">HYPERLINK("https://photos.app.goo.gl/HNABDDxy33v4FfPv9", "Completo")</f>
        <v>Completo</v>
      </c>
      <c r="I17" s="21" t="s">
        <v>28</v>
      </c>
      <c r="J17" s="21"/>
      <c r="K17" s="21"/>
      <c r="L17" s="21"/>
      <c r="M17" s="21"/>
      <c r="N17" s="30"/>
      <c r="O17" s="21"/>
      <c r="P17" s="21"/>
      <c r="Q17" s="21"/>
      <c r="R17" s="32"/>
      <c r="S17" s="32"/>
      <c r="T17" s="21"/>
      <c r="U17" s="66"/>
      <c r="V17" s="66"/>
      <c r="W17" s="21"/>
      <c r="X17" s="21" t="s">
        <v>28</v>
      </c>
    </row>
    <row r="18" customFormat="false" ht="15.75" hidden="false" customHeight="false" outlineLevel="0" collapsed="false">
      <c r="A18" s="61" t="n">
        <v>7087</v>
      </c>
      <c r="B18" s="54" t="n">
        <v>44992</v>
      </c>
      <c r="C18" s="21" t="s">
        <v>2044</v>
      </c>
      <c r="D18" s="21" t="s">
        <v>24</v>
      </c>
      <c r="E18" s="21" t="s">
        <v>25</v>
      </c>
      <c r="F18" s="21" t="s">
        <v>2049</v>
      </c>
      <c r="G18" s="30" t="s">
        <v>2050</v>
      </c>
      <c r="H18" s="45" t="str">
        <f aca="false">HYPERLINK("https://photos.app.goo.gl/JvQJVDN2rLsMTvzq5", "Completo")</f>
        <v>Completo</v>
      </c>
      <c r="I18" s="21" t="s">
        <v>28</v>
      </c>
      <c r="J18" s="21"/>
      <c r="K18" s="21"/>
      <c r="L18" s="21"/>
      <c r="M18" s="21"/>
      <c r="N18" s="30"/>
      <c r="O18" s="21"/>
      <c r="P18" s="21"/>
      <c r="Q18" s="21"/>
      <c r="R18" s="32"/>
      <c r="S18" s="32"/>
      <c r="T18" s="21"/>
      <c r="U18" s="21"/>
      <c r="V18" s="21"/>
      <c r="W18" s="21"/>
      <c r="X18" s="21" t="s">
        <v>28</v>
      </c>
    </row>
    <row r="19" customFormat="false" ht="15.75" hidden="false" customHeight="false" outlineLevel="0" collapsed="false">
      <c r="A19" s="61" t="n">
        <v>7088</v>
      </c>
      <c r="B19" s="29" t="n">
        <v>44993</v>
      </c>
      <c r="C19" s="21" t="s">
        <v>1456</v>
      </c>
      <c r="D19" s="21" t="s">
        <v>24</v>
      </c>
      <c r="E19" s="21" t="s">
        <v>25</v>
      </c>
      <c r="F19" s="21" t="s">
        <v>2051</v>
      </c>
      <c r="G19" s="30"/>
      <c r="H19" s="31" t="s">
        <v>28</v>
      </c>
      <c r="I19" s="21" t="s">
        <v>28</v>
      </c>
      <c r="J19" s="21" t="s">
        <v>29</v>
      </c>
      <c r="K19" s="21" t="s">
        <v>29</v>
      </c>
      <c r="L19" s="21" t="n">
        <v>53715</v>
      </c>
      <c r="M19" s="21"/>
      <c r="N19" s="30"/>
      <c r="O19" s="21"/>
      <c r="P19" s="21"/>
      <c r="Q19" s="21"/>
      <c r="R19" s="32"/>
      <c r="S19" s="32"/>
      <c r="T19" s="21"/>
      <c r="U19" s="21"/>
      <c r="V19" s="21"/>
      <c r="W19" s="21"/>
      <c r="X19" s="21" t="s">
        <v>28</v>
      </c>
    </row>
    <row r="20" customFormat="false" ht="15.75" hidden="false" customHeight="false" outlineLevel="0" collapsed="false">
      <c r="A20" s="61" t="n">
        <v>7089</v>
      </c>
      <c r="B20" s="29" t="n">
        <v>44993</v>
      </c>
      <c r="C20" s="21" t="s">
        <v>1010</v>
      </c>
      <c r="D20" s="21" t="s">
        <v>24</v>
      </c>
      <c r="E20" s="21" t="s">
        <v>34</v>
      </c>
      <c r="F20" s="21" t="s">
        <v>2052</v>
      </c>
      <c r="G20" s="30" t="s">
        <v>36</v>
      </c>
      <c r="H20" s="31" t="s">
        <v>37</v>
      </c>
      <c r="I20" s="21" t="s">
        <v>37</v>
      </c>
      <c r="J20" s="21"/>
      <c r="K20" s="21"/>
      <c r="L20" s="21"/>
      <c r="M20" s="21"/>
      <c r="N20" s="30"/>
      <c r="O20" s="21"/>
      <c r="P20" s="21"/>
      <c r="Q20" s="21"/>
      <c r="R20" s="32"/>
      <c r="S20" s="32"/>
      <c r="T20" s="21"/>
      <c r="U20" s="55"/>
      <c r="V20" s="21"/>
      <c r="W20" s="21"/>
      <c r="X20" s="21" t="s">
        <v>28</v>
      </c>
    </row>
    <row r="21" customFormat="false" ht="15.75" hidden="false" customHeight="false" outlineLevel="0" collapsed="false">
      <c r="A21" s="61" t="n">
        <v>7090</v>
      </c>
      <c r="B21" s="29" t="n">
        <v>44993</v>
      </c>
      <c r="C21" s="21" t="s">
        <v>1456</v>
      </c>
      <c r="D21" s="21" t="s">
        <v>24</v>
      </c>
      <c r="E21" s="21" t="s">
        <v>25</v>
      </c>
      <c r="F21" s="21" t="s">
        <v>2051</v>
      </c>
      <c r="G21" s="30"/>
      <c r="H21" s="31" t="s">
        <v>28</v>
      </c>
      <c r="I21" s="21" t="s">
        <v>28</v>
      </c>
      <c r="J21" s="21" t="s">
        <v>29</v>
      </c>
      <c r="K21" s="21" t="s">
        <v>29</v>
      </c>
      <c r="L21" s="21" t="n">
        <v>53715</v>
      </c>
      <c r="M21" s="21"/>
      <c r="N21" s="30"/>
      <c r="O21" s="21"/>
      <c r="P21" s="21"/>
      <c r="Q21" s="21"/>
      <c r="R21" s="32"/>
      <c r="S21" s="32"/>
      <c r="T21" s="21"/>
      <c r="U21" s="21"/>
      <c r="V21" s="21"/>
      <c r="W21" s="21"/>
      <c r="X21" s="21" t="s">
        <v>28</v>
      </c>
    </row>
    <row r="22" customFormat="false" ht="15.75" hidden="false" customHeight="false" outlineLevel="0" collapsed="false">
      <c r="A22" s="61" t="n">
        <v>7091</v>
      </c>
      <c r="B22" s="29" t="n">
        <v>44993</v>
      </c>
      <c r="C22" s="21" t="s">
        <v>1456</v>
      </c>
      <c r="D22" s="21" t="s">
        <v>24</v>
      </c>
      <c r="E22" s="21" t="s">
        <v>25</v>
      </c>
      <c r="F22" s="21" t="s">
        <v>2053</v>
      </c>
      <c r="G22" s="30"/>
      <c r="H22" s="31" t="s">
        <v>28</v>
      </c>
      <c r="I22" s="21" t="s">
        <v>28</v>
      </c>
      <c r="J22" s="21" t="s">
        <v>29</v>
      </c>
      <c r="K22" s="21" t="s">
        <v>29</v>
      </c>
      <c r="L22" s="21" t="n">
        <v>53715</v>
      </c>
      <c r="M22" s="21"/>
      <c r="N22" s="30"/>
      <c r="O22" s="21"/>
      <c r="P22" s="21"/>
      <c r="Q22" s="21"/>
      <c r="R22" s="32"/>
      <c r="S22" s="32"/>
      <c r="T22" s="21"/>
      <c r="U22" s="21"/>
      <c r="V22" s="21"/>
      <c r="W22" s="21"/>
      <c r="X22" s="21" t="s">
        <v>28</v>
      </c>
    </row>
    <row r="23" customFormat="false" ht="15.75" hidden="false" customHeight="false" outlineLevel="0" collapsed="false">
      <c r="A23" s="61" t="n">
        <v>7092</v>
      </c>
      <c r="B23" s="29" t="n">
        <v>44994</v>
      </c>
      <c r="C23" s="21" t="s">
        <v>2054</v>
      </c>
      <c r="D23" s="21" t="s">
        <v>24</v>
      </c>
      <c r="E23" s="21" t="s">
        <v>25</v>
      </c>
      <c r="F23" s="21" t="s">
        <v>2055</v>
      </c>
      <c r="G23" s="30" t="s">
        <v>2056</v>
      </c>
      <c r="H23" s="45" t="str">
        <f aca="false">HYPERLINK("https://photos.app.goo.gl/fVpxbopGczKh6vwZ6", "Completo")</f>
        <v>Completo</v>
      </c>
      <c r="I23" s="21" t="s">
        <v>28</v>
      </c>
      <c r="J23" s="21" t="s">
        <v>29</v>
      </c>
      <c r="K23" s="21" t="s">
        <v>29</v>
      </c>
      <c r="L23" s="21" t="n">
        <v>16796</v>
      </c>
      <c r="M23" s="21"/>
      <c r="N23" s="30"/>
      <c r="O23" s="21"/>
      <c r="P23" s="21"/>
      <c r="Q23" s="21"/>
      <c r="R23" s="32"/>
      <c r="S23" s="32"/>
      <c r="T23" s="21" t="s">
        <v>58</v>
      </c>
      <c r="U23" s="46" t="s">
        <v>28</v>
      </c>
      <c r="V23" s="21" t="s">
        <v>28</v>
      </c>
      <c r="W23" s="21" t="s">
        <v>29</v>
      </c>
      <c r="X23" s="21" t="s">
        <v>28</v>
      </c>
    </row>
    <row r="24" customFormat="false" ht="15.75" hidden="false" customHeight="false" outlineLevel="0" collapsed="false">
      <c r="A24" s="61" t="n">
        <v>7093</v>
      </c>
      <c r="B24" s="29" t="n">
        <v>44994</v>
      </c>
      <c r="C24" s="21" t="s">
        <v>1290</v>
      </c>
      <c r="D24" s="21" t="s">
        <v>24</v>
      </c>
      <c r="E24" s="21" t="s">
        <v>25</v>
      </c>
      <c r="F24" s="21" t="s">
        <v>2057</v>
      </c>
      <c r="G24" s="30" t="s">
        <v>36</v>
      </c>
      <c r="H24" s="45" t="str">
        <f aca="false">HYPERLINK("https://photos.app.goo.gl/MtWaStkmCGPYznaF7", "Completo")</f>
        <v>Completo</v>
      </c>
      <c r="I24" s="21" t="s">
        <v>28</v>
      </c>
      <c r="J24" s="21" t="s">
        <v>29</v>
      </c>
      <c r="K24" s="21" t="s">
        <v>29</v>
      </c>
      <c r="L24" s="21" t="s">
        <v>29</v>
      </c>
      <c r="M24" s="21" t="s">
        <v>29</v>
      </c>
      <c r="N24" s="30"/>
      <c r="O24" s="21"/>
      <c r="P24" s="21"/>
      <c r="Q24" s="21"/>
      <c r="R24" s="32"/>
      <c r="S24" s="32"/>
      <c r="T24" s="21"/>
      <c r="U24" s="21"/>
      <c r="V24" s="21"/>
      <c r="W24" s="21"/>
      <c r="X24" s="21" t="s">
        <v>28</v>
      </c>
    </row>
    <row r="25" customFormat="false" ht="15.75" hidden="false" customHeight="false" outlineLevel="0" collapsed="false">
      <c r="A25" s="61" t="n">
        <v>7094</v>
      </c>
      <c r="B25" s="29" t="n">
        <v>44996</v>
      </c>
      <c r="C25" s="21" t="s">
        <v>188</v>
      </c>
      <c r="D25" s="21" t="s">
        <v>24</v>
      </c>
      <c r="E25" s="21" t="s">
        <v>34</v>
      </c>
      <c r="F25" s="21" t="s">
        <v>2058</v>
      </c>
      <c r="G25" s="30" t="s">
        <v>36</v>
      </c>
      <c r="H25" s="31" t="s">
        <v>37</v>
      </c>
      <c r="I25" s="21" t="s">
        <v>37</v>
      </c>
      <c r="J25" s="21"/>
      <c r="K25" s="21"/>
      <c r="L25" s="21"/>
      <c r="M25" s="21"/>
      <c r="N25" s="30"/>
      <c r="O25" s="21"/>
      <c r="P25" s="21"/>
      <c r="Q25" s="21"/>
      <c r="R25" s="32"/>
      <c r="S25" s="32"/>
      <c r="T25" s="21"/>
      <c r="U25" s="21"/>
      <c r="V25" s="21"/>
      <c r="W25" s="21"/>
      <c r="X25" s="21" t="s">
        <v>28</v>
      </c>
    </row>
    <row r="26" customFormat="false" ht="15.75" hidden="false" customHeight="false" outlineLevel="0" collapsed="false">
      <c r="A26" s="61" t="n">
        <v>7095</v>
      </c>
      <c r="B26" s="29" t="n">
        <v>44995</v>
      </c>
      <c r="C26" s="21" t="s">
        <v>112</v>
      </c>
      <c r="D26" s="21" t="s">
        <v>24</v>
      </c>
      <c r="E26" s="21" t="s">
        <v>25</v>
      </c>
      <c r="F26" s="21" t="s">
        <v>2059</v>
      </c>
      <c r="G26" s="30" t="s">
        <v>2060</v>
      </c>
      <c r="H26" s="45" t="str">
        <f aca="false">HYPERLINK("https://photos.app.goo.gl/ijiWYMe64rdatYHu6", "Completo")</f>
        <v>Completo</v>
      </c>
      <c r="I26" s="21" t="s">
        <v>28</v>
      </c>
      <c r="J26" s="21" t="s">
        <v>29</v>
      </c>
      <c r="K26" s="21" t="s">
        <v>29</v>
      </c>
      <c r="L26" s="21" t="n">
        <v>3878</v>
      </c>
      <c r="M26" s="21" t="s">
        <v>29</v>
      </c>
      <c r="N26" s="30"/>
      <c r="O26" s="21"/>
      <c r="P26" s="21"/>
      <c r="Q26" s="21"/>
      <c r="R26" s="32"/>
      <c r="S26" s="32"/>
      <c r="T26" s="21" t="s">
        <v>58</v>
      </c>
      <c r="U26" s="46" t="s">
        <v>28</v>
      </c>
      <c r="V26" s="21" t="s">
        <v>28</v>
      </c>
      <c r="W26" s="21" t="s">
        <v>2061</v>
      </c>
      <c r="X26" s="21" t="s">
        <v>28</v>
      </c>
    </row>
    <row r="27" customFormat="false" ht="15.75" hidden="false" customHeight="false" outlineLevel="0" collapsed="false">
      <c r="A27" s="61" t="n">
        <v>7096</v>
      </c>
      <c r="B27" s="29" t="n">
        <v>44995</v>
      </c>
      <c r="C27" s="21" t="s">
        <v>112</v>
      </c>
      <c r="D27" s="21" t="s">
        <v>24</v>
      </c>
      <c r="E27" s="21" t="s">
        <v>25</v>
      </c>
      <c r="F27" s="21" t="s">
        <v>2059</v>
      </c>
      <c r="G27" s="30" t="s">
        <v>2062</v>
      </c>
      <c r="H27" s="45" t="str">
        <f aca="false">HYPERLINK("https://photos.app.goo.gl/zqbbjSG54gPFvwH66", "Completo")</f>
        <v>Completo</v>
      </c>
      <c r="I27" s="21" t="s">
        <v>28</v>
      </c>
      <c r="J27" s="21" t="s">
        <v>29</v>
      </c>
      <c r="K27" s="21" t="s">
        <v>29</v>
      </c>
      <c r="L27" s="21" t="n">
        <v>3878</v>
      </c>
      <c r="M27" s="21" t="s">
        <v>29</v>
      </c>
      <c r="N27" s="30"/>
      <c r="O27" s="21"/>
      <c r="P27" s="21"/>
      <c r="Q27" s="21"/>
      <c r="R27" s="32"/>
      <c r="S27" s="32"/>
      <c r="T27" s="21" t="s">
        <v>74</v>
      </c>
      <c r="U27" s="46" t="s">
        <v>28</v>
      </c>
      <c r="V27" s="46" t="s">
        <v>28</v>
      </c>
      <c r="W27" s="21" t="s">
        <v>2061</v>
      </c>
      <c r="X27" s="21" t="s">
        <v>28</v>
      </c>
    </row>
    <row r="28" customFormat="false" ht="15.75" hidden="false" customHeight="false" outlineLevel="0" collapsed="false">
      <c r="A28" s="61" t="n">
        <v>7097</v>
      </c>
      <c r="B28" s="29" t="n">
        <v>44995</v>
      </c>
      <c r="C28" s="21" t="s">
        <v>112</v>
      </c>
      <c r="D28" s="21" t="s">
        <v>24</v>
      </c>
      <c r="E28" s="21" t="s">
        <v>25</v>
      </c>
      <c r="F28" s="21" t="s">
        <v>2063</v>
      </c>
      <c r="G28" s="30" t="s">
        <v>2064</v>
      </c>
      <c r="H28" s="45" t="str">
        <f aca="false">HYPERLINK("https://photos.app.goo.gl/XgZ4brzqb7kL5CQJA", "Completo")</f>
        <v>Completo</v>
      </c>
      <c r="I28" s="21" t="s">
        <v>28</v>
      </c>
      <c r="J28" s="21" t="s">
        <v>29</v>
      </c>
      <c r="K28" s="21" t="s">
        <v>29</v>
      </c>
      <c r="L28" s="21" t="n">
        <v>3863</v>
      </c>
      <c r="M28" s="21" t="s">
        <v>29</v>
      </c>
      <c r="N28" s="30"/>
      <c r="O28" s="21"/>
      <c r="P28" s="21"/>
      <c r="Q28" s="21"/>
      <c r="R28" s="32"/>
      <c r="S28" s="32"/>
      <c r="T28" s="21" t="s">
        <v>74</v>
      </c>
      <c r="U28" s="46" t="s">
        <v>28</v>
      </c>
      <c r="V28" s="46" t="s">
        <v>28</v>
      </c>
      <c r="W28" s="21" t="s">
        <v>36</v>
      </c>
      <c r="X28" s="21" t="s">
        <v>28</v>
      </c>
    </row>
    <row r="29" customFormat="false" ht="15.75" hidden="false" customHeight="false" outlineLevel="0" collapsed="false">
      <c r="A29" s="61" t="n">
        <v>7098</v>
      </c>
      <c r="B29" s="29" t="n">
        <v>44995</v>
      </c>
      <c r="C29" s="21" t="s">
        <v>112</v>
      </c>
      <c r="D29" s="21" t="s">
        <v>24</v>
      </c>
      <c r="E29" s="21" t="s">
        <v>25</v>
      </c>
      <c r="F29" s="21" t="s">
        <v>2063</v>
      </c>
      <c r="G29" s="30" t="s">
        <v>2064</v>
      </c>
      <c r="H29" s="45" t="str">
        <f aca="false">HYPERLINK("https://photos.app.goo.gl/AqnrZeF4Sxtgf7bu8", "Completo")</f>
        <v>Completo</v>
      </c>
      <c r="I29" s="21" t="s">
        <v>28</v>
      </c>
      <c r="J29" s="21" t="s">
        <v>29</v>
      </c>
      <c r="K29" s="21" t="s">
        <v>29</v>
      </c>
      <c r="L29" s="21" t="n">
        <v>3863</v>
      </c>
      <c r="M29" s="21" t="s">
        <v>29</v>
      </c>
      <c r="N29" s="30"/>
      <c r="O29" s="21"/>
      <c r="P29" s="21"/>
      <c r="Q29" s="21"/>
      <c r="R29" s="32"/>
      <c r="S29" s="32"/>
      <c r="T29" s="21" t="s">
        <v>74</v>
      </c>
      <c r="U29" s="46" t="s">
        <v>28</v>
      </c>
      <c r="V29" s="46" t="s">
        <v>28</v>
      </c>
      <c r="W29" s="21" t="s">
        <v>36</v>
      </c>
      <c r="X29" s="21" t="s">
        <v>28</v>
      </c>
    </row>
    <row r="30" customFormat="false" ht="15.75" hidden="false" customHeight="false" outlineLevel="0" collapsed="false">
      <c r="A30" s="61" t="n">
        <v>7099</v>
      </c>
      <c r="B30" s="29" t="n">
        <v>44998</v>
      </c>
      <c r="C30" s="21" t="s">
        <v>1456</v>
      </c>
      <c r="D30" s="21" t="s">
        <v>24</v>
      </c>
      <c r="E30" s="21" t="s">
        <v>25</v>
      </c>
      <c r="F30" s="21" t="s">
        <v>2065</v>
      </c>
      <c r="G30" s="30" t="s">
        <v>2066</v>
      </c>
      <c r="H30" s="45" t="str">
        <f aca="false">HYPERLINK("https://photos.app.goo.gl/6mLJ29erZCi2tan79", "Completo")</f>
        <v>Completo</v>
      </c>
      <c r="I30" s="21" t="s">
        <v>28</v>
      </c>
      <c r="J30" s="21" t="s">
        <v>29</v>
      </c>
      <c r="K30" s="21" t="s">
        <v>260</v>
      </c>
      <c r="L30" s="21" t="n">
        <v>53741</v>
      </c>
      <c r="M30" s="21"/>
      <c r="N30" s="30"/>
      <c r="O30" s="21"/>
      <c r="P30" s="66"/>
      <c r="Q30" s="21"/>
      <c r="R30" s="32"/>
      <c r="S30" s="32"/>
      <c r="T30" s="21"/>
      <c r="U30" s="21"/>
      <c r="V30" s="21"/>
      <c r="W30" s="21"/>
      <c r="X30" s="21" t="s">
        <v>28</v>
      </c>
    </row>
    <row r="31" customFormat="false" ht="15.75" hidden="false" customHeight="false" outlineLevel="0" collapsed="false">
      <c r="A31" s="61" t="n">
        <v>7100</v>
      </c>
      <c r="B31" s="29" t="n">
        <v>44995</v>
      </c>
      <c r="C31" s="21" t="s">
        <v>75</v>
      </c>
      <c r="D31" s="21" t="s">
        <v>24</v>
      </c>
      <c r="E31" s="21" t="s">
        <v>25</v>
      </c>
      <c r="F31" s="21" t="s">
        <v>2067</v>
      </c>
      <c r="G31" s="30" t="s">
        <v>2068</v>
      </c>
      <c r="H31" s="45" t="str">
        <f aca="false">HYPERLINK("https://photos.app.goo.gl/UNykEjRorztu2PN88", "Completo")</f>
        <v>Completo</v>
      </c>
      <c r="I31" s="21" t="s">
        <v>28</v>
      </c>
      <c r="J31" s="21" t="s">
        <v>29</v>
      </c>
      <c r="K31" s="21" t="s">
        <v>29</v>
      </c>
      <c r="L31" s="21" t="n">
        <v>15513</v>
      </c>
      <c r="M31" s="21"/>
      <c r="N31" s="30"/>
      <c r="O31" s="21"/>
      <c r="P31" s="21"/>
      <c r="Q31" s="21"/>
      <c r="R31" s="32"/>
      <c r="S31" s="32"/>
      <c r="T31" s="21" t="s">
        <v>58</v>
      </c>
      <c r="U31" s="46" t="s">
        <v>28</v>
      </c>
      <c r="V31" s="46" t="s">
        <v>28</v>
      </c>
      <c r="W31" s="21" t="s">
        <v>36</v>
      </c>
      <c r="X31" s="21" t="s">
        <v>28</v>
      </c>
    </row>
    <row r="32" customFormat="false" ht="15.75" hidden="false" customHeight="false" outlineLevel="0" collapsed="false">
      <c r="A32" s="63" t="n">
        <v>1670257</v>
      </c>
      <c r="B32" s="29" t="n">
        <v>44995</v>
      </c>
      <c r="C32" s="21" t="s">
        <v>75</v>
      </c>
      <c r="D32" s="21" t="s">
        <v>290</v>
      </c>
      <c r="E32" s="21" t="s">
        <v>25</v>
      </c>
      <c r="F32" s="21" t="s">
        <v>2067</v>
      </c>
      <c r="G32" s="30" t="s">
        <v>2068</v>
      </c>
      <c r="H32" s="45" t="str">
        <f aca="false">HYPERLINK("https://photos.app.goo.gl/HbsENQw1NAYSLFxa8", "Completo")</f>
        <v>Completo</v>
      </c>
      <c r="I32" s="21" t="s">
        <v>28</v>
      </c>
      <c r="J32" s="21" t="s">
        <v>29</v>
      </c>
      <c r="K32" s="21" t="s">
        <v>29</v>
      </c>
      <c r="L32" s="67" t="n">
        <v>15513</v>
      </c>
      <c r="M32" s="21"/>
      <c r="N32" s="30"/>
      <c r="O32" s="21"/>
      <c r="P32" s="21"/>
      <c r="Q32" s="21"/>
      <c r="R32" s="32"/>
      <c r="S32" s="32"/>
      <c r="T32" s="21" t="s">
        <v>58</v>
      </c>
      <c r="U32" s="46" t="s">
        <v>28</v>
      </c>
      <c r="V32" s="46" t="s">
        <v>28</v>
      </c>
      <c r="W32" s="21" t="s">
        <v>36</v>
      </c>
      <c r="X32" s="21" t="s">
        <v>28</v>
      </c>
    </row>
    <row r="33" customFormat="false" ht="15.75" hidden="false" customHeight="false" outlineLevel="0" collapsed="false">
      <c r="A33" s="63" t="n">
        <v>1499323</v>
      </c>
      <c r="B33" s="29" t="n">
        <v>44995</v>
      </c>
      <c r="C33" s="21" t="s">
        <v>75</v>
      </c>
      <c r="D33" s="21" t="s">
        <v>290</v>
      </c>
      <c r="E33" s="21" t="s">
        <v>25</v>
      </c>
      <c r="F33" s="21" t="s">
        <v>2067</v>
      </c>
      <c r="G33" s="30" t="s">
        <v>2068</v>
      </c>
      <c r="H33" s="45" t="str">
        <f aca="false">HYPERLINK("https://photos.app.goo.gl/M3YXqTMapAdgzWep8", "Completo")</f>
        <v>Completo</v>
      </c>
      <c r="I33" s="21" t="s">
        <v>28</v>
      </c>
      <c r="J33" s="21" t="s">
        <v>29</v>
      </c>
      <c r="K33" s="21" t="s">
        <v>29</v>
      </c>
      <c r="L33" s="21" t="n">
        <v>15513</v>
      </c>
      <c r="M33" s="21"/>
      <c r="N33" s="30"/>
      <c r="O33" s="21"/>
      <c r="P33" s="21"/>
      <c r="Q33" s="21"/>
      <c r="R33" s="32"/>
      <c r="S33" s="32"/>
      <c r="T33" s="21" t="s">
        <v>58</v>
      </c>
      <c r="U33" s="46" t="s">
        <v>28</v>
      </c>
      <c r="V33" s="46" t="s">
        <v>28</v>
      </c>
      <c r="W33" s="21" t="s">
        <v>36</v>
      </c>
      <c r="X33" s="21" t="s">
        <v>28</v>
      </c>
    </row>
    <row r="34" customFormat="false" ht="15.75" hidden="false" customHeight="false" outlineLevel="0" collapsed="false">
      <c r="A34" s="63" t="n">
        <v>1498988</v>
      </c>
      <c r="B34" s="29" t="n">
        <v>44995</v>
      </c>
      <c r="C34" s="21" t="s">
        <v>75</v>
      </c>
      <c r="D34" s="21" t="s">
        <v>290</v>
      </c>
      <c r="E34" s="21" t="s">
        <v>25</v>
      </c>
      <c r="F34" s="21" t="s">
        <v>2067</v>
      </c>
      <c r="G34" s="68" t="s">
        <v>2068</v>
      </c>
      <c r="H34" s="45" t="str">
        <f aca="false">HYPERLINK("https://photos.app.goo.gl/SasJCpNhd6MZRiB86", "Completo")</f>
        <v>Completo</v>
      </c>
      <c r="I34" s="21" t="s">
        <v>28</v>
      </c>
      <c r="J34" s="21" t="s">
        <v>29</v>
      </c>
      <c r="K34" s="21" t="s">
        <v>29</v>
      </c>
      <c r="L34" s="21" t="n">
        <v>15513</v>
      </c>
      <c r="M34" s="21"/>
      <c r="N34" s="30"/>
      <c r="O34" s="21"/>
      <c r="P34" s="21"/>
      <c r="Q34" s="21"/>
      <c r="R34" s="32"/>
      <c r="S34" s="32"/>
      <c r="T34" s="21" t="s">
        <v>58</v>
      </c>
      <c r="U34" s="46" t="s">
        <v>28</v>
      </c>
      <c r="V34" s="21" t="s">
        <v>28</v>
      </c>
      <c r="W34" s="21" t="s">
        <v>36</v>
      </c>
      <c r="X34" s="21" t="s">
        <v>28</v>
      </c>
    </row>
    <row r="35" customFormat="false" ht="15.75" hidden="false" customHeight="false" outlineLevel="0" collapsed="false">
      <c r="A35" s="63" t="n">
        <v>176080</v>
      </c>
      <c r="B35" s="29" t="n">
        <v>44995</v>
      </c>
      <c r="C35" s="21" t="s">
        <v>75</v>
      </c>
      <c r="D35" s="21" t="s">
        <v>290</v>
      </c>
      <c r="E35" s="21" t="s">
        <v>25</v>
      </c>
      <c r="F35" s="21" t="s">
        <v>2069</v>
      </c>
      <c r="G35" s="68" t="s">
        <v>2070</v>
      </c>
      <c r="H35" s="45" t="str">
        <f aca="false">HYPERLINK("https://photos.app.goo.gl/3q4RaQELA9oDq6PX9", "Completo")</f>
        <v>Completo</v>
      </c>
      <c r="I35" s="21" t="s">
        <v>28</v>
      </c>
      <c r="J35" s="21" t="s">
        <v>29</v>
      </c>
      <c r="K35" s="21" t="s">
        <v>29</v>
      </c>
      <c r="L35" s="21" t="n">
        <v>15512</v>
      </c>
      <c r="M35" s="21"/>
      <c r="N35" s="30"/>
      <c r="O35" s="21"/>
      <c r="P35" s="21"/>
      <c r="Q35" s="21"/>
      <c r="R35" s="32"/>
      <c r="S35" s="32"/>
      <c r="T35" s="21" t="s">
        <v>74</v>
      </c>
      <c r="U35" s="46" t="s">
        <v>28</v>
      </c>
      <c r="V35" s="46" t="s">
        <v>28</v>
      </c>
      <c r="W35" s="21" t="s">
        <v>36</v>
      </c>
      <c r="X35" s="21" t="s">
        <v>28</v>
      </c>
    </row>
    <row r="36" customFormat="false" ht="15.75" hidden="false" customHeight="false" outlineLevel="0" collapsed="false">
      <c r="A36" s="63" t="n">
        <v>635524</v>
      </c>
      <c r="B36" s="29" t="n">
        <v>44995</v>
      </c>
      <c r="C36" s="21"/>
      <c r="D36" s="21" t="s">
        <v>290</v>
      </c>
      <c r="E36" s="21" t="s">
        <v>25</v>
      </c>
      <c r="F36" s="21" t="s">
        <v>2069</v>
      </c>
      <c r="G36" s="30" t="s">
        <v>2070</v>
      </c>
      <c r="H36" s="45" t="str">
        <f aca="false">HYPERLINK("https://photos.app.goo.gl/RNb9ZJ1pchhNWYgz9", "Completo")</f>
        <v>Completo</v>
      </c>
      <c r="I36" s="21" t="s">
        <v>28</v>
      </c>
      <c r="J36" s="21" t="s">
        <v>29</v>
      </c>
      <c r="K36" s="21" t="s">
        <v>29</v>
      </c>
      <c r="L36" s="21" t="n">
        <v>15512</v>
      </c>
      <c r="M36" s="21"/>
      <c r="N36" s="30"/>
      <c r="O36" s="21"/>
      <c r="P36" s="21"/>
      <c r="Q36" s="21"/>
      <c r="R36" s="32"/>
      <c r="S36" s="32"/>
      <c r="T36" s="21"/>
      <c r="U36" s="66"/>
      <c r="V36" s="66"/>
      <c r="W36" s="21"/>
      <c r="X36" s="21" t="s">
        <v>28</v>
      </c>
    </row>
    <row r="37" customFormat="false" ht="15.75" hidden="false" customHeight="false" outlineLevel="0" collapsed="false">
      <c r="A37" s="61" t="n">
        <v>7101</v>
      </c>
      <c r="B37" s="29" t="n">
        <v>45001</v>
      </c>
      <c r="C37" s="21" t="s">
        <v>2019</v>
      </c>
      <c r="D37" s="21" t="s">
        <v>24</v>
      </c>
      <c r="E37" s="21" t="s">
        <v>34</v>
      </c>
      <c r="F37" s="21" t="s">
        <v>2071</v>
      </c>
      <c r="G37" s="30" t="s">
        <v>36</v>
      </c>
      <c r="H37" s="31" t="s">
        <v>37</v>
      </c>
      <c r="I37" s="21" t="s">
        <v>37</v>
      </c>
      <c r="J37" s="21"/>
      <c r="K37" s="21"/>
      <c r="L37" s="21"/>
      <c r="M37" s="21"/>
      <c r="N37" s="30"/>
      <c r="O37" s="21"/>
      <c r="P37" s="66"/>
      <c r="Q37" s="21"/>
      <c r="R37" s="32"/>
      <c r="S37" s="32"/>
      <c r="T37" s="21"/>
      <c r="U37" s="21"/>
      <c r="V37" s="21"/>
      <c r="W37" s="21"/>
      <c r="X37" s="21" t="s">
        <v>28</v>
      </c>
    </row>
    <row r="38" customFormat="false" ht="15.75" hidden="false" customHeight="false" outlineLevel="0" collapsed="false">
      <c r="A38" s="61" t="n">
        <v>7102</v>
      </c>
      <c r="B38" s="29" t="n">
        <v>45001</v>
      </c>
      <c r="C38" s="21" t="s">
        <v>75</v>
      </c>
      <c r="D38" s="21" t="s">
        <v>24</v>
      </c>
      <c r="E38" s="21" t="s">
        <v>25</v>
      </c>
      <c r="F38" s="21" t="s">
        <v>2072</v>
      </c>
      <c r="G38" s="30" t="s">
        <v>36</v>
      </c>
      <c r="H38" s="31" t="s">
        <v>28</v>
      </c>
      <c r="I38" s="21" t="s">
        <v>28</v>
      </c>
      <c r="J38" s="21" t="s">
        <v>29</v>
      </c>
      <c r="K38" s="21" t="s">
        <v>29</v>
      </c>
      <c r="L38" s="21" t="n">
        <v>3882</v>
      </c>
      <c r="M38" s="21"/>
      <c r="N38" s="30"/>
      <c r="O38" s="21"/>
      <c r="P38" s="66"/>
      <c r="Q38" s="21"/>
      <c r="R38" s="32"/>
      <c r="S38" s="32"/>
      <c r="T38" s="21"/>
      <c r="U38" s="21"/>
      <c r="V38" s="21"/>
      <c r="W38" s="21"/>
      <c r="X38" s="21" t="s">
        <v>28</v>
      </c>
    </row>
    <row r="39" customFormat="false" ht="15" hidden="false" customHeight="true" outlineLevel="0" collapsed="false">
      <c r="A39" s="61" t="n">
        <v>7102</v>
      </c>
      <c r="B39" s="29" t="n">
        <v>45000</v>
      </c>
      <c r="C39" s="21" t="s">
        <v>1328</v>
      </c>
      <c r="D39" s="21" t="s">
        <v>24</v>
      </c>
      <c r="E39" s="21" t="s">
        <v>25</v>
      </c>
      <c r="F39" s="21" t="s">
        <v>2073</v>
      </c>
      <c r="G39" s="30" t="s">
        <v>36</v>
      </c>
      <c r="H39" s="31" t="s">
        <v>37</v>
      </c>
      <c r="I39" s="21" t="s">
        <v>37</v>
      </c>
      <c r="J39" s="21"/>
      <c r="K39" s="21"/>
      <c r="L39" s="21"/>
      <c r="M39" s="21"/>
      <c r="N39" s="30"/>
      <c r="O39" s="21"/>
      <c r="P39" s="21"/>
      <c r="Q39" s="21"/>
      <c r="R39" s="32"/>
      <c r="S39" s="32"/>
      <c r="T39" s="21"/>
      <c r="U39" s="21"/>
      <c r="V39" s="21"/>
      <c r="W39" s="21"/>
      <c r="X39" s="21" t="s">
        <v>28</v>
      </c>
    </row>
    <row r="40" customFormat="false" ht="15.75" hidden="false" customHeight="false" outlineLevel="0" collapsed="false">
      <c r="A40" s="61" t="n">
        <v>7103</v>
      </c>
      <c r="B40" s="29" t="n">
        <v>45000</v>
      </c>
      <c r="C40" s="21" t="s">
        <v>299</v>
      </c>
      <c r="D40" s="21" t="s">
        <v>24</v>
      </c>
      <c r="E40" s="21" t="s">
        <v>25</v>
      </c>
      <c r="F40" s="21" t="s">
        <v>2074</v>
      </c>
      <c r="G40" s="30" t="s">
        <v>36</v>
      </c>
      <c r="H40" s="31" t="s">
        <v>37</v>
      </c>
      <c r="I40" s="21" t="s">
        <v>37</v>
      </c>
      <c r="J40" s="21"/>
      <c r="K40" s="21"/>
      <c r="L40" s="21"/>
      <c r="M40" s="21"/>
      <c r="N40" s="30"/>
      <c r="O40" s="21"/>
      <c r="P40" s="21"/>
      <c r="Q40" s="21"/>
      <c r="R40" s="32"/>
      <c r="S40" s="32"/>
      <c r="T40" s="21"/>
      <c r="U40" s="21"/>
      <c r="V40" s="21"/>
      <c r="W40" s="21"/>
      <c r="X40" s="21" t="s">
        <v>28</v>
      </c>
    </row>
    <row r="41" customFormat="false" ht="15.75" hidden="false" customHeight="false" outlineLevel="0" collapsed="false">
      <c r="A41" s="61" t="n">
        <v>7104</v>
      </c>
      <c r="B41" s="29" t="n">
        <v>45001</v>
      </c>
      <c r="C41" s="21" t="s">
        <v>1550</v>
      </c>
      <c r="D41" s="21" t="s">
        <v>24</v>
      </c>
      <c r="E41" s="21" t="s">
        <v>34</v>
      </c>
      <c r="F41" s="21" t="s">
        <v>2075</v>
      </c>
      <c r="G41" s="30" t="s">
        <v>36</v>
      </c>
      <c r="H41" s="31" t="s">
        <v>37</v>
      </c>
      <c r="I41" s="21" t="s">
        <v>37</v>
      </c>
      <c r="J41" s="21"/>
      <c r="K41" s="21"/>
      <c r="L41" s="21"/>
      <c r="M41" s="21"/>
      <c r="N41" s="30"/>
      <c r="O41" s="21"/>
      <c r="P41" s="21"/>
      <c r="Q41" s="21"/>
      <c r="R41" s="32"/>
      <c r="S41" s="32"/>
      <c r="T41" s="21"/>
      <c r="U41" s="21"/>
      <c r="V41" s="21"/>
      <c r="W41" s="21"/>
      <c r="X41" s="21" t="s">
        <v>28</v>
      </c>
    </row>
    <row r="42" customFormat="false" ht="15.75" hidden="false" customHeight="false" outlineLevel="0" collapsed="false">
      <c r="A42" s="61" t="n">
        <v>7105</v>
      </c>
      <c r="B42" s="29" t="n">
        <v>45001</v>
      </c>
      <c r="C42" s="21" t="s">
        <v>188</v>
      </c>
      <c r="D42" s="21" t="s">
        <v>24</v>
      </c>
      <c r="E42" s="21" t="s">
        <v>34</v>
      </c>
      <c r="F42" s="21" t="s">
        <v>2076</v>
      </c>
      <c r="G42" s="30" t="s">
        <v>36</v>
      </c>
      <c r="H42" s="31" t="s">
        <v>37</v>
      </c>
      <c r="I42" s="21" t="s">
        <v>37</v>
      </c>
      <c r="J42" s="21"/>
      <c r="K42" s="21"/>
      <c r="L42" s="21"/>
      <c r="M42" s="21"/>
      <c r="N42" s="68"/>
      <c r="O42" s="21"/>
      <c r="P42" s="21"/>
      <c r="Q42" s="21"/>
      <c r="R42" s="32"/>
      <c r="S42" s="32"/>
      <c r="T42" s="21"/>
      <c r="U42" s="66"/>
      <c r="V42" s="66"/>
      <c r="W42" s="21"/>
      <c r="X42" s="21" t="s">
        <v>28</v>
      </c>
    </row>
    <row r="43" customFormat="false" ht="24" hidden="false" customHeight="true" outlineLevel="0" collapsed="false">
      <c r="A43" s="61" t="n">
        <v>7106</v>
      </c>
      <c r="B43" s="29" t="n">
        <v>45001</v>
      </c>
      <c r="C43" s="21" t="s">
        <v>188</v>
      </c>
      <c r="D43" s="21" t="s">
        <v>24</v>
      </c>
      <c r="E43" s="21" t="s">
        <v>34</v>
      </c>
      <c r="F43" s="21" t="s">
        <v>2077</v>
      </c>
      <c r="G43" s="30" t="s">
        <v>36</v>
      </c>
      <c r="H43" s="31" t="s">
        <v>37</v>
      </c>
      <c r="I43" s="21" t="s">
        <v>37</v>
      </c>
      <c r="J43" s="21"/>
      <c r="K43" s="21"/>
      <c r="L43" s="21"/>
      <c r="M43" s="21"/>
      <c r="N43" s="30"/>
      <c r="O43" s="21"/>
      <c r="P43" s="21"/>
      <c r="Q43" s="21"/>
      <c r="R43" s="32"/>
      <c r="S43" s="32"/>
      <c r="T43" s="21"/>
      <c r="U43" s="21"/>
      <c r="V43" s="21"/>
      <c r="W43" s="21"/>
      <c r="X43" s="21" t="s">
        <v>28</v>
      </c>
    </row>
    <row r="44" customFormat="false" ht="15.75" hidden="false" customHeight="false" outlineLevel="0" collapsed="false">
      <c r="A44" s="61" t="n">
        <v>7107</v>
      </c>
      <c r="B44" s="29" t="n">
        <v>45002</v>
      </c>
      <c r="C44" s="21" t="s">
        <v>2078</v>
      </c>
      <c r="D44" s="21" t="s">
        <v>24</v>
      </c>
      <c r="E44" s="21" t="s">
        <v>34</v>
      </c>
      <c r="F44" s="21" t="s">
        <v>2079</v>
      </c>
      <c r="G44" s="30" t="s">
        <v>2080</v>
      </c>
      <c r="H44" s="45" t="str">
        <f aca="false">HYPERLINK("https://photos.app.goo.gl/4ay9D93craSWv4b89", "Completo")</f>
        <v>Completo</v>
      </c>
      <c r="I44" s="21"/>
      <c r="J44" s="21" t="s">
        <v>2081</v>
      </c>
      <c r="K44" s="21"/>
      <c r="L44" s="21"/>
      <c r="M44" s="21" t="s">
        <v>2082</v>
      </c>
      <c r="N44" s="69"/>
      <c r="O44" s="21"/>
      <c r="P44" s="21"/>
      <c r="Q44" s="21"/>
      <c r="R44" s="32"/>
      <c r="S44" s="32"/>
      <c r="T44" s="21"/>
      <c r="U44" s="21"/>
      <c r="V44" s="21"/>
      <c r="W44" s="21"/>
      <c r="X44" s="21" t="s">
        <v>28</v>
      </c>
    </row>
    <row r="45" customFormat="false" ht="15.75" hidden="false" customHeight="false" outlineLevel="0" collapsed="false">
      <c r="A45" s="61" t="n">
        <v>7108</v>
      </c>
      <c r="B45" s="54" t="n">
        <v>45002</v>
      </c>
      <c r="C45" s="21" t="s">
        <v>2078</v>
      </c>
      <c r="D45" s="21" t="s">
        <v>24</v>
      </c>
      <c r="E45" s="21" t="s">
        <v>34</v>
      </c>
      <c r="F45" s="21" t="s">
        <v>2083</v>
      </c>
      <c r="G45" s="30" t="s">
        <v>2084</v>
      </c>
      <c r="H45" s="45" t="str">
        <f aca="false">HYPERLINK("https://photos.app.goo.gl/PWLHRzyzxHDVMPUv5", "Completo")</f>
        <v>Completo</v>
      </c>
      <c r="I45" s="21"/>
      <c r="J45" s="21" t="s">
        <v>2085</v>
      </c>
      <c r="K45" s="21"/>
      <c r="L45" s="21"/>
      <c r="M45" s="21" t="s">
        <v>2082</v>
      </c>
      <c r="N45" s="69"/>
      <c r="O45" s="21"/>
      <c r="P45" s="21"/>
      <c r="Q45" s="21"/>
      <c r="R45" s="32"/>
      <c r="S45" s="32"/>
      <c r="T45" s="21"/>
      <c r="U45" s="21"/>
      <c r="V45" s="21"/>
      <c r="W45" s="21"/>
      <c r="X45" s="21" t="s">
        <v>28</v>
      </c>
    </row>
    <row r="46" customFormat="false" ht="15.75" hidden="false" customHeight="false" outlineLevel="0" collapsed="false">
      <c r="A46" s="61" t="n">
        <v>7109</v>
      </c>
      <c r="B46" s="54" t="n">
        <v>45002</v>
      </c>
      <c r="C46" s="21" t="s">
        <v>705</v>
      </c>
      <c r="D46" s="21" t="s">
        <v>24</v>
      </c>
      <c r="E46" s="21" t="s">
        <v>34</v>
      </c>
      <c r="F46" s="21" t="s">
        <v>2086</v>
      </c>
      <c r="G46" s="30" t="s">
        <v>2087</v>
      </c>
      <c r="H46" s="45" t="str">
        <f aca="false">HYPERLINK("https://photos.app.goo.gl/sf5iiAp3chX1AsMR6", "Completo")</f>
        <v>Completo</v>
      </c>
      <c r="I46" s="21"/>
      <c r="J46" s="21"/>
      <c r="K46" s="21"/>
      <c r="L46" s="21"/>
      <c r="M46" s="21"/>
      <c r="N46" s="69"/>
      <c r="O46" s="21"/>
      <c r="P46" s="21"/>
      <c r="Q46" s="21"/>
      <c r="R46" s="32"/>
      <c r="S46" s="32"/>
      <c r="T46" s="21"/>
      <c r="U46" s="21"/>
      <c r="V46" s="21"/>
      <c r="W46" s="21"/>
      <c r="X46" s="21" t="s">
        <v>37</v>
      </c>
    </row>
    <row r="47" customFormat="false" ht="15.75" hidden="false" customHeight="false" outlineLevel="0" collapsed="false">
      <c r="A47" s="61" t="n">
        <v>7110</v>
      </c>
      <c r="B47" s="29" t="n">
        <v>45002</v>
      </c>
      <c r="C47" s="21" t="s">
        <v>2088</v>
      </c>
      <c r="D47" s="21" t="s">
        <v>24</v>
      </c>
      <c r="E47" s="21" t="s">
        <v>34</v>
      </c>
      <c r="F47" s="21" t="s">
        <v>1668</v>
      </c>
      <c r="G47" s="30" t="s">
        <v>36</v>
      </c>
      <c r="H47" s="31" t="s">
        <v>37</v>
      </c>
      <c r="I47" s="21" t="s">
        <v>37</v>
      </c>
      <c r="J47" s="21"/>
      <c r="K47" s="21"/>
      <c r="L47" s="21"/>
      <c r="M47" s="21"/>
      <c r="N47" s="69"/>
      <c r="O47" s="21"/>
      <c r="P47" s="21"/>
      <c r="Q47" s="21"/>
      <c r="R47" s="32"/>
      <c r="S47" s="32"/>
      <c r="T47" s="21"/>
      <c r="U47" s="21"/>
      <c r="V47" s="21"/>
      <c r="W47" s="21"/>
      <c r="X47" s="21" t="s">
        <v>28</v>
      </c>
    </row>
    <row r="48" customFormat="false" ht="15.75" hidden="false" customHeight="false" outlineLevel="0" collapsed="false">
      <c r="A48" s="61" t="n">
        <v>7111</v>
      </c>
      <c r="B48" s="29" t="n">
        <v>45003</v>
      </c>
      <c r="C48" s="21" t="s">
        <v>188</v>
      </c>
      <c r="D48" s="21" t="s">
        <v>290</v>
      </c>
      <c r="E48" s="21" t="s">
        <v>34</v>
      </c>
      <c r="F48" s="21" t="s">
        <v>2089</v>
      </c>
      <c r="G48" s="30"/>
      <c r="H48" s="31"/>
      <c r="I48" s="21" t="s">
        <v>37</v>
      </c>
      <c r="J48" s="21"/>
      <c r="K48" s="21"/>
      <c r="L48" s="21"/>
      <c r="M48" s="21"/>
      <c r="N48" s="69"/>
      <c r="O48" s="21"/>
      <c r="P48" s="21"/>
      <c r="Q48" s="21"/>
      <c r="R48" s="32"/>
      <c r="S48" s="32"/>
      <c r="T48" s="21"/>
      <c r="U48" s="21"/>
      <c r="V48" s="21"/>
      <c r="W48" s="21"/>
      <c r="X48" s="21" t="s">
        <v>28</v>
      </c>
    </row>
    <row r="49" customFormat="false" ht="15.75" hidden="false" customHeight="false" outlineLevel="0" collapsed="false">
      <c r="A49" s="61" t="n">
        <v>7112</v>
      </c>
      <c r="B49" s="29" t="n">
        <v>45005</v>
      </c>
      <c r="C49" s="21" t="s">
        <v>705</v>
      </c>
      <c r="D49" s="21" t="s">
        <v>24</v>
      </c>
      <c r="E49" s="21" t="s">
        <v>34</v>
      </c>
      <c r="F49" s="21" t="s">
        <v>2090</v>
      </c>
      <c r="G49" s="30" t="s">
        <v>36</v>
      </c>
      <c r="H49" s="31" t="s">
        <v>37</v>
      </c>
      <c r="I49" s="21" t="s">
        <v>37</v>
      </c>
      <c r="J49" s="21"/>
      <c r="K49" s="21"/>
      <c r="L49" s="21"/>
      <c r="M49" s="21"/>
      <c r="N49" s="30"/>
      <c r="O49" s="21"/>
      <c r="P49" s="21"/>
      <c r="Q49" s="21"/>
      <c r="R49" s="32"/>
      <c r="S49" s="32"/>
      <c r="T49" s="21"/>
      <c r="U49" s="21"/>
      <c r="V49" s="21"/>
      <c r="W49" s="21"/>
      <c r="X49" s="21" t="s">
        <v>28</v>
      </c>
    </row>
    <row r="50" customFormat="false" ht="15.75" hidden="false" customHeight="false" outlineLevel="0" collapsed="false">
      <c r="A50" s="61" t="n">
        <v>7113</v>
      </c>
      <c r="B50" s="29" t="n">
        <v>45005</v>
      </c>
      <c r="C50" s="21" t="s">
        <v>188</v>
      </c>
      <c r="D50" s="21" t="s">
        <v>24</v>
      </c>
      <c r="E50" s="21" t="s">
        <v>34</v>
      </c>
      <c r="F50" s="21" t="s">
        <v>2091</v>
      </c>
      <c r="G50" s="30" t="s">
        <v>36</v>
      </c>
      <c r="H50" s="31" t="s">
        <v>37</v>
      </c>
      <c r="I50" s="21" t="s">
        <v>37</v>
      </c>
      <c r="J50" s="21"/>
      <c r="K50" s="21"/>
      <c r="L50" s="21"/>
      <c r="M50" s="21"/>
      <c r="N50" s="30"/>
      <c r="O50" s="21"/>
      <c r="P50" s="21"/>
      <c r="Q50" s="21"/>
      <c r="R50" s="32"/>
      <c r="S50" s="32"/>
      <c r="T50" s="21"/>
      <c r="U50" s="21"/>
      <c r="V50" s="21"/>
      <c r="W50" s="21"/>
      <c r="X50" s="21" t="s">
        <v>28</v>
      </c>
      <c r="Y50" s="12"/>
      <c r="Z50" s="12"/>
      <c r="AA50" s="12"/>
      <c r="AB50" s="12"/>
      <c r="AC50" s="12"/>
      <c r="AD50" s="12"/>
      <c r="AE50" s="12"/>
    </row>
    <row r="51" customFormat="false" ht="15.75" hidden="false" customHeight="false" outlineLevel="0" collapsed="false">
      <c r="A51" s="61" t="n">
        <v>7114</v>
      </c>
      <c r="B51" s="29" t="n">
        <v>45005</v>
      </c>
      <c r="C51" s="21" t="s">
        <v>2092</v>
      </c>
      <c r="D51" s="21" t="s">
        <v>24</v>
      </c>
      <c r="E51" s="21" t="s">
        <v>34</v>
      </c>
      <c r="F51" s="21" t="s">
        <v>1554</v>
      </c>
      <c r="G51" s="30"/>
      <c r="H51" s="31"/>
      <c r="I51" s="21"/>
      <c r="J51" s="21"/>
      <c r="K51" s="21"/>
      <c r="L51" s="21"/>
      <c r="M51" s="21"/>
      <c r="N51" s="30"/>
      <c r="O51" s="21"/>
      <c r="P51" s="21"/>
      <c r="Q51" s="21"/>
      <c r="R51" s="32"/>
      <c r="S51" s="32"/>
      <c r="T51" s="21"/>
      <c r="U51" s="21"/>
      <c r="V51" s="21"/>
      <c r="W51" s="21"/>
      <c r="X51" s="21" t="s">
        <v>28</v>
      </c>
      <c r="Y51" s="12"/>
      <c r="Z51" s="12"/>
      <c r="AA51" s="12"/>
      <c r="AB51" s="12"/>
      <c r="AC51" s="12"/>
      <c r="AD51" s="12"/>
      <c r="AE51" s="12"/>
    </row>
    <row r="52" customFormat="false" ht="15.75" hidden="false" customHeight="false" outlineLevel="0" collapsed="false">
      <c r="A52" s="61" t="n">
        <v>7115</v>
      </c>
      <c r="B52" s="29" t="n">
        <v>45005</v>
      </c>
      <c r="C52" s="21" t="s">
        <v>2093</v>
      </c>
      <c r="D52" s="21" t="s">
        <v>24</v>
      </c>
      <c r="E52" s="21" t="s">
        <v>34</v>
      </c>
      <c r="F52" s="21" t="s">
        <v>2094</v>
      </c>
      <c r="G52" s="30" t="s">
        <v>2095</v>
      </c>
      <c r="H52" s="45" t="str">
        <f aca="false">HYPERLINK("https://photos.app.goo.gl/e7quX6AbpQb8LdTW9", "Completo")</f>
        <v>Completo</v>
      </c>
      <c r="I52" s="21"/>
      <c r="J52" s="21"/>
      <c r="K52" s="21"/>
      <c r="L52" s="21"/>
      <c r="M52" s="21"/>
      <c r="N52" s="30"/>
      <c r="O52" s="21"/>
      <c r="P52" s="21"/>
      <c r="Q52" s="21"/>
      <c r="R52" s="32"/>
      <c r="S52" s="32"/>
      <c r="T52" s="21"/>
      <c r="U52" s="66"/>
      <c r="V52" s="66"/>
      <c r="W52" s="21"/>
      <c r="X52" s="21" t="s">
        <v>28</v>
      </c>
    </row>
    <row r="53" customFormat="false" ht="15.75" hidden="false" customHeight="false" outlineLevel="0" collapsed="false">
      <c r="A53" s="61" t="n">
        <v>7116</v>
      </c>
      <c r="B53" s="29" t="n">
        <v>45006</v>
      </c>
      <c r="C53" s="21" t="s">
        <v>1328</v>
      </c>
      <c r="D53" s="21" t="s">
        <v>24</v>
      </c>
      <c r="E53" s="21" t="s">
        <v>34</v>
      </c>
      <c r="F53" s="21" t="s">
        <v>2096</v>
      </c>
      <c r="G53" s="30" t="s">
        <v>2097</v>
      </c>
      <c r="H53" s="31" t="s">
        <v>28</v>
      </c>
      <c r="I53" s="21"/>
      <c r="J53" s="21"/>
      <c r="K53" s="21"/>
      <c r="L53" s="21"/>
      <c r="M53" s="21"/>
      <c r="N53" s="30"/>
      <c r="O53" s="21"/>
      <c r="P53" s="21"/>
      <c r="Q53" s="21"/>
      <c r="R53" s="32"/>
      <c r="S53" s="32"/>
      <c r="T53" s="21"/>
      <c r="U53" s="21"/>
      <c r="V53" s="21"/>
      <c r="W53" s="21"/>
      <c r="X53" s="21" t="s">
        <v>28</v>
      </c>
    </row>
    <row r="54" customFormat="false" ht="15.75" hidden="false" customHeight="false" outlineLevel="0" collapsed="false">
      <c r="A54" s="61" t="n">
        <v>7117</v>
      </c>
      <c r="B54" s="29" t="n">
        <v>45006</v>
      </c>
      <c r="C54" s="21" t="s">
        <v>2098</v>
      </c>
      <c r="D54" s="21" t="s">
        <v>24</v>
      </c>
      <c r="E54" s="21" t="s">
        <v>34</v>
      </c>
      <c r="F54" s="21" t="s">
        <v>2099</v>
      </c>
      <c r="G54" s="30"/>
      <c r="H54" s="45" t="str">
        <f aca="false">HYPERLINK("https://photos.app.goo.gl/dHWEc7YgyBYWuiK47", "Completo")</f>
        <v>Completo</v>
      </c>
      <c r="I54" s="21"/>
      <c r="J54" s="21"/>
      <c r="K54" s="21"/>
      <c r="L54" s="21"/>
      <c r="M54" s="21"/>
      <c r="N54" s="30"/>
      <c r="O54" s="21"/>
      <c r="P54" s="66"/>
      <c r="Q54" s="21"/>
      <c r="R54" s="32"/>
      <c r="S54" s="32"/>
      <c r="T54" s="21"/>
      <c r="U54" s="21"/>
      <c r="V54" s="21"/>
      <c r="W54" s="21"/>
      <c r="X54" s="21" t="s">
        <v>37</v>
      </c>
    </row>
    <row r="55" customFormat="false" ht="15.75" hidden="false" customHeight="false" outlineLevel="0" collapsed="false">
      <c r="A55" s="61" t="n">
        <v>7118</v>
      </c>
      <c r="B55" s="29" t="n">
        <v>45007</v>
      </c>
      <c r="C55" s="21" t="s">
        <v>2100</v>
      </c>
      <c r="D55" s="21" t="s">
        <v>24</v>
      </c>
      <c r="E55" s="21" t="s">
        <v>34</v>
      </c>
      <c r="F55" s="21" t="s">
        <v>2101</v>
      </c>
      <c r="G55" s="30"/>
      <c r="H55" s="45" t="str">
        <f aca="false">HYPERLINK("https://photos.app.goo.gl/N3NPSr79YfdQd5d46", "Completo")</f>
        <v>Completo</v>
      </c>
      <c r="I55" s="21"/>
      <c r="J55" s="21"/>
      <c r="K55" s="21"/>
      <c r="L55" s="21"/>
      <c r="M55" s="21"/>
      <c r="N55" s="30"/>
      <c r="O55" s="21"/>
      <c r="P55" s="21"/>
      <c r="Q55" s="21"/>
      <c r="R55" s="32"/>
      <c r="S55" s="32"/>
      <c r="T55" s="21"/>
      <c r="U55" s="21"/>
      <c r="V55" s="21"/>
      <c r="W55" s="21"/>
      <c r="X55" s="21" t="s">
        <v>28</v>
      </c>
    </row>
    <row r="56" customFormat="false" ht="15.75" hidden="false" customHeight="false" outlineLevel="0" collapsed="false">
      <c r="A56" s="61" t="n">
        <v>7119</v>
      </c>
      <c r="B56" s="29" t="n">
        <v>44642</v>
      </c>
      <c r="C56" s="21" t="s">
        <v>2102</v>
      </c>
      <c r="D56" s="21" t="s">
        <v>24</v>
      </c>
      <c r="E56" s="21" t="s">
        <v>34</v>
      </c>
      <c r="F56" s="21" t="s">
        <v>2103</v>
      </c>
      <c r="G56" s="30"/>
      <c r="H56" s="31"/>
      <c r="I56" s="21"/>
      <c r="J56" s="21"/>
      <c r="K56" s="21"/>
      <c r="L56" s="21"/>
      <c r="M56" s="21" t="s">
        <v>2104</v>
      </c>
      <c r="N56" s="30"/>
      <c r="O56" s="21"/>
      <c r="P56" s="21"/>
      <c r="Q56" s="21"/>
      <c r="R56" s="32"/>
      <c r="S56" s="32"/>
      <c r="T56" s="21"/>
      <c r="U56" s="21"/>
      <c r="V56" s="21"/>
      <c r="W56" s="21"/>
      <c r="X56" s="21" t="s">
        <v>28</v>
      </c>
    </row>
    <row r="57" customFormat="false" ht="15.75" hidden="false" customHeight="false" outlineLevel="0" collapsed="false">
      <c r="A57" s="61" t="n">
        <v>7120</v>
      </c>
      <c r="B57" s="29" t="n">
        <v>45003</v>
      </c>
      <c r="C57" s="21" t="s">
        <v>188</v>
      </c>
      <c r="D57" s="21" t="s">
        <v>24</v>
      </c>
      <c r="E57" s="21" t="s">
        <v>34</v>
      </c>
      <c r="F57" s="21" t="s">
        <v>2105</v>
      </c>
      <c r="G57" s="30"/>
      <c r="H57" s="31"/>
      <c r="I57" s="21"/>
      <c r="J57" s="21"/>
      <c r="K57" s="21"/>
      <c r="L57" s="21"/>
      <c r="M57" s="21"/>
      <c r="N57" s="30"/>
      <c r="O57" s="21"/>
      <c r="P57" s="21"/>
      <c r="Q57" s="21"/>
      <c r="R57" s="32"/>
      <c r="S57" s="32"/>
      <c r="T57" s="21"/>
      <c r="U57" s="21"/>
      <c r="V57" s="21"/>
      <c r="W57" s="21"/>
      <c r="X57" s="21" t="s">
        <v>28</v>
      </c>
    </row>
    <row r="58" customFormat="false" ht="15.75" hidden="false" customHeight="false" outlineLevel="0" collapsed="false">
      <c r="A58" s="61" t="n">
        <v>7121</v>
      </c>
      <c r="B58" s="29" t="n">
        <v>45008</v>
      </c>
      <c r="C58" s="21" t="s">
        <v>188</v>
      </c>
      <c r="D58" s="21" t="s">
        <v>24</v>
      </c>
      <c r="E58" s="21" t="s">
        <v>34</v>
      </c>
      <c r="F58" s="21" t="s">
        <v>2106</v>
      </c>
      <c r="G58" s="30"/>
      <c r="H58" s="31"/>
      <c r="I58" s="21"/>
      <c r="J58" s="21"/>
      <c r="K58" s="21"/>
      <c r="L58" s="21"/>
      <c r="M58" s="21"/>
      <c r="N58" s="30"/>
      <c r="O58" s="21"/>
      <c r="P58" s="21"/>
      <c r="Q58" s="21"/>
      <c r="R58" s="32"/>
      <c r="S58" s="32"/>
      <c r="T58" s="21"/>
      <c r="U58" s="21"/>
      <c r="V58" s="21"/>
      <c r="W58" s="21"/>
      <c r="X58" s="21" t="s">
        <v>28</v>
      </c>
    </row>
    <row r="59" customFormat="false" ht="15.75" hidden="false" customHeight="false" outlineLevel="0" collapsed="false">
      <c r="A59" s="61" t="n">
        <v>7122</v>
      </c>
      <c r="B59" s="29" t="n">
        <v>45008</v>
      </c>
      <c r="C59" s="21" t="s">
        <v>188</v>
      </c>
      <c r="D59" s="21" t="s">
        <v>24</v>
      </c>
      <c r="E59" s="21" t="s">
        <v>34</v>
      </c>
      <c r="F59" s="21" t="s">
        <v>2107</v>
      </c>
      <c r="G59" s="30"/>
      <c r="H59" s="31"/>
      <c r="I59" s="21"/>
      <c r="J59" s="21"/>
      <c r="K59" s="21"/>
      <c r="L59" s="21"/>
      <c r="M59" s="21"/>
      <c r="N59" s="30"/>
      <c r="O59" s="21"/>
      <c r="P59" s="21"/>
      <c r="Q59" s="21"/>
      <c r="R59" s="32"/>
      <c r="S59" s="32"/>
      <c r="T59" s="21" t="s">
        <v>74</v>
      </c>
      <c r="U59" s="46" t="s">
        <v>28</v>
      </c>
      <c r="V59" s="46" t="s">
        <v>28</v>
      </c>
      <c r="W59" s="21" t="s">
        <v>36</v>
      </c>
      <c r="X59" s="21" t="s">
        <v>28</v>
      </c>
    </row>
    <row r="60" customFormat="false" ht="15.75" hidden="false" customHeight="false" outlineLevel="0" collapsed="false">
      <c r="A60" s="61" t="n">
        <v>7123</v>
      </c>
      <c r="B60" s="29" t="n">
        <v>45008</v>
      </c>
      <c r="C60" s="21" t="s">
        <v>188</v>
      </c>
      <c r="D60" s="21" t="s">
        <v>24</v>
      </c>
      <c r="E60" s="21" t="s">
        <v>34</v>
      </c>
      <c r="F60" s="21" t="s">
        <v>2108</v>
      </c>
      <c r="G60" s="30"/>
      <c r="H60" s="31"/>
      <c r="I60" s="21"/>
      <c r="J60" s="21"/>
      <c r="K60" s="21"/>
      <c r="L60" s="21"/>
      <c r="M60" s="21"/>
      <c r="N60" s="30"/>
      <c r="O60" s="21"/>
      <c r="P60" s="66"/>
      <c r="Q60" s="21"/>
      <c r="R60" s="32"/>
      <c r="S60" s="32"/>
      <c r="T60" s="21" t="s">
        <v>74</v>
      </c>
      <c r="U60" s="46" t="s">
        <v>28</v>
      </c>
      <c r="V60" s="46" t="s">
        <v>28</v>
      </c>
      <c r="W60" s="70" t="s">
        <v>2109</v>
      </c>
      <c r="X60" s="21" t="s">
        <v>28</v>
      </c>
    </row>
    <row r="61" customFormat="false" ht="15.75" hidden="false" customHeight="false" outlineLevel="0" collapsed="false">
      <c r="A61" s="61" t="n">
        <v>7124</v>
      </c>
      <c r="B61" s="29" t="n">
        <v>45009</v>
      </c>
      <c r="C61" s="21" t="s">
        <v>75</v>
      </c>
      <c r="D61" s="21" t="s">
        <v>24</v>
      </c>
      <c r="E61" s="21" t="s">
        <v>34</v>
      </c>
      <c r="F61" s="21" t="s">
        <v>2110</v>
      </c>
      <c r="G61" s="30"/>
      <c r="H61" s="31"/>
      <c r="I61" s="21"/>
      <c r="J61" s="21"/>
      <c r="K61" s="21"/>
      <c r="L61" s="21"/>
      <c r="M61" s="21"/>
      <c r="N61" s="30"/>
      <c r="O61" s="21"/>
      <c r="P61" s="66"/>
      <c r="Q61" s="21"/>
      <c r="R61" s="32"/>
      <c r="S61" s="32"/>
      <c r="T61" s="21"/>
      <c r="U61" s="21"/>
      <c r="V61" s="21"/>
      <c r="W61" s="21"/>
      <c r="X61" s="21" t="s">
        <v>28</v>
      </c>
    </row>
    <row r="62" customFormat="false" ht="15.75" hidden="false" customHeight="false" outlineLevel="0" collapsed="false">
      <c r="A62" s="61" t="n">
        <v>7125</v>
      </c>
      <c r="B62" s="29" t="n">
        <v>45009</v>
      </c>
      <c r="C62" s="21" t="s">
        <v>75</v>
      </c>
      <c r="D62" s="21" t="s">
        <v>24</v>
      </c>
      <c r="E62" s="21" t="s">
        <v>34</v>
      </c>
      <c r="F62" s="21" t="s">
        <v>2110</v>
      </c>
      <c r="G62" s="30"/>
      <c r="H62" s="31"/>
      <c r="I62" s="21"/>
      <c r="J62" s="21"/>
      <c r="K62" s="21"/>
      <c r="L62" s="21"/>
      <c r="M62" s="21"/>
      <c r="N62" s="30"/>
      <c r="O62" s="21"/>
      <c r="P62" s="66"/>
      <c r="Q62" s="21"/>
      <c r="R62" s="32"/>
      <c r="S62" s="32"/>
      <c r="T62" s="21"/>
      <c r="U62" s="21"/>
      <c r="V62" s="21"/>
      <c r="W62" s="21"/>
      <c r="X62" s="21" t="s">
        <v>28</v>
      </c>
    </row>
    <row r="63" customFormat="false" ht="15.75" hidden="false" customHeight="false" outlineLevel="0" collapsed="false">
      <c r="A63" s="61" t="n">
        <v>7126</v>
      </c>
      <c r="B63" s="29" t="n">
        <v>45012</v>
      </c>
      <c r="C63" s="21" t="s">
        <v>274</v>
      </c>
      <c r="D63" s="21" t="s">
        <v>24</v>
      </c>
      <c r="E63" s="21" t="s">
        <v>34</v>
      </c>
      <c r="F63" s="21" t="s">
        <v>2111</v>
      </c>
      <c r="G63" s="30"/>
      <c r="H63" s="31"/>
      <c r="I63" s="21"/>
      <c r="J63" s="21"/>
      <c r="K63" s="21"/>
      <c r="L63" s="21"/>
      <c r="M63" s="21"/>
      <c r="N63" s="30"/>
      <c r="O63" s="21"/>
      <c r="P63" s="21"/>
      <c r="Q63" s="21"/>
      <c r="R63" s="32"/>
      <c r="S63" s="32"/>
      <c r="T63" s="21"/>
      <c r="U63" s="21"/>
      <c r="V63" s="21"/>
      <c r="W63" s="21"/>
      <c r="X63" s="21" t="s">
        <v>28</v>
      </c>
    </row>
    <row r="64" customFormat="false" ht="15.75" hidden="false" customHeight="false" outlineLevel="0" collapsed="false">
      <c r="A64" s="61" t="n">
        <v>7127</v>
      </c>
      <c r="B64" s="29" t="n">
        <v>45012</v>
      </c>
      <c r="C64" s="21" t="s">
        <v>1456</v>
      </c>
      <c r="D64" s="21" t="s">
        <v>24</v>
      </c>
      <c r="E64" s="21" t="s">
        <v>34</v>
      </c>
      <c r="F64" s="21" t="s">
        <v>2112</v>
      </c>
      <c r="G64" s="30"/>
      <c r="H64" s="31"/>
      <c r="I64" s="21"/>
      <c r="J64" s="21"/>
      <c r="K64" s="21"/>
      <c r="L64" s="21"/>
      <c r="M64" s="21"/>
      <c r="N64" s="30"/>
      <c r="O64" s="21"/>
      <c r="P64" s="66"/>
      <c r="Q64" s="21"/>
      <c r="R64" s="32"/>
      <c r="S64" s="32"/>
      <c r="T64" s="21"/>
      <c r="U64" s="21"/>
      <c r="V64" s="21"/>
      <c r="W64" s="21"/>
      <c r="X64" s="21" t="s">
        <v>28</v>
      </c>
    </row>
    <row r="65" customFormat="false" ht="15.75" hidden="false" customHeight="false" outlineLevel="0" collapsed="false">
      <c r="A65" s="61" t="n">
        <v>7128</v>
      </c>
      <c r="B65" s="29" t="n">
        <v>45012</v>
      </c>
      <c r="C65" s="21" t="s">
        <v>1550</v>
      </c>
      <c r="D65" s="21" t="s">
        <v>24</v>
      </c>
      <c r="E65" s="21" t="s">
        <v>25</v>
      </c>
      <c r="F65" s="21" t="s">
        <v>2113</v>
      </c>
      <c r="G65" s="30" t="s">
        <v>2114</v>
      </c>
      <c r="H65" s="45" t="str">
        <f aca="false">HYPERLINK("https://photos.app.goo.gl/cgJLLGDwQsZWScb67", "Completo")</f>
        <v>Completo</v>
      </c>
      <c r="I65" s="21" t="s">
        <v>28</v>
      </c>
      <c r="J65" s="21" t="s">
        <v>29</v>
      </c>
      <c r="K65" s="21" t="s">
        <v>2115</v>
      </c>
      <c r="L65" s="21"/>
      <c r="M65" s="21"/>
      <c r="N65" s="30"/>
      <c r="O65" s="21"/>
      <c r="P65" s="21"/>
      <c r="Q65" s="21"/>
      <c r="R65" s="32"/>
      <c r="S65" s="32"/>
      <c r="T65" s="21"/>
      <c r="U65" s="21"/>
      <c r="V65" s="21"/>
      <c r="W65" s="21"/>
      <c r="X65" s="21" t="s">
        <v>37</v>
      </c>
    </row>
    <row r="66" customFormat="false" ht="15.75" hidden="false" customHeight="false" outlineLevel="0" collapsed="false">
      <c r="A66" s="61" t="n">
        <v>7129</v>
      </c>
      <c r="B66" s="29" t="n">
        <v>45012</v>
      </c>
      <c r="C66" s="21" t="s">
        <v>274</v>
      </c>
      <c r="D66" s="21" t="s">
        <v>24</v>
      </c>
      <c r="E66" s="21" t="s">
        <v>25</v>
      </c>
      <c r="F66" s="21" t="s">
        <v>2116</v>
      </c>
      <c r="G66" s="30"/>
      <c r="H66" s="45" t="str">
        <f aca="false">HYPERLINK("https://photos.app.goo.gl/MnW6eTPDv5cEeBtB6", "Completo")</f>
        <v>Completo</v>
      </c>
      <c r="I66" s="21" t="s">
        <v>28</v>
      </c>
      <c r="J66" s="21" t="s">
        <v>29</v>
      </c>
      <c r="K66" s="21" t="s">
        <v>29</v>
      </c>
      <c r="L66" s="21" t="s">
        <v>29</v>
      </c>
      <c r="M66" s="21" t="s">
        <v>2117</v>
      </c>
      <c r="N66" s="30"/>
      <c r="O66" s="21"/>
      <c r="P66" s="21"/>
      <c r="Q66" s="21"/>
      <c r="R66" s="32"/>
      <c r="S66" s="32"/>
      <c r="T66" s="21"/>
      <c r="U66" s="21"/>
      <c r="V66" s="21"/>
      <c r="W66" s="21"/>
      <c r="X66" s="21" t="s">
        <v>28</v>
      </c>
    </row>
    <row r="67" customFormat="false" ht="15.75" hidden="false" customHeight="false" outlineLevel="0" collapsed="false">
      <c r="A67" s="61" t="n">
        <v>7130</v>
      </c>
      <c r="B67" s="29" t="n">
        <v>45012</v>
      </c>
      <c r="C67" s="21" t="s">
        <v>274</v>
      </c>
      <c r="D67" s="21" t="s">
        <v>24</v>
      </c>
      <c r="E67" s="21" t="s">
        <v>25</v>
      </c>
      <c r="F67" s="21" t="s">
        <v>2118</v>
      </c>
      <c r="G67" s="30"/>
      <c r="H67" s="45" t="str">
        <f aca="false">HYPERLINK("https://photos.app.goo.gl/MnjLc6LTJ8ZKiqHg7", "Completo")</f>
        <v>Completo</v>
      </c>
      <c r="I67" s="21" t="s">
        <v>28</v>
      </c>
      <c r="J67" s="21" t="s">
        <v>29</v>
      </c>
      <c r="K67" s="21" t="s">
        <v>29</v>
      </c>
      <c r="L67" s="21" t="s">
        <v>29</v>
      </c>
      <c r="M67" s="21" t="s">
        <v>2119</v>
      </c>
      <c r="N67" s="30"/>
      <c r="O67" s="21"/>
      <c r="P67" s="21"/>
      <c r="Q67" s="21"/>
      <c r="R67" s="32"/>
      <c r="S67" s="32"/>
      <c r="T67" s="21"/>
      <c r="U67" s="21"/>
      <c r="V67" s="21"/>
      <c r="W67" s="21"/>
      <c r="X67" s="21" t="s">
        <v>28</v>
      </c>
    </row>
    <row r="68" customFormat="false" ht="15.75" hidden="false" customHeight="false" outlineLevel="0" collapsed="false">
      <c r="A68" s="61" t="n">
        <v>7131</v>
      </c>
      <c r="B68" s="29" t="n">
        <v>45015</v>
      </c>
      <c r="C68" s="21" t="s">
        <v>2120</v>
      </c>
      <c r="D68" s="21" t="s">
        <v>24</v>
      </c>
      <c r="E68" s="21" t="s">
        <v>34</v>
      </c>
      <c r="F68" s="21" t="s">
        <v>2121</v>
      </c>
      <c r="G68" s="30"/>
      <c r="H68" s="31"/>
      <c r="I68" s="21"/>
      <c r="J68" s="21" t="n">
        <v>3517601117</v>
      </c>
      <c r="K68" s="21"/>
      <c r="L68" s="21"/>
      <c r="M68" s="21" t="s">
        <v>2122</v>
      </c>
      <c r="N68" s="30"/>
      <c r="O68" s="21"/>
      <c r="P68" s="21"/>
      <c r="Q68" s="21"/>
      <c r="R68" s="32"/>
      <c r="S68" s="32"/>
      <c r="T68" s="21"/>
      <c r="U68" s="21"/>
      <c r="V68" s="21"/>
      <c r="W68" s="21"/>
      <c r="X68" s="21" t="s">
        <v>28</v>
      </c>
    </row>
    <row r="69" customFormat="false" ht="15.75" hidden="false" customHeight="false" outlineLevel="0" collapsed="false">
      <c r="A69" s="61" t="n">
        <v>7132</v>
      </c>
      <c r="B69" s="29" t="n">
        <v>45015</v>
      </c>
      <c r="C69" s="21" t="s">
        <v>357</v>
      </c>
      <c r="D69" s="21" t="s">
        <v>24</v>
      </c>
      <c r="E69" s="21" t="s">
        <v>34</v>
      </c>
      <c r="F69" s="21" t="s">
        <v>2123</v>
      </c>
      <c r="G69" s="30"/>
      <c r="H69" s="31"/>
      <c r="I69" s="21"/>
      <c r="J69" s="21"/>
      <c r="K69" s="21"/>
      <c r="L69" s="21"/>
      <c r="M69" s="21"/>
      <c r="N69" s="30"/>
      <c r="O69" s="21"/>
      <c r="P69" s="21"/>
      <c r="Q69" s="21"/>
      <c r="R69" s="32"/>
      <c r="S69" s="32"/>
      <c r="T69" s="21"/>
      <c r="U69" s="21"/>
      <c r="V69" s="21"/>
      <c r="W69" s="21"/>
      <c r="X69" s="21" t="s">
        <v>28</v>
      </c>
    </row>
    <row r="70" customFormat="false" ht="15.75" hidden="false" customHeight="false" outlineLevel="0" collapsed="false">
      <c r="A70" s="61" t="n">
        <v>7133</v>
      </c>
      <c r="B70" s="29" t="n">
        <v>45015</v>
      </c>
      <c r="C70" s="21" t="s">
        <v>84</v>
      </c>
      <c r="D70" s="21" t="s">
        <v>24</v>
      </c>
      <c r="E70" s="21" t="s">
        <v>34</v>
      </c>
      <c r="F70" s="21" t="s">
        <v>1668</v>
      </c>
      <c r="G70" s="30"/>
      <c r="H70" s="31"/>
      <c r="I70" s="21"/>
      <c r="J70" s="21"/>
      <c r="K70" s="21"/>
      <c r="L70" s="21"/>
      <c r="M70" s="21"/>
      <c r="N70" s="30"/>
      <c r="O70" s="21"/>
      <c r="P70" s="21"/>
      <c r="Q70" s="21"/>
      <c r="R70" s="32"/>
      <c r="S70" s="32"/>
      <c r="T70" s="21"/>
      <c r="U70" s="21"/>
      <c r="V70" s="21"/>
      <c r="W70" s="21"/>
      <c r="X70" s="21" t="s">
        <v>28</v>
      </c>
    </row>
    <row r="71" customFormat="false" ht="15.75" hidden="false" customHeight="false" outlineLevel="0" collapsed="false">
      <c r="A71" s="61" t="n">
        <v>7134</v>
      </c>
      <c r="B71" s="29" t="n">
        <v>45015</v>
      </c>
      <c r="C71" s="21" t="s">
        <v>1666</v>
      </c>
      <c r="D71" s="21" t="s">
        <v>24</v>
      </c>
      <c r="E71" s="21" t="s">
        <v>25</v>
      </c>
      <c r="F71" s="21" t="s">
        <v>852</v>
      </c>
      <c r="G71" s="30"/>
      <c r="H71" s="45" t="str">
        <f aca="false">HYPERLINK("https://photos.app.goo.gl/aM6zrcBH4SVvuFwy6", "Completo")</f>
        <v>Completo</v>
      </c>
      <c r="I71" s="21" t="s">
        <v>28</v>
      </c>
      <c r="J71" s="21" t="s">
        <v>29</v>
      </c>
      <c r="K71" s="21" t="s">
        <v>29</v>
      </c>
      <c r="L71" s="21" t="s">
        <v>29</v>
      </c>
      <c r="M71" s="21" t="s">
        <v>29</v>
      </c>
      <c r="N71" s="30"/>
      <c r="O71" s="21"/>
      <c r="P71" s="21"/>
      <c r="Q71" s="21"/>
      <c r="R71" s="32"/>
      <c r="S71" s="32"/>
      <c r="T71" s="21"/>
      <c r="U71" s="21"/>
      <c r="V71" s="21"/>
      <c r="W71" s="21"/>
      <c r="X71" s="21" t="s">
        <v>28</v>
      </c>
    </row>
    <row r="72" customFormat="false" ht="15.75" hidden="false" customHeight="false" outlineLevel="0" collapsed="false">
      <c r="A72" s="61" t="n">
        <v>7135</v>
      </c>
      <c r="B72" s="29" t="n">
        <v>45015</v>
      </c>
      <c r="C72" s="21" t="s">
        <v>1666</v>
      </c>
      <c r="D72" s="21" t="s">
        <v>24</v>
      </c>
      <c r="E72" s="21" t="s">
        <v>25</v>
      </c>
      <c r="F72" s="21" t="s">
        <v>2124</v>
      </c>
      <c r="G72" s="30"/>
      <c r="H72" s="45" t="str">
        <f aca="false">HYPERLINK("https://photos.app.goo.gl/fLLDn5R8iGYJfdLB7", "Completo")</f>
        <v>Completo</v>
      </c>
      <c r="I72" s="21" t="s">
        <v>28</v>
      </c>
      <c r="J72" s="21" t="s">
        <v>29</v>
      </c>
      <c r="K72" s="21" t="s">
        <v>29</v>
      </c>
      <c r="L72" s="21" t="s">
        <v>29</v>
      </c>
      <c r="M72" s="21" t="s">
        <v>29</v>
      </c>
      <c r="N72" s="30"/>
      <c r="O72" s="21"/>
      <c r="P72" s="21"/>
      <c r="Q72" s="21"/>
      <c r="R72" s="32"/>
      <c r="S72" s="32"/>
      <c r="T72" s="21"/>
      <c r="U72" s="21"/>
      <c r="V72" s="21"/>
      <c r="W72" s="21"/>
      <c r="X72" s="21" t="s">
        <v>28</v>
      </c>
    </row>
    <row r="73" customFormat="false" ht="15.75" hidden="false" customHeight="false" outlineLevel="0" collapsed="false">
      <c r="A73" s="63" t="n">
        <v>562110</v>
      </c>
      <c r="B73" s="29" t="n">
        <v>45016</v>
      </c>
      <c r="C73" s="21" t="s">
        <v>1010</v>
      </c>
      <c r="D73" s="21" t="s">
        <v>290</v>
      </c>
      <c r="E73" s="21" t="s">
        <v>25</v>
      </c>
      <c r="F73" s="21" t="s">
        <v>2125</v>
      </c>
      <c r="G73" s="30" t="s">
        <v>2126</v>
      </c>
      <c r="H73" s="45" t="str">
        <f aca="false">HYPERLINK("https://photos.app.goo.gl/M1JY5qaAvvL8EnsF7", "Completo")</f>
        <v>Completo</v>
      </c>
      <c r="I73" s="21" t="s">
        <v>28</v>
      </c>
      <c r="J73" s="21" t="s">
        <v>29</v>
      </c>
      <c r="K73" s="21" t="s">
        <v>29</v>
      </c>
      <c r="L73" s="21" t="s">
        <v>29</v>
      </c>
      <c r="M73" s="21" t="s">
        <v>29</v>
      </c>
      <c r="N73" s="30"/>
      <c r="O73" s="21"/>
      <c r="P73" s="21"/>
      <c r="Q73" s="21"/>
      <c r="R73" s="32"/>
      <c r="S73" s="32"/>
      <c r="T73" s="21"/>
      <c r="U73" s="21"/>
      <c r="V73" s="21"/>
      <c r="W73" s="21"/>
      <c r="X73" s="21" t="s">
        <v>28</v>
      </c>
    </row>
    <row r="74" customFormat="false" ht="15.75" hidden="false" customHeight="false" outlineLevel="0" collapsed="false">
      <c r="A74" s="61" t="n">
        <v>7136</v>
      </c>
      <c r="B74" s="29" t="n">
        <v>45016</v>
      </c>
      <c r="C74" s="21" t="s">
        <v>1010</v>
      </c>
      <c r="D74" s="21" t="s">
        <v>24</v>
      </c>
      <c r="E74" s="21" t="s">
        <v>25</v>
      </c>
      <c r="F74" s="21" t="s">
        <v>2127</v>
      </c>
      <c r="G74" s="30" t="s">
        <v>2126</v>
      </c>
      <c r="H74" s="45" t="str">
        <f aca="false">HYPERLINK("https://photos.app.goo.gl/XJ44ifwWZ7T3Dqtm7", "Completo")</f>
        <v>Completo</v>
      </c>
      <c r="I74" s="21" t="s">
        <v>28</v>
      </c>
      <c r="J74" s="21" t="s">
        <v>29</v>
      </c>
      <c r="K74" s="21" t="s">
        <v>29</v>
      </c>
      <c r="L74" s="21" t="s">
        <v>29</v>
      </c>
      <c r="M74" s="21" t="s">
        <v>29</v>
      </c>
      <c r="N74" s="30"/>
      <c r="O74" s="21"/>
      <c r="P74" s="21"/>
      <c r="Q74" s="21"/>
      <c r="R74" s="32"/>
      <c r="S74" s="32"/>
      <c r="T74" s="21"/>
      <c r="U74" s="21"/>
      <c r="V74" s="21"/>
      <c r="W74" s="21"/>
      <c r="X74" s="21" t="s">
        <v>28</v>
      </c>
    </row>
    <row r="75" customFormat="false" ht="15.75" hidden="false" customHeight="false" outlineLevel="0" collapsed="false">
      <c r="A75" s="61" t="n">
        <v>7137</v>
      </c>
      <c r="B75" s="29" t="n">
        <v>45016</v>
      </c>
      <c r="C75" s="21" t="s">
        <v>1010</v>
      </c>
      <c r="D75" s="21" t="s">
        <v>24</v>
      </c>
      <c r="E75" s="21" t="s">
        <v>25</v>
      </c>
      <c r="F75" s="21" t="s">
        <v>2127</v>
      </c>
      <c r="G75" s="30" t="s">
        <v>2126</v>
      </c>
      <c r="H75" s="45" t="str">
        <f aca="false">HYPERLINK("https://photos.app.goo.gl/RWeY7FvJqE5mEZ4u9", "Completo")</f>
        <v>Completo</v>
      </c>
      <c r="I75" s="21" t="s">
        <v>28</v>
      </c>
      <c r="J75" s="21" t="s">
        <v>29</v>
      </c>
      <c r="K75" s="21" t="s">
        <v>29</v>
      </c>
      <c r="L75" s="21" t="s">
        <v>29</v>
      </c>
      <c r="M75" s="21" t="s">
        <v>29</v>
      </c>
      <c r="N75" s="30"/>
      <c r="O75" s="21"/>
      <c r="P75" s="21"/>
      <c r="Q75" s="21"/>
      <c r="R75" s="32"/>
      <c r="S75" s="32"/>
      <c r="T75" s="21"/>
      <c r="U75" s="21"/>
      <c r="V75" s="21"/>
      <c r="W75" s="21"/>
      <c r="X75" s="21" t="s">
        <v>28</v>
      </c>
    </row>
    <row r="76" customFormat="false" ht="15.75" hidden="false" customHeight="false" outlineLevel="0" collapsed="false">
      <c r="A76" s="61"/>
      <c r="B76" s="29"/>
      <c r="C76" s="21"/>
      <c r="D76" s="21"/>
      <c r="E76" s="21"/>
      <c r="F76" s="21"/>
      <c r="G76" s="30"/>
      <c r="H76" s="31"/>
      <c r="I76" s="21"/>
      <c r="J76" s="21"/>
      <c r="K76" s="21"/>
      <c r="L76" s="21"/>
      <c r="M76" s="21"/>
      <c r="N76" s="30"/>
      <c r="O76" s="21"/>
      <c r="P76" s="21"/>
      <c r="Q76" s="21"/>
      <c r="R76" s="32"/>
      <c r="S76" s="32"/>
      <c r="T76" s="21"/>
      <c r="U76" s="21"/>
      <c r="V76" s="21"/>
      <c r="W76" s="21"/>
      <c r="X76" s="21"/>
    </row>
    <row r="77" customFormat="false" ht="15.75" hidden="false" customHeight="false" outlineLevel="0" collapsed="false">
      <c r="A77" s="61"/>
      <c r="B77" s="29"/>
      <c r="C77" s="21"/>
      <c r="D77" s="21"/>
      <c r="E77" s="21"/>
      <c r="F77" s="21"/>
      <c r="G77" s="30"/>
      <c r="H77" s="31"/>
      <c r="I77" s="21"/>
      <c r="J77" s="21"/>
      <c r="K77" s="21"/>
      <c r="L77" s="21"/>
      <c r="M77" s="21"/>
      <c r="N77" s="30"/>
      <c r="O77" s="21"/>
      <c r="P77" s="21"/>
      <c r="Q77" s="21"/>
      <c r="R77" s="32"/>
      <c r="S77" s="32"/>
      <c r="T77" s="21"/>
      <c r="U77" s="21"/>
      <c r="V77" s="21"/>
      <c r="W77" s="21"/>
      <c r="X77" s="21"/>
    </row>
    <row r="78" customFormat="false" ht="15.75" hidden="false" customHeight="false" outlineLevel="0" collapsed="false">
      <c r="A78" s="61"/>
      <c r="B78" s="29"/>
      <c r="C78" s="21"/>
      <c r="D78" s="21"/>
      <c r="E78" s="21"/>
      <c r="F78" s="21"/>
      <c r="G78" s="30"/>
      <c r="H78" s="31"/>
      <c r="I78" s="21"/>
      <c r="J78" s="21"/>
      <c r="K78" s="21"/>
      <c r="L78" s="21"/>
      <c r="M78" s="21"/>
      <c r="N78" s="30"/>
      <c r="O78" s="21"/>
      <c r="P78" s="21"/>
      <c r="Q78" s="21"/>
      <c r="R78" s="32"/>
      <c r="S78" s="32"/>
      <c r="T78" s="21"/>
      <c r="U78" s="21"/>
      <c r="V78" s="21"/>
      <c r="W78" s="21"/>
      <c r="X78" s="21"/>
    </row>
    <row r="79" customFormat="false" ht="15.75" hidden="false" customHeight="false" outlineLevel="0" collapsed="false">
      <c r="A79" s="61"/>
      <c r="B79" s="29"/>
      <c r="C79" s="21"/>
      <c r="D79" s="21"/>
      <c r="E79" s="21"/>
      <c r="F79" s="21"/>
      <c r="G79" s="30"/>
      <c r="H79" s="31"/>
      <c r="I79" s="21"/>
      <c r="J79" s="21"/>
      <c r="K79" s="21"/>
      <c r="L79" s="21"/>
      <c r="M79" s="21"/>
      <c r="N79" s="30"/>
      <c r="O79" s="21"/>
      <c r="P79" s="21"/>
      <c r="Q79" s="21"/>
      <c r="R79" s="32"/>
      <c r="S79" s="32"/>
      <c r="T79" s="21"/>
      <c r="U79" s="21"/>
      <c r="V79" s="21"/>
      <c r="W79" s="21"/>
      <c r="X79" s="21"/>
    </row>
    <row r="80" customFormat="false" ht="15.75" hidden="false" customHeight="false" outlineLevel="0" collapsed="false">
      <c r="A80" s="61"/>
      <c r="B80" s="29"/>
      <c r="C80" s="21"/>
      <c r="D80" s="21"/>
      <c r="E80" s="21"/>
      <c r="F80" s="21"/>
      <c r="G80" s="30"/>
      <c r="H80" s="31"/>
      <c r="I80" s="21"/>
      <c r="J80" s="21"/>
      <c r="K80" s="21"/>
      <c r="L80" s="21"/>
      <c r="M80" s="21"/>
      <c r="N80" s="30"/>
      <c r="O80" s="21"/>
      <c r="P80" s="21"/>
      <c r="Q80" s="21"/>
      <c r="R80" s="32"/>
      <c r="S80" s="32"/>
      <c r="T80" s="21"/>
      <c r="U80" s="21"/>
      <c r="V80" s="21"/>
      <c r="W80" s="21"/>
      <c r="X80" s="21"/>
    </row>
    <row r="81" customFormat="false" ht="15.75" hidden="false" customHeight="false" outlineLevel="0" collapsed="false">
      <c r="A81" s="61"/>
      <c r="B81" s="29"/>
      <c r="C81" s="21"/>
      <c r="D81" s="21"/>
      <c r="E81" s="21"/>
      <c r="F81" s="21"/>
      <c r="G81" s="30"/>
      <c r="H81" s="31"/>
      <c r="I81" s="21"/>
      <c r="J81" s="21"/>
      <c r="K81" s="21"/>
      <c r="L81" s="21"/>
      <c r="M81" s="21"/>
      <c r="N81" s="30"/>
      <c r="O81" s="21"/>
      <c r="P81" s="21"/>
      <c r="Q81" s="21"/>
      <c r="R81" s="32"/>
      <c r="S81" s="32"/>
      <c r="T81" s="21"/>
      <c r="U81" s="21"/>
      <c r="V81" s="21"/>
      <c r="W81" s="21"/>
      <c r="X81" s="21"/>
    </row>
    <row r="82" customFormat="false" ht="15.75" hidden="false" customHeight="false" outlineLevel="0" collapsed="false">
      <c r="A82" s="61"/>
      <c r="B82" s="29"/>
      <c r="C82" s="21"/>
      <c r="D82" s="21"/>
      <c r="E82" s="21"/>
      <c r="F82" s="21"/>
      <c r="G82" s="30"/>
      <c r="H82" s="31"/>
      <c r="I82" s="21"/>
      <c r="J82" s="21"/>
      <c r="K82" s="21"/>
      <c r="L82" s="21"/>
      <c r="M82" s="21"/>
      <c r="N82" s="30"/>
      <c r="O82" s="21"/>
      <c r="P82" s="21"/>
      <c r="Q82" s="21"/>
      <c r="R82" s="32"/>
      <c r="S82" s="32"/>
      <c r="T82" s="21"/>
      <c r="U82" s="21"/>
      <c r="V82" s="21"/>
      <c r="W82" s="21"/>
      <c r="X82" s="21"/>
    </row>
    <row r="83" customFormat="false" ht="15.75" hidden="false" customHeight="false" outlineLevel="0" collapsed="false">
      <c r="A83" s="61"/>
      <c r="B83" s="29"/>
      <c r="C83" s="21"/>
      <c r="D83" s="21"/>
      <c r="E83" s="21"/>
      <c r="F83" s="21"/>
      <c r="G83" s="30"/>
      <c r="H83" s="31"/>
      <c r="I83" s="21"/>
      <c r="J83" s="21"/>
      <c r="K83" s="21"/>
      <c r="L83" s="21"/>
      <c r="M83" s="21"/>
      <c r="N83" s="30"/>
      <c r="O83" s="21"/>
      <c r="P83" s="21"/>
      <c r="Q83" s="21"/>
      <c r="R83" s="32"/>
      <c r="S83" s="32"/>
      <c r="T83" s="21"/>
      <c r="U83" s="21"/>
      <c r="V83" s="21"/>
      <c r="W83" s="21"/>
      <c r="X83" s="21"/>
    </row>
    <row r="84" customFormat="false" ht="15.75" hidden="false" customHeight="false" outlineLevel="0" collapsed="false">
      <c r="A84" s="61"/>
      <c r="B84" s="29"/>
      <c r="C84" s="21"/>
      <c r="D84" s="21"/>
      <c r="E84" s="21"/>
      <c r="F84" s="21"/>
      <c r="G84" s="30"/>
      <c r="H84" s="31"/>
      <c r="I84" s="21"/>
      <c r="J84" s="21"/>
      <c r="K84" s="21"/>
      <c r="L84" s="21"/>
      <c r="M84" s="21"/>
      <c r="N84" s="30"/>
      <c r="O84" s="21"/>
      <c r="P84" s="21"/>
      <c r="Q84" s="21"/>
      <c r="R84" s="32"/>
      <c r="S84" s="32"/>
      <c r="T84" s="21"/>
      <c r="U84" s="21"/>
      <c r="V84" s="21"/>
      <c r="W84" s="21"/>
      <c r="X84" s="21"/>
    </row>
    <row r="85" customFormat="false" ht="15.75" hidden="false" customHeight="false" outlineLevel="0" collapsed="false">
      <c r="A85" s="61"/>
      <c r="B85" s="29"/>
      <c r="C85" s="21"/>
      <c r="D85" s="21"/>
      <c r="E85" s="21"/>
      <c r="F85" s="21"/>
      <c r="G85" s="30"/>
      <c r="H85" s="31"/>
      <c r="I85" s="21"/>
      <c r="J85" s="21"/>
      <c r="K85" s="21"/>
      <c r="L85" s="21"/>
      <c r="M85" s="21"/>
      <c r="N85" s="30"/>
      <c r="O85" s="21"/>
      <c r="P85" s="21"/>
      <c r="Q85" s="21"/>
      <c r="R85" s="32"/>
      <c r="S85" s="32"/>
      <c r="T85" s="21"/>
      <c r="U85" s="21"/>
      <c r="V85" s="21"/>
      <c r="W85" s="21"/>
      <c r="X85" s="21"/>
    </row>
    <row r="86" customFormat="false" ht="15.75" hidden="false" customHeight="false" outlineLevel="0" collapsed="false">
      <c r="A86" s="61"/>
      <c r="B86" s="29"/>
      <c r="C86" s="21"/>
      <c r="D86" s="21"/>
      <c r="E86" s="21"/>
      <c r="F86" s="21"/>
      <c r="G86" s="30"/>
      <c r="H86" s="31"/>
      <c r="I86" s="21"/>
      <c r="J86" s="21"/>
      <c r="K86" s="21"/>
      <c r="L86" s="21"/>
      <c r="M86" s="21"/>
      <c r="N86" s="30"/>
      <c r="O86" s="21"/>
      <c r="P86" s="21"/>
      <c r="Q86" s="21"/>
      <c r="R86" s="32"/>
      <c r="S86" s="32"/>
      <c r="T86" s="21"/>
      <c r="U86" s="21"/>
      <c r="V86" s="21"/>
      <c r="W86" s="21"/>
      <c r="X86" s="21"/>
    </row>
    <row r="87" customFormat="false" ht="15.75" hidden="false" customHeight="false" outlineLevel="0" collapsed="false">
      <c r="A87" s="61"/>
      <c r="B87" s="29"/>
      <c r="C87" s="21"/>
      <c r="D87" s="21"/>
      <c r="E87" s="21"/>
      <c r="F87" s="21"/>
      <c r="G87" s="30"/>
      <c r="H87" s="31"/>
      <c r="I87" s="21"/>
      <c r="J87" s="21"/>
      <c r="K87" s="21"/>
      <c r="L87" s="21"/>
      <c r="M87" s="21"/>
      <c r="N87" s="30"/>
      <c r="O87" s="21"/>
      <c r="P87" s="21"/>
      <c r="Q87" s="21"/>
      <c r="R87" s="32"/>
      <c r="S87" s="32"/>
      <c r="T87" s="21"/>
      <c r="U87" s="21"/>
      <c r="V87" s="21"/>
      <c r="W87" s="21"/>
      <c r="X87" s="21"/>
    </row>
    <row r="88" customFormat="false" ht="15.75" hidden="false" customHeight="false" outlineLevel="0" collapsed="false">
      <c r="A88" s="61"/>
      <c r="B88" s="29"/>
      <c r="C88" s="21"/>
      <c r="D88" s="21"/>
      <c r="E88" s="21"/>
      <c r="F88" s="21"/>
      <c r="G88" s="30"/>
      <c r="H88" s="31"/>
      <c r="I88" s="21"/>
      <c r="J88" s="21"/>
      <c r="K88" s="21"/>
      <c r="L88" s="21"/>
      <c r="M88" s="21"/>
      <c r="N88" s="30"/>
      <c r="O88" s="21"/>
      <c r="P88" s="21"/>
      <c r="Q88" s="21"/>
      <c r="R88" s="32"/>
      <c r="S88" s="32"/>
      <c r="T88" s="21"/>
      <c r="U88" s="21"/>
      <c r="V88" s="21"/>
      <c r="W88" s="21"/>
      <c r="X88" s="21"/>
    </row>
    <row r="89" customFormat="false" ht="15.75" hidden="false" customHeight="false" outlineLevel="0" collapsed="false">
      <c r="A89" s="61"/>
      <c r="B89" s="29"/>
      <c r="C89" s="21"/>
      <c r="D89" s="21"/>
      <c r="E89" s="21"/>
      <c r="F89" s="21"/>
      <c r="G89" s="30"/>
      <c r="H89" s="31"/>
      <c r="I89" s="21"/>
      <c r="J89" s="21"/>
      <c r="K89" s="21"/>
      <c r="L89" s="21"/>
      <c r="M89" s="21"/>
      <c r="N89" s="30"/>
      <c r="O89" s="21"/>
      <c r="P89" s="21"/>
      <c r="Q89" s="21"/>
      <c r="R89" s="32"/>
      <c r="S89" s="32"/>
      <c r="T89" s="21"/>
      <c r="U89" s="21"/>
      <c r="V89" s="21"/>
      <c r="W89" s="21"/>
      <c r="X89" s="21"/>
    </row>
    <row r="90" customFormat="false" ht="15.75" hidden="false" customHeight="false" outlineLevel="0" collapsed="false">
      <c r="A90" s="61"/>
      <c r="B90" s="29"/>
      <c r="C90" s="21"/>
      <c r="D90" s="21"/>
      <c r="E90" s="21"/>
      <c r="F90" s="21"/>
      <c r="G90" s="30"/>
      <c r="H90" s="31"/>
      <c r="I90" s="21"/>
      <c r="J90" s="21"/>
      <c r="K90" s="21"/>
      <c r="L90" s="21"/>
      <c r="M90" s="21"/>
      <c r="N90" s="30"/>
      <c r="O90" s="21"/>
      <c r="P90" s="21"/>
      <c r="Q90" s="21"/>
      <c r="R90" s="32"/>
      <c r="S90" s="32"/>
      <c r="T90" s="21"/>
      <c r="U90" s="21"/>
      <c r="V90" s="21"/>
      <c r="W90" s="21"/>
      <c r="X90" s="21"/>
    </row>
    <row r="91" customFormat="false" ht="15.75" hidden="false" customHeight="false" outlineLevel="0" collapsed="false">
      <c r="A91" s="61"/>
      <c r="B91" s="29"/>
      <c r="C91" s="21"/>
      <c r="D91" s="21"/>
      <c r="E91" s="21"/>
      <c r="F91" s="21"/>
      <c r="G91" s="30"/>
      <c r="H91" s="31"/>
      <c r="I91" s="21"/>
      <c r="J91" s="21"/>
      <c r="K91" s="21"/>
      <c r="L91" s="21"/>
      <c r="M91" s="21"/>
      <c r="N91" s="30"/>
      <c r="O91" s="21"/>
      <c r="P91" s="21"/>
      <c r="Q91" s="21"/>
      <c r="R91" s="32"/>
      <c r="S91" s="32"/>
      <c r="T91" s="21"/>
      <c r="U91" s="21"/>
      <c r="V91" s="21"/>
      <c r="W91" s="21"/>
      <c r="X91" s="21"/>
    </row>
    <row r="92" customFormat="false" ht="15.75" hidden="false" customHeight="false" outlineLevel="0" collapsed="false">
      <c r="A92" s="61"/>
      <c r="B92" s="29"/>
      <c r="C92" s="21"/>
      <c r="D92" s="21"/>
      <c r="E92" s="21"/>
      <c r="F92" s="21"/>
      <c r="G92" s="30"/>
      <c r="H92" s="31"/>
      <c r="I92" s="21"/>
      <c r="J92" s="21"/>
      <c r="K92" s="21"/>
      <c r="L92" s="21"/>
      <c r="M92" s="21"/>
      <c r="N92" s="30"/>
      <c r="O92" s="21"/>
      <c r="P92" s="21"/>
      <c r="Q92" s="21"/>
      <c r="R92" s="32"/>
      <c r="S92" s="32"/>
      <c r="T92" s="21"/>
      <c r="U92" s="21"/>
      <c r="V92" s="21"/>
      <c r="W92" s="21"/>
      <c r="X92" s="21"/>
    </row>
    <row r="93" customFormat="false" ht="15.75" hidden="false" customHeight="false" outlineLevel="0" collapsed="false">
      <c r="A93" s="61"/>
      <c r="B93" s="29"/>
      <c r="C93" s="21"/>
      <c r="D93" s="21"/>
      <c r="E93" s="21"/>
      <c r="F93" s="21"/>
      <c r="G93" s="30"/>
      <c r="H93" s="31"/>
      <c r="I93" s="21"/>
      <c r="J93" s="21"/>
      <c r="K93" s="21"/>
      <c r="L93" s="21"/>
      <c r="M93" s="21"/>
      <c r="N93" s="30"/>
      <c r="O93" s="21"/>
      <c r="P93" s="21"/>
      <c r="Q93" s="21"/>
      <c r="R93" s="32"/>
      <c r="S93" s="32"/>
      <c r="T93" s="21"/>
      <c r="U93" s="21"/>
      <c r="V93" s="21"/>
      <c r="W93" s="21"/>
      <c r="X93" s="21"/>
    </row>
    <row r="94" customFormat="false" ht="15.75" hidden="false" customHeight="false" outlineLevel="0" collapsed="false">
      <c r="A94" s="61"/>
      <c r="B94" s="29"/>
      <c r="C94" s="21"/>
      <c r="D94" s="21"/>
      <c r="E94" s="21"/>
      <c r="F94" s="21"/>
      <c r="G94" s="30"/>
      <c r="H94" s="31"/>
      <c r="I94" s="21"/>
      <c r="J94" s="21"/>
      <c r="K94" s="21"/>
      <c r="L94" s="21"/>
      <c r="M94" s="21"/>
      <c r="N94" s="30"/>
      <c r="O94" s="21"/>
      <c r="P94" s="21"/>
      <c r="Q94" s="21"/>
      <c r="R94" s="32"/>
      <c r="S94" s="32"/>
      <c r="T94" s="21"/>
      <c r="U94" s="21"/>
      <c r="V94" s="21"/>
      <c r="W94" s="21"/>
      <c r="X94" s="21"/>
    </row>
    <row r="95" customFormat="false" ht="15.75" hidden="false" customHeight="false" outlineLevel="0" collapsed="false">
      <c r="A95" s="61"/>
      <c r="B95" s="29"/>
      <c r="C95" s="21"/>
      <c r="D95" s="21"/>
      <c r="E95" s="21"/>
      <c r="F95" s="21"/>
      <c r="G95" s="30"/>
      <c r="H95" s="31"/>
      <c r="I95" s="21"/>
      <c r="J95" s="21"/>
      <c r="K95" s="21"/>
      <c r="L95" s="21"/>
      <c r="M95" s="21"/>
      <c r="N95" s="30"/>
      <c r="O95" s="21"/>
      <c r="P95" s="21"/>
      <c r="Q95" s="21"/>
      <c r="R95" s="32"/>
      <c r="S95" s="32"/>
      <c r="T95" s="21"/>
      <c r="U95" s="21"/>
      <c r="V95" s="21"/>
      <c r="W95" s="21"/>
      <c r="X95" s="21"/>
    </row>
    <row r="96" customFormat="false" ht="15.75" hidden="false" customHeight="false" outlineLevel="0" collapsed="false">
      <c r="A96" s="61"/>
      <c r="B96" s="29"/>
      <c r="C96" s="21"/>
      <c r="D96" s="21"/>
      <c r="E96" s="21"/>
      <c r="F96" s="21"/>
      <c r="G96" s="30"/>
      <c r="H96" s="31"/>
      <c r="I96" s="21"/>
      <c r="J96" s="21"/>
      <c r="K96" s="21"/>
      <c r="L96" s="21"/>
      <c r="M96" s="21"/>
      <c r="N96" s="30"/>
      <c r="O96" s="21"/>
      <c r="P96" s="21"/>
      <c r="Q96" s="21"/>
      <c r="R96" s="32"/>
      <c r="S96" s="32"/>
      <c r="T96" s="21"/>
      <c r="U96" s="21"/>
      <c r="V96" s="21"/>
      <c r="W96" s="21"/>
      <c r="X96" s="21"/>
    </row>
    <row r="97" customFormat="false" ht="15.75" hidden="false" customHeight="false" outlineLevel="0" collapsed="false">
      <c r="A97" s="61"/>
      <c r="B97" s="29"/>
      <c r="C97" s="21"/>
      <c r="D97" s="21"/>
      <c r="E97" s="21"/>
      <c r="F97" s="21"/>
      <c r="G97" s="30"/>
      <c r="H97" s="31"/>
      <c r="I97" s="21"/>
      <c r="J97" s="21"/>
      <c r="K97" s="21"/>
      <c r="L97" s="21"/>
      <c r="M97" s="21"/>
      <c r="N97" s="30"/>
      <c r="O97" s="21"/>
      <c r="P97" s="21"/>
      <c r="Q97" s="21"/>
      <c r="R97" s="32"/>
      <c r="S97" s="32"/>
      <c r="T97" s="21"/>
      <c r="U97" s="21"/>
      <c r="V97" s="21"/>
      <c r="W97" s="21"/>
      <c r="X97" s="21"/>
    </row>
    <row r="98" customFormat="false" ht="15.75" hidden="false" customHeight="false" outlineLevel="0" collapsed="false">
      <c r="A98" s="61"/>
      <c r="B98" s="29"/>
      <c r="C98" s="21"/>
      <c r="D98" s="21"/>
      <c r="E98" s="21"/>
      <c r="F98" s="21"/>
      <c r="G98" s="30"/>
      <c r="H98" s="31"/>
      <c r="I98" s="21"/>
      <c r="J98" s="21"/>
      <c r="K98" s="21"/>
      <c r="L98" s="21"/>
      <c r="M98" s="21"/>
      <c r="N98" s="30"/>
      <c r="O98" s="21"/>
      <c r="P98" s="21"/>
      <c r="Q98" s="21"/>
      <c r="R98" s="32"/>
      <c r="S98" s="32"/>
      <c r="T98" s="21"/>
      <c r="U98" s="21"/>
      <c r="V98" s="21"/>
      <c r="W98" s="21"/>
      <c r="X98" s="21"/>
    </row>
    <row r="99" customFormat="false" ht="15.75" hidden="false" customHeight="false" outlineLevel="0" collapsed="false">
      <c r="A99" s="61"/>
      <c r="B99" s="29"/>
      <c r="C99" s="21"/>
      <c r="D99" s="21"/>
      <c r="E99" s="21"/>
      <c r="F99" s="21"/>
      <c r="G99" s="30"/>
      <c r="H99" s="31"/>
      <c r="I99" s="21"/>
      <c r="J99" s="21"/>
      <c r="K99" s="21"/>
      <c r="L99" s="21"/>
      <c r="M99" s="21"/>
      <c r="N99" s="30"/>
      <c r="O99" s="21"/>
      <c r="P99" s="21"/>
      <c r="Q99" s="21"/>
      <c r="R99" s="32"/>
      <c r="S99" s="32"/>
      <c r="T99" s="21"/>
      <c r="U99" s="21"/>
      <c r="V99" s="21"/>
      <c r="W99" s="21"/>
      <c r="X99" s="21"/>
    </row>
    <row r="100" customFormat="false" ht="15.75" hidden="false" customHeight="false" outlineLevel="0" collapsed="false">
      <c r="A100" s="61"/>
      <c r="B100" s="29"/>
      <c r="C100" s="21"/>
      <c r="D100" s="21"/>
      <c r="E100" s="21"/>
      <c r="F100" s="21"/>
      <c r="G100" s="30"/>
      <c r="H100" s="31"/>
      <c r="I100" s="21"/>
      <c r="J100" s="21"/>
      <c r="K100" s="21"/>
      <c r="L100" s="21"/>
      <c r="M100" s="21"/>
      <c r="N100" s="30"/>
      <c r="O100" s="21"/>
      <c r="P100" s="21"/>
      <c r="Q100" s="21"/>
      <c r="R100" s="32"/>
      <c r="S100" s="32"/>
      <c r="T100" s="21"/>
      <c r="U100" s="21"/>
      <c r="V100" s="21"/>
      <c r="W100" s="21"/>
      <c r="X100" s="21"/>
    </row>
    <row r="101" customFormat="false" ht="15.75" hidden="false" customHeight="false" outlineLevel="0" collapsed="false">
      <c r="A101" s="61"/>
      <c r="B101" s="29"/>
      <c r="C101" s="21"/>
      <c r="D101" s="21"/>
      <c r="E101" s="21"/>
      <c r="F101" s="21"/>
      <c r="G101" s="30"/>
      <c r="H101" s="31"/>
      <c r="I101" s="21"/>
      <c r="J101" s="21"/>
      <c r="K101" s="21"/>
      <c r="L101" s="21"/>
      <c r="M101" s="21"/>
      <c r="N101" s="30"/>
      <c r="O101" s="21"/>
      <c r="P101" s="21"/>
      <c r="Q101" s="21"/>
      <c r="R101" s="32"/>
      <c r="S101" s="32"/>
      <c r="T101" s="21"/>
      <c r="U101" s="21"/>
      <c r="V101" s="21"/>
      <c r="W101" s="21"/>
      <c r="X101" s="21"/>
    </row>
    <row r="102" customFormat="false" ht="15.75" hidden="false" customHeight="false" outlineLevel="0" collapsed="false">
      <c r="A102" s="61"/>
      <c r="B102" s="29"/>
      <c r="C102" s="21"/>
      <c r="D102" s="21"/>
      <c r="E102" s="21"/>
      <c r="F102" s="21"/>
      <c r="G102" s="30"/>
      <c r="H102" s="31"/>
      <c r="I102" s="21"/>
      <c r="J102" s="21"/>
      <c r="K102" s="21"/>
      <c r="L102" s="21"/>
      <c r="M102" s="21"/>
      <c r="N102" s="30"/>
      <c r="O102" s="21"/>
      <c r="P102" s="21"/>
      <c r="Q102" s="21"/>
      <c r="R102" s="32"/>
      <c r="S102" s="32"/>
      <c r="T102" s="21"/>
      <c r="U102" s="21"/>
      <c r="V102" s="21"/>
      <c r="W102" s="21"/>
      <c r="X102" s="21"/>
    </row>
    <row r="103" customFormat="false" ht="15.75" hidden="false" customHeight="false" outlineLevel="0" collapsed="false">
      <c r="A103" s="61"/>
      <c r="B103" s="29"/>
      <c r="C103" s="21"/>
      <c r="D103" s="21"/>
      <c r="E103" s="21"/>
      <c r="F103" s="21"/>
      <c r="G103" s="30"/>
      <c r="H103" s="31"/>
      <c r="I103" s="21"/>
      <c r="J103" s="21"/>
      <c r="K103" s="21"/>
      <c r="L103" s="21"/>
      <c r="M103" s="21"/>
      <c r="N103" s="30"/>
      <c r="O103" s="21"/>
      <c r="P103" s="21"/>
      <c r="Q103" s="21"/>
      <c r="R103" s="32"/>
      <c r="S103" s="32"/>
      <c r="T103" s="21"/>
      <c r="U103" s="21"/>
      <c r="V103" s="21"/>
      <c r="W103" s="21"/>
      <c r="X103" s="21"/>
    </row>
    <row r="104" customFormat="false" ht="15.75" hidden="false" customHeight="false" outlineLevel="0" collapsed="false">
      <c r="A104" s="61"/>
      <c r="B104" s="29"/>
      <c r="C104" s="21"/>
      <c r="D104" s="21"/>
      <c r="E104" s="21"/>
      <c r="F104" s="21"/>
      <c r="G104" s="30"/>
      <c r="H104" s="31"/>
      <c r="I104" s="21"/>
      <c r="J104" s="21"/>
      <c r="K104" s="21"/>
      <c r="L104" s="21"/>
      <c r="M104" s="21"/>
      <c r="N104" s="30"/>
      <c r="O104" s="21"/>
      <c r="P104" s="21"/>
      <c r="Q104" s="21"/>
      <c r="R104" s="32"/>
      <c r="S104" s="32"/>
      <c r="T104" s="21"/>
      <c r="U104" s="21"/>
      <c r="V104" s="21"/>
      <c r="W104" s="21"/>
      <c r="X104" s="21"/>
    </row>
    <row r="105" customFormat="false" ht="15.75" hidden="false" customHeight="false" outlineLevel="0" collapsed="false">
      <c r="A105" s="61"/>
      <c r="B105" s="29"/>
      <c r="C105" s="21"/>
      <c r="D105" s="21"/>
      <c r="E105" s="21"/>
      <c r="F105" s="21"/>
      <c r="G105" s="30"/>
      <c r="H105" s="31"/>
      <c r="I105" s="21"/>
      <c r="J105" s="21"/>
      <c r="K105" s="21"/>
      <c r="L105" s="21"/>
      <c r="M105" s="21"/>
      <c r="N105" s="30"/>
      <c r="O105" s="21"/>
      <c r="P105" s="21"/>
      <c r="Q105" s="21"/>
      <c r="R105" s="32"/>
      <c r="S105" s="32"/>
      <c r="T105" s="21"/>
      <c r="U105" s="21"/>
      <c r="V105" s="21"/>
      <c r="W105" s="21"/>
      <c r="X105" s="21"/>
    </row>
    <row r="106" customFormat="false" ht="15.75" hidden="false" customHeight="false" outlineLevel="0" collapsed="false">
      <c r="A106" s="61"/>
      <c r="B106" s="29"/>
      <c r="C106" s="21"/>
      <c r="D106" s="21"/>
      <c r="E106" s="21"/>
      <c r="F106" s="21"/>
      <c r="G106" s="30"/>
      <c r="H106" s="31"/>
      <c r="I106" s="21"/>
      <c r="J106" s="21"/>
      <c r="K106" s="21"/>
      <c r="L106" s="21"/>
      <c r="M106" s="21"/>
      <c r="N106" s="30"/>
      <c r="O106" s="21"/>
      <c r="P106" s="21"/>
      <c r="Q106" s="21"/>
      <c r="R106" s="32"/>
      <c r="S106" s="32"/>
      <c r="T106" s="21"/>
      <c r="U106" s="21"/>
      <c r="V106" s="21"/>
      <c r="W106" s="21"/>
      <c r="X106" s="21"/>
    </row>
    <row r="107" customFormat="false" ht="15.75" hidden="false" customHeight="false" outlineLevel="0" collapsed="false">
      <c r="A107" s="61"/>
      <c r="B107" s="29"/>
      <c r="C107" s="21"/>
      <c r="D107" s="21"/>
      <c r="E107" s="21"/>
      <c r="F107" s="21"/>
      <c r="G107" s="30"/>
      <c r="H107" s="31"/>
      <c r="I107" s="21"/>
      <c r="J107" s="21"/>
      <c r="K107" s="21"/>
      <c r="L107" s="21"/>
      <c r="M107" s="21"/>
      <c r="N107" s="30"/>
      <c r="O107" s="21"/>
      <c r="P107" s="21"/>
      <c r="Q107" s="21"/>
      <c r="R107" s="32"/>
      <c r="S107" s="32"/>
      <c r="T107" s="21"/>
      <c r="U107" s="21"/>
      <c r="V107" s="21"/>
      <c r="W107" s="21"/>
      <c r="X107" s="21"/>
    </row>
    <row r="108" customFormat="false" ht="15.75" hidden="false" customHeight="false" outlineLevel="0" collapsed="false">
      <c r="A108" s="61"/>
      <c r="B108" s="29"/>
      <c r="C108" s="21"/>
      <c r="D108" s="21"/>
      <c r="E108" s="21"/>
      <c r="F108" s="21"/>
      <c r="G108" s="30"/>
      <c r="H108" s="31"/>
      <c r="I108" s="21"/>
      <c r="J108" s="21"/>
      <c r="K108" s="21"/>
      <c r="L108" s="21"/>
      <c r="M108" s="21"/>
      <c r="N108" s="30"/>
      <c r="O108" s="21"/>
      <c r="P108" s="21"/>
      <c r="Q108" s="21"/>
      <c r="R108" s="32"/>
      <c r="S108" s="32"/>
      <c r="T108" s="21"/>
      <c r="U108" s="21"/>
      <c r="V108" s="21"/>
      <c r="W108" s="21"/>
      <c r="X108" s="21"/>
    </row>
    <row r="109" customFormat="false" ht="15.75" hidden="false" customHeight="false" outlineLevel="0" collapsed="false">
      <c r="A109" s="61"/>
      <c r="B109" s="29"/>
      <c r="C109" s="21"/>
      <c r="D109" s="21"/>
      <c r="E109" s="21"/>
      <c r="F109" s="21"/>
      <c r="G109" s="30"/>
      <c r="H109" s="31"/>
      <c r="I109" s="21"/>
      <c r="J109" s="21"/>
      <c r="K109" s="21"/>
      <c r="L109" s="21"/>
      <c r="M109" s="21"/>
      <c r="N109" s="30"/>
      <c r="O109" s="21"/>
      <c r="P109" s="21"/>
      <c r="Q109" s="21"/>
      <c r="R109" s="32"/>
      <c r="S109" s="32"/>
      <c r="T109" s="21"/>
      <c r="U109" s="21"/>
      <c r="V109" s="21"/>
      <c r="W109" s="21"/>
      <c r="X109" s="21"/>
    </row>
    <row r="110" customFormat="false" ht="15.75" hidden="false" customHeight="false" outlineLevel="0" collapsed="false">
      <c r="A110" s="61"/>
      <c r="B110" s="29"/>
      <c r="C110" s="21"/>
      <c r="D110" s="21"/>
      <c r="E110" s="21"/>
      <c r="F110" s="21"/>
      <c r="G110" s="30"/>
      <c r="H110" s="31"/>
      <c r="I110" s="21"/>
      <c r="J110" s="21"/>
      <c r="K110" s="21"/>
      <c r="L110" s="21"/>
      <c r="M110" s="21"/>
      <c r="N110" s="30"/>
      <c r="O110" s="21"/>
      <c r="P110" s="21"/>
      <c r="Q110" s="21"/>
      <c r="R110" s="32"/>
      <c r="S110" s="32"/>
      <c r="T110" s="21"/>
      <c r="U110" s="21"/>
      <c r="V110" s="21"/>
      <c r="W110" s="21"/>
      <c r="X110" s="21"/>
    </row>
    <row r="111" customFormat="false" ht="15.75" hidden="false" customHeight="false" outlineLevel="0" collapsed="false">
      <c r="A111" s="61"/>
      <c r="B111" s="29"/>
      <c r="C111" s="21"/>
      <c r="D111" s="21"/>
      <c r="E111" s="21"/>
      <c r="F111" s="21"/>
      <c r="G111" s="30"/>
      <c r="H111" s="31"/>
      <c r="I111" s="21"/>
      <c r="J111" s="21"/>
      <c r="K111" s="21"/>
      <c r="L111" s="21"/>
      <c r="M111" s="21"/>
      <c r="N111" s="30"/>
      <c r="O111" s="21"/>
      <c r="P111" s="21"/>
      <c r="Q111" s="21"/>
      <c r="R111" s="32"/>
      <c r="S111" s="32"/>
      <c r="T111" s="21"/>
      <c r="U111" s="21"/>
      <c r="V111" s="21"/>
      <c r="W111" s="21"/>
      <c r="X111" s="21"/>
    </row>
    <row r="112" customFormat="false" ht="15.75" hidden="false" customHeight="false" outlineLevel="0" collapsed="false">
      <c r="A112" s="61"/>
      <c r="B112" s="29"/>
      <c r="C112" s="21"/>
      <c r="D112" s="21"/>
      <c r="E112" s="21"/>
      <c r="F112" s="21"/>
      <c r="G112" s="30"/>
      <c r="H112" s="31"/>
      <c r="I112" s="21"/>
      <c r="J112" s="21"/>
      <c r="K112" s="21"/>
      <c r="L112" s="21"/>
      <c r="M112" s="21"/>
      <c r="N112" s="30"/>
      <c r="O112" s="21"/>
      <c r="P112" s="21"/>
      <c r="Q112" s="21"/>
      <c r="R112" s="32"/>
      <c r="S112" s="32"/>
      <c r="T112" s="21"/>
      <c r="U112" s="21"/>
      <c r="V112" s="21"/>
      <c r="W112" s="21"/>
      <c r="X112" s="21"/>
    </row>
    <row r="113" customFormat="false" ht="15.75" hidden="false" customHeight="false" outlineLevel="0" collapsed="false">
      <c r="A113" s="61"/>
      <c r="B113" s="29"/>
      <c r="C113" s="21"/>
      <c r="D113" s="21"/>
      <c r="E113" s="21"/>
      <c r="F113" s="21"/>
      <c r="G113" s="30"/>
      <c r="H113" s="31"/>
      <c r="I113" s="21"/>
      <c r="J113" s="21"/>
      <c r="K113" s="21"/>
      <c r="L113" s="21"/>
      <c r="M113" s="21"/>
      <c r="N113" s="30"/>
      <c r="O113" s="21"/>
      <c r="P113" s="21"/>
      <c r="Q113" s="21"/>
      <c r="R113" s="32"/>
      <c r="S113" s="32"/>
      <c r="T113" s="21"/>
      <c r="U113" s="21"/>
      <c r="V113" s="21"/>
      <c r="W113" s="21"/>
      <c r="X113" s="21"/>
    </row>
    <row r="114" customFormat="false" ht="15.75" hidden="false" customHeight="false" outlineLevel="0" collapsed="false">
      <c r="A114" s="61"/>
      <c r="B114" s="29"/>
      <c r="C114" s="21"/>
      <c r="D114" s="21"/>
      <c r="E114" s="21"/>
      <c r="F114" s="21"/>
      <c r="G114" s="30"/>
      <c r="H114" s="31"/>
      <c r="I114" s="21"/>
      <c r="J114" s="21"/>
      <c r="K114" s="21"/>
      <c r="L114" s="21"/>
      <c r="M114" s="21"/>
      <c r="N114" s="30"/>
      <c r="O114" s="21"/>
      <c r="P114" s="21"/>
      <c r="Q114" s="21"/>
      <c r="R114" s="32"/>
      <c r="S114" s="32"/>
      <c r="T114" s="21"/>
      <c r="U114" s="21"/>
      <c r="V114" s="21"/>
      <c r="W114" s="21"/>
      <c r="X114" s="21"/>
    </row>
    <row r="115" customFormat="false" ht="15.75" hidden="false" customHeight="false" outlineLevel="0" collapsed="false">
      <c r="A115" s="61"/>
      <c r="B115" s="29"/>
      <c r="C115" s="21"/>
      <c r="D115" s="21"/>
      <c r="E115" s="21"/>
      <c r="F115" s="21"/>
      <c r="G115" s="30"/>
      <c r="H115" s="31"/>
      <c r="I115" s="21"/>
      <c r="J115" s="21"/>
      <c r="K115" s="21"/>
      <c r="L115" s="21"/>
      <c r="M115" s="21"/>
      <c r="N115" s="30"/>
      <c r="O115" s="21"/>
      <c r="P115" s="21"/>
      <c r="Q115" s="21"/>
      <c r="R115" s="32"/>
      <c r="S115" s="32"/>
      <c r="T115" s="21"/>
      <c r="U115" s="21"/>
      <c r="V115" s="21"/>
      <c r="W115" s="21"/>
      <c r="X115" s="21"/>
    </row>
    <row r="116" customFormat="false" ht="15.75" hidden="false" customHeight="false" outlineLevel="0" collapsed="false">
      <c r="A116" s="12"/>
      <c r="B116" s="34"/>
      <c r="C116" s="12"/>
      <c r="D116" s="12"/>
      <c r="E116" s="12"/>
      <c r="F116" s="12"/>
      <c r="G116" s="18"/>
      <c r="H116" s="35"/>
      <c r="I116" s="12"/>
      <c r="N116" s="18"/>
      <c r="O116" s="12"/>
      <c r="P116" s="12"/>
      <c r="R116" s="36"/>
      <c r="S116" s="36"/>
      <c r="T116" s="21"/>
      <c r="U116" s="12"/>
      <c r="V116" s="12"/>
      <c r="X116" s="12"/>
    </row>
    <row r="117" customFormat="false" ht="15.75" hidden="false" customHeight="false" outlineLevel="0" collapsed="false">
      <c r="A117" s="12"/>
      <c r="B117" s="34"/>
      <c r="C117" s="12"/>
      <c r="D117" s="12"/>
      <c r="E117" s="12"/>
      <c r="F117" s="12"/>
      <c r="G117" s="18"/>
      <c r="H117" s="35"/>
      <c r="I117" s="12"/>
      <c r="N117" s="18"/>
      <c r="O117" s="12"/>
      <c r="P117" s="12"/>
      <c r="R117" s="36"/>
      <c r="S117" s="36"/>
      <c r="T117" s="21"/>
      <c r="U117" s="12"/>
      <c r="V117" s="12"/>
      <c r="X117" s="12"/>
    </row>
    <row r="118" customFormat="false" ht="15.75" hidden="false" customHeight="false" outlineLevel="0" collapsed="false">
      <c r="A118" s="12"/>
      <c r="B118" s="34"/>
      <c r="C118" s="12"/>
      <c r="D118" s="12"/>
      <c r="E118" s="12"/>
      <c r="F118" s="12"/>
      <c r="G118" s="18"/>
      <c r="H118" s="35"/>
      <c r="I118" s="12"/>
      <c r="N118" s="18"/>
      <c r="O118" s="12"/>
      <c r="P118" s="12"/>
      <c r="R118" s="36"/>
      <c r="S118" s="36"/>
      <c r="T118" s="21"/>
      <c r="U118" s="12"/>
      <c r="V118" s="12"/>
      <c r="X118" s="12"/>
    </row>
    <row r="119" customFormat="false" ht="15.75" hidden="false" customHeight="false" outlineLevel="0" collapsed="false">
      <c r="A119" s="12"/>
      <c r="B119" s="34"/>
      <c r="C119" s="12"/>
      <c r="D119" s="12"/>
      <c r="E119" s="12"/>
      <c r="F119" s="12"/>
      <c r="G119" s="18"/>
      <c r="H119" s="35"/>
      <c r="I119" s="12"/>
      <c r="M119" s="12"/>
      <c r="N119" s="18"/>
      <c r="O119" s="12"/>
      <c r="P119" s="12"/>
      <c r="Q119" s="12"/>
      <c r="R119" s="36"/>
      <c r="S119" s="36"/>
      <c r="T119" s="21"/>
      <c r="U119" s="12"/>
      <c r="V119" s="12"/>
      <c r="W119" s="12"/>
      <c r="X119" s="12"/>
    </row>
    <row r="120" customFormat="false" ht="15.75" hidden="false" customHeight="false" outlineLevel="0" collapsed="false">
      <c r="A120" s="12"/>
      <c r="B120" s="34"/>
      <c r="C120" s="12"/>
      <c r="D120" s="12"/>
      <c r="E120" s="12"/>
      <c r="F120" s="12"/>
      <c r="G120" s="18"/>
      <c r="H120" s="35"/>
      <c r="I120" s="12"/>
      <c r="M120" s="12"/>
      <c r="N120" s="18"/>
      <c r="O120" s="12"/>
      <c r="P120" s="12"/>
      <c r="Q120" s="12"/>
      <c r="R120" s="36"/>
      <c r="S120" s="36"/>
      <c r="T120" s="21"/>
      <c r="U120" s="12"/>
      <c r="V120" s="12"/>
      <c r="W120" s="12"/>
      <c r="X120" s="12"/>
    </row>
    <row r="121" customFormat="false" ht="15.75" hidden="false" customHeight="false" outlineLevel="0" collapsed="false">
      <c r="A121" s="12"/>
      <c r="B121" s="34"/>
      <c r="C121" s="12"/>
      <c r="D121" s="12"/>
      <c r="E121" s="12"/>
      <c r="F121" s="12"/>
      <c r="G121" s="18"/>
      <c r="H121" s="35"/>
      <c r="I121" s="12"/>
      <c r="M121" s="12"/>
      <c r="N121" s="18"/>
      <c r="O121" s="12"/>
      <c r="P121" s="12"/>
      <c r="Q121" s="12"/>
      <c r="R121" s="36"/>
      <c r="S121" s="36"/>
      <c r="T121" s="21"/>
      <c r="U121" s="12"/>
      <c r="V121" s="12"/>
      <c r="W121" s="12"/>
      <c r="X121" s="12"/>
    </row>
    <row r="122" customFormat="false" ht="15.75" hidden="false" customHeight="false" outlineLevel="0" collapsed="false">
      <c r="A122" s="12"/>
      <c r="B122" s="34"/>
      <c r="C122" s="12"/>
      <c r="D122" s="12"/>
      <c r="E122" s="12"/>
      <c r="F122" s="12"/>
      <c r="G122" s="18"/>
      <c r="H122" s="35"/>
      <c r="I122" s="12"/>
      <c r="M122" s="12"/>
      <c r="N122" s="18"/>
      <c r="O122" s="12"/>
      <c r="P122" s="12"/>
      <c r="Q122" s="12"/>
      <c r="R122" s="36"/>
      <c r="S122" s="36"/>
      <c r="T122" s="21"/>
      <c r="U122" s="12"/>
      <c r="V122" s="12"/>
      <c r="W122" s="12"/>
      <c r="X122" s="12"/>
    </row>
    <row r="123" customFormat="false" ht="15.75" hidden="false" customHeight="false" outlineLevel="0" collapsed="false">
      <c r="A123" s="12"/>
      <c r="B123" s="34"/>
      <c r="C123" s="12"/>
      <c r="D123" s="12"/>
      <c r="E123" s="12"/>
      <c r="F123" s="12"/>
      <c r="G123" s="18"/>
      <c r="H123" s="35"/>
      <c r="I123" s="12"/>
      <c r="M123" s="12"/>
      <c r="N123" s="18"/>
      <c r="O123" s="12"/>
      <c r="P123" s="12"/>
      <c r="Q123" s="12"/>
      <c r="R123" s="36"/>
      <c r="S123" s="36"/>
      <c r="T123" s="21"/>
      <c r="U123" s="12"/>
      <c r="V123" s="12"/>
      <c r="W123" s="12"/>
      <c r="X123" s="12"/>
    </row>
    <row r="124" customFormat="false" ht="15.75" hidden="false" customHeight="false" outlineLevel="0" collapsed="false">
      <c r="A124" s="12"/>
      <c r="B124" s="34"/>
      <c r="C124" s="12"/>
      <c r="D124" s="12"/>
      <c r="E124" s="12"/>
      <c r="F124" s="12"/>
      <c r="G124" s="18"/>
      <c r="H124" s="35"/>
      <c r="I124" s="12"/>
      <c r="M124" s="12"/>
      <c r="N124" s="18"/>
      <c r="O124" s="12"/>
      <c r="P124" s="12"/>
      <c r="Q124" s="12"/>
      <c r="R124" s="36"/>
      <c r="S124" s="36"/>
      <c r="T124" s="21"/>
      <c r="U124" s="12"/>
      <c r="V124" s="12"/>
      <c r="W124" s="12"/>
      <c r="X124" s="12"/>
    </row>
    <row r="125" customFormat="false" ht="15.75" hidden="false" customHeight="false" outlineLevel="0" collapsed="false">
      <c r="A125" s="12"/>
      <c r="B125" s="34"/>
      <c r="C125" s="12"/>
      <c r="D125" s="12"/>
      <c r="E125" s="12"/>
      <c r="F125" s="12"/>
      <c r="G125" s="18"/>
      <c r="H125" s="35"/>
      <c r="I125" s="12"/>
      <c r="M125" s="12"/>
      <c r="N125" s="18"/>
      <c r="O125" s="12"/>
      <c r="P125" s="12"/>
      <c r="Q125" s="12"/>
      <c r="R125" s="36"/>
      <c r="S125" s="36"/>
      <c r="T125" s="21"/>
      <c r="U125" s="12"/>
      <c r="V125" s="12"/>
      <c r="W125" s="12"/>
      <c r="X125" s="12"/>
    </row>
    <row r="126" customFormat="false" ht="15.75" hidden="false" customHeight="false" outlineLevel="0" collapsed="false">
      <c r="A126" s="12"/>
      <c r="B126" s="34"/>
      <c r="C126" s="12"/>
      <c r="D126" s="12"/>
      <c r="E126" s="12"/>
      <c r="F126" s="12"/>
      <c r="G126" s="18"/>
      <c r="H126" s="35"/>
      <c r="I126" s="12"/>
      <c r="M126" s="12"/>
      <c r="N126" s="18"/>
      <c r="O126" s="12"/>
      <c r="P126" s="12"/>
      <c r="Q126" s="12"/>
      <c r="R126" s="36"/>
      <c r="S126" s="36"/>
      <c r="T126" s="21"/>
      <c r="U126" s="12"/>
      <c r="V126" s="12"/>
      <c r="W126" s="12"/>
      <c r="X126" s="12"/>
    </row>
    <row r="127" customFormat="false" ht="15.75" hidden="false" customHeight="false" outlineLevel="0" collapsed="false">
      <c r="A127" s="12"/>
      <c r="B127" s="34"/>
      <c r="C127" s="12"/>
      <c r="D127" s="12"/>
      <c r="E127" s="12"/>
      <c r="F127" s="12"/>
      <c r="G127" s="18"/>
      <c r="H127" s="35"/>
      <c r="I127" s="12"/>
      <c r="M127" s="12"/>
      <c r="N127" s="18"/>
      <c r="O127" s="12"/>
      <c r="P127" s="12"/>
      <c r="Q127" s="12"/>
      <c r="R127" s="36"/>
      <c r="S127" s="36"/>
      <c r="T127" s="21"/>
      <c r="U127" s="12"/>
      <c r="V127" s="12"/>
      <c r="W127" s="12"/>
      <c r="X127" s="12"/>
    </row>
    <row r="128" customFormat="false" ht="15.75" hidden="false" customHeight="false" outlineLevel="0" collapsed="false">
      <c r="A128" s="12"/>
      <c r="B128" s="34"/>
      <c r="C128" s="12"/>
      <c r="D128" s="12"/>
      <c r="E128" s="12"/>
      <c r="F128" s="12"/>
      <c r="G128" s="18"/>
      <c r="H128" s="35"/>
      <c r="I128" s="12"/>
      <c r="M128" s="12"/>
      <c r="N128" s="18"/>
      <c r="O128" s="12"/>
      <c r="P128" s="12"/>
      <c r="Q128" s="12"/>
      <c r="R128" s="36"/>
      <c r="S128" s="36"/>
      <c r="T128" s="21"/>
      <c r="U128" s="12"/>
      <c r="V128" s="12"/>
      <c r="W128" s="12"/>
      <c r="X128" s="12"/>
    </row>
    <row r="129" customFormat="false" ht="15.75" hidden="false" customHeight="false" outlineLevel="0" collapsed="false">
      <c r="A129" s="12"/>
      <c r="B129" s="34"/>
      <c r="C129" s="12"/>
      <c r="D129" s="12"/>
      <c r="E129" s="12"/>
      <c r="F129" s="12"/>
      <c r="G129" s="18"/>
      <c r="H129" s="35"/>
      <c r="I129" s="12"/>
      <c r="M129" s="12"/>
      <c r="N129" s="18"/>
      <c r="O129" s="12"/>
      <c r="P129" s="12"/>
      <c r="Q129" s="12"/>
      <c r="R129" s="36"/>
      <c r="S129" s="36"/>
      <c r="T129" s="21"/>
      <c r="U129" s="12"/>
      <c r="V129" s="12"/>
      <c r="W129" s="12"/>
      <c r="X129" s="12"/>
    </row>
    <row r="130" customFormat="false" ht="15.75" hidden="false" customHeight="false" outlineLevel="0" collapsed="false">
      <c r="A130" s="12"/>
      <c r="B130" s="34"/>
      <c r="C130" s="12"/>
      <c r="D130" s="12"/>
      <c r="E130" s="12"/>
      <c r="F130" s="12"/>
      <c r="G130" s="18"/>
      <c r="H130" s="35"/>
      <c r="I130" s="12"/>
      <c r="M130" s="12"/>
      <c r="N130" s="18"/>
      <c r="O130" s="12"/>
      <c r="P130" s="12"/>
      <c r="Q130" s="12"/>
      <c r="R130" s="36"/>
      <c r="S130" s="36"/>
      <c r="T130" s="12"/>
      <c r="U130" s="12"/>
      <c r="V130" s="12"/>
      <c r="W130" s="12"/>
      <c r="X130" s="12"/>
    </row>
    <row r="131" customFormat="false" ht="15.75" hidden="false" customHeight="false" outlineLevel="0" collapsed="false">
      <c r="A131" s="12"/>
      <c r="B131" s="34"/>
      <c r="C131" s="12"/>
      <c r="D131" s="12"/>
      <c r="E131" s="12"/>
      <c r="F131" s="12"/>
      <c r="G131" s="18"/>
      <c r="H131" s="35"/>
      <c r="I131" s="12"/>
      <c r="M131" s="12"/>
      <c r="N131" s="18"/>
      <c r="O131" s="12"/>
      <c r="P131" s="12"/>
      <c r="Q131" s="12"/>
      <c r="R131" s="36"/>
      <c r="S131" s="36"/>
      <c r="T131" s="12"/>
      <c r="U131" s="12"/>
      <c r="V131" s="12"/>
      <c r="W131" s="12"/>
      <c r="X131" s="12"/>
    </row>
    <row r="132" customFormat="false" ht="15.75" hidden="false" customHeight="false" outlineLevel="0" collapsed="false">
      <c r="A132" s="12"/>
      <c r="B132" s="34"/>
      <c r="C132" s="12"/>
      <c r="D132" s="12"/>
      <c r="E132" s="12"/>
      <c r="F132" s="12"/>
      <c r="G132" s="18"/>
      <c r="H132" s="35"/>
      <c r="I132" s="12"/>
      <c r="M132" s="12"/>
      <c r="N132" s="18"/>
      <c r="O132" s="12"/>
      <c r="P132" s="12"/>
      <c r="Q132" s="12"/>
      <c r="R132" s="36"/>
      <c r="S132" s="36"/>
      <c r="T132" s="12"/>
      <c r="U132" s="12"/>
      <c r="V132" s="12"/>
      <c r="W132" s="12"/>
      <c r="X132" s="12"/>
    </row>
    <row r="133" customFormat="false" ht="15.75" hidden="false" customHeight="false" outlineLevel="0" collapsed="false">
      <c r="A133" s="12"/>
      <c r="B133" s="34"/>
      <c r="C133" s="12"/>
      <c r="D133" s="12"/>
      <c r="E133" s="12"/>
      <c r="F133" s="12"/>
      <c r="G133" s="18"/>
      <c r="H133" s="35"/>
      <c r="I133" s="12"/>
      <c r="M133" s="12"/>
      <c r="N133" s="18"/>
      <c r="O133" s="12"/>
      <c r="P133" s="12"/>
      <c r="Q133" s="12"/>
      <c r="R133" s="36"/>
      <c r="S133" s="36"/>
      <c r="T133" s="12"/>
      <c r="U133" s="12"/>
      <c r="V133" s="12"/>
      <c r="W133" s="12"/>
      <c r="X133" s="12"/>
    </row>
    <row r="134" customFormat="false" ht="15.75" hidden="false" customHeight="false" outlineLevel="0" collapsed="false">
      <c r="A134" s="12"/>
      <c r="B134" s="34"/>
      <c r="C134" s="12"/>
      <c r="D134" s="12"/>
      <c r="E134" s="12"/>
      <c r="F134" s="12"/>
      <c r="G134" s="18"/>
      <c r="H134" s="35"/>
      <c r="I134" s="12"/>
      <c r="M134" s="12"/>
      <c r="N134" s="18"/>
      <c r="O134" s="12"/>
      <c r="P134" s="12"/>
      <c r="Q134" s="12"/>
      <c r="R134" s="36"/>
      <c r="S134" s="36"/>
      <c r="T134" s="12"/>
      <c r="U134" s="12"/>
      <c r="V134" s="12"/>
      <c r="W134" s="12"/>
      <c r="X134" s="12"/>
    </row>
    <row r="135" customFormat="false" ht="15.75" hidden="false" customHeight="false" outlineLevel="0" collapsed="false">
      <c r="A135" s="12"/>
      <c r="B135" s="34"/>
      <c r="C135" s="12"/>
      <c r="D135" s="12"/>
      <c r="E135" s="12"/>
      <c r="F135" s="12"/>
      <c r="G135" s="18"/>
      <c r="H135" s="35"/>
      <c r="I135" s="12"/>
      <c r="M135" s="12"/>
      <c r="N135" s="18"/>
      <c r="O135" s="12"/>
      <c r="P135" s="12"/>
      <c r="Q135" s="12"/>
      <c r="R135" s="36"/>
      <c r="S135" s="36"/>
      <c r="T135" s="12"/>
      <c r="U135" s="12"/>
      <c r="V135" s="12"/>
      <c r="W135" s="12"/>
      <c r="X135" s="12"/>
    </row>
    <row r="136" customFormat="false" ht="15.75" hidden="false" customHeight="false" outlineLevel="0" collapsed="false">
      <c r="A136" s="12"/>
      <c r="B136" s="34"/>
      <c r="C136" s="12"/>
      <c r="D136" s="12"/>
      <c r="E136" s="12"/>
      <c r="F136" s="12"/>
      <c r="G136" s="18"/>
      <c r="H136" s="35"/>
      <c r="I136" s="12"/>
      <c r="M136" s="12"/>
      <c r="N136" s="18"/>
      <c r="O136" s="12"/>
      <c r="P136" s="12"/>
      <c r="Q136" s="12"/>
      <c r="R136" s="36"/>
      <c r="S136" s="36"/>
      <c r="T136" s="12"/>
      <c r="U136" s="12"/>
      <c r="V136" s="12"/>
      <c r="W136" s="12"/>
      <c r="X136" s="12"/>
    </row>
    <row r="137" customFormat="false" ht="15.75" hidden="false" customHeight="false" outlineLevel="0" collapsed="false">
      <c r="A137" s="12"/>
      <c r="B137" s="34"/>
      <c r="C137" s="12"/>
      <c r="D137" s="12"/>
      <c r="E137" s="12"/>
      <c r="F137" s="12"/>
      <c r="G137" s="18"/>
      <c r="H137" s="35"/>
      <c r="I137" s="12"/>
      <c r="M137" s="12"/>
      <c r="N137" s="18"/>
      <c r="O137" s="12"/>
      <c r="P137" s="12"/>
      <c r="Q137" s="12"/>
      <c r="R137" s="36"/>
      <c r="S137" s="36"/>
      <c r="T137" s="12"/>
      <c r="U137" s="12"/>
      <c r="V137" s="12"/>
      <c r="W137" s="12"/>
      <c r="X137" s="12"/>
    </row>
    <row r="138" customFormat="false" ht="15.75" hidden="false" customHeight="false" outlineLevel="0" collapsed="false">
      <c r="A138" s="12"/>
      <c r="B138" s="34"/>
      <c r="C138" s="12"/>
      <c r="D138" s="12"/>
      <c r="E138" s="12"/>
      <c r="F138" s="12"/>
      <c r="G138" s="18"/>
      <c r="H138" s="35"/>
      <c r="I138" s="12"/>
      <c r="M138" s="12"/>
      <c r="N138" s="18"/>
      <c r="O138" s="12"/>
      <c r="P138" s="12"/>
      <c r="Q138" s="12"/>
      <c r="R138" s="36"/>
      <c r="S138" s="36"/>
      <c r="T138" s="12"/>
      <c r="U138" s="12"/>
      <c r="V138" s="12"/>
      <c r="W138" s="12"/>
      <c r="X138" s="12"/>
    </row>
    <row r="139" customFormat="false" ht="15.75" hidden="false" customHeight="false" outlineLevel="0" collapsed="false">
      <c r="A139" s="12"/>
      <c r="B139" s="34"/>
      <c r="C139" s="12"/>
      <c r="D139" s="12"/>
      <c r="E139" s="12"/>
      <c r="F139" s="12"/>
      <c r="G139" s="18"/>
      <c r="H139" s="35"/>
      <c r="I139" s="12"/>
      <c r="M139" s="12"/>
      <c r="N139" s="18"/>
      <c r="O139" s="12"/>
      <c r="P139" s="12"/>
      <c r="Q139" s="12"/>
      <c r="R139" s="36"/>
      <c r="S139" s="36"/>
      <c r="T139" s="12"/>
      <c r="U139" s="12"/>
      <c r="V139" s="12"/>
      <c r="W139" s="12"/>
      <c r="X139" s="12"/>
    </row>
    <row r="140" customFormat="false" ht="15.75" hidden="false" customHeight="false" outlineLevel="0" collapsed="false">
      <c r="A140" s="12"/>
      <c r="B140" s="34"/>
      <c r="C140" s="12"/>
      <c r="D140" s="12"/>
      <c r="E140" s="12"/>
      <c r="F140" s="12"/>
      <c r="G140" s="18"/>
      <c r="H140" s="35"/>
      <c r="I140" s="12"/>
      <c r="M140" s="12"/>
      <c r="N140" s="18"/>
      <c r="O140" s="12"/>
      <c r="P140" s="12"/>
      <c r="Q140" s="12"/>
      <c r="R140" s="36"/>
      <c r="S140" s="36"/>
      <c r="T140" s="12"/>
      <c r="U140" s="12"/>
      <c r="V140" s="12"/>
      <c r="W140" s="12"/>
      <c r="X140" s="12"/>
    </row>
    <row r="141" customFormat="false" ht="15.75" hidden="false" customHeight="false" outlineLevel="0" collapsed="false">
      <c r="A141" s="12"/>
      <c r="B141" s="34"/>
      <c r="C141" s="12"/>
      <c r="D141" s="12"/>
      <c r="E141" s="12"/>
      <c r="F141" s="12"/>
      <c r="G141" s="18"/>
      <c r="H141" s="35"/>
      <c r="I141" s="12"/>
      <c r="M141" s="12"/>
      <c r="N141" s="18"/>
      <c r="O141" s="12"/>
      <c r="P141" s="12"/>
      <c r="Q141" s="12"/>
      <c r="R141" s="36"/>
      <c r="S141" s="36"/>
      <c r="T141" s="12"/>
      <c r="U141" s="12"/>
      <c r="V141" s="12"/>
      <c r="W141" s="12"/>
      <c r="X141" s="12"/>
    </row>
    <row r="142" customFormat="false" ht="15.75" hidden="false" customHeight="false" outlineLevel="0" collapsed="false">
      <c r="A142" s="12"/>
      <c r="B142" s="34"/>
      <c r="C142" s="12"/>
      <c r="D142" s="12"/>
      <c r="E142" s="12"/>
      <c r="F142" s="12"/>
      <c r="G142" s="18"/>
      <c r="H142" s="35"/>
      <c r="I142" s="12"/>
      <c r="M142" s="12"/>
      <c r="N142" s="18"/>
      <c r="O142" s="12"/>
      <c r="P142" s="12"/>
      <c r="Q142" s="12"/>
      <c r="R142" s="36"/>
      <c r="S142" s="36"/>
      <c r="T142" s="12"/>
      <c r="U142" s="12"/>
      <c r="V142" s="12"/>
      <c r="W142" s="12"/>
      <c r="X142" s="12"/>
    </row>
    <row r="143" customFormat="false" ht="15.75" hidden="false" customHeight="false" outlineLevel="0" collapsed="false">
      <c r="A143" s="12"/>
      <c r="B143" s="34"/>
      <c r="C143" s="12"/>
      <c r="D143" s="12"/>
      <c r="E143" s="12"/>
      <c r="F143" s="12"/>
      <c r="G143" s="18"/>
      <c r="H143" s="35"/>
      <c r="I143" s="12"/>
      <c r="M143" s="12"/>
      <c r="N143" s="18"/>
      <c r="O143" s="12"/>
      <c r="P143" s="12"/>
      <c r="Q143" s="12"/>
      <c r="R143" s="36"/>
      <c r="S143" s="36"/>
      <c r="T143" s="12"/>
      <c r="U143" s="12"/>
      <c r="V143" s="12"/>
      <c r="W143" s="12"/>
      <c r="X143" s="12"/>
    </row>
    <row r="144" customFormat="false" ht="15.75" hidden="false" customHeight="false" outlineLevel="0" collapsed="false">
      <c r="A144" s="12"/>
      <c r="B144" s="34"/>
      <c r="C144" s="12"/>
      <c r="D144" s="12"/>
      <c r="E144" s="12"/>
      <c r="F144" s="12"/>
      <c r="G144" s="18"/>
      <c r="H144" s="35"/>
      <c r="I144" s="12"/>
      <c r="M144" s="12"/>
      <c r="N144" s="18"/>
      <c r="O144" s="12"/>
      <c r="P144" s="12"/>
      <c r="Q144" s="12"/>
      <c r="R144" s="36"/>
      <c r="S144" s="36"/>
      <c r="T144" s="12"/>
      <c r="U144" s="12"/>
      <c r="V144" s="12"/>
      <c r="W144" s="12"/>
      <c r="X144" s="12"/>
    </row>
    <row r="145" customFormat="false" ht="15.75" hidden="false" customHeight="false" outlineLevel="0" collapsed="false">
      <c r="A145" s="12"/>
      <c r="B145" s="34"/>
      <c r="C145" s="12"/>
      <c r="D145" s="12"/>
      <c r="E145" s="12"/>
      <c r="F145" s="12"/>
      <c r="G145" s="18"/>
      <c r="H145" s="35"/>
      <c r="I145" s="12"/>
      <c r="M145" s="12"/>
      <c r="N145" s="18"/>
      <c r="O145" s="12"/>
      <c r="P145" s="12"/>
      <c r="Q145" s="12"/>
      <c r="R145" s="36"/>
      <c r="S145" s="36"/>
      <c r="T145" s="12"/>
      <c r="U145" s="12"/>
      <c r="V145" s="12"/>
      <c r="W145" s="12"/>
      <c r="X145" s="12"/>
    </row>
    <row r="146" customFormat="false" ht="15.75" hidden="false" customHeight="false" outlineLevel="0" collapsed="false">
      <c r="A146" s="12"/>
      <c r="B146" s="34"/>
      <c r="C146" s="12"/>
      <c r="D146" s="12"/>
      <c r="E146" s="12"/>
      <c r="F146" s="12"/>
      <c r="G146" s="18"/>
      <c r="H146" s="35"/>
      <c r="I146" s="12"/>
      <c r="M146" s="12"/>
      <c r="N146" s="18"/>
      <c r="O146" s="12"/>
      <c r="P146" s="12"/>
      <c r="Q146" s="12"/>
      <c r="R146" s="36"/>
      <c r="S146" s="36"/>
      <c r="T146" s="12"/>
      <c r="U146" s="12"/>
      <c r="V146" s="12"/>
      <c r="W146" s="12"/>
      <c r="X146" s="12"/>
    </row>
    <row r="147" customFormat="false" ht="15.75" hidden="false" customHeight="false" outlineLevel="0" collapsed="false">
      <c r="A147" s="12"/>
      <c r="B147" s="34"/>
      <c r="C147" s="12"/>
      <c r="D147" s="12"/>
      <c r="E147" s="12"/>
      <c r="F147" s="12"/>
      <c r="G147" s="18"/>
      <c r="H147" s="35"/>
      <c r="I147" s="12"/>
      <c r="M147" s="12"/>
      <c r="N147" s="18"/>
      <c r="O147" s="12"/>
      <c r="P147" s="12"/>
      <c r="Q147" s="12"/>
      <c r="R147" s="36"/>
      <c r="S147" s="36"/>
      <c r="T147" s="12"/>
      <c r="U147" s="12"/>
      <c r="V147" s="12"/>
      <c r="W147" s="12"/>
      <c r="X147" s="12"/>
    </row>
    <row r="148" customFormat="false" ht="15.75" hidden="false" customHeight="false" outlineLevel="0" collapsed="false">
      <c r="A148" s="12"/>
      <c r="B148" s="34"/>
      <c r="C148" s="12"/>
      <c r="D148" s="12"/>
      <c r="E148" s="12"/>
      <c r="F148" s="12"/>
      <c r="G148" s="18"/>
      <c r="H148" s="35"/>
      <c r="I148" s="12"/>
      <c r="M148" s="12"/>
      <c r="N148" s="18"/>
      <c r="O148" s="12"/>
      <c r="P148" s="12"/>
      <c r="Q148" s="12"/>
      <c r="R148" s="36"/>
      <c r="S148" s="36"/>
      <c r="T148" s="12"/>
      <c r="U148" s="12"/>
      <c r="V148" s="12"/>
      <c r="W148" s="12"/>
      <c r="X148" s="12"/>
    </row>
    <row r="149" customFormat="false" ht="15.75" hidden="false" customHeight="false" outlineLevel="0" collapsed="false">
      <c r="A149" s="12"/>
      <c r="B149" s="34"/>
      <c r="C149" s="12"/>
      <c r="D149" s="12"/>
      <c r="E149" s="12"/>
      <c r="F149" s="12"/>
      <c r="G149" s="18"/>
      <c r="H149" s="35"/>
      <c r="I149" s="12"/>
      <c r="M149" s="12"/>
      <c r="N149" s="18"/>
      <c r="O149" s="12"/>
      <c r="P149" s="12"/>
      <c r="Q149" s="12"/>
      <c r="R149" s="36"/>
      <c r="S149" s="36"/>
      <c r="T149" s="12"/>
      <c r="U149" s="12"/>
      <c r="V149" s="12"/>
      <c r="W149" s="12"/>
      <c r="X149" s="12"/>
    </row>
    <row r="150" customFormat="false" ht="15.75" hidden="false" customHeight="false" outlineLevel="0" collapsed="false">
      <c r="A150" s="12"/>
      <c r="B150" s="34"/>
      <c r="C150" s="12"/>
      <c r="D150" s="12"/>
      <c r="E150" s="12"/>
      <c r="F150" s="12"/>
      <c r="G150" s="18"/>
      <c r="H150" s="35"/>
      <c r="I150" s="12"/>
      <c r="M150" s="12"/>
      <c r="N150" s="18"/>
      <c r="O150" s="12"/>
      <c r="P150" s="12"/>
      <c r="Q150" s="12"/>
      <c r="R150" s="36"/>
      <c r="S150" s="36"/>
      <c r="T150" s="12"/>
      <c r="U150" s="12"/>
      <c r="V150" s="12"/>
      <c r="W150" s="12"/>
      <c r="X150" s="12"/>
    </row>
    <row r="151" customFormat="false" ht="15.75" hidden="false" customHeight="false" outlineLevel="0" collapsed="false">
      <c r="A151" s="12"/>
      <c r="B151" s="34"/>
      <c r="C151" s="12"/>
      <c r="D151" s="12"/>
      <c r="E151" s="12"/>
      <c r="F151" s="12"/>
      <c r="G151" s="18"/>
      <c r="H151" s="35"/>
      <c r="I151" s="12"/>
      <c r="M151" s="12"/>
      <c r="N151" s="18"/>
      <c r="O151" s="12"/>
      <c r="P151" s="12"/>
      <c r="Q151" s="12"/>
      <c r="R151" s="36"/>
      <c r="S151" s="36"/>
      <c r="T151" s="12"/>
      <c r="U151" s="12"/>
      <c r="V151" s="12"/>
      <c r="W151" s="12"/>
      <c r="X151" s="12"/>
    </row>
    <row r="152" customFormat="false" ht="15.75" hidden="false" customHeight="false" outlineLevel="0" collapsed="false">
      <c r="A152" s="12"/>
      <c r="B152" s="34"/>
      <c r="C152" s="12"/>
      <c r="D152" s="12"/>
      <c r="E152" s="12"/>
      <c r="F152" s="12"/>
      <c r="G152" s="18"/>
      <c r="H152" s="35"/>
      <c r="I152" s="12"/>
      <c r="M152" s="12"/>
      <c r="N152" s="18"/>
      <c r="O152" s="12"/>
      <c r="P152" s="12"/>
      <c r="Q152" s="12"/>
      <c r="R152" s="36"/>
      <c r="S152" s="36"/>
      <c r="T152" s="12"/>
      <c r="U152" s="12"/>
      <c r="V152" s="12"/>
      <c r="W152" s="12"/>
      <c r="X152" s="12"/>
    </row>
    <row r="153" customFormat="false" ht="15.75" hidden="false" customHeight="false" outlineLevel="0" collapsed="false">
      <c r="A153" s="12"/>
      <c r="B153" s="34"/>
      <c r="C153" s="12"/>
      <c r="D153" s="12"/>
      <c r="E153" s="12"/>
      <c r="F153" s="12"/>
      <c r="G153" s="18"/>
      <c r="H153" s="35"/>
      <c r="I153" s="12"/>
      <c r="M153" s="12"/>
      <c r="N153" s="18"/>
      <c r="O153" s="12"/>
      <c r="P153" s="12"/>
      <c r="Q153" s="12"/>
      <c r="R153" s="36"/>
      <c r="S153" s="36"/>
      <c r="T153" s="12"/>
      <c r="U153" s="12"/>
      <c r="V153" s="12"/>
      <c r="W153" s="12"/>
      <c r="X153" s="12"/>
    </row>
    <row r="154" customFormat="false" ht="15.75" hidden="false" customHeight="false" outlineLevel="0" collapsed="false">
      <c r="A154" s="12"/>
      <c r="B154" s="34"/>
      <c r="C154" s="12"/>
      <c r="D154" s="12"/>
      <c r="E154" s="12"/>
      <c r="F154" s="12"/>
      <c r="G154" s="18"/>
      <c r="H154" s="35"/>
      <c r="I154" s="12"/>
      <c r="M154" s="12"/>
      <c r="N154" s="18"/>
      <c r="O154" s="12"/>
      <c r="P154" s="12"/>
      <c r="Q154" s="12"/>
      <c r="R154" s="36"/>
      <c r="S154" s="36"/>
      <c r="T154" s="12"/>
      <c r="U154" s="12"/>
      <c r="V154" s="12"/>
      <c r="W154" s="12"/>
      <c r="X154" s="12"/>
    </row>
    <row r="155" customFormat="false" ht="15.75" hidden="false" customHeight="false" outlineLevel="0" collapsed="false">
      <c r="A155" s="12"/>
      <c r="B155" s="34"/>
      <c r="C155" s="12"/>
      <c r="D155" s="12"/>
      <c r="E155" s="12"/>
      <c r="F155" s="12"/>
      <c r="G155" s="18"/>
      <c r="H155" s="35"/>
      <c r="I155" s="12"/>
      <c r="M155" s="12"/>
      <c r="N155" s="18"/>
      <c r="O155" s="12"/>
      <c r="P155" s="12"/>
      <c r="Q155" s="12"/>
      <c r="R155" s="36"/>
      <c r="S155" s="36"/>
      <c r="T155" s="12"/>
      <c r="U155" s="12"/>
      <c r="V155" s="12"/>
      <c r="W155" s="12"/>
      <c r="X155" s="12"/>
    </row>
    <row r="156" customFormat="false" ht="15.75" hidden="false" customHeight="false" outlineLevel="0" collapsed="false">
      <c r="A156" s="12"/>
      <c r="B156" s="34"/>
      <c r="C156" s="12"/>
      <c r="D156" s="12"/>
      <c r="E156" s="12"/>
      <c r="F156" s="12"/>
      <c r="G156" s="18"/>
      <c r="H156" s="35"/>
      <c r="I156" s="12"/>
      <c r="M156" s="12"/>
      <c r="N156" s="18"/>
      <c r="O156" s="12"/>
      <c r="P156" s="12"/>
      <c r="Q156" s="12"/>
      <c r="R156" s="36"/>
      <c r="S156" s="36"/>
      <c r="T156" s="12"/>
      <c r="U156" s="12"/>
      <c r="V156" s="12"/>
      <c r="W156" s="12"/>
      <c r="X156" s="12"/>
    </row>
    <row r="157" customFormat="false" ht="15.75" hidden="false" customHeight="false" outlineLevel="0" collapsed="false">
      <c r="A157" s="12"/>
      <c r="B157" s="34"/>
      <c r="C157" s="12"/>
      <c r="D157" s="12"/>
      <c r="E157" s="12"/>
      <c r="F157" s="12"/>
      <c r="G157" s="18"/>
      <c r="H157" s="35"/>
      <c r="I157" s="12"/>
      <c r="M157" s="12"/>
      <c r="N157" s="18"/>
      <c r="O157" s="12"/>
      <c r="P157" s="12"/>
      <c r="Q157" s="12"/>
      <c r="R157" s="36"/>
      <c r="S157" s="36"/>
      <c r="T157" s="12"/>
      <c r="U157" s="12"/>
      <c r="V157" s="12"/>
      <c r="W157" s="12"/>
      <c r="X157" s="12"/>
    </row>
    <row r="158" customFormat="false" ht="15.75" hidden="false" customHeight="false" outlineLevel="0" collapsed="false">
      <c r="A158" s="12"/>
      <c r="B158" s="34"/>
      <c r="C158" s="12"/>
      <c r="D158" s="12"/>
      <c r="E158" s="12"/>
      <c r="F158" s="12"/>
      <c r="G158" s="18"/>
      <c r="H158" s="35"/>
      <c r="I158" s="12"/>
      <c r="M158" s="12"/>
      <c r="N158" s="18"/>
      <c r="O158" s="12"/>
      <c r="P158" s="12"/>
      <c r="Q158" s="12"/>
      <c r="R158" s="36"/>
      <c r="S158" s="36"/>
      <c r="T158" s="12"/>
      <c r="U158" s="12"/>
      <c r="V158" s="12"/>
      <c r="W158" s="12"/>
      <c r="X158" s="12"/>
    </row>
    <row r="159" customFormat="false" ht="15.75" hidden="false" customHeight="false" outlineLevel="0" collapsed="false">
      <c r="A159" s="12"/>
      <c r="B159" s="34"/>
      <c r="C159" s="12"/>
      <c r="D159" s="12"/>
      <c r="E159" s="12"/>
      <c r="F159" s="12"/>
      <c r="G159" s="18"/>
      <c r="H159" s="35"/>
      <c r="I159" s="12"/>
      <c r="M159" s="12"/>
      <c r="N159" s="18"/>
      <c r="O159" s="12"/>
      <c r="P159" s="12"/>
      <c r="Q159" s="12"/>
      <c r="R159" s="36"/>
      <c r="S159" s="36"/>
      <c r="T159" s="12"/>
      <c r="U159" s="12"/>
      <c r="V159" s="12"/>
      <c r="W159" s="12"/>
      <c r="X159" s="12"/>
    </row>
    <row r="160" customFormat="false" ht="15.75" hidden="false" customHeight="false" outlineLevel="0" collapsed="false">
      <c r="A160" s="12"/>
      <c r="B160" s="34"/>
      <c r="C160" s="12"/>
      <c r="D160" s="12"/>
      <c r="E160" s="12"/>
      <c r="F160" s="12"/>
      <c r="G160" s="18"/>
      <c r="H160" s="35"/>
      <c r="I160" s="12"/>
      <c r="M160" s="12"/>
      <c r="N160" s="18"/>
      <c r="O160" s="12"/>
      <c r="P160" s="12"/>
      <c r="Q160" s="12"/>
      <c r="R160" s="36"/>
      <c r="S160" s="36"/>
      <c r="T160" s="12"/>
      <c r="U160" s="12"/>
      <c r="V160" s="12"/>
      <c r="W160" s="12"/>
      <c r="X160" s="12"/>
    </row>
    <row r="161" customFormat="false" ht="15.75" hidden="false" customHeight="false" outlineLevel="0" collapsed="false">
      <c r="A161" s="12"/>
      <c r="B161" s="34"/>
      <c r="C161" s="12"/>
      <c r="D161" s="12"/>
      <c r="E161" s="12"/>
      <c r="F161" s="12"/>
      <c r="G161" s="18"/>
      <c r="H161" s="35"/>
      <c r="I161" s="12"/>
      <c r="M161" s="12"/>
      <c r="N161" s="18"/>
      <c r="O161" s="12"/>
      <c r="P161" s="12"/>
      <c r="Q161" s="12"/>
      <c r="R161" s="36"/>
      <c r="S161" s="36"/>
      <c r="T161" s="12"/>
      <c r="U161" s="12"/>
      <c r="V161" s="12"/>
      <c r="W161" s="12"/>
      <c r="X161" s="12"/>
    </row>
    <row r="162" customFormat="false" ht="15.75" hidden="false" customHeight="false" outlineLevel="0" collapsed="false">
      <c r="A162" s="12"/>
      <c r="B162" s="34"/>
      <c r="C162" s="12"/>
      <c r="D162" s="12"/>
      <c r="E162" s="12"/>
      <c r="F162" s="12"/>
      <c r="G162" s="18"/>
      <c r="H162" s="35"/>
      <c r="I162" s="12"/>
      <c r="M162" s="12"/>
      <c r="N162" s="18"/>
      <c r="O162" s="12"/>
      <c r="P162" s="12"/>
      <c r="Q162" s="12"/>
      <c r="R162" s="36"/>
      <c r="S162" s="36"/>
      <c r="T162" s="12"/>
      <c r="U162" s="12"/>
      <c r="V162" s="12"/>
      <c r="W162" s="12"/>
      <c r="X162" s="12"/>
    </row>
    <row r="163" customFormat="false" ht="15.75" hidden="false" customHeight="false" outlineLevel="0" collapsed="false">
      <c r="A163" s="12"/>
      <c r="B163" s="34"/>
      <c r="C163" s="12"/>
      <c r="D163" s="12"/>
      <c r="E163" s="12"/>
      <c r="F163" s="12"/>
      <c r="G163" s="18"/>
      <c r="H163" s="35"/>
      <c r="I163" s="12"/>
      <c r="M163" s="12"/>
      <c r="N163" s="18"/>
      <c r="O163" s="12"/>
      <c r="P163" s="12"/>
      <c r="Q163" s="12"/>
      <c r="R163" s="36"/>
      <c r="S163" s="36"/>
      <c r="T163" s="12"/>
      <c r="U163" s="12"/>
      <c r="V163" s="12"/>
      <c r="W163" s="12"/>
      <c r="X163" s="12"/>
    </row>
    <row r="164" customFormat="false" ht="15.75" hidden="false" customHeight="false" outlineLevel="0" collapsed="false">
      <c r="A164" s="12"/>
      <c r="B164" s="34"/>
      <c r="C164" s="12"/>
      <c r="D164" s="12"/>
      <c r="E164" s="12"/>
      <c r="F164" s="12"/>
      <c r="G164" s="18"/>
      <c r="H164" s="35"/>
      <c r="I164" s="12"/>
      <c r="M164" s="12"/>
      <c r="N164" s="18"/>
      <c r="O164" s="12"/>
      <c r="P164" s="12"/>
      <c r="Q164" s="12"/>
      <c r="R164" s="36"/>
      <c r="S164" s="36"/>
      <c r="T164" s="12"/>
      <c r="U164" s="12"/>
      <c r="V164" s="12"/>
      <c r="W164" s="12"/>
      <c r="X164" s="12"/>
    </row>
    <row r="165" customFormat="false" ht="15.75" hidden="false" customHeight="false" outlineLevel="0" collapsed="false">
      <c r="A165" s="12"/>
      <c r="B165" s="34"/>
      <c r="C165" s="12"/>
      <c r="D165" s="12"/>
      <c r="E165" s="12"/>
      <c r="F165" s="12"/>
      <c r="G165" s="18"/>
      <c r="H165" s="35"/>
      <c r="I165" s="12"/>
      <c r="M165" s="12"/>
      <c r="N165" s="18"/>
      <c r="O165" s="12"/>
      <c r="P165" s="12"/>
      <c r="Q165" s="12"/>
      <c r="R165" s="36"/>
      <c r="S165" s="36"/>
      <c r="T165" s="12"/>
      <c r="U165" s="12"/>
      <c r="V165" s="12"/>
      <c r="W165" s="12"/>
      <c r="X165" s="12"/>
    </row>
    <row r="166" customFormat="false" ht="15.75" hidden="false" customHeight="false" outlineLevel="0" collapsed="false">
      <c r="A166" s="12"/>
      <c r="B166" s="34"/>
      <c r="C166" s="12"/>
      <c r="D166" s="12"/>
      <c r="E166" s="12"/>
      <c r="F166" s="12"/>
      <c r="G166" s="18"/>
      <c r="H166" s="35"/>
      <c r="I166" s="12"/>
      <c r="M166" s="12"/>
      <c r="N166" s="18"/>
      <c r="O166" s="12"/>
      <c r="P166" s="12"/>
      <c r="Q166" s="12"/>
      <c r="R166" s="36"/>
      <c r="S166" s="36"/>
      <c r="T166" s="12"/>
      <c r="U166" s="12"/>
      <c r="V166" s="12"/>
      <c r="W166" s="12"/>
      <c r="X166" s="12"/>
    </row>
    <row r="167" customFormat="false" ht="15.75" hidden="false" customHeight="false" outlineLevel="0" collapsed="false">
      <c r="A167" s="12"/>
      <c r="B167" s="34"/>
      <c r="C167" s="12"/>
      <c r="D167" s="12"/>
      <c r="E167" s="12"/>
      <c r="F167" s="12"/>
      <c r="G167" s="18"/>
      <c r="H167" s="35"/>
      <c r="I167" s="12"/>
      <c r="M167" s="12"/>
      <c r="N167" s="18"/>
      <c r="O167" s="12"/>
      <c r="P167" s="12"/>
      <c r="Q167" s="12"/>
      <c r="R167" s="36"/>
      <c r="S167" s="36"/>
      <c r="T167" s="12"/>
      <c r="U167" s="12"/>
      <c r="V167" s="12"/>
      <c r="W167" s="12"/>
      <c r="X167" s="12"/>
    </row>
    <row r="168" customFormat="false" ht="15.75" hidden="false" customHeight="false" outlineLevel="0" collapsed="false">
      <c r="A168" s="12"/>
      <c r="B168" s="34"/>
      <c r="C168" s="12"/>
      <c r="D168" s="12"/>
      <c r="E168" s="12"/>
      <c r="F168" s="12"/>
      <c r="G168" s="18"/>
      <c r="H168" s="35"/>
      <c r="I168" s="12"/>
      <c r="M168" s="12"/>
      <c r="N168" s="18"/>
      <c r="O168" s="12"/>
      <c r="P168" s="12"/>
      <c r="Q168" s="12"/>
      <c r="R168" s="36"/>
      <c r="S168" s="36"/>
      <c r="T168" s="12"/>
      <c r="U168" s="12"/>
      <c r="V168" s="12"/>
      <c r="W168" s="12"/>
      <c r="X168" s="12"/>
    </row>
    <row r="169" customFormat="false" ht="15.75" hidden="false" customHeight="false" outlineLevel="0" collapsed="false">
      <c r="A169" s="12"/>
      <c r="B169" s="34"/>
      <c r="C169" s="12"/>
      <c r="D169" s="12"/>
      <c r="E169" s="12"/>
      <c r="F169" s="12"/>
      <c r="G169" s="18"/>
      <c r="H169" s="35"/>
      <c r="I169" s="12"/>
      <c r="M169" s="12"/>
      <c r="N169" s="18"/>
      <c r="O169" s="12"/>
      <c r="P169" s="12"/>
      <c r="Q169" s="12"/>
      <c r="R169" s="36"/>
      <c r="S169" s="36"/>
      <c r="T169" s="12"/>
      <c r="U169" s="12"/>
      <c r="V169" s="12"/>
      <c r="W169" s="12"/>
      <c r="X169" s="12"/>
    </row>
    <row r="170" customFormat="false" ht="15.75" hidden="false" customHeight="false" outlineLevel="0" collapsed="false">
      <c r="A170" s="12"/>
      <c r="B170" s="34"/>
      <c r="C170" s="12"/>
      <c r="D170" s="12"/>
      <c r="E170" s="12"/>
      <c r="F170" s="12"/>
      <c r="G170" s="18"/>
      <c r="H170" s="35"/>
      <c r="I170" s="12"/>
      <c r="M170" s="12"/>
      <c r="N170" s="18"/>
      <c r="O170" s="12"/>
      <c r="P170" s="12"/>
      <c r="Q170" s="12"/>
      <c r="R170" s="36"/>
      <c r="S170" s="36"/>
      <c r="T170" s="12"/>
      <c r="U170" s="12"/>
      <c r="V170" s="12"/>
      <c r="W170" s="12"/>
      <c r="X170" s="12"/>
    </row>
    <row r="171" customFormat="false" ht="15.75" hidden="false" customHeight="false" outlineLevel="0" collapsed="false">
      <c r="A171" s="12"/>
      <c r="B171" s="34"/>
      <c r="C171" s="12"/>
      <c r="D171" s="12"/>
      <c r="E171" s="12"/>
      <c r="F171" s="12"/>
      <c r="G171" s="18"/>
      <c r="H171" s="35"/>
      <c r="I171" s="12"/>
      <c r="M171" s="12"/>
      <c r="N171" s="18"/>
      <c r="O171" s="12"/>
      <c r="P171" s="12"/>
      <c r="Q171" s="12"/>
      <c r="R171" s="36"/>
      <c r="S171" s="36"/>
      <c r="T171" s="12"/>
      <c r="U171" s="12"/>
      <c r="V171" s="12"/>
      <c r="W171" s="12"/>
      <c r="X171" s="12"/>
    </row>
    <row r="172" customFormat="false" ht="15.75" hidden="false" customHeight="false" outlineLevel="0" collapsed="false">
      <c r="A172" s="12"/>
      <c r="B172" s="34"/>
      <c r="C172" s="12"/>
      <c r="D172" s="12"/>
      <c r="E172" s="12"/>
      <c r="F172" s="12"/>
      <c r="G172" s="18"/>
      <c r="H172" s="35"/>
      <c r="I172" s="12"/>
      <c r="M172" s="12"/>
      <c r="N172" s="18"/>
      <c r="O172" s="12"/>
      <c r="P172" s="12"/>
      <c r="Q172" s="12"/>
      <c r="R172" s="36"/>
      <c r="S172" s="36"/>
      <c r="T172" s="12"/>
      <c r="U172" s="12"/>
      <c r="V172" s="12"/>
      <c r="W172" s="12"/>
      <c r="X172" s="12"/>
    </row>
    <row r="173" customFormat="false" ht="15.75" hidden="false" customHeight="false" outlineLevel="0" collapsed="false">
      <c r="A173" s="12"/>
      <c r="B173" s="34"/>
      <c r="C173" s="12"/>
      <c r="D173" s="12"/>
      <c r="E173" s="12"/>
      <c r="F173" s="12"/>
      <c r="G173" s="18"/>
      <c r="H173" s="35"/>
      <c r="I173" s="12"/>
      <c r="M173" s="12"/>
      <c r="N173" s="18"/>
      <c r="O173" s="12"/>
      <c r="P173" s="12"/>
      <c r="Q173" s="12"/>
      <c r="R173" s="36"/>
      <c r="S173" s="36"/>
      <c r="T173" s="12"/>
      <c r="U173" s="12"/>
      <c r="V173" s="12"/>
      <c r="W173" s="12"/>
      <c r="X173" s="12"/>
    </row>
    <row r="174" customFormat="false" ht="15.75" hidden="false" customHeight="false" outlineLevel="0" collapsed="false">
      <c r="A174" s="12"/>
      <c r="B174" s="34"/>
      <c r="C174" s="12"/>
      <c r="D174" s="12"/>
      <c r="E174" s="12"/>
      <c r="F174" s="12"/>
      <c r="G174" s="18"/>
      <c r="H174" s="35"/>
      <c r="I174" s="12"/>
      <c r="M174" s="12"/>
      <c r="N174" s="18"/>
      <c r="O174" s="12"/>
      <c r="P174" s="12"/>
      <c r="Q174" s="12"/>
      <c r="R174" s="36"/>
      <c r="S174" s="36"/>
      <c r="T174" s="12"/>
      <c r="U174" s="12"/>
      <c r="V174" s="12"/>
      <c r="W174" s="12"/>
      <c r="X174" s="12"/>
    </row>
    <row r="175" customFormat="false" ht="15.75" hidden="false" customHeight="false" outlineLevel="0" collapsed="false">
      <c r="A175" s="12"/>
      <c r="B175" s="34"/>
      <c r="C175" s="12"/>
      <c r="D175" s="12"/>
      <c r="E175" s="12"/>
      <c r="F175" s="12"/>
      <c r="G175" s="18"/>
      <c r="H175" s="35"/>
      <c r="I175" s="12"/>
      <c r="M175" s="12"/>
      <c r="N175" s="18"/>
      <c r="O175" s="12"/>
      <c r="P175" s="12"/>
      <c r="Q175" s="12"/>
      <c r="R175" s="36"/>
      <c r="S175" s="36"/>
      <c r="T175" s="12"/>
      <c r="U175" s="12"/>
      <c r="V175" s="12"/>
      <c r="W175" s="12"/>
      <c r="X175" s="12"/>
    </row>
    <row r="176" customFormat="false" ht="15.75" hidden="false" customHeight="false" outlineLevel="0" collapsed="false">
      <c r="A176" s="12"/>
      <c r="B176" s="34"/>
      <c r="C176" s="12"/>
      <c r="D176" s="12"/>
      <c r="E176" s="12"/>
      <c r="F176" s="12"/>
      <c r="G176" s="18"/>
      <c r="H176" s="35"/>
      <c r="I176" s="12"/>
      <c r="M176" s="12"/>
      <c r="N176" s="18"/>
      <c r="O176" s="12"/>
      <c r="P176" s="12"/>
      <c r="Q176" s="12"/>
      <c r="R176" s="36"/>
      <c r="S176" s="36"/>
      <c r="T176" s="12"/>
      <c r="U176" s="12"/>
      <c r="V176" s="12"/>
      <c r="W176" s="12"/>
      <c r="X176" s="12"/>
    </row>
    <row r="177" customFormat="false" ht="15.75" hidden="false" customHeight="false" outlineLevel="0" collapsed="false">
      <c r="A177" s="12"/>
      <c r="B177" s="34"/>
      <c r="C177" s="12"/>
      <c r="D177" s="12"/>
      <c r="E177" s="12"/>
      <c r="F177" s="12"/>
      <c r="G177" s="18"/>
      <c r="H177" s="35"/>
      <c r="I177" s="12"/>
      <c r="M177" s="12"/>
      <c r="N177" s="18"/>
      <c r="O177" s="12"/>
      <c r="P177" s="12"/>
      <c r="Q177" s="12"/>
      <c r="R177" s="36"/>
      <c r="S177" s="36"/>
      <c r="T177" s="12"/>
      <c r="U177" s="12"/>
      <c r="V177" s="12"/>
      <c r="W177" s="12"/>
      <c r="X177" s="12"/>
    </row>
    <row r="178" customFormat="false" ht="15.75" hidden="false" customHeight="false" outlineLevel="0" collapsed="false">
      <c r="A178" s="12"/>
      <c r="B178" s="34"/>
      <c r="C178" s="12"/>
      <c r="D178" s="12"/>
      <c r="E178" s="12"/>
      <c r="F178" s="12"/>
      <c r="G178" s="18"/>
      <c r="H178" s="35"/>
      <c r="I178" s="12"/>
      <c r="M178" s="12"/>
      <c r="N178" s="18"/>
      <c r="O178" s="12"/>
      <c r="P178" s="12"/>
      <c r="Q178" s="12"/>
      <c r="R178" s="36"/>
      <c r="S178" s="36"/>
      <c r="T178" s="12"/>
      <c r="U178" s="12"/>
      <c r="V178" s="12"/>
      <c r="W178" s="12"/>
      <c r="X178" s="12"/>
    </row>
    <row r="179" customFormat="false" ht="15.75" hidden="false" customHeight="false" outlineLevel="0" collapsed="false">
      <c r="A179" s="12"/>
      <c r="B179" s="34"/>
      <c r="C179" s="12"/>
      <c r="D179" s="12"/>
      <c r="E179" s="12"/>
      <c r="F179" s="12"/>
      <c r="G179" s="18"/>
      <c r="H179" s="35"/>
      <c r="I179" s="12"/>
      <c r="M179" s="12"/>
      <c r="N179" s="18"/>
      <c r="O179" s="12"/>
      <c r="P179" s="12"/>
      <c r="Q179" s="12"/>
      <c r="R179" s="36"/>
      <c r="S179" s="36"/>
      <c r="T179" s="12"/>
      <c r="U179" s="12"/>
      <c r="V179" s="12"/>
      <c r="W179" s="12"/>
      <c r="X179" s="12"/>
    </row>
    <row r="180" customFormat="false" ht="15.75" hidden="false" customHeight="false" outlineLevel="0" collapsed="false">
      <c r="A180" s="12"/>
      <c r="B180" s="34"/>
      <c r="C180" s="12"/>
      <c r="D180" s="12"/>
      <c r="E180" s="12"/>
      <c r="F180" s="12"/>
      <c r="G180" s="18"/>
      <c r="H180" s="35"/>
      <c r="I180" s="12"/>
      <c r="M180" s="12"/>
      <c r="N180" s="18"/>
      <c r="O180" s="12"/>
      <c r="P180" s="12"/>
      <c r="Q180" s="12"/>
      <c r="R180" s="36"/>
      <c r="S180" s="36"/>
      <c r="T180" s="12"/>
      <c r="U180" s="12"/>
      <c r="V180" s="12"/>
      <c r="W180" s="12"/>
      <c r="X180" s="12"/>
    </row>
    <row r="181" customFormat="false" ht="15.75" hidden="false" customHeight="false" outlineLevel="0" collapsed="false">
      <c r="A181" s="12"/>
      <c r="B181" s="34"/>
      <c r="C181" s="12"/>
      <c r="D181" s="12"/>
      <c r="E181" s="12"/>
      <c r="F181" s="12"/>
      <c r="G181" s="18"/>
      <c r="H181" s="35"/>
      <c r="I181" s="12"/>
      <c r="M181" s="12"/>
      <c r="N181" s="18"/>
      <c r="O181" s="12"/>
      <c r="P181" s="12"/>
      <c r="Q181" s="12"/>
      <c r="R181" s="36"/>
      <c r="S181" s="36"/>
      <c r="T181" s="12"/>
      <c r="U181" s="12"/>
      <c r="V181" s="12"/>
      <c r="W181" s="12"/>
      <c r="X181" s="12"/>
    </row>
    <row r="182" customFormat="false" ht="15.75" hidden="false" customHeight="false" outlineLevel="0" collapsed="false">
      <c r="A182" s="12"/>
      <c r="B182" s="34"/>
      <c r="C182" s="12"/>
      <c r="D182" s="12"/>
      <c r="E182" s="12"/>
      <c r="F182" s="12"/>
      <c r="G182" s="18"/>
      <c r="H182" s="35"/>
      <c r="I182" s="12"/>
      <c r="M182" s="12"/>
      <c r="N182" s="18"/>
      <c r="O182" s="12"/>
      <c r="P182" s="12"/>
      <c r="Q182" s="12"/>
      <c r="R182" s="36"/>
      <c r="S182" s="36"/>
      <c r="T182" s="12"/>
      <c r="U182" s="12"/>
      <c r="V182" s="12"/>
      <c r="W182" s="12"/>
      <c r="X182" s="12"/>
    </row>
    <row r="183" customFormat="false" ht="15.75" hidden="false" customHeight="false" outlineLevel="0" collapsed="false">
      <c r="A183" s="12"/>
      <c r="B183" s="34"/>
      <c r="C183" s="12"/>
      <c r="D183" s="12"/>
      <c r="E183" s="12"/>
      <c r="F183" s="12"/>
      <c r="G183" s="18"/>
      <c r="H183" s="35"/>
      <c r="I183" s="12"/>
      <c r="M183" s="12"/>
      <c r="N183" s="18"/>
      <c r="O183" s="12"/>
      <c r="P183" s="12"/>
      <c r="Q183" s="12"/>
      <c r="R183" s="36"/>
      <c r="S183" s="36"/>
      <c r="T183" s="12"/>
      <c r="U183" s="12"/>
      <c r="V183" s="12"/>
      <c r="W183" s="12"/>
      <c r="X183" s="12"/>
    </row>
    <row r="184" customFormat="false" ht="15.75" hidden="false" customHeight="false" outlineLevel="0" collapsed="false">
      <c r="A184" s="12"/>
      <c r="B184" s="34"/>
      <c r="C184" s="12"/>
      <c r="D184" s="12"/>
      <c r="E184" s="12"/>
      <c r="F184" s="12"/>
      <c r="G184" s="18"/>
      <c r="H184" s="35"/>
      <c r="I184" s="12"/>
      <c r="M184" s="12"/>
      <c r="N184" s="18"/>
      <c r="O184" s="12"/>
      <c r="P184" s="12"/>
      <c r="Q184" s="12"/>
      <c r="R184" s="36"/>
      <c r="S184" s="36"/>
      <c r="T184" s="12"/>
      <c r="U184" s="12"/>
      <c r="V184" s="12"/>
      <c r="W184" s="12"/>
      <c r="X184" s="12"/>
    </row>
    <row r="185" customFormat="false" ht="15.75" hidden="false" customHeight="false" outlineLevel="0" collapsed="false">
      <c r="A185" s="12"/>
      <c r="B185" s="34"/>
      <c r="C185" s="12"/>
      <c r="D185" s="12"/>
      <c r="E185" s="12"/>
      <c r="F185" s="12"/>
      <c r="G185" s="18"/>
      <c r="H185" s="35"/>
      <c r="I185" s="12"/>
      <c r="M185" s="12"/>
      <c r="N185" s="18"/>
      <c r="O185" s="12"/>
      <c r="P185" s="12"/>
      <c r="Q185" s="12"/>
      <c r="R185" s="36"/>
      <c r="S185" s="36"/>
      <c r="T185" s="12"/>
      <c r="U185" s="12"/>
      <c r="V185" s="12"/>
      <c r="W185" s="12"/>
      <c r="X185" s="12"/>
    </row>
    <row r="186" customFormat="false" ht="15.75" hidden="false" customHeight="false" outlineLevel="0" collapsed="false">
      <c r="A186" s="12"/>
      <c r="B186" s="34"/>
      <c r="C186" s="12"/>
      <c r="D186" s="12"/>
      <c r="E186" s="12"/>
      <c r="F186" s="12"/>
      <c r="G186" s="18"/>
      <c r="H186" s="35"/>
      <c r="I186" s="12"/>
      <c r="M186" s="12"/>
      <c r="N186" s="18"/>
      <c r="O186" s="12"/>
      <c r="P186" s="12"/>
      <c r="Q186" s="12"/>
      <c r="R186" s="36"/>
      <c r="S186" s="36"/>
      <c r="T186" s="12"/>
      <c r="U186" s="12"/>
      <c r="V186" s="12"/>
      <c r="W186" s="12"/>
      <c r="X186" s="12"/>
    </row>
    <row r="187" customFormat="false" ht="15.75" hidden="false" customHeight="false" outlineLevel="0" collapsed="false">
      <c r="A187" s="12"/>
      <c r="B187" s="34"/>
      <c r="C187" s="12"/>
      <c r="D187" s="12"/>
      <c r="E187" s="12"/>
      <c r="F187" s="12"/>
      <c r="G187" s="18"/>
      <c r="H187" s="35"/>
      <c r="I187" s="12"/>
      <c r="M187" s="12"/>
      <c r="N187" s="18"/>
      <c r="O187" s="12"/>
      <c r="P187" s="12"/>
      <c r="Q187" s="12"/>
      <c r="R187" s="36"/>
      <c r="S187" s="36"/>
      <c r="T187" s="12"/>
      <c r="U187" s="12"/>
      <c r="V187" s="12"/>
      <c r="W187" s="12"/>
      <c r="X187" s="12"/>
    </row>
    <row r="188" customFormat="false" ht="15.75" hidden="false" customHeight="false" outlineLevel="0" collapsed="false">
      <c r="A188" s="12"/>
      <c r="B188" s="34"/>
      <c r="C188" s="12"/>
      <c r="D188" s="12"/>
      <c r="E188" s="12"/>
      <c r="F188" s="12"/>
      <c r="G188" s="18"/>
      <c r="H188" s="35"/>
      <c r="I188" s="12"/>
      <c r="M188" s="12"/>
      <c r="N188" s="18"/>
      <c r="O188" s="12"/>
      <c r="P188" s="12"/>
      <c r="Q188" s="12"/>
      <c r="R188" s="36"/>
      <c r="S188" s="36"/>
      <c r="T188" s="12"/>
      <c r="U188" s="12"/>
      <c r="V188" s="12"/>
      <c r="W188" s="12"/>
      <c r="X188" s="12"/>
    </row>
    <row r="189" customFormat="false" ht="15.75" hidden="false" customHeight="false" outlineLevel="0" collapsed="false">
      <c r="A189" s="12"/>
      <c r="B189" s="34"/>
      <c r="C189" s="12"/>
      <c r="D189" s="12"/>
      <c r="E189" s="12"/>
      <c r="F189" s="12"/>
      <c r="G189" s="18"/>
      <c r="H189" s="35"/>
      <c r="I189" s="12"/>
      <c r="M189" s="12"/>
      <c r="N189" s="18"/>
      <c r="O189" s="12"/>
      <c r="P189" s="12"/>
      <c r="Q189" s="12"/>
      <c r="R189" s="36"/>
      <c r="S189" s="36"/>
      <c r="T189" s="12"/>
      <c r="U189" s="12"/>
      <c r="V189" s="12"/>
      <c r="W189" s="12"/>
      <c r="X189" s="12"/>
    </row>
    <row r="190" customFormat="false" ht="15.75" hidden="false" customHeight="false" outlineLevel="0" collapsed="false">
      <c r="A190" s="12"/>
      <c r="B190" s="34"/>
      <c r="C190" s="12"/>
      <c r="D190" s="12"/>
      <c r="E190" s="12"/>
      <c r="F190" s="12"/>
      <c r="G190" s="18"/>
      <c r="H190" s="35"/>
      <c r="I190" s="12"/>
      <c r="M190" s="12"/>
      <c r="N190" s="18"/>
      <c r="O190" s="12"/>
      <c r="P190" s="12"/>
      <c r="Q190" s="12"/>
      <c r="R190" s="36"/>
      <c r="S190" s="36"/>
      <c r="T190" s="12"/>
      <c r="U190" s="12"/>
      <c r="V190" s="12"/>
      <c r="W190" s="12"/>
      <c r="X190" s="12"/>
    </row>
    <row r="191" customFormat="false" ht="15.75" hidden="false" customHeight="false" outlineLevel="0" collapsed="false">
      <c r="A191" s="12"/>
      <c r="B191" s="34"/>
      <c r="C191" s="12"/>
      <c r="D191" s="12"/>
      <c r="E191" s="12"/>
      <c r="F191" s="12"/>
      <c r="G191" s="18"/>
      <c r="H191" s="35"/>
      <c r="I191" s="12"/>
      <c r="M191" s="12"/>
      <c r="N191" s="18"/>
      <c r="O191" s="12"/>
      <c r="P191" s="12"/>
      <c r="Q191" s="12"/>
      <c r="R191" s="36"/>
      <c r="S191" s="36"/>
      <c r="T191" s="12"/>
      <c r="U191" s="12"/>
      <c r="V191" s="12"/>
      <c r="W191" s="12"/>
      <c r="X191" s="12"/>
    </row>
    <row r="192" customFormat="false" ht="15.75" hidden="false" customHeight="false" outlineLevel="0" collapsed="false">
      <c r="A192" s="12"/>
      <c r="B192" s="34"/>
      <c r="C192" s="12"/>
      <c r="D192" s="12"/>
      <c r="E192" s="12"/>
      <c r="F192" s="12"/>
      <c r="G192" s="18"/>
      <c r="H192" s="35"/>
      <c r="I192" s="12"/>
      <c r="M192" s="12"/>
      <c r="N192" s="18"/>
      <c r="O192" s="12"/>
      <c r="P192" s="12"/>
      <c r="Q192" s="12"/>
      <c r="R192" s="36"/>
      <c r="S192" s="36"/>
      <c r="T192" s="12"/>
      <c r="U192" s="12"/>
      <c r="V192" s="12"/>
      <c r="W192" s="12"/>
      <c r="X192" s="12"/>
    </row>
    <row r="193" customFormat="false" ht="15.75" hidden="false" customHeight="false" outlineLevel="0" collapsed="false">
      <c r="A193" s="12"/>
      <c r="B193" s="34"/>
      <c r="C193" s="12"/>
      <c r="D193" s="12"/>
      <c r="E193" s="12"/>
      <c r="F193" s="12"/>
      <c r="G193" s="18"/>
      <c r="H193" s="35"/>
      <c r="I193" s="12"/>
      <c r="M193" s="12"/>
      <c r="N193" s="18"/>
      <c r="O193" s="12"/>
      <c r="P193" s="12"/>
      <c r="Q193" s="12"/>
      <c r="R193" s="36"/>
      <c r="S193" s="36"/>
      <c r="T193" s="12"/>
      <c r="U193" s="12"/>
      <c r="V193" s="12"/>
      <c r="W193" s="12"/>
      <c r="X193" s="12"/>
    </row>
    <row r="194" customFormat="false" ht="15.75" hidden="false" customHeight="false" outlineLevel="0" collapsed="false">
      <c r="A194" s="12"/>
      <c r="B194" s="34"/>
      <c r="C194" s="12"/>
      <c r="D194" s="12"/>
      <c r="E194" s="12"/>
      <c r="F194" s="12"/>
      <c r="G194" s="18"/>
      <c r="H194" s="35"/>
      <c r="I194" s="12"/>
      <c r="M194" s="12"/>
      <c r="N194" s="18"/>
      <c r="O194" s="12"/>
      <c r="P194" s="12"/>
      <c r="Q194" s="12"/>
      <c r="R194" s="36"/>
      <c r="S194" s="36"/>
      <c r="T194" s="12"/>
      <c r="U194" s="12"/>
      <c r="V194" s="12"/>
      <c r="W194" s="12"/>
      <c r="X194" s="12"/>
    </row>
    <row r="195" customFormat="false" ht="15.75" hidden="false" customHeight="false" outlineLevel="0" collapsed="false">
      <c r="A195" s="12"/>
      <c r="B195" s="34"/>
      <c r="C195" s="12"/>
      <c r="D195" s="12"/>
      <c r="E195" s="12"/>
      <c r="F195" s="12"/>
      <c r="G195" s="18"/>
      <c r="H195" s="35"/>
      <c r="I195" s="12"/>
      <c r="M195" s="12"/>
      <c r="N195" s="18"/>
      <c r="O195" s="12"/>
      <c r="P195" s="12"/>
      <c r="Q195" s="12"/>
      <c r="R195" s="36"/>
      <c r="S195" s="36"/>
      <c r="T195" s="12"/>
      <c r="U195" s="12"/>
      <c r="V195" s="12"/>
      <c r="W195" s="12"/>
      <c r="X195" s="12"/>
    </row>
    <row r="196" customFormat="false" ht="15.75" hidden="false" customHeight="false" outlineLevel="0" collapsed="false">
      <c r="A196" s="12"/>
      <c r="B196" s="34"/>
      <c r="C196" s="12"/>
      <c r="D196" s="12"/>
      <c r="E196" s="12"/>
      <c r="F196" s="12"/>
      <c r="G196" s="18"/>
      <c r="H196" s="35"/>
      <c r="I196" s="12"/>
      <c r="M196" s="12"/>
      <c r="N196" s="18"/>
      <c r="O196" s="12"/>
      <c r="P196" s="12"/>
      <c r="Q196" s="12"/>
      <c r="R196" s="36"/>
      <c r="S196" s="36"/>
      <c r="T196" s="12"/>
      <c r="U196" s="12"/>
      <c r="V196" s="12"/>
      <c r="W196" s="12"/>
      <c r="X196" s="12"/>
    </row>
    <row r="197" customFormat="false" ht="15.75" hidden="false" customHeight="false" outlineLevel="0" collapsed="false">
      <c r="A197" s="12"/>
      <c r="B197" s="34"/>
      <c r="C197" s="12"/>
      <c r="D197" s="12"/>
      <c r="E197" s="12"/>
      <c r="F197" s="12"/>
      <c r="G197" s="18"/>
      <c r="H197" s="35"/>
      <c r="I197" s="12"/>
      <c r="M197" s="12"/>
      <c r="N197" s="18"/>
      <c r="O197" s="12"/>
      <c r="P197" s="12"/>
      <c r="Q197" s="12"/>
      <c r="R197" s="36"/>
      <c r="S197" s="36"/>
      <c r="T197" s="12"/>
      <c r="U197" s="12"/>
      <c r="V197" s="12"/>
      <c r="W197" s="12"/>
      <c r="X197" s="12"/>
    </row>
    <row r="198" customFormat="false" ht="15.75" hidden="false" customHeight="false" outlineLevel="0" collapsed="false">
      <c r="A198" s="12"/>
      <c r="B198" s="34"/>
      <c r="C198" s="12"/>
      <c r="D198" s="12"/>
      <c r="E198" s="12"/>
      <c r="F198" s="12"/>
      <c r="G198" s="18"/>
      <c r="H198" s="35"/>
      <c r="I198" s="12"/>
      <c r="M198" s="12"/>
      <c r="N198" s="18"/>
      <c r="O198" s="12"/>
      <c r="P198" s="12"/>
      <c r="Q198" s="12"/>
      <c r="R198" s="36"/>
      <c r="S198" s="36"/>
      <c r="T198" s="12"/>
      <c r="U198" s="12"/>
      <c r="V198" s="12"/>
      <c r="W198" s="12"/>
      <c r="X198" s="12"/>
    </row>
    <row r="199" customFormat="false" ht="15.75" hidden="false" customHeight="false" outlineLevel="0" collapsed="false">
      <c r="A199" s="12"/>
      <c r="B199" s="34"/>
      <c r="C199" s="12"/>
      <c r="D199" s="12"/>
      <c r="E199" s="12"/>
      <c r="F199" s="12"/>
      <c r="G199" s="18"/>
      <c r="H199" s="35"/>
      <c r="I199" s="12"/>
      <c r="M199" s="12"/>
      <c r="N199" s="18"/>
      <c r="O199" s="12"/>
      <c r="P199" s="12"/>
      <c r="Q199" s="12"/>
      <c r="R199" s="36"/>
      <c r="S199" s="36"/>
      <c r="T199" s="12"/>
      <c r="U199" s="12"/>
      <c r="V199" s="12"/>
      <c r="W199" s="12"/>
      <c r="X199" s="12"/>
    </row>
    <row r="200" customFormat="false" ht="15.75" hidden="false" customHeight="false" outlineLevel="0" collapsed="false">
      <c r="A200" s="12"/>
      <c r="B200" s="34"/>
      <c r="C200" s="12"/>
      <c r="D200" s="12"/>
      <c r="E200" s="12"/>
      <c r="F200" s="12"/>
      <c r="G200" s="18"/>
      <c r="H200" s="35"/>
      <c r="I200" s="12"/>
      <c r="M200" s="12"/>
      <c r="N200" s="18"/>
      <c r="O200" s="12"/>
      <c r="P200" s="12"/>
      <c r="Q200" s="12"/>
      <c r="R200" s="36"/>
      <c r="S200" s="36"/>
      <c r="T200" s="12"/>
      <c r="U200" s="12"/>
      <c r="V200" s="12"/>
      <c r="W200" s="12"/>
      <c r="X200" s="12"/>
    </row>
    <row r="201" customFormat="false" ht="15.75" hidden="false" customHeight="false" outlineLevel="0" collapsed="false">
      <c r="A201" s="12"/>
      <c r="B201" s="34"/>
      <c r="C201" s="12"/>
      <c r="D201" s="12"/>
      <c r="E201" s="12"/>
      <c r="F201" s="12"/>
      <c r="G201" s="18"/>
      <c r="H201" s="35"/>
      <c r="I201" s="12"/>
      <c r="M201" s="12"/>
      <c r="N201" s="18"/>
      <c r="O201" s="12"/>
      <c r="P201" s="12"/>
      <c r="Q201" s="12"/>
      <c r="R201" s="36"/>
      <c r="S201" s="36"/>
      <c r="T201" s="12"/>
      <c r="U201" s="12"/>
      <c r="V201" s="12"/>
      <c r="W201" s="12"/>
      <c r="X201" s="12"/>
    </row>
    <row r="202" customFormat="false" ht="15.75" hidden="false" customHeight="false" outlineLevel="0" collapsed="false">
      <c r="A202" s="12"/>
      <c r="B202" s="34"/>
      <c r="C202" s="12"/>
      <c r="D202" s="12"/>
      <c r="E202" s="12"/>
      <c r="F202" s="12"/>
      <c r="G202" s="18"/>
      <c r="H202" s="35"/>
      <c r="I202" s="12"/>
      <c r="M202" s="12"/>
      <c r="N202" s="18"/>
      <c r="O202" s="12"/>
      <c r="P202" s="12"/>
      <c r="Q202" s="12"/>
      <c r="R202" s="36"/>
      <c r="S202" s="36"/>
      <c r="T202" s="12"/>
      <c r="U202" s="12"/>
      <c r="V202" s="12"/>
      <c r="W202" s="12"/>
      <c r="X202" s="12"/>
    </row>
    <row r="203" customFormat="false" ht="15.75" hidden="false" customHeight="false" outlineLevel="0" collapsed="false">
      <c r="A203" s="12"/>
      <c r="B203" s="34"/>
      <c r="C203" s="12"/>
      <c r="D203" s="12"/>
      <c r="E203" s="12"/>
      <c r="F203" s="12"/>
      <c r="G203" s="18"/>
      <c r="H203" s="35"/>
      <c r="I203" s="12"/>
      <c r="M203" s="12"/>
      <c r="N203" s="18"/>
      <c r="O203" s="12"/>
      <c r="P203" s="12"/>
      <c r="Q203" s="12"/>
      <c r="R203" s="36"/>
      <c r="S203" s="36"/>
      <c r="T203" s="12"/>
      <c r="U203" s="12"/>
      <c r="V203" s="12"/>
      <c r="W203" s="12"/>
      <c r="X203" s="12"/>
    </row>
    <row r="204" customFormat="false" ht="15.75" hidden="false" customHeight="false" outlineLevel="0" collapsed="false">
      <c r="A204" s="12"/>
      <c r="B204" s="34"/>
      <c r="C204" s="12"/>
      <c r="D204" s="12"/>
      <c r="E204" s="12"/>
      <c r="F204" s="12"/>
      <c r="G204" s="18"/>
      <c r="H204" s="35"/>
      <c r="I204" s="12"/>
      <c r="M204" s="12"/>
      <c r="N204" s="18"/>
      <c r="O204" s="12"/>
      <c r="P204" s="12"/>
      <c r="Q204" s="12"/>
      <c r="R204" s="36"/>
      <c r="S204" s="36"/>
      <c r="T204" s="12"/>
      <c r="U204" s="12"/>
      <c r="V204" s="12"/>
      <c r="W204" s="12"/>
      <c r="X204" s="12"/>
    </row>
    <row r="205" customFormat="false" ht="15.75" hidden="false" customHeight="false" outlineLevel="0" collapsed="false">
      <c r="A205" s="12"/>
      <c r="B205" s="34"/>
      <c r="C205" s="12"/>
      <c r="D205" s="12"/>
      <c r="E205" s="12"/>
      <c r="F205" s="12"/>
      <c r="G205" s="18"/>
      <c r="H205" s="35"/>
      <c r="I205" s="12"/>
      <c r="M205" s="12"/>
      <c r="N205" s="18"/>
      <c r="O205" s="12"/>
      <c r="P205" s="12"/>
      <c r="Q205" s="12"/>
      <c r="R205" s="36"/>
      <c r="S205" s="36"/>
      <c r="T205" s="12"/>
      <c r="U205" s="12"/>
      <c r="V205" s="12"/>
      <c r="W205" s="12"/>
      <c r="X205" s="12"/>
    </row>
    <row r="206" customFormat="false" ht="15.75" hidden="false" customHeight="false" outlineLevel="0" collapsed="false">
      <c r="A206" s="12"/>
      <c r="B206" s="34"/>
      <c r="C206" s="12"/>
      <c r="D206" s="12"/>
      <c r="E206" s="12"/>
      <c r="F206" s="12"/>
      <c r="G206" s="18"/>
      <c r="H206" s="35"/>
      <c r="I206" s="12"/>
      <c r="M206" s="12"/>
      <c r="N206" s="18"/>
      <c r="O206" s="12"/>
      <c r="P206" s="12"/>
      <c r="Q206" s="12"/>
      <c r="R206" s="36"/>
      <c r="S206" s="36"/>
      <c r="T206" s="12"/>
      <c r="U206" s="12"/>
      <c r="V206" s="12"/>
      <c r="W206" s="12"/>
      <c r="X206" s="12"/>
    </row>
    <row r="207" customFormat="false" ht="15.75" hidden="false" customHeight="false" outlineLevel="0" collapsed="false">
      <c r="A207" s="12"/>
      <c r="B207" s="34"/>
      <c r="C207" s="12"/>
      <c r="D207" s="12"/>
      <c r="E207" s="12"/>
      <c r="F207" s="12"/>
      <c r="G207" s="18"/>
      <c r="H207" s="35"/>
      <c r="I207" s="12"/>
      <c r="M207" s="12"/>
      <c r="N207" s="18"/>
      <c r="O207" s="12"/>
      <c r="P207" s="12"/>
      <c r="Q207" s="12"/>
      <c r="R207" s="36"/>
      <c r="S207" s="36"/>
      <c r="T207" s="12"/>
      <c r="U207" s="12"/>
      <c r="V207" s="12"/>
      <c r="W207" s="12"/>
      <c r="X207" s="12"/>
    </row>
    <row r="208" customFormat="false" ht="15.75" hidden="false" customHeight="false" outlineLevel="0" collapsed="false">
      <c r="A208" s="12"/>
      <c r="B208" s="34"/>
      <c r="C208" s="12"/>
      <c r="D208" s="12"/>
      <c r="E208" s="12"/>
      <c r="F208" s="12"/>
      <c r="G208" s="18"/>
      <c r="H208" s="35"/>
      <c r="I208" s="12"/>
      <c r="M208" s="12"/>
      <c r="N208" s="18"/>
      <c r="O208" s="12"/>
      <c r="P208" s="12"/>
      <c r="Q208" s="12"/>
      <c r="R208" s="36"/>
      <c r="S208" s="36"/>
      <c r="T208" s="12"/>
      <c r="U208" s="12"/>
      <c r="V208" s="12"/>
      <c r="W208" s="12"/>
      <c r="X208" s="12"/>
    </row>
    <row r="209" customFormat="false" ht="15.75" hidden="false" customHeight="false" outlineLevel="0" collapsed="false">
      <c r="A209" s="12"/>
      <c r="B209" s="34"/>
      <c r="C209" s="12"/>
      <c r="D209" s="12"/>
      <c r="E209" s="12"/>
      <c r="F209" s="12"/>
      <c r="G209" s="18"/>
      <c r="H209" s="35"/>
      <c r="I209" s="12"/>
      <c r="M209" s="12"/>
      <c r="N209" s="18"/>
      <c r="O209" s="12"/>
      <c r="P209" s="12"/>
      <c r="Q209" s="12"/>
      <c r="R209" s="36"/>
      <c r="S209" s="36"/>
      <c r="T209" s="12"/>
      <c r="U209" s="12"/>
      <c r="V209" s="12"/>
      <c r="W209" s="12"/>
      <c r="X209" s="12"/>
    </row>
    <row r="210" customFormat="false" ht="15.75" hidden="false" customHeight="false" outlineLevel="0" collapsed="false">
      <c r="A210" s="12"/>
      <c r="B210" s="34"/>
      <c r="C210" s="12"/>
      <c r="D210" s="12"/>
      <c r="E210" s="12"/>
      <c r="F210" s="12"/>
      <c r="G210" s="18"/>
      <c r="H210" s="35"/>
      <c r="I210" s="12"/>
      <c r="M210" s="12"/>
      <c r="N210" s="18"/>
      <c r="O210" s="12"/>
      <c r="P210" s="12"/>
      <c r="Q210" s="12"/>
      <c r="R210" s="36"/>
      <c r="S210" s="36"/>
      <c r="T210" s="12"/>
      <c r="U210" s="12"/>
      <c r="V210" s="12"/>
      <c r="W210" s="12"/>
      <c r="X210" s="12"/>
    </row>
    <row r="211" customFormat="false" ht="15.75" hidden="false" customHeight="false" outlineLevel="0" collapsed="false">
      <c r="A211" s="12"/>
      <c r="B211" s="34"/>
      <c r="C211" s="12"/>
      <c r="D211" s="12"/>
      <c r="E211" s="12"/>
      <c r="F211" s="12"/>
      <c r="G211" s="18"/>
      <c r="H211" s="35"/>
      <c r="I211" s="12"/>
      <c r="M211" s="12"/>
      <c r="N211" s="18"/>
      <c r="O211" s="12"/>
      <c r="P211" s="12"/>
      <c r="Q211" s="12"/>
      <c r="R211" s="36"/>
      <c r="S211" s="36"/>
      <c r="T211" s="12"/>
      <c r="U211" s="12"/>
      <c r="V211" s="12"/>
      <c r="W211" s="12"/>
      <c r="X211" s="12"/>
    </row>
    <row r="212" customFormat="false" ht="15.75" hidden="false" customHeight="false" outlineLevel="0" collapsed="false">
      <c r="A212" s="12"/>
      <c r="B212" s="34"/>
      <c r="C212" s="12"/>
      <c r="D212" s="12"/>
      <c r="E212" s="12"/>
      <c r="F212" s="12"/>
      <c r="G212" s="18"/>
      <c r="H212" s="35"/>
      <c r="I212" s="12"/>
      <c r="M212" s="12"/>
      <c r="N212" s="18"/>
      <c r="O212" s="12"/>
      <c r="P212" s="12"/>
      <c r="Q212" s="12"/>
      <c r="R212" s="36"/>
      <c r="S212" s="36"/>
      <c r="T212" s="12"/>
      <c r="U212" s="12"/>
      <c r="V212" s="12"/>
      <c r="W212" s="12"/>
      <c r="X212" s="12"/>
    </row>
    <row r="213" customFormat="false" ht="15.75" hidden="false" customHeight="false" outlineLevel="0" collapsed="false">
      <c r="A213" s="12"/>
      <c r="B213" s="34"/>
      <c r="C213" s="12"/>
      <c r="D213" s="12"/>
      <c r="E213" s="12"/>
      <c r="F213" s="12"/>
      <c r="G213" s="18"/>
      <c r="H213" s="35"/>
      <c r="I213" s="12"/>
      <c r="M213" s="12"/>
      <c r="N213" s="18"/>
      <c r="O213" s="12"/>
      <c r="P213" s="12"/>
      <c r="Q213" s="12"/>
      <c r="R213" s="36"/>
      <c r="S213" s="36"/>
      <c r="T213" s="12"/>
      <c r="U213" s="12"/>
      <c r="V213" s="12"/>
      <c r="W213" s="12"/>
      <c r="X213" s="12"/>
    </row>
    <row r="214" customFormat="false" ht="15.75" hidden="false" customHeight="false" outlineLevel="0" collapsed="false">
      <c r="A214" s="12"/>
      <c r="B214" s="34"/>
      <c r="C214" s="12"/>
      <c r="D214" s="12"/>
      <c r="E214" s="12"/>
      <c r="F214" s="12"/>
      <c r="G214" s="18"/>
      <c r="H214" s="35"/>
      <c r="I214" s="12"/>
      <c r="M214" s="12"/>
      <c r="N214" s="18"/>
      <c r="O214" s="12"/>
      <c r="P214" s="12"/>
      <c r="Q214" s="12"/>
      <c r="R214" s="36"/>
      <c r="S214" s="36"/>
      <c r="T214" s="12"/>
      <c r="U214" s="12"/>
      <c r="V214" s="12"/>
      <c r="W214" s="12"/>
      <c r="X214" s="12"/>
    </row>
    <row r="215" customFormat="false" ht="15.75" hidden="false" customHeight="false" outlineLevel="0" collapsed="false">
      <c r="A215" s="12"/>
      <c r="B215" s="34"/>
      <c r="C215" s="12"/>
      <c r="D215" s="12"/>
      <c r="E215" s="12"/>
      <c r="F215" s="12"/>
      <c r="G215" s="18"/>
      <c r="H215" s="35"/>
      <c r="I215" s="12"/>
      <c r="M215" s="12"/>
      <c r="N215" s="18"/>
      <c r="O215" s="12"/>
      <c r="P215" s="12"/>
      <c r="Q215" s="12"/>
      <c r="R215" s="36"/>
      <c r="S215" s="36"/>
      <c r="T215" s="12"/>
      <c r="U215" s="12"/>
      <c r="V215" s="12"/>
      <c r="W215" s="12"/>
      <c r="X215" s="12"/>
    </row>
    <row r="216" customFormat="false" ht="15.75" hidden="false" customHeight="false" outlineLevel="0" collapsed="false">
      <c r="A216" s="12"/>
      <c r="B216" s="34"/>
      <c r="C216" s="12"/>
      <c r="D216" s="12"/>
      <c r="E216" s="12"/>
      <c r="F216" s="12"/>
      <c r="G216" s="18"/>
      <c r="H216" s="35"/>
      <c r="I216" s="12"/>
      <c r="M216" s="12"/>
      <c r="N216" s="18"/>
      <c r="O216" s="12"/>
      <c r="P216" s="12"/>
      <c r="Q216" s="12"/>
      <c r="R216" s="36"/>
      <c r="S216" s="36"/>
      <c r="T216" s="12"/>
      <c r="U216" s="12"/>
      <c r="V216" s="12"/>
      <c r="W216" s="12"/>
      <c r="X216" s="12"/>
    </row>
    <row r="217" customFormat="false" ht="15.75" hidden="false" customHeight="false" outlineLevel="0" collapsed="false">
      <c r="A217" s="12"/>
      <c r="B217" s="34"/>
      <c r="C217" s="12"/>
      <c r="D217" s="12"/>
      <c r="E217" s="12"/>
      <c r="F217" s="12"/>
      <c r="G217" s="18"/>
      <c r="H217" s="35"/>
      <c r="I217" s="12"/>
      <c r="M217" s="12"/>
      <c r="N217" s="18"/>
      <c r="O217" s="12"/>
      <c r="P217" s="12"/>
      <c r="Q217" s="12"/>
      <c r="R217" s="36"/>
      <c r="S217" s="36"/>
      <c r="T217" s="12"/>
      <c r="U217" s="12"/>
      <c r="V217" s="12"/>
      <c r="W217" s="12"/>
      <c r="X217" s="12"/>
    </row>
    <row r="218" customFormat="false" ht="15.75" hidden="false" customHeight="false" outlineLevel="0" collapsed="false">
      <c r="A218" s="12"/>
      <c r="B218" s="34"/>
      <c r="C218" s="12"/>
      <c r="D218" s="12"/>
      <c r="E218" s="12"/>
      <c r="F218" s="12"/>
      <c r="G218" s="18"/>
      <c r="H218" s="35"/>
      <c r="I218" s="12"/>
      <c r="M218" s="12"/>
      <c r="N218" s="18"/>
      <c r="O218" s="12"/>
      <c r="P218" s="12"/>
      <c r="Q218" s="12"/>
      <c r="R218" s="36"/>
      <c r="S218" s="36"/>
      <c r="T218" s="12"/>
      <c r="U218" s="12"/>
      <c r="V218" s="12"/>
      <c r="W218" s="12"/>
      <c r="X218" s="12"/>
    </row>
    <row r="219" customFormat="false" ht="15.75" hidden="false" customHeight="false" outlineLevel="0" collapsed="false">
      <c r="A219" s="12"/>
      <c r="B219" s="34"/>
      <c r="C219" s="12"/>
      <c r="D219" s="12"/>
      <c r="E219" s="12"/>
      <c r="F219" s="12"/>
      <c r="G219" s="18"/>
      <c r="H219" s="35"/>
      <c r="I219" s="12"/>
      <c r="M219" s="12"/>
      <c r="N219" s="18"/>
      <c r="O219" s="12"/>
      <c r="P219" s="12"/>
      <c r="Q219" s="12"/>
      <c r="R219" s="36"/>
      <c r="S219" s="36"/>
      <c r="T219" s="12"/>
      <c r="U219" s="12"/>
      <c r="V219" s="12"/>
      <c r="W219" s="12"/>
      <c r="X219" s="12"/>
    </row>
    <row r="220" customFormat="false" ht="15.75" hidden="false" customHeight="false" outlineLevel="0" collapsed="false">
      <c r="A220" s="12"/>
      <c r="B220" s="34"/>
      <c r="C220" s="12"/>
      <c r="D220" s="12"/>
      <c r="E220" s="12"/>
      <c r="F220" s="12"/>
      <c r="G220" s="18"/>
      <c r="H220" s="35"/>
      <c r="I220" s="12"/>
      <c r="M220" s="12"/>
      <c r="N220" s="18"/>
      <c r="O220" s="12"/>
      <c r="P220" s="12"/>
      <c r="Q220" s="12"/>
      <c r="R220" s="36"/>
      <c r="S220" s="36"/>
      <c r="T220" s="12"/>
      <c r="U220" s="12"/>
      <c r="V220" s="12"/>
      <c r="W220" s="12"/>
      <c r="X220" s="12"/>
    </row>
    <row r="221" customFormat="false" ht="15.75" hidden="false" customHeight="false" outlineLevel="0" collapsed="false">
      <c r="A221" s="12"/>
      <c r="B221" s="34"/>
      <c r="C221" s="12"/>
      <c r="D221" s="12"/>
      <c r="E221" s="12"/>
      <c r="F221" s="12"/>
      <c r="G221" s="18"/>
      <c r="H221" s="35"/>
      <c r="I221" s="12"/>
      <c r="M221" s="12"/>
      <c r="N221" s="18"/>
      <c r="O221" s="12"/>
      <c r="P221" s="12"/>
      <c r="Q221" s="12"/>
      <c r="R221" s="36"/>
      <c r="S221" s="36"/>
      <c r="T221" s="12"/>
      <c r="U221" s="12"/>
      <c r="V221" s="12"/>
      <c r="W221" s="12"/>
      <c r="X221" s="12"/>
    </row>
    <row r="222" customFormat="false" ht="15.75" hidden="false" customHeight="false" outlineLevel="0" collapsed="false">
      <c r="A222" s="12"/>
      <c r="B222" s="34"/>
      <c r="C222" s="12"/>
      <c r="D222" s="12"/>
      <c r="E222" s="12"/>
      <c r="F222" s="12"/>
      <c r="G222" s="18"/>
      <c r="H222" s="35"/>
      <c r="I222" s="12"/>
      <c r="M222" s="12"/>
      <c r="N222" s="18"/>
      <c r="O222" s="12"/>
      <c r="P222" s="12"/>
      <c r="Q222" s="12"/>
      <c r="R222" s="36"/>
      <c r="S222" s="36"/>
      <c r="T222" s="12"/>
      <c r="U222" s="12"/>
      <c r="V222" s="12"/>
      <c r="W222" s="12"/>
      <c r="X222" s="12"/>
    </row>
    <row r="223" customFormat="false" ht="15.75" hidden="false" customHeight="false" outlineLevel="0" collapsed="false">
      <c r="A223" s="12"/>
      <c r="B223" s="34"/>
      <c r="C223" s="12"/>
      <c r="D223" s="12"/>
      <c r="E223" s="12"/>
      <c r="F223" s="12"/>
      <c r="G223" s="18"/>
      <c r="H223" s="35"/>
      <c r="I223" s="12"/>
      <c r="M223" s="12"/>
      <c r="N223" s="18"/>
      <c r="O223" s="12"/>
      <c r="P223" s="12"/>
      <c r="Q223" s="12"/>
      <c r="R223" s="36"/>
      <c r="S223" s="36"/>
      <c r="T223" s="12"/>
      <c r="U223" s="12"/>
      <c r="V223" s="12"/>
      <c r="W223" s="12"/>
      <c r="X223" s="12"/>
    </row>
    <row r="224" customFormat="false" ht="15.75" hidden="false" customHeight="false" outlineLevel="0" collapsed="false">
      <c r="A224" s="12"/>
      <c r="B224" s="34"/>
      <c r="C224" s="12"/>
      <c r="D224" s="12"/>
      <c r="E224" s="12"/>
      <c r="F224" s="12"/>
      <c r="G224" s="18"/>
      <c r="H224" s="35"/>
      <c r="I224" s="12"/>
      <c r="M224" s="12"/>
      <c r="N224" s="18"/>
      <c r="O224" s="12"/>
      <c r="P224" s="12"/>
      <c r="Q224" s="12"/>
      <c r="R224" s="36"/>
      <c r="S224" s="36"/>
      <c r="T224" s="12"/>
      <c r="U224" s="12"/>
      <c r="V224" s="12"/>
      <c r="W224" s="12"/>
      <c r="X224" s="12"/>
    </row>
    <row r="225" customFormat="false" ht="15.75" hidden="false" customHeight="false" outlineLevel="0" collapsed="false">
      <c r="A225" s="12"/>
      <c r="B225" s="34"/>
      <c r="C225" s="12"/>
      <c r="D225" s="12"/>
      <c r="E225" s="12"/>
      <c r="F225" s="12"/>
      <c r="G225" s="18"/>
      <c r="H225" s="35"/>
      <c r="I225" s="12"/>
      <c r="M225" s="12"/>
      <c r="N225" s="18"/>
      <c r="O225" s="12"/>
      <c r="P225" s="12"/>
      <c r="Q225" s="12"/>
      <c r="R225" s="36"/>
      <c r="S225" s="36"/>
      <c r="T225" s="12"/>
      <c r="U225" s="12"/>
      <c r="V225" s="12"/>
      <c r="W225" s="12"/>
      <c r="X225" s="12"/>
    </row>
    <row r="226" customFormat="false" ht="15.75" hidden="false" customHeight="false" outlineLevel="0" collapsed="false">
      <c r="A226" s="12"/>
      <c r="B226" s="34"/>
      <c r="C226" s="12"/>
      <c r="D226" s="12"/>
      <c r="E226" s="12"/>
      <c r="F226" s="12"/>
      <c r="G226" s="18"/>
      <c r="H226" s="35"/>
      <c r="I226" s="12"/>
      <c r="M226" s="12"/>
      <c r="N226" s="18"/>
      <c r="O226" s="12"/>
      <c r="P226" s="12"/>
      <c r="Q226" s="12"/>
      <c r="R226" s="36"/>
      <c r="S226" s="36"/>
      <c r="T226" s="12"/>
      <c r="U226" s="12"/>
      <c r="V226" s="12"/>
      <c r="W226" s="12"/>
      <c r="X226" s="12"/>
    </row>
    <row r="227" customFormat="false" ht="15.75" hidden="false" customHeight="false" outlineLevel="0" collapsed="false">
      <c r="A227" s="12"/>
      <c r="B227" s="34"/>
      <c r="C227" s="12"/>
      <c r="D227" s="12"/>
      <c r="E227" s="12"/>
      <c r="F227" s="12"/>
      <c r="G227" s="18"/>
      <c r="H227" s="35"/>
      <c r="I227" s="12"/>
      <c r="M227" s="12"/>
      <c r="N227" s="18"/>
      <c r="O227" s="12"/>
      <c r="P227" s="12"/>
      <c r="Q227" s="12"/>
      <c r="R227" s="36"/>
      <c r="S227" s="36"/>
      <c r="T227" s="12"/>
      <c r="U227" s="12"/>
      <c r="V227" s="12"/>
      <c r="W227" s="12"/>
      <c r="X227" s="12"/>
    </row>
    <row r="228" customFormat="false" ht="15.75" hidden="false" customHeight="false" outlineLevel="0" collapsed="false">
      <c r="A228" s="12"/>
      <c r="B228" s="34"/>
      <c r="C228" s="12"/>
      <c r="D228" s="12"/>
      <c r="E228" s="12"/>
      <c r="F228" s="12"/>
      <c r="G228" s="18"/>
      <c r="H228" s="35"/>
      <c r="I228" s="12"/>
      <c r="M228" s="12"/>
      <c r="N228" s="18"/>
      <c r="O228" s="12"/>
      <c r="P228" s="12"/>
      <c r="Q228" s="12"/>
      <c r="R228" s="36"/>
      <c r="S228" s="36"/>
      <c r="T228" s="12"/>
      <c r="U228" s="12"/>
      <c r="V228" s="12"/>
      <c r="W228" s="12"/>
      <c r="X228" s="12"/>
    </row>
    <row r="229" customFormat="false" ht="15.75" hidden="false" customHeight="false" outlineLevel="0" collapsed="false">
      <c r="A229" s="12"/>
      <c r="B229" s="34"/>
      <c r="C229" s="12"/>
      <c r="D229" s="12"/>
      <c r="E229" s="12"/>
      <c r="F229" s="12"/>
      <c r="G229" s="18"/>
      <c r="H229" s="35"/>
      <c r="I229" s="12"/>
      <c r="M229" s="12"/>
      <c r="N229" s="18"/>
      <c r="O229" s="12"/>
      <c r="P229" s="12"/>
      <c r="Q229" s="12"/>
      <c r="R229" s="36"/>
      <c r="S229" s="36"/>
      <c r="T229" s="12"/>
      <c r="U229" s="12"/>
      <c r="V229" s="12"/>
      <c r="W229" s="12"/>
      <c r="X229" s="12"/>
    </row>
    <row r="230" customFormat="false" ht="15.75" hidden="false" customHeight="false" outlineLevel="0" collapsed="false">
      <c r="A230" s="12"/>
      <c r="B230" s="34"/>
      <c r="C230" s="12"/>
      <c r="D230" s="12"/>
      <c r="E230" s="12"/>
      <c r="F230" s="12"/>
      <c r="G230" s="18"/>
      <c r="H230" s="35"/>
      <c r="I230" s="12"/>
      <c r="M230" s="12"/>
      <c r="N230" s="18"/>
      <c r="O230" s="12"/>
      <c r="P230" s="12"/>
      <c r="Q230" s="12"/>
      <c r="R230" s="36"/>
      <c r="S230" s="36"/>
      <c r="T230" s="12"/>
      <c r="U230" s="12"/>
      <c r="V230" s="12"/>
      <c r="W230" s="12"/>
      <c r="X230" s="12"/>
    </row>
    <row r="231" customFormat="false" ht="15.75" hidden="false" customHeight="false" outlineLevel="0" collapsed="false">
      <c r="A231" s="12"/>
      <c r="B231" s="34"/>
      <c r="C231" s="12"/>
      <c r="D231" s="12"/>
      <c r="E231" s="12"/>
      <c r="F231" s="12"/>
      <c r="G231" s="18"/>
      <c r="H231" s="35"/>
      <c r="I231" s="12"/>
      <c r="M231" s="12"/>
      <c r="N231" s="18"/>
      <c r="O231" s="12"/>
      <c r="P231" s="12"/>
      <c r="Q231" s="12"/>
      <c r="R231" s="36"/>
      <c r="S231" s="36"/>
      <c r="T231" s="12"/>
      <c r="U231" s="12"/>
      <c r="V231" s="12"/>
      <c r="W231" s="12"/>
      <c r="X231" s="12"/>
    </row>
    <row r="232" customFormat="false" ht="15.75" hidden="false" customHeight="false" outlineLevel="0" collapsed="false">
      <c r="A232" s="12"/>
      <c r="B232" s="34"/>
      <c r="C232" s="12"/>
      <c r="D232" s="12"/>
      <c r="E232" s="12"/>
      <c r="F232" s="12"/>
      <c r="G232" s="18"/>
      <c r="H232" s="35"/>
      <c r="I232" s="12"/>
      <c r="M232" s="12"/>
      <c r="N232" s="18"/>
      <c r="O232" s="12"/>
      <c r="P232" s="12"/>
      <c r="Q232" s="12"/>
      <c r="R232" s="36"/>
      <c r="S232" s="36"/>
      <c r="T232" s="12"/>
      <c r="U232" s="12"/>
      <c r="V232" s="12"/>
      <c r="W232" s="12"/>
      <c r="X232" s="12"/>
    </row>
    <row r="233" customFormat="false" ht="15.75" hidden="false" customHeight="false" outlineLevel="0" collapsed="false">
      <c r="A233" s="12"/>
      <c r="B233" s="34"/>
      <c r="C233" s="12"/>
      <c r="D233" s="12"/>
      <c r="E233" s="12"/>
      <c r="F233" s="12"/>
      <c r="G233" s="18"/>
      <c r="H233" s="35"/>
      <c r="I233" s="12"/>
      <c r="M233" s="12"/>
      <c r="N233" s="18"/>
      <c r="O233" s="12"/>
      <c r="P233" s="12"/>
      <c r="Q233" s="12"/>
      <c r="R233" s="36"/>
      <c r="S233" s="36"/>
      <c r="T233" s="12"/>
      <c r="U233" s="12"/>
      <c r="V233" s="12"/>
      <c r="W233" s="12"/>
      <c r="X233" s="12"/>
    </row>
    <row r="234" customFormat="false" ht="15.75" hidden="false" customHeight="false" outlineLevel="0" collapsed="false">
      <c r="A234" s="12"/>
      <c r="B234" s="34"/>
      <c r="C234" s="12"/>
      <c r="D234" s="12"/>
      <c r="E234" s="12"/>
      <c r="F234" s="12"/>
      <c r="G234" s="18"/>
      <c r="H234" s="35"/>
      <c r="I234" s="12"/>
      <c r="M234" s="12"/>
      <c r="N234" s="18"/>
      <c r="O234" s="12"/>
      <c r="P234" s="12"/>
      <c r="Q234" s="12"/>
      <c r="R234" s="36"/>
      <c r="S234" s="36"/>
      <c r="T234" s="12"/>
      <c r="U234" s="12"/>
      <c r="V234" s="12"/>
      <c r="W234" s="12"/>
      <c r="X234" s="12"/>
    </row>
    <row r="235" customFormat="false" ht="15.75" hidden="false" customHeight="false" outlineLevel="0" collapsed="false">
      <c r="A235" s="12"/>
      <c r="B235" s="34"/>
      <c r="C235" s="12"/>
      <c r="D235" s="12"/>
      <c r="E235" s="12"/>
      <c r="F235" s="12"/>
      <c r="G235" s="18"/>
      <c r="H235" s="35"/>
      <c r="I235" s="12"/>
      <c r="M235" s="12"/>
      <c r="N235" s="18"/>
      <c r="O235" s="12"/>
      <c r="P235" s="12"/>
      <c r="Q235" s="12"/>
      <c r="R235" s="36"/>
      <c r="S235" s="36"/>
      <c r="T235" s="12"/>
      <c r="U235" s="12"/>
      <c r="V235" s="12"/>
      <c r="W235" s="12"/>
      <c r="X235" s="12"/>
    </row>
    <row r="236" customFormat="false" ht="15.75" hidden="false" customHeight="false" outlineLevel="0" collapsed="false">
      <c r="A236" s="12"/>
      <c r="B236" s="34"/>
      <c r="C236" s="12"/>
      <c r="D236" s="12"/>
      <c r="E236" s="12"/>
      <c r="F236" s="12"/>
      <c r="G236" s="18"/>
      <c r="H236" s="35"/>
      <c r="I236" s="12"/>
      <c r="M236" s="12"/>
      <c r="N236" s="18"/>
      <c r="O236" s="12"/>
      <c r="P236" s="12"/>
      <c r="Q236" s="12"/>
      <c r="R236" s="36"/>
      <c r="S236" s="36"/>
      <c r="T236" s="12"/>
      <c r="U236" s="12"/>
      <c r="V236" s="12"/>
      <c r="W236" s="12"/>
      <c r="X236" s="12"/>
    </row>
    <row r="237" customFormat="false" ht="15.75" hidden="false" customHeight="false" outlineLevel="0" collapsed="false">
      <c r="A237" s="12"/>
      <c r="B237" s="34"/>
      <c r="C237" s="12"/>
      <c r="D237" s="12"/>
      <c r="E237" s="12"/>
      <c r="F237" s="12"/>
      <c r="G237" s="18"/>
      <c r="H237" s="35"/>
      <c r="I237" s="12"/>
      <c r="M237" s="12"/>
      <c r="N237" s="18"/>
      <c r="O237" s="12"/>
      <c r="P237" s="12"/>
      <c r="Q237" s="12"/>
      <c r="R237" s="36"/>
      <c r="S237" s="36"/>
      <c r="T237" s="12"/>
      <c r="U237" s="12"/>
      <c r="V237" s="12"/>
      <c r="W237" s="12"/>
      <c r="X237" s="12"/>
    </row>
    <row r="238" customFormat="false" ht="15.75" hidden="false" customHeight="false" outlineLevel="0" collapsed="false">
      <c r="A238" s="12"/>
      <c r="B238" s="34"/>
      <c r="C238" s="12"/>
      <c r="D238" s="12"/>
      <c r="E238" s="12"/>
      <c r="F238" s="12"/>
      <c r="G238" s="18"/>
      <c r="H238" s="35"/>
      <c r="I238" s="12"/>
      <c r="M238" s="12"/>
      <c r="N238" s="18"/>
      <c r="O238" s="12"/>
      <c r="P238" s="12"/>
      <c r="Q238" s="12"/>
      <c r="R238" s="36"/>
      <c r="S238" s="36"/>
      <c r="T238" s="12"/>
      <c r="U238" s="12"/>
      <c r="V238" s="12"/>
      <c r="W238" s="12"/>
      <c r="X238" s="12"/>
    </row>
    <row r="239" customFormat="false" ht="15.75" hidden="false" customHeight="false" outlineLevel="0" collapsed="false">
      <c r="A239" s="12"/>
      <c r="B239" s="34"/>
      <c r="C239" s="12"/>
      <c r="D239" s="12"/>
      <c r="E239" s="12"/>
      <c r="F239" s="12"/>
      <c r="G239" s="18"/>
      <c r="H239" s="35"/>
      <c r="I239" s="12"/>
      <c r="M239" s="12"/>
      <c r="N239" s="18"/>
      <c r="O239" s="12"/>
      <c r="P239" s="12"/>
      <c r="Q239" s="12"/>
      <c r="R239" s="36"/>
      <c r="S239" s="36"/>
      <c r="T239" s="12"/>
      <c r="U239" s="12"/>
      <c r="V239" s="12"/>
      <c r="W239" s="12"/>
      <c r="X239" s="12"/>
    </row>
    <row r="240" customFormat="false" ht="15.75" hidden="false" customHeight="false" outlineLevel="0" collapsed="false">
      <c r="A240" s="12"/>
      <c r="B240" s="34"/>
      <c r="C240" s="12"/>
      <c r="D240" s="12"/>
      <c r="E240" s="12"/>
      <c r="F240" s="12"/>
      <c r="G240" s="18"/>
      <c r="H240" s="35"/>
      <c r="I240" s="12"/>
      <c r="M240" s="12"/>
      <c r="N240" s="18"/>
      <c r="O240" s="12"/>
      <c r="P240" s="12"/>
      <c r="Q240" s="12"/>
      <c r="R240" s="36"/>
      <c r="S240" s="36"/>
      <c r="T240" s="12"/>
      <c r="U240" s="12"/>
      <c r="V240" s="12"/>
      <c r="W240" s="12"/>
      <c r="X240" s="12"/>
    </row>
    <row r="241" customFormat="false" ht="15.75" hidden="false" customHeight="false" outlineLevel="0" collapsed="false">
      <c r="A241" s="12"/>
      <c r="B241" s="34"/>
      <c r="C241" s="12"/>
      <c r="D241" s="12"/>
      <c r="E241" s="12"/>
      <c r="F241" s="12"/>
      <c r="G241" s="18"/>
      <c r="H241" s="35"/>
      <c r="I241" s="12"/>
      <c r="M241" s="12"/>
      <c r="N241" s="18"/>
      <c r="O241" s="12"/>
      <c r="P241" s="12"/>
      <c r="Q241" s="12"/>
      <c r="R241" s="36"/>
      <c r="S241" s="36"/>
      <c r="T241" s="12"/>
      <c r="U241" s="12"/>
      <c r="V241" s="12"/>
      <c r="W241" s="12"/>
      <c r="X241" s="12"/>
    </row>
    <row r="242" customFormat="false" ht="15.75" hidden="false" customHeight="false" outlineLevel="0" collapsed="false">
      <c r="A242" s="12"/>
      <c r="B242" s="34"/>
      <c r="C242" s="12"/>
      <c r="D242" s="12"/>
      <c r="E242" s="12"/>
      <c r="F242" s="12"/>
      <c r="G242" s="18"/>
      <c r="H242" s="35"/>
      <c r="I242" s="12"/>
      <c r="M242" s="12"/>
      <c r="N242" s="18"/>
      <c r="O242" s="12"/>
      <c r="P242" s="12"/>
      <c r="Q242" s="12"/>
      <c r="R242" s="36"/>
      <c r="S242" s="36"/>
      <c r="T242" s="12"/>
      <c r="U242" s="12"/>
      <c r="V242" s="12"/>
      <c r="W242" s="12"/>
      <c r="X242" s="12"/>
    </row>
    <row r="243" customFormat="false" ht="15.75" hidden="false" customHeight="false" outlineLevel="0" collapsed="false">
      <c r="A243" s="12"/>
      <c r="B243" s="34"/>
      <c r="C243" s="12"/>
      <c r="D243" s="12"/>
      <c r="E243" s="12"/>
      <c r="F243" s="12"/>
      <c r="G243" s="18"/>
      <c r="H243" s="35"/>
      <c r="I243" s="12"/>
      <c r="M243" s="12"/>
      <c r="N243" s="18"/>
      <c r="O243" s="12"/>
      <c r="P243" s="12"/>
      <c r="Q243" s="12"/>
      <c r="R243" s="36"/>
      <c r="S243" s="36"/>
      <c r="T243" s="12"/>
      <c r="U243" s="12"/>
      <c r="V243" s="12"/>
      <c r="W243" s="12"/>
      <c r="X243" s="12"/>
    </row>
    <row r="244" customFormat="false" ht="15.75" hidden="false" customHeight="false" outlineLevel="0" collapsed="false">
      <c r="A244" s="12"/>
      <c r="B244" s="34"/>
      <c r="C244" s="12"/>
      <c r="D244" s="12"/>
      <c r="E244" s="12"/>
      <c r="F244" s="12"/>
      <c r="G244" s="18"/>
      <c r="H244" s="35"/>
      <c r="I244" s="12"/>
      <c r="M244" s="12"/>
      <c r="N244" s="18"/>
      <c r="O244" s="12"/>
      <c r="P244" s="12"/>
      <c r="Q244" s="12"/>
      <c r="R244" s="36"/>
      <c r="S244" s="36"/>
      <c r="T244" s="12"/>
      <c r="U244" s="12"/>
      <c r="V244" s="12"/>
      <c r="W244" s="12"/>
      <c r="X244" s="12"/>
    </row>
    <row r="245" customFormat="false" ht="15.75" hidden="false" customHeight="false" outlineLevel="0" collapsed="false">
      <c r="A245" s="12"/>
      <c r="B245" s="34"/>
      <c r="C245" s="12"/>
      <c r="D245" s="12"/>
      <c r="E245" s="12"/>
      <c r="F245" s="12"/>
      <c r="G245" s="18"/>
      <c r="H245" s="35"/>
      <c r="I245" s="12"/>
      <c r="M245" s="12"/>
      <c r="N245" s="18"/>
      <c r="O245" s="12"/>
      <c r="P245" s="12"/>
      <c r="Q245" s="12"/>
      <c r="R245" s="36"/>
      <c r="S245" s="36"/>
      <c r="T245" s="12"/>
      <c r="U245" s="12"/>
      <c r="V245" s="12"/>
      <c r="W245" s="12"/>
      <c r="X245" s="12"/>
    </row>
    <row r="246" customFormat="false" ht="15.75" hidden="false" customHeight="false" outlineLevel="0" collapsed="false">
      <c r="A246" s="12"/>
      <c r="B246" s="34"/>
      <c r="C246" s="12"/>
      <c r="D246" s="12"/>
      <c r="E246" s="12"/>
      <c r="F246" s="12"/>
      <c r="G246" s="18"/>
      <c r="H246" s="35"/>
      <c r="I246" s="12"/>
      <c r="M246" s="12"/>
      <c r="N246" s="18"/>
      <c r="O246" s="12"/>
      <c r="P246" s="12"/>
      <c r="Q246" s="12"/>
      <c r="R246" s="36"/>
      <c r="S246" s="36"/>
      <c r="T246" s="12"/>
      <c r="U246" s="12"/>
      <c r="V246" s="12"/>
      <c r="W246" s="12"/>
      <c r="X246" s="12"/>
    </row>
    <row r="247" customFormat="false" ht="15.75" hidden="false" customHeight="false" outlineLevel="0" collapsed="false">
      <c r="A247" s="12"/>
      <c r="B247" s="34"/>
      <c r="C247" s="12"/>
      <c r="D247" s="12"/>
      <c r="E247" s="12"/>
      <c r="F247" s="12"/>
      <c r="G247" s="18"/>
      <c r="H247" s="35"/>
      <c r="I247" s="12"/>
      <c r="M247" s="12"/>
      <c r="N247" s="18"/>
      <c r="O247" s="12"/>
      <c r="P247" s="12"/>
      <c r="Q247" s="12"/>
      <c r="R247" s="36"/>
      <c r="S247" s="36"/>
      <c r="T247" s="12"/>
      <c r="U247" s="12"/>
      <c r="V247" s="12"/>
      <c r="W247" s="12"/>
      <c r="X247" s="12"/>
    </row>
    <row r="248" customFormat="false" ht="15.75" hidden="false" customHeight="false" outlineLevel="0" collapsed="false">
      <c r="A248" s="12"/>
      <c r="B248" s="34"/>
      <c r="C248" s="12"/>
      <c r="D248" s="12"/>
      <c r="E248" s="12"/>
      <c r="F248" s="12"/>
      <c r="G248" s="18"/>
      <c r="H248" s="35"/>
      <c r="I248" s="12"/>
      <c r="M248" s="12"/>
      <c r="N248" s="18"/>
      <c r="O248" s="12"/>
      <c r="P248" s="12"/>
      <c r="Q248" s="12"/>
      <c r="R248" s="36"/>
      <c r="S248" s="36"/>
      <c r="T248" s="12"/>
      <c r="U248" s="12"/>
      <c r="V248" s="12"/>
      <c r="W248" s="12"/>
      <c r="X248" s="12"/>
    </row>
    <row r="249" customFormat="false" ht="15.75" hidden="false" customHeight="false" outlineLevel="0" collapsed="false">
      <c r="A249" s="12"/>
      <c r="B249" s="34"/>
      <c r="C249" s="12"/>
      <c r="D249" s="12"/>
      <c r="E249" s="12"/>
      <c r="F249" s="12"/>
      <c r="G249" s="18"/>
      <c r="H249" s="35"/>
      <c r="I249" s="12"/>
      <c r="M249" s="12"/>
      <c r="N249" s="18"/>
      <c r="O249" s="12"/>
      <c r="P249" s="12"/>
      <c r="Q249" s="12"/>
      <c r="R249" s="36"/>
      <c r="S249" s="36"/>
      <c r="T249" s="12"/>
      <c r="U249" s="12"/>
      <c r="V249" s="12"/>
      <c r="W249" s="12"/>
      <c r="X249" s="12"/>
    </row>
    <row r="250" customFormat="false" ht="15.75" hidden="false" customHeight="false" outlineLevel="0" collapsed="false">
      <c r="A250" s="12"/>
      <c r="B250" s="34"/>
      <c r="C250" s="12"/>
      <c r="D250" s="12"/>
      <c r="E250" s="12"/>
      <c r="F250" s="12"/>
      <c r="G250" s="18"/>
      <c r="H250" s="35"/>
      <c r="I250" s="12"/>
      <c r="M250" s="12"/>
      <c r="N250" s="18"/>
      <c r="O250" s="12"/>
      <c r="P250" s="12"/>
      <c r="Q250" s="12"/>
      <c r="R250" s="36"/>
      <c r="S250" s="36"/>
      <c r="T250" s="12"/>
      <c r="U250" s="12"/>
      <c r="V250" s="12"/>
      <c r="W250" s="12"/>
      <c r="X250" s="12"/>
    </row>
    <row r="251" customFormat="false" ht="15.75" hidden="false" customHeight="false" outlineLevel="0" collapsed="false">
      <c r="A251" s="12"/>
      <c r="B251" s="34"/>
      <c r="C251" s="12"/>
      <c r="D251" s="12"/>
      <c r="E251" s="12"/>
      <c r="F251" s="12"/>
      <c r="G251" s="18"/>
      <c r="H251" s="35"/>
      <c r="I251" s="12"/>
      <c r="M251" s="12"/>
      <c r="N251" s="18"/>
      <c r="O251" s="12"/>
      <c r="P251" s="12"/>
      <c r="Q251" s="12"/>
      <c r="R251" s="36"/>
      <c r="S251" s="36"/>
      <c r="T251" s="12"/>
      <c r="U251" s="12"/>
      <c r="V251" s="12"/>
      <c r="W251" s="12"/>
      <c r="X251" s="12"/>
    </row>
    <row r="252" customFormat="false" ht="15.75" hidden="false" customHeight="false" outlineLevel="0" collapsed="false">
      <c r="A252" s="12"/>
      <c r="B252" s="34"/>
      <c r="C252" s="12"/>
      <c r="D252" s="12"/>
      <c r="E252" s="12"/>
      <c r="F252" s="12"/>
      <c r="G252" s="18"/>
      <c r="H252" s="35"/>
      <c r="I252" s="12"/>
      <c r="M252" s="12"/>
      <c r="N252" s="18"/>
      <c r="O252" s="12"/>
      <c r="P252" s="12"/>
      <c r="Q252" s="12"/>
      <c r="R252" s="36"/>
      <c r="S252" s="36"/>
      <c r="T252" s="12"/>
      <c r="U252" s="12"/>
      <c r="V252" s="12"/>
      <c r="W252" s="12"/>
      <c r="X252" s="12"/>
    </row>
    <row r="253" customFormat="false" ht="15.75" hidden="false" customHeight="false" outlineLevel="0" collapsed="false">
      <c r="A253" s="12"/>
      <c r="B253" s="34"/>
      <c r="C253" s="12"/>
      <c r="D253" s="12"/>
      <c r="E253" s="12"/>
      <c r="F253" s="12"/>
      <c r="G253" s="18"/>
      <c r="H253" s="35"/>
      <c r="I253" s="12"/>
      <c r="M253" s="12"/>
      <c r="N253" s="18"/>
      <c r="O253" s="12"/>
      <c r="P253" s="12"/>
      <c r="Q253" s="12"/>
      <c r="R253" s="36"/>
      <c r="S253" s="36"/>
      <c r="T253" s="12"/>
      <c r="U253" s="12"/>
      <c r="V253" s="12"/>
      <c r="W253" s="12"/>
      <c r="X253" s="12"/>
    </row>
    <row r="254" customFormat="false" ht="15.75" hidden="false" customHeight="false" outlineLevel="0" collapsed="false">
      <c r="A254" s="12"/>
      <c r="B254" s="34"/>
      <c r="C254" s="12"/>
      <c r="D254" s="12"/>
      <c r="E254" s="12"/>
      <c r="F254" s="12"/>
      <c r="G254" s="18"/>
      <c r="H254" s="35"/>
      <c r="I254" s="12"/>
      <c r="M254" s="12"/>
      <c r="N254" s="18"/>
      <c r="O254" s="12"/>
      <c r="P254" s="12"/>
      <c r="Q254" s="12"/>
      <c r="R254" s="36"/>
      <c r="S254" s="36"/>
      <c r="T254" s="12"/>
      <c r="U254" s="12"/>
      <c r="V254" s="12"/>
      <c r="W254" s="12"/>
      <c r="X254" s="12"/>
    </row>
    <row r="255" customFormat="false" ht="15.75" hidden="false" customHeight="false" outlineLevel="0" collapsed="false">
      <c r="A255" s="12"/>
      <c r="B255" s="34"/>
      <c r="C255" s="12"/>
      <c r="D255" s="12"/>
      <c r="E255" s="12"/>
      <c r="F255" s="12"/>
      <c r="G255" s="18"/>
      <c r="H255" s="35"/>
      <c r="I255" s="12"/>
      <c r="M255" s="12"/>
      <c r="N255" s="18"/>
      <c r="O255" s="12"/>
      <c r="P255" s="12"/>
      <c r="Q255" s="12"/>
      <c r="R255" s="36"/>
      <c r="S255" s="36"/>
      <c r="T255" s="12"/>
      <c r="U255" s="12"/>
      <c r="V255" s="12"/>
      <c r="W255" s="12"/>
      <c r="X255" s="12"/>
    </row>
    <row r="256" customFormat="false" ht="15.75" hidden="false" customHeight="false" outlineLevel="0" collapsed="false">
      <c r="A256" s="12"/>
      <c r="B256" s="34"/>
      <c r="C256" s="12"/>
      <c r="D256" s="12"/>
      <c r="E256" s="12"/>
      <c r="F256" s="12"/>
      <c r="G256" s="18"/>
      <c r="H256" s="35"/>
      <c r="I256" s="12"/>
      <c r="M256" s="12"/>
      <c r="N256" s="18"/>
      <c r="O256" s="12"/>
      <c r="P256" s="12"/>
      <c r="Q256" s="12"/>
      <c r="R256" s="36"/>
      <c r="S256" s="36"/>
      <c r="T256" s="12"/>
      <c r="U256" s="12"/>
      <c r="V256" s="12"/>
      <c r="W256" s="12"/>
      <c r="X256" s="12"/>
    </row>
    <row r="257" customFormat="false" ht="15.75" hidden="false" customHeight="false" outlineLevel="0" collapsed="false">
      <c r="A257" s="12"/>
      <c r="B257" s="34"/>
      <c r="C257" s="12"/>
      <c r="D257" s="12"/>
      <c r="E257" s="12"/>
      <c r="F257" s="12"/>
      <c r="G257" s="18"/>
      <c r="H257" s="35"/>
      <c r="I257" s="12"/>
      <c r="M257" s="12"/>
      <c r="N257" s="18"/>
      <c r="O257" s="12"/>
      <c r="P257" s="12"/>
      <c r="Q257" s="12"/>
      <c r="R257" s="36"/>
      <c r="S257" s="36"/>
      <c r="T257" s="12"/>
      <c r="U257" s="12"/>
      <c r="V257" s="12"/>
      <c r="W257" s="12"/>
      <c r="X257" s="12"/>
    </row>
    <row r="258" customFormat="false" ht="15.75" hidden="false" customHeight="false" outlineLevel="0" collapsed="false">
      <c r="A258" s="12"/>
      <c r="B258" s="34"/>
      <c r="C258" s="12"/>
      <c r="D258" s="12"/>
      <c r="E258" s="12"/>
      <c r="F258" s="12"/>
      <c r="G258" s="18"/>
      <c r="H258" s="35"/>
      <c r="I258" s="12"/>
      <c r="M258" s="12"/>
      <c r="N258" s="18"/>
      <c r="O258" s="12"/>
      <c r="P258" s="12"/>
      <c r="Q258" s="12"/>
      <c r="R258" s="36"/>
      <c r="S258" s="36"/>
      <c r="T258" s="12"/>
      <c r="U258" s="12"/>
      <c r="V258" s="12"/>
      <c r="W258" s="12"/>
      <c r="X258" s="12"/>
    </row>
    <row r="259" customFormat="false" ht="15.75" hidden="false" customHeight="false" outlineLevel="0" collapsed="false">
      <c r="A259" s="12"/>
      <c r="B259" s="34"/>
      <c r="C259" s="12"/>
      <c r="D259" s="12"/>
      <c r="E259" s="12"/>
      <c r="F259" s="12"/>
      <c r="G259" s="18"/>
      <c r="H259" s="35"/>
      <c r="I259" s="12"/>
      <c r="M259" s="12"/>
      <c r="N259" s="18"/>
      <c r="O259" s="12"/>
      <c r="P259" s="12"/>
      <c r="Q259" s="12"/>
      <c r="R259" s="36"/>
      <c r="S259" s="36"/>
      <c r="T259" s="12"/>
      <c r="U259" s="12"/>
      <c r="V259" s="12"/>
      <c r="W259" s="12"/>
      <c r="X259" s="12"/>
    </row>
    <row r="260" customFormat="false" ht="15.75" hidden="false" customHeight="false" outlineLevel="0" collapsed="false">
      <c r="A260" s="12"/>
      <c r="B260" s="34"/>
      <c r="C260" s="12"/>
      <c r="D260" s="12"/>
      <c r="E260" s="12"/>
      <c r="F260" s="12"/>
      <c r="G260" s="18"/>
      <c r="H260" s="35"/>
      <c r="I260" s="12"/>
      <c r="M260" s="12"/>
      <c r="N260" s="18"/>
      <c r="O260" s="12"/>
      <c r="P260" s="12"/>
      <c r="Q260" s="12"/>
      <c r="R260" s="36"/>
      <c r="S260" s="36"/>
      <c r="T260" s="12"/>
      <c r="U260" s="12"/>
      <c r="V260" s="12"/>
      <c r="W260" s="12"/>
      <c r="X260" s="12"/>
    </row>
    <row r="261" customFormat="false" ht="15.75" hidden="false" customHeight="false" outlineLevel="0" collapsed="false">
      <c r="A261" s="12"/>
      <c r="B261" s="34"/>
      <c r="C261" s="12"/>
      <c r="D261" s="12"/>
      <c r="E261" s="12"/>
      <c r="F261" s="12"/>
      <c r="G261" s="18"/>
      <c r="H261" s="35"/>
      <c r="I261" s="12"/>
      <c r="M261" s="12"/>
      <c r="N261" s="18"/>
      <c r="O261" s="12"/>
      <c r="P261" s="12"/>
      <c r="Q261" s="12"/>
      <c r="R261" s="36"/>
      <c r="S261" s="36"/>
      <c r="T261" s="12"/>
      <c r="U261" s="12"/>
      <c r="V261" s="12"/>
      <c r="W261" s="12"/>
      <c r="X261" s="12"/>
    </row>
    <row r="262" customFormat="false" ht="15.75" hidden="false" customHeight="false" outlineLevel="0" collapsed="false">
      <c r="A262" s="12"/>
      <c r="B262" s="34"/>
      <c r="C262" s="12"/>
      <c r="D262" s="12"/>
      <c r="E262" s="12"/>
      <c r="F262" s="12"/>
      <c r="G262" s="18"/>
      <c r="H262" s="35"/>
      <c r="I262" s="12"/>
      <c r="M262" s="12"/>
      <c r="N262" s="18"/>
      <c r="O262" s="12"/>
      <c r="P262" s="12"/>
      <c r="Q262" s="12"/>
      <c r="R262" s="36"/>
      <c r="S262" s="36"/>
      <c r="T262" s="12"/>
      <c r="U262" s="12"/>
      <c r="V262" s="12"/>
      <c r="W262" s="12"/>
      <c r="X262" s="12"/>
    </row>
    <row r="263" customFormat="false" ht="15.75" hidden="false" customHeight="false" outlineLevel="0" collapsed="false">
      <c r="A263" s="12"/>
      <c r="B263" s="34"/>
      <c r="C263" s="12"/>
      <c r="D263" s="12"/>
      <c r="E263" s="12"/>
      <c r="F263" s="12"/>
      <c r="G263" s="18"/>
      <c r="H263" s="35"/>
      <c r="I263" s="12"/>
      <c r="M263" s="12"/>
      <c r="N263" s="18"/>
      <c r="O263" s="12"/>
      <c r="P263" s="12"/>
      <c r="Q263" s="12"/>
      <c r="R263" s="36"/>
      <c r="S263" s="36"/>
      <c r="T263" s="12"/>
      <c r="U263" s="12"/>
      <c r="V263" s="12"/>
      <c r="W263" s="12"/>
      <c r="X263" s="12"/>
    </row>
    <row r="264" customFormat="false" ht="15.75" hidden="false" customHeight="false" outlineLevel="0" collapsed="false">
      <c r="A264" s="12"/>
      <c r="B264" s="34"/>
      <c r="C264" s="12"/>
      <c r="D264" s="12"/>
      <c r="E264" s="12"/>
      <c r="F264" s="12"/>
      <c r="G264" s="18"/>
      <c r="H264" s="35"/>
      <c r="I264" s="12"/>
      <c r="M264" s="12"/>
      <c r="N264" s="18"/>
      <c r="O264" s="12"/>
      <c r="P264" s="12"/>
      <c r="Q264" s="12"/>
      <c r="R264" s="36"/>
      <c r="S264" s="36"/>
      <c r="T264" s="12"/>
      <c r="U264" s="12"/>
      <c r="V264" s="12"/>
      <c r="W264" s="12"/>
      <c r="X264" s="12"/>
    </row>
    <row r="265" customFormat="false" ht="15.75" hidden="false" customHeight="false" outlineLevel="0" collapsed="false">
      <c r="A265" s="12"/>
      <c r="B265" s="34"/>
      <c r="C265" s="12"/>
      <c r="D265" s="12"/>
      <c r="E265" s="12"/>
      <c r="F265" s="12"/>
      <c r="G265" s="18"/>
      <c r="H265" s="35"/>
      <c r="I265" s="12"/>
      <c r="M265" s="12"/>
      <c r="N265" s="18"/>
      <c r="O265" s="12"/>
      <c r="P265" s="12"/>
      <c r="Q265" s="12"/>
      <c r="R265" s="36"/>
      <c r="S265" s="36"/>
      <c r="T265" s="12"/>
      <c r="U265" s="12"/>
      <c r="V265" s="12"/>
      <c r="W265" s="12"/>
      <c r="X265" s="12"/>
    </row>
    <row r="266" customFormat="false" ht="15.75" hidden="false" customHeight="false" outlineLevel="0" collapsed="false">
      <c r="A266" s="12"/>
      <c r="B266" s="34"/>
      <c r="C266" s="12"/>
      <c r="D266" s="12"/>
      <c r="E266" s="12"/>
      <c r="F266" s="12"/>
      <c r="G266" s="18"/>
      <c r="H266" s="35"/>
      <c r="I266" s="12"/>
      <c r="M266" s="12"/>
      <c r="N266" s="18"/>
      <c r="O266" s="12"/>
      <c r="P266" s="12"/>
      <c r="Q266" s="12"/>
      <c r="R266" s="36"/>
      <c r="S266" s="36"/>
      <c r="T266" s="12"/>
      <c r="U266" s="12"/>
      <c r="V266" s="12"/>
      <c r="W266" s="12"/>
      <c r="X266" s="12"/>
    </row>
    <row r="267" customFormat="false" ht="15.75" hidden="false" customHeight="false" outlineLevel="0" collapsed="false">
      <c r="A267" s="12"/>
      <c r="B267" s="34"/>
      <c r="C267" s="12"/>
      <c r="D267" s="12"/>
      <c r="E267" s="12"/>
      <c r="F267" s="12"/>
      <c r="G267" s="18"/>
      <c r="H267" s="35"/>
      <c r="I267" s="12"/>
      <c r="M267" s="12"/>
      <c r="N267" s="18"/>
      <c r="O267" s="12"/>
      <c r="P267" s="12"/>
      <c r="Q267" s="12"/>
      <c r="R267" s="36"/>
      <c r="S267" s="36"/>
      <c r="T267" s="12"/>
      <c r="U267" s="12"/>
      <c r="V267" s="12"/>
      <c r="W267" s="12"/>
      <c r="X267" s="12"/>
    </row>
    <row r="268" customFormat="false" ht="15.75" hidden="false" customHeight="false" outlineLevel="0" collapsed="false">
      <c r="A268" s="12"/>
      <c r="B268" s="34"/>
      <c r="C268" s="12"/>
      <c r="D268" s="12"/>
      <c r="E268" s="12"/>
      <c r="F268" s="12"/>
      <c r="G268" s="18"/>
      <c r="H268" s="35"/>
      <c r="I268" s="12"/>
      <c r="M268" s="12"/>
      <c r="N268" s="18"/>
      <c r="O268" s="12"/>
      <c r="P268" s="12"/>
      <c r="Q268" s="12"/>
      <c r="R268" s="36"/>
      <c r="S268" s="36"/>
      <c r="T268" s="12"/>
      <c r="U268" s="12"/>
      <c r="V268" s="12"/>
      <c r="W268" s="12"/>
      <c r="X268" s="12"/>
    </row>
    <row r="269" customFormat="false" ht="15.75" hidden="false" customHeight="false" outlineLevel="0" collapsed="false">
      <c r="A269" s="12"/>
      <c r="B269" s="34"/>
      <c r="C269" s="12"/>
      <c r="D269" s="12"/>
      <c r="E269" s="12"/>
      <c r="F269" s="12"/>
      <c r="G269" s="18"/>
      <c r="H269" s="35"/>
      <c r="I269" s="12"/>
      <c r="M269" s="12"/>
      <c r="N269" s="18"/>
      <c r="O269" s="12"/>
      <c r="P269" s="12"/>
      <c r="Q269" s="12"/>
      <c r="R269" s="36"/>
      <c r="S269" s="36"/>
      <c r="T269" s="12"/>
      <c r="U269" s="12"/>
      <c r="V269" s="12"/>
      <c r="W269" s="12"/>
      <c r="X269" s="12"/>
    </row>
    <row r="270" customFormat="false" ht="15.75" hidden="false" customHeight="false" outlineLevel="0" collapsed="false">
      <c r="A270" s="12"/>
      <c r="B270" s="34"/>
      <c r="C270" s="12"/>
      <c r="D270" s="12"/>
      <c r="E270" s="12"/>
      <c r="F270" s="12"/>
      <c r="G270" s="18"/>
      <c r="H270" s="35"/>
      <c r="I270" s="12"/>
      <c r="M270" s="12"/>
      <c r="N270" s="18"/>
      <c r="O270" s="12"/>
      <c r="P270" s="12"/>
      <c r="Q270" s="12"/>
      <c r="R270" s="36"/>
      <c r="S270" s="36"/>
      <c r="T270" s="12"/>
      <c r="U270" s="12"/>
      <c r="V270" s="12"/>
      <c r="W270" s="12"/>
      <c r="X270" s="12"/>
    </row>
    <row r="271" customFormat="false" ht="15.75" hidden="false" customHeight="false" outlineLevel="0" collapsed="false">
      <c r="A271" s="12"/>
      <c r="B271" s="34"/>
      <c r="C271" s="12"/>
      <c r="D271" s="12"/>
      <c r="E271" s="12"/>
      <c r="F271" s="12"/>
      <c r="G271" s="18"/>
      <c r="H271" s="35"/>
      <c r="I271" s="12"/>
      <c r="M271" s="12"/>
      <c r="N271" s="18"/>
      <c r="O271" s="12"/>
      <c r="P271" s="12"/>
      <c r="Q271" s="12"/>
      <c r="R271" s="36"/>
      <c r="S271" s="36"/>
      <c r="T271" s="12"/>
      <c r="U271" s="12"/>
      <c r="V271" s="12"/>
      <c r="W271" s="12"/>
      <c r="X271" s="12"/>
    </row>
    <row r="272" customFormat="false" ht="15.75" hidden="false" customHeight="false" outlineLevel="0" collapsed="false">
      <c r="A272" s="12"/>
      <c r="B272" s="34"/>
      <c r="C272" s="12"/>
      <c r="D272" s="12"/>
      <c r="E272" s="12"/>
      <c r="F272" s="12"/>
      <c r="G272" s="18"/>
      <c r="H272" s="35"/>
      <c r="I272" s="12"/>
      <c r="M272" s="12"/>
      <c r="N272" s="18"/>
      <c r="O272" s="12"/>
      <c r="P272" s="12"/>
      <c r="Q272" s="12"/>
      <c r="R272" s="36"/>
      <c r="S272" s="36"/>
      <c r="T272" s="12"/>
      <c r="U272" s="12"/>
      <c r="V272" s="12"/>
      <c r="W272" s="12"/>
      <c r="X272" s="12"/>
    </row>
    <row r="273" customFormat="false" ht="15.75" hidden="false" customHeight="false" outlineLevel="0" collapsed="false">
      <c r="A273" s="12"/>
      <c r="B273" s="34"/>
      <c r="C273" s="12"/>
      <c r="D273" s="12"/>
      <c r="E273" s="12"/>
      <c r="F273" s="12"/>
      <c r="G273" s="18"/>
      <c r="H273" s="35"/>
      <c r="I273" s="12"/>
      <c r="M273" s="12"/>
      <c r="N273" s="18"/>
      <c r="O273" s="12"/>
      <c r="P273" s="12"/>
      <c r="Q273" s="12"/>
      <c r="R273" s="36"/>
      <c r="S273" s="36"/>
      <c r="T273" s="12"/>
      <c r="U273" s="12"/>
      <c r="V273" s="12"/>
      <c r="W273" s="12"/>
      <c r="X273" s="12"/>
    </row>
    <row r="274" customFormat="false" ht="15.75" hidden="false" customHeight="false" outlineLevel="0" collapsed="false">
      <c r="A274" s="12"/>
      <c r="B274" s="34"/>
      <c r="C274" s="12"/>
      <c r="D274" s="12"/>
      <c r="E274" s="12"/>
      <c r="F274" s="12"/>
      <c r="G274" s="18"/>
      <c r="H274" s="35"/>
      <c r="I274" s="12"/>
      <c r="M274" s="12"/>
      <c r="N274" s="18"/>
      <c r="O274" s="12"/>
      <c r="P274" s="12"/>
      <c r="Q274" s="12"/>
      <c r="R274" s="36"/>
      <c r="S274" s="36"/>
      <c r="T274" s="12"/>
      <c r="U274" s="12"/>
      <c r="V274" s="12"/>
      <c r="W274" s="12"/>
      <c r="X274" s="12"/>
    </row>
    <row r="275" customFormat="false" ht="15.75" hidden="false" customHeight="false" outlineLevel="0" collapsed="false">
      <c r="A275" s="12"/>
      <c r="B275" s="34"/>
      <c r="C275" s="12"/>
      <c r="D275" s="12"/>
      <c r="E275" s="12"/>
      <c r="F275" s="12"/>
      <c r="G275" s="18"/>
      <c r="H275" s="35"/>
      <c r="I275" s="12"/>
      <c r="M275" s="12"/>
      <c r="N275" s="18"/>
      <c r="O275" s="12"/>
      <c r="P275" s="12"/>
      <c r="Q275" s="12"/>
      <c r="R275" s="36"/>
      <c r="S275" s="36"/>
      <c r="T275" s="12"/>
      <c r="U275" s="12"/>
      <c r="V275" s="12"/>
      <c r="W275" s="12"/>
      <c r="X275" s="12"/>
    </row>
    <row r="276" customFormat="false" ht="15.75" hidden="false" customHeight="false" outlineLevel="0" collapsed="false">
      <c r="A276" s="12"/>
      <c r="B276" s="34"/>
      <c r="C276" s="12"/>
      <c r="D276" s="12"/>
      <c r="E276" s="12"/>
      <c r="F276" s="12"/>
      <c r="G276" s="18"/>
      <c r="H276" s="35"/>
      <c r="I276" s="12"/>
      <c r="M276" s="12"/>
      <c r="N276" s="18"/>
      <c r="O276" s="12"/>
      <c r="P276" s="12"/>
      <c r="Q276" s="12"/>
      <c r="R276" s="36"/>
      <c r="S276" s="36"/>
      <c r="T276" s="12"/>
      <c r="U276" s="12"/>
      <c r="V276" s="12"/>
      <c r="W276" s="12"/>
      <c r="X276" s="12"/>
    </row>
    <row r="277" customFormat="false" ht="15.75" hidden="false" customHeight="false" outlineLevel="0" collapsed="false">
      <c r="A277" s="12"/>
      <c r="B277" s="34"/>
      <c r="C277" s="12"/>
      <c r="D277" s="12"/>
      <c r="E277" s="12"/>
      <c r="F277" s="12"/>
      <c r="G277" s="18"/>
      <c r="H277" s="35"/>
      <c r="I277" s="12"/>
      <c r="M277" s="12"/>
      <c r="N277" s="18"/>
      <c r="O277" s="12"/>
      <c r="P277" s="12"/>
      <c r="Q277" s="12"/>
      <c r="R277" s="36"/>
      <c r="S277" s="36"/>
      <c r="T277" s="12"/>
      <c r="U277" s="12"/>
      <c r="V277" s="12"/>
      <c r="W277" s="12"/>
      <c r="X277" s="12"/>
    </row>
    <row r="278" customFormat="false" ht="15.75" hidden="false" customHeight="false" outlineLevel="0" collapsed="false">
      <c r="A278" s="12"/>
      <c r="B278" s="34"/>
      <c r="C278" s="12"/>
      <c r="D278" s="12"/>
      <c r="E278" s="12"/>
      <c r="F278" s="12"/>
      <c r="G278" s="18"/>
      <c r="H278" s="35"/>
      <c r="I278" s="12"/>
      <c r="M278" s="12"/>
      <c r="N278" s="18"/>
      <c r="O278" s="12"/>
      <c r="P278" s="12"/>
      <c r="Q278" s="12"/>
      <c r="R278" s="36"/>
      <c r="S278" s="36"/>
      <c r="T278" s="12"/>
      <c r="U278" s="12"/>
      <c r="V278" s="12"/>
      <c r="W278" s="12"/>
      <c r="X278" s="12"/>
    </row>
    <row r="279" customFormat="false" ht="15.75" hidden="false" customHeight="false" outlineLevel="0" collapsed="false">
      <c r="A279" s="12"/>
      <c r="B279" s="34"/>
      <c r="C279" s="12"/>
      <c r="D279" s="12"/>
      <c r="E279" s="12"/>
      <c r="F279" s="12"/>
      <c r="G279" s="18"/>
      <c r="H279" s="35"/>
      <c r="I279" s="12"/>
      <c r="M279" s="12"/>
      <c r="N279" s="18"/>
      <c r="O279" s="12"/>
      <c r="P279" s="12"/>
      <c r="Q279" s="12"/>
      <c r="R279" s="36"/>
      <c r="S279" s="36"/>
      <c r="T279" s="12"/>
      <c r="U279" s="12"/>
      <c r="V279" s="12"/>
      <c r="W279" s="12"/>
      <c r="X279" s="12"/>
    </row>
    <row r="280" customFormat="false" ht="15.75" hidden="false" customHeight="false" outlineLevel="0" collapsed="false">
      <c r="A280" s="12"/>
      <c r="B280" s="34"/>
      <c r="C280" s="12"/>
      <c r="D280" s="12"/>
      <c r="E280" s="12"/>
      <c r="F280" s="12"/>
      <c r="G280" s="18"/>
      <c r="H280" s="35"/>
      <c r="I280" s="12"/>
      <c r="M280" s="12"/>
      <c r="N280" s="18"/>
      <c r="O280" s="12"/>
      <c r="P280" s="12"/>
      <c r="Q280" s="12"/>
      <c r="R280" s="36"/>
      <c r="S280" s="36"/>
      <c r="T280" s="12"/>
      <c r="U280" s="12"/>
      <c r="V280" s="12"/>
      <c r="W280" s="12"/>
      <c r="X280" s="12"/>
    </row>
    <row r="281" customFormat="false" ht="15.75" hidden="false" customHeight="false" outlineLevel="0" collapsed="false">
      <c r="A281" s="12"/>
      <c r="B281" s="34"/>
      <c r="C281" s="12"/>
      <c r="D281" s="12"/>
      <c r="E281" s="12"/>
      <c r="F281" s="12"/>
      <c r="G281" s="18"/>
      <c r="H281" s="35"/>
      <c r="I281" s="12"/>
      <c r="M281" s="12"/>
      <c r="N281" s="18"/>
      <c r="O281" s="12"/>
      <c r="P281" s="12"/>
      <c r="Q281" s="12"/>
      <c r="R281" s="36"/>
      <c r="S281" s="36"/>
      <c r="T281" s="12"/>
      <c r="U281" s="12"/>
      <c r="V281" s="12"/>
      <c r="W281" s="12"/>
      <c r="X281" s="12"/>
    </row>
    <row r="282" customFormat="false" ht="15.75" hidden="false" customHeight="false" outlineLevel="0" collapsed="false">
      <c r="A282" s="12"/>
      <c r="B282" s="34"/>
      <c r="C282" s="12"/>
      <c r="D282" s="12"/>
      <c r="E282" s="12"/>
      <c r="F282" s="12"/>
      <c r="G282" s="18"/>
      <c r="H282" s="35"/>
      <c r="I282" s="12"/>
      <c r="M282" s="12"/>
      <c r="N282" s="18"/>
      <c r="O282" s="12"/>
      <c r="P282" s="12"/>
      <c r="Q282" s="12"/>
      <c r="R282" s="36"/>
      <c r="S282" s="36"/>
      <c r="T282" s="12"/>
      <c r="U282" s="12"/>
      <c r="V282" s="12"/>
      <c r="W282" s="12"/>
      <c r="X282" s="12"/>
    </row>
    <row r="283" customFormat="false" ht="15.75" hidden="false" customHeight="false" outlineLevel="0" collapsed="false">
      <c r="A283" s="12"/>
      <c r="B283" s="34"/>
      <c r="C283" s="12"/>
      <c r="D283" s="12"/>
      <c r="E283" s="12"/>
      <c r="F283" s="12"/>
      <c r="G283" s="18"/>
      <c r="H283" s="35"/>
      <c r="I283" s="12"/>
      <c r="M283" s="12"/>
      <c r="N283" s="18"/>
      <c r="O283" s="12"/>
      <c r="P283" s="12"/>
      <c r="Q283" s="12"/>
      <c r="R283" s="36"/>
      <c r="S283" s="36"/>
      <c r="T283" s="12"/>
      <c r="U283" s="12"/>
      <c r="V283" s="12"/>
      <c r="W283" s="12"/>
      <c r="X283" s="12"/>
    </row>
    <row r="284" customFormat="false" ht="15.75" hidden="false" customHeight="false" outlineLevel="0" collapsed="false">
      <c r="A284" s="12"/>
      <c r="B284" s="34"/>
      <c r="C284" s="12"/>
      <c r="D284" s="12"/>
      <c r="E284" s="12"/>
      <c r="F284" s="12"/>
      <c r="G284" s="18"/>
      <c r="H284" s="35"/>
      <c r="I284" s="12"/>
      <c r="M284" s="12"/>
      <c r="N284" s="18"/>
      <c r="O284" s="12"/>
      <c r="P284" s="12"/>
      <c r="Q284" s="12"/>
      <c r="R284" s="36"/>
      <c r="S284" s="36"/>
      <c r="T284" s="12"/>
      <c r="U284" s="12"/>
      <c r="V284" s="12"/>
      <c r="W284" s="12"/>
      <c r="X284" s="12"/>
    </row>
    <row r="285" customFormat="false" ht="15.75" hidden="false" customHeight="false" outlineLevel="0" collapsed="false">
      <c r="A285" s="12"/>
      <c r="B285" s="34"/>
      <c r="C285" s="12"/>
      <c r="D285" s="12"/>
      <c r="E285" s="12"/>
      <c r="F285" s="12"/>
      <c r="G285" s="18"/>
      <c r="H285" s="35"/>
      <c r="I285" s="12"/>
      <c r="M285" s="12"/>
      <c r="N285" s="18"/>
      <c r="O285" s="12"/>
      <c r="P285" s="12"/>
      <c r="Q285" s="12"/>
      <c r="R285" s="36"/>
      <c r="S285" s="36"/>
      <c r="T285" s="12"/>
      <c r="U285" s="12"/>
      <c r="V285" s="12"/>
      <c r="W285" s="12"/>
      <c r="X285" s="12"/>
    </row>
    <row r="286" customFormat="false" ht="15.75" hidden="false" customHeight="false" outlineLevel="0" collapsed="false">
      <c r="A286" s="12"/>
      <c r="B286" s="34"/>
      <c r="C286" s="12"/>
      <c r="D286" s="12"/>
      <c r="E286" s="12"/>
      <c r="F286" s="12"/>
      <c r="G286" s="18"/>
      <c r="H286" s="35"/>
      <c r="I286" s="12"/>
      <c r="M286" s="12"/>
      <c r="N286" s="18"/>
      <c r="O286" s="12"/>
      <c r="P286" s="12"/>
      <c r="Q286" s="12"/>
      <c r="R286" s="36"/>
      <c r="S286" s="36"/>
      <c r="T286" s="12"/>
      <c r="U286" s="12"/>
      <c r="V286" s="12"/>
      <c r="W286" s="12"/>
      <c r="X286" s="12"/>
    </row>
    <row r="287" customFormat="false" ht="15.75" hidden="false" customHeight="false" outlineLevel="0" collapsed="false">
      <c r="A287" s="12"/>
      <c r="B287" s="34"/>
      <c r="C287" s="12"/>
      <c r="D287" s="12"/>
      <c r="E287" s="12"/>
      <c r="F287" s="12"/>
      <c r="G287" s="18"/>
      <c r="H287" s="35"/>
      <c r="I287" s="12"/>
      <c r="M287" s="12"/>
      <c r="N287" s="18"/>
      <c r="O287" s="12"/>
      <c r="P287" s="12"/>
      <c r="Q287" s="12"/>
      <c r="R287" s="36"/>
      <c r="S287" s="36"/>
      <c r="T287" s="12"/>
      <c r="U287" s="12"/>
      <c r="V287" s="12"/>
      <c r="W287" s="12"/>
      <c r="X287" s="12"/>
    </row>
    <row r="288" customFormat="false" ht="15.75" hidden="false" customHeight="false" outlineLevel="0" collapsed="false">
      <c r="A288" s="12"/>
      <c r="B288" s="34"/>
      <c r="C288" s="12"/>
      <c r="D288" s="12"/>
      <c r="E288" s="12"/>
      <c r="F288" s="12"/>
      <c r="G288" s="18"/>
      <c r="H288" s="35"/>
      <c r="I288" s="12"/>
      <c r="M288" s="12"/>
      <c r="N288" s="18"/>
      <c r="O288" s="12"/>
      <c r="P288" s="12"/>
      <c r="Q288" s="12"/>
      <c r="R288" s="36"/>
      <c r="S288" s="36"/>
      <c r="T288" s="12"/>
      <c r="U288" s="12"/>
      <c r="V288" s="12"/>
      <c r="W288" s="12"/>
      <c r="X288" s="12"/>
    </row>
    <row r="289" customFormat="false" ht="15.75" hidden="false" customHeight="false" outlineLevel="0" collapsed="false">
      <c r="A289" s="12"/>
      <c r="B289" s="34"/>
      <c r="C289" s="12"/>
      <c r="D289" s="12"/>
      <c r="E289" s="12"/>
      <c r="F289" s="12"/>
      <c r="G289" s="18"/>
      <c r="H289" s="35"/>
      <c r="I289" s="12"/>
      <c r="M289" s="12"/>
      <c r="N289" s="18"/>
      <c r="O289" s="12"/>
      <c r="P289" s="12"/>
      <c r="Q289" s="12"/>
      <c r="R289" s="36"/>
      <c r="S289" s="36"/>
      <c r="T289" s="12"/>
      <c r="U289" s="12"/>
      <c r="V289" s="12"/>
      <c r="W289" s="12"/>
      <c r="X289" s="12"/>
    </row>
    <row r="290" customFormat="false" ht="15.75" hidden="false" customHeight="false" outlineLevel="0" collapsed="false">
      <c r="A290" s="12"/>
      <c r="B290" s="34"/>
      <c r="C290" s="12"/>
      <c r="D290" s="12"/>
      <c r="E290" s="12"/>
      <c r="F290" s="12"/>
      <c r="G290" s="18"/>
      <c r="H290" s="35"/>
      <c r="I290" s="12"/>
      <c r="M290" s="12"/>
      <c r="N290" s="18"/>
      <c r="O290" s="12"/>
      <c r="P290" s="12"/>
      <c r="Q290" s="12"/>
      <c r="R290" s="36"/>
      <c r="S290" s="36"/>
      <c r="T290" s="12"/>
      <c r="U290" s="12"/>
      <c r="V290" s="12"/>
      <c r="W290" s="12"/>
      <c r="X290" s="12"/>
    </row>
    <row r="291" customFormat="false" ht="15.75" hidden="false" customHeight="false" outlineLevel="0" collapsed="false">
      <c r="A291" s="12"/>
      <c r="B291" s="34"/>
      <c r="C291" s="12"/>
      <c r="D291" s="12"/>
      <c r="E291" s="12"/>
      <c r="F291" s="12"/>
      <c r="G291" s="18"/>
      <c r="H291" s="35"/>
      <c r="I291" s="12"/>
      <c r="M291" s="12"/>
      <c r="N291" s="18"/>
      <c r="O291" s="12"/>
      <c r="P291" s="12"/>
      <c r="Q291" s="12"/>
      <c r="R291" s="36"/>
      <c r="S291" s="36"/>
      <c r="T291" s="12"/>
      <c r="U291" s="12"/>
      <c r="V291" s="12"/>
      <c r="W291" s="12"/>
      <c r="X291" s="12"/>
    </row>
    <row r="292" customFormat="false" ht="15.75" hidden="false" customHeight="false" outlineLevel="0" collapsed="false">
      <c r="A292" s="12"/>
      <c r="B292" s="34"/>
      <c r="C292" s="12"/>
      <c r="D292" s="12"/>
      <c r="E292" s="12"/>
      <c r="F292" s="12"/>
      <c r="G292" s="18"/>
      <c r="H292" s="35"/>
      <c r="I292" s="12"/>
      <c r="M292" s="12"/>
      <c r="N292" s="18"/>
      <c r="O292" s="12"/>
      <c r="P292" s="12"/>
      <c r="Q292" s="12"/>
      <c r="R292" s="36"/>
      <c r="S292" s="36"/>
      <c r="T292" s="12"/>
      <c r="U292" s="12"/>
      <c r="V292" s="12"/>
      <c r="W292" s="12"/>
      <c r="X292" s="12"/>
    </row>
    <row r="293" customFormat="false" ht="15.75" hidden="false" customHeight="false" outlineLevel="0" collapsed="false">
      <c r="A293" s="12"/>
      <c r="B293" s="34"/>
      <c r="C293" s="12"/>
      <c r="D293" s="12"/>
      <c r="E293" s="12"/>
      <c r="F293" s="12"/>
      <c r="G293" s="18"/>
      <c r="H293" s="35"/>
      <c r="I293" s="12"/>
      <c r="M293" s="12"/>
      <c r="N293" s="18"/>
      <c r="O293" s="12"/>
      <c r="P293" s="12"/>
      <c r="Q293" s="12"/>
      <c r="R293" s="36"/>
      <c r="S293" s="36"/>
      <c r="T293" s="12"/>
      <c r="U293" s="12"/>
      <c r="V293" s="12"/>
      <c r="W293" s="12"/>
      <c r="X293" s="12"/>
    </row>
    <row r="294" customFormat="false" ht="15.75" hidden="false" customHeight="false" outlineLevel="0" collapsed="false">
      <c r="A294" s="12"/>
      <c r="B294" s="34"/>
      <c r="C294" s="12"/>
      <c r="D294" s="12"/>
      <c r="E294" s="12"/>
      <c r="F294" s="12"/>
      <c r="G294" s="18"/>
      <c r="H294" s="35"/>
      <c r="I294" s="12"/>
      <c r="M294" s="12"/>
      <c r="N294" s="18"/>
      <c r="O294" s="12"/>
      <c r="P294" s="12"/>
      <c r="Q294" s="12"/>
      <c r="R294" s="36"/>
      <c r="S294" s="36"/>
      <c r="T294" s="12"/>
      <c r="U294" s="12"/>
      <c r="V294" s="12"/>
      <c r="W294" s="12"/>
      <c r="X294" s="12"/>
    </row>
    <row r="295" customFormat="false" ht="15.75" hidden="false" customHeight="false" outlineLevel="0" collapsed="false">
      <c r="A295" s="12"/>
      <c r="B295" s="34"/>
      <c r="C295" s="12"/>
      <c r="D295" s="12"/>
      <c r="E295" s="12"/>
      <c r="F295" s="12"/>
      <c r="G295" s="18"/>
      <c r="H295" s="35"/>
      <c r="I295" s="12"/>
      <c r="M295" s="12"/>
      <c r="N295" s="18"/>
      <c r="O295" s="12"/>
      <c r="P295" s="12"/>
      <c r="Q295" s="12"/>
      <c r="R295" s="36"/>
      <c r="S295" s="36"/>
      <c r="T295" s="12"/>
      <c r="U295" s="12"/>
      <c r="V295" s="12"/>
      <c r="W295" s="12"/>
      <c r="X295" s="12"/>
    </row>
    <row r="296" customFormat="false" ht="15.75" hidden="false" customHeight="false" outlineLevel="0" collapsed="false">
      <c r="A296" s="12"/>
      <c r="B296" s="34"/>
      <c r="C296" s="12"/>
      <c r="D296" s="12"/>
      <c r="E296" s="12"/>
      <c r="F296" s="12"/>
      <c r="G296" s="18"/>
      <c r="H296" s="35"/>
      <c r="I296" s="12"/>
      <c r="M296" s="12"/>
      <c r="N296" s="18"/>
      <c r="O296" s="12"/>
      <c r="P296" s="12"/>
      <c r="Q296" s="12"/>
      <c r="R296" s="36"/>
      <c r="S296" s="36"/>
      <c r="T296" s="12"/>
      <c r="U296" s="12"/>
      <c r="V296" s="12"/>
      <c r="W296" s="12"/>
      <c r="X296" s="12"/>
    </row>
    <row r="297" customFormat="false" ht="15.75" hidden="false" customHeight="false" outlineLevel="0" collapsed="false">
      <c r="A297" s="12"/>
      <c r="B297" s="34"/>
      <c r="C297" s="12"/>
      <c r="D297" s="12"/>
      <c r="E297" s="12"/>
      <c r="F297" s="12"/>
      <c r="G297" s="18"/>
      <c r="H297" s="35"/>
      <c r="I297" s="12"/>
      <c r="M297" s="12"/>
      <c r="N297" s="18"/>
      <c r="O297" s="12"/>
      <c r="P297" s="12"/>
      <c r="Q297" s="12"/>
      <c r="R297" s="36"/>
      <c r="S297" s="36"/>
      <c r="T297" s="12"/>
      <c r="U297" s="12"/>
      <c r="V297" s="12"/>
      <c r="W297" s="12"/>
      <c r="X297" s="12"/>
    </row>
    <row r="298" customFormat="false" ht="15.75" hidden="false" customHeight="false" outlineLevel="0" collapsed="false">
      <c r="A298" s="12"/>
      <c r="B298" s="34"/>
      <c r="C298" s="12"/>
      <c r="D298" s="12"/>
      <c r="E298" s="12"/>
      <c r="F298" s="12"/>
      <c r="G298" s="18"/>
      <c r="H298" s="35"/>
      <c r="I298" s="12"/>
      <c r="M298" s="12"/>
      <c r="N298" s="18"/>
      <c r="O298" s="12"/>
      <c r="P298" s="12"/>
      <c r="Q298" s="12"/>
      <c r="R298" s="36"/>
      <c r="S298" s="36"/>
      <c r="T298" s="12"/>
      <c r="U298" s="12"/>
      <c r="V298" s="12"/>
      <c r="W298" s="12"/>
      <c r="X298" s="12"/>
    </row>
    <row r="299" customFormat="false" ht="15.75" hidden="false" customHeight="false" outlineLevel="0" collapsed="false">
      <c r="A299" s="12"/>
      <c r="B299" s="34"/>
      <c r="C299" s="12"/>
      <c r="D299" s="12"/>
      <c r="E299" s="12"/>
      <c r="F299" s="12"/>
      <c r="G299" s="18"/>
      <c r="H299" s="35"/>
      <c r="I299" s="12"/>
      <c r="M299" s="12"/>
      <c r="N299" s="18"/>
      <c r="O299" s="12"/>
      <c r="P299" s="12"/>
      <c r="Q299" s="12"/>
      <c r="R299" s="36"/>
      <c r="S299" s="36"/>
      <c r="T299" s="12"/>
      <c r="U299" s="12"/>
      <c r="V299" s="12"/>
      <c r="W299" s="12"/>
      <c r="X299" s="12"/>
    </row>
    <row r="300" customFormat="false" ht="15.75" hidden="false" customHeight="false" outlineLevel="0" collapsed="false">
      <c r="A300" s="12"/>
      <c r="B300" s="34"/>
      <c r="C300" s="12"/>
      <c r="D300" s="12"/>
      <c r="E300" s="12"/>
      <c r="F300" s="12"/>
      <c r="G300" s="18"/>
      <c r="H300" s="35"/>
      <c r="I300" s="12"/>
      <c r="M300" s="12"/>
      <c r="N300" s="18"/>
      <c r="O300" s="12"/>
      <c r="P300" s="12"/>
      <c r="Q300" s="12"/>
      <c r="R300" s="36"/>
      <c r="S300" s="36"/>
      <c r="T300" s="12"/>
      <c r="U300" s="12"/>
      <c r="V300" s="12"/>
      <c r="W300" s="12"/>
      <c r="X300" s="12"/>
    </row>
    <row r="301" customFormat="false" ht="15.75" hidden="false" customHeight="false" outlineLevel="0" collapsed="false">
      <c r="A301" s="12"/>
      <c r="B301" s="34"/>
      <c r="C301" s="12"/>
      <c r="D301" s="12"/>
      <c r="E301" s="12"/>
      <c r="F301" s="12"/>
      <c r="G301" s="18"/>
      <c r="H301" s="35"/>
      <c r="I301" s="12"/>
      <c r="M301" s="12"/>
      <c r="N301" s="18"/>
      <c r="O301" s="12"/>
      <c r="P301" s="12"/>
      <c r="Q301" s="12"/>
      <c r="R301" s="36"/>
      <c r="S301" s="36"/>
      <c r="T301" s="12"/>
      <c r="U301" s="12"/>
      <c r="V301" s="12"/>
      <c r="W301" s="12"/>
      <c r="X301" s="12"/>
    </row>
    <row r="302" customFormat="false" ht="15.75" hidden="false" customHeight="false" outlineLevel="0" collapsed="false">
      <c r="A302" s="12"/>
      <c r="B302" s="34"/>
      <c r="C302" s="12"/>
      <c r="D302" s="12"/>
      <c r="E302" s="12"/>
      <c r="F302" s="12"/>
      <c r="G302" s="18"/>
      <c r="H302" s="35"/>
      <c r="I302" s="12"/>
      <c r="M302" s="12"/>
      <c r="N302" s="18"/>
      <c r="O302" s="12"/>
      <c r="P302" s="12"/>
      <c r="Q302" s="12"/>
      <c r="R302" s="36"/>
      <c r="S302" s="36"/>
      <c r="T302" s="12"/>
      <c r="U302" s="12"/>
      <c r="V302" s="12"/>
      <c r="W302" s="12"/>
      <c r="X302" s="12"/>
    </row>
    <row r="303" customFormat="false" ht="15.75" hidden="false" customHeight="false" outlineLevel="0" collapsed="false">
      <c r="A303" s="12"/>
      <c r="B303" s="34"/>
      <c r="C303" s="12"/>
      <c r="D303" s="12"/>
      <c r="E303" s="12"/>
      <c r="F303" s="12"/>
      <c r="G303" s="18"/>
      <c r="H303" s="35"/>
      <c r="I303" s="12"/>
      <c r="M303" s="12"/>
      <c r="N303" s="18"/>
      <c r="O303" s="12"/>
      <c r="P303" s="12"/>
      <c r="Q303" s="12"/>
      <c r="R303" s="36"/>
      <c r="S303" s="36"/>
      <c r="T303" s="12"/>
      <c r="U303" s="12"/>
      <c r="V303" s="12"/>
      <c r="W303" s="12"/>
      <c r="X303" s="12"/>
    </row>
    <row r="304" customFormat="false" ht="15.75" hidden="false" customHeight="false" outlineLevel="0" collapsed="false">
      <c r="A304" s="12"/>
      <c r="B304" s="34"/>
      <c r="C304" s="12"/>
      <c r="D304" s="12"/>
      <c r="E304" s="12"/>
      <c r="F304" s="12"/>
      <c r="G304" s="18"/>
      <c r="H304" s="35"/>
      <c r="I304" s="12"/>
      <c r="M304" s="12"/>
      <c r="N304" s="18"/>
      <c r="O304" s="12"/>
      <c r="P304" s="12"/>
      <c r="Q304" s="12"/>
      <c r="R304" s="36"/>
      <c r="S304" s="36"/>
      <c r="T304" s="12"/>
      <c r="U304" s="12"/>
      <c r="V304" s="12"/>
      <c r="W304" s="12"/>
      <c r="X304" s="12"/>
    </row>
    <row r="305" customFormat="false" ht="15.75" hidden="false" customHeight="false" outlineLevel="0" collapsed="false">
      <c r="A305" s="12"/>
      <c r="B305" s="34"/>
      <c r="C305" s="12"/>
      <c r="D305" s="12"/>
      <c r="E305" s="12"/>
      <c r="F305" s="12"/>
      <c r="G305" s="18"/>
      <c r="H305" s="35"/>
      <c r="I305" s="12"/>
      <c r="M305" s="12"/>
      <c r="N305" s="18"/>
      <c r="O305" s="12"/>
      <c r="P305" s="12"/>
      <c r="Q305" s="12"/>
      <c r="R305" s="36"/>
      <c r="S305" s="36"/>
      <c r="T305" s="12"/>
      <c r="U305" s="12"/>
      <c r="V305" s="12"/>
      <c r="W305" s="12"/>
      <c r="X305" s="12"/>
    </row>
    <row r="306" customFormat="false" ht="15.75" hidden="false" customHeight="false" outlineLevel="0" collapsed="false">
      <c r="A306" s="12"/>
      <c r="B306" s="34"/>
      <c r="C306" s="12"/>
      <c r="D306" s="12"/>
      <c r="E306" s="12"/>
      <c r="F306" s="12"/>
      <c r="G306" s="18"/>
      <c r="H306" s="35"/>
      <c r="I306" s="12"/>
      <c r="M306" s="12"/>
      <c r="N306" s="18"/>
      <c r="O306" s="12"/>
      <c r="P306" s="12"/>
      <c r="Q306" s="12"/>
      <c r="R306" s="36"/>
      <c r="S306" s="36"/>
      <c r="T306" s="12"/>
      <c r="U306" s="12"/>
      <c r="V306" s="12"/>
      <c r="W306" s="12"/>
      <c r="X306" s="12"/>
    </row>
    <row r="307" customFormat="false" ht="15.75" hidden="false" customHeight="false" outlineLevel="0" collapsed="false">
      <c r="A307" s="12"/>
      <c r="B307" s="34"/>
      <c r="C307" s="12"/>
      <c r="D307" s="12"/>
      <c r="E307" s="12"/>
      <c r="F307" s="12"/>
      <c r="G307" s="18"/>
      <c r="H307" s="35"/>
      <c r="I307" s="12"/>
      <c r="M307" s="12"/>
      <c r="N307" s="18"/>
      <c r="O307" s="12"/>
      <c r="P307" s="12"/>
      <c r="Q307" s="12"/>
      <c r="R307" s="36"/>
      <c r="S307" s="36"/>
      <c r="T307" s="12"/>
      <c r="U307" s="12"/>
      <c r="V307" s="12"/>
      <c r="W307" s="12"/>
      <c r="X307" s="12"/>
    </row>
    <row r="308" customFormat="false" ht="15.75" hidden="false" customHeight="false" outlineLevel="0" collapsed="false">
      <c r="A308" s="12"/>
      <c r="B308" s="34"/>
      <c r="C308" s="12"/>
      <c r="D308" s="12"/>
      <c r="E308" s="12"/>
      <c r="F308" s="12"/>
      <c r="G308" s="18"/>
      <c r="H308" s="35"/>
      <c r="I308" s="12"/>
      <c r="M308" s="12"/>
      <c r="N308" s="18"/>
      <c r="O308" s="12"/>
      <c r="P308" s="12"/>
      <c r="Q308" s="12"/>
      <c r="R308" s="36"/>
      <c r="S308" s="36"/>
      <c r="T308" s="12"/>
      <c r="U308" s="12"/>
      <c r="V308" s="12"/>
      <c r="W308" s="12"/>
      <c r="X308" s="12"/>
    </row>
    <row r="309" customFormat="false" ht="15.75" hidden="false" customHeight="false" outlineLevel="0" collapsed="false">
      <c r="A309" s="12"/>
      <c r="B309" s="34"/>
      <c r="C309" s="12"/>
      <c r="D309" s="12"/>
      <c r="E309" s="12"/>
      <c r="F309" s="12"/>
      <c r="G309" s="18"/>
      <c r="H309" s="35"/>
      <c r="I309" s="12"/>
      <c r="M309" s="12"/>
      <c r="N309" s="18"/>
      <c r="O309" s="12"/>
      <c r="P309" s="12"/>
      <c r="Q309" s="12"/>
      <c r="R309" s="36"/>
      <c r="S309" s="36"/>
      <c r="T309" s="12"/>
      <c r="U309" s="12"/>
      <c r="V309" s="12"/>
      <c r="W309" s="12"/>
      <c r="X309" s="12"/>
    </row>
    <row r="310" customFormat="false" ht="15.75" hidden="false" customHeight="false" outlineLevel="0" collapsed="false">
      <c r="A310" s="12"/>
      <c r="B310" s="34"/>
      <c r="C310" s="12"/>
      <c r="D310" s="12"/>
      <c r="E310" s="12"/>
      <c r="F310" s="12"/>
      <c r="G310" s="18"/>
      <c r="H310" s="35"/>
      <c r="I310" s="12"/>
      <c r="M310" s="12"/>
      <c r="N310" s="18"/>
      <c r="O310" s="12"/>
      <c r="P310" s="12"/>
      <c r="Q310" s="12"/>
      <c r="R310" s="36"/>
      <c r="S310" s="36"/>
      <c r="T310" s="12"/>
      <c r="U310" s="12"/>
      <c r="V310" s="12"/>
      <c r="W310" s="12"/>
      <c r="X310" s="12"/>
    </row>
    <row r="311" customFormat="false" ht="15.75" hidden="false" customHeight="false" outlineLevel="0" collapsed="false">
      <c r="A311" s="12"/>
      <c r="B311" s="34"/>
      <c r="C311" s="12"/>
      <c r="D311" s="12"/>
      <c r="E311" s="12"/>
      <c r="F311" s="12"/>
      <c r="G311" s="18"/>
      <c r="H311" s="35"/>
      <c r="I311" s="12"/>
      <c r="M311" s="12"/>
      <c r="N311" s="18"/>
      <c r="O311" s="12"/>
      <c r="P311" s="12"/>
      <c r="Q311" s="12"/>
      <c r="R311" s="36"/>
      <c r="S311" s="36"/>
      <c r="T311" s="12"/>
      <c r="U311" s="12"/>
      <c r="V311" s="12"/>
      <c r="W311" s="12"/>
      <c r="X311" s="12"/>
    </row>
    <row r="312" customFormat="false" ht="15.75" hidden="false" customHeight="false" outlineLevel="0" collapsed="false">
      <c r="A312" s="12"/>
      <c r="B312" s="34"/>
      <c r="C312" s="12"/>
      <c r="D312" s="12"/>
      <c r="E312" s="12"/>
      <c r="F312" s="12"/>
      <c r="G312" s="18"/>
      <c r="H312" s="35"/>
      <c r="I312" s="12"/>
      <c r="M312" s="12"/>
      <c r="N312" s="18"/>
      <c r="O312" s="12"/>
      <c r="P312" s="12"/>
      <c r="Q312" s="12"/>
      <c r="R312" s="36"/>
      <c r="S312" s="36"/>
      <c r="T312" s="12"/>
      <c r="U312" s="12"/>
      <c r="V312" s="12"/>
      <c r="W312" s="12"/>
      <c r="X312" s="12"/>
    </row>
    <row r="313" customFormat="false" ht="15.75" hidden="false" customHeight="false" outlineLevel="0" collapsed="false">
      <c r="A313" s="12"/>
      <c r="B313" s="34"/>
      <c r="C313" s="12"/>
      <c r="D313" s="12"/>
      <c r="E313" s="12"/>
      <c r="F313" s="12"/>
      <c r="G313" s="18"/>
      <c r="H313" s="35"/>
      <c r="I313" s="12"/>
      <c r="M313" s="12"/>
      <c r="N313" s="18"/>
      <c r="O313" s="12"/>
      <c r="P313" s="12"/>
      <c r="Q313" s="12"/>
      <c r="R313" s="36"/>
      <c r="S313" s="36"/>
      <c r="T313" s="12"/>
      <c r="U313" s="12"/>
      <c r="V313" s="12"/>
      <c r="W313" s="12"/>
      <c r="X313" s="12"/>
    </row>
    <row r="314" customFormat="false" ht="15.75" hidden="false" customHeight="false" outlineLevel="0" collapsed="false">
      <c r="A314" s="12"/>
      <c r="B314" s="34"/>
      <c r="C314" s="12"/>
      <c r="D314" s="12"/>
      <c r="E314" s="12"/>
      <c r="F314" s="12"/>
      <c r="G314" s="18"/>
      <c r="H314" s="35"/>
      <c r="I314" s="12"/>
      <c r="M314" s="12"/>
      <c r="N314" s="18"/>
      <c r="O314" s="12"/>
      <c r="P314" s="12"/>
      <c r="Q314" s="12"/>
      <c r="R314" s="36"/>
      <c r="S314" s="36"/>
      <c r="T314" s="12"/>
      <c r="U314" s="12"/>
      <c r="V314" s="12"/>
      <c r="W314" s="12"/>
      <c r="X314" s="12"/>
    </row>
    <row r="315" customFormat="false" ht="15.75" hidden="false" customHeight="false" outlineLevel="0" collapsed="false">
      <c r="A315" s="12"/>
      <c r="B315" s="34"/>
      <c r="C315" s="12"/>
      <c r="D315" s="12"/>
      <c r="E315" s="12"/>
      <c r="F315" s="12"/>
      <c r="G315" s="18"/>
      <c r="H315" s="35"/>
      <c r="I315" s="12"/>
      <c r="M315" s="12"/>
      <c r="N315" s="18"/>
      <c r="O315" s="12"/>
      <c r="P315" s="12"/>
      <c r="Q315" s="12"/>
      <c r="R315" s="36"/>
      <c r="S315" s="36"/>
      <c r="T315" s="12"/>
      <c r="U315" s="12"/>
      <c r="V315" s="12"/>
      <c r="W315" s="12"/>
      <c r="X315" s="12"/>
    </row>
    <row r="316" customFormat="false" ht="15.75" hidden="false" customHeight="false" outlineLevel="0" collapsed="false">
      <c r="A316" s="12"/>
      <c r="B316" s="34"/>
      <c r="C316" s="12"/>
      <c r="D316" s="12"/>
      <c r="E316" s="12"/>
      <c r="F316" s="12"/>
      <c r="G316" s="18"/>
      <c r="H316" s="35"/>
      <c r="I316" s="12"/>
      <c r="M316" s="12"/>
      <c r="N316" s="18"/>
      <c r="O316" s="12"/>
      <c r="P316" s="12"/>
      <c r="Q316" s="12"/>
      <c r="R316" s="36"/>
      <c r="S316" s="36"/>
      <c r="T316" s="12"/>
      <c r="U316" s="12"/>
      <c r="V316" s="12"/>
      <c r="W316" s="12"/>
      <c r="X316" s="12"/>
    </row>
    <row r="317" customFormat="false" ht="15.75" hidden="false" customHeight="false" outlineLevel="0" collapsed="false">
      <c r="A317" s="12"/>
      <c r="B317" s="34"/>
      <c r="C317" s="12"/>
      <c r="D317" s="12"/>
      <c r="E317" s="12"/>
      <c r="F317" s="12"/>
      <c r="G317" s="18"/>
      <c r="H317" s="35"/>
      <c r="I317" s="12"/>
      <c r="M317" s="12"/>
      <c r="N317" s="18"/>
      <c r="O317" s="12"/>
      <c r="P317" s="12"/>
      <c r="Q317" s="12"/>
      <c r="R317" s="36"/>
      <c r="S317" s="36"/>
      <c r="T317" s="12"/>
      <c r="U317" s="12"/>
      <c r="V317" s="12"/>
      <c r="W317" s="12"/>
      <c r="X317" s="12"/>
    </row>
    <row r="318" customFormat="false" ht="15.75" hidden="false" customHeight="false" outlineLevel="0" collapsed="false">
      <c r="A318" s="12"/>
      <c r="B318" s="34"/>
      <c r="C318" s="12"/>
      <c r="D318" s="12"/>
      <c r="E318" s="12"/>
      <c r="F318" s="12"/>
      <c r="G318" s="18"/>
      <c r="H318" s="35"/>
      <c r="I318" s="12"/>
      <c r="M318" s="12"/>
      <c r="N318" s="18"/>
      <c r="O318" s="12"/>
      <c r="P318" s="12"/>
      <c r="Q318" s="12"/>
      <c r="R318" s="36"/>
      <c r="S318" s="36"/>
      <c r="T318" s="12"/>
      <c r="U318" s="12"/>
      <c r="V318" s="12"/>
      <c r="W318" s="12"/>
      <c r="X318" s="12"/>
    </row>
    <row r="319" customFormat="false" ht="15.75" hidden="false" customHeight="false" outlineLevel="0" collapsed="false">
      <c r="A319" s="12"/>
      <c r="B319" s="34"/>
      <c r="C319" s="12"/>
      <c r="D319" s="12"/>
      <c r="E319" s="12"/>
      <c r="F319" s="12"/>
      <c r="G319" s="18"/>
      <c r="H319" s="35"/>
      <c r="I319" s="12"/>
      <c r="M319" s="12"/>
      <c r="N319" s="18"/>
      <c r="O319" s="12"/>
      <c r="P319" s="12"/>
      <c r="Q319" s="12"/>
      <c r="R319" s="36"/>
      <c r="S319" s="36"/>
      <c r="T319" s="12"/>
      <c r="U319" s="12"/>
      <c r="V319" s="12"/>
      <c r="W319" s="12"/>
      <c r="X319" s="12"/>
    </row>
    <row r="320" customFormat="false" ht="15.75" hidden="false" customHeight="false" outlineLevel="0" collapsed="false">
      <c r="A320" s="12"/>
      <c r="B320" s="34"/>
      <c r="C320" s="12"/>
      <c r="D320" s="12"/>
      <c r="E320" s="12"/>
      <c r="F320" s="12"/>
      <c r="G320" s="18"/>
      <c r="H320" s="35"/>
      <c r="I320" s="12"/>
      <c r="M320" s="12"/>
      <c r="N320" s="18"/>
      <c r="O320" s="12"/>
      <c r="P320" s="12"/>
      <c r="Q320" s="12"/>
      <c r="R320" s="36"/>
      <c r="S320" s="36"/>
      <c r="T320" s="12"/>
      <c r="U320" s="12"/>
      <c r="V320" s="12"/>
      <c r="W320" s="12"/>
      <c r="X320" s="12"/>
    </row>
    <row r="321" customFormat="false" ht="15.75" hidden="false" customHeight="false" outlineLevel="0" collapsed="false">
      <c r="A321" s="12"/>
      <c r="B321" s="34"/>
      <c r="C321" s="12"/>
      <c r="D321" s="12"/>
      <c r="E321" s="12"/>
      <c r="F321" s="12"/>
      <c r="G321" s="18"/>
      <c r="H321" s="35"/>
      <c r="I321" s="12"/>
      <c r="M321" s="12"/>
      <c r="N321" s="18"/>
      <c r="O321" s="12"/>
      <c r="P321" s="12"/>
      <c r="Q321" s="12"/>
      <c r="R321" s="36"/>
      <c r="S321" s="36"/>
      <c r="T321" s="12"/>
      <c r="U321" s="12"/>
      <c r="V321" s="12"/>
      <c r="W321" s="12"/>
      <c r="X321" s="12"/>
    </row>
    <row r="322" customFormat="false" ht="15.75" hidden="false" customHeight="false" outlineLevel="0" collapsed="false">
      <c r="A322" s="12"/>
      <c r="B322" s="34"/>
      <c r="C322" s="12"/>
      <c r="D322" s="12"/>
      <c r="E322" s="12"/>
      <c r="F322" s="12"/>
      <c r="G322" s="18"/>
      <c r="H322" s="35"/>
      <c r="I322" s="12"/>
      <c r="M322" s="12"/>
      <c r="N322" s="18"/>
      <c r="O322" s="12"/>
      <c r="P322" s="12"/>
      <c r="Q322" s="12"/>
      <c r="R322" s="36"/>
      <c r="S322" s="36"/>
      <c r="T322" s="12"/>
      <c r="U322" s="12"/>
      <c r="V322" s="12"/>
      <c r="W322" s="12"/>
      <c r="X322" s="12"/>
    </row>
    <row r="323" customFormat="false" ht="15.75" hidden="false" customHeight="false" outlineLevel="0" collapsed="false">
      <c r="A323" s="12"/>
      <c r="B323" s="34"/>
      <c r="C323" s="12"/>
      <c r="D323" s="12"/>
      <c r="E323" s="12"/>
      <c r="F323" s="12"/>
      <c r="G323" s="18"/>
      <c r="H323" s="35"/>
      <c r="I323" s="12"/>
      <c r="M323" s="12"/>
      <c r="N323" s="18"/>
      <c r="O323" s="12"/>
      <c r="P323" s="12"/>
      <c r="Q323" s="12"/>
      <c r="R323" s="36"/>
      <c r="S323" s="36"/>
      <c r="T323" s="12"/>
      <c r="U323" s="12"/>
      <c r="V323" s="12"/>
      <c r="W323" s="12"/>
      <c r="X323" s="12"/>
    </row>
    <row r="324" customFormat="false" ht="15.75" hidden="false" customHeight="false" outlineLevel="0" collapsed="false">
      <c r="A324" s="12"/>
      <c r="B324" s="34"/>
      <c r="C324" s="12"/>
      <c r="D324" s="12"/>
      <c r="E324" s="12"/>
      <c r="F324" s="12"/>
      <c r="G324" s="18"/>
      <c r="H324" s="35"/>
      <c r="I324" s="12"/>
      <c r="M324" s="12"/>
      <c r="N324" s="18"/>
      <c r="O324" s="12"/>
      <c r="P324" s="12"/>
      <c r="Q324" s="12"/>
      <c r="R324" s="36"/>
      <c r="S324" s="36"/>
      <c r="T324" s="12"/>
      <c r="U324" s="12"/>
      <c r="V324" s="12"/>
      <c r="W324" s="12"/>
      <c r="X324" s="12"/>
    </row>
    <row r="325" customFormat="false" ht="15.75" hidden="false" customHeight="false" outlineLevel="0" collapsed="false">
      <c r="A325" s="12"/>
      <c r="B325" s="34"/>
      <c r="C325" s="12"/>
      <c r="D325" s="12"/>
      <c r="E325" s="12"/>
      <c r="F325" s="12"/>
      <c r="G325" s="18"/>
      <c r="H325" s="35"/>
      <c r="I325" s="12"/>
      <c r="M325" s="12"/>
      <c r="N325" s="18"/>
      <c r="O325" s="12"/>
      <c r="P325" s="12"/>
      <c r="Q325" s="12"/>
      <c r="R325" s="36"/>
      <c r="S325" s="36"/>
      <c r="T325" s="12"/>
      <c r="U325" s="12"/>
      <c r="V325" s="12"/>
      <c r="W325" s="12"/>
      <c r="X325" s="12"/>
    </row>
    <row r="326" customFormat="false" ht="15.75" hidden="false" customHeight="false" outlineLevel="0" collapsed="false">
      <c r="A326" s="12"/>
      <c r="B326" s="34"/>
      <c r="C326" s="12"/>
      <c r="D326" s="12"/>
      <c r="E326" s="12"/>
      <c r="F326" s="12"/>
      <c r="G326" s="18"/>
      <c r="H326" s="35"/>
      <c r="I326" s="12"/>
      <c r="M326" s="12"/>
      <c r="N326" s="18"/>
      <c r="O326" s="12"/>
      <c r="P326" s="12"/>
      <c r="Q326" s="12"/>
      <c r="R326" s="36"/>
      <c r="S326" s="36"/>
      <c r="T326" s="12"/>
      <c r="U326" s="12"/>
      <c r="V326" s="12"/>
      <c r="W326" s="12"/>
      <c r="X326" s="12"/>
    </row>
    <row r="327" customFormat="false" ht="15.75" hidden="false" customHeight="false" outlineLevel="0" collapsed="false">
      <c r="A327" s="12"/>
      <c r="B327" s="34"/>
      <c r="C327" s="12"/>
      <c r="D327" s="12"/>
      <c r="E327" s="12"/>
      <c r="F327" s="12"/>
      <c r="G327" s="18"/>
      <c r="H327" s="35"/>
      <c r="I327" s="12"/>
      <c r="M327" s="12"/>
      <c r="N327" s="18"/>
      <c r="O327" s="12"/>
      <c r="P327" s="12"/>
      <c r="Q327" s="12"/>
      <c r="R327" s="36"/>
      <c r="S327" s="36"/>
      <c r="T327" s="12"/>
      <c r="U327" s="12"/>
      <c r="V327" s="12"/>
      <c r="W327" s="12"/>
      <c r="X327" s="12"/>
    </row>
    <row r="328" customFormat="false" ht="15.75" hidden="false" customHeight="false" outlineLevel="0" collapsed="false">
      <c r="A328" s="12"/>
      <c r="B328" s="34"/>
      <c r="C328" s="12"/>
      <c r="D328" s="12"/>
      <c r="E328" s="12"/>
      <c r="F328" s="12"/>
      <c r="G328" s="18"/>
      <c r="H328" s="35"/>
      <c r="I328" s="12"/>
      <c r="M328" s="12"/>
      <c r="N328" s="18"/>
      <c r="O328" s="12"/>
      <c r="P328" s="12"/>
      <c r="Q328" s="12"/>
      <c r="R328" s="36"/>
      <c r="S328" s="36"/>
      <c r="T328" s="12"/>
      <c r="U328" s="12"/>
      <c r="V328" s="12"/>
      <c r="W328" s="12"/>
      <c r="X328" s="12"/>
    </row>
    <row r="329" customFormat="false" ht="15.75" hidden="false" customHeight="false" outlineLevel="0" collapsed="false">
      <c r="A329" s="12"/>
      <c r="B329" s="34"/>
      <c r="C329" s="12"/>
      <c r="D329" s="12"/>
      <c r="E329" s="12"/>
      <c r="F329" s="12"/>
      <c r="G329" s="18"/>
      <c r="H329" s="35"/>
      <c r="I329" s="12"/>
      <c r="M329" s="12"/>
      <c r="N329" s="18"/>
      <c r="O329" s="12"/>
      <c r="P329" s="12"/>
      <c r="Q329" s="12"/>
      <c r="R329" s="36"/>
      <c r="S329" s="36"/>
      <c r="T329" s="12"/>
      <c r="U329" s="12"/>
      <c r="V329" s="12"/>
      <c r="W329" s="12"/>
      <c r="X329" s="12"/>
    </row>
    <row r="330" customFormat="false" ht="15.75" hidden="false" customHeight="false" outlineLevel="0" collapsed="false">
      <c r="A330" s="12"/>
      <c r="B330" s="34"/>
      <c r="C330" s="12"/>
      <c r="D330" s="12"/>
      <c r="E330" s="12"/>
      <c r="F330" s="12"/>
      <c r="G330" s="18"/>
      <c r="H330" s="35"/>
      <c r="I330" s="12"/>
      <c r="M330" s="12"/>
      <c r="N330" s="18"/>
      <c r="O330" s="12"/>
      <c r="P330" s="12"/>
      <c r="Q330" s="12"/>
      <c r="R330" s="36"/>
      <c r="S330" s="36"/>
      <c r="T330" s="12"/>
      <c r="U330" s="12"/>
      <c r="V330" s="12"/>
      <c r="W330" s="12"/>
      <c r="X330" s="12"/>
    </row>
    <row r="331" customFormat="false" ht="15.75" hidden="false" customHeight="false" outlineLevel="0" collapsed="false">
      <c r="A331" s="12"/>
      <c r="B331" s="34"/>
      <c r="C331" s="12"/>
      <c r="D331" s="12"/>
      <c r="E331" s="12"/>
      <c r="F331" s="12"/>
      <c r="G331" s="18"/>
      <c r="H331" s="35"/>
      <c r="I331" s="12"/>
      <c r="M331" s="12"/>
      <c r="N331" s="18"/>
      <c r="O331" s="12"/>
      <c r="P331" s="12"/>
      <c r="Q331" s="12"/>
      <c r="R331" s="36"/>
      <c r="S331" s="36"/>
      <c r="T331" s="12"/>
      <c r="U331" s="12"/>
      <c r="V331" s="12"/>
      <c r="W331" s="12"/>
      <c r="X331" s="12"/>
    </row>
    <row r="332" customFormat="false" ht="15.75" hidden="false" customHeight="false" outlineLevel="0" collapsed="false">
      <c r="A332" s="12"/>
      <c r="B332" s="34"/>
      <c r="C332" s="12"/>
      <c r="D332" s="12"/>
      <c r="E332" s="12"/>
      <c r="F332" s="12"/>
      <c r="G332" s="18"/>
      <c r="H332" s="35"/>
      <c r="I332" s="12"/>
      <c r="M332" s="12"/>
      <c r="N332" s="18"/>
      <c r="O332" s="12"/>
      <c r="P332" s="12"/>
      <c r="Q332" s="12"/>
      <c r="R332" s="36"/>
      <c r="S332" s="36"/>
      <c r="T332" s="12"/>
      <c r="U332" s="12"/>
      <c r="V332" s="12"/>
      <c r="W332" s="12"/>
      <c r="X332" s="12"/>
    </row>
    <row r="333" customFormat="false" ht="15.75" hidden="false" customHeight="false" outlineLevel="0" collapsed="false">
      <c r="A333" s="12"/>
      <c r="B333" s="34"/>
      <c r="C333" s="12"/>
      <c r="D333" s="12"/>
      <c r="E333" s="12"/>
      <c r="F333" s="12"/>
      <c r="G333" s="18"/>
      <c r="H333" s="35"/>
      <c r="I333" s="12"/>
      <c r="M333" s="12"/>
      <c r="N333" s="18"/>
      <c r="O333" s="12"/>
      <c r="P333" s="12"/>
      <c r="Q333" s="12"/>
      <c r="R333" s="36"/>
      <c r="S333" s="36"/>
      <c r="T333" s="12"/>
      <c r="U333" s="12"/>
      <c r="V333" s="12"/>
      <c r="W333" s="12"/>
      <c r="X333" s="12"/>
    </row>
    <row r="334" customFormat="false" ht="15.75" hidden="false" customHeight="false" outlineLevel="0" collapsed="false">
      <c r="A334" s="12"/>
      <c r="B334" s="34"/>
      <c r="C334" s="12"/>
      <c r="D334" s="12"/>
      <c r="E334" s="12"/>
      <c r="F334" s="12"/>
      <c r="G334" s="18"/>
      <c r="H334" s="35"/>
      <c r="I334" s="12"/>
      <c r="M334" s="12"/>
      <c r="N334" s="18"/>
      <c r="O334" s="12"/>
      <c r="P334" s="12"/>
      <c r="Q334" s="12"/>
      <c r="R334" s="36"/>
      <c r="S334" s="36"/>
      <c r="T334" s="12"/>
      <c r="U334" s="12"/>
      <c r="V334" s="12"/>
      <c r="W334" s="12"/>
      <c r="X334" s="12"/>
    </row>
    <row r="335" customFormat="false" ht="15.75" hidden="false" customHeight="false" outlineLevel="0" collapsed="false">
      <c r="A335" s="12"/>
      <c r="B335" s="34"/>
      <c r="C335" s="12"/>
      <c r="D335" s="12"/>
      <c r="E335" s="12"/>
      <c r="F335" s="12"/>
      <c r="G335" s="18"/>
      <c r="H335" s="35"/>
      <c r="I335" s="12"/>
      <c r="M335" s="12"/>
      <c r="N335" s="18"/>
      <c r="O335" s="12"/>
      <c r="P335" s="12"/>
      <c r="Q335" s="12"/>
      <c r="R335" s="36"/>
      <c r="S335" s="36"/>
      <c r="T335" s="12"/>
      <c r="U335" s="12"/>
      <c r="V335" s="12"/>
      <c r="W335" s="12"/>
      <c r="X335" s="12"/>
    </row>
    <row r="336" customFormat="false" ht="15.75" hidden="false" customHeight="false" outlineLevel="0" collapsed="false">
      <c r="A336" s="12"/>
      <c r="B336" s="34"/>
      <c r="C336" s="12"/>
      <c r="D336" s="12"/>
      <c r="E336" s="12"/>
      <c r="F336" s="12"/>
      <c r="G336" s="18"/>
      <c r="H336" s="35"/>
      <c r="I336" s="12"/>
      <c r="M336" s="12"/>
      <c r="N336" s="18"/>
      <c r="O336" s="12"/>
      <c r="P336" s="12"/>
      <c r="Q336" s="12"/>
      <c r="R336" s="36"/>
      <c r="S336" s="36"/>
      <c r="T336" s="12"/>
      <c r="U336" s="12"/>
      <c r="V336" s="12"/>
      <c r="W336" s="12"/>
      <c r="X336" s="12"/>
    </row>
    <row r="337" customFormat="false" ht="15.75" hidden="false" customHeight="false" outlineLevel="0" collapsed="false">
      <c r="A337" s="12"/>
      <c r="B337" s="34"/>
      <c r="C337" s="12"/>
      <c r="D337" s="12"/>
      <c r="E337" s="12"/>
      <c r="F337" s="12"/>
      <c r="G337" s="18"/>
      <c r="H337" s="35"/>
      <c r="I337" s="12"/>
      <c r="M337" s="12"/>
      <c r="N337" s="18"/>
      <c r="O337" s="12"/>
      <c r="P337" s="12"/>
      <c r="Q337" s="12"/>
      <c r="R337" s="36"/>
      <c r="S337" s="36"/>
      <c r="T337" s="12"/>
      <c r="U337" s="12"/>
      <c r="V337" s="12"/>
      <c r="W337" s="12"/>
      <c r="X337" s="12"/>
    </row>
    <row r="338" customFormat="false" ht="15.75" hidden="false" customHeight="false" outlineLevel="0" collapsed="false">
      <c r="A338" s="12"/>
      <c r="B338" s="34"/>
      <c r="C338" s="12"/>
      <c r="D338" s="12"/>
      <c r="E338" s="12"/>
      <c r="F338" s="12"/>
      <c r="G338" s="18"/>
      <c r="H338" s="35"/>
      <c r="I338" s="12"/>
      <c r="M338" s="12"/>
      <c r="N338" s="18"/>
      <c r="O338" s="12"/>
      <c r="P338" s="12"/>
      <c r="Q338" s="12"/>
      <c r="R338" s="36"/>
      <c r="S338" s="36"/>
      <c r="T338" s="12"/>
      <c r="U338" s="12"/>
      <c r="V338" s="12"/>
      <c r="W338" s="12"/>
      <c r="X338" s="12"/>
    </row>
    <row r="339" customFormat="false" ht="15.75" hidden="false" customHeight="false" outlineLevel="0" collapsed="false">
      <c r="A339" s="12"/>
      <c r="B339" s="34"/>
      <c r="C339" s="12"/>
      <c r="D339" s="12"/>
      <c r="E339" s="12"/>
      <c r="F339" s="12"/>
      <c r="G339" s="18"/>
      <c r="H339" s="35"/>
      <c r="I339" s="12"/>
      <c r="M339" s="12"/>
      <c r="N339" s="18"/>
      <c r="O339" s="12"/>
      <c r="P339" s="12"/>
      <c r="Q339" s="12"/>
      <c r="R339" s="36"/>
      <c r="S339" s="36"/>
      <c r="T339" s="12"/>
      <c r="U339" s="12"/>
      <c r="V339" s="12"/>
      <c r="W339" s="12"/>
      <c r="X339" s="12"/>
    </row>
    <row r="340" customFormat="false" ht="15.75" hidden="false" customHeight="false" outlineLevel="0" collapsed="false">
      <c r="A340" s="12"/>
      <c r="B340" s="34"/>
      <c r="C340" s="12"/>
      <c r="D340" s="12"/>
      <c r="E340" s="12"/>
      <c r="F340" s="12"/>
      <c r="G340" s="18"/>
      <c r="H340" s="35"/>
      <c r="I340" s="12"/>
      <c r="M340" s="12"/>
      <c r="N340" s="18"/>
      <c r="O340" s="12"/>
      <c r="P340" s="12"/>
      <c r="Q340" s="12"/>
      <c r="R340" s="36"/>
      <c r="S340" s="36"/>
      <c r="T340" s="12"/>
      <c r="U340" s="12"/>
      <c r="V340" s="12"/>
      <c r="W340" s="12"/>
      <c r="X340" s="12"/>
    </row>
    <row r="341" customFormat="false" ht="15.75" hidden="false" customHeight="false" outlineLevel="0" collapsed="false">
      <c r="A341" s="12"/>
      <c r="B341" s="34"/>
      <c r="C341" s="12"/>
      <c r="D341" s="12"/>
      <c r="E341" s="12"/>
      <c r="F341" s="12"/>
      <c r="G341" s="18"/>
      <c r="H341" s="35"/>
      <c r="I341" s="12"/>
      <c r="M341" s="12"/>
      <c r="N341" s="18"/>
      <c r="O341" s="12"/>
      <c r="P341" s="12"/>
      <c r="Q341" s="12"/>
      <c r="R341" s="36"/>
      <c r="S341" s="36"/>
      <c r="T341" s="12"/>
      <c r="U341" s="12"/>
      <c r="V341" s="12"/>
      <c r="W341" s="12"/>
      <c r="X341" s="12"/>
    </row>
    <row r="342" customFormat="false" ht="15.75" hidden="false" customHeight="false" outlineLevel="0" collapsed="false">
      <c r="A342" s="12"/>
      <c r="B342" s="34"/>
      <c r="C342" s="12"/>
      <c r="D342" s="12"/>
      <c r="E342" s="12"/>
      <c r="F342" s="12"/>
      <c r="G342" s="18"/>
      <c r="H342" s="35"/>
      <c r="I342" s="12"/>
      <c r="M342" s="12"/>
      <c r="N342" s="18"/>
      <c r="O342" s="12"/>
      <c r="P342" s="12"/>
      <c r="Q342" s="12"/>
      <c r="R342" s="36"/>
      <c r="S342" s="36"/>
      <c r="T342" s="12"/>
      <c r="U342" s="12"/>
      <c r="V342" s="12"/>
      <c r="W342" s="12"/>
      <c r="X342" s="12"/>
    </row>
    <row r="343" customFormat="false" ht="15.75" hidden="false" customHeight="false" outlineLevel="0" collapsed="false">
      <c r="A343" s="12"/>
      <c r="B343" s="34"/>
      <c r="C343" s="12"/>
      <c r="D343" s="12"/>
      <c r="E343" s="12"/>
      <c r="F343" s="12"/>
      <c r="G343" s="18"/>
      <c r="H343" s="35"/>
      <c r="I343" s="12"/>
      <c r="M343" s="12"/>
      <c r="N343" s="18"/>
      <c r="O343" s="12"/>
      <c r="P343" s="12"/>
      <c r="Q343" s="12"/>
      <c r="R343" s="36"/>
      <c r="S343" s="36"/>
      <c r="T343" s="12"/>
      <c r="U343" s="12"/>
      <c r="V343" s="12"/>
      <c r="W343" s="12"/>
      <c r="X343" s="12"/>
    </row>
    <row r="344" customFormat="false" ht="15.75" hidden="false" customHeight="false" outlineLevel="0" collapsed="false">
      <c r="A344" s="12"/>
      <c r="B344" s="34"/>
      <c r="C344" s="12"/>
      <c r="D344" s="12"/>
      <c r="E344" s="12"/>
      <c r="F344" s="12"/>
      <c r="G344" s="18"/>
      <c r="H344" s="35"/>
      <c r="I344" s="12"/>
      <c r="M344" s="12"/>
      <c r="N344" s="18"/>
      <c r="O344" s="12"/>
      <c r="P344" s="12"/>
      <c r="Q344" s="12"/>
      <c r="R344" s="36"/>
      <c r="S344" s="36"/>
      <c r="T344" s="12"/>
      <c r="U344" s="12"/>
      <c r="V344" s="12"/>
      <c r="W344" s="12"/>
      <c r="X344" s="12"/>
    </row>
    <row r="345" customFormat="false" ht="15.75" hidden="false" customHeight="false" outlineLevel="0" collapsed="false">
      <c r="A345" s="12"/>
      <c r="B345" s="34"/>
      <c r="C345" s="12"/>
      <c r="D345" s="12"/>
      <c r="E345" s="12"/>
      <c r="F345" s="12"/>
      <c r="G345" s="18"/>
      <c r="H345" s="35"/>
      <c r="I345" s="12"/>
      <c r="M345" s="12"/>
      <c r="N345" s="18"/>
      <c r="O345" s="12"/>
      <c r="P345" s="12"/>
      <c r="Q345" s="12"/>
      <c r="R345" s="36"/>
      <c r="S345" s="36"/>
      <c r="T345" s="12"/>
      <c r="U345" s="12"/>
      <c r="V345" s="12"/>
      <c r="W345" s="12"/>
      <c r="X345" s="12"/>
    </row>
    <row r="346" customFormat="false" ht="15.75" hidden="false" customHeight="false" outlineLevel="0" collapsed="false">
      <c r="A346" s="12"/>
      <c r="B346" s="34"/>
      <c r="C346" s="12"/>
      <c r="D346" s="12"/>
      <c r="E346" s="12"/>
      <c r="F346" s="12"/>
      <c r="G346" s="18"/>
      <c r="H346" s="35"/>
      <c r="I346" s="12"/>
      <c r="M346" s="12"/>
      <c r="N346" s="18"/>
      <c r="O346" s="12"/>
      <c r="P346" s="12"/>
      <c r="Q346" s="12"/>
      <c r="R346" s="36"/>
      <c r="S346" s="36"/>
      <c r="T346" s="12"/>
      <c r="U346" s="12"/>
      <c r="V346" s="12"/>
      <c r="W346" s="12"/>
      <c r="X346" s="12"/>
    </row>
    <row r="347" customFormat="false" ht="15.75" hidden="false" customHeight="false" outlineLevel="0" collapsed="false">
      <c r="A347" s="12"/>
      <c r="B347" s="34"/>
      <c r="C347" s="12"/>
      <c r="D347" s="12"/>
      <c r="E347" s="12"/>
      <c r="F347" s="12"/>
      <c r="G347" s="18"/>
      <c r="H347" s="35"/>
      <c r="I347" s="12"/>
      <c r="M347" s="12"/>
      <c r="N347" s="18"/>
      <c r="O347" s="12"/>
      <c r="P347" s="12"/>
      <c r="Q347" s="12"/>
      <c r="R347" s="36"/>
      <c r="S347" s="36"/>
      <c r="T347" s="12"/>
      <c r="U347" s="12"/>
      <c r="V347" s="12"/>
      <c r="W347" s="12"/>
      <c r="X347" s="12"/>
    </row>
    <row r="348" customFormat="false" ht="15.75" hidden="false" customHeight="false" outlineLevel="0" collapsed="false">
      <c r="A348" s="12"/>
      <c r="B348" s="34"/>
      <c r="C348" s="12"/>
      <c r="D348" s="12"/>
      <c r="E348" s="12"/>
      <c r="F348" s="12"/>
      <c r="G348" s="18"/>
      <c r="H348" s="35"/>
      <c r="I348" s="12"/>
      <c r="M348" s="12"/>
      <c r="N348" s="18"/>
      <c r="O348" s="12"/>
      <c r="P348" s="12"/>
      <c r="Q348" s="12"/>
      <c r="R348" s="36"/>
      <c r="S348" s="36"/>
      <c r="T348" s="12"/>
      <c r="U348" s="12"/>
      <c r="V348" s="12"/>
      <c r="W348" s="12"/>
      <c r="X348" s="12"/>
    </row>
    <row r="349" customFormat="false" ht="15.75" hidden="false" customHeight="false" outlineLevel="0" collapsed="false">
      <c r="A349" s="12"/>
      <c r="B349" s="34"/>
      <c r="C349" s="12"/>
      <c r="D349" s="12"/>
      <c r="E349" s="12"/>
      <c r="F349" s="12"/>
      <c r="G349" s="18"/>
      <c r="H349" s="35"/>
      <c r="I349" s="12"/>
      <c r="M349" s="12"/>
      <c r="N349" s="18"/>
      <c r="O349" s="12"/>
      <c r="P349" s="12"/>
      <c r="Q349" s="12"/>
      <c r="R349" s="36"/>
      <c r="S349" s="36"/>
      <c r="T349" s="12"/>
      <c r="U349" s="12"/>
      <c r="V349" s="12"/>
      <c r="W349" s="12"/>
      <c r="X349" s="12"/>
    </row>
    <row r="350" customFormat="false" ht="15.75" hidden="false" customHeight="false" outlineLevel="0" collapsed="false">
      <c r="A350" s="12"/>
      <c r="B350" s="34"/>
      <c r="C350" s="12"/>
      <c r="D350" s="12"/>
      <c r="E350" s="12"/>
      <c r="F350" s="12"/>
      <c r="G350" s="18"/>
      <c r="H350" s="35"/>
      <c r="I350" s="12"/>
      <c r="M350" s="12"/>
      <c r="N350" s="18"/>
      <c r="O350" s="12"/>
      <c r="P350" s="12"/>
      <c r="Q350" s="12"/>
      <c r="R350" s="36"/>
      <c r="S350" s="36"/>
      <c r="T350" s="12"/>
      <c r="U350" s="12"/>
      <c r="V350" s="12"/>
      <c r="W350" s="12"/>
      <c r="X350" s="12"/>
    </row>
    <row r="351" customFormat="false" ht="15.75" hidden="false" customHeight="false" outlineLevel="0" collapsed="false">
      <c r="A351" s="12"/>
      <c r="B351" s="34"/>
      <c r="C351" s="12"/>
      <c r="D351" s="12"/>
      <c r="E351" s="12"/>
      <c r="F351" s="12"/>
      <c r="G351" s="18"/>
      <c r="H351" s="35"/>
      <c r="I351" s="12"/>
      <c r="M351" s="12"/>
      <c r="N351" s="18"/>
      <c r="O351" s="12"/>
      <c r="P351" s="12"/>
      <c r="Q351" s="12"/>
      <c r="R351" s="36"/>
      <c r="S351" s="36"/>
      <c r="T351" s="12"/>
      <c r="U351" s="12"/>
      <c r="V351" s="12"/>
      <c r="W351" s="12"/>
      <c r="X351" s="12"/>
    </row>
    <row r="352" customFormat="false" ht="15.75" hidden="false" customHeight="false" outlineLevel="0" collapsed="false">
      <c r="A352" s="12"/>
      <c r="B352" s="34"/>
      <c r="C352" s="12"/>
      <c r="D352" s="12"/>
      <c r="E352" s="12"/>
      <c r="F352" s="12"/>
      <c r="G352" s="18"/>
      <c r="H352" s="35"/>
      <c r="I352" s="12"/>
      <c r="M352" s="12"/>
      <c r="N352" s="18"/>
      <c r="O352" s="12"/>
      <c r="P352" s="12"/>
      <c r="Q352" s="12"/>
      <c r="R352" s="36"/>
      <c r="S352" s="36"/>
      <c r="T352" s="12"/>
      <c r="U352" s="12"/>
      <c r="V352" s="12"/>
      <c r="W352" s="12"/>
      <c r="X352" s="12"/>
    </row>
    <row r="353" customFormat="false" ht="15.75" hidden="false" customHeight="false" outlineLevel="0" collapsed="false">
      <c r="A353" s="12"/>
      <c r="B353" s="34"/>
      <c r="C353" s="12"/>
      <c r="D353" s="12"/>
      <c r="E353" s="12"/>
      <c r="F353" s="12"/>
      <c r="G353" s="18"/>
      <c r="H353" s="35"/>
      <c r="I353" s="12"/>
      <c r="M353" s="12"/>
      <c r="N353" s="18"/>
      <c r="O353" s="12"/>
      <c r="P353" s="12"/>
      <c r="Q353" s="12"/>
      <c r="R353" s="36"/>
      <c r="S353" s="36"/>
      <c r="T353" s="12"/>
      <c r="U353" s="12"/>
      <c r="V353" s="12"/>
      <c r="W353" s="12"/>
      <c r="X353" s="12"/>
    </row>
    <row r="354" customFormat="false" ht="15.75" hidden="false" customHeight="false" outlineLevel="0" collapsed="false">
      <c r="A354" s="12"/>
      <c r="B354" s="34"/>
      <c r="C354" s="12"/>
      <c r="D354" s="12"/>
      <c r="E354" s="12"/>
      <c r="F354" s="12"/>
      <c r="G354" s="18"/>
      <c r="H354" s="35"/>
      <c r="I354" s="12"/>
      <c r="M354" s="12"/>
      <c r="N354" s="18"/>
      <c r="O354" s="12"/>
      <c r="P354" s="12"/>
      <c r="Q354" s="12"/>
      <c r="R354" s="36"/>
      <c r="S354" s="36"/>
      <c r="T354" s="12"/>
      <c r="U354" s="12"/>
      <c r="V354" s="12"/>
      <c r="W354" s="12"/>
      <c r="X354" s="12"/>
    </row>
    <row r="355" customFormat="false" ht="15.75" hidden="false" customHeight="false" outlineLevel="0" collapsed="false">
      <c r="A355" s="12"/>
      <c r="B355" s="34"/>
      <c r="C355" s="12"/>
      <c r="D355" s="12"/>
      <c r="E355" s="12"/>
      <c r="F355" s="12"/>
      <c r="G355" s="18"/>
      <c r="H355" s="35"/>
      <c r="I355" s="12"/>
      <c r="M355" s="12"/>
      <c r="N355" s="18"/>
      <c r="O355" s="12"/>
      <c r="P355" s="12"/>
      <c r="Q355" s="12"/>
      <c r="R355" s="36"/>
      <c r="S355" s="36"/>
      <c r="T355" s="12"/>
      <c r="U355" s="12"/>
      <c r="V355" s="12"/>
      <c r="W355" s="12"/>
      <c r="X355" s="12"/>
    </row>
    <row r="356" customFormat="false" ht="15.75" hidden="false" customHeight="false" outlineLevel="0" collapsed="false">
      <c r="A356" s="12"/>
      <c r="B356" s="34"/>
      <c r="C356" s="12"/>
      <c r="D356" s="12"/>
      <c r="E356" s="12"/>
      <c r="F356" s="12"/>
      <c r="G356" s="18"/>
      <c r="H356" s="35"/>
      <c r="I356" s="12"/>
      <c r="M356" s="12"/>
      <c r="N356" s="18"/>
      <c r="O356" s="12"/>
      <c r="P356" s="12"/>
      <c r="Q356" s="12"/>
      <c r="R356" s="36"/>
      <c r="S356" s="36"/>
      <c r="T356" s="12"/>
      <c r="U356" s="12"/>
      <c r="V356" s="12"/>
      <c r="W356" s="12"/>
      <c r="X356" s="12"/>
    </row>
    <row r="357" customFormat="false" ht="15.75" hidden="false" customHeight="false" outlineLevel="0" collapsed="false">
      <c r="A357" s="12"/>
      <c r="B357" s="34"/>
      <c r="C357" s="12"/>
      <c r="D357" s="12"/>
      <c r="E357" s="12"/>
      <c r="F357" s="12"/>
      <c r="G357" s="18"/>
      <c r="H357" s="35"/>
      <c r="I357" s="12"/>
      <c r="M357" s="12"/>
      <c r="N357" s="18"/>
      <c r="O357" s="12"/>
      <c r="P357" s="12"/>
      <c r="Q357" s="12"/>
      <c r="R357" s="36"/>
      <c r="S357" s="36"/>
      <c r="T357" s="12"/>
      <c r="U357" s="12"/>
      <c r="V357" s="12"/>
      <c r="W357" s="12"/>
      <c r="X357" s="12"/>
    </row>
    <row r="358" customFormat="false" ht="15.75" hidden="false" customHeight="false" outlineLevel="0" collapsed="false">
      <c r="A358" s="12"/>
      <c r="B358" s="34"/>
      <c r="C358" s="12"/>
      <c r="D358" s="12"/>
      <c r="E358" s="12"/>
      <c r="F358" s="12"/>
      <c r="G358" s="18"/>
      <c r="H358" s="35"/>
      <c r="I358" s="12"/>
      <c r="M358" s="12"/>
      <c r="N358" s="18"/>
      <c r="O358" s="12"/>
      <c r="P358" s="12"/>
      <c r="Q358" s="12"/>
      <c r="R358" s="36"/>
      <c r="S358" s="36"/>
      <c r="T358" s="12"/>
      <c r="U358" s="12"/>
      <c r="V358" s="12"/>
      <c r="W358" s="12"/>
      <c r="X358" s="12"/>
    </row>
    <row r="359" customFormat="false" ht="15.75" hidden="false" customHeight="false" outlineLevel="0" collapsed="false">
      <c r="A359" s="12"/>
      <c r="B359" s="34"/>
      <c r="C359" s="12"/>
      <c r="D359" s="12"/>
      <c r="E359" s="12"/>
      <c r="F359" s="12"/>
      <c r="G359" s="18"/>
      <c r="H359" s="35"/>
      <c r="I359" s="12"/>
      <c r="M359" s="12"/>
      <c r="N359" s="18"/>
      <c r="O359" s="12"/>
      <c r="P359" s="12"/>
      <c r="Q359" s="12"/>
      <c r="R359" s="36"/>
      <c r="S359" s="36"/>
      <c r="T359" s="12"/>
      <c r="U359" s="12"/>
      <c r="V359" s="12"/>
      <c r="W359" s="12"/>
      <c r="X359" s="12"/>
    </row>
    <row r="360" customFormat="false" ht="15.75" hidden="false" customHeight="false" outlineLevel="0" collapsed="false">
      <c r="A360" s="12"/>
      <c r="B360" s="34"/>
      <c r="C360" s="12"/>
      <c r="D360" s="12"/>
      <c r="E360" s="12"/>
      <c r="F360" s="12"/>
      <c r="G360" s="18"/>
      <c r="H360" s="35"/>
      <c r="I360" s="12"/>
      <c r="M360" s="12"/>
      <c r="N360" s="18"/>
      <c r="O360" s="12"/>
      <c r="P360" s="12"/>
      <c r="Q360" s="12"/>
      <c r="R360" s="36"/>
      <c r="S360" s="36"/>
      <c r="T360" s="12"/>
      <c r="U360" s="12"/>
      <c r="V360" s="12"/>
      <c r="W360" s="12"/>
      <c r="X360" s="12"/>
    </row>
    <row r="361" customFormat="false" ht="15.75" hidden="false" customHeight="false" outlineLevel="0" collapsed="false">
      <c r="A361" s="12"/>
      <c r="B361" s="34"/>
      <c r="C361" s="12"/>
      <c r="D361" s="12"/>
      <c r="E361" s="12"/>
      <c r="F361" s="12"/>
      <c r="G361" s="18"/>
      <c r="H361" s="35"/>
      <c r="I361" s="12"/>
      <c r="M361" s="12"/>
      <c r="N361" s="18"/>
      <c r="O361" s="12"/>
      <c r="P361" s="12"/>
      <c r="Q361" s="12"/>
      <c r="R361" s="36"/>
      <c r="S361" s="36"/>
      <c r="T361" s="12"/>
      <c r="U361" s="12"/>
      <c r="V361" s="12"/>
      <c r="W361" s="12"/>
      <c r="X361" s="12"/>
    </row>
    <row r="362" customFormat="false" ht="15.75" hidden="false" customHeight="false" outlineLevel="0" collapsed="false">
      <c r="A362" s="12"/>
      <c r="B362" s="34"/>
      <c r="C362" s="12"/>
      <c r="D362" s="12"/>
      <c r="E362" s="12"/>
      <c r="F362" s="12"/>
      <c r="G362" s="18"/>
      <c r="H362" s="35"/>
      <c r="I362" s="12"/>
      <c r="M362" s="12"/>
      <c r="N362" s="18"/>
      <c r="O362" s="12"/>
      <c r="P362" s="12"/>
      <c r="Q362" s="12"/>
      <c r="R362" s="36"/>
      <c r="S362" s="36"/>
      <c r="T362" s="12"/>
      <c r="U362" s="12"/>
      <c r="V362" s="12"/>
      <c r="W362" s="12"/>
      <c r="X362" s="12"/>
    </row>
    <row r="363" customFormat="false" ht="15.75" hidden="false" customHeight="false" outlineLevel="0" collapsed="false">
      <c r="A363" s="12"/>
      <c r="B363" s="34"/>
      <c r="C363" s="12"/>
      <c r="D363" s="12"/>
      <c r="E363" s="12"/>
      <c r="F363" s="12"/>
      <c r="G363" s="18"/>
      <c r="H363" s="35"/>
      <c r="I363" s="12"/>
      <c r="M363" s="12"/>
      <c r="N363" s="18"/>
      <c r="O363" s="12"/>
      <c r="P363" s="12"/>
      <c r="Q363" s="12"/>
      <c r="R363" s="36"/>
      <c r="S363" s="36"/>
      <c r="T363" s="12"/>
      <c r="U363" s="12"/>
      <c r="V363" s="12"/>
      <c r="W363" s="12"/>
      <c r="X363" s="12"/>
    </row>
    <row r="364" customFormat="false" ht="15.75" hidden="false" customHeight="false" outlineLevel="0" collapsed="false">
      <c r="A364" s="12"/>
      <c r="B364" s="34"/>
      <c r="C364" s="12"/>
      <c r="D364" s="12"/>
      <c r="E364" s="12"/>
      <c r="F364" s="12"/>
      <c r="G364" s="18"/>
      <c r="H364" s="35"/>
      <c r="I364" s="12"/>
      <c r="M364" s="12"/>
      <c r="N364" s="18"/>
      <c r="O364" s="12"/>
      <c r="P364" s="12"/>
      <c r="Q364" s="12"/>
      <c r="R364" s="36"/>
      <c r="S364" s="36"/>
      <c r="T364" s="12"/>
      <c r="U364" s="12"/>
      <c r="V364" s="12"/>
      <c r="W364" s="12"/>
      <c r="X364" s="12"/>
    </row>
    <row r="365" customFormat="false" ht="15.75" hidden="false" customHeight="false" outlineLevel="0" collapsed="false">
      <c r="A365" s="12"/>
      <c r="B365" s="34"/>
      <c r="C365" s="12"/>
      <c r="D365" s="12"/>
      <c r="E365" s="12"/>
      <c r="F365" s="12"/>
      <c r="G365" s="18"/>
      <c r="H365" s="35"/>
      <c r="I365" s="12"/>
      <c r="M365" s="12"/>
      <c r="N365" s="18"/>
      <c r="O365" s="12"/>
      <c r="P365" s="12"/>
      <c r="Q365" s="12"/>
      <c r="R365" s="36"/>
      <c r="S365" s="36"/>
      <c r="T365" s="12"/>
      <c r="U365" s="12"/>
      <c r="V365" s="12"/>
      <c r="W365" s="12"/>
      <c r="X365" s="12"/>
    </row>
    <row r="366" customFormat="false" ht="15.75" hidden="false" customHeight="false" outlineLevel="0" collapsed="false">
      <c r="A366" s="12"/>
      <c r="B366" s="34"/>
      <c r="C366" s="12"/>
      <c r="D366" s="12"/>
      <c r="E366" s="12"/>
      <c r="F366" s="12"/>
      <c r="G366" s="18"/>
      <c r="H366" s="35"/>
      <c r="I366" s="12"/>
      <c r="M366" s="12"/>
      <c r="N366" s="18"/>
      <c r="O366" s="12"/>
      <c r="P366" s="12"/>
      <c r="Q366" s="12"/>
      <c r="R366" s="36"/>
      <c r="S366" s="36"/>
      <c r="T366" s="12"/>
      <c r="U366" s="12"/>
      <c r="V366" s="12"/>
      <c r="W366" s="12"/>
      <c r="X366" s="12"/>
    </row>
    <row r="367" customFormat="false" ht="15.75" hidden="false" customHeight="false" outlineLevel="0" collapsed="false">
      <c r="A367" s="12"/>
      <c r="B367" s="34"/>
      <c r="C367" s="12"/>
      <c r="D367" s="12"/>
      <c r="E367" s="12"/>
      <c r="F367" s="12"/>
      <c r="G367" s="18"/>
      <c r="H367" s="35"/>
      <c r="I367" s="12"/>
      <c r="M367" s="12"/>
      <c r="N367" s="18"/>
      <c r="O367" s="12"/>
      <c r="P367" s="12"/>
      <c r="Q367" s="12"/>
      <c r="R367" s="36"/>
      <c r="S367" s="36"/>
      <c r="T367" s="12"/>
      <c r="U367" s="12"/>
      <c r="V367" s="12"/>
      <c r="W367" s="12"/>
      <c r="X367" s="12"/>
    </row>
    <row r="368" customFormat="false" ht="15.75" hidden="false" customHeight="false" outlineLevel="0" collapsed="false">
      <c r="A368" s="12"/>
      <c r="B368" s="34"/>
      <c r="C368" s="12"/>
      <c r="D368" s="12"/>
      <c r="E368" s="12"/>
      <c r="F368" s="12"/>
      <c r="G368" s="18"/>
      <c r="H368" s="35"/>
      <c r="I368" s="12"/>
      <c r="M368" s="12"/>
      <c r="N368" s="18"/>
      <c r="O368" s="12"/>
      <c r="P368" s="12"/>
      <c r="Q368" s="12"/>
      <c r="R368" s="36"/>
      <c r="S368" s="36"/>
      <c r="T368" s="12"/>
      <c r="U368" s="12"/>
      <c r="V368" s="12"/>
      <c r="W368" s="12"/>
      <c r="X368" s="12"/>
    </row>
    <row r="369" customFormat="false" ht="15.75" hidden="false" customHeight="false" outlineLevel="0" collapsed="false">
      <c r="A369" s="12"/>
      <c r="B369" s="34"/>
      <c r="C369" s="12"/>
      <c r="D369" s="12"/>
      <c r="E369" s="12"/>
      <c r="F369" s="12"/>
      <c r="G369" s="18"/>
      <c r="H369" s="35"/>
      <c r="I369" s="12"/>
      <c r="M369" s="12"/>
      <c r="N369" s="18"/>
      <c r="O369" s="12"/>
      <c r="P369" s="12"/>
      <c r="Q369" s="12"/>
      <c r="R369" s="36"/>
      <c r="S369" s="36"/>
      <c r="T369" s="12"/>
      <c r="U369" s="12"/>
      <c r="V369" s="12"/>
      <c r="W369" s="12"/>
      <c r="X369" s="12"/>
    </row>
    <row r="370" customFormat="false" ht="15.75" hidden="false" customHeight="false" outlineLevel="0" collapsed="false">
      <c r="A370" s="12"/>
      <c r="B370" s="34"/>
      <c r="C370" s="12"/>
      <c r="D370" s="12"/>
      <c r="E370" s="12"/>
      <c r="F370" s="12"/>
      <c r="G370" s="18"/>
      <c r="H370" s="35"/>
      <c r="I370" s="12"/>
      <c r="M370" s="12"/>
      <c r="N370" s="18"/>
      <c r="O370" s="12"/>
      <c r="P370" s="12"/>
      <c r="Q370" s="12"/>
      <c r="R370" s="36"/>
      <c r="S370" s="36"/>
      <c r="T370" s="12"/>
      <c r="U370" s="12"/>
      <c r="V370" s="12"/>
      <c r="W370" s="12"/>
      <c r="X370" s="12"/>
    </row>
    <row r="371" customFormat="false" ht="15.75" hidden="false" customHeight="false" outlineLevel="0" collapsed="false">
      <c r="A371" s="12"/>
      <c r="B371" s="34"/>
      <c r="C371" s="12"/>
      <c r="D371" s="12"/>
      <c r="E371" s="12"/>
      <c r="F371" s="12"/>
      <c r="G371" s="18"/>
      <c r="H371" s="35"/>
      <c r="I371" s="12"/>
      <c r="M371" s="12"/>
      <c r="N371" s="18"/>
      <c r="O371" s="12"/>
      <c r="P371" s="12"/>
      <c r="Q371" s="12"/>
      <c r="R371" s="36"/>
      <c r="S371" s="36"/>
      <c r="T371" s="12"/>
      <c r="U371" s="12"/>
      <c r="V371" s="12"/>
      <c r="W371" s="12"/>
      <c r="X371" s="12"/>
    </row>
    <row r="372" customFormat="false" ht="15.75" hidden="false" customHeight="false" outlineLevel="0" collapsed="false">
      <c r="A372" s="12"/>
      <c r="B372" s="34"/>
      <c r="C372" s="12"/>
      <c r="D372" s="12"/>
      <c r="E372" s="12"/>
      <c r="F372" s="12"/>
      <c r="G372" s="18"/>
      <c r="H372" s="35"/>
      <c r="I372" s="12"/>
      <c r="M372" s="12"/>
      <c r="N372" s="18"/>
      <c r="O372" s="12"/>
      <c r="P372" s="12"/>
      <c r="Q372" s="12"/>
      <c r="R372" s="36"/>
      <c r="S372" s="36"/>
      <c r="T372" s="12"/>
      <c r="U372" s="12"/>
      <c r="V372" s="12"/>
      <c r="W372" s="12"/>
      <c r="X372" s="12"/>
    </row>
    <row r="373" customFormat="false" ht="15.75" hidden="false" customHeight="false" outlineLevel="0" collapsed="false">
      <c r="A373" s="12"/>
      <c r="B373" s="34"/>
      <c r="C373" s="12"/>
      <c r="D373" s="12"/>
      <c r="E373" s="12"/>
      <c r="F373" s="12"/>
      <c r="G373" s="18"/>
      <c r="H373" s="35"/>
      <c r="I373" s="12"/>
      <c r="M373" s="12"/>
      <c r="N373" s="18"/>
      <c r="O373" s="12"/>
      <c r="P373" s="12"/>
      <c r="Q373" s="12"/>
      <c r="R373" s="36"/>
      <c r="S373" s="36"/>
      <c r="T373" s="12"/>
      <c r="U373" s="12"/>
      <c r="V373" s="12"/>
      <c r="W373" s="12"/>
      <c r="X373" s="12"/>
    </row>
    <row r="374" customFormat="false" ht="15.75" hidden="false" customHeight="false" outlineLevel="0" collapsed="false">
      <c r="A374" s="12"/>
      <c r="B374" s="34"/>
      <c r="C374" s="12"/>
      <c r="D374" s="12"/>
      <c r="E374" s="12"/>
      <c r="F374" s="12"/>
      <c r="G374" s="18"/>
      <c r="H374" s="35"/>
      <c r="I374" s="12"/>
      <c r="M374" s="12"/>
      <c r="N374" s="18"/>
      <c r="O374" s="12"/>
      <c r="P374" s="12"/>
      <c r="Q374" s="12"/>
      <c r="R374" s="36"/>
      <c r="S374" s="36"/>
      <c r="T374" s="12"/>
      <c r="U374" s="12"/>
      <c r="V374" s="12"/>
      <c r="W374" s="12"/>
      <c r="X374" s="12"/>
    </row>
    <row r="375" customFormat="false" ht="15.75" hidden="false" customHeight="false" outlineLevel="0" collapsed="false">
      <c r="A375" s="12"/>
      <c r="B375" s="34"/>
      <c r="C375" s="12"/>
      <c r="D375" s="12"/>
      <c r="E375" s="12"/>
      <c r="F375" s="12"/>
      <c r="G375" s="18"/>
      <c r="H375" s="35"/>
      <c r="I375" s="12"/>
      <c r="M375" s="12"/>
      <c r="N375" s="18"/>
      <c r="O375" s="12"/>
      <c r="P375" s="12"/>
      <c r="Q375" s="12"/>
      <c r="R375" s="36"/>
      <c r="S375" s="36"/>
      <c r="T375" s="12"/>
      <c r="U375" s="12"/>
      <c r="V375" s="12"/>
      <c r="W375" s="12"/>
      <c r="X375" s="12"/>
    </row>
    <row r="376" customFormat="false" ht="15.75" hidden="false" customHeight="false" outlineLevel="0" collapsed="false">
      <c r="A376" s="12"/>
      <c r="B376" s="34"/>
      <c r="C376" s="12"/>
      <c r="D376" s="12"/>
      <c r="E376" s="12"/>
      <c r="F376" s="12"/>
      <c r="G376" s="18"/>
      <c r="H376" s="35"/>
      <c r="I376" s="12"/>
      <c r="M376" s="12"/>
      <c r="N376" s="18"/>
      <c r="O376" s="12"/>
      <c r="P376" s="12"/>
      <c r="Q376" s="12"/>
      <c r="R376" s="36"/>
      <c r="S376" s="36"/>
      <c r="T376" s="12"/>
      <c r="U376" s="12"/>
      <c r="V376" s="12"/>
      <c r="W376" s="12"/>
      <c r="X376" s="12"/>
    </row>
    <row r="377" customFormat="false" ht="15.75" hidden="false" customHeight="false" outlineLevel="0" collapsed="false">
      <c r="A377" s="12"/>
      <c r="B377" s="34"/>
      <c r="C377" s="12"/>
      <c r="D377" s="12"/>
      <c r="E377" s="12"/>
      <c r="F377" s="12"/>
      <c r="G377" s="18"/>
      <c r="H377" s="35"/>
      <c r="I377" s="12"/>
      <c r="M377" s="12"/>
      <c r="N377" s="18"/>
      <c r="O377" s="12"/>
      <c r="P377" s="12"/>
      <c r="Q377" s="12"/>
      <c r="R377" s="36"/>
      <c r="S377" s="36"/>
      <c r="T377" s="12"/>
      <c r="U377" s="12"/>
      <c r="V377" s="12"/>
      <c r="W377" s="12"/>
      <c r="X377" s="12"/>
    </row>
    <row r="378" customFormat="false" ht="15.75" hidden="false" customHeight="false" outlineLevel="0" collapsed="false">
      <c r="A378" s="12"/>
      <c r="B378" s="34"/>
      <c r="C378" s="12"/>
      <c r="D378" s="12"/>
      <c r="E378" s="12"/>
      <c r="F378" s="12"/>
      <c r="G378" s="18"/>
      <c r="H378" s="35"/>
      <c r="I378" s="12"/>
      <c r="M378" s="12"/>
      <c r="N378" s="18"/>
      <c r="O378" s="12"/>
      <c r="P378" s="12"/>
      <c r="Q378" s="12"/>
      <c r="R378" s="36"/>
      <c r="S378" s="36"/>
      <c r="T378" s="12"/>
      <c r="U378" s="12"/>
      <c r="V378" s="12"/>
      <c r="W378" s="12"/>
      <c r="X378" s="12"/>
    </row>
    <row r="379" customFormat="false" ht="15.75" hidden="false" customHeight="false" outlineLevel="0" collapsed="false">
      <c r="A379" s="12"/>
      <c r="B379" s="34"/>
      <c r="C379" s="12"/>
      <c r="D379" s="12"/>
      <c r="E379" s="12"/>
      <c r="F379" s="12"/>
      <c r="G379" s="18"/>
      <c r="H379" s="35"/>
      <c r="I379" s="12"/>
      <c r="M379" s="12"/>
      <c r="N379" s="18"/>
      <c r="O379" s="12"/>
      <c r="P379" s="12"/>
      <c r="Q379" s="12"/>
      <c r="R379" s="36"/>
      <c r="S379" s="36"/>
      <c r="T379" s="12"/>
      <c r="U379" s="12"/>
      <c r="V379" s="12"/>
      <c r="W379" s="12"/>
      <c r="X379" s="12"/>
    </row>
    <row r="380" customFormat="false" ht="15.75" hidden="false" customHeight="false" outlineLevel="0" collapsed="false">
      <c r="A380" s="12"/>
      <c r="B380" s="34"/>
      <c r="C380" s="12"/>
      <c r="D380" s="12"/>
      <c r="E380" s="12"/>
      <c r="F380" s="12"/>
      <c r="G380" s="18"/>
      <c r="H380" s="35"/>
      <c r="I380" s="12"/>
      <c r="M380" s="12"/>
      <c r="N380" s="18"/>
      <c r="O380" s="12"/>
      <c r="P380" s="12"/>
      <c r="Q380" s="12"/>
      <c r="R380" s="36"/>
      <c r="S380" s="36"/>
      <c r="T380" s="12"/>
      <c r="U380" s="12"/>
      <c r="V380" s="12"/>
      <c r="W380" s="12"/>
      <c r="X380" s="12"/>
    </row>
    <row r="381" customFormat="false" ht="15.75" hidden="false" customHeight="false" outlineLevel="0" collapsed="false">
      <c r="A381" s="12"/>
      <c r="B381" s="34"/>
      <c r="C381" s="12"/>
      <c r="D381" s="12"/>
      <c r="E381" s="12"/>
      <c r="F381" s="12"/>
      <c r="G381" s="18"/>
      <c r="H381" s="35"/>
      <c r="I381" s="12"/>
      <c r="M381" s="12"/>
      <c r="N381" s="18"/>
      <c r="O381" s="12"/>
      <c r="P381" s="12"/>
      <c r="Q381" s="12"/>
      <c r="R381" s="36"/>
      <c r="S381" s="36"/>
      <c r="T381" s="12"/>
      <c r="U381" s="12"/>
      <c r="V381" s="12"/>
      <c r="W381" s="12"/>
      <c r="X381" s="12"/>
    </row>
    <row r="382" customFormat="false" ht="15.75" hidden="false" customHeight="false" outlineLevel="0" collapsed="false">
      <c r="A382" s="12"/>
      <c r="B382" s="34"/>
      <c r="C382" s="12"/>
      <c r="D382" s="12"/>
      <c r="E382" s="12"/>
      <c r="F382" s="12"/>
      <c r="G382" s="18"/>
      <c r="H382" s="35"/>
      <c r="I382" s="12"/>
      <c r="M382" s="12"/>
      <c r="N382" s="18"/>
      <c r="O382" s="12"/>
      <c r="P382" s="12"/>
      <c r="Q382" s="12"/>
      <c r="R382" s="36"/>
      <c r="S382" s="36"/>
      <c r="T382" s="12"/>
      <c r="U382" s="12"/>
      <c r="V382" s="12"/>
      <c r="W382" s="12"/>
      <c r="X382" s="12"/>
    </row>
    <row r="383" customFormat="false" ht="15.75" hidden="false" customHeight="false" outlineLevel="0" collapsed="false">
      <c r="A383" s="12"/>
      <c r="B383" s="34"/>
      <c r="C383" s="12"/>
      <c r="D383" s="12"/>
      <c r="E383" s="12"/>
      <c r="F383" s="12"/>
      <c r="G383" s="18"/>
      <c r="H383" s="35"/>
      <c r="I383" s="12"/>
      <c r="M383" s="12"/>
      <c r="N383" s="18"/>
      <c r="O383" s="12"/>
      <c r="P383" s="12"/>
      <c r="Q383" s="12"/>
      <c r="R383" s="36"/>
      <c r="S383" s="36"/>
      <c r="T383" s="12"/>
      <c r="U383" s="12"/>
      <c r="V383" s="12"/>
      <c r="W383" s="12"/>
      <c r="X383" s="12"/>
    </row>
    <row r="384" customFormat="false" ht="15.75" hidden="false" customHeight="false" outlineLevel="0" collapsed="false">
      <c r="A384" s="12"/>
      <c r="B384" s="34"/>
      <c r="C384" s="12"/>
      <c r="D384" s="12"/>
      <c r="E384" s="12"/>
      <c r="F384" s="12"/>
      <c r="G384" s="18"/>
      <c r="H384" s="35"/>
      <c r="I384" s="12"/>
      <c r="M384" s="12"/>
      <c r="N384" s="18"/>
      <c r="O384" s="12"/>
      <c r="P384" s="12"/>
      <c r="Q384" s="12"/>
      <c r="R384" s="36"/>
      <c r="S384" s="36"/>
      <c r="T384" s="12"/>
      <c r="U384" s="12"/>
      <c r="V384" s="12"/>
      <c r="W384" s="12"/>
      <c r="X384" s="12"/>
    </row>
    <row r="385" customFormat="false" ht="15.75" hidden="false" customHeight="false" outlineLevel="0" collapsed="false">
      <c r="A385" s="12"/>
      <c r="B385" s="34"/>
      <c r="C385" s="12"/>
      <c r="D385" s="12"/>
      <c r="E385" s="12"/>
      <c r="F385" s="12"/>
      <c r="G385" s="18"/>
      <c r="H385" s="35"/>
      <c r="I385" s="12"/>
      <c r="M385" s="12"/>
      <c r="N385" s="18"/>
      <c r="O385" s="12"/>
      <c r="P385" s="12"/>
      <c r="Q385" s="12"/>
      <c r="R385" s="36"/>
      <c r="S385" s="36"/>
      <c r="T385" s="12"/>
      <c r="U385" s="12"/>
      <c r="V385" s="12"/>
      <c r="W385" s="12"/>
      <c r="X385" s="12"/>
    </row>
    <row r="386" customFormat="false" ht="15.75" hidden="false" customHeight="false" outlineLevel="0" collapsed="false">
      <c r="A386" s="12"/>
      <c r="B386" s="34"/>
      <c r="C386" s="12"/>
      <c r="D386" s="12"/>
      <c r="E386" s="12"/>
      <c r="F386" s="12"/>
      <c r="G386" s="18"/>
      <c r="H386" s="35"/>
      <c r="I386" s="12"/>
      <c r="M386" s="12"/>
      <c r="N386" s="18"/>
      <c r="O386" s="12"/>
      <c r="P386" s="12"/>
      <c r="Q386" s="12"/>
      <c r="R386" s="36"/>
      <c r="S386" s="36"/>
      <c r="T386" s="12"/>
      <c r="U386" s="12"/>
      <c r="V386" s="12"/>
      <c r="W386" s="12"/>
      <c r="X386" s="12"/>
    </row>
    <row r="387" customFormat="false" ht="15.75" hidden="false" customHeight="false" outlineLevel="0" collapsed="false">
      <c r="A387" s="12"/>
      <c r="B387" s="34"/>
      <c r="C387" s="12"/>
      <c r="D387" s="12"/>
      <c r="E387" s="12"/>
      <c r="F387" s="12"/>
      <c r="G387" s="18"/>
      <c r="H387" s="35"/>
      <c r="I387" s="12"/>
      <c r="M387" s="12"/>
      <c r="N387" s="18"/>
      <c r="O387" s="12"/>
      <c r="P387" s="12"/>
      <c r="Q387" s="12"/>
      <c r="R387" s="36"/>
      <c r="S387" s="36"/>
      <c r="T387" s="12"/>
      <c r="U387" s="12"/>
      <c r="V387" s="12"/>
      <c r="W387" s="12"/>
      <c r="X387" s="12"/>
    </row>
    <row r="388" customFormat="false" ht="15.75" hidden="false" customHeight="false" outlineLevel="0" collapsed="false">
      <c r="A388" s="12"/>
      <c r="B388" s="34"/>
      <c r="C388" s="12"/>
      <c r="D388" s="12"/>
      <c r="E388" s="12"/>
      <c r="F388" s="12"/>
      <c r="G388" s="18"/>
      <c r="H388" s="35"/>
      <c r="I388" s="12"/>
      <c r="M388" s="12"/>
      <c r="N388" s="18"/>
      <c r="O388" s="12"/>
      <c r="P388" s="12"/>
      <c r="Q388" s="12"/>
      <c r="R388" s="36"/>
      <c r="S388" s="36"/>
      <c r="T388" s="12"/>
      <c r="U388" s="12"/>
      <c r="V388" s="12"/>
      <c r="W388" s="12"/>
      <c r="X388" s="12"/>
    </row>
    <row r="389" customFormat="false" ht="15.75" hidden="false" customHeight="false" outlineLevel="0" collapsed="false">
      <c r="A389" s="12"/>
      <c r="B389" s="34"/>
      <c r="C389" s="12"/>
      <c r="D389" s="12"/>
      <c r="E389" s="12"/>
      <c r="F389" s="12"/>
      <c r="G389" s="18"/>
      <c r="H389" s="35"/>
      <c r="I389" s="12"/>
      <c r="M389" s="12"/>
      <c r="N389" s="18"/>
      <c r="O389" s="12"/>
      <c r="P389" s="12"/>
      <c r="Q389" s="12"/>
      <c r="R389" s="36"/>
      <c r="S389" s="36"/>
      <c r="T389" s="12"/>
      <c r="U389" s="12"/>
      <c r="V389" s="12"/>
      <c r="W389" s="12"/>
      <c r="X389" s="12"/>
    </row>
    <row r="390" customFormat="false" ht="15.75" hidden="false" customHeight="false" outlineLevel="0" collapsed="false">
      <c r="A390" s="12"/>
      <c r="B390" s="34"/>
      <c r="C390" s="12"/>
      <c r="D390" s="12"/>
      <c r="E390" s="12"/>
      <c r="F390" s="12"/>
      <c r="G390" s="18"/>
      <c r="H390" s="35"/>
      <c r="I390" s="12"/>
      <c r="M390" s="12"/>
      <c r="N390" s="18"/>
      <c r="O390" s="12"/>
      <c r="P390" s="12"/>
      <c r="Q390" s="12"/>
      <c r="R390" s="36"/>
      <c r="S390" s="36"/>
      <c r="T390" s="12"/>
      <c r="U390" s="12"/>
      <c r="V390" s="12"/>
      <c r="W390" s="12"/>
      <c r="X390" s="12"/>
    </row>
    <row r="391" customFormat="false" ht="15.75" hidden="false" customHeight="false" outlineLevel="0" collapsed="false">
      <c r="A391" s="12"/>
      <c r="B391" s="34"/>
      <c r="C391" s="12"/>
      <c r="D391" s="12"/>
      <c r="E391" s="12"/>
      <c r="F391" s="12"/>
      <c r="G391" s="18"/>
      <c r="H391" s="35"/>
      <c r="I391" s="12"/>
      <c r="M391" s="12"/>
      <c r="N391" s="18"/>
      <c r="O391" s="12"/>
      <c r="P391" s="12"/>
      <c r="Q391" s="12"/>
      <c r="R391" s="36"/>
      <c r="S391" s="36"/>
      <c r="T391" s="12"/>
      <c r="U391" s="12"/>
      <c r="V391" s="12"/>
      <c r="W391" s="12"/>
      <c r="X391" s="12"/>
    </row>
    <row r="392" customFormat="false" ht="15.75" hidden="false" customHeight="false" outlineLevel="0" collapsed="false">
      <c r="A392" s="12"/>
      <c r="B392" s="34"/>
      <c r="C392" s="12"/>
      <c r="D392" s="12"/>
      <c r="E392" s="12"/>
      <c r="F392" s="12"/>
      <c r="G392" s="18"/>
      <c r="H392" s="35"/>
      <c r="I392" s="12"/>
      <c r="M392" s="12"/>
      <c r="N392" s="18"/>
      <c r="O392" s="12"/>
      <c r="P392" s="12"/>
      <c r="Q392" s="12"/>
      <c r="R392" s="36"/>
      <c r="S392" s="36"/>
      <c r="T392" s="12"/>
      <c r="U392" s="12"/>
      <c r="V392" s="12"/>
      <c r="W392" s="12"/>
      <c r="X392" s="12"/>
    </row>
    <row r="393" customFormat="false" ht="15.75" hidden="false" customHeight="false" outlineLevel="0" collapsed="false">
      <c r="A393" s="12"/>
      <c r="B393" s="34"/>
      <c r="C393" s="12"/>
      <c r="D393" s="12"/>
      <c r="E393" s="12"/>
      <c r="F393" s="12"/>
      <c r="G393" s="18"/>
      <c r="H393" s="35"/>
      <c r="I393" s="12"/>
      <c r="M393" s="12"/>
      <c r="N393" s="18"/>
      <c r="O393" s="12"/>
      <c r="P393" s="12"/>
      <c r="Q393" s="12"/>
      <c r="R393" s="36"/>
      <c r="S393" s="36"/>
      <c r="T393" s="12"/>
      <c r="U393" s="12"/>
      <c r="V393" s="12"/>
      <c r="W393" s="12"/>
      <c r="X393" s="12"/>
    </row>
    <row r="394" customFormat="false" ht="15.75" hidden="false" customHeight="false" outlineLevel="0" collapsed="false">
      <c r="A394" s="12"/>
      <c r="B394" s="34"/>
      <c r="C394" s="12"/>
      <c r="D394" s="12"/>
      <c r="E394" s="12"/>
      <c r="F394" s="12"/>
      <c r="G394" s="18"/>
      <c r="H394" s="35"/>
      <c r="I394" s="12"/>
      <c r="M394" s="12"/>
      <c r="N394" s="18"/>
      <c r="O394" s="12"/>
      <c r="P394" s="12"/>
      <c r="Q394" s="12"/>
      <c r="R394" s="36"/>
      <c r="S394" s="36"/>
      <c r="T394" s="12"/>
      <c r="U394" s="12"/>
      <c r="V394" s="12"/>
      <c r="W394" s="12"/>
      <c r="X394" s="12"/>
    </row>
    <row r="395" customFormat="false" ht="15.75" hidden="false" customHeight="false" outlineLevel="0" collapsed="false">
      <c r="A395" s="12"/>
      <c r="B395" s="34"/>
      <c r="C395" s="12"/>
      <c r="D395" s="12"/>
      <c r="E395" s="12"/>
      <c r="F395" s="12"/>
      <c r="G395" s="18"/>
      <c r="H395" s="35"/>
      <c r="I395" s="12"/>
      <c r="M395" s="12"/>
      <c r="N395" s="18"/>
      <c r="O395" s="12"/>
      <c r="P395" s="12"/>
      <c r="Q395" s="12"/>
      <c r="R395" s="36"/>
      <c r="S395" s="36"/>
      <c r="T395" s="12"/>
      <c r="U395" s="12"/>
      <c r="V395" s="12"/>
      <c r="W395" s="12"/>
      <c r="X395" s="12"/>
    </row>
    <row r="396" customFormat="false" ht="15.75" hidden="false" customHeight="false" outlineLevel="0" collapsed="false">
      <c r="A396" s="12"/>
      <c r="B396" s="34"/>
      <c r="C396" s="12"/>
      <c r="D396" s="12"/>
      <c r="E396" s="12"/>
      <c r="F396" s="12"/>
      <c r="G396" s="18"/>
      <c r="H396" s="35"/>
      <c r="I396" s="12"/>
      <c r="M396" s="12"/>
      <c r="N396" s="18"/>
      <c r="O396" s="12"/>
      <c r="P396" s="12"/>
      <c r="Q396" s="12"/>
      <c r="R396" s="36"/>
      <c r="S396" s="36"/>
      <c r="T396" s="12"/>
      <c r="U396" s="12"/>
      <c r="V396" s="12"/>
      <c r="W396" s="12"/>
      <c r="X396" s="12"/>
    </row>
    <row r="397" customFormat="false" ht="15.75" hidden="false" customHeight="false" outlineLevel="0" collapsed="false">
      <c r="A397" s="12"/>
      <c r="B397" s="34"/>
      <c r="C397" s="12"/>
      <c r="D397" s="12"/>
      <c r="E397" s="12"/>
      <c r="F397" s="12"/>
      <c r="G397" s="18"/>
      <c r="H397" s="35"/>
      <c r="I397" s="12"/>
      <c r="M397" s="12"/>
      <c r="N397" s="18"/>
      <c r="O397" s="12"/>
      <c r="P397" s="12"/>
      <c r="Q397" s="12"/>
      <c r="R397" s="36"/>
      <c r="S397" s="36"/>
      <c r="T397" s="12"/>
      <c r="U397" s="12"/>
      <c r="V397" s="12"/>
      <c r="W397" s="12"/>
      <c r="X397" s="12"/>
    </row>
    <row r="398" customFormat="false" ht="15.75" hidden="false" customHeight="false" outlineLevel="0" collapsed="false">
      <c r="A398" s="12"/>
      <c r="B398" s="34"/>
      <c r="C398" s="12"/>
      <c r="D398" s="12"/>
      <c r="E398" s="12"/>
      <c r="F398" s="12"/>
      <c r="G398" s="18"/>
      <c r="H398" s="35"/>
      <c r="I398" s="12"/>
      <c r="M398" s="12"/>
      <c r="N398" s="18"/>
      <c r="O398" s="12"/>
      <c r="P398" s="12"/>
      <c r="Q398" s="12"/>
      <c r="R398" s="36"/>
      <c r="S398" s="36"/>
      <c r="T398" s="12"/>
      <c r="U398" s="12"/>
      <c r="V398" s="12"/>
      <c r="W398" s="12"/>
      <c r="X398" s="12"/>
    </row>
    <row r="399" customFormat="false" ht="15.75" hidden="false" customHeight="false" outlineLevel="0" collapsed="false">
      <c r="A399" s="12"/>
      <c r="B399" s="34"/>
      <c r="C399" s="12"/>
      <c r="D399" s="12"/>
      <c r="E399" s="12"/>
      <c r="F399" s="12"/>
      <c r="G399" s="18"/>
      <c r="H399" s="35"/>
      <c r="I399" s="12"/>
      <c r="M399" s="12"/>
      <c r="N399" s="18"/>
      <c r="O399" s="12"/>
      <c r="P399" s="12"/>
      <c r="Q399" s="12"/>
      <c r="R399" s="36"/>
      <c r="S399" s="36"/>
      <c r="T399" s="12"/>
      <c r="U399" s="12"/>
      <c r="V399" s="12"/>
      <c r="W399" s="12"/>
      <c r="X399" s="12"/>
    </row>
    <row r="400" customFormat="false" ht="15.75" hidden="false" customHeight="false" outlineLevel="0" collapsed="false">
      <c r="A400" s="12"/>
      <c r="B400" s="34"/>
      <c r="C400" s="12"/>
      <c r="D400" s="12"/>
      <c r="E400" s="12"/>
      <c r="F400" s="12"/>
      <c r="G400" s="18"/>
      <c r="H400" s="35"/>
      <c r="I400" s="12"/>
      <c r="M400" s="12"/>
      <c r="N400" s="18"/>
      <c r="O400" s="12"/>
      <c r="P400" s="12"/>
      <c r="Q400" s="12"/>
      <c r="R400" s="36"/>
      <c r="S400" s="36"/>
      <c r="T400" s="12"/>
      <c r="U400" s="12"/>
      <c r="V400" s="12"/>
      <c r="W400" s="12"/>
      <c r="X400" s="12"/>
    </row>
    <row r="401" customFormat="false" ht="15.75" hidden="false" customHeight="false" outlineLevel="0" collapsed="false">
      <c r="A401" s="12"/>
      <c r="B401" s="34"/>
      <c r="C401" s="12"/>
      <c r="D401" s="12"/>
      <c r="E401" s="12"/>
      <c r="F401" s="12"/>
      <c r="G401" s="18"/>
      <c r="H401" s="35"/>
      <c r="I401" s="12"/>
      <c r="M401" s="12"/>
      <c r="N401" s="18"/>
      <c r="O401" s="12"/>
      <c r="P401" s="12"/>
      <c r="Q401" s="12"/>
      <c r="R401" s="36"/>
      <c r="S401" s="36"/>
      <c r="T401" s="12"/>
      <c r="U401" s="12"/>
      <c r="V401" s="12"/>
      <c r="W401" s="12"/>
      <c r="X401" s="12"/>
    </row>
    <row r="402" customFormat="false" ht="15.75" hidden="false" customHeight="false" outlineLevel="0" collapsed="false">
      <c r="A402" s="12"/>
      <c r="B402" s="34"/>
      <c r="C402" s="12"/>
      <c r="D402" s="12"/>
      <c r="E402" s="12"/>
      <c r="F402" s="12"/>
      <c r="G402" s="18"/>
      <c r="H402" s="35"/>
      <c r="I402" s="12"/>
      <c r="M402" s="12"/>
      <c r="N402" s="18"/>
      <c r="O402" s="12"/>
      <c r="P402" s="12"/>
      <c r="Q402" s="12"/>
      <c r="R402" s="36"/>
      <c r="S402" s="36"/>
      <c r="T402" s="12"/>
      <c r="U402" s="12"/>
      <c r="V402" s="12"/>
      <c r="W402" s="12"/>
      <c r="X402" s="12"/>
    </row>
    <row r="403" customFormat="false" ht="15.75" hidden="false" customHeight="false" outlineLevel="0" collapsed="false">
      <c r="A403" s="12"/>
      <c r="B403" s="34"/>
      <c r="C403" s="12"/>
      <c r="D403" s="12"/>
      <c r="E403" s="12"/>
      <c r="F403" s="12"/>
      <c r="G403" s="18"/>
      <c r="H403" s="35"/>
      <c r="I403" s="12"/>
      <c r="M403" s="12"/>
      <c r="N403" s="18"/>
      <c r="O403" s="12"/>
      <c r="P403" s="12"/>
      <c r="Q403" s="12"/>
      <c r="R403" s="36"/>
      <c r="S403" s="36"/>
      <c r="T403" s="12"/>
      <c r="U403" s="12"/>
      <c r="V403" s="12"/>
      <c r="W403" s="12"/>
      <c r="X403" s="12"/>
    </row>
    <row r="404" customFormat="false" ht="15.75" hidden="false" customHeight="false" outlineLevel="0" collapsed="false">
      <c r="A404" s="12"/>
      <c r="B404" s="34"/>
      <c r="C404" s="12"/>
      <c r="D404" s="12"/>
      <c r="E404" s="12"/>
      <c r="F404" s="12"/>
      <c r="G404" s="18"/>
      <c r="H404" s="35"/>
      <c r="I404" s="12"/>
      <c r="M404" s="12"/>
      <c r="N404" s="18"/>
      <c r="O404" s="12"/>
      <c r="P404" s="12"/>
      <c r="Q404" s="12"/>
      <c r="R404" s="36"/>
      <c r="S404" s="36"/>
      <c r="T404" s="12"/>
      <c r="U404" s="12"/>
      <c r="V404" s="12"/>
      <c r="W404" s="12"/>
      <c r="X404" s="12"/>
    </row>
    <row r="405" customFormat="false" ht="15.75" hidden="false" customHeight="false" outlineLevel="0" collapsed="false">
      <c r="A405" s="12"/>
      <c r="B405" s="34"/>
      <c r="C405" s="12"/>
      <c r="D405" s="12"/>
      <c r="E405" s="12"/>
      <c r="F405" s="12"/>
      <c r="G405" s="18"/>
      <c r="H405" s="35"/>
      <c r="I405" s="12"/>
      <c r="M405" s="12"/>
      <c r="N405" s="18"/>
      <c r="O405" s="12"/>
      <c r="P405" s="12"/>
      <c r="Q405" s="12"/>
      <c r="R405" s="36"/>
      <c r="S405" s="36"/>
      <c r="T405" s="12"/>
      <c r="U405" s="12"/>
      <c r="V405" s="12"/>
      <c r="W405" s="12"/>
      <c r="X405" s="12"/>
    </row>
    <row r="406" customFormat="false" ht="15.75" hidden="false" customHeight="false" outlineLevel="0" collapsed="false">
      <c r="A406" s="12"/>
      <c r="B406" s="34"/>
      <c r="C406" s="12"/>
      <c r="D406" s="12"/>
      <c r="E406" s="12"/>
      <c r="F406" s="12"/>
      <c r="G406" s="18"/>
      <c r="H406" s="35"/>
      <c r="I406" s="12"/>
      <c r="M406" s="12"/>
      <c r="N406" s="18"/>
      <c r="O406" s="12"/>
      <c r="P406" s="12"/>
      <c r="Q406" s="12"/>
      <c r="R406" s="36"/>
      <c r="S406" s="36"/>
      <c r="T406" s="12"/>
      <c r="U406" s="12"/>
      <c r="V406" s="12"/>
      <c r="W406" s="12"/>
      <c r="X406" s="12"/>
    </row>
    <row r="407" customFormat="false" ht="15.75" hidden="false" customHeight="false" outlineLevel="0" collapsed="false">
      <c r="A407" s="12"/>
      <c r="B407" s="34"/>
      <c r="C407" s="12"/>
      <c r="D407" s="12"/>
      <c r="E407" s="12"/>
      <c r="F407" s="12"/>
      <c r="G407" s="18"/>
      <c r="H407" s="35"/>
      <c r="I407" s="12"/>
      <c r="M407" s="12"/>
      <c r="N407" s="18"/>
      <c r="O407" s="12"/>
      <c r="P407" s="12"/>
      <c r="Q407" s="12"/>
      <c r="R407" s="36"/>
      <c r="S407" s="36"/>
      <c r="T407" s="12"/>
      <c r="U407" s="12"/>
      <c r="V407" s="12"/>
      <c r="W407" s="12"/>
      <c r="X407" s="12"/>
    </row>
    <row r="408" customFormat="false" ht="15.75" hidden="false" customHeight="false" outlineLevel="0" collapsed="false">
      <c r="A408" s="12"/>
      <c r="B408" s="34"/>
      <c r="C408" s="12"/>
      <c r="D408" s="12"/>
      <c r="E408" s="12"/>
      <c r="F408" s="12"/>
      <c r="G408" s="18"/>
      <c r="H408" s="35"/>
      <c r="I408" s="12"/>
      <c r="M408" s="12"/>
      <c r="N408" s="18"/>
      <c r="O408" s="12"/>
      <c r="P408" s="12"/>
      <c r="Q408" s="12"/>
      <c r="R408" s="36"/>
      <c r="S408" s="36"/>
      <c r="T408" s="12"/>
      <c r="U408" s="12"/>
      <c r="V408" s="12"/>
      <c r="W408" s="12"/>
      <c r="X408" s="12"/>
    </row>
    <row r="409" customFormat="false" ht="15.75" hidden="false" customHeight="false" outlineLevel="0" collapsed="false">
      <c r="A409" s="12"/>
      <c r="B409" s="34"/>
      <c r="C409" s="12"/>
      <c r="D409" s="12"/>
      <c r="E409" s="12"/>
      <c r="F409" s="12"/>
      <c r="G409" s="18"/>
      <c r="H409" s="35"/>
      <c r="I409" s="12"/>
      <c r="M409" s="12"/>
      <c r="N409" s="18"/>
      <c r="O409" s="12"/>
      <c r="P409" s="12"/>
      <c r="Q409" s="12"/>
      <c r="R409" s="36"/>
      <c r="S409" s="36"/>
      <c r="T409" s="12"/>
      <c r="U409" s="12"/>
      <c r="V409" s="12"/>
      <c r="W409" s="12"/>
      <c r="X409" s="12"/>
    </row>
    <row r="410" customFormat="false" ht="15.75" hidden="false" customHeight="false" outlineLevel="0" collapsed="false">
      <c r="A410" s="12"/>
      <c r="B410" s="34"/>
      <c r="C410" s="12"/>
      <c r="D410" s="12"/>
      <c r="E410" s="12"/>
      <c r="F410" s="12"/>
      <c r="G410" s="18"/>
      <c r="H410" s="35"/>
      <c r="I410" s="12"/>
      <c r="M410" s="12"/>
      <c r="N410" s="18"/>
      <c r="O410" s="12"/>
      <c r="P410" s="12"/>
      <c r="Q410" s="12"/>
      <c r="R410" s="36"/>
      <c r="S410" s="36"/>
      <c r="T410" s="12"/>
      <c r="U410" s="12"/>
      <c r="V410" s="12"/>
      <c r="W410" s="12"/>
      <c r="X410" s="12"/>
    </row>
    <row r="411" customFormat="false" ht="15.75" hidden="false" customHeight="false" outlineLevel="0" collapsed="false">
      <c r="A411" s="12"/>
      <c r="B411" s="34"/>
      <c r="C411" s="12"/>
      <c r="D411" s="12"/>
      <c r="E411" s="12"/>
      <c r="F411" s="12"/>
      <c r="G411" s="18"/>
      <c r="H411" s="35"/>
      <c r="I411" s="12"/>
      <c r="M411" s="12"/>
      <c r="N411" s="18"/>
      <c r="O411" s="12"/>
      <c r="P411" s="12"/>
      <c r="Q411" s="12"/>
      <c r="R411" s="36"/>
      <c r="S411" s="36"/>
      <c r="T411" s="12"/>
      <c r="U411" s="12"/>
      <c r="V411" s="12"/>
      <c r="W411" s="12"/>
      <c r="X411" s="12"/>
    </row>
    <row r="412" customFormat="false" ht="15.75" hidden="false" customHeight="false" outlineLevel="0" collapsed="false">
      <c r="A412" s="12"/>
      <c r="B412" s="34"/>
      <c r="C412" s="12"/>
      <c r="D412" s="12"/>
      <c r="E412" s="12"/>
      <c r="F412" s="12"/>
      <c r="G412" s="18"/>
      <c r="H412" s="35"/>
      <c r="I412" s="12"/>
      <c r="M412" s="12"/>
      <c r="N412" s="18"/>
      <c r="O412" s="12"/>
      <c r="P412" s="12"/>
      <c r="Q412" s="12"/>
      <c r="R412" s="36"/>
      <c r="S412" s="36"/>
      <c r="T412" s="12"/>
      <c r="U412" s="12"/>
      <c r="V412" s="12"/>
      <c r="W412" s="12"/>
      <c r="X412" s="12"/>
    </row>
    <row r="413" customFormat="false" ht="15.75" hidden="false" customHeight="false" outlineLevel="0" collapsed="false">
      <c r="A413" s="12"/>
      <c r="B413" s="34"/>
      <c r="C413" s="12"/>
      <c r="D413" s="12"/>
      <c r="E413" s="12"/>
      <c r="F413" s="12"/>
      <c r="G413" s="18"/>
      <c r="H413" s="35"/>
      <c r="I413" s="12"/>
      <c r="M413" s="12"/>
      <c r="N413" s="18"/>
      <c r="O413" s="12"/>
      <c r="P413" s="12"/>
      <c r="Q413" s="12"/>
      <c r="R413" s="36"/>
      <c r="S413" s="36"/>
      <c r="T413" s="12"/>
      <c r="U413" s="12"/>
      <c r="V413" s="12"/>
      <c r="W413" s="12"/>
      <c r="X413" s="12"/>
    </row>
    <row r="414" customFormat="false" ht="15.75" hidden="false" customHeight="false" outlineLevel="0" collapsed="false">
      <c r="A414" s="12"/>
      <c r="B414" s="34"/>
      <c r="C414" s="12"/>
      <c r="D414" s="12"/>
      <c r="E414" s="12"/>
      <c r="F414" s="12"/>
      <c r="G414" s="18"/>
      <c r="H414" s="35"/>
      <c r="I414" s="12"/>
      <c r="M414" s="12"/>
      <c r="N414" s="18"/>
      <c r="O414" s="12"/>
      <c r="P414" s="12"/>
      <c r="Q414" s="12"/>
      <c r="R414" s="36"/>
      <c r="S414" s="36"/>
      <c r="T414" s="12"/>
      <c r="U414" s="12"/>
      <c r="V414" s="12"/>
      <c r="W414" s="12"/>
      <c r="X414" s="12"/>
    </row>
    <row r="415" customFormat="false" ht="15.75" hidden="false" customHeight="false" outlineLevel="0" collapsed="false">
      <c r="A415" s="12"/>
      <c r="B415" s="34"/>
      <c r="C415" s="12"/>
      <c r="D415" s="12"/>
      <c r="E415" s="12"/>
      <c r="F415" s="12"/>
      <c r="G415" s="18"/>
      <c r="H415" s="35"/>
      <c r="I415" s="12"/>
      <c r="M415" s="12"/>
      <c r="N415" s="18"/>
      <c r="O415" s="12"/>
      <c r="P415" s="12"/>
      <c r="Q415" s="12"/>
      <c r="R415" s="36"/>
      <c r="S415" s="36"/>
      <c r="T415" s="12"/>
      <c r="U415" s="12"/>
      <c r="V415" s="12"/>
      <c r="W415" s="12"/>
      <c r="X415" s="12"/>
    </row>
    <row r="416" customFormat="false" ht="15.75" hidden="false" customHeight="false" outlineLevel="0" collapsed="false">
      <c r="A416" s="12"/>
      <c r="B416" s="34"/>
      <c r="C416" s="12"/>
      <c r="D416" s="12"/>
      <c r="E416" s="12"/>
      <c r="F416" s="12"/>
      <c r="G416" s="18"/>
      <c r="H416" s="35"/>
      <c r="I416" s="12"/>
      <c r="M416" s="12"/>
      <c r="N416" s="18"/>
      <c r="O416" s="12"/>
      <c r="P416" s="12"/>
      <c r="Q416" s="12"/>
      <c r="R416" s="36"/>
      <c r="S416" s="36"/>
      <c r="T416" s="12"/>
      <c r="U416" s="12"/>
      <c r="V416" s="12"/>
      <c r="W416" s="12"/>
      <c r="X416" s="12"/>
    </row>
    <row r="417" customFormat="false" ht="15.75" hidden="false" customHeight="false" outlineLevel="0" collapsed="false">
      <c r="A417" s="12"/>
      <c r="B417" s="34"/>
      <c r="C417" s="12"/>
      <c r="D417" s="12"/>
      <c r="E417" s="12"/>
      <c r="F417" s="12"/>
      <c r="G417" s="18"/>
      <c r="H417" s="35"/>
      <c r="I417" s="12"/>
      <c r="M417" s="12"/>
      <c r="N417" s="18"/>
      <c r="O417" s="12"/>
      <c r="P417" s="12"/>
      <c r="Q417" s="12"/>
      <c r="R417" s="36"/>
      <c r="S417" s="36"/>
      <c r="T417" s="12"/>
      <c r="U417" s="12"/>
      <c r="V417" s="12"/>
      <c r="W417" s="12"/>
      <c r="X417" s="12"/>
    </row>
    <row r="418" customFormat="false" ht="15.75" hidden="false" customHeight="false" outlineLevel="0" collapsed="false">
      <c r="A418" s="12"/>
      <c r="B418" s="34"/>
      <c r="C418" s="12"/>
      <c r="D418" s="12"/>
      <c r="E418" s="12"/>
      <c r="F418" s="12"/>
      <c r="G418" s="18"/>
      <c r="H418" s="35"/>
      <c r="I418" s="12"/>
      <c r="M418" s="12"/>
      <c r="N418" s="18"/>
      <c r="O418" s="12"/>
      <c r="P418" s="12"/>
      <c r="Q418" s="12"/>
      <c r="R418" s="36"/>
      <c r="S418" s="36"/>
      <c r="T418" s="12"/>
      <c r="U418" s="12"/>
      <c r="V418" s="12"/>
      <c r="W418" s="12"/>
      <c r="X418" s="12"/>
    </row>
    <row r="419" customFormat="false" ht="15.75" hidden="false" customHeight="false" outlineLevel="0" collapsed="false">
      <c r="A419" s="12"/>
      <c r="B419" s="34"/>
      <c r="C419" s="12"/>
      <c r="D419" s="12"/>
      <c r="E419" s="12"/>
      <c r="F419" s="12"/>
      <c r="G419" s="18"/>
      <c r="H419" s="35"/>
      <c r="I419" s="12"/>
      <c r="M419" s="12"/>
      <c r="N419" s="18"/>
      <c r="O419" s="12"/>
      <c r="P419" s="12"/>
      <c r="Q419" s="12"/>
      <c r="R419" s="36"/>
      <c r="S419" s="36"/>
      <c r="T419" s="12"/>
      <c r="U419" s="12"/>
      <c r="V419" s="12"/>
      <c r="W419" s="12"/>
      <c r="X419" s="12"/>
    </row>
    <row r="420" customFormat="false" ht="15.75" hidden="false" customHeight="false" outlineLevel="0" collapsed="false">
      <c r="A420" s="12"/>
      <c r="B420" s="34"/>
      <c r="C420" s="12"/>
      <c r="D420" s="12"/>
      <c r="E420" s="12"/>
      <c r="F420" s="12"/>
      <c r="G420" s="18"/>
      <c r="H420" s="35"/>
      <c r="I420" s="12"/>
      <c r="M420" s="12"/>
      <c r="N420" s="18"/>
      <c r="O420" s="12"/>
      <c r="P420" s="12"/>
      <c r="Q420" s="12"/>
      <c r="R420" s="36"/>
      <c r="S420" s="36"/>
      <c r="T420" s="12"/>
      <c r="U420" s="12"/>
      <c r="V420" s="12"/>
      <c r="W420" s="12"/>
      <c r="X420" s="12"/>
    </row>
    <row r="421" customFormat="false" ht="15.75" hidden="false" customHeight="false" outlineLevel="0" collapsed="false">
      <c r="A421" s="12"/>
      <c r="B421" s="34"/>
      <c r="C421" s="12"/>
      <c r="D421" s="12"/>
      <c r="E421" s="12"/>
      <c r="F421" s="12"/>
      <c r="G421" s="18"/>
      <c r="H421" s="35"/>
      <c r="I421" s="12"/>
      <c r="M421" s="12"/>
      <c r="N421" s="18"/>
      <c r="O421" s="12"/>
      <c r="P421" s="12"/>
      <c r="Q421" s="12"/>
      <c r="R421" s="36"/>
      <c r="S421" s="36"/>
      <c r="T421" s="12"/>
      <c r="U421" s="12"/>
      <c r="V421" s="12"/>
      <c r="W421" s="12"/>
      <c r="X421" s="12"/>
    </row>
    <row r="422" customFormat="false" ht="15.75" hidden="false" customHeight="false" outlineLevel="0" collapsed="false">
      <c r="A422" s="12"/>
      <c r="B422" s="34"/>
      <c r="C422" s="12"/>
      <c r="D422" s="12"/>
      <c r="E422" s="12"/>
      <c r="F422" s="12"/>
      <c r="G422" s="18"/>
      <c r="H422" s="35"/>
      <c r="I422" s="12"/>
      <c r="M422" s="12"/>
      <c r="N422" s="18"/>
      <c r="O422" s="12"/>
      <c r="P422" s="12"/>
      <c r="Q422" s="12"/>
      <c r="R422" s="36"/>
      <c r="S422" s="36"/>
      <c r="T422" s="12"/>
      <c r="U422" s="12"/>
      <c r="V422" s="12"/>
      <c r="W422" s="12"/>
      <c r="X422" s="12"/>
    </row>
    <row r="423" customFormat="false" ht="15.75" hidden="false" customHeight="false" outlineLevel="0" collapsed="false">
      <c r="A423" s="12"/>
      <c r="B423" s="34"/>
      <c r="C423" s="12"/>
      <c r="D423" s="12"/>
      <c r="E423" s="12"/>
      <c r="F423" s="12"/>
      <c r="G423" s="18"/>
      <c r="H423" s="35"/>
      <c r="I423" s="12"/>
      <c r="M423" s="12"/>
      <c r="N423" s="18"/>
      <c r="O423" s="12"/>
      <c r="P423" s="12"/>
      <c r="Q423" s="12"/>
      <c r="R423" s="36"/>
      <c r="S423" s="36"/>
      <c r="T423" s="12"/>
      <c r="U423" s="12"/>
      <c r="V423" s="12"/>
      <c r="W423" s="12"/>
      <c r="X423" s="12"/>
    </row>
    <row r="424" customFormat="false" ht="15.75" hidden="false" customHeight="false" outlineLevel="0" collapsed="false">
      <c r="A424" s="12"/>
      <c r="B424" s="34"/>
      <c r="C424" s="12"/>
      <c r="D424" s="12"/>
      <c r="E424" s="12"/>
      <c r="F424" s="12"/>
      <c r="G424" s="18"/>
      <c r="H424" s="35"/>
      <c r="I424" s="12"/>
      <c r="M424" s="12"/>
      <c r="N424" s="18"/>
      <c r="O424" s="12"/>
      <c r="P424" s="12"/>
      <c r="Q424" s="12"/>
      <c r="R424" s="36"/>
      <c r="S424" s="36"/>
      <c r="T424" s="12"/>
      <c r="U424" s="12"/>
      <c r="V424" s="12"/>
      <c r="W424" s="12"/>
      <c r="X424" s="12"/>
    </row>
    <row r="425" customFormat="false" ht="15.75" hidden="false" customHeight="false" outlineLevel="0" collapsed="false">
      <c r="A425" s="12"/>
      <c r="B425" s="34"/>
      <c r="C425" s="12"/>
      <c r="D425" s="12"/>
      <c r="E425" s="12"/>
      <c r="F425" s="12"/>
      <c r="G425" s="18"/>
      <c r="H425" s="35"/>
      <c r="I425" s="12"/>
      <c r="M425" s="12"/>
      <c r="N425" s="18"/>
      <c r="O425" s="12"/>
      <c r="P425" s="12"/>
      <c r="Q425" s="12"/>
      <c r="R425" s="36"/>
      <c r="S425" s="36"/>
      <c r="T425" s="12"/>
      <c r="U425" s="12"/>
      <c r="V425" s="12"/>
      <c r="W425" s="12"/>
      <c r="X425" s="12"/>
    </row>
    <row r="426" customFormat="false" ht="15.75" hidden="false" customHeight="false" outlineLevel="0" collapsed="false">
      <c r="A426" s="12"/>
      <c r="B426" s="34"/>
      <c r="C426" s="12"/>
      <c r="D426" s="12"/>
      <c r="E426" s="12"/>
      <c r="F426" s="12"/>
      <c r="G426" s="18"/>
      <c r="H426" s="35"/>
      <c r="I426" s="12"/>
      <c r="M426" s="12"/>
      <c r="N426" s="18"/>
      <c r="O426" s="12"/>
      <c r="P426" s="12"/>
      <c r="Q426" s="12"/>
      <c r="R426" s="36"/>
      <c r="S426" s="36"/>
      <c r="T426" s="12"/>
      <c r="U426" s="12"/>
      <c r="V426" s="12"/>
      <c r="W426" s="12"/>
      <c r="X426" s="12"/>
    </row>
    <row r="427" customFormat="false" ht="15.75" hidden="false" customHeight="false" outlineLevel="0" collapsed="false">
      <c r="A427" s="12"/>
      <c r="B427" s="34"/>
      <c r="C427" s="12"/>
      <c r="D427" s="12"/>
      <c r="E427" s="12"/>
      <c r="F427" s="12"/>
      <c r="G427" s="18"/>
      <c r="H427" s="35"/>
      <c r="I427" s="12"/>
      <c r="M427" s="12"/>
      <c r="N427" s="18"/>
      <c r="O427" s="12"/>
      <c r="P427" s="12"/>
      <c r="Q427" s="12"/>
      <c r="R427" s="36"/>
      <c r="S427" s="36"/>
      <c r="T427" s="12"/>
      <c r="U427" s="12"/>
      <c r="V427" s="12"/>
      <c r="W427" s="12"/>
      <c r="X427" s="12"/>
    </row>
    <row r="428" customFormat="false" ht="15.75" hidden="false" customHeight="false" outlineLevel="0" collapsed="false">
      <c r="A428" s="12"/>
      <c r="B428" s="34"/>
      <c r="C428" s="12"/>
      <c r="D428" s="12"/>
      <c r="E428" s="12"/>
      <c r="F428" s="12"/>
      <c r="G428" s="18"/>
      <c r="H428" s="35"/>
      <c r="I428" s="12"/>
      <c r="M428" s="12"/>
      <c r="N428" s="18"/>
      <c r="O428" s="12"/>
      <c r="P428" s="12"/>
      <c r="Q428" s="12"/>
      <c r="R428" s="36"/>
      <c r="S428" s="36"/>
      <c r="T428" s="12"/>
      <c r="U428" s="12"/>
      <c r="V428" s="12"/>
      <c r="W428" s="12"/>
      <c r="X428" s="12"/>
    </row>
    <row r="429" customFormat="false" ht="15.75" hidden="false" customHeight="false" outlineLevel="0" collapsed="false">
      <c r="A429" s="12"/>
      <c r="B429" s="34"/>
      <c r="C429" s="12"/>
      <c r="D429" s="12"/>
      <c r="E429" s="12"/>
      <c r="F429" s="12"/>
      <c r="G429" s="18"/>
      <c r="H429" s="35"/>
      <c r="I429" s="12"/>
      <c r="M429" s="12"/>
      <c r="N429" s="18"/>
      <c r="O429" s="12"/>
      <c r="P429" s="12"/>
      <c r="Q429" s="12"/>
      <c r="R429" s="36"/>
      <c r="S429" s="36"/>
      <c r="T429" s="12"/>
      <c r="U429" s="12"/>
      <c r="V429" s="12"/>
      <c r="W429" s="12"/>
      <c r="X429" s="12"/>
    </row>
    <row r="430" customFormat="false" ht="15.75" hidden="false" customHeight="false" outlineLevel="0" collapsed="false">
      <c r="A430" s="12"/>
      <c r="B430" s="34"/>
      <c r="C430" s="12"/>
      <c r="D430" s="12"/>
      <c r="E430" s="12"/>
      <c r="F430" s="12"/>
      <c r="G430" s="18"/>
      <c r="H430" s="35"/>
      <c r="I430" s="12"/>
      <c r="M430" s="12"/>
      <c r="N430" s="18"/>
      <c r="O430" s="12"/>
      <c r="P430" s="12"/>
      <c r="Q430" s="12"/>
      <c r="R430" s="36"/>
      <c r="S430" s="36"/>
      <c r="T430" s="12"/>
      <c r="U430" s="12"/>
      <c r="V430" s="12"/>
      <c r="W430" s="12"/>
      <c r="X430" s="12"/>
    </row>
    <row r="431" customFormat="false" ht="15.75" hidden="false" customHeight="false" outlineLevel="0" collapsed="false">
      <c r="A431" s="12"/>
      <c r="B431" s="34"/>
      <c r="C431" s="12"/>
      <c r="D431" s="12"/>
      <c r="E431" s="12"/>
      <c r="F431" s="12"/>
      <c r="G431" s="18"/>
      <c r="H431" s="35"/>
      <c r="I431" s="12"/>
      <c r="M431" s="12"/>
      <c r="N431" s="18"/>
      <c r="O431" s="12"/>
      <c r="P431" s="12"/>
      <c r="Q431" s="12"/>
      <c r="R431" s="36"/>
      <c r="S431" s="36"/>
      <c r="T431" s="12"/>
      <c r="U431" s="12"/>
      <c r="V431" s="12"/>
      <c r="W431" s="12"/>
      <c r="X431" s="12"/>
    </row>
    <row r="432" customFormat="false" ht="15.75" hidden="false" customHeight="false" outlineLevel="0" collapsed="false">
      <c r="A432" s="12"/>
      <c r="B432" s="34"/>
      <c r="C432" s="12"/>
      <c r="D432" s="12"/>
      <c r="E432" s="12"/>
      <c r="F432" s="12"/>
      <c r="G432" s="18"/>
      <c r="H432" s="35"/>
      <c r="I432" s="12"/>
      <c r="M432" s="12"/>
      <c r="N432" s="18"/>
      <c r="O432" s="12"/>
      <c r="P432" s="12"/>
      <c r="Q432" s="12"/>
      <c r="R432" s="36"/>
      <c r="S432" s="36"/>
      <c r="T432" s="12"/>
      <c r="U432" s="12"/>
      <c r="V432" s="12"/>
      <c r="W432" s="12"/>
      <c r="X432" s="12"/>
    </row>
    <row r="433" customFormat="false" ht="15.75" hidden="false" customHeight="false" outlineLevel="0" collapsed="false">
      <c r="A433" s="12"/>
      <c r="B433" s="34"/>
      <c r="C433" s="12"/>
      <c r="D433" s="12"/>
      <c r="E433" s="12"/>
      <c r="F433" s="12"/>
      <c r="G433" s="18"/>
      <c r="H433" s="35"/>
      <c r="I433" s="12"/>
      <c r="M433" s="12"/>
      <c r="N433" s="18"/>
      <c r="O433" s="12"/>
      <c r="P433" s="12"/>
      <c r="Q433" s="12"/>
      <c r="R433" s="36"/>
      <c r="S433" s="36"/>
      <c r="T433" s="12"/>
      <c r="U433" s="12"/>
      <c r="V433" s="12"/>
      <c r="W433" s="12"/>
      <c r="X433" s="12"/>
    </row>
    <row r="434" customFormat="false" ht="15.75" hidden="false" customHeight="false" outlineLevel="0" collapsed="false">
      <c r="A434" s="12"/>
      <c r="B434" s="34"/>
      <c r="C434" s="12"/>
      <c r="D434" s="12"/>
      <c r="E434" s="12"/>
      <c r="F434" s="12"/>
      <c r="G434" s="18"/>
      <c r="H434" s="35"/>
      <c r="I434" s="12"/>
      <c r="M434" s="12"/>
      <c r="N434" s="18"/>
      <c r="O434" s="12"/>
      <c r="P434" s="12"/>
      <c r="Q434" s="12"/>
      <c r="R434" s="36"/>
      <c r="S434" s="36"/>
      <c r="T434" s="12"/>
      <c r="U434" s="12"/>
      <c r="V434" s="12"/>
      <c r="W434" s="12"/>
      <c r="X434" s="12"/>
    </row>
    <row r="435" customFormat="false" ht="15.75" hidden="false" customHeight="false" outlineLevel="0" collapsed="false">
      <c r="A435" s="12"/>
      <c r="B435" s="34"/>
      <c r="C435" s="12"/>
      <c r="D435" s="12"/>
      <c r="E435" s="12"/>
      <c r="F435" s="12"/>
      <c r="G435" s="18"/>
      <c r="H435" s="35"/>
      <c r="I435" s="12"/>
      <c r="M435" s="12"/>
      <c r="N435" s="18"/>
      <c r="O435" s="12"/>
      <c r="P435" s="12"/>
      <c r="Q435" s="12"/>
      <c r="R435" s="36"/>
      <c r="S435" s="36"/>
      <c r="T435" s="12"/>
      <c r="U435" s="12"/>
      <c r="V435" s="12"/>
      <c r="W435" s="12"/>
      <c r="X435" s="12"/>
    </row>
    <row r="436" customFormat="false" ht="15.75" hidden="false" customHeight="false" outlineLevel="0" collapsed="false">
      <c r="A436" s="12"/>
      <c r="B436" s="34"/>
      <c r="C436" s="12"/>
      <c r="D436" s="12"/>
      <c r="E436" s="12"/>
      <c r="F436" s="12"/>
      <c r="G436" s="18"/>
      <c r="H436" s="35"/>
      <c r="I436" s="12"/>
      <c r="M436" s="12"/>
      <c r="N436" s="18"/>
      <c r="O436" s="12"/>
      <c r="P436" s="12"/>
      <c r="Q436" s="12"/>
      <c r="R436" s="36"/>
      <c r="S436" s="36"/>
      <c r="T436" s="12"/>
      <c r="U436" s="12"/>
      <c r="V436" s="12"/>
      <c r="W436" s="12"/>
      <c r="X436" s="12"/>
    </row>
    <row r="437" customFormat="false" ht="15.75" hidden="false" customHeight="false" outlineLevel="0" collapsed="false">
      <c r="A437" s="12"/>
      <c r="B437" s="34"/>
      <c r="C437" s="12"/>
      <c r="D437" s="12"/>
      <c r="E437" s="12"/>
      <c r="F437" s="12"/>
      <c r="G437" s="18"/>
      <c r="H437" s="35"/>
      <c r="I437" s="12"/>
      <c r="M437" s="12"/>
      <c r="N437" s="18"/>
      <c r="O437" s="12"/>
      <c r="P437" s="12"/>
      <c r="Q437" s="12"/>
      <c r="R437" s="36"/>
      <c r="S437" s="36"/>
      <c r="T437" s="12"/>
      <c r="U437" s="12"/>
      <c r="V437" s="12"/>
      <c r="W437" s="12"/>
      <c r="X437" s="12"/>
    </row>
    <row r="438" customFormat="false" ht="15.75" hidden="false" customHeight="false" outlineLevel="0" collapsed="false">
      <c r="A438" s="12"/>
      <c r="B438" s="34"/>
      <c r="C438" s="12"/>
      <c r="D438" s="12"/>
      <c r="E438" s="12"/>
      <c r="F438" s="12"/>
      <c r="G438" s="18"/>
      <c r="H438" s="35"/>
      <c r="I438" s="12"/>
      <c r="M438" s="12"/>
      <c r="N438" s="18"/>
      <c r="O438" s="12"/>
      <c r="P438" s="12"/>
      <c r="Q438" s="12"/>
      <c r="R438" s="36"/>
      <c r="S438" s="36"/>
      <c r="T438" s="12"/>
      <c r="U438" s="12"/>
      <c r="V438" s="12"/>
      <c r="W438" s="12"/>
      <c r="X438" s="12"/>
    </row>
    <row r="439" customFormat="false" ht="15.75" hidden="false" customHeight="false" outlineLevel="0" collapsed="false">
      <c r="A439" s="12"/>
      <c r="B439" s="34"/>
      <c r="C439" s="12"/>
      <c r="D439" s="12"/>
      <c r="E439" s="12"/>
      <c r="F439" s="12"/>
      <c r="G439" s="18"/>
      <c r="H439" s="35"/>
      <c r="I439" s="12"/>
      <c r="M439" s="12"/>
      <c r="N439" s="18"/>
      <c r="O439" s="12"/>
      <c r="P439" s="12"/>
      <c r="Q439" s="12"/>
      <c r="R439" s="36"/>
      <c r="S439" s="36"/>
      <c r="T439" s="12"/>
      <c r="U439" s="12"/>
      <c r="V439" s="12"/>
      <c r="W439" s="12"/>
      <c r="X439" s="12"/>
    </row>
    <row r="440" customFormat="false" ht="15.75" hidden="false" customHeight="false" outlineLevel="0" collapsed="false">
      <c r="A440" s="12"/>
      <c r="B440" s="34"/>
      <c r="C440" s="12"/>
      <c r="D440" s="12"/>
      <c r="E440" s="12"/>
      <c r="F440" s="12"/>
      <c r="G440" s="18"/>
      <c r="H440" s="35"/>
      <c r="I440" s="12"/>
      <c r="M440" s="12"/>
      <c r="N440" s="18"/>
      <c r="O440" s="12"/>
      <c r="P440" s="12"/>
      <c r="Q440" s="12"/>
      <c r="R440" s="36"/>
      <c r="S440" s="36"/>
      <c r="T440" s="12"/>
      <c r="U440" s="12"/>
      <c r="V440" s="12"/>
      <c r="W440" s="12"/>
      <c r="X440" s="12"/>
    </row>
    <row r="441" customFormat="false" ht="15.75" hidden="false" customHeight="false" outlineLevel="0" collapsed="false">
      <c r="A441" s="12"/>
      <c r="B441" s="34"/>
      <c r="C441" s="12"/>
      <c r="D441" s="12"/>
      <c r="E441" s="12"/>
      <c r="F441" s="12"/>
      <c r="G441" s="18"/>
      <c r="H441" s="35"/>
      <c r="I441" s="12"/>
      <c r="M441" s="12"/>
      <c r="N441" s="18"/>
      <c r="O441" s="12"/>
      <c r="P441" s="12"/>
      <c r="Q441" s="12"/>
      <c r="R441" s="36"/>
      <c r="S441" s="36"/>
      <c r="T441" s="12"/>
      <c r="U441" s="12"/>
      <c r="V441" s="12"/>
      <c r="W441" s="12"/>
      <c r="X441" s="12"/>
    </row>
    <row r="442" customFormat="false" ht="15.75" hidden="false" customHeight="false" outlineLevel="0" collapsed="false">
      <c r="A442" s="12"/>
      <c r="B442" s="34"/>
      <c r="C442" s="12"/>
      <c r="D442" s="12"/>
      <c r="E442" s="12"/>
      <c r="F442" s="12"/>
      <c r="G442" s="18"/>
      <c r="H442" s="35"/>
      <c r="I442" s="12"/>
      <c r="M442" s="12"/>
      <c r="N442" s="18"/>
      <c r="O442" s="12"/>
      <c r="P442" s="12"/>
      <c r="Q442" s="12"/>
      <c r="R442" s="36"/>
      <c r="S442" s="36"/>
      <c r="T442" s="12"/>
      <c r="U442" s="12"/>
      <c r="V442" s="12"/>
      <c r="W442" s="12"/>
      <c r="X442" s="12"/>
    </row>
    <row r="443" customFormat="false" ht="15.75" hidden="false" customHeight="false" outlineLevel="0" collapsed="false">
      <c r="A443" s="12"/>
      <c r="B443" s="34"/>
      <c r="C443" s="12"/>
      <c r="D443" s="12"/>
      <c r="E443" s="12"/>
      <c r="F443" s="12"/>
      <c r="G443" s="18"/>
      <c r="H443" s="35"/>
      <c r="I443" s="12"/>
      <c r="M443" s="12"/>
      <c r="N443" s="18"/>
      <c r="O443" s="12"/>
      <c r="P443" s="12"/>
      <c r="Q443" s="12"/>
      <c r="R443" s="36"/>
      <c r="S443" s="36"/>
      <c r="T443" s="12"/>
      <c r="U443" s="12"/>
      <c r="V443" s="12"/>
      <c r="W443" s="12"/>
      <c r="X443" s="12"/>
    </row>
    <row r="444" customFormat="false" ht="15.75" hidden="false" customHeight="false" outlineLevel="0" collapsed="false">
      <c r="A444" s="12"/>
      <c r="B444" s="34"/>
      <c r="C444" s="12"/>
      <c r="D444" s="12"/>
      <c r="E444" s="12"/>
      <c r="F444" s="12"/>
      <c r="G444" s="18"/>
      <c r="H444" s="35"/>
      <c r="I444" s="12"/>
      <c r="M444" s="12"/>
      <c r="N444" s="18"/>
      <c r="O444" s="12"/>
      <c r="P444" s="12"/>
      <c r="Q444" s="12"/>
      <c r="R444" s="36"/>
      <c r="S444" s="36"/>
      <c r="T444" s="12"/>
      <c r="U444" s="12"/>
      <c r="V444" s="12"/>
      <c r="W444" s="12"/>
      <c r="X444" s="12"/>
    </row>
    <row r="445" customFormat="false" ht="15.75" hidden="false" customHeight="false" outlineLevel="0" collapsed="false">
      <c r="A445" s="12"/>
      <c r="B445" s="34"/>
      <c r="C445" s="12"/>
      <c r="D445" s="12"/>
      <c r="E445" s="12"/>
      <c r="F445" s="12"/>
      <c r="G445" s="18"/>
      <c r="H445" s="35"/>
      <c r="I445" s="12"/>
      <c r="M445" s="12"/>
      <c r="N445" s="18"/>
      <c r="O445" s="12"/>
      <c r="P445" s="12"/>
      <c r="Q445" s="12"/>
      <c r="R445" s="36"/>
      <c r="S445" s="36"/>
      <c r="T445" s="12"/>
      <c r="U445" s="12"/>
      <c r="V445" s="12"/>
      <c r="W445" s="12"/>
      <c r="X445" s="12"/>
    </row>
    <row r="446" customFormat="false" ht="15.75" hidden="false" customHeight="false" outlineLevel="0" collapsed="false">
      <c r="A446" s="12"/>
      <c r="B446" s="34"/>
      <c r="C446" s="12"/>
      <c r="D446" s="12"/>
      <c r="E446" s="12"/>
      <c r="F446" s="12"/>
      <c r="G446" s="18"/>
      <c r="H446" s="35"/>
      <c r="I446" s="12"/>
      <c r="M446" s="12"/>
      <c r="N446" s="18"/>
      <c r="O446" s="12"/>
      <c r="P446" s="12"/>
      <c r="Q446" s="12"/>
      <c r="R446" s="36"/>
      <c r="S446" s="36"/>
      <c r="T446" s="12"/>
      <c r="U446" s="12"/>
      <c r="V446" s="12"/>
      <c r="W446" s="12"/>
      <c r="X446" s="12"/>
    </row>
    <row r="447" customFormat="false" ht="15.75" hidden="false" customHeight="false" outlineLevel="0" collapsed="false">
      <c r="A447" s="12"/>
      <c r="B447" s="34"/>
      <c r="C447" s="12"/>
      <c r="D447" s="12"/>
      <c r="E447" s="12"/>
      <c r="F447" s="12"/>
      <c r="G447" s="18"/>
      <c r="H447" s="35"/>
      <c r="I447" s="12"/>
      <c r="M447" s="12"/>
      <c r="N447" s="18"/>
      <c r="O447" s="12"/>
      <c r="P447" s="12"/>
      <c r="Q447" s="12"/>
      <c r="R447" s="36"/>
      <c r="S447" s="36"/>
      <c r="T447" s="12"/>
      <c r="U447" s="12"/>
      <c r="V447" s="12"/>
      <c r="W447" s="12"/>
      <c r="X447" s="12"/>
    </row>
    <row r="448" customFormat="false" ht="15.75" hidden="false" customHeight="false" outlineLevel="0" collapsed="false">
      <c r="A448" s="12"/>
      <c r="B448" s="34"/>
      <c r="C448" s="12"/>
      <c r="D448" s="12"/>
      <c r="E448" s="12"/>
      <c r="F448" s="12"/>
      <c r="G448" s="18"/>
      <c r="H448" s="35"/>
      <c r="I448" s="12"/>
      <c r="M448" s="12"/>
      <c r="N448" s="18"/>
      <c r="O448" s="12"/>
      <c r="P448" s="12"/>
      <c r="Q448" s="12"/>
      <c r="R448" s="36"/>
      <c r="S448" s="36"/>
      <c r="T448" s="12"/>
      <c r="U448" s="12"/>
      <c r="V448" s="12"/>
      <c r="W448" s="12"/>
      <c r="X448" s="12"/>
    </row>
    <row r="449" customFormat="false" ht="15.75" hidden="false" customHeight="false" outlineLevel="0" collapsed="false">
      <c r="A449" s="12"/>
      <c r="B449" s="34"/>
      <c r="C449" s="12"/>
      <c r="D449" s="12"/>
      <c r="E449" s="12"/>
      <c r="F449" s="12"/>
      <c r="G449" s="18"/>
      <c r="H449" s="35"/>
      <c r="I449" s="12"/>
      <c r="M449" s="12"/>
      <c r="N449" s="18"/>
      <c r="O449" s="12"/>
      <c r="P449" s="12"/>
      <c r="Q449" s="12"/>
      <c r="R449" s="36"/>
      <c r="S449" s="36"/>
      <c r="T449" s="12"/>
      <c r="U449" s="12"/>
      <c r="V449" s="12"/>
      <c r="W449" s="12"/>
      <c r="X449" s="12"/>
    </row>
    <row r="450" customFormat="false" ht="15.75" hidden="false" customHeight="false" outlineLevel="0" collapsed="false">
      <c r="A450" s="12"/>
      <c r="B450" s="34"/>
      <c r="C450" s="12"/>
      <c r="D450" s="12"/>
      <c r="E450" s="12"/>
      <c r="F450" s="12"/>
      <c r="G450" s="18"/>
      <c r="H450" s="35"/>
      <c r="I450" s="12"/>
      <c r="M450" s="12"/>
      <c r="N450" s="18"/>
      <c r="O450" s="12"/>
      <c r="P450" s="12"/>
      <c r="Q450" s="12"/>
      <c r="R450" s="36"/>
      <c r="S450" s="36"/>
      <c r="T450" s="12"/>
      <c r="U450" s="12"/>
      <c r="V450" s="12"/>
      <c r="W450" s="12"/>
      <c r="X450" s="12"/>
    </row>
    <row r="451" customFormat="false" ht="15.75" hidden="false" customHeight="false" outlineLevel="0" collapsed="false">
      <c r="A451" s="12"/>
      <c r="B451" s="34"/>
      <c r="C451" s="12"/>
      <c r="D451" s="12"/>
      <c r="E451" s="12"/>
      <c r="F451" s="12"/>
      <c r="G451" s="18"/>
      <c r="H451" s="35"/>
      <c r="I451" s="12"/>
      <c r="M451" s="12"/>
      <c r="N451" s="18"/>
      <c r="O451" s="12"/>
      <c r="P451" s="12"/>
      <c r="Q451" s="12"/>
      <c r="R451" s="36"/>
      <c r="S451" s="36"/>
      <c r="T451" s="12"/>
      <c r="U451" s="12"/>
      <c r="V451" s="12"/>
      <c r="W451" s="12"/>
      <c r="X451" s="12"/>
    </row>
    <row r="452" customFormat="false" ht="15.75" hidden="false" customHeight="false" outlineLevel="0" collapsed="false">
      <c r="A452" s="12"/>
      <c r="B452" s="34"/>
      <c r="C452" s="12"/>
      <c r="D452" s="12"/>
      <c r="E452" s="12"/>
      <c r="F452" s="12"/>
      <c r="G452" s="18"/>
      <c r="H452" s="35"/>
      <c r="I452" s="12"/>
      <c r="M452" s="12"/>
      <c r="N452" s="18"/>
      <c r="O452" s="12"/>
      <c r="P452" s="12"/>
      <c r="Q452" s="12"/>
      <c r="R452" s="36"/>
      <c r="S452" s="36"/>
      <c r="T452" s="12"/>
      <c r="U452" s="12"/>
      <c r="V452" s="12"/>
      <c r="W452" s="12"/>
      <c r="X452" s="12"/>
    </row>
    <row r="453" customFormat="false" ht="15.75" hidden="false" customHeight="false" outlineLevel="0" collapsed="false">
      <c r="A453" s="12"/>
      <c r="B453" s="34"/>
      <c r="C453" s="12"/>
      <c r="D453" s="12"/>
      <c r="E453" s="12"/>
      <c r="F453" s="12"/>
      <c r="G453" s="18"/>
      <c r="H453" s="35"/>
      <c r="I453" s="12"/>
      <c r="M453" s="12"/>
      <c r="N453" s="18"/>
      <c r="O453" s="12"/>
      <c r="P453" s="12"/>
      <c r="Q453" s="12"/>
      <c r="R453" s="36"/>
      <c r="S453" s="36"/>
      <c r="T453" s="12"/>
      <c r="U453" s="12"/>
      <c r="V453" s="12"/>
      <c r="W453" s="12"/>
      <c r="X453" s="12"/>
    </row>
    <row r="454" customFormat="false" ht="15.75" hidden="false" customHeight="false" outlineLevel="0" collapsed="false">
      <c r="A454" s="12"/>
      <c r="B454" s="34"/>
      <c r="C454" s="12"/>
      <c r="D454" s="12"/>
      <c r="E454" s="12"/>
      <c r="F454" s="12"/>
      <c r="G454" s="18"/>
      <c r="H454" s="35"/>
      <c r="I454" s="12"/>
      <c r="M454" s="12"/>
      <c r="N454" s="18"/>
      <c r="O454" s="12"/>
      <c r="P454" s="12"/>
      <c r="Q454" s="12"/>
      <c r="R454" s="36"/>
      <c r="S454" s="36"/>
      <c r="T454" s="12"/>
      <c r="U454" s="12"/>
      <c r="V454" s="12"/>
      <c r="W454" s="12"/>
      <c r="X454" s="12"/>
    </row>
    <row r="455" customFormat="false" ht="15.75" hidden="false" customHeight="false" outlineLevel="0" collapsed="false">
      <c r="A455" s="12"/>
      <c r="B455" s="34"/>
      <c r="C455" s="12"/>
      <c r="D455" s="12"/>
      <c r="E455" s="12"/>
      <c r="F455" s="12"/>
      <c r="G455" s="18"/>
      <c r="H455" s="35"/>
      <c r="I455" s="12"/>
      <c r="M455" s="12"/>
      <c r="N455" s="18"/>
      <c r="O455" s="12"/>
      <c r="P455" s="12"/>
      <c r="Q455" s="12"/>
      <c r="R455" s="36"/>
      <c r="S455" s="36"/>
      <c r="T455" s="12"/>
      <c r="U455" s="12"/>
      <c r="V455" s="12"/>
      <c r="W455" s="12"/>
      <c r="X455" s="12"/>
    </row>
    <row r="456" customFormat="false" ht="15.75" hidden="false" customHeight="false" outlineLevel="0" collapsed="false">
      <c r="A456" s="12"/>
      <c r="B456" s="34"/>
      <c r="C456" s="12"/>
      <c r="D456" s="12"/>
      <c r="E456" s="12"/>
      <c r="F456" s="12"/>
      <c r="G456" s="18"/>
      <c r="H456" s="35"/>
      <c r="I456" s="12"/>
      <c r="M456" s="12"/>
      <c r="N456" s="18"/>
      <c r="O456" s="12"/>
      <c r="P456" s="12"/>
      <c r="Q456" s="12"/>
      <c r="R456" s="36"/>
      <c r="S456" s="36"/>
      <c r="T456" s="12"/>
      <c r="U456" s="12"/>
      <c r="V456" s="12"/>
      <c r="W456" s="12"/>
      <c r="X456" s="12"/>
    </row>
    <row r="457" customFormat="false" ht="15.75" hidden="false" customHeight="false" outlineLevel="0" collapsed="false">
      <c r="A457" s="12"/>
      <c r="B457" s="34"/>
      <c r="C457" s="12"/>
      <c r="D457" s="12"/>
      <c r="E457" s="12"/>
      <c r="F457" s="12"/>
      <c r="G457" s="18"/>
      <c r="H457" s="35"/>
      <c r="I457" s="12"/>
      <c r="M457" s="12"/>
      <c r="N457" s="18"/>
      <c r="O457" s="12"/>
      <c r="P457" s="12"/>
      <c r="Q457" s="12"/>
      <c r="R457" s="36"/>
      <c r="S457" s="36"/>
      <c r="T457" s="12"/>
      <c r="U457" s="12"/>
      <c r="V457" s="12"/>
      <c r="W457" s="12"/>
      <c r="X457" s="12"/>
    </row>
    <row r="458" customFormat="false" ht="15.75" hidden="false" customHeight="false" outlineLevel="0" collapsed="false">
      <c r="A458" s="12"/>
      <c r="B458" s="34"/>
      <c r="C458" s="12"/>
      <c r="D458" s="12"/>
      <c r="E458" s="12"/>
      <c r="F458" s="12"/>
      <c r="G458" s="18"/>
      <c r="H458" s="35"/>
      <c r="I458" s="12"/>
      <c r="M458" s="12"/>
      <c r="N458" s="18"/>
      <c r="O458" s="12"/>
      <c r="P458" s="12"/>
      <c r="Q458" s="12"/>
      <c r="R458" s="36"/>
      <c r="S458" s="36"/>
      <c r="T458" s="12"/>
      <c r="U458" s="12"/>
      <c r="V458" s="12"/>
      <c r="W458" s="12"/>
      <c r="X458" s="12"/>
    </row>
    <row r="459" customFormat="false" ht="15.75" hidden="false" customHeight="false" outlineLevel="0" collapsed="false">
      <c r="A459" s="12"/>
      <c r="B459" s="34"/>
      <c r="C459" s="12"/>
      <c r="D459" s="12"/>
      <c r="E459" s="12"/>
      <c r="F459" s="12"/>
      <c r="G459" s="18"/>
      <c r="H459" s="35"/>
      <c r="I459" s="12"/>
      <c r="M459" s="12"/>
      <c r="N459" s="18"/>
      <c r="O459" s="12"/>
      <c r="P459" s="12"/>
      <c r="Q459" s="12"/>
      <c r="R459" s="36"/>
      <c r="S459" s="36"/>
      <c r="T459" s="12"/>
      <c r="U459" s="12"/>
      <c r="V459" s="12"/>
      <c r="W459" s="12"/>
      <c r="X459" s="12"/>
    </row>
    <row r="460" customFormat="false" ht="15.75" hidden="false" customHeight="false" outlineLevel="0" collapsed="false">
      <c r="A460" s="12"/>
      <c r="B460" s="34"/>
      <c r="C460" s="12"/>
      <c r="D460" s="12"/>
      <c r="E460" s="12"/>
      <c r="F460" s="12"/>
      <c r="G460" s="18"/>
      <c r="H460" s="35"/>
      <c r="I460" s="12"/>
      <c r="M460" s="12"/>
      <c r="N460" s="18"/>
      <c r="O460" s="12"/>
      <c r="P460" s="12"/>
      <c r="Q460" s="12"/>
      <c r="R460" s="36"/>
      <c r="S460" s="36"/>
      <c r="T460" s="12"/>
      <c r="U460" s="12"/>
      <c r="V460" s="12"/>
      <c r="W460" s="12"/>
      <c r="X460" s="12"/>
    </row>
    <row r="461" customFormat="false" ht="15.75" hidden="false" customHeight="false" outlineLevel="0" collapsed="false">
      <c r="A461" s="12"/>
      <c r="B461" s="34"/>
      <c r="C461" s="12"/>
      <c r="D461" s="12"/>
      <c r="E461" s="12"/>
      <c r="F461" s="12"/>
      <c r="G461" s="18"/>
      <c r="H461" s="35"/>
      <c r="I461" s="12"/>
      <c r="M461" s="12"/>
      <c r="N461" s="18"/>
      <c r="O461" s="12"/>
      <c r="P461" s="12"/>
      <c r="Q461" s="12"/>
      <c r="R461" s="36"/>
      <c r="S461" s="36"/>
      <c r="T461" s="12"/>
      <c r="U461" s="12"/>
      <c r="V461" s="12"/>
      <c r="W461" s="12"/>
      <c r="X461" s="12"/>
    </row>
    <row r="462" customFormat="false" ht="15.75" hidden="false" customHeight="false" outlineLevel="0" collapsed="false">
      <c r="A462" s="12"/>
      <c r="B462" s="34"/>
      <c r="C462" s="12"/>
      <c r="D462" s="12"/>
      <c r="E462" s="12"/>
      <c r="F462" s="12"/>
      <c r="G462" s="18"/>
      <c r="H462" s="35"/>
      <c r="I462" s="12"/>
      <c r="M462" s="12"/>
      <c r="N462" s="18"/>
      <c r="O462" s="12"/>
      <c r="P462" s="12"/>
      <c r="Q462" s="12"/>
      <c r="R462" s="36"/>
      <c r="S462" s="36"/>
      <c r="T462" s="12"/>
      <c r="U462" s="12"/>
      <c r="V462" s="12"/>
      <c r="W462" s="12"/>
      <c r="X462" s="12"/>
    </row>
    <row r="463" customFormat="false" ht="15.75" hidden="false" customHeight="false" outlineLevel="0" collapsed="false">
      <c r="A463" s="12"/>
      <c r="B463" s="34"/>
      <c r="C463" s="12"/>
      <c r="D463" s="12"/>
      <c r="E463" s="12"/>
      <c r="F463" s="12"/>
      <c r="G463" s="18"/>
      <c r="H463" s="35"/>
      <c r="I463" s="12"/>
      <c r="M463" s="12"/>
      <c r="N463" s="18"/>
      <c r="O463" s="12"/>
      <c r="P463" s="12"/>
      <c r="Q463" s="12"/>
      <c r="R463" s="36"/>
      <c r="S463" s="36"/>
      <c r="T463" s="12"/>
      <c r="U463" s="12"/>
      <c r="V463" s="12"/>
      <c r="W463" s="12"/>
      <c r="X463" s="12"/>
    </row>
    <row r="464" customFormat="false" ht="15.75" hidden="false" customHeight="false" outlineLevel="0" collapsed="false">
      <c r="A464" s="12"/>
      <c r="B464" s="34"/>
      <c r="C464" s="12"/>
      <c r="D464" s="12"/>
      <c r="E464" s="12"/>
      <c r="F464" s="12"/>
      <c r="G464" s="18"/>
      <c r="H464" s="35"/>
      <c r="I464" s="12"/>
      <c r="M464" s="12"/>
      <c r="N464" s="18"/>
      <c r="O464" s="12"/>
      <c r="P464" s="12"/>
      <c r="Q464" s="12"/>
      <c r="R464" s="36"/>
      <c r="S464" s="36"/>
      <c r="T464" s="12"/>
      <c r="U464" s="12"/>
      <c r="V464" s="12"/>
      <c r="W464" s="12"/>
      <c r="X464" s="12"/>
    </row>
    <row r="465" customFormat="false" ht="15.75" hidden="false" customHeight="false" outlineLevel="0" collapsed="false">
      <c r="A465" s="12"/>
      <c r="B465" s="34"/>
      <c r="C465" s="12"/>
      <c r="D465" s="12"/>
      <c r="E465" s="12"/>
      <c r="F465" s="12"/>
      <c r="G465" s="18"/>
      <c r="H465" s="35"/>
      <c r="I465" s="12"/>
      <c r="M465" s="12"/>
      <c r="N465" s="18"/>
      <c r="O465" s="12"/>
      <c r="P465" s="12"/>
      <c r="Q465" s="12"/>
      <c r="R465" s="36"/>
      <c r="S465" s="36"/>
      <c r="T465" s="12"/>
      <c r="U465" s="12"/>
      <c r="V465" s="12"/>
      <c r="W465" s="12"/>
      <c r="X465" s="12"/>
    </row>
    <row r="466" customFormat="false" ht="15.75" hidden="false" customHeight="false" outlineLevel="0" collapsed="false">
      <c r="A466" s="12"/>
      <c r="B466" s="34"/>
      <c r="C466" s="12"/>
      <c r="D466" s="12"/>
      <c r="E466" s="12"/>
      <c r="F466" s="12"/>
      <c r="G466" s="18"/>
      <c r="H466" s="35"/>
      <c r="I466" s="12"/>
      <c r="M466" s="12"/>
      <c r="N466" s="18"/>
      <c r="O466" s="12"/>
      <c r="P466" s="12"/>
      <c r="Q466" s="12"/>
      <c r="R466" s="36"/>
      <c r="S466" s="36"/>
      <c r="T466" s="12"/>
      <c r="U466" s="12"/>
      <c r="V466" s="12"/>
      <c r="W466" s="12"/>
      <c r="X466" s="12"/>
    </row>
    <row r="467" customFormat="false" ht="15.75" hidden="false" customHeight="false" outlineLevel="0" collapsed="false">
      <c r="A467" s="12"/>
      <c r="B467" s="34"/>
      <c r="C467" s="12"/>
      <c r="D467" s="12"/>
      <c r="E467" s="12"/>
      <c r="F467" s="12"/>
      <c r="G467" s="18"/>
      <c r="H467" s="35"/>
      <c r="I467" s="12"/>
      <c r="M467" s="12"/>
      <c r="N467" s="18"/>
      <c r="O467" s="12"/>
      <c r="P467" s="12"/>
      <c r="Q467" s="12"/>
      <c r="R467" s="36"/>
      <c r="S467" s="36"/>
      <c r="T467" s="12"/>
      <c r="U467" s="12"/>
      <c r="V467" s="12"/>
      <c r="W467" s="12"/>
      <c r="X467" s="12"/>
    </row>
    <row r="468" customFormat="false" ht="15.75" hidden="false" customHeight="false" outlineLevel="0" collapsed="false">
      <c r="A468" s="12"/>
      <c r="B468" s="34"/>
      <c r="C468" s="12"/>
      <c r="D468" s="12"/>
      <c r="E468" s="12"/>
      <c r="F468" s="12"/>
      <c r="G468" s="18"/>
      <c r="H468" s="35"/>
      <c r="I468" s="12"/>
      <c r="M468" s="12"/>
      <c r="N468" s="18"/>
      <c r="O468" s="12"/>
      <c r="P468" s="12"/>
      <c r="Q468" s="12"/>
      <c r="R468" s="36"/>
      <c r="S468" s="36"/>
      <c r="T468" s="12"/>
      <c r="U468" s="12"/>
      <c r="V468" s="12"/>
      <c r="W468" s="12"/>
      <c r="X468" s="12"/>
    </row>
    <row r="469" customFormat="false" ht="15.75" hidden="false" customHeight="false" outlineLevel="0" collapsed="false">
      <c r="A469" s="12"/>
      <c r="B469" s="34"/>
      <c r="C469" s="12"/>
      <c r="D469" s="12"/>
      <c r="E469" s="12"/>
      <c r="F469" s="12"/>
      <c r="G469" s="18"/>
      <c r="H469" s="35"/>
      <c r="I469" s="12"/>
      <c r="M469" s="12"/>
      <c r="N469" s="18"/>
      <c r="O469" s="12"/>
      <c r="P469" s="12"/>
      <c r="Q469" s="12"/>
      <c r="R469" s="36"/>
      <c r="S469" s="36"/>
      <c r="T469" s="12"/>
      <c r="U469" s="12"/>
      <c r="V469" s="12"/>
      <c r="W469" s="12"/>
      <c r="X469" s="12"/>
    </row>
    <row r="470" customFormat="false" ht="15.75" hidden="false" customHeight="false" outlineLevel="0" collapsed="false">
      <c r="A470" s="12"/>
      <c r="B470" s="34"/>
      <c r="C470" s="12"/>
      <c r="D470" s="12"/>
      <c r="E470" s="12"/>
      <c r="F470" s="12"/>
      <c r="G470" s="18"/>
      <c r="H470" s="35"/>
      <c r="I470" s="12"/>
      <c r="M470" s="12"/>
      <c r="N470" s="18"/>
      <c r="O470" s="12"/>
      <c r="P470" s="12"/>
      <c r="Q470" s="12"/>
      <c r="R470" s="36"/>
      <c r="S470" s="36"/>
      <c r="T470" s="12"/>
      <c r="U470" s="12"/>
      <c r="V470" s="12"/>
      <c r="W470" s="12"/>
      <c r="X470" s="12"/>
    </row>
    <row r="471" customFormat="false" ht="15.75" hidden="false" customHeight="false" outlineLevel="0" collapsed="false">
      <c r="A471" s="12"/>
      <c r="B471" s="34"/>
      <c r="C471" s="12"/>
      <c r="D471" s="12"/>
      <c r="E471" s="12"/>
      <c r="F471" s="12"/>
      <c r="G471" s="18"/>
      <c r="H471" s="35"/>
      <c r="I471" s="12"/>
      <c r="M471" s="12"/>
      <c r="N471" s="18"/>
      <c r="O471" s="12"/>
      <c r="P471" s="12"/>
      <c r="Q471" s="12"/>
      <c r="R471" s="36"/>
      <c r="S471" s="36"/>
      <c r="T471" s="12"/>
      <c r="U471" s="12"/>
      <c r="V471" s="12"/>
      <c r="W471" s="12"/>
      <c r="X471" s="12"/>
    </row>
    <row r="472" customFormat="false" ht="15.75" hidden="false" customHeight="false" outlineLevel="0" collapsed="false">
      <c r="A472" s="12"/>
      <c r="B472" s="34"/>
      <c r="C472" s="12"/>
      <c r="D472" s="12"/>
      <c r="E472" s="12"/>
      <c r="F472" s="12"/>
      <c r="G472" s="18"/>
      <c r="H472" s="35"/>
      <c r="I472" s="12"/>
      <c r="M472" s="12"/>
      <c r="N472" s="18"/>
      <c r="O472" s="12"/>
      <c r="P472" s="12"/>
      <c r="Q472" s="12"/>
      <c r="R472" s="36"/>
      <c r="S472" s="36"/>
      <c r="T472" s="12"/>
      <c r="U472" s="12"/>
      <c r="V472" s="12"/>
      <c r="W472" s="12"/>
      <c r="X472" s="12"/>
    </row>
    <row r="473" customFormat="false" ht="15.75" hidden="false" customHeight="false" outlineLevel="0" collapsed="false">
      <c r="A473" s="12"/>
      <c r="B473" s="34"/>
      <c r="C473" s="12"/>
      <c r="D473" s="12"/>
      <c r="E473" s="12"/>
      <c r="F473" s="12"/>
      <c r="G473" s="18"/>
      <c r="H473" s="35"/>
      <c r="I473" s="12"/>
      <c r="M473" s="12"/>
      <c r="N473" s="18"/>
      <c r="O473" s="12"/>
      <c r="P473" s="12"/>
      <c r="Q473" s="12"/>
      <c r="R473" s="36"/>
      <c r="S473" s="36"/>
      <c r="T473" s="12"/>
      <c r="U473" s="12"/>
      <c r="V473" s="12"/>
      <c r="W473" s="12"/>
      <c r="X473" s="12"/>
    </row>
    <row r="474" customFormat="false" ht="15.75" hidden="false" customHeight="false" outlineLevel="0" collapsed="false">
      <c r="A474" s="12"/>
      <c r="B474" s="34"/>
      <c r="C474" s="12"/>
      <c r="D474" s="12"/>
      <c r="E474" s="12"/>
      <c r="F474" s="12"/>
      <c r="G474" s="18"/>
      <c r="H474" s="35"/>
      <c r="I474" s="12"/>
      <c r="M474" s="12"/>
      <c r="N474" s="18"/>
      <c r="O474" s="12"/>
      <c r="P474" s="12"/>
      <c r="Q474" s="12"/>
      <c r="R474" s="36"/>
      <c r="S474" s="36"/>
      <c r="T474" s="12"/>
      <c r="U474" s="12"/>
      <c r="V474" s="12"/>
      <c r="W474" s="12"/>
      <c r="X474" s="12"/>
    </row>
    <row r="475" customFormat="false" ht="15.75" hidden="false" customHeight="false" outlineLevel="0" collapsed="false">
      <c r="A475" s="12"/>
      <c r="B475" s="34"/>
      <c r="C475" s="12"/>
      <c r="D475" s="12"/>
      <c r="E475" s="12"/>
      <c r="F475" s="12"/>
      <c r="G475" s="18"/>
      <c r="H475" s="35"/>
      <c r="I475" s="12"/>
      <c r="M475" s="12"/>
      <c r="N475" s="18"/>
      <c r="O475" s="12"/>
      <c r="P475" s="12"/>
      <c r="Q475" s="12"/>
      <c r="R475" s="36"/>
      <c r="S475" s="36"/>
      <c r="T475" s="12"/>
      <c r="U475" s="12"/>
      <c r="V475" s="12"/>
      <c r="W475" s="12"/>
      <c r="X475" s="12"/>
    </row>
    <row r="476" customFormat="false" ht="15.75" hidden="false" customHeight="false" outlineLevel="0" collapsed="false">
      <c r="A476" s="12"/>
      <c r="B476" s="34"/>
      <c r="C476" s="12"/>
      <c r="D476" s="12"/>
      <c r="E476" s="12"/>
      <c r="F476" s="12"/>
      <c r="G476" s="18"/>
      <c r="H476" s="35"/>
      <c r="I476" s="12"/>
      <c r="M476" s="12"/>
      <c r="N476" s="18"/>
      <c r="O476" s="12"/>
      <c r="P476" s="12"/>
      <c r="Q476" s="12"/>
      <c r="R476" s="36"/>
      <c r="S476" s="36"/>
      <c r="T476" s="12"/>
      <c r="U476" s="12"/>
      <c r="V476" s="12"/>
      <c r="W476" s="12"/>
      <c r="X476" s="12"/>
    </row>
    <row r="477" customFormat="false" ht="15.75" hidden="false" customHeight="false" outlineLevel="0" collapsed="false">
      <c r="A477" s="12"/>
      <c r="B477" s="34"/>
      <c r="C477" s="12"/>
      <c r="D477" s="12"/>
      <c r="E477" s="12"/>
      <c r="F477" s="12"/>
      <c r="G477" s="18"/>
      <c r="H477" s="35"/>
      <c r="I477" s="12"/>
      <c r="M477" s="12"/>
      <c r="N477" s="18"/>
      <c r="O477" s="12"/>
      <c r="P477" s="12"/>
      <c r="Q477" s="12"/>
      <c r="R477" s="36"/>
      <c r="S477" s="36"/>
      <c r="T477" s="12"/>
      <c r="U477" s="12"/>
      <c r="V477" s="12"/>
      <c r="W477" s="12"/>
      <c r="X477" s="12"/>
    </row>
    <row r="478" customFormat="false" ht="15.75" hidden="false" customHeight="false" outlineLevel="0" collapsed="false">
      <c r="A478" s="12"/>
      <c r="B478" s="34"/>
      <c r="C478" s="12"/>
      <c r="D478" s="12"/>
      <c r="E478" s="12"/>
      <c r="F478" s="12"/>
      <c r="G478" s="18"/>
      <c r="H478" s="35"/>
      <c r="I478" s="12"/>
      <c r="M478" s="12"/>
      <c r="N478" s="18"/>
      <c r="O478" s="12"/>
      <c r="P478" s="12"/>
      <c r="Q478" s="12"/>
      <c r="R478" s="36"/>
      <c r="S478" s="36"/>
      <c r="T478" s="12"/>
      <c r="U478" s="12"/>
      <c r="V478" s="12"/>
      <c r="W478" s="12"/>
      <c r="X478" s="12"/>
    </row>
    <row r="479" customFormat="false" ht="15.75" hidden="false" customHeight="false" outlineLevel="0" collapsed="false">
      <c r="A479" s="12"/>
      <c r="B479" s="34"/>
      <c r="C479" s="12"/>
      <c r="D479" s="12"/>
      <c r="E479" s="12"/>
      <c r="F479" s="12"/>
      <c r="G479" s="18"/>
      <c r="H479" s="35"/>
      <c r="I479" s="12"/>
      <c r="M479" s="12"/>
      <c r="N479" s="18"/>
      <c r="O479" s="12"/>
      <c r="P479" s="12"/>
      <c r="Q479" s="12"/>
      <c r="R479" s="36"/>
      <c r="S479" s="36"/>
      <c r="T479" s="12"/>
      <c r="U479" s="12"/>
      <c r="V479" s="12"/>
      <c r="W479" s="12"/>
      <c r="X479" s="12"/>
    </row>
    <row r="480" customFormat="false" ht="15.75" hidden="false" customHeight="false" outlineLevel="0" collapsed="false">
      <c r="A480" s="12"/>
      <c r="B480" s="34"/>
      <c r="C480" s="12"/>
      <c r="D480" s="12"/>
      <c r="E480" s="12"/>
      <c r="F480" s="12"/>
      <c r="G480" s="18"/>
      <c r="H480" s="35"/>
      <c r="I480" s="12"/>
      <c r="M480" s="12"/>
      <c r="N480" s="18"/>
      <c r="O480" s="12"/>
      <c r="P480" s="12"/>
      <c r="Q480" s="12"/>
      <c r="R480" s="36"/>
      <c r="S480" s="36"/>
      <c r="T480" s="12"/>
      <c r="U480" s="12"/>
      <c r="V480" s="12"/>
      <c r="W480" s="12"/>
      <c r="X480" s="12"/>
    </row>
    <row r="481" customFormat="false" ht="15.75" hidden="false" customHeight="false" outlineLevel="0" collapsed="false">
      <c r="A481" s="12"/>
      <c r="B481" s="34"/>
      <c r="C481" s="12"/>
      <c r="D481" s="12"/>
      <c r="E481" s="12"/>
      <c r="F481" s="12"/>
      <c r="G481" s="18"/>
      <c r="H481" s="35"/>
      <c r="I481" s="12"/>
      <c r="M481" s="12"/>
      <c r="N481" s="18"/>
      <c r="O481" s="12"/>
      <c r="P481" s="12"/>
      <c r="Q481" s="12"/>
      <c r="R481" s="36"/>
      <c r="S481" s="36"/>
      <c r="T481" s="12"/>
      <c r="U481" s="12"/>
      <c r="V481" s="12"/>
      <c r="W481" s="12"/>
      <c r="X481" s="12"/>
    </row>
    <row r="482" customFormat="false" ht="15.75" hidden="false" customHeight="false" outlineLevel="0" collapsed="false">
      <c r="A482" s="12"/>
      <c r="B482" s="34"/>
      <c r="C482" s="12"/>
      <c r="D482" s="12"/>
      <c r="E482" s="12"/>
      <c r="F482" s="12"/>
      <c r="G482" s="18"/>
      <c r="H482" s="35"/>
      <c r="I482" s="12"/>
      <c r="M482" s="12"/>
      <c r="N482" s="18"/>
      <c r="O482" s="12"/>
      <c r="P482" s="12"/>
      <c r="Q482" s="12"/>
      <c r="R482" s="36"/>
      <c r="S482" s="36"/>
      <c r="T482" s="12"/>
      <c r="U482" s="12"/>
      <c r="V482" s="12"/>
      <c r="W482" s="12"/>
      <c r="X482" s="12"/>
    </row>
    <row r="483" customFormat="false" ht="15.75" hidden="false" customHeight="false" outlineLevel="0" collapsed="false">
      <c r="A483" s="12"/>
      <c r="B483" s="34"/>
      <c r="C483" s="12"/>
      <c r="D483" s="12"/>
      <c r="E483" s="12"/>
      <c r="F483" s="12"/>
      <c r="G483" s="18"/>
      <c r="H483" s="35"/>
      <c r="I483" s="12"/>
      <c r="M483" s="12"/>
      <c r="N483" s="18"/>
      <c r="O483" s="12"/>
      <c r="P483" s="12"/>
      <c r="Q483" s="12"/>
      <c r="R483" s="36"/>
      <c r="S483" s="36"/>
      <c r="T483" s="12"/>
      <c r="U483" s="12"/>
      <c r="V483" s="12"/>
      <c r="W483" s="12"/>
      <c r="X483" s="12"/>
    </row>
    <row r="484" customFormat="false" ht="15.75" hidden="false" customHeight="false" outlineLevel="0" collapsed="false">
      <c r="A484" s="12"/>
      <c r="B484" s="34"/>
      <c r="C484" s="12"/>
      <c r="D484" s="12"/>
      <c r="E484" s="12"/>
      <c r="F484" s="12"/>
      <c r="G484" s="18"/>
      <c r="H484" s="35"/>
      <c r="I484" s="12"/>
      <c r="M484" s="12"/>
      <c r="N484" s="18"/>
      <c r="O484" s="12"/>
      <c r="P484" s="12"/>
      <c r="Q484" s="12"/>
      <c r="R484" s="36"/>
      <c r="S484" s="36"/>
      <c r="T484" s="12"/>
      <c r="U484" s="12"/>
      <c r="V484" s="12"/>
      <c r="W484" s="12"/>
      <c r="X484" s="12"/>
    </row>
    <row r="485" customFormat="false" ht="15.75" hidden="false" customHeight="false" outlineLevel="0" collapsed="false">
      <c r="A485" s="12"/>
      <c r="B485" s="34"/>
      <c r="C485" s="12"/>
      <c r="D485" s="12"/>
      <c r="E485" s="12"/>
      <c r="F485" s="12"/>
      <c r="G485" s="18"/>
      <c r="H485" s="35"/>
      <c r="I485" s="12"/>
      <c r="M485" s="12"/>
      <c r="N485" s="18"/>
      <c r="O485" s="12"/>
      <c r="P485" s="12"/>
      <c r="Q485" s="12"/>
      <c r="R485" s="36"/>
      <c r="S485" s="36"/>
      <c r="T485" s="12"/>
      <c r="U485" s="12"/>
      <c r="V485" s="12"/>
      <c r="W485" s="12"/>
      <c r="X485" s="12"/>
    </row>
    <row r="486" customFormat="false" ht="15.75" hidden="false" customHeight="false" outlineLevel="0" collapsed="false">
      <c r="A486" s="12"/>
      <c r="B486" s="34"/>
      <c r="C486" s="12"/>
      <c r="D486" s="12"/>
      <c r="E486" s="12"/>
      <c r="F486" s="12"/>
      <c r="G486" s="18"/>
      <c r="H486" s="35"/>
      <c r="I486" s="12"/>
      <c r="M486" s="12"/>
      <c r="N486" s="18"/>
      <c r="O486" s="12"/>
      <c r="P486" s="12"/>
      <c r="Q486" s="12"/>
      <c r="R486" s="36"/>
      <c r="S486" s="36"/>
      <c r="T486" s="12"/>
      <c r="U486" s="12"/>
      <c r="V486" s="12"/>
      <c r="W486" s="12"/>
      <c r="X486" s="12"/>
    </row>
    <row r="487" customFormat="false" ht="15.75" hidden="false" customHeight="false" outlineLevel="0" collapsed="false">
      <c r="A487" s="12"/>
      <c r="B487" s="34"/>
      <c r="C487" s="12"/>
      <c r="D487" s="12"/>
      <c r="E487" s="12"/>
      <c r="F487" s="12"/>
      <c r="G487" s="18"/>
      <c r="H487" s="35"/>
      <c r="I487" s="12"/>
      <c r="M487" s="12"/>
      <c r="N487" s="18"/>
      <c r="O487" s="12"/>
      <c r="P487" s="12"/>
      <c r="Q487" s="12"/>
      <c r="R487" s="36"/>
      <c r="S487" s="36"/>
      <c r="T487" s="12"/>
      <c r="U487" s="12"/>
      <c r="V487" s="12"/>
      <c r="W487" s="12"/>
      <c r="X487" s="12"/>
    </row>
    <row r="488" customFormat="false" ht="15.75" hidden="false" customHeight="false" outlineLevel="0" collapsed="false">
      <c r="A488" s="12"/>
      <c r="B488" s="34"/>
      <c r="C488" s="12"/>
      <c r="D488" s="12"/>
      <c r="E488" s="12"/>
      <c r="F488" s="12"/>
      <c r="G488" s="18"/>
      <c r="H488" s="35"/>
      <c r="I488" s="12"/>
      <c r="M488" s="12"/>
      <c r="N488" s="18"/>
      <c r="O488" s="12"/>
      <c r="P488" s="12"/>
      <c r="Q488" s="12"/>
      <c r="R488" s="36"/>
      <c r="S488" s="36"/>
      <c r="T488" s="12"/>
      <c r="U488" s="12"/>
      <c r="V488" s="12"/>
      <c r="W488" s="12"/>
      <c r="X488" s="12"/>
    </row>
    <row r="489" customFormat="false" ht="15.75" hidden="false" customHeight="false" outlineLevel="0" collapsed="false">
      <c r="A489" s="12"/>
      <c r="B489" s="34"/>
      <c r="C489" s="12"/>
      <c r="D489" s="12"/>
      <c r="E489" s="12"/>
      <c r="F489" s="12"/>
      <c r="G489" s="18"/>
      <c r="H489" s="35"/>
      <c r="I489" s="12"/>
      <c r="M489" s="12"/>
      <c r="N489" s="18"/>
      <c r="O489" s="12"/>
      <c r="P489" s="12"/>
      <c r="Q489" s="12"/>
      <c r="R489" s="36"/>
      <c r="S489" s="36"/>
      <c r="T489" s="12"/>
      <c r="U489" s="12"/>
      <c r="V489" s="12"/>
      <c r="W489" s="12"/>
      <c r="X489" s="12"/>
    </row>
    <row r="490" customFormat="false" ht="15.75" hidden="false" customHeight="false" outlineLevel="0" collapsed="false">
      <c r="A490" s="12"/>
      <c r="B490" s="34"/>
      <c r="C490" s="12"/>
      <c r="D490" s="12"/>
      <c r="E490" s="12"/>
      <c r="F490" s="12"/>
      <c r="G490" s="18"/>
      <c r="H490" s="35"/>
      <c r="I490" s="12"/>
      <c r="M490" s="12"/>
      <c r="N490" s="18"/>
      <c r="O490" s="12"/>
      <c r="P490" s="12"/>
      <c r="Q490" s="12"/>
      <c r="R490" s="36"/>
      <c r="S490" s="36"/>
      <c r="T490" s="12"/>
      <c r="U490" s="12"/>
      <c r="V490" s="12"/>
      <c r="W490" s="12"/>
      <c r="X490" s="12"/>
    </row>
    <row r="491" customFormat="false" ht="15.75" hidden="false" customHeight="false" outlineLevel="0" collapsed="false">
      <c r="A491" s="12"/>
      <c r="B491" s="34"/>
      <c r="C491" s="12"/>
      <c r="D491" s="12"/>
      <c r="E491" s="12"/>
      <c r="F491" s="12"/>
      <c r="G491" s="18"/>
      <c r="H491" s="35"/>
      <c r="I491" s="12"/>
      <c r="M491" s="12"/>
      <c r="N491" s="18"/>
      <c r="O491" s="12"/>
      <c r="P491" s="12"/>
      <c r="Q491" s="12"/>
      <c r="R491" s="36"/>
      <c r="S491" s="36"/>
      <c r="T491" s="12"/>
      <c r="U491" s="12"/>
      <c r="V491" s="12"/>
      <c r="W491" s="12"/>
      <c r="X491" s="12"/>
    </row>
    <row r="492" customFormat="false" ht="15.75" hidden="false" customHeight="false" outlineLevel="0" collapsed="false">
      <c r="A492" s="12"/>
      <c r="B492" s="34"/>
      <c r="C492" s="12"/>
      <c r="D492" s="12"/>
      <c r="E492" s="12"/>
      <c r="F492" s="12"/>
      <c r="G492" s="18"/>
      <c r="H492" s="35"/>
      <c r="I492" s="12"/>
      <c r="M492" s="12"/>
      <c r="N492" s="18"/>
      <c r="O492" s="12"/>
      <c r="P492" s="12"/>
      <c r="Q492" s="12"/>
      <c r="R492" s="36"/>
      <c r="S492" s="36"/>
      <c r="T492" s="12"/>
      <c r="U492" s="12"/>
      <c r="V492" s="12"/>
      <c r="W492" s="12"/>
      <c r="X492" s="12"/>
    </row>
    <row r="493" customFormat="false" ht="15.75" hidden="false" customHeight="false" outlineLevel="0" collapsed="false">
      <c r="A493" s="12"/>
      <c r="B493" s="34"/>
      <c r="C493" s="12"/>
      <c r="D493" s="12"/>
      <c r="E493" s="12"/>
      <c r="F493" s="12"/>
      <c r="G493" s="18"/>
      <c r="H493" s="35"/>
      <c r="I493" s="12"/>
      <c r="M493" s="12"/>
      <c r="N493" s="18"/>
      <c r="O493" s="12"/>
      <c r="P493" s="12"/>
      <c r="Q493" s="12"/>
      <c r="R493" s="36"/>
      <c r="S493" s="36"/>
      <c r="T493" s="12"/>
      <c r="U493" s="12"/>
      <c r="V493" s="12"/>
      <c r="W493" s="12"/>
      <c r="X493" s="12"/>
    </row>
    <row r="494" customFormat="false" ht="15.75" hidden="false" customHeight="false" outlineLevel="0" collapsed="false">
      <c r="A494" s="12"/>
      <c r="B494" s="34"/>
      <c r="C494" s="12"/>
      <c r="D494" s="12"/>
      <c r="E494" s="12"/>
      <c r="F494" s="12"/>
      <c r="G494" s="18"/>
      <c r="H494" s="35"/>
      <c r="I494" s="12"/>
      <c r="M494" s="12"/>
      <c r="N494" s="18"/>
      <c r="O494" s="12"/>
      <c r="P494" s="12"/>
      <c r="Q494" s="12"/>
      <c r="R494" s="36"/>
      <c r="S494" s="36"/>
      <c r="T494" s="12"/>
      <c r="U494" s="12"/>
      <c r="V494" s="12"/>
      <c r="W494" s="12"/>
      <c r="X494" s="12"/>
    </row>
    <row r="495" customFormat="false" ht="15.75" hidden="false" customHeight="false" outlineLevel="0" collapsed="false">
      <c r="A495" s="12"/>
      <c r="B495" s="34"/>
      <c r="C495" s="12"/>
      <c r="D495" s="12"/>
      <c r="E495" s="12"/>
      <c r="F495" s="12"/>
      <c r="G495" s="18"/>
      <c r="H495" s="35"/>
      <c r="I495" s="12"/>
      <c r="M495" s="12"/>
      <c r="N495" s="18"/>
      <c r="O495" s="12"/>
      <c r="P495" s="12"/>
      <c r="Q495" s="12"/>
      <c r="R495" s="36"/>
      <c r="S495" s="36"/>
      <c r="T495" s="12"/>
      <c r="U495" s="12"/>
      <c r="V495" s="12"/>
      <c r="W495" s="12"/>
      <c r="X495" s="12"/>
    </row>
    <row r="496" customFormat="false" ht="15.75" hidden="false" customHeight="false" outlineLevel="0" collapsed="false">
      <c r="A496" s="12"/>
      <c r="B496" s="34"/>
      <c r="C496" s="12"/>
      <c r="D496" s="12"/>
      <c r="E496" s="12"/>
      <c r="F496" s="12"/>
      <c r="G496" s="18"/>
      <c r="H496" s="35"/>
      <c r="I496" s="12"/>
      <c r="M496" s="12"/>
      <c r="N496" s="18"/>
      <c r="O496" s="12"/>
      <c r="P496" s="12"/>
      <c r="Q496" s="12"/>
      <c r="R496" s="36"/>
      <c r="S496" s="36"/>
      <c r="T496" s="12"/>
      <c r="U496" s="12"/>
      <c r="V496" s="12"/>
      <c r="W496" s="12"/>
      <c r="X496" s="12"/>
    </row>
    <row r="497" customFormat="false" ht="15.75" hidden="false" customHeight="false" outlineLevel="0" collapsed="false">
      <c r="A497" s="12"/>
      <c r="B497" s="34"/>
      <c r="C497" s="12"/>
      <c r="D497" s="12"/>
      <c r="E497" s="12"/>
      <c r="F497" s="12"/>
      <c r="G497" s="18"/>
      <c r="H497" s="35"/>
      <c r="I497" s="12"/>
      <c r="M497" s="12"/>
      <c r="N497" s="18"/>
      <c r="O497" s="12"/>
      <c r="P497" s="12"/>
      <c r="Q497" s="12"/>
      <c r="R497" s="36"/>
      <c r="S497" s="36"/>
      <c r="T497" s="12"/>
      <c r="U497" s="12"/>
      <c r="V497" s="12"/>
      <c r="W497" s="12"/>
      <c r="X497" s="12"/>
    </row>
    <row r="498" customFormat="false" ht="15.75" hidden="false" customHeight="false" outlineLevel="0" collapsed="false">
      <c r="A498" s="12"/>
      <c r="B498" s="34"/>
      <c r="C498" s="12"/>
      <c r="D498" s="12"/>
      <c r="E498" s="12"/>
      <c r="F498" s="12"/>
      <c r="G498" s="18"/>
      <c r="H498" s="35"/>
      <c r="I498" s="12"/>
      <c r="M498" s="12"/>
      <c r="N498" s="18"/>
      <c r="O498" s="12"/>
      <c r="P498" s="12"/>
      <c r="Q498" s="12"/>
      <c r="R498" s="36"/>
      <c r="S498" s="36"/>
      <c r="T498" s="12"/>
      <c r="U498" s="12"/>
      <c r="V498" s="12"/>
      <c r="W498" s="12"/>
      <c r="X498" s="12"/>
    </row>
    <row r="499" customFormat="false" ht="15.75" hidden="false" customHeight="false" outlineLevel="0" collapsed="false">
      <c r="A499" s="12"/>
      <c r="B499" s="34"/>
      <c r="C499" s="12"/>
      <c r="D499" s="12"/>
      <c r="E499" s="12"/>
      <c r="F499" s="12"/>
      <c r="G499" s="18"/>
      <c r="H499" s="35"/>
      <c r="I499" s="12"/>
      <c r="M499" s="12"/>
      <c r="N499" s="18"/>
      <c r="O499" s="12"/>
      <c r="P499" s="12"/>
      <c r="Q499" s="12"/>
      <c r="R499" s="36"/>
      <c r="S499" s="36"/>
      <c r="T499" s="12"/>
      <c r="U499" s="12"/>
      <c r="V499" s="12"/>
      <c r="W499" s="12"/>
      <c r="X499" s="12"/>
    </row>
    <row r="500" customFormat="false" ht="15.75" hidden="false" customHeight="false" outlineLevel="0" collapsed="false">
      <c r="A500" s="12"/>
      <c r="B500" s="34"/>
      <c r="C500" s="12"/>
      <c r="D500" s="12"/>
      <c r="E500" s="12"/>
      <c r="F500" s="12"/>
      <c r="G500" s="18"/>
      <c r="H500" s="35"/>
      <c r="I500" s="12"/>
      <c r="M500" s="12"/>
      <c r="N500" s="18"/>
      <c r="O500" s="12"/>
      <c r="P500" s="12"/>
      <c r="Q500" s="12"/>
      <c r="R500" s="36"/>
      <c r="S500" s="36"/>
      <c r="T500" s="12"/>
      <c r="U500" s="12"/>
      <c r="V500" s="12"/>
      <c r="W500" s="12"/>
      <c r="X500" s="12"/>
    </row>
    <row r="501" customFormat="false" ht="15.75" hidden="false" customHeight="false" outlineLevel="0" collapsed="false">
      <c r="A501" s="12"/>
      <c r="B501" s="34"/>
      <c r="C501" s="12"/>
      <c r="D501" s="12"/>
      <c r="E501" s="12"/>
      <c r="F501" s="12"/>
      <c r="G501" s="18"/>
      <c r="H501" s="35"/>
      <c r="I501" s="12"/>
      <c r="M501" s="12"/>
      <c r="N501" s="18"/>
      <c r="O501" s="12"/>
      <c r="P501" s="12"/>
      <c r="Q501" s="12"/>
      <c r="R501" s="36"/>
      <c r="S501" s="36"/>
      <c r="T501" s="12"/>
      <c r="U501" s="12"/>
      <c r="V501" s="12"/>
      <c r="W501" s="12"/>
      <c r="X501" s="12"/>
    </row>
    <row r="502" customFormat="false" ht="15.75" hidden="false" customHeight="false" outlineLevel="0" collapsed="false">
      <c r="A502" s="12"/>
      <c r="B502" s="34"/>
      <c r="C502" s="12"/>
      <c r="D502" s="12"/>
      <c r="E502" s="12"/>
      <c r="F502" s="12"/>
      <c r="G502" s="18"/>
      <c r="H502" s="35"/>
      <c r="I502" s="12"/>
      <c r="M502" s="12"/>
      <c r="N502" s="18"/>
      <c r="O502" s="12"/>
      <c r="P502" s="12"/>
      <c r="Q502" s="12"/>
      <c r="R502" s="36"/>
      <c r="S502" s="36"/>
      <c r="T502" s="12"/>
      <c r="U502" s="12"/>
      <c r="V502" s="12"/>
      <c r="W502" s="12"/>
      <c r="X502" s="12"/>
    </row>
    <row r="503" customFormat="false" ht="15.75" hidden="false" customHeight="false" outlineLevel="0" collapsed="false">
      <c r="A503" s="12"/>
      <c r="B503" s="34"/>
      <c r="C503" s="12"/>
      <c r="D503" s="12"/>
      <c r="E503" s="12"/>
      <c r="F503" s="12"/>
      <c r="G503" s="18"/>
      <c r="H503" s="35"/>
      <c r="I503" s="12"/>
      <c r="M503" s="12"/>
      <c r="N503" s="18"/>
      <c r="O503" s="12"/>
      <c r="P503" s="12"/>
      <c r="Q503" s="12"/>
      <c r="R503" s="36"/>
      <c r="S503" s="36"/>
      <c r="T503" s="12"/>
      <c r="U503" s="12"/>
      <c r="V503" s="12"/>
      <c r="W503" s="12"/>
      <c r="X503" s="12"/>
    </row>
    <row r="504" customFormat="false" ht="15.75" hidden="false" customHeight="false" outlineLevel="0" collapsed="false">
      <c r="A504" s="12"/>
      <c r="B504" s="34"/>
      <c r="C504" s="12"/>
      <c r="D504" s="12"/>
      <c r="E504" s="12"/>
      <c r="F504" s="12"/>
      <c r="G504" s="18"/>
      <c r="H504" s="35"/>
      <c r="I504" s="12"/>
      <c r="M504" s="12"/>
      <c r="N504" s="18"/>
      <c r="O504" s="12"/>
      <c r="P504" s="12"/>
      <c r="Q504" s="12"/>
      <c r="R504" s="36"/>
      <c r="S504" s="36"/>
      <c r="T504" s="12"/>
      <c r="U504" s="12"/>
      <c r="V504" s="12"/>
      <c r="W504" s="12"/>
      <c r="X504" s="12"/>
    </row>
    <row r="505" customFormat="false" ht="15.75" hidden="false" customHeight="false" outlineLevel="0" collapsed="false">
      <c r="A505" s="12"/>
      <c r="B505" s="34"/>
      <c r="C505" s="12"/>
      <c r="D505" s="12"/>
      <c r="E505" s="12"/>
      <c r="F505" s="12"/>
      <c r="G505" s="18"/>
      <c r="H505" s="35"/>
      <c r="I505" s="12"/>
      <c r="M505" s="12"/>
      <c r="N505" s="18"/>
      <c r="O505" s="12"/>
      <c r="P505" s="12"/>
      <c r="Q505" s="12"/>
      <c r="R505" s="36"/>
      <c r="S505" s="36"/>
      <c r="T505" s="12"/>
      <c r="U505" s="12"/>
      <c r="V505" s="12"/>
      <c r="W505" s="12"/>
      <c r="X505" s="12"/>
    </row>
    <row r="506" customFormat="false" ht="15.75" hidden="false" customHeight="false" outlineLevel="0" collapsed="false">
      <c r="A506" s="12"/>
      <c r="B506" s="34"/>
      <c r="C506" s="12"/>
      <c r="D506" s="12"/>
      <c r="E506" s="12"/>
      <c r="F506" s="12"/>
      <c r="G506" s="18"/>
      <c r="H506" s="35"/>
      <c r="I506" s="12"/>
      <c r="M506" s="12"/>
      <c r="N506" s="18"/>
      <c r="O506" s="12"/>
      <c r="P506" s="12"/>
      <c r="Q506" s="12"/>
      <c r="R506" s="36"/>
      <c r="S506" s="36"/>
      <c r="T506" s="12"/>
      <c r="U506" s="12"/>
      <c r="V506" s="12"/>
      <c r="W506" s="12"/>
      <c r="X506" s="12"/>
    </row>
    <row r="507" customFormat="false" ht="15.75" hidden="false" customHeight="false" outlineLevel="0" collapsed="false">
      <c r="A507" s="12"/>
      <c r="B507" s="34"/>
      <c r="C507" s="12"/>
      <c r="D507" s="12"/>
      <c r="E507" s="12"/>
      <c r="F507" s="12"/>
      <c r="G507" s="18"/>
      <c r="H507" s="35"/>
      <c r="I507" s="12"/>
      <c r="M507" s="12"/>
      <c r="N507" s="18"/>
      <c r="O507" s="12"/>
      <c r="P507" s="12"/>
      <c r="Q507" s="12"/>
      <c r="R507" s="36"/>
      <c r="S507" s="36"/>
      <c r="T507" s="12"/>
      <c r="U507" s="12"/>
      <c r="V507" s="12"/>
      <c r="W507" s="12"/>
      <c r="X507" s="12"/>
    </row>
    <row r="508" customFormat="false" ht="15.75" hidden="false" customHeight="false" outlineLevel="0" collapsed="false">
      <c r="A508" s="12"/>
      <c r="B508" s="34"/>
      <c r="C508" s="12"/>
      <c r="D508" s="12"/>
      <c r="E508" s="12"/>
      <c r="F508" s="12"/>
      <c r="G508" s="18"/>
      <c r="H508" s="35"/>
      <c r="I508" s="12"/>
      <c r="M508" s="12"/>
      <c r="N508" s="18"/>
      <c r="O508" s="12"/>
      <c r="P508" s="12"/>
      <c r="Q508" s="12"/>
      <c r="R508" s="36"/>
      <c r="S508" s="36"/>
      <c r="T508" s="12"/>
      <c r="U508" s="12"/>
      <c r="V508" s="12"/>
      <c r="W508" s="12"/>
      <c r="X508" s="12"/>
    </row>
    <row r="509" customFormat="false" ht="15.75" hidden="false" customHeight="false" outlineLevel="0" collapsed="false">
      <c r="A509" s="12"/>
      <c r="B509" s="34"/>
      <c r="C509" s="12"/>
      <c r="D509" s="12"/>
      <c r="E509" s="12"/>
      <c r="F509" s="12"/>
      <c r="G509" s="18"/>
      <c r="H509" s="35"/>
      <c r="I509" s="12"/>
      <c r="M509" s="12"/>
      <c r="N509" s="18"/>
      <c r="O509" s="12"/>
      <c r="P509" s="12"/>
      <c r="Q509" s="12"/>
      <c r="R509" s="36"/>
      <c r="S509" s="36"/>
      <c r="T509" s="12"/>
      <c r="U509" s="12"/>
      <c r="V509" s="12"/>
      <c r="W509" s="12"/>
      <c r="X509" s="12"/>
    </row>
    <row r="510" customFormat="false" ht="15.75" hidden="false" customHeight="false" outlineLevel="0" collapsed="false">
      <c r="A510" s="12"/>
      <c r="B510" s="34"/>
      <c r="C510" s="12"/>
      <c r="D510" s="12"/>
      <c r="E510" s="12"/>
      <c r="F510" s="12"/>
      <c r="G510" s="18"/>
      <c r="H510" s="35"/>
      <c r="I510" s="12"/>
      <c r="M510" s="12"/>
      <c r="N510" s="18"/>
      <c r="O510" s="12"/>
      <c r="P510" s="12"/>
      <c r="Q510" s="12"/>
      <c r="R510" s="36"/>
      <c r="S510" s="36"/>
      <c r="T510" s="12"/>
      <c r="U510" s="12"/>
      <c r="V510" s="12"/>
      <c r="W510" s="12"/>
      <c r="X510" s="12"/>
    </row>
    <row r="511" customFormat="false" ht="15.75" hidden="false" customHeight="false" outlineLevel="0" collapsed="false">
      <c r="A511" s="12"/>
      <c r="B511" s="34"/>
      <c r="C511" s="12"/>
      <c r="D511" s="12"/>
      <c r="E511" s="12"/>
      <c r="F511" s="12"/>
      <c r="G511" s="18"/>
      <c r="H511" s="35"/>
      <c r="I511" s="12"/>
      <c r="M511" s="12"/>
      <c r="N511" s="18"/>
      <c r="O511" s="12"/>
      <c r="P511" s="12"/>
      <c r="Q511" s="12"/>
      <c r="R511" s="36"/>
      <c r="S511" s="36"/>
      <c r="T511" s="12"/>
      <c r="U511" s="12"/>
      <c r="V511" s="12"/>
      <c r="W511" s="12"/>
      <c r="X511" s="12"/>
    </row>
    <row r="512" customFormat="false" ht="15.75" hidden="false" customHeight="false" outlineLevel="0" collapsed="false">
      <c r="A512" s="12"/>
      <c r="B512" s="34"/>
      <c r="C512" s="12"/>
      <c r="D512" s="12"/>
      <c r="E512" s="12"/>
      <c r="F512" s="12"/>
      <c r="G512" s="18"/>
      <c r="H512" s="35"/>
      <c r="I512" s="12"/>
      <c r="M512" s="12"/>
      <c r="N512" s="18"/>
      <c r="O512" s="12"/>
      <c r="P512" s="12"/>
      <c r="Q512" s="12"/>
      <c r="R512" s="36"/>
      <c r="S512" s="36"/>
      <c r="T512" s="12"/>
      <c r="U512" s="12"/>
      <c r="V512" s="12"/>
      <c r="W512" s="12"/>
      <c r="X512" s="12"/>
    </row>
    <row r="513" customFormat="false" ht="15.75" hidden="false" customHeight="false" outlineLevel="0" collapsed="false">
      <c r="A513" s="12"/>
      <c r="B513" s="34"/>
      <c r="C513" s="12"/>
      <c r="D513" s="12"/>
      <c r="E513" s="12"/>
      <c r="F513" s="12"/>
      <c r="G513" s="18"/>
      <c r="H513" s="35"/>
      <c r="I513" s="12"/>
      <c r="M513" s="12"/>
      <c r="N513" s="18"/>
      <c r="O513" s="12"/>
      <c r="P513" s="12"/>
      <c r="Q513" s="12"/>
      <c r="R513" s="36"/>
      <c r="S513" s="36"/>
      <c r="T513" s="12"/>
      <c r="U513" s="12"/>
      <c r="V513" s="12"/>
      <c r="W513" s="12"/>
      <c r="X513" s="12"/>
    </row>
    <row r="514" customFormat="false" ht="15.75" hidden="false" customHeight="false" outlineLevel="0" collapsed="false">
      <c r="A514" s="12"/>
      <c r="B514" s="34"/>
      <c r="C514" s="12"/>
      <c r="D514" s="12"/>
      <c r="E514" s="12"/>
      <c r="F514" s="12"/>
      <c r="G514" s="18"/>
      <c r="H514" s="35"/>
      <c r="I514" s="12"/>
      <c r="M514" s="12"/>
      <c r="N514" s="18"/>
      <c r="O514" s="12"/>
      <c r="P514" s="12"/>
      <c r="Q514" s="12"/>
      <c r="R514" s="36"/>
      <c r="S514" s="36"/>
      <c r="T514" s="12"/>
      <c r="U514" s="12"/>
      <c r="V514" s="12"/>
      <c r="W514" s="12"/>
      <c r="X514" s="12"/>
    </row>
    <row r="515" customFormat="false" ht="15.75" hidden="false" customHeight="false" outlineLevel="0" collapsed="false">
      <c r="A515" s="12"/>
      <c r="B515" s="34"/>
      <c r="C515" s="12"/>
      <c r="D515" s="12"/>
      <c r="E515" s="12"/>
      <c r="F515" s="12"/>
      <c r="G515" s="18"/>
      <c r="H515" s="35"/>
      <c r="I515" s="12"/>
      <c r="M515" s="12"/>
      <c r="N515" s="18"/>
      <c r="O515" s="12"/>
      <c r="P515" s="12"/>
      <c r="Q515" s="12"/>
      <c r="R515" s="36"/>
      <c r="S515" s="36"/>
      <c r="T515" s="12"/>
      <c r="U515" s="12"/>
      <c r="V515" s="12"/>
      <c r="W515" s="12"/>
      <c r="X515" s="12"/>
    </row>
    <row r="516" customFormat="false" ht="15.75" hidden="false" customHeight="false" outlineLevel="0" collapsed="false">
      <c r="A516" s="12"/>
      <c r="B516" s="34"/>
      <c r="C516" s="12"/>
      <c r="D516" s="12"/>
      <c r="E516" s="12"/>
      <c r="F516" s="12"/>
      <c r="G516" s="18"/>
      <c r="H516" s="35"/>
      <c r="I516" s="12"/>
      <c r="M516" s="12"/>
      <c r="N516" s="18"/>
      <c r="O516" s="12"/>
      <c r="P516" s="12"/>
      <c r="Q516" s="12"/>
      <c r="R516" s="36"/>
      <c r="S516" s="36"/>
      <c r="T516" s="12"/>
      <c r="U516" s="12"/>
      <c r="V516" s="12"/>
      <c r="W516" s="12"/>
      <c r="X516" s="12"/>
    </row>
    <row r="517" customFormat="false" ht="15.75" hidden="false" customHeight="false" outlineLevel="0" collapsed="false">
      <c r="A517" s="12"/>
      <c r="B517" s="34"/>
      <c r="C517" s="12"/>
      <c r="D517" s="12"/>
      <c r="E517" s="12"/>
      <c r="F517" s="12"/>
      <c r="G517" s="18"/>
      <c r="H517" s="35"/>
      <c r="I517" s="12"/>
      <c r="M517" s="12"/>
      <c r="N517" s="18"/>
      <c r="O517" s="12"/>
      <c r="P517" s="12"/>
      <c r="Q517" s="12"/>
      <c r="R517" s="36"/>
      <c r="S517" s="36"/>
      <c r="T517" s="12"/>
      <c r="U517" s="12"/>
      <c r="V517" s="12"/>
      <c r="W517" s="12"/>
      <c r="X517" s="12"/>
    </row>
    <row r="518" customFormat="false" ht="15.75" hidden="false" customHeight="false" outlineLevel="0" collapsed="false">
      <c r="A518" s="12"/>
      <c r="B518" s="34"/>
      <c r="C518" s="12"/>
      <c r="D518" s="12"/>
      <c r="E518" s="12"/>
      <c r="F518" s="12"/>
      <c r="G518" s="18"/>
      <c r="H518" s="35"/>
      <c r="I518" s="12"/>
      <c r="M518" s="12"/>
      <c r="N518" s="18"/>
      <c r="O518" s="12"/>
      <c r="P518" s="12"/>
      <c r="Q518" s="12"/>
      <c r="R518" s="36"/>
      <c r="S518" s="36"/>
      <c r="T518" s="12"/>
      <c r="U518" s="12"/>
      <c r="V518" s="12"/>
      <c r="W518" s="12"/>
      <c r="X518" s="12"/>
    </row>
    <row r="519" customFormat="false" ht="15.75" hidden="false" customHeight="false" outlineLevel="0" collapsed="false">
      <c r="A519" s="12"/>
      <c r="B519" s="34"/>
      <c r="C519" s="12"/>
      <c r="D519" s="12"/>
      <c r="E519" s="12"/>
      <c r="F519" s="12"/>
      <c r="G519" s="18"/>
      <c r="H519" s="35"/>
      <c r="I519" s="12"/>
      <c r="M519" s="12"/>
      <c r="N519" s="18"/>
      <c r="O519" s="12"/>
      <c r="P519" s="12"/>
      <c r="Q519" s="12"/>
      <c r="R519" s="36"/>
      <c r="S519" s="36"/>
      <c r="T519" s="12"/>
      <c r="U519" s="12"/>
      <c r="V519" s="12"/>
      <c r="W519" s="12"/>
      <c r="X519" s="12"/>
    </row>
    <row r="520" customFormat="false" ht="15.75" hidden="false" customHeight="false" outlineLevel="0" collapsed="false">
      <c r="A520" s="12"/>
      <c r="B520" s="34"/>
      <c r="C520" s="12"/>
      <c r="D520" s="12"/>
      <c r="E520" s="12"/>
      <c r="F520" s="12"/>
      <c r="G520" s="18"/>
      <c r="H520" s="35"/>
      <c r="I520" s="12"/>
      <c r="M520" s="12"/>
      <c r="N520" s="18"/>
      <c r="O520" s="12"/>
      <c r="P520" s="12"/>
      <c r="Q520" s="12"/>
      <c r="R520" s="36"/>
      <c r="S520" s="36"/>
      <c r="T520" s="12"/>
      <c r="U520" s="12"/>
      <c r="V520" s="12"/>
      <c r="W520" s="12"/>
      <c r="X520" s="12"/>
    </row>
    <row r="521" customFormat="false" ht="15.75" hidden="false" customHeight="false" outlineLevel="0" collapsed="false">
      <c r="A521" s="12"/>
      <c r="B521" s="34"/>
      <c r="C521" s="12"/>
      <c r="D521" s="12"/>
      <c r="E521" s="12"/>
      <c r="F521" s="12"/>
      <c r="G521" s="18"/>
      <c r="H521" s="35"/>
      <c r="I521" s="12"/>
      <c r="M521" s="12"/>
      <c r="N521" s="18"/>
      <c r="O521" s="12"/>
      <c r="P521" s="12"/>
      <c r="Q521" s="12"/>
      <c r="R521" s="36"/>
      <c r="S521" s="36"/>
      <c r="T521" s="12"/>
      <c r="U521" s="12"/>
      <c r="V521" s="12"/>
      <c r="W521" s="12"/>
      <c r="X521" s="12"/>
    </row>
    <row r="522" customFormat="false" ht="15.75" hidden="false" customHeight="false" outlineLevel="0" collapsed="false">
      <c r="A522" s="12"/>
      <c r="B522" s="34"/>
      <c r="C522" s="12"/>
      <c r="D522" s="12"/>
      <c r="E522" s="12"/>
      <c r="F522" s="12"/>
      <c r="G522" s="18"/>
      <c r="H522" s="35"/>
      <c r="I522" s="12"/>
      <c r="M522" s="12"/>
      <c r="N522" s="18"/>
      <c r="O522" s="12"/>
      <c r="P522" s="12"/>
      <c r="Q522" s="12"/>
      <c r="R522" s="36"/>
      <c r="S522" s="36"/>
      <c r="T522" s="12"/>
      <c r="U522" s="12"/>
      <c r="V522" s="12"/>
      <c r="W522" s="12"/>
      <c r="X522" s="12"/>
    </row>
    <row r="523" customFormat="false" ht="15.75" hidden="false" customHeight="false" outlineLevel="0" collapsed="false">
      <c r="A523" s="12"/>
      <c r="B523" s="34"/>
      <c r="C523" s="12"/>
      <c r="D523" s="12"/>
      <c r="E523" s="12"/>
      <c r="F523" s="12"/>
      <c r="G523" s="18"/>
      <c r="H523" s="35"/>
      <c r="I523" s="12"/>
      <c r="M523" s="12"/>
      <c r="N523" s="18"/>
      <c r="O523" s="12"/>
      <c r="P523" s="12"/>
      <c r="Q523" s="12"/>
      <c r="R523" s="36"/>
      <c r="S523" s="36"/>
      <c r="T523" s="12"/>
      <c r="U523" s="12"/>
      <c r="V523" s="12"/>
      <c r="W523" s="12"/>
      <c r="X523" s="12"/>
    </row>
    <row r="524" customFormat="false" ht="15.75" hidden="false" customHeight="false" outlineLevel="0" collapsed="false">
      <c r="A524" s="12"/>
      <c r="B524" s="34"/>
      <c r="C524" s="12"/>
      <c r="D524" s="12"/>
      <c r="E524" s="12"/>
      <c r="F524" s="12"/>
      <c r="G524" s="18"/>
      <c r="H524" s="35"/>
      <c r="I524" s="12"/>
      <c r="M524" s="12"/>
      <c r="N524" s="18"/>
      <c r="O524" s="12"/>
      <c r="P524" s="12"/>
      <c r="Q524" s="12"/>
      <c r="R524" s="36"/>
      <c r="S524" s="36"/>
      <c r="T524" s="12"/>
      <c r="U524" s="12"/>
      <c r="V524" s="12"/>
      <c r="W524" s="12"/>
      <c r="X524" s="12"/>
    </row>
    <row r="525" customFormat="false" ht="15.75" hidden="false" customHeight="false" outlineLevel="0" collapsed="false">
      <c r="A525" s="12"/>
      <c r="B525" s="34"/>
      <c r="C525" s="12"/>
      <c r="D525" s="12"/>
      <c r="E525" s="12"/>
      <c r="F525" s="12"/>
      <c r="G525" s="18"/>
      <c r="H525" s="35"/>
      <c r="I525" s="12"/>
      <c r="M525" s="12"/>
      <c r="N525" s="18"/>
      <c r="O525" s="12"/>
      <c r="P525" s="12"/>
      <c r="Q525" s="12"/>
      <c r="R525" s="36"/>
      <c r="S525" s="36"/>
      <c r="T525" s="12"/>
      <c r="U525" s="12"/>
      <c r="V525" s="12"/>
      <c r="W525" s="12"/>
      <c r="X525" s="12"/>
    </row>
    <row r="526" customFormat="false" ht="15.75" hidden="false" customHeight="false" outlineLevel="0" collapsed="false">
      <c r="A526" s="12"/>
      <c r="B526" s="34"/>
      <c r="C526" s="12"/>
      <c r="D526" s="12"/>
      <c r="E526" s="12"/>
      <c r="F526" s="12"/>
      <c r="G526" s="18"/>
      <c r="H526" s="35"/>
      <c r="I526" s="12"/>
      <c r="M526" s="12"/>
      <c r="N526" s="18"/>
      <c r="O526" s="12"/>
      <c r="P526" s="12"/>
      <c r="Q526" s="12"/>
      <c r="R526" s="36"/>
      <c r="S526" s="36"/>
      <c r="T526" s="12"/>
      <c r="U526" s="12"/>
      <c r="V526" s="12"/>
      <c r="W526" s="12"/>
      <c r="X526" s="12"/>
    </row>
    <row r="527" customFormat="false" ht="15.75" hidden="false" customHeight="false" outlineLevel="0" collapsed="false">
      <c r="A527" s="12"/>
      <c r="B527" s="34"/>
      <c r="C527" s="12"/>
      <c r="D527" s="12"/>
      <c r="E527" s="12"/>
      <c r="F527" s="12"/>
      <c r="G527" s="18"/>
      <c r="H527" s="35"/>
      <c r="I527" s="12"/>
      <c r="M527" s="12"/>
      <c r="N527" s="18"/>
      <c r="O527" s="12"/>
      <c r="P527" s="12"/>
      <c r="Q527" s="12"/>
      <c r="R527" s="36"/>
      <c r="S527" s="36"/>
      <c r="T527" s="12"/>
      <c r="U527" s="12"/>
      <c r="V527" s="12"/>
      <c r="W527" s="12"/>
      <c r="X527" s="12"/>
    </row>
    <row r="528" customFormat="false" ht="15.75" hidden="false" customHeight="false" outlineLevel="0" collapsed="false">
      <c r="A528" s="12"/>
      <c r="B528" s="34"/>
      <c r="C528" s="12"/>
      <c r="D528" s="12"/>
      <c r="E528" s="12"/>
      <c r="F528" s="12"/>
      <c r="G528" s="18"/>
      <c r="H528" s="35"/>
      <c r="I528" s="12"/>
      <c r="M528" s="12"/>
      <c r="N528" s="18"/>
      <c r="O528" s="12"/>
      <c r="P528" s="12"/>
      <c r="Q528" s="12"/>
      <c r="R528" s="36"/>
      <c r="S528" s="36"/>
      <c r="T528" s="12"/>
      <c r="U528" s="12"/>
      <c r="V528" s="12"/>
      <c r="W528" s="12"/>
      <c r="X528" s="12"/>
    </row>
    <row r="529" customFormat="false" ht="15.75" hidden="false" customHeight="false" outlineLevel="0" collapsed="false">
      <c r="A529" s="12"/>
      <c r="B529" s="34"/>
      <c r="C529" s="12"/>
      <c r="D529" s="12"/>
      <c r="E529" s="12"/>
      <c r="F529" s="12"/>
      <c r="G529" s="18"/>
      <c r="H529" s="35"/>
      <c r="I529" s="12"/>
      <c r="M529" s="12"/>
      <c r="N529" s="18"/>
      <c r="O529" s="12"/>
      <c r="P529" s="12"/>
      <c r="Q529" s="12"/>
      <c r="R529" s="36"/>
      <c r="S529" s="36"/>
      <c r="T529" s="12"/>
      <c r="U529" s="12"/>
      <c r="V529" s="12"/>
      <c r="W529" s="12"/>
      <c r="X529" s="12"/>
    </row>
    <row r="530" customFormat="false" ht="15.75" hidden="false" customHeight="false" outlineLevel="0" collapsed="false">
      <c r="A530" s="12"/>
      <c r="B530" s="34"/>
      <c r="C530" s="12"/>
      <c r="D530" s="12"/>
      <c r="E530" s="12"/>
      <c r="F530" s="12"/>
      <c r="G530" s="18"/>
      <c r="H530" s="35"/>
      <c r="I530" s="12"/>
      <c r="M530" s="12"/>
      <c r="N530" s="18"/>
      <c r="O530" s="12"/>
      <c r="P530" s="12"/>
      <c r="Q530" s="12"/>
      <c r="R530" s="36"/>
      <c r="S530" s="36"/>
      <c r="T530" s="12"/>
      <c r="U530" s="12"/>
      <c r="V530" s="12"/>
      <c r="W530" s="12"/>
      <c r="X530" s="12"/>
    </row>
    <row r="531" customFormat="false" ht="15.75" hidden="false" customHeight="false" outlineLevel="0" collapsed="false">
      <c r="A531" s="12"/>
      <c r="B531" s="34"/>
      <c r="C531" s="12"/>
      <c r="D531" s="12"/>
      <c r="E531" s="12"/>
      <c r="F531" s="12"/>
      <c r="G531" s="18"/>
      <c r="H531" s="35"/>
      <c r="I531" s="12"/>
      <c r="M531" s="12"/>
      <c r="N531" s="18"/>
      <c r="O531" s="12"/>
      <c r="P531" s="12"/>
      <c r="Q531" s="12"/>
      <c r="R531" s="36"/>
      <c r="S531" s="36"/>
      <c r="T531" s="12"/>
      <c r="U531" s="12"/>
      <c r="V531" s="12"/>
      <c r="W531" s="12"/>
      <c r="X531" s="12"/>
    </row>
    <row r="532" customFormat="false" ht="15.75" hidden="false" customHeight="false" outlineLevel="0" collapsed="false">
      <c r="A532" s="12"/>
      <c r="B532" s="34"/>
      <c r="C532" s="12"/>
      <c r="D532" s="12"/>
      <c r="E532" s="12"/>
      <c r="F532" s="12"/>
      <c r="G532" s="18"/>
      <c r="H532" s="35"/>
      <c r="I532" s="12"/>
      <c r="M532" s="12"/>
      <c r="N532" s="18"/>
      <c r="O532" s="12"/>
      <c r="P532" s="12"/>
      <c r="Q532" s="12"/>
      <c r="R532" s="36"/>
      <c r="S532" s="36"/>
      <c r="T532" s="12"/>
      <c r="U532" s="12"/>
      <c r="V532" s="12"/>
      <c r="W532" s="12"/>
      <c r="X532" s="12"/>
    </row>
    <row r="533" customFormat="false" ht="15.75" hidden="false" customHeight="false" outlineLevel="0" collapsed="false">
      <c r="A533" s="12"/>
      <c r="B533" s="34"/>
      <c r="C533" s="12"/>
      <c r="D533" s="12"/>
      <c r="E533" s="12"/>
      <c r="F533" s="12"/>
      <c r="G533" s="18"/>
      <c r="H533" s="35"/>
      <c r="I533" s="12"/>
      <c r="M533" s="12"/>
      <c r="N533" s="18"/>
      <c r="O533" s="12"/>
      <c r="P533" s="12"/>
      <c r="Q533" s="12"/>
      <c r="R533" s="36"/>
      <c r="S533" s="36"/>
      <c r="T533" s="12"/>
      <c r="U533" s="12"/>
      <c r="V533" s="12"/>
      <c r="W533" s="12"/>
      <c r="X533" s="12"/>
    </row>
    <row r="534" customFormat="false" ht="15.75" hidden="false" customHeight="false" outlineLevel="0" collapsed="false">
      <c r="A534" s="12"/>
      <c r="B534" s="34"/>
      <c r="C534" s="12"/>
      <c r="D534" s="12"/>
      <c r="E534" s="12"/>
      <c r="F534" s="12"/>
      <c r="G534" s="18"/>
      <c r="H534" s="35"/>
      <c r="I534" s="12"/>
      <c r="M534" s="12"/>
      <c r="N534" s="18"/>
      <c r="O534" s="12"/>
      <c r="P534" s="12"/>
      <c r="Q534" s="12"/>
      <c r="R534" s="36"/>
      <c r="S534" s="36"/>
      <c r="T534" s="12"/>
      <c r="U534" s="12"/>
      <c r="V534" s="12"/>
      <c r="W534" s="12"/>
      <c r="X534" s="12"/>
    </row>
    <row r="535" customFormat="false" ht="15.75" hidden="false" customHeight="false" outlineLevel="0" collapsed="false">
      <c r="A535" s="12"/>
      <c r="B535" s="34"/>
      <c r="C535" s="12"/>
      <c r="D535" s="12"/>
      <c r="E535" s="12"/>
      <c r="F535" s="12"/>
      <c r="G535" s="18"/>
      <c r="H535" s="35"/>
      <c r="I535" s="12"/>
      <c r="M535" s="12"/>
      <c r="N535" s="18"/>
      <c r="O535" s="12"/>
      <c r="P535" s="12"/>
      <c r="Q535" s="12"/>
      <c r="R535" s="36"/>
      <c r="S535" s="36"/>
      <c r="T535" s="12"/>
      <c r="U535" s="12"/>
      <c r="V535" s="12"/>
      <c r="W535" s="12"/>
      <c r="X535" s="12"/>
    </row>
    <row r="536" customFormat="false" ht="15.75" hidden="false" customHeight="false" outlineLevel="0" collapsed="false">
      <c r="A536" s="12"/>
      <c r="B536" s="34"/>
      <c r="C536" s="12"/>
      <c r="D536" s="12"/>
      <c r="E536" s="12"/>
      <c r="F536" s="12"/>
      <c r="G536" s="18"/>
      <c r="H536" s="35"/>
      <c r="I536" s="12"/>
      <c r="M536" s="12"/>
      <c r="N536" s="18"/>
      <c r="O536" s="12"/>
      <c r="P536" s="12"/>
      <c r="Q536" s="12"/>
      <c r="R536" s="36"/>
      <c r="S536" s="36"/>
      <c r="T536" s="12"/>
      <c r="U536" s="12"/>
      <c r="V536" s="12"/>
      <c r="W536" s="12"/>
      <c r="X536" s="12"/>
    </row>
    <row r="537" customFormat="false" ht="15.75" hidden="false" customHeight="false" outlineLevel="0" collapsed="false">
      <c r="A537" s="12"/>
      <c r="B537" s="34"/>
      <c r="C537" s="12"/>
      <c r="D537" s="12"/>
      <c r="E537" s="12"/>
      <c r="F537" s="12"/>
      <c r="G537" s="18"/>
      <c r="H537" s="35"/>
      <c r="I537" s="12"/>
      <c r="M537" s="12"/>
      <c r="N537" s="18"/>
      <c r="O537" s="12"/>
      <c r="P537" s="12"/>
      <c r="Q537" s="12"/>
      <c r="R537" s="36"/>
      <c r="S537" s="36"/>
      <c r="T537" s="12"/>
      <c r="U537" s="12"/>
      <c r="V537" s="12"/>
      <c r="W537" s="12"/>
      <c r="X537" s="12"/>
    </row>
    <row r="538" customFormat="false" ht="15.75" hidden="false" customHeight="false" outlineLevel="0" collapsed="false">
      <c r="A538" s="12"/>
      <c r="B538" s="34"/>
      <c r="C538" s="12"/>
      <c r="D538" s="12"/>
      <c r="E538" s="12"/>
      <c r="F538" s="12"/>
      <c r="G538" s="18"/>
      <c r="H538" s="35"/>
      <c r="I538" s="12"/>
      <c r="M538" s="12"/>
      <c r="N538" s="18"/>
      <c r="O538" s="12"/>
      <c r="P538" s="12"/>
      <c r="Q538" s="12"/>
      <c r="R538" s="36"/>
      <c r="S538" s="36"/>
      <c r="T538" s="12"/>
      <c r="U538" s="12"/>
      <c r="V538" s="12"/>
      <c r="W538" s="12"/>
      <c r="X538" s="12"/>
    </row>
    <row r="539" customFormat="false" ht="15.75" hidden="false" customHeight="false" outlineLevel="0" collapsed="false">
      <c r="A539" s="12"/>
      <c r="B539" s="34"/>
      <c r="C539" s="12"/>
      <c r="D539" s="12"/>
      <c r="E539" s="12"/>
      <c r="F539" s="12"/>
      <c r="G539" s="18"/>
      <c r="H539" s="35"/>
      <c r="I539" s="12"/>
      <c r="M539" s="12"/>
      <c r="N539" s="18"/>
      <c r="O539" s="12"/>
      <c r="P539" s="12"/>
      <c r="Q539" s="12"/>
      <c r="R539" s="36"/>
      <c r="S539" s="36"/>
      <c r="T539" s="12"/>
      <c r="U539" s="12"/>
      <c r="V539" s="12"/>
      <c r="W539" s="12"/>
      <c r="X539" s="12"/>
    </row>
    <row r="540" customFormat="false" ht="15.75" hidden="false" customHeight="false" outlineLevel="0" collapsed="false">
      <c r="A540" s="12"/>
      <c r="B540" s="34"/>
      <c r="C540" s="12"/>
      <c r="D540" s="12"/>
      <c r="E540" s="12"/>
      <c r="F540" s="12"/>
      <c r="G540" s="18"/>
      <c r="H540" s="35"/>
      <c r="I540" s="12"/>
      <c r="M540" s="12"/>
      <c r="N540" s="18"/>
      <c r="O540" s="12"/>
      <c r="P540" s="12"/>
      <c r="Q540" s="12"/>
      <c r="R540" s="36"/>
      <c r="S540" s="36"/>
      <c r="T540" s="12"/>
      <c r="U540" s="12"/>
      <c r="V540" s="12"/>
      <c r="W540" s="12"/>
      <c r="X540" s="12"/>
    </row>
    <row r="541" customFormat="false" ht="15.75" hidden="false" customHeight="false" outlineLevel="0" collapsed="false">
      <c r="A541" s="12"/>
      <c r="B541" s="34"/>
      <c r="C541" s="12"/>
      <c r="D541" s="12"/>
      <c r="E541" s="12"/>
      <c r="F541" s="12"/>
      <c r="G541" s="18"/>
      <c r="H541" s="35"/>
      <c r="I541" s="12"/>
      <c r="M541" s="12"/>
      <c r="N541" s="18"/>
      <c r="O541" s="12"/>
      <c r="P541" s="12"/>
      <c r="Q541" s="12"/>
      <c r="R541" s="36"/>
      <c r="S541" s="36"/>
      <c r="T541" s="12"/>
      <c r="U541" s="12"/>
      <c r="V541" s="12"/>
      <c r="W541" s="12"/>
      <c r="X541" s="12"/>
    </row>
    <row r="542" customFormat="false" ht="15.75" hidden="false" customHeight="false" outlineLevel="0" collapsed="false">
      <c r="A542" s="12"/>
      <c r="B542" s="34"/>
      <c r="C542" s="12"/>
      <c r="D542" s="12"/>
      <c r="E542" s="12"/>
      <c r="F542" s="12"/>
      <c r="G542" s="18"/>
      <c r="H542" s="35"/>
      <c r="I542" s="12"/>
      <c r="M542" s="12"/>
      <c r="N542" s="18"/>
      <c r="O542" s="12"/>
      <c r="P542" s="12"/>
      <c r="Q542" s="12"/>
      <c r="R542" s="36"/>
      <c r="S542" s="36"/>
      <c r="T542" s="12"/>
      <c r="U542" s="12"/>
      <c r="V542" s="12"/>
      <c r="W542" s="12"/>
      <c r="X542" s="12"/>
    </row>
    <row r="543" customFormat="false" ht="15.75" hidden="false" customHeight="false" outlineLevel="0" collapsed="false">
      <c r="A543" s="12"/>
      <c r="B543" s="34"/>
      <c r="C543" s="12"/>
      <c r="D543" s="12"/>
      <c r="E543" s="12"/>
      <c r="F543" s="12"/>
      <c r="G543" s="18"/>
      <c r="H543" s="35"/>
      <c r="I543" s="12"/>
      <c r="M543" s="12"/>
      <c r="N543" s="18"/>
      <c r="O543" s="12"/>
      <c r="P543" s="12"/>
      <c r="Q543" s="12"/>
      <c r="R543" s="36"/>
      <c r="S543" s="36"/>
      <c r="T543" s="12"/>
      <c r="U543" s="12"/>
      <c r="V543" s="12"/>
      <c r="W543" s="12"/>
      <c r="X543" s="12"/>
    </row>
    <row r="544" customFormat="false" ht="15.75" hidden="false" customHeight="false" outlineLevel="0" collapsed="false">
      <c r="A544" s="12"/>
      <c r="B544" s="34"/>
      <c r="C544" s="12"/>
      <c r="D544" s="12"/>
      <c r="E544" s="12"/>
      <c r="F544" s="12"/>
      <c r="G544" s="18"/>
      <c r="H544" s="35"/>
      <c r="I544" s="12"/>
      <c r="M544" s="12"/>
      <c r="N544" s="18"/>
      <c r="O544" s="12"/>
      <c r="P544" s="12"/>
      <c r="Q544" s="12"/>
      <c r="R544" s="36"/>
      <c r="S544" s="36"/>
      <c r="T544" s="12"/>
      <c r="U544" s="12"/>
      <c r="V544" s="12"/>
      <c r="W544" s="12"/>
      <c r="X544" s="12"/>
    </row>
    <row r="545" customFormat="false" ht="15.75" hidden="false" customHeight="false" outlineLevel="0" collapsed="false">
      <c r="A545" s="12"/>
      <c r="B545" s="34"/>
      <c r="C545" s="12"/>
      <c r="D545" s="12"/>
      <c r="E545" s="12"/>
      <c r="F545" s="12"/>
      <c r="G545" s="18"/>
      <c r="H545" s="35"/>
      <c r="I545" s="12"/>
      <c r="M545" s="12"/>
      <c r="N545" s="18"/>
      <c r="O545" s="12"/>
      <c r="P545" s="12"/>
      <c r="Q545" s="12"/>
      <c r="R545" s="36"/>
      <c r="S545" s="36"/>
      <c r="T545" s="12"/>
      <c r="U545" s="12"/>
      <c r="V545" s="12"/>
      <c r="W545" s="12"/>
      <c r="X545" s="12"/>
    </row>
    <row r="546" customFormat="false" ht="15.75" hidden="false" customHeight="false" outlineLevel="0" collapsed="false">
      <c r="A546" s="12"/>
      <c r="B546" s="34"/>
      <c r="C546" s="12"/>
      <c r="D546" s="12"/>
      <c r="E546" s="12"/>
      <c r="F546" s="12"/>
      <c r="G546" s="18"/>
      <c r="H546" s="35"/>
      <c r="I546" s="12"/>
      <c r="M546" s="12"/>
      <c r="N546" s="18"/>
      <c r="O546" s="12"/>
      <c r="P546" s="12"/>
      <c r="Q546" s="12"/>
      <c r="R546" s="36"/>
      <c r="S546" s="36"/>
      <c r="T546" s="12"/>
      <c r="U546" s="12"/>
      <c r="V546" s="12"/>
      <c r="W546" s="12"/>
      <c r="X546" s="12"/>
    </row>
    <row r="547" customFormat="false" ht="15.75" hidden="false" customHeight="false" outlineLevel="0" collapsed="false">
      <c r="A547" s="12"/>
      <c r="B547" s="34"/>
      <c r="C547" s="12"/>
      <c r="D547" s="12"/>
      <c r="E547" s="12"/>
      <c r="F547" s="12"/>
      <c r="G547" s="18"/>
      <c r="H547" s="35"/>
      <c r="I547" s="12"/>
      <c r="M547" s="12"/>
      <c r="N547" s="18"/>
      <c r="O547" s="12"/>
      <c r="P547" s="12"/>
      <c r="Q547" s="12"/>
      <c r="R547" s="36"/>
      <c r="S547" s="36"/>
      <c r="T547" s="12"/>
      <c r="U547" s="12"/>
      <c r="V547" s="12"/>
      <c r="W547" s="12"/>
      <c r="X547" s="12"/>
    </row>
    <row r="548" customFormat="false" ht="15.75" hidden="false" customHeight="false" outlineLevel="0" collapsed="false">
      <c r="A548" s="12"/>
      <c r="B548" s="34"/>
      <c r="C548" s="12"/>
      <c r="D548" s="12"/>
      <c r="E548" s="12"/>
      <c r="F548" s="12"/>
      <c r="G548" s="18"/>
      <c r="H548" s="35"/>
      <c r="I548" s="12"/>
      <c r="M548" s="12"/>
      <c r="N548" s="18"/>
      <c r="O548" s="12"/>
      <c r="P548" s="12"/>
      <c r="Q548" s="12"/>
      <c r="R548" s="36"/>
      <c r="S548" s="36"/>
      <c r="T548" s="12"/>
      <c r="U548" s="12"/>
      <c r="V548" s="12"/>
      <c r="W548" s="12"/>
      <c r="X548" s="12"/>
    </row>
    <row r="549" customFormat="false" ht="15.75" hidden="false" customHeight="false" outlineLevel="0" collapsed="false">
      <c r="A549" s="12"/>
      <c r="B549" s="34"/>
      <c r="C549" s="12"/>
      <c r="D549" s="12"/>
      <c r="E549" s="12"/>
      <c r="F549" s="12"/>
      <c r="G549" s="18"/>
      <c r="H549" s="35"/>
      <c r="I549" s="12"/>
      <c r="M549" s="12"/>
      <c r="N549" s="18"/>
      <c r="O549" s="12"/>
      <c r="P549" s="12"/>
      <c r="Q549" s="12"/>
      <c r="R549" s="36"/>
      <c r="S549" s="36"/>
      <c r="T549" s="12"/>
      <c r="U549" s="12"/>
      <c r="V549" s="12"/>
      <c r="W549" s="12"/>
      <c r="X549" s="12"/>
    </row>
    <row r="550" customFormat="false" ht="15.75" hidden="false" customHeight="false" outlineLevel="0" collapsed="false">
      <c r="A550" s="12"/>
      <c r="B550" s="34"/>
      <c r="C550" s="12"/>
      <c r="D550" s="12"/>
      <c r="E550" s="12"/>
      <c r="F550" s="12"/>
      <c r="G550" s="18"/>
      <c r="H550" s="35"/>
      <c r="I550" s="12"/>
      <c r="M550" s="12"/>
      <c r="N550" s="18"/>
      <c r="O550" s="12"/>
      <c r="P550" s="12"/>
      <c r="Q550" s="12"/>
      <c r="R550" s="36"/>
      <c r="S550" s="36"/>
      <c r="T550" s="12"/>
      <c r="U550" s="12"/>
      <c r="V550" s="12"/>
      <c r="W550" s="12"/>
      <c r="X550" s="12"/>
    </row>
    <row r="551" customFormat="false" ht="15.75" hidden="false" customHeight="false" outlineLevel="0" collapsed="false">
      <c r="A551" s="12"/>
      <c r="B551" s="34"/>
      <c r="C551" s="12"/>
      <c r="D551" s="12"/>
      <c r="E551" s="12"/>
      <c r="F551" s="12"/>
      <c r="G551" s="18"/>
      <c r="H551" s="35"/>
      <c r="I551" s="12"/>
      <c r="M551" s="12"/>
      <c r="N551" s="18"/>
      <c r="O551" s="12"/>
      <c r="P551" s="12"/>
      <c r="Q551" s="12"/>
      <c r="R551" s="36"/>
      <c r="S551" s="36"/>
      <c r="T551" s="12"/>
      <c r="U551" s="12"/>
      <c r="V551" s="12"/>
      <c r="W551" s="12"/>
      <c r="X551" s="12"/>
    </row>
    <row r="552" customFormat="false" ht="15.75" hidden="false" customHeight="false" outlineLevel="0" collapsed="false">
      <c r="A552" s="12"/>
      <c r="B552" s="34"/>
      <c r="C552" s="12"/>
      <c r="D552" s="12"/>
      <c r="E552" s="12"/>
      <c r="F552" s="12"/>
      <c r="G552" s="18"/>
      <c r="H552" s="35"/>
      <c r="I552" s="12"/>
      <c r="M552" s="12"/>
      <c r="N552" s="18"/>
      <c r="O552" s="12"/>
      <c r="P552" s="12"/>
      <c r="Q552" s="12"/>
      <c r="R552" s="36"/>
      <c r="S552" s="36"/>
      <c r="T552" s="12"/>
      <c r="U552" s="12"/>
      <c r="V552" s="12"/>
      <c r="W552" s="12"/>
      <c r="X552" s="12"/>
    </row>
    <row r="553" customFormat="false" ht="15.75" hidden="false" customHeight="false" outlineLevel="0" collapsed="false">
      <c r="A553" s="12"/>
      <c r="B553" s="34"/>
      <c r="C553" s="12"/>
      <c r="D553" s="12"/>
      <c r="E553" s="12"/>
      <c r="F553" s="12"/>
      <c r="G553" s="18"/>
      <c r="H553" s="35"/>
      <c r="I553" s="12"/>
      <c r="M553" s="12"/>
      <c r="N553" s="18"/>
      <c r="O553" s="12"/>
      <c r="P553" s="12"/>
      <c r="Q553" s="12"/>
      <c r="R553" s="36"/>
      <c r="S553" s="36"/>
      <c r="T553" s="12"/>
      <c r="U553" s="12"/>
      <c r="V553" s="12"/>
      <c r="W553" s="12"/>
      <c r="X553" s="12"/>
    </row>
    <row r="554" customFormat="false" ht="15.75" hidden="false" customHeight="false" outlineLevel="0" collapsed="false">
      <c r="A554" s="12"/>
      <c r="B554" s="34"/>
      <c r="C554" s="12"/>
      <c r="D554" s="12"/>
      <c r="E554" s="12"/>
      <c r="F554" s="12"/>
      <c r="G554" s="18"/>
      <c r="H554" s="35"/>
      <c r="I554" s="12"/>
      <c r="M554" s="12"/>
      <c r="N554" s="18"/>
      <c r="O554" s="12"/>
      <c r="P554" s="12"/>
      <c r="Q554" s="12"/>
      <c r="R554" s="36"/>
      <c r="S554" s="36"/>
      <c r="T554" s="12"/>
      <c r="U554" s="12"/>
      <c r="V554" s="12"/>
      <c r="W554" s="12"/>
      <c r="X554" s="12"/>
    </row>
    <row r="555" customFormat="false" ht="15.75" hidden="false" customHeight="false" outlineLevel="0" collapsed="false">
      <c r="A555" s="12"/>
      <c r="B555" s="34"/>
      <c r="C555" s="12"/>
      <c r="D555" s="12"/>
      <c r="E555" s="12"/>
      <c r="F555" s="12"/>
      <c r="G555" s="18"/>
      <c r="H555" s="35"/>
      <c r="I555" s="12"/>
      <c r="M555" s="12"/>
      <c r="N555" s="18"/>
      <c r="O555" s="12"/>
      <c r="P555" s="12"/>
      <c r="Q555" s="12"/>
      <c r="R555" s="36"/>
      <c r="S555" s="36"/>
      <c r="T555" s="12"/>
      <c r="U555" s="12"/>
      <c r="V555" s="12"/>
      <c r="W555" s="12"/>
      <c r="X555" s="12"/>
    </row>
    <row r="556" customFormat="false" ht="15.75" hidden="false" customHeight="false" outlineLevel="0" collapsed="false">
      <c r="A556" s="12"/>
      <c r="B556" s="34"/>
      <c r="C556" s="12"/>
      <c r="D556" s="12"/>
      <c r="E556" s="12"/>
      <c r="F556" s="12"/>
      <c r="G556" s="18"/>
      <c r="H556" s="35"/>
      <c r="I556" s="12"/>
      <c r="M556" s="12"/>
      <c r="N556" s="18"/>
      <c r="O556" s="12"/>
      <c r="P556" s="12"/>
      <c r="Q556" s="12"/>
      <c r="R556" s="36"/>
      <c r="S556" s="36"/>
      <c r="T556" s="12"/>
      <c r="U556" s="12"/>
      <c r="V556" s="12"/>
      <c r="W556" s="12"/>
      <c r="X556" s="12"/>
    </row>
    <row r="557" customFormat="false" ht="15.75" hidden="false" customHeight="false" outlineLevel="0" collapsed="false">
      <c r="A557" s="12"/>
      <c r="B557" s="34"/>
      <c r="C557" s="12"/>
      <c r="D557" s="12"/>
      <c r="E557" s="12"/>
      <c r="F557" s="12"/>
      <c r="G557" s="18"/>
      <c r="H557" s="35"/>
      <c r="I557" s="12"/>
      <c r="M557" s="12"/>
      <c r="N557" s="18"/>
      <c r="O557" s="12"/>
      <c r="P557" s="12"/>
      <c r="Q557" s="12"/>
      <c r="R557" s="36"/>
      <c r="S557" s="36"/>
      <c r="T557" s="12"/>
      <c r="U557" s="12"/>
      <c r="V557" s="12"/>
      <c r="W557" s="12"/>
      <c r="X557" s="12"/>
    </row>
    <row r="558" customFormat="false" ht="15.75" hidden="false" customHeight="false" outlineLevel="0" collapsed="false">
      <c r="A558" s="12"/>
      <c r="B558" s="34"/>
      <c r="C558" s="12"/>
      <c r="D558" s="12"/>
      <c r="E558" s="12"/>
      <c r="F558" s="12"/>
      <c r="G558" s="18"/>
      <c r="H558" s="35"/>
      <c r="I558" s="12"/>
      <c r="M558" s="12"/>
      <c r="N558" s="18"/>
      <c r="O558" s="12"/>
      <c r="P558" s="12"/>
      <c r="Q558" s="12"/>
      <c r="R558" s="36"/>
      <c r="S558" s="36"/>
      <c r="T558" s="12"/>
      <c r="U558" s="12"/>
      <c r="V558" s="12"/>
      <c r="W558" s="12"/>
      <c r="X558" s="12"/>
    </row>
    <row r="559" customFormat="false" ht="15.75" hidden="false" customHeight="false" outlineLevel="0" collapsed="false">
      <c r="A559" s="12"/>
      <c r="B559" s="34"/>
      <c r="C559" s="12"/>
      <c r="D559" s="12"/>
      <c r="E559" s="12"/>
      <c r="F559" s="12"/>
      <c r="G559" s="18"/>
      <c r="H559" s="35"/>
      <c r="I559" s="12"/>
      <c r="M559" s="12"/>
      <c r="N559" s="18"/>
      <c r="O559" s="12"/>
      <c r="P559" s="12"/>
      <c r="Q559" s="12"/>
      <c r="R559" s="36"/>
      <c r="S559" s="36"/>
      <c r="T559" s="12"/>
      <c r="U559" s="12"/>
      <c r="V559" s="12"/>
      <c r="W559" s="12"/>
      <c r="X559" s="12"/>
    </row>
    <row r="560" customFormat="false" ht="15.75" hidden="false" customHeight="false" outlineLevel="0" collapsed="false">
      <c r="A560" s="12"/>
      <c r="B560" s="34"/>
      <c r="C560" s="12"/>
      <c r="D560" s="12"/>
      <c r="E560" s="12"/>
      <c r="F560" s="12"/>
      <c r="G560" s="18"/>
      <c r="H560" s="35"/>
      <c r="I560" s="12"/>
      <c r="M560" s="12"/>
      <c r="N560" s="18"/>
      <c r="O560" s="12"/>
      <c r="P560" s="12"/>
      <c r="Q560" s="12"/>
      <c r="R560" s="36"/>
      <c r="S560" s="36"/>
      <c r="T560" s="12"/>
      <c r="U560" s="12"/>
      <c r="V560" s="12"/>
      <c r="W560" s="12"/>
      <c r="X560" s="12"/>
    </row>
    <row r="561" customFormat="false" ht="15.75" hidden="false" customHeight="false" outlineLevel="0" collapsed="false">
      <c r="A561" s="12"/>
      <c r="B561" s="34"/>
      <c r="C561" s="12"/>
      <c r="D561" s="12"/>
      <c r="E561" s="12"/>
      <c r="F561" s="12"/>
      <c r="G561" s="18"/>
      <c r="H561" s="35"/>
      <c r="I561" s="12"/>
      <c r="M561" s="12"/>
      <c r="N561" s="18"/>
      <c r="O561" s="12"/>
      <c r="P561" s="12"/>
      <c r="Q561" s="12"/>
      <c r="R561" s="36"/>
      <c r="S561" s="36"/>
      <c r="T561" s="12"/>
      <c r="U561" s="12"/>
      <c r="V561" s="12"/>
      <c r="W561" s="12"/>
      <c r="X561" s="12"/>
    </row>
    <row r="562" customFormat="false" ht="15.75" hidden="false" customHeight="false" outlineLevel="0" collapsed="false">
      <c r="A562" s="12"/>
      <c r="B562" s="34"/>
      <c r="C562" s="12"/>
      <c r="D562" s="12"/>
      <c r="E562" s="12"/>
      <c r="F562" s="12"/>
      <c r="G562" s="18"/>
      <c r="H562" s="35"/>
      <c r="I562" s="12"/>
      <c r="M562" s="12"/>
      <c r="N562" s="18"/>
      <c r="O562" s="12"/>
      <c r="P562" s="12"/>
      <c r="Q562" s="12"/>
      <c r="R562" s="36"/>
      <c r="S562" s="36"/>
      <c r="T562" s="12"/>
      <c r="U562" s="12"/>
      <c r="V562" s="12"/>
      <c r="W562" s="12"/>
      <c r="X562" s="12"/>
    </row>
    <row r="563" customFormat="false" ht="15.75" hidden="false" customHeight="false" outlineLevel="0" collapsed="false">
      <c r="A563" s="12"/>
      <c r="B563" s="34"/>
      <c r="C563" s="12"/>
      <c r="D563" s="12"/>
      <c r="E563" s="12"/>
      <c r="F563" s="12"/>
      <c r="G563" s="18"/>
      <c r="H563" s="35"/>
      <c r="I563" s="12"/>
      <c r="M563" s="12"/>
      <c r="N563" s="18"/>
      <c r="O563" s="12"/>
      <c r="P563" s="12"/>
      <c r="Q563" s="12"/>
      <c r="R563" s="36"/>
      <c r="S563" s="36"/>
      <c r="T563" s="12"/>
      <c r="U563" s="12"/>
      <c r="V563" s="12"/>
      <c r="W563" s="12"/>
      <c r="X563" s="12"/>
    </row>
    <row r="564" customFormat="false" ht="15.75" hidden="false" customHeight="false" outlineLevel="0" collapsed="false">
      <c r="A564" s="12"/>
      <c r="B564" s="34"/>
      <c r="C564" s="12"/>
      <c r="D564" s="12"/>
      <c r="E564" s="12"/>
      <c r="F564" s="12"/>
      <c r="G564" s="18"/>
      <c r="H564" s="35"/>
      <c r="I564" s="12"/>
      <c r="M564" s="12"/>
      <c r="N564" s="18"/>
      <c r="O564" s="12"/>
      <c r="P564" s="12"/>
      <c r="Q564" s="12"/>
      <c r="R564" s="36"/>
      <c r="S564" s="36"/>
      <c r="T564" s="12"/>
      <c r="U564" s="12"/>
      <c r="V564" s="12"/>
      <c r="W564" s="12"/>
      <c r="X564" s="12"/>
    </row>
    <row r="565" customFormat="false" ht="15.75" hidden="false" customHeight="false" outlineLevel="0" collapsed="false">
      <c r="A565" s="12"/>
      <c r="B565" s="34"/>
      <c r="C565" s="12"/>
      <c r="D565" s="12"/>
      <c r="E565" s="12"/>
      <c r="F565" s="12"/>
      <c r="G565" s="18"/>
      <c r="H565" s="35"/>
      <c r="I565" s="12"/>
      <c r="M565" s="12"/>
      <c r="N565" s="18"/>
      <c r="O565" s="12"/>
      <c r="P565" s="12"/>
      <c r="Q565" s="12"/>
      <c r="R565" s="36"/>
      <c r="S565" s="36"/>
      <c r="T565" s="12"/>
      <c r="U565" s="12"/>
      <c r="V565" s="12"/>
      <c r="W565" s="12"/>
      <c r="X565" s="12"/>
    </row>
    <row r="566" customFormat="false" ht="15.75" hidden="false" customHeight="false" outlineLevel="0" collapsed="false">
      <c r="A566" s="12"/>
      <c r="B566" s="34"/>
      <c r="C566" s="12"/>
      <c r="D566" s="12"/>
      <c r="E566" s="12"/>
      <c r="F566" s="12"/>
      <c r="G566" s="18"/>
      <c r="H566" s="35"/>
      <c r="I566" s="12"/>
      <c r="M566" s="12"/>
      <c r="N566" s="18"/>
      <c r="O566" s="12"/>
      <c r="P566" s="12"/>
      <c r="Q566" s="12"/>
      <c r="R566" s="36"/>
      <c r="S566" s="36"/>
      <c r="T566" s="12"/>
      <c r="U566" s="12"/>
      <c r="V566" s="12"/>
      <c r="W566" s="12"/>
      <c r="X566" s="12"/>
    </row>
    <row r="567" customFormat="false" ht="15.75" hidden="false" customHeight="false" outlineLevel="0" collapsed="false">
      <c r="A567" s="12"/>
      <c r="B567" s="34"/>
      <c r="C567" s="12"/>
      <c r="D567" s="12"/>
      <c r="E567" s="12"/>
      <c r="F567" s="12"/>
      <c r="G567" s="18"/>
      <c r="H567" s="35"/>
      <c r="I567" s="12"/>
      <c r="M567" s="12"/>
      <c r="N567" s="18"/>
      <c r="O567" s="12"/>
      <c r="P567" s="12"/>
      <c r="Q567" s="12"/>
      <c r="R567" s="36"/>
      <c r="S567" s="36"/>
      <c r="T567" s="12"/>
      <c r="U567" s="12"/>
      <c r="V567" s="12"/>
      <c r="W567" s="12"/>
      <c r="X567" s="12"/>
    </row>
    <row r="568" customFormat="false" ht="15.75" hidden="false" customHeight="false" outlineLevel="0" collapsed="false">
      <c r="A568" s="12"/>
      <c r="B568" s="34"/>
      <c r="C568" s="12"/>
      <c r="D568" s="12"/>
      <c r="E568" s="12"/>
      <c r="F568" s="12"/>
      <c r="G568" s="18"/>
      <c r="H568" s="35"/>
      <c r="I568" s="12"/>
      <c r="M568" s="12"/>
      <c r="N568" s="18"/>
      <c r="O568" s="12"/>
      <c r="P568" s="12"/>
      <c r="Q568" s="12"/>
      <c r="R568" s="36"/>
      <c r="S568" s="36"/>
      <c r="T568" s="12"/>
      <c r="U568" s="12"/>
      <c r="V568" s="12"/>
      <c r="W568" s="12"/>
      <c r="X568" s="12"/>
    </row>
    <row r="569" customFormat="false" ht="15.75" hidden="false" customHeight="false" outlineLevel="0" collapsed="false">
      <c r="A569" s="12"/>
      <c r="B569" s="34"/>
      <c r="C569" s="12"/>
      <c r="D569" s="12"/>
      <c r="E569" s="12"/>
      <c r="F569" s="12"/>
      <c r="G569" s="18"/>
      <c r="H569" s="35"/>
      <c r="I569" s="12"/>
      <c r="M569" s="12"/>
      <c r="N569" s="18"/>
      <c r="O569" s="12"/>
      <c r="P569" s="12"/>
      <c r="Q569" s="12"/>
      <c r="R569" s="36"/>
      <c r="S569" s="36"/>
      <c r="T569" s="12"/>
      <c r="U569" s="12"/>
      <c r="V569" s="12"/>
      <c r="W569" s="12"/>
      <c r="X569" s="12"/>
    </row>
    <row r="570" customFormat="false" ht="15.75" hidden="false" customHeight="false" outlineLevel="0" collapsed="false">
      <c r="A570" s="12"/>
      <c r="B570" s="34"/>
      <c r="C570" s="12"/>
      <c r="D570" s="12"/>
      <c r="E570" s="12"/>
      <c r="F570" s="12"/>
      <c r="G570" s="18"/>
      <c r="H570" s="35"/>
      <c r="I570" s="12"/>
      <c r="M570" s="12"/>
      <c r="N570" s="18"/>
      <c r="O570" s="12"/>
      <c r="P570" s="12"/>
      <c r="Q570" s="12"/>
      <c r="R570" s="36"/>
      <c r="S570" s="36"/>
      <c r="T570" s="12"/>
      <c r="U570" s="12"/>
      <c r="V570" s="12"/>
      <c r="W570" s="12"/>
      <c r="X570" s="12"/>
    </row>
    <row r="571" customFormat="false" ht="15.75" hidden="false" customHeight="false" outlineLevel="0" collapsed="false">
      <c r="A571" s="12"/>
      <c r="B571" s="34"/>
      <c r="C571" s="12"/>
      <c r="D571" s="12"/>
      <c r="E571" s="12"/>
      <c r="F571" s="12"/>
      <c r="G571" s="18"/>
      <c r="H571" s="35"/>
      <c r="I571" s="12"/>
      <c r="M571" s="12"/>
      <c r="N571" s="18"/>
      <c r="O571" s="12"/>
      <c r="P571" s="12"/>
      <c r="Q571" s="12"/>
      <c r="R571" s="36"/>
      <c r="S571" s="36"/>
      <c r="T571" s="12"/>
      <c r="U571" s="12"/>
      <c r="V571" s="12"/>
      <c r="W571" s="12"/>
      <c r="X571" s="12"/>
    </row>
    <row r="572" customFormat="false" ht="15.75" hidden="false" customHeight="false" outlineLevel="0" collapsed="false">
      <c r="A572" s="12"/>
      <c r="B572" s="34"/>
      <c r="C572" s="12"/>
      <c r="D572" s="12"/>
      <c r="E572" s="12"/>
      <c r="F572" s="12"/>
      <c r="G572" s="18"/>
      <c r="H572" s="35"/>
      <c r="I572" s="12"/>
      <c r="M572" s="12"/>
      <c r="N572" s="18"/>
      <c r="O572" s="12"/>
      <c r="P572" s="12"/>
      <c r="Q572" s="12"/>
      <c r="R572" s="36"/>
      <c r="S572" s="36"/>
      <c r="T572" s="12"/>
      <c r="U572" s="12"/>
      <c r="V572" s="12"/>
      <c r="W572" s="12"/>
      <c r="X572" s="12"/>
    </row>
    <row r="573" customFormat="false" ht="15.75" hidden="false" customHeight="false" outlineLevel="0" collapsed="false">
      <c r="A573" s="12"/>
      <c r="B573" s="34"/>
      <c r="C573" s="12"/>
      <c r="D573" s="12"/>
      <c r="E573" s="12"/>
      <c r="F573" s="12"/>
      <c r="G573" s="18"/>
      <c r="H573" s="35"/>
      <c r="I573" s="12"/>
      <c r="M573" s="12"/>
      <c r="N573" s="18"/>
      <c r="O573" s="12"/>
      <c r="P573" s="12"/>
      <c r="Q573" s="12"/>
      <c r="R573" s="36"/>
      <c r="S573" s="36"/>
      <c r="T573" s="12"/>
      <c r="U573" s="12"/>
      <c r="V573" s="12"/>
      <c r="W573" s="12"/>
      <c r="X573" s="12"/>
    </row>
    <row r="574" customFormat="false" ht="15.75" hidden="false" customHeight="false" outlineLevel="0" collapsed="false">
      <c r="A574" s="12"/>
      <c r="B574" s="34"/>
      <c r="C574" s="12"/>
      <c r="D574" s="12"/>
      <c r="E574" s="12"/>
      <c r="F574" s="12"/>
      <c r="G574" s="18"/>
      <c r="H574" s="35"/>
      <c r="I574" s="12"/>
      <c r="M574" s="12"/>
      <c r="N574" s="18"/>
      <c r="O574" s="12"/>
      <c r="P574" s="12"/>
      <c r="Q574" s="12"/>
      <c r="R574" s="36"/>
      <c r="S574" s="36"/>
      <c r="T574" s="12"/>
      <c r="U574" s="12"/>
      <c r="V574" s="12"/>
      <c r="W574" s="12"/>
      <c r="X574" s="12"/>
    </row>
    <row r="575" customFormat="false" ht="15.75" hidden="false" customHeight="false" outlineLevel="0" collapsed="false">
      <c r="A575" s="12"/>
      <c r="B575" s="34"/>
      <c r="C575" s="12"/>
      <c r="D575" s="12"/>
      <c r="E575" s="12"/>
      <c r="F575" s="12"/>
      <c r="G575" s="18"/>
      <c r="H575" s="35"/>
      <c r="I575" s="12"/>
      <c r="M575" s="12"/>
      <c r="N575" s="18"/>
      <c r="O575" s="12"/>
      <c r="P575" s="12"/>
      <c r="Q575" s="12"/>
      <c r="R575" s="36"/>
      <c r="S575" s="36"/>
      <c r="T575" s="12"/>
      <c r="U575" s="12"/>
      <c r="V575" s="12"/>
      <c r="W575" s="12"/>
      <c r="X575" s="12"/>
    </row>
    <row r="576" customFormat="false" ht="15.75" hidden="false" customHeight="false" outlineLevel="0" collapsed="false">
      <c r="A576" s="12"/>
      <c r="B576" s="34"/>
      <c r="C576" s="12"/>
      <c r="D576" s="12"/>
      <c r="E576" s="12"/>
      <c r="F576" s="12"/>
      <c r="G576" s="18"/>
      <c r="H576" s="35"/>
      <c r="I576" s="12"/>
      <c r="M576" s="12"/>
      <c r="N576" s="18"/>
      <c r="O576" s="12"/>
      <c r="P576" s="12"/>
      <c r="Q576" s="12"/>
      <c r="R576" s="36"/>
      <c r="S576" s="36"/>
      <c r="T576" s="12"/>
      <c r="U576" s="12"/>
      <c r="V576" s="12"/>
      <c r="W576" s="12"/>
      <c r="X576" s="12"/>
    </row>
    <row r="577" customFormat="false" ht="15.75" hidden="false" customHeight="false" outlineLevel="0" collapsed="false">
      <c r="A577" s="12"/>
      <c r="B577" s="34"/>
      <c r="C577" s="12"/>
      <c r="D577" s="12"/>
      <c r="E577" s="12"/>
      <c r="F577" s="12"/>
      <c r="G577" s="18"/>
      <c r="H577" s="35"/>
      <c r="I577" s="12"/>
      <c r="M577" s="12"/>
      <c r="N577" s="18"/>
      <c r="O577" s="12"/>
      <c r="P577" s="12"/>
      <c r="Q577" s="12"/>
      <c r="R577" s="36"/>
      <c r="S577" s="36"/>
      <c r="T577" s="12"/>
      <c r="U577" s="12"/>
      <c r="V577" s="12"/>
      <c r="W577" s="12"/>
      <c r="X577" s="12"/>
    </row>
    <row r="578" customFormat="false" ht="15.75" hidden="false" customHeight="false" outlineLevel="0" collapsed="false">
      <c r="A578" s="12"/>
      <c r="B578" s="34"/>
      <c r="C578" s="12"/>
      <c r="D578" s="12"/>
      <c r="E578" s="12"/>
      <c r="F578" s="12"/>
      <c r="G578" s="18"/>
      <c r="H578" s="35"/>
      <c r="I578" s="12"/>
      <c r="M578" s="12"/>
      <c r="N578" s="18"/>
      <c r="O578" s="12"/>
      <c r="P578" s="12"/>
      <c r="Q578" s="12"/>
      <c r="R578" s="36"/>
      <c r="S578" s="36"/>
      <c r="T578" s="12"/>
      <c r="U578" s="12"/>
      <c r="V578" s="12"/>
      <c r="W578" s="12"/>
      <c r="X578" s="12"/>
    </row>
    <row r="579" customFormat="false" ht="15.75" hidden="false" customHeight="false" outlineLevel="0" collapsed="false">
      <c r="A579" s="12"/>
      <c r="B579" s="34"/>
      <c r="C579" s="12"/>
      <c r="D579" s="12"/>
      <c r="E579" s="12"/>
      <c r="F579" s="12"/>
      <c r="G579" s="18"/>
      <c r="H579" s="35"/>
      <c r="I579" s="12"/>
      <c r="M579" s="12"/>
      <c r="N579" s="18"/>
      <c r="O579" s="12"/>
      <c r="P579" s="12"/>
      <c r="Q579" s="12"/>
      <c r="R579" s="36"/>
      <c r="S579" s="36"/>
      <c r="T579" s="12"/>
      <c r="U579" s="12"/>
      <c r="V579" s="12"/>
      <c r="W579" s="12"/>
      <c r="X579" s="12"/>
    </row>
    <row r="580" customFormat="false" ht="15.75" hidden="false" customHeight="false" outlineLevel="0" collapsed="false">
      <c r="A580" s="12"/>
      <c r="B580" s="34"/>
      <c r="C580" s="12"/>
      <c r="D580" s="12"/>
      <c r="E580" s="12"/>
      <c r="F580" s="12"/>
      <c r="G580" s="18"/>
      <c r="H580" s="35"/>
      <c r="I580" s="12"/>
      <c r="M580" s="12"/>
      <c r="N580" s="18"/>
      <c r="O580" s="12"/>
      <c r="P580" s="12"/>
      <c r="Q580" s="12"/>
      <c r="R580" s="36"/>
      <c r="S580" s="36"/>
      <c r="T580" s="12"/>
      <c r="U580" s="12"/>
      <c r="V580" s="12"/>
      <c r="W580" s="12"/>
      <c r="X580" s="12"/>
    </row>
    <row r="581" customFormat="false" ht="15.75" hidden="false" customHeight="false" outlineLevel="0" collapsed="false">
      <c r="A581" s="12"/>
      <c r="B581" s="34"/>
      <c r="C581" s="12"/>
      <c r="D581" s="12"/>
      <c r="E581" s="12"/>
      <c r="F581" s="12"/>
      <c r="G581" s="18"/>
      <c r="H581" s="35"/>
      <c r="I581" s="12"/>
      <c r="M581" s="12"/>
      <c r="N581" s="18"/>
      <c r="O581" s="12"/>
      <c r="P581" s="12"/>
      <c r="Q581" s="12"/>
      <c r="R581" s="36"/>
      <c r="S581" s="36"/>
      <c r="T581" s="12"/>
      <c r="U581" s="12"/>
      <c r="V581" s="12"/>
      <c r="W581" s="12"/>
      <c r="X581" s="12"/>
    </row>
    <row r="582" customFormat="false" ht="15.75" hidden="false" customHeight="false" outlineLevel="0" collapsed="false">
      <c r="A582" s="12"/>
      <c r="B582" s="34"/>
      <c r="C582" s="12"/>
      <c r="D582" s="12"/>
      <c r="E582" s="12"/>
      <c r="F582" s="12"/>
      <c r="G582" s="18"/>
      <c r="H582" s="35"/>
      <c r="I582" s="12"/>
      <c r="M582" s="12"/>
      <c r="N582" s="18"/>
      <c r="O582" s="12"/>
      <c r="P582" s="12"/>
      <c r="Q582" s="12"/>
      <c r="R582" s="36"/>
      <c r="S582" s="36"/>
      <c r="T582" s="12"/>
      <c r="U582" s="12"/>
      <c r="V582" s="12"/>
      <c r="W582" s="12"/>
      <c r="X582" s="12"/>
    </row>
    <row r="583" customFormat="false" ht="15.75" hidden="false" customHeight="false" outlineLevel="0" collapsed="false">
      <c r="A583" s="12"/>
      <c r="B583" s="34"/>
      <c r="C583" s="12"/>
      <c r="D583" s="12"/>
      <c r="E583" s="12"/>
      <c r="F583" s="12"/>
      <c r="G583" s="18"/>
      <c r="H583" s="35"/>
      <c r="I583" s="12"/>
      <c r="M583" s="12"/>
      <c r="N583" s="18"/>
      <c r="O583" s="12"/>
      <c r="P583" s="12"/>
      <c r="Q583" s="12"/>
      <c r="R583" s="36"/>
      <c r="S583" s="36"/>
      <c r="T583" s="12"/>
      <c r="U583" s="12"/>
      <c r="V583" s="12"/>
      <c r="W583" s="12"/>
      <c r="X583" s="12"/>
    </row>
    <row r="584" customFormat="false" ht="15.75" hidden="false" customHeight="false" outlineLevel="0" collapsed="false">
      <c r="A584" s="12"/>
      <c r="B584" s="34"/>
      <c r="C584" s="12"/>
      <c r="D584" s="12"/>
      <c r="E584" s="12"/>
      <c r="F584" s="12"/>
      <c r="G584" s="18"/>
      <c r="H584" s="35"/>
      <c r="I584" s="12"/>
      <c r="M584" s="12"/>
      <c r="N584" s="18"/>
      <c r="O584" s="12"/>
      <c r="P584" s="12"/>
      <c r="Q584" s="12"/>
      <c r="R584" s="36"/>
      <c r="S584" s="36"/>
      <c r="T584" s="12"/>
      <c r="U584" s="12"/>
      <c r="V584" s="12"/>
      <c r="W584" s="12"/>
      <c r="X584" s="12"/>
    </row>
    <row r="585" customFormat="false" ht="15.75" hidden="false" customHeight="false" outlineLevel="0" collapsed="false">
      <c r="A585" s="12"/>
      <c r="B585" s="34"/>
      <c r="C585" s="12"/>
      <c r="D585" s="12"/>
      <c r="E585" s="12"/>
      <c r="F585" s="12"/>
      <c r="G585" s="18"/>
      <c r="H585" s="35"/>
      <c r="I585" s="12"/>
      <c r="M585" s="12"/>
      <c r="N585" s="18"/>
      <c r="O585" s="12"/>
      <c r="P585" s="12"/>
      <c r="Q585" s="12"/>
      <c r="R585" s="36"/>
      <c r="S585" s="36"/>
      <c r="T585" s="12"/>
      <c r="U585" s="12"/>
      <c r="V585" s="12"/>
      <c r="W585" s="12"/>
      <c r="X585" s="12"/>
    </row>
    <row r="586" customFormat="false" ht="15.75" hidden="false" customHeight="false" outlineLevel="0" collapsed="false">
      <c r="A586" s="12"/>
      <c r="B586" s="34"/>
      <c r="C586" s="12"/>
      <c r="D586" s="12"/>
      <c r="E586" s="12"/>
      <c r="F586" s="12"/>
      <c r="G586" s="18"/>
      <c r="H586" s="35"/>
      <c r="I586" s="12"/>
      <c r="M586" s="12"/>
      <c r="N586" s="18"/>
      <c r="O586" s="12"/>
      <c r="P586" s="12"/>
      <c r="Q586" s="12"/>
      <c r="R586" s="36"/>
      <c r="S586" s="36"/>
      <c r="T586" s="12"/>
      <c r="U586" s="12"/>
      <c r="V586" s="12"/>
      <c r="W586" s="12"/>
      <c r="X586" s="12"/>
    </row>
    <row r="587" customFormat="false" ht="15.75" hidden="false" customHeight="false" outlineLevel="0" collapsed="false">
      <c r="A587" s="12"/>
      <c r="B587" s="34"/>
      <c r="C587" s="12"/>
      <c r="D587" s="12"/>
      <c r="E587" s="12"/>
      <c r="F587" s="12"/>
      <c r="G587" s="18"/>
      <c r="H587" s="35"/>
      <c r="I587" s="12"/>
      <c r="M587" s="12"/>
      <c r="N587" s="18"/>
      <c r="O587" s="12"/>
      <c r="P587" s="12"/>
      <c r="Q587" s="12"/>
      <c r="R587" s="36"/>
      <c r="S587" s="36"/>
      <c r="T587" s="12"/>
      <c r="U587" s="12"/>
      <c r="V587" s="12"/>
      <c r="W587" s="12"/>
      <c r="X587" s="12"/>
    </row>
    <row r="588" customFormat="false" ht="15.75" hidden="false" customHeight="false" outlineLevel="0" collapsed="false">
      <c r="A588" s="12"/>
      <c r="B588" s="34"/>
      <c r="C588" s="12"/>
      <c r="D588" s="12"/>
      <c r="E588" s="12"/>
      <c r="F588" s="12"/>
      <c r="G588" s="18"/>
      <c r="H588" s="35"/>
      <c r="I588" s="12"/>
      <c r="M588" s="12"/>
      <c r="N588" s="18"/>
      <c r="O588" s="12"/>
      <c r="P588" s="12"/>
      <c r="Q588" s="12"/>
      <c r="R588" s="36"/>
      <c r="S588" s="36"/>
      <c r="T588" s="12"/>
      <c r="U588" s="12"/>
      <c r="V588" s="12"/>
      <c r="W588" s="12"/>
      <c r="X588" s="12"/>
    </row>
    <row r="589" customFormat="false" ht="15.75" hidden="false" customHeight="false" outlineLevel="0" collapsed="false">
      <c r="A589" s="12"/>
      <c r="B589" s="34"/>
      <c r="C589" s="12"/>
      <c r="D589" s="12"/>
      <c r="E589" s="12"/>
      <c r="F589" s="12"/>
      <c r="G589" s="18"/>
      <c r="H589" s="35"/>
      <c r="I589" s="12"/>
      <c r="M589" s="12"/>
      <c r="N589" s="18"/>
      <c r="O589" s="12"/>
      <c r="P589" s="12"/>
      <c r="Q589" s="12"/>
      <c r="R589" s="36"/>
      <c r="S589" s="36"/>
      <c r="T589" s="12"/>
      <c r="U589" s="12"/>
      <c r="V589" s="12"/>
      <c r="W589" s="12"/>
      <c r="X589" s="12"/>
    </row>
    <row r="590" customFormat="false" ht="15.75" hidden="false" customHeight="false" outlineLevel="0" collapsed="false">
      <c r="A590" s="12"/>
      <c r="B590" s="34"/>
      <c r="C590" s="12"/>
      <c r="D590" s="12"/>
      <c r="E590" s="12"/>
      <c r="F590" s="12"/>
      <c r="G590" s="18"/>
      <c r="H590" s="35"/>
      <c r="I590" s="12"/>
      <c r="M590" s="12"/>
      <c r="N590" s="18"/>
      <c r="O590" s="12"/>
      <c r="P590" s="12"/>
      <c r="Q590" s="12"/>
      <c r="R590" s="36"/>
      <c r="S590" s="36"/>
      <c r="T590" s="12"/>
      <c r="U590" s="12"/>
      <c r="V590" s="12"/>
      <c r="W590" s="12"/>
      <c r="X590" s="12"/>
    </row>
    <row r="591" customFormat="false" ht="15.75" hidden="false" customHeight="false" outlineLevel="0" collapsed="false">
      <c r="A591" s="12"/>
      <c r="B591" s="34"/>
      <c r="C591" s="12"/>
      <c r="D591" s="12"/>
      <c r="E591" s="12"/>
      <c r="F591" s="12"/>
      <c r="G591" s="18"/>
      <c r="H591" s="35"/>
      <c r="I591" s="12"/>
      <c r="M591" s="12"/>
      <c r="N591" s="18"/>
      <c r="O591" s="12"/>
      <c r="P591" s="12"/>
      <c r="Q591" s="12"/>
      <c r="R591" s="36"/>
      <c r="S591" s="36"/>
      <c r="T591" s="12"/>
      <c r="U591" s="12"/>
      <c r="V591" s="12"/>
      <c r="W591" s="12"/>
      <c r="X591" s="12"/>
    </row>
    <row r="592" customFormat="false" ht="15.75" hidden="false" customHeight="false" outlineLevel="0" collapsed="false">
      <c r="A592" s="12"/>
      <c r="B592" s="34"/>
      <c r="C592" s="12"/>
      <c r="D592" s="12"/>
      <c r="E592" s="12"/>
      <c r="F592" s="12"/>
      <c r="G592" s="18"/>
      <c r="H592" s="35"/>
      <c r="I592" s="12"/>
      <c r="M592" s="12"/>
      <c r="N592" s="18"/>
      <c r="O592" s="12"/>
      <c r="P592" s="12"/>
      <c r="Q592" s="12"/>
      <c r="R592" s="36"/>
      <c r="S592" s="36"/>
      <c r="T592" s="12"/>
      <c r="U592" s="12"/>
      <c r="V592" s="12"/>
      <c r="W592" s="12"/>
      <c r="X592" s="12"/>
    </row>
    <row r="593" customFormat="false" ht="15.75" hidden="false" customHeight="false" outlineLevel="0" collapsed="false">
      <c r="A593" s="12"/>
      <c r="B593" s="34"/>
      <c r="C593" s="12"/>
      <c r="D593" s="12"/>
      <c r="E593" s="12"/>
      <c r="F593" s="12"/>
      <c r="G593" s="18"/>
      <c r="H593" s="35"/>
      <c r="I593" s="12"/>
      <c r="M593" s="12"/>
      <c r="N593" s="18"/>
      <c r="O593" s="12"/>
      <c r="P593" s="12"/>
      <c r="Q593" s="12"/>
      <c r="R593" s="36"/>
      <c r="S593" s="36"/>
      <c r="T593" s="12"/>
      <c r="U593" s="12"/>
      <c r="V593" s="12"/>
      <c r="W593" s="12"/>
      <c r="X593" s="12"/>
    </row>
    <row r="594" customFormat="false" ht="15.75" hidden="false" customHeight="false" outlineLevel="0" collapsed="false">
      <c r="A594" s="12"/>
      <c r="B594" s="34"/>
      <c r="C594" s="12"/>
      <c r="D594" s="12"/>
      <c r="E594" s="12"/>
      <c r="F594" s="12"/>
      <c r="G594" s="18"/>
      <c r="H594" s="35"/>
      <c r="I594" s="12"/>
      <c r="M594" s="12"/>
      <c r="N594" s="18"/>
      <c r="O594" s="12"/>
      <c r="P594" s="12"/>
      <c r="Q594" s="12"/>
      <c r="R594" s="36"/>
      <c r="S594" s="36"/>
      <c r="T594" s="12"/>
      <c r="U594" s="12"/>
      <c r="V594" s="12"/>
      <c r="W594" s="12"/>
      <c r="X594" s="12"/>
    </row>
    <row r="595" customFormat="false" ht="15.75" hidden="false" customHeight="false" outlineLevel="0" collapsed="false">
      <c r="A595" s="12"/>
      <c r="B595" s="34"/>
      <c r="C595" s="12"/>
      <c r="D595" s="12"/>
      <c r="E595" s="12"/>
      <c r="F595" s="12"/>
      <c r="G595" s="18"/>
      <c r="H595" s="35"/>
      <c r="I595" s="12"/>
      <c r="M595" s="12"/>
      <c r="N595" s="18"/>
      <c r="O595" s="12"/>
      <c r="P595" s="12"/>
      <c r="Q595" s="12"/>
      <c r="R595" s="36"/>
      <c r="S595" s="36"/>
      <c r="T595" s="12"/>
      <c r="U595" s="12"/>
      <c r="V595" s="12"/>
      <c r="W595" s="12"/>
      <c r="X595" s="12"/>
    </row>
    <row r="596" customFormat="false" ht="15.75" hidden="false" customHeight="false" outlineLevel="0" collapsed="false">
      <c r="A596" s="12"/>
      <c r="B596" s="34"/>
      <c r="C596" s="12"/>
      <c r="D596" s="12"/>
      <c r="E596" s="12"/>
      <c r="F596" s="12"/>
      <c r="G596" s="18"/>
      <c r="H596" s="35"/>
      <c r="I596" s="12"/>
      <c r="M596" s="12"/>
      <c r="N596" s="18"/>
      <c r="O596" s="12"/>
      <c r="P596" s="12"/>
      <c r="Q596" s="12"/>
      <c r="R596" s="36"/>
      <c r="S596" s="36"/>
      <c r="T596" s="12"/>
      <c r="U596" s="12"/>
      <c r="V596" s="12"/>
      <c r="W596" s="12"/>
      <c r="X596" s="12"/>
    </row>
    <row r="597" customFormat="false" ht="15.75" hidden="false" customHeight="false" outlineLevel="0" collapsed="false">
      <c r="A597" s="12"/>
      <c r="B597" s="34"/>
      <c r="C597" s="12"/>
      <c r="D597" s="12"/>
      <c r="E597" s="12"/>
      <c r="F597" s="12"/>
      <c r="G597" s="18"/>
      <c r="H597" s="35"/>
      <c r="I597" s="12"/>
      <c r="M597" s="12"/>
      <c r="N597" s="18"/>
      <c r="O597" s="12"/>
      <c r="P597" s="12"/>
      <c r="Q597" s="12"/>
      <c r="R597" s="36"/>
      <c r="S597" s="36"/>
      <c r="T597" s="12"/>
      <c r="U597" s="12"/>
      <c r="V597" s="12"/>
      <c r="W597" s="12"/>
      <c r="X597" s="12"/>
    </row>
    <row r="598" customFormat="false" ht="15.75" hidden="false" customHeight="false" outlineLevel="0" collapsed="false">
      <c r="A598" s="12"/>
      <c r="B598" s="34"/>
      <c r="C598" s="12"/>
      <c r="D598" s="12"/>
      <c r="E598" s="12"/>
      <c r="F598" s="12"/>
      <c r="G598" s="18"/>
      <c r="H598" s="35"/>
      <c r="I598" s="12"/>
      <c r="M598" s="12"/>
      <c r="N598" s="18"/>
      <c r="O598" s="12"/>
      <c r="P598" s="12"/>
      <c r="Q598" s="12"/>
      <c r="R598" s="36"/>
      <c r="S598" s="36"/>
      <c r="T598" s="12"/>
      <c r="U598" s="12"/>
      <c r="V598" s="12"/>
      <c r="W598" s="12"/>
      <c r="X598" s="12"/>
    </row>
    <row r="599" customFormat="false" ht="15.75" hidden="false" customHeight="false" outlineLevel="0" collapsed="false">
      <c r="A599" s="12"/>
      <c r="B599" s="34"/>
      <c r="C599" s="12"/>
      <c r="D599" s="12"/>
      <c r="E599" s="12"/>
      <c r="F599" s="12"/>
      <c r="G599" s="18"/>
      <c r="H599" s="35"/>
      <c r="I599" s="12"/>
      <c r="M599" s="12"/>
      <c r="N599" s="18"/>
      <c r="O599" s="12"/>
      <c r="P599" s="12"/>
      <c r="Q599" s="12"/>
      <c r="R599" s="36"/>
      <c r="S599" s="36"/>
      <c r="T599" s="12"/>
      <c r="U599" s="12"/>
      <c r="V599" s="12"/>
      <c r="W599" s="12"/>
      <c r="X599" s="12"/>
    </row>
    <row r="600" customFormat="false" ht="15.75" hidden="false" customHeight="false" outlineLevel="0" collapsed="false">
      <c r="A600" s="12"/>
      <c r="B600" s="34"/>
      <c r="C600" s="12"/>
      <c r="D600" s="12"/>
      <c r="E600" s="12"/>
      <c r="F600" s="12"/>
      <c r="G600" s="18"/>
      <c r="H600" s="35"/>
      <c r="I600" s="12"/>
      <c r="M600" s="12"/>
      <c r="N600" s="18"/>
      <c r="O600" s="12"/>
      <c r="P600" s="12"/>
      <c r="Q600" s="12"/>
      <c r="R600" s="36"/>
      <c r="S600" s="36"/>
      <c r="T600" s="12"/>
      <c r="U600" s="12"/>
      <c r="V600" s="12"/>
      <c r="W600" s="12"/>
      <c r="X600" s="12"/>
    </row>
    <row r="601" customFormat="false" ht="15.75" hidden="false" customHeight="false" outlineLevel="0" collapsed="false">
      <c r="A601" s="12"/>
      <c r="B601" s="34"/>
      <c r="C601" s="12"/>
      <c r="D601" s="12"/>
      <c r="E601" s="12"/>
      <c r="F601" s="12"/>
      <c r="G601" s="18"/>
      <c r="H601" s="35"/>
      <c r="I601" s="12"/>
      <c r="M601" s="12"/>
      <c r="N601" s="18"/>
      <c r="O601" s="12"/>
      <c r="P601" s="12"/>
      <c r="Q601" s="12"/>
      <c r="R601" s="36"/>
      <c r="S601" s="36"/>
      <c r="T601" s="12"/>
      <c r="U601" s="12"/>
      <c r="V601" s="12"/>
      <c r="W601" s="12"/>
      <c r="X601" s="12"/>
    </row>
    <row r="602" customFormat="false" ht="15.75" hidden="false" customHeight="false" outlineLevel="0" collapsed="false">
      <c r="A602" s="12"/>
      <c r="B602" s="34"/>
      <c r="C602" s="12"/>
      <c r="D602" s="12"/>
      <c r="E602" s="12"/>
      <c r="F602" s="12"/>
      <c r="G602" s="18"/>
      <c r="H602" s="35"/>
      <c r="I602" s="12"/>
      <c r="M602" s="12"/>
      <c r="N602" s="18"/>
      <c r="O602" s="12"/>
      <c r="P602" s="12"/>
      <c r="Q602" s="12"/>
      <c r="R602" s="36"/>
      <c r="S602" s="36"/>
      <c r="T602" s="12"/>
      <c r="U602" s="12"/>
      <c r="V602" s="12"/>
      <c r="W602" s="12"/>
      <c r="X602" s="12"/>
    </row>
    <row r="603" customFormat="false" ht="15.75" hidden="false" customHeight="false" outlineLevel="0" collapsed="false">
      <c r="A603" s="12"/>
      <c r="B603" s="34"/>
      <c r="C603" s="12"/>
      <c r="D603" s="12"/>
      <c r="E603" s="12"/>
      <c r="F603" s="12"/>
      <c r="G603" s="18"/>
      <c r="H603" s="35"/>
      <c r="I603" s="12"/>
      <c r="M603" s="12"/>
      <c r="N603" s="18"/>
      <c r="O603" s="12"/>
      <c r="P603" s="12"/>
      <c r="Q603" s="12"/>
      <c r="R603" s="36"/>
      <c r="S603" s="36"/>
      <c r="T603" s="12"/>
      <c r="U603" s="12"/>
      <c r="V603" s="12"/>
      <c r="W603" s="12"/>
      <c r="X603" s="12"/>
    </row>
    <row r="604" customFormat="false" ht="15.75" hidden="false" customHeight="false" outlineLevel="0" collapsed="false">
      <c r="A604" s="12"/>
      <c r="B604" s="34"/>
      <c r="C604" s="12"/>
      <c r="D604" s="12"/>
      <c r="E604" s="12"/>
      <c r="F604" s="12"/>
      <c r="G604" s="18"/>
      <c r="H604" s="35"/>
      <c r="I604" s="12"/>
      <c r="M604" s="12"/>
      <c r="N604" s="18"/>
      <c r="O604" s="12"/>
      <c r="P604" s="12"/>
      <c r="Q604" s="12"/>
      <c r="R604" s="36"/>
      <c r="S604" s="36"/>
      <c r="T604" s="12"/>
      <c r="U604" s="12"/>
      <c r="V604" s="12"/>
      <c r="W604" s="12"/>
      <c r="X604" s="12"/>
    </row>
    <row r="605" customFormat="false" ht="15.75" hidden="false" customHeight="false" outlineLevel="0" collapsed="false">
      <c r="A605" s="12"/>
      <c r="B605" s="34"/>
      <c r="C605" s="12"/>
      <c r="D605" s="12"/>
      <c r="E605" s="12"/>
      <c r="F605" s="12"/>
      <c r="G605" s="18"/>
      <c r="H605" s="35"/>
      <c r="I605" s="12"/>
      <c r="M605" s="12"/>
      <c r="N605" s="18"/>
      <c r="O605" s="12"/>
      <c r="P605" s="12"/>
      <c r="Q605" s="12"/>
      <c r="R605" s="36"/>
      <c r="S605" s="36"/>
      <c r="T605" s="12"/>
      <c r="U605" s="12"/>
      <c r="V605" s="12"/>
      <c r="W605" s="12"/>
      <c r="X605" s="12"/>
    </row>
    <row r="606" customFormat="false" ht="15.75" hidden="false" customHeight="false" outlineLevel="0" collapsed="false">
      <c r="A606" s="12"/>
      <c r="B606" s="34"/>
      <c r="C606" s="12"/>
      <c r="D606" s="12"/>
      <c r="E606" s="12"/>
      <c r="F606" s="12"/>
      <c r="G606" s="18"/>
      <c r="H606" s="35"/>
      <c r="I606" s="12"/>
      <c r="M606" s="12"/>
      <c r="N606" s="18"/>
      <c r="O606" s="12"/>
      <c r="P606" s="12"/>
      <c r="Q606" s="12"/>
      <c r="R606" s="36"/>
      <c r="S606" s="36"/>
      <c r="T606" s="12"/>
      <c r="U606" s="12"/>
      <c r="V606" s="12"/>
      <c r="W606" s="12"/>
      <c r="X606" s="12"/>
    </row>
    <row r="607" customFormat="false" ht="15.75" hidden="false" customHeight="false" outlineLevel="0" collapsed="false">
      <c r="A607" s="12"/>
      <c r="B607" s="34"/>
      <c r="C607" s="12"/>
      <c r="D607" s="12"/>
      <c r="E607" s="12"/>
      <c r="F607" s="12"/>
      <c r="G607" s="18"/>
      <c r="H607" s="35"/>
      <c r="I607" s="12"/>
      <c r="M607" s="12"/>
      <c r="N607" s="18"/>
      <c r="O607" s="12"/>
      <c r="P607" s="12"/>
      <c r="Q607" s="12"/>
      <c r="R607" s="36"/>
      <c r="S607" s="36"/>
      <c r="T607" s="12"/>
      <c r="U607" s="12"/>
      <c r="V607" s="12"/>
      <c r="W607" s="12"/>
      <c r="X607" s="12"/>
    </row>
    <row r="608" customFormat="false" ht="15.75" hidden="false" customHeight="false" outlineLevel="0" collapsed="false">
      <c r="A608" s="12"/>
      <c r="B608" s="34"/>
      <c r="C608" s="12"/>
      <c r="D608" s="12"/>
      <c r="E608" s="12"/>
      <c r="F608" s="12"/>
      <c r="G608" s="18"/>
      <c r="H608" s="35"/>
      <c r="I608" s="12"/>
      <c r="M608" s="12"/>
      <c r="N608" s="18"/>
      <c r="O608" s="12"/>
      <c r="P608" s="12"/>
      <c r="Q608" s="12"/>
      <c r="R608" s="36"/>
      <c r="S608" s="36"/>
      <c r="T608" s="12"/>
      <c r="U608" s="12"/>
      <c r="V608" s="12"/>
      <c r="W608" s="12"/>
      <c r="X608" s="12"/>
    </row>
    <row r="609" customFormat="false" ht="15.75" hidden="false" customHeight="false" outlineLevel="0" collapsed="false">
      <c r="A609" s="12"/>
      <c r="B609" s="34"/>
      <c r="C609" s="12"/>
      <c r="D609" s="12"/>
      <c r="E609" s="12"/>
      <c r="F609" s="12"/>
      <c r="G609" s="18"/>
      <c r="H609" s="35"/>
      <c r="I609" s="12"/>
      <c r="M609" s="12"/>
      <c r="N609" s="18"/>
      <c r="O609" s="12"/>
      <c r="P609" s="12"/>
      <c r="Q609" s="12"/>
      <c r="R609" s="36"/>
      <c r="S609" s="36"/>
      <c r="T609" s="12"/>
      <c r="U609" s="12"/>
      <c r="V609" s="12"/>
      <c r="W609" s="12"/>
      <c r="X609" s="12"/>
    </row>
    <row r="610" customFormat="false" ht="15.75" hidden="false" customHeight="false" outlineLevel="0" collapsed="false">
      <c r="A610" s="12"/>
      <c r="B610" s="34"/>
      <c r="C610" s="12"/>
      <c r="D610" s="12"/>
      <c r="E610" s="12"/>
      <c r="F610" s="12"/>
      <c r="G610" s="18"/>
      <c r="H610" s="35"/>
      <c r="I610" s="12"/>
      <c r="M610" s="12"/>
      <c r="N610" s="18"/>
      <c r="O610" s="12"/>
      <c r="P610" s="12"/>
      <c r="Q610" s="12"/>
      <c r="R610" s="36"/>
      <c r="S610" s="36"/>
      <c r="T610" s="12"/>
      <c r="U610" s="12"/>
      <c r="V610" s="12"/>
      <c r="W610" s="12"/>
      <c r="X610" s="12"/>
    </row>
    <row r="611" customFormat="false" ht="15.75" hidden="false" customHeight="false" outlineLevel="0" collapsed="false">
      <c r="A611" s="12"/>
      <c r="B611" s="34"/>
      <c r="C611" s="12"/>
      <c r="D611" s="12"/>
      <c r="E611" s="12"/>
      <c r="F611" s="12"/>
      <c r="G611" s="18"/>
      <c r="H611" s="35"/>
      <c r="I611" s="12"/>
      <c r="M611" s="12"/>
      <c r="N611" s="18"/>
      <c r="O611" s="12"/>
      <c r="P611" s="12"/>
      <c r="Q611" s="12"/>
      <c r="R611" s="36"/>
      <c r="S611" s="36"/>
      <c r="T611" s="12"/>
      <c r="U611" s="12"/>
      <c r="V611" s="12"/>
      <c r="W611" s="12"/>
      <c r="X611" s="12"/>
    </row>
    <row r="612" customFormat="false" ht="15.75" hidden="false" customHeight="false" outlineLevel="0" collapsed="false">
      <c r="A612" s="12"/>
      <c r="B612" s="34"/>
      <c r="C612" s="12"/>
      <c r="D612" s="12"/>
      <c r="E612" s="12"/>
      <c r="F612" s="12"/>
      <c r="G612" s="18"/>
      <c r="H612" s="35"/>
      <c r="I612" s="12"/>
      <c r="M612" s="12"/>
      <c r="N612" s="18"/>
      <c r="O612" s="12"/>
      <c r="P612" s="12"/>
      <c r="Q612" s="12"/>
      <c r="R612" s="36"/>
      <c r="S612" s="36"/>
      <c r="T612" s="12"/>
      <c r="U612" s="12"/>
      <c r="V612" s="12"/>
      <c r="W612" s="12"/>
      <c r="X612" s="12"/>
    </row>
    <row r="613" customFormat="false" ht="15.75" hidden="false" customHeight="false" outlineLevel="0" collapsed="false">
      <c r="A613" s="12"/>
      <c r="B613" s="34"/>
      <c r="C613" s="12"/>
      <c r="D613" s="12"/>
      <c r="E613" s="12"/>
      <c r="F613" s="12"/>
      <c r="G613" s="18"/>
      <c r="H613" s="35"/>
      <c r="I613" s="12"/>
      <c r="M613" s="12"/>
      <c r="N613" s="18"/>
      <c r="O613" s="12"/>
      <c r="P613" s="12"/>
      <c r="Q613" s="12"/>
      <c r="R613" s="36"/>
      <c r="S613" s="36"/>
      <c r="T613" s="12"/>
      <c r="U613" s="12"/>
      <c r="V613" s="12"/>
      <c r="W613" s="12"/>
      <c r="X613" s="12"/>
    </row>
    <row r="614" customFormat="false" ht="15.75" hidden="false" customHeight="false" outlineLevel="0" collapsed="false">
      <c r="A614" s="12"/>
      <c r="B614" s="34"/>
      <c r="C614" s="12"/>
      <c r="D614" s="12"/>
      <c r="E614" s="12"/>
      <c r="F614" s="12"/>
      <c r="G614" s="18"/>
      <c r="H614" s="35"/>
      <c r="I614" s="12"/>
      <c r="M614" s="12"/>
      <c r="N614" s="18"/>
      <c r="O614" s="12"/>
      <c r="P614" s="12"/>
      <c r="Q614" s="12"/>
      <c r="R614" s="36"/>
      <c r="S614" s="36"/>
      <c r="T614" s="12"/>
      <c r="U614" s="12"/>
      <c r="V614" s="12"/>
      <c r="W614" s="12"/>
      <c r="X614" s="12"/>
    </row>
    <row r="615" customFormat="false" ht="15.75" hidden="false" customHeight="false" outlineLevel="0" collapsed="false">
      <c r="A615" s="12"/>
      <c r="B615" s="34"/>
      <c r="C615" s="12"/>
      <c r="D615" s="12"/>
      <c r="E615" s="12"/>
      <c r="F615" s="12"/>
      <c r="G615" s="18"/>
      <c r="H615" s="35"/>
      <c r="I615" s="12"/>
      <c r="M615" s="12"/>
      <c r="N615" s="18"/>
      <c r="O615" s="12"/>
      <c r="P615" s="12"/>
      <c r="Q615" s="12"/>
      <c r="R615" s="36"/>
      <c r="S615" s="36"/>
      <c r="T615" s="12"/>
      <c r="U615" s="12"/>
      <c r="V615" s="12"/>
      <c r="W615" s="12"/>
      <c r="X615" s="12"/>
    </row>
    <row r="616" customFormat="false" ht="15.75" hidden="false" customHeight="false" outlineLevel="0" collapsed="false">
      <c r="A616" s="12"/>
      <c r="B616" s="34"/>
      <c r="C616" s="12"/>
      <c r="D616" s="12"/>
      <c r="E616" s="12"/>
      <c r="F616" s="12"/>
      <c r="G616" s="18"/>
      <c r="H616" s="35"/>
      <c r="I616" s="12"/>
      <c r="M616" s="12"/>
      <c r="N616" s="18"/>
      <c r="O616" s="12"/>
      <c r="P616" s="12"/>
      <c r="Q616" s="12"/>
      <c r="R616" s="36"/>
      <c r="S616" s="36"/>
      <c r="T616" s="12"/>
      <c r="U616" s="12"/>
      <c r="V616" s="12"/>
      <c r="W616" s="12"/>
      <c r="X616" s="12"/>
    </row>
    <row r="617" customFormat="false" ht="15.75" hidden="false" customHeight="false" outlineLevel="0" collapsed="false">
      <c r="A617" s="12"/>
      <c r="B617" s="34"/>
      <c r="C617" s="12"/>
      <c r="D617" s="12"/>
      <c r="E617" s="12"/>
      <c r="F617" s="12"/>
      <c r="G617" s="18"/>
      <c r="H617" s="35"/>
      <c r="I617" s="12"/>
      <c r="M617" s="12"/>
      <c r="N617" s="18"/>
      <c r="O617" s="12"/>
      <c r="P617" s="12"/>
      <c r="Q617" s="12"/>
      <c r="R617" s="36"/>
      <c r="S617" s="36"/>
      <c r="T617" s="12"/>
      <c r="U617" s="12"/>
      <c r="V617" s="12"/>
      <c r="W617" s="12"/>
      <c r="X617" s="12"/>
    </row>
    <row r="618" customFormat="false" ht="15.75" hidden="false" customHeight="false" outlineLevel="0" collapsed="false">
      <c r="A618" s="12"/>
      <c r="B618" s="34"/>
      <c r="C618" s="12"/>
      <c r="D618" s="12"/>
      <c r="E618" s="12"/>
      <c r="F618" s="12"/>
      <c r="G618" s="18"/>
      <c r="H618" s="35"/>
      <c r="I618" s="12"/>
      <c r="M618" s="12"/>
      <c r="N618" s="18"/>
      <c r="O618" s="12"/>
      <c r="P618" s="12"/>
      <c r="Q618" s="12"/>
      <c r="R618" s="36"/>
      <c r="S618" s="36"/>
      <c r="T618" s="12"/>
      <c r="U618" s="12"/>
      <c r="V618" s="12"/>
      <c r="W618" s="12"/>
      <c r="X618" s="12"/>
    </row>
    <row r="619" customFormat="false" ht="15.75" hidden="false" customHeight="false" outlineLevel="0" collapsed="false">
      <c r="A619" s="12"/>
      <c r="B619" s="34"/>
      <c r="C619" s="12"/>
      <c r="D619" s="12"/>
      <c r="E619" s="12"/>
      <c r="F619" s="12"/>
      <c r="G619" s="18"/>
      <c r="H619" s="35"/>
      <c r="I619" s="12"/>
      <c r="M619" s="12"/>
      <c r="N619" s="18"/>
      <c r="O619" s="12"/>
      <c r="P619" s="12"/>
      <c r="Q619" s="12"/>
      <c r="R619" s="36"/>
      <c r="S619" s="36"/>
      <c r="T619" s="12"/>
      <c r="U619" s="12"/>
      <c r="V619" s="12"/>
      <c r="W619" s="12"/>
      <c r="X619" s="12"/>
    </row>
    <row r="620" customFormat="false" ht="15.75" hidden="false" customHeight="false" outlineLevel="0" collapsed="false">
      <c r="A620" s="12"/>
      <c r="B620" s="34"/>
      <c r="C620" s="12"/>
      <c r="D620" s="12"/>
      <c r="E620" s="12"/>
      <c r="F620" s="12"/>
      <c r="G620" s="18"/>
      <c r="H620" s="35"/>
      <c r="I620" s="12"/>
      <c r="M620" s="12"/>
      <c r="N620" s="18"/>
      <c r="O620" s="12"/>
      <c r="P620" s="12"/>
      <c r="Q620" s="12"/>
      <c r="R620" s="36"/>
      <c r="S620" s="36"/>
      <c r="T620" s="12"/>
      <c r="U620" s="12"/>
      <c r="V620" s="12"/>
      <c r="W620" s="12"/>
      <c r="X620" s="12"/>
    </row>
    <row r="621" customFormat="false" ht="15.75" hidden="false" customHeight="false" outlineLevel="0" collapsed="false">
      <c r="A621" s="12"/>
      <c r="B621" s="34"/>
      <c r="C621" s="12"/>
      <c r="D621" s="12"/>
      <c r="E621" s="12"/>
      <c r="F621" s="12"/>
      <c r="G621" s="18"/>
      <c r="H621" s="35"/>
      <c r="I621" s="12"/>
      <c r="M621" s="12"/>
      <c r="N621" s="18"/>
      <c r="O621" s="12"/>
      <c r="P621" s="12"/>
      <c r="Q621" s="12"/>
      <c r="R621" s="36"/>
      <c r="S621" s="36"/>
      <c r="T621" s="12"/>
      <c r="U621" s="12"/>
      <c r="V621" s="12"/>
      <c r="W621" s="12"/>
      <c r="X621" s="12"/>
    </row>
    <row r="622" customFormat="false" ht="15.75" hidden="false" customHeight="false" outlineLevel="0" collapsed="false">
      <c r="A622" s="12"/>
      <c r="B622" s="34"/>
      <c r="C622" s="12"/>
      <c r="D622" s="12"/>
      <c r="E622" s="12"/>
      <c r="F622" s="12"/>
      <c r="G622" s="18"/>
      <c r="H622" s="35"/>
      <c r="I622" s="12"/>
      <c r="M622" s="12"/>
      <c r="N622" s="18"/>
      <c r="O622" s="12"/>
      <c r="P622" s="12"/>
      <c r="Q622" s="12"/>
      <c r="R622" s="36"/>
      <c r="S622" s="36"/>
      <c r="T622" s="12"/>
      <c r="U622" s="12"/>
      <c r="V622" s="12"/>
      <c r="W622" s="12"/>
      <c r="X622" s="12"/>
    </row>
    <row r="623" customFormat="false" ht="15.75" hidden="false" customHeight="false" outlineLevel="0" collapsed="false">
      <c r="A623" s="12"/>
      <c r="B623" s="34"/>
      <c r="C623" s="12"/>
      <c r="D623" s="12"/>
      <c r="E623" s="12"/>
      <c r="F623" s="12"/>
      <c r="G623" s="18"/>
      <c r="H623" s="35"/>
      <c r="I623" s="12"/>
      <c r="M623" s="12"/>
      <c r="N623" s="18"/>
      <c r="O623" s="12"/>
      <c r="P623" s="12"/>
      <c r="Q623" s="12"/>
      <c r="R623" s="36"/>
      <c r="S623" s="36"/>
      <c r="T623" s="12"/>
      <c r="U623" s="12"/>
      <c r="V623" s="12"/>
      <c r="W623" s="12"/>
      <c r="X623" s="12"/>
    </row>
    <row r="624" customFormat="false" ht="15.75" hidden="false" customHeight="false" outlineLevel="0" collapsed="false">
      <c r="A624" s="12"/>
      <c r="B624" s="34"/>
      <c r="C624" s="12"/>
      <c r="D624" s="12"/>
      <c r="E624" s="12"/>
      <c r="F624" s="12"/>
      <c r="G624" s="18"/>
      <c r="H624" s="35"/>
      <c r="I624" s="12"/>
      <c r="M624" s="12"/>
      <c r="N624" s="18"/>
      <c r="O624" s="12"/>
      <c r="P624" s="12"/>
      <c r="Q624" s="12"/>
      <c r="R624" s="36"/>
      <c r="S624" s="36"/>
      <c r="T624" s="12"/>
      <c r="U624" s="12"/>
      <c r="V624" s="12"/>
      <c r="W624" s="12"/>
      <c r="X624" s="12"/>
    </row>
    <row r="625" customFormat="false" ht="15.75" hidden="false" customHeight="false" outlineLevel="0" collapsed="false">
      <c r="A625" s="12"/>
      <c r="B625" s="34"/>
      <c r="C625" s="12"/>
      <c r="D625" s="12"/>
      <c r="E625" s="12"/>
      <c r="F625" s="12"/>
      <c r="G625" s="18"/>
      <c r="H625" s="35"/>
      <c r="I625" s="12"/>
      <c r="M625" s="12"/>
      <c r="N625" s="18"/>
      <c r="O625" s="12"/>
      <c r="P625" s="12"/>
      <c r="Q625" s="12"/>
      <c r="R625" s="36"/>
      <c r="S625" s="36"/>
      <c r="T625" s="12"/>
      <c r="U625" s="12"/>
      <c r="V625" s="12"/>
      <c r="W625" s="12"/>
      <c r="X625" s="12"/>
    </row>
    <row r="626" customFormat="false" ht="15.75" hidden="false" customHeight="false" outlineLevel="0" collapsed="false">
      <c r="A626" s="12"/>
      <c r="B626" s="34"/>
      <c r="C626" s="12"/>
      <c r="D626" s="12"/>
      <c r="E626" s="12"/>
      <c r="F626" s="12"/>
      <c r="G626" s="18"/>
      <c r="H626" s="35"/>
      <c r="I626" s="12"/>
      <c r="M626" s="12"/>
      <c r="N626" s="18"/>
      <c r="O626" s="12"/>
      <c r="P626" s="12"/>
      <c r="Q626" s="12"/>
      <c r="R626" s="36"/>
      <c r="S626" s="36"/>
      <c r="T626" s="12"/>
      <c r="U626" s="12"/>
      <c r="V626" s="12"/>
      <c r="W626" s="12"/>
      <c r="X626" s="12"/>
    </row>
    <row r="627" customFormat="false" ht="15.75" hidden="false" customHeight="false" outlineLevel="0" collapsed="false">
      <c r="A627" s="12"/>
      <c r="B627" s="34"/>
      <c r="C627" s="12"/>
      <c r="D627" s="12"/>
      <c r="E627" s="12"/>
      <c r="F627" s="12"/>
      <c r="G627" s="18"/>
      <c r="H627" s="35"/>
      <c r="I627" s="12"/>
      <c r="M627" s="12"/>
      <c r="N627" s="18"/>
      <c r="O627" s="12"/>
      <c r="P627" s="12"/>
      <c r="Q627" s="12"/>
      <c r="R627" s="36"/>
      <c r="S627" s="36"/>
      <c r="T627" s="12"/>
      <c r="U627" s="12"/>
      <c r="V627" s="12"/>
      <c r="W627" s="12"/>
      <c r="X627" s="12"/>
    </row>
    <row r="628" customFormat="false" ht="15.75" hidden="false" customHeight="false" outlineLevel="0" collapsed="false">
      <c r="A628" s="12"/>
      <c r="B628" s="34"/>
      <c r="C628" s="12"/>
      <c r="D628" s="12"/>
      <c r="E628" s="12"/>
      <c r="F628" s="12"/>
      <c r="G628" s="18"/>
      <c r="H628" s="35"/>
      <c r="I628" s="12"/>
      <c r="M628" s="12"/>
      <c r="N628" s="18"/>
      <c r="O628" s="12"/>
      <c r="P628" s="12"/>
      <c r="Q628" s="12"/>
      <c r="R628" s="36"/>
      <c r="S628" s="36"/>
      <c r="T628" s="12"/>
      <c r="U628" s="12"/>
      <c r="V628" s="12"/>
      <c r="W628" s="12"/>
      <c r="X628" s="12"/>
    </row>
    <row r="629" customFormat="false" ht="15.75" hidden="false" customHeight="false" outlineLevel="0" collapsed="false">
      <c r="A629" s="12"/>
      <c r="B629" s="34"/>
      <c r="C629" s="12"/>
      <c r="D629" s="12"/>
      <c r="E629" s="12"/>
      <c r="F629" s="12"/>
      <c r="G629" s="18"/>
      <c r="H629" s="35"/>
      <c r="I629" s="12"/>
      <c r="M629" s="12"/>
      <c r="N629" s="18"/>
      <c r="O629" s="12"/>
      <c r="P629" s="12"/>
      <c r="Q629" s="12"/>
      <c r="R629" s="36"/>
      <c r="S629" s="36"/>
      <c r="T629" s="12"/>
      <c r="U629" s="12"/>
      <c r="V629" s="12"/>
      <c r="W629" s="12"/>
      <c r="X629" s="12"/>
    </row>
    <row r="630" customFormat="false" ht="15.75" hidden="false" customHeight="false" outlineLevel="0" collapsed="false">
      <c r="A630" s="12"/>
      <c r="B630" s="34"/>
      <c r="C630" s="12"/>
      <c r="D630" s="12"/>
      <c r="E630" s="12"/>
      <c r="F630" s="12"/>
      <c r="G630" s="18"/>
      <c r="H630" s="35"/>
      <c r="I630" s="12"/>
      <c r="M630" s="12"/>
      <c r="N630" s="18"/>
      <c r="O630" s="12"/>
      <c r="P630" s="12"/>
      <c r="Q630" s="12"/>
      <c r="R630" s="36"/>
      <c r="S630" s="36"/>
      <c r="T630" s="12"/>
      <c r="U630" s="12"/>
      <c r="V630" s="12"/>
      <c r="W630" s="12"/>
      <c r="X630" s="12"/>
    </row>
    <row r="631" customFormat="false" ht="15.75" hidden="false" customHeight="false" outlineLevel="0" collapsed="false">
      <c r="A631" s="12"/>
      <c r="B631" s="34"/>
      <c r="C631" s="12"/>
      <c r="D631" s="12"/>
      <c r="E631" s="12"/>
      <c r="F631" s="12"/>
      <c r="G631" s="18"/>
      <c r="H631" s="35"/>
      <c r="I631" s="12"/>
      <c r="M631" s="12"/>
      <c r="N631" s="18"/>
      <c r="O631" s="12"/>
      <c r="P631" s="12"/>
      <c r="Q631" s="12"/>
      <c r="R631" s="36"/>
      <c r="S631" s="36"/>
      <c r="T631" s="12"/>
      <c r="U631" s="12"/>
      <c r="V631" s="12"/>
      <c r="W631" s="12"/>
      <c r="X631" s="12"/>
    </row>
    <row r="632" customFormat="false" ht="15.75" hidden="false" customHeight="false" outlineLevel="0" collapsed="false">
      <c r="A632" s="12"/>
      <c r="B632" s="34"/>
      <c r="C632" s="12"/>
      <c r="D632" s="12"/>
      <c r="E632" s="12"/>
      <c r="F632" s="12"/>
      <c r="G632" s="18"/>
      <c r="H632" s="35"/>
      <c r="I632" s="12"/>
      <c r="M632" s="12"/>
      <c r="N632" s="18"/>
      <c r="O632" s="12"/>
      <c r="P632" s="12"/>
      <c r="Q632" s="12"/>
      <c r="R632" s="36"/>
      <c r="S632" s="36"/>
      <c r="T632" s="12"/>
      <c r="U632" s="12"/>
      <c r="V632" s="12"/>
      <c r="W632" s="12"/>
      <c r="X632" s="12"/>
    </row>
    <row r="633" customFormat="false" ht="15.75" hidden="false" customHeight="false" outlineLevel="0" collapsed="false">
      <c r="A633" s="12"/>
      <c r="B633" s="34"/>
      <c r="C633" s="12"/>
      <c r="D633" s="12"/>
      <c r="E633" s="12"/>
      <c r="F633" s="12"/>
      <c r="G633" s="18"/>
      <c r="H633" s="35"/>
      <c r="I633" s="12"/>
      <c r="M633" s="12"/>
      <c r="N633" s="18"/>
      <c r="O633" s="12"/>
      <c r="P633" s="12"/>
      <c r="Q633" s="12"/>
      <c r="R633" s="36"/>
      <c r="S633" s="36"/>
      <c r="T633" s="12"/>
      <c r="U633" s="12"/>
      <c r="V633" s="12"/>
      <c r="W633" s="12"/>
      <c r="X633" s="12"/>
    </row>
    <row r="634" customFormat="false" ht="15.75" hidden="false" customHeight="false" outlineLevel="0" collapsed="false">
      <c r="A634" s="12"/>
      <c r="B634" s="34"/>
      <c r="C634" s="12"/>
      <c r="D634" s="12"/>
      <c r="E634" s="12"/>
      <c r="F634" s="12"/>
      <c r="G634" s="18"/>
      <c r="H634" s="35"/>
      <c r="I634" s="12"/>
      <c r="M634" s="12"/>
      <c r="N634" s="18"/>
      <c r="O634" s="12"/>
      <c r="P634" s="12"/>
      <c r="Q634" s="12"/>
      <c r="R634" s="36"/>
      <c r="S634" s="36"/>
      <c r="T634" s="12"/>
      <c r="U634" s="12"/>
      <c r="V634" s="12"/>
      <c r="W634" s="12"/>
      <c r="X634" s="12"/>
    </row>
    <row r="635" customFormat="false" ht="15.75" hidden="false" customHeight="false" outlineLevel="0" collapsed="false">
      <c r="A635" s="12"/>
      <c r="B635" s="34"/>
      <c r="C635" s="12"/>
      <c r="D635" s="12"/>
      <c r="E635" s="12"/>
      <c r="F635" s="12"/>
      <c r="G635" s="18"/>
      <c r="H635" s="35"/>
      <c r="I635" s="12"/>
      <c r="M635" s="12"/>
      <c r="N635" s="18"/>
      <c r="O635" s="12"/>
      <c r="P635" s="12"/>
      <c r="Q635" s="12"/>
      <c r="R635" s="36"/>
      <c r="S635" s="36"/>
      <c r="T635" s="12"/>
      <c r="U635" s="12"/>
      <c r="V635" s="12"/>
      <c r="W635" s="12"/>
      <c r="X635" s="12"/>
    </row>
    <row r="636" customFormat="false" ht="15.75" hidden="false" customHeight="false" outlineLevel="0" collapsed="false">
      <c r="A636" s="12"/>
      <c r="B636" s="34"/>
      <c r="C636" s="12"/>
      <c r="D636" s="12"/>
      <c r="E636" s="12"/>
      <c r="F636" s="12"/>
      <c r="G636" s="18"/>
      <c r="H636" s="35"/>
      <c r="I636" s="12"/>
      <c r="M636" s="12"/>
      <c r="N636" s="18"/>
      <c r="O636" s="12"/>
      <c r="P636" s="12"/>
      <c r="Q636" s="12"/>
      <c r="R636" s="36"/>
      <c r="S636" s="36"/>
      <c r="T636" s="12"/>
      <c r="U636" s="12"/>
      <c r="V636" s="12"/>
      <c r="W636" s="12"/>
      <c r="X636" s="12"/>
    </row>
    <row r="637" customFormat="false" ht="15.75" hidden="false" customHeight="false" outlineLevel="0" collapsed="false">
      <c r="A637" s="12"/>
      <c r="B637" s="34"/>
      <c r="C637" s="12"/>
      <c r="D637" s="12"/>
      <c r="E637" s="12"/>
      <c r="F637" s="12"/>
      <c r="G637" s="18"/>
      <c r="H637" s="35"/>
      <c r="I637" s="12"/>
      <c r="M637" s="12"/>
      <c r="N637" s="18"/>
      <c r="O637" s="12"/>
      <c r="P637" s="12"/>
      <c r="Q637" s="12"/>
      <c r="R637" s="36"/>
      <c r="S637" s="36"/>
      <c r="T637" s="12"/>
      <c r="U637" s="12"/>
      <c r="V637" s="12"/>
      <c r="W637" s="12"/>
      <c r="X637" s="12"/>
    </row>
    <row r="638" customFormat="false" ht="15.75" hidden="false" customHeight="false" outlineLevel="0" collapsed="false">
      <c r="A638" s="12"/>
      <c r="B638" s="34"/>
      <c r="C638" s="12"/>
      <c r="D638" s="12"/>
      <c r="E638" s="12"/>
      <c r="F638" s="12"/>
      <c r="G638" s="18"/>
      <c r="H638" s="35"/>
      <c r="I638" s="12"/>
      <c r="M638" s="12"/>
      <c r="N638" s="18"/>
      <c r="O638" s="12"/>
      <c r="P638" s="12"/>
      <c r="Q638" s="12"/>
      <c r="R638" s="36"/>
      <c r="S638" s="36"/>
      <c r="T638" s="12"/>
      <c r="U638" s="12"/>
      <c r="V638" s="12"/>
      <c r="W638" s="12"/>
      <c r="X638" s="12"/>
    </row>
    <row r="639" customFormat="false" ht="15.75" hidden="false" customHeight="false" outlineLevel="0" collapsed="false">
      <c r="A639" s="12"/>
      <c r="B639" s="34"/>
      <c r="C639" s="12"/>
      <c r="D639" s="12"/>
      <c r="E639" s="12"/>
      <c r="F639" s="12"/>
      <c r="G639" s="18"/>
      <c r="H639" s="35"/>
      <c r="I639" s="12"/>
      <c r="M639" s="12"/>
      <c r="N639" s="18"/>
      <c r="O639" s="12"/>
      <c r="P639" s="12"/>
      <c r="Q639" s="12"/>
      <c r="R639" s="36"/>
      <c r="S639" s="36"/>
      <c r="T639" s="12"/>
      <c r="U639" s="12"/>
      <c r="V639" s="12"/>
      <c r="W639" s="12"/>
      <c r="X639" s="12"/>
    </row>
    <row r="640" customFormat="false" ht="15.75" hidden="false" customHeight="false" outlineLevel="0" collapsed="false">
      <c r="A640" s="12"/>
      <c r="B640" s="34"/>
      <c r="C640" s="12"/>
      <c r="D640" s="12"/>
      <c r="E640" s="12"/>
      <c r="F640" s="12"/>
      <c r="G640" s="18"/>
      <c r="H640" s="35"/>
      <c r="I640" s="12"/>
      <c r="M640" s="12"/>
      <c r="N640" s="18"/>
      <c r="O640" s="12"/>
      <c r="P640" s="12"/>
      <c r="Q640" s="12"/>
      <c r="R640" s="36"/>
      <c r="S640" s="36"/>
      <c r="T640" s="12"/>
      <c r="U640" s="12"/>
      <c r="V640" s="12"/>
      <c r="W640" s="12"/>
      <c r="X640" s="12"/>
    </row>
    <row r="641" customFormat="false" ht="15.75" hidden="false" customHeight="false" outlineLevel="0" collapsed="false">
      <c r="A641" s="12"/>
      <c r="B641" s="34"/>
      <c r="C641" s="12"/>
      <c r="D641" s="12"/>
      <c r="E641" s="12"/>
      <c r="F641" s="12"/>
      <c r="G641" s="18"/>
      <c r="H641" s="35"/>
      <c r="I641" s="12"/>
      <c r="M641" s="12"/>
      <c r="N641" s="18"/>
      <c r="O641" s="12"/>
      <c r="P641" s="12"/>
      <c r="Q641" s="12"/>
      <c r="R641" s="36"/>
      <c r="S641" s="36"/>
      <c r="T641" s="12"/>
      <c r="U641" s="12"/>
      <c r="V641" s="12"/>
      <c r="W641" s="12"/>
      <c r="X641" s="12"/>
    </row>
    <row r="642" customFormat="false" ht="15.75" hidden="false" customHeight="false" outlineLevel="0" collapsed="false">
      <c r="A642" s="12"/>
      <c r="B642" s="34"/>
      <c r="C642" s="12"/>
      <c r="D642" s="12"/>
      <c r="E642" s="12"/>
      <c r="F642" s="12"/>
      <c r="G642" s="18"/>
      <c r="H642" s="35"/>
      <c r="I642" s="12"/>
      <c r="M642" s="12"/>
      <c r="N642" s="18"/>
      <c r="O642" s="12"/>
      <c r="P642" s="12"/>
      <c r="Q642" s="12"/>
      <c r="R642" s="36"/>
      <c r="S642" s="36"/>
      <c r="T642" s="12"/>
      <c r="U642" s="12"/>
      <c r="V642" s="12"/>
      <c r="W642" s="12"/>
      <c r="X642" s="12"/>
    </row>
    <row r="643" customFormat="false" ht="15.75" hidden="false" customHeight="false" outlineLevel="0" collapsed="false">
      <c r="A643" s="12"/>
      <c r="B643" s="34"/>
      <c r="C643" s="12"/>
      <c r="D643" s="12"/>
      <c r="E643" s="12"/>
      <c r="F643" s="12"/>
      <c r="G643" s="18"/>
      <c r="H643" s="35"/>
      <c r="I643" s="12"/>
      <c r="M643" s="12"/>
      <c r="N643" s="18"/>
      <c r="O643" s="12"/>
      <c r="P643" s="12"/>
      <c r="Q643" s="12"/>
      <c r="R643" s="36"/>
      <c r="S643" s="36"/>
      <c r="T643" s="12"/>
      <c r="U643" s="12"/>
      <c r="V643" s="12"/>
      <c r="W643" s="12"/>
      <c r="X643" s="12"/>
    </row>
    <row r="644" customFormat="false" ht="15.75" hidden="false" customHeight="false" outlineLevel="0" collapsed="false">
      <c r="A644" s="12"/>
      <c r="B644" s="34"/>
      <c r="C644" s="12"/>
      <c r="D644" s="12"/>
      <c r="E644" s="12"/>
      <c r="F644" s="12"/>
      <c r="G644" s="18"/>
      <c r="H644" s="35"/>
      <c r="I644" s="12"/>
      <c r="M644" s="12"/>
      <c r="N644" s="18"/>
      <c r="O644" s="12"/>
      <c r="P644" s="12"/>
      <c r="Q644" s="12"/>
      <c r="R644" s="36"/>
      <c r="S644" s="36"/>
      <c r="T644" s="12"/>
      <c r="U644" s="12"/>
      <c r="V644" s="12"/>
      <c r="W644" s="12"/>
      <c r="X644" s="12"/>
    </row>
    <row r="645" customFormat="false" ht="15.75" hidden="false" customHeight="false" outlineLevel="0" collapsed="false">
      <c r="A645" s="12"/>
      <c r="B645" s="34"/>
      <c r="C645" s="12"/>
      <c r="D645" s="12"/>
      <c r="E645" s="12"/>
      <c r="F645" s="12"/>
      <c r="G645" s="18"/>
      <c r="H645" s="35"/>
      <c r="I645" s="12"/>
      <c r="M645" s="12"/>
      <c r="N645" s="18"/>
      <c r="O645" s="12"/>
      <c r="P645" s="12"/>
      <c r="Q645" s="12"/>
      <c r="R645" s="36"/>
      <c r="S645" s="36"/>
      <c r="T645" s="12"/>
      <c r="U645" s="12"/>
      <c r="V645" s="12"/>
      <c r="W645" s="12"/>
      <c r="X645" s="12"/>
    </row>
    <row r="646" customFormat="false" ht="15.75" hidden="false" customHeight="false" outlineLevel="0" collapsed="false">
      <c r="A646" s="12"/>
      <c r="B646" s="34"/>
      <c r="C646" s="12"/>
      <c r="D646" s="12"/>
      <c r="E646" s="12"/>
      <c r="F646" s="12"/>
      <c r="G646" s="18"/>
      <c r="H646" s="35"/>
      <c r="I646" s="12"/>
      <c r="M646" s="12"/>
      <c r="N646" s="18"/>
      <c r="O646" s="12"/>
      <c r="P646" s="12"/>
      <c r="Q646" s="12"/>
      <c r="R646" s="36"/>
      <c r="S646" s="36"/>
      <c r="T646" s="12"/>
      <c r="U646" s="12"/>
      <c r="V646" s="12"/>
      <c r="W646" s="12"/>
      <c r="X646" s="12"/>
    </row>
    <row r="647" customFormat="false" ht="15.75" hidden="false" customHeight="false" outlineLevel="0" collapsed="false">
      <c r="A647" s="12"/>
      <c r="B647" s="34"/>
      <c r="C647" s="12"/>
      <c r="D647" s="12"/>
      <c r="E647" s="12"/>
      <c r="F647" s="12"/>
      <c r="G647" s="18"/>
      <c r="H647" s="35"/>
      <c r="I647" s="12"/>
      <c r="M647" s="12"/>
      <c r="N647" s="18"/>
      <c r="O647" s="12"/>
      <c r="P647" s="12"/>
      <c r="Q647" s="12"/>
      <c r="R647" s="36"/>
      <c r="S647" s="36"/>
      <c r="T647" s="12"/>
      <c r="U647" s="12"/>
      <c r="V647" s="12"/>
      <c r="W647" s="12"/>
      <c r="X647" s="12"/>
    </row>
    <row r="648" customFormat="false" ht="15.75" hidden="false" customHeight="false" outlineLevel="0" collapsed="false">
      <c r="A648" s="12"/>
      <c r="B648" s="34"/>
      <c r="C648" s="12"/>
      <c r="D648" s="12"/>
      <c r="E648" s="12"/>
      <c r="F648" s="12"/>
      <c r="G648" s="18"/>
      <c r="H648" s="35"/>
      <c r="I648" s="12"/>
      <c r="M648" s="12"/>
      <c r="N648" s="18"/>
      <c r="O648" s="12"/>
      <c r="P648" s="12"/>
      <c r="Q648" s="12"/>
      <c r="R648" s="36"/>
      <c r="S648" s="36"/>
      <c r="T648" s="12"/>
      <c r="U648" s="12"/>
      <c r="V648" s="12"/>
      <c r="W648" s="12"/>
      <c r="X648" s="12"/>
    </row>
    <row r="649" customFormat="false" ht="15.75" hidden="false" customHeight="false" outlineLevel="0" collapsed="false">
      <c r="A649" s="12"/>
      <c r="B649" s="34"/>
      <c r="C649" s="12"/>
      <c r="D649" s="12"/>
      <c r="E649" s="12"/>
      <c r="F649" s="12"/>
      <c r="G649" s="18"/>
      <c r="H649" s="35"/>
      <c r="I649" s="12"/>
      <c r="M649" s="12"/>
      <c r="N649" s="18"/>
      <c r="O649" s="12"/>
      <c r="P649" s="12"/>
      <c r="Q649" s="12"/>
      <c r="R649" s="36"/>
      <c r="S649" s="36"/>
      <c r="T649" s="12"/>
      <c r="U649" s="12"/>
      <c r="V649" s="12"/>
      <c r="W649" s="12"/>
      <c r="X649" s="12"/>
    </row>
    <row r="650" customFormat="false" ht="15.75" hidden="false" customHeight="false" outlineLevel="0" collapsed="false">
      <c r="A650" s="12"/>
      <c r="B650" s="34"/>
      <c r="C650" s="12"/>
      <c r="D650" s="12"/>
      <c r="E650" s="12"/>
      <c r="F650" s="12"/>
      <c r="G650" s="18"/>
      <c r="H650" s="35"/>
      <c r="I650" s="12"/>
      <c r="M650" s="12"/>
      <c r="N650" s="18"/>
      <c r="O650" s="12"/>
      <c r="P650" s="12"/>
      <c r="Q650" s="12"/>
      <c r="R650" s="36"/>
      <c r="S650" s="36"/>
      <c r="T650" s="12"/>
      <c r="U650" s="12"/>
      <c r="V650" s="12"/>
      <c r="W650" s="12"/>
      <c r="X650" s="12"/>
    </row>
    <row r="651" customFormat="false" ht="15.75" hidden="false" customHeight="false" outlineLevel="0" collapsed="false">
      <c r="A651" s="12"/>
      <c r="B651" s="34"/>
      <c r="C651" s="12"/>
      <c r="D651" s="12"/>
      <c r="E651" s="12"/>
      <c r="F651" s="12"/>
      <c r="G651" s="18"/>
      <c r="H651" s="35"/>
      <c r="I651" s="12"/>
      <c r="M651" s="12"/>
      <c r="N651" s="18"/>
      <c r="O651" s="12"/>
      <c r="P651" s="12"/>
      <c r="Q651" s="12"/>
      <c r="R651" s="36"/>
      <c r="S651" s="36"/>
      <c r="T651" s="12"/>
      <c r="U651" s="12"/>
      <c r="V651" s="12"/>
      <c r="W651" s="12"/>
      <c r="X651" s="12"/>
    </row>
    <row r="652" customFormat="false" ht="15.75" hidden="false" customHeight="false" outlineLevel="0" collapsed="false">
      <c r="A652" s="12"/>
      <c r="B652" s="34"/>
      <c r="C652" s="12"/>
      <c r="D652" s="12"/>
      <c r="E652" s="12"/>
      <c r="F652" s="12"/>
      <c r="G652" s="18"/>
      <c r="H652" s="35"/>
      <c r="I652" s="12"/>
      <c r="M652" s="12"/>
      <c r="N652" s="18"/>
      <c r="O652" s="12"/>
      <c r="P652" s="12"/>
      <c r="Q652" s="12"/>
      <c r="R652" s="36"/>
      <c r="S652" s="36"/>
      <c r="T652" s="12"/>
      <c r="U652" s="12"/>
      <c r="V652" s="12"/>
      <c r="W652" s="12"/>
      <c r="X652" s="12"/>
    </row>
    <row r="653" customFormat="false" ht="15.75" hidden="false" customHeight="false" outlineLevel="0" collapsed="false">
      <c r="A653" s="12"/>
      <c r="B653" s="34"/>
      <c r="C653" s="12"/>
      <c r="D653" s="12"/>
      <c r="E653" s="12"/>
      <c r="F653" s="12"/>
      <c r="G653" s="18"/>
      <c r="H653" s="35"/>
      <c r="I653" s="12"/>
      <c r="M653" s="12"/>
      <c r="N653" s="18"/>
      <c r="O653" s="12"/>
      <c r="P653" s="12"/>
      <c r="Q653" s="12"/>
      <c r="R653" s="36"/>
      <c r="S653" s="36"/>
      <c r="T653" s="12"/>
      <c r="U653" s="12"/>
      <c r="V653" s="12"/>
      <c r="W653" s="12"/>
      <c r="X653" s="12"/>
    </row>
    <row r="654" customFormat="false" ht="15.75" hidden="false" customHeight="false" outlineLevel="0" collapsed="false">
      <c r="A654" s="12"/>
      <c r="B654" s="34"/>
      <c r="C654" s="12"/>
      <c r="D654" s="12"/>
      <c r="E654" s="12"/>
      <c r="F654" s="12"/>
      <c r="G654" s="18"/>
      <c r="H654" s="35"/>
      <c r="I654" s="12"/>
      <c r="M654" s="12"/>
      <c r="N654" s="18"/>
      <c r="O654" s="12"/>
      <c r="P654" s="12"/>
      <c r="Q654" s="12"/>
      <c r="R654" s="36"/>
      <c r="S654" s="36"/>
      <c r="T654" s="12"/>
      <c r="U654" s="12"/>
      <c r="V654" s="12"/>
      <c r="W654" s="12"/>
      <c r="X654" s="12"/>
    </row>
    <row r="655" customFormat="false" ht="15.75" hidden="false" customHeight="false" outlineLevel="0" collapsed="false">
      <c r="A655" s="12"/>
      <c r="B655" s="34"/>
      <c r="C655" s="12"/>
      <c r="D655" s="12"/>
      <c r="E655" s="12"/>
      <c r="F655" s="12"/>
      <c r="G655" s="18"/>
      <c r="H655" s="35"/>
      <c r="I655" s="12"/>
      <c r="M655" s="12"/>
      <c r="N655" s="18"/>
      <c r="O655" s="12"/>
      <c r="P655" s="12"/>
      <c r="Q655" s="12"/>
      <c r="R655" s="36"/>
      <c r="S655" s="36"/>
      <c r="T655" s="12"/>
      <c r="U655" s="12"/>
      <c r="V655" s="12"/>
      <c r="W655" s="12"/>
      <c r="X655" s="12"/>
    </row>
    <row r="656" customFormat="false" ht="15.75" hidden="false" customHeight="false" outlineLevel="0" collapsed="false">
      <c r="A656" s="12"/>
      <c r="B656" s="34"/>
      <c r="C656" s="12"/>
      <c r="D656" s="12"/>
      <c r="E656" s="12"/>
      <c r="F656" s="12"/>
      <c r="G656" s="18"/>
      <c r="H656" s="35"/>
      <c r="I656" s="12"/>
      <c r="M656" s="12"/>
      <c r="N656" s="18"/>
      <c r="O656" s="12"/>
      <c r="P656" s="12"/>
      <c r="Q656" s="12"/>
      <c r="R656" s="36"/>
      <c r="S656" s="36"/>
      <c r="T656" s="12"/>
      <c r="U656" s="12"/>
      <c r="V656" s="12"/>
      <c r="W656" s="12"/>
      <c r="X656" s="12"/>
    </row>
    <row r="657" customFormat="false" ht="15.75" hidden="false" customHeight="false" outlineLevel="0" collapsed="false">
      <c r="A657" s="12"/>
      <c r="B657" s="34"/>
      <c r="C657" s="12"/>
      <c r="D657" s="12"/>
      <c r="E657" s="12"/>
      <c r="F657" s="12"/>
      <c r="G657" s="18"/>
      <c r="H657" s="35"/>
      <c r="I657" s="12"/>
      <c r="M657" s="12"/>
      <c r="N657" s="18"/>
      <c r="O657" s="12"/>
      <c r="P657" s="12"/>
      <c r="Q657" s="12"/>
      <c r="R657" s="36"/>
      <c r="S657" s="36"/>
      <c r="T657" s="12"/>
      <c r="U657" s="12"/>
      <c r="V657" s="12"/>
      <c r="W657" s="12"/>
      <c r="X657" s="12"/>
    </row>
    <row r="658" customFormat="false" ht="15.75" hidden="false" customHeight="false" outlineLevel="0" collapsed="false">
      <c r="A658" s="12"/>
      <c r="B658" s="34"/>
      <c r="C658" s="12"/>
      <c r="D658" s="12"/>
      <c r="E658" s="12"/>
      <c r="F658" s="12"/>
      <c r="G658" s="18"/>
      <c r="H658" s="35"/>
      <c r="I658" s="12"/>
      <c r="M658" s="12"/>
      <c r="N658" s="18"/>
      <c r="O658" s="12"/>
      <c r="P658" s="12"/>
      <c r="Q658" s="12"/>
      <c r="R658" s="36"/>
      <c r="S658" s="36"/>
      <c r="T658" s="12"/>
      <c r="U658" s="12"/>
      <c r="V658" s="12"/>
      <c r="W658" s="12"/>
      <c r="X658" s="12"/>
    </row>
    <row r="659" customFormat="false" ht="15.75" hidden="false" customHeight="false" outlineLevel="0" collapsed="false">
      <c r="A659" s="12"/>
      <c r="B659" s="34"/>
      <c r="C659" s="12"/>
      <c r="D659" s="12"/>
      <c r="E659" s="12"/>
      <c r="F659" s="12"/>
      <c r="G659" s="18"/>
      <c r="H659" s="35"/>
      <c r="I659" s="12"/>
      <c r="M659" s="12"/>
      <c r="N659" s="18"/>
      <c r="O659" s="12"/>
      <c r="P659" s="12"/>
      <c r="Q659" s="12"/>
      <c r="R659" s="36"/>
      <c r="S659" s="36"/>
      <c r="T659" s="12"/>
      <c r="U659" s="12"/>
      <c r="V659" s="12"/>
      <c r="W659" s="12"/>
      <c r="X659" s="12"/>
    </row>
    <row r="660" customFormat="false" ht="15.75" hidden="false" customHeight="false" outlineLevel="0" collapsed="false">
      <c r="A660" s="12"/>
      <c r="B660" s="34"/>
      <c r="C660" s="12"/>
      <c r="D660" s="12"/>
      <c r="E660" s="12"/>
      <c r="F660" s="12"/>
      <c r="G660" s="18"/>
      <c r="H660" s="35"/>
      <c r="I660" s="12"/>
      <c r="M660" s="12"/>
      <c r="N660" s="18"/>
      <c r="O660" s="12"/>
      <c r="P660" s="12"/>
      <c r="Q660" s="12"/>
      <c r="R660" s="36"/>
      <c r="S660" s="36"/>
      <c r="T660" s="12"/>
      <c r="U660" s="12"/>
      <c r="V660" s="12"/>
      <c r="W660" s="12"/>
      <c r="X660" s="12"/>
    </row>
    <row r="661" customFormat="false" ht="15.75" hidden="false" customHeight="false" outlineLevel="0" collapsed="false">
      <c r="A661" s="12"/>
      <c r="B661" s="34"/>
      <c r="C661" s="12"/>
      <c r="D661" s="12"/>
      <c r="E661" s="12"/>
      <c r="F661" s="12"/>
      <c r="G661" s="18"/>
      <c r="H661" s="35"/>
      <c r="I661" s="12"/>
      <c r="M661" s="12"/>
      <c r="N661" s="18"/>
      <c r="O661" s="12"/>
      <c r="P661" s="12"/>
      <c r="Q661" s="12"/>
      <c r="R661" s="36"/>
      <c r="S661" s="36"/>
      <c r="T661" s="12"/>
      <c r="U661" s="12"/>
      <c r="V661" s="12"/>
      <c r="W661" s="12"/>
      <c r="X661" s="12"/>
    </row>
    <row r="662" customFormat="false" ht="15.75" hidden="false" customHeight="false" outlineLevel="0" collapsed="false">
      <c r="A662" s="12"/>
      <c r="B662" s="34"/>
      <c r="C662" s="12"/>
      <c r="D662" s="12"/>
      <c r="E662" s="12"/>
      <c r="F662" s="12"/>
      <c r="G662" s="18"/>
      <c r="H662" s="35"/>
      <c r="I662" s="12"/>
      <c r="M662" s="12"/>
      <c r="N662" s="18"/>
      <c r="O662" s="12"/>
      <c r="P662" s="12"/>
      <c r="Q662" s="12"/>
      <c r="R662" s="36"/>
      <c r="S662" s="36"/>
      <c r="T662" s="12"/>
      <c r="U662" s="12"/>
      <c r="V662" s="12"/>
      <c r="W662" s="12"/>
      <c r="X662" s="12"/>
    </row>
    <row r="663" customFormat="false" ht="15.75" hidden="false" customHeight="false" outlineLevel="0" collapsed="false">
      <c r="A663" s="12"/>
      <c r="B663" s="34"/>
      <c r="C663" s="12"/>
      <c r="D663" s="12"/>
      <c r="E663" s="12"/>
      <c r="F663" s="12"/>
      <c r="G663" s="18"/>
      <c r="H663" s="35"/>
      <c r="I663" s="12"/>
      <c r="M663" s="12"/>
      <c r="N663" s="18"/>
      <c r="O663" s="12"/>
      <c r="P663" s="12"/>
      <c r="Q663" s="12"/>
      <c r="R663" s="36"/>
      <c r="S663" s="36"/>
      <c r="T663" s="12"/>
      <c r="U663" s="12"/>
      <c r="V663" s="12"/>
      <c r="W663" s="12"/>
      <c r="X663" s="12"/>
    </row>
    <row r="664" customFormat="false" ht="15.75" hidden="false" customHeight="false" outlineLevel="0" collapsed="false">
      <c r="A664" s="12"/>
      <c r="B664" s="34"/>
      <c r="C664" s="12"/>
      <c r="D664" s="12"/>
      <c r="E664" s="12"/>
      <c r="F664" s="12"/>
      <c r="G664" s="18"/>
      <c r="H664" s="35"/>
      <c r="I664" s="12"/>
      <c r="M664" s="12"/>
      <c r="N664" s="18"/>
      <c r="O664" s="12"/>
      <c r="P664" s="12"/>
      <c r="Q664" s="12"/>
      <c r="R664" s="36"/>
      <c r="S664" s="36"/>
      <c r="T664" s="12"/>
      <c r="U664" s="12"/>
      <c r="V664" s="12"/>
      <c r="W664" s="12"/>
      <c r="X664" s="12"/>
    </row>
    <row r="665" customFormat="false" ht="15.75" hidden="false" customHeight="false" outlineLevel="0" collapsed="false">
      <c r="A665" s="12"/>
      <c r="B665" s="34"/>
      <c r="C665" s="12"/>
      <c r="D665" s="12"/>
      <c r="E665" s="12"/>
      <c r="F665" s="12"/>
      <c r="G665" s="18"/>
      <c r="H665" s="35"/>
      <c r="I665" s="12"/>
      <c r="M665" s="12"/>
      <c r="N665" s="18"/>
      <c r="O665" s="12"/>
      <c r="P665" s="12"/>
      <c r="Q665" s="12"/>
      <c r="R665" s="36"/>
      <c r="S665" s="36"/>
      <c r="T665" s="12"/>
      <c r="U665" s="12"/>
      <c r="V665" s="12"/>
      <c r="W665" s="12"/>
      <c r="X665" s="12"/>
    </row>
    <row r="666" customFormat="false" ht="15.75" hidden="false" customHeight="false" outlineLevel="0" collapsed="false">
      <c r="A666" s="12"/>
      <c r="B666" s="34"/>
      <c r="C666" s="12"/>
      <c r="D666" s="12"/>
      <c r="E666" s="12"/>
      <c r="F666" s="12"/>
      <c r="G666" s="18"/>
      <c r="H666" s="35"/>
      <c r="I666" s="12"/>
      <c r="M666" s="12"/>
      <c r="N666" s="18"/>
      <c r="O666" s="12"/>
      <c r="P666" s="12"/>
      <c r="Q666" s="12"/>
      <c r="R666" s="36"/>
      <c r="S666" s="36"/>
      <c r="T666" s="12"/>
      <c r="U666" s="12"/>
      <c r="V666" s="12"/>
      <c r="W666" s="12"/>
      <c r="X666" s="12"/>
    </row>
    <row r="667" customFormat="false" ht="15.75" hidden="false" customHeight="false" outlineLevel="0" collapsed="false">
      <c r="A667" s="12"/>
      <c r="B667" s="34"/>
      <c r="C667" s="12"/>
      <c r="D667" s="12"/>
      <c r="E667" s="12"/>
      <c r="F667" s="12"/>
      <c r="G667" s="18"/>
      <c r="H667" s="35"/>
      <c r="I667" s="12"/>
      <c r="M667" s="12"/>
      <c r="N667" s="18"/>
      <c r="O667" s="12"/>
      <c r="P667" s="12"/>
      <c r="Q667" s="12"/>
      <c r="R667" s="36"/>
      <c r="S667" s="36"/>
      <c r="T667" s="12"/>
      <c r="U667" s="12"/>
      <c r="V667" s="12"/>
      <c r="W667" s="12"/>
      <c r="X667" s="12"/>
    </row>
    <row r="668" customFormat="false" ht="15.75" hidden="false" customHeight="false" outlineLevel="0" collapsed="false">
      <c r="A668" s="12"/>
      <c r="B668" s="34"/>
      <c r="C668" s="12"/>
      <c r="D668" s="12"/>
      <c r="E668" s="12"/>
      <c r="F668" s="12"/>
      <c r="G668" s="18"/>
      <c r="H668" s="35"/>
      <c r="I668" s="12"/>
      <c r="M668" s="12"/>
      <c r="N668" s="18"/>
      <c r="O668" s="12"/>
      <c r="P668" s="12"/>
      <c r="Q668" s="12"/>
      <c r="R668" s="36"/>
      <c r="S668" s="36"/>
      <c r="T668" s="12"/>
      <c r="U668" s="12"/>
      <c r="V668" s="12"/>
      <c r="W668" s="12"/>
      <c r="X668" s="12"/>
    </row>
    <row r="669" customFormat="false" ht="15.75" hidden="false" customHeight="false" outlineLevel="0" collapsed="false">
      <c r="A669" s="12"/>
      <c r="B669" s="34"/>
      <c r="C669" s="12"/>
      <c r="D669" s="12"/>
      <c r="E669" s="12"/>
      <c r="F669" s="12"/>
      <c r="G669" s="18"/>
      <c r="H669" s="35"/>
      <c r="I669" s="12"/>
      <c r="M669" s="12"/>
      <c r="N669" s="18"/>
      <c r="O669" s="12"/>
      <c r="P669" s="12"/>
      <c r="Q669" s="12"/>
      <c r="R669" s="36"/>
      <c r="S669" s="36"/>
      <c r="T669" s="12"/>
      <c r="U669" s="12"/>
      <c r="V669" s="12"/>
      <c r="W669" s="12"/>
      <c r="X669" s="12"/>
    </row>
    <row r="670" customFormat="false" ht="15.75" hidden="false" customHeight="false" outlineLevel="0" collapsed="false">
      <c r="A670" s="12"/>
      <c r="B670" s="34"/>
      <c r="C670" s="12"/>
      <c r="D670" s="12"/>
      <c r="E670" s="12"/>
      <c r="F670" s="12"/>
      <c r="G670" s="18"/>
      <c r="H670" s="35"/>
      <c r="I670" s="12"/>
      <c r="M670" s="12"/>
      <c r="N670" s="18"/>
      <c r="O670" s="12"/>
      <c r="P670" s="12"/>
      <c r="Q670" s="12"/>
      <c r="R670" s="36"/>
      <c r="S670" s="36"/>
      <c r="T670" s="12"/>
      <c r="U670" s="12"/>
      <c r="V670" s="12"/>
      <c r="W670" s="12"/>
      <c r="X670" s="12"/>
    </row>
    <row r="671" customFormat="false" ht="15.75" hidden="false" customHeight="false" outlineLevel="0" collapsed="false">
      <c r="A671" s="12"/>
      <c r="B671" s="34"/>
      <c r="C671" s="12"/>
      <c r="D671" s="12"/>
      <c r="E671" s="12"/>
      <c r="F671" s="12"/>
      <c r="G671" s="18"/>
      <c r="H671" s="35"/>
      <c r="I671" s="12"/>
      <c r="M671" s="12"/>
      <c r="N671" s="18"/>
      <c r="O671" s="12"/>
      <c r="P671" s="12"/>
      <c r="Q671" s="12"/>
      <c r="R671" s="36"/>
      <c r="S671" s="36"/>
      <c r="T671" s="12"/>
      <c r="U671" s="12"/>
      <c r="V671" s="12"/>
      <c r="W671" s="12"/>
      <c r="X671" s="12"/>
    </row>
    <row r="672" customFormat="false" ht="15.75" hidden="false" customHeight="false" outlineLevel="0" collapsed="false">
      <c r="A672" s="12"/>
      <c r="B672" s="34"/>
      <c r="C672" s="12"/>
      <c r="D672" s="12"/>
      <c r="E672" s="12"/>
      <c r="F672" s="12"/>
      <c r="G672" s="18"/>
      <c r="H672" s="35"/>
      <c r="I672" s="12"/>
      <c r="M672" s="12"/>
      <c r="N672" s="18"/>
      <c r="O672" s="12"/>
      <c r="P672" s="12"/>
      <c r="Q672" s="12"/>
      <c r="R672" s="36"/>
      <c r="S672" s="36"/>
      <c r="T672" s="12"/>
      <c r="U672" s="12"/>
      <c r="V672" s="12"/>
      <c r="W672" s="12"/>
      <c r="X672" s="12"/>
    </row>
    <row r="673" customFormat="false" ht="15.75" hidden="false" customHeight="false" outlineLevel="0" collapsed="false">
      <c r="A673" s="12"/>
      <c r="B673" s="34"/>
      <c r="C673" s="12"/>
      <c r="D673" s="12"/>
      <c r="E673" s="12"/>
      <c r="F673" s="12"/>
      <c r="G673" s="18"/>
      <c r="H673" s="35"/>
      <c r="I673" s="12"/>
      <c r="M673" s="12"/>
      <c r="N673" s="18"/>
      <c r="O673" s="12"/>
      <c r="P673" s="12"/>
      <c r="Q673" s="12"/>
      <c r="R673" s="36"/>
      <c r="S673" s="36"/>
      <c r="T673" s="12"/>
      <c r="U673" s="12"/>
      <c r="V673" s="12"/>
      <c r="W673" s="12"/>
      <c r="X673" s="12"/>
    </row>
    <row r="674" customFormat="false" ht="15.75" hidden="false" customHeight="false" outlineLevel="0" collapsed="false">
      <c r="A674" s="12"/>
      <c r="B674" s="34"/>
      <c r="C674" s="12"/>
      <c r="D674" s="12"/>
      <c r="E674" s="12"/>
      <c r="F674" s="12"/>
      <c r="G674" s="18"/>
      <c r="H674" s="35"/>
      <c r="I674" s="12"/>
      <c r="M674" s="12"/>
      <c r="N674" s="18"/>
      <c r="O674" s="12"/>
      <c r="P674" s="12"/>
      <c r="Q674" s="12"/>
      <c r="R674" s="36"/>
      <c r="S674" s="36"/>
      <c r="T674" s="12"/>
      <c r="U674" s="12"/>
      <c r="V674" s="12"/>
      <c r="W674" s="12"/>
      <c r="X674" s="12"/>
    </row>
    <row r="675" customFormat="false" ht="15.75" hidden="false" customHeight="false" outlineLevel="0" collapsed="false">
      <c r="A675" s="12"/>
      <c r="B675" s="34"/>
      <c r="C675" s="12"/>
      <c r="D675" s="12"/>
      <c r="E675" s="12"/>
      <c r="F675" s="12"/>
      <c r="G675" s="18"/>
      <c r="H675" s="35"/>
      <c r="I675" s="12"/>
      <c r="M675" s="12"/>
      <c r="N675" s="18"/>
      <c r="O675" s="12"/>
      <c r="P675" s="12"/>
      <c r="Q675" s="12"/>
      <c r="R675" s="36"/>
      <c r="S675" s="36"/>
      <c r="T675" s="12"/>
      <c r="U675" s="12"/>
      <c r="V675" s="12"/>
      <c r="W675" s="12"/>
      <c r="X675" s="12"/>
    </row>
    <row r="676" customFormat="false" ht="15.75" hidden="false" customHeight="false" outlineLevel="0" collapsed="false">
      <c r="A676" s="12"/>
      <c r="B676" s="34"/>
      <c r="C676" s="12"/>
      <c r="D676" s="12"/>
      <c r="E676" s="12"/>
      <c r="F676" s="12"/>
      <c r="G676" s="18"/>
      <c r="H676" s="35"/>
      <c r="I676" s="12"/>
      <c r="M676" s="12"/>
      <c r="N676" s="18"/>
      <c r="O676" s="12"/>
      <c r="P676" s="12"/>
      <c r="Q676" s="12"/>
      <c r="R676" s="36"/>
      <c r="S676" s="36"/>
      <c r="T676" s="12"/>
      <c r="U676" s="12"/>
      <c r="V676" s="12"/>
      <c r="W676" s="12"/>
      <c r="X676" s="12"/>
    </row>
    <row r="677" customFormat="false" ht="15.75" hidden="false" customHeight="false" outlineLevel="0" collapsed="false">
      <c r="A677" s="12"/>
      <c r="B677" s="34"/>
      <c r="C677" s="12"/>
      <c r="D677" s="12"/>
      <c r="E677" s="12"/>
      <c r="F677" s="12"/>
      <c r="G677" s="18"/>
      <c r="H677" s="35"/>
      <c r="I677" s="12"/>
      <c r="M677" s="12"/>
      <c r="N677" s="18"/>
      <c r="O677" s="12"/>
      <c r="P677" s="12"/>
      <c r="Q677" s="12"/>
      <c r="R677" s="36"/>
      <c r="S677" s="36"/>
      <c r="T677" s="12"/>
      <c r="U677" s="12"/>
      <c r="V677" s="12"/>
      <c r="W677" s="12"/>
      <c r="X677" s="12"/>
    </row>
    <row r="678" customFormat="false" ht="15.75" hidden="false" customHeight="false" outlineLevel="0" collapsed="false">
      <c r="A678" s="12"/>
      <c r="B678" s="34"/>
      <c r="C678" s="12"/>
      <c r="D678" s="12"/>
      <c r="E678" s="12"/>
      <c r="F678" s="12"/>
      <c r="G678" s="18"/>
      <c r="H678" s="35"/>
      <c r="I678" s="12"/>
      <c r="M678" s="12"/>
      <c r="N678" s="18"/>
      <c r="O678" s="12"/>
      <c r="P678" s="12"/>
      <c r="Q678" s="12"/>
      <c r="R678" s="36"/>
      <c r="S678" s="36"/>
      <c r="T678" s="12"/>
      <c r="U678" s="12"/>
      <c r="V678" s="12"/>
      <c r="W678" s="12"/>
      <c r="X678" s="12"/>
    </row>
    <row r="679" customFormat="false" ht="15.75" hidden="false" customHeight="false" outlineLevel="0" collapsed="false">
      <c r="A679" s="12"/>
      <c r="B679" s="34"/>
      <c r="C679" s="12"/>
      <c r="D679" s="12"/>
      <c r="E679" s="12"/>
      <c r="F679" s="12"/>
      <c r="G679" s="18"/>
      <c r="H679" s="35"/>
      <c r="I679" s="12"/>
      <c r="M679" s="12"/>
      <c r="N679" s="18"/>
      <c r="O679" s="12"/>
      <c r="P679" s="12"/>
      <c r="Q679" s="12"/>
      <c r="R679" s="36"/>
      <c r="S679" s="36"/>
      <c r="T679" s="12"/>
      <c r="U679" s="12"/>
      <c r="V679" s="12"/>
      <c r="W679" s="12"/>
      <c r="X679" s="12"/>
    </row>
    <row r="680" customFormat="false" ht="15.75" hidden="false" customHeight="false" outlineLevel="0" collapsed="false">
      <c r="A680" s="12"/>
      <c r="B680" s="34"/>
      <c r="C680" s="12"/>
      <c r="D680" s="12"/>
      <c r="E680" s="12"/>
      <c r="F680" s="12"/>
      <c r="G680" s="18"/>
      <c r="H680" s="35"/>
      <c r="I680" s="12"/>
      <c r="M680" s="12"/>
      <c r="N680" s="18"/>
      <c r="O680" s="12"/>
      <c r="P680" s="12"/>
      <c r="Q680" s="12"/>
      <c r="R680" s="36"/>
      <c r="S680" s="36"/>
      <c r="T680" s="12"/>
      <c r="U680" s="12"/>
      <c r="V680" s="12"/>
      <c r="W680" s="12"/>
      <c r="X680" s="12"/>
    </row>
    <row r="681" customFormat="false" ht="15.75" hidden="false" customHeight="false" outlineLevel="0" collapsed="false">
      <c r="A681" s="12"/>
      <c r="B681" s="34"/>
      <c r="C681" s="12"/>
      <c r="D681" s="12"/>
      <c r="E681" s="12"/>
      <c r="F681" s="12"/>
      <c r="G681" s="18"/>
      <c r="H681" s="35"/>
      <c r="I681" s="12"/>
      <c r="M681" s="12"/>
      <c r="N681" s="18"/>
      <c r="O681" s="12"/>
      <c r="P681" s="12"/>
      <c r="Q681" s="12"/>
      <c r="R681" s="36"/>
      <c r="S681" s="36"/>
      <c r="T681" s="12"/>
      <c r="U681" s="12"/>
      <c r="V681" s="12"/>
      <c r="W681" s="12"/>
      <c r="X681" s="12"/>
    </row>
    <row r="682" customFormat="false" ht="15.75" hidden="false" customHeight="false" outlineLevel="0" collapsed="false">
      <c r="A682" s="12"/>
      <c r="B682" s="34"/>
      <c r="C682" s="12"/>
      <c r="D682" s="12"/>
      <c r="E682" s="12"/>
      <c r="F682" s="12"/>
      <c r="G682" s="18"/>
      <c r="H682" s="35"/>
      <c r="I682" s="12"/>
      <c r="M682" s="12"/>
      <c r="N682" s="18"/>
      <c r="O682" s="12"/>
      <c r="P682" s="12"/>
      <c r="Q682" s="12"/>
      <c r="R682" s="36"/>
      <c r="S682" s="36"/>
      <c r="T682" s="12"/>
      <c r="U682" s="12"/>
      <c r="V682" s="12"/>
      <c r="W682" s="12"/>
      <c r="X682" s="12"/>
    </row>
    <row r="683" customFormat="false" ht="15.75" hidden="false" customHeight="false" outlineLevel="0" collapsed="false">
      <c r="A683" s="12"/>
      <c r="B683" s="34"/>
      <c r="C683" s="12"/>
      <c r="D683" s="12"/>
      <c r="E683" s="12"/>
      <c r="F683" s="12"/>
      <c r="G683" s="18"/>
      <c r="H683" s="35"/>
      <c r="I683" s="12"/>
      <c r="M683" s="12"/>
      <c r="N683" s="18"/>
      <c r="O683" s="12"/>
      <c r="P683" s="12"/>
      <c r="Q683" s="12"/>
      <c r="R683" s="36"/>
      <c r="S683" s="36"/>
      <c r="T683" s="12"/>
      <c r="U683" s="12"/>
      <c r="V683" s="12"/>
      <c r="W683" s="12"/>
      <c r="X683" s="12"/>
    </row>
    <row r="684" customFormat="false" ht="15.75" hidden="false" customHeight="false" outlineLevel="0" collapsed="false">
      <c r="A684" s="12"/>
      <c r="B684" s="34"/>
      <c r="C684" s="12"/>
      <c r="D684" s="12"/>
      <c r="E684" s="12"/>
      <c r="F684" s="12"/>
      <c r="G684" s="18"/>
      <c r="H684" s="35"/>
      <c r="I684" s="12"/>
      <c r="M684" s="12"/>
      <c r="N684" s="18"/>
      <c r="O684" s="12"/>
      <c r="P684" s="12"/>
      <c r="Q684" s="12"/>
      <c r="R684" s="36"/>
      <c r="S684" s="36"/>
      <c r="T684" s="12"/>
      <c r="U684" s="12"/>
      <c r="V684" s="12"/>
      <c r="W684" s="12"/>
      <c r="X684" s="12"/>
    </row>
    <row r="685" customFormat="false" ht="15.75" hidden="false" customHeight="false" outlineLevel="0" collapsed="false">
      <c r="A685" s="12"/>
      <c r="B685" s="34"/>
      <c r="C685" s="12"/>
      <c r="D685" s="12"/>
      <c r="E685" s="12"/>
      <c r="F685" s="12"/>
      <c r="G685" s="18"/>
      <c r="H685" s="35"/>
      <c r="I685" s="12"/>
      <c r="M685" s="12"/>
      <c r="N685" s="18"/>
      <c r="O685" s="12"/>
      <c r="P685" s="12"/>
      <c r="Q685" s="12"/>
      <c r="R685" s="36"/>
      <c r="S685" s="36"/>
      <c r="T685" s="12"/>
      <c r="U685" s="12"/>
      <c r="V685" s="12"/>
      <c r="W685" s="12"/>
      <c r="X685" s="12"/>
    </row>
    <row r="686" customFormat="false" ht="15.75" hidden="false" customHeight="false" outlineLevel="0" collapsed="false">
      <c r="A686" s="12"/>
      <c r="B686" s="34"/>
      <c r="C686" s="12"/>
      <c r="D686" s="12"/>
      <c r="E686" s="12"/>
      <c r="F686" s="12"/>
      <c r="G686" s="18"/>
      <c r="H686" s="35"/>
      <c r="I686" s="12"/>
      <c r="M686" s="12"/>
      <c r="N686" s="18"/>
      <c r="O686" s="12"/>
      <c r="P686" s="12"/>
      <c r="Q686" s="12"/>
      <c r="R686" s="36"/>
      <c r="S686" s="36"/>
      <c r="T686" s="12"/>
      <c r="U686" s="12"/>
      <c r="V686" s="12"/>
      <c r="W686" s="12"/>
      <c r="X686" s="12"/>
    </row>
    <row r="687" customFormat="false" ht="15.75" hidden="false" customHeight="false" outlineLevel="0" collapsed="false">
      <c r="A687" s="12"/>
      <c r="B687" s="34"/>
      <c r="C687" s="12"/>
      <c r="D687" s="12"/>
      <c r="E687" s="12"/>
      <c r="F687" s="12"/>
      <c r="G687" s="18"/>
      <c r="H687" s="35"/>
      <c r="I687" s="12"/>
      <c r="M687" s="12"/>
      <c r="N687" s="18"/>
      <c r="O687" s="12"/>
      <c r="P687" s="12"/>
      <c r="Q687" s="12"/>
      <c r="R687" s="36"/>
      <c r="S687" s="36"/>
      <c r="T687" s="12"/>
      <c r="U687" s="12"/>
      <c r="V687" s="12"/>
      <c r="W687" s="12"/>
      <c r="X687" s="12"/>
    </row>
    <row r="688" customFormat="false" ht="15.75" hidden="false" customHeight="false" outlineLevel="0" collapsed="false">
      <c r="A688" s="12"/>
      <c r="B688" s="34"/>
      <c r="C688" s="12"/>
      <c r="D688" s="12"/>
      <c r="E688" s="12"/>
      <c r="F688" s="12"/>
      <c r="G688" s="18"/>
      <c r="H688" s="35"/>
      <c r="I688" s="12"/>
      <c r="M688" s="12"/>
      <c r="N688" s="18"/>
      <c r="O688" s="12"/>
      <c r="P688" s="12"/>
      <c r="Q688" s="12"/>
      <c r="R688" s="36"/>
      <c r="S688" s="36"/>
      <c r="T688" s="12"/>
      <c r="U688" s="12"/>
      <c r="V688" s="12"/>
      <c r="W688" s="12"/>
      <c r="X688" s="12"/>
    </row>
    <row r="689" customFormat="false" ht="15.75" hidden="false" customHeight="false" outlineLevel="0" collapsed="false">
      <c r="A689" s="12"/>
      <c r="B689" s="34"/>
      <c r="C689" s="12"/>
      <c r="D689" s="12"/>
      <c r="E689" s="12"/>
      <c r="F689" s="12"/>
      <c r="G689" s="18"/>
      <c r="H689" s="35"/>
      <c r="I689" s="12"/>
      <c r="M689" s="12"/>
      <c r="N689" s="18"/>
      <c r="O689" s="12"/>
      <c r="P689" s="12"/>
      <c r="Q689" s="12"/>
      <c r="R689" s="36"/>
      <c r="S689" s="36"/>
      <c r="T689" s="12"/>
      <c r="U689" s="12"/>
      <c r="V689" s="12"/>
      <c r="W689" s="12"/>
      <c r="X689" s="12"/>
    </row>
    <row r="690" customFormat="false" ht="15.75" hidden="false" customHeight="false" outlineLevel="0" collapsed="false">
      <c r="A690" s="12"/>
      <c r="B690" s="34"/>
      <c r="C690" s="12"/>
      <c r="D690" s="12"/>
      <c r="E690" s="12"/>
      <c r="F690" s="12"/>
      <c r="G690" s="18"/>
      <c r="H690" s="35"/>
      <c r="I690" s="12"/>
      <c r="M690" s="12"/>
      <c r="N690" s="18"/>
      <c r="O690" s="12"/>
      <c r="P690" s="12"/>
      <c r="Q690" s="12"/>
      <c r="R690" s="36"/>
      <c r="S690" s="36"/>
      <c r="T690" s="12"/>
      <c r="U690" s="12"/>
      <c r="V690" s="12"/>
      <c r="W690" s="12"/>
      <c r="X690" s="12"/>
    </row>
    <row r="691" customFormat="false" ht="15.75" hidden="false" customHeight="false" outlineLevel="0" collapsed="false">
      <c r="A691" s="12"/>
      <c r="B691" s="34"/>
      <c r="C691" s="12"/>
      <c r="D691" s="12"/>
      <c r="E691" s="12"/>
      <c r="F691" s="12"/>
      <c r="G691" s="18"/>
      <c r="H691" s="35"/>
      <c r="I691" s="12"/>
      <c r="M691" s="12"/>
      <c r="N691" s="18"/>
      <c r="O691" s="12"/>
      <c r="P691" s="12"/>
      <c r="Q691" s="12"/>
      <c r="R691" s="36"/>
      <c r="S691" s="36"/>
      <c r="T691" s="12"/>
      <c r="U691" s="12"/>
      <c r="V691" s="12"/>
      <c r="W691" s="12"/>
      <c r="X691" s="12"/>
    </row>
    <row r="692" customFormat="false" ht="15.75" hidden="false" customHeight="false" outlineLevel="0" collapsed="false">
      <c r="A692" s="12"/>
      <c r="B692" s="34"/>
      <c r="C692" s="12"/>
      <c r="D692" s="12"/>
      <c r="E692" s="12"/>
      <c r="F692" s="12"/>
      <c r="G692" s="18"/>
      <c r="H692" s="35"/>
      <c r="I692" s="12"/>
      <c r="M692" s="12"/>
      <c r="N692" s="18"/>
      <c r="O692" s="12"/>
      <c r="P692" s="12"/>
      <c r="Q692" s="12"/>
      <c r="R692" s="36"/>
      <c r="S692" s="36"/>
      <c r="T692" s="12"/>
      <c r="U692" s="12"/>
      <c r="V692" s="12"/>
      <c r="W692" s="12"/>
      <c r="X692" s="12"/>
    </row>
    <row r="693" customFormat="false" ht="15.75" hidden="false" customHeight="false" outlineLevel="0" collapsed="false">
      <c r="A693" s="12"/>
      <c r="B693" s="34"/>
      <c r="C693" s="12"/>
      <c r="D693" s="12"/>
      <c r="E693" s="12"/>
      <c r="F693" s="12"/>
      <c r="G693" s="18"/>
      <c r="H693" s="35"/>
      <c r="I693" s="12"/>
      <c r="M693" s="12"/>
      <c r="N693" s="18"/>
      <c r="O693" s="12"/>
      <c r="P693" s="12"/>
      <c r="Q693" s="12"/>
      <c r="R693" s="36"/>
      <c r="S693" s="36"/>
      <c r="T693" s="12"/>
      <c r="U693" s="12"/>
      <c r="V693" s="12"/>
      <c r="W693" s="12"/>
      <c r="X693" s="12"/>
    </row>
    <row r="694" customFormat="false" ht="15.75" hidden="false" customHeight="false" outlineLevel="0" collapsed="false">
      <c r="A694" s="12"/>
      <c r="B694" s="34"/>
      <c r="C694" s="12"/>
      <c r="D694" s="12"/>
      <c r="E694" s="12"/>
      <c r="F694" s="12"/>
      <c r="G694" s="18"/>
      <c r="H694" s="35"/>
      <c r="I694" s="12"/>
      <c r="M694" s="12"/>
      <c r="N694" s="18"/>
      <c r="O694" s="12"/>
      <c r="P694" s="12"/>
      <c r="Q694" s="12"/>
      <c r="R694" s="36"/>
      <c r="S694" s="36"/>
      <c r="T694" s="12"/>
      <c r="U694" s="12"/>
      <c r="V694" s="12"/>
      <c r="W694" s="12"/>
      <c r="X694" s="12"/>
    </row>
    <row r="695" customFormat="false" ht="15.75" hidden="false" customHeight="false" outlineLevel="0" collapsed="false">
      <c r="A695" s="12"/>
      <c r="B695" s="34"/>
      <c r="C695" s="12"/>
      <c r="D695" s="12"/>
      <c r="E695" s="12"/>
      <c r="F695" s="12"/>
      <c r="G695" s="18"/>
      <c r="H695" s="35"/>
      <c r="I695" s="12"/>
      <c r="M695" s="12"/>
      <c r="N695" s="18"/>
      <c r="O695" s="12"/>
      <c r="P695" s="12"/>
      <c r="Q695" s="12"/>
      <c r="R695" s="36"/>
      <c r="S695" s="36"/>
      <c r="T695" s="12"/>
      <c r="U695" s="12"/>
      <c r="V695" s="12"/>
      <c r="W695" s="12"/>
      <c r="X695" s="12"/>
    </row>
    <row r="696" customFormat="false" ht="15.75" hidden="false" customHeight="false" outlineLevel="0" collapsed="false">
      <c r="A696" s="12"/>
      <c r="B696" s="34"/>
      <c r="C696" s="12"/>
      <c r="D696" s="12"/>
      <c r="E696" s="12"/>
      <c r="F696" s="12"/>
      <c r="G696" s="18"/>
      <c r="H696" s="35"/>
      <c r="I696" s="12"/>
      <c r="M696" s="12"/>
      <c r="N696" s="18"/>
      <c r="O696" s="12"/>
      <c r="P696" s="12"/>
      <c r="Q696" s="12"/>
      <c r="R696" s="36"/>
      <c r="S696" s="36"/>
      <c r="T696" s="12"/>
      <c r="U696" s="12"/>
      <c r="V696" s="12"/>
      <c r="W696" s="12"/>
      <c r="X696" s="12"/>
    </row>
    <row r="697" customFormat="false" ht="15.75" hidden="false" customHeight="false" outlineLevel="0" collapsed="false">
      <c r="A697" s="12"/>
      <c r="B697" s="34"/>
      <c r="C697" s="12"/>
      <c r="D697" s="12"/>
      <c r="E697" s="12"/>
      <c r="F697" s="12"/>
      <c r="G697" s="18"/>
      <c r="H697" s="35"/>
      <c r="I697" s="12"/>
      <c r="M697" s="12"/>
      <c r="N697" s="18"/>
      <c r="O697" s="12"/>
      <c r="P697" s="12"/>
      <c r="Q697" s="12"/>
      <c r="R697" s="36"/>
      <c r="S697" s="36"/>
      <c r="T697" s="12"/>
      <c r="U697" s="12"/>
      <c r="V697" s="12"/>
      <c r="W697" s="12"/>
      <c r="X697" s="12"/>
    </row>
    <row r="698" customFormat="false" ht="15.75" hidden="false" customHeight="false" outlineLevel="0" collapsed="false">
      <c r="A698" s="12"/>
      <c r="B698" s="34"/>
      <c r="C698" s="12"/>
      <c r="D698" s="12"/>
      <c r="E698" s="12"/>
      <c r="F698" s="12"/>
      <c r="G698" s="18"/>
      <c r="H698" s="35"/>
      <c r="I698" s="12"/>
      <c r="M698" s="12"/>
      <c r="N698" s="18"/>
      <c r="O698" s="12"/>
      <c r="P698" s="12"/>
      <c r="Q698" s="12"/>
      <c r="R698" s="36"/>
      <c r="S698" s="36"/>
      <c r="T698" s="12"/>
      <c r="U698" s="12"/>
      <c r="V698" s="12"/>
      <c r="W698" s="12"/>
      <c r="X698" s="12"/>
    </row>
    <row r="699" customFormat="false" ht="15.75" hidden="false" customHeight="false" outlineLevel="0" collapsed="false">
      <c r="A699" s="12"/>
      <c r="B699" s="34"/>
      <c r="C699" s="12"/>
      <c r="D699" s="12"/>
      <c r="E699" s="12"/>
      <c r="F699" s="12"/>
      <c r="G699" s="18"/>
      <c r="H699" s="35"/>
      <c r="I699" s="12"/>
      <c r="M699" s="12"/>
      <c r="N699" s="18"/>
      <c r="O699" s="12"/>
      <c r="P699" s="12"/>
      <c r="Q699" s="12"/>
      <c r="R699" s="36"/>
      <c r="S699" s="36"/>
      <c r="T699" s="12"/>
      <c r="U699" s="12"/>
      <c r="V699" s="12"/>
      <c r="W699" s="12"/>
      <c r="X699" s="12"/>
    </row>
    <row r="700" customFormat="false" ht="15.75" hidden="false" customHeight="false" outlineLevel="0" collapsed="false">
      <c r="A700" s="12"/>
      <c r="B700" s="34"/>
      <c r="C700" s="12"/>
      <c r="D700" s="12"/>
      <c r="E700" s="12"/>
      <c r="F700" s="12"/>
      <c r="G700" s="18"/>
      <c r="H700" s="35"/>
      <c r="I700" s="12"/>
      <c r="M700" s="12"/>
      <c r="N700" s="18"/>
      <c r="O700" s="12"/>
      <c r="P700" s="12"/>
      <c r="Q700" s="12"/>
      <c r="R700" s="36"/>
      <c r="S700" s="36"/>
      <c r="T700" s="12"/>
      <c r="U700" s="12"/>
      <c r="V700" s="12"/>
      <c r="W700" s="12"/>
      <c r="X700" s="12"/>
    </row>
    <row r="701" customFormat="false" ht="15.75" hidden="false" customHeight="false" outlineLevel="0" collapsed="false">
      <c r="A701" s="12"/>
      <c r="B701" s="34"/>
      <c r="C701" s="12"/>
      <c r="D701" s="12"/>
      <c r="E701" s="12"/>
      <c r="F701" s="12"/>
      <c r="G701" s="18"/>
      <c r="H701" s="35"/>
      <c r="I701" s="12"/>
      <c r="M701" s="12"/>
      <c r="N701" s="18"/>
      <c r="O701" s="12"/>
      <c r="P701" s="12"/>
      <c r="Q701" s="12"/>
      <c r="R701" s="36"/>
      <c r="S701" s="36"/>
      <c r="T701" s="12"/>
      <c r="U701" s="12"/>
      <c r="V701" s="12"/>
      <c r="W701" s="12"/>
      <c r="X701" s="12"/>
    </row>
    <row r="702" customFormat="false" ht="15.75" hidden="false" customHeight="false" outlineLevel="0" collapsed="false">
      <c r="A702" s="12"/>
      <c r="B702" s="34"/>
      <c r="C702" s="12"/>
      <c r="D702" s="12"/>
      <c r="E702" s="12"/>
      <c r="F702" s="12"/>
      <c r="G702" s="18"/>
      <c r="H702" s="35"/>
      <c r="I702" s="12"/>
      <c r="M702" s="12"/>
      <c r="N702" s="18"/>
      <c r="O702" s="12"/>
      <c r="P702" s="12"/>
      <c r="Q702" s="12"/>
      <c r="R702" s="36"/>
      <c r="S702" s="36"/>
      <c r="T702" s="12"/>
      <c r="U702" s="12"/>
      <c r="V702" s="12"/>
      <c r="W702" s="12"/>
      <c r="X702" s="12"/>
    </row>
    <row r="703" customFormat="false" ht="15.75" hidden="false" customHeight="false" outlineLevel="0" collapsed="false">
      <c r="A703" s="12"/>
      <c r="B703" s="34"/>
      <c r="C703" s="12"/>
      <c r="D703" s="12"/>
      <c r="E703" s="12"/>
      <c r="F703" s="12"/>
      <c r="G703" s="18"/>
      <c r="H703" s="35"/>
      <c r="I703" s="12"/>
      <c r="M703" s="12"/>
      <c r="N703" s="18"/>
      <c r="O703" s="12"/>
      <c r="P703" s="12"/>
      <c r="Q703" s="12"/>
      <c r="R703" s="36"/>
      <c r="S703" s="36"/>
      <c r="T703" s="12"/>
      <c r="U703" s="12"/>
      <c r="V703" s="12"/>
      <c r="W703" s="12"/>
      <c r="X703" s="12"/>
    </row>
    <row r="704" customFormat="false" ht="15.75" hidden="false" customHeight="false" outlineLevel="0" collapsed="false">
      <c r="A704" s="12"/>
      <c r="B704" s="34"/>
      <c r="C704" s="12"/>
      <c r="D704" s="12"/>
      <c r="E704" s="12"/>
      <c r="F704" s="12"/>
      <c r="G704" s="18"/>
      <c r="H704" s="35"/>
      <c r="I704" s="12"/>
      <c r="M704" s="12"/>
      <c r="N704" s="18"/>
      <c r="O704" s="12"/>
      <c r="P704" s="12"/>
      <c r="Q704" s="12"/>
      <c r="R704" s="36"/>
      <c r="S704" s="36"/>
      <c r="T704" s="12"/>
      <c r="U704" s="12"/>
      <c r="V704" s="12"/>
      <c r="W704" s="12"/>
      <c r="X704" s="12"/>
    </row>
    <row r="705" customFormat="false" ht="15.75" hidden="false" customHeight="false" outlineLevel="0" collapsed="false">
      <c r="A705" s="12"/>
      <c r="B705" s="34"/>
      <c r="C705" s="12"/>
      <c r="D705" s="12"/>
      <c r="E705" s="12"/>
      <c r="F705" s="12"/>
      <c r="G705" s="18"/>
      <c r="H705" s="35"/>
      <c r="I705" s="12"/>
      <c r="M705" s="12"/>
      <c r="N705" s="18"/>
      <c r="O705" s="12"/>
      <c r="P705" s="12"/>
      <c r="Q705" s="12"/>
      <c r="R705" s="36"/>
      <c r="S705" s="36"/>
      <c r="T705" s="12"/>
      <c r="U705" s="12"/>
      <c r="V705" s="12"/>
      <c r="W705" s="12"/>
      <c r="X705" s="12"/>
    </row>
    <row r="706" customFormat="false" ht="15.75" hidden="false" customHeight="false" outlineLevel="0" collapsed="false">
      <c r="A706" s="12"/>
      <c r="B706" s="34"/>
      <c r="C706" s="12"/>
      <c r="D706" s="12"/>
      <c r="E706" s="12"/>
      <c r="F706" s="12"/>
      <c r="G706" s="18"/>
      <c r="H706" s="35"/>
      <c r="I706" s="12"/>
      <c r="M706" s="12"/>
      <c r="N706" s="18"/>
      <c r="O706" s="12"/>
      <c r="P706" s="12"/>
      <c r="Q706" s="12"/>
      <c r="R706" s="36"/>
      <c r="S706" s="36"/>
      <c r="T706" s="12"/>
      <c r="U706" s="12"/>
      <c r="V706" s="12"/>
      <c r="W706" s="12"/>
      <c r="X706" s="12"/>
    </row>
    <row r="707" customFormat="false" ht="15.75" hidden="false" customHeight="false" outlineLevel="0" collapsed="false">
      <c r="A707" s="12"/>
      <c r="B707" s="34"/>
      <c r="C707" s="12"/>
      <c r="D707" s="12"/>
      <c r="E707" s="12"/>
      <c r="F707" s="12"/>
      <c r="G707" s="18"/>
      <c r="H707" s="35"/>
      <c r="I707" s="12"/>
      <c r="M707" s="12"/>
      <c r="N707" s="18"/>
      <c r="O707" s="12"/>
      <c r="P707" s="12"/>
      <c r="Q707" s="12"/>
      <c r="R707" s="36"/>
      <c r="S707" s="36"/>
      <c r="T707" s="12"/>
      <c r="U707" s="12"/>
      <c r="V707" s="12"/>
      <c r="W707" s="12"/>
      <c r="X707" s="12"/>
    </row>
    <row r="708" customFormat="false" ht="15.75" hidden="false" customHeight="false" outlineLevel="0" collapsed="false">
      <c r="A708" s="12"/>
      <c r="B708" s="34"/>
      <c r="C708" s="12"/>
      <c r="D708" s="12"/>
      <c r="E708" s="12"/>
      <c r="F708" s="12"/>
      <c r="G708" s="18"/>
      <c r="H708" s="35"/>
      <c r="I708" s="12"/>
      <c r="M708" s="12"/>
      <c r="N708" s="18"/>
      <c r="O708" s="12"/>
      <c r="P708" s="12"/>
      <c r="Q708" s="12"/>
      <c r="R708" s="36"/>
      <c r="S708" s="36"/>
      <c r="T708" s="12"/>
      <c r="U708" s="12"/>
      <c r="V708" s="12"/>
      <c r="W708" s="12"/>
      <c r="X708" s="12"/>
    </row>
    <row r="709" customFormat="false" ht="15.75" hidden="false" customHeight="false" outlineLevel="0" collapsed="false">
      <c r="A709" s="12"/>
      <c r="B709" s="34"/>
      <c r="C709" s="12"/>
      <c r="D709" s="12"/>
      <c r="E709" s="12"/>
      <c r="F709" s="12"/>
      <c r="G709" s="18"/>
      <c r="H709" s="35"/>
      <c r="I709" s="12"/>
      <c r="M709" s="12"/>
      <c r="N709" s="18"/>
      <c r="O709" s="12"/>
      <c r="P709" s="12"/>
      <c r="Q709" s="12"/>
      <c r="R709" s="36"/>
      <c r="S709" s="36"/>
      <c r="T709" s="12"/>
      <c r="U709" s="12"/>
      <c r="V709" s="12"/>
      <c r="W709" s="12"/>
      <c r="X709" s="12"/>
    </row>
    <row r="710" customFormat="false" ht="15.75" hidden="false" customHeight="false" outlineLevel="0" collapsed="false">
      <c r="A710" s="12"/>
      <c r="B710" s="34"/>
      <c r="C710" s="12"/>
      <c r="D710" s="12"/>
      <c r="E710" s="12"/>
      <c r="F710" s="12"/>
      <c r="G710" s="18"/>
      <c r="H710" s="35"/>
      <c r="I710" s="12"/>
      <c r="M710" s="12"/>
      <c r="N710" s="18"/>
      <c r="O710" s="12"/>
      <c r="P710" s="12"/>
      <c r="Q710" s="12"/>
      <c r="R710" s="36"/>
      <c r="S710" s="36"/>
      <c r="T710" s="12"/>
      <c r="U710" s="12"/>
      <c r="V710" s="12"/>
      <c r="W710" s="12"/>
      <c r="X710" s="12"/>
    </row>
    <row r="711" customFormat="false" ht="15.75" hidden="false" customHeight="false" outlineLevel="0" collapsed="false">
      <c r="A711" s="12"/>
      <c r="B711" s="34"/>
      <c r="C711" s="12"/>
      <c r="D711" s="12"/>
      <c r="E711" s="12"/>
      <c r="F711" s="12"/>
      <c r="G711" s="18"/>
      <c r="H711" s="35"/>
      <c r="I711" s="12"/>
      <c r="M711" s="12"/>
      <c r="N711" s="18"/>
      <c r="O711" s="12"/>
      <c r="P711" s="12"/>
      <c r="Q711" s="12"/>
      <c r="R711" s="36"/>
      <c r="S711" s="36"/>
      <c r="T711" s="12"/>
      <c r="U711" s="12"/>
      <c r="V711" s="12"/>
      <c r="W711" s="12"/>
      <c r="X711" s="12"/>
    </row>
    <row r="712" customFormat="false" ht="15.75" hidden="false" customHeight="false" outlineLevel="0" collapsed="false">
      <c r="A712" s="12"/>
      <c r="B712" s="34"/>
      <c r="C712" s="12"/>
      <c r="D712" s="12"/>
      <c r="E712" s="12"/>
      <c r="F712" s="12"/>
      <c r="G712" s="18"/>
      <c r="H712" s="35"/>
      <c r="I712" s="12"/>
      <c r="M712" s="12"/>
      <c r="N712" s="18"/>
      <c r="O712" s="12"/>
      <c r="P712" s="12"/>
      <c r="Q712" s="12"/>
      <c r="R712" s="36"/>
      <c r="S712" s="36"/>
      <c r="T712" s="12"/>
      <c r="U712" s="12"/>
      <c r="V712" s="12"/>
      <c r="W712" s="12"/>
      <c r="X712" s="12"/>
    </row>
    <row r="713" customFormat="false" ht="15.75" hidden="false" customHeight="false" outlineLevel="0" collapsed="false">
      <c r="A713" s="12"/>
      <c r="B713" s="34"/>
      <c r="C713" s="12"/>
      <c r="D713" s="12"/>
      <c r="E713" s="12"/>
      <c r="F713" s="12"/>
      <c r="G713" s="18"/>
      <c r="H713" s="35"/>
      <c r="I713" s="12"/>
      <c r="M713" s="12"/>
      <c r="N713" s="18"/>
      <c r="O713" s="12"/>
      <c r="P713" s="12"/>
      <c r="Q713" s="12"/>
      <c r="R713" s="36"/>
      <c r="S713" s="36"/>
      <c r="T713" s="12"/>
      <c r="U713" s="12"/>
      <c r="V713" s="12"/>
      <c r="W713" s="12"/>
      <c r="X713" s="12"/>
    </row>
    <row r="714" customFormat="false" ht="15.75" hidden="false" customHeight="false" outlineLevel="0" collapsed="false">
      <c r="A714" s="12"/>
      <c r="B714" s="34"/>
      <c r="C714" s="12"/>
      <c r="D714" s="12"/>
      <c r="E714" s="12"/>
      <c r="F714" s="12"/>
      <c r="G714" s="18"/>
      <c r="H714" s="35"/>
      <c r="I714" s="12"/>
      <c r="M714" s="12"/>
      <c r="N714" s="18"/>
      <c r="O714" s="12"/>
      <c r="P714" s="12"/>
      <c r="Q714" s="12"/>
      <c r="R714" s="36"/>
      <c r="S714" s="36"/>
      <c r="T714" s="12"/>
      <c r="U714" s="12"/>
      <c r="V714" s="12"/>
      <c r="W714" s="12"/>
      <c r="X714" s="12"/>
    </row>
    <row r="715" customFormat="false" ht="15.75" hidden="false" customHeight="false" outlineLevel="0" collapsed="false">
      <c r="A715" s="12"/>
      <c r="B715" s="34"/>
      <c r="C715" s="12"/>
      <c r="D715" s="12"/>
      <c r="E715" s="12"/>
      <c r="F715" s="12"/>
      <c r="G715" s="18"/>
      <c r="H715" s="35"/>
      <c r="I715" s="12"/>
      <c r="M715" s="12"/>
      <c r="N715" s="18"/>
      <c r="O715" s="12"/>
      <c r="P715" s="12"/>
      <c r="Q715" s="12"/>
      <c r="R715" s="36"/>
      <c r="S715" s="36"/>
      <c r="T715" s="12"/>
      <c r="U715" s="12"/>
      <c r="V715" s="12"/>
      <c r="W715" s="12"/>
      <c r="X715" s="12"/>
    </row>
    <row r="716" customFormat="false" ht="15.75" hidden="false" customHeight="false" outlineLevel="0" collapsed="false">
      <c r="A716" s="12"/>
      <c r="B716" s="34"/>
      <c r="C716" s="12"/>
      <c r="D716" s="12"/>
      <c r="E716" s="12"/>
      <c r="F716" s="12"/>
      <c r="G716" s="18"/>
      <c r="H716" s="35"/>
      <c r="I716" s="12"/>
      <c r="M716" s="12"/>
      <c r="N716" s="18"/>
      <c r="O716" s="12"/>
      <c r="P716" s="12"/>
      <c r="Q716" s="12"/>
      <c r="R716" s="36"/>
      <c r="S716" s="36"/>
      <c r="T716" s="12"/>
      <c r="U716" s="12"/>
      <c r="V716" s="12"/>
      <c r="W716" s="12"/>
      <c r="X716" s="12"/>
    </row>
    <row r="717" customFormat="false" ht="15.75" hidden="false" customHeight="false" outlineLevel="0" collapsed="false">
      <c r="A717" s="12"/>
      <c r="B717" s="34"/>
      <c r="C717" s="12"/>
      <c r="D717" s="12"/>
      <c r="E717" s="12"/>
      <c r="F717" s="12"/>
      <c r="G717" s="18"/>
      <c r="H717" s="35"/>
      <c r="I717" s="12"/>
      <c r="M717" s="12"/>
      <c r="N717" s="18"/>
      <c r="O717" s="12"/>
      <c r="P717" s="12"/>
      <c r="Q717" s="12"/>
      <c r="R717" s="36"/>
      <c r="S717" s="36"/>
      <c r="T717" s="12"/>
      <c r="U717" s="12"/>
      <c r="V717" s="12"/>
      <c r="W717" s="12"/>
      <c r="X717" s="12"/>
    </row>
    <row r="718" customFormat="false" ht="15.75" hidden="false" customHeight="false" outlineLevel="0" collapsed="false">
      <c r="A718" s="12"/>
      <c r="B718" s="34"/>
      <c r="C718" s="12"/>
      <c r="D718" s="12"/>
      <c r="E718" s="12"/>
      <c r="F718" s="12"/>
      <c r="G718" s="18"/>
      <c r="H718" s="35"/>
      <c r="I718" s="12"/>
      <c r="M718" s="12"/>
      <c r="N718" s="18"/>
      <c r="O718" s="12"/>
      <c r="P718" s="12"/>
      <c r="Q718" s="12"/>
      <c r="R718" s="36"/>
      <c r="S718" s="36"/>
      <c r="T718" s="12"/>
      <c r="U718" s="12"/>
      <c r="V718" s="12"/>
      <c r="W718" s="12"/>
      <c r="X718" s="12"/>
    </row>
    <row r="719" customFormat="false" ht="15.75" hidden="false" customHeight="false" outlineLevel="0" collapsed="false">
      <c r="A719" s="12"/>
      <c r="B719" s="34"/>
      <c r="C719" s="12"/>
      <c r="D719" s="12"/>
      <c r="E719" s="12"/>
      <c r="F719" s="12"/>
      <c r="G719" s="18"/>
      <c r="H719" s="35"/>
      <c r="I719" s="12"/>
      <c r="M719" s="12"/>
      <c r="N719" s="18"/>
      <c r="O719" s="12"/>
      <c r="P719" s="12"/>
      <c r="Q719" s="12"/>
      <c r="R719" s="36"/>
      <c r="S719" s="36"/>
      <c r="T719" s="12"/>
      <c r="U719" s="12"/>
      <c r="V719" s="12"/>
      <c r="W719" s="12"/>
      <c r="X719" s="12"/>
    </row>
    <row r="720" customFormat="false" ht="15.75" hidden="false" customHeight="false" outlineLevel="0" collapsed="false">
      <c r="A720" s="12"/>
      <c r="B720" s="34"/>
      <c r="C720" s="12"/>
      <c r="D720" s="12"/>
      <c r="E720" s="12"/>
      <c r="F720" s="12"/>
      <c r="G720" s="18"/>
      <c r="H720" s="35"/>
      <c r="I720" s="12"/>
      <c r="M720" s="12"/>
      <c r="N720" s="18"/>
      <c r="O720" s="12"/>
      <c r="P720" s="12"/>
      <c r="Q720" s="12"/>
      <c r="R720" s="36"/>
      <c r="S720" s="36"/>
      <c r="T720" s="12"/>
      <c r="U720" s="12"/>
      <c r="V720" s="12"/>
      <c r="W720" s="12"/>
      <c r="X720" s="12"/>
    </row>
    <row r="721" customFormat="false" ht="15.75" hidden="false" customHeight="false" outlineLevel="0" collapsed="false">
      <c r="A721" s="12"/>
      <c r="B721" s="34"/>
      <c r="C721" s="12"/>
      <c r="D721" s="12"/>
      <c r="E721" s="12"/>
      <c r="F721" s="12"/>
      <c r="G721" s="18"/>
      <c r="H721" s="35"/>
      <c r="I721" s="12"/>
      <c r="M721" s="12"/>
      <c r="N721" s="18"/>
      <c r="O721" s="12"/>
      <c r="P721" s="12"/>
      <c r="Q721" s="12"/>
      <c r="R721" s="36"/>
      <c r="S721" s="36"/>
      <c r="T721" s="12"/>
      <c r="U721" s="12"/>
      <c r="V721" s="12"/>
      <c r="W721" s="12"/>
      <c r="X721" s="12"/>
    </row>
    <row r="722" customFormat="false" ht="15.75" hidden="false" customHeight="false" outlineLevel="0" collapsed="false">
      <c r="A722" s="12"/>
      <c r="B722" s="34"/>
      <c r="C722" s="12"/>
      <c r="D722" s="12"/>
      <c r="E722" s="12"/>
      <c r="F722" s="12"/>
      <c r="G722" s="18"/>
      <c r="H722" s="35"/>
      <c r="I722" s="12"/>
      <c r="M722" s="12"/>
      <c r="N722" s="18"/>
      <c r="O722" s="12"/>
      <c r="P722" s="12"/>
      <c r="Q722" s="12"/>
      <c r="R722" s="36"/>
      <c r="S722" s="36"/>
      <c r="T722" s="12"/>
      <c r="U722" s="12"/>
      <c r="V722" s="12"/>
      <c r="W722" s="12"/>
      <c r="X722" s="12"/>
    </row>
    <row r="723" customFormat="false" ht="15.75" hidden="false" customHeight="false" outlineLevel="0" collapsed="false">
      <c r="A723" s="12"/>
      <c r="B723" s="34"/>
      <c r="C723" s="12"/>
      <c r="D723" s="12"/>
      <c r="E723" s="12"/>
      <c r="F723" s="12"/>
      <c r="G723" s="18"/>
      <c r="H723" s="35"/>
      <c r="I723" s="12"/>
      <c r="M723" s="12"/>
      <c r="N723" s="18"/>
      <c r="O723" s="12"/>
      <c r="P723" s="12"/>
      <c r="Q723" s="12"/>
      <c r="R723" s="36"/>
      <c r="S723" s="36"/>
      <c r="T723" s="12"/>
      <c r="U723" s="12"/>
      <c r="V723" s="12"/>
      <c r="W723" s="12"/>
      <c r="X723" s="12"/>
    </row>
    <row r="724" customFormat="false" ht="15.75" hidden="false" customHeight="false" outlineLevel="0" collapsed="false">
      <c r="A724" s="12"/>
      <c r="B724" s="34"/>
      <c r="C724" s="12"/>
      <c r="D724" s="12"/>
      <c r="E724" s="12"/>
      <c r="F724" s="12"/>
      <c r="G724" s="18"/>
      <c r="H724" s="35"/>
      <c r="I724" s="12"/>
      <c r="M724" s="12"/>
      <c r="N724" s="18"/>
      <c r="O724" s="12"/>
      <c r="P724" s="12"/>
      <c r="Q724" s="12"/>
      <c r="R724" s="36"/>
      <c r="S724" s="36"/>
      <c r="T724" s="12"/>
      <c r="U724" s="12"/>
      <c r="V724" s="12"/>
      <c r="W724" s="12"/>
      <c r="X724" s="12"/>
    </row>
    <row r="725" customFormat="false" ht="15.75" hidden="false" customHeight="false" outlineLevel="0" collapsed="false">
      <c r="A725" s="12"/>
      <c r="B725" s="34"/>
      <c r="C725" s="12"/>
      <c r="D725" s="12"/>
      <c r="E725" s="12"/>
      <c r="F725" s="12"/>
      <c r="G725" s="18"/>
      <c r="H725" s="35"/>
      <c r="I725" s="12"/>
      <c r="M725" s="12"/>
      <c r="N725" s="18"/>
      <c r="O725" s="12"/>
      <c r="P725" s="12"/>
      <c r="Q725" s="12"/>
      <c r="R725" s="36"/>
      <c r="S725" s="36"/>
      <c r="T725" s="12"/>
      <c r="U725" s="12"/>
      <c r="V725" s="12"/>
      <c r="W725" s="12"/>
      <c r="X725" s="12"/>
    </row>
    <row r="726" customFormat="false" ht="15.75" hidden="false" customHeight="false" outlineLevel="0" collapsed="false">
      <c r="A726" s="12"/>
      <c r="B726" s="34"/>
      <c r="C726" s="12"/>
      <c r="D726" s="12"/>
      <c r="E726" s="12"/>
      <c r="F726" s="12"/>
      <c r="G726" s="18"/>
      <c r="H726" s="35"/>
      <c r="I726" s="12"/>
      <c r="M726" s="12"/>
      <c r="N726" s="18"/>
      <c r="O726" s="12"/>
      <c r="P726" s="12"/>
      <c r="Q726" s="12"/>
      <c r="R726" s="36"/>
      <c r="S726" s="36"/>
      <c r="T726" s="12"/>
      <c r="U726" s="12"/>
      <c r="V726" s="12"/>
      <c r="W726" s="12"/>
      <c r="X726" s="12"/>
    </row>
    <row r="727" customFormat="false" ht="15.75" hidden="false" customHeight="false" outlineLevel="0" collapsed="false">
      <c r="A727" s="12"/>
      <c r="B727" s="34"/>
      <c r="C727" s="12"/>
      <c r="D727" s="12"/>
      <c r="E727" s="12"/>
      <c r="F727" s="12"/>
      <c r="G727" s="18"/>
      <c r="H727" s="35"/>
      <c r="I727" s="12"/>
      <c r="M727" s="12"/>
      <c r="N727" s="18"/>
      <c r="O727" s="12"/>
      <c r="P727" s="12"/>
      <c r="Q727" s="12"/>
      <c r="R727" s="36"/>
      <c r="S727" s="36"/>
      <c r="T727" s="12"/>
      <c r="U727" s="12"/>
      <c r="V727" s="12"/>
      <c r="W727" s="12"/>
      <c r="X727" s="12"/>
    </row>
    <row r="728" customFormat="false" ht="15.75" hidden="false" customHeight="false" outlineLevel="0" collapsed="false">
      <c r="A728" s="12"/>
      <c r="B728" s="34"/>
      <c r="C728" s="12"/>
      <c r="D728" s="12"/>
      <c r="E728" s="12"/>
      <c r="F728" s="12"/>
      <c r="G728" s="18"/>
      <c r="H728" s="35"/>
      <c r="I728" s="12"/>
      <c r="M728" s="12"/>
      <c r="N728" s="18"/>
      <c r="O728" s="12"/>
      <c r="P728" s="12"/>
      <c r="Q728" s="12"/>
      <c r="R728" s="36"/>
      <c r="S728" s="36"/>
      <c r="T728" s="12"/>
      <c r="U728" s="12"/>
      <c r="V728" s="12"/>
      <c r="W728" s="12"/>
      <c r="X728" s="12"/>
    </row>
    <row r="729" customFormat="false" ht="15.75" hidden="false" customHeight="false" outlineLevel="0" collapsed="false">
      <c r="A729" s="12"/>
      <c r="B729" s="34"/>
      <c r="C729" s="12"/>
      <c r="D729" s="12"/>
      <c r="E729" s="12"/>
      <c r="F729" s="12"/>
      <c r="G729" s="18"/>
      <c r="H729" s="35"/>
      <c r="I729" s="12"/>
      <c r="M729" s="12"/>
      <c r="N729" s="18"/>
      <c r="O729" s="12"/>
      <c r="P729" s="12"/>
      <c r="Q729" s="12"/>
      <c r="R729" s="36"/>
      <c r="S729" s="36"/>
      <c r="T729" s="12"/>
      <c r="U729" s="12"/>
      <c r="V729" s="12"/>
      <c r="W729" s="12"/>
      <c r="X729" s="12"/>
    </row>
    <row r="730" customFormat="false" ht="15.75" hidden="false" customHeight="false" outlineLevel="0" collapsed="false">
      <c r="A730" s="12"/>
      <c r="B730" s="34"/>
      <c r="C730" s="12"/>
      <c r="D730" s="12"/>
      <c r="E730" s="12"/>
      <c r="F730" s="12"/>
      <c r="G730" s="18"/>
      <c r="H730" s="35"/>
      <c r="I730" s="12"/>
      <c r="M730" s="12"/>
      <c r="N730" s="18"/>
      <c r="O730" s="12"/>
      <c r="P730" s="12"/>
      <c r="Q730" s="12"/>
      <c r="R730" s="36"/>
      <c r="S730" s="36"/>
      <c r="T730" s="12"/>
      <c r="U730" s="12"/>
      <c r="V730" s="12"/>
      <c r="W730" s="12"/>
      <c r="X730" s="12"/>
    </row>
    <row r="731" customFormat="false" ht="15.75" hidden="false" customHeight="false" outlineLevel="0" collapsed="false">
      <c r="A731" s="12"/>
      <c r="B731" s="34"/>
      <c r="C731" s="12"/>
      <c r="D731" s="12"/>
      <c r="E731" s="12"/>
      <c r="F731" s="12"/>
      <c r="G731" s="18"/>
      <c r="H731" s="35"/>
      <c r="I731" s="12"/>
      <c r="M731" s="12"/>
      <c r="N731" s="18"/>
      <c r="O731" s="12"/>
      <c r="P731" s="12"/>
      <c r="Q731" s="12"/>
      <c r="R731" s="36"/>
      <c r="S731" s="36"/>
      <c r="T731" s="12"/>
      <c r="U731" s="12"/>
      <c r="V731" s="12"/>
      <c r="W731" s="12"/>
      <c r="X731" s="12"/>
    </row>
    <row r="732" customFormat="false" ht="15.75" hidden="false" customHeight="false" outlineLevel="0" collapsed="false">
      <c r="A732" s="12"/>
      <c r="B732" s="34"/>
      <c r="C732" s="12"/>
      <c r="D732" s="12"/>
      <c r="E732" s="12"/>
      <c r="F732" s="12"/>
      <c r="G732" s="18"/>
      <c r="H732" s="35"/>
      <c r="I732" s="12"/>
      <c r="M732" s="12"/>
      <c r="N732" s="18"/>
      <c r="O732" s="12"/>
      <c r="P732" s="12"/>
      <c r="Q732" s="12"/>
      <c r="R732" s="36"/>
      <c r="S732" s="36"/>
      <c r="T732" s="12"/>
      <c r="U732" s="12"/>
      <c r="V732" s="12"/>
      <c r="W732" s="12"/>
      <c r="X732" s="12"/>
    </row>
    <row r="733" customFormat="false" ht="15.75" hidden="false" customHeight="false" outlineLevel="0" collapsed="false">
      <c r="A733" s="12"/>
      <c r="B733" s="34"/>
      <c r="C733" s="12"/>
      <c r="D733" s="12"/>
      <c r="E733" s="12"/>
      <c r="F733" s="12"/>
      <c r="G733" s="18"/>
      <c r="H733" s="35"/>
      <c r="I733" s="12"/>
      <c r="M733" s="12"/>
      <c r="N733" s="18"/>
      <c r="O733" s="12"/>
      <c r="P733" s="12"/>
      <c r="Q733" s="12"/>
      <c r="R733" s="36"/>
      <c r="S733" s="36"/>
      <c r="T733" s="12"/>
      <c r="U733" s="12"/>
      <c r="V733" s="12"/>
      <c r="W733" s="12"/>
      <c r="X733" s="12"/>
    </row>
    <row r="734" customFormat="false" ht="15.75" hidden="false" customHeight="false" outlineLevel="0" collapsed="false">
      <c r="A734" s="12"/>
      <c r="B734" s="34"/>
      <c r="C734" s="12"/>
      <c r="D734" s="12"/>
      <c r="E734" s="12"/>
      <c r="F734" s="12"/>
      <c r="G734" s="18"/>
      <c r="H734" s="35"/>
      <c r="I734" s="12"/>
      <c r="M734" s="12"/>
      <c r="N734" s="18"/>
      <c r="O734" s="12"/>
      <c r="P734" s="12"/>
      <c r="Q734" s="12"/>
      <c r="R734" s="36"/>
      <c r="S734" s="36"/>
      <c r="T734" s="12"/>
      <c r="U734" s="12"/>
      <c r="V734" s="12"/>
      <c r="W734" s="12"/>
      <c r="X734" s="12"/>
    </row>
    <row r="735" customFormat="false" ht="15.75" hidden="false" customHeight="false" outlineLevel="0" collapsed="false">
      <c r="A735" s="12"/>
      <c r="B735" s="34"/>
      <c r="C735" s="12"/>
      <c r="D735" s="12"/>
      <c r="E735" s="12"/>
      <c r="F735" s="12"/>
      <c r="G735" s="18"/>
      <c r="H735" s="35"/>
      <c r="I735" s="12"/>
      <c r="M735" s="12"/>
      <c r="N735" s="18"/>
      <c r="O735" s="12"/>
      <c r="P735" s="12"/>
      <c r="Q735" s="12"/>
      <c r="R735" s="36"/>
      <c r="S735" s="36"/>
      <c r="T735" s="12"/>
      <c r="U735" s="12"/>
      <c r="V735" s="12"/>
      <c r="W735" s="12"/>
      <c r="X735" s="12"/>
    </row>
    <row r="736" customFormat="false" ht="15.75" hidden="false" customHeight="false" outlineLevel="0" collapsed="false">
      <c r="A736" s="12"/>
      <c r="B736" s="34"/>
      <c r="C736" s="12"/>
      <c r="D736" s="12"/>
      <c r="E736" s="12"/>
      <c r="F736" s="12"/>
      <c r="G736" s="18"/>
      <c r="H736" s="35"/>
      <c r="I736" s="12"/>
      <c r="M736" s="12"/>
      <c r="N736" s="18"/>
      <c r="O736" s="12"/>
      <c r="P736" s="12"/>
      <c r="Q736" s="12"/>
      <c r="R736" s="36"/>
      <c r="S736" s="36"/>
      <c r="T736" s="12"/>
      <c r="U736" s="12"/>
      <c r="V736" s="12"/>
      <c r="W736" s="12"/>
      <c r="X736" s="12"/>
    </row>
    <row r="737" customFormat="false" ht="15.75" hidden="false" customHeight="false" outlineLevel="0" collapsed="false">
      <c r="A737" s="12"/>
      <c r="B737" s="34"/>
      <c r="C737" s="12"/>
      <c r="D737" s="12"/>
      <c r="E737" s="12"/>
      <c r="F737" s="12"/>
      <c r="G737" s="18"/>
      <c r="H737" s="35"/>
      <c r="I737" s="12"/>
      <c r="M737" s="12"/>
      <c r="N737" s="18"/>
      <c r="O737" s="12"/>
      <c r="P737" s="12"/>
      <c r="Q737" s="12"/>
      <c r="R737" s="36"/>
      <c r="S737" s="36"/>
      <c r="T737" s="12"/>
      <c r="U737" s="12"/>
      <c r="V737" s="12"/>
      <c r="W737" s="12"/>
      <c r="X737" s="12"/>
    </row>
    <row r="738" customFormat="false" ht="15.75" hidden="false" customHeight="false" outlineLevel="0" collapsed="false">
      <c r="A738" s="12"/>
      <c r="B738" s="34"/>
      <c r="C738" s="12"/>
      <c r="D738" s="12"/>
      <c r="E738" s="12"/>
      <c r="F738" s="12"/>
      <c r="G738" s="18"/>
      <c r="H738" s="35"/>
      <c r="I738" s="12"/>
      <c r="M738" s="12"/>
      <c r="N738" s="18"/>
      <c r="O738" s="12"/>
      <c r="P738" s="12"/>
      <c r="Q738" s="12"/>
      <c r="R738" s="36"/>
      <c r="S738" s="36"/>
      <c r="T738" s="12"/>
      <c r="U738" s="12"/>
      <c r="V738" s="12"/>
      <c r="W738" s="12"/>
      <c r="X738" s="12"/>
    </row>
    <row r="739" customFormat="false" ht="15.75" hidden="false" customHeight="false" outlineLevel="0" collapsed="false">
      <c r="A739" s="12"/>
      <c r="B739" s="34"/>
      <c r="C739" s="12"/>
      <c r="D739" s="12"/>
      <c r="E739" s="12"/>
      <c r="F739" s="12"/>
      <c r="G739" s="18"/>
      <c r="H739" s="35"/>
      <c r="I739" s="12"/>
      <c r="M739" s="12"/>
      <c r="N739" s="18"/>
      <c r="O739" s="12"/>
      <c r="P739" s="12"/>
      <c r="Q739" s="12"/>
      <c r="R739" s="36"/>
      <c r="S739" s="36"/>
      <c r="T739" s="12"/>
      <c r="U739" s="12"/>
      <c r="V739" s="12"/>
      <c r="W739" s="12"/>
      <c r="X739" s="12"/>
    </row>
    <row r="740" customFormat="false" ht="15.75" hidden="false" customHeight="false" outlineLevel="0" collapsed="false">
      <c r="A740" s="12"/>
      <c r="B740" s="34"/>
      <c r="C740" s="12"/>
      <c r="D740" s="12"/>
      <c r="E740" s="12"/>
      <c r="F740" s="12"/>
      <c r="G740" s="18"/>
      <c r="H740" s="35"/>
      <c r="I740" s="12"/>
      <c r="M740" s="12"/>
      <c r="N740" s="18"/>
      <c r="O740" s="12"/>
      <c r="P740" s="12"/>
      <c r="Q740" s="12"/>
      <c r="R740" s="36"/>
      <c r="S740" s="36"/>
      <c r="T740" s="12"/>
      <c r="U740" s="12"/>
      <c r="V740" s="12"/>
      <c r="W740" s="12"/>
      <c r="X740" s="12"/>
    </row>
    <row r="741" customFormat="false" ht="15.75" hidden="false" customHeight="false" outlineLevel="0" collapsed="false">
      <c r="A741" s="12"/>
      <c r="B741" s="34"/>
      <c r="C741" s="12"/>
      <c r="D741" s="12"/>
      <c r="E741" s="12"/>
      <c r="F741" s="12"/>
      <c r="G741" s="18"/>
      <c r="H741" s="35"/>
      <c r="I741" s="12"/>
      <c r="M741" s="12"/>
      <c r="N741" s="18"/>
      <c r="O741" s="12"/>
      <c r="P741" s="12"/>
      <c r="Q741" s="12"/>
      <c r="R741" s="36"/>
      <c r="S741" s="36"/>
      <c r="T741" s="12"/>
      <c r="U741" s="12"/>
      <c r="V741" s="12"/>
      <c r="W741" s="12"/>
      <c r="X741" s="12"/>
    </row>
    <row r="742" customFormat="false" ht="15.75" hidden="false" customHeight="false" outlineLevel="0" collapsed="false">
      <c r="A742" s="12"/>
      <c r="B742" s="34"/>
      <c r="C742" s="12"/>
      <c r="D742" s="12"/>
      <c r="E742" s="12"/>
      <c r="F742" s="12"/>
      <c r="G742" s="18"/>
      <c r="H742" s="35"/>
      <c r="I742" s="12"/>
      <c r="M742" s="12"/>
      <c r="N742" s="18"/>
      <c r="O742" s="12"/>
      <c r="P742" s="12"/>
      <c r="Q742" s="12"/>
      <c r="R742" s="36"/>
      <c r="S742" s="36"/>
      <c r="T742" s="12"/>
      <c r="U742" s="12"/>
      <c r="V742" s="12"/>
      <c r="W742" s="12"/>
      <c r="X742" s="12"/>
    </row>
    <row r="743" customFormat="false" ht="15.75" hidden="false" customHeight="false" outlineLevel="0" collapsed="false">
      <c r="A743" s="12"/>
      <c r="B743" s="34"/>
      <c r="C743" s="12"/>
      <c r="D743" s="12"/>
      <c r="E743" s="12"/>
      <c r="F743" s="12"/>
      <c r="G743" s="18"/>
      <c r="H743" s="35"/>
      <c r="I743" s="12"/>
      <c r="M743" s="12"/>
      <c r="N743" s="18"/>
      <c r="O743" s="12"/>
      <c r="P743" s="12"/>
      <c r="Q743" s="12"/>
      <c r="R743" s="36"/>
      <c r="S743" s="36"/>
      <c r="T743" s="12"/>
      <c r="U743" s="12"/>
      <c r="V743" s="12"/>
      <c r="W743" s="12"/>
      <c r="X743" s="12"/>
    </row>
    <row r="744" customFormat="false" ht="15.75" hidden="false" customHeight="false" outlineLevel="0" collapsed="false">
      <c r="A744" s="12"/>
      <c r="B744" s="34"/>
      <c r="C744" s="12"/>
      <c r="D744" s="12"/>
      <c r="E744" s="12"/>
      <c r="F744" s="12"/>
      <c r="G744" s="18"/>
      <c r="H744" s="35"/>
      <c r="I744" s="12"/>
      <c r="M744" s="12"/>
      <c r="N744" s="18"/>
      <c r="O744" s="12"/>
      <c r="P744" s="12"/>
      <c r="Q744" s="12"/>
      <c r="R744" s="36"/>
      <c r="S744" s="36"/>
      <c r="T744" s="12"/>
      <c r="U744" s="12"/>
      <c r="V744" s="12"/>
      <c r="W744" s="12"/>
      <c r="X744" s="12"/>
    </row>
    <row r="745" customFormat="false" ht="15.75" hidden="false" customHeight="false" outlineLevel="0" collapsed="false">
      <c r="A745" s="12"/>
      <c r="B745" s="34"/>
      <c r="C745" s="12"/>
      <c r="D745" s="12"/>
      <c r="E745" s="12"/>
      <c r="F745" s="12"/>
      <c r="G745" s="18"/>
      <c r="H745" s="35"/>
      <c r="I745" s="12"/>
      <c r="M745" s="12"/>
      <c r="N745" s="18"/>
      <c r="O745" s="12"/>
      <c r="P745" s="12"/>
      <c r="Q745" s="12"/>
      <c r="R745" s="36"/>
      <c r="S745" s="36"/>
      <c r="T745" s="12"/>
      <c r="U745" s="12"/>
      <c r="V745" s="12"/>
      <c r="W745" s="12"/>
      <c r="X745" s="12"/>
    </row>
    <row r="746" customFormat="false" ht="15.75" hidden="false" customHeight="false" outlineLevel="0" collapsed="false">
      <c r="A746" s="12"/>
      <c r="B746" s="34"/>
      <c r="C746" s="12"/>
      <c r="D746" s="12"/>
      <c r="E746" s="12"/>
      <c r="F746" s="12"/>
      <c r="G746" s="18"/>
      <c r="H746" s="35"/>
      <c r="I746" s="12"/>
      <c r="M746" s="12"/>
      <c r="N746" s="18"/>
      <c r="O746" s="12"/>
      <c r="P746" s="12"/>
      <c r="Q746" s="12"/>
      <c r="R746" s="36"/>
      <c r="S746" s="36"/>
      <c r="T746" s="12"/>
      <c r="U746" s="12"/>
      <c r="V746" s="12"/>
      <c r="W746" s="12"/>
      <c r="X746" s="12"/>
    </row>
    <row r="747" customFormat="false" ht="15.75" hidden="false" customHeight="false" outlineLevel="0" collapsed="false">
      <c r="A747" s="12"/>
      <c r="B747" s="34"/>
      <c r="C747" s="12"/>
      <c r="D747" s="12"/>
      <c r="E747" s="12"/>
      <c r="F747" s="12"/>
      <c r="G747" s="18"/>
      <c r="H747" s="35"/>
      <c r="I747" s="12"/>
      <c r="M747" s="12"/>
      <c r="N747" s="18"/>
      <c r="O747" s="12"/>
      <c r="P747" s="12"/>
      <c r="Q747" s="12"/>
      <c r="R747" s="36"/>
      <c r="S747" s="36"/>
      <c r="T747" s="12"/>
      <c r="U747" s="12"/>
      <c r="V747" s="12"/>
      <c r="W747" s="12"/>
      <c r="X747" s="12"/>
    </row>
    <row r="748" customFormat="false" ht="15.75" hidden="false" customHeight="false" outlineLevel="0" collapsed="false">
      <c r="A748" s="12"/>
      <c r="B748" s="34"/>
      <c r="C748" s="12"/>
      <c r="D748" s="12"/>
      <c r="E748" s="12"/>
      <c r="F748" s="12"/>
      <c r="G748" s="18"/>
      <c r="H748" s="35"/>
      <c r="I748" s="12"/>
      <c r="M748" s="12"/>
      <c r="N748" s="18"/>
      <c r="O748" s="12"/>
      <c r="P748" s="12"/>
      <c r="Q748" s="12"/>
      <c r="R748" s="36"/>
      <c r="S748" s="36"/>
      <c r="T748" s="12"/>
      <c r="U748" s="12"/>
      <c r="V748" s="12"/>
      <c r="W748" s="12"/>
      <c r="X748" s="12"/>
    </row>
    <row r="749" customFormat="false" ht="15.75" hidden="false" customHeight="false" outlineLevel="0" collapsed="false">
      <c r="A749" s="12"/>
      <c r="B749" s="34"/>
      <c r="C749" s="12"/>
      <c r="D749" s="12"/>
      <c r="E749" s="12"/>
      <c r="F749" s="12"/>
      <c r="G749" s="18"/>
      <c r="H749" s="35"/>
      <c r="I749" s="12"/>
      <c r="M749" s="12"/>
      <c r="N749" s="18"/>
      <c r="O749" s="12"/>
      <c r="P749" s="12"/>
      <c r="Q749" s="12"/>
      <c r="R749" s="36"/>
      <c r="S749" s="36"/>
      <c r="T749" s="12"/>
      <c r="U749" s="12"/>
      <c r="V749" s="12"/>
      <c r="W749" s="12"/>
      <c r="X749" s="12"/>
    </row>
    <row r="750" customFormat="false" ht="15.75" hidden="false" customHeight="false" outlineLevel="0" collapsed="false">
      <c r="A750" s="12"/>
      <c r="B750" s="34"/>
      <c r="C750" s="12"/>
      <c r="D750" s="12"/>
      <c r="E750" s="12"/>
      <c r="F750" s="12"/>
      <c r="G750" s="18"/>
      <c r="H750" s="35"/>
      <c r="I750" s="12"/>
      <c r="M750" s="12"/>
      <c r="N750" s="18"/>
      <c r="O750" s="12"/>
      <c r="P750" s="12"/>
      <c r="Q750" s="12"/>
      <c r="R750" s="36"/>
      <c r="S750" s="36"/>
      <c r="T750" s="12"/>
      <c r="U750" s="12"/>
      <c r="V750" s="12"/>
      <c r="W750" s="12"/>
      <c r="X750" s="12"/>
    </row>
    <row r="751" customFormat="false" ht="15.75" hidden="false" customHeight="false" outlineLevel="0" collapsed="false">
      <c r="A751" s="12"/>
      <c r="B751" s="34"/>
      <c r="C751" s="12"/>
      <c r="D751" s="12"/>
      <c r="E751" s="12"/>
      <c r="F751" s="12"/>
      <c r="G751" s="18"/>
      <c r="H751" s="35"/>
      <c r="I751" s="12"/>
      <c r="M751" s="12"/>
      <c r="N751" s="18"/>
      <c r="O751" s="12"/>
      <c r="P751" s="12"/>
      <c r="Q751" s="12"/>
      <c r="R751" s="36"/>
      <c r="S751" s="36"/>
      <c r="T751" s="12"/>
      <c r="U751" s="12"/>
      <c r="V751" s="12"/>
      <c r="W751" s="12"/>
      <c r="X751" s="12"/>
    </row>
    <row r="752" customFormat="false" ht="15.75" hidden="false" customHeight="false" outlineLevel="0" collapsed="false">
      <c r="A752" s="12"/>
      <c r="B752" s="34"/>
      <c r="C752" s="12"/>
      <c r="D752" s="12"/>
      <c r="E752" s="12"/>
      <c r="F752" s="12"/>
      <c r="G752" s="18"/>
      <c r="H752" s="35"/>
      <c r="I752" s="12"/>
      <c r="M752" s="12"/>
      <c r="N752" s="18"/>
      <c r="O752" s="12"/>
      <c r="P752" s="12"/>
      <c r="Q752" s="12"/>
      <c r="R752" s="36"/>
      <c r="S752" s="36"/>
      <c r="T752" s="12"/>
      <c r="U752" s="12"/>
      <c r="V752" s="12"/>
      <c r="W752" s="12"/>
      <c r="X752" s="12"/>
    </row>
    <row r="753" customFormat="false" ht="15.75" hidden="false" customHeight="false" outlineLevel="0" collapsed="false">
      <c r="A753" s="12"/>
      <c r="B753" s="34"/>
      <c r="C753" s="12"/>
      <c r="D753" s="12"/>
      <c r="E753" s="12"/>
      <c r="F753" s="12"/>
      <c r="G753" s="18"/>
      <c r="H753" s="35"/>
      <c r="I753" s="12"/>
      <c r="M753" s="12"/>
      <c r="N753" s="18"/>
      <c r="O753" s="12"/>
      <c r="P753" s="12"/>
      <c r="Q753" s="12"/>
      <c r="R753" s="36"/>
      <c r="S753" s="36"/>
      <c r="T753" s="12"/>
      <c r="U753" s="12"/>
      <c r="V753" s="12"/>
      <c r="W753" s="12"/>
      <c r="X753" s="12"/>
    </row>
    <row r="754" customFormat="false" ht="15.75" hidden="false" customHeight="false" outlineLevel="0" collapsed="false">
      <c r="A754" s="12"/>
      <c r="B754" s="34"/>
      <c r="C754" s="12"/>
      <c r="D754" s="12"/>
      <c r="E754" s="12"/>
      <c r="F754" s="12"/>
      <c r="G754" s="18"/>
      <c r="H754" s="35"/>
      <c r="I754" s="12"/>
      <c r="M754" s="12"/>
      <c r="N754" s="18"/>
      <c r="O754" s="12"/>
      <c r="P754" s="12"/>
      <c r="Q754" s="12"/>
      <c r="R754" s="36"/>
      <c r="S754" s="36"/>
      <c r="T754" s="12"/>
      <c r="U754" s="12"/>
      <c r="V754" s="12"/>
      <c r="W754" s="12"/>
      <c r="X754" s="12"/>
    </row>
    <row r="755" customFormat="false" ht="15.75" hidden="false" customHeight="false" outlineLevel="0" collapsed="false">
      <c r="A755" s="12"/>
      <c r="B755" s="34"/>
      <c r="C755" s="12"/>
      <c r="D755" s="12"/>
      <c r="E755" s="12"/>
      <c r="F755" s="12"/>
      <c r="G755" s="18"/>
      <c r="H755" s="35"/>
      <c r="I755" s="12"/>
      <c r="M755" s="12"/>
      <c r="N755" s="18"/>
      <c r="O755" s="12"/>
      <c r="P755" s="12"/>
      <c r="Q755" s="12"/>
      <c r="R755" s="36"/>
      <c r="S755" s="36"/>
      <c r="T755" s="12"/>
      <c r="U755" s="12"/>
      <c r="V755" s="12"/>
      <c r="W755" s="12"/>
      <c r="X755" s="12"/>
    </row>
    <row r="756" customFormat="false" ht="15.75" hidden="false" customHeight="false" outlineLevel="0" collapsed="false">
      <c r="A756" s="12"/>
      <c r="B756" s="34"/>
      <c r="C756" s="12"/>
      <c r="D756" s="12"/>
      <c r="E756" s="12"/>
      <c r="F756" s="12"/>
      <c r="G756" s="18"/>
      <c r="H756" s="35"/>
      <c r="I756" s="12"/>
      <c r="M756" s="12"/>
      <c r="N756" s="18"/>
      <c r="O756" s="12"/>
      <c r="P756" s="12"/>
      <c r="Q756" s="12"/>
      <c r="R756" s="36"/>
      <c r="S756" s="36"/>
      <c r="T756" s="12"/>
      <c r="U756" s="12"/>
      <c r="V756" s="12"/>
      <c r="W756" s="12"/>
      <c r="X756" s="12"/>
    </row>
    <row r="757" customFormat="false" ht="15.75" hidden="false" customHeight="false" outlineLevel="0" collapsed="false">
      <c r="A757" s="12"/>
      <c r="B757" s="34"/>
      <c r="C757" s="12"/>
      <c r="D757" s="12"/>
      <c r="E757" s="12"/>
      <c r="F757" s="12"/>
      <c r="G757" s="18"/>
      <c r="H757" s="35"/>
      <c r="I757" s="12"/>
      <c r="M757" s="12"/>
      <c r="N757" s="18"/>
      <c r="O757" s="12"/>
      <c r="P757" s="12"/>
      <c r="Q757" s="12"/>
      <c r="R757" s="36"/>
      <c r="S757" s="36"/>
      <c r="T757" s="12"/>
      <c r="U757" s="12"/>
      <c r="V757" s="12"/>
      <c r="W757" s="12"/>
      <c r="X757" s="12"/>
    </row>
    <row r="758" customFormat="false" ht="15.75" hidden="false" customHeight="false" outlineLevel="0" collapsed="false">
      <c r="A758" s="12"/>
      <c r="B758" s="34"/>
      <c r="C758" s="12"/>
      <c r="D758" s="12"/>
      <c r="E758" s="12"/>
      <c r="F758" s="12"/>
      <c r="G758" s="18"/>
      <c r="H758" s="35"/>
      <c r="I758" s="12"/>
      <c r="M758" s="12"/>
      <c r="N758" s="18"/>
      <c r="O758" s="12"/>
      <c r="P758" s="12"/>
      <c r="Q758" s="12"/>
      <c r="R758" s="36"/>
      <c r="S758" s="36"/>
      <c r="T758" s="12"/>
      <c r="U758" s="12"/>
      <c r="V758" s="12"/>
      <c r="W758" s="12"/>
      <c r="X758" s="12"/>
    </row>
    <row r="759" customFormat="false" ht="15.75" hidden="false" customHeight="false" outlineLevel="0" collapsed="false">
      <c r="A759" s="12"/>
      <c r="B759" s="34"/>
      <c r="C759" s="12"/>
      <c r="D759" s="12"/>
      <c r="E759" s="12"/>
      <c r="F759" s="12"/>
      <c r="G759" s="18"/>
      <c r="H759" s="35"/>
      <c r="I759" s="12"/>
      <c r="M759" s="12"/>
      <c r="N759" s="18"/>
      <c r="O759" s="12"/>
      <c r="P759" s="12"/>
      <c r="Q759" s="12"/>
      <c r="R759" s="36"/>
      <c r="S759" s="36"/>
      <c r="T759" s="12"/>
      <c r="U759" s="12"/>
      <c r="V759" s="12"/>
      <c r="W759" s="12"/>
      <c r="X759" s="12"/>
    </row>
    <row r="760" customFormat="false" ht="15.75" hidden="false" customHeight="false" outlineLevel="0" collapsed="false">
      <c r="A760" s="12"/>
      <c r="B760" s="34"/>
      <c r="C760" s="12"/>
      <c r="D760" s="12"/>
      <c r="E760" s="12"/>
      <c r="F760" s="12"/>
      <c r="G760" s="18"/>
      <c r="H760" s="35"/>
      <c r="I760" s="12"/>
      <c r="M760" s="12"/>
      <c r="N760" s="18"/>
      <c r="O760" s="12"/>
      <c r="P760" s="12"/>
      <c r="Q760" s="12"/>
      <c r="R760" s="36"/>
      <c r="S760" s="36"/>
      <c r="T760" s="12"/>
      <c r="U760" s="12"/>
      <c r="V760" s="12"/>
      <c r="W760" s="12"/>
      <c r="X760" s="12"/>
    </row>
    <row r="761" customFormat="false" ht="15.75" hidden="false" customHeight="false" outlineLevel="0" collapsed="false">
      <c r="A761" s="12"/>
      <c r="B761" s="34"/>
      <c r="C761" s="12"/>
      <c r="D761" s="12"/>
      <c r="E761" s="12"/>
      <c r="F761" s="12"/>
      <c r="G761" s="18"/>
      <c r="H761" s="35"/>
      <c r="I761" s="12"/>
      <c r="M761" s="12"/>
      <c r="N761" s="18"/>
      <c r="O761" s="12"/>
      <c r="P761" s="12"/>
      <c r="Q761" s="12"/>
      <c r="R761" s="36"/>
      <c r="S761" s="36"/>
      <c r="T761" s="12"/>
      <c r="U761" s="12"/>
      <c r="V761" s="12"/>
      <c r="W761" s="12"/>
      <c r="X761" s="12"/>
    </row>
    <row r="762" customFormat="false" ht="15.75" hidden="false" customHeight="false" outlineLevel="0" collapsed="false">
      <c r="A762" s="12"/>
      <c r="B762" s="34"/>
      <c r="C762" s="12"/>
      <c r="D762" s="12"/>
      <c r="E762" s="12"/>
      <c r="F762" s="12"/>
      <c r="G762" s="18"/>
      <c r="H762" s="35"/>
      <c r="I762" s="12"/>
      <c r="M762" s="12"/>
      <c r="N762" s="18"/>
      <c r="O762" s="12"/>
      <c r="P762" s="12"/>
      <c r="Q762" s="12"/>
      <c r="R762" s="36"/>
      <c r="S762" s="36"/>
      <c r="T762" s="12"/>
      <c r="U762" s="12"/>
      <c r="V762" s="12"/>
      <c r="W762" s="12"/>
      <c r="X762" s="12"/>
    </row>
    <row r="763" customFormat="false" ht="15.75" hidden="false" customHeight="false" outlineLevel="0" collapsed="false">
      <c r="A763" s="12"/>
      <c r="B763" s="34"/>
      <c r="C763" s="12"/>
      <c r="D763" s="12"/>
      <c r="E763" s="12"/>
      <c r="F763" s="12"/>
      <c r="G763" s="18"/>
      <c r="H763" s="35"/>
      <c r="I763" s="12"/>
      <c r="M763" s="12"/>
      <c r="N763" s="18"/>
      <c r="O763" s="12"/>
      <c r="P763" s="12"/>
      <c r="Q763" s="12"/>
      <c r="R763" s="36"/>
      <c r="S763" s="36"/>
      <c r="T763" s="12"/>
      <c r="U763" s="12"/>
      <c r="V763" s="12"/>
      <c r="W763" s="12"/>
      <c r="X763" s="12"/>
    </row>
    <row r="764" customFormat="false" ht="15.75" hidden="false" customHeight="false" outlineLevel="0" collapsed="false">
      <c r="A764" s="12"/>
      <c r="B764" s="34"/>
      <c r="C764" s="12"/>
      <c r="D764" s="12"/>
      <c r="E764" s="12"/>
      <c r="F764" s="12"/>
      <c r="G764" s="18"/>
      <c r="H764" s="35"/>
      <c r="I764" s="12"/>
      <c r="M764" s="12"/>
      <c r="N764" s="18"/>
      <c r="O764" s="12"/>
      <c r="P764" s="12"/>
      <c r="Q764" s="12"/>
      <c r="R764" s="36"/>
      <c r="S764" s="36"/>
      <c r="T764" s="12"/>
      <c r="U764" s="12"/>
      <c r="V764" s="12"/>
      <c r="W764" s="12"/>
      <c r="X764" s="12"/>
    </row>
    <row r="765" customFormat="false" ht="15.75" hidden="false" customHeight="false" outlineLevel="0" collapsed="false">
      <c r="A765" s="12"/>
      <c r="B765" s="34"/>
      <c r="C765" s="12"/>
      <c r="D765" s="12"/>
      <c r="E765" s="12"/>
      <c r="F765" s="12"/>
      <c r="G765" s="18"/>
      <c r="H765" s="35"/>
      <c r="I765" s="12"/>
      <c r="M765" s="12"/>
      <c r="N765" s="18"/>
      <c r="O765" s="12"/>
      <c r="P765" s="12"/>
      <c r="Q765" s="12"/>
      <c r="R765" s="36"/>
      <c r="S765" s="36"/>
      <c r="T765" s="12"/>
      <c r="U765" s="12"/>
      <c r="V765" s="12"/>
      <c r="W765" s="12"/>
      <c r="X765" s="12"/>
    </row>
    <row r="766" customFormat="false" ht="15.75" hidden="false" customHeight="false" outlineLevel="0" collapsed="false">
      <c r="A766" s="12"/>
      <c r="B766" s="34"/>
      <c r="C766" s="12"/>
      <c r="D766" s="12"/>
      <c r="E766" s="12"/>
      <c r="F766" s="12"/>
      <c r="G766" s="18"/>
      <c r="H766" s="35"/>
      <c r="I766" s="12"/>
      <c r="M766" s="12"/>
      <c r="N766" s="18"/>
      <c r="O766" s="12"/>
      <c r="P766" s="12"/>
      <c r="Q766" s="12"/>
      <c r="R766" s="36"/>
      <c r="S766" s="36"/>
      <c r="T766" s="12"/>
      <c r="U766" s="12"/>
      <c r="V766" s="12"/>
      <c r="W766" s="12"/>
      <c r="X766" s="12"/>
    </row>
    <row r="767" customFormat="false" ht="15.75" hidden="false" customHeight="false" outlineLevel="0" collapsed="false">
      <c r="A767" s="12"/>
      <c r="B767" s="34"/>
      <c r="C767" s="12"/>
      <c r="D767" s="12"/>
      <c r="E767" s="12"/>
      <c r="F767" s="12"/>
      <c r="G767" s="18"/>
      <c r="H767" s="35"/>
      <c r="I767" s="12"/>
      <c r="M767" s="12"/>
      <c r="N767" s="18"/>
      <c r="O767" s="12"/>
      <c r="P767" s="12"/>
      <c r="Q767" s="12"/>
      <c r="R767" s="36"/>
      <c r="S767" s="36"/>
      <c r="T767" s="12"/>
      <c r="U767" s="12"/>
      <c r="V767" s="12"/>
      <c r="W767" s="12"/>
      <c r="X767" s="12"/>
    </row>
    <row r="768" customFormat="false" ht="15.75" hidden="false" customHeight="false" outlineLevel="0" collapsed="false">
      <c r="A768" s="12"/>
      <c r="B768" s="34"/>
      <c r="C768" s="12"/>
      <c r="D768" s="12"/>
      <c r="E768" s="12"/>
      <c r="F768" s="12"/>
      <c r="G768" s="18"/>
      <c r="H768" s="35"/>
      <c r="I768" s="12"/>
      <c r="M768" s="12"/>
      <c r="N768" s="18"/>
      <c r="O768" s="12"/>
      <c r="P768" s="12"/>
      <c r="Q768" s="12"/>
      <c r="R768" s="36"/>
      <c r="S768" s="36"/>
      <c r="T768" s="12"/>
      <c r="U768" s="12"/>
      <c r="V768" s="12"/>
      <c r="W768" s="12"/>
      <c r="X768" s="12"/>
    </row>
    <row r="769" customFormat="false" ht="15.75" hidden="false" customHeight="false" outlineLevel="0" collapsed="false">
      <c r="A769" s="12"/>
      <c r="B769" s="34"/>
      <c r="C769" s="12"/>
      <c r="D769" s="12"/>
      <c r="E769" s="12"/>
      <c r="F769" s="12"/>
      <c r="G769" s="18"/>
      <c r="H769" s="35"/>
      <c r="I769" s="12"/>
      <c r="M769" s="12"/>
      <c r="N769" s="18"/>
      <c r="O769" s="12"/>
      <c r="P769" s="12"/>
      <c r="Q769" s="12"/>
      <c r="R769" s="36"/>
      <c r="S769" s="36"/>
      <c r="T769" s="12"/>
      <c r="U769" s="12"/>
      <c r="V769" s="12"/>
      <c r="W769" s="12"/>
      <c r="X769" s="12"/>
    </row>
    <row r="770" customFormat="false" ht="15.75" hidden="false" customHeight="false" outlineLevel="0" collapsed="false">
      <c r="A770" s="12"/>
      <c r="B770" s="34"/>
      <c r="C770" s="12"/>
      <c r="D770" s="12"/>
      <c r="E770" s="12"/>
      <c r="F770" s="12"/>
      <c r="G770" s="18"/>
      <c r="H770" s="35"/>
      <c r="I770" s="12"/>
      <c r="M770" s="12"/>
      <c r="N770" s="18"/>
      <c r="O770" s="12"/>
      <c r="P770" s="12"/>
      <c r="Q770" s="12"/>
      <c r="R770" s="36"/>
      <c r="S770" s="36"/>
      <c r="T770" s="12"/>
      <c r="U770" s="12"/>
      <c r="V770" s="12"/>
      <c r="W770" s="12"/>
      <c r="X770" s="12"/>
    </row>
    <row r="771" customFormat="false" ht="15.75" hidden="false" customHeight="false" outlineLevel="0" collapsed="false">
      <c r="A771" s="12"/>
      <c r="B771" s="34"/>
      <c r="C771" s="12"/>
      <c r="D771" s="12"/>
      <c r="E771" s="12"/>
      <c r="F771" s="12"/>
      <c r="G771" s="18"/>
      <c r="H771" s="35"/>
      <c r="I771" s="12"/>
      <c r="M771" s="12"/>
      <c r="N771" s="18"/>
      <c r="O771" s="12"/>
      <c r="P771" s="12"/>
      <c r="Q771" s="12"/>
      <c r="R771" s="36"/>
      <c r="S771" s="36"/>
      <c r="T771" s="12"/>
      <c r="U771" s="12"/>
      <c r="V771" s="12"/>
      <c r="W771" s="12"/>
      <c r="X771" s="12"/>
    </row>
    <row r="772" customFormat="false" ht="15.75" hidden="false" customHeight="false" outlineLevel="0" collapsed="false">
      <c r="A772" s="12"/>
      <c r="B772" s="34"/>
      <c r="C772" s="12"/>
      <c r="D772" s="12"/>
      <c r="E772" s="12"/>
      <c r="F772" s="12"/>
      <c r="G772" s="18"/>
      <c r="H772" s="35"/>
      <c r="I772" s="12"/>
      <c r="M772" s="12"/>
      <c r="N772" s="18"/>
      <c r="O772" s="12"/>
      <c r="P772" s="12"/>
      <c r="Q772" s="12"/>
      <c r="R772" s="36"/>
      <c r="S772" s="36"/>
      <c r="T772" s="12"/>
      <c r="U772" s="12"/>
      <c r="V772" s="12"/>
      <c r="W772" s="12"/>
      <c r="X772" s="12"/>
    </row>
    <row r="773" customFormat="false" ht="15.75" hidden="false" customHeight="false" outlineLevel="0" collapsed="false">
      <c r="A773" s="12"/>
      <c r="B773" s="34"/>
      <c r="C773" s="12"/>
      <c r="D773" s="12"/>
      <c r="E773" s="12"/>
      <c r="F773" s="12"/>
      <c r="G773" s="18"/>
      <c r="H773" s="35"/>
      <c r="I773" s="12"/>
      <c r="M773" s="12"/>
      <c r="N773" s="18"/>
      <c r="O773" s="12"/>
      <c r="P773" s="12"/>
      <c r="Q773" s="12"/>
      <c r="R773" s="36"/>
      <c r="S773" s="36"/>
      <c r="T773" s="12"/>
      <c r="U773" s="12"/>
      <c r="V773" s="12"/>
      <c r="W773" s="12"/>
      <c r="X773" s="12"/>
    </row>
    <row r="774" customFormat="false" ht="15.75" hidden="false" customHeight="false" outlineLevel="0" collapsed="false">
      <c r="A774" s="12"/>
      <c r="B774" s="34"/>
      <c r="C774" s="12"/>
      <c r="D774" s="12"/>
      <c r="E774" s="12"/>
      <c r="F774" s="12"/>
      <c r="G774" s="18"/>
      <c r="H774" s="35"/>
      <c r="I774" s="12"/>
      <c r="M774" s="12"/>
      <c r="N774" s="18"/>
      <c r="O774" s="12"/>
      <c r="P774" s="12"/>
      <c r="Q774" s="12"/>
      <c r="R774" s="36"/>
      <c r="S774" s="36"/>
      <c r="T774" s="12"/>
      <c r="U774" s="12"/>
      <c r="V774" s="12"/>
      <c r="W774" s="12"/>
      <c r="X774" s="12"/>
    </row>
    <row r="775" customFormat="false" ht="15.75" hidden="false" customHeight="false" outlineLevel="0" collapsed="false">
      <c r="A775" s="12"/>
      <c r="B775" s="34"/>
      <c r="C775" s="12"/>
      <c r="D775" s="12"/>
      <c r="E775" s="12"/>
      <c r="F775" s="12"/>
      <c r="G775" s="18"/>
      <c r="H775" s="35"/>
      <c r="I775" s="12"/>
      <c r="M775" s="12"/>
      <c r="N775" s="18"/>
      <c r="O775" s="12"/>
      <c r="P775" s="12"/>
      <c r="Q775" s="12"/>
      <c r="R775" s="36"/>
      <c r="S775" s="36"/>
      <c r="T775" s="12"/>
      <c r="U775" s="12"/>
      <c r="V775" s="12"/>
      <c r="W775" s="12"/>
      <c r="X775" s="12"/>
    </row>
    <row r="776" customFormat="false" ht="15.75" hidden="false" customHeight="false" outlineLevel="0" collapsed="false">
      <c r="A776" s="12"/>
      <c r="B776" s="34"/>
      <c r="C776" s="12"/>
      <c r="D776" s="12"/>
      <c r="E776" s="12"/>
      <c r="F776" s="12"/>
      <c r="G776" s="18"/>
      <c r="H776" s="35"/>
      <c r="I776" s="12"/>
      <c r="M776" s="12"/>
      <c r="N776" s="18"/>
      <c r="O776" s="12"/>
      <c r="P776" s="12"/>
      <c r="Q776" s="12"/>
      <c r="R776" s="36"/>
      <c r="S776" s="36"/>
      <c r="T776" s="12"/>
      <c r="U776" s="12"/>
      <c r="V776" s="12"/>
      <c r="W776" s="12"/>
      <c r="X776" s="12"/>
    </row>
    <row r="1048575" customFormat="false" ht="12.8" hidden="false" customHeight="true" outlineLevel="0" collapsed="false"/>
    <row r="1048576" customFormat="false" ht="12.8" hidden="false" customHeight="true" outlineLevel="0" collapsed="false"/>
  </sheetData>
  <conditionalFormatting sqref="R2:S776 W3">
    <cfRule type="expression" priority="2" aboveAverage="0" equalAverage="0" bottom="0" percent="0" rank="0" text="" dxfId="0">
      <formula>LEN(TRIM(R2))&gt;0</formula>
    </cfRule>
  </conditionalFormatting>
  <conditionalFormatting sqref="Q2:Q776">
    <cfRule type="expression" priority="3" aboveAverage="0" equalAverage="0" bottom="0" percent="0" rank="0" text="" dxfId="0">
      <formula>LEN(TRIM(Q2))&gt;0</formula>
    </cfRule>
  </conditionalFormatting>
  <conditionalFormatting sqref="G2:G776 N2:N776">
    <cfRule type="containsText" priority="4" operator="containsText" aboveAverage="0" equalAverage="0" bottom="0" percent="0" rank="0" text="x" dxfId="0">
      <formula>NOT(ISERROR(SEARCH("x",G2)))</formula>
    </cfRule>
  </conditionalFormatting>
  <conditionalFormatting sqref="T2:T776">
    <cfRule type="expression" priority="5" aboveAverage="0" equalAverage="0" bottom="0" percent="0" rank="0" text="" dxfId="0">
      <formula>LEN(TRIM(T2))&gt;0</formula>
    </cfRule>
  </conditionalFormatting>
  <conditionalFormatting sqref="W2:W776">
    <cfRule type="expression" priority="6" aboveAverage="0" equalAverage="0" bottom="0" percent="0" rank="0" text="" dxfId="0">
      <formula>LEN(TRIM(W2))&gt;0</formula>
    </cfRule>
  </conditionalFormatting>
  <conditionalFormatting sqref="X2:X776 G3:I3 O3:P3 U3:V3">
    <cfRule type="cellIs" priority="7" operator="equal" aboveAverage="0" equalAverage="0" bottom="0" percent="0" rank="0" text="" dxfId="0">
      <formula>"Completo"</formula>
    </cfRule>
  </conditionalFormatting>
  <conditionalFormatting sqref="X2:X776">
    <cfRule type="cellIs" priority="8" operator="equal" aboveAverage="0" equalAverage="0" bottom="0" percent="0" rank="0" text="" dxfId="1">
      <formula>"No aplica"</formula>
    </cfRule>
  </conditionalFormatting>
  <conditionalFormatting sqref="G2:I776 O2:P776 U2:V776 X2:X776">
    <cfRule type="cellIs" priority="9" operator="equal" aboveAverage="0" equalAverage="0" bottom="0" percent="0" rank="0" text="" dxfId="0">
      <formula>"Completo"</formula>
    </cfRule>
    <cfRule type="cellIs" priority="10" operator="equal" aboveAverage="0" equalAverage="0" bottom="0" percent="0" rank="0" text="" dxfId="1">
      <formula>"No Aplica"</formula>
    </cfRule>
  </conditionalFormatting>
  <dataValidations count="6">
    <dataValidation allowBlank="true" errorStyle="stop" operator="between" showDropDown="false" showErrorMessage="false" showInputMessage="false" sqref="T130:T776" type="list">
      <formula1>LEYENDA!$A$23:$A$24</formula1>
      <formula2>0</formula2>
    </dataValidation>
    <dataValidation allowBlank="true" errorStyle="stop" operator="between" showDropDown="false" showErrorMessage="true" showInputMessage="false" sqref="D2:D776" type="list">
      <formula1>LEYENDA!$B$2:$D$2</formula1>
      <formula2>0</formula2>
    </dataValidation>
    <dataValidation allowBlank="true" errorStyle="stop" operator="between" showDropDown="false" showErrorMessage="false" showInputMessage="false" sqref="R2:R776" type="list">
      <formula1>LEYENDA!$A$15:$A$19</formula1>
      <formula2>0</formula2>
    </dataValidation>
    <dataValidation allowBlank="true" errorStyle="stop" operator="between" showDropDown="false" showErrorMessage="true" showInputMessage="false" sqref="H2:I776 O2:P776 U2:V776 X2:X776" type="list">
      <formula1>LEYENDA!$B$1:$C$1</formula1>
      <formula2>0</formula2>
    </dataValidation>
    <dataValidation allowBlank="true" errorStyle="stop" operator="between" showDropDown="false" showErrorMessage="false" showInputMessage="false" sqref="E2:E776" type="list">
      <formula1>LEYENDA!$A$8:$A$12</formula1>
      <formula2>0</formula2>
    </dataValidation>
    <dataValidation allowBlank="true" errorStyle="stop" operator="between" showDropDown="false" showErrorMessage="false" showInputMessage="false" sqref="T2:T129" type="list">
      <formula1>LEYENDA!$A$23:$A$25</formula1>
      <formula2>0</formula2>
    </dataValidation>
  </dataValidations>
  <hyperlinks>
    <hyperlink ref="U14" r:id="rId1" display="Completo"/>
    <hyperlink ref="V14" r:id="rId2" display="Completo"/>
    <hyperlink ref="U23" r:id="rId3" display="Completo"/>
    <hyperlink ref="U26" r:id="rId4" display="Completo"/>
    <hyperlink ref="U27" r:id="rId5" display="Completo"/>
    <hyperlink ref="V27" r:id="rId6" display="Completo"/>
    <hyperlink ref="U28" r:id="rId7" display="Completo"/>
    <hyperlink ref="V28" r:id="rId8" display="Completo"/>
    <hyperlink ref="U29" r:id="rId9" display="Completo"/>
    <hyperlink ref="V29" r:id="rId10" display="Completo"/>
    <hyperlink ref="U31" r:id="rId11" display="Completo"/>
    <hyperlink ref="V31" r:id="rId12" display="Completo"/>
    <hyperlink ref="U32" r:id="rId13" display="Completo"/>
    <hyperlink ref="V32" r:id="rId14" display="Completo"/>
    <hyperlink ref="U33" r:id="rId15" display="Completo"/>
    <hyperlink ref="V33" r:id="rId16" display="Completo"/>
    <hyperlink ref="U34" r:id="rId17" display="Completo"/>
    <hyperlink ref="U35" r:id="rId18" display="Completo"/>
    <hyperlink ref="V35" r:id="rId19" display="Completo"/>
    <hyperlink ref="U59" r:id="rId20" display="Completo"/>
    <hyperlink ref="V59" r:id="rId21" display="Completo"/>
    <hyperlink ref="U60" r:id="rId22" display="Completo"/>
    <hyperlink ref="V60" r:id="rId23" display="Completo"/>
  </hyperlinks>
  <printOptions headings="false" gridLines="true" gridLinesSet="true" horizontalCentered="true" verticalCentered="false"/>
  <pageMargins left="0.7" right="0.7" top="0.75" bottom="0.75" header="0.511811023622047" footer="0.511811023622047"/>
  <pageSetup paperSize="9" scale="100" fitToWidth="1" fitToHeight="0" pageOrder="overThenDown" orientation="landscape" blackAndWhite="false" draft="false" cellComments="none" horizontalDpi="300" verticalDpi="300" copies="1"/>
  <headerFooter differentFirst="false" differentOddEven="false">
    <oddHeader/>
    <oddFooter/>
  </headerFooter>
  <drawing r:id="rId24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AF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6" ySplit="3" topLeftCell="G4" activePane="bottomRight" state="frozen"/>
      <selection pane="topLeft" activeCell="A1" activeCellId="0" sqref="A1"/>
      <selection pane="topRight" activeCell="G1" activeCellId="0" sqref="G1"/>
      <selection pane="bottomLeft" activeCell="A4" activeCellId="0" sqref="A4"/>
      <selection pane="bottomRight" activeCell="G1" activeCellId="0" sqref="G1"/>
    </sheetView>
  </sheetViews>
  <sheetFormatPr defaultColWidth="12.6328125" defaultRowHeight="15.75" zeroHeight="false" outlineLevelRow="0" outlineLevelCol="0"/>
  <cols>
    <col collapsed="false" customWidth="true" hidden="false" outlineLevel="0" max="1" min="1" style="1" width="10.25"/>
    <col collapsed="false" customWidth="true" hidden="false" outlineLevel="0" max="2" min="2" style="1" width="10.38"/>
    <col collapsed="false" customWidth="true" hidden="false" outlineLevel="0" max="3" min="3" style="1" width="29.63"/>
    <col collapsed="false" customWidth="true" hidden="false" outlineLevel="0" max="4" min="4" style="1" width="11.25"/>
    <col collapsed="false" customWidth="true" hidden="false" outlineLevel="0" max="5" min="5" style="1" width="17.13"/>
    <col collapsed="false" customWidth="true" hidden="false" outlineLevel="0" max="6" min="6" style="1" width="33.75"/>
    <col collapsed="false" customWidth="true" hidden="false" outlineLevel="0" max="7" min="7" style="1" width="15.88"/>
    <col collapsed="false" customWidth="true" hidden="false" outlineLevel="0" max="8" min="8" style="1" width="10.88"/>
    <col collapsed="false" customWidth="true" hidden="false" outlineLevel="0" max="9" min="9" style="1" width="12.88"/>
    <col collapsed="false" customWidth="true" hidden="false" outlineLevel="0" max="10" min="10" style="1" width="12"/>
    <col collapsed="false" customWidth="true" hidden="false" outlineLevel="0" max="11" min="11" style="1" width="10"/>
    <col collapsed="false" customWidth="true" hidden="false" outlineLevel="0" max="12" min="12" style="1" width="12.25"/>
    <col collapsed="false" customWidth="true" hidden="false" outlineLevel="0" max="13" min="13" style="1" width="26.12"/>
    <col collapsed="false" customWidth="true" hidden="false" outlineLevel="0" max="14" min="14" style="1" width="18"/>
    <col collapsed="false" customWidth="true" hidden="false" outlineLevel="0" max="16" min="15" style="1" width="10.63"/>
    <col collapsed="false" customWidth="true" hidden="false" outlineLevel="0" max="17" min="17" style="1" width="8.5"/>
    <col collapsed="false" customWidth="true" hidden="false" outlineLevel="0" max="19" min="19" style="1" width="25.38"/>
    <col collapsed="false" customWidth="true" hidden="false" outlineLevel="0" max="20" min="20" style="1" width="17.88"/>
    <col collapsed="false" customWidth="true" hidden="false" outlineLevel="0" max="21" min="21" style="1" width="10.13"/>
    <col collapsed="false" customWidth="true" hidden="false" outlineLevel="0" max="22" min="22" style="1" width="11.12"/>
    <col collapsed="false" customWidth="true" hidden="false" outlineLevel="0" max="23" min="23" style="1" width="24.88"/>
  </cols>
  <sheetData>
    <row r="1" customFormat="false" ht="68" hidden="false" customHeight="false" outlineLevel="0" collapsed="false">
      <c r="A1" s="2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/>
      <c r="J1" s="4" t="s">
        <v>8</v>
      </c>
      <c r="K1" s="2"/>
      <c r="L1" s="2" t="s">
        <v>9</v>
      </c>
      <c r="M1" s="2" t="s">
        <v>10</v>
      </c>
      <c r="N1" s="4" t="s">
        <v>11</v>
      </c>
      <c r="O1" s="3" t="s">
        <v>12</v>
      </c>
      <c r="P1" s="7" t="s">
        <v>13</v>
      </c>
      <c r="Q1" s="7" t="s">
        <v>14</v>
      </c>
      <c r="R1" s="7" t="s">
        <v>15</v>
      </c>
      <c r="S1" s="7" t="s">
        <v>16</v>
      </c>
      <c r="T1" s="7" t="s">
        <v>17</v>
      </c>
      <c r="U1" s="8" t="s">
        <v>18</v>
      </c>
      <c r="V1" s="9" t="s">
        <v>19</v>
      </c>
      <c r="W1" s="9" t="s">
        <v>20</v>
      </c>
      <c r="X1" s="10" t="s">
        <v>15</v>
      </c>
      <c r="Y1" s="11" t="s">
        <v>21</v>
      </c>
      <c r="Z1" s="11" t="s">
        <v>22</v>
      </c>
      <c r="AA1" s="12"/>
      <c r="AB1" s="12"/>
      <c r="AC1" s="12"/>
      <c r="AD1" s="12"/>
      <c r="AE1" s="12"/>
      <c r="AF1" s="12"/>
    </row>
    <row r="2" customFormat="false" ht="15.75" hidden="false" customHeight="false" outlineLevel="0" collapsed="false">
      <c r="A2" s="61" t="n">
        <v>7013</v>
      </c>
      <c r="B2" s="29" t="n">
        <v>44959</v>
      </c>
      <c r="C2" s="21" t="s">
        <v>1484</v>
      </c>
      <c r="D2" s="21" t="s">
        <v>24</v>
      </c>
      <c r="E2" s="21" t="s">
        <v>25</v>
      </c>
      <c r="F2" s="21" t="s">
        <v>2128</v>
      </c>
      <c r="G2" s="30"/>
      <c r="H2" s="45" t="str">
        <f aca="false">HYPERLINK("https://photos.app.goo.gl/uPUpqDzWmK5yYe5N6", "Completo")</f>
        <v>Completo</v>
      </c>
      <c r="I2" s="21" t="s">
        <v>28</v>
      </c>
      <c r="J2" s="21" t="s">
        <v>29</v>
      </c>
      <c r="K2" s="21" t="s">
        <v>29</v>
      </c>
      <c r="L2" s="21" t="s">
        <v>29</v>
      </c>
      <c r="M2" s="21" t="s">
        <v>29</v>
      </c>
      <c r="N2" s="30"/>
      <c r="O2" s="21"/>
      <c r="P2" s="21"/>
      <c r="Q2" s="21"/>
      <c r="R2" s="32"/>
      <c r="S2" s="32"/>
      <c r="T2" s="21"/>
      <c r="U2" s="21"/>
      <c r="V2" s="21"/>
      <c r="W2" s="21"/>
      <c r="X2" s="21"/>
    </row>
    <row r="3" customFormat="false" ht="15.75" hidden="false" customHeight="false" outlineLevel="0" collapsed="false">
      <c r="A3" s="61" t="n">
        <v>7014</v>
      </c>
      <c r="B3" s="29" t="n">
        <v>44959</v>
      </c>
      <c r="C3" s="21" t="s">
        <v>1259</v>
      </c>
      <c r="D3" s="21" t="s">
        <v>24</v>
      </c>
      <c r="E3" s="21" t="s">
        <v>25</v>
      </c>
      <c r="F3" s="21" t="s">
        <v>2129</v>
      </c>
      <c r="G3" s="30" t="s">
        <v>2130</v>
      </c>
      <c r="H3" s="31" t="s">
        <v>28</v>
      </c>
      <c r="I3" s="21" t="s">
        <v>28</v>
      </c>
      <c r="J3" s="21" t="s">
        <v>29</v>
      </c>
      <c r="K3" s="21" t="s">
        <v>29</v>
      </c>
      <c r="L3" s="21" t="n">
        <v>16673</v>
      </c>
      <c r="M3" s="21" t="s">
        <v>950</v>
      </c>
      <c r="N3" s="30"/>
      <c r="O3" s="21"/>
      <c r="P3" s="66"/>
      <c r="Q3" s="21"/>
      <c r="R3" s="32"/>
      <c r="S3" s="32"/>
      <c r="T3" s="21" t="s">
        <v>74</v>
      </c>
      <c r="U3" s="46" t="s">
        <v>28</v>
      </c>
      <c r="V3" s="46" t="s">
        <v>28</v>
      </c>
      <c r="W3" s="21" t="s">
        <v>36</v>
      </c>
      <c r="X3" s="21" t="s">
        <v>28</v>
      </c>
    </row>
    <row r="4" customFormat="false" ht="15.75" hidden="false" customHeight="false" outlineLevel="0" collapsed="false">
      <c r="A4" s="61" t="n">
        <v>7015</v>
      </c>
      <c r="B4" s="29" t="n">
        <v>44959</v>
      </c>
      <c r="C4" s="12" t="s">
        <v>2033</v>
      </c>
      <c r="D4" s="21" t="s">
        <v>24</v>
      </c>
      <c r="E4" s="21" t="s">
        <v>25</v>
      </c>
      <c r="F4" s="21" t="s">
        <v>2131</v>
      </c>
      <c r="G4" s="30" t="s">
        <v>2132</v>
      </c>
      <c r="H4" s="45" t="str">
        <f aca="false">HYPERLINK("https://photos.app.goo.gl/HkuETRc4nUE8emYd9", "Completo")</f>
        <v>Completo</v>
      </c>
      <c r="I4" s="21" t="s">
        <v>28</v>
      </c>
      <c r="J4" s="21" t="s">
        <v>29</v>
      </c>
      <c r="K4" s="21" t="s">
        <v>29</v>
      </c>
      <c r="L4" s="21" t="n">
        <v>579</v>
      </c>
      <c r="M4" s="21" t="s">
        <v>2133</v>
      </c>
      <c r="N4" s="30"/>
      <c r="O4" s="21"/>
      <c r="P4" s="21"/>
      <c r="Q4" s="21"/>
      <c r="R4" s="32"/>
      <c r="S4" s="32"/>
      <c r="T4" s="21" t="s">
        <v>74</v>
      </c>
      <c r="U4" s="46" t="s">
        <v>28</v>
      </c>
      <c r="V4" s="46" t="s">
        <v>28</v>
      </c>
      <c r="W4" s="21" t="s">
        <v>36</v>
      </c>
      <c r="X4" s="21" t="s">
        <v>28</v>
      </c>
    </row>
    <row r="5" customFormat="false" ht="15.75" hidden="false" customHeight="false" outlineLevel="0" collapsed="false">
      <c r="A5" s="61" t="n">
        <v>7016</v>
      </c>
      <c r="B5" s="29" t="n">
        <v>44959</v>
      </c>
      <c r="C5" s="21" t="s">
        <v>2033</v>
      </c>
      <c r="D5" s="21" t="s">
        <v>24</v>
      </c>
      <c r="E5" s="21" t="s">
        <v>25</v>
      </c>
      <c r="F5" s="21" t="s">
        <v>2131</v>
      </c>
      <c r="G5" s="30" t="s">
        <v>2132</v>
      </c>
      <c r="H5" s="45" t="str">
        <f aca="false">HYPERLINK("https://photos.app.goo.gl/qu4yGEx212jgvYpC7", "Completo")</f>
        <v>Completo</v>
      </c>
      <c r="I5" s="21" t="s">
        <v>28</v>
      </c>
      <c r="J5" s="21" t="s">
        <v>29</v>
      </c>
      <c r="K5" s="21" t="s">
        <v>29</v>
      </c>
      <c r="L5" s="21" t="n">
        <v>579</v>
      </c>
      <c r="M5" s="21" t="s">
        <v>2133</v>
      </c>
      <c r="N5" s="30"/>
      <c r="O5" s="21"/>
      <c r="P5" s="21"/>
      <c r="Q5" s="21"/>
      <c r="R5" s="32"/>
      <c r="S5" s="32"/>
      <c r="T5" s="21" t="s">
        <v>74</v>
      </c>
      <c r="U5" s="46" t="s">
        <v>28</v>
      </c>
      <c r="V5" s="46" t="s">
        <v>28</v>
      </c>
      <c r="W5" s="21" t="s">
        <v>36</v>
      </c>
      <c r="X5" s="21" t="s">
        <v>28</v>
      </c>
    </row>
    <row r="6" customFormat="false" ht="15.75" hidden="false" customHeight="false" outlineLevel="0" collapsed="false">
      <c r="A6" s="61" t="n">
        <v>7017</v>
      </c>
      <c r="B6" s="29" t="n">
        <v>44959</v>
      </c>
      <c r="C6" s="21" t="s">
        <v>776</v>
      </c>
      <c r="D6" s="21" t="s">
        <v>24</v>
      </c>
      <c r="E6" s="21" t="s">
        <v>25</v>
      </c>
      <c r="F6" s="21" t="s">
        <v>2134</v>
      </c>
      <c r="G6" s="30" t="s">
        <v>2135</v>
      </c>
      <c r="H6" s="45" t="str">
        <f aca="false">HYPERLINK("https://photos.app.goo.gl/WDLvXZmXiAz7vonX9", "Completo")</f>
        <v>Completo</v>
      </c>
      <c r="I6" s="21" t="s">
        <v>28</v>
      </c>
      <c r="J6" s="21" t="s">
        <v>29</v>
      </c>
      <c r="K6" s="21" t="s">
        <v>29</v>
      </c>
      <c r="L6" s="21" t="n">
        <v>8095</v>
      </c>
      <c r="M6" s="21" t="s">
        <v>2136</v>
      </c>
      <c r="N6" s="30"/>
      <c r="O6" s="21"/>
      <c r="P6" s="66"/>
      <c r="Q6" s="21"/>
      <c r="R6" s="32"/>
      <c r="S6" s="32"/>
      <c r="T6" s="21"/>
      <c r="U6" s="21"/>
      <c r="V6" s="21"/>
      <c r="W6" s="21"/>
      <c r="X6" s="21" t="s">
        <v>28</v>
      </c>
    </row>
    <row r="7" customFormat="false" ht="15.75" hidden="false" customHeight="false" outlineLevel="0" collapsed="false">
      <c r="A7" s="61" t="n">
        <v>7018</v>
      </c>
      <c r="B7" s="29" t="n">
        <v>44959</v>
      </c>
      <c r="C7" s="21" t="s">
        <v>776</v>
      </c>
      <c r="D7" s="21" t="s">
        <v>24</v>
      </c>
      <c r="E7" s="21" t="s">
        <v>25</v>
      </c>
      <c r="F7" s="21" t="s">
        <v>2137</v>
      </c>
      <c r="G7" s="30" t="s">
        <v>2138</v>
      </c>
      <c r="H7" s="45" t="str">
        <f aca="false">HYPERLINK("https://photos.app.goo.gl/8NvDenhqW294D16E9", "Completo")</f>
        <v>Completo</v>
      </c>
      <c r="I7" s="21" t="s">
        <v>28</v>
      </c>
      <c r="J7" s="21" t="s">
        <v>29</v>
      </c>
      <c r="K7" s="21" t="s">
        <v>29</v>
      </c>
      <c r="L7" s="21" t="n">
        <v>8095</v>
      </c>
      <c r="M7" s="21" t="s">
        <v>2139</v>
      </c>
      <c r="N7" s="30"/>
      <c r="O7" s="21"/>
      <c r="P7" s="21"/>
      <c r="Q7" s="21"/>
      <c r="R7" s="32"/>
      <c r="S7" s="32"/>
      <c r="T7" s="21"/>
      <c r="U7" s="21"/>
      <c r="V7" s="21"/>
      <c r="W7" s="21"/>
      <c r="X7" s="21" t="s">
        <v>28</v>
      </c>
    </row>
    <row r="8" customFormat="false" ht="15.75" hidden="false" customHeight="false" outlineLevel="0" collapsed="false">
      <c r="A8" s="61" t="n">
        <v>7019</v>
      </c>
      <c r="B8" s="29" t="n">
        <v>44959</v>
      </c>
      <c r="C8" s="21" t="s">
        <v>389</v>
      </c>
      <c r="D8" s="21" t="s">
        <v>24</v>
      </c>
      <c r="E8" s="21" t="s">
        <v>34</v>
      </c>
      <c r="F8" s="21" t="s">
        <v>2140</v>
      </c>
      <c r="G8" s="30"/>
      <c r="H8" s="31"/>
      <c r="I8" s="21"/>
      <c r="J8" s="21"/>
      <c r="K8" s="21"/>
      <c r="L8" s="21"/>
      <c r="M8" s="21"/>
      <c r="N8" s="30"/>
      <c r="O8" s="21"/>
      <c r="P8" s="21"/>
      <c r="Q8" s="21"/>
      <c r="R8" s="32"/>
      <c r="S8" s="32"/>
      <c r="T8" s="21"/>
      <c r="U8" s="21"/>
      <c r="V8" s="21"/>
      <c r="W8" s="21"/>
      <c r="X8" s="21" t="s">
        <v>28</v>
      </c>
    </row>
    <row r="9" customFormat="false" ht="15.75" hidden="false" customHeight="false" outlineLevel="0" collapsed="false">
      <c r="A9" s="61" t="n">
        <v>7020</v>
      </c>
      <c r="B9" s="29" t="n">
        <v>44959</v>
      </c>
      <c r="C9" s="21" t="s">
        <v>357</v>
      </c>
      <c r="D9" s="21" t="s">
        <v>24</v>
      </c>
      <c r="E9" s="21" t="s">
        <v>25</v>
      </c>
      <c r="F9" s="21" t="s">
        <v>2141</v>
      </c>
      <c r="G9" s="30" t="s">
        <v>2142</v>
      </c>
      <c r="H9" s="45" t="str">
        <f aca="false">HYPERLINK("https://photos.app.goo.gl/rmuawWEUaWCrdATo8", "Completo")</f>
        <v>Completo</v>
      </c>
      <c r="I9" s="21" t="s">
        <v>28</v>
      </c>
      <c r="J9" s="21" t="s">
        <v>29</v>
      </c>
      <c r="K9" s="21" t="s">
        <v>29</v>
      </c>
      <c r="L9" s="21" t="n">
        <v>3097</v>
      </c>
      <c r="M9" s="21" t="s">
        <v>2133</v>
      </c>
      <c r="N9" s="30"/>
      <c r="O9" s="21"/>
      <c r="P9" s="21"/>
      <c r="Q9" s="21"/>
      <c r="R9" s="32"/>
      <c r="S9" s="32"/>
      <c r="T9" s="21" t="s">
        <v>58</v>
      </c>
      <c r="U9" s="46" t="s">
        <v>28</v>
      </c>
      <c r="V9" s="21" t="s">
        <v>28</v>
      </c>
      <c r="W9" s="21" t="s">
        <v>36</v>
      </c>
      <c r="X9" s="21" t="s">
        <v>28</v>
      </c>
    </row>
    <row r="10" customFormat="false" ht="15.75" hidden="false" customHeight="false" outlineLevel="0" collapsed="false">
      <c r="A10" s="61" t="n">
        <v>7021</v>
      </c>
      <c r="B10" s="29" t="n">
        <v>44960</v>
      </c>
      <c r="C10" s="21" t="s">
        <v>2143</v>
      </c>
      <c r="D10" s="21" t="s">
        <v>24</v>
      </c>
      <c r="E10" s="21" t="s">
        <v>34</v>
      </c>
      <c r="F10" s="21" t="s">
        <v>2144</v>
      </c>
      <c r="G10" s="30"/>
      <c r="H10" s="31"/>
      <c r="I10" s="21"/>
      <c r="J10" s="21"/>
      <c r="K10" s="21"/>
      <c r="L10" s="21"/>
      <c r="M10" s="21"/>
      <c r="N10" s="30"/>
      <c r="O10" s="21"/>
      <c r="P10" s="21"/>
      <c r="Q10" s="21"/>
      <c r="R10" s="32"/>
      <c r="S10" s="32"/>
      <c r="T10" s="21"/>
      <c r="U10" s="21"/>
      <c r="V10" s="21"/>
      <c r="W10" s="21"/>
      <c r="X10" s="21" t="s">
        <v>28</v>
      </c>
    </row>
    <row r="11" customFormat="false" ht="15.75" hidden="false" customHeight="false" outlineLevel="0" collapsed="false">
      <c r="A11" s="61" t="n">
        <v>7022</v>
      </c>
      <c r="B11" s="29" t="n">
        <v>44960</v>
      </c>
      <c r="C11" s="21" t="s">
        <v>389</v>
      </c>
      <c r="D11" s="21" t="s">
        <v>24</v>
      </c>
      <c r="E11" s="21" t="s">
        <v>25</v>
      </c>
      <c r="F11" s="21" t="s">
        <v>2145</v>
      </c>
      <c r="G11" s="30"/>
      <c r="H11" s="45" t="str">
        <f aca="false">HYPERLINK("https://photos.app.goo.gl/wvGHAPNGhLigtRyY9", "Completo")</f>
        <v>Completo</v>
      </c>
      <c r="I11" s="21" t="s">
        <v>28</v>
      </c>
      <c r="J11" s="21" t="s">
        <v>29</v>
      </c>
      <c r="K11" s="21" t="s">
        <v>29</v>
      </c>
      <c r="L11" s="21" t="s">
        <v>29</v>
      </c>
      <c r="M11" s="21" t="s">
        <v>2146</v>
      </c>
      <c r="N11" s="30"/>
      <c r="O11" s="21"/>
      <c r="P11" s="21"/>
      <c r="Q11" s="21"/>
      <c r="R11" s="32"/>
      <c r="S11" s="32"/>
      <c r="T11" s="21"/>
      <c r="U11" s="21"/>
      <c r="V11" s="21"/>
      <c r="W11" s="21"/>
      <c r="X11" s="21" t="s">
        <v>28</v>
      </c>
    </row>
    <row r="12" customFormat="false" ht="15.75" hidden="false" customHeight="false" outlineLevel="0" collapsed="false">
      <c r="A12" s="61" t="n">
        <v>7023</v>
      </c>
      <c r="B12" s="29" t="n">
        <v>44960</v>
      </c>
      <c r="C12" s="21" t="s">
        <v>389</v>
      </c>
      <c r="D12" s="21" t="s">
        <v>24</v>
      </c>
      <c r="E12" s="21" t="s">
        <v>25</v>
      </c>
      <c r="F12" s="21" t="s">
        <v>2145</v>
      </c>
      <c r="G12" s="30"/>
      <c r="H12" s="45" t="str">
        <f aca="false">HYPERLINK("https://photos.app.goo.gl/2Ez72UpUgVyuwji98", "Completo")</f>
        <v>Completo</v>
      </c>
      <c r="I12" s="21" t="s">
        <v>28</v>
      </c>
      <c r="J12" s="21" t="s">
        <v>29</v>
      </c>
      <c r="K12" s="21" t="s">
        <v>29</v>
      </c>
      <c r="L12" s="21" t="s">
        <v>29</v>
      </c>
      <c r="M12" s="21" t="s">
        <v>2147</v>
      </c>
      <c r="N12" s="30"/>
      <c r="O12" s="21"/>
      <c r="P12" s="21"/>
      <c r="Q12" s="21"/>
      <c r="R12" s="32"/>
      <c r="S12" s="32"/>
      <c r="T12" s="21"/>
      <c r="U12" s="21"/>
      <c r="V12" s="21"/>
      <c r="W12" s="21"/>
      <c r="X12" s="21" t="s">
        <v>28</v>
      </c>
    </row>
    <row r="13" customFormat="false" ht="15.75" hidden="false" customHeight="false" outlineLevel="0" collapsed="false">
      <c r="A13" s="61" t="n">
        <v>7024</v>
      </c>
      <c r="B13" s="29" t="n">
        <v>44960</v>
      </c>
      <c r="C13" s="21" t="s">
        <v>2033</v>
      </c>
      <c r="D13" s="21" t="s">
        <v>24</v>
      </c>
      <c r="E13" s="21" t="s">
        <v>25</v>
      </c>
      <c r="F13" s="21" t="s">
        <v>2148</v>
      </c>
      <c r="G13" s="30" t="s">
        <v>29</v>
      </c>
      <c r="H13" s="45" t="str">
        <f aca="false">HYPERLINK("https://photos.app.goo.gl/CfyftasyzopbzvqJ6", "Completo")</f>
        <v>Completo</v>
      </c>
      <c r="I13" s="21" t="s">
        <v>28</v>
      </c>
      <c r="J13" s="21" t="s">
        <v>29</v>
      </c>
      <c r="K13" s="21" t="s">
        <v>29</v>
      </c>
      <c r="L13" s="21" t="s">
        <v>29</v>
      </c>
      <c r="M13" s="21" t="s">
        <v>29</v>
      </c>
      <c r="N13" s="30"/>
      <c r="O13" s="21"/>
      <c r="P13" s="21"/>
      <c r="Q13" s="21"/>
      <c r="R13" s="32"/>
      <c r="S13" s="32"/>
      <c r="T13" s="21" t="s">
        <v>74</v>
      </c>
      <c r="U13" s="46" t="s">
        <v>28</v>
      </c>
      <c r="V13" s="21" t="s">
        <v>28</v>
      </c>
      <c r="W13" s="21" t="s">
        <v>36</v>
      </c>
      <c r="X13" s="21" t="s">
        <v>28</v>
      </c>
    </row>
    <row r="14" customFormat="false" ht="15.75" hidden="false" customHeight="false" outlineLevel="0" collapsed="false">
      <c r="A14" s="61" t="n">
        <v>7025</v>
      </c>
      <c r="B14" s="29" t="n">
        <v>44963</v>
      </c>
      <c r="C14" s="21" t="s">
        <v>1666</v>
      </c>
      <c r="D14" s="21" t="s">
        <v>24</v>
      </c>
      <c r="E14" s="21" t="s">
        <v>34</v>
      </c>
      <c r="F14" s="21" t="s">
        <v>2149</v>
      </c>
      <c r="G14" s="30"/>
      <c r="H14" s="31"/>
      <c r="I14" s="21"/>
      <c r="J14" s="21"/>
      <c r="K14" s="21"/>
      <c r="L14" s="21"/>
      <c r="M14" s="21"/>
      <c r="N14" s="30"/>
      <c r="O14" s="21"/>
      <c r="P14" s="21"/>
      <c r="Q14" s="21"/>
      <c r="R14" s="32"/>
      <c r="S14" s="32"/>
      <c r="T14" s="21"/>
      <c r="U14" s="21"/>
      <c r="V14" s="21"/>
      <c r="W14" s="21"/>
      <c r="X14" s="21" t="s">
        <v>28</v>
      </c>
    </row>
    <row r="15" customFormat="false" ht="15.75" hidden="false" customHeight="false" outlineLevel="0" collapsed="false">
      <c r="A15" s="61" t="n">
        <v>7026</v>
      </c>
      <c r="B15" s="29" t="n">
        <v>44963</v>
      </c>
      <c r="C15" s="21" t="s">
        <v>776</v>
      </c>
      <c r="D15" s="21" t="s">
        <v>24</v>
      </c>
      <c r="E15" s="21" t="s">
        <v>34</v>
      </c>
      <c r="F15" s="21" t="s">
        <v>2150</v>
      </c>
      <c r="G15" s="30"/>
      <c r="H15" s="31"/>
      <c r="I15" s="21"/>
      <c r="J15" s="21"/>
      <c r="K15" s="21"/>
      <c r="L15" s="21"/>
      <c r="M15" s="21"/>
      <c r="N15" s="30"/>
      <c r="O15" s="21"/>
      <c r="P15" s="66"/>
      <c r="Q15" s="21"/>
      <c r="R15" s="32"/>
      <c r="S15" s="32"/>
      <c r="T15" s="21"/>
      <c r="U15" s="21"/>
      <c r="V15" s="21"/>
      <c r="W15" s="21"/>
      <c r="X15" s="21" t="s">
        <v>28</v>
      </c>
    </row>
    <row r="16" customFormat="false" ht="15.75" hidden="false" customHeight="false" outlineLevel="0" collapsed="false">
      <c r="A16" s="61" t="n">
        <v>7027</v>
      </c>
      <c r="B16" s="29" t="n">
        <v>44963</v>
      </c>
      <c r="C16" s="21" t="s">
        <v>1290</v>
      </c>
      <c r="D16" s="21" t="s">
        <v>24</v>
      </c>
      <c r="E16" s="21" t="s">
        <v>25</v>
      </c>
      <c r="F16" s="21" t="s">
        <v>2151</v>
      </c>
      <c r="G16" s="30" t="s">
        <v>2152</v>
      </c>
      <c r="H16" s="45" t="str">
        <f aca="false">HYPERLINK("https://photos.app.goo.gl/9kxYgeP62xqRZwTJ7", "Completo")</f>
        <v>Completo</v>
      </c>
      <c r="I16" s="21" t="s">
        <v>28</v>
      </c>
      <c r="J16" s="21" t="s">
        <v>29</v>
      </c>
      <c r="K16" s="21" t="s">
        <v>29</v>
      </c>
      <c r="L16" s="21" t="s">
        <v>29</v>
      </c>
      <c r="M16" s="21" t="s">
        <v>29</v>
      </c>
      <c r="N16" s="30"/>
      <c r="O16" s="21"/>
      <c r="P16" s="66"/>
      <c r="Q16" s="21"/>
      <c r="R16" s="32"/>
      <c r="S16" s="32"/>
      <c r="T16" s="21"/>
      <c r="U16" s="21"/>
      <c r="V16" s="21"/>
      <c r="W16" s="21"/>
      <c r="X16" s="21" t="s">
        <v>28</v>
      </c>
    </row>
    <row r="17" customFormat="false" ht="15.75" hidden="false" customHeight="false" outlineLevel="0" collapsed="false">
      <c r="A17" s="61" t="n">
        <v>7028</v>
      </c>
      <c r="B17" s="29" t="n">
        <v>44964</v>
      </c>
      <c r="C17" s="21" t="s">
        <v>389</v>
      </c>
      <c r="D17" s="21" t="s">
        <v>24</v>
      </c>
      <c r="E17" s="21" t="s">
        <v>25</v>
      </c>
      <c r="F17" s="21" t="s">
        <v>2153</v>
      </c>
      <c r="G17" s="30" t="s">
        <v>29</v>
      </c>
      <c r="H17" s="45" t="str">
        <f aca="false">HYPERLINK("https://photos.app.goo.gl/jbvKqUfLDejrFuc38", "Completo")</f>
        <v>Completo</v>
      </c>
      <c r="I17" s="21" t="s">
        <v>28</v>
      </c>
      <c r="J17" s="21" t="s">
        <v>29</v>
      </c>
      <c r="K17" s="21" t="s">
        <v>29</v>
      </c>
      <c r="L17" s="21" t="n">
        <v>2726413</v>
      </c>
      <c r="M17" s="21" t="s">
        <v>2154</v>
      </c>
      <c r="N17" s="30"/>
      <c r="O17" s="21"/>
      <c r="P17" s="21"/>
      <c r="Q17" s="21"/>
      <c r="R17" s="32"/>
      <c r="S17" s="32"/>
      <c r="T17" s="21"/>
      <c r="U17" s="66"/>
      <c r="V17" s="66"/>
      <c r="W17" s="21"/>
      <c r="X17" s="21" t="s">
        <v>28</v>
      </c>
    </row>
    <row r="18" customFormat="false" ht="15.75" hidden="false" customHeight="false" outlineLevel="0" collapsed="false">
      <c r="A18" s="61" t="n">
        <v>7029</v>
      </c>
      <c r="B18" s="54" t="n">
        <v>44964</v>
      </c>
      <c r="C18" s="21" t="s">
        <v>389</v>
      </c>
      <c r="D18" s="21" t="s">
        <v>24</v>
      </c>
      <c r="E18" s="21" t="s">
        <v>25</v>
      </c>
      <c r="F18" s="21" t="s">
        <v>2155</v>
      </c>
      <c r="G18" s="30" t="s">
        <v>29</v>
      </c>
      <c r="H18" s="45" t="str">
        <f aca="false">HYPERLINK("https://photos.app.goo.gl/t9V5dqEosfggwVER7", "Completo")</f>
        <v>Completo</v>
      </c>
      <c r="I18" s="21" t="s">
        <v>28</v>
      </c>
      <c r="J18" s="21" t="s">
        <v>29</v>
      </c>
      <c r="K18" s="21" t="s">
        <v>29</v>
      </c>
      <c r="L18" s="21" t="n">
        <v>2726413</v>
      </c>
      <c r="M18" s="21" t="s">
        <v>2154</v>
      </c>
      <c r="N18" s="30"/>
      <c r="O18" s="21"/>
      <c r="P18" s="21"/>
      <c r="Q18" s="21"/>
      <c r="R18" s="32"/>
      <c r="S18" s="32"/>
      <c r="T18" s="21"/>
      <c r="U18" s="21"/>
      <c r="V18" s="21"/>
      <c r="W18" s="21"/>
      <c r="X18" s="21" t="s">
        <v>28</v>
      </c>
    </row>
    <row r="19" customFormat="false" ht="15.75" hidden="false" customHeight="false" outlineLevel="0" collapsed="false">
      <c r="A19" s="61" t="n">
        <v>7031</v>
      </c>
      <c r="B19" s="29" t="n">
        <v>44963</v>
      </c>
      <c r="C19" s="21" t="s">
        <v>760</v>
      </c>
      <c r="D19" s="21" t="s">
        <v>24</v>
      </c>
      <c r="E19" s="21" t="s">
        <v>34</v>
      </c>
      <c r="F19" s="21" t="s">
        <v>2156</v>
      </c>
      <c r="G19" s="30"/>
      <c r="H19" s="31"/>
      <c r="I19" s="21"/>
      <c r="J19" s="21"/>
      <c r="K19" s="21"/>
      <c r="L19" s="21"/>
      <c r="M19" s="21"/>
      <c r="N19" s="30"/>
      <c r="O19" s="21"/>
      <c r="P19" s="21"/>
      <c r="Q19" s="21"/>
      <c r="R19" s="32"/>
      <c r="S19" s="32"/>
      <c r="T19" s="21"/>
      <c r="U19" s="21"/>
      <c r="V19" s="21"/>
      <c r="W19" s="21"/>
      <c r="X19" s="21" t="s">
        <v>28</v>
      </c>
    </row>
    <row r="20" customFormat="false" ht="15.75" hidden="false" customHeight="false" outlineLevel="0" collapsed="false">
      <c r="A20" s="61" t="n">
        <v>7032</v>
      </c>
      <c r="B20" s="29" t="n">
        <v>44964</v>
      </c>
      <c r="C20" s="21" t="s">
        <v>730</v>
      </c>
      <c r="D20" s="21" t="s">
        <v>24</v>
      </c>
      <c r="E20" s="21" t="s">
        <v>25</v>
      </c>
      <c r="F20" s="21" t="s">
        <v>1554</v>
      </c>
      <c r="G20" s="30" t="s">
        <v>2157</v>
      </c>
      <c r="H20" s="45" t="str">
        <f aca="false">HYPERLINK("https://photos.app.goo.gl/NNCZUEc4i8FitV6V9", "Completo")</f>
        <v>Completo</v>
      </c>
      <c r="I20" s="21" t="s">
        <v>28</v>
      </c>
      <c r="J20" s="21" t="s">
        <v>29</v>
      </c>
      <c r="K20" s="21" t="s">
        <v>29</v>
      </c>
      <c r="L20" s="21" t="s">
        <v>29</v>
      </c>
      <c r="M20" s="21" t="s">
        <v>29</v>
      </c>
      <c r="N20" s="30"/>
      <c r="O20" s="21"/>
      <c r="P20" s="21"/>
      <c r="Q20" s="21"/>
      <c r="R20" s="32"/>
      <c r="S20" s="32"/>
      <c r="T20" s="21" t="s">
        <v>74</v>
      </c>
      <c r="U20" s="64" t="s">
        <v>28</v>
      </c>
      <c r="V20" s="46" t="s">
        <v>28</v>
      </c>
      <c r="W20" s="21" t="s">
        <v>36</v>
      </c>
      <c r="X20" s="21" t="s">
        <v>28</v>
      </c>
    </row>
    <row r="21" customFormat="false" ht="15.75" hidden="false" customHeight="false" outlineLevel="0" collapsed="false">
      <c r="A21" s="61" t="n">
        <v>7033</v>
      </c>
      <c r="B21" s="29" t="n">
        <v>44965</v>
      </c>
      <c r="C21" s="21" t="s">
        <v>50</v>
      </c>
      <c r="D21" s="21" t="s">
        <v>24</v>
      </c>
      <c r="E21" s="21" t="s">
        <v>25</v>
      </c>
      <c r="F21" s="21" t="s">
        <v>2158</v>
      </c>
      <c r="G21" s="30"/>
      <c r="H21" s="45" t="str">
        <f aca="false">HYPERLINK("https://photos.app.goo.gl/9uG7CLtwLt18C3Hu8", "Completo")</f>
        <v>Completo</v>
      </c>
      <c r="I21" s="21" t="s">
        <v>28</v>
      </c>
      <c r="J21" s="21" t="s">
        <v>29</v>
      </c>
      <c r="K21" s="21" t="s">
        <v>29</v>
      </c>
      <c r="L21" s="21" t="n">
        <v>13744</v>
      </c>
      <c r="M21" s="21" t="s">
        <v>2159</v>
      </c>
      <c r="N21" s="30"/>
      <c r="O21" s="21"/>
      <c r="P21" s="21"/>
      <c r="Q21" s="21"/>
      <c r="R21" s="32"/>
      <c r="S21" s="32"/>
      <c r="T21" s="21"/>
      <c r="U21" s="21"/>
      <c r="V21" s="21"/>
      <c r="W21" s="21"/>
      <c r="X21" s="21" t="s">
        <v>28</v>
      </c>
    </row>
    <row r="22" customFormat="false" ht="15.75" hidden="false" customHeight="false" outlineLevel="0" collapsed="false">
      <c r="A22" s="61" t="n">
        <v>7034</v>
      </c>
      <c r="B22" s="29" t="n">
        <v>44965</v>
      </c>
      <c r="C22" s="21" t="s">
        <v>1666</v>
      </c>
      <c r="D22" s="21" t="s">
        <v>24</v>
      </c>
      <c r="E22" s="21" t="s">
        <v>34</v>
      </c>
      <c r="F22" s="21" t="s">
        <v>2160</v>
      </c>
      <c r="G22" s="30"/>
      <c r="H22" s="31"/>
      <c r="I22" s="21"/>
      <c r="J22" s="21"/>
      <c r="K22" s="21"/>
      <c r="L22" s="21"/>
      <c r="M22" s="21"/>
      <c r="N22" s="30"/>
      <c r="O22" s="21"/>
      <c r="P22" s="21"/>
      <c r="Q22" s="21"/>
      <c r="R22" s="32"/>
      <c r="S22" s="32"/>
      <c r="T22" s="21"/>
      <c r="U22" s="21"/>
      <c r="V22" s="21"/>
      <c r="W22" s="21"/>
      <c r="X22" s="21" t="s">
        <v>28</v>
      </c>
    </row>
    <row r="23" customFormat="false" ht="15.75" hidden="false" customHeight="false" outlineLevel="0" collapsed="false">
      <c r="A23" s="61" t="n">
        <v>7035</v>
      </c>
      <c r="B23" s="29" t="n">
        <v>44967</v>
      </c>
      <c r="C23" s="21" t="s">
        <v>389</v>
      </c>
      <c r="D23" s="21" t="s">
        <v>24</v>
      </c>
      <c r="E23" s="21" t="s">
        <v>34</v>
      </c>
      <c r="F23" s="21" t="s">
        <v>2161</v>
      </c>
      <c r="G23" s="30"/>
      <c r="H23" s="31"/>
      <c r="I23" s="21"/>
      <c r="J23" s="21"/>
      <c r="K23" s="21"/>
      <c r="L23" s="21"/>
      <c r="M23" s="21"/>
      <c r="N23" s="30"/>
      <c r="O23" s="21"/>
      <c r="P23" s="21"/>
      <c r="Q23" s="21"/>
      <c r="R23" s="32"/>
      <c r="S23" s="32"/>
      <c r="T23" s="21"/>
      <c r="U23" s="21"/>
      <c r="V23" s="21"/>
      <c r="W23" s="21"/>
      <c r="X23" s="21" t="s">
        <v>28</v>
      </c>
    </row>
    <row r="24" customFormat="false" ht="15.75" hidden="false" customHeight="false" outlineLevel="0" collapsed="false">
      <c r="A24" s="61" t="n">
        <v>7036</v>
      </c>
      <c r="B24" s="29" t="n">
        <v>44967</v>
      </c>
      <c r="C24" s="21" t="s">
        <v>50</v>
      </c>
      <c r="D24" s="21" t="s">
        <v>24</v>
      </c>
      <c r="E24" s="21" t="s">
        <v>34</v>
      </c>
      <c r="F24" s="21" t="s">
        <v>2162</v>
      </c>
      <c r="G24" s="30"/>
      <c r="H24" s="31"/>
      <c r="I24" s="21"/>
      <c r="J24" s="21"/>
      <c r="K24" s="21"/>
      <c r="L24" s="21"/>
      <c r="M24" s="21"/>
      <c r="N24" s="30"/>
      <c r="O24" s="21"/>
      <c r="P24" s="21"/>
      <c r="Q24" s="21"/>
      <c r="R24" s="32"/>
      <c r="S24" s="32"/>
      <c r="T24" s="21"/>
      <c r="U24" s="21"/>
      <c r="V24" s="21"/>
      <c r="W24" s="21"/>
      <c r="X24" s="21" t="s">
        <v>28</v>
      </c>
    </row>
    <row r="25" customFormat="false" ht="15.75" hidden="false" customHeight="false" outlineLevel="0" collapsed="false">
      <c r="A25" s="61" t="n">
        <v>7037</v>
      </c>
      <c r="B25" s="29" t="n">
        <v>44967</v>
      </c>
      <c r="C25" s="21" t="s">
        <v>50</v>
      </c>
      <c r="D25" s="21" t="s">
        <v>24</v>
      </c>
      <c r="E25" s="21" t="s">
        <v>34</v>
      </c>
      <c r="F25" s="21" t="s">
        <v>2162</v>
      </c>
      <c r="G25" s="30"/>
      <c r="H25" s="31"/>
      <c r="I25" s="21"/>
      <c r="J25" s="21"/>
      <c r="K25" s="21"/>
      <c r="L25" s="21"/>
      <c r="M25" s="21"/>
      <c r="N25" s="30"/>
      <c r="O25" s="21"/>
      <c r="P25" s="21"/>
      <c r="Q25" s="21"/>
      <c r="R25" s="32"/>
      <c r="S25" s="32"/>
      <c r="T25" s="21"/>
      <c r="U25" s="21"/>
      <c r="V25" s="21"/>
      <c r="W25" s="21"/>
      <c r="X25" s="21" t="s">
        <v>28</v>
      </c>
    </row>
    <row r="26" customFormat="false" ht="15.75" hidden="false" customHeight="false" outlineLevel="0" collapsed="false">
      <c r="A26" s="61" t="n">
        <v>7038</v>
      </c>
      <c r="B26" s="29" t="n">
        <v>44967</v>
      </c>
      <c r="C26" s="21" t="s">
        <v>50</v>
      </c>
      <c r="D26" s="21" t="s">
        <v>24</v>
      </c>
      <c r="E26" s="21" t="s">
        <v>34</v>
      </c>
      <c r="F26" s="21" t="s">
        <v>2162</v>
      </c>
      <c r="G26" s="30"/>
      <c r="H26" s="31"/>
      <c r="I26" s="21"/>
      <c r="J26" s="21"/>
      <c r="K26" s="21"/>
      <c r="L26" s="21"/>
      <c r="M26" s="21"/>
      <c r="N26" s="30"/>
      <c r="O26" s="21"/>
      <c r="P26" s="21"/>
      <c r="Q26" s="21"/>
      <c r="R26" s="32"/>
      <c r="S26" s="32"/>
      <c r="T26" s="21"/>
      <c r="U26" s="21"/>
      <c r="V26" s="21"/>
      <c r="W26" s="21"/>
      <c r="X26" s="21" t="s">
        <v>28</v>
      </c>
    </row>
    <row r="27" customFormat="false" ht="15.75" hidden="false" customHeight="false" outlineLevel="0" collapsed="false">
      <c r="A27" s="61" t="n">
        <v>7039</v>
      </c>
      <c r="B27" s="29" t="n">
        <v>44967</v>
      </c>
      <c r="C27" s="21" t="s">
        <v>50</v>
      </c>
      <c r="D27" s="21" t="s">
        <v>24</v>
      </c>
      <c r="E27" s="21" t="s">
        <v>34</v>
      </c>
      <c r="F27" s="21" t="s">
        <v>2162</v>
      </c>
      <c r="G27" s="30"/>
      <c r="H27" s="31"/>
      <c r="I27" s="21"/>
      <c r="J27" s="21"/>
      <c r="K27" s="21"/>
      <c r="L27" s="21"/>
      <c r="M27" s="21"/>
      <c r="N27" s="30"/>
      <c r="O27" s="21"/>
      <c r="P27" s="21"/>
      <c r="Q27" s="21"/>
      <c r="R27" s="32"/>
      <c r="S27" s="32"/>
      <c r="T27" s="21"/>
      <c r="U27" s="21"/>
      <c r="V27" s="21"/>
      <c r="W27" s="21"/>
      <c r="X27" s="21" t="s">
        <v>28</v>
      </c>
    </row>
    <row r="28" customFormat="false" ht="15.75" hidden="false" customHeight="false" outlineLevel="0" collapsed="false">
      <c r="A28" s="61" t="n">
        <v>7040</v>
      </c>
      <c r="B28" s="29" t="n">
        <v>44967</v>
      </c>
      <c r="C28" s="21" t="s">
        <v>50</v>
      </c>
      <c r="D28" s="21" t="s">
        <v>24</v>
      </c>
      <c r="E28" s="21" t="s">
        <v>34</v>
      </c>
      <c r="F28" s="21" t="s">
        <v>2163</v>
      </c>
      <c r="G28" s="30"/>
      <c r="H28" s="31"/>
      <c r="I28" s="21"/>
      <c r="J28" s="21"/>
      <c r="K28" s="21"/>
      <c r="L28" s="21"/>
      <c r="M28" s="21"/>
      <c r="N28" s="30"/>
      <c r="O28" s="21"/>
      <c r="P28" s="21"/>
      <c r="Q28" s="21"/>
      <c r="R28" s="32"/>
      <c r="S28" s="32"/>
      <c r="T28" s="21"/>
      <c r="U28" s="21"/>
      <c r="V28" s="21"/>
      <c r="W28" s="21"/>
      <c r="X28" s="21" t="s">
        <v>28</v>
      </c>
    </row>
    <row r="29" customFormat="false" ht="15.75" hidden="false" customHeight="false" outlineLevel="0" collapsed="false">
      <c r="A29" s="61" t="n">
        <v>7041</v>
      </c>
      <c r="B29" s="29" t="n">
        <v>44967</v>
      </c>
      <c r="C29" s="21" t="s">
        <v>50</v>
      </c>
      <c r="D29" s="21" t="s">
        <v>24</v>
      </c>
      <c r="E29" s="21" t="s">
        <v>34</v>
      </c>
      <c r="F29" s="21" t="s">
        <v>2163</v>
      </c>
      <c r="G29" s="30"/>
      <c r="H29" s="31"/>
      <c r="I29" s="21"/>
      <c r="J29" s="21"/>
      <c r="K29" s="21"/>
      <c r="L29" s="21"/>
      <c r="M29" s="21"/>
      <c r="N29" s="30"/>
      <c r="O29" s="21"/>
      <c r="P29" s="21"/>
      <c r="Q29" s="21"/>
      <c r="R29" s="32"/>
      <c r="S29" s="32"/>
      <c r="T29" s="21"/>
      <c r="U29" s="21"/>
      <c r="V29" s="21"/>
      <c r="W29" s="21"/>
      <c r="X29" s="21" t="s">
        <v>28</v>
      </c>
    </row>
    <row r="30" customFormat="false" ht="15.75" hidden="false" customHeight="false" outlineLevel="0" collapsed="false">
      <c r="A30" s="61" t="n">
        <v>7042</v>
      </c>
      <c r="B30" s="29" t="n">
        <v>44967</v>
      </c>
      <c r="C30" s="21" t="s">
        <v>50</v>
      </c>
      <c r="D30" s="21" t="s">
        <v>24</v>
      </c>
      <c r="E30" s="21" t="s">
        <v>34</v>
      </c>
      <c r="F30" s="21" t="s">
        <v>2163</v>
      </c>
      <c r="G30" s="30"/>
      <c r="H30" s="31"/>
      <c r="I30" s="21"/>
      <c r="J30" s="21"/>
      <c r="K30" s="21"/>
      <c r="L30" s="21"/>
      <c r="M30" s="21"/>
      <c r="N30" s="30"/>
      <c r="O30" s="21"/>
      <c r="P30" s="66"/>
      <c r="Q30" s="21"/>
      <c r="R30" s="32"/>
      <c r="S30" s="32"/>
      <c r="T30" s="21"/>
      <c r="U30" s="21"/>
      <c r="V30" s="21"/>
      <c r="W30" s="21"/>
      <c r="X30" s="21" t="s">
        <v>28</v>
      </c>
    </row>
    <row r="31" customFormat="false" ht="15.75" hidden="false" customHeight="false" outlineLevel="0" collapsed="false">
      <c r="A31" s="61" t="n">
        <v>7043</v>
      </c>
      <c r="B31" s="29" t="n">
        <v>44967</v>
      </c>
      <c r="C31" s="21" t="s">
        <v>50</v>
      </c>
      <c r="D31" s="21" t="s">
        <v>24</v>
      </c>
      <c r="E31" s="21" t="s">
        <v>34</v>
      </c>
      <c r="F31" s="21" t="s">
        <v>2163</v>
      </c>
      <c r="G31" s="30"/>
      <c r="H31" s="31"/>
      <c r="I31" s="21"/>
      <c r="J31" s="21"/>
      <c r="K31" s="21"/>
      <c r="L31" s="21"/>
      <c r="M31" s="21"/>
      <c r="N31" s="30"/>
      <c r="O31" s="21"/>
      <c r="P31" s="21"/>
      <c r="Q31" s="21"/>
      <c r="R31" s="32"/>
      <c r="S31" s="32"/>
      <c r="T31" s="21"/>
      <c r="U31" s="21"/>
      <c r="V31" s="21"/>
      <c r="W31" s="21"/>
      <c r="X31" s="21" t="s">
        <v>28</v>
      </c>
    </row>
    <row r="32" customFormat="false" ht="15.75" hidden="false" customHeight="false" outlineLevel="0" collapsed="false">
      <c r="A32" s="61" t="n">
        <v>7044</v>
      </c>
      <c r="B32" s="29" t="n">
        <v>44967</v>
      </c>
      <c r="C32" s="21" t="s">
        <v>2164</v>
      </c>
      <c r="D32" s="21" t="s">
        <v>24</v>
      </c>
      <c r="E32" s="21" t="s">
        <v>34</v>
      </c>
      <c r="F32" s="21" t="s">
        <v>2165</v>
      </c>
      <c r="G32" s="30"/>
      <c r="H32" s="31"/>
      <c r="I32" s="21"/>
      <c r="J32" s="21"/>
      <c r="K32" s="21"/>
      <c r="L32" s="67"/>
      <c r="M32" s="21"/>
      <c r="N32" s="30"/>
      <c r="O32" s="21"/>
      <c r="P32" s="21"/>
      <c r="Q32" s="21"/>
      <c r="R32" s="32"/>
      <c r="S32" s="32"/>
      <c r="T32" s="21"/>
      <c r="U32" s="21"/>
      <c r="V32" s="21"/>
      <c r="W32" s="21"/>
      <c r="X32" s="21" t="s">
        <v>28</v>
      </c>
    </row>
    <row r="33" customFormat="false" ht="15.75" hidden="false" customHeight="false" outlineLevel="0" collapsed="false">
      <c r="A33" s="61" t="n">
        <v>7045</v>
      </c>
      <c r="B33" s="29" t="n">
        <v>44968</v>
      </c>
      <c r="C33" s="21" t="s">
        <v>50</v>
      </c>
      <c r="D33" s="21" t="s">
        <v>24</v>
      </c>
      <c r="E33" s="21" t="s">
        <v>34</v>
      </c>
      <c r="F33" s="21" t="s">
        <v>2166</v>
      </c>
      <c r="G33" s="30"/>
      <c r="H33" s="31"/>
      <c r="I33" s="21"/>
      <c r="J33" s="21"/>
      <c r="K33" s="21"/>
      <c r="L33" s="21"/>
      <c r="M33" s="21"/>
      <c r="N33" s="30"/>
      <c r="O33" s="21"/>
      <c r="P33" s="21"/>
      <c r="Q33" s="21"/>
      <c r="R33" s="32"/>
      <c r="S33" s="32"/>
      <c r="T33" s="21"/>
      <c r="U33" s="21"/>
      <c r="V33" s="21"/>
      <c r="W33" s="21"/>
      <c r="X33" s="21" t="s">
        <v>28</v>
      </c>
    </row>
    <row r="34" customFormat="false" ht="15.75" hidden="false" customHeight="false" outlineLevel="0" collapsed="false">
      <c r="A34" s="61" t="n">
        <v>7046</v>
      </c>
      <c r="B34" s="29" t="n">
        <v>44970</v>
      </c>
      <c r="C34" s="21" t="s">
        <v>2167</v>
      </c>
      <c r="D34" s="21" t="s">
        <v>24</v>
      </c>
      <c r="E34" s="21" t="s">
        <v>34</v>
      </c>
      <c r="F34" s="21" t="s">
        <v>2168</v>
      </c>
      <c r="G34" s="68"/>
      <c r="H34" s="31"/>
      <c r="I34" s="21"/>
      <c r="J34" s="21"/>
      <c r="K34" s="21"/>
      <c r="L34" s="21"/>
      <c r="M34" s="21"/>
      <c r="N34" s="30"/>
      <c r="O34" s="21"/>
      <c r="P34" s="21"/>
      <c r="Q34" s="21"/>
      <c r="R34" s="32"/>
      <c r="S34" s="32"/>
      <c r="T34" s="21"/>
      <c r="U34" s="21"/>
      <c r="V34" s="21"/>
      <c r="W34" s="21"/>
      <c r="X34" s="21" t="s">
        <v>28</v>
      </c>
    </row>
    <row r="35" customFormat="false" ht="15.75" hidden="false" customHeight="false" outlineLevel="0" collapsed="false">
      <c r="A35" s="61" t="n">
        <v>7047</v>
      </c>
      <c r="B35" s="29" t="n">
        <v>44971</v>
      </c>
      <c r="C35" s="21" t="s">
        <v>841</v>
      </c>
      <c r="D35" s="21" t="s">
        <v>24</v>
      </c>
      <c r="E35" s="21" t="s">
        <v>34</v>
      </c>
      <c r="F35" s="21" t="s">
        <v>2169</v>
      </c>
      <c r="G35" s="68"/>
      <c r="H35" s="31"/>
      <c r="I35" s="21"/>
      <c r="J35" s="21"/>
      <c r="K35" s="21"/>
      <c r="L35" s="21"/>
      <c r="M35" s="21"/>
      <c r="N35" s="30"/>
      <c r="O35" s="21"/>
      <c r="P35" s="21"/>
      <c r="Q35" s="21"/>
      <c r="R35" s="32"/>
      <c r="S35" s="32"/>
      <c r="T35" s="21"/>
      <c r="U35" s="21"/>
      <c r="V35" s="21"/>
      <c r="W35" s="21"/>
      <c r="X35" s="21" t="s">
        <v>28</v>
      </c>
    </row>
    <row r="36" customFormat="false" ht="15.75" hidden="false" customHeight="false" outlineLevel="0" collapsed="false">
      <c r="A36" s="61" t="n">
        <v>7048</v>
      </c>
      <c r="B36" s="29" t="n">
        <v>44971</v>
      </c>
      <c r="C36" s="21" t="s">
        <v>841</v>
      </c>
      <c r="D36" s="21" t="s">
        <v>24</v>
      </c>
      <c r="E36" s="21" t="s">
        <v>34</v>
      </c>
      <c r="F36" s="21" t="s">
        <v>2170</v>
      </c>
      <c r="G36" s="30"/>
      <c r="H36" s="31"/>
      <c r="I36" s="21"/>
      <c r="J36" s="21"/>
      <c r="K36" s="21"/>
      <c r="L36" s="21"/>
      <c r="M36" s="21"/>
      <c r="N36" s="30"/>
      <c r="O36" s="21"/>
      <c r="P36" s="21"/>
      <c r="Q36" s="21"/>
      <c r="R36" s="32"/>
      <c r="S36" s="32"/>
      <c r="T36" s="21"/>
      <c r="U36" s="66"/>
      <c r="V36" s="66"/>
      <c r="W36" s="21"/>
      <c r="X36" s="21" t="s">
        <v>28</v>
      </c>
    </row>
    <row r="37" customFormat="false" ht="15.75" hidden="false" customHeight="false" outlineLevel="0" collapsed="false">
      <c r="A37" s="63" t="n">
        <v>1150516</v>
      </c>
      <c r="B37" s="29" t="n">
        <v>44971</v>
      </c>
      <c r="C37" s="21" t="s">
        <v>1561</v>
      </c>
      <c r="D37" s="21" t="s">
        <v>290</v>
      </c>
      <c r="E37" s="21" t="s">
        <v>25</v>
      </c>
      <c r="F37" s="21" t="s">
        <v>2171</v>
      </c>
      <c r="G37" s="30" t="s">
        <v>2172</v>
      </c>
      <c r="H37" s="45" t="str">
        <f aca="false">HYPERLINK("https://photos.app.goo.gl/6LD5oSUpfdnoXTBE9", "Completo")</f>
        <v>Completo</v>
      </c>
      <c r="I37" s="21" t="s">
        <v>28</v>
      </c>
      <c r="J37" s="21" t="s">
        <v>29</v>
      </c>
      <c r="K37" s="21" t="s">
        <v>29</v>
      </c>
      <c r="L37" s="21" t="s">
        <v>29</v>
      </c>
      <c r="M37" s="21" t="s">
        <v>29</v>
      </c>
      <c r="N37" s="30"/>
      <c r="O37" s="21"/>
      <c r="P37" s="66"/>
      <c r="Q37" s="21"/>
      <c r="R37" s="32"/>
      <c r="S37" s="32"/>
      <c r="T37" s="21" t="s">
        <v>74</v>
      </c>
      <c r="U37" s="46" t="s">
        <v>28</v>
      </c>
      <c r="V37" s="46" t="s">
        <v>28</v>
      </c>
      <c r="W37" s="21" t="s">
        <v>36</v>
      </c>
      <c r="X37" s="21" t="s">
        <v>28</v>
      </c>
    </row>
    <row r="38" customFormat="false" ht="15" hidden="false" customHeight="true" outlineLevel="0" collapsed="false">
      <c r="A38" s="61" t="n">
        <v>7049</v>
      </c>
      <c r="B38" s="29" t="n">
        <v>44971</v>
      </c>
      <c r="C38" s="21" t="s">
        <v>1561</v>
      </c>
      <c r="D38" s="21" t="s">
        <v>24</v>
      </c>
      <c r="E38" s="21" t="s">
        <v>25</v>
      </c>
      <c r="F38" s="21" t="s">
        <v>2173</v>
      </c>
      <c r="G38" s="30" t="s">
        <v>2172</v>
      </c>
      <c r="H38" s="45" t="str">
        <f aca="false">HYPERLINK("https://photos.app.goo.gl/qyoiiBpywMRHciwcA", "Completo")</f>
        <v>Completo</v>
      </c>
      <c r="I38" s="21" t="s">
        <v>28</v>
      </c>
      <c r="J38" s="21" t="s">
        <v>29</v>
      </c>
      <c r="K38" s="21" t="s">
        <v>29</v>
      </c>
      <c r="L38" s="21" t="s">
        <v>29</v>
      </c>
      <c r="M38" s="21" t="s">
        <v>29</v>
      </c>
      <c r="N38" s="30"/>
      <c r="O38" s="21"/>
      <c r="P38" s="21"/>
      <c r="Q38" s="21"/>
      <c r="R38" s="32"/>
      <c r="S38" s="32"/>
      <c r="T38" s="21" t="s">
        <v>74</v>
      </c>
      <c r="U38" s="46" t="s">
        <v>28</v>
      </c>
      <c r="V38" s="46" t="s">
        <v>28</v>
      </c>
      <c r="W38" s="21" t="s">
        <v>36</v>
      </c>
      <c r="X38" s="21" t="s">
        <v>28</v>
      </c>
    </row>
    <row r="39" customFormat="false" ht="15.75" hidden="false" customHeight="false" outlineLevel="0" collapsed="false">
      <c r="A39" s="61" t="n">
        <v>7050</v>
      </c>
      <c r="B39" s="29" t="n">
        <v>44971</v>
      </c>
      <c r="C39" s="21" t="s">
        <v>389</v>
      </c>
      <c r="D39" s="21" t="s">
        <v>24</v>
      </c>
      <c r="E39" s="21" t="s">
        <v>25</v>
      </c>
      <c r="F39" s="21" t="s">
        <v>2174</v>
      </c>
      <c r="G39" s="30" t="s">
        <v>29</v>
      </c>
      <c r="H39" s="45" t="str">
        <f aca="false">HYPERLINK("https://photos.app.goo.gl/1jYGoKSaZDQLbtXW7", "Completo")</f>
        <v>Completo</v>
      </c>
      <c r="I39" s="21" t="s">
        <v>28</v>
      </c>
      <c r="J39" s="21" t="s">
        <v>29</v>
      </c>
      <c r="K39" s="21" t="s">
        <v>29</v>
      </c>
      <c r="L39" s="21" t="s">
        <v>2175</v>
      </c>
      <c r="M39" s="21" t="s">
        <v>2176</v>
      </c>
      <c r="N39" s="30"/>
      <c r="O39" s="21"/>
      <c r="P39" s="21"/>
      <c r="Q39" s="21"/>
      <c r="R39" s="32"/>
      <c r="S39" s="32"/>
      <c r="T39" s="21"/>
      <c r="U39" s="21"/>
      <c r="V39" s="21"/>
      <c r="W39" s="21"/>
      <c r="X39" s="21" t="s">
        <v>28</v>
      </c>
    </row>
    <row r="40" customFormat="false" ht="15.75" hidden="false" customHeight="false" outlineLevel="0" collapsed="false">
      <c r="A40" s="61" t="n">
        <v>7051</v>
      </c>
      <c r="B40" s="29" t="n">
        <v>44971</v>
      </c>
      <c r="C40" s="21" t="s">
        <v>2177</v>
      </c>
      <c r="D40" s="21" t="s">
        <v>24</v>
      </c>
      <c r="E40" s="21" t="s">
        <v>25</v>
      </c>
      <c r="F40" s="21" t="s">
        <v>2178</v>
      </c>
      <c r="G40" s="30" t="s">
        <v>29</v>
      </c>
      <c r="H40" s="45" t="str">
        <f aca="false">HYPERLINK("https://photos.app.goo.gl/4PouncDmyEJHjoGw6", "Completo")</f>
        <v>Completo</v>
      </c>
      <c r="I40" s="21" t="s">
        <v>28</v>
      </c>
      <c r="J40" s="21" t="s">
        <v>29</v>
      </c>
      <c r="K40" s="21" t="s">
        <v>29</v>
      </c>
      <c r="L40" s="21" t="s">
        <v>2175</v>
      </c>
      <c r="M40" s="21" t="s">
        <v>2176</v>
      </c>
      <c r="N40" s="30"/>
      <c r="O40" s="21"/>
      <c r="P40" s="21"/>
      <c r="Q40" s="21"/>
      <c r="R40" s="32"/>
      <c r="S40" s="32"/>
      <c r="T40" s="21"/>
      <c r="U40" s="21"/>
      <c r="V40" s="21"/>
      <c r="W40" s="21"/>
      <c r="X40" s="21" t="s">
        <v>28</v>
      </c>
    </row>
    <row r="41" customFormat="false" ht="15.75" hidden="false" customHeight="false" outlineLevel="0" collapsed="false">
      <c r="A41" s="61" t="n">
        <v>7052</v>
      </c>
      <c r="B41" s="29" t="n">
        <v>44972</v>
      </c>
      <c r="C41" s="21" t="s">
        <v>2177</v>
      </c>
      <c r="D41" s="21" t="s">
        <v>24</v>
      </c>
      <c r="E41" s="21" t="s">
        <v>34</v>
      </c>
      <c r="F41" s="21" t="s">
        <v>2179</v>
      </c>
      <c r="G41" s="30"/>
      <c r="H41" s="31"/>
      <c r="I41" s="21"/>
      <c r="J41" s="21"/>
      <c r="K41" s="21"/>
      <c r="L41" s="21"/>
      <c r="M41" s="21"/>
      <c r="N41" s="68"/>
      <c r="O41" s="21"/>
      <c r="P41" s="21"/>
      <c r="Q41" s="21"/>
      <c r="R41" s="32"/>
      <c r="S41" s="32"/>
      <c r="T41" s="21"/>
      <c r="U41" s="66"/>
      <c r="V41" s="66"/>
      <c r="W41" s="21"/>
      <c r="X41" s="21" t="s">
        <v>28</v>
      </c>
    </row>
    <row r="42" customFormat="false" ht="15.75" hidden="false" customHeight="false" outlineLevel="0" collapsed="false">
      <c r="A42" s="61" t="n">
        <v>7053</v>
      </c>
      <c r="B42" s="29" t="n">
        <v>44973</v>
      </c>
      <c r="C42" s="21" t="s">
        <v>1259</v>
      </c>
      <c r="D42" s="21" t="s">
        <v>24</v>
      </c>
      <c r="E42" s="21" t="s">
        <v>34</v>
      </c>
      <c r="F42" s="21" t="s">
        <v>2180</v>
      </c>
      <c r="G42" s="30"/>
      <c r="H42" s="31"/>
      <c r="I42" s="21"/>
      <c r="J42" s="21"/>
      <c r="K42" s="21"/>
      <c r="L42" s="21"/>
      <c r="M42" s="21"/>
      <c r="N42" s="30"/>
      <c r="O42" s="21"/>
      <c r="P42" s="21"/>
      <c r="Q42" s="21"/>
      <c r="R42" s="32"/>
      <c r="S42" s="32"/>
      <c r="T42" s="21"/>
      <c r="U42" s="21"/>
      <c r="V42" s="21"/>
      <c r="W42" s="21"/>
      <c r="X42" s="21" t="s">
        <v>28</v>
      </c>
    </row>
    <row r="43" customFormat="false" ht="15.75" hidden="false" customHeight="false" outlineLevel="0" collapsed="false">
      <c r="A43" s="61" t="n">
        <v>7054</v>
      </c>
      <c r="B43" s="29" t="n">
        <v>44973</v>
      </c>
      <c r="C43" s="21" t="s">
        <v>1259</v>
      </c>
      <c r="D43" s="21" t="s">
        <v>24</v>
      </c>
      <c r="E43" s="21" t="s">
        <v>25</v>
      </c>
      <c r="F43" s="21" t="s">
        <v>2181</v>
      </c>
      <c r="G43" s="30" t="s">
        <v>29</v>
      </c>
      <c r="H43" s="45" t="str">
        <f aca="false">HYPERLINK("https://photos.app.goo.gl/CHFmZRsFXYGn1f9K6", "Completo")</f>
        <v>Completo</v>
      </c>
      <c r="I43" s="21" t="s">
        <v>28</v>
      </c>
      <c r="J43" s="21" t="s">
        <v>29</v>
      </c>
      <c r="K43" s="21" t="s">
        <v>29</v>
      </c>
      <c r="L43" s="21" t="n">
        <v>16754</v>
      </c>
      <c r="M43" s="21" t="s">
        <v>2182</v>
      </c>
      <c r="N43" s="69"/>
      <c r="O43" s="21"/>
      <c r="P43" s="21"/>
      <c r="Q43" s="21"/>
      <c r="R43" s="32"/>
      <c r="S43" s="32"/>
      <c r="T43" s="21"/>
      <c r="U43" s="21"/>
      <c r="V43" s="21"/>
      <c r="W43" s="21"/>
      <c r="X43" s="21" t="s">
        <v>37</v>
      </c>
    </row>
    <row r="44" customFormat="false" ht="15.75" hidden="false" customHeight="false" outlineLevel="0" collapsed="false">
      <c r="A44" s="61" t="n">
        <v>7055</v>
      </c>
      <c r="B44" s="54" t="n">
        <v>44973</v>
      </c>
      <c r="C44" s="21" t="s">
        <v>2183</v>
      </c>
      <c r="D44" s="21"/>
      <c r="E44" s="21"/>
      <c r="F44" s="21"/>
      <c r="G44" s="30"/>
      <c r="H44" s="31"/>
      <c r="I44" s="21"/>
      <c r="J44" s="21" t="s">
        <v>2184</v>
      </c>
      <c r="K44" s="21"/>
      <c r="L44" s="21"/>
      <c r="M44" s="21"/>
      <c r="N44" s="69"/>
      <c r="O44" s="21"/>
      <c r="P44" s="21"/>
      <c r="Q44" s="21"/>
      <c r="R44" s="32"/>
      <c r="S44" s="32"/>
      <c r="T44" s="21"/>
      <c r="U44" s="21"/>
      <c r="V44" s="21"/>
      <c r="W44" s="21"/>
      <c r="X44" s="21" t="s">
        <v>28</v>
      </c>
    </row>
    <row r="45" customFormat="false" ht="15.75" hidden="false" customHeight="false" outlineLevel="0" collapsed="false">
      <c r="A45" s="61" t="n">
        <v>7056</v>
      </c>
      <c r="B45" s="54" t="n">
        <v>44974</v>
      </c>
      <c r="C45" s="21" t="s">
        <v>389</v>
      </c>
      <c r="D45" s="21" t="s">
        <v>24</v>
      </c>
      <c r="E45" s="21" t="s">
        <v>25</v>
      </c>
      <c r="F45" s="21" t="s">
        <v>2185</v>
      </c>
      <c r="G45" s="30" t="s">
        <v>2186</v>
      </c>
      <c r="H45" s="45" t="str">
        <f aca="false">HYPERLINK("https://photos.app.goo.gl/YjvQHXnf73uSnNUcA", "Completo")</f>
        <v>Completo</v>
      </c>
      <c r="I45" s="21" t="s">
        <v>28</v>
      </c>
      <c r="J45" s="21"/>
      <c r="K45" s="21"/>
      <c r="L45" s="21" t="s">
        <v>2187</v>
      </c>
      <c r="M45" s="21"/>
      <c r="N45" s="69"/>
      <c r="O45" s="21"/>
      <c r="P45" s="21"/>
      <c r="Q45" s="21"/>
      <c r="R45" s="32"/>
      <c r="S45" s="32"/>
      <c r="T45" s="21"/>
      <c r="U45" s="21"/>
      <c r="V45" s="21"/>
      <c r="W45" s="21"/>
      <c r="X45" s="21" t="s">
        <v>28</v>
      </c>
    </row>
    <row r="46" customFormat="false" ht="15.75" hidden="false" customHeight="false" outlineLevel="0" collapsed="false">
      <c r="A46" s="61" t="n">
        <v>7057</v>
      </c>
      <c r="B46" s="29" t="n">
        <v>44974</v>
      </c>
      <c r="C46" s="21" t="s">
        <v>389</v>
      </c>
      <c r="D46" s="21" t="s">
        <v>24</v>
      </c>
      <c r="E46" s="21" t="s">
        <v>25</v>
      </c>
      <c r="F46" s="21" t="s">
        <v>2188</v>
      </c>
      <c r="G46" s="30" t="s">
        <v>2189</v>
      </c>
      <c r="H46" s="45" t="str">
        <f aca="false">HYPERLINK("https://photos.app.goo.gl/S6C6UTPGQ7KUZXEG8", "Completo")</f>
        <v>Completo</v>
      </c>
      <c r="I46" s="21" t="s">
        <v>28</v>
      </c>
      <c r="J46" s="21"/>
      <c r="K46" s="21"/>
      <c r="L46" s="21" t="s">
        <v>2190</v>
      </c>
      <c r="M46" s="21"/>
      <c r="N46" s="69"/>
      <c r="O46" s="21"/>
      <c r="P46" s="21"/>
      <c r="Q46" s="21"/>
      <c r="R46" s="32"/>
      <c r="S46" s="32"/>
      <c r="T46" s="21"/>
      <c r="U46" s="21"/>
      <c r="V46" s="21"/>
      <c r="W46" s="21"/>
      <c r="X46" s="21" t="s">
        <v>28</v>
      </c>
    </row>
    <row r="47" customFormat="false" ht="15.75" hidden="false" customHeight="false" outlineLevel="0" collapsed="false">
      <c r="A47" s="61" t="n">
        <v>7058</v>
      </c>
      <c r="B47" s="29" t="n">
        <v>44974</v>
      </c>
      <c r="C47" s="21" t="s">
        <v>389</v>
      </c>
      <c r="D47" s="21" t="s">
        <v>24</v>
      </c>
      <c r="E47" s="21" t="s">
        <v>25</v>
      </c>
      <c r="F47" s="21" t="s">
        <v>2191</v>
      </c>
      <c r="G47" s="30" t="s">
        <v>2192</v>
      </c>
      <c r="H47" s="45" t="str">
        <f aca="false">HYPERLINK("https://photos.app.goo.gl/y8ZyDiKNxCtxN94R7", "Completo")</f>
        <v>Completo</v>
      </c>
      <c r="I47" s="21" t="s">
        <v>28</v>
      </c>
      <c r="J47" s="21"/>
      <c r="K47" s="21"/>
      <c r="L47" s="21" t="s">
        <v>2193</v>
      </c>
      <c r="M47" s="21"/>
      <c r="N47" s="69"/>
      <c r="O47" s="21"/>
      <c r="P47" s="21"/>
      <c r="Q47" s="21"/>
      <c r="R47" s="32"/>
      <c r="S47" s="32"/>
      <c r="T47" s="21"/>
      <c r="U47" s="21"/>
      <c r="V47" s="21"/>
      <c r="W47" s="21"/>
      <c r="X47" s="21" t="s">
        <v>28</v>
      </c>
    </row>
    <row r="48" customFormat="false" ht="15.75" hidden="false" customHeight="false" outlineLevel="0" collapsed="false">
      <c r="A48" s="61" t="n">
        <v>7059</v>
      </c>
      <c r="B48" s="29" t="n">
        <v>44979</v>
      </c>
      <c r="C48" s="21" t="s">
        <v>2194</v>
      </c>
      <c r="D48" s="21" t="s">
        <v>24</v>
      </c>
      <c r="E48" s="21" t="s">
        <v>25</v>
      </c>
      <c r="F48" s="21" t="s">
        <v>2195</v>
      </c>
      <c r="G48" s="30"/>
      <c r="H48" s="45" t="str">
        <f aca="false">HYPERLINK("https://photos.app.goo.gl/bSFoLygk7d2o7Aq18", "Completo")</f>
        <v>Completo</v>
      </c>
      <c r="I48" s="21" t="s">
        <v>28</v>
      </c>
      <c r="J48" s="21" t="n">
        <v>354417910</v>
      </c>
      <c r="K48" s="21" t="s">
        <v>2196</v>
      </c>
      <c r="L48" s="21"/>
      <c r="M48" s="21"/>
      <c r="N48" s="30"/>
      <c r="O48" s="21"/>
      <c r="P48" s="21"/>
      <c r="Q48" s="21"/>
      <c r="R48" s="32"/>
      <c r="S48" s="32"/>
      <c r="T48" s="21"/>
      <c r="U48" s="21"/>
      <c r="V48" s="21"/>
      <c r="W48" s="21"/>
      <c r="X48" s="21" t="s">
        <v>28</v>
      </c>
    </row>
    <row r="49" customFormat="false" ht="15.75" hidden="false" customHeight="false" outlineLevel="0" collapsed="false">
      <c r="A49" s="61" t="n">
        <v>7060</v>
      </c>
      <c r="B49" s="29" t="n">
        <v>44974</v>
      </c>
      <c r="C49" s="21" t="s">
        <v>357</v>
      </c>
      <c r="D49" s="21" t="s">
        <v>24</v>
      </c>
      <c r="E49" s="21" t="s">
        <v>25</v>
      </c>
      <c r="F49" s="21" t="s">
        <v>2197</v>
      </c>
      <c r="G49" s="30"/>
      <c r="H49" s="45" t="str">
        <f aca="false">HYPERLINK("https://photos.app.goo.gl/Wo3fMyLX7jzLUFscA", "Completo")</f>
        <v>Completo</v>
      </c>
      <c r="I49" s="21" t="s">
        <v>28</v>
      </c>
      <c r="J49" s="21"/>
      <c r="K49" s="21"/>
      <c r="L49" s="21"/>
      <c r="M49" s="21"/>
      <c r="N49" s="30"/>
      <c r="O49" s="21"/>
      <c r="P49" s="21"/>
      <c r="Q49" s="21"/>
      <c r="R49" s="32"/>
      <c r="S49" s="32"/>
      <c r="T49" s="21"/>
      <c r="U49" s="21"/>
      <c r="V49" s="21"/>
      <c r="W49" s="21"/>
      <c r="X49" s="21" t="s">
        <v>28</v>
      </c>
      <c r="Y49" s="12"/>
      <c r="Z49" s="12"/>
      <c r="AA49" s="12"/>
      <c r="AB49" s="12"/>
      <c r="AC49" s="12"/>
      <c r="AD49" s="12"/>
      <c r="AE49" s="12"/>
    </row>
    <row r="50" customFormat="false" ht="15.75" hidden="false" customHeight="false" outlineLevel="0" collapsed="false">
      <c r="A50" s="61" t="n">
        <v>7061</v>
      </c>
      <c r="B50" s="29" t="n">
        <v>44979</v>
      </c>
      <c r="C50" s="21" t="s">
        <v>2198</v>
      </c>
      <c r="D50" s="21" t="s">
        <v>24</v>
      </c>
      <c r="E50" s="21" t="s">
        <v>25</v>
      </c>
      <c r="F50" s="21" t="s">
        <v>2199</v>
      </c>
      <c r="G50" s="30" t="s">
        <v>2200</v>
      </c>
      <c r="H50" s="45" t="str">
        <f aca="false">HYPERLINK("https://photos.app.goo.gl/orq3LdM3Ym4fyAct7", "Completo")</f>
        <v>Completo</v>
      </c>
      <c r="I50" s="21" t="s">
        <v>28</v>
      </c>
      <c r="J50" s="21" t="n">
        <v>3513901090</v>
      </c>
      <c r="K50" s="21" t="s">
        <v>2201</v>
      </c>
      <c r="L50" s="21"/>
      <c r="M50" s="21"/>
      <c r="N50" s="30"/>
      <c r="O50" s="21"/>
      <c r="P50" s="21"/>
      <c r="Q50" s="21"/>
      <c r="R50" s="32"/>
      <c r="S50" s="32"/>
      <c r="T50" s="21" t="s">
        <v>74</v>
      </c>
      <c r="U50" s="46" t="s">
        <v>28</v>
      </c>
      <c r="V50" s="46" t="s">
        <v>28</v>
      </c>
      <c r="W50" s="21" t="s">
        <v>36</v>
      </c>
      <c r="X50" s="21" t="s">
        <v>37</v>
      </c>
      <c r="Y50" s="12"/>
      <c r="Z50" s="12"/>
      <c r="AA50" s="12"/>
      <c r="AB50" s="12"/>
      <c r="AC50" s="12"/>
      <c r="AD50" s="12"/>
      <c r="AE50" s="12"/>
    </row>
    <row r="51" customFormat="false" ht="15.75" hidden="false" customHeight="false" outlineLevel="0" collapsed="false">
      <c r="A51" s="61" t="n">
        <v>7062</v>
      </c>
      <c r="B51" s="29" t="n">
        <v>44980</v>
      </c>
      <c r="C51" s="21" t="s">
        <v>2202</v>
      </c>
      <c r="D51" s="21" t="s">
        <v>24</v>
      </c>
      <c r="E51" s="21" t="s">
        <v>25</v>
      </c>
      <c r="F51" s="21" t="s">
        <v>2203</v>
      </c>
      <c r="G51" s="30" t="s">
        <v>2204</v>
      </c>
      <c r="H51" s="45" t="str">
        <f aca="false">HYPERLINK("https://photos.app.goo.gl/JLcNwq1frpLUSnHx8", "Completo")</f>
        <v>Completo</v>
      </c>
      <c r="I51" s="21" t="s">
        <v>28</v>
      </c>
      <c r="J51" s="21" t="s">
        <v>2205</v>
      </c>
      <c r="K51" s="21"/>
      <c r="L51" s="21"/>
      <c r="M51" s="21"/>
      <c r="N51" s="30"/>
      <c r="O51" s="21"/>
      <c r="P51" s="21"/>
      <c r="Q51" s="21"/>
      <c r="R51" s="32"/>
      <c r="S51" s="32"/>
      <c r="T51" s="21"/>
      <c r="U51" s="66"/>
      <c r="V51" s="66"/>
      <c r="W51" s="21"/>
      <c r="X51" s="21" t="s">
        <v>28</v>
      </c>
    </row>
    <row r="52" customFormat="false" ht="15.75" hidden="false" customHeight="false" outlineLevel="0" collapsed="false">
      <c r="A52" s="61" t="n">
        <v>7063</v>
      </c>
      <c r="B52" s="29" t="n">
        <v>44980</v>
      </c>
      <c r="C52" s="21" t="s">
        <v>2206</v>
      </c>
      <c r="D52" s="21" t="s">
        <v>24</v>
      </c>
      <c r="E52" s="21" t="s">
        <v>25</v>
      </c>
      <c r="F52" s="21" t="s">
        <v>2207</v>
      </c>
      <c r="G52" s="30" t="s">
        <v>2208</v>
      </c>
      <c r="H52" s="45" t="str">
        <f aca="false">HYPERLINK("https://photos.app.goo.gl/MrQE4LJXPLyWghJo9", "Completo")</f>
        <v>Completo</v>
      </c>
      <c r="I52" s="21" t="s">
        <v>28</v>
      </c>
      <c r="J52" s="21" t="s">
        <v>29</v>
      </c>
      <c r="K52" s="21" t="s">
        <v>29</v>
      </c>
      <c r="L52" s="21" t="s">
        <v>29</v>
      </c>
      <c r="M52" s="21"/>
      <c r="N52" s="30"/>
      <c r="O52" s="21"/>
      <c r="P52" s="21"/>
      <c r="Q52" s="21"/>
      <c r="R52" s="32"/>
      <c r="S52" s="32"/>
      <c r="T52" s="21"/>
      <c r="U52" s="21"/>
      <c r="V52" s="21"/>
      <c r="W52" s="21"/>
      <c r="X52" s="21" t="s">
        <v>28</v>
      </c>
    </row>
    <row r="53" customFormat="false" ht="15.75" hidden="false" customHeight="false" outlineLevel="0" collapsed="false">
      <c r="A53" s="63" t="n">
        <v>561804</v>
      </c>
      <c r="B53" s="29" t="n">
        <v>44981</v>
      </c>
      <c r="C53" s="21" t="s">
        <v>1013</v>
      </c>
      <c r="D53" s="21" t="s">
        <v>24</v>
      </c>
      <c r="E53" s="21" t="s">
        <v>25</v>
      </c>
      <c r="F53" s="21" t="s">
        <v>2209</v>
      </c>
      <c r="G53" s="30" t="s">
        <v>2210</v>
      </c>
      <c r="H53" s="21" t="s">
        <v>28</v>
      </c>
      <c r="I53" s="21" t="s">
        <v>28</v>
      </c>
      <c r="J53" s="21" t="s">
        <v>29</v>
      </c>
      <c r="K53" s="21" t="s">
        <v>1179</v>
      </c>
      <c r="L53" s="21" t="n">
        <v>17880</v>
      </c>
      <c r="M53" s="21" t="s">
        <v>29</v>
      </c>
      <c r="N53" s="30"/>
      <c r="O53" s="21"/>
      <c r="P53" s="66"/>
      <c r="Q53" s="21"/>
      <c r="R53" s="32"/>
      <c r="S53" s="32"/>
      <c r="T53" s="21"/>
      <c r="U53" s="21"/>
      <c r="V53" s="21"/>
      <c r="W53" s="21"/>
      <c r="X53" s="21" t="s">
        <v>28</v>
      </c>
    </row>
    <row r="54" customFormat="false" ht="15.75" hidden="false" customHeight="false" outlineLevel="0" collapsed="false">
      <c r="A54" s="61" t="n">
        <v>7064</v>
      </c>
      <c r="B54" s="29" t="n">
        <v>44981</v>
      </c>
      <c r="C54" s="21" t="s">
        <v>1456</v>
      </c>
      <c r="D54" s="21" t="s">
        <v>24</v>
      </c>
      <c r="E54" s="21" t="s">
        <v>25</v>
      </c>
      <c r="F54" s="21" t="s">
        <v>2211</v>
      </c>
      <c r="G54" s="30" t="s">
        <v>2212</v>
      </c>
      <c r="H54" s="45" t="str">
        <f aca="false">HYPERLINK("https://photos.app.goo.gl/v8g2T5ouAQ5jSFKp8", "Completo")</f>
        <v>Completo</v>
      </c>
      <c r="I54" s="21" t="s">
        <v>37</v>
      </c>
      <c r="J54" s="21" t="s">
        <v>29</v>
      </c>
      <c r="K54" s="21" t="s">
        <v>29</v>
      </c>
      <c r="L54" s="21" t="n">
        <v>53650</v>
      </c>
      <c r="M54" s="21"/>
      <c r="N54" s="30"/>
      <c r="O54" s="21"/>
      <c r="P54" s="21"/>
      <c r="Q54" s="21"/>
      <c r="R54" s="32"/>
      <c r="S54" s="32"/>
      <c r="T54" s="21"/>
      <c r="U54" s="21"/>
      <c r="V54" s="21"/>
      <c r="W54" s="21"/>
      <c r="X54" s="21" t="s">
        <v>28</v>
      </c>
    </row>
    <row r="55" customFormat="false" ht="15.75" hidden="false" customHeight="false" outlineLevel="0" collapsed="false">
      <c r="A55" s="61" t="n">
        <v>7065</v>
      </c>
      <c r="B55" s="29" t="n">
        <v>44981</v>
      </c>
      <c r="C55" s="21" t="s">
        <v>1456</v>
      </c>
      <c r="D55" s="21" t="s">
        <v>24</v>
      </c>
      <c r="E55" s="21" t="s">
        <v>25</v>
      </c>
      <c r="F55" s="21" t="s">
        <v>2213</v>
      </c>
      <c r="G55" s="30" t="s">
        <v>2214</v>
      </c>
      <c r="H55" s="45" t="str">
        <f aca="false">HYPERLINK("https://photos.app.goo.gl/2BhuhuHi9tm3kPELA", "Completo")</f>
        <v>Completo</v>
      </c>
      <c r="I55" s="21" t="s">
        <v>37</v>
      </c>
      <c r="J55" s="21" t="s">
        <v>29</v>
      </c>
      <c r="K55" s="21" t="s">
        <v>29</v>
      </c>
      <c r="L55" s="21" t="n">
        <v>53650</v>
      </c>
      <c r="M55" s="21"/>
      <c r="N55" s="30"/>
      <c r="O55" s="21"/>
      <c r="P55" s="21"/>
      <c r="Q55" s="21"/>
      <c r="R55" s="32"/>
      <c r="S55" s="32"/>
      <c r="T55" s="21"/>
      <c r="U55" s="21"/>
      <c r="V55" s="21"/>
      <c r="W55" s="21"/>
      <c r="X55" s="21" t="s">
        <v>28</v>
      </c>
    </row>
    <row r="56" customFormat="false" ht="15.75" hidden="false" customHeight="false" outlineLevel="0" collapsed="false">
      <c r="A56" s="61" t="n">
        <v>7066</v>
      </c>
      <c r="B56" s="29" t="n">
        <v>44981</v>
      </c>
      <c r="C56" s="21" t="s">
        <v>1456</v>
      </c>
      <c r="D56" s="21" t="s">
        <v>24</v>
      </c>
      <c r="E56" s="21" t="s">
        <v>25</v>
      </c>
      <c r="F56" s="21" t="s">
        <v>2215</v>
      </c>
      <c r="G56" s="30" t="s">
        <v>2216</v>
      </c>
      <c r="H56" s="45" t="str">
        <f aca="false">HYPERLINK("https://photos.app.goo.gl/syb17wGPvzFhE9Wc6", "Completo")</f>
        <v>Completo</v>
      </c>
      <c r="I56" s="21" t="s">
        <v>37</v>
      </c>
      <c r="J56" s="21" t="s">
        <v>29</v>
      </c>
      <c r="K56" s="21" t="s">
        <v>29</v>
      </c>
      <c r="L56" s="21" t="n">
        <v>53650</v>
      </c>
      <c r="M56" s="21"/>
      <c r="N56" s="30"/>
      <c r="O56" s="21"/>
      <c r="P56" s="21"/>
      <c r="Q56" s="21"/>
      <c r="R56" s="32"/>
      <c r="S56" s="32"/>
      <c r="T56" s="21"/>
      <c r="U56" s="21"/>
      <c r="V56" s="21"/>
      <c r="W56" s="21"/>
      <c r="X56" s="21" t="s">
        <v>28</v>
      </c>
    </row>
    <row r="57" customFormat="false" ht="15.75" hidden="false" customHeight="false" outlineLevel="0" collapsed="false">
      <c r="A57" s="61" t="n">
        <v>7067</v>
      </c>
      <c r="B57" s="29" t="n">
        <v>44981</v>
      </c>
      <c r="C57" s="21" t="s">
        <v>299</v>
      </c>
      <c r="D57" s="21" t="s">
        <v>24</v>
      </c>
      <c r="E57" s="21" t="s">
        <v>25</v>
      </c>
      <c r="F57" s="21" t="s">
        <v>2217</v>
      </c>
      <c r="G57" s="30" t="s">
        <v>29</v>
      </c>
      <c r="H57" s="45" t="str">
        <f aca="false">HYPERLINK("https://photos.app.goo.gl/vBwoEnyxBWhfo2LCA", "Completo")</f>
        <v>Completo</v>
      </c>
      <c r="I57" s="21" t="s">
        <v>28</v>
      </c>
      <c r="J57" s="21" t="s">
        <v>29</v>
      </c>
      <c r="K57" s="21" t="s">
        <v>29</v>
      </c>
      <c r="L57" s="21" t="s">
        <v>29</v>
      </c>
      <c r="M57" s="21" t="s">
        <v>29</v>
      </c>
      <c r="N57" s="30"/>
      <c r="O57" s="21"/>
      <c r="P57" s="21"/>
      <c r="Q57" s="21"/>
      <c r="R57" s="32"/>
      <c r="S57" s="32"/>
      <c r="T57" s="21"/>
      <c r="U57" s="21"/>
      <c r="V57" s="21"/>
      <c r="W57" s="21"/>
      <c r="X57" s="21" t="s">
        <v>28</v>
      </c>
    </row>
    <row r="58" customFormat="false" ht="15.75" hidden="false" customHeight="false" outlineLevel="0" collapsed="false">
      <c r="A58" s="61" t="n">
        <v>7068</v>
      </c>
      <c r="B58" s="29" t="n">
        <v>44984</v>
      </c>
      <c r="C58" s="21" t="s">
        <v>112</v>
      </c>
      <c r="D58" s="21" t="s">
        <v>24</v>
      </c>
      <c r="E58" s="21" t="s">
        <v>25</v>
      </c>
      <c r="F58" s="21" t="s">
        <v>2218</v>
      </c>
      <c r="G58" s="30" t="s">
        <v>29</v>
      </c>
      <c r="H58" s="31" t="s">
        <v>28</v>
      </c>
      <c r="I58" s="21" t="s">
        <v>28</v>
      </c>
      <c r="J58" s="21" t="s">
        <v>29</v>
      </c>
      <c r="K58" s="21" t="s">
        <v>29</v>
      </c>
      <c r="L58" s="21" t="n">
        <v>3894</v>
      </c>
      <c r="M58" s="21" t="s">
        <v>29</v>
      </c>
      <c r="N58" s="30"/>
      <c r="O58" s="21"/>
      <c r="P58" s="21"/>
      <c r="Q58" s="21"/>
      <c r="R58" s="32"/>
      <c r="S58" s="32"/>
      <c r="T58" s="21"/>
      <c r="U58" s="21"/>
      <c r="V58" s="21"/>
      <c r="W58" s="21"/>
      <c r="X58" s="21" t="s">
        <v>28</v>
      </c>
    </row>
    <row r="59" customFormat="false" ht="15.75" hidden="false" customHeight="false" outlineLevel="0" collapsed="false">
      <c r="A59" s="61" t="n">
        <v>7069</v>
      </c>
      <c r="B59" s="29" t="n">
        <v>44984</v>
      </c>
      <c r="C59" s="21" t="s">
        <v>112</v>
      </c>
      <c r="D59" s="21" t="s">
        <v>24</v>
      </c>
      <c r="E59" s="21" t="s">
        <v>25</v>
      </c>
      <c r="F59" s="21" t="s">
        <v>2219</v>
      </c>
      <c r="G59" s="30"/>
      <c r="H59" s="31" t="s">
        <v>28</v>
      </c>
      <c r="I59" s="21" t="s">
        <v>28</v>
      </c>
      <c r="J59" s="21" t="s">
        <v>29</v>
      </c>
      <c r="K59" s="21" t="s">
        <v>29</v>
      </c>
      <c r="L59" s="21" t="n">
        <v>3894</v>
      </c>
      <c r="M59" s="21"/>
      <c r="N59" s="30"/>
      <c r="O59" s="21"/>
      <c r="P59" s="66"/>
      <c r="Q59" s="21"/>
      <c r="R59" s="32"/>
      <c r="S59" s="32"/>
      <c r="T59" s="21" t="s">
        <v>74</v>
      </c>
      <c r="U59" s="46" t="s">
        <v>28</v>
      </c>
      <c r="V59" s="46" t="s">
        <v>28</v>
      </c>
      <c r="W59" s="21" t="s">
        <v>36</v>
      </c>
      <c r="X59" s="21" t="s">
        <v>28</v>
      </c>
    </row>
    <row r="60" customFormat="false" ht="15.75" hidden="false" customHeight="false" outlineLevel="0" collapsed="false">
      <c r="A60" s="61" t="n">
        <v>7070</v>
      </c>
      <c r="B60" s="29" t="n">
        <v>44984</v>
      </c>
      <c r="C60" s="21" t="s">
        <v>112</v>
      </c>
      <c r="D60" s="21" t="s">
        <v>24</v>
      </c>
      <c r="E60" s="21" t="s">
        <v>25</v>
      </c>
      <c r="F60" s="21" t="s">
        <v>2220</v>
      </c>
      <c r="G60" s="30"/>
      <c r="H60" s="31" t="s">
        <v>28</v>
      </c>
      <c r="I60" s="21" t="s">
        <v>28</v>
      </c>
      <c r="J60" s="21"/>
      <c r="K60" s="21" t="s">
        <v>29</v>
      </c>
      <c r="L60" s="21" t="n">
        <v>3894</v>
      </c>
      <c r="M60" s="21" t="s">
        <v>29</v>
      </c>
      <c r="N60" s="30"/>
      <c r="O60" s="21"/>
      <c r="P60" s="66"/>
      <c r="Q60" s="21"/>
      <c r="R60" s="32"/>
      <c r="S60" s="32"/>
      <c r="T60" s="21"/>
      <c r="U60" s="21"/>
      <c r="V60" s="21"/>
      <c r="W60" s="21"/>
      <c r="X60" s="21" t="s">
        <v>28</v>
      </c>
    </row>
    <row r="61" customFormat="false" ht="15.75" hidden="false" customHeight="false" outlineLevel="0" collapsed="false">
      <c r="A61" s="61" t="n">
        <v>7071</v>
      </c>
      <c r="B61" s="29" t="n">
        <v>44985</v>
      </c>
      <c r="C61" s="21" t="s">
        <v>2221</v>
      </c>
      <c r="D61" s="21" t="s">
        <v>24</v>
      </c>
      <c r="E61" s="21" t="s">
        <v>34</v>
      </c>
      <c r="F61" s="21" t="s">
        <v>2222</v>
      </c>
      <c r="G61" s="30"/>
      <c r="H61" s="31"/>
      <c r="I61" s="21"/>
      <c r="J61" s="21"/>
      <c r="K61" s="21"/>
      <c r="L61" s="21"/>
      <c r="M61" s="21"/>
      <c r="N61" s="30"/>
      <c r="O61" s="21"/>
      <c r="P61" s="66"/>
      <c r="Q61" s="21"/>
      <c r="R61" s="32"/>
      <c r="S61" s="32"/>
      <c r="T61" s="21"/>
      <c r="U61" s="21"/>
      <c r="V61" s="21"/>
      <c r="W61" s="21"/>
      <c r="X61" s="21" t="s">
        <v>28</v>
      </c>
    </row>
    <row r="62" customFormat="false" ht="15.75" hidden="false" customHeight="false" outlineLevel="0" collapsed="false">
      <c r="A62" s="61" t="n">
        <v>7072</v>
      </c>
      <c r="B62" s="29" t="n">
        <v>44985</v>
      </c>
      <c r="C62" s="21" t="s">
        <v>2221</v>
      </c>
      <c r="D62" s="21" t="s">
        <v>24</v>
      </c>
      <c r="E62" s="21" t="s">
        <v>34</v>
      </c>
      <c r="F62" s="21" t="s">
        <v>2222</v>
      </c>
      <c r="G62" s="30"/>
      <c r="H62" s="31"/>
      <c r="I62" s="21"/>
      <c r="J62" s="21"/>
      <c r="K62" s="21"/>
      <c r="L62" s="21"/>
      <c r="M62" s="21"/>
      <c r="N62" s="30"/>
      <c r="O62" s="21"/>
      <c r="P62" s="21"/>
      <c r="Q62" s="21"/>
      <c r="R62" s="32"/>
      <c r="S62" s="32"/>
      <c r="T62" s="21"/>
      <c r="U62" s="21"/>
      <c r="V62" s="21"/>
      <c r="W62" s="21"/>
      <c r="X62" s="21" t="s">
        <v>28</v>
      </c>
    </row>
    <row r="63" customFormat="false" ht="15.75" hidden="false" customHeight="false" outlineLevel="0" collapsed="false">
      <c r="A63" s="61"/>
      <c r="B63" s="29"/>
      <c r="C63" s="21"/>
      <c r="D63" s="21"/>
      <c r="E63" s="21"/>
      <c r="F63" s="21"/>
      <c r="G63" s="30"/>
      <c r="H63" s="31"/>
      <c r="I63" s="21"/>
      <c r="J63" s="21"/>
      <c r="K63" s="21"/>
      <c r="L63" s="21"/>
      <c r="M63" s="21"/>
      <c r="N63" s="30"/>
      <c r="O63" s="21"/>
      <c r="P63" s="66"/>
      <c r="Q63" s="21"/>
      <c r="R63" s="32"/>
      <c r="S63" s="32"/>
      <c r="T63" s="21"/>
      <c r="U63" s="21"/>
      <c r="V63" s="21"/>
      <c r="W63" s="21"/>
      <c r="X63" s="21"/>
    </row>
    <row r="64" customFormat="false" ht="15.75" hidden="false" customHeight="false" outlineLevel="0" collapsed="false">
      <c r="A64" s="61"/>
      <c r="B64" s="29"/>
      <c r="C64" s="21"/>
      <c r="D64" s="21"/>
      <c r="E64" s="21"/>
      <c r="F64" s="21"/>
      <c r="G64" s="30"/>
      <c r="H64" s="31"/>
      <c r="I64" s="21"/>
      <c r="J64" s="21"/>
      <c r="K64" s="21"/>
      <c r="L64" s="21"/>
      <c r="M64" s="21"/>
      <c r="N64" s="30"/>
      <c r="O64" s="21"/>
      <c r="P64" s="21"/>
      <c r="Q64" s="21"/>
      <c r="R64" s="32"/>
      <c r="S64" s="32"/>
      <c r="T64" s="21"/>
      <c r="U64" s="21"/>
      <c r="V64" s="21"/>
      <c r="W64" s="21"/>
      <c r="X64" s="21"/>
    </row>
    <row r="65" customFormat="false" ht="15.75" hidden="false" customHeight="false" outlineLevel="0" collapsed="false">
      <c r="A65" s="61"/>
      <c r="B65" s="29"/>
      <c r="C65" s="21"/>
      <c r="D65" s="21"/>
      <c r="E65" s="21"/>
      <c r="F65" s="21"/>
      <c r="G65" s="30"/>
      <c r="H65" s="31"/>
      <c r="I65" s="21"/>
      <c r="J65" s="21"/>
      <c r="K65" s="21"/>
      <c r="L65" s="21"/>
      <c r="M65" s="21"/>
      <c r="N65" s="30"/>
      <c r="O65" s="21"/>
      <c r="P65" s="21"/>
      <c r="Q65" s="21"/>
      <c r="R65" s="32"/>
      <c r="S65" s="32"/>
      <c r="T65" s="21"/>
      <c r="U65" s="21"/>
      <c r="V65" s="21"/>
      <c r="W65" s="21"/>
      <c r="X65" s="21"/>
    </row>
    <row r="66" customFormat="false" ht="15.75" hidden="false" customHeight="false" outlineLevel="0" collapsed="false">
      <c r="A66" s="61"/>
      <c r="B66" s="29"/>
      <c r="C66" s="21"/>
      <c r="D66" s="21"/>
      <c r="E66" s="21"/>
      <c r="F66" s="21"/>
      <c r="G66" s="30"/>
      <c r="H66" s="31"/>
      <c r="I66" s="21"/>
      <c r="J66" s="21"/>
      <c r="K66" s="21"/>
      <c r="L66" s="21"/>
      <c r="M66" s="21"/>
      <c r="N66" s="30"/>
      <c r="O66" s="21"/>
      <c r="P66" s="21"/>
      <c r="Q66" s="21"/>
      <c r="R66" s="32"/>
      <c r="S66" s="32"/>
      <c r="T66" s="21"/>
      <c r="U66" s="21"/>
      <c r="V66" s="21"/>
      <c r="W66" s="21"/>
      <c r="X66" s="21"/>
    </row>
    <row r="67" customFormat="false" ht="15.75" hidden="false" customHeight="false" outlineLevel="0" collapsed="false">
      <c r="A67" s="61"/>
      <c r="B67" s="29"/>
      <c r="C67" s="21"/>
      <c r="D67" s="21"/>
      <c r="E67" s="21"/>
      <c r="F67" s="21"/>
      <c r="G67" s="30"/>
      <c r="H67" s="31"/>
      <c r="I67" s="21"/>
      <c r="J67" s="21"/>
      <c r="K67" s="21"/>
      <c r="L67" s="21"/>
      <c r="M67" s="21"/>
      <c r="N67" s="30"/>
      <c r="O67" s="21"/>
      <c r="P67" s="21"/>
      <c r="Q67" s="21"/>
      <c r="R67" s="32"/>
      <c r="S67" s="32"/>
      <c r="T67" s="21"/>
      <c r="U67" s="21"/>
      <c r="V67" s="21"/>
      <c r="W67" s="21"/>
      <c r="X67" s="21"/>
    </row>
    <row r="68" customFormat="false" ht="15.75" hidden="false" customHeight="false" outlineLevel="0" collapsed="false">
      <c r="A68" s="61"/>
      <c r="B68" s="29"/>
      <c r="C68" s="21"/>
      <c r="D68" s="21"/>
      <c r="E68" s="21"/>
      <c r="F68" s="21"/>
      <c r="G68" s="30"/>
      <c r="H68" s="31"/>
      <c r="I68" s="21"/>
      <c r="J68" s="21"/>
      <c r="K68" s="21"/>
      <c r="L68" s="21"/>
      <c r="M68" s="21"/>
      <c r="N68" s="30"/>
      <c r="O68" s="21"/>
      <c r="P68" s="21"/>
      <c r="Q68" s="21"/>
      <c r="R68" s="32"/>
      <c r="S68" s="32"/>
      <c r="T68" s="21"/>
      <c r="U68" s="21"/>
      <c r="V68" s="21"/>
      <c r="W68" s="21"/>
      <c r="X68" s="21"/>
    </row>
    <row r="69" customFormat="false" ht="15.75" hidden="false" customHeight="false" outlineLevel="0" collapsed="false">
      <c r="A69" s="61"/>
      <c r="B69" s="29"/>
      <c r="C69" s="21"/>
      <c r="D69" s="21"/>
      <c r="E69" s="21"/>
      <c r="F69" s="21"/>
      <c r="G69" s="30"/>
      <c r="H69" s="31"/>
      <c r="I69" s="21"/>
      <c r="J69" s="21"/>
      <c r="K69" s="21"/>
      <c r="L69" s="21"/>
      <c r="M69" s="21"/>
      <c r="N69" s="30"/>
      <c r="O69" s="21"/>
      <c r="P69" s="21"/>
      <c r="Q69" s="21"/>
      <c r="R69" s="32"/>
      <c r="S69" s="32"/>
      <c r="T69" s="21"/>
      <c r="U69" s="21"/>
      <c r="V69" s="21"/>
      <c r="W69" s="21"/>
      <c r="X69" s="21"/>
    </row>
    <row r="70" customFormat="false" ht="15.75" hidden="false" customHeight="false" outlineLevel="0" collapsed="false">
      <c r="A70" s="61"/>
      <c r="B70" s="29"/>
      <c r="C70" s="21"/>
      <c r="D70" s="21"/>
      <c r="E70" s="21"/>
      <c r="F70" s="21"/>
      <c r="G70" s="30"/>
      <c r="H70" s="31"/>
      <c r="I70" s="21"/>
      <c r="J70" s="21"/>
      <c r="K70" s="21"/>
      <c r="L70" s="21"/>
      <c r="M70" s="21"/>
      <c r="N70" s="30"/>
      <c r="O70" s="21"/>
      <c r="P70" s="21"/>
      <c r="Q70" s="21"/>
      <c r="R70" s="32"/>
      <c r="S70" s="32"/>
      <c r="T70" s="21"/>
      <c r="U70" s="21"/>
      <c r="V70" s="21"/>
      <c r="W70" s="21"/>
      <c r="X70" s="21"/>
    </row>
    <row r="71" customFormat="false" ht="15.75" hidden="false" customHeight="false" outlineLevel="0" collapsed="false">
      <c r="A71" s="61"/>
      <c r="B71" s="29"/>
      <c r="C71" s="21"/>
      <c r="D71" s="21"/>
      <c r="E71" s="21"/>
      <c r="F71" s="21"/>
      <c r="G71" s="30"/>
      <c r="H71" s="31"/>
      <c r="I71" s="21"/>
      <c r="J71" s="21"/>
      <c r="K71" s="21"/>
      <c r="L71" s="21"/>
      <c r="M71" s="21"/>
      <c r="N71" s="30"/>
      <c r="O71" s="21"/>
      <c r="P71" s="21"/>
      <c r="Q71" s="21"/>
      <c r="R71" s="32"/>
      <c r="S71" s="32"/>
      <c r="T71" s="21"/>
      <c r="U71" s="21"/>
      <c r="V71" s="21"/>
      <c r="W71" s="21"/>
      <c r="X71" s="21"/>
    </row>
    <row r="72" customFormat="false" ht="15.75" hidden="false" customHeight="false" outlineLevel="0" collapsed="false">
      <c r="A72" s="61"/>
      <c r="B72" s="29"/>
      <c r="C72" s="21"/>
      <c r="D72" s="21"/>
      <c r="E72" s="21"/>
      <c r="F72" s="21"/>
      <c r="G72" s="30"/>
      <c r="H72" s="31"/>
      <c r="I72" s="21"/>
      <c r="J72" s="21"/>
      <c r="K72" s="21"/>
      <c r="L72" s="21"/>
      <c r="M72" s="21"/>
      <c r="N72" s="30"/>
      <c r="O72" s="21"/>
      <c r="P72" s="21"/>
      <c r="Q72" s="21"/>
      <c r="R72" s="32"/>
      <c r="S72" s="32"/>
      <c r="T72" s="21"/>
      <c r="U72" s="21"/>
      <c r="V72" s="21"/>
      <c r="W72" s="21"/>
      <c r="X72" s="21"/>
    </row>
    <row r="73" customFormat="false" ht="15.75" hidden="false" customHeight="false" outlineLevel="0" collapsed="false">
      <c r="A73" s="61"/>
      <c r="B73" s="29"/>
      <c r="C73" s="21"/>
      <c r="D73" s="21"/>
      <c r="E73" s="21"/>
      <c r="F73" s="21"/>
      <c r="G73" s="30"/>
      <c r="H73" s="31"/>
      <c r="I73" s="21"/>
      <c r="J73" s="21"/>
      <c r="K73" s="21"/>
      <c r="L73" s="21"/>
      <c r="M73" s="21"/>
      <c r="N73" s="30"/>
      <c r="O73" s="21"/>
      <c r="P73" s="21"/>
      <c r="Q73" s="21"/>
      <c r="R73" s="32"/>
      <c r="S73" s="32"/>
      <c r="T73" s="21"/>
      <c r="U73" s="21"/>
      <c r="V73" s="21"/>
      <c r="W73" s="21"/>
      <c r="X73" s="21"/>
    </row>
    <row r="74" customFormat="false" ht="15.75" hidden="false" customHeight="false" outlineLevel="0" collapsed="false">
      <c r="A74" s="61"/>
      <c r="B74" s="29"/>
      <c r="C74" s="21"/>
      <c r="D74" s="21"/>
      <c r="E74" s="21"/>
      <c r="F74" s="21"/>
      <c r="G74" s="30"/>
      <c r="H74" s="31"/>
      <c r="I74" s="21"/>
      <c r="J74" s="21"/>
      <c r="K74" s="21"/>
      <c r="L74" s="21"/>
      <c r="M74" s="21"/>
      <c r="N74" s="30"/>
      <c r="O74" s="21"/>
      <c r="P74" s="21"/>
      <c r="Q74" s="21"/>
      <c r="R74" s="32"/>
      <c r="S74" s="32"/>
      <c r="T74" s="21"/>
      <c r="U74" s="21"/>
      <c r="V74" s="21"/>
      <c r="W74" s="21"/>
      <c r="X74" s="21"/>
    </row>
    <row r="75" customFormat="false" ht="15.75" hidden="false" customHeight="false" outlineLevel="0" collapsed="false">
      <c r="A75" s="61"/>
      <c r="B75" s="29"/>
      <c r="C75" s="21"/>
      <c r="D75" s="21"/>
      <c r="E75" s="21"/>
      <c r="F75" s="21"/>
      <c r="G75" s="30"/>
      <c r="H75" s="31"/>
      <c r="I75" s="21"/>
      <c r="J75" s="21"/>
      <c r="K75" s="21"/>
      <c r="L75" s="21"/>
      <c r="M75" s="21"/>
      <c r="N75" s="30"/>
      <c r="O75" s="21"/>
      <c r="P75" s="21"/>
      <c r="Q75" s="21"/>
      <c r="R75" s="32"/>
      <c r="S75" s="32"/>
      <c r="T75" s="21"/>
      <c r="U75" s="21"/>
      <c r="V75" s="21"/>
      <c r="W75" s="21"/>
      <c r="X75" s="21"/>
    </row>
    <row r="76" customFormat="false" ht="15.75" hidden="false" customHeight="false" outlineLevel="0" collapsed="false">
      <c r="A76" s="61"/>
      <c r="B76" s="29"/>
      <c r="C76" s="21"/>
      <c r="D76" s="21"/>
      <c r="E76" s="21"/>
      <c r="F76" s="21"/>
      <c r="G76" s="30"/>
      <c r="H76" s="31"/>
      <c r="I76" s="21"/>
      <c r="J76" s="21"/>
      <c r="K76" s="21"/>
      <c r="L76" s="21"/>
      <c r="M76" s="21"/>
      <c r="N76" s="30"/>
      <c r="O76" s="21"/>
      <c r="P76" s="21"/>
      <c r="Q76" s="21"/>
      <c r="R76" s="32"/>
      <c r="S76" s="32"/>
      <c r="T76" s="21"/>
      <c r="U76" s="21"/>
      <c r="V76" s="21"/>
      <c r="W76" s="21"/>
      <c r="X76" s="21"/>
    </row>
    <row r="77" customFormat="false" ht="15.75" hidden="false" customHeight="false" outlineLevel="0" collapsed="false">
      <c r="A77" s="61"/>
      <c r="B77" s="29"/>
      <c r="C77" s="21"/>
      <c r="D77" s="21"/>
      <c r="E77" s="21"/>
      <c r="F77" s="21"/>
      <c r="G77" s="30"/>
      <c r="H77" s="31"/>
      <c r="I77" s="21"/>
      <c r="J77" s="21"/>
      <c r="K77" s="21"/>
      <c r="L77" s="21"/>
      <c r="M77" s="21"/>
      <c r="N77" s="30"/>
      <c r="O77" s="21"/>
      <c r="P77" s="21"/>
      <c r="Q77" s="21"/>
      <c r="R77" s="32"/>
      <c r="S77" s="32"/>
      <c r="T77" s="21"/>
      <c r="U77" s="21"/>
      <c r="V77" s="21"/>
      <c r="W77" s="21"/>
      <c r="X77" s="21"/>
    </row>
    <row r="78" customFormat="false" ht="15.75" hidden="false" customHeight="false" outlineLevel="0" collapsed="false">
      <c r="A78" s="61"/>
      <c r="B78" s="29"/>
      <c r="C78" s="21"/>
      <c r="D78" s="21"/>
      <c r="E78" s="21"/>
      <c r="F78" s="21"/>
      <c r="G78" s="30"/>
      <c r="H78" s="31"/>
      <c r="I78" s="21"/>
      <c r="J78" s="21"/>
      <c r="K78" s="21"/>
      <c r="L78" s="21"/>
      <c r="M78" s="21"/>
      <c r="N78" s="30"/>
      <c r="O78" s="21"/>
      <c r="P78" s="21"/>
      <c r="Q78" s="21"/>
      <c r="R78" s="32"/>
      <c r="S78" s="32"/>
      <c r="T78" s="21"/>
      <c r="U78" s="21"/>
      <c r="V78" s="21"/>
      <c r="W78" s="21"/>
      <c r="X78" s="21"/>
    </row>
    <row r="79" customFormat="false" ht="15.75" hidden="false" customHeight="false" outlineLevel="0" collapsed="false">
      <c r="A79" s="61"/>
      <c r="B79" s="29"/>
      <c r="C79" s="21"/>
      <c r="D79" s="21"/>
      <c r="E79" s="21"/>
      <c r="F79" s="21"/>
      <c r="G79" s="30"/>
      <c r="H79" s="31"/>
      <c r="I79" s="21"/>
      <c r="J79" s="21"/>
      <c r="K79" s="21"/>
      <c r="L79" s="21"/>
      <c r="M79" s="21"/>
      <c r="N79" s="30"/>
      <c r="O79" s="21"/>
      <c r="P79" s="21"/>
      <c r="Q79" s="21"/>
      <c r="R79" s="32"/>
      <c r="S79" s="32"/>
      <c r="T79" s="21"/>
      <c r="U79" s="21"/>
      <c r="V79" s="21"/>
      <c r="W79" s="21"/>
      <c r="X79" s="21"/>
    </row>
    <row r="80" customFormat="false" ht="15.75" hidden="false" customHeight="false" outlineLevel="0" collapsed="false">
      <c r="A80" s="61"/>
      <c r="B80" s="29"/>
      <c r="C80" s="21"/>
      <c r="D80" s="21"/>
      <c r="E80" s="21"/>
      <c r="F80" s="21"/>
      <c r="G80" s="30"/>
      <c r="H80" s="31"/>
      <c r="I80" s="21"/>
      <c r="J80" s="21"/>
      <c r="K80" s="21"/>
      <c r="L80" s="21"/>
      <c r="M80" s="21"/>
      <c r="N80" s="30"/>
      <c r="O80" s="21"/>
      <c r="P80" s="21"/>
      <c r="Q80" s="21"/>
      <c r="R80" s="32"/>
      <c r="S80" s="32"/>
      <c r="T80" s="21"/>
      <c r="U80" s="21"/>
      <c r="V80" s="21"/>
      <c r="W80" s="21"/>
      <c r="X80" s="21"/>
    </row>
    <row r="81" customFormat="false" ht="15.75" hidden="false" customHeight="false" outlineLevel="0" collapsed="false">
      <c r="A81" s="61"/>
      <c r="B81" s="29"/>
      <c r="C81" s="21"/>
      <c r="D81" s="21"/>
      <c r="E81" s="21"/>
      <c r="F81" s="21"/>
      <c r="G81" s="30"/>
      <c r="H81" s="31"/>
      <c r="I81" s="21"/>
      <c r="J81" s="21"/>
      <c r="K81" s="21"/>
      <c r="L81" s="21"/>
      <c r="M81" s="21"/>
      <c r="N81" s="30"/>
      <c r="O81" s="21"/>
      <c r="P81" s="21"/>
      <c r="Q81" s="21"/>
      <c r="R81" s="32"/>
      <c r="S81" s="32"/>
      <c r="T81" s="21"/>
      <c r="U81" s="21"/>
      <c r="V81" s="21"/>
      <c r="W81" s="21"/>
      <c r="X81" s="21"/>
    </row>
    <row r="82" customFormat="false" ht="15.75" hidden="false" customHeight="false" outlineLevel="0" collapsed="false">
      <c r="A82" s="61"/>
      <c r="B82" s="29"/>
      <c r="C82" s="21"/>
      <c r="D82" s="21"/>
      <c r="E82" s="21"/>
      <c r="F82" s="21"/>
      <c r="G82" s="30"/>
      <c r="H82" s="31"/>
      <c r="I82" s="21"/>
      <c r="J82" s="21"/>
      <c r="K82" s="21"/>
      <c r="L82" s="21"/>
      <c r="M82" s="21"/>
      <c r="N82" s="30"/>
      <c r="O82" s="21"/>
      <c r="P82" s="21"/>
      <c r="Q82" s="21"/>
      <c r="R82" s="32"/>
      <c r="S82" s="32"/>
      <c r="T82" s="21"/>
      <c r="U82" s="21"/>
      <c r="V82" s="21"/>
      <c r="W82" s="21"/>
      <c r="X82" s="21"/>
    </row>
    <row r="83" customFormat="false" ht="15.75" hidden="false" customHeight="false" outlineLevel="0" collapsed="false">
      <c r="A83" s="61"/>
      <c r="B83" s="29"/>
      <c r="C83" s="21"/>
      <c r="D83" s="21"/>
      <c r="E83" s="21"/>
      <c r="F83" s="21"/>
      <c r="G83" s="30"/>
      <c r="H83" s="31"/>
      <c r="I83" s="21"/>
      <c r="J83" s="21"/>
      <c r="K83" s="21"/>
      <c r="L83" s="21"/>
      <c r="M83" s="21"/>
      <c r="N83" s="30"/>
      <c r="O83" s="21"/>
      <c r="P83" s="21"/>
      <c r="Q83" s="21"/>
      <c r="R83" s="32"/>
      <c r="S83" s="32"/>
      <c r="T83" s="21"/>
      <c r="U83" s="21"/>
      <c r="V83" s="21"/>
      <c r="W83" s="21"/>
      <c r="X83" s="21"/>
    </row>
    <row r="84" customFormat="false" ht="15.75" hidden="false" customHeight="false" outlineLevel="0" collapsed="false">
      <c r="A84" s="61"/>
      <c r="B84" s="29"/>
      <c r="C84" s="21"/>
      <c r="D84" s="21"/>
      <c r="E84" s="21"/>
      <c r="F84" s="21"/>
      <c r="G84" s="30"/>
      <c r="H84" s="31"/>
      <c r="I84" s="21"/>
      <c r="J84" s="21"/>
      <c r="K84" s="21"/>
      <c r="L84" s="21"/>
      <c r="M84" s="21"/>
      <c r="N84" s="30"/>
      <c r="O84" s="21"/>
      <c r="P84" s="21"/>
      <c r="Q84" s="21"/>
      <c r="R84" s="32"/>
      <c r="S84" s="32"/>
      <c r="T84" s="21"/>
      <c r="U84" s="21"/>
      <c r="V84" s="21"/>
      <c r="W84" s="21"/>
      <c r="X84" s="21"/>
    </row>
    <row r="85" customFormat="false" ht="15.75" hidden="false" customHeight="false" outlineLevel="0" collapsed="false">
      <c r="A85" s="61"/>
      <c r="B85" s="29"/>
      <c r="C85" s="21"/>
      <c r="D85" s="21"/>
      <c r="E85" s="21"/>
      <c r="F85" s="21"/>
      <c r="G85" s="30"/>
      <c r="H85" s="31"/>
      <c r="I85" s="21"/>
      <c r="J85" s="21"/>
      <c r="K85" s="21"/>
      <c r="L85" s="21"/>
      <c r="M85" s="21"/>
      <c r="N85" s="30"/>
      <c r="O85" s="21"/>
      <c r="P85" s="21"/>
      <c r="Q85" s="21"/>
      <c r="R85" s="32"/>
      <c r="S85" s="32"/>
      <c r="T85" s="21"/>
      <c r="U85" s="21"/>
      <c r="V85" s="21"/>
      <c r="W85" s="21"/>
      <c r="X85" s="21"/>
    </row>
    <row r="86" customFormat="false" ht="15.75" hidden="false" customHeight="false" outlineLevel="0" collapsed="false">
      <c r="A86" s="61"/>
      <c r="B86" s="29"/>
      <c r="C86" s="21"/>
      <c r="D86" s="21"/>
      <c r="E86" s="21"/>
      <c r="F86" s="21"/>
      <c r="G86" s="30"/>
      <c r="H86" s="31"/>
      <c r="I86" s="21"/>
      <c r="J86" s="21"/>
      <c r="K86" s="21"/>
      <c r="L86" s="21"/>
      <c r="M86" s="21"/>
      <c r="N86" s="30"/>
      <c r="O86" s="21"/>
      <c r="P86" s="21"/>
      <c r="Q86" s="21"/>
      <c r="R86" s="32"/>
      <c r="S86" s="32"/>
      <c r="T86" s="21"/>
      <c r="U86" s="21"/>
      <c r="V86" s="21"/>
      <c r="W86" s="21"/>
      <c r="X86" s="21"/>
    </row>
    <row r="87" customFormat="false" ht="15.75" hidden="false" customHeight="false" outlineLevel="0" collapsed="false">
      <c r="A87" s="61"/>
      <c r="B87" s="29"/>
      <c r="C87" s="21"/>
      <c r="D87" s="21"/>
      <c r="E87" s="21"/>
      <c r="F87" s="21"/>
      <c r="G87" s="30"/>
      <c r="H87" s="31"/>
      <c r="I87" s="21"/>
      <c r="J87" s="21"/>
      <c r="K87" s="21"/>
      <c r="L87" s="21"/>
      <c r="M87" s="21"/>
      <c r="N87" s="30"/>
      <c r="O87" s="21"/>
      <c r="P87" s="21"/>
      <c r="Q87" s="21"/>
      <c r="R87" s="32"/>
      <c r="S87" s="32"/>
      <c r="T87" s="21"/>
      <c r="U87" s="21"/>
      <c r="V87" s="21"/>
      <c r="W87" s="21"/>
      <c r="X87" s="21"/>
    </row>
    <row r="88" customFormat="false" ht="15.75" hidden="false" customHeight="false" outlineLevel="0" collapsed="false">
      <c r="A88" s="61"/>
      <c r="B88" s="29"/>
      <c r="C88" s="21"/>
      <c r="D88" s="21"/>
      <c r="E88" s="21"/>
      <c r="F88" s="21"/>
      <c r="G88" s="30"/>
      <c r="H88" s="31"/>
      <c r="I88" s="21"/>
      <c r="J88" s="21"/>
      <c r="K88" s="21"/>
      <c r="L88" s="21"/>
      <c r="M88" s="21"/>
      <c r="N88" s="30"/>
      <c r="O88" s="21"/>
      <c r="P88" s="21"/>
      <c r="Q88" s="21"/>
      <c r="R88" s="32"/>
      <c r="S88" s="32"/>
      <c r="T88" s="21"/>
      <c r="U88" s="21"/>
      <c r="V88" s="21"/>
      <c r="W88" s="21"/>
      <c r="X88" s="21"/>
    </row>
    <row r="89" customFormat="false" ht="15.75" hidden="false" customHeight="false" outlineLevel="0" collapsed="false">
      <c r="A89" s="61"/>
      <c r="B89" s="29"/>
      <c r="C89" s="21"/>
      <c r="D89" s="21"/>
      <c r="E89" s="21"/>
      <c r="F89" s="21"/>
      <c r="G89" s="30"/>
      <c r="H89" s="31"/>
      <c r="I89" s="21"/>
      <c r="J89" s="21"/>
      <c r="K89" s="21"/>
      <c r="L89" s="21"/>
      <c r="M89" s="21"/>
      <c r="N89" s="30"/>
      <c r="O89" s="21"/>
      <c r="P89" s="21"/>
      <c r="Q89" s="21"/>
      <c r="R89" s="32"/>
      <c r="S89" s="32"/>
      <c r="T89" s="21"/>
      <c r="U89" s="21"/>
      <c r="V89" s="21"/>
      <c r="W89" s="21"/>
      <c r="X89" s="21"/>
    </row>
    <row r="90" customFormat="false" ht="15.75" hidden="false" customHeight="false" outlineLevel="0" collapsed="false">
      <c r="A90" s="61"/>
      <c r="B90" s="29"/>
      <c r="C90" s="21"/>
      <c r="D90" s="21"/>
      <c r="E90" s="21"/>
      <c r="F90" s="21"/>
      <c r="G90" s="30"/>
      <c r="H90" s="31"/>
      <c r="I90" s="21"/>
      <c r="J90" s="21"/>
      <c r="K90" s="21"/>
      <c r="L90" s="21"/>
      <c r="M90" s="21"/>
      <c r="N90" s="30"/>
      <c r="O90" s="21"/>
      <c r="P90" s="21"/>
      <c r="Q90" s="21"/>
      <c r="R90" s="32"/>
      <c r="S90" s="32"/>
      <c r="T90" s="21"/>
      <c r="U90" s="21"/>
      <c r="V90" s="21"/>
      <c r="W90" s="21"/>
      <c r="X90" s="21"/>
    </row>
    <row r="91" customFormat="false" ht="15.75" hidden="false" customHeight="false" outlineLevel="0" collapsed="false">
      <c r="A91" s="61"/>
      <c r="B91" s="29"/>
      <c r="C91" s="21"/>
      <c r="D91" s="21"/>
      <c r="E91" s="21"/>
      <c r="F91" s="21"/>
      <c r="G91" s="30"/>
      <c r="H91" s="31"/>
      <c r="I91" s="21"/>
      <c r="J91" s="21"/>
      <c r="K91" s="21"/>
      <c r="L91" s="21"/>
      <c r="M91" s="21"/>
      <c r="N91" s="30"/>
      <c r="O91" s="21"/>
      <c r="P91" s="21"/>
      <c r="Q91" s="21"/>
      <c r="R91" s="32"/>
      <c r="S91" s="32"/>
      <c r="T91" s="21"/>
      <c r="U91" s="21"/>
      <c r="V91" s="21"/>
      <c r="W91" s="21"/>
      <c r="X91" s="21"/>
    </row>
    <row r="92" customFormat="false" ht="15.75" hidden="false" customHeight="false" outlineLevel="0" collapsed="false">
      <c r="A92" s="61"/>
      <c r="B92" s="29"/>
      <c r="C92" s="21"/>
      <c r="D92" s="21"/>
      <c r="E92" s="21"/>
      <c r="F92" s="21"/>
      <c r="G92" s="30"/>
      <c r="H92" s="31"/>
      <c r="I92" s="21"/>
      <c r="J92" s="21"/>
      <c r="K92" s="21"/>
      <c r="L92" s="21"/>
      <c r="M92" s="21"/>
      <c r="N92" s="30"/>
      <c r="O92" s="21"/>
      <c r="P92" s="21"/>
      <c r="Q92" s="21"/>
      <c r="R92" s="32"/>
      <c r="S92" s="32"/>
      <c r="T92" s="21"/>
      <c r="U92" s="21"/>
      <c r="V92" s="21"/>
      <c r="W92" s="21"/>
      <c r="X92" s="21"/>
    </row>
    <row r="93" customFormat="false" ht="15.75" hidden="false" customHeight="false" outlineLevel="0" collapsed="false">
      <c r="A93" s="61"/>
      <c r="B93" s="29"/>
      <c r="C93" s="21"/>
      <c r="D93" s="21"/>
      <c r="E93" s="21"/>
      <c r="F93" s="21"/>
      <c r="G93" s="30"/>
      <c r="H93" s="31"/>
      <c r="I93" s="21"/>
      <c r="J93" s="21"/>
      <c r="K93" s="21"/>
      <c r="L93" s="21"/>
      <c r="M93" s="21"/>
      <c r="N93" s="30"/>
      <c r="O93" s="21"/>
      <c r="P93" s="21"/>
      <c r="Q93" s="21"/>
      <c r="R93" s="32"/>
      <c r="S93" s="32"/>
      <c r="T93" s="21"/>
      <c r="U93" s="21"/>
      <c r="V93" s="21"/>
      <c r="W93" s="21"/>
      <c r="X93" s="21"/>
    </row>
    <row r="94" customFormat="false" ht="15.75" hidden="false" customHeight="false" outlineLevel="0" collapsed="false">
      <c r="A94" s="61"/>
      <c r="B94" s="29"/>
      <c r="C94" s="21"/>
      <c r="D94" s="21"/>
      <c r="E94" s="21"/>
      <c r="F94" s="21"/>
      <c r="G94" s="30"/>
      <c r="H94" s="31"/>
      <c r="I94" s="21"/>
      <c r="J94" s="21"/>
      <c r="K94" s="21"/>
      <c r="L94" s="21"/>
      <c r="M94" s="21"/>
      <c r="N94" s="30"/>
      <c r="O94" s="21"/>
      <c r="P94" s="21"/>
      <c r="Q94" s="21"/>
      <c r="R94" s="32"/>
      <c r="S94" s="32"/>
      <c r="T94" s="21"/>
      <c r="U94" s="21"/>
      <c r="V94" s="21"/>
      <c r="W94" s="21"/>
      <c r="X94" s="21"/>
    </row>
    <row r="95" customFormat="false" ht="15.75" hidden="false" customHeight="false" outlineLevel="0" collapsed="false">
      <c r="A95" s="61"/>
      <c r="B95" s="29"/>
      <c r="C95" s="21"/>
      <c r="D95" s="21"/>
      <c r="E95" s="21"/>
      <c r="F95" s="21"/>
      <c r="G95" s="30"/>
      <c r="H95" s="31"/>
      <c r="I95" s="21"/>
      <c r="J95" s="21"/>
      <c r="K95" s="21"/>
      <c r="L95" s="21"/>
      <c r="M95" s="21"/>
      <c r="N95" s="30"/>
      <c r="O95" s="21"/>
      <c r="P95" s="21"/>
      <c r="Q95" s="21"/>
      <c r="R95" s="32"/>
      <c r="S95" s="32"/>
      <c r="T95" s="21"/>
      <c r="U95" s="21"/>
      <c r="V95" s="21"/>
      <c r="W95" s="21"/>
      <c r="X95" s="21"/>
    </row>
    <row r="96" customFormat="false" ht="15.75" hidden="false" customHeight="false" outlineLevel="0" collapsed="false">
      <c r="A96" s="61"/>
      <c r="B96" s="29"/>
      <c r="C96" s="21"/>
      <c r="D96" s="21"/>
      <c r="E96" s="21"/>
      <c r="F96" s="21"/>
      <c r="G96" s="30"/>
      <c r="H96" s="31"/>
      <c r="I96" s="21"/>
      <c r="J96" s="21"/>
      <c r="K96" s="21"/>
      <c r="L96" s="21"/>
      <c r="M96" s="21"/>
      <c r="N96" s="30"/>
      <c r="O96" s="21"/>
      <c r="P96" s="21"/>
      <c r="Q96" s="21"/>
      <c r="R96" s="32"/>
      <c r="S96" s="32"/>
      <c r="T96" s="21"/>
      <c r="U96" s="21"/>
      <c r="V96" s="21"/>
      <c r="W96" s="21"/>
      <c r="X96" s="21"/>
    </row>
    <row r="97" customFormat="false" ht="15.75" hidden="false" customHeight="false" outlineLevel="0" collapsed="false">
      <c r="A97" s="61"/>
      <c r="B97" s="29"/>
      <c r="C97" s="21"/>
      <c r="D97" s="21"/>
      <c r="E97" s="21"/>
      <c r="F97" s="21"/>
      <c r="G97" s="30"/>
      <c r="H97" s="31"/>
      <c r="I97" s="21"/>
      <c r="J97" s="21"/>
      <c r="K97" s="21"/>
      <c r="L97" s="21"/>
      <c r="M97" s="21"/>
      <c r="N97" s="30"/>
      <c r="O97" s="21"/>
      <c r="P97" s="21"/>
      <c r="Q97" s="21"/>
      <c r="R97" s="32"/>
      <c r="S97" s="32"/>
      <c r="T97" s="21"/>
      <c r="U97" s="21"/>
      <c r="V97" s="21"/>
      <c r="W97" s="21"/>
      <c r="X97" s="21"/>
    </row>
    <row r="98" customFormat="false" ht="15.75" hidden="false" customHeight="false" outlineLevel="0" collapsed="false">
      <c r="A98" s="61"/>
      <c r="B98" s="29"/>
      <c r="C98" s="21"/>
      <c r="D98" s="21"/>
      <c r="E98" s="21"/>
      <c r="F98" s="21"/>
      <c r="G98" s="30"/>
      <c r="H98" s="31"/>
      <c r="I98" s="21"/>
      <c r="J98" s="21"/>
      <c r="K98" s="21"/>
      <c r="L98" s="21"/>
      <c r="M98" s="21"/>
      <c r="N98" s="30"/>
      <c r="O98" s="21"/>
      <c r="P98" s="21"/>
      <c r="Q98" s="21"/>
      <c r="R98" s="32"/>
      <c r="S98" s="32"/>
      <c r="T98" s="21"/>
      <c r="U98" s="21"/>
      <c r="V98" s="21"/>
      <c r="W98" s="21"/>
      <c r="X98" s="21"/>
    </row>
    <row r="99" customFormat="false" ht="15.75" hidden="false" customHeight="false" outlineLevel="0" collapsed="false">
      <c r="A99" s="61"/>
      <c r="B99" s="29"/>
      <c r="C99" s="21"/>
      <c r="D99" s="21"/>
      <c r="E99" s="21"/>
      <c r="F99" s="21"/>
      <c r="G99" s="30"/>
      <c r="H99" s="31"/>
      <c r="I99" s="21"/>
      <c r="J99" s="21"/>
      <c r="K99" s="21"/>
      <c r="L99" s="21"/>
      <c r="M99" s="21"/>
      <c r="N99" s="30"/>
      <c r="O99" s="21"/>
      <c r="P99" s="21"/>
      <c r="Q99" s="21"/>
      <c r="R99" s="32"/>
      <c r="S99" s="32"/>
      <c r="T99" s="21"/>
      <c r="U99" s="21"/>
      <c r="V99" s="21"/>
      <c r="W99" s="21"/>
      <c r="X99" s="21"/>
    </row>
    <row r="100" customFormat="false" ht="15.75" hidden="false" customHeight="false" outlineLevel="0" collapsed="false">
      <c r="A100" s="61"/>
      <c r="B100" s="29"/>
      <c r="C100" s="21"/>
      <c r="D100" s="21"/>
      <c r="E100" s="21"/>
      <c r="F100" s="21"/>
      <c r="G100" s="30"/>
      <c r="H100" s="31"/>
      <c r="I100" s="21"/>
      <c r="J100" s="21"/>
      <c r="K100" s="21"/>
      <c r="L100" s="21"/>
      <c r="M100" s="21"/>
      <c r="N100" s="30"/>
      <c r="O100" s="21"/>
      <c r="P100" s="21"/>
      <c r="Q100" s="21"/>
      <c r="R100" s="32"/>
      <c r="S100" s="32"/>
      <c r="T100" s="21"/>
      <c r="U100" s="21"/>
      <c r="V100" s="21"/>
      <c r="W100" s="21"/>
      <c r="X100" s="21"/>
    </row>
    <row r="101" customFormat="false" ht="15.75" hidden="false" customHeight="false" outlineLevel="0" collapsed="false">
      <c r="A101" s="61"/>
      <c r="B101" s="29"/>
      <c r="C101" s="21"/>
      <c r="D101" s="21"/>
      <c r="E101" s="21"/>
      <c r="F101" s="21"/>
      <c r="G101" s="30"/>
      <c r="H101" s="31"/>
      <c r="I101" s="21"/>
      <c r="J101" s="21"/>
      <c r="K101" s="21"/>
      <c r="L101" s="21"/>
      <c r="M101" s="21"/>
      <c r="N101" s="30"/>
      <c r="O101" s="21"/>
      <c r="P101" s="21"/>
      <c r="Q101" s="21"/>
      <c r="R101" s="32"/>
      <c r="S101" s="32"/>
      <c r="T101" s="21"/>
      <c r="U101" s="21"/>
      <c r="V101" s="21"/>
      <c r="W101" s="21"/>
      <c r="X101" s="21"/>
    </row>
    <row r="102" customFormat="false" ht="15.75" hidden="false" customHeight="false" outlineLevel="0" collapsed="false">
      <c r="A102" s="61"/>
      <c r="B102" s="29"/>
      <c r="C102" s="21"/>
      <c r="D102" s="21"/>
      <c r="E102" s="21"/>
      <c r="F102" s="21"/>
      <c r="G102" s="30"/>
      <c r="H102" s="31"/>
      <c r="I102" s="21"/>
      <c r="J102" s="21"/>
      <c r="K102" s="21"/>
      <c r="L102" s="21"/>
      <c r="M102" s="21"/>
      <c r="N102" s="30"/>
      <c r="O102" s="21"/>
      <c r="P102" s="21"/>
      <c r="Q102" s="21"/>
      <c r="R102" s="32"/>
      <c r="S102" s="32"/>
      <c r="T102" s="21"/>
      <c r="U102" s="21"/>
      <c r="V102" s="21"/>
      <c r="W102" s="21"/>
      <c r="X102" s="21"/>
    </row>
    <row r="103" customFormat="false" ht="15.75" hidden="false" customHeight="false" outlineLevel="0" collapsed="false">
      <c r="A103" s="61"/>
      <c r="B103" s="29"/>
      <c r="C103" s="21"/>
      <c r="D103" s="21"/>
      <c r="E103" s="21"/>
      <c r="F103" s="21"/>
      <c r="G103" s="30"/>
      <c r="H103" s="31"/>
      <c r="I103" s="21"/>
      <c r="J103" s="21"/>
      <c r="K103" s="21"/>
      <c r="L103" s="21"/>
      <c r="M103" s="21"/>
      <c r="N103" s="30"/>
      <c r="O103" s="21"/>
      <c r="P103" s="21"/>
      <c r="Q103" s="21"/>
      <c r="R103" s="32"/>
      <c r="S103" s="32"/>
      <c r="T103" s="21"/>
      <c r="U103" s="21"/>
      <c r="V103" s="21"/>
      <c r="W103" s="21"/>
      <c r="X103" s="21"/>
    </row>
    <row r="104" customFormat="false" ht="15.75" hidden="false" customHeight="false" outlineLevel="0" collapsed="false">
      <c r="A104" s="61"/>
      <c r="B104" s="29"/>
      <c r="C104" s="21"/>
      <c r="D104" s="21"/>
      <c r="E104" s="21"/>
      <c r="F104" s="21"/>
      <c r="G104" s="30"/>
      <c r="H104" s="31"/>
      <c r="I104" s="21"/>
      <c r="J104" s="21"/>
      <c r="K104" s="21"/>
      <c r="L104" s="21"/>
      <c r="M104" s="21"/>
      <c r="N104" s="30"/>
      <c r="O104" s="21"/>
      <c r="P104" s="21"/>
      <c r="Q104" s="21"/>
      <c r="R104" s="32"/>
      <c r="S104" s="32"/>
      <c r="T104" s="21"/>
      <c r="U104" s="21"/>
      <c r="V104" s="21"/>
      <c r="W104" s="21"/>
      <c r="X104" s="21"/>
    </row>
    <row r="105" customFormat="false" ht="15.75" hidden="false" customHeight="false" outlineLevel="0" collapsed="false">
      <c r="A105" s="61"/>
      <c r="B105" s="29"/>
      <c r="C105" s="21"/>
      <c r="D105" s="21"/>
      <c r="E105" s="21"/>
      <c r="F105" s="21"/>
      <c r="G105" s="30"/>
      <c r="H105" s="31"/>
      <c r="I105" s="21"/>
      <c r="J105" s="21"/>
      <c r="K105" s="21"/>
      <c r="L105" s="21"/>
      <c r="M105" s="21"/>
      <c r="N105" s="30"/>
      <c r="O105" s="21"/>
      <c r="P105" s="21"/>
      <c r="Q105" s="21"/>
      <c r="R105" s="32"/>
      <c r="S105" s="32"/>
      <c r="T105" s="21"/>
      <c r="U105" s="21"/>
      <c r="V105" s="21"/>
      <c r="W105" s="21"/>
      <c r="X105" s="21"/>
    </row>
    <row r="106" customFormat="false" ht="15.75" hidden="false" customHeight="false" outlineLevel="0" collapsed="false">
      <c r="A106" s="61"/>
      <c r="B106" s="29"/>
      <c r="C106" s="21"/>
      <c r="D106" s="21"/>
      <c r="E106" s="21"/>
      <c r="F106" s="21"/>
      <c r="G106" s="30"/>
      <c r="H106" s="31"/>
      <c r="I106" s="21"/>
      <c r="J106" s="21"/>
      <c r="K106" s="21"/>
      <c r="L106" s="21"/>
      <c r="M106" s="21"/>
      <c r="N106" s="30"/>
      <c r="O106" s="21"/>
      <c r="P106" s="21"/>
      <c r="Q106" s="21"/>
      <c r="R106" s="32"/>
      <c r="S106" s="32"/>
      <c r="T106" s="21"/>
      <c r="U106" s="21"/>
      <c r="V106" s="21"/>
      <c r="W106" s="21"/>
      <c r="X106" s="21"/>
    </row>
    <row r="107" customFormat="false" ht="15.75" hidden="false" customHeight="false" outlineLevel="0" collapsed="false">
      <c r="A107" s="61"/>
      <c r="B107" s="29"/>
      <c r="C107" s="21"/>
      <c r="D107" s="21"/>
      <c r="E107" s="21"/>
      <c r="F107" s="21"/>
      <c r="G107" s="30"/>
      <c r="H107" s="31"/>
      <c r="I107" s="21"/>
      <c r="J107" s="21"/>
      <c r="K107" s="21"/>
      <c r="L107" s="21"/>
      <c r="M107" s="21"/>
      <c r="N107" s="30"/>
      <c r="O107" s="21"/>
      <c r="P107" s="21"/>
      <c r="Q107" s="21"/>
      <c r="R107" s="32"/>
      <c r="S107" s="32"/>
      <c r="T107" s="21"/>
      <c r="U107" s="21"/>
      <c r="V107" s="21"/>
      <c r="W107" s="21"/>
      <c r="X107" s="21"/>
    </row>
    <row r="108" customFormat="false" ht="15.75" hidden="false" customHeight="false" outlineLevel="0" collapsed="false">
      <c r="A108" s="61"/>
      <c r="B108" s="29"/>
      <c r="C108" s="21"/>
      <c r="D108" s="21"/>
      <c r="E108" s="21"/>
      <c r="F108" s="21"/>
      <c r="G108" s="30"/>
      <c r="H108" s="31"/>
      <c r="I108" s="21"/>
      <c r="J108" s="21"/>
      <c r="K108" s="21"/>
      <c r="L108" s="21"/>
      <c r="M108" s="21"/>
      <c r="N108" s="30"/>
      <c r="O108" s="21"/>
      <c r="P108" s="21"/>
      <c r="Q108" s="21"/>
      <c r="R108" s="32"/>
      <c r="S108" s="32"/>
      <c r="T108" s="21"/>
      <c r="U108" s="21"/>
      <c r="V108" s="21"/>
      <c r="W108" s="21"/>
      <c r="X108" s="21"/>
    </row>
    <row r="109" customFormat="false" ht="15.75" hidden="false" customHeight="false" outlineLevel="0" collapsed="false">
      <c r="A109" s="61"/>
      <c r="B109" s="29"/>
      <c r="C109" s="21"/>
      <c r="D109" s="21"/>
      <c r="E109" s="21"/>
      <c r="F109" s="21"/>
      <c r="G109" s="30"/>
      <c r="H109" s="31"/>
      <c r="I109" s="21"/>
      <c r="J109" s="21"/>
      <c r="K109" s="21"/>
      <c r="L109" s="21"/>
      <c r="M109" s="21"/>
      <c r="N109" s="30"/>
      <c r="O109" s="21"/>
      <c r="P109" s="21"/>
      <c r="Q109" s="21"/>
      <c r="R109" s="32"/>
      <c r="S109" s="32"/>
      <c r="T109" s="21"/>
      <c r="U109" s="21"/>
      <c r="V109" s="21"/>
      <c r="W109" s="21"/>
      <c r="X109" s="21"/>
    </row>
    <row r="110" customFormat="false" ht="15.75" hidden="false" customHeight="false" outlineLevel="0" collapsed="false">
      <c r="A110" s="61"/>
      <c r="B110" s="29"/>
      <c r="C110" s="21"/>
      <c r="D110" s="21"/>
      <c r="E110" s="21"/>
      <c r="F110" s="21"/>
      <c r="G110" s="30"/>
      <c r="H110" s="31"/>
      <c r="I110" s="21"/>
      <c r="J110" s="21"/>
      <c r="K110" s="21"/>
      <c r="L110" s="21"/>
      <c r="M110" s="21"/>
      <c r="N110" s="30"/>
      <c r="O110" s="21"/>
      <c r="P110" s="21"/>
      <c r="Q110" s="21"/>
      <c r="R110" s="32"/>
      <c r="S110" s="32"/>
      <c r="T110" s="21"/>
      <c r="U110" s="21"/>
      <c r="V110" s="21"/>
      <c r="W110" s="21"/>
      <c r="X110" s="21"/>
    </row>
    <row r="111" customFormat="false" ht="15.75" hidden="false" customHeight="false" outlineLevel="0" collapsed="false">
      <c r="A111" s="61"/>
      <c r="B111" s="29"/>
      <c r="C111" s="21"/>
      <c r="D111" s="21"/>
      <c r="E111" s="21"/>
      <c r="F111" s="21"/>
      <c r="G111" s="30"/>
      <c r="H111" s="31"/>
      <c r="I111" s="21"/>
      <c r="J111" s="21"/>
      <c r="K111" s="21"/>
      <c r="L111" s="21"/>
      <c r="M111" s="21"/>
      <c r="N111" s="30"/>
      <c r="O111" s="21"/>
      <c r="P111" s="21"/>
      <c r="Q111" s="21"/>
      <c r="R111" s="32"/>
      <c r="S111" s="32"/>
      <c r="T111" s="21"/>
      <c r="U111" s="21"/>
      <c r="V111" s="21"/>
      <c r="W111" s="21"/>
      <c r="X111" s="21"/>
    </row>
    <row r="112" customFormat="false" ht="15.75" hidden="false" customHeight="false" outlineLevel="0" collapsed="false">
      <c r="A112" s="61"/>
      <c r="B112" s="29"/>
      <c r="C112" s="21"/>
      <c r="D112" s="21"/>
      <c r="E112" s="21"/>
      <c r="F112" s="21"/>
      <c r="G112" s="30"/>
      <c r="H112" s="31"/>
      <c r="I112" s="21"/>
      <c r="J112" s="21"/>
      <c r="K112" s="21"/>
      <c r="L112" s="21"/>
      <c r="M112" s="21"/>
      <c r="N112" s="30"/>
      <c r="O112" s="21"/>
      <c r="P112" s="21"/>
      <c r="Q112" s="21"/>
      <c r="R112" s="32"/>
      <c r="S112" s="32"/>
      <c r="T112" s="21"/>
      <c r="U112" s="21"/>
      <c r="V112" s="21"/>
      <c r="W112" s="21"/>
      <c r="X112" s="21"/>
    </row>
    <row r="113" customFormat="false" ht="15.75" hidden="false" customHeight="false" outlineLevel="0" collapsed="false">
      <c r="A113" s="61"/>
      <c r="B113" s="29"/>
      <c r="C113" s="21"/>
      <c r="D113" s="21"/>
      <c r="E113" s="21"/>
      <c r="F113" s="21"/>
      <c r="G113" s="30"/>
      <c r="H113" s="31"/>
      <c r="I113" s="21"/>
      <c r="J113" s="21"/>
      <c r="K113" s="21"/>
      <c r="L113" s="21"/>
      <c r="M113" s="21"/>
      <c r="N113" s="30"/>
      <c r="O113" s="21"/>
      <c r="P113" s="21"/>
      <c r="Q113" s="21"/>
      <c r="R113" s="32"/>
      <c r="S113" s="32"/>
      <c r="T113" s="21"/>
      <c r="U113" s="21"/>
      <c r="V113" s="21"/>
      <c r="W113" s="21"/>
      <c r="X113" s="21"/>
    </row>
    <row r="114" customFormat="false" ht="15.75" hidden="false" customHeight="false" outlineLevel="0" collapsed="false">
      <c r="A114" s="61"/>
      <c r="B114" s="29"/>
      <c r="C114" s="21"/>
      <c r="D114" s="21"/>
      <c r="E114" s="21"/>
      <c r="F114" s="21"/>
      <c r="G114" s="30"/>
      <c r="H114" s="31"/>
      <c r="I114" s="21"/>
      <c r="J114" s="21"/>
      <c r="K114" s="21"/>
      <c r="L114" s="21"/>
      <c r="M114" s="21"/>
      <c r="N114" s="30"/>
      <c r="O114" s="21"/>
      <c r="P114" s="21"/>
      <c r="Q114" s="21"/>
      <c r="R114" s="32"/>
      <c r="S114" s="32"/>
      <c r="T114" s="21"/>
      <c r="U114" s="21"/>
      <c r="V114" s="21"/>
      <c r="W114" s="21"/>
      <c r="X114" s="21"/>
    </row>
    <row r="115" customFormat="false" ht="15.75" hidden="false" customHeight="false" outlineLevel="0" collapsed="false">
      <c r="A115" s="12"/>
      <c r="B115" s="34"/>
      <c r="C115" s="12"/>
      <c r="D115" s="12"/>
      <c r="E115" s="12"/>
      <c r="F115" s="12"/>
      <c r="G115" s="18"/>
      <c r="H115" s="35"/>
      <c r="I115" s="12"/>
      <c r="N115" s="18"/>
      <c r="O115" s="12"/>
      <c r="P115" s="12"/>
      <c r="R115" s="36"/>
      <c r="S115" s="36"/>
      <c r="T115" s="21"/>
      <c r="U115" s="12"/>
      <c r="V115" s="12"/>
      <c r="X115" s="12"/>
    </row>
    <row r="116" customFormat="false" ht="15.75" hidden="false" customHeight="false" outlineLevel="0" collapsed="false">
      <c r="A116" s="12"/>
      <c r="B116" s="34"/>
      <c r="C116" s="12"/>
      <c r="D116" s="12"/>
      <c r="E116" s="12"/>
      <c r="F116" s="12"/>
      <c r="G116" s="18"/>
      <c r="H116" s="35"/>
      <c r="I116" s="12"/>
      <c r="N116" s="18"/>
      <c r="O116" s="12"/>
      <c r="P116" s="12"/>
      <c r="R116" s="36"/>
      <c r="S116" s="36"/>
      <c r="T116" s="21"/>
      <c r="U116" s="12"/>
      <c r="V116" s="12"/>
      <c r="X116" s="12"/>
    </row>
    <row r="117" customFormat="false" ht="15.75" hidden="false" customHeight="false" outlineLevel="0" collapsed="false">
      <c r="A117" s="12"/>
      <c r="B117" s="34"/>
      <c r="C117" s="12"/>
      <c r="D117" s="12"/>
      <c r="E117" s="12"/>
      <c r="F117" s="12"/>
      <c r="G117" s="18"/>
      <c r="H117" s="35"/>
      <c r="I117" s="12"/>
      <c r="N117" s="18"/>
      <c r="O117" s="12"/>
      <c r="P117" s="12"/>
      <c r="R117" s="36"/>
      <c r="S117" s="36"/>
      <c r="T117" s="21"/>
      <c r="U117" s="12"/>
      <c r="V117" s="12"/>
      <c r="X117" s="12"/>
    </row>
    <row r="118" customFormat="false" ht="15.75" hidden="false" customHeight="false" outlineLevel="0" collapsed="false">
      <c r="A118" s="12"/>
      <c r="B118" s="34"/>
      <c r="C118" s="12"/>
      <c r="D118" s="12"/>
      <c r="E118" s="12"/>
      <c r="F118" s="12"/>
      <c r="G118" s="18"/>
      <c r="H118" s="35"/>
      <c r="I118" s="12"/>
      <c r="M118" s="12"/>
      <c r="N118" s="18"/>
      <c r="O118" s="12"/>
      <c r="P118" s="12"/>
      <c r="Q118" s="12"/>
      <c r="R118" s="36"/>
      <c r="S118" s="36"/>
      <c r="T118" s="21"/>
      <c r="U118" s="12"/>
      <c r="V118" s="12"/>
      <c r="W118" s="12"/>
      <c r="X118" s="12"/>
    </row>
    <row r="119" customFormat="false" ht="15.75" hidden="false" customHeight="false" outlineLevel="0" collapsed="false">
      <c r="A119" s="12"/>
      <c r="B119" s="34"/>
      <c r="C119" s="12"/>
      <c r="D119" s="12"/>
      <c r="E119" s="12"/>
      <c r="F119" s="12"/>
      <c r="G119" s="18"/>
      <c r="H119" s="35"/>
      <c r="I119" s="12"/>
      <c r="M119" s="12"/>
      <c r="N119" s="18"/>
      <c r="O119" s="12"/>
      <c r="P119" s="12"/>
      <c r="Q119" s="12"/>
      <c r="R119" s="36"/>
      <c r="S119" s="36"/>
      <c r="T119" s="21"/>
      <c r="U119" s="12"/>
      <c r="V119" s="12"/>
      <c r="W119" s="12"/>
      <c r="X119" s="12"/>
    </row>
    <row r="120" customFormat="false" ht="15.75" hidden="false" customHeight="false" outlineLevel="0" collapsed="false">
      <c r="A120" s="12"/>
      <c r="B120" s="34"/>
      <c r="C120" s="12"/>
      <c r="D120" s="12"/>
      <c r="E120" s="12"/>
      <c r="F120" s="12"/>
      <c r="G120" s="18"/>
      <c r="H120" s="35"/>
      <c r="I120" s="12"/>
      <c r="M120" s="12"/>
      <c r="N120" s="18"/>
      <c r="O120" s="12"/>
      <c r="P120" s="12"/>
      <c r="Q120" s="12"/>
      <c r="R120" s="36"/>
      <c r="S120" s="36"/>
      <c r="T120" s="21"/>
      <c r="U120" s="12"/>
      <c r="V120" s="12"/>
      <c r="W120" s="12"/>
      <c r="X120" s="12"/>
    </row>
    <row r="121" customFormat="false" ht="15.75" hidden="false" customHeight="false" outlineLevel="0" collapsed="false">
      <c r="A121" s="12"/>
      <c r="B121" s="34"/>
      <c r="C121" s="12"/>
      <c r="D121" s="12"/>
      <c r="E121" s="12"/>
      <c r="F121" s="12"/>
      <c r="G121" s="18"/>
      <c r="H121" s="35"/>
      <c r="I121" s="12"/>
      <c r="M121" s="12"/>
      <c r="N121" s="18"/>
      <c r="O121" s="12"/>
      <c r="P121" s="12"/>
      <c r="Q121" s="12"/>
      <c r="R121" s="36"/>
      <c r="S121" s="36"/>
      <c r="T121" s="21"/>
      <c r="U121" s="12"/>
      <c r="V121" s="12"/>
      <c r="W121" s="12"/>
      <c r="X121" s="12"/>
    </row>
    <row r="122" customFormat="false" ht="15.75" hidden="false" customHeight="false" outlineLevel="0" collapsed="false">
      <c r="A122" s="12"/>
      <c r="B122" s="34"/>
      <c r="C122" s="12"/>
      <c r="D122" s="12"/>
      <c r="E122" s="12"/>
      <c r="F122" s="12"/>
      <c r="G122" s="18"/>
      <c r="H122" s="35"/>
      <c r="I122" s="12"/>
      <c r="M122" s="12"/>
      <c r="N122" s="18"/>
      <c r="O122" s="12"/>
      <c r="P122" s="12"/>
      <c r="Q122" s="12"/>
      <c r="R122" s="36"/>
      <c r="S122" s="36"/>
      <c r="T122" s="21"/>
      <c r="U122" s="12"/>
      <c r="V122" s="12"/>
      <c r="W122" s="12"/>
      <c r="X122" s="12"/>
    </row>
    <row r="123" customFormat="false" ht="15.75" hidden="false" customHeight="false" outlineLevel="0" collapsed="false">
      <c r="A123" s="12"/>
      <c r="B123" s="34"/>
      <c r="C123" s="12"/>
      <c r="D123" s="12"/>
      <c r="E123" s="12"/>
      <c r="F123" s="12"/>
      <c r="G123" s="18"/>
      <c r="H123" s="35"/>
      <c r="I123" s="12"/>
      <c r="M123" s="12"/>
      <c r="N123" s="18"/>
      <c r="O123" s="12"/>
      <c r="P123" s="12"/>
      <c r="Q123" s="12"/>
      <c r="R123" s="36"/>
      <c r="S123" s="36"/>
      <c r="T123" s="21"/>
      <c r="U123" s="12"/>
      <c r="V123" s="12"/>
      <c r="W123" s="12"/>
      <c r="X123" s="12"/>
    </row>
    <row r="124" customFormat="false" ht="15.75" hidden="false" customHeight="false" outlineLevel="0" collapsed="false">
      <c r="A124" s="12"/>
      <c r="B124" s="34"/>
      <c r="C124" s="12"/>
      <c r="D124" s="12"/>
      <c r="E124" s="12"/>
      <c r="F124" s="12"/>
      <c r="G124" s="18"/>
      <c r="H124" s="35"/>
      <c r="I124" s="12"/>
      <c r="M124" s="12"/>
      <c r="N124" s="18"/>
      <c r="O124" s="12"/>
      <c r="P124" s="12"/>
      <c r="Q124" s="12"/>
      <c r="R124" s="36"/>
      <c r="S124" s="36"/>
      <c r="T124" s="21"/>
      <c r="U124" s="12"/>
      <c r="V124" s="12"/>
      <c r="W124" s="12"/>
      <c r="X124" s="12"/>
    </row>
    <row r="125" customFormat="false" ht="15.75" hidden="false" customHeight="false" outlineLevel="0" collapsed="false">
      <c r="A125" s="12"/>
      <c r="B125" s="34"/>
      <c r="C125" s="12"/>
      <c r="D125" s="12"/>
      <c r="E125" s="12"/>
      <c r="F125" s="12"/>
      <c r="G125" s="18"/>
      <c r="H125" s="35"/>
      <c r="I125" s="12"/>
      <c r="M125" s="12"/>
      <c r="N125" s="18"/>
      <c r="O125" s="12"/>
      <c r="P125" s="12"/>
      <c r="Q125" s="12"/>
      <c r="R125" s="36"/>
      <c r="S125" s="36"/>
      <c r="T125" s="21"/>
      <c r="U125" s="12"/>
      <c r="V125" s="12"/>
      <c r="W125" s="12"/>
      <c r="X125" s="12"/>
    </row>
    <row r="126" customFormat="false" ht="15.75" hidden="false" customHeight="false" outlineLevel="0" collapsed="false">
      <c r="A126" s="12"/>
      <c r="B126" s="34"/>
      <c r="C126" s="12"/>
      <c r="D126" s="12"/>
      <c r="E126" s="12"/>
      <c r="F126" s="12"/>
      <c r="G126" s="18"/>
      <c r="H126" s="35"/>
      <c r="I126" s="12"/>
      <c r="M126" s="12"/>
      <c r="N126" s="18"/>
      <c r="O126" s="12"/>
      <c r="P126" s="12"/>
      <c r="Q126" s="12"/>
      <c r="R126" s="36"/>
      <c r="S126" s="36"/>
      <c r="T126" s="21"/>
      <c r="U126" s="12"/>
      <c r="V126" s="12"/>
      <c r="W126" s="12"/>
      <c r="X126" s="12"/>
    </row>
    <row r="127" customFormat="false" ht="15.75" hidden="false" customHeight="false" outlineLevel="0" collapsed="false">
      <c r="A127" s="12"/>
      <c r="B127" s="34"/>
      <c r="C127" s="12"/>
      <c r="D127" s="12"/>
      <c r="E127" s="12"/>
      <c r="F127" s="12"/>
      <c r="G127" s="18"/>
      <c r="H127" s="35"/>
      <c r="I127" s="12"/>
      <c r="M127" s="12"/>
      <c r="N127" s="18"/>
      <c r="O127" s="12"/>
      <c r="P127" s="12"/>
      <c r="Q127" s="12"/>
      <c r="R127" s="36"/>
      <c r="S127" s="36"/>
      <c r="T127" s="21"/>
      <c r="U127" s="12"/>
      <c r="V127" s="12"/>
      <c r="W127" s="12"/>
      <c r="X127" s="12"/>
    </row>
    <row r="128" customFormat="false" ht="15.75" hidden="false" customHeight="false" outlineLevel="0" collapsed="false">
      <c r="A128" s="12"/>
      <c r="B128" s="34"/>
      <c r="C128" s="12"/>
      <c r="D128" s="12"/>
      <c r="E128" s="12"/>
      <c r="F128" s="12"/>
      <c r="G128" s="18"/>
      <c r="H128" s="35"/>
      <c r="I128" s="12"/>
      <c r="M128" s="12"/>
      <c r="N128" s="18"/>
      <c r="O128" s="12"/>
      <c r="P128" s="12"/>
      <c r="Q128" s="12"/>
      <c r="R128" s="36"/>
      <c r="S128" s="36"/>
      <c r="T128" s="21"/>
      <c r="U128" s="12"/>
      <c r="V128" s="12"/>
      <c r="W128" s="12"/>
      <c r="X128" s="12"/>
    </row>
    <row r="129" customFormat="false" ht="15.75" hidden="false" customHeight="false" outlineLevel="0" collapsed="false">
      <c r="A129" s="12"/>
      <c r="B129" s="34"/>
      <c r="C129" s="12"/>
      <c r="D129" s="12"/>
      <c r="E129" s="12"/>
      <c r="F129" s="12"/>
      <c r="G129" s="18"/>
      <c r="H129" s="35"/>
      <c r="I129" s="12"/>
      <c r="M129" s="12"/>
      <c r="N129" s="18"/>
      <c r="O129" s="12"/>
      <c r="P129" s="12"/>
      <c r="Q129" s="12"/>
      <c r="R129" s="36"/>
      <c r="S129" s="36"/>
      <c r="T129" s="12"/>
      <c r="U129" s="12"/>
      <c r="V129" s="12"/>
      <c r="W129" s="12"/>
      <c r="X129" s="12"/>
    </row>
    <row r="130" customFormat="false" ht="15.75" hidden="false" customHeight="false" outlineLevel="0" collapsed="false">
      <c r="A130" s="12"/>
      <c r="B130" s="34"/>
      <c r="C130" s="12"/>
      <c r="D130" s="12"/>
      <c r="E130" s="12"/>
      <c r="F130" s="12"/>
      <c r="G130" s="18"/>
      <c r="H130" s="35"/>
      <c r="I130" s="12"/>
      <c r="M130" s="12"/>
      <c r="N130" s="18"/>
      <c r="O130" s="12"/>
      <c r="P130" s="12"/>
      <c r="Q130" s="12"/>
      <c r="R130" s="36"/>
      <c r="S130" s="36"/>
      <c r="T130" s="12"/>
      <c r="U130" s="12"/>
      <c r="V130" s="12"/>
      <c r="W130" s="12"/>
      <c r="X130" s="12"/>
    </row>
    <row r="131" customFormat="false" ht="15.75" hidden="false" customHeight="false" outlineLevel="0" collapsed="false">
      <c r="A131" s="12"/>
      <c r="B131" s="34"/>
      <c r="C131" s="12"/>
      <c r="D131" s="12"/>
      <c r="E131" s="12"/>
      <c r="F131" s="12"/>
      <c r="G131" s="18"/>
      <c r="H131" s="35"/>
      <c r="I131" s="12"/>
      <c r="M131" s="12"/>
      <c r="N131" s="18"/>
      <c r="O131" s="12"/>
      <c r="P131" s="12"/>
      <c r="Q131" s="12"/>
      <c r="R131" s="36"/>
      <c r="S131" s="36"/>
      <c r="T131" s="12"/>
      <c r="U131" s="12"/>
      <c r="V131" s="12"/>
      <c r="W131" s="12"/>
      <c r="X131" s="12"/>
    </row>
    <row r="132" customFormat="false" ht="15.75" hidden="false" customHeight="false" outlineLevel="0" collapsed="false">
      <c r="A132" s="12"/>
      <c r="B132" s="34"/>
      <c r="C132" s="12"/>
      <c r="D132" s="12"/>
      <c r="E132" s="12"/>
      <c r="F132" s="12"/>
      <c r="G132" s="18"/>
      <c r="H132" s="35"/>
      <c r="I132" s="12"/>
      <c r="M132" s="12"/>
      <c r="N132" s="18"/>
      <c r="O132" s="12"/>
      <c r="P132" s="12"/>
      <c r="Q132" s="12"/>
      <c r="R132" s="36"/>
      <c r="S132" s="36"/>
      <c r="T132" s="12"/>
      <c r="U132" s="12"/>
      <c r="V132" s="12"/>
      <c r="W132" s="12"/>
      <c r="X132" s="12"/>
    </row>
    <row r="133" customFormat="false" ht="15.75" hidden="false" customHeight="false" outlineLevel="0" collapsed="false">
      <c r="A133" s="12"/>
      <c r="B133" s="34"/>
      <c r="C133" s="12"/>
      <c r="D133" s="12"/>
      <c r="E133" s="12"/>
      <c r="F133" s="12"/>
      <c r="G133" s="18"/>
      <c r="H133" s="35"/>
      <c r="I133" s="12"/>
      <c r="M133" s="12"/>
      <c r="N133" s="18"/>
      <c r="O133" s="12"/>
      <c r="P133" s="12"/>
      <c r="Q133" s="12"/>
      <c r="R133" s="36"/>
      <c r="S133" s="36"/>
      <c r="T133" s="12"/>
      <c r="U133" s="12"/>
      <c r="V133" s="12"/>
      <c r="W133" s="12"/>
      <c r="X133" s="12"/>
    </row>
    <row r="134" customFormat="false" ht="15.75" hidden="false" customHeight="false" outlineLevel="0" collapsed="false">
      <c r="A134" s="12"/>
      <c r="B134" s="34"/>
      <c r="C134" s="12"/>
      <c r="D134" s="12"/>
      <c r="E134" s="12"/>
      <c r="F134" s="12"/>
      <c r="G134" s="18"/>
      <c r="H134" s="35"/>
      <c r="I134" s="12"/>
      <c r="M134" s="12"/>
      <c r="N134" s="18"/>
      <c r="O134" s="12"/>
      <c r="P134" s="12"/>
      <c r="Q134" s="12"/>
      <c r="R134" s="36"/>
      <c r="S134" s="36"/>
      <c r="T134" s="12"/>
      <c r="U134" s="12"/>
      <c r="V134" s="12"/>
      <c r="W134" s="12"/>
      <c r="X134" s="12"/>
    </row>
    <row r="135" customFormat="false" ht="15.75" hidden="false" customHeight="false" outlineLevel="0" collapsed="false">
      <c r="A135" s="12"/>
      <c r="B135" s="34"/>
      <c r="C135" s="12"/>
      <c r="D135" s="12"/>
      <c r="E135" s="12"/>
      <c r="F135" s="12"/>
      <c r="G135" s="18"/>
      <c r="H135" s="35"/>
      <c r="I135" s="12"/>
      <c r="M135" s="12"/>
      <c r="N135" s="18"/>
      <c r="O135" s="12"/>
      <c r="P135" s="12"/>
      <c r="Q135" s="12"/>
      <c r="R135" s="36"/>
      <c r="S135" s="36"/>
      <c r="T135" s="12"/>
      <c r="U135" s="12"/>
      <c r="V135" s="12"/>
      <c r="W135" s="12"/>
      <c r="X135" s="12"/>
    </row>
    <row r="136" customFormat="false" ht="15.75" hidden="false" customHeight="false" outlineLevel="0" collapsed="false">
      <c r="A136" s="12"/>
      <c r="B136" s="34"/>
      <c r="C136" s="12"/>
      <c r="D136" s="12"/>
      <c r="E136" s="12"/>
      <c r="F136" s="12"/>
      <c r="G136" s="18"/>
      <c r="H136" s="35"/>
      <c r="I136" s="12"/>
      <c r="M136" s="12"/>
      <c r="N136" s="18"/>
      <c r="O136" s="12"/>
      <c r="P136" s="12"/>
      <c r="Q136" s="12"/>
      <c r="R136" s="36"/>
      <c r="S136" s="36"/>
      <c r="T136" s="12"/>
      <c r="U136" s="12"/>
      <c r="V136" s="12"/>
      <c r="W136" s="12"/>
      <c r="X136" s="12"/>
    </row>
    <row r="137" customFormat="false" ht="15.75" hidden="false" customHeight="false" outlineLevel="0" collapsed="false">
      <c r="A137" s="12"/>
      <c r="B137" s="34"/>
      <c r="C137" s="12"/>
      <c r="D137" s="12"/>
      <c r="E137" s="12"/>
      <c r="F137" s="12"/>
      <c r="G137" s="18"/>
      <c r="H137" s="35"/>
      <c r="I137" s="12"/>
      <c r="M137" s="12"/>
      <c r="N137" s="18"/>
      <c r="O137" s="12"/>
      <c r="P137" s="12"/>
      <c r="Q137" s="12"/>
      <c r="R137" s="36"/>
      <c r="S137" s="36"/>
      <c r="T137" s="12"/>
      <c r="U137" s="12"/>
      <c r="V137" s="12"/>
      <c r="W137" s="12"/>
      <c r="X137" s="12"/>
    </row>
    <row r="138" customFormat="false" ht="15.75" hidden="false" customHeight="false" outlineLevel="0" collapsed="false">
      <c r="A138" s="12"/>
      <c r="B138" s="34"/>
      <c r="C138" s="12"/>
      <c r="D138" s="12"/>
      <c r="E138" s="12"/>
      <c r="F138" s="12"/>
      <c r="G138" s="18"/>
      <c r="H138" s="35"/>
      <c r="I138" s="12"/>
      <c r="M138" s="12"/>
      <c r="N138" s="18"/>
      <c r="O138" s="12"/>
      <c r="P138" s="12"/>
      <c r="Q138" s="12"/>
      <c r="R138" s="36"/>
      <c r="S138" s="36"/>
      <c r="T138" s="12"/>
      <c r="U138" s="12"/>
      <c r="V138" s="12"/>
      <c r="W138" s="12"/>
      <c r="X138" s="12"/>
    </row>
    <row r="139" customFormat="false" ht="15.75" hidden="false" customHeight="false" outlineLevel="0" collapsed="false">
      <c r="A139" s="12"/>
      <c r="B139" s="34"/>
      <c r="C139" s="12"/>
      <c r="D139" s="12"/>
      <c r="E139" s="12"/>
      <c r="F139" s="12"/>
      <c r="G139" s="18"/>
      <c r="H139" s="35"/>
      <c r="I139" s="12"/>
      <c r="M139" s="12"/>
      <c r="N139" s="18"/>
      <c r="O139" s="12"/>
      <c r="P139" s="12"/>
      <c r="Q139" s="12"/>
      <c r="R139" s="36"/>
      <c r="S139" s="36"/>
      <c r="T139" s="12"/>
      <c r="U139" s="12"/>
      <c r="V139" s="12"/>
      <c r="W139" s="12"/>
      <c r="X139" s="12"/>
    </row>
    <row r="140" customFormat="false" ht="15.75" hidden="false" customHeight="false" outlineLevel="0" collapsed="false">
      <c r="A140" s="12"/>
      <c r="B140" s="34"/>
      <c r="C140" s="12"/>
      <c r="D140" s="12"/>
      <c r="E140" s="12"/>
      <c r="F140" s="12"/>
      <c r="G140" s="18"/>
      <c r="H140" s="35"/>
      <c r="I140" s="12"/>
      <c r="M140" s="12"/>
      <c r="N140" s="18"/>
      <c r="O140" s="12"/>
      <c r="P140" s="12"/>
      <c r="Q140" s="12"/>
      <c r="R140" s="36"/>
      <c r="S140" s="36"/>
      <c r="T140" s="12"/>
      <c r="U140" s="12"/>
      <c r="V140" s="12"/>
      <c r="W140" s="12"/>
      <c r="X140" s="12"/>
    </row>
    <row r="141" customFormat="false" ht="15.75" hidden="false" customHeight="false" outlineLevel="0" collapsed="false">
      <c r="A141" s="12"/>
      <c r="B141" s="34"/>
      <c r="C141" s="12"/>
      <c r="D141" s="12"/>
      <c r="E141" s="12"/>
      <c r="F141" s="12"/>
      <c r="G141" s="18"/>
      <c r="H141" s="35"/>
      <c r="I141" s="12"/>
      <c r="M141" s="12"/>
      <c r="N141" s="18"/>
      <c r="O141" s="12"/>
      <c r="P141" s="12"/>
      <c r="Q141" s="12"/>
      <c r="R141" s="36"/>
      <c r="S141" s="36"/>
      <c r="T141" s="12"/>
      <c r="U141" s="12"/>
      <c r="V141" s="12"/>
      <c r="W141" s="12"/>
      <c r="X141" s="12"/>
    </row>
    <row r="142" customFormat="false" ht="15.75" hidden="false" customHeight="false" outlineLevel="0" collapsed="false">
      <c r="A142" s="12"/>
      <c r="B142" s="34"/>
      <c r="C142" s="12"/>
      <c r="D142" s="12"/>
      <c r="E142" s="12"/>
      <c r="F142" s="12"/>
      <c r="G142" s="18"/>
      <c r="H142" s="35"/>
      <c r="I142" s="12"/>
      <c r="M142" s="12"/>
      <c r="N142" s="18"/>
      <c r="O142" s="12"/>
      <c r="P142" s="12"/>
      <c r="Q142" s="12"/>
      <c r="R142" s="36"/>
      <c r="S142" s="36"/>
      <c r="T142" s="12"/>
      <c r="U142" s="12"/>
      <c r="V142" s="12"/>
      <c r="W142" s="12"/>
      <c r="X142" s="12"/>
    </row>
    <row r="143" customFormat="false" ht="15.75" hidden="false" customHeight="false" outlineLevel="0" collapsed="false">
      <c r="A143" s="12"/>
      <c r="B143" s="34"/>
      <c r="C143" s="12"/>
      <c r="D143" s="12"/>
      <c r="E143" s="12"/>
      <c r="F143" s="12"/>
      <c r="G143" s="18"/>
      <c r="H143" s="35"/>
      <c r="I143" s="12"/>
      <c r="M143" s="12"/>
      <c r="N143" s="18"/>
      <c r="O143" s="12"/>
      <c r="P143" s="12"/>
      <c r="Q143" s="12"/>
      <c r="R143" s="36"/>
      <c r="S143" s="36"/>
      <c r="T143" s="12"/>
      <c r="U143" s="12"/>
      <c r="V143" s="12"/>
      <c r="W143" s="12"/>
      <c r="X143" s="12"/>
    </row>
    <row r="144" customFormat="false" ht="15.75" hidden="false" customHeight="false" outlineLevel="0" collapsed="false">
      <c r="A144" s="12"/>
      <c r="B144" s="34"/>
      <c r="C144" s="12"/>
      <c r="D144" s="12"/>
      <c r="E144" s="12"/>
      <c r="F144" s="12"/>
      <c r="G144" s="18"/>
      <c r="H144" s="35"/>
      <c r="I144" s="12"/>
      <c r="M144" s="12"/>
      <c r="N144" s="18"/>
      <c r="O144" s="12"/>
      <c r="P144" s="12"/>
      <c r="Q144" s="12"/>
      <c r="R144" s="36"/>
      <c r="S144" s="36"/>
      <c r="T144" s="12"/>
      <c r="U144" s="12"/>
      <c r="V144" s="12"/>
      <c r="W144" s="12"/>
      <c r="X144" s="12"/>
    </row>
    <row r="145" customFormat="false" ht="15.75" hidden="false" customHeight="false" outlineLevel="0" collapsed="false">
      <c r="A145" s="12"/>
      <c r="B145" s="34"/>
      <c r="C145" s="12"/>
      <c r="D145" s="12"/>
      <c r="E145" s="12"/>
      <c r="F145" s="12"/>
      <c r="G145" s="18"/>
      <c r="H145" s="35"/>
      <c r="I145" s="12"/>
      <c r="M145" s="12"/>
      <c r="N145" s="18"/>
      <c r="O145" s="12"/>
      <c r="P145" s="12"/>
      <c r="Q145" s="12"/>
      <c r="R145" s="36"/>
      <c r="S145" s="36"/>
      <c r="T145" s="12"/>
      <c r="U145" s="12"/>
      <c r="V145" s="12"/>
      <c r="W145" s="12"/>
      <c r="X145" s="12"/>
    </row>
    <row r="146" customFormat="false" ht="15.75" hidden="false" customHeight="false" outlineLevel="0" collapsed="false">
      <c r="A146" s="12"/>
      <c r="B146" s="34"/>
      <c r="C146" s="12"/>
      <c r="D146" s="12"/>
      <c r="E146" s="12"/>
      <c r="F146" s="12"/>
      <c r="G146" s="18"/>
      <c r="H146" s="35"/>
      <c r="I146" s="12"/>
      <c r="M146" s="12"/>
      <c r="N146" s="18"/>
      <c r="O146" s="12"/>
      <c r="P146" s="12"/>
      <c r="Q146" s="12"/>
      <c r="R146" s="36"/>
      <c r="S146" s="36"/>
      <c r="T146" s="12"/>
      <c r="U146" s="12"/>
      <c r="V146" s="12"/>
      <c r="W146" s="12"/>
      <c r="X146" s="12"/>
    </row>
    <row r="147" customFormat="false" ht="15.75" hidden="false" customHeight="false" outlineLevel="0" collapsed="false">
      <c r="A147" s="12"/>
      <c r="B147" s="34"/>
      <c r="C147" s="12"/>
      <c r="D147" s="12"/>
      <c r="E147" s="12"/>
      <c r="F147" s="12"/>
      <c r="G147" s="18"/>
      <c r="H147" s="35"/>
      <c r="I147" s="12"/>
      <c r="M147" s="12"/>
      <c r="N147" s="18"/>
      <c r="O147" s="12"/>
      <c r="P147" s="12"/>
      <c r="Q147" s="12"/>
      <c r="R147" s="36"/>
      <c r="S147" s="36"/>
      <c r="T147" s="12"/>
      <c r="U147" s="12"/>
      <c r="V147" s="12"/>
      <c r="W147" s="12"/>
      <c r="X147" s="12"/>
    </row>
    <row r="148" customFormat="false" ht="15.75" hidden="false" customHeight="false" outlineLevel="0" collapsed="false">
      <c r="A148" s="12"/>
      <c r="B148" s="34"/>
      <c r="C148" s="12"/>
      <c r="D148" s="12"/>
      <c r="E148" s="12"/>
      <c r="F148" s="12"/>
      <c r="G148" s="18"/>
      <c r="H148" s="35"/>
      <c r="I148" s="12"/>
      <c r="M148" s="12"/>
      <c r="N148" s="18"/>
      <c r="O148" s="12"/>
      <c r="P148" s="12"/>
      <c r="Q148" s="12"/>
      <c r="R148" s="36"/>
      <c r="S148" s="36"/>
      <c r="T148" s="12"/>
      <c r="U148" s="12"/>
      <c r="V148" s="12"/>
      <c r="W148" s="12"/>
      <c r="X148" s="12"/>
    </row>
    <row r="149" customFormat="false" ht="15.75" hidden="false" customHeight="false" outlineLevel="0" collapsed="false">
      <c r="A149" s="12"/>
      <c r="B149" s="34"/>
      <c r="C149" s="12"/>
      <c r="D149" s="12"/>
      <c r="E149" s="12"/>
      <c r="F149" s="12"/>
      <c r="G149" s="18"/>
      <c r="H149" s="35"/>
      <c r="I149" s="12"/>
      <c r="M149" s="12"/>
      <c r="N149" s="18"/>
      <c r="O149" s="12"/>
      <c r="P149" s="12"/>
      <c r="Q149" s="12"/>
      <c r="R149" s="36"/>
      <c r="S149" s="36"/>
      <c r="T149" s="12"/>
      <c r="U149" s="12"/>
      <c r="V149" s="12"/>
      <c r="W149" s="12"/>
      <c r="X149" s="12"/>
    </row>
    <row r="150" customFormat="false" ht="15.75" hidden="false" customHeight="false" outlineLevel="0" collapsed="false">
      <c r="A150" s="12"/>
      <c r="B150" s="34"/>
      <c r="C150" s="12"/>
      <c r="D150" s="12"/>
      <c r="E150" s="12"/>
      <c r="F150" s="12"/>
      <c r="G150" s="18"/>
      <c r="H150" s="35"/>
      <c r="I150" s="12"/>
      <c r="M150" s="12"/>
      <c r="N150" s="18"/>
      <c r="O150" s="12"/>
      <c r="P150" s="12"/>
      <c r="Q150" s="12"/>
      <c r="R150" s="36"/>
      <c r="S150" s="36"/>
      <c r="T150" s="12"/>
      <c r="U150" s="12"/>
      <c r="V150" s="12"/>
      <c r="W150" s="12"/>
      <c r="X150" s="12"/>
    </row>
    <row r="151" customFormat="false" ht="15.75" hidden="false" customHeight="false" outlineLevel="0" collapsed="false">
      <c r="A151" s="12"/>
      <c r="B151" s="34"/>
      <c r="C151" s="12"/>
      <c r="D151" s="12"/>
      <c r="E151" s="12"/>
      <c r="F151" s="12"/>
      <c r="G151" s="18"/>
      <c r="H151" s="35"/>
      <c r="I151" s="12"/>
      <c r="M151" s="12"/>
      <c r="N151" s="18"/>
      <c r="O151" s="12"/>
      <c r="P151" s="12"/>
      <c r="Q151" s="12"/>
      <c r="R151" s="36"/>
      <c r="S151" s="36"/>
      <c r="T151" s="12"/>
      <c r="U151" s="12"/>
      <c r="V151" s="12"/>
      <c r="W151" s="12"/>
      <c r="X151" s="12"/>
    </row>
    <row r="152" customFormat="false" ht="15.75" hidden="false" customHeight="false" outlineLevel="0" collapsed="false">
      <c r="A152" s="12"/>
      <c r="B152" s="34"/>
      <c r="C152" s="12"/>
      <c r="D152" s="12"/>
      <c r="E152" s="12"/>
      <c r="F152" s="12"/>
      <c r="G152" s="18"/>
      <c r="H152" s="35"/>
      <c r="I152" s="12"/>
      <c r="M152" s="12"/>
      <c r="N152" s="18"/>
      <c r="O152" s="12"/>
      <c r="P152" s="12"/>
      <c r="Q152" s="12"/>
      <c r="R152" s="36"/>
      <c r="S152" s="36"/>
      <c r="T152" s="12"/>
      <c r="U152" s="12"/>
      <c r="V152" s="12"/>
      <c r="W152" s="12"/>
      <c r="X152" s="12"/>
    </row>
    <row r="153" customFormat="false" ht="15.75" hidden="false" customHeight="false" outlineLevel="0" collapsed="false">
      <c r="A153" s="12"/>
      <c r="B153" s="34"/>
      <c r="C153" s="12"/>
      <c r="D153" s="12"/>
      <c r="E153" s="12"/>
      <c r="F153" s="12"/>
      <c r="G153" s="18"/>
      <c r="H153" s="35"/>
      <c r="I153" s="12"/>
      <c r="M153" s="12"/>
      <c r="N153" s="18"/>
      <c r="O153" s="12"/>
      <c r="P153" s="12"/>
      <c r="Q153" s="12"/>
      <c r="R153" s="36"/>
      <c r="S153" s="36"/>
      <c r="T153" s="12"/>
      <c r="U153" s="12"/>
      <c r="V153" s="12"/>
      <c r="W153" s="12"/>
      <c r="X153" s="12"/>
    </row>
    <row r="154" customFormat="false" ht="15.75" hidden="false" customHeight="false" outlineLevel="0" collapsed="false">
      <c r="A154" s="12"/>
      <c r="B154" s="34"/>
      <c r="C154" s="12"/>
      <c r="D154" s="12"/>
      <c r="E154" s="12"/>
      <c r="F154" s="12"/>
      <c r="G154" s="18"/>
      <c r="H154" s="35"/>
      <c r="I154" s="12"/>
      <c r="M154" s="12"/>
      <c r="N154" s="18"/>
      <c r="O154" s="12"/>
      <c r="P154" s="12"/>
      <c r="Q154" s="12"/>
      <c r="R154" s="36"/>
      <c r="S154" s="36"/>
      <c r="T154" s="12"/>
      <c r="U154" s="12"/>
      <c r="V154" s="12"/>
      <c r="W154" s="12"/>
      <c r="X154" s="12"/>
    </row>
    <row r="155" customFormat="false" ht="15.75" hidden="false" customHeight="false" outlineLevel="0" collapsed="false">
      <c r="A155" s="12"/>
      <c r="B155" s="34"/>
      <c r="C155" s="12"/>
      <c r="D155" s="12"/>
      <c r="E155" s="12"/>
      <c r="F155" s="12"/>
      <c r="G155" s="18"/>
      <c r="H155" s="35"/>
      <c r="I155" s="12"/>
      <c r="M155" s="12"/>
      <c r="N155" s="18"/>
      <c r="O155" s="12"/>
      <c r="P155" s="12"/>
      <c r="Q155" s="12"/>
      <c r="R155" s="36"/>
      <c r="S155" s="36"/>
      <c r="T155" s="12"/>
      <c r="U155" s="12"/>
      <c r="V155" s="12"/>
      <c r="W155" s="12"/>
      <c r="X155" s="12"/>
    </row>
    <row r="156" customFormat="false" ht="15.75" hidden="false" customHeight="false" outlineLevel="0" collapsed="false">
      <c r="A156" s="12"/>
      <c r="B156" s="34"/>
      <c r="C156" s="12"/>
      <c r="D156" s="12"/>
      <c r="E156" s="12"/>
      <c r="F156" s="12"/>
      <c r="G156" s="18"/>
      <c r="H156" s="35"/>
      <c r="I156" s="12"/>
      <c r="M156" s="12"/>
      <c r="N156" s="18"/>
      <c r="O156" s="12"/>
      <c r="P156" s="12"/>
      <c r="Q156" s="12"/>
      <c r="R156" s="36"/>
      <c r="S156" s="36"/>
      <c r="T156" s="12"/>
      <c r="U156" s="12"/>
      <c r="V156" s="12"/>
      <c r="W156" s="12"/>
      <c r="X156" s="12"/>
    </row>
    <row r="157" customFormat="false" ht="15.75" hidden="false" customHeight="false" outlineLevel="0" collapsed="false">
      <c r="A157" s="12"/>
      <c r="B157" s="34"/>
      <c r="C157" s="12"/>
      <c r="D157" s="12"/>
      <c r="E157" s="12"/>
      <c r="F157" s="12"/>
      <c r="G157" s="18"/>
      <c r="H157" s="35"/>
      <c r="I157" s="12"/>
      <c r="M157" s="12"/>
      <c r="N157" s="18"/>
      <c r="O157" s="12"/>
      <c r="P157" s="12"/>
      <c r="Q157" s="12"/>
      <c r="R157" s="36"/>
      <c r="S157" s="36"/>
      <c r="T157" s="12"/>
      <c r="U157" s="12"/>
      <c r="V157" s="12"/>
      <c r="W157" s="12"/>
      <c r="X157" s="12"/>
    </row>
    <row r="158" customFormat="false" ht="15.75" hidden="false" customHeight="false" outlineLevel="0" collapsed="false">
      <c r="A158" s="12"/>
      <c r="B158" s="34"/>
      <c r="C158" s="12"/>
      <c r="D158" s="12"/>
      <c r="E158" s="12"/>
      <c r="F158" s="12"/>
      <c r="G158" s="18"/>
      <c r="H158" s="35"/>
      <c r="I158" s="12"/>
      <c r="M158" s="12"/>
      <c r="N158" s="18"/>
      <c r="O158" s="12"/>
      <c r="P158" s="12"/>
      <c r="Q158" s="12"/>
      <c r="R158" s="36"/>
      <c r="S158" s="36"/>
      <c r="T158" s="12"/>
      <c r="U158" s="12"/>
      <c r="V158" s="12"/>
      <c r="W158" s="12"/>
      <c r="X158" s="12"/>
    </row>
    <row r="159" customFormat="false" ht="15.75" hidden="false" customHeight="false" outlineLevel="0" collapsed="false">
      <c r="A159" s="12"/>
      <c r="B159" s="34"/>
      <c r="C159" s="12"/>
      <c r="D159" s="12"/>
      <c r="E159" s="12"/>
      <c r="F159" s="12"/>
      <c r="G159" s="18"/>
      <c r="H159" s="35"/>
      <c r="I159" s="12"/>
      <c r="M159" s="12"/>
      <c r="N159" s="18"/>
      <c r="O159" s="12"/>
      <c r="P159" s="12"/>
      <c r="Q159" s="12"/>
      <c r="R159" s="36"/>
      <c r="S159" s="36"/>
      <c r="T159" s="12"/>
      <c r="U159" s="12"/>
      <c r="V159" s="12"/>
      <c r="W159" s="12"/>
      <c r="X159" s="12"/>
    </row>
    <row r="160" customFormat="false" ht="15.75" hidden="false" customHeight="false" outlineLevel="0" collapsed="false">
      <c r="A160" s="12"/>
      <c r="B160" s="34"/>
      <c r="C160" s="12"/>
      <c r="D160" s="12"/>
      <c r="E160" s="12"/>
      <c r="F160" s="12"/>
      <c r="G160" s="18"/>
      <c r="H160" s="35"/>
      <c r="I160" s="12"/>
      <c r="M160" s="12"/>
      <c r="N160" s="18"/>
      <c r="O160" s="12"/>
      <c r="P160" s="12"/>
      <c r="Q160" s="12"/>
      <c r="R160" s="36"/>
      <c r="S160" s="36"/>
      <c r="T160" s="12"/>
      <c r="U160" s="12"/>
      <c r="V160" s="12"/>
      <c r="W160" s="12"/>
      <c r="X160" s="12"/>
    </row>
    <row r="161" customFormat="false" ht="15.75" hidden="false" customHeight="false" outlineLevel="0" collapsed="false">
      <c r="A161" s="12"/>
      <c r="B161" s="34"/>
      <c r="C161" s="12"/>
      <c r="D161" s="12"/>
      <c r="E161" s="12"/>
      <c r="F161" s="12"/>
      <c r="G161" s="18"/>
      <c r="H161" s="35"/>
      <c r="I161" s="12"/>
      <c r="M161" s="12"/>
      <c r="N161" s="18"/>
      <c r="O161" s="12"/>
      <c r="P161" s="12"/>
      <c r="Q161" s="12"/>
      <c r="R161" s="36"/>
      <c r="S161" s="36"/>
      <c r="T161" s="12"/>
      <c r="U161" s="12"/>
      <c r="V161" s="12"/>
      <c r="W161" s="12"/>
      <c r="X161" s="12"/>
    </row>
    <row r="162" customFormat="false" ht="15.75" hidden="false" customHeight="false" outlineLevel="0" collapsed="false">
      <c r="A162" s="12"/>
      <c r="B162" s="34"/>
      <c r="C162" s="12"/>
      <c r="D162" s="12"/>
      <c r="E162" s="12"/>
      <c r="F162" s="12"/>
      <c r="G162" s="18"/>
      <c r="H162" s="35"/>
      <c r="I162" s="12"/>
      <c r="M162" s="12"/>
      <c r="N162" s="18"/>
      <c r="O162" s="12"/>
      <c r="P162" s="12"/>
      <c r="Q162" s="12"/>
      <c r="R162" s="36"/>
      <c r="S162" s="36"/>
      <c r="T162" s="12"/>
      <c r="U162" s="12"/>
      <c r="V162" s="12"/>
      <c r="W162" s="12"/>
      <c r="X162" s="12"/>
    </row>
    <row r="163" customFormat="false" ht="15.75" hidden="false" customHeight="false" outlineLevel="0" collapsed="false">
      <c r="A163" s="12"/>
      <c r="B163" s="34"/>
      <c r="C163" s="12"/>
      <c r="D163" s="12"/>
      <c r="E163" s="12"/>
      <c r="F163" s="12"/>
      <c r="G163" s="18"/>
      <c r="H163" s="35"/>
      <c r="I163" s="12"/>
      <c r="M163" s="12"/>
      <c r="N163" s="18"/>
      <c r="O163" s="12"/>
      <c r="P163" s="12"/>
      <c r="Q163" s="12"/>
      <c r="R163" s="36"/>
      <c r="S163" s="36"/>
      <c r="T163" s="12"/>
      <c r="U163" s="12"/>
      <c r="V163" s="12"/>
      <c r="W163" s="12"/>
      <c r="X163" s="12"/>
    </row>
    <row r="164" customFormat="false" ht="15.75" hidden="false" customHeight="false" outlineLevel="0" collapsed="false">
      <c r="A164" s="12"/>
      <c r="B164" s="34"/>
      <c r="C164" s="12"/>
      <c r="D164" s="12"/>
      <c r="E164" s="12"/>
      <c r="F164" s="12"/>
      <c r="G164" s="18"/>
      <c r="H164" s="35"/>
      <c r="I164" s="12"/>
      <c r="M164" s="12"/>
      <c r="N164" s="18"/>
      <c r="O164" s="12"/>
      <c r="P164" s="12"/>
      <c r="Q164" s="12"/>
      <c r="R164" s="36"/>
      <c r="S164" s="36"/>
      <c r="T164" s="12"/>
      <c r="U164" s="12"/>
      <c r="V164" s="12"/>
      <c r="W164" s="12"/>
      <c r="X164" s="12"/>
    </row>
    <row r="165" customFormat="false" ht="15.75" hidden="false" customHeight="false" outlineLevel="0" collapsed="false">
      <c r="A165" s="12"/>
      <c r="B165" s="34"/>
      <c r="C165" s="12"/>
      <c r="D165" s="12"/>
      <c r="E165" s="12"/>
      <c r="F165" s="12"/>
      <c r="G165" s="18"/>
      <c r="H165" s="35"/>
      <c r="I165" s="12"/>
      <c r="M165" s="12"/>
      <c r="N165" s="18"/>
      <c r="O165" s="12"/>
      <c r="P165" s="12"/>
      <c r="Q165" s="12"/>
      <c r="R165" s="36"/>
      <c r="S165" s="36"/>
      <c r="T165" s="12"/>
      <c r="U165" s="12"/>
      <c r="V165" s="12"/>
      <c r="W165" s="12"/>
      <c r="X165" s="12"/>
    </row>
    <row r="166" customFormat="false" ht="15.75" hidden="false" customHeight="false" outlineLevel="0" collapsed="false">
      <c r="A166" s="12"/>
      <c r="B166" s="34"/>
      <c r="C166" s="12"/>
      <c r="D166" s="12"/>
      <c r="E166" s="12"/>
      <c r="F166" s="12"/>
      <c r="G166" s="18"/>
      <c r="H166" s="35"/>
      <c r="I166" s="12"/>
      <c r="M166" s="12"/>
      <c r="N166" s="18"/>
      <c r="O166" s="12"/>
      <c r="P166" s="12"/>
      <c r="Q166" s="12"/>
      <c r="R166" s="36"/>
      <c r="S166" s="36"/>
      <c r="T166" s="12"/>
      <c r="U166" s="12"/>
      <c r="V166" s="12"/>
      <c r="W166" s="12"/>
      <c r="X166" s="12"/>
    </row>
    <row r="167" customFormat="false" ht="15.75" hidden="false" customHeight="false" outlineLevel="0" collapsed="false">
      <c r="A167" s="12"/>
      <c r="B167" s="34"/>
      <c r="C167" s="12"/>
      <c r="D167" s="12"/>
      <c r="E167" s="12"/>
      <c r="F167" s="12"/>
      <c r="G167" s="18"/>
      <c r="H167" s="35"/>
      <c r="I167" s="12"/>
      <c r="M167" s="12"/>
      <c r="N167" s="18"/>
      <c r="O167" s="12"/>
      <c r="P167" s="12"/>
      <c r="Q167" s="12"/>
      <c r="R167" s="36"/>
      <c r="S167" s="36"/>
      <c r="T167" s="12"/>
      <c r="U167" s="12"/>
      <c r="V167" s="12"/>
      <c r="W167" s="12"/>
      <c r="X167" s="12"/>
    </row>
    <row r="168" customFormat="false" ht="15.75" hidden="false" customHeight="false" outlineLevel="0" collapsed="false">
      <c r="A168" s="12"/>
      <c r="B168" s="34"/>
      <c r="C168" s="12"/>
      <c r="D168" s="12"/>
      <c r="E168" s="12"/>
      <c r="F168" s="12"/>
      <c r="G168" s="18"/>
      <c r="H168" s="35"/>
      <c r="I168" s="12"/>
      <c r="M168" s="12"/>
      <c r="N168" s="18"/>
      <c r="O168" s="12"/>
      <c r="P168" s="12"/>
      <c r="Q168" s="12"/>
      <c r="R168" s="36"/>
      <c r="S168" s="36"/>
      <c r="T168" s="12"/>
      <c r="U168" s="12"/>
      <c r="V168" s="12"/>
      <c r="W168" s="12"/>
      <c r="X168" s="12"/>
    </row>
    <row r="169" customFormat="false" ht="15.75" hidden="false" customHeight="false" outlineLevel="0" collapsed="false">
      <c r="A169" s="12"/>
      <c r="B169" s="34"/>
      <c r="C169" s="12"/>
      <c r="D169" s="12"/>
      <c r="E169" s="12"/>
      <c r="F169" s="12"/>
      <c r="G169" s="18"/>
      <c r="H169" s="35"/>
      <c r="I169" s="12"/>
      <c r="M169" s="12"/>
      <c r="N169" s="18"/>
      <c r="O169" s="12"/>
      <c r="P169" s="12"/>
      <c r="Q169" s="12"/>
      <c r="R169" s="36"/>
      <c r="S169" s="36"/>
      <c r="T169" s="12"/>
      <c r="U169" s="12"/>
      <c r="V169" s="12"/>
      <c r="W169" s="12"/>
      <c r="X169" s="12"/>
    </row>
    <row r="170" customFormat="false" ht="15.75" hidden="false" customHeight="false" outlineLevel="0" collapsed="false">
      <c r="A170" s="12"/>
      <c r="B170" s="34"/>
      <c r="C170" s="12"/>
      <c r="D170" s="12"/>
      <c r="E170" s="12"/>
      <c r="F170" s="12"/>
      <c r="G170" s="18"/>
      <c r="H170" s="35"/>
      <c r="I170" s="12"/>
      <c r="M170" s="12"/>
      <c r="N170" s="18"/>
      <c r="O170" s="12"/>
      <c r="P170" s="12"/>
      <c r="Q170" s="12"/>
      <c r="R170" s="36"/>
      <c r="S170" s="36"/>
      <c r="T170" s="12"/>
      <c r="U170" s="12"/>
      <c r="V170" s="12"/>
      <c r="W170" s="12"/>
      <c r="X170" s="12"/>
    </row>
    <row r="171" customFormat="false" ht="15.75" hidden="false" customHeight="false" outlineLevel="0" collapsed="false">
      <c r="A171" s="12"/>
      <c r="B171" s="34"/>
      <c r="C171" s="12"/>
      <c r="D171" s="12"/>
      <c r="E171" s="12"/>
      <c r="F171" s="12"/>
      <c r="G171" s="18"/>
      <c r="H171" s="35"/>
      <c r="I171" s="12"/>
      <c r="M171" s="12"/>
      <c r="N171" s="18"/>
      <c r="O171" s="12"/>
      <c r="P171" s="12"/>
      <c r="Q171" s="12"/>
      <c r="R171" s="36"/>
      <c r="S171" s="36"/>
      <c r="T171" s="12"/>
      <c r="U171" s="12"/>
      <c r="V171" s="12"/>
      <c r="W171" s="12"/>
      <c r="X171" s="12"/>
    </row>
    <row r="172" customFormat="false" ht="15.75" hidden="false" customHeight="false" outlineLevel="0" collapsed="false">
      <c r="A172" s="12"/>
      <c r="B172" s="34"/>
      <c r="C172" s="12"/>
      <c r="D172" s="12"/>
      <c r="E172" s="12"/>
      <c r="F172" s="12"/>
      <c r="G172" s="18"/>
      <c r="H172" s="35"/>
      <c r="I172" s="12"/>
      <c r="M172" s="12"/>
      <c r="N172" s="18"/>
      <c r="O172" s="12"/>
      <c r="P172" s="12"/>
      <c r="Q172" s="12"/>
      <c r="R172" s="36"/>
      <c r="S172" s="36"/>
      <c r="T172" s="12"/>
      <c r="U172" s="12"/>
      <c r="V172" s="12"/>
      <c r="W172" s="12"/>
      <c r="X172" s="12"/>
    </row>
    <row r="173" customFormat="false" ht="15.75" hidden="false" customHeight="false" outlineLevel="0" collapsed="false">
      <c r="A173" s="12"/>
      <c r="B173" s="34"/>
      <c r="C173" s="12"/>
      <c r="D173" s="12"/>
      <c r="E173" s="12"/>
      <c r="F173" s="12"/>
      <c r="G173" s="18"/>
      <c r="H173" s="35"/>
      <c r="I173" s="12"/>
      <c r="M173" s="12"/>
      <c r="N173" s="18"/>
      <c r="O173" s="12"/>
      <c r="P173" s="12"/>
      <c r="Q173" s="12"/>
      <c r="R173" s="36"/>
      <c r="S173" s="36"/>
      <c r="T173" s="12"/>
      <c r="U173" s="12"/>
      <c r="V173" s="12"/>
      <c r="W173" s="12"/>
      <c r="X173" s="12"/>
    </row>
    <row r="174" customFormat="false" ht="15.75" hidden="false" customHeight="false" outlineLevel="0" collapsed="false">
      <c r="A174" s="12"/>
      <c r="B174" s="34"/>
      <c r="C174" s="12"/>
      <c r="D174" s="12"/>
      <c r="E174" s="12"/>
      <c r="F174" s="12"/>
      <c r="G174" s="18"/>
      <c r="H174" s="35"/>
      <c r="I174" s="12"/>
      <c r="M174" s="12"/>
      <c r="N174" s="18"/>
      <c r="O174" s="12"/>
      <c r="P174" s="12"/>
      <c r="Q174" s="12"/>
      <c r="R174" s="36"/>
      <c r="S174" s="36"/>
      <c r="T174" s="12"/>
      <c r="U174" s="12"/>
      <c r="V174" s="12"/>
      <c r="W174" s="12"/>
      <c r="X174" s="12"/>
    </row>
    <row r="175" customFormat="false" ht="15.75" hidden="false" customHeight="false" outlineLevel="0" collapsed="false">
      <c r="A175" s="12"/>
      <c r="B175" s="34"/>
      <c r="C175" s="12"/>
      <c r="D175" s="12"/>
      <c r="E175" s="12"/>
      <c r="F175" s="12"/>
      <c r="G175" s="18"/>
      <c r="H175" s="35"/>
      <c r="I175" s="12"/>
      <c r="M175" s="12"/>
      <c r="N175" s="18"/>
      <c r="O175" s="12"/>
      <c r="P175" s="12"/>
      <c r="Q175" s="12"/>
      <c r="R175" s="36"/>
      <c r="S175" s="36"/>
      <c r="T175" s="12"/>
      <c r="U175" s="12"/>
      <c r="V175" s="12"/>
      <c r="W175" s="12"/>
      <c r="X175" s="12"/>
    </row>
    <row r="176" customFormat="false" ht="15.75" hidden="false" customHeight="false" outlineLevel="0" collapsed="false">
      <c r="A176" s="12"/>
      <c r="B176" s="34"/>
      <c r="C176" s="12"/>
      <c r="D176" s="12"/>
      <c r="E176" s="12"/>
      <c r="F176" s="12"/>
      <c r="G176" s="18"/>
      <c r="H176" s="35"/>
      <c r="I176" s="12"/>
      <c r="M176" s="12"/>
      <c r="N176" s="18"/>
      <c r="O176" s="12"/>
      <c r="P176" s="12"/>
      <c r="Q176" s="12"/>
      <c r="R176" s="36"/>
      <c r="S176" s="36"/>
      <c r="T176" s="12"/>
      <c r="U176" s="12"/>
      <c r="V176" s="12"/>
      <c r="W176" s="12"/>
      <c r="X176" s="12"/>
    </row>
    <row r="177" customFormat="false" ht="15.75" hidden="false" customHeight="false" outlineLevel="0" collapsed="false">
      <c r="A177" s="12"/>
      <c r="B177" s="34"/>
      <c r="C177" s="12"/>
      <c r="D177" s="12"/>
      <c r="E177" s="12"/>
      <c r="F177" s="12"/>
      <c r="G177" s="18"/>
      <c r="H177" s="35"/>
      <c r="I177" s="12"/>
      <c r="M177" s="12"/>
      <c r="N177" s="18"/>
      <c r="O177" s="12"/>
      <c r="P177" s="12"/>
      <c r="Q177" s="12"/>
      <c r="R177" s="36"/>
      <c r="S177" s="36"/>
      <c r="T177" s="12"/>
      <c r="U177" s="12"/>
      <c r="V177" s="12"/>
      <c r="W177" s="12"/>
      <c r="X177" s="12"/>
    </row>
    <row r="178" customFormat="false" ht="15.75" hidden="false" customHeight="false" outlineLevel="0" collapsed="false">
      <c r="A178" s="12"/>
      <c r="B178" s="34"/>
      <c r="C178" s="12"/>
      <c r="D178" s="12"/>
      <c r="E178" s="12"/>
      <c r="F178" s="12"/>
      <c r="G178" s="18"/>
      <c r="H178" s="35"/>
      <c r="I178" s="12"/>
      <c r="M178" s="12"/>
      <c r="N178" s="18"/>
      <c r="O178" s="12"/>
      <c r="P178" s="12"/>
      <c r="Q178" s="12"/>
      <c r="R178" s="36"/>
      <c r="S178" s="36"/>
      <c r="T178" s="12"/>
      <c r="U178" s="12"/>
      <c r="V178" s="12"/>
      <c r="W178" s="12"/>
      <c r="X178" s="12"/>
    </row>
    <row r="179" customFormat="false" ht="15.75" hidden="false" customHeight="false" outlineLevel="0" collapsed="false">
      <c r="A179" s="12"/>
      <c r="B179" s="34"/>
      <c r="C179" s="12"/>
      <c r="D179" s="12"/>
      <c r="E179" s="12"/>
      <c r="F179" s="12"/>
      <c r="G179" s="18"/>
      <c r="H179" s="35"/>
      <c r="I179" s="12"/>
      <c r="M179" s="12"/>
      <c r="N179" s="18"/>
      <c r="O179" s="12"/>
      <c r="P179" s="12"/>
      <c r="Q179" s="12"/>
      <c r="R179" s="36"/>
      <c r="S179" s="36"/>
      <c r="T179" s="12"/>
      <c r="U179" s="12"/>
      <c r="V179" s="12"/>
      <c r="W179" s="12"/>
      <c r="X179" s="12"/>
    </row>
    <row r="180" customFormat="false" ht="15.75" hidden="false" customHeight="false" outlineLevel="0" collapsed="false">
      <c r="A180" s="12"/>
      <c r="B180" s="34"/>
      <c r="C180" s="12"/>
      <c r="D180" s="12"/>
      <c r="E180" s="12"/>
      <c r="F180" s="12"/>
      <c r="G180" s="18"/>
      <c r="H180" s="35"/>
      <c r="I180" s="12"/>
      <c r="M180" s="12"/>
      <c r="N180" s="18"/>
      <c r="O180" s="12"/>
      <c r="P180" s="12"/>
      <c r="Q180" s="12"/>
      <c r="R180" s="36"/>
      <c r="S180" s="36"/>
      <c r="T180" s="12"/>
      <c r="U180" s="12"/>
      <c r="V180" s="12"/>
      <c r="W180" s="12"/>
      <c r="X180" s="12"/>
    </row>
    <row r="181" customFormat="false" ht="15.75" hidden="false" customHeight="false" outlineLevel="0" collapsed="false">
      <c r="A181" s="12"/>
      <c r="B181" s="34"/>
      <c r="C181" s="12"/>
      <c r="D181" s="12"/>
      <c r="E181" s="12"/>
      <c r="F181" s="12"/>
      <c r="G181" s="18"/>
      <c r="H181" s="35"/>
      <c r="I181" s="12"/>
      <c r="M181" s="12"/>
      <c r="N181" s="18"/>
      <c r="O181" s="12"/>
      <c r="P181" s="12"/>
      <c r="Q181" s="12"/>
      <c r="R181" s="36"/>
      <c r="S181" s="36"/>
      <c r="T181" s="12"/>
      <c r="U181" s="12"/>
      <c r="V181" s="12"/>
      <c r="W181" s="12"/>
      <c r="X181" s="12"/>
    </row>
    <row r="182" customFormat="false" ht="15.75" hidden="false" customHeight="false" outlineLevel="0" collapsed="false">
      <c r="A182" s="12"/>
      <c r="B182" s="34"/>
      <c r="C182" s="12"/>
      <c r="D182" s="12"/>
      <c r="E182" s="12"/>
      <c r="F182" s="12"/>
      <c r="G182" s="18"/>
      <c r="H182" s="35"/>
      <c r="I182" s="12"/>
      <c r="M182" s="12"/>
      <c r="N182" s="18"/>
      <c r="O182" s="12"/>
      <c r="P182" s="12"/>
      <c r="Q182" s="12"/>
      <c r="R182" s="36"/>
      <c r="S182" s="36"/>
      <c r="T182" s="12"/>
      <c r="U182" s="12"/>
      <c r="V182" s="12"/>
      <c r="W182" s="12"/>
      <c r="X182" s="12"/>
    </row>
    <row r="183" customFormat="false" ht="15.75" hidden="false" customHeight="false" outlineLevel="0" collapsed="false">
      <c r="A183" s="12"/>
      <c r="B183" s="34"/>
      <c r="C183" s="12"/>
      <c r="D183" s="12"/>
      <c r="E183" s="12"/>
      <c r="F183" s="12"/>
      <c r="G183" s="18"/>
      <c r="H183" s="35"/>
      <c r="I183" s="12"/>
      <c r="M183" s="12"/>
      <c r="N183" s="18"/>
      <c r="O183" s="12"/>
      <c r="P183" s="12"/>
      <c r="Q183" s="12"/>
      <c r="R183" s="36"/>
      <c r="S183" s="36"/>
      <c r="T183" s="12"/>
      <c r="U183" s="12"/>
      <c r="V183" s="12"/>
      <c r="W183" s="12"/>
      <c r="X183" s="12"/>
    </row>
    <row r="184" customFormat="false" ht="15.75" hidden="false" customHeight="false" outlineLevel="0" collapsed="false">
      <c r="A184" s="12"/>
      <c r="B184" s="34"/>
      <c r="C184" s="12"/>
      <c r="D184" s="12"/>
      <c r="E184" s="12"/>
      <c r="F184" s="12"/>
      <c r="G184" s="18"/>
      <c r="H184" s="35"/>
      <c r="I184" s="12"/>
      <c r="M184" s="12"/>
      <c r="N184" s="18"/>
      <c r="O184" s="12"/>
      <c r="P184" s="12"/>
      <c r="Q184" s="12"/>
      <c r="R184" s="36"/>
      <c r="S184" s="36"/>
      <c r="T184" s="12"/>
      <c r="U184" s="12"/>
      <c r="V184" s="12"/>
      <c r="W184" s="12"/>
      <c r="X184" s="12"/>
    </row>
    <row r="185" customFormat="false" ht="15.75" hidden="false" customHeight="false" outlineLevel="0" collapsed="false">
      <c r="A185" s="12"/>
      <c r="B185" s="34"/>
      <c r="C185" s="12"/>
      <c r="D185" s="12"/>
      <c r="E185" s="12"/>
      <c r="F185" s="12"/>
      <c r="G185" s="18"/>
      <c r="H185" s="35"/>
      <c r="I185" s="12"/>
      <c r="M185" s="12"/>
      <c r="N185" s="18"/>
      <c r="O185" s="12"/>
      <c r="P185" s="12"/>
      <c r="Q185" s="12"/>
      <c r="R185" s="36"/>
      <c r="S185" s="36"/>
      <c r="T185" s="12"/>
      <c r="U185" s="12"/>
      <c r="V185" s="12"/>
      <c r="W185" s="12"/>
      <c r="X185" s="12"/>
    </row>
    <row r="186" customFormat="false" ht="15.75" hidden="false" customHeight="false" outlineLevel="0" collapsed="false">
      <c r="A186" s="12"/>
      <c r="B186" s="34"/>
      <c r="C186" s="12"/>
      <c r="D186" s="12"/>
      <c r="E186" s="12"/>
      <c r="F186" s="12"/>
      <c r="G186" s="18"/>
      <c r="H186" s="35"/>
      <c r="I186" s="12"/>
      <c r="M186" s="12"/>
      <c r="N186" s="18"/>
      <c r="O186" s="12"/>
      <c r="P186" s="12"/>
      <c r="Q186" s="12"/>
      <c r="R186" s="36"/>
      <c r="S186" s="36"/>
      <c r="T186" s="12"/>
      <c r="U186" s="12"/>
      <c r="V186" s="12"/>
      <c r="W186" s="12"/>
      <c r="X186" s="12"/>
    </row>
    <row r="187" customFormat="false" ht="15.75" hidden="false" customHeight="false" outlineLevel="0" collapsed="false">
      <c r="A187" s="12"/>
      <c r="B187" s="34"/>
      <c r="C187" s="12"/>
      <c r="D187" s="12"/>
      <c r="E187" s="12"/>
      <c r="F187" s="12"/>
      <c r="G187" s="18"/>
      <c r="H187" s="35"/>
      <c r="I187" s="12"/>
      <c r="M187" s="12"/>
      <c r="N187" s="18"/>
      <c r="O187" s="12"/>
      <c r="P187" s="12"/>
      <c r="Q187" s="12"/>
      <c r="R187" s="36"/>
      <c r="S187" s="36"/>
      <c r="T187" s="12"/>
      <c r="U187" s="12"/>
      <c r="V187" s="12"/>
      <c r="W187" s="12"/>
      <c r="X187" s="12"/>
    </row>
    <row r="188" customFormat="false" ht="15.75" hidden="false" customHeight="false" outlineLevel="0" collapsed="false">
      <c r="A188" s="12"/>
      <c r="B188" s="34"/>
      <c r="C188" s="12"/>
      <c r="D188" s="12"/>
      <c r="E188" s="12"/>
      <c r="F188" s="12"/>
      <c r="G188" s="18"/>
      <c r="H188" s="35"/>
      <c r="I188" s="12"/>
      <c r="M188" s="12"/>
      <c r="N188" s="18"/>
      <c r="O188" s="12"/>
      <c r="P188" s="12"/>
      <c r="Q188" s="12"/>
      <c r="R188" s="36"/>
      <c r="S188" s="36"/>
      <c r="T188" s="12"/>
      <c r="U188" s="12"/>
      <c r="V188" s="12"/>
      <c r="W188" s="12"/>
      <c r="X188" s="12"/>
    </row>
    <row r="189" customFormat="false" ht="15.75" hidden="false" customHeight="false" outlineLevel="0" collapsed="false">
      <c r="A189" s="12"/>
      <c r="B189" s="34"/>
      <c r="C189" s="12"/>
      <c r="D189" s="12"/>
      <c r="E189" s="12"/>
      <c r="F189" s="12"/>
      <c r="G189" s="18"/>
      <c r="H189" s="35"/>
      <c r="I189" s="12"/>
      <c r="M189" s="12"/>
      <c r="N189" s="18"/>
      <c r="O189" s="12"/>
      <c r="P189" s="12"/>
      <c r="Q189" s="12"/>
      <c r="R189" s="36"/>
      <c r="S189" s="36"/>
      <c r="T189" s="12"/>
      <c r="U189" s="12"/>
      <c r="V189" s="12"/>
      <c r="W189" s="12"/>
      <c r="X189" s="12"/>
    </row>
    <row r="190" customFormat="false" ht="15.75" hidden="false" customHeight="false" outlineLevel="0" collapsed="false">
      <c r="A190" s="12"/>
      <c r="B190" s="34"/>
      <c r="C190" s="12"/>
      <c r="D190" s="12"/>
      <c r="E190" s="12"/>
      <c r="F190" s="12"/>
      <c r="G190" s="18"/>
      <c r="H190" s="35"/>
      <c r="I190" s="12"/>
      <c r="M190" s="12"/>
      <c r="N190" s="18"/>
      <c r="O190" s="12"/>
      <c r="P190" s="12"/>
      <c r="Q190" s="12"/>
      <c r="R190" s="36"/>
      <c r="S190" s="36"/>
      <c r="T190" s="12"/>
      <c r="U190" s="12"/>
      <c r="V190" s="12"/>
      <c r="W190" s="12"/>
      <c r="X190" s="12"/>
    </row>
    <row r="191" customFormat="false" ht="15.75" hidden="false" customHeight="false" outlineLevel="0" collapsed="false">
      <c r="A191" s="12"/>
      <c r="B191" s="34"/>
      <c r="C191" s="12"/>
      <c r="D191" s="12"/>
      <c r="E191" s="12"/>
      <c r="F191" s="12"/>
      <c r="G191" s="18"/>
      <c r="H191" s="35"/>
      <c r="I191" s="12"/>
      <c r="M191" s="12"/>
      <c r="N191" s="18"/>
      <c r="O191" s="12"/>
      <c r="P191" s="12"/>
      <c r="Q191" s="12"/>
      <c r="R191" s="36"/>
      <c r="S191" s="36"/>
      <c r="T191" s="12"/>
      <c r="U191" s="12"/>
      <c r="V191" s="12"/>
      <c r="W191" s="12"/>
      <c r="X191" s="12"/>
    </row>
    <row r="192" customFormat="false" ht="15.75" hidden="false" customHeight="false" outlineLevel="0" collapsed="false">
      <c r="A192" s="12"/>
      <c r="B192" s="34"/>
      <c r="C192" s="12"/>
      <c r="D192" s="12"/>
      <c r="E192" s="12"/>
      <c r="F192" s="12"/>
      <c r="G192" s="18"/>
      <c r="H192" s="35"/>
      <c r="I192" s="12"/>
      <c r="M192" s="12"/>
      <c r="N192" s="18"/>
      <c r="O192" s="12"/>
      <c r="P192" s="12"/>
      <c r="Q192" s="12"/>
      <c r="R192" s="36"/>
      <c r="S192" s="36"/>
      <c r="T192" s="12"/>
      <c r="U192" s="12"/>
      <c r="V192" s="12"/>
      <c r="W192" s="12"/>
      <c r="X192" s="12"/>
    </row>
    <row r="193" customFormat="false" ht="15.75" hidden="false" customHeight="false" outlineLevel="0" collapsed="false">
      <c r="A193" s="12"/>
      <c r="B193" s="34"/>
      <c r="C193" s="12"/>
      <c r="D193" s="12"/>
      <c r="E193" s="12"/>
      <c r="F193" s="12"/>
      <c r="G193" s="18"/>
      <c r="H193" s="35"/>
      <c r="I193" s="12"/>
      <c r="M193" s="12"/>
      <c r="N193" s="18"/>
      <c r="O193" s="12"/>
      <c r="P193" s="12"/>
      <c r="Q193" s="12"/>
      <c r="R193" s="36"/>
      <c r="S193" s="36"/>
      <c r="T193" s="12"/>
      <c r="U193" s="12"/>
      <c r="V193" s="12"/>
      <c r="W193" s="12"/>
      <c r="X193" s="12"/>
    </row>
    <row r="194" customFormat="false" ht="15.75" hidden="false" customHeight="false" outlineLevel="0" collapsed="false">
      <c r="A194" s="12"/>
      <c r="B194" s="34"/>
      <c r="C194" s="12"/>
      <c r="D194" s="12"/>
      <c r="E194" s="12"/>
      <c r="F194" s="12"/>
      <c r="G194" s="18"/>
      <c r="H194" s="35"/>
      <c r="I194" s="12"/>
      <c r="M194" s="12"/>
      <c r="N194" s="18"/>
      <c r="O194" s="12"/>
      <c r="P194" s="12"/>
      <c r="Q194" s="12"/>
      <c r="R194" s="36"/>
      <c r="S194" s="36"/>
      <c r="T194" s="12"/>
      <c r="U194" s="12"/>
      <c r="V194" s="12"/>
      <c r="W194" s="12"/>
      <c r="X194" s="12"/>
    </row>
    <row r="195" customFormat="false" ht="15.75" hidden="false" customHeight="false" outlineLevel="0" collapsed="false">
      <c r="A195" s="12"/>
      <c r="B195" s="34"/>
      <c r="C195" s="12"/>
      <c r="D195" s="12"/>
      <c r="E195" s="12"/>
      <c r="F195" s="12"/>
      <c r="G195" s="18"/>
      <c r="H195" s="35"/>
      <c r="I195" s="12"/>
      <c r="M195" s="12"/>
      <c r="N195" s="18"/>
      <c r="O195" s="12"/>
      <c r="P195" s="12"/>
      <c r="Q195" s="12"/>
      <c r="R195" s="36"/>
      <c r="S195" s="36"/>
      <c r="T195" s="12"/>
      <c r="U195" s="12"/>
      <c r="V195" s="12"/>
      <c r="W195" s="12"/>
      <c r="X195" s="12"/>
    </row>
    <row r="196" customFormat="false" ht="15.75" hidden="false" customHeight="false" outlineLevel="0" collapsed="false">
      <c r="A196" s="12"/>
      <c r="B196" s="34"/>
      <c r="C196" s="12"/>
      <c r="D196" s="12"/>
      <c r="E196" s="12"/>
      <c r="F196" s="12"/>
      <c r="G196" s="18"/>
      <c r="H196" s="35"/>
      <c r="I196" s="12"/>
      <c r="M196" s="12"/>
      <c r="N196" s="18"/>
      <c r="O196" s="12"/>
      <c r="P196" s="12"/>
      <c r="Q196" s="12"/>
      <c r="R196" s="36"/>
      <c r="S196" s="36"/>
      <c r="T196" s="12"/>
      <c r="U196" s="12"/>
      <c r="V196" s="12"/>
      <c r="W196" s="12"/>
      <c r="X196" s="12"/>
    </row>
    <row r="197" customFormat="false" ht="15.75" hidden="false" customHeight="false" outlineLevel="0" collapsed="false">
      <c r="A197" s="12"/>
      <c r="B197" s="34"/>
      <c r="C197" s="12"/>
      <c r="D197" s="12"/>
      <c r="E197" s="12"/>
      <c r="F197" s="12"/>
      <c r="G197" s="18"/>
      <c r="H197" s="35"/>
      <c r="I197" s="12"/>
      <c r="M197" s="12"/>
      <c r="N197" s="18"/>
      <c r="O197" s="12"/>
      <c r="P197" s="12"/>
      <c r="Q197" s="12"/>
      <c r="R197" s="36"/>
      <c r="S197" s="36"/>
      <c r="T197" s="12"/>
      <c r="U197" s="12"/>
      <c r="V197" s="12"/>
      <c r="W197" s="12"/>
      <c r="X197" s="12"/>
    </row>
    <row r="198" customFormat="false" ht="15.75" hidden="false" customHeight="false" outlineLevel="0" collapsed="false">
      <c r="A198" s="12"/>
      <c r="B198" s="34"/>
      <c r="C198" s="12"/>
      <c r="D198" s="12"/>
      <c r="E198" s="12"/>
      <c r="F198" s="12"/>
      <c r="G198" s="18"/>
      <c r="H198" s="35"/>
      <c r="I198" s="12"/>
      <c r="M198" s="12"/>
      <c r="N198" s="18"/>
      <c r="O198" s="12"/>
      <c r="P198" s="12"/>
      <c r="Q198" s="12"/>
      <c r="R198" s="36"/>
      <c r="S198" s="36"/>
      <c r="T198" s="12"/>
      <c r="U198" s="12"/>
      <c r="V198" s="12"/>
      <c r="W198" s="12"/>
      <c r="X198" s="12"/>
    </row>
    <row r="199" customFormat="false" ht="15.75" hidden="false" customHeight="false" outlineLevel="0" collapsed="false">
      <c r="A199" s="12"/>
      <c r="B199" s="34"/>
      <c r="C199" s="12"/>
      <c r="D199" s="12"/>
      <c r="E199" s="12"/>
      <c r="F199" s="12"/>
      <c r="G199" s="18"/>
      <c r="H199" s="35"/>
      <c r="I199" s="12"/>
      <c r="M199" s="12"/>
      <c r="N199" s="18"/>
      <c r="O199" s="12"/>
      <c r="P199" s="12"/>
      <c r="Q199" s="12"/>
      <c r="R199" s="36"/>
      <c r="S199" s="36"/>
      <c r="T199" s="12"/>
      <c r="U199" s="12"/>
      <c r="V199" s="12"/>
      <c r="W199" s="12"/>
      <c r="X199" s="12"/>
    </row>
    <row r="200" customFormat="false" ht="15.75" hidden="false" customHeight="false" outlineLevel="0" collapsed="false">
      <c r="A200" s="12"/>
      <c r="B200" s="34"/>
      <c r="C200" s="12"/>
      <c r="D200" s="12"/>
      <c r="E200" s="12"/>
      <c r="F200" s="12"/>
      <c r="G200" s="18"/>
      <c r="H200" s="35"/>
      <c r="I200" s="12"/>
      <c r="M200" s="12"/>
      <c r="N200" s="18"/>
      <c r="O200" s="12"/>
      <c r="P200" s="12"/>
      <c r="Q200" s="12"/>
      <c r="R200" s="36"/>
      <c r="S200" s="36"/>
      <c r="T200" s="12"/>
      <c r="U200" s="12"/>
      <c r="V200" s="12"/>
      <c r="W200" s="12"/>
      <c r="X200" s="12"/>
    </row>
    <row r="201" customFormat="false" ht="15.75" hidden="false" customHeight="false" outlineLevel="0" collapsed="false">
      <c r="A201" s="12"/>
      <c r="B201" s="34"/>
      <c r="C201" s="12"/>
      <c r="D201" s="12"/>
      <c r="E201" s="12"/>
      <c r="F201" s="12"/>
      <c r="G201" s="18"/>
      <c r="H201" s="35"/>
      <c r="I201" s="12"/>
      <c r="M201" s="12"/>
      <c r="N201" s="18"/>
      <c r="O201" s="12"/>
      <c r="P201" s="12"/>
      <c r="Q201" s="12"/>
      <c r="R201" s="36"/>
      <c r="S201" s="36"/>
      <c r="T201" s="12"/>
      <c r="U201" s="12"/>
      <c r="V201" s="12"/>
      <c r="W201" s="12"/>
      <c r="X201" s="12"/>
    </row>
    <row r="202" customFormat="false" ht="15.75" hidden="false" customHeight="false" outlineLevel="0" collapsed="false">
      <c r="A202" s="12"/>
      <c r="B202" s="34"/>
      <c r="C202" s="12"/>
      <c r="D202" s="12"/>
      <c r="E202" s="12"/>
      <c r="F202" s="12"/>
      <c r="G202" s="18"/>
      <c r="H202" s="35"/>
      <c r="I202" s="12"/>
      <c r="M202" s="12"/>
      <c r="N202" s="18"/>
      <c r="O202" s="12"/>
      <c r="P202" s="12"/>
      <c r="Q202" s="12"/>
      <c r="R202" s="36"/>
      <c r="S202" s="36"/>
      <c r="T202" s="12"/>
      <c r="U202" s="12"/>
      <c r="V202" s="12"/>
      <c r="W202" s="12"/>
      <c r="X202" s="12"/>
    </row>
    <row r="203" customFormat="false" ht="15.75" hidden="false" customHeight="false" outlineLevel="0" collapsed="false">
      <c r="A203" s="12"/>
      <c r="B203" s="34"/>
      <c r="C203" s="12"/>
      <c r="D203" s="12"/>
      <c r="E203" s="12"/>
      <c r="F203" s="12"/>
      <c r="G203" s="18"/>
      <c r="H203" s="35"/>
      <c r="I203" s="12"/>
      <c r="M203" s="12"/>
      <c r="N203" s="18"/>
      <c r="O203" s="12"/>
      <c r="P203" s="12"/>
      <c r="Q203" s="12"/>
      <c r="R203" s="36"/>
      <c r="S203" s="36"/>
      <c r="T203" s="12"/>
      <c r="U203" s="12"/>
      <c r="V203" s="12"/>
      <c r="W203" s="12"/>
      <c r="X203" s="12"/>
    </row>
    <row r="204" customFormat="false" ht="15.75" hidden="false" customHeight="false" outlineLevel="0" collapsed="false">
      <c r="A204" s="12"/>
      <c r="B204" s="34"/>
      <c r="C204" s="12"/>
      <c r="D204" s="12"/>
      <c r="E204" s="12"/>
      <c r="F204" s="12"/>
      <c r="G204" s="18"/>
      <c r="H204" s="35"/>
      <c r="I204" s="12"/>
      <c r="M204" s="12"/>
      <c r="N204" s="18"/>
      <c r="O204" s="12"/>
      <c r="P204" s="12"/>
      <c r="Q204" s="12"/>
      <c r="R204" s="36"/>
      <c r="S204" s="36"/>
      <c r="T204" s="12"/>
      <c r="U204" s="12"/>
      <c r="V204" s="12"/>
      <c r="W204" s="12"/>
      <c r="X204" s="12"/>
    </row>
    <row r="205" customFormat="false" ht="15.75" hidden="false" customHeight="false" outlineLevel="0" collapsed="false">
      <c r="A205" s="12"/>
      <c r="B205" s="34"/>
      <c r="C205" s="12"/>
      <c r="D205" s="12"/>
      <c r="E205" s="12"/>
      <c r="F205" s="12"/>
      <c r="G205" s="18"/>
      <c r="H205" s="35"/>
      <c r="I205" s="12"/>
      <c r="M205" s="12"/>
      <c r="N205" s="18"/>
      <c r="O205" s="12"/>
      <c r="P205" s="12"/>
      <c r="Q205" s="12"/>
      <c r="R205" s="36"/>
      <c r="S205" s="36"/>
      <c r="T205" s="12"/>
      <c r="U205" s="12"/>
      <c r="V205" s="12"/>
      <c r="W205" s="12"/>
      <c r="X205" s="12"/>
    </row>
    <row r="206" customFormat="false" ht="15.75" hidden="false" customHeight="false" outlineLevel="0" collapsed="false">
      <c r="A206" s="12"/>
      <c r="B206" s="34"/>
      <c r="C206" s="12"/>
      <c r="D206" s="12"/>
      <c r="E206" s="12"/>
      <c r="F206" s="12"/>
      <c r="G206" s="18"/>
      <c r="H206" s="35"/>
      <c r="I206" s="12"/>
      <c r="M206" s="12"/>
      <c r="N206" s="18"/>
      <c r="O206" s="12"/>
      <c r="P206" s="12"/>
      <c r="Q206" s="12"/>
      <c r="R206" s="36"/>
      <c r="S206" s="36"/>
      <c r="T206" s="12"/>
      <c r="U206" s="12"/>
      <c r="V206" s="12"/>
      <c r="W206" s="12"/>
      <c r="X206" s="12"/>
    </row>
    <row r="207" customFormat="false" ht="15.75" hidden="false" customHeight="false" outlineLevel="0" collapsed="false">
      <c r="A207" s="12"/>
      <c r="B207" s="34"/>
      <c r="C207" s="12"/>
      <c r="D207" s="12"/>
      <c r="E207" s="12"/>
      <c r="F207" s="12"/>
      <c r="G207" s="18"/>
      <c r="H207" s="35"/>
      <c r="I207" s="12"/>
      <c r="M207" s="12"/>
      <c r="N207" s="18"/>
      <c r="O207" s="12"/>
      <c r="P207" s="12"/>
      <c r="Q207" s="12"/>
      <c r="R207" s="36"/>
      <c r="S207" s="36"/>
      <c r="T207" s="12"/>
      <c r="U207" s="12"/>
      <c r="V207" s="12"/>
      <c r="W207" s="12"/>
      <c r="X207" s="12"/>
    </row>
    <row r="208" customFormat="false" ht="15.75" hidden="false" customHeight="false" outlineLevel="0" collapsed="false">
      <c r="A208" s="12"/>
      <c r="B208" s="34"/>
      <c r="C208" s="12"/>
      <c r="D208" s="12"/>
      <c r="E208" s="12"/>
      <c r="F208" s="12"/>
      <c r="G208" s="18"/>
      <c r="H208" s="35"/>
      <c r="I208" s="12"/>
      <c r="M208" s="12"/>
      <c r="N208" s="18"/>
      <c r="O208" s="12"/>
      <c r="P208" s="12"/>
      <c r="Q208" s="12"/>
      <c r="R208" s="36"/>
      <c r="S208" s="36"/>
      <c r="T208" s="12"/>
      <c r="U208" s="12"/>
      <c r="V208" s="12"/>
      <c r="W208" s="12"/>
      <c r="X208" s="12"/>
    </row>
    <row r="209" customFormat="false" ht="15.75" hidden="false" customHeight="false" outlineLevel="0" collapsed="false">
      <c r="A209" s="12"/>
      <c r="B209" s="34"/>
      <c r="C209" s="12"/>
      <c r="D209" s="12"/>
      <c r="E209" s="12"/>
      <c r="F209" s="12"/>
      <c r="G209" s="18"/>
      <c r="H209" s="35"/>
      <c r="I209" s="12"/>
      <c r="M209" s="12"/>
      <c r="N209" s="18"/>
      <c r="O209" s="12"/>
      <c r="P209" s="12"/>
      <c r="Q209" s="12"/>
      <c r="R209" s="36"/>
      <c r="S209" s="36"/>
      <c r="T209" s="12"/>
      <c r="U209" s="12"/>
      <c r="V209" s="12"/>
      <c r="W209" s="12"/>
      <c r="X209" s="12"/>
    </row>
    <row r="210" customFormat="false" ht="15.75" hidden="false" customHeight="false" outlineLevel="0" collapsed="false">
      <c r="A210" s="12"/>
      <c r="B210" s="34"/>
      <c r="C210" s="12"/>
      <c r="D210" s="12"/>
      <c r="E210" s="12"/>
      <c r="F210" s="12"/>
      <c r="G210" s="18"/>
      <c r="H210" s="35"/>
      <c r="I210" s="12"/>
      <c r="M210" s="12"/>
      <c r="N210" s="18"/>
      <c r="O210" s="12"/>
      <c r="P210" s="12"/>
      <c r="Q210" s="12"/>
      <c r="R210" s="36"/>
      <c r="S210" s="36"/>
      <c r="T210" s="12"/>
      <c r="U210" s="12"/>
      <c r="V210" s="12"/>
      <c r="W210" s="12"/>
      <c r="X210" s="12"/>
    </row>
    <row r="211" customFormat="false" ht="15.75" hidden="false" customHeight="false" outlineLevel="0" collapsed="false">
      <c r="A211" s="12"/>
      <c r="B211" s="34"/>
      <c r="C211" s="12"/>
      <c r="D211" s="12"/>
      <c r="E211" s="12"/>
      <c r="F211" s="12"/>
      <c r="G211" s="18"/>
      <c r="H211" s="35"/>
      <c r="I211" s="12"/>
      <c r="M211" s="12"/>
      <c r="N211" s="18"/>
      <c r="O211" s="12"/>
      <c r="P211" s="12"/>
      <c r="Q211" s="12"/>
      <c r="R211" s="36"/>
      <c r="S211" s="36"/>
      <c r="T211" s="12"/>
      <c r="U211" s="12"/>
      <c r="V211" s="12"/>
      <c r="W211" s="12"/>
      <c r="X211" s="12"/>
    </row>
    <row r="212" customFormat="false" ht="15.75" hidden="false" customHeight="false" outlineLevel="0" collapsed="false">
      <c r="A212" s="12"/>
      <c r="B212" s="34"/>
      <c r="C212" s="12"/>
      <c r="D212" s="12"/>
      <c r="E212" s="12"/>
      <c r="F212" s="12"/>
      <c r="G212" s="18"/>
      <c r="H212" s="35"/>
      <c r="I212" s="12"/>
      <c r="M212" s="12"/>
      <c r="N212" s="18"/>
      <c r="O212" s="12"/>
      <c r="P212" s="12"/>
      <c r="Q212" s="12"/>
      <c r="R212" s="36"/>
      <c r="S212" s="36"/>
      <c r="T212" s="12"/>
      <c r="U212" s="12"/>
      <c r="V212" s="12"/>
      <c r="W212" s="12"/>
      <c r="X212" s="12"/>
    </row>
    <row r="213" customFormat="false" ht="15.75" hidden="false" customHeight="false" outlineLevel="0" collapsed="false">
      <c r="A213" s="12"/>
      <c r="B213" s="34"/>
      <c r="C213" s="12"/>
      <c r="D213" s="12"/>
      <c r="E213" s="12"/>
      <c r="F213" s="12"/>
      <c r="G213" s="18"/>
      <c r="H213" s="35"/>
      <c r="I213" s="12"/>
      <c r="M213" s="12"/>
      <c r="N213" s="18"/>
      <c r="O213" s="12"/>
      <c r="P213" s="12"/>
      <c r="Q213" s="12"/>
      <c r="R213" s="36"/>
      <c r="S213" s="36"/>
      <c r="T213" s="12"/>
      <c r="U213" s="12"/>
      <c r="V213" s="12"/>
      <c r="W213" s="12"/>
      <c r="X213" s="12"/>
    </row>
    <row r="214" customFormat="false" ht="15.75" hidden="false" customHeight="false" outlineLevel="0" collapsed="false">
      <c r="A214" s="12"/>
      <c r="B214" s="34"/>
      <c r="C214" s="12"/>
      <c r="D214" s="12"/>
      <c r="E214" s="12"/>
      <c r="F214" s="12"/>
      <c r="G214" s="18"/>
      <c r="H214" s="35"/>
      <c r="I214" s="12"/>
      <c r="M214" s="12"/>
      <c r="N214" s="18"/>
      <c r="O214" s="12"/>
      <c r="P214" s="12"/>
      <c r="Q214" s="12"/>
      <c r="R214" s="36"/>
      <c r="S214" s="36"/>
      <c r="T214" s="12"/>
      <c r="U214" s="12"/>
      <c r="V214" s="12"/>
      <c r="W214" s="12"/>
      <c r="X214" s="12"/>
    </row>
    <row r="215" customFormat="false" ht="15.75" hidden="false" customHeight="false" outlineLevel="0" collapsed="false">
      <c r="A215" s="12"/>
      <c r="B215" s="34"/>
      <c r="C215" s="12"/>
      <c r="D215" s="12"/>
      <c r="E215" s="12"/>
      <c r="F215" s="12"/>
      <c r="G215" s="18"/>
      <c r="H215" s="35"/>
      <c r="I215" s="12"/>
      <c r="M215" s="12"/>
      <c r="N215" s="18"/>
      <c r="O215" s="12"/>
      <c r="P215" s="12"/>
      <c r="Q215" s="12"/>
      <c r="R215" s="36"/>
      <c r="S215" s="36"/>
      <c r="T215" s="12"/>
      <c r="U215" s="12"/>
      <c r="V215" s="12"/>
      <c r="W215" s="12"/>
      <c r="X215" s="12"/>
    </row>
    <row r="216" customFormat="false" ht="15.75" hidden="false" customHeight="false" outlineLevel="0" collapsed="false">
      <c r="A216" s="12"/>
      <c r="B216" s="34"/>
      <c r="C216" s="12"/>
      <c r="D216" s="12"/>
      <c r="E216" s="12"/>
      <c r="F216" s="12"/>
      <c r="G216" s="18"/>
      <c r="H216" s="35"/>
      <c r="I216" s="12"/>
      <c r="M216" s="12"/>
      <c r="N216" s="18"/>
      <c r="O216" s="12"/>
      <c r="P216" s="12"/>
      <c r="Q216" s="12"/>
      <c r="R216" s="36"/>
      <c r="S216" s="36"/>
      <c r="T216" s="12"/>
      <c r="U216" s="12"/>
      <c r="V216" s="12"/>
      <c r="W216" s="12"/>
      <c r="X216" s="12"/>
    </row>
    <row r="217" customFormat="false" ht="15.75" hidden="false" customHeight="false" outlineLevel="0" collapsed="false">
      <c r="A217" s="12"/>
      <c r="B217" s="34"/>
      <c r="C217" s="12"/>
      <c r="D217" s="12"/>
      <c r="E217" s="12"/>
      <c r="F217" s="12"/>
      <c r="G217" s="18"/>
      <c r="H217" s="35"/>
      <c r="I217" s="12"/>
      <c r="M217" s="12"/>
      <c r="N217" s="18"/>
      <c r="O217" s="12"/>
      <c r="P217" s="12"/>
      <c r="Q217" s="12"/>
      <c r="R217" s="36"/>
      <c r="S217" s="36"/>
      <c r="T217" s="12"/>
      <c r="U217" s="12"/>
      <c r="V217" s="12"/>
      <c r="W217" s="12"/>
      <c r="X217" s="12"/>
    </row>
    <row r="218" customFormat="false" ht="15.75" hidden="false" customHeight="false" outlineLevel="0" collapsed="false">
      <c r="A218" s="12"/>
      <c r="B218" s="34"/>
      <c r="C218" s="12"/>
      <c r="D218" s="12"/>
      <c r="E218" s="12"/>
      <c r="F218" s="12"/>
      <c r="G218" s="18"/>
      <c r="H218" s="35"/>
      <c r="I218" s="12"/>
      <c r="M218" s="12"/>
      <c r="N218" s="18"/>
      <c r="O218" s="12"/>
      <c r="P218" s="12"/>
      <c r="Q218" s="12"/>
      <c r="R218" s="36"/>
      <c r="S218" s="36"/>
      <c r="T218" s="12"/>
      <c r="U218" s="12"/>
      <c r="V218" s="12"/>
      <c r="W218" s="12"/>
      <c r="X218" s="12"/>
    </row>
    <row r="219" customFormat="false" ht="15.75" hidden="false" customHeight="false" outlineLevel="0" collapsed="false">
      <c r="A219" s="12"/>
      <c r="B219" s="34"/>
      <c r="C219" s="12"/>
      <c r="D219" s="12"/>
      <c r="E219" s="12"/>
      <c r="F219" s="12"/>
      <c r="G219" s="18"/>
      <c r="H219" s="35"/>
      <c r="I219" s="12"/>
      <c r="M219" s="12"/>
      <c r="N219" s="18"/>
      <c r="O219" s="12"/>
      <c r="P219" s="12"/>
      <c r="Q219" s="12"/>
      <c r="R219" s="36"/>
      <c r="S219" s="36"/>
      <c r="T219" s="12"/>
      <c r="U219" s="12"/>
      <c r="V219" s="12"/>
      <c r="W219" s="12"/>
      <c r="X219" s="12"/>
    </row>
    <row r="220" customFormat="false" ht="15.75" hidden="false" customHeight="false" outlineLevel="0" collapsed="false">
      <c r="A220" s="12"/>
      <c r="B220" s="34"/>
      <c r="C220" s="12"/>
      <c r="D220" s="12"/>
      <c r="E220" s="12"/>
      <c r="F220" s="12"/>
      <c r="G220" s="18"/>
      <c r="H220" s="35"/>
      <c r="I220" s="12"/>
      <c r="M220" s="12"/>
      <c r="N220" s="18"/>
      <c r="O220" s="12"/>
      <c r="P220" s="12"/>
      <c r="Q220" s="12"/>
      <c r="R220" s="36"/>
      <c r="S220" s="36"/>
      <c r="T220" s="12"/>
      <c r="U220" s="12"/>
      <c r="V220" s="12"/>
      <c r="W220" s="12"/>
      <c r="X220" s="12"/>
    </row>
    <row r="221" customFormat="false" ht="15.75" hidden="false" customHeight="false" outlineLevel="0" collapsed="false">
      <c r="A221" s="12"/>
      <c r="B221" s="34"/>
      <c r="C221" s="12"/>
      <c r="D221" s="12"/>
      <c r="E221" s="12"/>
      <c r="F221" s="12"/>
      <c r="G221" s="18"/>
      <c r="H221" s="35"/>
      <c r="I221" s="12"/>
      <c r="M221" s="12"/>
      <c r="N221" s="18"/>
      <c r="O221" s="12"/>
      <c r="P221" s="12"/>
      <c r="Q221" s="12"/>
      <c r="R221" s="36"/>
      <c r="S221" s="36"/>
      <c r="T221" s="12"/>
      <c r="U221" s="12"/>
      <c r="V221" s="12"/>
      <c r="W221" s="12"/>
      <c r="X221" s="12"/>
    </row>
    <row r="222" customFormat="false" ht="15.75" hidden="false" customHeight="false" outlineLevel="0" collapsed="false">
      <c r="A222" s="12"/>
      <c r="B222" s="34"/>
      <c r="C222" s="12"/>
      <c r="D222" s="12"/>
      <c r="E222" s="12"/>
      <c r="F222" s="12"/>
      <c r="G222" s="18"/>
      <c r="H222" s="35"/>
      <c r="I222" s="12"/>
      <c r="M222" s="12"/>
      <c r="N222" s="18"/>
      <c r="O222" s="12"/>
      <c r="P222" s="12"/>
      <c r="Q222" s="12"/>
      <c r="R222" s="36"/>
      <c r="S222" s="36"/>
      <c r="T222" s="12"/>
      <c r="U222" s="12"/>
      <c r="V222" s="12"/>
      <c r="W222" s="12"/>
      <c r="X222" s="12"/>
    </row>
    <row r="223" customFormat="false" ht="15.75" hidden="false" customHeight="false" outlineLevel="0" collapsed="false">
      <c r="A223" s="12"/>
      <c r="B223" s="34"/>
      <c r="C223" s="12"/>
      <c r="D223" s="12"/>
      <c r="E223" s="12"/>
      <c r="F223" s="12"/>
      <c r="G223" s="18"/>
      <c r="H223" s="35"/>
      <c r="I223" s="12"/>
      <c r="M223" s="12"/>
      <c r="N223" s="18"/>
      <c r="O223" s="12"/>
      <c r="P223" s="12"/>
      <c r="Q223" s="12"/>
      <c r="R223" s="36"/>
      <c r="S223" s="36"/>
      <c r="T223" s="12"/>
      <c r="U223" s="12"/>
      <c r="V223" s="12"/>
      <c r="W223" s="12"/>
      <c r="X223" s="12"/>
    </row>
    <row r="224" customFormat="false" ht="15.75" hidden="false" customHeight="false" outlineLevel="0" collapsed="false">
      <c r="A224" s="12"/>
      <c r="B224" s="34"/>
      <c r="C224" s="12"/>
      <c r="D224" s="12"/>
      <c r="E224" s="12"/>
      <c r="F224" s="12"/>
      <c r="G224" s="18"/>
      <c r="H224" s="35"/>
      <c r="I224" s="12"/>
      <c r="M224" s="12"/>
      <c r="N224" s="18"/>
      <c r="O224" s="12"/>
      <c r="P224" s="12"/>
      <c r="Q224" s="12"/>
      <c r="R224" s="36"/>
      <c r="S224" s="36"/>
      <c r="T224" s="12"/>
      <c r="U224" s="12"/>
      <c r="V224" s="12"/>
      <c r="W224" s="12"/>
      <c r="X224" s="12"/>
    </row>
    <row r="225" customFormat="false" ht="15.75" hidden="false" customHeight="false" outlineLevel="0" collapsed="false">
      <c r="A225" s="12"/>
      <c r="B225" s="34"/>
      <c r="C225" s="12"/>
      <c r="D225" s="12"/>
      <c r="E225" s="12"/>
      <c r="F225" s="12"/>
      <c r="G225" s="18"/>
      <c r="H225" s="35"/>
      <c r="I225" s="12"/>
      <c r="M225" s="12"/>
      <c r="N225" s="18"/>
      <c r="O225" s="12"/>
      <c r="P225" s="12"/>
      <c r="Q225" s="12"/>
      <c r="R225" s="36"/>
      <c r="S225" s="36"/>
      <c r="T225" s="12"/>
      <c r="U225" s="12"/>
      <c r="V225" s="12"/>
      <c r="W225" s="12"/>
      <c r="X225" s="12"/>
    </row>
    <row r="226" customFormat="false" ht="15.75" hidden="false" customHeight="false" outlineLevel="0" collapsed="false">
      <c r="A226" s="12"/>
      <c r="B226" s="34"/>
      <c r="C226" s="12"/>
      <c r="D226" s="12"/>
      <c r="E226" s="12"/>
      <c r="F226" s="12"/>
      <c r="G226" s="18"/>
      <c r="H226" s="35"/>
      <c r="I226" s="12"/>
      <c r="M226" s="12"/>
      <c r="N226" s="18"/>
      <c r="O226" s="12"/>
      <c r="P226" s="12"/>
      <c r="Q226" s="12"/>
      <c r="R226" s="36"/>
      <c r="S226" s="36"/>
      <c r="T226" s="12"/>
      <c r="U226" s="12"/>
      <c r="V226" s="12"/>
      <c r="W226" s="12"/>
      <c r="X226" s="12"/>
    </row>
    <row r="227" customFormat="false" ht="15.75" hidden="false" customHeight="false" outlineLevel="0" collapsed="false">
      <c r="A227" s="12"/>
      <c r="B227" s="34"/>
      <c r="C227" s="12"/>
      <c r="D227" s="12"/>
      <c r="E227" s="12"/>
      <c r="F227" s="12"/>
      <c r="G227" s="18"/>
      <c r="H227" s="35"/>
      <c r="I227" s="12"/>
      <c r="M227" s="12"/>
      <c r="N227" s="18"/>
      <c r="O227" s="12"/>
      <c r="P227" s="12"/>
      <c r="Q227" s="12"/>
      <c r="R227" s="36"/>
      <c r="S227" s="36"/>
      <c r="T227" s="12"/>
      <c r="U227" s="12"/>
      <c r="V227" s="12"/>
      <c r="W227" s="12"/>
      <c r="X227" s="12"/>
    </row>
    <row r="228" customFormat="false" ht="15.75" hidden="false" customHeight="false" outlineLevel="0" collapsed="false">
      <c r="A228" s="12"/>
      <c r="B228" s="34"/>
      <c r="C228" s="12"/>
      <c r="D228" s="12"/>
      <c r="E228" s="12"/>
      <c r="F228" s="12"/>
      <c r="G228" s="18"/>
      <c r="H228" s="35"/>
      <c r="I228" s="12"/>
      <c r="M228" s="12"/>
      <c r="N228" s="18"/>
      <c r="O228" s="12"/>
      <c r="P228" s="12"/>
      <c r="Q228" s="12"/>
      <c r="R228" s="36"/>
      <c r="S228" s="36"/>
      <c r="T228" s="12"/>
      <c r="U228" s="12"/>
      <c r="V228" s="12"/>
      <c r="W228" s="12"/>
      <c r="X228" s="12"/>
    </row>
    <row r="229" customFormat="false" ht="15.75" hidden="false" customHeight="false" outlineLevel="0" collapsed="false">
      <c r="A229" s="12"/>
      <c r="B229" s="34"/>
      <c r="C229" s="12"/>
      <c r="D229" s="12"/>
      <c r="E229" s="12"/>
      <c r="F229" s="12"/>
      <c r="G229" s="18"/>
      <c r="H229" s="35"/>
      <c r="I229" s="12"/>
      <c r="M229" s="12"/>
      <c r="N229" s="18"/>
      <c r="O229" s="12"/>
      <c r="P229" s="12"/>
      <c r="Q229" s="12"/>
      <c r="R229" s="36"/>
      <c r="S229" s="36"/>
      <c r="T229" s="12"/>
      <c r="U229" s="12"/>
      <c r="V229" s="12"/>
      <c r="W229" s="12"/>
      <c r="X229" s="12"/>
    </row>
    <row r="230" customFormat="false" ht="15.75" hidden="false" customHeight="false" outlineLevel="0" collapsed="false">
      <c r="A230" s="12"/>
      <c r="B230" s="34"/>
      <c r="C230" s="12"/>
      <c r="D230" s="12"/>
      <c r="E230" s="12"/>
      <c r="F230" s="12"/>
      <c r="G230" s="18"/>
      <c r="H230" s="35"/>
      <c r="I230" s="12"/>
      <c r="M230" s="12"/>
      <c r="N230" s="18"/>
      <c r="O230" s="12"/>
      <c r="P230" s="12"/>
      <c r="Q230" s="12"/>
      <c r="R230" s="36"/>
      <c r="S230" s="36"/>
      <c r="T230" s="12"/>
      <c r="U230" s="12"/>
      <c r="V230" s="12"/>
      <c r="W230" s="12"/>
      <c r="X230" s="12"/>
    </row>
    <row r="231" customFormat="false" ht="15.75" hidden="false" customHeight="false" outlineLevel="0" collapsed="false">
      <c r="A231" s="12"/>
      <c r="B231" s="34"/>
      <c r="C231" s="12"/>
      <c r="D231" s="12"/>
      <c r="E231" s="12"/>
      <c r="F231" s="12"/>
      <c r="G231" s="18"/>
      <c r="H231" s="35"/>
      <c r="I231" s="12"/>
      <c r="M231" s="12"/>
      <c r="N231" s="18"/>
      <c r="O231" s="12"/>
      <c r="P231" s="12"/>
      <c r="Q231" s="12"/>
      <c r="R231" s="36"/>
      <c r="S231" s="36"/>
      <c r="T231" s="12"/>
      <c r="U231" s="12"/>
      <c r="V231" s="12"/>
      <c r="W231" s="12"/>
      <c r="X231" s="12"/>
    </row>
    <row r="232" customFormat="false" ht="15.75" hidden="false" customHeight="false" outlineLevel="0" collapsed="false">
      <c r="A232" s="12"/>
      <c r="B232" s="34"/>
      <c r="C232" s="12"/>
      <c r="D232" s="12"/>
      <c r="E232" s="12"/>
      <c r="F232" s="12"/>
      <c r="G232" s="18"/>
      <c r="H232" s="35"/>
      <c r="I232" s="12"/>
      <c r="M232" s="12"/>
      <c r="N232" s="18"/>
      <c r="O232" s="12"/>
      <c r="P232" s="12"/>
      <c r="Q232" s="12"/>
      <c r="R232" s="36"/>
      <c r="S232" s="36"/>
      <c r="T232" s="12"/>
      <c r="U232" s="12"/>
      <c r="V232" s="12"/>
      <c r="W232" s="12"/>
      <c r="X232" s="12"/>
    </row>
    <row r="233" customFormat="false" ht="15.75" hidden="false" customHeight="false" outlineLevel="0" collapsed="false">
      <c r="A233" s="12"/>
      <c r="B233" s="34"/>
      <c r="C233" s="12"/>
      <c r="D233" s="12"/>
      <c r="E233" s="12"/>
      <c r="F233" s="12"/>
      <c r="G233" s="18"/>
      <c r="H233" s="35"/>
      <c r="I233" s="12"/>
      <c r="M233" s="12"/>
      <c r="N233" s="18"/>
      <c r="O233" s="12"/>
      <c r="P233" s="12"/>
      <c r="Q233" s="12"/>
      <c r="R233" s="36"/>
      <c r="S233" s="36"/>
      <c r="T233" s="12"/>
      <c r="U233" s="12"/>
      <c r="V233" s="12"/>
      <c r="W233" s="12"/>
      <c r="X233" s="12"/>
    </row>
    <row r="234" customFormat="false" ht="15.75" hidden="false" customHeight="false" outlineLevel="0" collapsed="false">
      <c r="A234" s="12"/>
      <c r="B234" s="34"/>
      <c r="C234" s="12"/>
      <c r="D234" s="12"/>
      <c r="E234" s="12"/>
      <c r="F234" s="12"/>
      <c r="G234" s="18"/>
      <c r="H234" s="35"/>
      <c r="I234" s="12"/>
      <c r="M234" s="12"/>
      <c r="N234" s="18"/>
      <c r="O234" s="12"/>
      <c r="P234" s="12"/>
      <c r="Q234" s="12"/>
      <c r="R234" s="36"/>
      <c r="S234" s="36"/>
      <c r="T234" s="12"/>
      <c r="U234" s="12"/>
      <c r="V234" s="12"/>
      <c r="W234" s="12"/>
      <c r="X234" s="12"/>
    </row>
    <row r="235" customFormat="false" ht="15.75" hidden="false" customHeight="false" outlineLevel="0" collapsed="false">
      <c r="A235" s="12"/>
      <c r="B235" s="34"/>
      <c r="C235" s="12"/>
      <c r="D235" s="12"/>
      <c r="E235" s="12"/>
      <c r="F235" s="12"/>
      <c r="G235" s="18"/>
      <c r="H235" s="35"/>
      <c r="I235" s="12"/>
      <c r="M235" s="12"/>
      <c r="N235" s="18"/>
      <c r="O235" s="12"/>
      <c r="P235" s="12"/>
      <c r="Q235" s="12"/>
      <c r="R235" s="36"/>
      <c r="S235" s="36"/>
      <c r="T235" s="12"/>
      <c r="U235" s="12"/>
      <c r="V235" s="12"/>
      <c r="W235" s="12"/>
      <c r="X235" s="12"/>
    </row>
    <row r="236" customFormat="false" ht="15.75" hidden="false" customHeight="false" outlineLevel="0" collapsed="false">
      <c r="A236" s="12"/>
      <c r="B236" s="34"/>
      <c r="C236" s="12"/>
      <c r="D236" s="12"/>
      <c r="E236" s="12"/>
      <c r="F236" s="12"/>
      <c r="G236" s="18"/>
      <c r="H236" s="35"/>
      <c r="I236" s="12"/>
      <c r="M236" s="12"/>
      <c r="N236" s="18"/>
      <c r="O236" s="12"/>
      <c r="P236" s="12"/>
      <c r="Q236" s="12"/>
      <c r="R236" s="36"/>
      <c r="S236" s="36"/>
      <c r="T236" s="12"/>
      <c r="U236" s="12"/>
      <c r="V236" s="12"/>
      <c r="W236" s="12"/>
      <c r="X236" s="12"/>
    </row>
    <row r="237" customFormat="false" ht="15.75" hidden="false" customHeight="false" outlineLevel="0" collapsed="false">
      <c r="A237" s="12"/>
      <c r="B237" s="34"/>
      <c r="C237" s="12"/>
      <c r="D237" s="12"/>
      <c r="E237" s="12"/>
      <c r="F237" s="12"/>
      <c r="G237" s="18"/>
      <c r="H237" s="35"/>
      <c r="I237" s="12"/>
      <c r="M237" s="12"/>
      <c r="N237" s="18"/>
      <c r="O237" s="12"/>
      <c r="P237" s="12"/>
      <c r="Q237" s="12"/>
      <c r="R237" s="36"/>
      <c r="S237" s="36"/>
      <c r="T237" s="12"/>
      <c r="U237" s="12"/>
      <c r="V237" s="12"/>
      <c r="W237" s="12"/>
      <c r="X237" s="12"/>
    </row>
    <row r="238" customFormat="false" ht="15.75" hidden="false" customHeight="false" outlineLevel="0" collapsed="false">
      <c r="A238" s="12"/>
      <c r="B238" s="34"/>
      <c r="C238" s="12"/>
      <c r="D238" s="12"/>
      <c r="E238" s="12"/>
      <c r="F238" s="12"/>
      <c r="G238" s="18"/>
      <c r="H238" s="35"/>
      <c r="I238" s="12"/>
      <c r="M238" s="12"/>
      <c r="N238" s="18"/>
      <c r="O238" s="12"/>
      <c r="P238" s="12"/>
      <c r="Q238" s="12"/>
      <c r="R238" s="36"/>
      <c r="S238" s="36"/>
      <c r="T238" s="12"/>
      <c r="U238" s="12"/>
      <c r="V238" s="12"/>
      <c r="W238" s="12"/>
      <c r="X238" s="12"/>
    </row>
    <row r="239" customFormat="false" ht="15.75" hidden="false" customHeight="false" outlineLevel="0" collapsed="false">
      <c r="A239" s="12"/>
      <c r="B239" s="34"/>
      <c r="C239" s="12"/>
      <c r="D239" s="12"/>
      <c r="E239" s="12"/>
      <c r="F239" s="12"/>
      <c r="G239" s="18"/>
      <c r="H239" s="35"/>
      <c r="I239" s="12"/>
      <c r="M239" s="12"/>
      <c r="N239" s="18"/>
      <c r="O239" s="12"/>
      <c r="P239" s="12"/>
      <c r="Q239" s="12"/>
      <c r="R239" s="36"/>
      <c r="S239" s="36"/>
      <c r="T239" s="12"/>
      <c r="U239" s="12"/>
      <c r="V239" s="12"/>
      <c r="W239" s="12"/>
      <c r="X239" s="12"/>
    </row>
    <row r="240" customFormat="false" ht="15.75" hidden="false" customHeight="false" outlineLevel="0" collapsed="false">
      <c r="A240" s="12"/>
      <c r="B240" s="34"/>
      <c r="C240" s="12"/>
      <c r="D240" s="12"/>
      <c r="E240" s="12"/>
      <c r="F240" s="12"/>
      <c r="G240" s="18"/>
      <c r="H240" s="35"/>
      <c r="I240" s="12"/>
      <c r="M240" s="12"/>
      <c r="N240" s="18"/>
      <c r="O240" s="12"/>
      <c r="P240" s="12"/>
      <c r="Q240" s="12"/>
      <c r="R240" s="36"/>
      <c r="S240" s="36"/>
      <c r="T240" s="12"/>
      <c r="U240" s="12"/>
      <c r="V240" s="12"/>
      <c r="W240" s="12"/>
      <c r="X240" s="12"/>
    </row>
    <row r="241" customFormat="false" ht="15.75" hidden="false" customHeight="false" outlineLevel="0" collapsed="false">
      <c r="A241" s="12"/>
      <c r="B241" s="34"/>
      <c r="C241" s="12"/>
      <c r="D241" s="12"/>
      <c r="E241" s="12"/>
      <c r="F241" s="12"/>
      <c r="G241" s="18"/>
      <c r="H241" s="35"/>
      <c r="I241" s="12"/>
      <c r="M241" s="12"/>
      <c r="N241" s="18"/>
      <c r="O241" s="12"/>
      <c r="P241" s="12"/>
      <c r="Q241" s="12"/>
      <c r="R241" s="36"/>
      <c r="S241" s="36"/>
      <c r="T241" s="12"/>
      <c r="U241" s="12"/>
      <c r="V241" s="12"/>
      <c r="W241" s="12"/>
      <c r="X241" s="12"/>
    </row>
    <row r="242" customFormat="false" ht="15.75" hidden="false" customHeight="false" outlineLevel="0" collapsed="false">
      <c r="A242" s="12"/>
      <c r="B242" s="34"/>
      <c r="C242" s="12"/>
      <c r="D242" s="12"/>
      <c r="E242" s="12"/>
      <c r="F242" s="12"/>
      <c r="G242" s="18"/>
      <c r="H242" s="35"/>
      <c r="I242" s="12"/>
      <c r="M242" s="12"/>
      <c r="N242" s="18"/>
      <c r="O242" s="12"/>
      <c r="P242" s="12"/>
      <c r="Q242" s="12"/>
      <c r="R242" s="36"/>
      <c r="S242" s="36"/>
      <c r="T242" s="12"/>
      <c r="U242" s="12"/>
      <c r="V242" s="12"/>
      <c r="W242" s="12"/>
      <c r="X242" s="12"/>
    </row>
    <row r="243" customFormat="false" ht="15.75" hidden="false" customHeight="false" outlineLevel="0" collapsed="false">
      <c r="A243" s="12"/>
      <c r="B243" s="34"/>
      <c r="C243" s="12"/>
      <c r="D243" s="12"/>
      <c r="E243" s="12"/>
      <c r="F243" s="12"/>
      <c r="G243" s="18"/>
      <c r="H243" s="35"/>
      <c r="I243" s="12"/>
      <c r="M243" s="12"/>
      <c r="N243" s="18"/>
      <c r="O243" s="12"/>
      <c r="P243" s="12"/>
      <c r="Q243" s="12"/>
      <c r="R243" s="36"/>
      <c r="S243" s="36"/>
      <c r="T243" s="12"/>
      <c r="U243" s="12"/>
      <c r="V243" s="12"/>
      <c r="W243" s="12"/>
      <c r="X243" s="12"/>
    </row>
    <row r="244" customFormat="false" ht="15.75" hidden="false" customHeight="false" outlineLevel="0" collapsed="false">
      <c r="A244" s="12"/>
      <c r="B244" s="34"/>
      <c r="C244" s="12"/>
      <c r="D244" s="12"/>
      <c r="E244" s="12"/>
      <c r="F244" s="12"/>
      <c r="G244" s="18"/>
      <c r="H244" s="35"/>
      <c r="I244" s="12"/>
      <c r="M244" s="12"/>
      <c r="N244" s="18"/>
      <c r="O244" s="12"/>
      <c r="P244" s="12"/>
      <c r="Q244" s="12"/>
      <c r="R244" s="36"/>
      <c r="S244" s="36"/>
      <c r="T244" s="12"/>
      <c r="U244" s="12"/>
      <c r="V244" s="12"/>
      <c r="W244" s="12"/>
      <c r="X244" s="12"/>
    </row>
    <row r="245" customFormat="false" ht="15.75" hidden="false" customHeight="false" outlineLevel="0" collapsed="false">
      <c r="A245" s="12"/>
      <c r="B245" s="34"/>
      <c r="C245" s="12"/>
      <c r="D245" s="12"/>
      <c r="E245" s="12"/>
      <c r="F245" s="12"/>
      <c r="G245" s="18"/>
      <c r="H245" s="35"/>
      <c r="I245" s="12"/>
      <c r="M245" s="12"/>
      <c r="N245" s="18"/>
      <c r="O245" s="12"/>
      <c r="P245" s="12"/>
      <c r="Q245" s="12"/>
      <c r="R245" s="36"/>
      <c r="S245" s="36"/>
      <c r="T245" s="12"/>
      <c r="U245" s="12"/>
      <c r="V245" s="12"/>
      <c r="W245" s="12"/>
      <c r="X245" s="12"/>
    </row>
    <row r="246" customFormat="false" ht="15.75" hidden="false" customHeight="false" outlineLevel="0" collapsed="false">
      <c r="A246" s="12"/>
      <c r="B246" s="34"/>
      <c r="C246" s="12"/>
      <c r="D246" s="12"/>
      <c r="E246" s="12"/>
      <c r="F246" s="12"/>
      <c r="G246" s="18"/>
      <c r="H246" s="35"/>
      <c r="I246" s="12"/>
      <c r="M246" s="12"/>
      <c r="N246" s="18"/>
      <c r="O246" s="12"/>
      <c r="P246" s="12"/>
      <c r="Q246" s="12"/>
      <c r="R246" s="36"/>
      <c r="S246" s="36"/>
      <c r="T246" s="12"/>
      <c r="U246" s="12"/>
      <c r="V246" s="12"/>
      <c r="W246" s="12"/>
      <c r="X246" s="12"/>
    </row>
    <row r="247" customFormat="false" ht="15.75" hidden="false" customHeight="false" outlineLevel="0" collapsed="false">
      <c r="A247" s="12"/>
      <c r="B247" s="34"/>
      <c r="C247" s="12"/>
      <c r="D247" s="12"/>
      <c r="E247" s="12"/>
      <c r="F247" s="12"/>
      <c r="G247" s="18"/>
      <c r="H247" s="35"/>
      <c r="I247" s="12"/>
      <c r="M247" s="12"/>
      <c r="N247" s="18"/>
      <c r="O247" s="12"/>
      <c r="P247" s="12"/>
      <c r="Q247" s="12"/>
      <c r="R247" s="36"/>
      <c r="S247" s="36"/>
      <c r="T247" s="12"/>
      <c r="U247" s="12"/>
      <c r="V247" s="12"/>
      <c r="W247" s="12"/>
      <c r="X247" s="12"/>
    </row>
    <row r="248" customFormat="false" ht="15.75" hidden="false" customHeight="false" outlineLevel="0" collapsed="false">
      <c r="A248" s="12"/>
      <c r="B248" s="34"/>
      <c r="C248" s="12"/>
      <c r="D248" s="12"/>
      <c r="E248" s="12"/>
      <c r="F248" s="12"/>
      <c r="G248" s="18"/>
      <c r="H248" s="35"/>
      <c r="I248" s="12"/>
      <c r="M248" s="12"/>
      <c r="N248" s="18"/>
      <c r="O248" s="12"/>
      <c r="P248" s="12"/>
      <c r="Q248" s="12"/>
      <c r="R248" s="36"/>
      <c r="S248" s="36"/>
      <c r="T248" s="12"/>
      <c r="U248" s="12"/>
      <c r="V248" s="12"/>
      <c r="W248" s="12"/>
      <c r="X248" s="12"/>
    </row>
    <row r="249" customFormat="false" ht="15.75" hidden="false" customHeight="false" outlineLevel="0" collapsed="false">
      <c r="A249" s="12"/>
      <c r="B249" s="34"/>
      <c r="C249" s="12"/>
      <c r="D249" s="12"/>
      <c r="E249" s="12"/>
      <c r="F249" s="12"/>
      <c r="G249" s="18"/>
      <c r="H249" s="35"/>
      <c r="I249" s="12"/>
      <c r="M249" s="12"/>
      <c r="N249" s="18"/>
      <c r="O249" s="12"/>
      <c r="P249" s="12"/>
      <c r="Q249" s="12"/>
      <c r="R249" s="36"/>
      <c r="S249" s="36"/>
      <c r="T249" s="12"/>
      <c r="U249" s="12"/>
      <c r="V249" s="12"/>
      <c r="W249" s="12"/>
      <c r="X249" s="12"/>
    </row>
    <row r="250" customFormat="false" ht="15.75" hidden="false" customHeight="false" outlineLevel="0" collapsed="false">
      <c r="A250" s="12"/>
      <c r="B250" s="34"/>
      <c r="C250" s="12"/>
      <c r="D250" s="12"/>
      <c r="E250" s="12"/>
      <c r="F250" s="12"/>
      <c r="G250" s="18"/>
      <c r="H250" s="35"/>
      <c r="I250" s="12"/>
      <c r="M250" s="12"/>
      <c r="N250" s="18"/>
      <c r="O250" s="12"/>
      <c r="P250" s="12"/>
      <c r="Q250" s="12"/>
      <c r="R250" s="36"/>
      <c r="S250" s="36"/>
      <c r="T250" s="12"/>
      <c r="U250" s="12"/>
      <c r="V250" s="12"/>
      <c r="W250" s="12"/>
      <c r="X250" s="12"/>
    </row>
    <row r="251" customFormat="false" ht="15.75" hidden="false" customHeight="false" outlineLevel="0" collapsed="false">
      <c r="A251" s="12"/>
      <c r="B251" s="34"/>
      <c r="C251" s="12"/>
      <c r="D251" s="12"/>
      <c r="E251" s="12"/>
      <c r="F251" s="12"/>
      <c r="G251" s="18"/>
      <c r="H251" s="35"/>
      <c r="I251" s="12"/>
      <c r="M251" s="12"/>
      <c r="N251" s="18"/>
      <c r="O251" s="12"/>
      <c r="P251" s="12"/>
      <c r="Q251" s="12"/>
      <c r="R251" s="36"/>
      <c r="S251" s="36"/>
      <c r="T251" s="12"/>
      <c r="U251" s="12"/>
      <c r="V251" s="12"/>
      <c r="W251" s="12"/>
      <c r="X251" s="12"/>
    </row>
    <row r="252" customFormat="false" ht="15.75" hidden="false" customHeight="false" outlineLevel="0" collapsed="false">
      <c r="A252" s="12"/>
      <c r="B252" s="34"/>
      <c r="C252" s="12"/>
      <c r="D252" s="12"/>
      <c r="E252" s="12"/>
      <c r="F252" s="12"/>
      <c r="G252" s="18"/>
      <c r="H252" s="35"/>
      <c r="I252" s="12"/>
      <c r="M252" s="12"/>
      <c r="N252" s="18"/>
      <c r="O252" s="12"/>
      <c r="P252" s="12"/>
      <c r="Q252" s="12"/>
      <c r="R252" s="36"/>
      <c r="S252" s="36"/>
      <c r="T252" s="12"/>
      <c r="U252" s="12"/>
      <c r="V252" s="12"/>
      <c r="W252" s="12"/>
      <c r="X252" s="12"/>
    </row>
    <row r="253" customFormat="false" ht="15.75" hidden="false" customHeight="false" outlineLevel="0" collapsed="false">
      <c r="A253" s="12"/>
      <c r="B253" s="34"/>
      <c r="C253" s="12"/>
      <c r="D253" s="12"/>
      <c r="E253" s="12"/>
      <c r="F253" s="12"/>
      <c r="G253" s="18"/>
      <c r="H253" s="35"/>
      <c r="I253" s="12"/>
      <c r="M253" s="12"/>
      <c r="N253" s="18"/>
      <c r="O253" s="12"/>
      <c r="P253" s="12"/>
      <c r="Q253" s="12"/>
      <c r="R253" s="36"/>
      <c r="S253" s="36"/>
      <c r="T253" s="12"/>
      <c r="U253" s="12"/>
      <c r="V253" s="12"/>
      <c r="W253" s="12"/>
      <c r="X253" s="12"/>
    </row>
    <row r="254" customFormat="false" ht="15.75" hidden="false" customHeight="false" outlineLevel="0" collapsed="false">
      <c r="A254" s="12"/>
      <c r="B254" s="34"/>
      <c r="C254" s="12"/>
      <c r="D254" s="12"/>
      <c r="E254" s="12"/>
      <c r="F254" s="12"/>
      <c r="G254" s="18"/>
      <c r="H254" s="35"/>
      <c r="I254" s="12"/>
      <c r="M254" s="12"/>
      <c r="N254" s="18"/>
      <c r="O254" s="12"/>
      <c r="P254" s="12"/>
      <c r="Q254" s="12"/>
      <c r="R254" s="36"/>
      <c r="S254" s="36"/>
      <c r="T254" s="12"/>
      <c r="U254" s="12"/>
      <c r="V254" s="12"/>
      <c r="W254" s="12"/>
      <c r="X254" s="12"/>
    </row>
    <row r="255" customFormat="false" ht="15.75" hidden="false" customHeight="false" outlineLevel="0" collapsed="false">
      <c r="A255" s="12"/>
      <c r="B255" s="34"/>
      <c r="C255" s="12"/>
      <c r="D255" s="12"/>
      <c r="E255" s="12"/>
      <c r="F255" s="12"/>
      <c r="G255" s="18"/>
      <c r="H255" s="35"/>
      <c r="I255" s="12"/>
      <c r="M255" s="12"/>
      <c r="N255" s="18"/>
      <c r="O255" s="12"/>
      <c r="P255" s="12"/>
      <c r="Q255" s="12"/>
      <c r="R255" s="36"/>
      <c r="S255" s="36"/>
      <c r="T255" s="12"/>
      <c r="U255" s="12"/>
      <c r="V255" s="12"/>
      <c r="W255" s="12"/>
      <c r="X255" s="12"/>
    </row>
    <row r="256" customFormat="false" ht="15.75" hidden="false" customHeight="false" outlineLevel="0" collapsed="false">
      <c r="A256" s="12"/>
      <c r="B256" s="34"/>
      <c r="C256" s="12"/>
      <c r="D256" s="12"/>
      <c r="E256" s="12"/>
      <c r="F256" s="12"/>
      <c r="G256" s="18"/>
      <c r="H256" s="35"/>
      <c r="I256" s="12"/>
      <c r="M256" s="12"/>
      <c r="N256" s="18"/>
      <c r="O256" s="12"/>
      <c r="P256" s="12"/>
      <c r="Q256" s="12"/>
      <c r="R256" s="36"/>
      <c r="S256" s="36"/>
      <c r="T256" s="12"/>
      <c r="U256" s="12"/>
      <c r="V256" s="12"/>
      <c r="W256" s="12"/>
      <c r="X256" s="12"/>
    </row>
    <row r="257" customFormat="false" ht="15.75" hidden="false" customHeight="false" outlineLevel="0" collapsed="false">
      <c r="A257" s="12"/>
      <c r="B257" s="34"/>
      <c r="C257" s="12"/>
      <c r="D257" s="12"/>
      <c r="E257" s="12"/>
      <c r="F257" s="12"/>
      <c r="G257" s="18"/>
      <c r="H257" s="35"/>
      <c r="I257" s="12"/>
      <c r="M257" s="12"/>
      <c r="N257" s="18"/>
      <c r="O257" s="12"/>
      <c r="P257" s="12"/>
      <c r="Q257" s="12"/>
      <c r="R257" s="36"/>
      <c r="S257" s="36"/>
      <c r="T257" s="12"/>
      <c r="U257" s="12"/>
      <c r="V257" s="12"/>
      <c r="W257" s="12"/>
      <c r="X257" s="12"/>
    </row>
    <row r="258" customFormat="false" ht="15.75" hidden="false" customHeight="false" outlineLevel="0" collapsed="false">
      <c r="A258" s="12"/>
      <c r="B258" s="34"/>
      <c r="C258" s="12"/>
      <c r="D258" s="12"/>
      <c r="E258" s="12"/>
      <c r="F258" s="12"/>
      <c r="G258" s="18"/>
      <c r="H258" s="35"/>
      <c r="I258" s="12"/>
      <c r="M258" s="12"/>
      <c r="N258" s="18"/>
      <c r="O258" s="12"/>
      <c r="P258" s="12"/>
      <c r="Q258" s="12"/>
      <c r="R258" s="36"/>
      <c r="S258" s="36"/>
      <c r="T258" s="12"/>
      <c r="U258" s="12"/>
      <c r="V258" s="12"/>
      <c r="W258" s="12"/>
      <c r="X258" s="12"/>
    </row>
    <row r="259" customFormat="false" ht="15.75" hidden="false" customHeight="false" outlineLevel="0" collapsed="false">
      <c r="A259" s="12"/>
      <c r="B259" s="34"/>
      <c r="C259" s="12"/>
      <c r="D259" s="12"/>
      <c r="E259" s="12"/>
      <c r="F259" s="12"/>
      <c r="G259" s="18"/>
      <c r="H259" s="35"/>
      <c r="I259" s="12"/>
      <c r="M259" s="12"/>
      <c r="N259" s="18"/>
      <c r="O259" s="12"/>
      <c r="P259" s="12"/>
      <c r="Q259" s="12"/>
      <c r="R259" s="36"/>
      <c r="S259" s="36"/>
      <c r="T259" s="12"/>
      <c r="U259" s="12"/>
      <c r="V259" s="12"/>
      <c r="W259" s="12"/>
      <c r="X259" s="12"/>
    </row>
    <row r="260" customFormat="false" ht="15.75" hidden="false" customHeight="false" outlineLevel="0" collapsed="false">
      <c r="A260" s="12"/>
      <c r="B260" s="34"/>
      <c r="C260" s="12"/>
      <c r="D260" s="12"/>
      <c r="E260" s="12"/>
      <c r="F260" s="12"/>
      <c r="G260" s="18"/>
      <c r="H260" s="35"/>
      <c r="I260" s="12"/>
      <c r="M260" s="12"/>
      <c r="N260" s="18"/>
      <c r="O260" s="12"/>
      <c r="P260" s="12"/>
      <c r="Q260" s="12"/>
      <c r="R260" s="36"/>
      <c r="S260" s="36"/>
      <c r="T260" s="12"/>
      <c r="U260" s="12"/>
      <c r="V260" s="12"/>
      <c r="W260" s="12"/>
      <c r="X260" s="12"/>
    </row>
    <row r="261" customFormat="false" ht="15.75" hidden="false" customHeight="false" outlineLevel="0" collapsed="false">
      <c r="A261" s="12"/>
      <c r="B261" s="34"/>
      <c r="C261" s="12"/>
      <c r="D261" s="12"/>
      <c r="E261" s="12"/>
      <c r="F261" s="12"/>
      <c r="G261" s="18"/>
      <c r="H261" s="35"/>
      <c r="I261" s="12"/>
      <c r="M261" s="12"/>
      <c r="N261" s="18"/>
      <c r="O261" s="12"/>
      <c r="P261" s="12"/>
      <c r="Q261" s="12"/>
      <c r="R261" s="36"/>
      <c r="S261" s="36"/>
      <c r="T261" s="12"/>
      <c r="U261" s="12"/>
      <c r="V261" s="12"/>
      <c r="W261" s="12"/>
      <c r="X261" s="12"/>
    </row>
    <row r="262" customFormat="false" ht="15.75" hidden="false" customHeight="false" outlineLevel="0" collapsed="false">
      <c r="A262" s="12"/>
      <c r="B262" s="34"/>
      <c r="C262" s="12"/>
      <c r="D262" s="12"/>
      <c r="E262" s="12"/>
      <c r="F262" s="12"/>
      <c r="G262" s="18"/>
      <c r="H262" s="35"/>
      <c r="I262" s="12"/>
      <c r="M262" s="12"/>
      <c r="N262" s="18"/>
      <c r="O262" s="12"/>
      <c r="P262" s="12"/>
      <c r="Q262" s="12"/>
      <c r="R262" s="36"/>
      <c r="S262" s="36"/>
      <c r="T262" s="12"/>
      <c r="U262" s="12"/>
      <c r="V262" s="12"/>
      <c r="W262" s="12"/>
      <c r="X262" s="12"/>
    </row>
    <row r="263" customFormat="false" ht="15.75" hidden="false" customHeight="false" outlineLevel="0" collapsed="false">
      <c r="A263" s="12"/>
      <c r="B263" s="34"/>
      <c r="C263" s="12"/>
      <c r="D263" s="12"/>
      <c r="E263" s="12"/>
      <c r="F263" s="12"/>
      <c r="G263" s="18"/>
      <c r="H263" s="35"/>
      <c r="I263" s="12"/>
      <c r="M263" s="12"/>
      <c r="N263" s="18"/>
      <c r="O263" s="12"/>
      <c r="P263" s="12"/>
      <c r="Q263" s="12"/>
      <c r="R263" s="36"/>
      <c r="S263" s="36"/>
      <c r="T263" s="12"/>
      <c r="U263" s="12"/>
      <c r="V263" s="12"/>
      <c r="W263" s="12"/>
      <c r="X263" s="12"/>
    </row>
    <row r="264" customFormat="false" ht="15.75" hidden="false" customHeight="false" outlineLevel="0" collapsed="false">
      <c r="A264" s="12"/>
      <c r="B264" s="34"/>
      <c r="C264" s="12"/>
      <c r="D264" s="12"/>
      <c r="E264" s="12"/>
      <c r="F264" s="12"/>
      <c r="G264" s="18"/>
      <c r="H264" s="35"/>
      <c r="I264" s="12"/>
      <c r="M264" s="12"/>
      <c r="N264" s="18"/>
      <c r="O264" s="12"/>
      <c r="P264" s="12"/>
      <c r="Q264" s="12"/>
      <c r="R264" s="36"/>
      <c r="S264" s="36"/>
      <c r="T264" s="12"/>
      <c r="U264" s="12"/>
      <c r="V264" s="12"/>
      <c r="W264" s="12"/>
      <c r="X264" s="12"/>
    </row>
    <row r="265" customFormat="false" ht="15.75" hidden="false" customHeight="false" outlineLevel="0" collapsed="false">
      <c r="A265" s="12"/>
      <c r="B265" s="34"/>
      <c r="C265" s="12"/>
      <c r="D265" s="12"/>
      <c r="E265" s="12"/>
      <c r="F265" s="12"/>
      <c r="G265" s="18"/>
      <c r="H265" s="35"/>
      <c r="I265" s="12"/>
      <c r="M265" s="12"/>
      <c r="N265" s="18"/>
      <c r="O265" s="12"/>
      <c r="P265" s="12"/>
      <c r="Q265" s="12"/>
      <c r="R265" s="36"/>
      <c r="S265" s="36"/>
      <c r="T265" s="12"/>
      <c r="U265" s="12"/>
      <c r="V265" s="12"/>
      <c r="W265" s="12"/>
      <c r="X265" s="12"/>
    </row>
    <row r="266" customFormat="false" ht="15.75" hidden="false" customHeight="false" outlineLevel="0" collapsed="false">
      <c r="A266" s="12"/>
      <c r="B266" s="34"/>
      <c r="C266" s="12"/>
      <c r="D266" s="12"/>
      <c r="E266" s="12"/>
      <c r="F266" s="12"/>
      <c r="G266" s="18"/>
      <c r="H266" s="35"/>
      <c r="I266" s="12"/>
      <c r="M266" s="12"/>
      <c r="N266" s="18"/>
      <c r="O266" s="12"/>
      <c r="P266" s="12"/>
      <c r="Q266" s="12"/>
      <c r="R266" s="36"/>
      <c r="S266" s="36"/>
      <c r="T266" s="12"/>
      <c r="U266" s="12"/>
      <c r="V266" s="12"/>
      <c r="W266" s="12"/>
      <c r="X266" s="12"/>
    </row>
    <row r="267" customFormat="false" ht="15.75" hidden="false" customHeight="false" outlineLevel="0" collapsed="false">
      <c r="A267" s="12"/>
      <c r="B267" s="34"/>
      <c r="C267" s="12"/>
      <c r="D267" s="12"/>
      <c r="E267" s="12"/>
      <c r="F267" s="12"/>
      <c r="G267" s="18"/>
      <c r="H267" s="35"/>
      <c r="I267" s="12"/>
      <c r="M267" s="12"/>
      <c r="N267" s="18"/>
      <c r="O267" s="12"/>
      <c r="P267" s="12"/>
      <c r="Q267" s="12"/>
      <c r="R267" s="36"/>
      <c r="S267" s="36"/>
      <c r="T267" s="12"/>
      <c r="U267" s="12"/>
      <c r="V267" s="12"/>
      <c r="W267" s="12"/>
      <c r="X267" s="12"/>
    </row>
    <row r="268" customFormat="false" ht="15.75" hidden="false" customHeight="false" outlineLevel="0" collapsed="false">
      <c r="A268" s="12"/>
      <c r="B268" s="34"/>
      <c r="C268" s="12"/>
      <c r="D268" s="12"/>
      <c r="E268" s="12"/>
      <c r="F268" s="12"/>
      <c r="G268" s="18"/>
      <c r="H268" s="35"/>
      <c r="I268" s="12"/>
      <c r="M268" s="12"/>
      <c r="N268" s="18"/>
      <c r="O268" s="12"/>
      <c r="P268" s="12"/>
      <c r="Q268" s="12"/>
      <c r="R268" s="36"/>
      <c r="S268" s="36"/>
      <c r="T268" s="12"/>
      <c r="U268" s="12"/>
      <c r="V268" s="12"/>
      <c r="W268" s="12"/>
      <c r="X268" s="12"/>
    </row>
    <row r="269" customFormat="false" ht="15.75" hidden="false" customHeight="false" outlineLevel="0" collapsed="false">
      <c r="A269" s="12"/>
      <c r="B269" s="34"/>
      <c r="C269" s="12"/>
      <c r="D269" s="12"/>
      <c r="E269" s="12"/>
      <c r="F269" s="12"/>
      <c r="G269" s="18"/>
      <c r="H269" s="35"/>
      <c r="I269" s="12"/>
      <c r="M269" s="12"/>
      <c r="N269" s="18"/>
      <c r="O269" s="12"/>
      <c r="P269" s="12"/>
      <c r="Q269" s="12"/>
      <c r="R269" s="36"/>
      <c r="S269" s="36"/>
      <c r="T269" s="12"/>
      <c r="U269" s="12"/>
      <c r="V269" s="12"/>
      <c r="W269" s="12"/>
      <c r="X269" s="12"/>
    </row>
    <row r="270" customFormat="false" ht="15.75" hidden="false" customHeight="false" outlineLevel="0" collapsed="false">
      <c r="A270" s="12"/>
      <c r="B270" s="34"/>
      <c r="C270" s="12"/>
      <c r="D270" s="12"/>
      <c r="E270" s="12"/>
      <c r="F270" s="12"/>
      <c r="G270" s="18"/>
      <c r="H270" s="35"/>
      <c r="I270" s="12"/>
      <c r="M270" s="12"/>
      <c r="N270" s="18"/>
      <c r="O270" s="12"/>
      <c r="P270" s="12"/>
      <c r="Q270" s="12"/>
      <c r="R270" s="36"/>
      <c r="S270" s="36"/>
      <c r="T270" s="12"/>
      <c r="U270" s="12"/>
      <c r="V270" s="12"/>
      <c r="W270" s="12"/>
      <c r="X270" s="12"/>
    </row>
    <row r="271" customFormat="false" ht="15.75" hidden="false" customHeight="false" outlineLevel="0" collapsed="false">
      <c r="A271" s="12"/>
      <c r="B271" s="34"/>
      <c r="C271" s="12"/>
      <c r="D271" s="12"/>
      <c r="E271" s="12"/>
      <c r="F271" s="12"/>
      <c r="G271" s="18"/>
      <c r="H271" s="35"/>
      <c r="I271" s="12"/>
      <c r="M271" s="12"/>
      <c r="N271" s="18"/>
      <c r="O271" s="12"/>
      <c r="P271" s="12"/>
      <c r="Q271" s="12"/>
      <c r="R271" s="36"/>
      <c r="S271" s="36"/>
      <c r="T271" s="12"/>
      <c r="U271" s="12"/>
      <c r="V271" s="12"/>
      <c r="W271" s="12"/>
      <c r="X271" s="12"/>
    </row>
    <row r="272" customFormat="false" ht="15.75" hidden="false" customHeight="false" outlineLevel="0" collapsed="false">
      <c r="A272" s="12"/>
      <c r="B272" s="34"/>
      <c r="C272" s="12"/>
      <c r="D272" s="12"/>
      <c r="E272" s="12"/>
      <c r="F272" s="12"/>
      <c r="G272" s="18"/>
      <c r="H272" s="35"/>
      <c r="I272" s="12"/>
      <c r="M272" s="12"/>
      <c r="N272" s="18"/>
      <c r="O272" s="12"/>
      <c r="P272" s="12"/>
      <c r="Q272" s="12"/>
      <c r="R272" s="36"/>
      <c r="S272" s="36"/>
      <c r="T272" s="12"/>
      <c r="U272" s="12"/>
      <c r="V272" s="12"/>
      <c r="W272" s="12"/>
      <c r="X272" s="12"/>
    </row>
    <row r="273" customFormat="false" ht="15.75" hidden="false" customHeight="false" outlineLevel="0" collapsed="false">
      <c r="A273" s="12"/>
      <c r="B273" s="34"/>
      <c r="C273" s="12"/>
      <c r="D273" s="12"/>
      <c r="E273" s="12"/>
      <c r="F273" s="12"/>
      <c r="G273" s="18"/>
      <c r="H273" s="35"/>
      <c r="I273" s="12"/>
      <c r="M273" s="12"/>
      <c r="N273" s="18"/>
      <c r="O273" s="12"/>
      <c r="P273" s="12"/>
      <c r="Q273" s="12"/>
      <c r="R273" s="36"/>
      <c r="S273" s="36"/>
      <c r="T273" s="12"/>
      <c r="U273" s="12"/>
      <c r="V273" s="12"/>
      <c r="W273" s="12"/>
      <c r="X273" s="12"/>
    </row>
    <row r="274" customFormat="false" ht="15.75" hidden="false" customHeight="false" outlineLevel="0" collapsed="false">
      <c r="A274" s="12"/>
      <c r="B274" s="34"/>
      <c r="C274" s="12"/>
      <c r="D274" s="12"/>
      <c r="E274" s="12"/>
      <c r="F274" s="12"/>
      <c r="G274" s="18"/>
      <c r="H274" s="35"/>
      <c r="I274" s="12"/>
      <c r="M274" s="12"/>
      <c r="N274" s="18"/>
      <c r="O274" s="12"/>
      <c r="P274" s="12"/>
      <c r="Q274" s="12"/>
      <c r="R274" s="36"/>
      <c r="S274" s="36"/>
      <c r="T274" s="12"/>
      <c r="U274" s="12"/>
      <c r="V274" s="12"/>
      <c r="W274" s="12"/>
      <c r="X274" s="12"/>
    </row>
    <row r="275" customFormat="false" ht="15.75" hidden="false" customHeight="false" outlineLevel="0" collapsed="false">
      <c r="A275" s="12"/>
      <c r="B275" s="34"/>
      <c r="C275" s="12"/>
      <c r="D275" s="12"/>
      <c r="E275" s="12"/>
      <c r="F275" s="12"/>
      <c r="G275" s="18"/>
      <c r="H275" s="35"/>
      <c r="I275" s="12"/>
      <c r="M275" s="12"/>
      <c r="N275" s="18"/>
      <c r="O275" s="12"/>
      <c r="P275" s="12"/>
      <c r="Q275" s="12"/>
      <c r="R275" s="36"/>
      <c r="S275" s="36"/>
      <c r="T275" s="12"/>
      <c r="U275" s="12"/>
      <c r="V275" s="12"/>
      <c r="W275" s="12"/>
      <c r="X275" s="12"/>
    </row>
    <row r="276" customFormat="false" ht="15.75" hidden="false" customHeight="false" outlineLevel="0" collapsed="false">
      <c r="A276" s="12"/>
      <c r="B276" s="34"/>
      <c r="C276" s="12"/>
      <c r="D276" s="12"/>
      <c r="E276" s="12"/>
      <c r="F276" s="12"/>
      <c r="G276" s="18"/>
      <c r="H276" s="35"/>
      <c r="I276" s="12"/>
      <c r="M276" s="12"/>
      <c r="N276" s="18"/>
      <c r="O276" s="12"/>
      <c r="P276" s="12"/>
      <c r="Q276" s="12"/>
      <c r="R276" s="36"/>
      <c r="S276" s="36"/>
      <c r="T276" s="12"/>
      <c r="U276" s="12"/>
      <c r="V276" s="12"/>
      <c r="W276" s="12"/>
      <c r="X276" s="12"/>
    </row>
    <row r="277" customFormat="false" ht="15.75" hidden="false" customHeight="false" outlineLevel="0" collapsed="false">
      <c r="A277" s="12"/>
      <c r="B277" s="34"/>
      <c r="C277" s="12"/>
      <c r="D277" s="12"/>
      <c r="E277" s="12"/>
      <c r="F277" s="12"/>
      <c r="G277" s="18"/>
      <c r="H277" s="35"/>
      <c r="I277" s="12"/>
      <c r="M277" s="12"/>
      <c r="N277" s="18"/>
      <c r="O277" s="12"/>
      <c r="P277" s="12"/>
      <c r="Q277" s="12"/>
      <c r="R277" s="36"/>
      <c r="S277" s="36"/>
      <c r="T277" s="12"/>
      <c r="U277" s="12"/>
      <c r="V277" s="12"/>
      <c r="W277" s="12"/>
      <c r="X277" s="12"/>
    </row>
    <row r="278" customFormat="false" ht="15.75" hidden="false" customHeight="false" outlineLevel="0" collapsed="false">
      <c r="A278" s="12"/>
      <c r="B278" s="34"/>
      <c r="C278" s="12"/>
      <c r="D278" s="12"/>
      <c r="E278" s="12"/>
      <c r="F278" s="12"/>
      <c r="G278" s="18"/>
      <c r="H278" s="35"/>
      <c r="I278" s="12"/>
      <c r="M278" s="12"/>
      <c r="N278" s="18"/>
      <c r="O278" s="12"/>
      <c r="P278" s="12"/>
      <c r="Q278" s="12"/>
      <c r="R278" s="36"/>
      <c r="S278" s="36"/>
      <c r="T278" s="12"/>
      <c r="U278" s="12"/>
      <c r="V278" s="12"/>
      <c r="W278" s="12"/>
      <c r="X278" s="12"/>
    </row>
    <row r="279" customFormat="false" ht="15.75" hidden="false" customHeight="false" outlineLevel="0" collapsed="false">
      <c r="A279" s="12"/>
      <c r="B279" s="34"/>
      <c r="C279" s="12"/>
      <c r="D279" s="12"/>
      <c r="E279" s="12"/>
      <c r="F279" s="12"/>
      <c r="G279" s="18"/>
      <c r="H279" s="35"/>
      <c r="I279" s="12"/>
      <c r="M279" s="12"/>
      <c r="N279" s="18"/>
      <c r="O279" s="12"/>
      <c r="P279" s="12"/>
      <c r="Q279" s="12"/>
      <c r="R279" s="36"/>
      <c r="S279" s="36"/>
      <c r="T279" s="12"/>
      <c r="U279" s="12"/>
      <c r="V279" s="12"/>
      <c r="W279" s="12"/>
      <c r="X279" s="12"/>
    </row>
    <row r="280" customFormat="false" ht="15.75" hidden="false" customHeight="false" outlineLevel="0" collapsed="false">
      <c r="A280" s="12"/>
      <c r="B280" s="34"/>
      <c r="C280" s="12"/>
      <c r="D280" s="12"/>
      <c r="E280" s="12"/>
      <c r="F280" s="12"/>
      <c r="G280" s="18"/>
      <c r="H280" s="35"/>
      <c r="I280" s="12"/>
      <c r="M280" s="12"/>
      <c r="N280" s="18"/>
      <c r="O280" s="12"/>
      <c r="P280" s="12"/>
      <c r="Q280" s="12"/>
      <c r="R280" s="36"/>
      <c r="S280" s="36"/>
      <c r="T280" s="12"/>
      <c r="U280" s="12"/>
      <c r="V280" s="12"/>
      <c r="W280" s="12"/>
      <c r="X280" s="12"/>
    </row>
    <row r="281" customFormat="false" ht="15.75" hidden="false" customHeight="false" outlineLevel="0" collapsed="false">
      <c r="A281" s="12"/>
      <c r="B281" s="34"/>
      <c r="C281" s="12"/>
      <c r="D281" s="12"/>
      <c r="E281" s="12"/>
      <c r="F281" s="12"/>
      <c r="G281" s="18"/>
      <c r="H281" s="35"/>
      <c r="I281" s="12"/>
      <c r="M281" s="12"/>
      <c r="N281" s="18"/>
      <c r="O281" s="12"/>
      <c r="P281" s="12"/>
      <c r="Q281" s="12"/>
      <c r="R281" s="36"/>
      <c r="S281" s="36"/>
      <c r="T281" s="12"/>
      <c r="U281" s="12"/>
      <c r="V281" s="12"/>
      <c r="W281" s="12"/>
      <c r="X281" s="12"/>
    </row>
    <row r="282" customFormat="false" ht="15.75" hidden="false" customHeight="false" outlineLevel="0" collapsed="false">
      <c r="A282" s="12"/>
      <c r="B282" s="34"/>
      <c r="C282" s="12"/>
      <c r="D282" s="12"/>
      <c r="E282" s="12"/>
      <c r="F282" s="12"/>
      <c r="G282" s="18"/>
      <c r="H282" s="35"/>
      <c r="I282" s="12"/>
      <c r="M282" s="12"/>
      <c r="N282" s="18"/>
      <c r="O282" s="12"/>
      <c r="P282" s="12"/>
      <c r="Q282" s="12"/>
      <c r="R282" s="36"/>
      <c r="S282" s="36"/>
      <c r="T282" s="12"/>
      <c r="U282" s="12"/>
      <c r="V282" s="12"/>
      <c r="W282" s="12"/>
      <c r="X282" s="12"/>
    </row>
    <row r="283" customFormat="false" ht="15.75" hidden="false" customHeight="false" outlineLevel="0" collapsed="false">
      <c r="A283" s="12"/>
      <c r="B283" s="34"/>
      <c r="C283" s="12"/>
      <c r="D283" s="12"/>
      <c r="E283" s="12"/>
      <c r="F283" s="12"/>
      <c r="G283" s="18"/>
      <c r="H283" s="35"/>
      <c r="I283" s="12"/>
      <c r="M283" s="12"/>
      <c r="N283" s="18"/>
      <c r="O283" s="12"/>
      <c r="P283" s="12"/>
      <c r="Q283" s="12"/>
      <c r="R283" s="36"/>
      <c r="S283" s="36"/>
      <c r="T283" s="12"/>
      <c r="U283" s="12"/>
      <c r="V283" s="12"/>
      <c r="W283" s="12"/>
      <c r="X283" s="12"/>
    </row>
    <row r="284" customFormat="false" ht="15.75" hidden="false" customHeight="false" outlineLevel="0" collapsed="false">
      <c r="A284" s="12"/>
      <c r="B284" s="34"/>
      <c r="C284" s="12"/>
      <c r="D284" s="12"/>
      <c r="E284" s="12"/>
      <c r="F284" s="12"/>
      <c r="G284" s="18"/>
      <c r="H284" s="35"/>
      <c r="I284" s="12"/>
      <c r="M284" s="12"/>
      <c r="N284" s="18"/>
      <c r="O284" s="12"/>
      <c r="P284" s="12"/>
      <c r="Q284" s="12"/>
      <c r="R284" s="36"/>
      <c r="S284" s="36"/>
      <c r="T284" s="12"/>
      <c r="U284" s="12"/>
      <c r="V284" s="12"/>
      <c r="W284" s="12"/>
      <c r="X284" s="12"/>
    </row>
    <row r="285" customFormat="false" ht="15.75" hidden="false" customHeight="false" outlineLevel="0" collapsed="false">
      <c r="A285" s="12"/>
      <c r="B285" s="34"/>
      <c r="C285" s="12"/>
      <c r="D285" s="12"/>
      <c r="E285" s="12"/>
      <c r="F285" s="12"/>
      <c r="G285" s="18"/>
      <c r="H285" s="35"/>
      <c r="I285" s="12"/>
      <c r="M285" s="12"/>
      <c r="N285" s="18"/>
      <c r="O285" s="12"/>
      <c r="P285" s="12"/>
      <c r="Q285" s="12"/>
      <c r="R285" s="36"/>
      <c r="S285" s="36"/>
      <c r="T285" s="12"/>
      <c r="U285" s="12"/>
      <c r="V285" s="12"/>
      <c r="W285" s="12"/>
      <c r="X285" s="12"/>
    </row>
    <row r="286" customFormat="false" ht="15.75" hidden="false" customHeight="false" outlineLevel="0" collapsed="false">
      <c r="A286" s="12"/>
      <c r="B286" s="34"/>
      <c r="C286" s="12"/>
      <c r="D286" s="12"/>
      <c r="E286" s="12"/>
      <c r="F286" s="12"/>
      <c r="G286" s="18"/>
      <c r="H286" s="35"/>
      <c r="I286" s="12"/>
      <c r="M286" s="12"/>
      <c r="N286" s="18"/>
      <c r="O286" s="12"/>
      <c r="P286" s="12"/>
      <c r="Q286" s="12"/>
      <c r="R286" s="36"/>
      <c r="S286" s="36"/>
      <c r="T286" s="12"/>
      <c r="U286" s="12"/>
      <c r="V286" s="12"/>
      <c r="W286" s="12"/>
      <c r="X286" s="12"/>
    </row>
    <row r="287" customFormat="false" ht="15.75" hidden="false" customHeight="false" outlineLevel="0" collapsed="false">
      <c r="A287" s="12"/>
      <c r="B287" s="34"/>
      <c r="C287" s="12"/>
      <c r="D287" s="12"/>
      <c r="E287" s="12"/>
      <c r="F287" s="12"/>
      <c r="G287" s="18"/>
      <c r="H287" s="35"/>
      <c r="I287" s="12"/>
      <c r="M287" s="12"/>
      <c r="N287" s="18"/>
      <c r="O287" s="12"/>
      <c r="P287" s="12"/>
      <c r="Q287" s="12"/>
      <c r="R287" s="36"/>
      <c r="S287" s="36"/>
      <c r="T287" s="12"/>
      <c r="U287" s="12"/>
      <c r="V287" s="12"/>
      <c r="W287" s="12"/>
      <c r="X287" s="12"/>
    </row>
    <row r="288" customFormat="false" ht="15.75" hidden="false" customHeight="false" outlineLevel="0" collapsed="false">
      <c r="A288" s="12"/>
      <c r="B288" s="34"/>
      <c r="C288" s="12"/>
      <c r="D288" s="12"/>
      <c r="E288" s="12"/>
      <c r="F288" s="12"/>
      <c r="G288" s="18"/>
      <c r="H288" s="35"/>
      <c r="I288" s="12"/>
      <c r="M288" s="12"/>
      <c r="N288" s="18"/>
      <c r="O288" s="12"/>
      <c r="P288" s="12"/>
      <c r="Q288" s="12"/>
      <c r="R288" s="36"/>
      <c r="S288" s="36"/>
      <c r="T288" s="12"/>
      <c r="U288" s="12"/>
      <c r="V288" s="12"/>
      <c r="W288" s="12"/>
      <c r="X288" s="12"/>
    </row>
    <row r="289" customFormat="false" ht="15.75" hidden="false" customHeight="false" outlineLevel="0" collapsed="false">
      <c r="A289" s="12"/>
      <c r="B289" s="34"/>
      <c r="C289" s="12"/>
      <c r="D289" s="12"/>
      <c r="E289" s="12"/>
      <c r="F289" s="12"/>
      <c r="G289" s="18"/>
      <c r="H289" s="35"/>
      <c r="I289" s="12"/>
      <c r="M289" s="12"/>
      <c r="N289" s="18"/>
      <c r="O289" s="12"/>
      <c r="P289" s="12"/>
      <c r="Q289" s="12"/>
      <c r="R289" s="36"/>
      <c r="S289" s="36"/>
      <c r="T289" s="12"/>
      <c r="U289" s="12"/>
      <c r="V289" s="12"/>
      <c r="W289" s="12"/>
      <c r="X289" s="12"/>
    </row>
    <row r="290" customFormat="false" ht="15.75" hidden="false" customHeight="false" outlineLevel="0" collapsed="false">
      <c r="A290" s="12"/>
      <c r="B290" s="34"/>
      <c r="C290" s="12"/>
      <c r="D290" s="12"/>
      <c r="E290" s="12"/>
      <c r="F290" s="12"/>
      <c r="G290" s="18"/>
      <c r="H290" s="35"/>
      <c r="I290" s="12"/>
      <c r="M290" s="12"/>
      <c r="N290" s="18"/>
      <c r="O290" s="12"/>
      <c r="P290" s="12"/>
      <c r="Q290" s="12"/>
      <c r="R290" s="36"/>
      <c r="S290" s="36"/>
      <c r="T290" s="12"/>
      <c r="U290" s="12"/>
      <c r="V290" s="12"/>
      <c r="W290" s="12"/>
      <c r="X290" s="12"/>
    </row>
    <row r="291" customFormat="false" ht="15.75" hidden="false" customHeight="false" outlineLevel="0" collapsed="false">
      <c r="A291" s="12"/>
      <c r="B291" s="34"/>
      <c r="C291" s="12"/>
      <c r="D291" s="12"/>
      <c r="E291" s="12"/>
      <c r="F291" s="12"/>
      <c r="G291" s="18"/>
      <c r="H291" s="35"/>
      <c r="I291" s="12"/>
      <c r="M291" s="12"/>
      <c r="N291" s="18"/>
      <c r="O291" s="12"/>
      <c r="P291" s="12"/>
      <c r="Q291" s="12"/>
      <c r="R291" s="36"/>
      <c r="S291" s="36"/>
      <c r="T291" s="12"/>
      <c r="U291" s="12"/>
      <c r="V291" s="12"/>
      <c r="W291" s="12"/>
      <c r="X291" s="12"/>
    </row>
    <row r="292" customFormat="false" ht="15.75" hidden="false" customHeight="false" outlineLevel="0" collapsed="false">
      <c r="A292" s="12"/>
      <c r="B292" s="34"/>
      <c r="C292" s="12"/>
      <c r="D292" s="12"/>
      <c r="E292" s="12"/>
      <c r="F292" s="12"/>
      <c r="G292" s="18"/>
      <c r="H292" s="35"/>
      <c r="I292" s="12"/>
      <c r="M292" s="12"/>
      <c r="N292" s="18"/>
      <c r="O292" s="12"/>
      <c r="P292" s="12"/>
      <c r="Q292" s="12"/>
      <c r="R292" s="36"/>
      <c r="S292" s="36"/>
      <c r="T292" s="12"/>
      <c r="U292" s="12"/>
      <c r="V292" s="12"/>
      <c r="W292" s="12"/>
      <c r="X292" s="12"/>
    </row>
    <row r="293" customFormat="false" ht="15.75" hidden="false" customHeight="false" outlineLevel="0" collapsed="false">
      <c r="A293" s="12"/>
      <c r="B293" s="34"/>
      <c r="C293" s="12"/>
      <c r="D293" s="12"/>
      <c r="E293" s="12"/>
      <c r="F293" s="12"/>
      <c r="G293" s="18"/>
      <c r="H293" s="35"/>
      <c r="I293" s="12"/>
      <c r="M293" s="12"/>
      <c r="N293" s="18"/>
      <c r="O293" s="12"/>
      <c r="P293" s="12"/>
      <c r="Q293" s="12"/>
      <c r="R293" s="36"/>
      <c r="S293" s="36"/>
      <c r="T293" s="12"/>
      <c r="U293" s="12"/>
      <c r="V293" s="12"/>
      <c r="W293" s="12"/>
      <c r="X293" s="12"/>
    </row>
    <row r="294" customFormat="false" ht="15.75" hidden="false" customHeight="false" outlineLevel="0" collapsed="false">
      <c r="A294" s="12"/>
      <c r="B294" s="34"/>
      <c r="C294" s="12"/>
      <c r="D294" s="12"/>
      <c r="E294" s="12"/>
      <c r="F294" s="12"/>
      <c r="G294" s="18"/>
      <c r="H294" s="35"/>
      <c r="I294" s="12"/>
      <c r="M294" s="12"/>
      <c r="N294" s="18"/>
      <c r="O294" s="12"/>
      <c r="P294" s="12"/>
      <c r="Q294" s="12"/>
      <c r="R294" s="36"/>
      <c r="S294" s="36"/>
      <c r="T294" s="12"/>
      <c r="U294" s="12"/>
      <c r="V294" s="12"/>
      <c r="W294" s="12"/>
      <c r="X294" s="12"/>
    </row>
    <row r="295" customFormat="false" ht="15.75" hidden="false" customHeight="false" outlineLevel="0" collapsed="false">
      <c r="A295" s="12"/>
      <c r="B295" s="34"/>
      <c r="C295" s="12"/>
      <c r="D295" s="12"/>
      <c r="E295" s="12"/>
      <c r="F295" s="12"/>
      <c r="G295" s="18"/>
      <c r="H295" s="35"/>
      <c r="I295" s="12"/>
      <c r="M295" s="12"/>
      <c r="N295" s="18"/>
      <c r="O295" s="12"/>
      <c r="P295" s="12"/>
      <c r="Q295" s="12"/>
      <c r="R295" s="36"/>
      <c r="S295" s="36"/>
      <c r="T295" s="12"/>
      <c r="U295" s="12"/>
      <c r="V295" s="12"/>
      <c r="W295" s="12"/>
      <c r="X295" s="12"/>
    </row>
    <row r="296" customFormat="false" ht="15.75" hidden="false" customHeight="false" outlineLevel="0" collapsed="false">
      <c r="A296" s="12"/>
      <c r="B296" s="34"/>
      <c r="C296" s="12"/>
      <c r="D296" s="12"/>
      <c r="E296" s="12"/>
      <c r="F296" s="12"/>
      <c r="G296" s="18"/>
      <c r="H296" s="35"/>
      <c r="I296" s="12"/>
      <c r="M296" s="12"/>
      <c r="N296" s="18"/>
      <c r="O296" s="12"/>
      <c r="P296" s="12"/>
      <c r="Q296" s="12"/>
      <c r="R296" s="36"/>
      <c r="S296" s="36"/>
      <c r="T296" s="12"/>
      <c r="U296" s="12"/>
      <c r="V296" s="12"/>
      <c r="W296" s="12"/>
      <c r="X296" s="12"/>
    </row>
    <row r="297" customFormat="false" ht="15.75" hidden="false" customHeight="false" outlineLevel="0" collapsed="false">
      <c r="A297" s="12"/>
      <c r="B297" s="34"/>
      <c r="C297" s="12"/>
      <c r="D297" s="12"/>
      <c r="E297" s="12"/>
      <c r="F297" s="12"/>
      <c r="G297" s="18"/>
      <c r="H297" s="35"/>
      <c r="I297" s="12"/>
      <c r="M297" s="12"/>
      <c r="N297" s="18"/>
      <c r="O297" s="12"/>
      <c r="P297" s="12"/>
      <c r="Q297" s="12"/>
      <c r="R297" s="36"/>
      <c r="S297" s="36"/>
      <c r="T297" s="12"/>
      <c r="U297" s="12"/>
      <c r="V297" s="12"/>
      <c r="W297" s="12"/>
      <c r="X297" s="12"/>
    </row>
    <row r="298" customFormat="false" ht="15.75" hidden="false" customHeight="false" outlineLevel="0" collapsed="false">
      <c r="A298" s="12"/>
      <c r="B298" s="34"/>
      <c r="C298" s="12"/>
      <c r="D298" s="12"/>
      <c r="E298" s="12"/>
      <c r="F298" s="12"/>
      <c r="G298" s="18"/>
      <c r="H298" s="35"/>
      <c r="I298" s="12"/>
      <c r="M298" s="12"/>
      <c r="N298" s="18"/>
      <c r="O298" s="12"/>
      <c r="P298" s="12"/>
      <c r="Q298" s="12"/>
      <c r="R298" s="36"/>
      <c r="S298" s="36"/>
      <c r="T298" s="12"/>
      <c r="U298" s="12"/>
      <c r="V298" s="12"/>
      <c r="W298" s="12"/>
      <c r="X298" s="12"/>
    </row>
    <row r="299" customFormat="false" ht="15.75" hidden="false" customHeight="false" outlineLevel="0" collapsed="false">
      <c r="A299" s="12"/>
      <c r="B299" s="34"/>
      <c r="C299" s="12"/>
      <c r="D299" s="12"/>
      <c r="E299" s="12"/>
      <c r="F299" s="12"/>
      <c r="G299" s="18"/>
      <c r="H299" s="35"/>
      <c r="I299" s="12"/>
      <c r="M299" s="12"/>
      <c r="N299" s="18"/>
      <c r="O299" s="12"/>
      <c r="P299" s="12"/>
      <c r="Q299" s="12"/>
      <c r="R299" s="36"/>
      <c r="S299" s="36"/>
      <c r="T299" s="12"/>
      <c r="U299" s="12"/>
      <c r="V299" s="12"/>
      <c r="W299" s="12"/>
      <c r="X299" s="12"/>
    </row>
    <row r="300" customFormat="false" ht="15.75" hidden="false" customHeight="false" outlineLevel="0" collapsed="false">
      <c r="A300" s="12"/>
      <c r="B300" s="34"/>
      <c r="C300" s="12"/>
      <c r="D300" s="12"/>
      <c r="E300" s="12"/>
      <c r="F300" s="12"/>
      <c r="G300" s="18"/>
      <c r="H300" s="35"/>
      <c r="I300" s="12"/>
      <c r="M300" s="12"/>
      <c r="N300" s="18"/>
      <c r="O300" s="12"/>
      <c r="P300" s="12"/>
      <c r="Q300" s="12"/>
      <c r="R300" s="36"/>
      <c r="S300" s="36"/>
      <c r="T300" s="12"/>
      <c r="U300" s="12"/>
      <c r="V300" s="12"/>
      <c r="W300" s="12"/>
      <c r="X300" s="12"/>
    </row>
    <row r="301" customFormat="false" ht="15.75" hidden="false" customHeight="false" outlineLevel="0" collapsed="false">
      <c r="A301" s="12"/>
      <c r="B301" s="34"/>
      <c r="C301" s="12"/>
      <c r="D301" s="12"/>
      <c r="E301" s="12"/>
      <c r="F301" s="12"/>
      <c r="G301" s="18"/>
      <c r="H301" s="35"/>
      <c r="I301" s="12"/>
      <c r="M301" s="12"/>
      <c r="N301" s="18"/>
      <c r="O301" s="12"/>
      <c r="P301" s="12"/>
      <c r="Q301" s="12"/>
      <c r="R301" s="36"/>
      <c r="S301" s="36"/>
      <c r="T301" s="12"/>
      <c r="U301" s="12"/>
      <c r="V301" s="12"/>
      <c r="W301" s="12"/>
      <c r="X301" s="12"/>
    </row>
    <row r="302" customFormat="false" ht="15.75" hidden="false" customHeight="false" outlineLevel="0" collapsed="false">
      <c r="A302" s="12"/>
      <c r="B302" s="34"/>
      <c r="C302" s="12"/>
      <c r="D302" s="12"/>
      <c r="E302" s="12"/>
      <c r="F302" s="12"/>
      <c r="G302" s="18"/>
      <c r="H302" s="35"/>
      <c r="I302" s="12"/>
      <c r="M302" s="12"/>
      <c r="N302" s="18"/>
      <c r="O302" s="12"/>
      <c r="P302" s="12"/>
      <c r="Q302" s="12"/>
      <c r="R302" s="36"/>
      <c r="S302" s="36"/>
      <c r="T302" s="12"/>
      <c r="U302" s="12"/>
      <c r="V302" s="12"/>
      <c r="W302" s="12"/>
      <c r="X302" s="12"/>
    </row>
    <row r="303" customFormat="false" ht="15.75" hidden="false" customHeight="false" outlineLevel="0" collapsed="false">
      <c r="A303" s="12"/>
      <c r="B303" s="34"/>
      <c r="C303" s="12"/>
      <c r="D303" s="12"/>
      <c r="E303" s="12"/>
      <c r="F303" s="12"/>
      <c r="G303" s="18"/>
      <c r="H303" s="35"/>
      <c r="I303" s="12"/>
      <c r="M303" s="12"/>
      <c r="N303" s="18"/>
      <c r="O303" s="12"/>
      <c r="P303" s="12"/>
      <c r="Q303" s="12"/>
      <c r="R303" s="36"/>
      <c r="S303" s="36"/>
      <c r="T303" s="12"/>
      <c r="U303" s="12"/>
      <c r="V303" s="12"/>
      <c r="W303" s="12"/>
      <c r="X303" s="12"/>
    </row>
    <row r="304" customFormat="false" ht="15.75" hidden="false" customHeight="false" outlineLevel="0" collapsed="false">
      <c r="A304" s="12"/>
      <c r="B304" s="34"/>
      <c r="C304" s="12"/>
      <c r="D304" s="12"/>
      <c r="E304" s="12"/>
      <c r="F304" s="12"/>
      <c r="G304" s="18"/>
      <c r="H304" s="35"/>
      <c r="I304" s="12"/>
      <c r="M304" s="12"/>
      <c r="N304" s="18"/>
      <c r="O304" s="12"/>
      <c r="P304" s="12"/>
      <c r="Q304" s="12"/>
      <c r="R304" s="36"/>
      <c r="S304" s="36"/>
      <c r="T304" s="12"/>
      <c r="U304" s="12"/>
      <c r="V304" s="12"/>
      <c r="W304" s="12"/>
      <c r="X304" s="12"/>
    </row>
    <row r="305" customFormat="false" ht="15.75" hidden="false" customHeight="false" outlineLevel="0" collapsed="false">
      <c r="A305" s="12"/>
      <c r="B305" s="34"/>
      <c r="C305" s="12"/>
      <c r="D305" s="12"/>
      <c r="E305" s="12"/>
      <c r="F305" s="12"/>
      <c r="G305" s="18"/>
      <c r="H305" s="35"/>
      <c r="I305" s="12"/>
      <c r="M305" s="12"/>
      <c r="N305" s="18"/>
      <c r="O305" s="12"/>
      <c r="P305" s="12"/>
      <c r="Q305" s="12"/>
      <c r="R305" s="36"/>
      <c r="S305" s="36"/>
      <c r="T305" s="12"/>
      <c r="U305" s="12"/>
      <c r="V305" s="12"/>
      <c r="W305" s="12"/>
      <c r="X305" s="12"/>
    </row>
    <row r="306" customFormat="false" ht="15.75" hidden="false" customHeight="false" outlineLevel="0" collapsed="false">
      <c r="A306" s="12"/>
      <c r="B306" s="34"/>
      <c r="C306" s="12"/>
      <c r="D306" s="12"/>
      <c r="E306" s="12"/>
      <c r="F306" s="12"/>
      <c r="G306" s="18"/>
      <c r="H306" s="35"/>
      <c r="I306" s="12"/>
      <c r="M306" s="12"/>
      <c r="N306" s="18"/>
      <c r="O306" s="12"/>
      <c r="P306" s="12"/>
      <c r="Q306" s="12"/>
      <c r="R306" s="36"/>
      <c r="S306" s="36"/>
      <c r="T306" s="12"/>
      <c r="U306" s="12"/>
      <c r="V306" s="12"/>
      <c r="W306" s="12"/>
      <c r="X306" s="12"/>
    </row>
    <row r="307" customFormat="false" ht="15.75" hidden="false" customHeight="false" outlineLevel="0" collapsed="false">
      <c r="A307" s="12"/>
      <c r="B307" s="34"/>
      <c r="C307" s="12"/>
      <c r="D307" s="12"/>
      <c r="E307" s="12"/>
      <c r="F307" s="12"/>
      <c r="G307" s="18"/>
      <c r="H307" s="35"/>
      <c r="I307" s="12"/>
      <c r="M307" s="12"/>
      <c r="N307" s="18"/>
      <c r="O307" s="12"/>
      <c r="P307" s="12"/>
      <c r="Q307" s="12"/>
      <c r="R307" s="36"/>
      <c r="S307" s="36"/>
      <c r="T307" s="12"/>
      <c r="U307" s="12"/>
      <c r="V307" s="12"/>
      <c r="W307" s="12"/>
      <c r="X307" s="12"/>
    </row>
    <row r="308" customFormat="false" ht="15.75" hidden="false" customHeight="false" outlineLevel="0" collapsed="false">
      <c r="A308" s="12"/>
      <c r="B308" s="34"/>
      <c r="C308" s="12"/>
      <c r="D308" s="12"/>
      <c r="E308" s="12"/>
      <c r="F308" s="12"/>
      <c r="G308" s="18"/>
      <c r="H308" s="35"/>
      <c r="I308" s="12"/>
      <c r="M308" s="12"/>
      <c r="N308" s="18"/>
      <c r="O308" s="12"/>
      <c r="P308" s="12"/>
      <c r="Q308" s="12"/>
      <c r="R308" s="36"/>
      <c r="S308" s="36"/>
      <c r="T308" s="12"/>
      <c r="U308" s="12"/>
      <c r="V308" s="12"/>
      <c r="W308" s="12"/>
      <c r="X308" s="12"/>
    </row>
    <row r="309" customFormat="false" ht="15.75" hidden="false" customHeight="false" outlineLevel="0" collapsed="false">
      <c r="A309" s="12"/>
      <c r="B309" s="34"/>
      <c r="C309" s="12"/>
      <c r="D309" s="12"/>
      <c r="E309" s="12"/>
      <c r="F309" s="12"/>
      <c r="G309" s="18"/>
      <c r="H309" s="35"/>
      <c r="I309" s="12"/>
      <c r="M309" s="12"/>
      <c r="N309" s="18"/>
      <c r="O309" s="12"/>
      <c r="P309" s="12"/>
      <c r="Q309" s="12"/>
      <c r="R309" s="36"/>
      <c r="S309" s="36"/>
      <c r="T309" s="12"/>
      <c r="U309" s="12"/>
      <c r="V309" s="12"/>
      <c r="W309" s="12"/>
      <c r="X309" s="12"/>
    </row>
    <row r="310" customFormat="false" ht="15.75" hidden="false" customHeight="false" outlineLevel="0" collapsed="false">
      <c r="A310" s="12"/>
      <c r="B310" s="34"/>
      <c r="C310" s="12"/>
      <c r="D310" s="12"/>
      <c r="E310" s="12"/>
      <c r="F310" s="12"/>
      <c r="G310" s="18"/>
      <c r="H310" s="35"/>
      <c r="I310" s="12"/>
      <c r="M310" s="12"/>
      <c r="N310" s="18"/>
      <c r="O310" s="12"/>
      <c r="P310" s="12"/>
      <c r="Q310" s="12"/>
      <c r="R310" s="36"/>
      <c r="S310" s="36"/>
      <c r="T310" s="12"/>
      <c r="U310" s="12"/>
      <c r="V310" s="12"/>
      <c r="W310" s="12"/>
      <c r="X310" s="12"/>
    </row>
    <row r="311" customFormat="false" ht="15.75" hidden="false" customHeight="false" outlineLevel="0" collapsed="false">
      <c r="A311" s="12"/>
      <c r="B311" s="34"/>
      <c r="C311" s="12"/>
      <c r="D311" s="12"/>
      <c r="E311" s="12"/>
      <c r="F311" s="12"/>
      <c r="G311" s="18"/>
      <c r="H311" s="35"/>
      <c r="I311" s="12"/>
      <c r="M311" s="12"/>
      <c r="N311" s="18"/>
      <c r="O311" s="12"/>
      <c r="P311" s="12"/>
      <c r="Q311" s="12"/>
      <c r="R311" s="36"/>
      <c r="S311" s="36"/>
      <c r="T311" s="12"/>
      <c r="U311" s="12"/>
      <c r="V311" s="12"/>
      <c r="W311" s="12"/>
      <c r="X311" s="12"/>
    </row>
    <row r="312" customFormat="false" ht="15.75" hidden="false" customHeight="false" outlineLevel="0" collapsed="false">
      <c r="A312" s="12"/>
      <c r="B312" s="34"/>
      <c r="C312" s="12"/>
      <c r="D312" s="12"/>
      <c r="E312" s="12"/>
      <c r="F312" s="12"/>
      <c r="G312" s="18"/>
      <c r="H312" s="35"/>
      <c r="I312" s="12"/>
      <c r="M312" s="12"/>
      <c r="N312" s="18"/>
      <c r="O312" s="12"/>
      <c r="P312" s="12"/>
      <c r="Q312" s="12"/>
      <c r="R312" s="36"/>
      <c r="S312" s="36"/>
      <c r="T312" s="12"/>
      <c r="U312" s="12"/>
      <c r="V312" s="12"/>
      <c r="W312" s="12"/>
      <c r="X312" s="12"/>
    </row>
    <row r="313" customFormat="false" ht="15.75" hidden="false" customHeight="false" outlineLevel="0" collapsed="false">
      <c r="A313" s="12"/>
      <c r="B313" s="34"/>
      <c r="C313" s="12"/>
      <c r="D313" s="12"/>
      <c r="E313" s="12"/>
      <c r="F313" s="12"/>
      <c r="G313" s="18"/>
      <c r="H313" s="35"/>
      <c r="I313" s="12"/>
      <c r="M313" s="12"/>
      <c r="N313" s="18"/>
      <c r="O313" s="12"/>
      <c r="P313" s="12"/>
      <c r="Q313" s="12"/>
      <c r="R313" s="36"/>
      <c r="S313" s="36"/>
      <c r="T313" s="12"/>
      <c r="U313" s="12"/>
      <c r="V313" s="12"/>
      <c r="W313" s="12"/>
      <c r="X313" s="12"/>
    </row>
    <row r="314" customFormat="false" ht="15.75" hidden="false" customHeight="false" outlineLevel="0" collapsed="false">
      <c r="A314" s="12"/>
      <c r="B314" s="34"/>
      <c r="C314" s="12"/>
      <c r="D314" s="12"/>
      <c r="E314" s="12"/>
      <c r="F314" s="12"/>
      <c r="G314" s="18"/>
      <c r="H314" s="35"/>
      <c r="I314" s="12"/>
      <c r="M314" s="12"/>
      <c r="N314" s="18"/>
      <c r="O314" s="12"/>
      <c r="P314" s="12"/>
      <c r="Q314" s="12"/>
      <c r="R314" s="36"/>
      <c r="S314" s="36"/>
      <c r="T314" s="12"/>
      <c r="U314" s="12"/>
      <c r="V314" s="12"/>
      <c r="W314" s="12"/>
      <c r="X314" s="12"/>
    </row>
    <row r="315" customFormat="false" ht="15.75" hidden="false" customHeight="false" outlineLevel="0" collapsed="false">
      <c r="A315" s="12"/>
      <c r="B315" s="34"/>
      <c r="C315" s="12"/>
      <c r="D315" s="12"/>
      <c r="E315" s="12"/>
      <c r="F315" s="12"/>
      <c r="G315" s="18"/>
      <c r="H315" s="35"/>
      <c r="I315" s="12"/>
      <c r="M315" s="12"/>
      <c r="N315" s="18"/>
      <c r="O315" s="12"/>
      <c r="P315" s="12"/>
      <c r="Q315" s="12"/>
      <c r="R315" s="36"/>
      <c r="S315" s="36"/>
      <c r="T315" s="12"/>
      <c r="U315" s="12"/>
      <c r="V315" s="12"/>
      <c r="W315" s="12"/>
      <c r="X315" s="12"/>
    </row>
    <row r="316" customFormat="false" ht="15.75" hidden="false" customHeight="false" outlineLevel="0" collapsed="false">
      <c r="A316" s="12"/>
      <c r="B316" s="34"/>
      <c r="C316" s="12"/>
      <c r="D316" s="12"/>
      <c r="E316" s="12"/>
      <c r="F316" s="12"/>
      <c r="G316" s="18"/>
      <c r="H316" s="35"/>
      <c r="I316" s="12"/>
      <c r="M316" s="12"/>
      <c r="N316" s="18"/>
      <c r="O316" s="12"/>
      <c r="P316" s="12"/>
      <c r="Q316" s="12"/>
      <c r="R316" s="36"/>
      <c r="S316" s="36"/>
      <c r="T316" s="12"/>
      <c r="U316" s="12"/>
      <c r="V316" s="12"/>
      <c r="W316" s="12"/>
      <c r="X316" s="12"/>
    </row>
    <row r="317" customFormat="false" ht="15.75" hidden="false" customHeight="false" outlineLevel="0" collapsed="false">
      <c r="A317" s="12"/>
      <c r="B317" s="34"/>
      <c r="C317" s="12"/>
      <c r="D317" s="12"/>
      <c r="E317" s="12"/>
      <c r="F317" s="12"/>
      <c r="G317" s="18"/>
      <c r="H317" s="35"/>
      <c r="I317" s="12"/>
      <c r="M317" s="12"/>
      <c r="N317" s="18"/>
      <c r="O317" s="12"/>
      <c r="P317" s="12"/>
      <c r="Q317" s="12"/>
      <c r="R317" s="36"/>
      <c r="S317" s="36"/>
      <c r="T317" s="12"/>
      <c r="U317" s="12"/>
      <c r="V317" s="12"/>
      <c r="W317" s="12"/>
      <c r="X317" s="12"/>
    </row>
    <row r="318" customFormat="false" ht="15.75" hidden="false" customHeight="false" outlineLevel="0" collapsed="false">
      <c r="A318" s="12"/>
      <c r="B318" s="34"/>
      <c r="C318" s="12"/>
      <c r="D318" s="12"/>
      <c r="E318" s="12"/>
      <c r="F318" s="12"/>
      <c r="G318" s="18"/>
      <c r="H318" s="35"/>
      <c r="I318" s="12"/>
      <c r="M318" s="12"/>
      <c r="N318" s="18"/>
      <c r="O318" s="12"/>
      <c r="P318" s="12"/>
      <c r="Q318" s="12"/>
      <c r="R318" s="36"/>
      <c r="S318" s="36"/>
      <c r="T318" s="12"/>
      <c r="U318" s="12"/>
      <c r="V318" s="12"/>
      <c r="W318" s="12"/>
      <c r="X318" s="12"/>
    </row>
    <row r="319" customFormat="false" ht="15.75" hidden="false" customHeight="false" outlineLevel="0" collapsed="false">
      <c r="A319" s="12"/>
      <c r="B319" s="34"/>
      <c r="C319" s="12"/>
      <c r="D319" s="12"/>
      <c r="E319" s="12"/>
      <c r="F319" s="12"/>
      <c r="G319" s="18"/>
      <c r="H319" s="35"/>
      <c r="I319" s="12"/>
      <c r="M319" s="12"/>
      <c r="N319" s="18"/>
      <c r="O319" s="12"/>
      <c r="P319" s="12"/>
      <c r="Q319" s="12"/>
      <c r="R319" s="36"/>
      <c r="S319" s="36"/>
      <c r="T319" s="12"/>
      <c r="U319" s="12"/>
      <c r="V319" s="12"/>
      <c r="W319" s="12"/>
      <c r="X319" s="12"/>
    </row>
    <row r="320" customFormat="false" ht="15.75" hidden="false" customHeight="false" outlineLevel="0" collapsed="false">
      <c r="A320" s="12"/>
      <c r="B320" s="34"/>
      <c r="C320" s="12"/>
      <c r="D320" s="12"/>
      <c r="E320" s="12"/>
      <c r="F320" s="12"/>
      <c r="G320" s="18"/>
      <c r="H320" s="35"/>
      <c r="I320" s="12"/>
      <c r="M320" s="12"/>
      <c r="N320" s="18"/>
      <c r="O320" s="12"/>
      <c r="P320" s="12"/>
      <c r="Q320" s="12"/>
      <c r="R320" s="36"/>
      <c r="S320" s="36"/>
      <c r="T320" s="12"/>
      <c r="U320" s="12"/>
      <c r="V320" s="12"/>
      <c r="W320" s="12"/>
      <c r="X320" s="12"/>
    </row>
    <row r="321" customFormat="false" ht="15.75" hidden="false" customHeight="false" outlineLevel="0" collapsed="false">
      <c r="A321" s="12"/>
      <c r="B321" s="34"/>
      <c r="C321" s="12"/>
      <c r="D321" s="12"/>
      <c r="E321" s="12"/>
      <c r="F321" s="12"/>
      <c r="G321" s="18"/>
      <c r="H321" s="35"/>
      <c r="I321" s="12"/>
      <c r="M321" s="12"/>
      <c r="N321" s="18"/>
      <c r="O321" s="12"/>
      <c r="P321" s="12"/>
      <c r="Q321" s="12"/>
      <c r="R321" s="36"/>
      <c r="S321" s="36"/>
      <c r="T321" s="12"/>
      <c r="U321" s="12"/>
      <c r="V321" s="12"/>
      <c r="W321" s="12"/>
      <c r="X321" s="12"/>
    </row>
    <row r="322" customFormat="false" ht="15.75" hidden="false" customHeight="false" outlineLevel="0" collapsed="false">
      <c r="A322" s="12"/>
      <c r="B322" s="34"/>
      <c r="C322" s="12"/>
      <c r="D322" s="12"/>
      <c r="E322" s="12"/>
      <c r="F322" s="12"/>
      <c r="G322" s="18"/>
      <c r="H322" s="35"/>
      <c r="I322" s="12"/>
      <c r="M322" s="12"/>
      <c r="N322" s="18"/>
      <c r="O322" s="12"/>
      <c r="P322" s="12"/>
      <c r="Q322" s="12"/>
      <c r="R322" s="36"/>
      <c r="S322" s="36"/>
      <c r="T322" s="12"/>
      <c r="U322" s="12"/>
      <c r="V322" s="12"/>
      <c r="W322" s="12"/>
      <c r="X322" s="12"/>
    </row>
    <row r="323" customFormat="false" ht="15.75" hidden="false" customHeight="false" outlineLevel="0" collapsed="false">
      <c r="A323" s="12"/>
      <c r="B323" s="34"/>
      <c r="C323" s="12"/>
      <c r="D323" s="12"/>
      <c r="E323" s="12"/>
      <c r="F323" s="12"/>
      <c r="G323" s="18"/>
      <c r="H323" s="35"/>
      <c r="I323" s="12"/>
      <c r="M323" s="12"/>
      <c r="N323" s="18"/>
      <c r="O323" s="12"/>
      <c r="P323" s="12"/>
      <c r="Q323" s="12"/>
      <c r="R323" s="36"/>
      <c r="S323" s="36"/>
      <c r="T323" s="12"/>
      <c r="U323" s="12"/>
      <c r="V323" s="12"/>
      <c r="W323" s="12"/>
      <c r="X323" s="12"/>
    </row>
    <row r="324" customFormat="false" ht="15.75" hidden="false" customHeight="false" outlineLevel="0" collapsed="false">
      <c r="A324" s="12"/>
      <c r="B324" s="34"/>
      <c r="C324" s="12"/>
      <c r="D324" s="12"/>
      <c r="E324" s="12"/>
      <c r="F324" s="12"/>
      <c r="G324" s="18"/>
      <c r="H324" s="35"/>
      <c r="I324" s="12"/>
      <c r="M324" s="12"/>
      <c r="N324" s="18"/>
      <c r="O324" s="12"/>
      <c r="P324" s="12"/>
      <c r="Q324" s="12"/>
      <c r="R324" s="36"/>
      <c r="S324" s="36"/>
      <c r="T324" s="12"/>
      <c r="U324" s="12"/>
      <c r="V324" s="12"/>
      <c r="W324" s="12"/>
      <c r="X324" s="12"/>
    </row>
    <row r="325" customFormat="false" ht="15.75" hidden="false" customHeight="false" outlineLevel="0" collapsed="false">
      <c r="A325" s="12"/>
      <c r="B325" s="34"/>
      <c r="C325" s="12"/>
      <c r="D325" s="12"/>
      <c r="E325" s="12"/>
      <c r="F325" s="12"/>
      <c r="G325" s="18"/>
      <c r="H325" s="35"/>
      <c r="I325" s="12"/>
      <c r="M325" s="12"/>
      <c r="N325" s="18"/>
      <c r="O325" s="12"/>
      <c r="P325" s="12"/>
      <c r="Q325" s="12"/>
      <c r="R325" s="36"/>
      <c r="S325" s="36"/>
      <c r="T325" s="12"/>
      <c r="U325" s="12"/>
      <c r="V325" s="12"/>
      <c r="W325" s="12"/>
      <c r="X325" s="12"/>
    </row>
    <row r="326" customFormat="false" ht="15.75" hidden="false" customHeight="false" outlineLevel="0" collapsed="false">
      <c r="A326" s="12"/>
      <c r="B326" s="34"/>
      <c r="C326" s="12"/>
      <c r="D326" s="12"/>
      <c r="E326" s="12"/>
      <c r="F326" s="12"/>
      <c r="G326" s="18"/>
      <c r="H326" s="35"/>
      <c r="I326" s="12"/>
      <c r="M326" s="12"/>
      <c r="N326" s="18"/>
      <c r="O326" s="12"/>
      <c r="P326" s="12"/>
      <c r="Q326" s="12"/>
      <c r="R326" s="36"/>
      <c r="S326" s="36"/>
      <c r="T326" s="12"/>
      <c r="U326" s="12"/>
      <c r="V326" s="12"/>
      <c r="W326" s="12"/>
      <c r="X326" s="12"/>
    </row>
    <row r="327" customFormat="false" ht="15.75" hidden="false" customHeight="false" outlineLevel="0" collapsed="false">
      <c r="A327" s="12"/>
      <c r="B327" s="34"/>
      <c r="C327" s="12"/>
      <c r="D327" s="12"/>
      <c r="E327" s="12"/>
      <c r="F327" s="12"/>
      <c r="G327" s="18"/>
      <c r="H327" s="35"/>
      <c r="I327" s="12"/>
      <c r="M327" s="12"/>
      <c r="N327" s="18"/>
      <c r="O327" s="12"/>
      <c r="P327" s="12"/>
      <c r="Q327" s="12"/>
      <c r="R327" s="36"/>
      <c r="S327" s="36"/>
      <c r="T327" s="12"/>
      <c r="U327" s="12"/>
      <c r="V327" s="12"/>
      <c r="W327" s="12"/>
      <c r="X327" s="12"/>
    </row>
    <row r="328" customFormat="false" ht="15.75" hidden="false" customHeight="false" outlineLevel="0" collapsed="false">
      <c r="A328" s="12"/>
      <c r="B328" s="34"/>
      <c r="C328" s="12"/>
      <c r="D328" s="12"/>
      <c r="E328" s="12"/>
      <c r="F328" s="12"/>
      <c r="G328" s="18"/>
      <c r="H328" s="35"/>
      <c r="I328" s="12"/>
      <c r="M328" s="12"/>
      <c r="N328" s="18"/>
      <c r="O328" s="12"/>
      <c r="P328" s="12"/>
      <c r="Q328" s="12"/>
      <c r="R328" s="36"/>
      <c r="S328" s="36"/>
      <c r="T328" s="12"/>
      <c r="U328" s="12"/>
      <c r="V328" s="12"/>
      <c r="W328" s="12"/>
      <c r="X328" s="12"/>
    </row>
    <row r="329" customFormat="false" ht="15.75" hidden="false" customHeight="false" outlineLevel="0" collapsed="false">
      <c r="A329" s="12"/>
      <c r="B329" s="34"/>
      <c r="C329" s="12"/>
      <c r="D329" s="12"/>
      <c r="E329" s="12"/>
      <c r="F329" s="12"/>
      <c r="G329" s="18"/>
      <c r="H329" s="35"/>
      <c r="I329" s="12"/>
      <c r="M329" s="12"/>
      <c r="N329" s="18"/>
      <c r="O329" s="12"/>
      <c r="P329" s="12"/>
      <c r="Q329" s="12"/>
      <c r="R329" s="36"/>
      <c r="S329" s="36"/>
      <c r="T329" s="12"/>
      <c r="U329" s="12"/>
      <c r="V329" s="12"/>
      <c r="W329" s="12"/>
      <c r="X329" s="12"/>
    </row>
    <row r="330" customFormat="false" ht="15.75" hidden="false" customHeight="false" outlineLevel="0" collapsed="false">
      <c r="A330" s="12"/>
      <c r="B330" s="34"/>
      <c r="C330" s="12"/>
      <c r="D330" s="12"/>
      <c r="E330" s="12"/>
      <c r="F330" s="12"/>
      <c r="G330" s="18"/>
      <c r="H330" s="35"/>
      <c r="I330" s="12"/>
      <c r="M330" s="12"/>
      <c r="N330" s="18"/>
      <c r="O330" s="12"/>
      <c r="P330" s="12"/>
      <c r="Q330" s="12"/>
      <c r="R330" s="36"/>
      <c r="S330" s="36"/>
      <c r="T330" s="12"/>
      <c r="U330" s="12"/>
      <c r="V330" s="12"/>
      <c r="W330" s="12"/>
      <c r="X330" s="12"/>
    </row>
    <row r="331" customFormat="false" ht="15.75" hidden="false" customHeight="false" outlineLevel="0" collapsed="false">
      <c r="A331" s="12"/>
      <c r="B331" s="34"/>
      <c r="C331" s="12"/>
      <c r="D331" s="12"/>
      <c r="E331" s="12"/>
      <c r="F331" s="12"/>
      <c r="G331" s="18"/>
      <c r="H331" s="35"/>
      <c r="I331" s="12"/>
      <c r="M331" s="12"/>
      <c r="N331" s="18"/>
      <c r="O331" s="12"/>
      <c r="P331" s="12"/>
      <c r="Q331" s="12"/>
      <c r="R331" s="36"/>
      <c r="S331" s="36"/>
      <c r="T331" s="12"/>
      <c r="U331" s="12"/>
      <c r="V331" s="12"/>
      <c r="W331" s="12"/>
      <c r="X331" s="12"/>
    </row>
    <row r="332" customFormat="false" ht="15.75" hidden="false" customHeight="false" outlineLevel="0" collapsed="false">
      <c r="A332" s="12"/>
      <c r="B332" s="34"/>
      <c r="C332" s="12"/>
      <c r="D332" s="12"/>
      <c r="E332" s="12"/>
      <c r="F332" s="12"/>
      <c r="G332" s="18"/>
      <c r="H332" s="35"/>
      <c r="I332" s="12"/>
      <c r="M332" s="12"/>
      <c r="N332" s="18"/>
      <c r="O332" s="12"/>
      <c r="P332" s="12"/>
      <c r="Q332" s="12"/>
      <c r="R332" s="36"/>
      <c r="S332" s="36"/>
      <c r="T332" s="12"/>
      <c r="U332" s="12"/>
      <c r="V332" s="12"/>
      <c r="W332" s="12"/>
      <c r="X332" s="12"/>
    </row>
    <row r="333" customFormat="false" ht="15.75" hidden="false" customHeight="false" outlineLevel="0" collapsed="false">
      <c r="A333" s="12"/>
      <c r="B333" s="34"/>
      <c r="C333" s="12"/>
      <c r="D333" s="12"/>
      <c r="E333" s="12"/>
      <c r="F333" s="12"/>
      <c r="G333" s="18"/>
      <c r="H333" s="35"/>
      <c r="I333" s="12"/>
      <c r="M333" s="12"/>
      <c r="N333" s="18"/>
      <c r="O333" s="12"/>
      <c r="P333" s="12"/>
      <c r="Q333" s="12"/>
      <c r="R333" s="36"/>
      <c r="S333" s="36"/>
      <c r="T333" s="12"/>
      <c r="U333" s="12"/>
      <c r="V333" s="12"/>
      <c r="W333" s="12"/>
      <c r="X333" s="12"/>
    </row>
    <row r="334" customFormat="false" ht="15.75" hidden="false" customHeight="false" outlineLevel="0" collapsed="false">
      <c r="A334" s="12"/>
      <c r="B334" s="34"/>
      <c r="C334" s="12"/>
      <c r="D334" s="12"/>
      <c r="E334" s="12"/>
      <c r="F334" s="12"/>
      <c r="G334" s="18"/>
      <c r="H334" s="35"/>
      <c r="I334" s="12"/>
      <c r="M334" s="12"/>
      <c r="N334" s="18"/>
      <c r="O334" s="12"/>
      <c r="P334" s="12"/>
      <c r="Q334" s="12"/>
      <c r="R334" s="36"/>
      <c r="S334" s="36"/>
      <c r="T334" s="12"/>
      <c r="U334" s="12"/>
      <c r="V334" s="12"/>
      <c r="W334" s="12"/>
      <c r="X334" s="12"/>
    </row>
    <row r="335" customFormat="false" ht="15.75" hidden="false" customHeight="false" outlineLevel="0" collapsed="false">
      <c r="A335" s="12"/>
      <c r="B335" s="34"/>
      <c r="C335" s="12"/>
      <c r="D335" s="12"/>
      <c r="E335" s="12"/>
      <c r="F335" s="12"/>
      <c r="G335" s="18"/>
      <c r="H335" s="35"/>
      <c r="I335" s="12"/>
      <c r="M335" s="12"/>
      <c r="N335" s="18"/>
      <c r="O335" s="12"/>
      <c r="P335" s="12"/>
      <c r="Q335" s="12"/>
      <c r="R335" s="36"/>
      <c r="S335" s="36"/>
      <c r="T335" s="12"/>
      <c r="U335" s="12"/>
      <c r="V335" s="12"/>
      <c r="W335" s="12"/>
      <c r="X335" s="12"/>
    </row>
    <row r="336" customFormat="false" ht="15.75" hidden="false" customHeight="false" outlineLevel="0" collapsed="false">
      <c r="A336" s="12"/>
      <c r="B336" s="34"/>
      <c r="C336" s="12"/>
      <c r="D336" s="12"/>
      <c r="E336" s="12"/>
      <c r="F336" s="12"/>
      <c r="G336" s="18"/>
      <c r="H336" s="35"/>
      <c r="I336" s="12"/>
      <c r="M336" s="12"/>
      <c r="N336" s="18"/>
      <c r="O336" s="12"/>
      <c r="P336" s="12"/>
      <c r="Q336" s="12"/>
      <c r="R336" s="36"/>
      <c r="S336" s="36"/>
      <c r="T336" s="12"/>
      <c r="U336" s="12"/>
      <c r="V336" s="12"/>
      <c r="W336" s="12"/>
      <c r="X336" s="12"/>
    </row>
    <row r="337" customFormat="false" ht="15.75" hidden="false" customHeight="false" outlineLevel="0" collapsed="false">
      <c r="A337" s="12"/>
      <c r="B337" s="34"/>
      <c r="C337" s="12"/>
      <c r="D337" s="12"/>
      <c r="E337" s="12"/>
      <c r="F337" s="12"/>
      <c r="G337" s="18"/>
      <c r="H337" s="35"/>
      <c r="I337" s="12"/>
      <c r="M337" s="12"/>
      <c r="N337" s="18"/>
      <c r="O337" s="12"/>
      <c r="P337" s="12"/>
      <c r="Q337" s="12"/>
      <c r="R337" s="36"/>
      <c r="S337" s="36"/>
      <c r="T337" s="12"/>
      <c r="U337" s="12"/>
      <c r="V337" s="12"/>
      <c r="W337" s="12"/>
      <c r="X337" s="12"/>
    </row>
    <row r="338" customFormat="false" ht="15.75" hidden="false" customHeight="false" outlineLevel="0" collapsed="false">
      <c r="A338" s="12"/>
      <c r="B338" s="34"/>
      <c r="C338" s="12"/>
      <c r="D338" s="12"/>
      <c r="E338" s="12"/>
      <c r="F338" s="12"/>
      <c r="G338" s="18"/>
      <c r="H338" s="35"/>
      <c r="I338" s="12"/>
      <c r="M338" s="12"/>
      <c r="N338" s="18"/>
      <c r="O338" s="12"/>
      <c r="P338" s="12"/>
      <c r="Q338" s="12"/>
      <c r="R338" s="36"/>
      <c r="S338" s="36"/>
      <c r="T338" s="12"/>
      <c r="U338" s="12"/>
      <c r="V338" s="12"/>
      <c r="W338" s="12"/>
      <c r="X338" s="12"/>
    </row>
    <row r="339" customFormat="false" ht="15.75" hidden="false" customHeight="false" outlineLevel="0" collapsed="false">
      <c r="A339" s="12"/>
      <c r="B339" s="34"/>
      <c r="C339" s="12"/>
      <c r="D339" s="12"/>
      <c r="E339" s="12"/>
      <c r="F339" s="12"/>
      <c r="G339" s="18"/>
      <c r="H339" s="35"/>
      <c r="I339" s="12"/>
      <c r="M339" s="12"/>
      <c r="N339" s="18"/>
      <c r="O339" s="12"/>
      <c r="P339" s="12"/>
      <c r="Q339" s="12"/>
      <c r="R339" s="36"/>
      <c r="S339" s="36"/>
      <c r="T339" s="12"/>
      <c r="U339" s="12"/>
      <c r="V339" s="12"/>
      <c r="W339" s="12"/>
      <c r="X339" s="12"/>
    </row>
    <row r="340" customFormat="false" ht="15.75" hidden="false" customHeight="false" outlineLevel="0" collapsed="false">
      <c r="A340" s="12"/>
      <c r="B340" s="34"/>
      <c r="C340" s="12"/>
      <c r="D340" s="12"/>
      <c r="E340" s="12"/>
      <c r="F340" s="12"/>
      <c r="G340" s="18"/>
      <c r="H340" s="35"/>
      <c r="I340" s="12"/>
      <c r="M340" s="12"/>
      <c r="N340" s="18"/>
      <c r="O340" s="12"/>
      <c r="P340" s="12"/>
      <c r="Q340" s="12"/>
      <c r="R340" s="36"/>
      <c r="S340" s="36"/>
      <c r="T340" s="12"/>
      <c r="U340" s="12"/>
      <c r="V340" s="12"/>
      <c r="W340" s="12"/>
      <c r="X340" s="12"/>
    </row>
    <row r="341" customFormat="false" ht="15.75" hidden="false" customHeight="false" outlineLevel="0" collapsed="false">
      <c r="A341" s="12"/>
      <c r="B341" s="34"/>
      <c r="C341" s="12"/>
      <c r="D341" s="12"/>
      <c r="E341" s="12"/>
      <c r="F341" s="12"/>
      <c r="G341" s="18"/>
      <c r="H341" s="35"/>
      <c r="I341" s="12"/>
      <c r="M341" s="12"/>
      <c r="N341" s="18"/>
      <c r="O341" s="12"/>
      <c r="P341" s="12"/>
      <c r="Q341" s="12"/>
      <c r="R341" s="36"/>
      <c r="S341" s="36"/>
      <c r="T341" s="12"/>
      <c r="U341" s="12"/>
      <c r="V341" s="12"/>
      <c r="W341" s="12"/>
      <c r="X341" s="12"/>
    </row>
    <row r="342" customFormat="false" ht="15.75" hidden="false" customHeight="false" outlineLevel="0" collapsed="false">
      <c r="A342" s="12"/>
      <c r="B342" s="34"/>
      <c r="C342" s="12"/>
      <c r="D342" s="12"/>
      <c r="E342" s="12"/>
      <c r="F342" s="12"/>
      <c r="G342" s="18"/>
      <c r="H342" s="35"/>
      <c r="I342" s="12"/>
      <c r="M342" s="12"/>
      <c r="N342" s="18"/>
      <c r="O342" s="12"/>
      <c r="P342" s="12"/>
      <c r="Q342" s="12"/>
      <c r="R342" s="36"/>
      <c r="S342" s="36"/>
      <c r="T342" s="12"/>
      <c r="U342" s="12"/>
      <c r="V342" s="12"/>
      <c r="W342" s="12"/>
      <c r="X342" s="12"/>
    </row>
    <row r="343" customFormat="false" ht="15.75" hidden="false" customHeight="false" outlineLevel="0" collapsed="false">
      <c r="A343" s="12"/>
      <c r="B343" s="34"/>
      <c r="C343" s="12"/>
      <c r="D343" s="12"/>
      <c r="E343" s="12"/>
      <c r="F343" s="12"/>
      <c r="G343" s="18"/>
      <c r="H343" s="35"/>
      <c r="I343" s="12"/>
      <c r="M343" s="12"/>
      <c r="N343" s="18"/>
      <c r="O343" s="12"/>
      <c r="P343" s="12"/>
      <c r="Q343" s="12"/>
      <c r="R343" s="36"/>
      <c r="S343" s="36"/>
      <c r="T343" s="12"/>
      <c r="U343" s="12"/>
      <c r="V343" s="12"/>
      <c r="W343" s="12"/>
      <c r="X343" s="12"/>
    </row>
    <row r="344" customFormat="false" ht="15.75" hidden="false" customHeight="false" outlineLevel="0" collapsed="false">
      <c r="A344" s="12"/>
      <c r="B344" s="34"/>
      <c r="C344" s="12"/>
      <c r="D344" s="12"/>
      <c r="E344" s="12"/>
      <c r="F344" s="12"/>
      <c r="G344" s="18"/>
      <c r="H344" s="35"/>
      <c r="I344" s="12"/>
      <c r="M344" s="12"/>
      <c r="N344" s="18"/>
      <c r="O344" s="12"/>
      <c r="P344" s="12"/>
      <c r="Q344" s="12"/>
      <c r="R344" s="36"/>
      <c r="S344" s="36"/>
      <c r="T344" s="12"/>
      <c r="U344" s="12"/>
      <c r="V344" s="12"/>
      <c r="W344" s="12"/>
      <c r="X344" s="12"/>
    </row>
    <row r="345" customFormat="false" ht="15.75" hidden="false" customHeight="false" outlineLevel="0" collapsed="false">
      <c r="A345" s="12"/>
      <c r="B345" s="34"/>
      <c r="C345" s="12"/>
      <c r="D345" s="12"/>
      <c r="E345" s="12"/>
      <c r="F345" s="12"/>
      <c r="G345" s="18"/>
      <c r="H345" s="35"/>
      <c r="I345" s="12"/>
      <c r="M345" s="12"/>
      <c r="N345" s="18"/>
      <c r="O345" s="12"/>
      <c r="P345" s="12"/>
      <c r="Q345" s="12"/>
      <c r="R345" s="36"/>
      <c r="S345" s="36"/>
      <c r="T345" s="12"/>
      <c r="U345" s="12"/>
      <c r="V345" s="12"/>
      <c r="W345" s="12"/>
      <c r="X345" s="12"/>
    </row>
    <row r="346" customFormat="false" ht="15.75" hidden="false" customHeight="false" outlineLevel="0" collapsed="false">
      <c r="A346" s="12"/>
      <c r="B346" s="34"/>
      <c r="C346" s="12"/>
      <c r="D346" s="12"/>
      <c r="E346" s="12"/>
      <c r="F346" s="12"/>
      <c r="G346" s="18"/>
      <c r="H346" s="35"/>
      <c r="I346" s="12"/>
      <c r="M346" s="12"/>
      <c r="N346" s="18"/>
      <c r="O346" s="12"/>
      <c r="P346" s="12"/>
      <c r="Q346" s="12"/>
      <c r="R346" s="36"/>
      <c r="S346" s="36"/>
      <c r="T346" s="12"/>
      <c r="U346" s="12"/>
      <c r="V346" s="12"/>
      <c r="W346" s="12"/>
      <c r="X346" s="12"/>
    </row>
    <row r="347" customFormat="false" ht="15.75" hidden="false" customHeight="false" outlineLevel="0" collapsed="false">
      <c r="A347" s="12"/>
      <c r="B347" s="34"/>
      <c r="C347" s="12"/>
      <c r="D347" s="12"/>
      <c r="E347" s="12"/>
      <c r="F347" s="12"/>
      <c r="G347" s="18"/>
      <c r="H347" s="35"/>
      <c r="I347" s="12"/>
      <c r="M347" s="12"/>
      <c r="N347" s="18"/>
      <c r="O347" s="12"/>
      <c r="P347" s="12"/>
      <c r="Q347" s="12"/>
      <c r="R347" s="36"/>
      <c r="S347" s="36"/>
      <c r="T347" s="12"/>
      <c r="U347" s="12"/>
      <c r="V347" s="12"/>
      <c r="W347" s="12"/>
      <c r="X347" s="12"/>
    </row>
    <row r="348" customFormat="false" ht="15.75" hidden="false" customHeight="false" outlineLevel="0" collapsed="false">
      <c r="A348" s="12"/>
      <c r="B348" s="34"/>
      <c r="C348" s="12"/>
      <c r="D348" s="12"/>
      <c r="E348" s="12"/>
      <c r="F348" s="12"/>
      <c r="G348" s="18"/>
      <c r="H348" s="35"/>
      <c r="I348" s="12"/>
      <c r="M348" s="12"/>
      <c r="N348" s="18"/>
      <c r="O348" s="12"/>
      <c r="P348" s="12"/>
      <c r="Q348" s="12"/>
      <c r="R348" s="36"/>
      <c r="S348" s="36"/>
      <c r="T348" s="12"/>
      <c r="U348" s="12"/>
      <c r="V348" s="12"/>
      <c r="W348" s="12"/>
      <c r="X348" s="12"/>
    </row>
    <row r="349" customFormat="false" ht="15.75" hidden="false" customHeight="false" outlineLevel="0" collapsed="false">
      <c r="A349" s="12"/>
      <c r="B349" s="34"/>
      <c r="C349" s="12"/>
      <c r="D349" s="12"/>
      <c r="E349" s="12"/>
      <c r="F349" s="12"/>
      <c r="G349" s="18"/>
      <c r="H349" s="35"/>
      <c r="I349" s="12"/>
      <c r="M349" s="12"/>
      <c r="N349" s="18"/>
      <c r="O349" s="12"/>
      <c r="P349" s="12"/>
      <c r="Q349" s="12"/>
      <c r="R349" s="36"/>
      <c r="S349" s="36"/>
      <c r="T349" s="12"/>
      <c r="U349" s="12"/>
      <c r="V349" s="12"/>
      <c r="W349" s="12"/>
      <c r="X349" s="12"/>
    </row>
    <row r="350" customFormat="false" ht="15.75" hidden="false" customHeight="false" outlineLevel="0" collapsed="false">
      <c r="A350" s="12"/>
      <c r="B350" s="34"/>
      <c r="C350" s="12"/>
      <c r="D350" s="12"/>
      <c r="E350" s="12"/>
      <c r="F350" s="12"/>
      <c r="G350" s="18"/>
      <c r="H350" s="35"/>
      <c r="I350" s="12"/>
      <c r="M350" s="12"/>
      <c r="N350" s="18"/>
      <c r="O350" s="12"/>
      <c r="P350" s="12"/>
      <c r="Q350" s="12"/>
      <c r="R350" s="36"/>
      <c r="S350" s="36"/>
      <c r="T350" s="12"/>
      <c r="U350" s="12"/>
      <c r="V350" s="12"/>
      <c r="W350" s="12"/>
      <c r="X350" s="12"/>
    </row>
    <row r="351" customFormat="false" ht="15.75" hidden="false" customHeight="false" outlineLevel="0" collapsed="false">
      <c r="A351" s="12"/>
      <c r="B351" s="34"/>
      <c r="C351" s="12"/>
      <c r="D351" s="12"/>
      <c r="E351" s="12"/>
      <c r="F351" s="12"/>
      <c r="G351" s="18"/>
      <c r="H351" s="35"/>
      <c r="I351" s="12"/>
      <c r="M351" s="12"/>
      <c r="N351" s="18"/>
      <c r="O351" s="12"/>
      <c r="P351" s="12"/>
      <c r="Q351" s="12"/>
      <c r="R351" s="36"/>
      <c r="S351" s="36"/>
      <c r="T351" s="12"/>
      <c r="U351" s="12"/>
      <c r="V351" s="12"/>
      <c r="W351" s="12"/>
      <c r="X351" s="12"/>
    </row>
    <row r="352" customFormat="false" ht="15.75" hidden="false" customHeight="false" outlineLevel="0" collapsed="false">
      <c r="A352" s="12"/>
      <c r="B352" s="34"/>
      <c r="C352" s="12"/>
      <c r="D352" s="12"/>
      <c r="E352" s="12"/>
      <c r="F352" s="12"/>
      <c r="G352" s="18"/>
      <c r="H352" s="35"/>
      <c r="I352" s="12"/>
      <c r="M352" s="12"/>
      <c r="N352" s="18"/>
      <c r="O352" s="12"/>
      <c r="P352" s="12"/>
      <c r="Q352" s="12"/>
      <c r="R352" s="36"/>
      <c r="S352" s="36"/>
      <c r="T352" s="12"/>
      <c r="U352" s="12"/>
      <c r="V352" s="12"/>
      <c r="W352" s="12"/>
      <c r="X352" s="12"/>
    </row>
    <row r="353" customFormat="false" ht="15.75" hidden="false" customHeight="false" outlineLevel="0" collapsed="false">
      <c r="A353" s="12"/>
      <c r="B353" s="34"/>
      <c r="C353" s="12"/>
      <c r="D353" s="12"/>
      <c r="E353" s="12"/>
      <c r="F353" s="12"/>
      <c r="G353" s="18"/>
      <c r="H353" s="35"/>
      <c r="I353" s="12"/>
      <c r="M353" s="12"/>
      <c r="N353" s="18"/>
      <c r="O353" s="12"/>
      <c r="P353" s="12"/>
      <c r="Q353" s="12"/>
      <c r="R353" s="36"/>
      <c r="S353" s="36"/>
      <c r="T353" s="12"/>
      <c r="U353" s="12"/>
      <c r="V353" s="12"/>
      <c r="W353" s="12"/>
      <c r="X353" s="12"/>
    </row>
    <row r="354" customFormat="false" ht="15.75" hidden="false" customHeight="false" outlineLevel="0" collapsed="false">
      <c r="A354" s="12"/>
      <c r="B354" s="34"/>
      <c r="C354" s="12"/>
      <c r="D354" s="12"/>
      <c r="E354" s="12"/>
      <c r="F354" s="12"/>
      <c r="G354" s="18"/>
      <c r="H354" s="35"/>
      <c r="I354" s="12"/>
      <c r="M354" s="12"/>
      <c r="N354" s="18"/>
      <c r="O354" s="12"/>
      <c r="P354" s="12"/>
      <c r="Q354" s="12"/>
      <c r="R354" s="36"/>
      <c r="S354" s="36"/>
      <c r="T354" s="12"/>
      <c r="U354" s="12"/>
      <c r="V354" s="12"/>
      <c r="W354" s="12"/>
      <c r="X354" s="12"/>
    </row>
    <row r="355" customFormat="false" ht="15.75" hidden="false" customHeight="false" outlineLevel="0" collapsed="false">
      <c r="A355" s="12"/>
      <c r="B355" s="34"/>
      <c r="C355" s="12"/>
      <c r="D355" s="12"/>
      <c r="E355" s="12"/>
      <c r="F355" s="12"/>
      <c r="G355" s="18"/>
      <c r="H355" s="35"/>
      <c r="I355" s="12"/>
      <c r="M355" s="12"/>
      <c r="N355" s="18"/>
      <c r="O355" s="12"/>
      <c r="P355" s="12"/>
      <c r="Q355" s="12"/>
      <c r="R355" s="36"/>
      <c r="S355" s="36"/>
      <c r="T355" s="12"/>
      <c r="U355" s="12"/>
      <c r="V355" s="12"/>
      <c r="W355" s="12"/>
      <c r="X355" s="12"/>
    </row>
    <row r="356" customFormat="false" ht="15.75" hidden="false" customHeight="false" outlineLevel="0" collapsed="false">
      <c r="A356" s="12"/>
      <c r="B356" s="34"/>
      <c r="C356" s="12"/>
      <c r="D356" s="12"/>
      <c r="E356" s="12"/>
      <c r="F356" s="12"/>
      <c r="G356" s="18"/>
      <c r="H356" s="35"/>
      <c r="I356" s="12"/>
      <c r="M356" s="12"/>
      <c r="N356" s="18"/>
      <c r="O356" s="12"/>
      <c r="P356" s="12"/>
      <c r="Q356" s="12"/>
      <c r="R356" s="36"/>
      <c r="S356" s="36"/>
      <c r="T356" s="12"/>
      <c r="U356" s="12"/>
      <c r="V356" s="12"/>
      <c r="W356" s="12"/>
      <c r="X356" s="12"/>
    </row>
    <row r="357" customFormat="false" ht="15.75" hidden="false" customHeight="false" outlineLevel="0" collapsed="false">
      <c r="A357" s="12"/>
      <c r="B357" s="34"/>
      <c r="C357" s="12"/>
      <c r="D357" s="12"/>
      <c r="E357" s="12"/>
      <c r="F357" s="12"/>
      <c r="G357" s="18"/>
      <c r="H357" s="35"/>
      <c r="I357" s="12"/>
      <c r="M357" s="12"/>
      <c r="N357" s="18"/>
      <c r="O357" s="12"/>
      <c r="P357" s="12"/>
      <c r="Q357" s="12"/>
      <c r="R357" s="36"/>
      <c r="S357" s="36"/>
      <c r="T357" s="12"/>
      <c r="U357" s="12"/>
      <c r="V357" s="12"/>
      <c r="W357" s="12"/>
      <c r="X357" s="12"/>
    </row>
    <row r="358" customFormat="false" ht="15.75" hidden="false" customHeight="false" outlineLevel="0" collapsed="false">
      <c r="A358" s="12"/>
      <c r="B358" s="34"/>
      <c r="C358" s="12"/>
      <c r="D358" s="12"/>
      <c r="E358" s="12"/>
      <c r="F358" s="12"/>
      <c r="G358" s="18"/>
      <c r="H358" s="35"/>
      <c r="I358" s="12"/>
      <c r="M358" s="12"/>
      <c r="N358" s="18"/>
      <c r="O358" s="12"/>
      <c r="P358" s="12"/>
      <c r="Q358" s="12"/>
      <c r="R358" s="36"/>
      <c r="S358" s="36"/>
      <c r="T358" s="12"/>
      <c r="U358" s="12"/>
      <c r="V358" s="12"/>
      <c r="W358" s="12"/>
      <c r="X358" s="12"/>
    </row>
    <row r="359" customFormat="false" ht="15.75" hidden="false" customHeight="false" outlineLevel="0" collapsed="false">
      <c r="A359" s="12"/>
      <c r="B359" s="34"/>
      <c r="C359" s="12"/>
      <c r="D359" s="12"/>
      <c r="E359" s="12"/>
      <c r="F359" s="12"/>
      <c r="G359" s="18"/>
      <c r="H359" s="35"/>
      <c r="I359" s="12"/>
      <c r="M359" s="12"/>
      <c r="N359" s="18"/>
      <c r="O359" s="12"/>
      <c r="P359" s="12"/>
      <c r="Q359" s="12"/>
      <c r="R359" s="36"/>
      <c r="S359" s="36"/>
      <c r="T359" s="12"/>
      <c r="U359" s="12"/>
      <c r="V359" s="12"/>
      <c r="W359" s="12"/>
      <c r="X359" s="12"/>
    </row>
    <row r="360" customFormat="false" ht="15.75" hidden="false" customHeight="false" outlineLevel="0" collapsed="false">
      <c r="A360" s="12"/>
      <c r="B360" s="34"/>
      <c r="C360" s="12"/>
      <c r="D360" s="12"/>
      <c r="E360" s="12"/>
      <c r="F360" s="12"/>
      <c r="G360" s="18"/>
      <c r="H360" s="35"/>
      <c r="I360" s="12"/>
      <c r="M360" s="12"/>
      <c r="N360" s="18"/>
      <c r="O360" s="12"/>
      <c r="P360" s="12"/>
      <c r="Q360" s="12"/>
      <c r="R360" s="36"/>
      <c r="S360" s="36"/>
      <c r="T360" s="12"/>
      <c r="U360" s="12"/>
      <c r="V360" s="12"/>
      <c r="W360" s="12"/>
      <c r="X360" s="12"/>
    </row>
    <row r="361" customFormat="false" ht="15.75" hidden="false" customHeight="false" outlineLevel="0" collapsed="false">
      <c r="A361" s="12"/>
      <c r="B361" s="34"/>
      <c r="C361" s="12"/>
      <c r="D361" s="12"/>
      <c r="E361" s="12"/>
      <c r="F361" s="12"/>
      <c r="G361" s="18"/>
      <c r="H361" s="35"/>
      <c r="I361" s="12"/>
      <c r="M361" s="12"/>
      <c r="N361" s="18"/>
      <c r="O361" s="12"/>
      <c r="P361" s="12"/>
      <c r="Q361" s="12"/>
      <c r="R361" s="36"/>
      <c r="S361" s="36"/>
      <c r="T361" s="12"/>
      <c r="U361" s="12"/>
      <c r="V361" s="12"/>
      <c r="W361" s="12"/>
      <c r="X361" s="12"/>
    </row>
    <row r="362" customFormat="false" ht="15.75" hidden="false" customHeight="false" outlineLevel="0" collapsed="false">
      <c r="A362" s="12"/>
      <c r="B362" s="34"/>
      <c r="C362" s="12"/>
      <c r="D362" s="12"/>
      <c r="E362" s="12"/>
      <c r="F362" s="12"/>
      <c r="G362" s="18"/>
      <c r="H362" s="35"/>
      <c r="I362" s="12"/>
      <c r="M362" s="12"/>
      <c r="N362" s="18"/>
      <c r="O362" s="12"/>
      <c r="P362" s="12"/>
      <c r="Q362" s="12"/>
      <c r="R362" s="36"/>
      <c r="S362" s="36"/>
      <c r="T362" s="12"/>
      <c r="U362" s="12"/>
      <c r="V362" s="12"/>
      <c r="W362" s="12"/>
      <c r="X362" s="12"/>
    </row>
    <row r="363" customFormat="false" ht="15.75" hidden="false" customHeight="false" outlineLevel="0" collapsed="false">
      <c r="A363" s="12"/>
      <c r="B363" s="34"/>
      <c r="C363" s="12"/>
      <c r="D363" s="12"/>
      <c r="E363" s="12"/>
      <c r="F363" s="12"/>
      <c r="G363" s="18"/>
      <c r="H363" s="35"/>
      <c r="I363" s="12"/>
      <c r="M363" s="12"/>
      <c r="N363" s="18"/>
      <c r="O363" s="12"/>
      <c r="P363" s="12"/>
      <c r="Q363" s="12"/>
      <c r="R363" s="36"/>
      <c r="S363" s="36"/>
      <c r="T363" s="12"/>
      <c r="U363" s="12"/>
      <c r="V363" s="12"/>
      <c r="W363" s="12"/>
      <c r="X363" s="12"/>
    </row>
    <row r="364" customFormat="false" ht="15.75" hidden="false" customHeight="false" outlineLevel="0" collapsed="false">
      <c r="A364" s="12"/>
      <c r="B364" s="34"/>
      <c r="C364" s="12"/>
      <c r="D364" s="12"/>
      <c r="E364" s="12"/>
      <c r="F364" s="12"/>
      <c r="G364" s="18"/>
      <c r="H364" s="35"/>
      <c r="I364" s="12"/>
      <c r="M364" s="12"/>
      <c r="N364" s="18"/>
      <c r="O364" s="12"/>
      <c r="P364" s="12"/>
      <c r="Q364" s="12"/>
      <c r="R364" s="36"/>
      <c r="S364" s="36"/>
      <c r="T364" s="12"/>
      <c r="U364" s="12"/>
      <c r="V364" s="12"/>
      <c r="W364" s="12"/>
      <c r="X364" s="12"/>
    </row>
    <row r="365" customFormat="false" ht="15.75" hidden="false" customHeight="false" outlineLevel="0" collapsed="false">
      <c r="A365" s="12"/>
      <c r="B365" s="34"/>
      <c r="C365" s="12"/>
      <c r="D365" s="12"/>
      <c r="E365" s="12"/>
      <c r="F365" s="12"/>
      <c r="G365" s="18"/>
      <c r="H365" s="35"/>
      <c r="I365" s="12"/>
      <c r="M365" s="12"/>
      <c r="N365" s="18"/>
      <c r="O365" s="12"/>
      <c r="P365" s="12"/>
      <c r="Q365" s="12"/>
      <c r="R365" s="36"/>
      <c r="S365" s="36"/>
      <c r="T365" s="12"/>
      <c r="U365" s="12"/>
      <c r="V365" s="12"/>
      <c r="W365" s="12"/>
      <c r="X365" s="12"/>
    </row>
    <row r="366" customFormat="false" ht="15.75" hidden="false" customHeight="false" outlineLevel="0" collapsed="false">
      <c r="A366" s="12"/>
      <c r="B366" s="34"/>
      <c r="C366" s="12"/>
      <c r="D366" s="12"/>
      <c r="E366" s="12"/>
      <c r="F366" s="12"/>
      <c r="G366" s="18"/>
      <c r="H366" s="35"/>
      <c r="I366" s="12"/>
      <c r="M366" s="12"/>
      <c r="N366" s="18"/>
      <c r="O366" s="12"/>
      <c r="P366" s="12"/>
      <c r="Q366" s="12"/>
      <c r="R366" s="36"/>
      <c r="S366" s="36"/>
      <c r="T366" s="12"/>
      <c r="U366" s="12"/>
      <c r="V366" s="12"/>
      <c r="W366" s="12"/>
      <c r="X366" s="12"/>
    </row>
    <row r="367" customFormat="false" ht="15.75" hidden="false" customHeight="false" outlineLevel="0" collapsed="false">
      <c r="A367" s="12"/>
      <c r="B367" s="34"/>
      <c r="C367" s="12"/>
      <c r="D367" s="12"/>
      <c r="E367" s="12"/>
      <c r="F367" s="12"/>
      <c r="G367" s="18"/>
      <c r="H367" s="35"/>
      <c r="I367" s="12"/>
      <c r="M367" s="12"/>
      <c r="N367" s="18"/>
      <c r="O367" s="12"/>
      <c r="P367" s="12"/>
      <c r="Q367" s="12"/>
      <c r="R367" s="36"/>
      <c r="S367" s="36"/>
      <c r="T367" s="12"/>
      <c r="U367" s="12"/>
      <c r="V367" s="12"/>
      <c r="W367" s="12"/>
      <c r="X367" s="12"/>
    </row>
    <row r="368" customFormat="false" ht="15.75" hidden="false" customHeight="false" outlineLevel="0" collapsed="false">
      <c r="A368" s="12"/>
      <c r="B368" s="34"/>
      <c r="C368" s="12"/>
      <c r="D368" s="12"/>
      <c r="E368" s="12"/>
      <c r="F368" s="12"/>
      <c r="G368" s="18"/>
      <c r="H368" s="35"/>
      <c r="I368" s="12"/>
      <c r="M368" s="12"/>
      <c r="N368" s="18"/>
      <c r="O368" s="12"/>
      <c r="P368" s="12"/>
      <c r="Q368" s="12"/>
      <c r="R368" s="36"/>
      <c r="S368" s="36"/>
      <c r="T368" s="12"/>
      <c r="U368" s="12"/>
      <c r="V368" s="12"/>
      <c r="W368" s="12"/>
      <c r="X368" s="12"/>
    </row>
    <row r="369" customFormat="false" ht="15.75" hidden="false" customHeight="false" outlineLevel="0" collapsed="false">
      <c r="A369" s="12"/>
      <c r="B369" s="34"/>
      <c r="C369" s="12"/>
      <c r="D369" s="12"/>
      <c r="E369" s="12"/>
      <c r="F369" s="12"/>
      <c r="G369" s="18"/>
      <c r="H369" s="35"/>
      <c r="I369" s="12"/>
      <c r="M369" s="12"/>
      <c r="N369" s="18"/>
      <c r="O369" s="12"/>
      <c r="P369" s="12"/>
      <c r="Q369" s="12"/>
      <c r="R369" s="36"/>
      <c r="S369" s="36"/>
      <c r="T369" s="12"/>
      <c r="U369" s="12"/>
      <c r="V369" s="12"/>
      <c r="W369" s="12"/>
      <c r="X369" s="12"/>
    </row>
    <row r="370" customFormat="false" ht="15.75" hidden="false" customHeight="false" outlineLevel="0" collapsed="false">
      <c r="A370" s="12"/>
      <c r="B370" s="34"/>
      <c r="C370" s="12"/>
      <c r="D370" s="12"/>
      <c r="E370" s="12"/>
      <c r="F370" s="12"/>
      <c r="G370" s="18"/>
      <c r="H370" s="35"/>
      <c r="I370" s="12"/>
      <c r="M370" s="12"/>
      <c r="N370" s="18"/>
      <c r="O370" s="12"/>
      <c r="P370" s="12"/>
      <c r="Q370" s="12"/>
      <c r="R370" s="36"/>
      <c r="S370" s="36"/>
      <c r="T370" s="12"/>
      <c r="U370" s="12"/>
      <c r="V370" s="12"/>
      <c r="W370" s="12"/>
      <c r="X370" s="12"/>
    </row>
    <row r="371" customFormat="false" ht="15.75" hidden="false" customHeight="false" outlineLevel="0" collapsed="false">
      <c r="A371" s="12"/>
      <c r="B371" s="34"/>
      <c r="C371" s="12"/>
      <c r="D371" s="12"/>
      <c r="E371" s="12"/>
      <c r="F371" s="12"/>
      <c r="G371" s="18"/>
      <c r="H371" s="35"/>
      <c r="I371" s="12"/>
      <c r="M371" s="12"/>
      <c r="N371" s="18"/>
      <c r="O371" s="12"/>
      <c r="P371" s="12"/>
      <c r="Q371" s="12"/>
      <c r="R371" s="36"/>
      <c r="S371" s="36"/>
      <c r="T371" s="12"/>
      <c r="U371" s="12"/>
      <c r="V371" s="12"/>
      <c r="W371" s="12"/>
      <c r="X371" s="12"/>
    </row>
    <row r="372" customFormat="false" ht="15.75" hidden="false" customHeight="false" outlineLevel="0" collapsed="false">
      <c r="A372" s="12"/>
      <c r="B372" s="34"/>
      <c r="C372" s="12"/>
      <c r="D372" s="12"/>
      <c r="E372" s="12"/>
      <c r="F372" s="12"/>
      <c r="G372" s="18"/>
      <c r="H372" s="35"/>
      <c r="I372" s="12"/>
      <c r="M372" s="12"/>
      <c r="N372" s="18"/>
      <c r="O372" s="12"/>
      <c r="P372" s="12"/>
      <c r="Q372" s="12"/>
      <c r="R372" s="36"/>
      <c r="S372" s="36"/>
      <c r="T372" s="12"/>
      <c r="U372" s="12"/>
      <c r="V372" s="12"/>
      <c r="W372" s="12"/>
      <c r="X372" s="12"/>
    </row>
    <row r="373" customFormat="false" ht="15.75" hidden="false" customHeight="false" outlineLevel="0" collapsed="false">
      <c r="A373" s="12"/>
      <c r="B373" s="34"/>
      <c r="C373" s="12"/>
      <c r="D373" s="12"/>
      <c r="E373" s="12"/>
      <c r="F373" s="12"/>
      <c r="G373" s="18"/>
      <c r="H373" s="35"/>
      <c r="I373" s="12"/>
      <c r="M373" s="12"/>
      <c r="N373" s="18"/>
      <c r="O373" s="12"/>
      <c r="P373" s="12"/>
      <c r="Q373" s="12"/>
      <c r="R373" s="36"/>
      <c r="S373" s="36"/>
      <c r="T373" s="12"/>
      <c r="U373" s="12"/>
      <c r="V373" s="12"/>
      <c r="W373" s="12"/>
      <c r="X373" s="12"/>
    </row>
    <row r="374" customFormat="false" ht="15.75" hidden="false" customHeight="false" outlineLevel="0" collapsed="false">
      <c r="A374" s="12"/>
      <c r="B374" s="34"/>
      <c r="C374" s="12"/>
      <c r="D374" s="12"/>
      <c r="E374" s="12"/>
      <c r="F374" s="12"/>
      <c r="G374" s="18"/>
      <c r="H374" s="35"/>
      <c r="I374" s="12"/>
      <c r="M374" s="12"/>
      <c r="N374" s="18"/>
      <c r="O374" s="12"/>
      <c r="P374" s="12"/>
      <c r="Q374" s="12"/>
      <c r="R374" s="36"/>
      <c r="S374" s="36"/>
      <c r="T374" s="12"/>
      <c r="U374" s="12"/>
      <c r="V374" s="12"/>
      <c r="W374" s="12"/>
      <c r="X374" s="12"/>
    </row>
    <row r="375" customFormat="false" ht="15.75" hidden="false" customHeight="false" outlineLevel="0" collapsed="false">
      <c r="A375" s="12"/>
      <c r="B375" s="34"/>
      <c r="C375" s="12"/>
      <c r="D375" s="12"/>
      <c r="E375" s="12"/>
      <c r="F375" s="12"/>
      <c r="G375" s="18"/>
      <c r="H375" s="35"/>
      <c r="I375" s="12"/>
      <c r="M375" s="12"/>
      <c r="N375" s="18"/>
      <c r="O375" s="12"/>
      <c r="P375" s="12"/>
      <c r="Q375" s="12"/>
      <c r="R375" s="36"/>
      <c r="S375" s="36"/>
      <c r="T375" s="12"/>
      <c r="U375" s="12"/>
      <c r="V375" s="12"/>
      <c r="W375" s="12"/>
      <c r="X375" s="12"/>
    </row>
    <row r="376" customFormat="false" ht="15.75" hidden="false" customHeight="false" outlineLevel="0" collapsed="false">
      <c r="A376" s="12"/>
      <c r="B376" s="34"/>
      <c r="C376" s="12"/>
      <c r="D376" s="12"/>
      <c r="E376" s="12"/>
      <c r="F376" s="12"/>
      <c r="G376" s="18"/>
      <c r="H376" s="35"/>
      <c r="I376" s="12"/>
      <c r="M376" s="12"/>
      <c r="N376" s="18"/>
      <c r="O376" s="12"/>
      <c r="P376" s="12"/>
      <c r="Q376" s="12"/>
      <c r="R376" s="36"/>
      <c r="S376" s="36"/>
      <c r="T376" s="12"/>
      <c r="U376" s="12"/>
      <c r="V376" s="12"/>
      <c r="W376" s="12"/>
      <c r="X376" s="12"/>
    </row>
    <row r="377" customFormat="false" ht="15.75" hidden="false" customHeight="false" outlineLevel="0" collapsed="false">
      <c r="A377" s="12"/>
      <c r="B377" s="34"/>
      <c r="C377" s="12"/>
      <c r="D377" s="12"/>
      <c r="E377" s="12"/>
      <c r="F377" s="12"/>
      <c r="G377" s="18"/>
      <c r="H377" s="35"/>
      <c r="I377" s="12"/>
      <c r="M377" s="12"/>
      <c r="N377" s="18"/>
      <c r="O377" s="12"/>
      <c r="P377" s="12"/>
      <c r="Q377" s="12"/>
      <c r="R377" s="36"/>
      <c r="S377" s="36"/>
      <c r="T377" s="12"/>
      <c r="U377" s="12"/>
      <c r="V377" s="12"/>
      <c r="W377" s="12"/>
      <c r="X377" s="12"/>
    </row>
    <row r="378" customFormat="false" ht="15.75" hidden="false" customHeight="false" outlineLevel="0" collapsed="false">
      <c r="A378" s="12"/>
      <c r="B378" s="34"/>
      <c r="C378" s="12"/>
      <c r="D378" s="12"/>
      <c r="E378" s="12"/>
      <c r="F378" s="12"/>
      <c r="G378" s="18"/>
      <c r="H378" s="35"/>
      <c r="I378" s="12"/>
      <c r="M378" s="12"/>
      <c r="N378" s="18"/>
      <c r="O378" s="12"/>
      <c r="P378" s="12"/>
      <c r="Q378" s="12"/>
      <c r="R378" s="36"/>
      <c r="S378" s="36"/>
      <c r="T378" s="12"/>
      <c r="U378" s="12"/>
      <c r="V378" s="12"/>
      <c r="W378" s="12"/>
      <c r="X378" s="12"/>
    </row>
    <row r="379" customFormat="false" ht="15.75" hidden="false" customHeight="false" outlineLevel="0" collapsed="false">
      <c r="A379" s="12"/>
      <c r="B379" s="34"/>
      <c r="C379" s="12"/>
      <c r="D379" s="12"/>
      <c r="E379" s="12"/>
      <c r="F379" s="12"/>
      <c r="G379" s="18"/>
      <c r="H379" s="35"/>
      <c r="I379" s="12"/>
      <c r="M379" s="12"/>
      <c r="N379" s="18"/>
      <c r="O379" s="12"/>
      <c r="P379" s="12"/>
      <c r="Q379" s="12"/>
      <c r="R379" s="36"/>
      <c r="S379" s="36"/>
      <c r="T379" s="12"/>
      <c r="U379" s="12"/>
      <c r="V379" s="12"/>
      <c r="W379" s="12"/>
      <c r="X379" s="12"/>
    </row>
    <row r="380" customFormat="false" ht="15.75" hidden="false" customHeight="false" outlineLevel="0" collapsed="false">
      <c r="A380" s="12"/>
      <c r="B380" s="34"/>
      <c r="C380" s="12"/>
      <c r="D380" s="12"/>
      <c r="E380" s="12"/>
      <c r="F380" s="12"/>
      <c r="G380" s="18"/>
      <c r="H380" s="35"/>
      <c r="I380" s="12"/>
      <c r="M380" s="12"/>
      <c r="N380" s="18"/>
      <c r="O380" s="12"/>
      <c r="P380" s="12"/>
      <c r="Q380" s="12"/>
      <c r="R380" s="36"/>
      <c r="S380" s="36"/>
      <c r="T380" s="12"/>
      <c r="U380" s="12"/>
      <c r="V380" s="12"/>
      <c r="W380" s="12"/>
      <c r="X380" s="12"/>
    </row>
    <row r="381" customFormat="false" ht="15.75" hidden="false" customHeight="false" outlineLevel="0" collapsed="false">
      <c r="A381" s="12"/>
      <c r="B381" s="34"/>
      <c r="C381" s="12"/>
      <c r="D381" s="12"/>
      <c r="E381" s="12"/>
      <c r="F381" s="12"/>
      <c r="G381" s="18"/>
      <c r="H381" s="35"/>
      <c r="I381" s="12"/>
      <c r="M381" s="12"/>
      <c r="N381" s="18"/>
      <c r="O381" s="12"/>
      <c r="P381" s="12"/>
      <c r="Q381" s="12"/>
      <c r="R381" s="36"/>
      <c r="S381" s="36"/>
      <c r="T381" s="12"/>
      <c r="U381" s="12"/>
      <c r="V381" s="12"/>
      <c r="W381" s="12"/>
      <c r="X381" s="12"/>
    </row>
    <row r="382" customFormat="false" ht="15.75" hidden="false" customHeight="false" outlineLevel="0" collapsed="false">
      <c r="A382" s="12"/>
      <c r="B382" s="34"/>
      <c r="C382" s="12"/>
      <c r="D382" s="12"/>
      <c r="E382" s="12"/>
      <c r="F382" s="12"/>
      <c r="G382" s="18"/>
      <c r="H382" s="35"/>
      <c r="I382" s="12"/>
      <c r="M382" s="12"/>
      <c r="N382" s="18"/>
      <c r="O382" s="12"/>
      <c r="P382" s="12"/>
      <c r="Q382" s="12"/>
      <c r="R382" s="36"/>
      <c r="S382" s="36"/>
      <c r="T382" s="12"/>
      <c r="U382" s="12"/>
      <c r="V382" s="12"/>
      <c r="W382" s="12"/>
      <c r="X382" s="12"/>
    </row>
    <row r="383" customFormat="false" ht="15.75" hidden="false" customHeight="false" outlineLevel="0" collapsed="false">
      <c r="A383" s="12"/>
      <c r="B383" s="34"/>
      <c r="C383" s="12"/>
      <c r="D383" s="12"/>
      <c r="E383" s="12"/>
      <c r="F383" s="12"/>
      <c r="G383" s="18"/>
      <c r="H383" s="35"/>
      <c r="I383" s="12"/>
      <c r="M383" s="12"/>
      <c r="N383" s="18"/>
      <c r="O383" s="12"/>
      <c r="P383" s="12"/>
      <c r="Q383" s="12"/>
      <c r="R383" s="36"/>
      <c r="S383" s="36"/>
      <c r="T383" s="12"/>
      <c r="U383" s="12"/>
      <c r="V383" s="12"/>
      <c r="W383" s="12"/>
      <c r="X383" s="12"/>
    </row>
    <row r="384" customFormat="false" ht="15.75" hidden="false" customHeight="false" outlineLevel="0" collapsed="false">
      <c r="A384" s="12"/>
      <c r="B384" s="34"/>
      <c r="C384" s="12"/>
      <c r="D384" s="12"/>
      <c r="E384" s="12"/>
      <c r="F384" s="12"/>
      <c r="G384" s="18"/>
      <c r="H384" s="35"/>
      <c r="I384" s="12"/>
      <c r="M384" s="12"/>
      <c r="N384" s="18"/>
      <c r="O384" s="12"/>
      <c r="P384" s="12"/>
      <c r="Q384" s="12"/>
      <c r="R384" s="36"/>
      <c r="S384" s="36"/>
      <c r="T384" s="12"/>
      <c r="U384" s="12"/>
      <c r="V384" s="12"/>
      <c r="W384" s="12"/>
      <c r="X384" s="12"/>
    </row>
    <row r="385" customFormat="false" ht="15.75" hidden="false" customHeight="false" outlineLevel="0" collapsed="false">
      <c r="A385" s="12"/>
      <c r="B385" s="34"/>
      <c r="C385" s="12"/>
      <c r="D385" s="12"/>
      <c r="E385" s="12"/>
      <c r="F385" s="12"/>
      <c r="G385" s="18"/>
      <c r="H385" s="35"/>
      <c r="I385" s="12"/>
      <c r="M385" s="12"/>
      <c r="N385" s="18"/>
      <c r="O385" s="12"/>
      <c r="P385" s="12"/>
      <c r="Q385" s="12"/>
      <c r="R385" s="36"/>
      <c r="S385" s="36"/>
      <c r="T385" s="12"/>
      <c r="U385" s="12"/>
      <c r="V385" s="12"/>
      <c r="W385" s="12"/>
      <c r="X385" s="12"/>
    </row>
    <row r="386" customFormat="false" ht="15.75" hidden="false" customHeight="false" outlineLevel="0" collapsed="false">
      <c r="A386" s="12"/>
      <c r="B386" s="34"/>
      <c r="C386" s="12"/>
      <c r="D386" s="12"/>
      <c r="E386" s="12"/>
      <c r="F386" s="12"/>
      <c r="G386" s="18"/>
      <c r="H386" s="35"/>
      <c r="I386" s="12"/>
      <c r="M386" s="12"/>
      <c r="N386" s="18"/>
      <c r="O386" s="12"/>
      <c r="P386" s="12"/>
      <c r="Q386" s="12"/>
      <c r="R386" s="36"/>
      <c r="S386" s="36"/>
      <c r="T386" s="12"/>
      <c r="U386" s="12"/>
      <c r="V386" s="12"/>
      <c r="W386" s="12"/>
      <c r="X386" s="12"/>
    </row>
    <row r="387" customFormat="false" ht="15.75" hidden="false" customHeight="false" outlineLevel="0" collapsed="false">
      <c r="A387" s="12"/>
      <c r="B387" s="34"/>
      <c r="C387" s="12"/>
      <c r="D387" s="12"/>
      <c r="E387" s="12"/>
      <c r="F387" s="12"/>
      <c r="G387" s="18"/>
      <c r="H387" s="35"/>
      <c r="I387" s="12"/>
      <c r="M387" s="12"/>
      <c r="N387" s="18"/>
      <c r="O387" s="12"/>
      <c r="P387" s="12"/>
      <c r="Q387" s="12"/>
      <c r="R387" s="36"/>
      <c r="S387" s="36"/>
      <c r="T387" s="12"/>
      <c r="U387" s="12"/>
      <c r="V387" s="12"/>
      <c r="W387" s="12"/>
      <c r="X387" s="12"/>
    </row>
    <row r="388" customFormat="false" ht="15.75" hidden="false" customHeight="false" outlineLevel="0" collapsed="false">
      <c r="A388" s="12"/>
      <c r="B388" s="34"/>
      <c r="C388" s="12"/>
      <c r="D388" s="12"/>
      <c r="E388" s="12"/>
      <c r="F388" s="12"/>
      <c r="G388" s="18"/>
      <c r="H388" s="35"/>
      <c r="I388" s="12"/>
      <c r="M388" s="12"/>
      <c r="N388" s="18"/>
      <c r="O388" s="12"/>
      <c r="P388" s="12"/>
      <c r="Q388" s="12"/>
      <c r="R388" s="36"/>
      <c r="S388" s="36"/>
      <c r="T388" s="12"/>
      <c r="U388" s="12"/>
      <c r="V388" s="12"/>
      <c r="W388" s="12"/>
      <c r="X388" s="12"/>
    </row>
    <row r="389" customFormat="false" ht="15.75" hidden="false" customHeight="false" outlineLevel="0" collapsed="false">
      <c r="A389" s="12"/>
      <c r="B389" s="34"/>
      <c r="C389" s="12"/>
      <c r="D389" s="12"/>
      <c r="E389" s="12"/>
      <c r="F389" s="12"/>
      <c r="G389" s="18"/>
      <c r="H389" s="35"/>
      <c r="I389" s="12"/>
      <c r="M389" s="12"/>
      <c r="N389" s="18"/>
      <c r="O389" s="12"/>
      <c r="P389" s="12"/>
      <c r="Q389" s="12"/>
      <c r="R389" s="36"/>
      <c r="S389" s="36"/>
      <c r="T389" s="12"/>
      <c r="U389" s="12"/>
      <c r="V389" s="12"/>
      <c r="W389" s="12"/>
      <c r="X389" s="12"/>
    </row>
    <row r="390" customFormat="false" ht="15.75" hidden="false" customHeight="false" outlineLevel="0" collapsed="false">
      <c r="A390" s="12"/>
      <c r="B390" s="34"/>
      <c r="C390" s="12"/>
      <c r="D390" s="12"/>
      <c r="E390" s="12"/>
      <c r="F390" s="12"/>
      <c r="G390" s="18"/>
      <c r="H390" s="35"/>
      <c r="I390" s="12"/>
      <c r="M390" s="12"/>
      <c r="N390" s="18"/>
      <c r="O390" s="12"/>
      <c r="P390" s="12"/>
      <c r="Q390" s="12"/>
      <c r="R390" s="36"/>
      <c r="S390" s="36"/>
      <c r="T390" s="12"/>
      <c r="U390" s="12"/>
      <c r="V390" s="12"/>
      <c r="W390" s="12"/>
      <c r="X390" s="12"/>
    </row>
    <row r="391" customFormat="false" ht="15.75" hidden="false" customHeight="false" outlineLevel="0" collapsed="false">
      <c r="A391" s="12"/>
      <c r="B391" s="34"/>
      <c r="C391" s="12"/>
      <c r="D391" s="12"/>
      <c r="E391" s="12"/>
      <c r="F391" s="12"/>
      <c r="G391" s="18"/>
      <c r="H391" s="35"/>
      <c r="I391" s="12"/>
      <c r="M391" s="12"/>
      <c r="N391" s="18"/>
      <c r="O391" s="12"/>
      <c r="P391" s="12"/>
      <c r="Q391" s="12"/>
      <c r="R391" s="36"/>
      <c r="S391" s="36"/>
      <c r="T391" s="12"/>
      <c r="U391" s="12"/>
      <c r="V391" s="12"/>
      <c r="W391" s="12"/>
      <c r="X391" s="12"/>
    </row>
    <row r="392" customFormat="false" ht="15.75" hidden="false" customHeight="false" outlineLevel="0" collapsed="false">
      <c r="A392" s="12"/>
      <c r="B392" s="34"/>
      <c r="C392" s="12"/>
      <c r="D392" s="12"/>
      <c r="E392" s="12"/>
      <c r="F392" s="12"/>
      <c r="G392" s="18"/>
      <c r="H392" s="35"/>
      <c r="I392" s="12"/>
      <c r="M392" s="12"/>
      <c r="N392" s="18"/>
      <c r="O392" s="12"/>
      <c r="P392" s="12"/>
      <c r="Q392" s="12"/>
      <c r="R392" s="36"/>
      <c r="S392" s="36"/>
      <c r="T392" s="12"/>
      <c r="U392" s="12"/>
      <c r="V392" s="12"/>
      <c r="W392" s="12"/>
      <c r="X392" s="12"/>
    </row>
    <row r="393" customFormat="false" ht="15.75" hidden="false" customHeight="false" outlineLevel="0" collapsed="false">
      <c r="A393" s="12"/>
      <c r="B393" s="34"/>
      <c r="C393" s="12"/>
      <c r="D393" s="12"/>
      <c r="E393" s="12"/>
      <c r="F393" s="12"/>
      <c r="G393" s="18"/>
      <c r="H393" s="35"/>
      <c r="I393" s="12"/>
      <c r="M393" s="12"/>
      <c r="N393" s="18"/>
      <c r="O393" s="12"/>
      <c r="P393" s="12"/>
      <c r="Q393" s="12"/>
      <c r="R393" s="36"/>
      <c r="S393" s="36"/>
      <c r="T393" s="12"/>
      <c r="U393" s="12"/>
      <c r="V393" s="12"/>
      <c r="W393" s="12"/>
      <c r="X393" s="12"/>
    </row>
    <row r="394" customFormat="false" ht="15.75" hidden="false" customHeight="false" outlineLevel="0" collapsed="false">
      <c r="A394" s="12"/>
      <c r="B394" s="34"/>
      <c r="C394" s="12"/>
      <c r="D394" s="12"/>
      <c r="E394" s="12"/>
      <c r="F394" s="12"/>
      <c r="G394" s="18"/>
      <c r="H394" s="35"/>
      <c r="I394" s="12"/>
      <c r="M394" s="12"/>
      <c r="N394" s="18"/>
      <c r="O394" s="12"/>
      <c r="P394" s="12"/>
      <c r="Q394" s="12"/>
      <c r="R394" s="36"/>
      <c r="S394" s="36"/>
      <c r="T394" s="12"/>
      <c r="U394" s="12"/>
      <c r="V394" s="12"/>
      <c r="W394" s="12"/>
      <c r="X394" s="12"/>
    </row>
    <row r="395" customFormat="false" ht="15.75" hidden="false" customHeight="false" outlineLevel="0" collapsed="false">
      <c r="A395" s="12"/>
      <c r="B395" s="34"/>
      <c r="C395" s="12"/>
      <c r="D395" s="12"/>
      <c r="E395" s="12"/>
      <c r="F395" s="12"/>
      <c r="G395" s="18"/>
      <c r="H395" s="35"/>
      <c r="I395" s="12"/>
      <c r="M395" s="12"/>
      <c r="N395" s="18"/>
      <c r="O395" s="12"/>
      <c r="P395" s="12"/>
      <c r="Q395" s="12"/>
      <c r="R395" s="36"/>
      <c r="S395" s="36"/>
      <c r="T395" s="12"/>
      <c r="U395" s="12"/>
      <c r="V395" s="12"/>
      <c r="W395" s="12"/>
      <c r="X395" s="12"/>
    </row>
    <row r="396" customFormat="false" ht="15.75" hidden="false" customHeight="false" outlineLevel="0" collapsed="false">
      <c r="A396" s="12"/>
      <c r="B396" s="34"/>
      <c r="C396" s="12"/>
      <c r="D396" s="12"/>
      <c r="E396" s="12"/>
      <c r="F396" s="12"/>
      <c r="G396" s="18"/>
      <c r="H396" s="35"/>
      <c r="I396" s="12"/>
      <c r="M396" s="12"/>
      <c r="N396" s="18"/>
      <c r="O396" s="12"/>
      <c r="P396" s="12"/>
      <c r="Q396" s="12"/>
      <c r="R396" s="36"/>
      <c r="S396" s="36"/>
      <c r="T396" s="12"/>
      <c r="U396" s="12"/>
      <c r="V396" s="12"/>
      <c r="W396" s="12"/>
      <c r="X396" s="12"/>
    </row>
    <row r="397" customFormat="false" ht="15.75" hidden="false" customHeight="false" outlineLevel="0" collapsed="false">
      <c r="A397" s="12"/>
      <c r="B397" s="34"/>
      <c r="C397" s="12"/>
      <c r="D397" s="12"/>
      <c r="E397" s="12"/>
      <c r="F397" s="12"/>
      <c r="G397" s="18"/>
      <c r="H397" s="35"/>
      <c r="I397" s="12"/>
      <c r="M397" s="12"/>
      <c r="N397" s="18"/>
      <c r="O397" s="12"/>
      <c r="P397" s="12"/>
      <c r="Q397" s="12"/>
      <c r="R397" s="36"/>
      <c r="S397" s="36"/>
      <c r="T397" s="12"/>
      <c r="U397" s="12"/>
      <c r="V397" s="12"/>
      <c r="W397" s="12"/>
      <c r="X397" s="12"/>
    </row>
    <row r="398" customFormat="false" ht="15.75" hidden="false" customHeight="false" outlineLevel="0" collapsed="false">
      <c r="A398" s="12"/>
      <c r="B398" s="34"/>
      <c r="C398" s="12"/>
      <c r="D398" s="12"/>
      <c r="E398" s="12"/>
      <c r="F398" s="12"/>
      <c r="G398" s="18"/>
      <c r="H398" s="35"/>
      <c r="I398" s="12"/>
      <c r="M398" s="12"/>
      <c r="N398" s="18"/>
      <c r="O398" s="12"/>
      <c r="P398" s="12"/>
      <c r="Q398" s="12"/>
      <c r="R398" s="36"/>
      <c r="S398" s="36"/>
      <c r="T398" s="12"/>
      <c r="U398" s="12"/>
      <c r="V398" s="12"/>
      <c r="W398" s="12"/>
      <c r="X398" s="12"/>
    </row>
    <row r="399" customFormat="false" ht="15.75" hidden="false" customHeight="false" outlineLevel="0" collapsed="false">
      <c r="A399" s="12"/>
      <c r="B399" s="34"/>
      <c r="C399" s="12"/>
      <c r="D399" s="12"/>
      <c r="E399" s="12"/>
      <c r="F399" s="12"/>
      <c r="G399" s="18"/>
      <c r="H399" s="35"/>
      <c r="I399" s="12"/>
      <c r="M399" s="12"/>
      <c r="N399" s="18"/>
      <c r="O399" s="12"/>
      <c r="P399" s="12"/>
      <c r="Q399" s="12"/>
      <c r="R399" s="36"/>
      <c r="S399" s="36"/>
      <c r="T399" s="12"/>
      <c r="U399" s="12"/>
      <c r="V399" s="12"/>
      <c r="W399" s="12"/>
      <c r="X399" s="12"/>
    </row>
    <row r="400" customFormat="false" ht="15.75" hidden="false" customHeight="false" outlineLevel="0" collapsed="false">
      <c r="A400" s="12"/>
      <c r="B400" s="34"/>
      <c r="C400" s="12"/>
      <c r="D400" s="12"/>
      <c r="E400" s="12"/>
      <c r="F400" s="12"/>
      <c r="G400" s="18"/>
      <c r="H400" s="35"/>
      <c r="I400" s="12"/>
      <c r="M400" s="12"/>
      <c r="N400" s="18"/>
      <c r="O400" s="12"/>
      <c r="P400" s="12"/>
      <c r="Q400" s="12"/>
      <c r="R400" s="36"/>
      <c r="S400" s="36"/>
      <c r="T400" s="12"/>
      <c r="U400" s="12"/>
      <c r="V400" s="12"/>
      <c r="W400" s="12"/>
      <c r="X400" s="12"/>
    </row>
    <row r="401" customFormat="false" ht="15.75" hidden="false" customHeight="false" outlineLevel="0" collapsed="false">
      <c r="A401" s="12"/>
      <c r="B401" s="34"/>
      <c r="C401" s="12"/>
      <c r="D401" s="12"/>
      <c r="E401" s="12"/>
      <c r="F401" s="12"/>
      <c r="G401" s="18"/>
      <c r="H401" s="35"/>
      <c r="I401" s="12"/>
      <c r="M401" s="12"/>
      <c r="N401" s="18"/>
      <c r="O401" s="12"/>
      <c r="P401" s="12"/>
      <c r="Q401" s="12"/>
      <c r="R401" s="36"/>
      <c r="S401" s="36"/>
      <c r="T401" s="12"/>
      <c r="U401" s="12"/>
      <c r="V401" s="12"/>
      <c r="W401" s="12"/>
      <c r="X401" s="12"/>
    </row>
    <row r="402" customFormat="false" ht="15.75" hidden="false" customHeight="false" outlineLevel="0" collapsed="false">
      <c r="A402" s="12"/>
      <c r="B402" s="34"/>
      <c r="C402" s="12"/>
      <c r="D402" s="12"/>
      <c r="E402" s="12"/>
      <c r="F402" s="12"/>
      <c r="G402" s="18"/>
      <c r="H402" s="35"/>
      <c r="I402" s="12"/>
      <c r="M402" s="12"/>
      <c r="N402" s="18"/>
      <c r="O402" s="12"/>
      <c r="P402" s="12"/>
      <c r="Q402" s="12"/>
      <c r="R402" s="36"/>
      <c r="S402" s="36"/>
      <c r="T402" s="12"/>
      <c r="U402" s="12"/>
      <c r="V402" s="12"/>
      <c r="W402" s="12"/>
      <c r="X402" s="12"/>
    </row>
    <row r="403" customFormat="false" ht="15.75" hidden="false" customHeight="false" outlineLevel="0" collapsed="false">
      <c r="A403" s="12"/>
      <c r="B403" s="34"/>
      <c r="C403" s="12"/>
      <c r="D403" s="12"/>
      <c r="E403" s="12"/>
      <c r="F403" s="12"/>
      <c r="G403" s="18"/>
      <c r="H403" s="35"/>
      <c r="I403" s="12"/>
      <c r="M403" s="12"/>
      <c r="N403" s="18"/>
      <c r="O403" s="12"/>
      <c r="P403" s="12"/>
      <c r="Q403" s="12"/>
      <c r="R403" s="36"/>
      <c r="S403" s="36"/>
      <c r="T403" s="12"/>
      <c r="U403" s="12"/>
      <c r="V403" s="12"/>
      <c r="W403" s="12"/>
      <c r="X403" s="12"/>
    </row>
    <row r="404" customFormat="false" ht="15.75" hidden="false" customHeight="false" outlineLevel="0" collapsed="false">
      <c r="A404" s="12"/>
      <c r="B404" s="34"/>
      <c r="C404" s="12"/>
      <c r="D404" s="12"/>
      <c r="E404" s="12"/>
      <c r="F404" s="12"/>
      <c r="G404" s="18"/>
      <c r="H404" s="35"/>
      <c r="I404" s="12"/>
      <c r="M404" s="12"/>
      <c r="N404" s="18"/>
      <c r="O404" s="12"/>
      <c r="P404" s="12"/>
      <c r="Q404" s="12"/>
      <c r="R404" s="36"/>
      <c r="S404" s="36"/>
      <c r="T404" s="12"/>
      <c r="U404" s="12"/>
      <c r="V404" s="12"/>
      <c r="W404" s="12"/>
      <c r="X404" s="12"/>
    </row>
    <row r="405" customFormat="false" ht="15.75" hidden="false" customHeight="false" outlineLevel="0" collapsed="false">
      <c r="A405" s="12"/>
      <c r="B405" s="34"/>
      <c r="C405" s="12"/>
      <c r="D405" s="12"/>
      <c r="E405" s="12"/>
      <c r="F405" s="12"/>
      <c r="G405" s="18"/>
      <c r="H405" s="35"/>
      <c r="I405" s="12"/>
      <c r="M405" s="12"/>
      <c r="N405" s="18"/>
      <c r="O405" s="12"/>
      <c r="P405" s="12"/>
      <c r="Q405" s="12"/>
      <c r="R405" s="36"/>
      <c r="S405" s="36"/>
      <c r="T405" s="12"/>
      <c r="U405" s="12"/>
      <c r="V405" s="12"/>
      <c r="W405" s="12"/>
      <c r="X405" s="12"/>
    </row>
    <row r="406" customFormat="false" ht="15.75" hidden="false" customHeight="false" outlineLevel="0" collapsed="false">
      <c r="A406" s="12"/>
      <c r="B406" s="34"/>
      <c r="C406" s="12"/>
      <c r="D406" s="12"/>
      <c r="E406" s="12"/>
      <c r="F406" s="12"/>
      <c r="G406" s="18"/>
      <c r="H406" s="35"/>
      <c r="I406" s="12"/>
      <c r="M406" s="12"/>
      <c r="N406" s="18"/>
      <c r="O406" s="12"/>
      <c r="P406" s="12"/>
      <c r="Q406" s="12"/>
      <c r="R406" s="36"/>
      <c r="S406" s="36"/>
      <c r="T406" s="12"/>
      <c r="U406" s="12"/>
      <c r="V406" s="12"/>
      <c r="W406" s="12"/>
      <c r="X406" s="12"/>
    </row>
    <row r="407" customFormat="false" ht="15.75" hidden="false" customHeight="false" outlineLevel="0" collapsed="false">
      <c r="A407" s="12"/>
      <c r="B407" s="34"/>
      <c r="C407" s="12"/>
      <c r="D407" s="12"/>
      <c r="E407" s="12"/>
      <c r="F407" s="12"/>
      <c r="G407" s="18"/>
      <c r="H407" s="35"/>
      <c r="I407" s="12"/>
      <c r="M407" s="12"/>
      <c r="N407" s="18"/>
      <c r="O407" s="12"/>
      <c r="P407" s="12"/>
      <c r="Q407" s="12"/>
      <c r="R407" s="36"/>
      <c r="S407" s="36"/>
      <c r="T407" s="12"/>
      <c r="U407" s="12"/>
      <c r="V407" s="12"/>
      <c r="W407" s="12"/>
      <c r="X407" s="12"/>
    </row>
    <row r="408" customFormat="false" ht="15.75" hidden="false" customHeight="false" outlineLevel="0" collapsed="false">
      <c r="A408" s="12"/>
      <c r="B408" s="34"/>
      <c r="C408" s="12"/>
      <c r="D408" s="12"/>
      <c r="E408" s="12"/>
      <c r="F408" s="12"/>
      <c r="G408" s="18"/>
      <c r="H408" s="35"/>
      <c r="I408" s="12"/>
      <c r="M408" s="12"/>
      <c r="N408" s="18"/>
      <c r="O408" s="12"/>
      <c r="P408" s="12"/>
      <c r="Q408" s="12"/>
      <c r="R408" s="36"/>
      <c r="S408" s="36"/>
      <c r="T408" s="12"/>
      <c r="U408" s="12"/>
      <c r="V408" s="12"/>
      <c r="W408" s="12"/>
      <c r="X408" s="12"/>
    </row>
    <row r="409" customFormat="false" ht="15.75" hidden="false" customHeight="false" outlineLevel="0" collapsed="false">
      <c r="A409" s="12"/>
      <c r="B409" s="34"/>
      <c r="C409" s="12"/>
      <c r="D409" s="12"/>
      <c r="E409" s="12"/>
      <c r="F409" s="12"/>
      <c r="G409" s="18"/>
      <c r="H409" s="35"/>
      <c r="I409" s="12"/>
      <c r="M409" s="12"/>
      <c r="N409" s="18"/>
      <c r="O409" s="12"/>
      <c r="P409" s="12"/>
      <c r="Q409" s="12"/>
      <c r="R409" s="36"/>
      <c r="S409" s="36"/>
      <c r="T409" s="12"/>
      <c r="U409" s="12"/>
      <c r="V409" s="12"/>
      <c r="W409" s="12"/>
      <c r="X409" s="12"/>
    </row>
    <row r="410" customFormat="false" ht="15.75" hidden="false" customHeight="false" outlineLevel="0" collapsed="false">
      <c r="A410" s="12"/>
      <c r="B410" s="34"/>
      <c r="C410" s="12"/>
      <c r="D410" s="12"/>
      <c r="E410" s="12"/>
      <c r="F410" s="12"/>
      <c r="G410" s="18"/>
      <c r="H410" s="35"/>
      <c r="I410" s="12"/>
      <c r="M410" s="12"/>
      <c r="N410" s="18"/>
      <c r="O410" s="12"/>
      <c r="P410" s="12"/>
      <c r="Q410" s="12"/>
      <c r="R410" s="36"/>
      <c r="S410" s="36"/>
      <c r="T410" s="12"/>
      <c r="U410" s="12"/>
      <c r="V410" s="12"/>
      <c r="W410" s="12"/>
      <c r="X410" s="12"/>
    </row>
    <row r="411" customFormat="false" ht="15.75" hidden="false" customHeight="false" outlineLevel="0" collapsed="false">
      <c r="A411" s="12"/>
      <c r="B411" s="34"/>
      <c r="C411" s="12"/>
      <c r="D411" s="12"/>
      <c r="E411" s="12"/>
      <c r="F411" s="12"/>
      <c r="G411" s="18"/>
      <c r="H411" s="35"/>
      <c r="I411" s="12"/>
      <c r="M411" s="12"/>
      <c r="N411" s="18"/>
      <c r="O411" s="12"/>
      <c r="P411" s="12"/>
      <c r="Q411" s="12"/>
      <c r="R411" s="36"/>
      <c r="S411" s="36"/>
      <c r="T411" s="12"/>
      <c r="U411" s="12"/>
      <c r="V411" s="12"/>
      <c r="W411" s="12"/>
      <c r="X411" s="12"/>
    </row>
    <row r="412" customFormat="false" ht="15.75" hidden="false" customHeight="false" outlineLevel="0" collapsed="false">
      <c r="A412" s="12"/>
      <c r="B412" s="34"/>
      <c r="C412" s="12"/>
      <c r="D412" s="12"/>
      <c r="E412" s="12"/>
      <c r="F412" s="12"/>
      <c r="G412" s="18"/>
      <c r="H412" s="35"/>
      <c r="I412" s="12"/>
      <c r="M412" s="12"/>
      <c r="N412" s="18"/>
      <c r="O412" s="12"/>
      <c r="P412" s="12"/>
      <c r="Q412" s="12"/>
      <c r="R412" s="36"/>
      <c r="S412" s="36"/>
      <c r="T412" s="12"/>
      <c r="U412" s="12"/>
      <c r="V412" s="12"/>
      <c r="W412" s="12"/>
      <c r="X412" s="12"/>
    </row>
    <row r="413" customFormat="false" ht="15.75" hidden="false" customHeight="false" outlineLevel="0" collapsed="false">
      <c r="A413" s="12"/>
      <c r="B413" s="34"/>
      <c r="C413" s="12"/>
      <c r="D413" s="12"/>
      <c r="E413" s="12"/>
      <c r="F413" s="12"/>
      <c r="G413" s="18"/>
      <c r="H413" s="35"/>
      <c r="I413" s="12"/>
      <c r="M413" s="12"/>
      <c r="N413" s="18"/>
      <c r="O413" s="12"/>
      <c r="P413" s="12"/>
      <c r="Q413" s="12"/>
      <c r="R413" s="36"/>
      <c r="S413" s="36"/>
      <c r="T413" s="12"/>
      <c r="U413" s="12"/>
      <c r="V413" s="12"/>
      <c r="W413" s="12"/>
      <c r="X413" s="12"/>
    </row>
    <row r="414" customFormat="false" ht="15.75" hidden="false" customHeight="false" outlineLevel="0" collapsed="false">
      <c r="A414" s="12"/>
      <c r="B414" s="34"/>
      <c r="C414" s="12"/>
      <c r="D414" s="12"/>
      <c r="E414" s="12"/>
      <c r="F414" s="12"/>
      <c r="G414" s="18"/>
      <c r="H414" s="35"/>
      <c r="I414" s="12"/>
      <c r="M414" s="12"/>
      <c r="N414" s="18"/>
      <c r="O414" s="12"/>
      <c r="P414" s="12"/>
      <c r="Q414" s="12"/>
      <c r="R414" s="36"/>
      <c r="S414" s="36"/>
      <c r="T414" s="12"/>
      <c r="U414" s="12"/>
      <c r="V414" s="12"/>
      <c r="W414" s="12"/>
      <c r="X414" s="12"/>
    </row>
    <row r="415" customFormat="false" ht="15.75" hidden="false" customHeight="false" outlineLevel="0" collapsed="false">
      <c r="A415" s="12"/>
      <c r="B415" s="34"/>
      <c r="C415" s="12"/>
      <c r="D415" s="12"/>
      <c r="E415" s="12"/>
      <c r="F415" s="12"/>
      <c r="G415" s="18"/>
      <c r="H415" s="35"/>
      <c r="I415" s="12"/>
      <c r="M415" s="12"/>
      <c r="N415" s="18"/>
      <c r="O415" s="12"/>
      <c r="P415" s="12"/>
      <c r="Q415" s="12"/>
      <c r="R415" s="36"/>
      <c r="S415" s="36"/>
      <c r="T415" s="12"/>
      <c r="U415" s="12"/>
      <c r="V415" s="12"/>
      <c r="W415" s="12"/>
      <c r="X415" s="12"/>
    </row>
    <row r="416" customFormat="false" ht="15.75" hidden="false" customHeight="false" outlineLevel="0" collapsed="false">
      <c r="A416" s="12"/>
      <c r="B416" s="34"/>
      <c r="C416" s="12"/>
      <c r="D416" s="12"/>
      <c r="E416" s="12"/>
      <c r="F416" s="12"/>
      <c r="G416" s="18"/>
      <c r="H416" s="35"/>
      <c r="I416" s="12"/>
      <c r="M416" s="12"/>
      <c r="N416" s="18"/>
      <c r="O416" s="12"/>
      <c r="P416" s="12"/>
      <c r="Q416" s="12"/>
      <c r="R416" s="36"/>
      <c r="S416" s="36"/>
      <c r="T416" s="12"/>
      <c r="U416" s="12"/>
      <c r="V416" s="12"/>
      <c r="W416" s="12"/>
      <c r="X416" s="12"/>
    </row>
    <row r="417" customFormat="false" ht="15.75" hidden="false" customHeight="false" outlineLevel="0" collapsed="false">
      <c r="A417" s="12"/>
      <c r="B417" s="34"/>
      <c r="C417" s="12"/>
      <c r="D417" s="12"/>
      <c r="E417" s="12"/>
      <c r="F417" s="12"/>
      <c r="G417" s="18"/>
      <c r="H417" s="35"/>
      <c r="I417" s="12"/>
      <c r="M417" s="12"/>
      <c r="N417" s="18"/>
      <c r="O417" s="12"/>
      <c r="P417" s="12"/>
      <c r="Q417" s="12"/>
      <c r="R417" s="36"/>
      <c r="S417" s="36"/>
      <c r="T417" s="12"/>
      <c r="U417" s="12"/>
      <c r="V417" s="12"/>
      <c r="W417" s="12"/>
      <c r="X417" s="12"/>
    </row>
    <row r="418" customFormat="false" ht="15.75" hidden="false" customHeight="false" outlineLevel="0" collapsed="false">
      <c r="A418" s="12"/>
      <c r="B418" s="34"/>
      <c r="C418" s="12"/>
      <c r="D418" s="12"/>
      <c r="E418" s="12"/>
      <c r="F418" s="12"/>
      <c r="G418" s="18"/>
      <c r="H418" s="35"/>
      <c r="I418" s="12"/>
      <c r="M418" s="12"/>
      <c r="N418" s="18"/>
      <c r="O418" s="12"/>
      <c r="P418" s="12"/>
      <c r="Q418" s="12"/>
      <c r="R418" s="36"/>
      <c r="S418" s="36"/>
      <c r="T418" s="12"/>
      <c r="U418" s="12"/>
      <c r="V418" s="12"/>
      <c r="W418" s="12"/>
      <c r="X418" s="12"/>
    </row>
    <row r="419" customFormat="false" ht="15.75" hidden="false" customHeight="false" outlineLevel="0" collapsed="false">
      <c r="A419" s="12"/>
      <c r="B419" s="34"/>
      <c r="C419" s="12"/>
      <c r="D419" s="12"/>
      <c r="E419" s="12"/>
      <c r="F419" s="12"/>
      <c r="G419" s="18"/>
      <c r="H419" s="35"/>
      <c r="I419" s="12"/>
      <c r="M419" s="12"/>
      <c r="N419" s="18"/>
      <c r="O419" s="12"/>
      <c r="P419" s="12"/>
      <c r="Q419" s="12"/>
      <c r="R419" s="36"/>
      <c r="S419" s="36"/>
      <c r="T419" s="12"/>
      <c r="U419" s="12"/>
      <c r="V419" s="12"/>
      <c r="W419" s="12"/>
      <c r="X419" s="12"/>
    </row>
    <row r="420" customFormat="false" ht="15.75" hidden="false" customHeight="false" outlineLevel="0" collapsed="false">
      <c r="A420" s="12"/>
      <c r="B420" s="34"/>
      <c r="C420" s="12"/>
      <c r="D420" s="12"/>
      <c r="E420" s="12"/>
      <c r="F420" s="12"/>
      <c r="G420" s="18"/>
      <c r="H420" s="35"/>
      <c r="I420" s="12"/>
      <c r="M420" s="12"/>
      <c r="N420" s="18"/>
      <c r="O420" s="12"/>
      <c r="P420" s="12"/>
      <c r="Q420" s="12"/>
      <c r="R420" s="36"/>
      <c r="S420" s="36"/>
      <c r="T420" s="12"/>
      <c r="U420" s="12"/>
      <c r="V420" s="12"/>
      <c r="W420" s="12"/>
      <c r="X420" s="12"/>
    </row>
    <row r="421" customFormat="false" ht="15.75" hidden="false" customHeight="false" outlineLevel="0" collapsed="false">
      <c r="A421" s="12"/>
      <c r="B421" s="34"/>
      <c r="C421" s="12"/>
      <c r="D421" s="12"/>
      <c r="E421" s="12"/>
      <c r="F421" s="12"/>
      <c r="G421" s="18"/>
      <c r="H421" s="35"/>
      <c r="I421" s="12"/>
      <c r="M421" s="12"/>
      <c r="N421" s="18"/>
      <c r="O421" s="12"/>
      <c r="P421" s="12"/>
      <c r="Q421" s="12"/>
      <c r="R421" s="36"/>
      <c r="S421" s="36"/>
      <c r="T421" s="12"/>
      <c r="U421" s="12"/>
      <c r="V421" s="12"/>
      <c r="W421" s="12"/>
      <c r="X421" s="12"/>
    </row>
    <row r="422" customFormat="false" ht="15.75" hidden="false" customHeight="false" outlineLevel="0" collapsed="false">
      <c r="A422" s="12"/>
      <c r="B422" s="34"/>
      <c r="C422" s="12"/>
      <c r="D422" s="12"/>
      <c r="E422" s="12"/>
      <c r="F422" s="12"/>
      <c r="G422" s="18"/>
      <c r="H422" s="35"/>
      <c r="I422" s="12"/>
      <c r="M422" s="12"/>
      <c r="N422" s="18"/>
      <c r="O422" s="12"/>
      <c r="P422" s="12"/>
      <c r="Q422" s="12"/>
      <c r="R422" s="36"/>
      <c r="S422" s="36"/>
      <c r="T422" s="12"/>
      <c r="U422" s="12"/>
      <c r="V422" s="12"/>
      <c r="W422" s="12"/>
      <c r="X422" s="12"/>
    </row>
    <row r="423" customFormat="false" ht="15.75" hidden="false" customHeight="false" outlineLevel="0" collapsed="false">
      <c r="A423" s="12"/>
      <c r="B423" s="34"/>
      <c r="C423" s="12"/>
      <c r="D423" s="12"/>
      <c r="E423" s="12"/>
      <c r="F423" s="12"/>
      <c r="G423" s="18"/>
      <c r="H423" s="35"/>
      <c r="I423" s="12"/>
      <c r="M423" s="12"/>
      <c r="N423" s="18"/>
      <c r="O423" s="12"/>
      <c r="P423" s="12"/>
      <c r="Q423" s="12"/>
      <c r="R423" s="36"/>
      <c r="S423" s="36"/>
      <c r="T423" s="12"/>
      <c r="U423" s="12"/>
      <c r="V423" s="12"/>
      <c r="W423" s="12"/>
      <c r="X423" s="12"/>
    </row>
    <row r="424" customFormat="false" ht="15.75" hidden="false" customHeight="false" outlineLevel="0" collapsed="false">
      <c r="A424" s="12"/>
      <c r="B424" s="34"/>
      <c r="C424" s="12"/>
      <c r="D424" s="12"/>
      <c r="E424" s="12"/>
      <c r="F424" s="12"/>
      <c r="G424" s="18"/>
      <c r="H424" s="35"/>
      <c r="I424" s="12"/>
      <c r="M424" s="12"/>
      <c r="N424" s="18"/>
      <c r="O424" s="12"/>
      <c r="P424" s="12"/>
      <c r="Q424" s="12"/>
      <c r="R424" s="36"/>
      <c r="S424" s="36"/>
      <c r="T424" s="12"/>
      <c r="U424" s="12"/>
      <c r="V424" s="12"/>
      <c r="W424" s="12"/>
      <c r="X424" s="12"/>
    </row>
    <row r="425" customFormat="false" ht="15.75" hidden="false" customHeight="false" outlineLevel="0" collapsed="false">
      <c r="A425" s="12"/>
      <c r="B425" s="34"/>
      <c r="C425" s="12"/>
      <c r="D425" s="12"/>
      <c r="E425" s="12"/>
      <c r="F425" s="12"/>
      <c r="G425" s="18"/>
      <c r="H425" s="35"/>
      <c r="I425" s="12"/>
      <c r="M425" s="12"/>
      <c r="N425" s="18"/>
      <c r="O425" s="12"/>
      <c r="P425" s="12"/>
      <c r="Q425" s="12"/>
      <c r="R425" s="36"/>
      <c r="S425" s="36"/>
      <c r="T425" s="12"/>
      <c r="U425" s="12"/>
      <c r="V425" s="12"/>
      <c r="W425" s="12"/>
      <c r="X425" s="12"/>
    </row>
    <row r="426" customFormat="false" ht="15.75" hidden="false" customHeight="false" outlineLevel="0" collapsed="false">
      <c r="A426" s="12"/>
      <c r="B426" s="34"/>
      <c r="C426" s="12"/>
      <c r="D426" s="12"/>
      <c r="E426" s="12"/>
      <c r="F426" s="12"/>
      <c r="G426" s="18"/>
      <c r="H426" s="35"/>
      <c r="I426" s="12"/>
      <c r="M426" s="12"/>
      <c r="N426" s="18"/>
      <c r="O426" s="12"/>
      <c r="P426" s="12"/>
      <c r="Q426" s="12"/>
      <c r="R426" s="36"/>
      <c r="S426" s="36"/>
      <c r="T426" s="12"/>
      <c r="U426" s="12"/>
      <c r="V426" s="12"/>
      <c r="W426" s="12"/>
      <c r="X426" s="12"/>
    </row>
    <row r="427" customFormat="false" ht="15.75" hidden="false" customHeight="false" outlineLevel="0" collapsed="false">
      <c r="A427" s="12"/>
      <c r="B427" s="34"/>
      <c r="C427" s="12"/>
      <c r="D427" s="12"/>
      <c r="E427" s="12"/>
      <c r="F427" s="12"/>
      <c r="G427" s="18"/>
      <c r="H427" s="35"/>
      <c r="I427" s="12"/>
      <c r="M427" s="12"/>
      <c r="N427" s="18"/>
      <c r="O427" s="12"/>
      <c r="P427" s="12"/>
      <c r="Q427" s="12"/>
      <c r="R427" s="36"/>
      <c r="S427" s="36"/>
      <c r="T427" s="12"/>
      <c r="U427" s="12"/>
      <c r="V427" s="12"/>
      <c r="W427" s="12"/>
      <c r="X427" s="12"/>
    </row>
    <row r="428" customFormat="false" ht="15.75" hidden="false" customHeight="false" outlineLevel="0" collapsed="false">
      <c r="A428" s="12"/>
      <c r="B428" s="34"/>
      <c r="C428" s="12"/>
      <c r="D428" s="12"/>
      <c r="E428" s="12"/>
      <c r="F428" s="12"/>
      <c r="G428" s="18"/>
      <c r="H428" s="35"/>
      <c r="I428" s="12"/>
      <c r="M428" s="12"/>
      <c r="N428" s="18"/>
      <c r="O428" s="12"/>
      <c r="P428" s="12"/>
      <c r="Q428" s="12"/>
      <c r="R428" s="36"/>
      <c r="S428" s="36"/>
      <c r="T428" s="12"/>
      <c r="U428" s="12"/>
      <c r="V428" s="12"/>
      <c r="W428" s="12"/>
      <c r="X428" s="12"/>
    </row>
    <row r="429" customFormat="false" ht="15.75" hidden="false" customHeight="false" outlineLevel="0" collapsed="false">
      <c r="A429" s="12"/>
      <c r="B429" s="34"/>
      <c r="C429" s="12"/>
      <c r="D429" s="12"/>
      <c r="E429" s="12"/>
      <c r="F429" s="12"/>
      <c r="G429" s="18"/>
      <c r="H429" s="35"/>
      <c r="I429" s="12"/>
      <c r="M429" s="12"/>
      <c r="N429" s="18"/>
      <c r="O429" s="12"/>
      <c r="P429" s="12"/>
      <c r="Q429" s="12"/>
      <c r="R429" s="36"/>
      <c r="S429" s="36"/>
      <c r="T429" s="12"/>
      <c r="U429" s="12"/>
      <c r="V429" s="12"/>
      <c r="W429" s="12"/>
      <c r="X429" s="12"/>
    </row>
    <row r="430" customFormat="false" ht="15.75" hidden="false" customHeight="false" outlineLevel="0" collapsed="false">
      <c r="A430" s="12"/>
      <c r="B430" s="34"/>
      <c r="C430" s="12"/>
      <c r="D430" s="12"/>
      <c r="E430" s="12"/>
      <c r="F430" s="12"/>
      <c r="G430" s="18"/>
      <c r="H430" s="35"/>
      <c r="I430" s="12"/>
      <c r="M430" s="12"/>
      <c r="N430" s="18"/>
      <c r="O430" s="12"/>
      <c r="P430" s="12"/>
      <c r="Q430" s="12"/>
      <c r="R430" s="36"/>
      <c r="S430" s="36"/>
      <c r="T430" s="12"/>
      <c r="U430" s="12"/>
      <c r="V430" s="12"/>
      <c r="W430" s="12"/>
      <c r="X430" s="12"/>
    </row>
    <row r="431" customFormat="false" ht="15.75" hidden="false" customHeight="false" outlineLevel="0" collapsed="false">
      <c r="A431" s="12"/>
      <c r="B431" s="34"/>
      <c r="C431" s="12"/>
      <c r="D431" s="12"/>
      <c r="E431" s="12"/>
      <c r="F431" s="12"/>
      <c r="G431" s="18"/>
      <c r="H431" s="35"/>
      <c r="I431" s="12"/>
      <c r="M431" s="12"/>
      <c r="N431" s="18"/>
      <c r="O431" s="12"/>
      <c r="P431" s="12"/>
      <c r="Q431" s="12"/>
      <c r="R431" s="36"/>
      <c r="S431" s="36"/>
      <c r="T431" s="12"/>
      <c r="U431" s="12"/>
      <c r="V431" s="12"/>
      <c r="W431" s="12"/>
      <c r="X431" s="12"/>
    </row>
    <row r="432" customFormat="false" ht="15.75" hidden="false" customHeight="false" outlineLevel="0" collapsed="false">
      <c r="A432" s="12"/>
      <c r="B432" s="34"/>
      <c r="C432" s="12"/>
      <c r="D432" s="12"/>
      <c r="E432" s="12"/>
      <c r="F432" s="12"/>
      <c r="G432" s="18"/>
      <c r="H432" s="35"/>
      <c r="I432" s="12"/>
      <c r="M432" s="12"/>
      <c r="N432" s="18"/>
      <c r="O432" s="12"/>
      <c r="P432" s="12"/>
      <c r="Q432" s="12"/>
      <c r="R432" s="36"/>
      <c r="S432" s="36"/>
      <c r="T432" s="12"/>
      <c r="U432" s="12"/>
      <c r="V432" s="12"/>
      <c r="W432" s="12"/>
      <c r="X432" s="12"/>
    </row>
    <row r="433" customFormat="false" ht="15.75" hidden="false" customHeight="false" outlineLevel="0" collapsed="false">
      <c r="A433" s="12"/>
      <c r="B433" s="34"/>
      <c r="C433" s="12"/>
      <c r="D433" s="12"/>
      <c r="E433" s="12"/>
      <c r="F433" s="12"/>
      <c r="G433" s="18"/>
      <c r="H433" s="35"/>
      <c r="I433" s="12"/>
      <c r="M433" s="12"/>
      <c r="N433" s="18"/>
      <c r="O433" s="12"/>
      <c r="P433" s="12"/>
      <c r="Q433" s="12"/>
      <c r="R433" s="36"/>
      <c r="S433" s="36"/>
      <c r="T433" s="12"/>
      <c r="U433" s="12"/>
      <c r="V433" s="12"/>
      <c r="W433" s="12"/>
      <c r="X433" s="12"/>
    </row>
    <row r="434" customFormat="false" ht="15.75" hidden="false" customHeight="false" outlineLevel="0" collapsed="false">
      <c r="A434" s="12"/>
      <c r="B434" s="34"/>
      <c r="C434" s="12"/>
      <c r="D434" s="12"/>
      <c r="E434" s="12"/>
      <c r="F434" s="12"/>
      <c r="G434" s="18"/>
      <c r="H434" s="35"/>
      <c r="I434" s="12"/>
      <c r="M434" s="12"/>
      <c r="N434" s="18"/>
      <c r="O434" s="12"/>
      <c r="P434" s="12"/>
      <c r="Q434" s="12"/>
      <c r="R434" s="36"/>
      <c r="S434" s="36"/>
      <c r="T434" s="12"/>
      <c r="U434" s="12"/>
      <c r="V434" s="12"/>
      <c r="W434" s="12"/>
      <c r="X434" s="12"/>
    </row>
    <row r="435" customFormat="false" ht="15.75" hidden="false" customHeight="false" outlineLevel="0" collapsed="false">
      <c r="A435" s="12"/>
      <c r="B435" s="34"/>
      <c r="C435" s="12"/>
      <c r="D435" s="12"/>
      <c r="E435" s="12"/>
      <c r="F435" s="12"/>
      <c r="G435" s="18"/>
      <c r="H435" s="35"/>
      <c r="I435" s="12"/>
      <c r="M435" s="12"/>
      <c r="N435" s="18"/>
      <c r="O435" s="12"/>
      <c r="P435" s="12"/>
      <c r="Q435" s="12"/>
      <c r="R435" s="36"/>
      <c r="S435" s="36"/>
      <c r="T435" s="12"/>
      <c r="U435" s="12"/>
      <c r="V435" s="12"/>
      <c r="W435" s="12"/>
      <c r="X435" s="12"/>
    </row>
    <row r="436" customFormat="false" ht="15.75" hidden="false" customHeight="false" outlineLevel="0" collapsed="false">
      <c r="A436" s="12"/>
      <c r="B436" s="34"/>
      <c r="C436" s="12"/>
      <c r="D436" s="12"/>
      <c r="E436" s="12"/>
      <c r="F436" s="12"/>
      <c r="G436" s="18"/>
      <c r="H436" s="35"/>
      <c r="I436" s="12"/>
      <c r="M436" s="12"/>
      <c r="N436" s="18"/>
      <c r="O436" s="12"/>
      <c r="P436" s="12"/>
      <c r="Q436" s="12"/>
      <c r="R436" s="36"/>
      <c r="S436" s="36"/>
      <c r="T436" s="12"/>
      <c r="U436" s="12"/>
      <c r="V436" s="12"/>
      <c r="W436" s="12"/>
      <c r="X436" s="12"/>
    </row>
    <row r="437" customFormat="false" ht="15.75" hidden="false" customHeight="false" outlineLevel="0" collapsed="false">
      <c r="A437" s="12"/>
      <c r="B437" s="34"/>
      <c r="C437" s="12"/>
      <c r="D437" s="12"/>
      <c r="E437" s="12"/>
      <c r="F437" s="12"/>
      <c r="G437" s="18"/>
      <c r="H437" s="35"/>
      <c r="I437" s="12"/>
      <c r="M437" s="12"/>
      <c r="N437" s="18"/>
      <c r="O437" s="12"/>
      <c r="P437" s="12"/>
      <c r="Q437" s="12"/>
      <c r="R437" s="36"/>
      <c r="S437" s="36"/>
      <c r="T437" s="12"/>
      <c r="U437" s="12"/>
      <c r="V437" s="12"/>
      <c r="W437" s="12"/>
      <c r="X437" s="12"/>
    </row>
    <row r="438" customFormat="false" ht="15.75" hidden="false" customHeight="false" outlineLevel="0" collapsed="false">
      <c r="A438" s="12"/>
      <c r="B438" s="34"/>
      <c r="C438" s="12"/>
      <c r="D438" s="12"/>
      <c r="E438" s="12"/>
      <c r="F438" s="12"/>
      <c r="G438" s="18"/>
      <c r="H438" s="35"/>
      <c r="I438" s="12"/>
      <c r="M438" s="12"/>
      <c r="N438" s="18"/>
      <c r="O438" s="12"/>
      <c r="P438" s="12"/>
      <c r="Q438" s="12"/>
      <c r="R438" s="36"/>
      <c r="S438" s="36"/>
      <c r="T438" s="12"/>
      <c r="U438" s="12"/>
      <c r="V438" s="12"/>
      <c r="W438" s="12"/>
      <c r="X438" s="12"/>
    </row>
    <row r="439" customFormat="false" ht="15.75" hidden="false" customHeight="false" outlineLevel="0" collapsed="false">
      <c r="A439" s="12"/>
      <c r="B439" s="34"/>
      <c r="C439" s="12"/>
      <c r="D439" s="12"/>
      <c r="E439" s="12"/>
      <c r="F439" s="12"/>
      <c r="G439" s="18"/>
      <c r="H439" s="35"/>
      <c r="I439" s="12"/>
      <c r="M439" s="12"/>
      <c r="N439" s="18"/>
      <c r="O439" s="12"/>
      <c r="P439" s="12"/>
      <c r="Q439" s="12"/>
      <c r="R439" s="36"/>
      <c r="S439" s="36"/>
      <c r="T439" s="12"/>
      <c r="U439" s="12"/>
      <c r="V439" s="12"/>
      <c r="W439" s="12"/>
      <c r="X439" s="12"/>
    </row>
    <row r="440" customFormat="false" ht="15.75" hidden="false" customHeight="false" outlineLevel="0" collapsed="false">
      <c r="A440" s="12"/>
      <c r="B440" s="34"/>
      <c r="C440" s="12"/>
      <c r="D440" s="12"/>
      <c r="E440" s="12"/>
      <c r="F440" s="12"/>
      <c r="G440" s="18"/>
      <c r="H440" s="35"/>
      <c r="I440" s="12"/>
      <c r="M440" s="12"/>
      <c r="N440" s="18"/>
      <c r="O440" s="12"/>
      <c r="P440" s="12"/>
      <c r="Q440" s="12"/>
      <c r="R440" s="36"/>
      <c r="S440" s="36"/>
      <c r="T440" s="12"/>
      <c r="U440" s="12"/>
      <c r="V440" s="12"/>
      <c r="W440" s="12"/>
      <c r="X440" s="12"/>
    </row>
    <row r="441" customFormat="false" ht="15.75" hidden="false" customHeight="false" outlineLevel="0" collapsed="false">
      <c r="A441" s="12"/>
      <c r="B441" s="34"/>
      <c r="C441" s="12"/>
      <c r="D441" s="12"/>
      <c r="E441" s="12"/>
      <c r="F441" s="12"/>
      <c r="G441" s="18"/>
      <c r="H441" s="35"/>
      <c r="I441" s="12"/>
      <c r="M441" s="12"/>
      <c r="N441" s="18"/>
      <c r="O441" s="12"/>
      <c r="P441" s="12"/>
      <c r="Q441" s="12"/>
      <c r="R441" s="36"/>
      <c r="S441" s="36"/>
      <c r="T441" s="12"/>
      <c r="U441" s="12"/>
      <c r="V441" s="12"/>
      <c r="W441" s="12"/>
      <c r="X441" s="12"/>
    </row>
    <row r="442" customFormat="false" ht="15.75" hidden="false" customHeight="false" outlineLevel="0" collapsed="false">
      <c r="A442" s="12"/>
      <c r="B442" s="34"/>
      <c r="C442" s="12"/>
      <c r="D442" s="12"/>
      <c r="E442" s="12"/>
      <c r="F442" s="12"/>
      <c r="G442" s="18"/>
      <c r="H442" s="35"/>
      <c r="I442" s="12"/>
      <c r="M442" s="12"/>
      <c r="N442" s="18"/>
      <c r="O442" s="12"/>
      <c r="P442" s="12"/>
      <c r="Q442" s="12"/>
      <c r="R442" s="36"/>
      <c r="S442" s="36"/>
      <c r="T442" s="12"/>
      <c r="U442" s="12"/>
      <c r="V442" s="12"/>
      <c r="W442" s="12"/>
      <c r="X442" s="12"/>
    </row>
    <row r="443" customFormat="false" ht="15.75" hidden="false" customHeight="false" outlineLevel="0" collapsed="false">
      <c r="A443" s="12"/>
      <c r="B443" s="34"/>
      <c r="C443" s="12"/>
      <c r="D443" s="12"/>
      <c r="E443" s="12"/>
      <c r="F443" s="12"/>
      <c r="G443" s="18"/>
      <c r="H443" s="35"/>
      <c r="I443" s="12"/>
      <c r="M443" s="12"/>
      <c r="N443" s="18"/>
      <c r="O443" s="12"/>
      <c r="P443" s="12"/>
      <c r="Q443" s="12"/>
      <c r="R443" s="36"/>
      <c r="S443" s="36"/>
      <c r="T443" s="12"/>
      <c r="U443" s="12"/>
      <c r="V443" s="12"/>
      <c r="W443" s="12"/>
      <c r="X443" s="12"/>
    </row>
    <row r="444" customFormat="false" ht="15.75" hidden="false" customHeight="false" outlineLevel="0" collapsed="false">
      <c r="A444" s="12"/>
      <c r="B444" s="34"/>
      <c r="C444" s="12"/>
      <c r="D444" s="12"/>
      <c r="E444" s="12"/>
      <c r="F444" s="12"/>
      <c r="G444" s="18"/>
      <c r="H444" s="35"/>
      <c r="I444" s="12"/>
      <c r="M444" s="12"/>
      <c r="N444" s="18"/>
      <c r="O444" s="12"/>
      <c r="P444" s="12"/>
      <c r="Q444" s="12"/>
      <c r="R444" s="36"/>
      <c r="S444" s="36"/>
      <c r="T444" s="12"/>
      <c r="U444" s="12"/>
      <c r="V444" s="12"/>
      <c r="W444" s="12"/>
      <c r="X444" s="12"/>
    </row>
    <row r="445" customFormat="false" ht="15.75" hidden="false" customHeight="false" outlineLevel="0" collapsed="false">
      <c r="A445" s="12"/>
      <c r="B445" s="34"/>
      <c r="C445" s="12"/>
      <c r="D445" s="12"/>
      <c r="E445" s="12"/>
      <c r="F445" s="12"/>
      <c r="G445" s="18"/>
      <c r="H445" s="35"/>
      <c r="I445" s="12"/>
      <c r="M445" s="12"/>
      <c r="N445" s="18"/>
      <c r="O445" s="12"/>
      <c r="P445" s="12"/>
      <c r="Q445" s="12"/>
      <c r="R445" s="36"/>
      <c r="S445" s="36"/>
      <c r="T445" s="12"/>
      <c r="U445" s="12"/>
      <c r="V445" s="12"/>
      <c r="W445" s="12"/>
      <c r="X445" s="12"/>
    </row>
    <row r="446" customFormat="false" ht="15.75" hidden="false" customHeight="false" outlineLevel="0" collapsed="false">
      <c r="A446" s="12"/>
      <c r="B446" s="34"/>
      <c r="C446" s="12"/>
      <c r="D446" s="12"/>
      <c r="E446" s="12"/>
      <c r="F446" s="12"/>
      <c r="G446" s="18"/>
      <c r="H446" s="35"/>
      <c r="I446" s="12"/>
      <c r="M446" s="12"/>
      <c r="N446" s="18"/>
      <c r="O446" s="12"/>
      <c r="P446" s="12"/>
      <c r="Q446" s="12"/>
      <c r="R446" s="36"/>
      <c r="S446" s="36"/>
      <c r="T446" s="12"/>
      <c r="U446" s="12"/>
      <c r="V446" s="12"/>
      <c r="W446" s="12"/>
      <c r="X446" s="12"/>
    </row>
    <row r="447" customFormat="false" ht="15.75" hidden="false" customHeight="false" outlineLevel="0" collapsed="false">
      <c r="A447" s="12"/>
      <c r="B447" s="34"/>
      <c r="C447" s="12"/>
      <c r="D447" s="12"/>
      <c r="E447" s="12"/>
      <c r="F447" s="12"/>
      <c r="G447" s="18"/>
      <c r="H447" s="35"/>
      <c r="I447" s="12"/>
      <c r="M447" s="12"/>
      <c r="N447" s="18"/>
      <c r="O447" s="12"/>
      <c r="P447" s="12"/>
      <c r="Q447" s="12"/>
      <c r="R447" s="36"/>
      <c r="S447" s="36"/>
      <c r="T447" s="12"/>
      <c r="U447" s="12"/>
      <c r="V447" s="12"/>
      <c r="W447" s="12"/>
      <c r="X447" s="12"/>
    </row>
    <row r="448" customFormat="false" ht="15.75" hidden="false" customHeight="false" outlineLevel="0" collapsed="false">
      <c r="A448" s="12"/>
      <c r="B448" s="34"/>
      <c r="C448" s="12"/>
      <c r="D448" s="12"/>
      <c r="E448" s="12"/>
      <c r="F448" s="12"/>
      <c r="G448" s="18"/>
      <c r="H448" s="35"/>
      <c r="I448" s="12"/>
      <c r="M448" s="12"/>
      <c r="N448" s="18"/>
      <c r="O448" s="12"/>
      <c r="P448" s="12"/>
      <c r="Q448" s="12"/>
      <c r="R448" s="36"/>
      <c r="S448" s="36"/>
      <c r="T448" s="12"/>
      <c r="U448" s="12"/>
      <c r="V448" s="12"/>
      <c r="W448" s="12"/>
      <c r="X448" s="12"/>
    </row>
    <row r="449" customFormat="false" ht="15.75" hidden="false" customHeight="false" outlineLevel="0" collapsed="false">
      <c r="A449" s="12"/>
      <c r="B449" s="34"/>
      <c r="C449" s="12"/>
      <c r="D449" s="12"/>
      <c r="E449" s="12"/>
      <c r="F449" s="12"/>
      <c r="G449" s="18"/>
      <c r="H449" s="35"/>
      <c r="I449" s="12"/>
      <c r="M449" s="12"/>
      <c r="N449" s="18"/>
      <c r="O449" s="12"/>
      <c r="P449" s="12"/>
      <c r="Q449" s="12"/>
      <c r="R449" s="36"/>
      <c r="S449" s="36"/>
      <c r="T449" s="12"/>
      <c r="U449" s="12"/>
      <c r="V449" s="12"/>
      <c r="W449" s="12"/>
      <c r="X449" s="12"/>
    </row>
    <row r="450" customFormat="false" ht="15.75" hidden="false" customHeight="false" outlineLevel="0" collapsed="false">
      <c r="A450" s="12"/>
      <c r="B450" s="34"/>
      <c r="C450" s="12"/>
      <c r="D450" s="12"/>
      <c r="E450" s="12"/>
      <c r="F450" s="12"/>
      <c r="G450" s="18"/>
      <c r="H450" s="35"/>
      <c r="I450" s="12"/>
      <c r="M450" s="12"/>
      <c r="N450" s="18"/>
      <c r="O450" s="12"/>
      <c r="P450" s="12"/>
      <c r="Q450" s="12"/>
      <c r="R450" s="36"/>
      <c r="S450" s="36"/>
      <c r="T450" s="12"/>
      <c r="U450" s="12"/>
      <c r="V450" s="12"/>
      <c r="W450" s="12"/>
      <c r="X450" s="12"/>
    </row>
    <row r="451" customFormat="false" ht="15.75" hidden="false" customHeight="false" outlineLevel="0" collapsed="false">
      <c r="A451" s="12"/>
      <c r="B451" s="34"/>
      <c r="C451" s="12"/>
      <c r="D451" s="12"/>
      <c r="E451" s="12"/>
      <c r="F451" s="12"/>
      <c r="G451" s="18"/>
      <c r="H451" s="35"/>
      <c r="I451" s="12"/>
      <c r="M451" s="12"/>
      <c r="N451" s="18"/>
      <c r="O451" s="12"/>
      <c r="P451" s="12"/>
      <c r="Q451" s="12"/>
      <c r="R451" s="36"/>
      <c r="S451" s="36"/>
      <c r="T451" s="12"/>
      <c r="U451" s="12"/>
      <c r="V451" s="12"/>
      <c r="W451" s="12"/>
      <c r="X451" s="12"/>
    </row>
    <row r="452" customFormat="false" ht="15.75" hidden="false" customHeight="false" outlineLevel="0" collapsed="false">
      <c r="A452" s="12"/>
      <c r="B452" s="34"/>
      <c r="C452" s="12"/>
      <c r="D452" s="12"/>
      <c r="E452" s="12"/>
      <c r="F452" s="12"/>
      <c r="G452" s="18"/>
      <c r="H452" s="35"/>
      <c r="I452" s="12"/>
      <c r="M452" s="12"/>
      <c r="N452" s="18"/>
      <c r="O452" s="12"/>
      <c r="P452" s="12"/>
      <c r="Q452" s="12"/>
      <c r="R452" s="36"/>
      <c r="S452" s="36"/>
      <c r="T452" s="12"/>
      <c r="U452" s="12"/>
      <c r="V452" s="12"/>
      <c r="W452" s="12"/>
      <c r="X452" s="12"/>
    </row>
    <row r="453" customFormat="false" ht="15.75" hidden="false" customHeight="false" outlineLevel="0" collapsed="false">
      <c r="A453" s="12"/>
      <c r="B453" s="34"/>
      <c r="C453" s="12"/>
      <c r="D453" s="12"/>
      <c r="E453" s="12"/>
      <c r="F453" s="12"/>
      <c r="G453" s="18"/>
      <c r="H453" s="35"/>
      <c r="I453" s="12"/>
      <c r="M453" s="12"/>
      <c r="N453" s="18"/>
      <c r="O453" s="12"/>
      <c r="P453" s="12"/>
      <c r="Q453" s="12"/>
      <c r="R453" s="36"/>
      <c r="S453" s="36"/>
      <c r="T453" s="12"/>
      <c r="U453" s="12"/>
      <c r="V453" s="12"/>
      <c r="W453" s="12"/>
      <c r="X453" s="12"/>
    </row>
    <row r="454" customFormat="false" ht="15.75" hidden="false" customHeight="false" outlineLevel="0" collapsed="false">
      <c r="A454" s="12"/>
      <c r="B454" s="34"/>
      <c r="C454" s="12"/>
      <c r="D454" s="12"/>
      <c r="E454" s="12"/>
      <c r="F454" s="12"/>
      <c r="G454" s="18"/>
      <c r="H454" s="35"/>
      <c r="I454" s="12"/>
      <c r="M454" s="12"/>
      <c r="N454" s="18"/>
      <c r="O454" s="12"/>
      <c r="P454" s="12"/>
      <c r="Q454" s="12"/>
      <c r="R454" s="36"/>
      <c r="S454" s="36"/>
      <c r="T454" s="12"/>
      <c r="U454" s="12"/>
      <c r="V454" s="12"/>
      <c r="W454" s="12"/>
      <c r="X454" s="12"/>
    </row>
    <row r="455" customFormat="false" ht="15.75" hidden="false" customHeight="false" outlineLevel="0" collapsed="false">
      <c r="A455" s="12"/>
      <c r="B455" s="34"/>
      <c r="C455" s="12"/>
      <c r="D455" s="12"/>
      <c r="E455" s="12"/>
      <c r="F455" s="12"/>
      <c r="G455" s="18"/>
      <c r="H455" s="35"/>
      <c r="I455" s="12"/>
      <c r="M455" s="12"/>
      <c r="N455" s="18"/>
      <c r="O455" s="12"/>
      <c r="P455" s="12"/>
      <c r="Q455" s="12"/>
      <c r="R455" s="36"/>
      <c r="S455" s="36"/>
      <c r="T455" s="12"/>
      <c r="U455" s="12"/>
      <c r="V455" s="12"/>
      <c r="W455" s="12"/>
      <c r="X455" s="12"/>
    </row>
    <row r="456" customFormat="false" ht="15.75" hidden="false" customHeight="false" outlineLevel="0" collapsed="false">
      <c r="A456" s="12"/>
      <c r="B456" s="34"/>
      <c r="C456" s="12"/>
      <c r="D456" s="12"/>
      <c r="E456" s="12"/>
      <c r="F456" s="12"/>
      <c r="G456" s="18"/>
      <c r="H456" s="35"/>
      <c r="I456" s="12"/>
      <c r="M456" s="12"/>
      <c r="N456" s="18"/>
      <c r="O456" s="12"/>
      <c r="P456" s="12"/>
      <c r="Q456" s="12"/>
      <c r="R456" s="36"/>
      <c r="S456" s="36"/>
      <c r="T456" s="12"/>
      <c r="U456" s="12"/>
      <c r="V456" s="12"/>
      <c r="W456" s="12"/>
      <c r="X456" s="12"/>
    </row>
    <row r="457" customFormat="false" ht="15.75" hidden="false" customHeight="false" outlineLevel="0" collapsed="false">
      <c r="A457" s="12"/>
      <c r="B457" s="34"/>
      <c r="C457" s="12"/>
      <c r="D457" s="12"/>
      <c r="E457" s="12"/>
      <c r="F457" s="12"/>
      <c r="G457" s="18"/>
      <c r="H457" s="35"/>
      <c r="I457" s="12"/>
      <c r="M457" s="12"/>
      <c r="N457" s="18"/>
      <c r="O457" s="12"/>
      <c r="P457" s="12"/>
      <c r="Q457" s="12"/>
      <c r="R457" s="36"/>
      <c r="S457" s="36"/>
      <c r="T457" s="12"/>
      <c r="U457" s="12"/>
      <c r="V457" s="12"/>
      <c r="W457" s="12"/>
      <c r="X457" s="12"/>
    </row>
    <row r="458" customFormat="false" ht="15.75" hidden="false" customHeight="false" outlineLevel="0" collapsed="false">
      <c r="A458" s="12"/>
      <c r="B458" s="34"/>
      <c r="C458" s="12"/>
      <c r="D458" s="12"/>
      <c r="E458" s="12"/>
      <c r="F458" s="12"/>
      <c r="G458" s="18"/>
      <c r="H458" s="35"/>
      <c r="I458" s="12"/>
      <c r="M458" s="12"/>
      <c r="N458" s="18"/>
      <c r="O458" s="12"/>
      <c r="P458" s="12"/>
      <c r="Q458" s="12"/>
      <c r="R458" s="36"/>
      <c r="S458" s="36"/>
      <c r="T458" s="12"/>
      <c r="U458" s="12"/>
      <c r="V458" s="12"/>
      <c r="W458" s="12"/>
      <c r="X458" s="12"/>
    </row>
    <row r="459" customFormat="false" ht="15.75" hidden="false" customHeight="false" outlineLevel="0" collapsed="false">
      <c r="A459" s="12"/>
      <c r="B459" s="34"/>
      <c r="C459" s="12"/>
      <c r="D459" s="12"/>
      <c r="E459" s="12"/>
      <c r="F459" s="12"/>
      <c r="G459" s="18"/>
      <c r="H459" s="35"/>
      <c r="I459" s="12"/>
      <c r="M459" s="12"/>
      <c r="N459" s="18"/>
      <c r="O459" s="12"/>
      <c r="P459" s="12"/>
      <c r="Q459" s="12"/>
      <c r="R459" s="36"/>
      <c r="S459" s="36"/>
      <c r="T459" s="12"/>
      <c r="U459" s="12"/>
      <c r="V459" s="12"/>
      <c r="W459" s="12"/>
      <c r="X459" s="12"/>
    </row>
    <row r="460" customFormat="false" ht="15.75" hidden="false" customHeight="false" outlineLevel="0" collapsed="false">
      <c r="A460" s="12"/>
      <c r="B460" s="34"/>
      <c r="C460" s="12"/>
      <c r="D460" s="12"/>
      <c r="E460" s="12"/>
      <c r="F460" s="12"/>
      <c r="G460" s="18"/>
      <c r="H460" s="35"/>
      <c r="I460" s="12"/>
      <c r="M460" s="12"/>
      <c r="N460" s="18"/>
      <c r="O460" s="12"/>
      <c r="P460" s="12"/>
      <c r="Q460" s="12"/>
      <c r="R460" s="36"/>
      <c r="S460" s="36"/>
      <c r="T460" s="12"/>
      <c r="U460" s="12"/>
      <c r="V460" s="12"/>
      <c r="W460" s="12"/>
      <c r="X460" s="12"/>
    </row>
    <row r="461" customFormat="false" ht="15.75" hidden="false" customHeight="false" outlineLevel="0" collapsed="false">
      <c r="A461" s="12"/>
      <c r="B461" s="34"/>
      <c r="C461" s="12"/>
      <c r="D461" s="12"/>
      <c r="E461" s="12"/>
      <c r="F461" s="12"/>
      <c r="G461" s="18"/>
      <c r="H461" s="35"/>
      <c r="I461" s="12"/>
      <c r="M461" s="12"/>
      <c r="N461" s="18"/>
      <c r="O461" s="12"/>
      <c r="P461" s="12"/>
      <c r="Q461" s="12"/>
      <c r="R461" s="36"/>
      <c r="S461" s="36"/>
      <c r="T461" s="12"/>
      <c r="U461" s="12"/>
      <c r="V461" s="12"/>
      <c r="W461" s="12"/>
      <c r="X461" s="12"/>
    </row>
    <row r="462" customFormat="false" ht="15.75" hidden="false" customHeight="false" outlineLevel="0" collapsed="false">
      <c r="A462" s="12"/>
      <c r="B462" s="34"/>
      <c r="C462" s="12"/>
      <c r="D462" s="12"/>
      <c r="E462" s="12"/>
      <c r="F462" s="12"/>
      <c r="G462" s="18"/>
      <c r="H462" s="35"/>
      <c r="I462" s="12"/>
      <c r="M462" s="12"/>
      <c r="N462" s="18"/>
      <c r="O462" s="12"/>
      <c r="P462" s="12"/>
      <c r="Q462" s="12"/>
      <c r="R462" s="36"/>
      <c r="S462" s="36"/>
      <c r="T462" s="12"/>
      <c r="U462" s="12"/>
      <c r="V462" s="12"/>
      <c r="W462" s="12"/>
      <c r="X462" s="12"/>
    </row>
    <row r="463" customFormat="false" ht="15.75" hidden="false" customHeight="false" outlineLevel="0" collapsed="false">
      <c r="A463" s="12"/>
      <c r="B463" s="34"/>
      <c r="C463" s="12"/>
      <c r="D463" s="12"/>
      <c r="E463" s="12"/>
      <c r="F463" s="12"/>
      <c r="G463" s="18"/>
      <c r="H463" s="35"/>
      <c r="I463" s="12"/>
      <c r="M463" s="12"/>
      <c r="N463" s="18"/>
      <c r="O463" s="12"/>
      <c r="P463" s="12"/>
      <c r="Q463" s="12"/>
      <c r="R463" s="36"/>
      <c r="S463" s="36"/>
      <c r="T463" s="12"/>
      <c r="U463" s="12"/>
      <c r="V463" s="12"/>
      <c r="W463" s="12"/>
      <c r="X463" s="12"/>
    </row>
    <row r="464" customFormat="false" ht="15.75" hidden="false" customHeight="false" outlineLevel="0" collapsed="false">
      <c r="A464" s="12"/>
      <c r="B464" s="34"/>
      <c r="C464" s="12"/>
      <c r="D464" s="12"/>
      <c r="E464" s="12"/>
      <c r="F464" s="12"/>
      <c r="G464" s="18"/>
      <c r="H464" s="35"/>
      <c r="I464" s="12"/>
      <c r="M464" s="12"/>
      <c r="N464" s="18"/>
      <c r="O464" s="12"/>
      <c r="P464" s="12"/>
      <c r="Q464" s="12"/>
      <c r="R464" s="36"/>
      <c r="S464" s="36"/>
      <c r="T464" s="12"/>
      <c r="U464" s="12"/>
      <c r="V464" s="12"/>
      <c r="W464" s="12"/>
      <c r="X464" s="12"/>
    </row>
    <row r="465" customFormat="false" ht="15.75" hidden="false" customHeight="false" outlineLevel="0" collapsed="false">
      <c r="A465" s="12"/>
      <c r="B465" s="34"/>
      <c r="C465" s="12"/>
      <c r="D465" s="12"/>
      <c r="E465" s="12"/>
      <c r="F465" s="12"/>
      <c r="G465" s="18"/>
      <c r="H465" s="35"/>
      <c r="I465" s="12"/>
      <c r="M465" s="12"/>
      <c r="N465" s="18"/>
      <c r="O465" s="12"/>
      <c r="P465" s="12"/>
      <c r="Q465" s="12"/>
      <c r="R465" s="36"/>
      <c r="S465" s="36"/>
      <c r="T465" s="12"/>
      <c r="U465" s="12"/>
      <c r="V465" s="12"/>
      <c r="W465" s="12"/>
      <c r="X465" s="12"/>
    </row>
    <row r="466" customFormat="false" ht="15.75" hidden="false" customHeight="false" outlineLevel="0" collapsed="false">
      <c r="A466" s="12"/>
      <c r="B466" s="34"/>
      <c r="C466" s="12"/>
      <c r="D466" s="12"/>
      <c r="E466" s="12"/>
      <c r="F466" s="12"/>
      <c r="G466" s="18"/>
      <c r="H466" s="35"/>
      <c r="I466" s="12"/>
      <c r="M466" s="12"/>
      <c r="N466" s="18"/>
      <c r="O466" s="12"/>
      <c r="P466" s="12"/>
      <c r="Q466" s="12"/>
      <c r="R466" s="36"/>
      <c r="S466" s="36"/>
      <c r="T466" s="12"/>
      <c r="U466" s="12"/>
      <c r="V466" s="12"/>
      <c r="W466" s="12"/>
      <c r="X466" s="12"/>
    </row>
    <row r="467" customFormat="false" ht="15.75" hidden="false" customHeight="false" outlineLevel="0" collapsed="false">
      <c r="A467" s="12"/>
      <c r="B467" s="34"/>
      <c r="C467" s="12"/>
      <c r="D467" s="12"/>
      <c r="E467" s="12"/>
      <c r="F467" s="12"/>
      <c r="G467" s="18"/>
      <c r="H467" s="35"/>
      <c r="I467" s="12"/>
      <c r="M467" s="12"/>
      <c r="N467" s="18"/>
      <c r="O467" s="12"/>
      <c r="P467" s="12"/>
      <c r="Q467" s="12"/>
      <c r="R467" s="36"/>
      <c r="S467" s="36"/>
      <c r="T467" s="12"/>
      <c r="U467" s="12"/>
      <c r="V467" s="12"/>
      <c r="W467" s="12"/>
      <c r="X467" s="12"/>
    </row>
    <row r="468" customFormat="false" ht="15.75" hidden="false" customHeight="false" outlineLevel="0" collapsed="false">
      <c r="A468" s="12"/>
      <c r="B468" s="34"/>
      <c r="C468" s="12"/>
      <c r="D468" s="12"/>
      <c r="E468" s="12"/>
      <c r="F468" s="12"/>
      <c r="G468" s="18"/>
      <c r="H468" s="35"/>
      <c r="I468" s="12"/>
      <c r="M468" s="12"/>
      <c r="N468" s="18"/>
      <c r="O468" s="12"/>
      <c r="P468" s="12"/>
      <c r="Q468" s="12"/>
      <c r="R468" s="36"/>
      <c r="S468" s="36"/>
      <c r="T468" s="12"/>
      <c r="U468" s="12"/>
      <c r="V468" s="12"/>
      <c r="W468" s="12"/>
      <c r="X468" s="12"/>
    </row>
    <row r="469" customFormat="false" ht="15.75" hidden="false" customHeight="false" outlineLevel="0" collapsed="false">
      <c r="A469" s="12"/>
      <c r="B469" s="34"/>
      <c r="C469" s="12"/>
      <c r="D469" s="12"/>
      <c r="E469" s="12"/>
      <c r="F469" s="12"/>
      <c r="G469" s="18"/>
      <c r="H469" s="35"/>
      <c r="I469" s="12"/>
      <c r="M469" s="12"/>
      <c r="N469" s="18"/>
      <c r="O469" s="12"/>
      <c r="P469" s="12"/>
      <c r="Q469" s="12"/>
      <c r="R469" s="36"/>
      <c r="S469" s="36"/>
      <c r="T469" s="12"/>
      <c r="U469" s="12"/>
      <c r="V469" s="12"/>
      <c r="W469" s="12"/>
      <c r="X469" s="12"/>
    </row>
    <row r="470" customFormat="false" ht="15.75" hidden="false" customHeight="false" outlineLevel="0" collapsed="false">
      <c r="A470" s="12"/>
      <c r="B470" s="34"/>
      <c r="C470" s="12"/>
      <c r="D470" s="12"/>
      <c r="E470" s="12"/>
      <c r="F470" s="12"/>
      <c r="G470" s="18"/>
      <c r="H470" s="35"/>
      <c r="I470" s="12"/>
      <c r="M470" s="12"/>
      <c r="N470" s="18"/>
      <c r="O470" s="12"/>
      <c r="P470" s="12"/>
      <c r="Q470" s="12"/>
      <c r="R470" s="36"/>
      <c r="S470" s="36"/>
      <c r="T470" s="12"/>
      <c r="U470" s="12"/>
      <c r="V470" s="12"/>
      <c r="W470" s="12"/>
      <c r="X470" s="12"/>
    </row>
    <row r="471" customFormat="false" ht="15.75" hidden="false" customHeight="false" outlineLevel="0" collapsed="false">
      <c r="A471" s="12"/>
      <c r="B471" s="34"/>
      <c r="C471" s="12"/>
      <c r="D471" s="12"/>
      <c r="E471" s="12"/>
      <c r="F471" s="12"/>
      <c r="G471" s="18"/>
      <c r="H471" s="35"/>
      <c r="I471" s="12"/>
      <c r="M471" s="12"/>
      <c r="N471" s="18"/>
      <c r="O471" s="12"/>
      <c r="P471" s="12"/>
      <c r="Q471" s="12"/>
      <c r="R471" s="36"/>
      <c r="S471" s="36"/>
      <c r="T471" s="12"/>
      <c r="U471" s="12"/>
      <c r="V471" s="12"/>
      <c r="W471" s="12"/>
      <c r="X471" s="12"/>
    </row>
    <row r="472" customFormat="false" ht="15.75" hidden="false" customHeight="false" outlineLevel="0" collapsed="false">
      <c r="A472" s="12"/>
      <c r="B472" s="34"/>
      <c r="C472" s="12"/>
      <c r="D472" s="12"/>
      <c r="E472" s="12"/>
      <c r="F472" s="12"/>
      <c r="G472" s="18"/>
      <c r="H472" s="35"/>
      <c r="I472" s="12"/>
      <c r="M472" s="12"/>
      <c r="N472" s="18"/>
      <c r="O472" s="12"/>
      <c r="P472" s="12"/>
      <c r="Q472" s="12"/>
      <c r="R472" s="36"/>
      <c r="S472" s="36"/>
      <c r="T472" s="12"/>
      <c r="U472" s="12"/>
      <c r="V472" s="12"/>
      <c r="W472" s="12"/>
      <c r="X472" s="12"/>
    </row>
    <row r="473" customFormat="false" ht="15.75" hidden="false" customHeight="false" outlineLevel="0" collapsed="false">
      <c r="A473" s="12"/>
      <c r="B473" s="34"/>
      <c r="C473" s="12"/>
      <c r="D473" s="12"/>
      <c r="E473" s="12"/>
      <c r="F473" s="12"/>
      <c r="G473" s="18"/>
      <c r="H473" s="35"/>
      <c r="I473" s="12"/>
      <c r="M473" s="12"/>
      <c r="N473" s="18"/>
      <c r="O473" s="12"/>
      <c r="P473" s="12"/>
      <c r="Q473" s="12"/>
      <c r="R473" s="36"/>
      <c r="S473" s="36"/>
      <c r="T473" s="12"/>
      <c r="U473" s="12"/>
      <c r="V473" s="12"/>
      <c r="W473" s="12"/>
      <c r="X473" s="12"/>
    </row>
    <row r="474" customFormat="false" ht="15.75" hidden="false" customHeight="false" outlineLevel="0" collapsed="false">
      <c r="A474" s="12"/>
      <c r="B474" s="34"/>
      <c r="C474" s="12"/>
      <c r="D474" s="12"/>
      <c r="E474" s="12"/>
      <c r="F474" s="12"/>
      <c r="G474" s="18"/>
      <c r="H474" s="35"/>
      <c r="I474" s="12"/>
      <c r="M474" s="12"/>
      <c r="N474" s="18"/>
      <c r="O474" s="12"/>
      <c r="P474" s="12"/>
      <c r="Q474" s="12"/>
      <c r="R474" s="36"/>
      <c r="S474" s="36"/>
      <c r="T474" s="12"/>
      <c r="U474" s="12"/>
      <c r="V474" s="12"/>
      <c r="W474" s="12"/>
      <c r="X474" s="12"/>
    </row>
    <row r="475" customFormat="false" ht="15.75" hidden="false" customHeight="false" outlineLevel="0" collapsed="false">
      <c r="A475" s="12"/>
      <c r="B475" s="34"/>
      <c r="C475" s="12"/>
      <c r="D475" s="12"/>
      <c r="E475" s="12"/>
      <c r="F475" s="12"/>
      <c r="G475" s="18"/>
      <c r="H475" s="35"/>
      <c r="I475" s="12"/>
      <c r="M475" s="12"/>
      <c r="N475" s="18"/>
      <c r="O475" s="12"/>
      <c r="P475" s="12"/>
      <c r="Q475" s="12"/>
      <c r="R475" s="36"/>
      <c r="S475" s="36"/>
      <c r="T475" s="12"/>
      <c r="U475" s="12"/>
      <c r="V475" s="12"/>
      <c r="W475" s="12"/>
      <c r="X475" s="12"/>
    </row>
    <row r="476" customFormat="false" ht="15.75" hidden="false" customHeight="false" outlineLevel="0" collapsed="false">
      <c r="A476" s="12"/>
      <c r="B476" s="34"/>
      <c r="C476" s="12"/>
      <c r="D476" s="12"/>
      <c r="E476" s="12"/>
      <c r="F476" s="12"/>
      <c r="G476" s="18"/>
      <c r="H476" s="35"/>
      <c r="I476" s="12"/>
      <c r="M476" s="12"/>
      <c r="N476" s="18"/>
      <c r="O476" s="12"/>
      <c r="P476" s="12"/>
      <c r="Q476" s="12"/>
      <c r="R476" s="36"/>
      <c r="S476" s="36"/>
      <c r="T476" s="12"/>
      <c r="U476" s="12"/>
      <c r="V476" s="12"/>
      <c r="W476" s="12"/>
      <c r="X476" s="12"/>
    </row>
    <row r="477" customFormat="false" ht="15.75" hidden="false" customHeight="false" outlineLevel="0" collapsed="false">
      <c r="A477" s="12"/>
      <c r="B477" s="34"/>
      <c r="C477" s="12"/>
      <c r="D477" s="12"/>
      <c r="E477" s="12"/>
      <c r="F477" s="12"/>
      <c r="G477" s="18"/>
      <c r="H477" s="35"/>
      <c r="I477" s="12"/>
      <c r="M477" s="12"/>
      <c r="N477" s="18"/>
      <c r="O477" s="12"/>
      <c r="P477" s="12"/>
      <c r="Q477" s="12"/>
      <c r="R477" s="36"/>
      <c r="S477" s="36"/>
      <c r="T477" s="12"/>
      <c r="U477" s="12"/>
      <c r="V477" s="12"/>
      <c r="W477" s="12"/>
      <c r="X477" s="12"/>
    </row>
    <row r="478" customFormat="false" ht="15.75" hidden="false" customHeight="false" outlineLevel="0" collapsed="false">
      <c r="A478" s="12"/>
      <c r="B478" s="34"/>
      <c r="C478" s="12"/>
      <c r="D478" s="12"/>
      <c r="E478" s="12"/>
      <c r="F478" s="12"/>
      <c r="G478" s="18"/>
      <c r="H478" s="35"/>
      <c r="I478" s="12"/>
      <c r="M478" s="12"/>
      <c r="N478" s="18"/>
      <c r="O478" s="12"/>
      <c r="P478" s="12"/>
      <c r="Q478" s="12"/>
      <c r="R478" s="36"/>
      <c r="S478" s="36"/>
      <c r="T478" s="12"/>
      <c r="U478" s="12"/>
      <c r="V478" s="12"/>
      <c r="W478" s="12"/>
      <c r="X478" s="12"/>
    </row>
    <row r="479" customFormat="false" ht="15.75" hidden="false" customHeight="false" outlineLevel="0" collapsed="false">
      <c r="A479" s="12"/>
      <c r="B479" s="34"/>
      <c r="C479" s="12"/>
      <c r="D479" s="12"/>
      <c r="E479" s="12"/>
      <c r="F479" s="12"/>
      <c r="G479" s="18"/>
      <c r="H479" s="35"/>
      <c r="I479" s="12"/>
      <c r="M479" s="12"/>
      <c r="N479" s="18"/>
      <c r="O479" s="12"/>
      <c r="P479" s="12"/>
      <c r="Q479" s="12"/>
      <c r="R479" s="36"/>
      <c r="S479" s="36"/>
      <c r="T479" s="12"/>
      <c r="U479" s="12"/>
      <c r="V479" s="12"/>
      <c r="W479" s="12"/>
      <c r="X479" s="12"/>
    </row>
    <row r="480" customFormat="false" ht="15.75" hidden="false" customHeight="false" outlineLevel="0" collapsed="false">
      <c r="A480" s="12"/>
      <c r="B480" s="34"/>
      <c r="C480" s="12"/>
      <c r="D480" s="12"/>
      <c r="E480" s="12"/>
      <c r="F480" s="12"/>
      <c r="G480" s="18"/>
      <c r="H480" s="35"/>
      <c r="I480" s="12"/>
      <c r="M480" s="12"/>
      <c r="N480" s="18"/>
      <c r="O480" s="12"/>
      <c r="P480" s="12"/>
      <c r="Q480" s="12"/>
      <c r="R480" s="36"/>
      <c r="S480" s="36"/>
      <c r="T480" s="12"/>
      <c r="U480" s="12"/>
      <c r="V480" s="12"/>
      <c r="W480" s="12"/>
      <c r="X480" s="12"/>
    </row>
    <row r="481" customFormat="false" ht="15.75" hidden="false" customHeight="false" outlineLevel="0" collapsed="false">
      <c r="A481" s="12"/>
      <c r="B481" s="34"/>
      <c r="C481" s="12"/>
      <c r="D481" s="12"/>
      <c r="E481" s="12"/>
      <c r="F481" s="12"/>
      <c r="G481" s="18"/>
      <c r="H481" s="35"/>
      <c r="I481" s="12"/>
      <c r="M481" s="12"/>
      <c r="N481" s="18"/>
      <c r="O481" s="12"/>
      <c r="P481" s="12"/>
      <c r="Q481" s="12"/>
      <c r="R481" s="36"/>
      <c r="S481" s="36"/>
      <c r="T481" s="12"/>
      <c r="U481" s="12"/>
      <c r="V481" s="12"/>
      <c r="W481" s="12"/>
      <c r="X481" s="12"/>
    </row>
    <row r="482" customFormat="false" ht="15.75" hidden="false" customHeight="false" outlineLevel="0" collapsed="false">
      <c r="A482" s="12"/>
      <c r="B482" s="34"/>
      <c r="C482" s="12"/>
      <c r="D482" s="12"/>
      <c r="E482" s="12"/>
      <c r="F482" s="12"/>
      <c r="G482" s="18"/>
      <c r="H482" s="35"/>
      <c r="I482" s="12"/>
      <c r="M482" s="12"/>
      <c r="N482" s="18"/>
      <c r="O482" s="12"/>
      <c r="P482" s="12"/>
      <c r="Q482" s="12"/>
      <c r="R482" s="36"/>
      <c r="S482" s="36"/>
      <c r="T482" s="12"/>
      <c r="U482" s="12"/>
      <c r="V482" s="12"/>
      <c r="W482" s="12"/>
      <c r="X482" s="12"/>
    </row>
    <row r="483" customFormat="false" ht="15.75" hidden="false" customHeight="false" outlineLevel="0" collapsed="false">
      <c r="A483" s="12"/>
      <c r="B483" s="34"/>
      <c r="C483" s="12"/>
      <c r="D483" s="12"/>
      <c r="E483" s="12"/>
      <c r="F483" s="12"/>
      <c r="G483" s="18"/>
      <c r="H483" s="35"/>
      <c r="I483" s="12"/>
      <c r="M483" s="12"/>
      <c r="N483" s="18"/>
      <c r="O483" s="12"/>
      <c r="P483" s="12"/>
      <c r="Q483" s="12"/>
      <c r="R483" s="36"/>
      <c r="S483" s="36"/>
      <c r="T483" s="12"/>
      <c r="U483" s="12"/>
      <c r="V483" s="12"/>
      <c r="W483" s="12"/>
      <c r="X483" s="12"/>
    </row>
    <row r="484" customFormat="false" ht="15.75" hidden="false" customHeight="false" outlineLevel="0" collapsed="false">
      <c r="A484" s="12"/>
      <c r="B484" s="34"/>
      <c r="C484" s="12"/>
      <c r="D484" s="12"/>
      <c r="E484" s="12"/>
      <c r="F484" s="12"/>
      <c r="G484" s="18"/>
      <c r="H484" s="35"/>
      <c r="I484" s="12"/>
      <c r="M484" s="12"/>
      <c r="N484" s="18"/>
      <c r="O484" s="12"/>
      <c r="P484" s="12"/>
      <c r="Q484" s="12"/>
      <c r="R484" s="36"/>
      <c r="S484" s="36"/>
      <c r="T484" s="12"/>
      <c r="U484" s="12"/>
      <c r="V484" s="12"/>
      <c r="W484" s="12"/>
      <c r="X484" s="12"/>
    </row>
    <row r="485" customFormat="false" ht="15.75" hidden="false" customHeight="false" outlineLevel="0" collapsed="false">
      <c r="A485" s="12"/>
      <c r="B485" s="34"/>
      <c r="C485" s="12"/>
      <c r="D485" s="12"/>
      <c r="E485" s="12"/>
      <c r="F485" s="12"/>
      <c r="G485" s="18"/>
      <c r="H485" s="35"/>
      <c r="I485" s="12"/>
      <c r="M485" s="12"/>
      <c r="N485" s="18"/>
      <c r="O485" s="12"/>
      <c r="P485" s="12"/>
      <c r="Q485" s="12"/>
      <c r="R485" s="36"/>
      <c r="S485" s="36"/>
      <c r="T485" s="12"/>
      <c r="U485" s="12"/>
      <c r="V485" s="12"/>
      <c r="W485" s="12"/>
      <c r="X485" s="12"/>
    </row>
    <row r="486" customFormat="false" ht="15.75" hidden="false" customHeight="false" outlineLevel="0" collapsed="false">
      <c r="A486" s="12"/>
      <c r="B486" s="34"/>
      <c r="C486" s="12"/>
      <c r="D486" s="12"/>
      <c r="E486" s="12"/>
      <c r="F486" s="12"/>
      <c r="G486" s="18"/>
      <c r="H486" s="35"/>
      <c r="I486" s="12"/>
      <c r="M486" s="12"/>
      <c r="N486" s="18"/>
      <c r="O486" s="12"/>
      <c r="P486" s="12"/>
      <c r="Q486" s="12"/>
      <c r="R486" s="36"/>
      <c r="S486" s="36"/>
      <c r="T486" s="12"/>
      <c r="U486" s="12"/>
      <c r="V486" s="12"/>
      <c r="W486" s="12"/>
      <c r="X486" s="12"/>
    </row>
    <row r="487" customFormat="false" ht="15.75" hidden="false" customHeight="false" outlineLevel="0" collapsed="false">
      <c r="A487" s="12"/>
      <c r="B487" s="34"/>
      <c r="C487" s="12"/>
      <c r="D487" s="12"/>
      <c r="E487" s="12"/>
      <c r="F487" s="12"/>
      <c r="G487" s="18"/>
      <c r="H487" s="35"/>
      <c r="I487" s="12"/>
      <c r="M487" s="12"/>
      <c r="N487" s="18"/>
      <c r="O487" s="12"/>
      <c r="P487" s="12"/>
      <c r="Q487" s="12"/>
      <c r="R487" s="36"/>
      <c r="S487" s="36"/>
      <c r="T487" s="12"/>
      <c r="U487" s="12"/>
      <c r="V487" s="12"/>
      <c r="W487" s="12"/>
      <c r="X487" s="12"/>
    </row>
    <row r="488" customFormat="false" ht="15.75" hidden="false" customHeight="false" outlineLevel="0" collapsed="false">
      <c r="A488" s="12"/>
      <c r="B488" s="34"/>
      <c r="C488" s="12"/>
      <c r="D488" s="12"/>
      <c r="E488" s="12"/>
      <c r="F488" s="12"/>
      <c r="G488" s="18"/>
      <c r="H488" s="35"/>
      <c r="I488" s="12"/>
      <c r="M488" s="12"/>
      <c r="N488" s="18"/>
      <c r="O488" s="12"/>
      <c r="P488" s="12"/>
      <c r="Q488" s="12"/>
      <c r="R488" s="36"/>
      <c r="S488" s="36"/>
      <c r="T488" s="12"/>
      <c r="U488" s="12"/>
      <c r="V488" s="12"/>
      <c r="W488" s="12"/>
      <c r="X488" s="12"/>
    </row>
    <row r="489" customFormat="false" ht="15.75" hidden="false" customHeight="false" outlineLevel="0" collapsed="false">
      <c r="A489" s="12"/>
      <c r="B489" s="34"/>
      <c r="C489" s="12"/>
      <c r="D489" s="12"/>
      <c r="E489" s="12"/>
      <c r="F489" s="12"/>
      <c r="G489" s="18"/>
      <c r="H489" s="35"/>
      <c r="I489" s="12"/>
      <c r="M489" s="12"/>
      <c r="N489" s="18"/>
      <c r="O489" s="12"/>
      <c r="P489" s="12"/>
      <c r="Q489" s="12"/>
      <c r="R489" s="36"/>
      <c r="S489" s="36"/>
      <c r="T489" s="12"/>
      <c r="U489" s="12"/>
      <c r="V489" s="12"/>
      <c r="W489" s="12"/>
      <c r="X489" s="12"/>
    </row>
    <row r="490" customFormat="false" ht="15.75" hidden="false" customHeight="false" outlineLevel="0" collapsed="false">
      <c r="A490" s="12"/>
      <c r="B490" s="34"/>
      <c r="C490" s="12"/>
      <c r="D490" s="12"/>
      <c r="E490" s="12"/>
      <c r="F490" s="12"/>
      <c r="G490" s="18"/>
      <c r="H490" s="35"/>
      <c r="I490" s="12"/>
      <c r="M490" s="12"/>
      <c r="N490" s="18"/>
      <c r="O490" s="12"/>
      <c r="P490" s="12"/>
      <c r="Q490" s="12"/>
      <c r="R490" s="36"/>
      <c r="S490" s="36"/>
      <c r="T490" s="12"/>
      <c r="U490" s="12"/>
      <c r="V490" s="12"/>
      <c r="W490" s="12"/>
      <c r="X490" s="12"/>
    </row>
    <row r="491" customFormat="false" ht="15.75" hidden="false" customHeight="false" outlineLevel="0" collapsed="false">
      <c r="A491" s="12"/>
      <c r="B491" s="34"/>
      <c r="C491" s="12"/>
      <c r="D491" s="12"/>
      <c r="E491" s="12"/>
      <c r="F491" s="12"/>
      <c r="G491" s="18"/>
      <c r="H491" s="35"/>
      <c r="I491" s="12"/>
      <c r="M491" s="12"/>
      <c r="N491" s="18"/>
      <c r="O491" s="12"/>
      <c r="P491" s="12"/>
      <c r="Q491" s="12"/>
      <c r="R491" s="36"/>
      <c r="S491" s="36"/>
      <c r="T491" s="12"/>
      <c r="U491" s="12"/>
      <c r="V491" s="12"/>
      <c r="W491" s="12"/>
      <c r="X491" s="12"/>
    </row>
    <row r="492" customFormat="false" ht="15.75" hidden="false" customHeight="false" outlineLevel="0" collapsed="false">
      <c r="A492" s="12"/>
      <c r="B492" s="34"/>
      <c r="C492" s="12"/>
      <c r="D492" s="12"/>
      <c r="E492" s="12"/>
      <c r="F492" s="12"/>
      <c r="G492" s="18"/>
      <c r="H492" s="35"/>
      <c r="I492" s="12"/>
      <c r="M492" s="12"/>
      <c r="N492" s="18"/>
      <c r="O492" s="12"/>
      <c r="P492" s="12"/>
      <c r="Q492" s="12"/>
      <c r="R492" s="36"/>
      <c r="S492" s="36"/>
      <c r="T492" s="12"/>
      <c r="U492" s="12"/>
      <c r="V492" s="12"/>
      <c r="W492" s="12"/>
      <c r="X492" s="12"/>
    </row>
    <row r="493" customFormat="false" ht="15.75" hidden="false" customHeight="false" outlineLevel="0" collapsed="false">
      <c r="A493" s="12"/>
      <c r="B493" s="34"/>
      <c r="C493" s="12"/>
      <c r="D493" s="12"/>
      <c r="E493" s="12"/>
      <c r="F493" s="12"/>
      <c r="G493" s="18"/>
      <c r="H493" s="35"/>
      <c r="I493" s="12"/>
      <c r="M493" s="12"/>
      <c r="N493" s="18"/>
      <c r="O493" s="12"/>
      <c r="P493" s="12"/>
      <c r="Q493" s="12"/>
      <c r="R493" s="36"/>
      <c r="S493" s="36"/>
      <c r="T493" s="12"/>
      <c r="U493" s="12"/>
      <c r="V493" s="12"/>
      <c r="W493" s="12"/>
      <c r="X493" s="12"/>
    </row>
    <row r="494" customFormat="false" ht="15.75" hidden="false" customHeight="false" outlineLevel="0" collapsed="false">
      <c r="A494" s="12"/>
      <c r="B494" s="34"/>
      <c r="C494" s="12"/>
      <c r="D494" s="12"/>
      <c r="E494" s="12"/>
      <c r="F494" s="12"/>
      <c r="G494" s="18"/>
      <c r="H494" s="35"/>
      <c r="I494" s="12"/>
      <c r="M494" s="12"/>
      <c r="N494" s="18"/>
      <c r="O494" s="12"/>
      <c r="P494" s="12"/>
      <c r="Q494" s="12"/>
      <c r="R494" s="36"/>
      <c r="S494" s="36"/>
      <c r="T494" s="12"/>
      <c r="U494" s="12"/>
      <c r="V494" s="12"/>
      <c r="W494" s="12"/>
      <c r="X494" s="12"/>
    </row>
    <row r="495" customFormat="false" ht="15.75" hidden="false" customHeight="false" outlineLevel="0" collapsed="false">
      <c r="A495" s="12"/>
      <c r="B495" s="34"/>
      <c r="C495" s="12"/>
      <c r="D495" s="12"/>
      <c r="E495" s="12"/>
      <c r="F495" s="12"/>
      <c r="G495" s="18"/>
      <c r="H495" s="35"/>
      <c r="I495" s="12"/>
      <c r="M495" s="12"/>
      <c r="N495" s="18"/>
      <c r="O495" s="12"/>
      <c r="P495" s="12"/>
      <c r="Q495" s="12"/>
      <c r="R495" s="36"/>
      <c r="S495" s="36"/>
      <c r="T495" s="12"/>
      <c r="U495" s="12"/>
      <c r="V495" s="12"/>
      <c r="W495" s="12"/>
      <c r="X495" s="12"/>
    </row>
    <row r="496" customFormat="false" ht="15.75" hidden="false" customHeight="false" outlineLevel="0" collapsed="false">
      <c r="A496" s="12"/>
      <c r="B496" s="34"/>
      <c r="C496" s="12"/>
      <c r="D496" s="12"/>
      <c r="E496" s="12"/>
      <c r="F496" s="12"/>
      <c r="G496" s="18"/>
      <c r="H496" s="35"/>
      <c r="I496" s="12"/>
      <c r="M496" s="12"/>
      <c r="N496" s="18"/>
      <c r="O496" s="12"/>
      <c r="P496" s="12"/>
      <c r="Q496" s="12"/>
      <c r="R496" s="36"/>
      <c r="S496" s="36"/>
      <c r="T496" s="12"/>
      <c r="U496" s="12"/>
      <c r="V496" s="12"/>
      <c r="W496" s="12"/>
      <c r="X496" s="12"/>
    </row>
    <row r="497" customFormat="false" ht="15.75" hidden="false" customHeight="false" outlineLevel="0" collapsed="false">
      <c r="A497" s="12"/>
      <c r="B497" s="34"/>
      <c r="C497" s="12"/>
      <c r="D497" s="12"/>
      <c r="E497" s="12"/>
      <c r="F497" s="12"/>
      <c r="G497" s="18"/>
      <c r="H497" s="35"/>
      <c r="I497" s="12"/>
      <c r="M497" s="12"/>
      <c r="N497" s="18"/>
      <c r="O497" s="12"/>
      <c r="P497" s="12"/>
      <c r="Q497" s="12"/>
      <c r="R497" s="36"/>
      <c r="S497" s="36"/>
      <c r="T497" s="12"/>
      <c r="U497" s="12"/>
      <c r="V497" s="12"/>
      <c r="W497" s="12"/>
      <c r="X497" s="12"/>
    </row>
    <row r="498" customFormat="false" ht="15.75" hidden="false" customHeight="false" outlineLevel="0" collapsed="false">
      <c r="A498" s="12"/>
      <c r="B498" s="34"/>
      <c r="C498" s="12"/>
      <c r="D498" s="12"/>
      <c r="E498" s="12"/>
      <c r="F498" s="12"/>
      <c r="G498" s="18"/>
      <c r="H498" s="35"/>
      <c r="I498" s="12"/>
      <c r="M498" s="12"/>
      <c r="N498" s="18"/>
      <c r="O498" s="12"/>
      <c r="P498" s="12"/>
      <c r="Q498" s="12"/>
      <c r="R498" s="36"/>
      <c r="S498" s="36"/>
      <c r="T498" s="12"/>
      <c r="U498" s="12"/>
      <c r="V498" s="12"/>
      <c r="W498" s="12"/>
      <c r="X498" s="12"/>
    </row>
    <row r="499" customFormat="false" ht="15.75" hidden="false" customHeight="false" outlineLevel="0" collapsed="false">
      <c r="A499" s="12"/>
      <c r="B499" s="34"/>
      <c r="C499" s="12"/>
      <c r="D499" s="12"/>
      <c r="E499" s="12"/>
      <c r="F499" s="12"/>
      <c r="G499" s="18"/>
      <c r="H499" s="35"/>
      <c r="I499" s="12"/>
      <c r="M499" s="12"/>
      <c r="N499" s="18"/>
      <c r="O499" s="12"/>
      <c r="P499" s="12"/>
      <c r="Q499" s="12"/>
      <c r="R499" s="36"/>
      <c r="S499" s="36"/>
      <c r="T499" s="12"/>
      <c r="U499" s="12"/>
      <c r="V499" s="12"/>
      <c r="W499" s="12"/>
      <c r="X499" s="12"/>
    </row>
    <row r="500" customFormat="false" ht="15.75" hidden="false" customHeight="false" outlineLevel="0" collapsed="false">
      <c r="A500" s="12"/>
      <c r="B500" s="34"/>
      <c r="C500" s="12"/>
      <c r="D500" s="12"/>
      <c r="E500" s="12"/>
      <c r="F500" s="12"/>
      <c r="G500" s="18"/>
      <c r="H500" s="35"/>
      <c r="I500" s="12"/>
      <c r="M500" s="12"/>
      <c r="N500" s="18"/>
      <c r="O500" s="12"/>
      <c r="P500" s="12"/>
      <c r="Q500" s="12"/>
      <c r="R500" s="36"/>
      <c r="S500" s="36"/>
      <c r="T500" s="12"/>
      <c r="U500" s="12"/>
      <c r="V500" s="12"/>
      <c r="W500" s="12"/>
      <c r="X500" s="12"/>
    </row>
    <row r="501" customFormat="false" ht="15.75" hidden="false" customHeight="false" outlineLevel="0" collapsed="false">
      <c r="A501" s="12"/>
      <c r="B501" s="34"/>
      <c r="C501" s="12"/>
      <c r="D501" s="12"/>
      <c r="E501" s="12"/>
      <c r="F501" s="12"/>
      <c r="G501" s="18"/>
      <c r="H501" s="35"/>
      <c r="I501" s="12"/>
      <c r="M501" s="12"/>
      <c r="N501" s="18"/>
      <c r="O501" s="12"/>
      <c r="P501" s="12"/>
      <c r="Q501" s="12"/>
      <c r="R501" s="36"/>
      <c r="S501" s="36"/>
      <c r="T501" s="12"/>
      <c r="U501" s="12"/>
      <c r="V501" s="12"/>
      <c r="W501" s="12"/>
      <c r="X501" s="12"/>
    </row>
    <row r="502" customFormat="false" ht="15.75" hidden="false" customHeight="false" outlineLevel="0" collapsed="false">
      <c r="A502" s="12"/>
      <c r="B502" s="34"/>
      <c r="C502" s="12"/>
      <c r="D502" s="12"/>
      <c r="E502" s="12"/>
      <c r="F502" s="12"/>
      <c r="G502" s="18"/>
      <c r="H502" s="35"/>
      <c r="I502" s="12"/>
      <c r="M502" s="12"/>
      <c r="N502" s="18"/>
      <c r="O502" s="12"/>
      <c r="P502" s="12"/>
      <c r="Q502" s="12"/>
      <c r="R502" s="36"/>
      <c r="S502" s="36"/>
      <c r="T502" s="12"/>
      <c r="U502" s="12"/>
      <c r="V502" s="12"/>
      <c r="W502" s="12"/>
      <c r="X502" s="12"/>
    </row>
    <row r="503" customFormat="false" ht="15.75" hidden="false" customHeight="false" outlineLevel="0" collapsed="false">
      <c r="A503" s="12"/>
      <c r="B503" s="34"/>
      <c r="C503" s="12"/>
      <c r="D503" s="12"/>
      <c r="E503" s="12"/>
      <c r="F503" s="12"/>
      <c r="G503" s="18"/>
      <c r="H503" s="35"/>
      <c r="I503" s="12"/>
      <c r="M503" s="12"/>
      <c r="N503" s="18"/>
      <c r="O503" s="12"/>
      <c r="P503" s="12"/>
      <c r="Q503" s="12"/>
      <c r="R503" s="36"/>
      <c r="S503" s="36"/>
      <c r="T503" s="12"/>
      <c r="U503" s="12"/>
      <c r="V503" s="12"/>
      <c r="W503" s="12"/>
      <c r="X503" s="12"/>
    </row>
    <row r="504" customFormat="false" ht="15.75" hidden="false" customHeight="false" outlineLevel="0" collapsed="false">
      <c r="A504" s="12"/>
      <c r="B504" s="34"/>
      <c r="C504" s="12"/>
      <c r="D504" s="12"/>
      <c r="E504" s="12"/>
      <c r="F504" s="12"/>
      <c r="G504" s="18"/>
      <c r="H504" s="35"/>
      <c r="I504" s="12"/>
      <c r="M504" s="12"/>
      <c r="N504" s="18"/>
      <c r="O504" s="12"/>
      <c r="P504" s="12"/>
      <c r="Q504" s="12"/>
      <c r="R504" s="36"/>
      <c r="S504" s="36"/>
      <c r="T504" s="12"/>
      <c r="U504" s="12"/>
      <c r="V504" s="12"/>
      <c r="W504" s="12"/>
      <c r="X504" s="12"/>
    </row>
    <row r="505" customFormat="false" ht="15.75" hidden="false" customHeight="false" outlineLevel="0" collapsed="false">
      <c r="A505" s="12"/>
      <c r="B505" s="34"/>
      <c r="C505" s="12"/>
      <c r="D505" s="12"/>
      <c r="E505" s="12"/>
      <c r="F505" s="12"/>
      <c r="G505" s="18"/>
      <c r="H505" s="35"/>
      <c r="I505" s="12"/>
      <c r="M505" s="12"/>
      <c r="N505" s="18"/>
      <c r="O505" s="12"/>
      <c r="P505" s="12"/>
      <c r="Q505" s="12"/>
      <c r="R505" s="36"/>
      <c r="S505" s="36"/>
      <c r="T505" s="12"/>
      <c r="U505" s="12"/>
      <c r="V505" s="12"/>
      <c r="W505" s="12"/>
      <c r="X505" s="12"/>
    </row>
    <row r="506" customFormat="false" ht="15.75" hidden="false" customHeight="false" outlineLevel="0" collapsed="false">
      <c r="A506" s="12"/>
      <c r="B506" s="34"/>
      <c r="C506" s="12"/>
      <c r="D506" s="12"/>
      <c r="E506" s="12"/>
      <c r="F506" s="12"/>
      <c r="G506" s="18"/>
      <c r="H506" s="35"/>
      <c r="I506" s="12"/>
      <c r="M506" s="12"/>
      <c r="N506" s="18"/>
      <c r="O506" s="12"/>
      <c r="P506" s="12"/>
      <c r="Q506" s="12"/>
      <c r="R506" s="36"/>
      <c r="S506" s="36"/>
      <c r="T506" s="12"/>
      <c r="U506" s="12"/>
      <c r="V506" s="12"/>
      <c r="W506" s="12"/>
      <c r="X506" s="12"/>
    </row>
    <row r="507" customFormat="false" ht="15.75" hidden="false" customHeight="false" outlineLevel="0" collapsed="false">
      <c r="A507" s="12"/>
      <c r="B507" s="34"/>
      <c r="C507" s="12"/>
      <c r="D507" s="12"/>
      <c r="E507" s="12"/>
      <c r="F507" s="12"/>
      <c r="G507" s="18"/>
      <c r="H507" s="35"/>
      <c r="I507" s="12"/>
      <c r="M507" s="12"/>
      <c r="N507" s="18"/>
      <c r="O507" s="12"/>
      <c r="P507" s="12"/>
      <c r="Q507" s="12"/>
      <c r="R507" s="36"/>
      <c r="S507" s="36"/>
      <c r="T507" s="12"/>
      <c r="U507" s="12"/>
      <c r="V507" s="12"/>
      <c r="W507" s="12"/>
      <c r="X507" s="12"/>
    </row>
    <row r="508" customFormat="false" ht="15.75" hidden="false" customHeight="false" outlineLevel="0" collapsed="false">
      <c r="A508" s="12"/>
      <c r="B508" s="34"/>
      <c r="C508" s="12"/>
      <c r="D508" s="12"/>
      <c r="E508" s="12"/>
      <c r="F508" s="12"/>
      <c r="G508" s="18"/>
      <c r="H508" s="35"/>
      <c r="I508" s="12"/>
      <c r="M508" s="12"/>
      <c r="N508" s="18"/>
      <c r="O508" s="12"/>
      <c r="P508" s="12"/>
      <c r="Q508" s="12"/>
      <c r="R508" s="36"/>
      <c r="S508" s="36"/>
      <c r="T508" s="12"/>
      <c r="U508" s="12"/>
      <c r="V508" s="12"/>
      <c r="W508" s="12"/>
      <c r="X508" s="12"/>
    </row>
    <row r="509" customFormat="false" ht="15.75" hidden="false" customHeight="false" outlineLevel="0" collapsed="false">
      <c r="A509" s="12"/>
      <c r="B509" s="34"/>
      <c r="C509" s="12"/>
      <c r="D509" s="12"/>
      <c r="E509" s="12"/>
      <c r="F509" s="12"/>
      <c r="G509" s="18"/>
      <c r="H509" s="35"/>
      <c r="I509" s="12"/>
      <c r="M509" s="12"/>
      <c r="N509" s="18"/>
      <c r="O509" s="12"/>
      <c r="P509" s="12"/>
      <c r="Q509" s="12"/>
      <c r="R509" s="36"/>
      <c r="S509" s="36"/>
      <c r="T509" s="12"/>
      <c r="U509" s="12"/>
      <c r="V509" s="12"/>
      <c r="W509" s="12"/>
      <c r="X509" s="12"/>
    </row>
    <row r="510" customFormat="false" ht="15.75" hidden="false" customHeight="false" outlineLevel="0" collapsed="false">
      <c r="A510" s="12"/>
      <c r="B510" s="34"/>
      <c r="C510" s="12"/>
      <c r="D510" s="12"/>
      <c r="E510" s="12"/>
      <c r="F510" s="12"/>
      <c r="G510" s="18"/>
      <c r="H510" s="35"/>
      <c r="I510" s="12"/>
      <c r="M510" s="12"/>
      <c r="N510" s="18"/>
      <c r="O510" s="12"/>
      <c r="P510" s="12"/>
      <c r="Q510" s="12"/>
      <c r="R510" s="36"/>
      <c r="S510" s="36"/>
      <c r="T510" s="12"/>
      <c r="U510" s="12"/>
      <c r="V510" s="12"/>
      <c r="W510" s="12"/>
      <c r="X510" s="12"/>
    </row>
    <row r="511" customFormat="false" ht="15.75" hidden="false" customHeight="false" outlineLevel="0" collapsed="false">
      <c r="A511" s="12"/>
      <c r="B511" s="34"/>
      <c r="C511" s="12"/>
      <c r="D511" s="12"/>
      <c r="E511" s="12"/>
      <c r="F511" s="12"/>
      <c r="G511" s="18"/>
      <c r="H511" s="35"/>
      <c r="I511" s="12"/>
      <c r="M511" s="12"/>
      <c r="N511" s="18"/>
      <c r="O511" s="12"/>
      <c r="P511" s="12"/>
      <c r="Q511" s="12"/>
      <c r="R511" s="36"/>
      <c r="S511" s="36"/>
      <c r="T511" s="12"/>
      <c r="U511" s="12"/>
      <c r="V511" s="12"/>
      <c r="W511" s="12"/>
      <c r="X511" s="12"/>
    </row>
    <row r="512" customFormat="false" ht="15.75" hidden="false" customHeight="false" outlineLevel="0" collapsed="false">
      <c r="A512" s="12"/>
      <c r="B512" s="34"/>
      <c r="C512" s="12"/>
      <c r="D512" s="12"/>
      <c r="E512" s="12"/>
      <c r="F512" s="12"/>
      <c r="G512" s="18"/>
      <c r="H512" s="35"/>
      <c r="I512" s="12"/>
      <c r="M512" s="12"/>
      <c r="N512" s="18"/>
      <c r="O512" s="12"/>
      <c r="P512" s="12"/>
      <c r="Q512" s="12"/>
      <c r="R512" s="36"/>
      <c r="S512" s="36"/>
      <c r="T512" s="12"/>
      <c r="U512" s="12"/>
      <c r="V512" s="12"/>
      <c r="W512" s="12"/>
      <c r="X512" s="12"/>
    </row>
    <row r="513" customFormat="false" ht="15.75" hidden="false" customHeight="false" outlineLevel="0" collapsed="false">
      <c r="A513" s="12"/>
      <c r="B513" s="34"/>
      <c r="C513" s="12"/>
      <c r="D513" s="12"/>
      <c r="E513" s="12"/>
      <c r="F513" s="12"/>
      <c r="G513" s="18"/>
      <c r="H513" s="35"/>
      <c r="I513" s="12"/>
      <c r="M513" s="12"/>
      <c r="N513" s="18"/>
      <c r="O513" s="12"/>
      <c r="P513" s="12"/>
      <c r="Q513" s="12"/>
      <c r="R513" s="36"/>
      <c r="S513" s="36"/>
      <c r="T513" s="12"/>
      <c r="U513" s="12"/>
      <c r="V513" s="12"/>
      <c r="W513" s="12"/>
      <c r="X513" s="12"/>
    </row>
    <row r="514" customFormat="false" ht="15.75" hidden="false" customHeight="false" outlineLevel="0" collapsed="false">
      <c r="A514" s="12"/>
      <c r="B514" s="34"/>
      <c r="C514" s="12"/>
      <c r="D514" s="12"/>
      <c r="E514" s="12"/>
      <c r="F514" s="12"/>
      <c r="G514" s="18"/>
      <c r="H514" s="35"/>
      <c r="I514" s="12"/>
      <c r="M514" s="12"/>
      <c r="N514" s="18"/>
      <c r="O514" s="12"/>
      <c r="P514" s="12"/>
      <c r="Q514" s="12"/>
      <c r="R514" s="36"/>
      <c r="S514" s="36"/>
      <c r="T514" s="12"/>
      <c r="U514" s="12"/>
      <c r="V514" s="12"/>
      <c r="W514" s="12"/>
      <c r="X514" s="12"/>
    </row>
    <row r="515" customFormat="false" ht="15.75" hidden="false" customHeight="false" outlineLevel="0" collapsed="false">
      <c r="A515" s="12"/>
      <c r="B515" s="34"/>
      <c r="C515" s="12"/>
      <c r="D515" s="12"/>
      <c r="E515" s="12"/>
      <c r="F515" s="12"/>
      <c r="G515" s="18"/>
      <c r="H515" s="35"/>
      <c r="I515" s="12"/>
      <c r="M515" s="12"/>
      <c r="N515" s="18"/>
      <c r="O515" s="12"/>
      <c r="P515" s="12"/>
      <c r="Q515" s="12"/>
      <c r="R515" s="36"/>
      <c r="S515" s="36"/>
      <c r="T515" s="12"/>
      <c r="U515" s="12"/>
      <c r="V515" s="12"/>
      <c r="W515" s="12"/>
      <c r="X515" s="12"/>
    </row>
    <row r="516" customFormat="false" ht="15.75" hidden="false" customHeight="false" outlineLevel="0" collapsed="false">
      <c r="A516" s="12"/>
      <c r="B516" s="34"/>
      <c r="C516" s="12"/>
      <c r="D516" s="12"/>
      <c r="E516" s="12"/>
      <c r="F516" s="12"/>
      <c r="G516" s="18"/>
      <c r="H516" s="35"/>
      <c r="I516" s="12"/>
      <c r="M516" s="12"/>
      <c r="N516" s="18"/>
      <c r="O516" s="12"/>
      <c r="P516" s="12"/>
      <c r="Q516" s="12"/>
      <c r="R516" s="36"/>
      <c r="S516" s="36"/>
      <c r="T516" s="12"/>
      <c r="U516" s="12"/>
      <c r="V516" s="12"/>
      <c r="W516" s="12"/>
      <c r="X516" s="12"/>
    </row>
    <row r="517" customFormat="false" ht="15.75" hidden="false" customHeight="false" outlineLevel="0" collapsed="false">
      <c r="A517" s="12"/>
      <c r="B517" s="34"/>
      <c r="C517" s="12"/>
      <c r="D517" s="12"/>
      <c r="E517" s="12"/>
      <c r="F517" s="12"/>
      <c r="G517" s="18"/>
      <c r="H517" s="35"/>
      <c r="I517" s="12"/>
      <c r="M517" s="12"/>
      <c r="N517" s="18"/>
      <c r="O517" s="12"/>
      <c r="P517" s="12"/>
      <c r="Q517" s="12"/>
      <c r="R517" s="36"/>
      <c r="S517" s="36"/>
      <c r="T517" s="12"/>
      <c r="U517" s="12"/>
      <c r="V517" s="12"/>
      <c r="W517" s="12"/>
      <c r="X517" s="12"/>
    </row>
    <row r="518" customFormat="false" ht="15.75" hidden="false" customHeight="false" outlineLevel="0" collapsed="false">
      <c r="A518" s="12"/>
      <c r="B518" s="34"/>
      <c r="C518" s="12"/>
      <c r="D518" s="12"/>
      <c r="E518" s="12"/>
      <c r="F518" s="12"/>
      <c r="G518" s="18"/>
      <c r="H518" s="35"/>
      <c r="I518" s="12"/>
      <c r="M518" s="12"/>
      <c r="N518" s="18"/>
      <c r="O518" s="12"/>
      <c r="P518" s="12"/>
      <c r="Q518" s="12"/>
      <c r="R518" s="36"/>
      <c r="S518" s="36"/>
      <c r="T518" s="12"/>
      <c r="U518" s="12"/>
      <c r="V518" s="12"/>
      <c r="W518" s="12"/>
      <c r="X518" s="12"/>
    </row>
    <row r="519" customFormat="false" ht="15.75" hidden="false" customHeight="false" outlineLevel="0" collapsed="false">
      <c r="A519" s="12"/>
      <c r="B519" s="34"/>
      <c r="C519" s="12"/>
      <c r="D519" s="12"/>
      <c r="E519" s="12"/>
      <c r="F519" s="12"/>
      <c r="G519" s="18"/>
      <c r="H519" s="35"/>
      <c r="I519" s="12"/>
      <c r="M519" s="12"/>
      <c r="N519" s="18"/>
      <c r="O519" s="12"/>
      <c r="P519" s="12"/>
      <c r="Q519" s="12"/>
      <c r="R519" s="36"/>
      <c r="S519" s="36"/>
      <c r="T519" s="12"/>
      <c r="U519" s="12"/>
      <c r="V519" s="12"/>
      <c r="W519" s="12"/>
      <c r="X519" s="12"/>
    </row>
    <row r="520" customFormat="false" ht="15.75" hidden="false" customHeight="false" outlineLevel="0" collapsed="false">
      <c r="A520" s="12"/>
      <c r="B520" s="34"/>
      <c r="C520" s="12"/>
      <c r="D520" s="12"/>
      <c r="E520" s="12"/>
      <c r="F520" s="12"/>
      <c r="G520" s="18"/>
      <c r="H520" s="35"/>
      <c r="I520" s="12"/>
      <c r="M520" s="12"/>
      <c r="N520" s="18"/>
      <c r="O520" s="12"/>
      <c r="P520" s="12"/>
      <c r="Q520" s="12"/>
      <c r="R520" s="36"/>
      <c r="S520" s="36"/>
      <c r="T520" s="12"/>
      <c r="U520" s="12"/>
      <c r="V520" s="12"/>
      <c r="W520" s="12"/>
      <c r="X520" s="12"/>
    </row>
    <row r="521" customFormat="false" ht="15.75" hidden="false" customHeight="false" outlineLevel="0" collapsed="false">
      <c r="A521" s="12"/>
      <c r="B521" s="34"/>
      <c r="C521" s="12"/>
      <c r="D521" s="12"/>
      <c r="E521" s="12"/>
      <c r="F521" s="12"/>
      <c r="G521" s="18"/>
      <c r="H521" s="35"/>
      <c r="I521" s="12"/>
      <c r="M521" s="12"/>
      <c r="N521" s="18"/>
      <c r="O521" s="12"/>
      <c r="P521" s="12"/>
      <c r="Q521" s="12"/>
      <c r="R521" s="36"/>
      <c r="S521" s="36"/>
      <c r="T521" s="12"/>
      <c r="U521" s="12"/>
      <c r="V521" s="12"/>
      <c r="W521" s="12"/>
      <c r="X521" s="12"/>
    </row>
    <row r="522" customFormat="false" ht="15.75" hidden="false" customHeight="false" outlineLevel="0" collapsed="false">
      <c r="A522" s="12"/>
      <c r="B522" s="34"/>
      <c r="C522" s="12"/>
      <c r="D522" s="12"/>
      <c r="E522" s="12"/>
      <c r="F522" s="12"/>
      <c r="G522" s="18"/>
      <c r="H522" s="35"/>
      <c r="I522" s="12"/>
      <c r="M522" s="12"/>
      <c r="N522" s="18"/>
      <c r="O522" s="12"/>
      <c r="P522" s="12"/>
      <c r="Q522" s="12"/>
      <c r="R522" s="36"/>
      <c r="S522" s="36"/>
      <c r="T522" s="12"/>
      <c r="U522" s="12"/>
      <c r="V522" s="12"/>
      <c r="W522" s="12"/>
      <c r="X522" s="12"/>
    </row>
    <row r="523" customFormat="false" ht="15.75" hidden="false" customHeight="false" outlineLevel="0" collapsed="false">
      <c r="A523" s="12"/>
      <c r="B523" s="34"/>
      <c r="C523" s="12"/>
      <c r="D523" s="12"/>
      <c r="E523" s="12"/>
      <c r="F523" s="12"/>
      <c r="G523" s="18"/>
      <c r="H523" s="35"/>
      <c r="I523" s="12"/>
      <c r="M523" s="12"/>
      <c r="N523" s="18"/>
      <c r="O523" s="12"/>
      <c r="P523" s="12"/>
      <c r="Q523" s="12"/>
      <c r="R523" s="36"/>
      <c r="S523" s="36"/>
      <c r="T523" s="12"/>
      <c r="U523" s="12"/>
      <c r="V523" s="12"/>
      <c r="W523" s="12"/>
      <c r="X523" s="12"/>
    </row>
    <row r="524" customFormat="false" ht="15.75" hidden="false" customHeight="false" outlineLevel="0" collapsed="false">
      <c r="A524" s="12"/>
      <c r="B524" s="34"/>
      <c r="C524" s="12"/>
      <c r="D524" s="12"/>
      <c r="E524" s="12"/>
      <c r="F524" s="12"/>
      <c r="G524" s="18"/>
      <c r="H524" s="35"/>
      <c r="I524" s="12"/>
      <c r="M524" s="12"/>
      <c r="N524" s="18"/>
      <c r="O524" s="12"/>
      <c r="P524" s="12"/>
      <c r="Q524" s="12"/>
      <c r="R524" s="36"/>
      <c r="S524" s="36"/>
      <c r="T524" s="12"/>
      <c r="U524" s="12"/>
      <c r="V524" s="12"/>
      <c r="W524" s="12"/>
      <c r="X524" s="12"/>
    </row>
    <row r="525" customFormat="false" ht="15.75" hidden="false" customHeight="false" outlineLevel="0" collapsed="false">
      <c r="A525" s="12"/>
      <c r="B525" s="34"/>
      <c r="C525" s="12"/>
      <c r="D525" s="12"/>
      <c r="E525" s="12"/>
      <c r="F525" s="12"/>
      <c r="G525" s="18"/>
      <c r="H525" s="35"/>
      <c r="I525" s="12"/>
      <c r="M525" s="12"/>
      <c r="N525" s="18"/>
      <c r="O525" s="12"/>
      <c r="P525" s="12"/>
      <c r="Q525" s="12"/>
      <c r="R525" s="36"/>
      <c r="S525" s="36"/>
      <c r="T525" s="12"/>
      <c r="U525" s="12"/>
      <c r="V525" s="12"/>
      <c r="W525" s="12"/>
      <c r="X525" s="12"/>
    </row>
    <row r="526" customFormat="false" ht="15.75" hidden="false" customHeight="false" outlineLevel="0" collapsed="false">
      <c r="A526" s="12"/>
      <c r="B526" s="34"/>
      <c r="C526" s="12"/>
      <c r="D526" s="12"/>
      <c r="E526" s="12"/>
      <c r="F526" s="12"/>
      <c r="G526" s="18"/>
      <c r="H526" s="35"/>
      <c r="I526" s="12"/>
      <c r="M526" s="12"/>
      <c r="N526" s="18"/>
      <c r="O526" s="12"/>
      <c r="P526" s="12"/>
      <c r="Q526" s="12"/>
      <c r="R526" s="36"/>
      <c r="S526" s="36"/>
      <c r="T526" s="12"/>
      <c r="U526" s="12"/>
      <c r="V526" s="12"/>
      <c r="W526" s="12"/>
      <c r="X526" s="12"/>
    </row>
    <row r="527" customFormat="false" ht="15.75" hidden="false" customHeight="false" outlineLevel="0" collapsed="false">
      <c r="A527" s="12"/>
      <c r="B527" s="34"/>
      <c r="C527" s="12"/>
      <c r="D527" s="12"/>
      <c r="E527" s="12"/>
      <c r="F527" s="12"/>
      <c r="G527" s="18"/>
      <c r="H527" s="35"/>
      <c r="I527" s="12"/>
      <c r="M527" s="12"/>
      <c r="N527" s="18"/>
      <c r="O527" s="12"/>
      <c r="P527" s="12"/>
      <c r="Q527" s="12"/>
      <c r="R527" s="36"/>
      <c r="S527" s="36"/>
      <c r="T527" s="12"/>
      <c r="U527" s="12"/>
      <c r="V527" s="12"/>
      <c r="W527" s="12"/>
      <c r="X527" s="12"/>
    </row>
    <row r="528" customFormat="false" ht="15.75" hidden="false" customHeight="false" outlineLevel="0" collapsed="false">
      <c r="A528" s="12"/>
      <c r="B528" s="34"/>
      <c r="C528" s="12"/>
      <c r="D528" s="12"/>
      <c r="E528" s="12"/>
      <c r="F528" s="12"/>
      <c r="G528" s="18"/>
      <c r="H528" s="35"/>
      <c r="I528" s="12"/>
      <c r="M528" s="12"/>
      <c r="N528" s="18"/>
      <c r="O528" s="12"/>
      <c r="P528" s="12"/>
      <c r="Q528" s="12"/>
      <c r="R528" s="36"/>
      <c r="S528" s="36"/>
      <c r="T528" s="12"/>
      <c r="U528" s="12"/>
      <c r="V528" s="12"/>
      <c r="W528" s="12"/>
      <c r="X528" s="12"/>
    </row>
    <row r="529" customFormat="false" ht="15.75" hidden="false" customHeight="false" outlineLevel="0" collapsed="false">
      <c r="A529" s="12"/>
      <c r="B529" s="34"/>
      <c r="C529" s="12"/>
      <c r="D529" s="12"/>
      <c r="E529" s="12"/>
      <c r="F529" s="12"/>
      <c r="G529" s="18"/>
      <c r="H529" s="35"/>
      <c r="I529" s="12"/>
      <c r="M529" s="12"/>
      <c r="N529" s="18"/>
      <c r="O529" s="12"/>
      <c r="P529" s="12"/>
      <c r="Q529" s="12"/>
      <c r="R529" s="36"/>
      <c r="S529" s="36"/>
      <c r="T529" s="12"/>
      <c r="U529" s="12"/>
      <c r="V529" s="12"/>
      <c r="W529" s="12"/>
      <c r="X529" s="12"/>
    </row>
    <row r="530" customFormat="false" ht="15.75" hidden="false" customHeight="false" outlineLevel="0" collapsed="false">
      <c r="A530" s="12"/>
      <c r="B530" s="34"/>
      <c r="C530" s="12"/>
      <c r="D530" s="12"/>
      <c r="E530" s="12"/>
      <c r="F530" s="12"/>
      <c r="G530" s="18"/>
      <c r="H530" s="35"/>
      <c r="I530" s="12"/>
      <c r="M530" s="12"/>
      <c r="N530" s="18"/>
      <c r="O530" s="12"/>
      <c r="P530" s="12"/>
      <c r="Q530" s="12"/>
      <c r="R530" s="36"/>
      <c r="S530" s="36"/>
      <c r="T530" s="12"/>
      <c r="U530" s="12"/>
      <c r="V530" s="12"/>
      <c r="W530" s="12"/>
      <c r="X530" s="12"/>
    </row>
    <row r="531" customFormat="false" ht="15.75" hidden="false" customHeight="false" outlineLevel="0" collapsed="false">
      <c r="A531" s="12"/>
      <c r="B531" s="34"/>
      <c r="C531" s="12"/>
      <c r="D531" s="12"/>
      <c r="E531" s="12"/>
      <c r="F531" s="12"/>
      <c r="G531" s="18"/>
      <c r="H531" s="35"/>
      <c r="I531" s="12"/>
      <c r="M531" s="12"/>
      <c r="N531" s="18"/>
      <c r="O531" s="12"/>
      <c r="P531" s="12"/>
      <c r="Q531" s="12"/>
      <c r="R531" s="36"/>
      <c r="S531" s="36"/>
      <c r="T531" s="12"/>
      <c r="U531" s="12"/>
      <c r="V531" s="12"/>
      <c r="W531" s="12"/>
      <c r="X531" s="12"/>
    </row>
    <row r="532" customFormat="false" ht="15.75" hidden="false" customHeight="false" outlineLevel="0" collapsed="false">
      <c r="A532" s="12"/>
      <c r="B532" s="34"/>
      <c r="C532" s="12"/>
      <c r="D532" s="12"/>
      <c r="E532" s="12"/>
      <c r="F532" s="12"/>
      <c r="G532" s="18"/>
      <c r="H532" s="35"/>
      <c r="I532" s="12"/>
      <c r="M532" s="12"/>
      <c r="N532" s="18"/>
      <c r="O532" s="12"/>
      <c r="P532" s="12"/>
      <c r="Q532" s="12"/>
      <c r="R532" s="36"/>
      <c r="S532" s="36"/>
      <c r="T532" s="12"/>
      <c r="U532" s="12"/>
      <c r="V532" s="12"/>
      <c r="W532" s="12"/>
      <c r="X532" s="12"/>
    </row>
    <row r="533" customFormat="false" ht="15.75" hidden="false" customHeight="false" outlineLevel="0" collapsed="false">
      <c r="A533" s="12"/>
      <c r="B533" s="34"/>
      <c r="C533" s="12"/>
      <c r="D533" s="12"/>
      <c r="E533" s="12"/>
      <c r="F533" s="12"/>
      <c r="G533" s="18"/>
      <c r="H533" s="35"/>
      <c r="I533" s="12"/>
      <c r="M533" s="12"/>
      <c r="N533" s="18"/>
      <c r="O533" s="12"/>
      <c r="P533" s="12"/>
      <c r="Q533" s="12"/>
      <c r="R533" s="36"/>
      <c r="S533" s="36"/>
      <c r="T533" s="12"/>
      <c r="U533" s="12"/>
      <c r="V533" s="12"/>
      <c r="W533" s="12"/>
      <c r="X533" s="12"/>
    </row>
    <row r="534" customFormat="false" ht="15.75" hidden="false" customHeight="false" outlineLevel="0" collapsed="false">
      <c r="A534" s="12"/>
      <c r="B534" s="34"/>
      <c r="C534" s="12"/>
      <c r="D534" s="12"/>
      <c r="E534" s="12"/>
      <c r="F534" s="12"/>
      <c r="G534" s="18"/>
      <c r="H534" s="35"/>
      <c r="I534" s="12"/>
      <c r="M534" s="12"/>
      <c r="N534" s="18"/>
      <c r="O534" s="12"/>
      <c r="P534" s="12"/>
      <c r="Q534" s="12"/>
      <c r="R534" s="36"/>
      <c r="S534" s="36"/>
      <c r="T534" s="12"/>
      <c r="U534" s="12"/>
      <c r="V534" s="12"/>
      <c r="W534" s="12"/>
      <c r="X534" s="12"/>
    </row>
    <row r="535" customFormat="false" ht="15.75" hidden="false" customHeight="false" outlineLevel="0" collapsed="false">
      <c r="A535" s="12"/>
      <c r="B535" s="34"/>
      <c r="C535" s="12"/>
      <c r="D535" s="12"/>
      <c r="E535" s="12"/>
      <c r="F535" s="12"/>
      <c r="G535" s="18"/>
      <c r="H535" s="35"/>
      <c r="I535" s="12"/>
      <c r="M535" s="12"/>
      <c r="N535" s="18"/>
      <c r="O535" s="12"/>
      <c r="P535" s="12"/>
      <c r="Q535" s="12"/>
      <c r="R535" s="36"/>
      <c r="S535" s="36"/>
      <c r="T535" s="12"/>
      <c r="U535" s="12"/>
      <c r="V535" s="12"/>
      <c r="W535" s="12"/>
      <c r="X535" s="12"/>
    </row>
    <row r="536" customFormat="false" ht="15.75" hidden="false" customHeight="false" outlineLevel="0" collapsed="false">
      <c r="A536" s="12"/>
      <c r="B536" s="34"/>
      <c r="C536" s="12"/>
      <c r="D536" s="12"/>
      <c r="E536" s="12"/>
      <c r="F536" s="12"/>
      <c r="G536" s="18"/>
      <c r="H536" s="35"/>
      <c r="I536" s="12"/>
      <c r="M536" s="12"/>
      <c r="N536" s="18"/>
      <c r="O536" s="12"/>
      <c r="P536" s="12"/>
      <c r="Q536" s="12"/>
      <c r="R536" s="36"/>
      <c r="S536" s="36"/>
      <c r="T536" s="12"/>
      <c r="U536" s="12"/>
      <c r="V536" s="12"/>
      <c r="W536" s="12"/>
      <c r="X536" s="12"/>
    </row>
    <row r="537" customFormat="false" ht="15.75" hidden="false" customHeight="false" outlineLevel="0" collapsed="false">
      <c r="A537" s="12"/>
      <c r="B537" s="34"/>
      <c r="C537" s="12"/>
      <c r="D537" s="12"/>
      <c r="E537" s="12"/>
      <c r="F537" s="12"/>
      <c r="G537" s="18"/>
      <c r="H537" s="35"/>
      <c r="I537" s="12"/>
      <c r="M537" s="12"/>
      <c r="N537" s="18"/>
      <c r="O537" s="12"/>
      <c r="P537" s="12"/>
      <c r="Q537" s="12"/>
      <c r="R537" s="36"/>
      <c r="S537" s="36"/>
      <c r="T537" s="12"/>
      <c r="U537" s="12"/>
      <c r="V537" s="12"/>
      <c r="W537" s="12"/>
      <c r="X537" s="12"/>
    </row>
    <row r="538" customFormat="false" ht="15.75" hidden="false" customHeight="false" outlineLevel="0" collapsed="false">
      <c r="A538" s="12"/>
      <c r="B538" s="34"/>
      <c r="C538" s="12"/>
      <c r="D538" s="12"/>
      <c r="E538" s="12"/>
      <c r="F538" s="12"/>
      <c r="G538" s="18"/>
      <c r="H538" s="35"/>
      <c r="I538" s="12"/>
      <c r="M538" s="12"/>
      <c r="N538" s="18"/>
      <c r="O538" s="12"/>
      <c r="P538" s="12"/>
      <c r="Q538" s="12"/>
      <c r="R538" s="36"/>
      <c r="S538" s="36"/>
      <c r="T538" s="12"/>
      <c r="U538" s="12"/>
      <c r="V538" s="12"/>
      <c r="W538" s="12"/>
      <c r="X538" s="12"/>
    </row>
    <row r="539" customFormat="false" ht="15.75" hidden="false" customHeight="false" outlineLevel="0" collapsed="false">
      <c r="A539" s="12"/>
      <c r="B539" s="34"/>
      <c r="C539" s="12"/>
      <c r="D539" s="12"/>
      <c r="E539" s="12"/>
      <c r="F539" s="12"/>
      <c r="G539" s="18"/>
      <c r="H539" s="35"/>
      <c r="I539" s="12"/>
      <c r="M539" s="12"/>
      <c r="N539" s="18"/>
      <c r="O539" s="12"/>
      <c r="P539" s="12"/>
      <c r="Q539" s="12"/>
      <c r="R539" s="36"/>
      <c r="S539" s="36"/>
      <c r="T539" s="12"/>
      <c r="U539" s="12"/>
      <c r="V539" s="12"/>
      <c r="W539" s="12"/>
      <c r="X539" s="12"/>
    </row>
    <row r="540" customFormat="false" ht="15.75" hidden="false" customHeight="false" outlineLevel="0" collapsed="false">
      <c r="A540" s="12"/>
      <c r="B540" s="34"/>
      <c r="C540" s="12"/>
      <c r="D540" s="12"/>
      <c r="E540" s="12"/>
      <c r="F540" s="12"/>
      <c r="G540" s="18"/>
      <c r="H540" s="35"/>
      <c r="I540" s="12"/>
      <c r="M540" s="12"/>
      <c r="N540" s="18"/>
      <c r="O540" s="12"/>
      <c r="P540" s="12"/>
      <c r="Q540" s="12"/>
      <c r="R540" s="36"/>
      <c r="S540" s="36"/>
      <c r="T540" s="12"/>
      <c r="U540" s="12"/>
      <c r="V540" s="12"/>
      <c r="W540" s="12"/>
      <c r="X540" s="12"/>
    </row>
    <row r="541" customFormat="false" ht="15.75" hidden="false" customHeight="false" outlineLevel="0" collapsed="false">
      <c r="A541" s="12"/>
      <c r="B541" s="34"/>
      <c r="C541" s="12"/>
      <c r="D541" s="12"/>
      <c r="E541" s="12"/>
      <c r="F541" s="12"/>
      <c r="G541" s="18"/>
      <c r="H541" s="35"/>
      <c r="I541" s="12"/>
      <c r="M541" s="12"/>
      <c r="N541" s="18"/>
      <c r="O541" s="12"/>
      <c r="P541" s="12"/>
      <c r="Q541" s="12"/>
      <c r="R541" s="36"/>
      <c r="S541" s="36"/>
      <c r="T541" s="12"/>
      <c r="U541" s="12"/>
      <c r="V541" s="12"/>
      <c r="W541" s="12"/>
      <c r="X541" s="12"/>
    </row>
    <row r="542" customFormat="false" ht="15.75" hidden="false" customHeight="false" outlineLevel="0" collapsed="false">
      <c r="A542" s="12"/>
      <c r="B542" s="34"/>
      <c r="C542" s="12"/>
      <c r="D542" s="12"/>
      <c r="E542" s="12"/>
      <c r="F542" s="12"/>
      <c r="G542" s="18"/>
      <c r="H542" s="35"/>
      <c r="I542" s="12"/>
      <c r="M542" s="12"/>
      <c r="N542" s="18"/>
      <c r="O542" s="12"/>
      <c r="P542" s="12"/>
      <c r="Q542" s="12"/>
      <c r="R542" s="36"/>
      <c r="S542" s="36"/>
      <c r="T542" s="12"/>
      <c r="U542" s="12"/>
      <c r="V542" s="12"/>
      <c r="W542" s="12"/>
      <c r="X542" s="12"/>
    </row>
    <row r="543" customFormat="false" ht="15.75" hidden="false" customHeight="false" outlineLevel="0" collapsed="false">
      <c r="A543" s="12"/>
      <c r="B543" s="34"/>
      <c r="C543" s="12"/>
      <c r="D543" s="12"/>
      <c r="E543" s="12"/>
      <c r="F543" s="12"/>
      <c r="G543" s="18"/>
      <c r="H543" s="35"/>
      <c r="I543" s="12"/>
      <c r="M543" s="12"/>
      <c r="N543" s="18"/>
      <c r="O543" s="12"/>
      <c r="P543" s="12"/>
      <c r="Q543" s="12"/>
      <c r="R543" s="36"/>
      <c r="S543" s="36"/>
      <c r="T543" s="12"/>
      <c r="U543" s="12"/>
      <c r="V543" s="12"/>
      <c r="W543" s="12"/>
      <c r="X543" s="12"/>
    </row>
    <row r="544" customFormat="false" ht="15.75" hidden="false" customHeight="false" outlineLevel="0" collapsed="false">
      <c r="A544" s="12"/>
      <c r="B544" s="34"/>
      <c r="C544" s="12"/>
      <c r="D544" s="12"/>
      <c r="E544" s="12"/>
      <c r="F544" s="12"/>
      <c r="G544" s="18"/>
      <c r="H544" s="35"/>
      <c r="I544" s="12"/>
      <c r="M544" s="12"/>
      <c r="N544" s="18"/>
      <c r="O544" s="12"/>
      <c r="P544" s="12"/>
      <c r="Q544" s="12"/>
      <c r="R544" s="36"/>
      <c r="S544" s="36"/>
      <c r="T544" s="12"/>
      <c r="U544" s="12"/>
      <c r="V544" s="12"/>
      <c r="W544" s="12"/>
      <c r="X544" s="12"/>
    </row>
    <row r="545" customFormat="false" ht="15.75" hidden="false" customHeight="false" outlineLevel="0" collapsed="false">
      <c r="A545" s="12"/>
      <c r="B545" s="34"/>
      <c r="C545" s="12"/>
      <c r="D545" s="12"/>
      <c r="E545" s="12"/>
      <c r="F545" s="12"/>
      <c r="G545" s="18"/>
      <c r="H545" s="35"/>
      <c r="I545" s="12"/>
      <c r="M545" s="12"/>
      <c r="N545" s="18"/>
      <c r="O545" s="12"/>
      <c r="P545" s="12"/>
      <c r="Q545" s="12"/>
      <c r="R545" s="36"/>
      <c r="S545" s="36"/>
      <c r="T545" s="12"/>
      <c r="U545" s="12"/>
      <c r="V545" s="12"/>
      <c r="W545" s="12"/>
      <c r="X545" s="12"/>
    </row>
    <row r="546" customFormat="false" ht="15.75" hidden="false" customHeight="false" outlineLevel="0" collapsed="false">
      <c r="A546" s="12"/>
      <c r="B546" s="34"/>
      <c r="C546" s="12"/>
      <c r="D546" s="12"/>
      <c r="E546" s="12"/>
      <c r="F546" s="12"/>
      <c r="G546" s="18"/>
      <c r="H546" s="35"/>
      <c r="I546" s="12"/>
      <c r="M546" s="12"/>
      <c r="N546" s="18"/>
      <c r="O546" s="12"/>
      <c r="P546" s="12"/>
      <c r="Q546" s="12"/>
      <c r="R546" s="36"/>
      <c r="S546" s="36"/>
      <c r="T546" s="12"/>
      <c r="U546" s="12"/>
      <c r="V546" s="12"/>
      <c r="W546" s="12"/>
      <c r="X546" s="12"/>
    </row>
    <row r="547" customFormat="false" ht="15.75" hidden="false" customHeight="false" outlineLevel="0" collapsed="false">
      <c r="A547" s="12"/>
      <c r="B547" s="34"/>
      <c r="C547" s="12"/>
      <c r="D547" s="12"/>
      <c r="E547" s="12"/>
      <c r="F547" s="12"/>
      <c r="G547" s="18"/>
      <c r="H547" s="35"/>
      <c r="I547" s="12"/>
      <c r="M547" s="12"/>
      <c r="N547" s="18"/>
      <c r="O547" s="12"/>
      <c r="P547" s="12"/>
      <c r="Q547" s="12"/>
      <c r="R547" s="36"/>
      <c r="S547" s="36"/>
      <c r="T547" s="12"/>
      <c r="U547" s="12"/>
      <c r="V547" s="12"/>
      <c r="W547" s="12"/>
      <c r="X547" s="12"/>
    </row>
    <row r="548" customFormat="false" ht="15.75" hidden="false" customHeight="false" outlineLevel="0" collapsed="false">
      <c r="A548" s="12"/>
      <c r="B548" s="34"/>
      <c r="C548" s="12"/>
      <c r="D548" s="12"/>
      <c r="E548" s="12"/>
      <c r="F548" s="12"/>
      <c r="G548" s="18"/>
      <c r="H548" s="35"/>
      <c r="I548" s="12"/>
      <c r="M548" s="12"/>
      <c r="N548" s="18"/>
      <c r="O548" s="12"/>
      <c r="P548" s="12"/>
      <c r="Q548" s="12"/>
      <c r="R548" s="36"/>
      <c r="S548" s="36"/>
      <c r="T548" s="12"/>
      <c r="U548" s="12"/>
      <c r="V548" s="12"/>
      <c r="W548" s="12"/>
      <c r="X548" s="12"/>
    </row>
    <row r="549" customFormat="false" ht="15.75" hidden="false" customHeight="false" outlineLevel="0" collapsed="false">
      <c r="A549" s="12"/>
      <c r="B549" s="34"/>
      <c r="C549" s="12"/>
      <c r="D549" s="12"/>
      <c r="E549" s="12"/>
      <c r="F549" s="12"/>
      <c r="G549" s="18"/>
      <c r="H549" s="35"/>
      <c r="I549" s="12"/>
      <c r="M549" s="12"/>
      <c r="N549" s="18"/>
      <c r="O549" s="12"/>
      <c r="P549" s="12"/>
      <c r="Q549" s="12"/>
      <c r="R549" s="36"/>
      <c r="S549" s="36"/>
      <c r="T549" s="12"/>
      <c r="U549" s="12"/>
      <c r="V549" s="12"/>
      <c r="W549" s="12"/>
      <c r="X549" s="12"/>
    </row>
    <row r="550" customFormat="false" ht="15.75" hidden="false" customHeight="false" outlineLevel="0" collapsed="false">
      <c r="A550" s="12"/>
      <c r="B550" s="34"/>
      <c r="C550" s="12"/>
      <c r="D550" s="12"/>
      <c r="E550" s="12"/>
      <c r="F550" s="12"/>
      <c r="G550" s="18"/>
      <c r="H550" s="35"/>
      <c r="I550" s="12"/>
      <c r="M550" s="12"/>
      <c r="N550" s="18"/>
      <c r="O550" s="12"/>
      <c r="P550" s="12"/>
      <c r="Q550" s="12"/>
      <c r="R550" s="36"/>
      <c r="S550" s="36"/>
      <c r="T550" s="12"/>
      <c r="U550" s="12"/>
      <c r="V550" s="12"/>
      <c r="W550" s="12"/>
      <c r="X550" s="12"/>
    </row>
    <row r="551" customFormat="false" ht="15.75" hidden="false" customHeight="false" outlineLevel="0" collapsed="false">
      <c r="A551" s="12"/>
      <c r="B551" s="34"/>
      <c r="C551" s="12"/>
      <c r="D551" s="12"/>
      <c r="E551" s="12"/>
      <c r="F551" s="12"/>
      <c r="G551" s="18"/>
      <c r="H551" s="35"/>
      <c r="I551" s="12"/>
      <c r="M551" s="12"/>
      <c r="N551" s="18"/>
      <c r="O551" s="12"/>
      <c r="P551" s="12"/>
      <c r="Q551" s="12"/>
      <c r="R551" s="36"/>
      <c r="S551" s="36"/>
      <c r="T551" s="12"/>
      <c r="U551" s="12"/>
      <c r="V551" s="12"/>
      <c r="W551" s="12"/>
      <c r="X551" s="12"/>
    </row>
    <row r="552" customFormat="false" ht="15.75" hidden="false" customHeight="false" outlineLevel="0" collapsed="false">
      <c r="A552" s="12"/>
      <c r="B552" s="34"/>
      <c r="C552" s="12"/>
      <c r="D552" s="12"/>
      <c r="E552" s="12"/>
      <c r="F552" s="12"/>
      <c r="G552" s="18"/>
      <c r="H552" s="35"/>
      <c r="I552" s="12"/>
      <c r="M552" s="12"/>
      <c r="N552" s="18"/>
      <c r="O552" s="12"/>
      <c r="P552" s="12"/>
      <c r="Q552" s="12"/>
      <c r="R552" s="36"/>
      <c r="S552" s="36"/>
      <c r="T552" s="12"/>
      <c r="U552" s="12"/>
      <c r="V552" s="12"/>
      <c r="W552" s="12"/>
      <c r="X552" s="12"/>
    </row>
    <row r="553" customFormat="false" ht="15.75" hidden="false" customHeight="false" outlineLevel="0" collapsed="false">
      <c r="A553" s="12"/>
      <c r="B553" s="34"/>
      <c r="C553" s="12"/>
      <c r="D553" s="12"/>
      <c r="E553" s="12"/>
      <c r="F553" s="12"/>
      <c r="G553" s="18"/>
      <c r="H553" s="35"/>
      <c r="I553" s="12"/>
      <c r="M553" s="12"/>
      <c r="N553" s="18"/>
      <c r="O553" s="12"/>
      <c r="P553" s="12"/>
      <c r="Q553" s="12"/>
      <c r="R553" s="36"/>
      <c r="S553" s="36"/>
      <c r="T553" s="12"/>
      <c r="U553" s="12"/>
      <c r="V553" s="12"/>
      <c r="W553" s="12"/>
      <c r="X553" s="12"/>
    </row>
    <row r="554" customFormat="false" ht="15.75" hidden="false" customHeight="false" outlineLevel="0" collapsed="false">
      <c r="A554" s="12"/>
      <c r="B554" s="34"/>
      <c r="C554" s="12"/>
      <c r="D554" s="12"/>
      <c r="E554" s="12"/>
      <c r="F554" s="12"/>
      <c r="G554" s="18"/>
      <c r="H554" s="35"/>
      <c r="I554" s="12"/>
      <c r="M554" s="12"/>
      <c r="N554" s="18"/>
      <c r="O554" s="12"/>
      <c r="P554" s="12"/>
      <c r="Q554" s="12"/>
      <c r="R554" s="36"/>
      <c r="S554" s="36"/>
      <c r="T554" s="12"/>
      <c r="U554" s="12"/>
      <c r="V554" s="12"/>
      <c r="W554" s="12"/>
      <c r="X554" s="12"/>
    </row>
    <row r="555" customFormat="false" ht="15.75" hidden="false" customHeight="false" outlineLevel="0" collapsed="false">
      <c r="A555" s="12"/>
      <c r="B555" s="34"/>
      <c r="C555" s="12"/>
      <c r="D555" s="12"/>
      <c r="E555" s="12"/>
      <c r="F555" s="12"/>
      <c r="G555" s="18"/>
      <c r="H555" s="35"/>
      <c r="I555" s="12"/>
      <c r="M555" s="12"/>
      <c r="N555" s="18"/>
      <c r="O555" s="12"/>
      <c r="P555" s="12"/>
      <c r="Q555" s="12"/>
      <c r="R555" s="36"/>
      <c r="S555" s="36"/>
      <c r="T555" s="12"/>
      <c r="U555" s="12"/>
      <c r="V555" s="12"/>
      <c r="W555" s="12"/>
      <c r="X555" s="12"/>
    </row>
    <row r="556" customFormat="false" ht="15.75" hidden="false" customHeight="false" outlineLevel="0" collapsed="false">
      <c r="A556" s="12"/>
      <c r="B556" s="34"/>
      <c r="C556" s="12"/>
      <c r="D556" s="12"/>
      <c r="E556" s="12"/>
      <c r="F556" s="12"/>
      <c r="G556" s="18"/>
      <c r="H556" s="35"/>
      <c r="I556" s="12"/>
      <c r="M556" s="12"/>
      <c r="N556" s="18"/>
      <c r="O556" s="12"/>
      <c r="P556" s="12"/>
      <c r="Q556" s="12"/>
      <c r="R556" s="36"/>
      <c r="S556" s="36"/>
      <c r="T556" s="12"/>
      <c r="U556" s="12"/>
      <c r="V556" s="12"/>
      <c r="W556" s="12"/>
      <c r="X556" s="12"/>
    </row>
    <row r="557" customFormat="false" ht="15.75" hidden="false" customHeight="false" outlineLevel="0" collapsed="false">
      <c r="A557" s="12"/>
      <c r="B557" s="34"/>
      <c r="C557" s="12"/>
      <c r="D557" s="12"/>
      <c r="E557" s="12"/>
      <c r="F557" s="12"/>
      <c r="G557" s="18"/>
      <c r="H557" s="35"/>
      <c r="I557" s="12"/>
      <c r="M557" s="12"/>
      <c r="N557" s="18"/>
      <c r="O557" s="12"/>
      <c r="P557" s="12"/>
      <c r="Q557" s="12"/>
      <c r="R557" s="36"/>
      <c r="S557" s="36"/>
      <c r="T557" s="12"/>
      <c r="U557" s="12"/>
      <c r="V557" s="12"/>
      <c r="W557" s="12"/>
      <c r="X557" s="12"/>
    </row>
    <row r="558" customFormat="false" ht="15.75" hidden="false" customHeight="false" outlineLevel="0" collapsed="false">
      <c r="A558" s="12"/>
      <c r="B558" s="34"/>
      <c r="C558" s="12"/>
      <c r="D558" s="12"/>
      <c r="E558" s="12"/>
      <c r="F558" s="12"/>
      <c r="G558" s="18"/>
      <c r="H558" s="35"/>
      <c r="I558" s="12"/>
      <c r="M558" s="12"/>
      <c r="N558" s="18"/>
      <c r="O558" s="12"/>
      <c r="P558" s="12"/>
      <c r="Q558" s="12"/>
      <c r="R558" s="36"/>
      <c r="S558" s="36"/>
      <c r="T558" s="12"/>
      <c r="U558" s="12"/>
      <c r="V558" s="12"/>
      <c r="W558" s="12"/>
      <c r="X558" s="12"/>
    </row>
    <row r="559" customFormat="false" ht="15.75" hidden="false" customHeight="false" outlineLevel="0" collapsed="false">
      <c r="A559" s="12"/>
      <c r="B559" s="34"/>
      <c r="C559" s="12"/>
      <c r="D559" s="12"/>
      <c r="E559" s="12"/>
      <c r="F559" s="12"/>
      <c r="G559" s="18"/>
      <c r="H559" s="35"/>
      <c r="I559" s="12"/>
      <c r="M559" s="12"/>
      <c r="N559" s="18"/>
      <c r="O559" s="12"/>
      <c r="P559" s="12"/>
      <c r="Q559" s="12"/>
      <c r="R559" s="36"/>
      <c r="S559" s="36"/>
      <c r="T559" s="12"/>
      <c r="U559" s="12"/>
      <c r="V559" s="12"/>
      <c r="W559" s="12"/>
      <c r="X559" s="12"/>
    </row>
    <row r="560" customFormat="false" ht="15.75" hidden="false" customHeight="false" outlineLevel="0" collapsed="false">
      <c r="A560" s="12"/>
      <c r="B560" s="34"/>
      <c r="C560" s="12"/>
      <c r="D560" s="12"/>
      <c r="E560" s="12"/>
      <c r="F560" s="12"/>
      <c r="G560" s="18"/>
      <c r="H560" s="35"/>
      <c r="I560" s="12"/>
      <c r="M560" s="12"/>
      <c r="N560" s="18"/>
      <c r="O560" s="12"/>
      <c r="P560" s="12"/>
      <c r="Q560" s="12"/>
      <c r="R560" s="36"/>
      <c r="S560" s="36"/>
      <c r="T560" s="12"/>
      <c r="U560" s="12"/>
      <c r="V560" s="12"/>
      <c r="W560" s="12"/>
      <c r="X560" s="12"/>
    </row>
    <row r="561" customFormat="false" ht="15.75" hidden="false" customHeight="false" outlineLevel="0" collapsed="false">
      <c r="A561" s="12"/>
      <c r="B561" s="34"/>
      <c r="C561" s="12"/>
      <c r="D561" s="12"/>
      <c r="E561" s="12"/>
      <c r="F561" s="12"/>
      <c r="G561" s="18"/>
      <c r="H561" s="35"/>
      <c r="I561" s="12"/>
      <c r="M561" s="12"/>
      <c r="N561" s="18"/>
      <c r="O561" s="12"/>
      <c r="P561" s="12"/>
      <c r="Q561" s="12"/>
      <c r="R561" s="36"/>
      <c r="S561" s="36"/>
      <c r="T561" s="12"/>
      <c r="U561" s="12"/>
      <c r="V561" s="12"/>
      <c r="W561" s="12"/>
      <c r="X561" s="12"/>
    </row>
    <row r="562" customFormat="false" ht="15.75" hidden="false" customHeight="false" outlineLevel="0" collapsed="false">
      <c r="A562" s="12"/>
      <c r="B562" s="34"/>
      <c r="C562" s="12"/>
      <c r="D562" s="12"/>
      <c r="E562" s="12"/>
      <c r="F562" s="12"/>
      <c r="G562" s="18"/>
      <c r="H562" s="35"/>
      <c r="I562" s="12"/>
      <c r="M562" s="12"/>
      <c r="N562" s="18"/>
      <c r="O562" s="12"/>
      <c r="P562" s="12"/>
      <c r="Q562" s="12"/>
      <c r="R562" s="36"/>
      <c r="S562" s="36"/>
      <c r="T562" s="12"/>
      <c r="U562" s="12"/>
      <c r="V562" s="12"/>
      <c r="W562" s="12"/>
      <c r="X562" s="12"/>
    </row>
    <row r="563" customFormat="false" ht="15.75" hidden="false" customHeight="false" outlineLevel="0" collapsed="false">
      <c r="A563" s="12"/>
      <c r="B563" s="34"/>
      <c r="C563" s="12"/>
      <c r="D563" s="12"/>
      <c r="E563" s="12"/>
      <c r="F563" s="12"/>
      <c r="G563" s="18"/>
      <c r="H563" s="35"/>
      <c r="I563" s="12"/>
      <c r="M563" s="12"/>
      <c r="N563" s="18"/>
      <c r="O563" s="12"/>
      <c r="P563" s="12"/>
      <c r="Q563" s="12"/>
      <c r="R563" s="36"/>
      <c r="S563" s="36"/>
      <c r="T563" s="12"/>
      <c r="U563" s="12"/>
      <c r="V563" s="12"/>
      <c r="W563" s="12"/>
      <c r="X563" s="12"/>
    </row>
    <row r="564" customFormat="false" ht="15.75" hidden="false" customHeight="false" outlineLevel="0" collapsed="false">
      <c r="A564" s="12"/>
      <c r="B564" s="34"/>
      <c r="C564" s="12"/>
      <c r="D564" s="12"/>
      <c r="E564" s="12"/>
      <c r="F564" s="12"/>
      <c r="G564" s="18"/>
      <c r="H564" s="35"/>
      <c r="I564" s="12"/>
      <c r="M564" s="12"/>
      <c r="N564" s="18"/>
      <c r="O564" s="12"/>
      <c r="P564" s="12"/>
      <c r="Q564" s="12"/>
      <c r="R564" s="36"/>
      <c r="S564" s="36"/>
      <c r="T564" s="12"/>
      <c r="U564" s="12"/>
      <c r="V564" s="12"/>
      <c r="W564" s="12"/>
      <c r="X564" s="12"/>
    </row>
    <row r="565" customFormat="false" ht="15.75" hidden="false" customHeight="false" outlineLevel="0" collapsed="false">
      <c r="A565" s="12"/>
      <c r="B565" s="34"/>
      <c r="C565" s="12"/>
      <c r="D565" s="12"/>
      <c r="E565" s="12"/>
      <c r="F565" s="12"/>
      <c r="G565" s="18"/>
      <c r="H565" s="35"/>
      <c r="I565" s="12"/>
      <c r="M565" s="12"/>
      <c r="N565" s="18"/>
      <c r="O565" s="12"/>
      <c r="P565" s="12"/>
      <c r="Q565" s="12"/>
      <c r="R565" s="36"/>
      <c r="S565" s="36"/>
      <c r="T565" s="12"/>
      <c r="U565" s="12"/>
      <c r="V565" s="12"/>
      <c r="W565" s="12"/>
      <c r="X565" s="12"/>
    </row>
    <row r="566" customFormat="false" ht="15.75" hidden="false" customHeight="false" outlineLevel="0" collapsed="false">
      <c r="A566" s="12"/>
      <c r="B566" s="34"/>
      <c r="C566" s="12"/>
      <c r="D566" s="12"/>
      <c r="E566" s="12"/>
      <c r="F566" s="12"/>
      <c r="G566" s="18"/>
      <c r="H566" s="35"/>
      <c r="I566" s="12"/>
      <c r="M566" s="12"/>
      <c r="N566" s="18"/>
      <c r="O566" s="12"/>
      <c r="P566" s="12"/>
      <c r="Q566" s="12"/>
      <c r="R566" s="36"/>
      <c r="S566" s="36"/>
      <c r="T566" s="12"/>
      <c r="U566" s="12"/>
      <c r="V566" s="12"/>
      <c r="W566" s="12"/>
      <c r="X566" s="12"/>
    </row>
    <row r="567" customFormat="false" ht="15.75" hidden="false" customHeight="false" outlineLevel="0" collapsed="false">
      <c r="A567" s="12"/>
      <c r="B567" s="34"/>
      <c r="C567" s="12"/>
      <c r="D567" s="12"/>
      <c r="E567" s="12"/>
      <c r="F567" s="12"/>
      <c r="G567" s="18"/>
      <c r="H567" s="35"/>
      <c r="I567" s="12"/>
      <c r="M567" s="12"/>
      <c r="N567" s="18"/>
      <c r="O567" s="12"/>
      <c r="P567" s="12"/>
      <c r="Q567" s="12"/>
      <c r="R567" s="36"/>
      <c r="S567" s="36"/>
      <c r="T567" s="12"/>
      <c r="U567" s="12"/>
      <c r="V567" s="12"/>
      <c r="W567" s="12"/>
      <c r="X567" s="12"/>
    </row>
    <row r="568" customFormat="false" ht="15.75" hidden="false" customHeight="false" outlineLevel="0" collapsed="false">
      <c r="A568" s="12"/>
      <c r="B568" s="34"/>
      <c r="C568" s="12"/>
      <c r="D568" s="12"/>
      <c r="E568" s="12"/>
      <c r="F568" s="12"/>
      <c r="G568" s="18"/>
      <c r="H568" s="35"/>
      <c r="I568" s="12"/>
      <c r="M568" s="12"/>
      <c r="N568" s="18"/>
      <c r="O568" s="12"/>
      <c r="P568" s="12"/>
      <c r="Q568" s="12"/>
      <c r="R568" s="36"/>
      <c r="S568" s="36"/>
      <c r="T568" s="12"/>
      <c r="U568" s="12"/>
      <c r="V568" s="12"/>
      <c r="W568" s="12"/>
      <c r="X568" s="12"/>
    </row>
    <row r="569" customFormat="false" ht="15.75" hidden="false" customHeight="false" outlineLevel="0" collapsed="false">
      <c r="A569" s="12"/>
      <c r="B569" s="34"/>
      <c r="C569" s="12"/>
      <c r="D569" s="12"/>
      <c r="E569" s="12"/>
      <c r="F569" s="12"/>
      <c r="G569" s="18"/>
      <c r="H569" s="35"/>
      <c r="I569" s="12"/>
      <c r="M569" s="12"/>
      <c r="N569" s="18"/>
      <c r="O569" s="12"/>
      <c r="P569" s="12"/>
      <c r="Q569" s="12"/>
      <c r="R569" s="36"/>
      <c r="S569" s="36"/>
      <c r="T569" s="12"/>
      <c r="U569" s="12"/>
      <c r="V569" s="12"/>
      <c r="W569" s="12"/>
      <c r="X569" s="12"/>
    </row>
    <row r="570" customFormat="false" ht="15.75" hidden="false" customHeight="false" outlineLevel="0" collapsed="false">
      <c r="A570" s="12"/>
      <c r="B570" s="34"/>
      <c r="C570" s="12"/>
      <c r="D570" s="12"/>
      <c r="E570" s="12"/>
      <c r="F570" s="12"/>
      <c r="G570" s="18"/>
      <c r="H570" s="35"/>
      <c r="I570" s="12"/>
      <c r="M570" s="12"/>
      <c r="N570" s="18"/>
      <c r="O570" s="12"/>
      <c r="P570" s="12"/>
      <c r="Q570" s="12"/>
      <c r="R570" s="36"/>
      <c r="S570" s="36"/>
      <c r="T570" s="12"/>
      <c r="U570" s="12"/>
      <c r="V570" s="12"/>
      <c r="W570" s="12"/>
      <c r="X570" s="12"/>
    </row>
    <row r="571" customFormat="false" ht="15.75" hidden="false" customHeight="false" outlineLevel="0" collapsed="false">
      <c r="A571" s="12"/>
      <c r="B571" s="34"/>
      <c r="C571" s="12"/>
      <c r="D571" s="12"/>
      <c r="E571" s="12"/>
      <c r="F571" s="12"/>
      <c r="G571" s="18"/>
      <c r="H571" s="35"/>
      <c r="I571" s="12"/>
      <c r="M571" s="12"/>
      <c r="N571" s="18"/>
      <c r="O571" s="12"/>
      <c r="P571" s="12"/>
      <c r="Q571" s="12"/>
      <c r="R571" s="36"/>
      <c r="S571" s="36"/>
      <c r="T571" s="12"/>
      <c r="U571" s="12"/>
      <c r="V571" s="12"/>
      <c r="W571" s="12"/>
      <c r="X571" s="12"/>
    </row>
    <row r="572" customFormat="false" ht="15.75" hidden="false" customHeight="false" outlineLevel="0" collapsed="false">
      <c r="A572" s="12"/>
      <c r="B572" s="34"/>
      <c r="C572" s="12"/>
      <c r="D572" s="12"/>
      <c r="E572" s="12"/>
      <c r="F572" s="12"/>
      <c r="G572" s="18"/>
      <c r="H572" s="35"/>
      <c r="I572" s="12"/>
      <c r="M572" s="12"/>
      <c r="N572" s="18"/>
      <c r="O572" s="12"/>
      <c r="P572" s="12"/>
      <c r="Q572" s="12"/>
      <c r="R572" s="36"/>
      <c r="S572" s="36"/>
      <c r="T572" s="12"/>
      <c r="U572" s="12"/>
      <c r="V572" s="12"/>
      <c r="W572" s="12"/>
      <c r="X572" s="12"/>
    </row>
    <row r="573" customFormat="false" ht="15.75" hidden="false" customHeight="false" outlineLevel="0" collapsed="false">
      <c r="A573" s="12"/>
      <c r="B573" s="34"/>
      <c r="C573" s="12"/>
      <c r="D573" s="12"/>
      <c r="E573" s="12"/>
      <c r="F573" s="12"/>
      <c r="G573" s="18"/>
      <c r="H573" s="35"/>
      <c r="I573" s="12"/>
      <c r="M573" s="12"/>
      <c r="N573" s="18"/>
      <c r="O573" s="12"/>
      <c r="P573" s="12"/>
      <c r="Q573" s="12"/>
      <c r="R573" s="36"/>
      <c r="S573" s="36"/>
      <c r="T573" s="12"/>
      <c r="U573" s="12"/>
      <c r="V573" s="12"/>
      <c r="W573" s="12"/>
      <c r="X573" s="12"/>
    </row>
    <row r="574" customFormat="false" ht="15.75" hidden="false" customHeight="false" outlineLevel="0" collapsed="false">
      <c r="A574" s="12"/>
      <c r="B574" s="34"/>
      <c r="C574" s="12"/>
      <c r="D574" s="12"/>
      <c r="E574" s="12"/>
      <c r="F574" s="12"/>
      <c r="G574" s="18"/>
      <c r="H574" s="35"/>
      <c r="I574" s="12"/>
      <c r="M574" s="12"/>
      <c r="N574" s="18"/>
      <c r="O574" s="12"/>
      <c r="P574" s="12"/>
      <c r="Q574" s="12"/>
      <c r="R574" s="36"/>
      <c r="S574" s="36"/>
      <c r="T574" s="12"/>
      <c r="U574" s="12"/>
      <c r="V574" s="12"/>
      <c r="W574" s="12"/>
      <c r="X574" s="12"/>
    </row>
    <row r="575" customFormat="false" ht="15.75" hidden="false" customHeight="false" outlineLevel="0" collapsed="false">
      <c r="A575" s="12"/>
      <c r="B575" s="34"/>
      <c r="C575" s="12"/>
      <c r="D575" s="12"/>
      <c r="E575" s="12"/>
      <c r="F575" s="12"/>
      <c r="G575" s="18"/>
      <c r="H575" s="35"/>
      <c r="I575" s="12"/>
      <c r="M575" s="12"/>
      <c r="N575" s="18"/>
      <c r="O575" s="12"/>
      <c r="P575" s="12"/>
      <c r="Q575" s="12"/>
      <c r="R575" s="36"/>
      <c r="S575" s="36"/>
      <c r="T575" s="12"/>
      <c r="U575" s="12"/>
      <c r="V575" s="12"/>
      <c r="W575" s="12"/>
      <c r="X575" s="12"/>
    </row>
    <row r="576" customFormat="false" ht="15.75" hidden="false" customHeight="false" outlineLevel="0" collapsed="false">
      <c r="A576" s="12"/>
      <c r="B576" s="34"/>
      <c r="C576" s="12"/>
      <c r="D576" s="12"/>
      <c r="E576" s="12"/>
      <c r="F576" s="12"/>
      <c r="G576" s="18"/>
      <c r="H576" s="35"/>
      <c r="I576" s="12"/>
      <c r="M576" s="12"/>
      <c r="N576" s="18"/>
      <c r="O576" s="12"/>
      <c r="P576" s="12"/>
      <c r="Q576" s="12"/>
      <c r="R576" s="36"/>
      <c r="S576" s="36"/>
      <c r="T576" s="12"/>
      <c r="U576" s="12"/>
      <c r="V576" s="12"/>
      <c r="W576" s="12"/>
      <c r="X576" s="12"/>
    </row>
    <row r="577" customFormat="false" ht="15.75" hidden="false" customHeight="false" outlineLevel="0" collapsed="false">
      <c r="A577" s="12"/>
      <c r="B577" s="34"/>
      <c r="C577" s="12"/>
      <c r="D577" s="12"/>
      <c r="E577" s="12"/>
      <c r="F577" s="12"/>
      <c r="G577" s="18"/>
      <c r="H577" s="35"/>
      <c r="I577" s="12"/>
      <c r="M577" s="12"/>
      <c r="N577" s="18"/>
      <c r="O577" s="12"/>
      <c r="P577" s="12"/>
      <c r="Q577" s="12"/>
      <c r="R577" s="36"/>
      <c r="S577" s="36"/>
      <c r="T577" s="12"/>
      <c r="U577" s="12"/>
      <c r="V577" s="12"/>
      <c r="W577" s="12"/>
      <c r="X577" s="12"/>
    </row>
    <row r="578" customFormat="false" ht="15.75" hidden="false" customHeight="false" outlineLevel="0" collapsed="false">
      <c r="A578" s="12"/>
      <c r="B578" s="34"/>
      <c r="C578" s="12"/>
      <c r="D578" s="12"/>
      <c r="E578" s="12"/>
      <c r="F578" s="12"/>
      <c r="G578" s="18"/>
      <c r="H578" s="35"/>
      <c r="I578" s="12"/>
      <c r="M578" s="12"/>
      <c r="N578" s="18"/>
      <c r="O578" s="12"/>
      <c r="P578" s="12"/>
      <c r="Q578" s="12"/>
      <c r="R578" s="36"/>
      <c r="S578" s="36"/>
      <c r="T578" s="12"/>
      <c r="U578" s="12"/>
      <c r="V578" s="12"/>
      <c r="W578" s="12"/>
      <c r="X578" s="12"/>
    </row>
    <row r="579" customFormat="false" ht="15.75" hidden="false" customHeight="false" outlineLevel="0" collapsed="false">
      <c r="A579" s="12"/>
      <c r="B579" s="34"/>
      <c r="C579" s="12"/>
      <c r="D579" s="12"/>
      <c r="E579" s="12"/>
      <c r="F579" s="12"/>
      <c r="G579" s="18"/>
      <c r="H579" s="35"/>
      <c r="I579" s="12"/>
      <c r="M579" s="12"/>
      <c r="N579" s="18"/>
      <c r="O579" s="12"/>
      <c r="P579" s="12"/>
      <c r="Q579" s="12"/>
      <c r="R579" s="36"/>
      <c r="S579" s="36"/>
      <c r="T579" s="12"/>
      <c r="U579" s="12"/>
      <c r="V579" s="12"/>
      <c r="W579" s="12"/>
      <c r="X579" s="12"/>
    </row>
    <row r="580" customFormat="false" ht="15.75" hidden="false" customHeight="false" outlineLevel="0" collapsed="false">
      <c r="A580" s="12"/>
      <c r="B580" s="34"/>
      <c r="C580" s="12"/>
      <c r="D580" s="12"/>
      <c r="E580" s="12"/>
      <c r="F580" s="12"/>
      <c r="G580" s="18"/>
      <c r="H580" s="35"/>
      <c r="I580" s="12"/>
      <c r="M580" s="12"/>
      <c r="N580" s="18"/>
      <c r="O580" s="12"/>
      <c r="P580" s="12"/>
      <c r="Q580" s="12"/>
      <c r="R580" s="36"/>
      <c r="S580" s="36"/>
      <c r="T580" s="12"/>
      <c r="U580" s="12"/>
      <c r="V580" s="12"/>
      <c r="W580" s="12"/>
      <c r="X580" s="12"/>
    </row>
    <row r="581" customFormat="false" ht="15.75" hidden="false" customHeight="false" outlineLevel="0" collapsed="false">
      <c r="A581" s="12"/>
      <c r="B581" s="34"/>
      <c r="C581" s="12"/>
      <c r="D581" s="12"/>
      <c r="E581" s="12"/>
      <c r="F581" s="12"/>
      <c r="G581" s="18"/>
      <c r="H581" s="35"/>
      <c r="I581" s="12"/>
      <c r="M581" s="12"/>
      <c r="N581" s="18"/>
      <c r="O581" s="12"/>
      <c r="P581" s="12"/>
      <c r="Q581" s="12"/>
      <c r="R581" s="36"/>
      <c r="S581" s="36"/>
      <c r="T581" s="12"/>
      <c r="U581" s="12"/>
      <c r="V581" s="12"/>
      <c r="W581" s="12"/>
      <c r="X581" s="12"/>
    </row>
    <row r="582" customFormat="false" ht="15.75" hidden="false" customHeight="false" outlineLevel="0" collapsed="false">
      <c r="A582" s="12"/>
      <c r="B582" s="34"/>
      <c r="C582" s="12"/>
      <c r="D582" s="12"/>
      <c r="E582" s="12"/>
      <c r="F582" s="12"/>
      <c r="G582" s="18"/>
      <c r="H582" s="35"/>
      <c r="I582" s="12"/>
      <c r="M582" s="12"/>
      <c r="N582" s="18"/>
      <c r="O582" s="12"/>
      <c r="P582" s="12"/>
      <c r="Q582" s="12"/>
      <c r="R582" s="36"/>
      <c r="S582" s="36"/>
      <c r="T582" s="12"/>
      <c r="U582" s="12"/>
      <c r="V582" s="12"/>
      <c r="W582" s="12"/>
      <c r="X582" s="12"/>
    </row>
    <row r="583" customFormat="false" ht="15.75" hidden="false" customHeight="false" outlineLevel="0" collapsed="false">
      <c r="A583" s="12"/>
      <c r="B583" s="34"/>
      <c r="C583" s="12"/>
      <c r="D583" s="12"/>
      <c r="E583" s="12"/>
      <c r="F583" s="12"/>
      <c r="G583" s="18"/>
      <c r="H583" s="35"/>
      <c r="I583" s="12"/>
      <c r="M583" s="12"/>
      <c r="N583" s="18"/>
      <c r="O583" s="12"/>
      <c r="P583" s="12"/>
      <c r="Q583" s="12"/>
      <c r="R583" s="36"/>
      <c r="S583" s="36"/>
      <c r="T583" s="12"/>
      <c r="U583" s="12"/>
      <c r="V583" s="12"/>
      <c r="W583" s="12"/>
      <c r="X583" s="12"/>
    </row>
    <row r="584" customFormat="false" ht="15.75" hidden="false" customHeight="false" outlineLevel="0" collapsed="false">
      <c r="A584" s="12"/>
      <c r="B584" s="34"/>
      <c r="C584" s="12"/>
      <c r="D584" s="12"/>
      <c r="E584" s="12"/>
      <c r="F584" s="12"/>
      <c r="G584" s="18"/>
      <c r="H584" s="35"/>
      <c r="I584" s="12"/>
      <c r="M584" s="12"/>
      <c r="N584" s="18"/>
      <c r="O584" s="12"/>
      <c r="P584" s="12"/>
      <c r="Q584" s="12"/>
      <c r="R584" s="36"/>
      <c r="S584" s="36"/>
      <c r="T584" s="12"/>
      <c r="U584" s="12"/>
      <c r="V584" s="12"/>
      <c r="W584" s="12"/>
      <c r="X584" s="12"/>
    </row>
    <row r="585" customFormat="false" ht="15.75" hidden="false" customHeight="false" outlineLevel="0" collapsed="false">
      <c r="A585" s="12"/>
      <c r="B585" s="34"/>
      <c r="C585" s="12"/>
      <c r="D585" s="12"/>
      <c r="E585" s="12"/>
      <c r="F585" s="12"/>
      <c r="G585" s="18"/>
      <c r="H585" s="35"/>
      <c r="I585" s="12"/>
      <c r="M585" s="12"/>
      <c r="N585" s="18"/>
      <c r="O585" s="12"/>
      <c r="P585" s="12"/>
      <c r="Q585" s="12"/>
      <c r="R585" s="36"/>
      <c r="S585" s="36"/>
      <c r="T585" s="12"/>
      <c r="U585" s="12"/>
      <c r="V585" s="12"/>
      <c r="W585" s="12"/>
      <c r="X585" s="12"/>
    </row>
    <row r="586" customFormat="false" ht="15.75" hidden="false" customHeight="false" outlineLevel="0" collapsed="false">
      <c r="A586" s="12"/>
      <c r="B586" s="34"/>
      <c r="C586" s="12"/>
      <c r="D586" s="12"/>
      <c r="E586" s="12"/>
      <c r="F586" s="12"/>
      <c r="G586" s="18"/>
      <c r="H586" s="35"/>
      <c r="I586" s="12"/>
      <c r="M586" s="12"/>
      <c r="N586" s="18"/>
      <c r="O586" s="12"/>
      <c r="P586" s="12"/>
      <c r="Q586" s="12"/>
      <c r="R586" s="36"/>
      <c r="S586" s="36"/>
      <c r="T586" s="12"/>
      <c r="U586" s="12"/>
      <c r="V586" s="12"/>
      <c r="W586" s="12"/>
      <c r="X586" s="12"/>
    </row>
    <row r="587" customFormat="false" ht="15.75" hidden="false" customHeight="false" outlineLevel="0" collapsed="false">
      <c r="A587" s="12"/>
      <c r="B587" s="34"/>
      <c r="C587" s="12"/>
      <c r="D587" s="12"/>
      <c r="E587" s="12"/>
      <c r="F587" s="12"/>
      <c r="G587" s="18"/>
      <c r="H587" s="35"/>
      <c r="I587" s="12"/>
      <c r="M587" s="12"/>
      <c r="N587" s="18"/>
      <c r="O587" s="12"/>
      <c r="P587" s="12"/>
      <c r="Q587" s="12"/>
      <c r="R587" s="36"/>
      <c r="S587" s="36"/>
      <c r="T587" s="12"/>
      <c r="U587" s="12"/>
      <c r="V587" s="12"/>
      <c r="W587" s="12"/>
      <c r="X587" s="12"/>
    </row>
    <row r="588" customFormat="false" ht="15.75" hidden="false" customHeight="false" outlineLevel="0" collapsed="false">
      <c r="A588" s="12"/>
      <c r="B588" s="34"/>
      <c r="C588" s="12"/>
      <c r="D588" s="12"/>
      <c r="E588" s="12"/>
      <c r="F588" s="12"/>
      <c r="G588" s="18"/>
      <c r="H588" s="35"/>
      <c r="I588" s="12"/>
      <c r="M588" s="12"/>
      <c r="N588" s="18"/>
      <c r="O588" s="12"/>
      <c r="P588" s="12"/>
      <c r="Q588" s="12"/>
      <c r="R588" s="36"/>
      <c r="S588" s="36"/>
      <c r="T588" s="12"/>
      <c r="U588" s="12"/>
      <c r="V588" s="12"/>
      <c r="W588" s="12"/>
      <c r="X588" s="12"/>
    </row>
    <row r="589" customFormat="false" ht="15.75" hidden="false" customHeight="false" outlineLevel="0" collapsed="false">
      <c r="A589" s="12"/>
      <c r="B589" s="34"/>
      <c r="C589" s="12"/>
      <c r="D589" s="12"/>
      <c r="E589" s="12"/>
      <c r="F589" s="12"/>
      <c r="G589" s="18"/>
      <c r="H589" s="35"/>
      <c r="I589" s="12"/>
      <c r="M589" s="12"/>
      <c r="N589" s="18"/>
      <c r="O589" s="12"/>
      <c r="P589" s="12"/>
      <c r="Q589" s="12"/>
      <c r="R589" s="36"/>
      <c r="S589" s="36"/>
      <c r="T589" s="12"/>
      <c r="U589" s="12"/>
      <c r="V589" s="12"/>
      <c r="W589" s="12"/>
      <c r="X589" s="12"/>
    </row>
    <row r="590" customFormat="false" ht="15.75" hidden="false" customHeight="false" outlineLevel="0" collapsed="false">
      <c r="A590" s="12"/>
      <c r="B590" s="34"/>
      <c r="C590" s="12"/>
      <c r="D590" s="12"/>
      <c r="E590" s="12"/>
      <c r="F590" s="12"/>
      <c r="G590" s="18"/>
      <c r="H590" s="35"/>
      <c r="I590" s="12"/>
      <c r="M590" s="12"/>
      <c r="N590" s="18"/>
      <c r="O590" s="12"/>
      <c r="P590" s="12"/>
      <c r="Q590" s="12"/>
      <c r="R590" s="36"/>
      <c r="S590" s="36"/>
      <c r="T590" s="12"/>
      <c r="U590" s="12"/>
      <c r="V590" s="12"/>
      <c r="W590" s="12"/>
      <c r="X590" s="12"/>
    </row>
    <row r="591" customFormat="false" ht="15.75" hidden="false" customHeight="false" outlineLevel="0" collapsed="false">
      <c r="A591" s="12"/>
      <c r="B591" s="34"/>
      <c r="C591" s="12"/>
      <c r="D591" s="12"/>
      <c r="E591" s="12"/>
      <c r="F591" s="12"/>
      <c r="G591" s="18"/>
      <c r="H591" s="35"/>
      <c r="I591" s="12"/>
      <c r="M591" s="12"/>
      <c r="N591" s="18"/>
      <c r="O591" s="12"/>
      <c r="P591" s="12"/>
      <c r="Q591" s="12"/>
      <c r="R591" s="36"/>
      <c r="S591" s="36"/>
      <c r="T591" s="12"/>
      <c r="U591" s="12"/>
      <c r="V591" s="12"/>
      <c r="W591" s="12"/>
      <c r="X591" s="12"/>
    </row>
    <row r="592" customFormat="false" ht="15.75" hidden="false" customHeight="false" outlineLevel="0" collapsed="false">
      <c r="A592" s="12"/>
      <c r="B592" s="34"/>
      <c r="C592" s="12"/>
      <c r="D592" s="12"/>
      <c r="E592" s="12"/>
      <c r="F592" s="12"/>
      <c r="G592" s="18"/>
      <c r="H592" s="35"/>
      <c r="I592" s="12"/>
      <c r="M592" s="12"/>
      <c r="N592" s="18"/>
      <c r="O592" s="12"/>
      <c r="P592" s="12"/>
      <c r="Q592" s="12"/>
      <c r="R592" s="36"/>
      <c r="S592" s="36"/>
      <c r="T592" s="12"/>
      <c r="U592" s="12"/>
      <c r="V592" s="12"/>
      <c r="W592" s="12"/>
      <c r="X592" s="12"/>
    </row>
    <row r="593" customFormat="false" ht="15.75" hidden="false" customHeight="false" outlineLevel="0" collapsed="false">
      <c r="A593" s="12"/>
      <c r="B593" s="34"/>
      <c r="C593" s="12"/>
      <c r="D593" s="12"/>
      <c r="E593" s="12"/>
      <c r="F593" s="12"/>
      <c r="G593" s="18"/>
      <c r="H593" s="35"/>
      <c r="I593" s="12"/>
      <c r="M593" s="12"/>
      <c r="N593" s="18"/>
      <c r="O593" s="12"/>
      <c r="P593" s="12"/>
      <c r="Q593" s="12"/>
      <c r="R593" s="36"/>
      <c r="S593" s="36"/>
      <c r="T593" s="12"/>
      <c r="U593" s="12"/>
      <c r="V593" s="12"/>
      <c r="W593" s="12"/>
      <c r="X593" s="12"/>
    </row>
    <row r="594" customFormat="false" ht="15.75" hidden="false" customHeight="false" outlineLevel="0" collapsed="false">
      <c r="A594" s="12"/>
      <c r="B594" s="34"/>
      <c r="C594" s="12"/>
      <c r="D594" s="12"/>
      <c r="E594" s="12"/>
      <c r="F594" s="12"/>
      <c r="G594" s="18"/>
      <c r="H594" s="35"/>
      <c r="I594" s="12"/>
      <c r="M594" s="12"/>
      <c r="N594" s="18"/>
      <c r="O594" s="12"/>
      <c r="P594" s="12"/>
      <c r="Q594" s="12"/>
      <c r="R594" s="36"/>
      <c r="S594" s="36"/>
      <c r="T594" s="12"/>
      <c r="U594" s="12"/>
      <c r="V594" s="12"/>
      <c r="W594" s="12"/>
      <c r="X594" s="12"/>
    </row>
    <row r="595" customFormat="false" ht="15.75" hidden="false" customHeight="false" outlineLevel="0" collapsed="false">
      <c r="A595" s="12"/>
      <c r="B595" s="34"/>
      <c r="C595" s="12"/>
      <c r="D595" s="12"/>
      <c r="E595" s="12"/>
      <c r="F595" s="12"/>
      <c r="G595" s="18"/>
      <c r="H595" s="35"/>
      <c r="I595" s="12"/>
      <c r="M595" s="12"/>
      <c r="N595" s="18"/>
      <c r="O595" s="12"/>
      <c r="P595" s="12"/>
      <c r="Q595" s="12"/>
      <c r="R595" s="36"/>
      <c r="S595" s="36"/>
      <c r="T595" s="12"/>
      <c r="U595" s="12"/>
      <c r="V595" s="12"/>
      <c r="W595" s="12"/>
      <c r="X595" s="12"/>
    </row>
    <row r="596" customFormat="false" ht="15.75" hidden="false" customHeight="false" outlineLevel="0" collapsed="false">
      <c r="A596" s="12"/>
      <c r="B596" s="34"/>
      <c r="C596" s="12"/>
      <c r="D596" s="12"/>
      <c r="E596" s="12"/>
      <c r="F596" s="12"/>
      <c r="G596" s="18"/>
      <c r="H596" s="35"/>
      <c r="I596" s="12"/>
      <c r="M596" s="12"/>
      <c r="N596" s="18"/>
      <c r="O596" s="12"/>
      <c r="P596" s="12"/>
      <c r="Q596" s="12"/>
      <c r="R596" s="36"/>
      <c r="S596" s="36"/>
      <c r="T596" s="12"/>
      <c r="U596" s="12"/>
      <c r="V596" s="12"/>
      <c r="W596" s="12"/>
      <c r="X596" s="12"/>
    </row>
    <row r="597" customFormat="false" ht="15.75" hidden="false" customHeight="false" outlineLevel="0" collapsed="false">
      <c r="A597" s="12"/>
      <c r="B597" s="34"/>
      <c r="C597" s="12"/>
      <c r="D597" s="12"/>
      <c r="E597" s="12"/>
      <c r="F597" s="12"/>
      <c r="G597" s="18"/>
      <c r="H597" s="35"/>
      <c r="I597" s="12"/>
      <c r="M597" s="12"/>
      <c r="N597" s="18"/>
      <c r="O597" s="12"/>
      <c r="P597" s="12"/>
      <c r="Q597" s="12"/>
      <c r="R597" s="36"/>
      <c r="S597" s="36"/>
      <c r="T597" s="12"/>
      <c r="U597" s="12"/>
      <c r="V597" s="12"/>
      <c r="W597" s="12"/>
      <c r="X597" s="12"/>
    </row>
    <row r="598" customFormat="false" ht="15.75" hidden="false" customHeight="false" outlineLevel="0" collapsed="false">
      <c r="A598" s="12"/>
      <c r="B598" s="34"/>
      <c r="C598" s="12"/>
      <c r="D598" s="12"/>
      <c r="E598" s="12"/>
      <c r="F598" s="12"/>
      <c r="G598" s="18"/>
      <c r="H598" s="35"/>
      <c r="I598" s="12"/>
      <c r="M598" s="12"/>
      <c r="N598" s="18"/>
      <c r="O598" s="12"/>
      <c r="P598" s="12"/>
      <c r="Q598" s="12"/>
      <c r="R598" s="36"/>
      <c r="S598" s="36"/>
      <c r="T598" s="12"/>
      <c r="U598" s="12"/>
      <c r="V598" s="12"/>
      <c r="W598" s="12"/>
      <c r="X598" s="12"/>
    </row>
    <row r="599" customFormat="false" ht="15.75" hidden="false" customHeight="false" outlineLevel="0" collapsed="false">
      <c r="A599" s="12"/>
      <c r="B599" s="34"/>
      <c r="C599" s="12"/>
      <c r="D599" s="12"/>
      <c r="E599" s="12"/>
      <c r="F599" s="12"/>
      <c r="G599" s="18"/>
      <c r="H599" s="35"/>
      <c r="I599" s="12"/>
      <c r="M599" s="12"/>
      <c r="N599" s="18"/>
      <c r="O599" s="12"/>
      <c r="P599" s="12"/>
      <c r="Q599" s="12"/>
      <c r="R599" s="36"/>
      <c r="S599" s="36"/>
      <c r="T599" s="12"/>
      <c r="U599" s="12"/>
      <c r="V599" s="12"/>
      <c r="W599" s="12"/>
      <c r="X599" s="12"/>
    </row>
    <row r="600" customFormat="false" ht="15.75" hidden="false" customHeight="false" outlineLevel="0" collapsed="false">
      <c r="A600" s="12"/>
      <c r="B600" s="34"/>
      <c r="C600" s="12"/>
      <c r="D600" s="12"/>
      <c r="E600" s="12"/>
      <c r="F600" s="12"/>
      <c r="G600" s="18"/>
      <c r="H600" s="35"/>
      <c r="I600" s="12"/>
      <c r="M600" s="12"/>
      <c r="N600" s="18"/>
      <c r="O600" s="12"/>
      <c r="P600" s="12"/>
      <c r="Q600" s="12"/>
      <c r="R600" s="36"/>
      <c r="S600" s="36"/>
      <c r="T600" s="12"/>
      <c r="U600" s="12"/>
      <c r="V600" s="12"/>
      <c r="W600" s="12"/>
      <c r="X600" s="12"/>
    </row>
    <row r="601" customFormat="false" ht="15.75" hidden="false" customHeight="false" outlineLevel="0" collapsed="false">
      <c r="A601" s="12"/>
      <c r="B601" s="34"/>
      <c r="C601" s="12"/>
      <c r="D601" s="12"/>
      <c r="E601" s="12"/>
      <c r="F601" s="12"/>
      <c r="G601" s="18"/>
      <c r="H601" s="35"/>
      <c r="I601" s="12"/>
      <c r="M601" s="12"/>
      <c r="N601" s="18"/>
      <c r="O601" s="12"/>
      <c r="P601" s="12"/>
      <c r="Q601" s="12"/>
      <c r="R601" s="36"/>
      <c r="S601" s="36"/>
      <c r="T601" s="12"/>
      <c r="U601" s="12"/>
      <c r="V601" s="12"/>
      <c r="W601" s="12"/>
      <c r="X601" s="12"/>
    </row>
    <row r="602" customFormat="false" ht="15.75" hidden="false" customHeight="false" outlineLevel="0" collapsed="false">
      <c r="A602" s="12"/>
      <c r="B602" s="34"/>
      <c r="C602" s="12"/>
      <c r="D602" s="12"/>
      <c r="E602" s="12"/>
      <c r="F602" s="12"/>
      <c r="G602" s="18"/>
      <c r="H602" s="35"/>
      <c r="I602" s="12"/>
      <c r="M602" s="12"/>
      <c r="N602" s="18"/>
      <c r="O602" s="12"/>
      <c r="P602" s="12"/>
      <c r="Q602" s="12"/>
      <c r="R602" s="36"/>
      <c r="S602" s="36"/>
      <c r="T602" s="12"/>
      <c r="U602" s="12"/>
      <c r="V602" s="12"/>
      <c r="W602" s="12"/>
      <c r="X602" s="12"/>
    </row>
    <row r="603" customFormat="false" ht="15.75" hidden="false" customHeight="false" outlineLevel="0" collapsed="false">
      <c r="A603" s="12"/>
      <c r="B603" s="34"/>
      <c r="C603" s="12"/>
      <c r="D603" s="12"/>
      <c r="E603" s="12"/>
      <c r="F603" s="12"/>
      <c r="G603" s="18"/>
      <c r="H603" s="35"/>
      <c r="I603" s="12"/>
      <c r="M603" s="12"/>
      <c r="N603" s="18"/>
      <c r="O603" s="12"/>
      <c r="P603" s="12"/>
      <c r="Q603" s="12"/>
      <c r="R603" s="36"/>
      <c r="S603" s="36"/>
      <c r="T603" s="12"/>
      <c r="U603" s="12"/>
      <c r="V603" s="12"/>
      <c r="W603" s="12"/>
      <c r="X603" s="12"/>
    </row>
    <row r="604" customFormat="false" ht="15.75" hidden="false" customHeight="false" outlineLevel="0" collapsed="false">
      <c r="A604" s="12"/>
      <c r="B604" s="34"/>
      <c r="C604" s="12"/>
      <c r="D604" s="12"/>
      <c r="E604" s="12"/>
      <c r="F604" s="12"/>
      <c r="G604" s="18"/>
      <c r="H604" s="35"/>
      <c r="I604" s="12"/>
      <c r="M604" s="12"/>
      <c r="N604" s="18"/>
      <c r="O604" s="12"/>
      <c r="P604" s="12"/>
      <c r="Q604" s="12"/>
      <c r="R604" s="36"/>
      <c r="S604" s="36"/>
      <c r="T604" s="12"/>
      <c r="U604" s="12"/>
      <c r="V604" s="12"/>
      <c r="W604" s="12"/>
      <c r="X604" s="12"/>
    </row>
    <row r="605" customFormat="false" ht="15.75" hidden="false" customHeight="false" outlineLevel="0" collapsed="false">
      <c r="A605" s="12"/>
      <c r="B605" s="34"/>
      <c r="C605" s="12"/>
      <c r="D605" s="12"/>
      <c r="E605" s="12"/>
      <c r="F605" s="12"/>
      <c r="G605" s="18"/>
      <c r="H605" s="35"/>
      <c r="I605" s="12"/>
      <c r="M605" s="12"/>
      <c r="N605" s="18"/>
      <c r="O605" s="12"/>
      <c r="P605" s="12"/>
      <c r="Q605" s="12"/>
      <c r="R605" s="36"/>
      <c r="S605" s="36"/>
      <c r="T605" s="12"/>
      <c r="U605" s="12"/>
      <c r="V605" s="12"/>
      <c r="W605" s="12"/>
      <c r="X605" s="12"/>
    </row>
    <row r="606" customFormat="false" ht="15.75" hidden="false" customHeight="false" outlineLevel="0" collapsed="false">
      <c r="A606" s="12"/>
      <c r="B606" s="34"/>
      <c r="C606" s="12"/>
      <c r="D606" s="12"/>
      <c r="E606" s="12"/>
      <c r="F606" s="12"/>
      <c r="G606" s="18"/>
      <c r="H606" s="35"/>
      <c r="I606" s="12"/>
      <c r="M606" s="12"/>
      <c r="N606" s="18"/>
      <c r="O606" s="12"/>
      <c r="P606" s="12"/>
      <c r="Q606" s="12"/>
      <c r="R606" s="36"/>
      <c r="S606" s="36"/>
      <c r="T606" s="12"/>
      <c r="U606" s="12"/>
      <c r="V606" s="12"/>
      <c r="W606" s="12"/>
      <c r="X606" s="12"/>
    </row>
    <row r="607" customFormat="false" ht="15.75" hidden="false" customHeight="false" outlineLevel="0" collapsed="false">
      <c r="A607" s="12"/>
      <c r="B607" s="34"/>
      <c r="C607" s="12"/>
      <c r="D607" s="12"/>
      <c r="E607" s="12"/>
      <c r="F607" s="12"/>
      <c r="G607" s="18"/>
      <c r="H607" s="35"/>
      <c r="I607" s="12"/>
      <c r="M607" s="12"/>
      <c r="N607" s="18"/>
      <c r="O607" s="12"/>
      <c r="P607" s="12"/>
      <c r="Q607" s="12"/>
      <c r="R607" s="36"/>
      <c r="S607" s="36"/>
      <c r="T607" s="12"/>
      <c r="U607" s="12"/>
      <c r="V607" s="12"/>
      <c r="W607" s="12"/>
      <c r="X607" s="12"/>
    </row>
    <row r="608" customFormat="false" ht="15.75" hidden="false" customHeight="false" outlineLevel="0" collapsed="false">
      <c r="A608" s="12"/>
      <c r="B608" s="34"/>
      <c r="C608" s="12"/>
      <c r="D608" s="12"/>
      <c r="E608" s="12"/>
      <c r="F608" s="12"/>
      <c r="G608" s="18"/>
      <c r="H608" s="35"/>
      <c r="I608" s="12"/>
      <c r="M608" s="12"/>
      <c r="N608" s="18"/>
      <c r="O608" s="12"/>
      <c r="P608" s="12"/>
      <c r="Q608" s="12"/>
      <c r="R608" s="36"/>
      <c r="S608" s="36"/>
      <c r="T608" s="12"/>
      <c r="U608" s="12"/>
      <c r="V608" s="12"/>
      <c r="W608" s="12"/>
      <c r="X608" s="12"/>
    </row>
    <row r="609" customFormat="false" ht="15.75" hidden="false" customHeight="false" outlineLevel="0" collapsed="false">
      <c r="A609" s="12"/>
      <c r="B609" s="34"/>
      <c r="C609" s="12"/>
      <c r="D609" s="12"/>
      <c r="E609" s="12"/>
      <c r="F609" s="12"/>
      <c r="G609" s="18"/>
      <c r="H609" s="35"/>
      <c r="I609" s="12"/>
      <c r="M609" s="12"/>
      <c r="N609" s="18"/>
      <c r="O609" s="12"/>
      <c r="P609" s="12"/>
      <c r="Q609" s="12"/>
      <c r="R609" s="36"/>
      <c r="S609" s="36"/>
      <c r="T609" s="12"/>
      <c r="U609" s="12"/>
      <c r="V609" s="12"/>
      <c r="W609" s="12"/>
      <c r="X609" s="12"/>
    </row>
    <row r="610" customFormat="false" ht="15.75" hidden="false" customHeight="false" outlineLevel="0" collapsed="false">
      <c r="A610" s="12"/>
      <c r="B610" s="34"/>
      <c r="C610" s="12"/>
      <c r="D610" s="12"/>
      <c r="E610" s="12"/>
      <c r="F610" s="12"/>
      <c r="G610" s="18"/>
      <c r="H610" s="35"/>
      <c r="I610" s="12"/>
      <c r="M610" s="12"/>
      <c r="N610" s="18"/>
      <c r="O610" s="12"/>
      <c r="P610" s="12"/>
      <c r="Q610" s="12"/>
      <c r="R610" s="36"/>
      <c r="S610" s="36"/>
      <c r="T610" s="12"/>
      <c r="U610" s="12"/>
      <c r="V610" s="12"/>
      <c r="W610" s="12"/>
      <c r="X610" s="12"/>
    </row>
    <row r="611" customFormat="false" ht="15.75" hidden="false" customHeight="false" outlineLevel="0" collapsed="false">
      <c r="A611" s="12"/>
      <c r="B611" s="34"/>
      <c r="C611" s="12"/>
      <c r="D611" s="12"/>
      <c r="E611" s="12"/>
      <c r="F611" s="12"/>
      <c r="G611" s="18"/>
      <c r="H611" s="35"/>
      <c r="I611" s="12"/>
      <c r="M611" s="12"/>
      <c r="N611" s="18"/>
      <c r="O611" s="12"/>
      <c r="P611" s="12"/>
      <c r="Q611" s="12"/>
      <c r="R611" s="36"/>
      <c r="S611" s="36"/>
      <c r="T611" s="12"/>
      <c r="U611" s="12"/>
      <c r="V611" s="12"/>
      <c r="W611" s="12"/>
      <c r="X611" s="12"/>
    </row>
    <row r="612" customFormat="false" ht="15.75" hidden="false" customHeight="false" outlineLevel="0" collapsed="false">
      <c r="A612" s="12"/>
      <c r="B612" s="34"/>
      <c r="C612" s="12"/>
      <c r="D612" s="12"/>
      <c r="E612" s="12"/>
      <c r="F612" s="12"/>
      <c r="G612" s="18"/>
      <c r="H612" s="35"/>
      <c r="I612" s="12"/>
      <c r="M612" s="12"/>
      <c r="N612" s="18"/>
      <c r="O612" s="12"/>
      <c r="P612" s="12"/>
      <c r="Q612" s="12"/>
      <c r="R612" s="36"/>
      <c r="S612" s="36"/>
      <c r="T612" s="12"/>
      <c r="U612" s="12"/>
      <c r="V612" s="12"/>
      <c r="W612" s="12"/>
      <c r="X612" s="12"/>
    </row>
    <row r="613" customFormat="false" ht="15.75" hidden="false" customHeight="false" outlineLevel="0" collapsed="false">
      <c r="A613" s="12"/>
      <c r="B613" s="34"/>
      <c r="C613" s="12"/>
      <c r="D613" s="12"/>
      <c r="E613" s="12"/>
      <c r="F613" s="12"/>
      <c r="G613" s="18"/>
      <c r="H613" s="35"/>
      <c r="I613" s="12"/>
      <c r="M613" s="12"/>
      <c r="N613" s="18"/>
      <c r="O613" s="12"/>
      <c r="P613" s="12"/>
      <c r="Q613" s="12"/>
      <c r="R613" s="36"/>
      <c r="S613" s="36"/>
      <c r="T613" s="12"/>
      <c r="U613" s="12"/>
      <c r="V613" s="12"/>
      <c r="W613" s="12"/>
      <c r="X613" s="12"/>
    </row>
    <row r="614" customFormat="false" ht="15.75" hidden="false" customHeight="false" outlineLevel="0" collapsed="false">
      <c r="A614" s="12"/>
      <c r="B614" s="34"/>
      <c r="C614" s="12"/>
      <c r="D614" s="12"/>
      <c r="E614" s="12"/>
      <c r="F614" s="12"/>
      <c r="G614" s="18"/>
      <c r="H614" s="35"/>
      <c r="I614" s="12"/>
      <c r="M614" s="12"/>
      <c r="N614" s="18"/>
      <c r="O614" s="12"/>
      <c r="P614" s="12"/>
      <c r="Q614" s="12"/>
      <c r="R614" s="36"/>
      <c r="S614" s="36"/>
      <c r="T614" s="12"/>
      <c r="U614" s="12"/>
      <c r="V614" s="12"/>
      <c r="W614" s="12"/>
      <c r="X614" s="12"/>
    </row>
    <row r="615" customFormat="false" ht="15.75" hidden="false" customHeight="false" outlineLevel="0" collapsed="false">
      <c r="A615" s="12"/>
      <c r="B615" s="34"/>
      <c r="C615" s="12"/>
      <c r="D615" s="12"/>
      <c r="E615" s="12"/>
      <c r="F615" s="12"/>
      <c r="G615" s="18"/>
      <c r="H615" s="35"/>
      <c r="I615" s="12"/>
      <c r="M615" s="12"/>
      <c r="N615" s="18"/>
      <c r="O615" s="12"/>
      <c r="P615" s="12"/>
      <c r="Q615" s="12"/>
      <c r="R615" s="36"/>
      <c r="S615" s="36"/>
      <c r="T615" s="12"/>
      <c r="U615" s="12"/>
      <c r="V615" s="12"/>
      <c r="W615" s="12"/>
      <c r="X615" s="12"/>
    </row>
    <row r="616" customFormat="false" ht="15.75" hidden="false" customHeight="false" outlineLevel="0" collapsed="false">
      <c r="A616" s="12"/>
      <c r="B616" s="34"/>
      <c r="C616" s="12"/>
      <c r="D616" s="12"/>
      <c r="E616" s="12"/>
      <c r="F616" s="12"/>
      <c r="G616" s="18"/>
      <c r="H616" s="35"/>
      <c r="I616" s="12"/>
      <c r="M616" s="12"/>
      <c r="N616" s="18"/>
      <c r="O616" s="12"/>
      <c r="P616" s="12"/>
      <c r="Q616" s="12"/>
      <c r="R616" s="36"/>
      <c r="S616" s="36"/>
      <c r="T616" s="12"/>
      <c r="U616" s="12"/>
      <c r="V616" s="12"/>
      <c r="W616" s="12"/>
      <c r="X616" s="12"/>
    </row>
    <row r="617" customFormat="false" ht="15.75" hidden="false" customHeight="false" outlineLevel="0" collapsed="false">
      <c r="A617" s="12"/>
      <c r="B617" s="34"/>
      <c r="C617" s="12"/>
      <c r="D617" s="12"/>
      <c r="E617" s="12"/>
      <c r="F617" s="12"/>
      <c r="G617" s="18"/>
      <c r="H617" s="35"/>
      <c r="I617" s="12"/>
      <c r="M617" s="12"/>
      <c r="N617" s="18"/>
      <c r="O617" s="12"/>
      <c r="P617" s="12"/>
      <c r="Q617" s="12"/>
      <c r="R617" s="36"/>
      <c r="S617" s="36"/>
      <c r="T617" s="12"/>
      <c r="U617" s="12"/>
      <c r="V617" s="12"/>
      <c r="W617" s="12"/>
      <c r="X617" s="12"/>
    </row>
    <row r="618" customFormat="false" ht="15.75" hidden="false" customHeight="false" outlineLevel="0" collapsed="false">
      <c r="A618" s="12"/>
      <c r="B618" s="34"/>
      <c r="C618" s="12"/>
      <c r="D618" s="12"/>
      <c r="E618" s="12"/>
      <c r="F618" s="12"/>
      <c r="G618" s="18"/>
      <c r="H618" s="35"/>
      <c r="I618" s="12"/>
      <c r="M618" s="12"/>
      <c r="N618" s="18"/>
      <c r="O618" s="12"/>
      <c r="P618" s="12"/>
      <c r="Q618" s="12"/>
      <c r="R618" s="36"/>
      <c r="S618" s="36"/>
      <c r="T618" s="12"/>
      <c r="U618" s="12"/>
      <c r="V618" s="12"/>
      <c r="W618" s="12"/>
      <c r="X618" s="12"/>
    </row>
    <row r="619" customFormat="false" ht="15.75" hidden="false" customHeight="false" outlineLevel="0" collapsed="false">
      <c r="A619" s="12"/>
      <c r="B619" s="34"/>
      <c r="C619" s="12"/>
      <c r="D619" s="12"/>
      <c r="E619" s="12"/>
      <c r="F619" s="12"/>
      <c r="G619" s="18"/>
      <c r="H619" s="35"/>
      <c r="I619" s="12"/>
      <c r="M619" s="12"/>
      <c r="N619" s="18"/>
      <c r="O619" s="12"/>
      <c r="P619" s="12"/>
      <c r="Q619" s="12"/>
      <c r="R619" s="36"/>
      <c r="S619" s="36"/>
      <c r="T619" s="12"/>
      <c r="U619" s="12"/>
      <c r="V619" s="12"/>
      <c r="W619" s="12"/>
      <c r="X619" s="12"/>
    </row>
    <row r="620" customFormat="false" ht="15.75" hidden="false" customHeight="false" outlineLevel="0" collapsed="false">
      <c r="A620" s="12"/>
      <c r="B620" s="34"/>
      <c r="C620" s="12"/>
      <c r="D620" s="12"/>
      <c r="E620" s="12"/>
      <c r="F620" s="12"/>
      <c r="G620" s="18"/>
      <c r="H620" s="35"/>
      <c r="I620" s="12"/>
      <c r="M620" s="12"/>
      <c r="N620" s="18"/>
      <c r="O620" s="12"/>
      <c r="P620" s="12"/>
      <c r="Q620" s="12"/>
      <c r="R620" s="36"/>
      <c r="S620" s="36"/>
      <c r="T620" s="12"/>
      <c r="U620" s="12"/>
      <c r="V620" s="12"/>
      <c r="W620" s="12"/>
      <c r="X620" s="12"/>
    </row>
    <row r="621" customFormat="false" ht="15.75" hidden="false" customHeight="false" outlineLevel="0" collapsed="false">
      <c r="A621" s="12"/>
      <c r="B621" s="34"/>
      <c r="C621" s="12"/>
      <c r="D621" s="12"/>
      <c r="E621" s="12"/>
      <c r="F621" s="12"/>
      <c r="G621" s="18"/>
      <c r="H621" s="35"/>
      <c r="I621" s="12"/>
      <c r="M621" s="12"/>
      <c r="N621" s="18"/>
      <c r="O621" s="12"/>
      <c r="P621" s="12"/>
      <c r="Q621" s="12"/>
      <c r="R621" s="36"/>
      <c r="S621" s="36"/>
      <c r="T621" s="12"/>
      <c r="U621" s="12"/>
      <c r="V621" s="12"/>
      <c r="W621" s="12"/>
      <c r="X621" s="12"/>
    </row>
    <row r="622" customFormat="false" ht="15.75" hidden="false" customHeight="false" outlineLevel="0" collapsed="false">
      <c r="A622" s="12"/>
      <c r="B622" s="34"/>
      <c r="C622" s="12"/>
      <c r="D622" s="12"/>
      <c r="E622" s="12"/>
      <c r="F622" s="12"/>
      <c r="G622" s="18"/>
      <c r="H622" s="35"/>
      <c r="I622" s="12"/>
      <c r="M622" s="12"/>
      <c r="N622" s="18"/>
      <c r="O622" s="12"/>
      <c r="P622" s="12"/>
      <c r="Q622" s="12"/>
      <c r="R622" s="36"/>
      <c r="S622" s="36"/>
      <c r="T622" s="12"/>
      <c r="U622" s="12"/>
      <c r="V622" s="12"/>
      <c r="W622" s="12"/>
      <c r="X622" s="12"/>
    </row>
    <row r="623" customFormat="false" ht="15.75" hidden="false" customHeight="false" outlineLevel="0" collapsed="false">
      <c r="A623" s="12"/>
      <c r="B623" s="34"/>
      <c r="C623" s="12"/>
      <c r="D623" s="12"/>
      <c r="E623" s="12"/>
      <c r="F623" s="12"/>
      <c r="G623" s="18"/>
      <c r="H623" s="35"/>
      <c r="I623" s="12"/>
      <c r="M623" s="12"/>
      <c r="N623" s="18"/>
      <c r="O623" s="12"/>
      <c r="P623" s="12"/>
      <c r="Q623" s="12"/>
      <c r="R623" s="36"/>
      <c r="S623" s="36"/>
      <c r="T623" s="12"/>
      <c r="U623" s="12"/>
      <c r="V623" s="12"/>
      <c r="W623" s="12"/>
      <c r="X623" s="12"/>
    </row>
    <row r="624" customFormat="false" ht="15.75" hidden="false" customHeight="false" outlineLevel="0" collapsed="false">
      <c r="A624" s="12"/>
      <c r="B624" s="34"/>
      <c r="C624" s="12"/>
      <c r="D624" s="12"/>
      <c r="E624" s="12"/>
      <c r="F624" s="12"/>
      <c r="G624" s="18"/>
      <c r="H624" s="35"/>
      <c r="I624" s="12"/>
      <c r="M624" s="12"/>
      <c r="N624" s="18"/>
      <c r="O624" s="12"/>
      <c r="P624" s="12"/>
      <c r="Q624" s="12"/>
      <c r="R624" s="36"/>
      <c r="S624" s="36"/>
      <c r="T624" s="12"/>
      <c r="U624" s="12"/>
      <c r="V624" s="12"/>
      <c r="W624" s="12"/>
      <c r="X624" s="12"/>
    </row>
    <row r="625" customFormat="false" ht="15.75" hidden="false" customHeight="false" outlineLevel="0" collapsed="false">
      <c r="A625" s="12"/>
      <c r="B625" s="34"/>
      <c r="C625" s="12"/>
      <c r="D625" s="12"/>
      <c r="E625" s="12"/>
      <c r="F625" s="12"/>
      <c r="G625" s="18"/>
      <c r="H625" s="35"/>
      <c r="I625" s="12"/>
      <c r="M625" s="12"/>
      <c r="N625" s="18"/>
      <c r="O625" s="12"/>
      <c r="P625" s="12"/>
      <c r="Q625" s="12"/>
      <c r="R625" s="36"/>
      <c r="S625" s="36"/>
      <c r="T625" s="12"/>
      <c r="U625" s="12"/>
      <c r="V625" s="12"/>
      <c r="W625" s="12"/>
      <c r="X625" s="12"/>
    </row>
    <row r="626" customFormat="false" ht="15.75" hidden="false" customHeight="false" outlineLevel="0" collapsed="false">
      <c r="A626" s="12"/>
      <c r="B626" s="34"/>
      <c r="C626" s="12"/>
      <c r="D626" s="12"/>
      <c r="E626" s="12"/>
      <c r="F626" s="12"/>
      <c r="G626" s="18"/>
      <c r="H626" s="35"/>
      <c r="I626" s="12"/>
      <c r="M626" s="12"/>
      <c r="N626" s="18"/>
      <c r="O626" s="12"/>
      <c r="P626" s="12"/>
      <c r="Q626" s="12"/>
      <c r="R626" s="36"/>
      <c r="S626" s="36"/>
      <c r="T626" s="12"/>
      <c r="U626" s="12"/>
      <c r="V626" s="12"/>
      <c r="W626" s="12"/>
      <c r="X626" s="12"/>
    </row>
    <row r="627" customFormat="false" ht="15.75" hidden="false" customHeight="false" outlineLevel="0" collapsed="false">
      <c r="A627" s="12"/>
      <c r="B627" s="34"/>
      <c r="C627" s="12"/>
      <c r="D627" s="12"/>
      <c r="E627" s="12"/>
      <c r="F627" s="12"/>
      <c r="G627" s="18"/>
      <c r="H627" s="35"/>
      <c r="I627" s="12"/>
      <c r="M627" s="12"/>
      <c r="N627" s="18"/>
      <c r="O627" s="12"/>
      <c r="P627" s="12"/>
      <c r="Q627" s="12"/>
      <c r="R627" s="36"/>
      <c r="S627" s="36"/>
      <c r="T627" s="12"/>
      <c r="U627" s="12"/>
      <c r="V627" s="12"/>
      <c r="W627" s="12"/>
      <c r="X627" s="12"/>
    </row>
    <row r="628" customFormat="false" ht="15.75" hidden="false" customHeight="false" outlineLevel="0" collapsed="false">
      <c r="A628" s="12"/>
      <c r="B628" s="34"/>
      <c r="C628" s="12"/>
      <c r="D628" s="12"/>
      <c r="E628" s="12"/>
      <c r="F628" s="12"/>
      <c r="G628" s="18"/>
      <c r="H628" s="35"/>
      <c r="I628" s="12"/>
      <c r="M628" s="12"/>
      <c r="N628" s="18"/>
      <c r="O628" s="12"/>
      <c r="P628" s="12"/>
      <c r="Q628" s="12"/>
      <c r="R628" s="36"/>
      <c r="S628" s="36"/>
      <c r="T628" s="12"/>
      <c r="U628" s="12"/>
      <c r="V628" s="12"/>
      <c r="W628" s="12"/>
      <c r="X628" s="12"/>
    </row>
    <row r="629" customFormat="false" ht="15.75" hidden="false" customHeight="false" outlineLevel="0" collapsed="false">
      <c r="A629" s="12"/>
      <c r="B629" s="34"/>
      <c r="C629" s="12"/>
      <c r="D629" s="12"/>
      <c r="E629" s="12"/>
      <c r="F629" s="12"/>
      <c r="G629" s="18"/>
      <c r="H629" s="35"/>
      <c r="I629" s="12"/>
      <c r="M629" s="12"/>
      <c r="N629" s="18"/>
      <c r="O629" s="12"/>
      <c r="P629" s="12"/>
      <c r="Q629" s="12"/>
      <c r="R629" s="36"/>
      <c r="S629" s="36"/>
      <c r="T629" s="12"/>
      <c r="U629" s="12"/>
      <c r="V629" s="12"/>
      <c r="W629" s="12"/>
      <c r="X629" s="12"/>
    </row>
    <row r="630" customFormat="false" ht="15.75" hidden="false" customHeight="false" outlineLevel="0" collapsed="false">
      <c r="A630" s="12"/>
      <c r="B630" s="34"/>
      <c r="C630" s="12"/>
      <c r="D630" s="12"/>
      <c r="E630" s="12"/>
      <c r="F630" s="12"/>
      <c r="G630" s="18"/>
      <c r="H630" s="35"/>
      <c r="I630" s="12"/>
      <c r="M630" s="12"/>
      <c r="N630" s="18"/>
      <c r="O630" s="12"/>
      <c r="P630" s="12"/>
      <c r="Q630" s="12"/>
      <c r="R630" s="36"/>
      <c r="S630" s="36"/>
      <c r="T630" s="12"/>
      <c r="U630" s="12"/>
      <c r="V630" s="12"/>
      <c r="W630" s="12"/>
      <c r="X630" s="12"/>
    </row>
    <row r="631" customFormat="false" ht="15.75" hidden="false" customHeight="false" outlineLevel="0" collapsed="false">
      <c r="A631" s="12"/>
      <c r="B631" s="34"/>
      <c r="C631" s="12"/>
      <c r="D631" s="12"/>
      <c r="E631" s="12"/>
      <c r="F631" s="12"/>
      <c r="G631" s="18"/>
      <c r="H631" s="35"/>
      <c r="I631" s="12"/>
      <c r="M631" s="12"/>
      <c r="N631" s="18"/>
      <c r="O631" s="12"/>
      <c r="P631" s="12"/>
      <c r="Q631" s="12"/>
      <c r="R631" s="36"/>
      <c r="S631" s="36"/>
      <c r="T631" s="12"/>
      <c r="U631" s="12"/>
      <c r="V631" s="12"/>
      <c r="W631" s="12"/>
      <c r="X631" s="12"/>
    </row>
    <row r="632" customFormat="false" ht="15.75" hidden="false" customHeight="false" outlineLevel="0" collapsed="false">
      <c r="A632" s="12"/>
      <c r="B632" s="34"/>
      <c r="C632" s="12"/>
      <c r="D632" s="12"/>
      <c r="E632" s="12"/>
      <c r="F632" s="12"/>
      <c r="G632" s="18"/>
      <c r="H632" s="35"/>
      <c r="I632" s="12"/>
      <c r="M632" s="12"/>
      <c r="N632" s="18"/>
      <c r="O632" s="12"/>
      <c r="P632" s="12"/>
      <c r="Q632" s="12"/>
      <c r="R632" s="36"/>
      <c r="S632" s="36"/>
      <c r="T632" s="12"/>
      <c r="U632" s="12"/>
      <c r="V632" s="12"/>
      <c r="W632" s="12"/>
      <c r="X632" s="12"/>
    </row>
    <row r="633" customFormat="false" ht="15.75" hidden="false" customHeight="false" outlineLevel="0" collapsed="false">
      <c r="A633" s="12"/>
      <c r="B633" s="34"/>
      <c r="C633" s="12"/>
      <c r="D633" s="12"/>
      <c r="E633" s="12"/>
      <c r="F633" s="12"/>
      <c r="G633" s="18"/>
      <c r="H633" s="35"/>
      <c r="I633" s="12"/>
      <c r="M633" s="12"/>
      <c r="N633" s="18"/>
      <c r="O633" s="12"/>
      <c r="P633" s="12"/>
      <c r="Q633" s="12"/>
      <c r="R633" s="36"/>
      <c r="S633" s="36"/>
      <c r="T633" s="12"/>
      <c r="U633" s="12"/>
      <c r="V633" s="12"/>
      <c r="W633" s="12"/>
      <c r="X633" s="12"/>
    </row>
    <row r="634" customFormat="false" ht="15.75" hidden="false" customHeight="false" outlineLevel="0" collapsed="false">
      <c r="A634" s="12"/>
      <c r="B634" s="34"/>
      <c r="C634" s="12"/>
      <c r="D634" s="12"/>
      <c r="E634" s="12"/>
      <c r="F634" s="12"/>
      <c r="G634" s="18"/>
      <c r="H634" s="35"/>
      <c r="I634" s="12"/>
      <c r="M634" s="12"/>
      <c r="N634" s="18"/>
      <c r="O634" s="12"/>
      <c r="P634" s="12"/>
      <c r="Q634" s="12"/>
      <c r="R634" s="36"/>
      <c r="S634" s="36"/>
      <c r="T634" s="12"/>
      <c r="U634" s="12"/>
      <c r="V634" s="12"/>
      <c r="W634" s="12"/>
      <c r="X634" s="12"/>
    </row>
    <row r="635" customFormat="false" ht="15.75" hidden="false" customHeight="false" outlineLevel="0" collapsed="false">
      <c r="A635" s="12"/>
      <c r="B635" s="34"/>
      <c r="C635" s="12"/>
      <c r="D635" s="12"/>
      <c r="E635" s="12"/>
      <c r="F635" s="12"/>
      <c r="G635" s="18"/>
      <c r="H635" s="35"/>
      <c r="I635" s="12"/>
      <c r="M635" s="12"/>
      <c r="N635" s="18"/>
      <c r="O635" s="12"/>
      <c r="P635" s="12"/>
      <c r="Q635" s="12"/>
      <c r="R635" s="36"/>
      <c r="S635" s="36"/>
      <c r="T635" s="12"/>
      <c r="U635" s="12"/>
      <c r="V635" s="12"/>
      <c r="W635" s="12"/>
      <c r="X635" s="12"/>
    </row>
    <row r="636" customFormat="false" ht="15.75" hidden="false" customHeight="false" outlineLevel="0" collapsed="false">
      <c r="A636" s="12"/>
      <c r="B636" s="34"/>
      <c r="C636" s="12"/>
      <c r="D636" s="12"/>
      <c r="E636" s="12"/>
      <c r="F636" s="12"/>
      <c r="G636" s="18"/>
      <c r="H636" s="35"/>
      <c r="I636" s="12"/>
      <c r="M636" s="12"/>
      <c r="N636" s="18"/>
      <c r="O636" s="12"/>
      <c r="P636" s="12"/>
      <c r="Q636" s="12"/>
      <c r="R636" s="36"/>
      <c r="S636" s="36"/>
      <c r="T636" s="12"/>
      <c r="U636" s="12"/>
      <c r="V636" s="12"/>
      <c r="W636" s="12"/>
      <c r="X636" s="12"/>
    </row>
    <row r="637" customFormat="false" ht="15.75" hidden="false" customHeight="false" outlineLevel="0" collapsed="false">
      <c r="A637" s="12"/>
      <c r="B637" s="34"/>
      <c r="C637" s="12"/>
      <c r="D637" s="12"/>
      <c r="E637" s="12"/>
      <c r="F637" s="12"/>
      <c r="G637" s="18"/>
      <c r="H637" s="35"/>
      <c r="I637" s="12"/>
      <c r="M637" s="12"/>
      <c r="N637" s="18"/>
      <c r="O637" s="12"/>
      <c r="P637" s="12"/>
      <c r="Q637" s="12"/>
      <c r="R637" s="36"/>
      <c r="S637" s="36"/>
      <c r="T637" s="12"/>
      <c r="U637" s="12"/>
      <c r="V637" s="12"/>
      <c r="W637" s="12"/>
      <c r="X637" s="12"/>
    </row>
    <row r="638" customFormat="false" ht="15.75" hidden="false" customHeight="false" outlineLevel="0" collapsed="false">
      <c r="A638" s="12"/>
      <c r="B638" s="34"/>
      <c r="C638" s="12"/>
      <c r="D638" s="12"/>
      <c r="E638" s="12"/>
      <c r="F638" s="12"/>
      <c r="G638" s="18"/>
      <c r="H638" s="35"/>
      <c r="I638" s="12"/>
      <c r="M638" s="12"/>
      <c r="N638" s="18"/>
      <c r="O638" s="12"/>
      <c r="P638" s="12"/>
      <c r="Q638" s="12"/>
      <c r="R638" s="36"/>
      <c r="S638" s="36"/>
      <c r="T638" s="12"/>
      <c r="U638" s="12"/>
      <c r="V638" s="12"/>
      <c r="W638" s="12"/>
      <c r="X638" s="12"/>
    </row>
    <row r="639" customFormat="false" ht="15.75" hidden="false" customHeight="false" outlineLevel="0" collapsed="false">
      <c r="A639" s="12"/>
      <c r="B639" s="34"/>
      <c r="C639" s="12"/>
      <c r="D639" s="12"/>
      <c r="E639" s="12"/>
      <c r="F639" s="12"/>
      <c r="G639" s="18"/>
      <c r="H639" s="35"/>
      <c r="I639" s="12"/>
      <c r="M639" s="12"/>
      <c r="N639" s="18"/>
      <c r="O639" s="12"/>
      <c r="P639" s="12"/>
      <c r="Q639" s="12"/>
      <c r="R639" s="36"/>
      <c r="S639" s="36"/>
      <c r="T639" s="12"/>
      <c r="U639" s="12"/>
      <c r="V639" s="12"/>
      <c r="W639" s="12"/>
      <c r="X639" s="12"/>
    </row>
    <row r="640" customFormat="false" ht="15.75" hidden="false" customHeight="false" outlineLevel="0" collapsed="false">
      <c r="A640" s="12"/>
      <c r="B640" s="34"/>
      <c r="C640" s="12"/>
      <c r="D640" s="12"/>
      <c r="E640" s="12"/>
      <c r="F640" s="12"/>
      <c r="G640" s="18"/>
      <c r="H640" s="35"/>
      <c r="I640" s="12"/>
      <c r="M640" s="12"/>
      <c r="N640" s="18"/>
      <c r="O640" s="12"/>
      <c r="P640" s="12"/>
      <c r="Q640" s="12"/>
      <c r="R640" s="36"/>
      <c r="S640" s="36"/>
      <c r="T640" s="12"/>
      <c r="U640" s="12"/>
      <c r="V640" s="12"/>
      <c r="W640" s="12"/>
      <c r="X640" s="12"/>
    </row>
    <row r="641" customFormat="false" ht="15.75" hidden="false" customHeight="false" outlineLevel="0" collapsed="false">
      <c r="A641" s="12"/>
      <c r="B641" s="34"/>
      <c r="C641" s="12"/>
      <c r="D641" s="12"/>
      <c r="E641" s="12"/>
      <c r="F641" s="12"/>
      <c r="G641" s="18"/>
      <c r="H641" s="35"/>
      <c r="I641" s="12"/>
      <c r="M641" s="12"/>
      <c r="N641" s="18"/>
      <c r="O641" s="12"/>
      <c r="P641" s="12"/>
      <c r="Q641" s="12"/>
      <c r="R641" s="36"/>
      <c r="S641" s="36"/>
      <c r="T641" s="12"/>
      <c r="U641" s="12"/>
      <c r="V641" s="12"/>
      <c r="W641" s="12"/>
      <c r="X641" s="12"/>
    </row>
    <row r="642" customFormat="false" ht="15.75" hidden="false" customHeight="false" outlineLevel="0" collapsed="false">
      <c r="A642" s="12"/>
      <c r="B642" s="34"/>
      <c r="C642" s="12"/>
      <c r="D642" s="12"/>
      <c r="E642" s="12"/>
      <c r="F642" s="12"/>
      <c r="G642" s="18"/>
      <c r="H642" s="35"/>
      <c r="I642" s="12"/>
      <c r="M642" s="12"/>
      <c r="N642" s="18"/>
      <c r="O642" s="12"/>
      <c r="P642" s="12"/>
      <c r="Q642" s="12"/>
      <c r="R642" s="36"/>
      <c r="S642" s="36"/>
      <c r="T642" s="12"/>
      <c r="U642" s="12"/>
      <c r="V642" s="12"/>
      <c r="W642" s="12"/>
      <c r="X642" s="12"/>
    </row>
    <row r="643" customFormat="false" ht="15.75" hidden="false" customHeight="false" outlineLevel="0" collapsed="false">
      <c r="A643" s="12"/>
      <c r="B643" s="34"/>
      <c r="C643" s="12"/>
      <c r="D643" s="12"/>
      <c r="E643" s="12"/>
      <c r="F643" s="12"/>
      <c r="G643" s="18"/>
      <c r="H643" s="35"/>
      <c r="I643" s="12"/>
      <c r="M643" s="12"/>
      <c r="N643" s="18"/>
      <c r="O643" s="12"/>
      <c r="P643" s="12"/>
      <c r="Q643" s="12"/>
      <c r="R643" s="36"/>
      <c r="S643" s="36"/>
      <c r="T643" s="12"/>
      <c r="U643" s="12"/>
      <c r="V643" s="12"/>
      <c r="W643" s="12"/>
      <c r="X643" s="12"/>
    </row>
    <row r="644" customFormat="false" ht="15.75" hidden="false" customHeight="false" outlineLevel="0" collapsed="false">
      <c r="A644" s="12"/>
      <c r="B644" s="34"/>
      <c r="C644" s="12"/>
      <c r="D644" s="12"/>
      <c r="E644" s="12"/>
      <c r="F644" s="12"/>
      <c r="G644" s="18"/>
      <c r="H644" s="35"/>
      <c r="I644" s="12"/>
      <c r="M644" s="12"/>
      <c r="N644" s="18"/>
      <c r="O644" s="12"/>
      <c r="P644" s="12"/>
      <c r="Q644" s="12"/>
      <c r="R644" s="36"/>
      <c r="S644" s="36"/>
      <c r="T644" s="12"/>
      <c r="U644" s="12"/>
      <c r="V644" s="12"/>
      <c r="W644" s="12"/>
      <c r="X644" s="12"/>
    </row>
    <row r="645" customFormat="false" ht="15.75" hidden="false" customHeight="false" outlineLevel="0" collapsed="false">
      <c r="A645" s="12"/>
      <c r="B645" s="34"/>
      <c r="C645" s="12"/>
      <c r="D645" s="12"/>
      <c r="E645" s="12"/>
      <c r="F645" s="12"/>
      <c r="G645" s="18"/>
      <c r="H645" s="35"/>
      <c r="I645" s="12"/>
      <c r="M645" s="12"/>
      <c r="N645" s="18"/>
      <c r="O645" s="12"/>
      <c r="P645" s="12"/>
      <c r="Q645" s="12"/>
      <c r="R645" s="36"/>
      <c r="S645" s="36"/>
      <c r="T645" s="12"/>
      <c r="U645" s="12"/>
      <c r="V645" s="12"/>
      <c r="W645" s="12"/>
      <c r="X645" s="12"/>
    </row>
    <row r="646" customFormat="false" ht="15.75" hidden="false" customHeight="false" outlineLevel="0" collapsed="false">
      <c r="A646" s="12"/>
      <c r="B646" s="34"/>
      <c r="C646" s="12"/>
      <c r="D646" s="12"/>
      <c r="E646" s="12"/>
      <c r="F646" s="12"/>
      <c r="G646" s="18"/>
      <c r="H646" s="35"/>
      <c r="I646" s="12"/>
      <c r="M646" s="12"/>
      <c r="N646" s="18"/>
      <c r="O646" s="12"/>
      <c r="P646" s="12"/>
      <c r="Q646" s="12"/>
      <c r="R646" s="36"/>
      <c r="S646" s="36"/>
      <c r="T646" s="12"/>
      <c r="U646" s="12"/>
      <c r="V646" s="12"/>
      <c r="W646" s="12"/>
      <c r="X646" s="12"/>
    </row>
    <row r="647" customFormat="false" ht="15.75" hidden="false" customHeight="false" outlineLevel="0" collapsed="false">
      <c r="A647" s="12"/>
      <c r="B647" s="34"/>
      <c r="C647" s="12"/>
      <c r="D647" s="12"/>
      <c r="E647" s="12"/>
      <c r="F647" s="12"/>
      <c r="G647" s="18"/>
      <c r="H647" s="35"/>
      <c r="I647" s="12"/>
      <c r="M647" s="12"/>
      <c r="N647" s="18"/>
      <c r="O647" s="12"/>
      <c r="P647" s="12"/>
      <c r="Q647" s="12"/>
      <c r="R647" s="36"/>
      <c r="S647" s="36"/>
      <c r="T647" s="12"/>
      <c r="U647" s="12"/>
      <c r="V647" s="12"/>
      <c r="W647" s="12"/>
      <c r="X647" s="12"/>
    </row>
    <row r="648" customFormat="false" ht="15.75" hidden="false" customHeight="false" outlineLevel="0" collapsed="false">
      <c r="A648" s="12"/>
      <c r="B648" s="34"/>
      <c r="C648" s="12"/>
      <c r="D648" s="12"/>
      <c r="E648" s="12"/>
      <c r="F648" s="12"/>
      <c r="G648" s="18"/>
      <c r="H648" s="35"/>
      <c r="I648" s="12"/>
      <c r="M648" s="12"/>
      <c r="N648" s="18"/>
      <c r="O648" s="12"/>
      <c r="P648" s="12"/>
      <c r="Q648" s="12"/>
      <c r="R648" s="36"/>
      <c r="S648" s="36"/>
      <c r="T648" s="12"/>
      <c r="U648" s="12"/>
      <c r="V648" s="12"/>
      <c r="W648" s="12"/>
      <c r="X648" s="12"/>
    </row>
    <row r="649" customFormat="false" ht="15.75" hidden="false" customHeight="false" outlineLevel="0" collapsed="false">
      <c r="A649" s="12"/>
      <c r="B649" s="34"/>
      <c r="C649" s="12"/>
      <c r="D649" s="12"/>
      <c r="E649" s="12"/>
      <c r="F649" s="12"/>
      <c r="G649" s="18"/>
      <c r="H649" s="35"/>
      <c r="I649" s="12"/>
      <c r="M649" s="12"/>
      <c r="N649" s="18"/>
      <c r="O649" s="12"/>
      <c r="P649" s="12"/>
      <c r="Q649" s="12"/>
      <c r="R649" s="36"/>
      <c r="S649" s="36"/>
      <c r="T649" s="12"/>
      <c r="U649" s="12"/>
      <c r="V649" s="12"/>
      <c r="W649" s="12"/>
      <c r="X649" s="12"/>
    </row>
    <row r="650" customFormat="false" ht="15.75" hidden="false" customHeight="false" outlineLevel="0" collapsed="false">
      <c r="A650" s="12"/>
      <c r="B650" s="34"/>
      <c r="C650" s="12"/>
      <c r="D650" s="12"/>
      <c r="E650" s="12"/>
      <c r="F650" s="12"/>
      <c r="G650" s="18"/>
      <c r="H650" s="35"/>
      <c r="I650" s="12"/>
      <c r="M650" s="12"/>
      <c r="N650" s="18"/>
      <c r="O650" s="12"/>
      <c r="P650" s="12"/>
      <c r="Q650" s="12"/>
      <c r="R650" s="36"/>
      <c r="S650" s="36"/>
      <c r="T650" s="12"/>
      <c r="U650" s="12"/>
      <c r="V650" s="12"/>
      <c r="W650" s="12"/>
      <c r="X650" s="12"/>
    </row>
    <row r="651" customFormat="false" ht="15.75" hidden="false" customHeight="false" outlineLevel="0" collapsed="false">
      <c r="A651" s="12"/>
      <c r="B651" s="34"/>
      <c r="C651" s="12"/>
      <c r="D651" s="12"/>
      <c r="E651" s="12"/>
      <c r="F651" s="12"/>
      <c r="G651" s="18"/>
      <c r="H651" s="35"/>
      <c r="I651" s="12"/>
      <c r="M651" s="12"/>
      <c r="N651" s="18"/>
      <c r="O651" s="12"/>
      <c r="P651" s="12"/>
      <c r="Q651" s="12"/>
      <c r="R651" s="36"/>
      <c r="S651" s="36"/>
      <c r="T651" s="12"/>
      <c r="U651" s="12"/>
      <c r="V651" s="12"/>
      <c r="W651" s="12"/>
      <c r="X651" s="12"/>
    </row>
    <row r="652" customFormat="false" ht="15.75" hidden="false" customHeight="false" outlineLevel="0" collapsed="false">
      <c r="A652" s="12"/>
      <c r="B652" s="34"/>
      <c r="C652" s="12"/>
      <c r="D652" s="12"/>
      <c r="E652" s="12"/>
      <c r="F652" s="12"/>
      <c r="G652" s="18"/>
      <c r="H652" s="35"/>
      <c r="I652" s="12"/>
      <c r="M652" s="12"/>
      <c r="N652" s="18"/>
      <c r="O652" s="12"/>
      <c r="P652" s="12"/>
      <c r="Q652" s="12"/>
      <c r="R652" s="36"/>
      <c r="S652" s="36"/>
      <c r="T652" s="12"/>
      <c r="U652" s="12"/>
      <c r="V652" s="12"/>
      <c r="W652" s="12"/>
      <c r="X652" s="12"/>
    </row>
    <row r="653" customFormat="false" ht="15.75" hidden="false" customHeight="false" outlineLevel="0" collapsed="false">
      <c r="A653" s="12"/>
      <c r="B653" s="34"/>
      <c r="C653" s="12"/>
      <c r="D653" s="12"/>
      <c r="E653" s="12"/>
      <c r="F653" s="12"/>
      <c r="G653" s="18"/>
      <c r="H653" s="35"/>
      <c r="I653" s="12"/>
      <c r="M653" s="12"/>
      <c r="N653" s="18"/>
      <c r="O653" s="12"/>
      <c r="P653" s="12"/>
      <c r="Q653" s="12"/>
      <c r="R653" s="36"/>
      <c r="S653" s="36"/>
      <c r="T653" s="12"/>
      <c r="U653" s="12"/>
      <c r="V653" s="12"/>
      <c r="W653" s="12"/>
      <c r="X653" s="12"/>
    </row>
    <row r="654" customFormat="false" ht="15.75" hidden="false" customHeight="false" outlineLevel="0" collapsed="false">
      <c r="A654" s="12"/>
      <c r="B654" s="34"/>
      <c r="C654" s="12"/>
      <c r="D654" s="12"/>
      <c r="E654" s="12"/>
      <c r="F654" s="12"/>
      <c r="G654" s="18"/>
      <c r="H654" s="35"/>
      <c r="I654" s="12"/>
      <c r="M654" s="12"/>
      <c r="N654" s="18"/>
      <c r="O654" s="12"/>
      <c r="P654" s="12"/>
      <c r="Q654" s="12"/>
      <c r="R654" s="36"/>
      <c r="S654" s="36"/>
      <c r="T654" s="12"/>
      <c r="U654" s="12"/>
      <c r="V654" s="12"/>
      <c r="W654" s="12"/>
      <c r="X654" s="12"/>
    </row>
    <row r="655" customFormat="false" ht="15.75" hidden="false" customHeight="false" outlineLevel="0" collapsed="false">
      <c r="A655" s="12"/>
      <c r="B655" s="34"/>
      <c r="C655" s="12"/>
      <c r="D655" s="12"/>
      <c r="E655" s="12"/>
      <c r="F655" s="12"/>
      <c r="G655" s="18"/>
      <c r="H655" s="35"/>
      <c r="I655" s="12"/>
      <c r="M655" s="12"/>
      <c r="N655" s="18"/>
      <c r="O655" s="12"/>
      <c r="P655" s="12"/>
      <c r="Q655" s="12"/>
      <c r="R655" s="36"/>
      <c r="S655" s="36"/>
      <c r="T655" s="12"/>
      <c r="U655" s="12"/>
      <c r="V655" s="12"/>
      <c r="W655" s="12"/>
      <c r="X655" s="12"/>
    </row>
    <row r="656" customFormat="false" ht="15.75" hidden="false" customHeight="false" outlineLevel="0" collapsed="false">
      <c r="A656" s="12"/>
      <c r="B656" s="34"/>
      <c r="C656" s="12"/>
      <c r="D656" s="12"/>
      <c r="E656" s="12"/>
      <c r="F656" s="12"/>
      <c r="G656" s="18"/>
      <c r="H656" s="35"/>
      <c r="I656" s="12"/>
      <c r="M656" s="12"/>
      <c r="N656" s="18"/>
      <c r="O656" s="12"/>
      <c r="P656" s="12"/>
      <c r="Q656" s="12"/>
      <c r="R656" s="36"/>
      <c r="S656" s="36"/>
      <c r="T656" s="12"/>
      <c r="U656" s="12"/>
      <c r="V656" s="12"/>
      <c r="W656" s="12"/>
      <c r="X656" s="12"/>
    </row>
    <row r="657" customFormat="false" ht="15.75" hidden="false" customHeight="false" outlineLevel="0" collapsed="false">
      <c r="A657" s="12"/>
      <c r="B657" s="34"/>
      <c r="C657" s="12"/>
      <c r="D657" s="12"/>
      <c r="E657" s="12"/>
      <c r="F657" s="12"/>
      <c r="G657" s="18"/>
      <c r="H657" s="35"/>
      <c r="I657" s="12"/>
      <c r="M657" s="12"/>
      <c r="N657" s="18"/>
      <c r="O657" s="12"/>
      <c r="P657" s="12"/>
      <c r="Q657" s="12"/>
      <c r="R657" s="36"/>
      <c r="S657" s="36"/>
      <c r="T657" s="12"/>
      <c r="U657" s="12"/>
      <c r="V657" s="12"/>
      <c r="W657" s="12"/>
      <c r="X657" s="12"/>
    </row>
    <row r="658" customFormat="false" ht="15.75" hidden="false" customHeight="false" outlineLevel="0" collapsed="false">
      <c r="A658" s="12"/>
      <c r="B658" s="34"/>
      <c r="C658" s="12"/>
      <c r="D658" s="12"/>
      <c r="E658" s="12"/>
      <c r="F658" s="12"/>
      <c r="G658" s="18"/>
      <c r="H658" s="35"/>
      <c r="I658" s="12"/>
      <c r="M658" s="12"/>
      <c r="N658" s="18"/>
      <c r="O658" s="12"/>
      <c r="P658" s="12"/>
      <c r="Q658" s="12"/>
      <c r="R658" s="36"/>
      <c r="S658" s="36"/>
      <c r="T658" s="12"/>
      <c r="U658" s="12"/>
      <c r="V658" s="12"/>
      <c r="W658" s="12"/>
      <c r="X658" s="12"/>
    </row>
    <row r="659" customFormat="false" ht="15.75" hidden="false" customHeight="false" outlineLevel="0" collapsed="false">
      <c r="A659" s="12"/>
      <c r="B659" s="34"/>
      <c r="C659" s="12"/>
      <c r="D659" s="12"/>
      <c r="E659" s="12"/>
      <c r="F659" s="12"/>
      <c r="G659" s="18"/>
      <c r="H659" s="35"/>
      <c r="I659" s="12"/>
      <c r="M659" s="12"/>
      <c r="N659" s="18"/>
      <c r="O659" s="12"/>
      <c r="P659" s="12"/>
      <c r="Q659" s="12"/>
      <c r="R659" s="36"/>
      <c r="S659" s="36"/>
      <c r="T659" s="12"/>
      <c r="U659" s="12"/>
      <c r="V659" s="12"/>
      <c r="W659" s="12"/>
      <c r="X659" s="12"/>
    </row>
    <row r="660" customFormat="false" ht="15.75" hidden="false" customHeight="false" outlineLevel="0" collapsed="false">
      <c r="A660" s="12"/>
      <c r="B660" s="34"/>
      <c r="C660" s="12"/>
      <c r="D660" s="12"/>
      <c r="E660" s="12"/>
      <c r="F660" s="12"/>
      <c r="G660" s="18"/>
      <c r="H660" s="35"/>
      <c r="I660" s="12"/>
      <c r="M660" s="12"/>
      <c r="N660" s="18"/>
      <c r="O660" s="12"/>
      <c r="P660" s="12"/>
      <c r="Q660" s="12"/>
      <c r="R660" s="36"/>
      <c r="S660" s="36"/>
      <c r="T660" s="12"/>
      <c r="U660" s="12"/>
      <c r="V660" s="12"/>
      <c r="W660" s="12"/>
      <c r="X660" s="12"/>
    </row>
    <row r="661" customFormat="false" ht="15.75" hidden="false" customHeight="false" outlineLevel="0" collapsed="false">
      <c r="A661" s="12"/>
      <c r="B661" s="34"/>
      <c r="C661" s="12"/>
      <c r="D661" s="12"/>
      <c r="E661" s="12"/>
      <c r="F661" s="12"/>
      <c r="G661" s="18"/>
      <c r="H661" s="35"/>
      <c r="I661" s="12"/>
      <c r="M661" s="12"/>
      <c r="N661" s="18"/>
      <c r="O661" s="12"/>
      <c r="P661" s="12"/>
      <c r="Q661" s="12"/>
      <c r="R661" s="36"/>
      <c r="S661" s="36"/>
      <c r="T661" s="12"/>
      <c r="U661" s="12"/>
      <c r="V661" s="12"/>
      <c r="W661" s="12"/>
      <c r="X661" s="12"/>
    </row>
    <row r="662" customFormat="false" ht="15.75" hidden="false" customHeight="false" outlineLevel="0" collapsed="false">
      <c r="A662" s="12"/>
      <c r="B662" s="34"/>
      <c r="C662" s="12"/>
      <c r="D662" s="12"/>
      <c r="E662" s="12"/>
      <c r="F662" s="12"/>
      <c r="G662" s="18"/>
      <c r="H662" s="35"/>
      <c r="I662" s="12"/>
      <c r="M662" s="12"/>
      <c r="N662" s="18"/>
      <c r="O662" s="12"/>
      <c r="P662" s="12"/>
      <c r="Q662" s="12"/>
      <c r="R662" s="36"/>
      <c r="S662" s="36"/>
      <c r="T662" s="12"/>
      <c r="U662" s="12"/>
      <c r="V662" s="12"/>
      <c r="W662" s="12"/>
      <c r="X662" s="12"/>
    </row>
    <row r="663" customFormat="false" ht="15.75" hidden="false" customHeight="false" outlineLevel="0" collapsed="false">
      <c r="A663" s="12"/>
      <c r="B663" s="34"/>
      <c r="C663" s="12"/>
      <c r="D663" s="12"/>
      <c r="E663" s="12"/>
      <c r="F663" s="12"/>
      <c r="G663" s="18"/>
      <c r="H663" s="35"/>
      <c r="I663" s="12"/>
      <c r="M663" s="12"/>
      <c r="N663" s="18"/>
      <c r="O663" s="12"/>
      <c r="P663" s="12"/>
      <c r="Q663" s="12"/>
      <c r="R663" s="36"/>
      <c r="S663" s="36"/>
      <c r="T663" s="12"/>
      <c r="U663" s="12"/>
      <c r="V663" s="12"/>
      <c r="W663" s="12"/>
      <c r="X663" s="12"/>
    </row>
    <row r="664" customFormat="false" ht="15.75" hidden="false" customHeight="false" outlineLevel="0" collapsed="false">
      <c r="A664" s="12"/>
      <c r="B664" s="34"/>
      <c r="C664" s="12"/>
      <c r="D664" s="12"/>
      <c r="E664" s="12"/>
      <c r="F664" s="12"/>
      <c r="G664" s="18"/>
      <c r="H664" s="35"/>
      <c r="I664" s="12"/>
      <c r="M664" s="12"/>
      <c r="N664" s="18"/>
      <c r="O664" s="12"/>
      <c r="P664" s="12"/>
      <c r="Q664" s="12"/>
      <c r="R664" s="36"/>
      <c r="S664" s="36"/>
      <c r="T664" s="12"/>
      <c r="U664" s="12"/>
      <c r="V664" s="12"/>
      <c r="W664" s="12"/>
      <c r="X664" s="12"/>
    </row>
    <row r="665" customFormat="false" ht="15.75" hidden="false" customHeight="false" outlineLevel="0" collapsed="false">
      <c r="A665" s="12"/>
      <c r="B665" s="34"/>
      <c r="C665" s="12"/>
      <c r="D665" s="12"/>
      <c r="E665" s="12"/>
      <c r="F665" s="12"/>
      <c r="G665" s="18"/>
      <c r="H665" s="35"/>
      <c r="I665" s="12"/>
      <c r="M665" s="12"/>
      <c r="N665" s="18"/>
      <c r="O665" s="12"/>
      <c r="P665" s="12"/>
      <c r="Q665" s="12"/>
      <c r="R665" s="36"/>
      <c r="S665" s="36"/>
      <c r="T665" s="12"/>
      <c r="U665" s="12"/>
      <c r="V665" s="12"/>
      <c r="W665" s="12"/>
      <c r="X665" s="12"/>
    </row>
    <row r="666" customFormat="false" ht="15.75" hidden="false" customHeight="false" outlineLevel="0" collapsed="false">
      <c r="A666" s="12"/>
      <c r="B666" s="34"/>
      <c r="C666" s="12"/>
      <c r="D666" s="12"/>
      <c r="E666" s="12"/>
      <c r="F666" s="12"/>
      <c r="G666" s="18"/>
      <c r="H666" s="35"/>
      <c r="I666" s="12"/>
      <c r="M666" s="12"/>
      <c r="N666" s="18"/>
      <c r="O666" s="12"/>
      <c r="P666" s="12"/>
      <c r="Q666" s="12"/>
      <c r="R666" s="36"/>
      <c r="S666" s="36"/>
      <c r="T666" s="12"/>
      <c r="U666" s="12"/>
      <c r="V666" s="12"/>
      <c r="W666" s="12"/>
      <c r="X666" s="12"/>
    </row>
    <row r="667" customFormat="false" ht="15.75" hidden="false" customHeight="false" outlineLevel="0" collapsed="false">
      <c r="A667" s="12"/>
      <c r="B667" s="34"/>
      <c r="C667" s="12"/>
      <c r="D667" s="12"/>
      <c r="E667" s="12"/>
      <c r="F667" s="12"/>
      <c r="G667" s="18"/>
      <c r="H667" s="35"/>
      <c r="I667" s="12"/>
      <c r="M667" s="12"/>
      <c r="N667" s="18"/>
      <c r="O667" s="12"/>
      <c r="P667" s="12"/>
      <c r="Q667" s="12"/>
      <c r="R667" s="36"/>
      <c r="S667" s="36"/>
      <c r="T667" s="12"/>
      <c r="U667" s="12"/>
      <c r="V667" s="12"/>
      <c r="W667" s="12"/>
      <c r="X667" s="12"/>
    </row>
    <row r="668" customFormat="false" ht="15.75" hidden="false" customHeight="false" outlineLevel="0" collapsed="false">
      <c r="A668" s="12"/>
      <c r="B668" s="34"/>
      <c r="C668" s="12"/>
      <c r="D668" s="12"/>
      <c r="E668" s="12"/>
      <c r="F668" s="12"/>
      <c r="G668" s="18"/>
      <c r="H668" s="35"/>
      <c r="I668" s="12"/>
      <c r="M668" s="12"/>
      <c r="N668" s="18"/>
      <c r="O668" s="12"/>
      <c r="P668" s="12"/>
      <c r="Q668" s="12"/>
      <c r="R668" s="36"/>
      <c r="S668" s="36"/>
      <c r="T668" s="12"/>
      <c r="U668" s="12"/>
      <c r="V668" s="12"/>
      <c r="W668" s="12"/>
      <c r="X668" s="12"/>
    </row>
    <row r="669" customFormat="false" ht="15.75" hidden="false" customHeight="false" outlineLevel="0" collapsed="false">
      <c r="A669" s="12"/>
      <c r="B669" s="34"/>
      <c r="C669" s="12"/>
      <c r="D669" s="12"/>
      <c r="E669" s="12"/>
      <c r="F669" s="12"/>
      <c r="G669" s="18"/>
      <c r="H669" s="35"/>
      <c r="I669" s="12"/>
      <c r="M669" s="12"/>
      <c r="N669" s="18"/>
      <c r="O669" s="12"/>
      <c r="P669" s="12"/>
      <c r="Q669" s="12"/>
      <c r="R669" s="36"/>
      <c r="S669" s="36"/>
      <c r="T669" s="12"/>
      <c r="U669" s="12"/>
      <c r="V669" s="12"/>
      <c r="W669" s="12"/>
      <c r="X669" s="12"/>
    </row>
    <row r="670" customFormat="false" ht="15.75" hidden="false" customHeight="false" outlineLevel="0" collapsed="false">
      <c r="A670" s="12"/>
      <c r="B670" s="34"/>
      <c r="C670" s="12"/>
      <c r="D670" s="12"/>
      <c r="E670" s="12"/>
      <c r="F670" s="12"/>
      <c r="G670" s="18"/>
      <c r="H670" s="35"/>
      <c r="I670" s="12"/>
      <c r="M670" s="12"/>
      <c r="N670" s="18"/>
      <c r="O670" s="12"/>
      <c r="P670" s="12"/>
      <c r="Q670" s="12"/>
      <c r="R670" s="36"/>
      <c r="S670" s="36"/>
      <c r="T670" s="12"/>
      <c r="U670" s="12"/>
      <c r="V670" s="12"/>
      <c r="W670" s="12"/>
      <c r="X670" s="12"/>
    </row>
    <row r="671" customFormat="false" ht="15.75" hidden="false" customHeight="false" outlineLevel="0" collapsed="false">
      <c r="A671" s="12"/>
      <c r="B671" s="34"/>
      <c r="C671" s="12"/>
      <c r="D671" s="12"/>
      <c r="E671" s="12"/>
      <c r="F671" s="12"/>
      <c r="G671" s="18"/>
      <c r="H671" s="35"/>
      <c r="I671" s="12"/>
      <c r="M671" s="12"/>
      <c r="N671" s="18"/>
      <c r="O671" s="12"/>
      <c r="P671" s="12"/>
      <c r="Q671" s="12"/>
      <c r="R671" s="36"/>
      <c r="S671" s="36"/>
      <c r="T671" s="12"/>
      <c r="U671" s="12"/>
      <c r="V671" s="12"/>
      <c r="W671" s="12"/>
      <c r="X671" s="12"/>
    </row>
    <row r="672" customFormat="false" ht="15.75" hidden="false" customHeight="false" outlineLevel="0" collapsed="false">
      <c r="A672" s="12"/>
      <c r="B672" s="34"/>
      <c r="C672" s="12"/>
      <c r="D672" s="12"/>
      <c r="E672" s="12"/>
      <c r="F672" s="12"/>
      <c r="G672" s="18"/>
      <c r="H672" s="35"/>
      <c r="I672" s="12"/>
      <c r="M672" s="12"/>
      <c r="N672" s="18"/>
      <c r="O672" s="12"/>
      <c r="P672" s="12"/>
      <c r="Q672" s="12"/>
      <c r="R672" s="36"/>
      <c r="S672" s="36"/>
      <c r="T672" s="12"/>
      <c r="U672" s="12"/>
      <c r="V672" s="12"/>
      <c r="W672" s="12"/>
      <c r="X672" s="12"/>
    </row>
    <row r="673" customFormat="false" ht="15.75" hidden="false" customHeight="false" outlineLevel="0" collapsed="false">
      <c r="A673" s="12"/>
      <c r="B673" s="34"/>
      <c r="C673" s="12"/>
      <c r="D673" s="12"/>
      <c r="E673" s="12"/>
      <c r="F673" s="12"/>
      <c r="G673" s="18"/>
      <c r="H673" s="35"/>
      <c r="I673" s="12"/>
      <c r="M673" s="12"/>
      <c r="N673" s="18"/>
      <c r="O673" s="12"/>
      <c r="P673" s="12"/>
      <c r="Q673" s="12"/>
      <c r="R673" s="36"/>
      <c r="S673" s="36"/>
      <c r="T673" s="12"/>
      <c r="U673" s="12"/>
      <c r="V673" s="12"/>
      <c r="W673" s="12"/>
      <c r="X673" s="12"/>
    </row>
    <row r="674" customFormat="false" ht="15.75" hidden="false" customHeight="false" outlineLevel="0" collapsed="false">
      <c r="A674" s="12"/>
      <c r="B674" s="34"/>
      <c r="C674" s="12"/>
      <c r="D674" s="12"/>
      <c r="E674" s="12"/>
      <c r="F674" s="12"/>
      <c r="G674" s="18"/>
      <c r="H674" s="35"/>
      <c r="I674" s="12"/>
      <c r="M674" s="12"/>
      <c r="N674" s="18"/>
      <c r="O674" s="12"/>
      <c r="P674" s="12"/>
      <c r="Q674" s="12"/>
      <c r="R674" s="36"/>
      <c r="S674" s="36"/>
      <c r="T674" s="12"/>
      <c r="U674" s="12"/>
      <c r="V674" s="12"/>
      <c r="W674" s="12"/>
      <c r="X674" s="12"/>
    </row>
    <row r="675" customFormat="false" ht="15.75" hidden="false" customHeight="false" outlineLevel="0" collapsed="false">
      <c r="A675" s="12"/>
      <c r="B675" s="34"/>
      <c r="C675" s="12"/>
      <c r="D675" s="12"/>
      <c r="E675" s="12"/>
      <c r="F675" s="12"/>
      <c r="G675" s="18"/>
      <c r="H675" s="35"/>
      <c r="I675" s="12"/>
      <c r="M675" s="12"/>
      <c r="N675" s="18"/>
      <c r="O675" s="12"/>
      <c r="P675" s="12"/>
      <c r="Q675" s="12"/>
      <c r="R675" s="36"/>
      <c r="S675" s="36"/>
      <c r="T675" s="12"/>
      <c r="U675" s="12"/>
      <c r="V675" s="12"/>
      <c r="W675" s="12"/>
      <c r="X675" s="12"/>
    </row>
    <row r="676" customFormat="false" ht="15.75" hidden="false" customHeight="false" outlineLevel="0" collapsed="false">
      <c r="A676" s="12"/>
      <c r="B676" s="34"/>
      <c r="C676" s="12"/>
      <c r="D676" s="12"/>
      <c r="E676" s="12"/>
      <c r="F676" s="12"/>
      <c r="G676" s="18"/>
      <c r="H676" s="35"/>
      <c r="I676" s="12"/>
      <c r="M676" s="12"/>
      <c r="N676" s="18"/>
      <c r="O676" s="12"/>
      <c r="P676" s="12"/>
      <c r="Q676" s="12"/>
      <c r="R676" s="36"/>
      <c r="S676" s="36"/>
      <c r="T676" s="12"/>
      <c r="U676" s="12"/>
      <c r="V676" s="12"/>
      <c r="W676" s="12"/>
      <c r="X676" s="12"/>
    </row>
    <row r="677" customFormat="false" ht="15.75" hidden="false" customHeight="false" outlineLevel="0" collapsed="false">
      <c r="A677" s="12"/>
      <c r="B677" s="34"/>
      <c r="C677" s="12"/>
      <c r="D677" s="12"/>
      <c r="E677" s="12"/>
      <c r="F677" s="12"/>
      <c r="G677" s="18"/>
      <c r="H677" s="35"/>
      <c r="I677" s="12"/>
      <c r="M677" s="12"/>
      <c r="N677" s="18"/>
      <c r="O677" s="12"/>
      <c r="P677" s="12"/>
      <c r="Q677" s="12"/>
      <c r="R677" s="36"/>
      <c r="S677" s="36"/>
      <c r="T677" s="12"/>
      <c r="U677" s="12"/>
      <c r="V677" s="12"/>
      <c r="W677" s="12"/>
      <c r="X677" s="12"/>
    </row>
    <row r="678" customFormat="false" ht="15.75" hidden="false" customHeight="false" outlineLevel="0" collapsed="false">
      <c r="A678" s="12"/>
      <c r="B678" s="34"/>
      <c r="C678" s="12"/>
      <c r="D678" s="12"/>
      <c r="E678" s="12"/>
      <c r="F678" s="12"/>
      <c r="G678" s="18"/>
      <c r="H678" s="35"/>
      <c r="I678" s="12"/>
      <c r="M678" s="12"/>
      <c r="N678" s="18"/>
      <c r="O678" s="12"/>
      <c r="P678" s="12"/>
      <c r="Q678" s="12"/>
      <c r="R678" s="36"/>
      <c r="S678" s="36"/>
      <c r="T678" s="12"/>
      <c r="U678" s="12"/>
      <c r="V678" s="12"/>
      <c r="W678" s="12"/>
      <c r="X678" s="12"/>
    </row>
    <row r="679" customFormat="false" ht="15.75" hidden="false" customHeight="false" outlineLevel="0" collapsed="false">
      <c r="A679" s="12"/>
      <c r="B679" s="34"/>
      <c r="C679" s="12"/>
      <c r="D679" s="12"/>
      <c r="E679" s="12"/>
      <c r="F679" s="12"/>
      <c r="G679" s="18"/>
      <c r="H679" s="35"/>
      <c r="I679" s="12"/>
      <c r="M679" s="12"/>
      <c r="N679" s="18"/>
      <c r="O679" s="12"/>
      <c r="P679" s="12"/>
      <c r="Q679" s="12"/>
      <c r="R679" s="36"/>
      <c r="S679" s="36"/>
      <c r="T679" s="12"/>
      <c r="U679" s="12"/>
      <c r="V679" s="12"/>
      <c r="W679" s="12"/>
      <c r="X679" s="12"/>
    </row>
    <row r="680" customFormat="false" ht="15.75" hidden="false" customHeight="false" outlineLevel="0" collapsed="false">
      <c r="A680" s="12"/>
      <c r="B680" s="34"/>
      <c r="C680" s="12"/>
      <c r="D680" s="12"/>
      <c r="E680" s="12"/>
      <c r="F680" s="12"/>
      <c r="G680" s="18"/>
      <c r="H680" s="35"/>
      <c r="I680" s="12"/>
      <c r="M680" s="12"/>
      <c r="N680" s="18"/>
      <c r="O680" s="12"/>
      <c r="P680" s="12"/>
      <c r="Q680" s="12"/>
      <c r="R680" s="36"/>
      <c r="S680" s="36"/>
      <c r="T680" s="12"/>
      <c r="U680" s="12"/>
      <c r="V680" s="12"/>
      <c r="W680" s="12"/>
      <c r="X680" s="12"/>
    </row>
    <row r="681" customFormat="false" ht="15.75" hidden="false" customHeight="false" outlineLevel="0" collapsed="false">
      <c r="A681" s="12"/>
      <c r="B681" s="34"/>
      <c r="C681" s="12"/>
      <c r="D681" s="12"/>
      <c r="E681" s="12"/>
      <c r="F681" s="12"/>
      <c r="G681" s="18"/>
      <c r="H681" s="35"/>
      <c r="I681" s="12"/>
      <c r="M681" s="12"/>
      <c r="N681" s="18"/>
      <c r="O681" s="12"/>
      <c r="P681" s="12"/>
      <c r="Q681" s="12"/>
      <c r="R681" s="36"/>
      <c r="S681" s="36"/>
      <c r="T681" s="12"/>
      <c r="U681" s="12"/>
      <c r="V681" s="12"/>
      <c r="W681" s="12"/>
      <c r="X681" s="12"/>
    </row>
    <row r="682" customFormat="false" ht="15.75" hidden="false" customHeight="false" outlineLevel="0" collapsed="false">
      <c r="A682" s="12"/>
      <c r="B682" s="34"/>
      <c r="C682" s="12"/>
      <c r="D682" s="12"/>
      <c r="E682" s="12"/>
      <c r="F682" s="12"/>
      <c r="G682" s="18"/>
      <c r="H682" s="35"/>
      <c r="I682" s="12"/>
      <c r="M682" s="12"/>
      <c r="N682" s="18"/>
      <c r="O682" s="12"/>
      <c r="P682" s="12"/>
      <c r="Q682" s="12"/>
      <c r="R682" s="36"/>
      <c r="S682" s="36"/>
      <c r="T682" s="12"/>
      <c r="U682" s="12"/>
      <c r="V682" s="12"/>
      <c r="W682" s="12"/>
      <c r="X682" s="12"/>
    </row>
    <row r="683" customFormat="false" ht="15.75" hidden="false" customHeight="false" outlineLevel="0" collapsed="false">
      <c r="A683" s="12"/>
      <c r="B683" s="34"/>
      <c r="C683" s="12"/>
      <c r="D683" s="12"/>
      <c r="E683" s="12"/>
      <c r="F683" s="12"/>
      <c r="G683" s="18"/>
      <c r="H683" s="35"/>
      <c r="I683" s="12"/>
      <c r="M683" s="12"/>
      <c r="N683" s="18"/>
      <c r="O683" s="12"/>
      <c r="P683" s="12"/>
      <c r="Q683" s="12"/>
      <c r="R683" s="36"/>
      <c r="S683" s="36"/>
      <c r="T683" s="12"/>
      <c r="U683" s="12"/>
      <c r="V683" s="12"/>
      <c r="W683" s="12"/>
      <c r="X683" s="12"/>
    </row>
    <row r="684" customFormat="false" ht="15.75" hidden="false" customHeight="false" outlineLevel="0" collapsed="false">
      <c r="A684" s="12"/>
      <c r="B684" s="34"/>
      <c r="C684" s="12"/>
      <c r="D684" s="12"/>
      <c r="E684" s="12"/>
      <c r="F684" s="12"/>
      <c r="G684" s="18"/>
      <c r="H684" s="35"/>
      <c r="I684" s="12"/>
      <c r="M684" s="12"/>
      <c r="N684" s="18"/>
      <c r="O684" s="12"/>
      <c r="P684" s="12"/>
      <c r="Q684" s="12"/>
      <c r="R684" s="36"/>
      <c r="S684" s="36"/>
      <c r="T684" s="12"/>
      <c r="U684" s="12"/>
      <c r="V684" s="12"/>
      <c r="W684" s="12"/>
      <c r="X684" s="12"/>
    </row>
    <row r="685" customFormat="false" ht="15.75" hidden="false" customHeight="false" outlineLevel="0" collapsed="false">
      <c r="A685" s="12"/>
      <c r="B685" s="34"/>
      <c r="C685" s="12"/>
      <c r="D685" s="12"/>
      <c r="E685" s="12"/>
      <c r="F685" s="12"/>
      <c r="G685" s="18"/>
      <c r="H685" s="35"/>
      <c r="I685" s="12"/>
      <c r="M685" s="12"/>
      <c r="N685" s="18"/>
      <c r="O685" s="12"/>
      <c r="P685" s="12"/>
      <c r="Q685" s="12"/>
      <c r="R685" s="36"/>
      <c r="S685" s="36"/>
      <c r="T685" s="12"/>
      <c r="U685" s="12"/>
      <c r="V685" s="12"/>
      <c r="W685" s="12"/>
      <c r="X685" s="12"/>
    </row>
    <row r="686" customFormat="false" ht="15.75" hidden="false" customHeight="false" outlineLevel="0" collapsed="false">
      <c r="A686" s="12"/>
      <c r="B686" s="34"/>
      <c r="C686" s="12"/>
      <c r="D686" s="12"/>
      <c r="E686" s="12"/>
      <c r="F686" s="12"/>
      <c r="G686" s="18"/>
      <c r="H686" s="35"/>
      <c r="I686" s="12"/>
      <c r="M686" s="12"/>
      <c r="N686" s="18"/>
      <c r="O686" s="12"/>
      <c r="P686" s="12"/>
      <c r="Q686" s="12"/>
      <c r="R686" s="36"/>
      <c r="S686" s="36"/>
      <c r="T686" s="12"/>
      <c r="U686" s="12"/>
      <c r="V686" s="12"/>
      <c r="W686" s="12"/>
      <c r="X686" s="12"/>
    </row>
    <row r="687" customFormat="false" ht="15.75" hidden="false" customHeight="false" outlineLevel="0" collapsed="false">
      <c r="A687" s="12"/>
      <c r="B687" s="34"/>
      <c r="C687" s="12"/>
      <c r="D687" s="12"/>
      <c r="E687" s="12"/>
      <c r="F687" s="12"/>
      <c r="G687" s="18"/>
      <c r="H687" s="35"/>
      <c r="I687" s="12"/>
      <c r="M687" s="12"/>
      <c r="N687" s="18"/>
      <c r="O687" s="12"/>
      <c r="P687" s="12"/>
      <c r="Q687" s="12"/>
      <c r="R687" s="36"/>
      <c r="S687" s="36"/>
      <c r="T687" s="12"/>
      <c r="U687" s="12"/>
      <c r="V687" s="12"/>
      <c r="W687" s="12"/>
      <c r="X687" s="12"/>
    </row>
    <row r="688" customFormat="false" ht="15.75" hidden="false" customHeight="false" outlineLevel="0" collapsed="false">
      <c r="A688" s="12"/>
      <c r="B688" s="34"/>
      <c r="C688" s="12"/>
      <c r="D688" s="12"/>
      <c r="E688" s="12"/>
      <c r="F688" s="12"/>
      <c r="G688" s="18"/>
      <c r="H688" s="35"/>
      <c r="I688" s="12"/>
      <c r="M688" s="12"/>
      <c r="N688" s="18"/>
      <c r="O688" s="12"/>
      <c r="P688" s="12"/>
      <c r="Q688" s="12"/>
      <c r="R688" s="36"/>
      <c r="S688" s="36"/>
      <c r="T688" s="12"/>
      <c r="U688" s="12"/>
      <c r="V688" s="12"/>
      <c r="W688" s="12"/>
      <c r="X688" s="12"/>
    </row>
    <row r="689" customFormat="false" ht="15.75" hidden="false" customHeight="false" outlineLevel="0" collapsed="false">
      <c r="A689" s="12"/>
      <c r="B689" s="34"/>
      <c r="C689" s="12"/>
      <c r="D689" s="12"/>
      <c r="E689" s="12"/>
      <c r="F689" s="12"/>
      <c r="G689" s="18"/>
      <c r="H689" s="35"/>
      <c r="I689" s="12"/>
      <c r="M689" s="12"/>
      <c r="N689" s="18"/>
      <c r="O689" s="12"/>
      <c r="P689" s="12"/>
      <c r="Q689" s="12"/>
      <c r="R689" s="36"/>
      <c r="S689" s="36"/>
      <c r="T689" s="12"/>
      <c r="U689" s="12"/>
      <c r="V689" s="12"/>
      <c r="W689" s="12"/>
      <c r="X689" s="12"/>
    </row>
    <row r="690" customFormat="false" ht="15.75" hidden="false" customHeight="false" outlineLevel="0" collapsed="false">
      <c r="A690" s="12"/>
      <c r="B690" s="34"/>
      <c r="C690" s="12"/>
      <c r="D690" s="12"/>
      <c r="E690" s="12"/>
      <c r="F690" s="12"/>
      <c r="G690" s="18"/>
      <c r="H690" s="35"/>
      <c r="I690" s="12"/>
      <c r="M690" s="12"/>
      <c r="N690" s="18"/>
      <c r="O690" s="12"/>
      <c r="P690" s="12"/>
      <c r="Q690" s="12"/>
      <c r="R690" s="36"/>
      <c r="S690" s="36"/>
      <c r="T690" s="12"/>
      <c r="U690" s="12"/>
      <c r="V690" s="12"/>
      <c r="W690" s="12"/>
      <c r="X690" s="12"/>
    </row>
    <row r="691" customFormat="false" ht="15.75" hidden="false" customHeight="false" outlineLevel="0" collapsed="false">
      <c r="A691" s="12"/>
      <c r="B691" s="34"/>
      <c r="C691" s="12"/>
      <c r="D691" s="12"/>
      <c r="E691" s="12"/>
      <c r="F691" s="12"/>
      <c r="G691" s="18"/>
      <c r="H691" s="35"/>
      <c r="I691" s="12"/>
      <c r="M691" s="12"/>
      <c r="N691" s="18"/>
      <c r="O691" s="12"/>
      <c r="P691" s="12"/>
      <c r="Q691" s="12"/>
      <c r="R691" s="36"/>
      <c r="S691" s="36"/>
      <c r="T691" s="12"/>
      <c r="U691" s="12"/>
      <c r="V691" s="12"/>
      <c r="W691" s="12"/>
      <c r="X691" s="12"/>
    </row>
    <row r="692" customFormat="false" ht="15.75" hidden="false" customHeight="false" outlineLevel="0" collapsed="false">
      <c r="A692" s="12"/>
      <c r="B692" s="34"/>
      <c r="C692" s="12"/>
      <c r="D692" s="12"/>
      <c r="E692" s="12"/>
      <c r="F692" s="12"/>
      <c r="G692" s="18"/>
      <c r="H692" s="35"/>
      <c r="I692" s="12"/>
      <c r="M692" s="12"/>
      <c r="N692" s="18"/>
      <c r="O692" s="12"/>
      <c r="P692" s="12"/>
      <c r="Q692" s="12"/>
      <c r="R692" s="36"/>
      <c r="S692" s="36"/>
      <c r="T692" s="12"/>
      <c r="U692" s="12"/>
      <c r="V692" s="12"/>
      <c r="W692" s="12"/>
      <c r="X692" s="12"/>
    </row>
    <row r="693" customFormat="false" ht="15.75" hidden="false" customHeight="false" outlineLevel="0" collapsed="false">
      <c r="A693" s="12"/>
      <c r="B693" s="34"/>
      <c r="C693" s="12"/>
      <c r="D693" s="12"/>
      <c r="E693" s="12"/>
      <c r="F693" s="12"/>
      <c r="G693" s="18"/>
      <c r="H693" s="35"/>
      <c r="I693" s="12"/>
      <c r="M693" s="12"/>
      <c r="N693" s="18"/>
      <c r="O693" s="12"/>
      <c r="P693" s="12"/>
      <c r="Q693" s="12"/>
      <c r="R693" s="36"/>
      <c r="S693" s="36"/>
      <c r="T693" s="12"/>
      <c r="U693" s="12"/>
      <c r="V693" s="12"/>
      <c r="W693" s="12"/>
      <c r="X693" s="12"/>
    </row>
    <row r="694" customFormat="false" ht="15.75" hidden="false" customHeight="false" outlineLevel="0" collapsed="false">
      <c r="A694" s="12"/>
      <c r="B694" s="34"/>
      <c r="C694" s="12"/>
      <c r="D694" s="12"/>
      <c r="E694" s="12"/>
      <c r="F694" s="12"/>
      <c r="G694" s="18"/>
      <c r="H694" s="35"/>
      <c r="I694" s="12"/>
      <c r="M694" s="12"/>
      <c r="N694" s="18"/>
      <c r="O694" s="12"/>
      <c r="P694" s="12"/>
      <c r="Q694" s="12"/>
      <c r="R694" s="36"/>
      <c r="S694" s="36"/>
      <c r="T694" s="12"/>
      <c r="U694" s="12"/>
      <c r="V694" s="12"/>
      <c r="W694" s="12"/>
      <c r="X694" s="12"/>
    </row>
    <row r="695" customFormat="false" ht="15.75" hidden="false" customHeight="false" outlineLevel="0" collapsed="false">
      <c r="A695" s="12"/>
      <c r="B695" s="34"/>
      <c r="C695" s="12"/>
      <c r="D695" s="12"/>
      <c r="E695" s="12"/>
      <c r="F695" s="12"/>
      <c r="G695" s="18"/>
      <c r="H695" s="35"/>
      <c r="I695" s="12"/>
      <c r="M695" s="12"/>
      <c r="N695" s="18"/>
      <c r="O695" s="12"/>
      <c r="P695" s="12"/>
      <c r="Q695" s="12"/>
      <c r="R695" s="36"/>
      <c r="S695" s="36"/>
      <c r="T695" s="12"/>
      <c r="U695" s="12"/>
      <c r="V695" s="12"/>
      <c r="W695" s="12"/>
      <c r="X695" s="12"/>
    </row>
    <row r="696" customFormat="false" ht="15.75" hidden="false" customHeight="false" outlineLevel="0" collapsed="false">
      <c r="A696" s="12"/>
      <c r="B696" s="34"/>
      <c r="C696" s="12"/>
      <c r="D696" s="12"/>
      <c r="E696" s="12"/>
      <c r="F696" s="12"/>
      <c r="G696" s="18"/>
      <c r="H696" s="35"/>
      <c r="I696" s="12"/>
      <c r="M696" s="12"/>
      <c r="N696" s="18"/>
      <c r="O696" s="12"/>
      <c r="P696" s="12"/>
      <c r="Q696" s="12"/>
      <c r="R696" s="36"/>
      <c r="S696" s="36"/>
      <c r="T696" s="12"/>
      <c r="U696" s="12"/>
      <c r="V696" s="12"/>
      <c r="W696" s="12"/>
      <c r="X696" s="12"/>
    </row>
    <row r="697" customFormat="false" ht="15.75" hidden="false" customHeight="false" outlineLevel="0" collapsed="false">
      <c r="A697" s="12"/>
      <c r="B697" s="34"/>
      <c r="C697" s="12"/>
      <c r="D697" s="12"/>
      <c r="E697" s="12"/>
      <c r="F697" s="12"/>
      <c r="G697" s="18"/>
      <c r="H697" s="35"/>
      <c r="I697" s="12"/>
      <c r="M697" s="12"/>
      <c r="N697" s="18"/>
      <c r="O697" s="12"/>
      <c r="P697" s="12"/>
      <c r="Q697" s="12"/>
      <c r="R697" s="36"/>
      <c r="S697" s="36"/>
      <c r="T697" s="12"/>
      <c r="U697" s="12"/>
      <c r="V697" s="12"/>
      <c r="W697" s="12"/>
      <c r="X697" s="12"/>
    </row>
    <row r="698" customFormat="false" ht="15.75" hidden="false" customHeight="false" outlineLevel="0" collapsed="false">
      <c r="A698" s="12"/>
      <c r="B698" s="34"/>
      <c r="C698" s="12"/>
      <c r="D698" s="12"/>
      <c r="E698" s="12"/>
      <c r="F698" s="12"/>
      <c r="G698" s="18"/>
      <c r="H698" s="35"/>
      <c r="I698" s="12"/>
      <c r="M698" s="12"/>
      <c r="N698" s="18"/>
      <c r="O698" s="12"/>
      <c r="P698" s="12"/>
      <c r="Q698" s="12"/>
      <c r="R698" s="36"/>
      <c r="S698" s="36"/>
      <c r="T698" s="12"/>
      <c r="U698" s="12"/>
      <c r="V698" s="12"/>
      <c r="W698" s="12"/>
      <c r="X698" s="12"/>
    </row>
    <row r="699" customFormat="false" ht="15.75" hidden="false" customHeight="false" outlineLevel="0" collapsed="false">
      <c r="A699" s="12"/>
      <c r="B699" s="34"/>
      <c r="C699" s="12"/>
      <c r="D699" s="12"/>
      <c r="E699" s="12"/>
      <c r="F699" s="12"/>
      <c r="G699" s="18"/>
      <c r="H699" s="35"/>
      <c r="I699" s="12"/>
      <c r="M699" s="12"/>
      <c r="N699" s="18"/>
      <c r="O699" s="12"/>
      <c r="P699" s="12"/>
      <c r="Q699" s="12"/>
      <c r="R699" s="36"/>
      <c r="S699" s="36"/>
      <c r="T699" s="12"/>
      <c r="U699" s="12"/>
      <c r="V699" s="12"/>
      <c r="W699" s="12"/>
      <c r="X699" s="12"/>
    </row>
    <row r="700" customFormat="false" ht="15.75" hidden="false" customHeight="false" outlineLevel="0" collapsed="false">
      <c r="A700" s="12"/>
      <c r="B700" s="34"/>
      <c r="C700" s="12"/>
      <c r="D700" s="12"/>
      <c r="E700" s="12"/>
      <c r="F700" s="12"/>
      <c r="G700" s="18"/>
      <c r="H700" s="35"/>
      <c r="I700" s="12"/>
      <c r="M700" s="12"/>
      <c r="N700" s="18"/>
      <c r="O700" s="12"/>
      <c r="P700" s="12"/>
      <c r="Q700" s="12"/>
      <c r="R700" s="36"/>
      <c r="S700" s="36"/>
      <c r="T700" s="12"/>
      <c r="U700" s="12"/>
      <c r="V700" s="12"/>
      <c r="W700" s="12"/>
      <c r="X700" s="12"/>
    </row>
    <row r="701" customFormat="false" ht="15.75" hidden="false" customHeight="false" outlineLevel="0" collapsed="false">
      <c r="A701" s="12"/>
      <c r="B701" s="34"/>
      <c r="C701" s="12"/>
      <c r="D701" s="12"/>
      <c r="E701" s="12"/>
      <c r="F701" s="12"/>
      <c r="G701" s="18"/>
      <c r="H701" s="35"/>
      <c r="I701" s="12"/>
      <c r="M701" s="12"/>
      <c r="N701" s="18"/>
      <c r="O701" s="12"/>
      <c r="P701" s="12"/>
      <c r="Q701" s="12"/>
      <c r="R701" s="36"/>
      <c r="S701" s="36"/>
      <c r="T701" s="12"/>
      <c r="U701" s="12"/>
      <c r="V701" s="12"/>
      <c r="W701" s="12"/>
      <c r="X701" s="12"/>
    </row>
    <row r="702" customFormat="false" ht="15.75" hidden="false" customHeight="false" outlineLevel="0" collapsed="false">
      <c r="A702" s="12"/>
      <c r="B702" s="34"/>
      <c r="C702" s="12"/>
      <c r="D702" s="12"/>
      <c r="E702" s="12"/>
      <c r="F702" s="12"/>
      <c r="G702" s="18"/>
      <c r="H702" s="35"/>
      <c r="I702" s="12"/>
      <c r="M702" s="12"/>
      <c r="N702" s="18"/>
      <c r="O702" s="12"/>
      <c r="P702" s="12"/>
      <c r="Q702" s="12"/>
      <c r="R702" s="36"/>
      <c r="S702" s="36"/>
      <c r="T702" s="12"/>
      <c r="U702" s="12"/>
      <c r="V702" s="12"/>
      <c r="W702" s="12"/>
      <c r="X702" s="12"/>
    </row>
    <row r="703" customFormat="false" ht="15.75" hidden="false" customHeight="false" outlineLevel="0" collapsed="false">
      <c r="A703" s="12"/>
      <c r="B703" s="34"/>
      <c r="C703" s="12"/>
      <c r="D703" s="12"/>
      <c r="E703" s="12"/>
      <c r="F703" s="12"/>
      <c r="G703" s="18"/>
      <c r="H703" s="35"/>
      <c r="I703" s="12"/>
      <c r="M703" s="12"/>
      <c r="N703" s="18"/>
      <c r="O703" s="12"/>
      <c r="P703" s="12"/>
      <c r="Q703" s="12"/>
      <c r="R703" s="36"/>
      <c r="S703" s="36"/>
      <c r="T703" s="12"/>
      <c r="U703" s="12"/>
      <c r="V703" s="12"/>
      <c r="W703" s="12"/>
      <c r="X703" s="12"/>
    </row>
    <row r="704" customFormat="false" ht="15.75" hidden="false" customHeight="false" outlineLevel="0" collapsed="false">
      <c r="A704" s="12"/>
      <c r="B704" s="34"/>
      <c r="C704" s="12"/>
      <c r="D704" s="12"/>
      <c r="E704" s="12"/>
      <c r="F704" s="12"/>
      <c r="G704" s="18"/>
      <c r="H704" s="35"/>
      <c r="I704" s="12"/>
      <c r="M704" s="12"/>
      <c r="N704" s="18"/>
      <c r="O704" s="12"/>
      <c r="P704" s="12"/>
      <c r="Q704" s="12"/>
      <c r="R704" s="36"/>
      <c r="S704" s="36"/>
      <c r="T704" s="12"/>
      <c r="U704" s="12"/>
      <c r="V704" s="12"/>
      <c r="W704" s="12"/>
      <c r="X704" s="12"/>
    </row>
    <row r="705" customFormat="false" ht="15.75" hidden="false" customHeight="false" outlineLevel="0" collapsed="false">
      <c r="A705" s="12"/>
      <c r="B705" s="34"/>
      <c r="C705" s="12"/>
      <c r="D705" s="12"/>
      <c r="E705" s="12"/>
      <c r="F705" s="12"/>
      <c r="G705" s="18"/>
      <c r="H705" s="35"/>
      <c r="I705" s="12"/>
      <c r="M705" s="12"/>
      <c r="N705" s="18"/>
      <c r="O705" s="12"/>
      <c r="P705" s="12"/>
      <c r="Q705" s="12"/>
      <c r="R705" s="36"/>
      <c r="S705" s="36"/>
      <c r="T705" s="12"/>
      <c r="U705" s="12"/>
      <c r="V705" s="12"/>
      <c r="W705" s="12"/>
      <c r="X705" s="12"/>
    </row>
    <row r="706" customFormat="false" ht="15.75" hidden="false" customHeight="false" outlineLevel="0" collapsed="false">
      <c r="A706" s="12"/>
      <c r="B706" s="34"/>
      <c r="C706" s="12"/>
      <c r="D706" s="12"/>
      <c r="E706" s="12"/>
      <c r="F706" s="12"/>
      <c r="G706" s="18"/>
      <c r="H706" s="35"/>
      <c r="I706" s="12"/>
      <c r="M706" s="12"/>
      <c r="N706" s="18"/>
      <c r="O706" s="12"/>
      <c r="P706" s="12"/>
      <c r="Q706" s="12"/>
      <c r="R706" s="36"/>
      <c r="S706" s="36"/>
      <c r="T706" s="12"/>
      <c r="U706" s="12"/>
      <c r="V706" s="12"/>
      <c r="W706" s="12"/>
      <c r="X706" s="12"/>
    </row>
    <row r="707" customFormat="false" ht="15.75" hidden="false" customHeight="false" outlineLevel="0" collapsed="false">
      <c r="A707" s="12"/>
      <c r="B707" s="34"/>
      <c r="C707" s="12"/>
      <c r="D707" s="12"/>
      <c r="E707" s="12"/>
      <c r="F707" s="12"/>
      <c r="G707" s="18"/>
      <c r="H707" s="35"/>
      <c r="I707" s="12"/>
      <c r="M707" s="12"/>
      <c r="N707" s="18"/>
      <c r="O707" s="12"/>
      <c r="P707" s="12"/>
      <c r="Q707" s="12"/>
      <c r="R707" s="36"/>
      <c r="S707" s="36"/>
      <c r="T707" s="12"/>
      <c r="U707" s="12"/>
      <c r="V707" s="12"/>
      <c r="W707" s="12"/>
      <c r="X707" s="12"/>
    </row>
    <row r="708" customFormat="false" ht="15.75" hidden="false" customHeight="false" outlineLevel="0" collapsed="false">
      <c r="A708" s="12"/>
      <c r="B708" s="34"/>
      <c r="C708" s="12"/>
      <c r="D708" s="12"/>
      <c r="E708" s="12"/>
      <c r="F708" s="12"/>
      <c r="G708" s="18"/>
      <c r="H708" s="35"/>
      <c r="I708" s="12"/>
      <c r="M708" s="12"/>
      <c r="N708" s="18"/>
      <c r="O708" s="12"/>
      <c r="P708" s="12"/>
      <c r="Q708" s="12"/>
      <c r="R708" s="36"/>
      <c r="S708" s="36"/>
      <c r="T708" s="12"/>
      <c r="U708" s="12"/>
      <c r="V708" s="12"/>
      <c r="W708" s="12"/>
      <c r="X708" s="12"/>
    </row>
    <row r="709" customFormat="false" ht="15.75" hidden="false" customHeight="false" outlineLevel="0" collapsed="false">
      <c r="A709" s="12"/>
      <c r="B709" s="34"/>
      <c r="C709" s="12"/>
      <c r="D709" s="12"/>
      <c r="E709" s="12"/>
      <c r="F709" s="12"/>
      <c r="G709" s="18"/>
      <c r="H709" s="35"/>
      <c r="I709" s="12"/>
      <c r="M709" s="12"/>
      <c r="N709" s="18"/>
      <c r="O709" s="12"/>
      <c r="P709" s="12"/>
      <c r="Q709" s="12"/>
      <c r="R709" s="36"/>
      <c r="S709" s="36"/>
      <c r="T709" s="12"/>
      <c r="U709" s="12"/>
      <c r="V709" s="12"/>
      <c r="W709" s="12"/>
      <c r="X709" s="12"/>
    </row>
    <row r="710" customFormat="false" ht="15.75" hidden="false" customHeight="false" outlineLevel="0" collapsed="false">
      <c r="A710" s="12"/>
      <c r="B710" s="34"/>
      <c r="C710" s="12"/>
      <c r="D710" s="12"/>
      <c r="E710" s="12"/>
      <c r="F710" s="12"/>
      <c r="G710" s="18"/>
      <c r="H710" s="35"/>
      <c r="I710" s="12"/>
      <c r="M710" s="12"/>
      <c r="N710" s="18"/>
      <c r="O710" s="12"/>
      <c r="P710" s="12"/>
      <c r="Q710" s="12"/>
      <c r="R710" s="36"/>
      <c r="S710" s="36"/>
      <c r="T710" s="12"/>
      <c r="U710" s="12"/>
      <c r="V710" s="12"/>
      <c r="W710" s="12"/>
      <c r="X710" s="12"/>
    </row>
    <row r="711" customFormat="false" ht="15.75" hidden="false" customHeight="false" outlineLevel="0" collapsed="false">
      <c r="A711" s="12"/>
      <c r="B711" s="34"/>
      <c r="C711" s="12"/>
      <c r="D711" s="12"/>
      <c r="E711" s="12"/>
      <c r="F711" s="12"/>
      <c r="G711" s="18"/>
      <c r="H711" s="35"/>
      <c r="I711" s="12"/>
      <c r="M711" s="12"/>
      <c r="N711" s="18"/>
      <c r="O711" s="12"/>
      <c r="P711" s="12"/>
      <c r="Q711" s="12"/>
      <c r="R711" s="36"/>
      <c r="S711" s="36"/>
      <c r="T711" s="12"/>
      <c r="U711" s="12"/>
      <c r="V711" s="12"/>
      <c r="W711" s="12"/>
      <c r="X711" s="12"/>
    </row>
    <row r="712" customFormat="false" ht="15.75" hidden="false" customHeight="false" outlineLevel="0" collapsed="false">
      <c r="A712" s="12"/>
      <c r="B712" s="34"/>
      <c r="C712" s="12"/>
      <c r="D712" s="12"/>
      <c r="E712" s="12"/>
      <c r="F712" s="12"/>
      <c r="G712" s="18"/>
      <c r="H712" s="35"/>
      <c r="I712" s="12"/>
      <c r="M712" s="12"/>
      <c r="N712" s="18"/>
      <c r="O712" s="12"/>
      <c r="P712" s="12"/>
      <c r="Q712" s="12"/>
      <c r="R712" s="36"/>
      <c r="S712" s="36"/>
      <c r="T712" s="12"/>
      <c r="U712" s="12"/>
      <c r="V712" s="12"/>
      <c r="W712" s="12"/>
      <c r="X712" s="12"/>
    </row>
    <row r="713" customFormat="false" ht="15.75" hidden="false" customHeight="false" outlineLevel="0" collapsed="false">
      <c r="A713" s="12"/>
      <c r="B713" s="34"/>
      <c r="C713" s="12"/>
      <c r="D713" s="12"/>
      <c r="E713" s="12"/>
      <c r="F713" s="12"/>
      <c r="G713" s="18"/>
      <c r="H713" s="35"/>
      <c r="I713" s="12"/>
      <c r="M713" s="12"/>
      <c r="N713" s="18"/>
      <c r="O713" s="12"/>
      <c r="P713" s="12"/>
      <c r="Q713" s="12"/>
      <c r="R713" s="36"/>
      <c r="S713" s="36"/>
      <c r="T713" s="12"/>
      <c r="U713" s="12"/>
      <c r="V713" s="12"/>
      <c r="W713" s="12"/>
      <c r="X713" s="12"/>
    </row>
    <row r="714" customFormat="false" ht="15.75" hidden="false" customHeight="false" outlineLevel="0" collapsed="false">
      <c r="A714" s="12"/>
      <c r="B714" s="34"/>
      <c r="C714" s="12"/>
      <c r="D714" s="12"/>
      <c r="E714" s="12"/>
      <c r="F714" s="12"/>
      <c r="G714" s="18"/>
      <c r="H714" s="35"/>
      <c r="I714" s="12"/>
      <c r="M714" s="12"/>
      <c r="N714" s="18"/>
      <c r="O714" s="12"/>
      <c r="P714" s="12"/>
      <c r="Q714" s="12"/>
      <c r="R714" s="36"/>
      <c r="S714" s="36"/>
      <c r="T714" s="12"/>
      <c r="U714" s="12"/>
      <c r="V714" s="12"/>
      <c r="W714" s="12"/>
      <c r="X714" s="12"/>
    </row>
    <row r="715" customFormat="false" ht="15.75" hidden="false" customHeight="false" outlineLevel="0" collapsed="false">
      <c r="A715" s="12"/>
      <c r="B715" s="34"/>
      <c r="C715" s="12"/>
      <c r="D715" s="12"/>
      <c r="E715" s="12"/>
      <c r="F715" s="12"/>
      <c r="G715" s="18"/>
      <c r="H715" s="35"/>
      <c r="I715" s="12"/>
      <c r="M715" s="12"/>
      <c r="N715" s="18"/>
      <c r="O715" s="12"/>
      <c r="P715" s="12"/>
      <c r="Q715" s="12"/>
      <c r="R715" s="36"/>
      <c r="S715" s="36"/>
      <c r="T715" s="12"/>
      <c r="U715" s="12"/>
      <c r="V715" s="12"/>
      <c r="W715" s="12"/>
      <c r="X715" s="12"/>
    </row>
    <row r="716" customFormat="false" ht="15.75" hidden="false" customHeight="false" outlineLevel="0" collapsed="false">
      <c r="A716" s="12"/>
      <c r="B716" s="34"/>
      <c r="C716" s="12"/>
      <c r="D716" s="12"/>
      <c r="E716" s="12"/>
      <c r="F716" s="12"/>
      <c r="G716" s="18"/>
      <c r="H716" s="35"/>
      <c r="I716" s="12"/>
      <c r="M716" s="12"/>
      <c r="N716" s="18"/>
      <c r="O716" s="12"/>
      <c r="P716" s="12"/>
      <c r="Q716" s="12"/>
      <c r="R716" s="36"/>
      <c r="S716" s="36"/>
      <c r="T716" s="12"/>
      <c r="U716" s="12"/>
      <c r="V716" s="12"/>
      <c r="W716" s="12"/>
      <c r="X716" s="12"/>
    </row>
    <row r="717" customFormat="false" ht="15.75" hidden="false" customHeight="false" outlineLevel="0" collapsed="false">
      <c r="A717" s="12"/>
      <c r="B717" s="34"/>
      <c r="C717" s="12"/>
      <c r="D717" s="12"/>
      <c r="E717" s="12"/>
      <c r="F717" s="12"/>
      <c r="G717" s="18"/>
      <c r="H717" s="35"/>
      <c r="I717" s="12"/>
      <c r="M717" s="12"/>
      <c r="N717" s="18"/>
      <c r="O717" s="12"/>
      <c r="P717" s="12"/>
      <c r="Q717" s="12"/>
      <c r="R717" s="36"/>
      <c r="S717" s="36"/>
      <c r="T717" s="12"/>
      <c r="U717" s="12"/>
      <c r="V717" s="12"/>
      <c r="W717" s="12"/>
      <c r="X717" s="12"/>
    </row>
    <row r="718" customFormat="false" ht="15.75" hidden="false" customHeight="false" outlineLevel="0" collapsed="false">
      <c r="A718" s="12"/>
      <c r="B718" s="34"/>
      <c r="C718" s="12"/>
      <c r="D718" s="12"/>
      <c r="E718" s="12"/>
      <c r="F718" s="12"/>
      <c r="G718" s="18"/>
      <c r="H718" s="35"/>
      <c r="I718" s="12"/>
      <c r="M718" s="12"/>
      <c r="N718" s="18"/>
      <c r="O718" s="12"/>
      <c r="P718" s="12"/>
      <c r="Q718" s="12"/>
      <c r="R718" s="36"/>
      <c r="S718" s="36"/>
      <c r="T718" s="12"/>
      <c r="U718" s="12"/>
      <c r="V718" s="12"/>
      <c r="W718" s="12"/>
      <c r="X718" s="12"/>
    </row>
    <row r="719" customFormat="false" ht="15.75" hidden="false" customHeight="false" outlineLevel="0" collapsed="false">
      <c r="A719" s="12"/>
      <c r="B719" s="34"/>
      <c r="C719" s="12"/>
      <c r="D719" s="12"/>
      <c r="E719" s="12"/>
      <c r="F719" s="12"/>
      <c r="G719" s="18"/>
      <c r="H719" s="35"/>
      <c r="I719" s="12"/>
      <c r="M719" s="12"/>
      <c r="N719" s="18"/>
      <c r="O719" s="12"/>
      <c r="P719" s="12"/>
      <c r="Q719" s="12"/>
      <c r="R719" s="36"/>
      <c r="S719" s="36"/>
      <c r="T719" s="12"/>
      <c r="U719" s="12"/>
      <c r="V719" s="12"/>
      <c r="W719" s="12"/>
      <c r="X719" s="12"/>
    </row>
    <row r="720" customFormat="false" ht="15.75" hidden="false" customHeight="false" outlineLevel="0" collapsed="false">
      <c r="A720" s="12"/>
      <c r="B720" s="34"/>
      <c r="C720" s="12"/>
      <c r="D720" s="12"/>
      <c r="E720" s="12"/>
      <c r="F720" s="12"/>
      <c r="G720" s="18"/>
      <c r="H720" s="35"/>
      <c r="I720" s="12"/>
      <c r="M720" s="12"/>
      <c r="N720" s="18"/>
      <c r="O720" s="12"/>
      <c r="P720" s="12"/>
      <c r="Q720" s="12"/>
      <c r="R720" s="36"/>
      <c r="S720" s="36"/>
      <c r="T720" s="12"/>
      <c r="U720" s="12"/>
      <c r="V720" s="12"/>
      <c r="W720" s="12"/>
      <c r="X720" s="12"/>
    </row>
    <row r="721" customFormat="false" ht="15.75" hidden="false" customHeight="false" outlineLevel="0" collapsed="false">
      <c r="A721" s="12"/>
      <c r="B721" s="34"/>
      <c r="C721" s="12"/>
      <c r="D721" s="12"/>
      <c r="E721" s="12"/>
      <c r="F721" s="12"/>
      <c r="G721" s="18"/>
      <c r="H721" s="35"/>
      <c r="I721" s="12"/>
      <c r="M721" s="12"/>
      <c r="N721" s="18"/>
      <c r="O721" s="12"/>
      <c r="P721" s="12"/>
      <c r="Q721" s="12"/>
      <c r="R721" s="36"/>
      <c r="S721" s="36"/>
      <c r="T721" s="12"/>
      <c r="U721" s="12"/>
      <c r="V721" s="12"/>
      <c r="W721" s="12"/>
      <c r="X721" s="12"/>
    </row>
    <row r="722" customFormat="false" ht="15.75" hidden="false" customHeight="false" outlineLevel="0" collapsed="false">
      <c r="A722" s="12"/>
      <c r="B722" s="34"/>
      <c r="C722" s="12"/>
      <c r="D722" s="12"/>
      <c r="E722" s="12"/>
      <c r="F722" s="12"/>
      <c r="G722" s="18"/>
      <c r="H722" s="35"/>
      <c r="I722" s="12"/>
      <c r="M722" s="12"/>
      <c r="N722" s="18"/>
      <c r="O722" s="12"/>
      <c r="P722" s="12"/>
      <c r="Q722" s="12"/>
      <c r="R722" s="36"/>
      <c r="S722" s="36"/>
      <c r="T722" s="12"/>
      <c r="U722" s="12"/>
      <c r="V722" s="12"/>
      <c r="W722" s="12"/>
      <c r="X722" s="12"/>
    </row>
    <row r="723" customFormat="false" ht="15.75" hidden="false" customHeight="false" outlineLevel="0" collapsed="false">
      <c r="A723" s="12"/>
      <c r="B723" s="34"/>
      <c r="C723" s="12"/>
      <c r="D723" s="12"/>
      <c r="E723" s="12"/>
      <c r="F723" s="12"/>
      <c r="G723" s="18"/>
      <c r="H723" s="35"/>
      <c r="I723" s="12"/>
      <c r="M723" s="12"/>
      <c r="N723" s="18"/>
      <c r="O723" s="12"/>
      <c r="P723" s="12"/>
      <c r="Q723" s="12"/>
      <c r="R723" s="36"/>
      <c r="S723" s="36"/>
      <c r="T723" s="12"/>
      <c r="U723" s="12"/>
      <c r="V723" s="12"/>
      <c r="W723" s="12"/>
      <c r="X723" s="12"/>
    </row>
    <row r="724" customFormat="false" ht="15.75" hidden="false" customHeight="false" outlineLevel="0" collapsed="false">
      <c r="A724" s="12"/>
      <c r="B724" s="34"/>
      <c r="C724" s="12"/>
      <c r="D724" s="12"/>
      <c r="E724" s="12"/>
      <c r="F724" s="12"/>
      <c r="G724" s="18"/>
      <c r="H724" s="35"/>
      <c r="I724" s="12"/>
      <c r="M724" s="12"/>
      <c r="N724" s="18"/>
      <c r="O724" s="12"/>
      <c r="P724" s="12"/>
      <c r="Q724" s="12"/>
      <c r="R724" s="36"/>
      <c r="S724" s="36"/>
      <c r="T724" s="12"/>
      <c r="U724" s="12"/>
      <c r="V724" s="12"/>
      <c r="W724" s="12"/>
      <c r="X724" s="12"/>
    </row>
    <row r="725" customFormat="false" ht="15.75" hidden="false" customHeight="false" outlineLevel="0" collapsed="false">
      <c r="A725" s="12"/>
      <c r="B725" s="34"/>
      <c r="C725" s="12"/>
      <c r="D725" s="12"/>
      <c r="E725" s="12"/>
      <c r="F725" s="12"/>
      <c r="G725" s="18"/>
      <c r="H725" s="35"/>
      <c r="I725" s="12"/>
      <c r="M725" s="12"/>
      <c r="N725" s="18"/>
      <c r="O725" s="12"/>
      <c r="P725" s="12"/>
      <c r="Q725" s="12"/>
      <c r="R725" s="36"/>
      <c r="S725" s="36"/>
      <c r="T725" s="12"/>
      <c r="U725" s="12"/>
      <c r="V725" s="12"/>
      <c r="W725" s="12"/>
      <c r="X725" s="12"/>
    </row>
    <row r="726" customFormat="false" ht="15.75" hidden="false" customHeight="false" outlineLevel="0" collapsed="false">
      <c r="A726" s="12"/>
      <c r="B726" s="34"/>
      <c r="C726" s="12"/>
      <c r="D726" s="12"/>
      <c r="E726" s="12"/>
      <c r="F726" s="12"/>
      <c r="G726" s="18"/>
      <c r="H726" s="35"/>
      <c r="I726" s="12"/>
      <c r="M726" s="12"/>
      <c r="N726" s="18"/>
      <c r="O726" s="12"/>
      <c r="P726" s="12"/>
      <c r="Q726" s="12"/>
      <c r="R726" s="36"/>
      <c r="S726" s="36"/>
      <c r="T726" s="12"/>
      <c r="U726" s="12"/>
      <c r="V726" s="12"/>
      <c r="W726" s="12"/>
      <c r="X726" s="12"/>
    </row>
    <row r="727" customFormat="false" ht="15.75" hidden="false" customHeight="false" outlineLevel="0" collapsed="false">
      <c r="A727" s="12"/>
      <c r="B727" s="34"/>
      <c r="C727" s="12"/>
      <c r="D727" s="12"/>
      <c r="E727" s="12"/>
      <c r="F727" s="12"/>
      <c r="G727" s="18"/>
      <c r="H727" s="35"/>
      <c r="I727" s="12"/>
      <c r="M727" s="12"/>
      <c r="N727" s="18"/>
      <c r="O727" s="12"/>
      <c r="P727" s="12"/>
      <c r="Q727" s="12"/>
      <c r="R727" s="36"/>
      <c r="S727" s="36"/>
      <c r="T727" s="12"/>
      <c r="U727" s="12"/>
      <c r="V727" s="12"/>
      <c r="W727" s="12"/>
      <c r="X727" s="12"/>
    </row>
    <row r="728" customFormat="false" ht="15.75" hidden="false" customHeight="false" outlineLevel="0" collapsed="false">
      <c r="A728" s="12"/>
      <c r="B728" s="34"/>
      <c r="C728" s="12"/>
      <c r="D728" s="12"/>
      <c r="E728" s="12"/>
      <c r="F728" s="12"/>
      <c r="G728" s="18"/>
      <c r="H728" s="35"/>
      <c r="I728" s="12"/>
      <c r="M728" s="12"/>
      <c r="N728" s="18"/>
      <c r="O728" s="12"/>
      <c r="P728" s="12"/>
      <c r="Q728" s="12"/>
      <c r="R728" s="36"/>
      <c r="S728" s="36"/>
      <c r="T728" s="12"/>
      <c r="U728" s="12"/>
      <c r="V728" s="12"/>
      <c r="W728" s="12"/>
      <c r="X728" s="12"/>
    </row>
    <row r="729" customFormat="false" ht="15.75" hidden="false" customHeight="false" outlineLevel="0" collapsed="false">
      <c r="A729" s="12"/>
      <c r="B729" s="34"/>
      <c r="C729" s="12"/>
      <c r="D729" s="12"/>
      <c r="E729" s="12"/>
      <c r="F729" s="12"/>
      <c r="G729" s="18"/>
      <c r="H729" s="35"/>
      <c r="I729" s="12"/>
      <c r="M729" s="12"/>
      <c r="N729" s="18"/>
      <c r="O729" s="12"/>
      <c r="P729" s="12"/>
      <c r="Q729" s="12"/>
      <c r="R729" s="36"/>
      <c r="S729" s="36"/>
      <c r="T729" s="12"/>
      <c r="U729" s="12"/>
      <c r="V729" s="12"/>
      <c r="W729" s="12"/>
      <c r="X729" s="12"/>
    </row>
    <row r="730" customFormat="false" ht="15.75" hidden="false" customHeight="false" outlineLevel="0" collapsed="false">
      <c r="A730" s="12"/>
      <c r="B730" s="34"/>
      <c r="C730" s="12"/>
      <c r="D730" s="12"/>
      <c r="E730" s="12"/>
      <c r="F730" s="12"/>
      <c r="G730" s="18"/>
      <c r="H730" s="35"/>
      <c r="I730" s="12"/>
      <c r="M730" s="12"/>
      <c r="N730" s="18"/>
      <c r="O730" s="12"/>
      <c r="P730" s="12"/>
      <c r="Q730" s="12"/>
      <c r="R730" s="36"/>
      <c r="S730" s="36"/>
      <c r="T730" s="12"/>
      <c r="U730" s="12"/>
      <c r="V730" s="12"/>
      <c r="W730" s="12"/>
      <c r="X730" s="12"/>
    </row>
    <row r="731" customFormat="false" ht="15.75" hidden="false" customHeight="false" outlineLevel="0" collapsed="false">
      <c r="A731" s="12"/>
      <c r="B731" s="34"/>
      <c r="C731" s="12"/>
      <c r="D731" s="12"/>
      <c r="E731" s="12"/>
      <c r="F731" s="12"/>
      <c r="G731" s="18"/>
      <c r="H731" s="35"/>
      <c r="I731" s="12"/>
      <c r="M731" s="12"/>
      <c r="N731" s="18"/>
      <c r="O731" s="12"/>
      <c r="P731" s="12"/>
      <c r="Q731" s="12"/>
      <c r="R731" s="36"/>
      <c r="S731" s="36"/>
      <c r="T731" s="12"/>
      <c r="U731" s="12"/>
      <c r="V731" s="12"/>
      <c r="W731" s="12"/>
      <c r="X731" s="12"/>
    </row>
    <row r="732" customFormat="false" ht="15.75" hidden="false" customHeight="false" outlineLevel="0" collapsed="false">
      <c r="A732" s="12"/>
      <c r="B732" s="34"/>
      <c r="C732" s="12"/>
      <c r="D732" s="12"/>
      <c r="E732" s="12"/>
      <c r="F732" s="12"/>
      <c r="G732" s="18"/>
      <c r="H732" s="35"/>
      <c r="I732" s="12"/>
      <c r="M732" s="12"/>
      <c r="N732" s="18"/>
      <c r="O732" s="12"/>
      <c r="P732" s="12"/>
      <c r="Q732" s="12"/>
      <c r="R732" s="36"/>
      <c r="S732" s="36"/>
      <c r="T732" s="12"/>
      <c r="U732" s="12"/>
      <c r="V732" s="12"/>
      <c r="W732" s="12"/>
      <c r="X732" s="12"/>
    </row>
    <row r="733" customFormat="false" ht="15.75" hidden="false" customHeight="false" outlineLevel="0" collapsed="false">
      <c r="A733" s="12"/>
      <c r="B733" s="34"/>
      <c r="C733" s="12"/>
      <c r="D733" s="12"/>
      <c r="E733" s="12"/>
      <c r="F733" s="12"/>
      <c r="G733" s="18"/>
      <c r="H733" s="35"/>
      <c r="I733" s="12"/>
      <c r="M733" s="12"/>
      <c r="N733" s="18"/>
      <c r="O733" s="12"/>
      <c r="P733" s="12"/>
      <c r="Q733" s="12"/>
      <c r="R733" s="36"/>
      <c r="S733" s="36"/>
      <c r="T733" s="12"/>
      <c r="U733" s="12"/>
      <c r="V733" s="12"/>
      <c r="W733" s="12"/>
      <c r="X733" s="12"/>
    </row>
    <row r="734" customFormat="false" ht="15.75" hidden="false" customHeight="false" outlineLevel="0" collapsed="false">
      <c r="A734" s="12"/>
      <c r="B734" s="34"/>
      <c r="C734" s="12"/>
      <c r="D734" s="12"/>
      <c r="E734" s="12"/>
      <c r="F734" s="12"/>
      <c r="G734" s="18"/>
      <c r="H734" s="35"/>
      <c r="I734" s="12"/>
      <c r="M734" s="12"/>
      <c r="N734" s="18"/>
      <c r="O734" s="12"/>
      <c r="P734" s="12"/>
      <c r="Q734" s="12"/>
      <c r="R734" s="36"/>
      <c r="S734" s="36"/>
      <c r="T734" s="12"/>
      <c r="U734" s="12"/>
      <c r="V734" s="12"/>
      <c r="W734" s="12"/>
      <c r="X734" s="12"/>
    </row>
    <row r="735" customFormat="false" ht="15.75" hidden="false" customHeight="false" outlineLevel="0" collapsed="false">
      <c r="A735" s="12"/>
      <c r="B735" s="34"/>
      <c r="C735" s="12"/>
      <c r="D735" s="12"/>
      <c r="E735" s="12"/>
      <c r="F735" s="12"/>
      <c r="G735" s="18"/>
      <c r="H735" s="35"/>
      <c r="I735" s="12"/>
      <c r="M735" s="12"/>
      <c r="N735" s="18"/>
      <c r="O735" s="12"/>
      <c r="P735" s="12"/>
      <c r="Q735" s="12"/>
      <c r="R735" s="36"/>
      <c r="S735" s="36"/>
      <c r="T735" s="12"/>
      <c r="U735" s="12"/>
      <c r="V735" s="12"/>
      <c r="W735" s="12"/>
      <c r="X735" s="12"/>
    </row>
    <row r="736" customFormat="false" ht="15.75" hidden="false" customHeight="false" outlineLevel="0" collapsed="false">
      <c r="A736" s="12"/>
      <c r="B736" s="34"/>
      <c r="C736" s="12"/>
      <c r="D736" s="12"/>
      <c r="E736" s="12"/>
      <c r="F736" s="12"/>
      <c r="G736" s="18"/>
      <c r="H736" s="35"/>
      <c r="I736" s="12"/>
      <c r="M736" s="12"/>
      <c r="N736" s="18"/>
      <c r="O736" s="12"/>
      <c r="P736" s="12"/>
      <c r="Q736" s="12"/>
      <c r="R736" s="36"/>
      <c r="S736" s="36"/>
      <c r="T736" s="12"/>
      <c r="U736" s="12"/>
      <c r="V736" s="12"/>
      <c r="W736" s="12"/>
      <c r="X736" s="12"/>
    </row>
    <row r="737" customFormat="false" ht="15.75" hidden="false" customHeight="false" outlineLevel="0" collapsed="false">
      <c r="A737" s="12"/>
      <c r="B737" s="34"/>
      <c r="C737" s="12"/>
      <c r="D737" s="12"/>
      <c r="E737" s="12"/>
      <c r="F737" s="12"/>
      <c r="G737" s="18"/>
      <c r="H737" s="35"/>
      <c r="I737" s="12"/>
      <c r="M737" s="12"/>
      <c r="N737" s="18"/>
      <c r="O737" s="12"/>
      <c r="P737" s="12"/>
      <c r="Q737" s="12"/>
      <c r="R737" s="36"/>
      <c r="S737" s="36"/>
      <c r="T737" s="12"/>
      <c r="U737" s="12"/>
      <c r="V737" s="12"/>
      <c r="W737" s="12"/>
      <c r="X737" s="12"/>
    </row>
    <row r="738" customFormat="false" ht="15.75" hidden="false" customHeight="false" outlineLevel="0" collapsed="false">
      <c r="A738" s="12"/>
      <c r="B738" s="34"/>
      <c r="C738" s="12"/>
      <c r="D738" s="12"/>
      <c r="E738" s="12"/>
      <c r="F738" s="12"/>
      <c r="G738" s="18"/>
      <c r="H738" s="35"/>
      <c r="I738" s="12"/>
      <c r="M738" s="12"/>
      <c r="N738" s="18"/>
      <c r="O738" s="12"/>
      <c r="P738" s="12"/>
      <c r="Q738" s="12"/>
      <c r="R738" s="36"/>
      <c r="S738" s="36"/>
      <c r="T738" s="12"/>
      <c r="U738" s="12"/>
      <c r="V738" s="12"/>
      <c r="W738" s="12"/>
      <c r="X738" s="12"/>
    </row>
    <row r="739" customFormat="false" ht="15.75" hidden="false" customHeight="false" outlineLevel="0" collapsed="false">
      <c r="A739" s="12"/>
      <c r="B739" s="34"/>
      <c r="C739" s="12"/>
      <c r="D739" s="12"/>
      <c r="E739" s="12"/>
      <c r="F739" s="12"/>
      <c r="G739" s="18"/>
      <c r="H739" s="35"/>
      <c r="I739" s="12"/>
      <c r="M739" s="12"/>
      <c r="N739" s="18"/>
      <c r="O739" s="12"/>
      <c r="P739" s="12"/>
      <c r="Q739" s="12"/>
      <c r="R739" s="36"/>
      <c r="S739" s="36"/>
      <c r="T739" s="12"/>
      <c r="U739" s="12"/>
      <c r="V739" s="12"/>
      <c r="W739" s="12"/>
      <c r="X739" s="12"/>
    </row>
    <row r="740" customFormat="false" ht="15.75" hidden="false" customHeight="false" outlineLevel="0" collapsed="false">
      <c r="A740" s="12"/>
      <c r="B740" s="34"/>
      <c r="C740" s="12"/>
      <c r="D740" s="12"/>
      <c r="E740" s="12"/>
      <c r="F740" s="12"/>
      <c r="G740" s="18"/>
      <c r="H740" s="35"/>
      <c r="I740" s="12"/>
      <c r="M740" s="12"/>
      <c r="N740" s="18"/>
      <c r="O740" s="12"/>
      <c r="P740" s="12"/>
      <c r="Q740" s="12"/>
      <c r="R740" s="36"/>
      <c r="S740" s="36"/>
      <c r="T740" s="12"/>
      <c r="U740" s="12"/>
      <c r="V740" s="12"/>
      <c r="W740" s="12"/>
      <c r="X740" s="12"/>
    </row>
    <row r="741" customFormat="false" ht="15.75" hidden="false" customHeight="false" outlineLevel="0" collapsed="false">
      <c r="A741" s="12"/>
      <c r="B741" s="34"/>
      <c r="C741" s="12"/>
      <c r="D741" s="12"/>
      <c r="E741" s="12"/>
      <c r="F741" s="12"/>
      <c r="G741" s="18"/>
      <c r="H741" s="35"/>
      <c r="I741" s="12"/>
      <c r="M741" s="12"/>
      <c r="N741" s="18"/>
      <c r="O741" s="12"/>
      <c r="P741" s="12"/>
      <c r="Q741" s="12"/>
      <c r="R741" s="36"/>
      <c r="S741" s="36"/>
      <c r="T741" s="12"/>
      <c r="U741" s="12"/>
      <c r="V741" s="12"/>
      <c r="W741" s="12"/>
      <c r="X741" s="12"/>
    </row>
    <row r="742" customFormat="false" ht="15.75" hidden="false" customHeight="false" outlineLevel="0" collapsed="false">
      <c r="A742" s="12"/>
      <c r="B742" s="34"/>
      <c r="C742" s="12"/>
      <c r="D742" s="12"/>
      <c r="E742" s="12"/>
      <c r="F742" s="12"/>
      <c r="G742" s="18"/>
      <c r="H742" s="35"/>
      <c r="I742" s="12"/>
      <c r="M742" s="12"/>
      <c r="N742" s="18"/>
      <c r="O742" s="12"/>
      <c r="P742" s="12"/>
      <c r="Q742" s="12"/>
      <c r="R742" s="36"/>
      <c r="S742" s="36"/>
      <c r="T742" s="12"/>
      <c r="U742" s="12"/>
      <c r="V742" s="12"/>
      <c r="W742" s="12"/>
      <c r="X742" s="12"/>
    </row>
    <row r="743" customFormat="false" ht="15.75" hidden="false" customHeight="false" outlineLevel="0" collapsed="false">
      <c r="A743" s="12"/>
      <c r="B743" s="34"/>
      <c r="C743" s="12"/>
      <c r="D743" s="12"/>
      <c r="E743" s="12"/>
      <c r="F743" s="12"/>
      <c r="G743" s="18"/>
      <c r="H743" s="35"/>
      <c r="I743" s="12"/>
      <c r="M743" s="12"/>
      <c r="N743" s="18"/>
      <c r="O743" s="12"/>
      <c r="P743" s="12"/>
      <c r="Q743" s="12"/>
      <c r="R743" s="36"/>
      <c r="S743" s="36"/>
      <c r="T743" s="12"/>
      <c r="U743" s="12"/>
      <c r="V743" s="12"/>
      <c r="W743" s="12"/>
      <c r="X743" s="12"/>
    </row>
    <row r="744" customFormat="false" ht="15.75" hidden="false" customHeight="false" outlineLevel="0" collapsed="false">
      <c r="A744" s="12"/>
      <c r="B744" s="34"/>
      <c r="C744" s="12"/>
      <c r="D744" s="12"/>
      <c r="E744" s="12"/>
      <c r="F744" s="12"/>
      <c r="G744" s="18"/>
      <c r="H744" s="35"/>
      <c r="I744" s="12"/>
      <c r="M744" s="12"/>
      <c r="N744" s="18"/>
      <c r="O744" s="12"/>
      <c r="P744" s="12"/>
      <c r="Q744" s="12"/>
      <c r="R744" s="36"/>
      <c r="S744" s="36"/>
      <c r="T744" s="12"/>
      <c r="U744" s="12"/>
      <c r="V744" s="12"/>
      <c r="W744" s="12"/>
      <c r="X744" s="12"/>
    </row>
    <row r="745" customFormat="false" ht="15.75" hidden="false" customHeight="false" outlineLevel="0" collapsed="false">
      <c r="A745" s="12"/>
      <c r="B745" s="34"/>
      <c r="C745" s="12"/>
      <c r="D745" s="12"/>
      <c r="E745" s="12"/>
      <c r="F745" s="12"/>
      <c r="G745" s="18"/>
      <c r="H745" s="35"/>
      <c r="I745" s="12"/>
      <c r="M745" s="12"/>
      <c r="N745" s="18"/>
      <c r="O745" s="12"/>
      <c r="P745" s="12"/>
      <c r="Q745" s="12"/>
      <c r="R745" s="36"/>
      <c r="S745" s="36"/>
      <c r="T745" s="12"/>
      <c r="U745" s="12"/>
      <c r="V745" s="12"/>
      <c r="W745" s="12"/>
      <c r="X745" s="12"/>
    </row>
    <row r="746" customFormat="false" ht="15.75" hidden="false" customHeight="false" outlineLevel="0" collapsed="false">
      <c r="A746" s="12"/>
      <c r="B746" s="34"/>
      <c r="C746" s="12"/>
      <c r="D746" s="12"/>
      <c r="E746" s="12"/>
      <c r="F746" s="12"/>
      <c r="G746" s="18"/>
      <c r="H746" s="35"/>
      <c r="I746" s="12"/>
      <c r="M746" s="12"/>
      <c r="N746" s="18"/>
      <c r="O746" s="12"/>
      <c r="P746" s="12"/>
      <c r="Q746" s="12"/>
      <c r="R746" s="36"/>
      <c r="S746" s="36"/>
      <c r="T746" s="12"/>
      <c r="U746" s="12"/>
      <c r="V746" s="12"/>
      <c r="W746" s="12"/>
      <c r="X746" s="12"/>
    </row>
    <row r="747" customFormat="false" ht="15.75" hidden="false" customHeight="false" outlineLevel="0" collapsed="false">
      <c r="A747" s="12"/>
      <c r="B747" s="34"/>
      <c r="C747" s="12"/>
      <c r="D747" s="12"/>
      <c r="E747" s="12"/>
      <c r="F747" s="12"/>
      <c r="G747" s="18"/>
      <c r="H747" s="35"/>
      <c r="I747" s="12"/>
      <c r="M747" s="12"/>
      <c r="N747" s="18"/>
      <c r="O747" s="12"/>
      <c r="P747" s="12"/>
      <c r="Q747" s="12"/>
      <c r="R747" s="36"/>
      <c r="S747" s="36"/>
      <c r="T747" s="12"/>
      <c r="U747" s="12"/>
      <c r="V747" s="12"/>
      <c r="W747" s="12"/>
      <c r="X747" s="12"/>
    </row>
    <row r="748" customFormat="false" ht="15.75" hidden="false" customHeight="false" outlineLevel="0" collapsed="false">
      <c r="A748" s="12"/>
      <c r="B748" s="34"/>
      <c r="C748" s="12"/>
      <c r="D748" s="12"/>
      <c r="E748" s="12"/>
      <c r="F748" s="12"/>
      <c r="G748" s="18"/>
      <c r="H748" s="35"/>
      <c r="I748" s="12"/>
      <c r="M748" s="12"/>
      <c r="N748" s="18"/>
      <c r="O748" s="12"/>
      <c r="P748" s="12"/>
      <c r="Q748" s="12"/>
      <c r="R748" s="36"/>
      <c r="S748" s="36"/>
      <c r="T748" s="12"/>
      <c r="U748" s="12"/>
      <c r="V748" s="12"/>
      <c r="W748" s="12"/>
      <c r="X748" s="12"/>
    </row>
    <row r="749" customFormat="false" ht="15.75" hidden="false" customHeight="false" outlineLevel="0" collapsed="false">
      <c r="A749" s="12"/>
      <c r="B749" s="34"/>
      <c r="C749" s="12"/>
      <c r="D749" s="12"/>
      <c r="E749" s="12"/>
      <c r="F749" s="12"/>
      <c r="G749" s="18"/>
      <c r="H749" s="35"/>
      <c r="I749" s="12"/>
      <c r="M749" s="12"/>
      <c r="N749" s="18"/>
      <c r="O749" s="12"/>
      <c r="P749" s="12"/>
      <c r="Q749" s="12"/>
      <c r="R749" s="36"/>
      <c r="S749" s="36"/>
      <c r="T749" s="12"/>
      <c r="U749" s="12"/>
      <c r="V749" s="12"/>
      <c r="W749" s="12"/>
      <c r="X749" s="12"/>
    </row>
    <row r="750" customFormat="false" ht="15.75" hidden="false" customHeight="false" outlineLevel="0" collapsed="false">
      <c r="A750" s="12"/>
      <c r="B750" s="34"/>
      <c r="C750" s="12"/>
      <c r="D750" s="12"/>
      <c r="E750" s="12"/>
      <c r="F750" s="12"/>
      <c r="G750" s="18"/>
      <c r="H750" s="35"/>
      <c r="I750" s="12"/>
      <c r="M750" s="12"/>
      <c r="N750" s="18"/>
      <c r="O750" s="12"/>
      <c r="P750" s="12"/>
      <c r="Q750" s="12"/>
      <c r="R750" s="36"/>
      <c r="S750" s="36"/>
      <c r="T750" s="12"/>
      <c r="U750" s="12"/>
      <c r="V750" s="12"/>
      <c r="W750" s="12"/>
      <c r="X750" s="12"/>
    </row>
    <row r="751" customFormat="false" ht="15.75" hidden="false" customHeight="false" outlineLevel="0" collapsed="false">
      <c r="A751" s="12"/>
      <c r="B751" s="34"/>
      <c r="C751" s="12"/>
      <c r="D751" s="12"/>
      <c r="E751" s="12"/>
      <c r="F751" s="12"/>
      <c r="G751" s="18"/>
      <c r="H751" s="35"/>
      <c r="I751" s="12"/>
      <c r="M751" s="12"/>
      <c r="N751" s="18"/>
      <c r="O751" s="12"/>
      <c r="P751" s="12"/>
      <c r="Q751" s="12"/>
      <c r="R751" s="36"/>
      <c r="S751" s="36"/>
      <c r="T751" s="12"/>
      <c r="U751" s="12"/>
      <c r="V751" s="12"/>
      <c r="W751" s="12"/>
      <c r="X751" s="12"/>
    </row>
    <row r="752" customFormat="false" ht="15.75" hidden="false" customHeight="false" outlineLevel="0" collapsed="false">
      <c r="A752" s="12"/>
      <c r="B752" s="34"/>
      <c r="C752" s="12"/>
      <c r="D752" s="12"/>
      <c r="E752" s="12"/>
      <c r="F752" s="12"/>
      <c r="G752" s="18"/>
      <c r="H752" s="35"/>
      <c r="I752" s="12"/>
      <c r="M752" s="12"/>
      <c r="N752" s="18"/>
      <c r="O752" s="12"/>
      <c r="P752" s="12"/>
      <c r="Q752" s="12"/>
      <c r="R752" s="36"/>
      <c r="S752" s="36"/>
      <c r="T752" s="12"/>
      <c r="U752" s="12"/>
      <c r="V752" s="12"/>
      <c r="W752" s="12"/>
      <c r="X752" s="12"/>
    </row>
    <row r="753" customFormat="false" ht="15.75" hidden="false" customHeight="false" outlineLevel="0" collapsed="false">
      <c r="A753" s="12"/>
      <c r="B753" s="34"/>
      <c r="C753" s="12"/>
      <c r="D753" s="12"/>
      <c r="E753" s="12"/>
      <c r="F753" s="12"/>
      <c r="G753" s="18"/>
      <c r="H753" s="35"/>
      <c r="I753" s="12"/>
      <c r="M753" s="12"/>
      <c r="N753" s="18"/>
      <c r="O753" s="12"/>
      <c r="P753" s="12"/>
      <c r="Q753" s="12"/>
      <c r="R753" s="36"/>
      <c r="S753" s="36"/>
      <c r="T753" s="12"/>
      <c r="U753" s="12"/>
      <c r="V753" s="12"/>
      <c r="W753" s="12"/>
      <c r="X753" s="12"/>
    </row>
    <row r="754" customFormat="false" ht="15.75" hidden="false" customHeight="false" outlineLevel="0" collapsed="false">
      <c r="A754" s="12"/>
      <c r="B754" s="34"/>
      <c r="C754" s="12"/>
      <c r="D754" s="12"/>
      <c r="E754" s="12"/>
      <c r="F754" s="12"/>
      <c r="G754" s="18"/>
      <c r="H754" s="35"/>
      <c r="I754" s="12"/>
      <c r="M754" s="12"/>
      <c r="N754" s="18"/>
      <c r="O754" s="12"/>
      <c r="P754" s="12"/>
      <c r="Q754" s="12"/>
      <c r="R754" s="36"/>
      <c r="S754" s="36"/>
      <c r="T754" s="12"/>
      <c r="U754" s="12"/>
      <c r="V754" s="12"/>
      <c r="W754" s="12"/>
      <c r="X754" s="12"/>
    </row>
    <row r="755" customFormat="false" ht="15.75" hidden="false" customHeight="false" outlineLevel="0" collapsed="false">
      <c r="A755" s="12"/>
      <c r="B755" s="34"/>
      <c r="C755" s="12"/>
      <c r="D755" s="12"/>
      <c r="E755" s="12"/>
      <c r="F755" s="12"/>
      <c r="G755" s="18"/>
      <c r="H755" s="35"/>
      <c r="I755" s="12"/>
      <c r="M755" s="12"/>
      <c r="N755" s="18"/>
      <c r="O755" s="12"/>
      <c r="P755" s="12"/>
      <c r="Q755" s="12"/>
      <c r="R755" s="36"/>
      <c r="S755" s="36"/>
      <c r="T755" s="12"/>
      <c r="U755" s="12"/>
      <c r="V755" s="12"/>
      <c r="W755" s="12"/>
      <c r="X755" s="12"/>
    </row>
    <row r="756" customFormat="false" ht="15.75" hidden="false" customHeight="false" outlineLevel="0" collapsed="false">
      <c r="A756" s="12"/>
      <c r="B756" s="34"/>
      <c r="C756" s="12"/>
      <c r="D756" s="12"/>
      <c r="E756" s="12"/>
      <c r="F756" s="12"/>
      <c r="G756" s="18"/>
      <c r="H756" s="35"/>
      <c r="I756" s="12"/>
      <c r="M756" s="12"/>
      <c r="N756" s="18"/>
      <c r="O756" s="12"/>
      <c r="P756" s="12"/>
      <c r="Q756" s="12"/>
      <c r="R756" s="36"/>
      <c r="S756" s="36"/>
      <c r="T756" s="12"/>
      <c r="U756" s="12"/>
      <c r="V756" s="12"/>
      <c r="W756" s="12"/>
      <c r="X756" s="12"/>
    </row>
    <row r="757" customFormat="false" ht="15.75" hidden="false" customHeight="false" outlineLevel="0" collapsed="false">
      <c r="A757" s="12"/>
      <c r="B757" s="34"/>
      <c r="C757" s="12"/>
      <c r="D757" s="12"/>
      <c r="E757" s="12"/>
      <c r="F757" s="12"/>
      <c r="G757" s="18"/>
      <c r="H757" s="35"/>
      <c r="I757" s="12"/>
      <c r="M757" s="12"/>
      <c r="N757" s="18"/>
      <c r="O757" s="12"/>
      <c r="P757" s="12"/>
      <c r="Q757" s="12"/>
      <c r="R757" s="36"/>
      <c r="S757" s="36"/>
      <c r="T757" s="12"/>
      <c r="U757" s="12"/>
      <c r="V757" s="12"/>
      <c r="W757" s="12"/>
      <c r="X757" s="12"/>
    </row>
    <row r="758" customFormat="false" ht="15.75" hidden="false" customHeight="false" outlineLevel="0" collapsed="false">
      <c r="A758" s="12"/>
      <c r="B758" s="34"/>
      <c r="C758" s="12"/>
      <c r="D758" s="12"/>
      <c r="E758" s="12"/>
      <c r="F758" s="12"/>
      <c r="G758" s="18"/>
      <c r="H758" s="35"/>
      <c r="I758" s="12"/>
      <c r="M758" s="12"/>
      <c r="N758" s="18"/>
      <c r="O758" s="12"/>
      <c r="P758" s="12"/>
      <c r="Q758" s="12"/>
      <c r="R758" s="36"/>
      <c r="S758" s="36"/>
      <c r="T758" s="12"/>
      <c r="U758" s="12"/>
      <c r="V758" s="12"/>
      <c r="W758" s="12"/>
      <c r="X758" s="12"/>
    </row>
    <row r="759" customFormat="false" ht="15.75" hidden="false" customHeight="false" outlineLevel="0" collapsed="false">
      <c r="A759" s="12"/>
      <c r="B759" s="34"/>
      <c r="C759" s="12"/>
      <c r="D759" s="12"/>
      <c r="E759" s="12"/>
      <c r="F759" s="12"/>
      <c r="G759" s="18"/>
      <c r="H759" s="35"/>
      <c r="I759" s="12"/>
      <c r="M759" s="12"/>
      <c r="N759" s="18"/>
      <c r="O759" s="12"/>
      <c r="P759" s="12"/>
      <c r="Q759" s="12"/>
      <c r="R759" s="36"/>
      <c r="S759" s="36"/>
      <c r="T759" s="12"/>
      <c r="U759" s="12"/>
      <c r="V759" s="12"/>
      <c r="W759" s="12"/>
      <c r="X759" s="12"/>
    </row>
    <row r="760" customFormat="false" ht="15.75" hidden="false" customHeight="false" outlineLevel="0" collapsed="false">
      <c r="A760" s="12"/>
      <c r="B760" s="34"/>
      <c r="C760" s="12"/>
      <c r="D760" s="12"/>
      <c r="E760" s="12"/>
      <c r="F760" s="12"/>
      <c r="G760" s="18"/>
      <c r="H760" s="35"/>
      <c r="I760" s="12"/>
      <c r="M760" s="12"/>
      <c r="N760" s="18"/>
      <c r="O760" s="12"/>
      <c r="P760" s="12"/>
      <c r="Q760" s="12"/>
      <c r="R760" s="36"/>
      <c r="S760" s="36"/>
      <c r="T760" s="12"/>
      <c r="U760" s="12"/>
      <c r="V760" s="12"/>
      <c r="W760" s="12"/>
      <c r="X760" s="12"/>
    </row>
    <row r="761" customFormat="false" ht="15.75" hidden="false" customHeight="false" outlineLevel="0" collapsed="false">
      <c r="A761" s="12"/>
      <c r="B761" s="34"/>
      <c r="C761" s="12"/>
      <c r="D761" s="12"/>
      <c r="E761" s="12"/>
      <c r="F761" s="12"/>
      <c r="G761" s="18"/>
      <c r="H761" s="35"/>
      <c r="I761" s="12"/>
      <c r="M761" s="12"/>
      <c r="N761" s="18"/>
      <c r="O761" s="12"/>
      <c r="P761" s="12"/>
      <c r="Q761" s="12"/>
      <c r="R761" s="36"/>
      <c r="S761" s="36"/>
      <c r="T761" s="12"/>
      <c r="U761" s="12"/>
      <c r="V761" s="12"/>
      <c r="W761" s="12"/>
      <c r="X761" s="12"/>
    </row>
    <row r="762" customFormat="false" ht="15.75" hidden="false" customHeight="false" outlineLevel="0" collapsed="false">
      <c r="A762" s="12"/>
      <c r="B762" s="34"/>
      <c r="C762" s="12"/>
      <c r="D762" s="12"/>
      <c r="E762" s="12"/>
      <c r="F762" s="12"/>
      <c r="G762" s="18"/>
      <c r="H762" s="35"/>
      <c r="I762" s="12"/>
      <c r="M762" s="12"/>
      <c r="N762" s="18"/>
      <c r="O762" s="12"/>
      <c r="P762" s="12"/>
      <c r="Q762" s="12"/>
      <c r="R762" s="36"/>
      <c r="S762" s="36"/>
      <c r="T762" s="12"/>
      <c r="U762" s="12"/>
      <c r="V762" s="12"/>
      <c r="W762" s="12"/>
      <c r="X762" s="12"/>
    </row>
    <row r="763" customFormat="false" ht="15.75" hidden="false" customHeight="false" outlineLevel="0" collapsed="false">
      <c r="A763" s="12"/>
      <c r="B763" s="34"/>
      <c r="C763" s="12"/>
      <c r="D763" s="12"/>
      <c r="E763" s="12"/>
      <c r="F763" s="12"/>
      <c r="G763" s="18"/>
      <c r="H763" s="35"/>
      <c r="I763" s="12"/>
      <c r="M763" s="12"/>
      <c r="N763" s="18"/>
      <c r="O763" s="12"/>
      <c r="P763" s="12"/>
      <c r="Q763" s="12"/>
      <c r="R763" s="36"/>
      <c r="S763" s="36"/>
      <c r="T763" s="12"/>
      <c r="U763" s="12"/>
      <c r="V763" s="12"/>
      <c r="W763" s="12"/>
      <c r="X763" s="12"/>
    </row>
    <row r="764" customFormat="false" ht="15.75" hidden="false" customHeight="false" outlineLevel="0" collapsed="false">
      <c r="A764" s="12"/>
      <c r="B764" s="34"/>
      <c r="C764" s="12"/>
      <c r="D764" s="12"/>
      <c r="E764" s="12"/>
      <c r="F764" s="12"/>
      <c r="G764" s="18"/>
      <c r="H764" s="35"/>
      <c r="I764" s="12"/>
      <c r="M764" s="12"/>
      <c r="N764" s="18"/>
      <c r="O764" s="12"/>
      <c r="P764" s="12"/>
      <c r="Q764" s="12"/>
      <c r="R764" s="36"/>
      <c r="S764" s="36"/>
      <c r="T764" s="12"/>
      <c r="U764" s="12"/>
      <c r="V764" s="12"/>
      <c r="W764" s="12"/>
      <c r="X764" s="12"/>
    </row>
    <row r="765" customFormat="false" ht="15.75" hidden="false" customHeight="false" outlineLevel="0" collapsed="false">
      <c r="A765" s="12"/>
      <c r="B765" s="34"/>
      <c r="C765" s="12"/>
      <c r="D765" s="12"/>
      <c r="E765" s="12"/>
      <c r="F765" s="12"/>
      <c r="G765" s="18"/>
      <c r="H765" s="35"/>
      <c r="I765" s="12"/>
      <c r="M765" s="12"/>
      <c r="N765" s="18"/>
      <c r="O765" s="12"/>
      <c r="P765" s="12"/>
      <c r="Q765" s="12"/>
      <c r="R765" s="36"/>
      <c r="S765" s="36"/>
      <c r="T765" s="12"/>
      <c r="U765" s="12"/>
      <c r="V765" s="12"/>
      <c r="W765" s="12"/>
      <c r="X765" s="12"/>
    </row>
    <row r="766" customFormat="false" ht="15.75" hidden="false" customHeight="false" outlineLevel="0" collapsed="false">
      <c r="A766" s="12"/>
      <c r="B766" s="34"/>
      <c r="C766" s="12"/>
      <c r="D766" s="12"/>
      <c r="E766" s="12"/>
      <c r="F766" s="12"/>
      <c r="G766" s="18"/>
      <c r="H766" s="35"/>
      <c r="I766" s="12"/>
      <c r="M766" s="12"/>
      <c r="N766" s="18"/>
      <c r="O766" s="12"/>
      <c r="P766" s="12"/>
      <c r="Q766" s="12"/>
      <c r="R766" s="36"/>
      <c r="S766" s="36"/>
      <c r="T766" s="12"/>
      <c r="U766" s="12"/>
      <c r="V766" s="12"/>
      <c r="W766" s="12"/>
      <c r="X766" s="12"/>
    </row>
    <row r="767" customFormat="false" ht="15.75" hidden="false" customHeight="false" outlineLevel="0" collapsed="false">
      <c r="A767" s="12"/>
      <c r="B767" s="34"/>
      <c r="C767" s="12"/>
      <c r="D767" s="12"/>
      <c r="E767" s="12"/>
      <c r="F767" s="12"/>
      <c r="G767" s="18"/>
      <c r="H767" s="35"/>
      <c r="I767" s="12"/>
      <c r="M767" s="12"/>
      <c r="N767" s="18"/>
      <c r="O767" s="12"/>
      <c r="P767" s="12"/>
      <c r="Q767" s="12"/>
      <c r="R767" s="36"/>
      <c r="S767" s="36"/>
      <c r="T767" s="12"/>
      <c r="U767" s="12"/>
      <c r="V767" s="12"/>
      <c r="W767" s="12"/>
      <c r="X767" s="12"/>
    </row>
    <row r="768" customFormat="false" ht="15.75" hidden="false" customHeight="false" outlineLevel="0" collapsed="false">
      <c r="A768" s="12"/>
      <c r="B768" s="34"/>
      <c r="C768" s="12"/>
      <c r="D768" s="12"/>
      <c r="E768" s="12"/>
      <c r="F768" s="12"/>
      <c r="G768" s="18"/>
      <c r="H768" s="35"/>
      <c r="I768" s="12"/>
      <c r="M768" s="12"/>
      <c r="N768" s="18"/>
      <c r="O768" s="12"/>
      <c r="P768" s="12"/>
      <c r="Q768" s="12"/>
      <c r="R768" s="36"/>
      <c r="S768" s="36"/>
      <c r="T768" s="12"/>
      <c r="U768" s="12"/>
      <c r="V768" s="12"/>
      <c r="W768" s="12"/>
      <c r="X768" s="12"/>
    </row>
    <row r="769" customFormat="false" ht="15.75" hidden="false" customHeight="false" outlineLevel="0" collapsed="false">
      <c r="A769" s="12"/>
      <c r="B769" s="34"/>
      <c r="C769" s="12"/>
      <c r="D769" s="12"/>
      <c r="E769" s="12"/>
      <c r="F769" s="12"/>
      <c r="G769" s="18"/>
      <c r="H769" s="35"/>
      <c r="I769" s="12"/>
      <c r="M769" s="12"/>
      <c r="N769" s="18"/>
      <c r="O769" s="12"/>
      <c r="P769" s="12"/>
      <c r="Q769" s="12"/>
      <c r="R769" s="36"/>
      <c r="S769" s="36"/>
      <c r="T769" s="12"/>
      <c r="U769" s="12"/>
      <c r="V769" s="12"/>
      <c r="W769" s="12"/>
      <c r="X769" s="12"/>
    </row>
    <row r="770" customFormat="false" ht="15.75" hidden="false" customHeight="false" outlineLevel="0" collapsed="false">
      <c r="A770" s="12"/>
      <c r="B770" s="34"/>
      <c r="C770" s="12"/>
      <c r="D770" s="12"/>
      <c r="E770" s="12"/>
      <c r="F770" s="12"/>
      <c r="G770" s="18"/>
      <c r="H770" s="35"/>
      <c r="I770" s="12"/>
      <c r="M770" s="12"/>
      <c r="N770" s="18"/>
      <c r="O770" s="12"/>
      <c r="P770" s="12"/>
      <c r="Q770" s="12"/>
      <c r="R770" s="36"/>
      <c r="S770" s="36"/>
      <c r="T770" s="12"/>
      <c r="U770" s="12"/>
      <c r="V770" s="12"/>
      <c r="W770" s="12"/>
      <c r="X770" s="12"/>
    </row>
    <row r="771" customFormat="false" ht="15.75" hidden="false" customHeight="false" outlineLevel="0" collapsed="false">
      <c r="A771" s="12"/>
      <c r="B771" s="34"/>
      <c r="C771" s="12"/>
      <c r="D771" s="12"/>
      <c r="E771" s="12"/>
      <c r="F771" s="12"/>
      <c r="G771" s="18"/>
      <c r="H771" s="35"/>
      <c r="I771" s="12"/>
      <c r="M771" s="12"/>
      <c r="N771" s="18"/>
      <c r="O771" s="12"/>
      <c r="P771" s="12"/>
      <c r="Q771" s="12"/>
      <c r="R771" s="36"/>
      <c r="S771" s="36"/>
      <c r="T771" s="12"/>
      <c r="U771" s="12"/>
      <c r="V771" s="12"/>
      <c r="W771" s="12"/>
      <c r="X771" s="12"/>
    </row>
    <row r="772" customFormat="false" ht="15.75" hidden="false" customHeight="false" outlineLevel="0" collapsed="false">
      <c r="A772" s="12"/>
      <c r="B772" s="34"/>
      <c r="C772" s="12"/>
      <c r="D772" s="12"/>
      <c r="E772" s="12"/>
      <c r="F772" s="12"/>
      <c r="G772" s="18"/>
      <c r="H772" s="35"/>
      <c r="I772" s="12"/>
      <c r="M772" s="12"/>
      <c r="N772" s="18"/>
      <c r="O772" s="12"/>
      <c r="P772" s="12"/>
      <c r="Q772" s="12"/>
      <c r="R772" s="36"/>
      <c r="S772" s="36"/>
      <c r="T772" s="12"/>
      <c r="U772" s="12"/>
      <c r="V772" s="12"/>
      <c r="W772" s="12"/>
      <c r="X772" s="12"/>
    </row>
    <row r="773" customFormat="false" ht="15.75" hidden="false" customHeight="false" outlineLevel="0" collapsed="false">
      <c r="A773" s="12"/>
      <c r="B773" s="34"/>
      <c r="C773" s="12"/>
      <c r="D773" s="12"/>
      <c r="E773" s="12"/>
      <c r="F773" s="12"/>
      <c r="G773" s="18"/>
      <c r="H773" s="35"/>
      <c r="I773" s="12"/>
      <c r="M773" s="12"/>
      <c r="N773" s="18"/>
      <c r="O773" s="12"/>
      <c r="P773" s="12"/>
      <c r="Q773" s="12"/>
      <c r="R773" s="36"/>
      <c r="S773" s="36"/>
      <c r="T773" s="12"/>
      <c r="U773" s="12"/>
      <c r="V773" s="12"/>
      <c r="W773" s="12"/>
      <c r="X773" s="12"/>
    </row>
    <row r="774" customFormat="false" ht="15.75" hidden="false" customHeight="false" outlineLevel="0" collapsed="false">
      <c r="A774" s="12"/>
      <c r="B774" s="34"/>
      <c r="C774" s="12"/>
      <c r="D774" s="12"/>
      <c r="E774" s="12"/>
      <c r="F774" s="12"/>
      <c r="G774" s="18"/>
      <c r="H774" s="35"/>
      <c r="I774" s="12"/>
      <c r="M774" s="12"/>
      <c r="N774" s="18"/>
      <c r="O774" s="12"/>
      <c r="P774" s="12"/>
      <c r="Q774" s="12"/>
      <c r="R774" s="36"/>
      <c r="S774" s="36"/>
      <c r="T774" s="12"/>
      <c r="U774" s="12"/>
      <c r="V774" s="12"/>
      <c r="W774" s="12"/>
      <c r="X774" s="12"/>
    </row>
    <row r="775" customFormat="false" ht="15.75" hidden="false" customHeight="false" outlineLevel="0" collapsed="false">
      <c r="A775" s="12"/>
      <c r="B775" s="34"/>
      <c r="C775" s="12"/>
      <c r="D775" s="12"/>
      <c r="E775" s="12"/>
      <c r="F775" s="12"/>
      <c r="G775" s="18"/>
      <c r="H775" s="35"/>
      <c r="I775" s="12"/>
      <c r="M775" s="12"/>
      <c r="N775" s="18"/>
      <c r="O775" s="12"/>
      <c r="P775" s="12"/>
      <c r="Q775" s="12"/>
      <c r="R775" s="36"/>
      <c r="S775" s="36"/>
      <c r="T775" s="12"/>
      <c r="U775" s="12"/>
      <c r="V775" s="12"/>
      <c r="W775" s="12"/>
      <c r="X775" s="12"/>
    </row>
    <row r="1048575" customFormat="false" ht="12.8" hidden="false" customHeight="true" outlineLevel="0" collapsed="false"/>
    <row r="1048576" customFormat="false" ht="12.8" hidden="false" customHeight="true" outlineLevel="0" collapsed="false"/>
  </sheetData>
  <conditionalFormatting sqref="R2:S775 W3">
    <cfRule type="expression" priority="2" aboveAverage="0" equalAverage="0" bottom="0" percent="0" rank="0" text="" dxfId="0">
      <formula>LEN(TRIM(R2))&gt;0</formula>
    </cfRule>
  </conditionalFormatting>
  <conditionalFormatting sqref="Q2:Q775">
    <cfRule type="expression" priority="3" aboveAverage="0" equalAverage="0" bottom="0" percent="0" rank="0" text="" dxfId="0">
      <formula>LEN(TRIM(Q2))&gt;0</formula>
    </cfRule>
  </conditionalFormatting>
  <conditionalFormatting sqref="G2:G775 N2:N775">
    <cfRule type="containsText" priority="4" operator="containsText" aboveAverage="0" equalAverage="0" bottom="0" percent="0" rank="0" text="x" dxfId="0">
      <formula>NOT(ISERROR(SEARCH("x",G2)))</formula>
    </cfRule>
  </conditionalFormatting>
  <conditionalFormatting sqref="T2:T775">
    <cfRule type="expression" priority="5" aboveAverage="0" equalAverage="0" bottom="0" percent="0" rank="0" text="" dxfId="0">
      <formula>LEN(TRIM(T2))&gt;0</formula>
    </cfRule>
  </conditionalFormatting>
  <conditionalFormatting sqref="W2:W775">
    <cfRule type="expression" priority="6" aboveAverage="0" equalAverage="0" bottom="0" percent="0" rank="0" text="" dxfId="0">
      <formula>LEN(TRIM(W2))&gt;0</formula>
    </cfRule>
  </conditionalFormatting>
  <conditionalFormatting sqref="X2:X775 G3:I3 O3:P3 U3:V3">
    <cfRule type="cellIs" priority="7" operator="equal" aboveAverage="0" equalAverage="0" bottom="0" percent="0" rank="0" text="" dxfId="0">
      <formula>"Completo"</formula>
    </cfRule>
  </conditionalFormatting>
  <conditionalFormatting sqref="X2:X775">
    <cfRule type="cellIs" priority="8" operator="equal" aboveAverage="0" equalAverage="0" bottom="0" percent="0" rank="0" text="" dxfId="1">
      <formula>"No aplica"</formula>
    </cfRule>
  </conditionalFormatting>
  <conditionalFormatting sqref="G2:I775 O2:P775 U2:V775 X2:X775">
    <cfRule type="cellIs" priority="9" operator="equal" aboveAverage="0" equalAverage="0" bottom="0" percent="0" rank="0" text="" dxfId="0">
      <formula>"Completo"</formula>
    </cfRule>
    <cfRule type="cellIs" priority="10" operator="equal" aboveAverage="0" equalAverage="0" bottom="0" percent="0" rank="0" text="" dxfId="1">
      <formula>"No Aplica"</formula>
    </cfRule>
  </conditionalFormatting>
  <dataValidations count="6">
    <dataValidation allowBlank="true" errorStyle="stop" operator="between" showDropDown="false" showErrorMessage="false" showInputMessage="false" sqref="T129:T775" type="list">
      <formula1>LEYENDA!$A$23:$A$24</formula1>
      <formula2>0</formula2>
    </dataValidation>
    <dataValidation allowBlank="true" errorStyle="stop" operator="between" showDropDown="false" showErrorMessage="true" showInputMessage="false" sqref="D2:D775" type="list">
      <formula1>LEYENDA!$B$2:$D$2</formula1>
      <formula2>0</formula2>
    </dataValidation>
    <dataValidation allowBlank="true" errorStyle="stop" operator="between" showDropDown="false" showErrorMessage="false" showInputMessage="false" sqref="R2:R775" type="list">
      <formula1>LEYENDA!$A$15:$A$19</formula1>
      <formula2>0</formula2>
    </dataValidation>
    <dataValidation allowBlank="true" errorStyle="stop" operator="between" showDropDown="false" showErrorMessage="true" showInputMessage="false" sqref="H2:I775 O2:P775 U2:V775 X2:X775" type="list">
      <formula1>LEYENDA!$B$1:$C$1</formula1>
      <formula2>0</formula2>
    </dataValidation>
    <dataValidation allowBlank="true" errorStyle="stop" operator="between" showDropDown="false" showErrorMessage="false" showInputMessage="false" sqref="E2:E775" type="list">
      <formula1>LEYENDA!$A$8:$A$12</formula1>
      <formula2>0</formula2>
    </dataValidation>
    <dataValidation allowBlank="true" errorStyle="stop" operator="between" showDropDown="false" showErrorMessage="false" showInputMessage="false" sqref="T2:T128" type="list">
      <formula1>LEYENDA!$A$23:$A$25</formula1>
      <formula2>0</formula2>
    </dataValidation>
  </dataValidations>
  <hyperlinks>
    <hyperlink ref="U3" r:id="rId1" display="Completo"/>
    <hyperlink ref="V3" r:id="rId2" display="Completo"/>
    <hyperlink ref="U4" r:id="rId3" display="Completo"/>
    <hyperlink ref="V4" r:id="rId4" display="Completo"/>
    <hyperlink ref="U5" r:id="rId5" display="Completo"/>
    <hyperlink ref="V5" r:id="rId6" display="Completo"/>
    <hyperlink ref="U9" r:id="rId7" display="Completo"/>
    <hyperlink ref="U13" r:id="rId8" display="Completo"/>
    <hyperlink ref="U20" r:id="rId9" display="Completo"/>
    <hyperlink ref="V20" r:id="rId10" display="Completo"/>
    <hyperlink ref="U37" r:id="rId11" display="Completo"/>
    <hyperlink ref="V37" r:id="rId12" display="Completo"/>
    <hyperlink ref="U38" r:id="rId13" display="Completo"/>
    <hyperlink ref="V38" r:id="rId14" display="Completo"/>
    <hyperlink ref="U50" r:id="rId15" display="Completo"/>
    <hyperlink ref="V50" r:id="rId16" display="Completo"/>
    <hyperlink ref="U59" r:id="rId17" display="Completo"/>
    <hyperlink ref="V59" r:id="rId18" display="Completo"/>
  </hyperlinks>
  <printOptions headings="false" gridLines="true" gridLinesSet="true" horizontalCentered="true" verticalCentered="false"/>
  <pageMargins left="0.7" right="0.7" top="0.75" bottom="0.75" header="0.511811023622047" footer="0.511811023622047"/>
  <pageSetup paperSize="9" scale="100" fitToWidth="1" fitToHeight="0" pageOrder="overThenDown" orientation="landscape" blackAndWhite="false" draft="false" cellComments="none" horizontalDpi="300" verticalDpi="300" copies="1"/>
  <headerFooter differentFirst="false" differentOddEven="false">
    <oddHeader/>
    <oddFooter/>
  </headerFooter>
  <drawing r:id="rId19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AF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6" ySplit="3" topLeftCell="L4" activePane="bottomRight" state="frozen"/>
      <selection pane="topLeft" activeCell="A1" activeCellId="0" sqref="A1"/>
      <selection pane="topRight" activeCell="L1" activeCellId="0" sqref="L1"/>
      <selection pane="bottomLeft" activeCell="A4" activeCellId="0" sqref="A4"/>
      <selection pane="bottomRight" activeCell="L1" activeCellId="0" sqref="L1"/>
    </sheetView>
  </sheetViews>
  <sheetFormatPr defaultColWidth="12.6328125" defaultRowHeight="15.75" zeroHeight="false" outlineLevelRow="0" outlineLevelCol="0"/>
  <cols>
    <col collapsed="false" customWidth="true" hidden="false" outlineLevel="0" max="1" min="1" style="1" width="10.25"/>
    <col collapsed="false" customWidth="true" hidden="false" outlineLevel="0" max="2" min="2" style="1" width="10.38"/>
    <col collapsed="false" customWidth="true" hidden="false" outlineLevel="0" max="3" min="3" style="1" width="16.89"/>
    <col collapsed="false" customWidth="true" hidden="false" outlineLevel="0" max="4" min="4" style="1" width="11.25"/>
    <col collapsed="false" customWidth="true" hidden="false" outlineLevel="0" max="5" min="5" style="1" width="17.13"/>
    <col collapsed="false" customWidth="true" hidden="false" outlineLevel="0" max="6" min="6" style="1" width="33.75"/>
    <col collapsed="false" customWidth="true" hidden="false" outlineLevel="0" max="7" min="7" style="1" width="15.88"/>
    <col collapsed="false" customWidth="true" hidden="false" outlineLevel="0" max="8" min="8" style="1" width="10.88"/>
    <col collapsed="false" customWidth="true" hidden="false" outlineLevel="0" max="9" min="9" style="1" width="12.88"/>
    <col collapsed="false" customWidth="true" hidden="false" outlineLevel="0" max="10" min="10" style="1" width="12"/>
    <col collapsed="false" customWidth="true" hidden="false" outlineLevel="0" max="11" min="11" style="1" width="10"/>
    <col collapsed="false" customWidth="true" hidden="false" outlineLevel="0" max="12" min="12" style="1" width="12.25"/>
    <col collapsed="false" customWidth="true" hidden="false" outlineLevel="0" max="13" min="13" style="1" width="26.12"/>
    <col collapsed="false" customWidth="true" hidden="false" outlineLevel="0" max="14" min="14" style="1" width="18"/>
    <col collapsed="false" customWidth="true" hidden="false" outlineLevel="0" max="16" min="15" style="1" width="10.63"/>
    <col collapsed="false" customWidth="true" hidden="false" outlineLevel="0" max="17" min="17" style="1" width="8.5"/>
    <col collapsed="false" customWidth="true" hidden="false" outlineLevel="0" max="19" min="19" style="1" width="25.38"/>
    <col collapsed="false" customWidth="true" hidden="false" outlineLevel="0" max="20" min="20" style="1" width="17.88"/>
    <col collapsed="false" customWidth="true" hidden="false" outlineLevel="0" max="21" min="21" style="1" width="10.13"/>
    <col collapsed="false" customWidth="true" hidden="false" outlineLevel="0" max="22" min="22" style="1" width="11.12"/>
    <col collapsed="false" customWidth="true" hidden="false" outlineLevel="0" max="23" min="23" style="1" width="24.88"/>
  </cols>
  <sheetData>
    <row r="1" customFormat="false" ht="68" hidden="false" customHeight="false" outlineLevel="0" collapsed="false">
      <c r="A1" s="2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/>
      <c r="J1" s="4" t="s">
        <v>8</v>
      </c>
      <c r="K1" s="2"/>
      <c r="L1" s="2" t="s">
        <v>9</v>
      </c>
      <c r="M1" s="2" t="s">
        <v>10</v>
      </c>
      <c r="N1" s="4" t="s">
        <v>11</v>
      </c>
      <c r="O1" s="3" t="s">
        <v>12</v>
      </c>
      <c r="P1" s="7" t="s">
        <v>13</v>
      </c>
      <c r="Q1" s="7" t="s">
        <v>14</v>
      </c>
      <c r="R1" s="7" t="s">
        <v>15</v>
      </c>
      <c r="S1" s="7" t="s">
        <v>16</v>
      </c>
      <c r="T1" s="7" t="s">
        <v>17</v>
      </c>
      <c r="U1" s="8" t="s">
        <v>18</v>
      </c>
      <c r="V1" s="9" t="s">
        <v>19</v>
      </c>
      <c r="W1" s="9" t="s">
        <v>20</v>
      </c>
      <c r="X1" s="10" t="s">
        <v>15</v>
      </c>
      <c r="Y1" s="11" t="s">
        <v>21</v>
      </c>
      <c r="Z1" s="11" t="s">
        <v>22</v>
      </c>
      <c r="AA1" s="12"/>
      <c r="AB1" s="12"/>
      <c r="AC1" s="12"/>
      <c r="AD1" s="12"/>
      <c r="AE1" s="12"/>
      <c r="AF1" s="12"/>
    </row>
    <row r="2" customFormat="false" ht="15.75" hidden="false" customHeight="false" outlineLevel="0" collapsed="false">
      <c r="A2" s="61" t="n">
        <v>6955</v>
      </c>
      <c r="B2" s="29" t="n">
        <v>44928</v>
      </c>
      <c r="C2" s="21" t="s">
        <v>1955</v>
      </c>
      <c r="D2" s="21" t="s">
        <v>24</v>
      </c>
      <c r="E2" s="21" t="s">
        <v>34</v>
      </c>
      <c r="F2" s="21" t="s">
        <v>2223</v>
      </c>
      <c r="G2" s="30" t="s">
        <v>36</v>
      </c>
      <c r="H2" s="31"/>
      <c r="I2" s="21"/>
      <c r="J2" s="21" t="s">
        <v>36</v>
      </c>
      <c r="K2" s="21" t="s">
        <v>36</v>
      </c>
      <c r="L2" s="21" t="s">
        <v>36</v>
      </c>
      <c r="M2" s="21" t="s">
        <v>36</v>
      </c>
      <c r="N2" s="30"/>
      <c r="O2" s="21"/>
      <c r="P2" s="21"/>
      <c r="Q2" s="21"/>
      <c r="R2" s="32"/>
      <c r="S2" s="32"/>
      <c r="T2" s="21"/>
      <c r="U2" s="21"/>
      <c r="V2" s="21"/>
      <c r="W2" s="21"/>
      <c r="X2" s="21" t="s">
        <v>28</v>
      </c>
    </row>
    <row r="3" customFormat="false" ht="15.75" hidden="false" customHeight="false" outlineLevel="0" collapsed="false">
      <c r="A3" s="61" t="n">
        <v>6956</v>
      </c>
      <c r="B3" s="29" t="n">
        <v>44929</v>
      </c>
      <c r="C3" s="21" t="s">
        <v>2224</v>
      </c>
      <c r="D3" s="21" t="s">
        <v>24</v>
      </c>
      <c r="E3" s="21" t="s">
        <v>74</v>
      </c>
      <c r="F3" s="21" t="s">
        <v>2225</v>
      </c>
      <c r="G3" s="30"/>
      <c r="H3" s="45" t="str">
        <f aca="false">HYPERLINK("https://photos.app.goo.gl/3LHMesyR1qFiFJDX9", "Completo")</f>
        <v>Completo</v>
      </c>
      <c r="I3" s="21" t="s">
        <v>28</v>
      </c>
      <c r="J3" s="21" t="s">
        <v>36</v>
      </c>
      <c r="K3" s="21" t="s">
        <v>36</v>
      </c>
      <c r="L3" s="21" t="s">
        <v>36</v>
      </c>
      <c r="M3" s="21" t="s">
        <v>36</v>
      </c>
      <c r="N3" s="30"/>
      <c r="O3" s="21" t="s">
        <v>28</v>
      </c>
      <c r="P3" s="66"/>
      <c r="Q3" s="21"/>
      <c r="R3" s="32"/>
      <c r="S3" s="32"/>
      <c r="T3" s="21" t="s">
        <v>58</v>
      </c>
      <c r="U3" s="46" t="s">
        <v>28</v>
      </c>
      <c r="V3" s="46" t="s">
        <v>28</v>
      </c>
      <c r="W3" s="21" t="s">
        <v>36</v>
      </c>
      <c r="X3" s="21" t="s">
        <v>28</v>
      </c>
    </row>
    <row r="4" customFormat="false" ht="15.75" hidden="false" customHeight="false" outlineLevel="0" collapsed="false">
      <c r="A4" s="61" t="n">
        <v>6957</v>
      </c>
      <c r="B4" s="29" t="n">
        <v>44929</v>
      </c>
      <c r="C4" s="12" t="s">
        <v>2226</v>
      </c>
      <c r="D4" s="21" t="s">
        <v>24</v>
      </c>
      <c r="E4" s="21" t="s">
        <v>74</v>
      </c>
      <c r="F4" s="21" t="s">
        <v>2227</v>
      </c>
      <c r="G4" s="30"/>
      <c r="H4" s="45" t="str">
        <f aca="false">HYPERLINK("https://photos.app.goo.gl/dBUUN2n7AW69dpcv5", "Completo")</f>
        <v>Completo</v>
      </c>
      <c r="I4" s="21" t="s">
        <v>28</v>
      </c>
      <c r="J4" s="21" t="s">
        <v>36</v>
      </c>
      <c r="K4" s="21" t="s">
        <v>36</v>
      </c>
      <c r="L4" s="21" t="s">
        <v>36</v>
      </c>
      <c r="M4" s="21" t="s">
        <v>2228</v>
      </c>
      <c r="N4" s="30"/>
      <c r="O4" s="21"/>
      <c r="P4" s="21"/>
      <c r="Q4" s="21"/>
      <c r="R4" s="32"/>
      <c r="S4" s="32"/>
      <c r="T4" s="21" t="s">
        <v>58</v>
      </c>
      <c r="U4" s="46" t="s">
        <v>28</v>
      </c>
      <c r="V4" s="46" t="s">
        <v>28</v>
      </c>
      <c r="W4" s="21" t="s">
        <v>36</v>
      </c>
      <c r="X4" s="21" t="s">
        <v>28</v>
      </c>
    </row>
    <row r="5" customFormat="false" ht="15.75" hidden="false" customHeight="false" outlineLevel="0" collapsed="false">
      <c r="A5" s="61" t="n">
        <v>6958</v>
      </c>
      <c r="B5" s="29" t="n">
        <v>44929</v>
      </c>
      <c r="C5" s="21" t="s">
        <v>2226</v>
      </c>
      <c r="D5" s="21" t="s">
        <v>24</v>
      </c>
      <c r="E5" s="21" t="s">
        <v>74</v>
      </c>
      <c r="F5" s="21" t="s">
        <v>2229</v>
      </c>
      <c r="G5" s="30" t="s">
        <v>36</v>
      </c>
      <c r="H5" s="45" t="str">
        <f aca="false">HYPERLINK("https://photos.app.goo.gl/M3Qf243Hf7VNpy2ZA", "Completo")</f>
        <v>Completo</v>
      </c>
      <c r="I5" s="21" t="s">
        <v>28</v>
      </c>
      <c r="J5" s="21" t="s">
        <v>36</v>
      </c>
      <c r="K5" s="21" t="s">
        <v>36</v>
      </c>
      <c r="L5" s="21" t="s">
        <v>36</v>
      </c>
      <c r="M5" s="21" t="s">
        <v>2230</v>
      </c>
      <c r="N5" s="30"/>
      <c r="O5" s="21"/>
      <c r="P5" s="21"/>
      <c r="Q5" s="21"/>
      <c r="R5" s="32"/>
      <c r="S5" s="32"/>
      <c r="T5" s="21"/>
      <c r="U5" s="21"/>
      <c r="V5" s="21"/>
      <c r="W5" s="21"/>
      <c r="X5" s="21" t="s">
        <v>28</v>
      </c>
    </row>
    <row r="6" customFormat="false" ht="15.75" hidden="false" customHeight="false" outlineLevel="0" collapsed="false">
      <c r="A6" s="61" t="n">
        <v>6959</v>
      </c>
      <c r="B6" s="29" t="n">
        <v>44930</v>
      </c>
      <c r="C6" s="21" t="s">
        <v>2231</v>
      </c>
      <c r="D6" s="21" t="s">
        <v>24</v>
      </c>
      <c r="E6" s="21" t="s">
        <v>74</v>
      </c>
      <c r="F6" s="21" t="s">
        <v>1554</v>
      </c>
      <c r="G6" s="30" t="s">
        <v>2232</v>
      </c>
      <c r="H6" s="45" t="str">
        <f aca="false">HYPERLINK("https://photos.app.goo.gl/icTrgPEkA2XDKeb69", "Completo")</f>
        <v>Completo</v>
      </c>
      <c r="I6" s="21" t="s">
        <v>28</v>
      </c>
      <c r="J6" s="21" t="n">
        <v>3513724216</v>
      </c>
      <c r="K6" s="21" t="s">
        <v>2233</v>
      </c>
      <c r="L6" s="21"/>
      <c r="M6" s="21" t="s">
        <v>2234</v>
      </c>
      <c r="N6" s="30"/>
      <c r="O6" s="21"/>
      <c r="P6" s="66"/>
      <c r="Q6" s="21"/>
      <c r="R6" s="32"/>
      <c r="S6" s="32"/>
      <c r="T6" s="21" t="s">
        <v>74</v>
      </c>
      <c r="U6" s="46" t="s">
        <v>28</v>
      </c>
      <c r="V6" s="46" t="s">
        <v>28</v>
      </c>
      <c r="W6" s="21" t="s">
        <v>36</v>
      </c>
      <c r="X6" s="21" t="s">
        <v>28</v>
      </c>
    </row>
    <row r="7" customFormat="false" ht="15.75" hidden="false" customHeight="false" outlineLevel="0" collapsed="false">
      <c r="A7" s="61" t="n">
        <v>6960</v>
      </c>
      <c r="B7" s="29" t="n">
        <v>44930</v>
      </c>
      <c r="C7" s="21" t="s">
        <v>2231</v>
      </c>
      <c r="D7" s="21" t="s">
        <v>24</v>
      </c>
      <c r="E7" s="21" t="s">
        <v>74</v>
      </c>
      <c r="F7" s="21" t="s">
        <v>1554</v>
      </c>
      <c r="G7" s="30" t="s">
        <v>2232</v>
      </c>
      <c r="H7" s="45" t="str">
        <f aca="false">HYPERLINK("https://photos.app.goo.gl/nxoaoSsYA3HZuKkv8", "Completo")</f>
        <v>Completo</v>
      </c>
      <c r="I7" s="21" t="s">
        <v>28</v>
      </c>
      <c r="J7" s="21" t="n">
        <v>3513724216</v>
      </c>
      <c r="K7" s="21" t="s">
        <v>2233</v>
      </c>
      <c r="L7" s="21"/>
      <c r="M7" s="21" t="s">
        <v>2234</v>
      </c>
      <c r="N7" s="30"/>
      <c r="O7" s="21"/>
      <c r="P7" s="21"/>
      <c r="Q7" s="21"/>
      <c r="R7" s="32"/>
      <c r="S7" s="32"/>
      <c r="T7" s="21" t="s">
        <v>74</v>
      </c>
      <c r="U7" s="46" t="s">
        <v>28</v>
      </c>
      <c r="V7" s="46" t="s">
        <v>28</v>
      </c>
      <c r="W7" s="21" t="s">
        <v>36</v>
      </c>
      <c r="X7" s="21" t="s">
        <v>28</v>
      </c>
    </row>
    <row r="8" customFormat="false" ht="15.75" hidden="false" customHeight="false" outlineLevel="0" collapsed="false">
      <c r="A8" s="61" t="n">
        <v>6961</v>
      </c>
      <c r="B8" s="29" t="n">
        <v>44932</v>
      </c>
      <c r="C8" s="21" t="s">
        <v>776</v>
      </c>
      <c r="D8" s="21" t="s">
        <v>24</v>
      </c>
      <c r="E8" s="21" t="s">
        <v>34</v>
      </c>
      <c r="F8" s="21" t="s">
        <v>2235</v>
      </c>
      <c r="G8" s="30" t="s">
        <v>36</v>
      </c>
      <c r="H8" s="31" t="s">
        <v>37</v>
      </c>
      <c r="I8" s="21" t="s">
        <v>37</v>
      </c>
      <c r="J8" s="21" t="s">
        <v>36</v>
      </c>
      <c r="K8" s="21" t="s">
        <v>36</v>
      </c>
      <c r="L8" s="21" t="s">
        <v>36</v>
      </c>
      <c r="M8" s="21" t="s">
        <v>1189</v>
      </c>
      <c r="N8" s="30"/>
      <c r="O8" s="21"/>
      <c r="P8" s="21"/>
      <c r="Q8" s="21"/>
      <c r="R8" s="32"/>
      <c r="S8" s="32"/>
      <c r="T8" s="21"/>
      <c r="U8" s="21"/>
      <c r="V8" s="21"/>
      <c r="W8" s="21"/>
      <c r="X8" s="21" t="s">
        <v>28</v>
      </c>
    </row>
    <row r="9" customFormat="false" ht="15.75" hidden="false" customHeight="false" outlineLevel="0" collapsed="false">
      <c r="A9" s="61" t="n">
        <v>6962</v>
      </c>
      <c r="B9" s="29" t="n">
        <v>44935</v>
      </c>
      <c r="C9" s="21" t="s">
        <v>649</v>
      </c>
      <c r="D9" s="21" t="s">
        <v>24</v>
      </c>
      <c r="E9" s="21" t="s">
        <v>34</v>
      </c>
      <c r="F9" s="21" t="s">
        <v>2236</v>
      </c>
      <c r="G9" s="30" t="s">
        <v>36</v>
      </c>
      <c r="H9" s="31" t="s">
        <v>37</v>
      </c>
      <c r="I9" s="21" t="s">
        <v>37</v>
      </c>
      <c r="J9" s="21" t="s">
        <v>36</v>
      </c>
      <c r="K9" s="21" t="s">
        <v>36</v>
      </c>
      <c r="L9" s="21" t="s">
        <v>36</v>
      </c>
      <c r="M9" s="21" t="s">
        <v>1189</v>
      </c>
      <c r="N9" s="30"/>
      <c r="O9" s="21"/>
      <c r="P9" s="21"/>
      <c r="Q9" s="21"/>
      <c r="R9" s="32"/>
      <c r="S9" s="32"/>
      <c r="T9" s="21"/>
      <c r="U9" s="21"/>
      <c r="V9" s="21"/>
      <c r="W9" s="21"/>
      <c r="X9" s="21" t="s">
        <v>28</v>
      </c>
    </row>
    <row r="10" customFormat="false" ht="15.75" hidden="false" customHeight="false" outlineLevel="0" collapsed="false">
      <c r="A10" s="61" t="n">
        <v>6963</v>
      </c>
      <c r="B10" s="29" t="n">
        <v>44935</v>
      </c>
      <c r="C10" s="21" t="s">
        <v>649</v>
      </c>
      <c r="D10" s="21" t="s">
        <v>24</v>
      </c>
      <c r="E10" s="21" t="s">
        <v>34</v>
      </c>
      <c r="F10" s="21" t="s">
        <v>2237</v>
      </c>
      <c r="G10" s="30" t="s">
        <v>36</v>
      </c>
      <c r="H10" s="31" t="s">
        <v>37</v>
      </c>
      <c r="I10" s="21" t="s">
        <v>37</v>
      </c>
      <c r="J10" s="21" t="s">
        <v>36</v>
      </c>
      <c r="K10" s="21" t="s">
        <v>36</v>
      </c>
      <c r="L10" s="21" t="s">
        <v>36</v>
      </c>
      <c r="M10" s="21" t="s">
        <v>1189</v>
      </c>
      <c r="N10" s="30"/>
      <c r="P10" s="21"/>
      <c r="Q10" s="21"/>
      <c r="R10" s="32"/>
      <c r="S10" s="32"/>
      <c r="T10" s="21"/>
      <c r="U10" s="21"/>
      <c r="V10" s="21"/>
      <c r="W10" s="21"/>
      <c r="X10" s="21" t="s">
        <v>28</v>
      </c>
    </row>
    <row r="11" customFormat="false" ht="15.75" hidden="false" customHeight="false" outlineLevel="0" collapsed="false">
      <c r="A11" s="61" t="n">
        <v>6964</v>
      </c>
      <c r="B11" s="29" t="n">
        <v>44936</v>
      </c>
      <c r="C11" s="21" t="s">
        <v>574</v>
      </c>
      <c r="D11" s="21" t="s">
        <v>24</v>
      </c>
      <c r="E11" s="21" t="s">
        <v>74</v>
      </c>
      <c r="F11" s="21" t="s">
        <v>2238</v>
      </c>
      <c r="G11" s="30"/>
      <c r="H11" s="45" t="str">
        <f aca="false">HYPERLINK("https://photos.app.goo.gl/4NUSN475Dt9dmLmV8", "Completo")</f>
        <v>Completo</v>
      </c>
      <c r="I11" s="21" t="s">
        <v>28</v>
      </c>
      <c r="J11" s="21"/>
      <c r="K11" s="21"/>
      <c r="L11" s="21"/>
      <c r="M11" s="21"/>
      <c r="N11" s="30"/>
      <c r="O11" s="21"/>
      <c r="P11" s="21"/>
      <c r="Q11" s="21"/>
      <c r="R11" s="32"/>
      <c r="S11" s="32"/>
      <c r="T11" s="21"/>
      <c r="U11" s="21"/>
      <c r="V11" s="21"/>
      <c r="W11" s="21"/>
      <c r="X11" s="21" t="s">
        <v>28</v>
      </c>
    </row>
    <row r="12" customFormat="false" ht="15.75" hidden="false" customHeight="false" outlineLevel="0" collapsed="false">
      <c r="A12" s="61" t="n">
        <v>6965</v>
      </c>
      <c r="B12" s="29" t="n">
        <v>44936</v>
      </c>
      <c r="C12" s="21" t="s">
        <v>574</v>
      </c>
      <c r="D12" s="21" t="s">
        <v>24</v>
      </c>
      <c r="E12" s="21" t="s">
        <v>74</v>
      </c>
      <c r="F12" s="21" t="s">
        <v>2239</v>
      </c>
      <c r="G12" s="30"/>
      <c r="H12" s="45" t="str">
        <f aca="false">HYPERLINK("https://photos.app.goo.gl/WYa2yyRd7Xmg6Q9c6", "Completo")</f>
        <v>Completo</v>
      </c>
      <c r="I12" s="21" t="s">
        <v>28</v>
      </c>
      <c r="J12" s="21"/>
      <c r="K12" s="21"/>
      <c r="L12" s="21"/>
      <c r="M12" s="21"/>
      <c r="N12" s="30"/>
      <c r="O12" s="21" t="s">
        <v>28</v>
      </c>
      <c r="P12" s="46" t="s">
        <v>28</v>
      </c>
      <c r="Q12" s="21" t="s">
        <v>73</v>
      </c>
      <c r="R12" s="32" t="s">
        <v>74</v>
      </c>
      <c r="S12" s="32" t="s">
        <v>36</v>
      </c>
      <c r="T12" s="21" t="s">
        <v>74</v>
      </c>
      <c r="U12" s="46" t="s">
        <v>28</v>
      </c>
      <c r="V12" s="46" t="s">
        <v>28</v>
      </c>
      <c r="W12" s="21" t="s">
        <v>36</v>
      </c>
      <c r="X12" s="21" t="s">
        <v>28</v>
      </c>
    </row>
    <row r="13" customFormat="false" ht="15.75" hidden="false" customHeight="false" outlineLevel="0" collapsed="false">
      <c r="A13" s="61" t="n">
        <v>6966</v>
      </c>
      <c r="B13" s="29" t="n">
        <v>44936</v>
      </c>
      <c r="C13" s="21" t="s">
        <v>2240</v>
      </c>
      <c r="D13" s="21" t="s">
        <v>24</v>
      </c>
      <c r="E13" s="21" t="s">
        <v>74</v>
      </c>
      <c r="F13" s="21" t="s">
        <v>2241</v>
      </c>
      <c r="G13" s="30"/>
      <c r="H13" s="45" t="str">
        <f aca="false">HYPERLINK("https://photos.app.goo.gl/meURzFbbAUCNdDFG7", "Completo")</f>
        <v>Completo</v>
      </c>
      <c r="I13" s="21" t="s">
        <v>28</v>
      </c>
      <c r="J13" s="21"/>
      <c r="K13" s="21"/>
      <c r="L13" s="21"/>
      <c r="M13" s="21" t="s">
        <v>2242</v>
      </c>
      <c r="N13" s="30"/>
      <c r="O13" s="21"/>
      <c r="P13" s="21"/>
      <c r="Q13" s="21"/>
      <c r="R13" s="32"/>
      <c r="S13" s="32"/>
      <c r="T13" s="21"/>
      <c r="U13" s="21"/>
      <c r="V13" s="21"/>
      <c r="W13" s="21"/>
      <c r="X13" s="21" t="s">
        <v>28</v>
      </c>
    </row>
    <row r="14" customFormat="false" ht="15.75" hidden="false" customHeight="false" outlineLevel="0" collapsed="false">
      <c r="A14" s="61" t="n">
        <v>6967</v>
      </c>
      <c r="B14" s="29" t="n">
        <v>44937</v>
      </c>
      <c r="C14" s="21" t="s">
        <v>1949</v>
      </c>
      <c r="D14" s="21" t="s">
        <v>24</v>
      </c>
      <c r="E14" s="21" t="s">
        <v>74</v>
      </c>
      <c r="F14" s="21" t="s">
        <v>2243</v>
      </c>
      <c r="G14" s="30"/>
      <c r="H14" s="45" t="str">
        <f aca="false">HYPERLINK("https://photos.app.goo.gl/Ew8G8EbCgoRdwrzJ6", "Completo")</f>
        <v>Completo</v>
      </c>
      <c r="I14" s="21" t="s">
        <v>28</v>
      </c>
      <c r="J14" s="21"/>
      <c r="K14" s="21"/>
      <c r="L14" s="21"/>
      <c r="M14" s="21"/>
      <c r="N14" s="30"/>
      <c r="O14" s="21"/>
      <c r="P14" s="21"/>
      <c r="Q14" s="21"/>
      <c r="R14" s="32"/>
      <c r="S14" s="32"/>
      <c r="T14" s="21" t="s">
        <v>58</v>
      </c>
      <c r="U14" s="46" t="s">
        <v>28</v>
      </c>
      <c r="V14" s="21" t="s">
        <v>28</v>
      </c>
      <c r="W14" s="21" t="s">
        <v>36</v>
      </c>
      <c r="X14" s="21" t="s">
        <v>28</v>
      </c>
    </row>
    <row r="15" customFormat="false" ht="15.75" hidden="false" customHeight="false" outlineLevel="0" collapsed="false">
      <c r="A15" s="61" t="n">
        <v>6968</v>
      </c>
      <c r="B15" s="29" t="n">
        <v>44938</v>
      </c>
      <c r="C15" s="21" t="s">
        <v>2143</v>
      </c>
      <c r="D15" s="21" t="s">
        <v>24</v>
      </c>
      <c r="E15" s="21" t="s">
        <v>74</v>
      </c>
      <c r="F15" s="21" t="s">
        <v>2244</v>
      </c>
      <c r="G15" s="30"/>
      <c r="H15" s="45" t="str">
        <f aca="false">HYPERLINK("https://photos.app.goo.gl/GmCHBS1UkE9hweZy8", "Completo")</f>
        <v>Completo</v>
      </c>
      <c r="I15" s="21" t="s">
        <v>28</v>
      </c>
      <c r="J15" s="21"/>
      <c r="K15" s="21"/>
      <c r="L15" s="21"/>
      <c r="M15" s="21"/>
      <c r="N15" s="30"/>
      <c r="O15" s="21"/>
      <c r="P15" s="66"/>
      <c r="Q15" s="21"/>
      <c r="R15" s="32"/>
      <c r="S15" s="32"/>
      <c r="T15" s="21"/>
      <c r="U15" s="21"/>
      <c r="V15" s="21"/>
      <c r="W15" s="21"/>
      <c r="X15" s="21"/>
    </row>
    <row r="16" customFormat="false" ht="15.75" hidden="false" customHeight="false" outlineLevel="0" collapsed="false">
      <c r="A16" s="61" t="n">
        <v>6969</v>
      </c>
      <c r="B16" s="29" t="n">
        <v>44938</v>
      </c>
      <c r="C16" s="21" t="s">
        <v>2245</v>
      </c>
      <c r="D16" s="21" t="s">
        <v>24</v>
      </c>
      <c r="E16" s="21" t="s">
        <v>74</v>
      </c>
      <c r="F16" s="21" t="s">
        <v>2246</v>
      </c>
      <c r="G16" s="30"/>
      <c r="H16" s="45" t="str">
        <f aca="false">HYPERLINK("https://photos.app.goo.gl/H6t9jYf8A54EH7Pn6", "Completo")</f>
        <v>Completo</v>
      </c>
      <c r="I16" s="21" t="s">
        <v>28</v>
      </c>
      <c r="J16" s="21"/>
      <c r="K16" s="21"/>
      <c r="L16" s="21"/>
      <c r="M16" s="21"/>
      <c r="N16" s="30"/>
      <c r="O16" s="21"/>
      <c r="P16" s="66"/>
      <c r="Q16" s="21"/>
      <c r="R16" s="32"/>
      <c r="S16" s="32"/>
      <c r="T16" s="21"/>
      <c r="U16" s="21"/>
      <c r="V16" s="21"/>
      <c r="W16" s="21"/>
      <c r="X16" s="21" t="s">
        <v>28</v>
      </c>
    </row>
    <row r="17" customFormat="false" ht="15.75" hidden="false" customHeight="false" outlineLevel="0" collapsed="false">
      <c r="A17" s="61" t="n">
        <v>6970</v>
      </c>
      <c r="B17" s="29" t="n">
        <v>44938</v>
      </c>
      <c r="C17" s="21" t="s">
        <v>2245</v>
      </c>
      <c r="D17" s="21" t="s">
        <v>24</v>
      </c>
      <c r="E17" s="21" t="s">
        <v>34</v>
      </c>
      <c r="F17" s="21" t="s">
        <v>2247</v>
      </c>
      <c r="G17" s="30" t="s">
        <v>36</v>
      </c>
      <c r="H17" s="31" t="s">
        <v>37</v>
      </c>
      <c r="I17" s="21" t="s">
        <v>37</v>
      </c>
      <c r="J17" s="21" t="s">
        <v>36</v>
      </c>
      <c r="K17" s="21" t="s">
        <v>36</v>
      </c>
      <c r="L17" s="21" t="s">
        <v>36</v>
      </c>
      <c r="M17" s="21" t="s">
        <v>2248</v>
      </c>
      <c r="N17" s="30"/>
      <c r="O17" s="21"/>
      <c r="P17" s="21"/>
      <c r="Q17" s="21"/>
      <c r="R17" s="32"/>
      <c r="S17" s="32"/>
      <c r="T17" s="21"/>
      <c r="U17" s="66"/>
      <c r="V17" s="66"/>
      <c r="W17" s="21"/>
      <c r="X17" s="21" t="s">
        <v>28</v>
      </c>
    </row>
    <row r="18" customFormat="false" ht="15.75" hidden="false" customHeight="false" outlineLevel="0" collapsed="false">
      <c r="A18" s="61" t="n">
        <v>6971</v>
      </c>
      <c r="B18" s="54" t="n">
        <v>44573</v>
      </c>
      <c r="C18" s="21" t="s">
        <v>649</v>
      </c>
      <c r="D18" s="21" t="s">
        <v>24</v>
      </c>
      <c r="E18" s="21" t="s">
        <v>34</v>
      </c>
      <c r="F18" s="21" t="s">
        <v>90</v>
      </c>
      <c r="G18" s="30" t="s">
        <v>36</v>
      </c>
      <c r="H18" s="31" t="s">
        <v>37</v>
      </c>
      <c r="I18" s="21" t="s">
        <v>37</v>
      </c>
      <c r="J18" s="21" t="s">
        <v>36</v>
      </c>
      <c r="K18" s="21" t="s">
        <v>36</v>
      </c>
      <c r="L18" s="21" t="s">
        <v>36</v>
      </c>
      <c r="M18" s="21" t="s">
        <v>1189</v>
      </c>
      <c r="N18" s="30"/>
      <c r="O18" s="21"/>
      <c r="P18" s="21"/>
      <c r="Q18" s="21"/>
      <c r="R18" s="32"/>
      <c r="S18" s="32"/>
      <c r="T18" s="21"/>
      <c r="U18" s="21"/>
      <c r="V18" s="21"/>
      <c r="W18" s="21"/>
      <c r="X18" s="21" t="s">
        <v>28</v>
      </c>
    </row>
    <row r="19" customFormat="false" ht="21" hidden="false" customHeight="true" outlineLevel="0" collapsed="false">
      <c r="A19" s="61" t="n">
        <v>6972</v>
      </c>
      <c r="B19" s="29" t="n">
        <v>44938</v>
      </c>
      <c r="C19" s="21" t="s">
        <v>2245</v>
      </c>
      <c r="D19" s="21" t="s">
        <v>24</v>
      </c>
      <c r="E19" s="21" t="s">
        <v>34</v>
      </c>
      <c r="F19" s="21" t="s">
        <v>2249</v>
      </c>
      <c r="G19" s="30" t="s">
        <v>36</v>
      </c>
      <c r="H19" s="31" t="s">
        <v>37</v>
      </c>
      <c r="I19" s="21" t="s">
        <v>37</v>
      </c>
      <c r="J19" s="21" t="s">
        <v>36</v>
      </c>
      <c r="K19" s="21" t="s">
        <v>36</v>
      </c>
      <c r="L19" s="21" t="s">
        <v>36</v>
      </c>
      <c r="M19" s="21"/>
      <c r="N19" s="30"/>
      <c r="O19" s="21"/>
      <c r="P19" s="21"/>
      <c r="Q19" s="21"/>
      <c r="R19" s="32"/>
      <c r="S19" s="32"/>
      <c r="T19" s="21"/>
      <c r="U19" s="21"/>
      <c r="V19" s="21"/>
      <c r="W19" s="21"/>
      <c r="X19" s="21" t="s">
        <v>28</v>
      </c>
    </row>
    <row r="20" customFormat="false" ht="15.75" hidden="false" customHeight="false" outlineLevel="0" collapsed="false">
      <c r="A20" s="61" t="n">
        <v>6973</v>
      </c>
      <c r="B20" s="29" t="n">
        <v>44939</v>
      </c>
      <c r="C20" s="21" t="s">
        <v>2245</v>
      </c>
      <c r="D20" s="21" t="s">
        <v>24</v>
      </c>
      <c r="E20" s="21" t="s">
        <v>34</v>
      </c>
      <c r="F20" s="21" t="s">
        <v>2250</v>
      </c>
      <c r="G20" s="30" t="s">
        <v>36</v>
      </c>
      <c r="H20" s="31" t="s">
        <v>37</v>
      </c>
      <c r="I20" s="21" t="s">
        <v>37</v>
      </c>
      <c r="J20" s="21" t="s">
        <v>36</v>
      </c>
      <c r="K20" s="21" t="s">
        <v>36</v>
      </c>
      <c r="L20" s="21" t="s">
        <v>36</v>
      </c>
      <c r="M20" s="21"/>
      <c r="N20" s="30"/>
      <c r="O20" s="21"/>
      <c r="P20" s="21"/>
      <c r="Q20" s="21"/>
      <c r="R20" s="32"/>
      <c r="S20" s="32"/>
      <c r="T20" s="21"/>
      <c r="U20" s="21"/>
      <c r="V20" s="21"/>
      <c r="W20" s="21"/>
      <c r="X20" s="21" t="s">
        <v>28</v>
      </c>
    </row>
    <row r="21" customFormat="false" ht="15.75" hidden="false" customHeight="false" outlineLevel="0" collapsed="false">
      <c r="A21" s="61" t="n">
        <v>6974</v>
      </c>
      <c r="B21" s="29" t="n">
        <v>44942</v>
      </c>
      <c r="C21" s="21" t="s">
        <v>2251</v>
      </c>
      <c r="D21" s="21" t="s">
        <v>24</v>
      </c>
      <c r="E21" s="21" t="s">
        <v>34</v>
      </c>
      <c r="F21" s="21" t="s">
        <v>2252</v>
      </c>
      <c r="G21" s="30" t="s">
        <v>36</v>
      </c>
      <c r="H21" s="31" t="s">
        <v>28</v>
      </c>
      <c r="I21" s="21" t="s">
        <v>28</v>
      </c>
      <c r="J21" s="21" t="s">
        <v>2253</v>
      </c>
      <c r="K21" s="21" t="s">
        <v>2254</v>
      </c>
      <c r="L21" s="21"/>
      <c r="M21" s="21" t="s">
        <v>2255</v>
      </c>
      <c r="N21" s="30"/>
      <c r="O21" s="21"/>
      <c r="P21" s="21"/>
      <c r="Q21" s="21"/>
      <c r="R21" s="32"/>
      <c r="S21" s="32"/>
      <c r="T21" s="21"/>
      <c r="U21" s="21"/>
      <c r="V21" s="21"/>
      <c r="W21" s="21"/>
      <c r="X21" s="21" t="s">
        <v>28</v>
      </c>
    </row>
    <row r="22" customFormat="false" ht="15.75" hidden="false" customHeight="false" outlineLevel="0" collapsed="false">
      <c r="A22" s="61" t="n">
        <v>6975</v>
      </c>
      <c r="B22" s="29" t="n">
        <v>44943</v>
      </c>
      <c r="C22" s="21" t="s">
        <v>730</v>
      </c>
      <c r="D22" s="21" t="s">
        <v>24</v>
      </c>
      <c r="E22" s="21" t="s">
        <v>25</v>
      </c>
      <c r="F22" s="21" t="s">
        <v>1554</v>
      </c>
      <c r="G22" s="30" t="s">
        <v>2256</v>
      </c>
      <c r="H22" s="45" t="str">
        <f aca="false">HYPERLINK("https://photos.app.goo.gl/Zns9ZjJnmzdTuABk9", "Completo")</f>
        <v>Completo</v>
      </c>
      <c r="I22" s="21" t="s">
        <v>28</v>
      </c>
      <c r="J22" s="21" t="s">
        <v>29</v>
      </c>
      <c r="K22" s="21" t="s">
        <v>29</v>
      </c>
      <c r="L22" s="21" t="s">
        <v>29</v>
      </c>
      <c r="M22" s="21" t="s">
        <v>29</v>
      </c>
      <c r="N22" s="30"/>
      <c r="O22" s="21"/>
      <c r="P22" s="21"/>
      <c r="Q22" s="21"/>
      <c r="R22" s="32"/>
      <c r="S22" s="32"/>
      <c r="T22" s="21" t="s">
        <v>74</v>
      </c>
      <c r="U22" s="46" t="s">
        <v>28</v>
      </c>
      <c r="V22" s="46" t="s">
        <v>28</v>
      </c>
      <c r="W22" s="21" t="s">
        <v>36</v>
      </c>
      <c r="X22" s="21" t="s">
        <v>28</v>
      </c>
    </row>
    <row r="23" customFormat="false" ht="15.75" hidden="false" customHeight="false" outlineLevel="0" collapsed="false">
      <c r="A23" s="61" t="n">
        <v>6976</v>
      </c>
      <c r="B23" s="29" t="n">
        <v>44943</v>
      </c>
      <c r="C23" s="21" t="s">
        <v>1456</v>
      </c>
      <c r="D23" s="21" t="s">
        <v>24</v>
      </c>
      <c r="E23" s="21" t="s">
        <v>25</v>
      </c>
      <c r="F23" s="21" t="s">
        <v>2257</v>
      </c>
      <c r="G23" s="30" t="s">
        <v>2258</v>
      </c>
      <c r="H23" s="45" t="str">
        <f aca="false">HYPERLINK("https://photos.app.goo.gl/9nTujGUF6fLE2Y9V9", "Completo")</f>
        <v>Completo</v>
      </c>
      <c r="I23" s="21" t="s">
        <v>37</v>
      </c>
      <c r="J23" s="21" t="s">
        <v>29</v>
      </c>
      <c r="K23" s="21" t="s">
        <v>29</v>
      </c>
      <c r="L23" s="21" t="s">
        <v>29</v>
      </c>
      <c r="M23" s="21" t="s">
        <v>29</v>
      </c>
      <c r="N23" s="30"/>
      <c r="O23" s="21"/>
      <c r="P23" s="21"/>
      <c r="Q23" s="21"/>
      <c r="R23" s="32"/>
      <c r="S23" s="32"/>
      <c r="T23" s="21"/>
      <c r="U23" s="21"/>
      <c r="V23" s="21"/>
      <c r="W23" s="21"/>
      <c r="X23" s="21" t="s">
        <v>28</v>
      </c>
    </row>
    <row r="24" customFormat="false" ht="15.75" hidden="false" customHeight="false" outlineLevel="0" collapsed="false">
      <c r="A24" s="61" t="s">
        <v>2259</v>
      </c>
      <c r="B24" s="29" t="n">
        <v>44943</v>
      </c>
      <c r="C24" s="21" t="s">
        <v>2260</v>
      </c>
      <c r="D24" s="21" t="s">
        <v>578</v>
      </c>
      <c r="E24" s="21" t="s">
        <v>25</v>
      </c>
      <c r="F24" s="21" t="s">
        <v>2261</v>
      </c>
      <c r="G24" s="30" t="s">
        <v>2262</v>
      </c>
      <c r="H24" s="45" t="str">
        <f aca="false">HYPERLINK("https://photos.app.goo.gl/hU1Qy44KbiKyQfsm9", "Completo")</f>
        <v>Completo</v>
      </c>
      <c r="I24" s="21" t="s">
        <v>28</v>
      </c>
      <c r="J24" s="21"/>
      <c r="K24" s="21"/>
      <c r="L24" s="21"/>
      <c r="M24" s="21"/>
      <c r="N24" s="30"/>
      <c r="O24" s="21"/>
      <c r="P24" s="21"/>
      <c r="Q24" s="21"/>
      <c r="R24" s="32"/>
      <c r="S24" s="32"/>
      <c r="T24" s="21"/>
      <c r="U24" s="21"/>
      <c r="V24" s="21"/>
      <c r="W24" s="21"/>
      <c r="X24" s="21" t="s">
        <v>37</v>
      </c>
    </row>
    <row r="25" customFormat="false" ht="15.75" hidden="false" customHeight="false" outlineLevel="0" collapsed="false">
      <c r="A25" s="63" t="n">
        <v>1734173</v>
      </c>
      <c r="B25" s="29" t="n">
        <v>44939</v>
      </c>
      <c r="C25" s="21" t="s">
        <v>1328</v>
      </c>
      <c r="D25" s="21" t="s">
        <v>290</v>
      </c>
      <c r="E25" s="21" t="s">
        <v>34</v>
      </c>
      <c r="F25" s="21" t="s">
        <v>2263</v>
      </c>
      <c r="G25" s="30" t="s">
        <v>36</v>
      </c>
      <c r="H25" s="31"/>
      <c r="I25" s="21"/>
      <c r="J25" s="21"/>
      <c r="K25" s="21"/>
      <c r="L25" s="21"/>
      <c r="M25" s="21"/>
      <c r="N25" s="30"/>
      <c r="O25" s="21"/>
      <c r="P25" s="21"/>
      <c r="Q25" s="21"/>
      <c r="R25" s="32"/>
      <c r="S25" s="32"/>
      <c r="T25" s="21"/>
      <c r="U25" s="21"/>
      <c r="V25" s="21"/>
      <c r="W25" s="21"/>
      <c r="X25" s="21" t="s">
        <v>28</v>
      </c>
    </row>
    <row r="26" customFormat="false" ht="15.75" hidden="false" customHeight="false" outlineLevel="0" collapsed="false">
      <c r="A26" s="61" t="n">
        <v>6977</v>
      </c>
      <c r="B26" s="29" t="n">
        <v>44944</v>
      </c>
      <c r="C26" s="21" t="s">
        <v>2264</v>
      </c>
      <c r="D26" s="21" t="s">
        <v>24</v>
      </c>
      <c r="E26" s="21" t="s">
        <v>25</v>
      </c>
      <c r="F26" s="21" t="s">
        <v>2265</v>
      </c>
      <c r="G26" s="30"/>
      <c r="H26" s="31"/>
      <c r="I26" s="21"/>
      <c r="J26" s="21" t="n">
        <v>352744509</v>
      </c>
      <c r="K26" s="21" t="s">
        <v>2266</v>
      </c>
      <c r="L26" s="21" t="s">
        <v>29</v>
      </c>
      <c r="M26" s="21" t="s">
        <v>2267</v>
      </c>
      <c r="N26" s="30"/>
      <c r="O26" s="21"/>
      <c r="P26" s="21"/>
      <c r="Q26" s="21"/>
      <c r="R26" s="32"/>
      <c r="S26" s="32"/>
      <c r="T26" s="21"/>
      <c r="U26" s="21"/>
      <c r="V26" s="21"/>
      <c r="W26" s="21"/>
      <c r="X26" s="21" t="s">
        <v>28</v>
      </c>
    </row>
    <row r="27" customFormat="false" ht="15.75" hidden="false" customHeight="false" outlineLevel="0" collapsed="false">
      <c r="A27" s="61" t="n">
        <v>6978</v>
      </c>
      <c r="B27" s="29" t="n">
        <v>44944</v>
      </c>
      <c r="C27" s="21" t="s">
        <v>2268</v>
      </c>
      <c r="D27" s="21" t="s">
        <v>24</v>
      </c>
      <c r="E27" s="21" t="s">
        <v>34</v>
      </c>
      <c r="F27" s="21" t="s">
        <v>2269</v>
      </c>
      <c r="G27" s="30" t="s">
        <v>36</v>
      </c>
      <c r="H27" s="31" t="s">
        <v>37</v>
      </c>
      <c r="I27" s="21" t="s">
        <v>37</v>
      </c>
      <c r="J27" s="21" t="s">
        <v>36</v>
      </c>
      <c r="K27" s="21" t="s">
        <v>36</v>
      </c>
      <c r="L27" s="21" t="s">
        <v>36</v>
      </c>
      <c r="M27" s="21" t="s">
        <v>36</v>
      </c>
      <c r="N27" s="30"/>
      <c r="O27" s="21"/>
      <c r="P27" s="21"/>
      <c r="Q27" s="21"/>
      <c r="R27" s="32"/>
      <c r="S27" s="32"/>
      <c r="T27" s="21"/>
      <c r="U27" s="21"/>
      <c r="V27" s="21"/>
      <c r="W27" s="21"/>
      <c r="X27" s="21" t="s">
        <v>28</v>
      </c>
    </row>
    <row r="28" customFormat="false" ht="15.75" hidden="false" customHeight="false" outlineLevel="0" collapsed="false">
      <c r="A28" s="61" t="n">
        <v>6979</v>
      </c>
      <c r="B28" s="29" t="n">
        <v>44945</v>
      </c>
      <c r="C28" s="21" t="s">
        <v>2270</v>
      </c>
      <c r="D28" s="21" t="s">
        <v>24</v>
      </c>
      <c r="E28" s="21" t="s">
        <v>34</v>
      </c>
      <c r="F28" s="21" t="s">
        <v>2271</v>
      </c>
      <c r="G28" s="30"/>
      <c r="H28" s="31"/>
      <c r="I28" s="21"/>
      <c r="J28" s="21"/>
      <c r="K28" s="21"/>
      <c r="L28" s="21"/>
      <c r="M28" s="21"/>
      <c r="N28" s="30"/>
      <c r="O28" s="21"/>
      <c r="P28" s="21"/>
      <c r="Q28" s="21"/>
      <c r="R28" s="32"/>
      <c r="S28" s="32"/>
      <c r="T28" s="21"/>
      <c r="U28" s="21"/>
      <c r="V28" s="21"/>
      <c r="W28" s="21"/>
      <c r="X28" s="21" t="s">
        <v>28</v>
      </c>
    </row>
    <row r="29" customFormat="false" ht="15.75" hidden="false" customHeight="false" outlineLevel="0" collapsed="false">
      <c r="A29" s="61" t="n">
        <v>6980</v>
      </c>
      <c r="B29" s="29" t="n">
        <v>44945</v>
      </c>
      <c r="C29" s="21" t="s">
        <v>872</v>
      </c>
      <c r="D29" s="21" t="s">
        <v>24</v>
      </c>
      <c r="E29" s="21" t="s">
        <v>34</v>
      </c>
      <c r="F29" s="21" t="s">
        <v>2272</v>
      </c>
      <c r="G29" s="30"/>
      <c r="H29" s="31"/>
      <c r="I29" s="21"/>
      <c r="J29" s="21"/>
      <c r="K29" s="21"/>
      <c r="L29" s="21"/>
      <c r="M29" s="21"/>
      <c r="N29" s="30"/>
      <c r="O29" s="21"/>
      <c r="P29" s="21"/>
      <c r="Q29" s="21"/>
      <c r="R29" s="32"/>
      <c r="S29" s="32"/>
      <c r="T29" s="21"/>
      <c r="U29" s="21"/>
      <c r="V29" s="21"/>
      <c r="W29" s="21"/>
      <c r="X29" s="21" t="s">
        <v>28</v>
      </c>
    </row>
    <row r="30" customFormat="false" ht="15.75" hidden="false" customHeight="false" outlineLevel="0" collapsed="false">
      <c r="A30" s="61" t="n">
        <v>6981</v>
      </c>
      <c r="B30" s="29" t="n">
        <v>44945</v>
      </c>
      <c r="C30" s="21" t="s">
        <v>2273</v>
      </c>
      <c r="D30" s="21" t="s">
        <v>24</v>
      </c>
      <c r="E30" s="21" t="s">
        <v>34</v>
      </c>
      <c r="F30" s="21" t="s">
        <v>2274</v>
      </c>
      <c r="G30" s="30" t="s">
        <v>29</v>
      </c>
      <c r="H30" s="45" t="str">
        <f aca="false">HYPERLINK("https://photos.app.goo.gl/THidMJR1sgGn7nsX7", "Completo")</f>
        <v>Completo</v>
      </c>
      <c r="I30" s="21" t="s">
        <v>28</v>
      </c>
      <c r="J30" s="21" t="s">
        <v>29</v>
      </c>
      <c r="K30" s="21" t="s">
        <v>29</v>
      </c>
      <c r="L30" s="21" t="s">
        <v>29</v>
      </c>
      <c r="M30" s="21" t="s">
        <v>29</v>
      </c>
      <c r="N30" s="30"/>
      <c r="O30" s="21"/>
      <c r="P30" s="21"/>
      <c r="Q30" s="21"/>
      <c r="R30" s="32"/>
      <c r="S30" s="32"/>
      <c r="T30" s="21"/>
      <c r="U30" s="21"/>
      <c r="V30" s="21"/>
      <c r="W30" s="21"/>
      <c r="X30" s="21" t="s">
        <v>28</v>
      </c>
    </row>
    <row r="31" customFormat="false" ht="15.75" hidden="false" customHeight="false" outlineLevel="0" collapsed="false">
      <c r="A31" s="61" t="n">
        <v>6982</v>
      </c>
      <c r="B31" s="29" t="n">
        <v>44947</v>
      </c>
      <c r="C31" s="21" t="s">
        <v>1588</v>
      </c>
      <c r="D31" s="21" t="s">
        <v>24</v>
      </c>
      <c r="E31" s="21" t="s">
        <v>34</v>
      </c>
      <c r="F31" s="21" t="s">
        <v>2275</v>
      </c>
      <c r="G31" s="30"/>
      <c r="H31" s="31"/>
      <c r="I31" s="21"/>
      <c r="J31" s="21"/>
      <c r="K31" s="21"/>
      <c r="L31" s="21"/>
      <c r="M31" s="21"/>
      <c r="N31" s="30"/>
      <c r="O31" s="21"/>
      <c r="P31" s="66"/>
      <c r="Q31" s="21"/>
      <c r="R31" s="32"/>
      <c r="S31" s="32"/>
      <c r="T31" s="21"/>
      <c r="U31" s="21"/>
      <c r="V31" s="21"/>
      <c r="W31" s="21"/>
      <c r="X31" s="21" t="s">
        <v>28</v>
      </c>
    </row>
    <row r="32" customFormat="false" ht="15.75" hidden="false" customHeight="false" outlineLevel="0" collapsed="false">
      <c r="A32" s="61" t="n">
        <v>6983</v>
      </c>
      <c r="B32" s="29" t="n">
        <v>44947</v>
      </c>
      <c r="C32" s="21" t="s">
        <v>1588</v>
      </c>
      <c r="D32" s="21" t="s">
        <v>24</v>
      </c>
      <c r="E32" s="21" t="s">
        <v>34</v>
      </c>
      <c r="F32" s="21" t="s">
        <v>2276</v>
      </c>
      <c r="G32" s="30"/>
      <c r="H32" s="31"/>
      <c r="I32" s="21"/>
      <c r="J32" s="21"/>
      <c r="K32" s="21"/>
      <c r="L32" s="21"/>
      <c r="M32" s="21"/>
      <c r="N32" s="30"/>
      <c r="O32" s="21"/>
      <c r="P32" s="21"/>
      <c r="Q32" s="21"/>
      <c r="R32" s="32"/>
      <c r="S32" s="32"/>
      <c r="T32" s="21"/>
      <c r="U32" s="21"/>
      <c r="V32" s="21"/>
      <c r="W32" s="21"/>
      <c r="X32" s="21" t="s">
        <v>28</v>
      </c>
    </row>
    <row r="33" customFormat="false" ht="15.75" hidden="false" customHeight="false" outlineLevel="0" collapsed="false">
      <c r="A33" s="61" t="n">
        <v>6984</v>
      </c>
      <c r="B33" s="29" t="n">
        <v>44945</v>
      </c>
      <c r="C33" s="21" t="s">
        <v>1484</v>
      </c>
      <c r="D33" s="21" t="s">
        <v>24</v>
      </c>
      <c r="E33" s="21" t="s">
        <v>25</v>
      </c>
      <c r="F33" s="21" t="s">
        <v>2277</v>
      </c>
      <c r="G33" s="30" t="s">
        <v>29</v>
      </c>
      <c r="H33" s="45" t="str">
        <f aca="false">HYPERLINK("https://photos.app.goo.gl/hXj1m3hDpjzjebMFA", "Completo")</f>
        <v>Completo</v>
      </c>
      <c r="I33" s="21" t="s">
        <v>28</v>
      </c>
      <c r="J33" s="21" t="s">
        <v>29</v>
      </c>
      <c r="K33" s="21" t="s">
        <v>29</v>
      </c>
      <c r="L33" s="67" t="n">
        <v>642</v>
      </c>
      <c r="M33" s="21" t="s">
        <v>2278</v>
      </c>
      <c r="N33" s="30"/>
      <c r="O33" s="21"/>
      <c r="P33" s="21"/>
      <c r="Q33" s="21"/>
      <c r="R33" s="32"/>
      <c r="S33" s="32"/>
      <c r="T33" s="21"/>
      <c r="U33" s="21"/>
      <c r="V33" s="21"/>
      <c r="W33" s="21"/>
      <c r="X33" s="21" t="s">
        <v>28</v>
      </c>
    </row>
    <row r="34" customFormat="false" ht="15.75" hidden="false" customHeight="false" outlineLevel="0" collapsed="false">
      <c r="A34" s="61" t="n">
        <v>6985</v>
      </c>
      <c r="B34" s="29" t="n">
        <v>44946</v>
      </c>
      <c r="C34" s="21" t="s">
        <v>2279</v>
      </c>
      <c r="D34" s="21" t="s">
        <v>24</v>
      </c>
      <c r="E34" s="21" t="s">
        <v>25</v>
      </c>
      <c r="F34" s="21" t="s">
        <v>2280</v>
      </c>
      <c r="G34" s="30" t="s">
        <v>29</v>
      </c>
      <c r="H34" s="45" t="str">
        <f aca="false">HYPERLINK("https://photos.app.goo.gl/z9PP2KkjkV2Mako36", "Completo")</f>
        <v>Completo</v>
      </c>
      <c r="I34" s="21" t="s">
        <v>28</v>
      </c>
      <c r="J34" s="21" t="s">
        <v>29</v>
      </c>
      <c r="K34" s="21" t="s">
        <v>29</v>
      </c>
      <c r="L34" s="21" t="s">
        <v>29</v>
      </c>
      <c r="M34" s="21" t="s">
        <v>29</v>
      </c>
      <c r="N34" s="30"/>
      <c r="O34" s="21"/>
      <c r="P34" s="21"/>
      <c r="Q34" s="21"/>
      <c r="R34" s="32"/>
      <c r="S34" s="32"/>
      <c r="T34" s="21"/>
      <c r="U34" s="21"/>
      <c r="V34" s="21"/>
      <c r="W34" s="21"/>
      <c r="X34" s="21" t="s">
        <v>28</v>
      </c>
    </row>
    <row r="35" customFormat="false" ht="15.75" hidden="false" customHeight="false" outlineLevel="0" collapsed="false">
      <c r="A35" s="61" t="n">
        <v>6986</v>
      </c>
      <c r="B35" s="29" t="n">
        <v>44946</v>
      </c>
      <c r="C35" s="21" t="s">
        <v>760</v>
      </c>
      <c r="D35" s="21" t="s">
        <v>290</v>
      </c>
      <c r="E35" s="21" t="s">
        <v>25</v>
      </c>
      <c r="F35" s="21" t="s">
        <v>2281</v>
      </c>
      <c r="G35" s="68" t="s">
        <v>29</v>
      </c>
      <c r="H35" s="45" t="str">
        <f aca="false">HYPERLINK("https://photos.app.goo.gl/Yxg98KqkdMoeeXjV6", "Completo")</f>
        <v>Completo</v>
      </c>
      <c r="I35" s="21" t="s">
        <v>28</v>
      </c>
      <c r="J35" s="21" t="s">
        <v>29</v>
      </c>
      <c r="K35" s="21" t="s">
        <v>29</v>
      </c>
      <c r="L35" s="21" t="s">
        <v>29</v>
      </c>
      <c r="M35" s="21" t="s">
        <v>29</v>
      </c>
      <c r="N35" s="30"/>
      <c r="O35" s="21"/>
      <c r="P35" s="21"/>
      <c r="Q35" s="21"/>
      <c r="R35" s="32"/>
      <c r="S35" s="32"/>
      <c r="T35" s="21"/>
      <c r="U35" s="21"/>
      <c r="V35" s="21"/>
      <c r="W35" s="21"/>
      <c r="X35" s="21" t="s">
        <v>28</v>
      </c>
    </row>
    <row r="36" customFormat="false" ht="15.75" hidden="false" customHeight="false" outlineLevel="0" collapsed="false">
      <c r="A36" s="61" t="n">
        <v>6987</v>
      </c>
      <c r="B36" s="29" t="n">
        <v>44949</v>
      </c>
      <c r="C36" s="21" t="s">
        <v>1259</v>
      </c>
      <c r="D36" s="21" t="s">
        <v>24</v>
      </c>
      <c r="E36" s="21" t="s">
        <v>25</v>
      </c>
      <c r="F36" s="21" t="s">
        <v>2282</v>
      </c>
      <c r="G36" s="68" t="s">
        <v>2283</v>
      </c>
      <c r="H36" s="45" t="str">
        <f aca="false">HYPERLINK("https://photos.app.goo.gl/DiPTGXqKBaWZo5De7", "Completo")</f>
        <v>Completo</v>
      </c>
      <c r="I36" s="21" t="s">
        <v>28</v>
      </c>
      <c r="J36" s="21" t="s">
        <v>29</v>
      </c>
      <c r="K36" s="21" t="s">
        <v>29</v>
      </c>
      <c r="L36" s="21" t="s">
        <v>29</v>
      </c>
      <c r="M36" s="21" t="s">
        <v>29</v>
      </c>
      <c r="N36" s="30"/>
      <c r="O36" s="21" t="s">
        <v>28</v>
      </c>
      <c r="P36" s="21" t="s">
        <v>28</v>
      </c>
      <c r="Q36" s="21" t="s">
        <v>59</v>
      </c>
      <c r="R36" s="32" t="s">
        <v>25</v>
      </c>
      <c r="S36" s="32"/>
      <c r="T36" s="21"/>
      <c r="U36" s="21"/>
      <c r="V36" s="21"/>
      <c r="W36" s="21"/>
      <c r="X36" s="21" t="s">
        <v>28</v>
      </c>
    </row>
    <row r="37" customFormat="false" ht="15.75" hidden="false" customHeight="false" outlineLevel="0" collapsed="false">
      <c r="A37" s="61" t="n">
        <v>6988</v>
      </c>
      <c r="B37" s="29" t="n">
        <v>44949</v>
      </c>
      <c r="C37" s="21" t="s">
        <v>1259</v>
      </c>
      <c r="D37" s="21" t="s">
        <v>24</v>
      </c>
      <c r="E37" s="21" t="s">
        <v>25</v>
      </c>
      <c r="F37" s="21" t="s">
        <v>2284</v>
      </c>
      <c r="G37" s="30" t="s">
        <v>2283</v>
      </c>
      <c r="H37" s="45" t="str">
        <f aca="false">HYPERLINK("https://photos.app.goo.gl/1CJYG8uka2hrSa8G9", "Completo")</f>
        <v>Completo</v>
      </c>
      <c r="I37" s="21" t="s">
        <v>28</v>
      </c>
      <c r="J37" s="21" t="s">
        <v>29</v>
      </c>
      <c r="K37" s="21" t="s">
        <v>29</v>
      </c>
      <c r="L37" s="21" t="s">
        <v>29</v>
      </c>
      <c r="M37" s="21" t="s">
        <v>29</v>
      </c>
      <c r="N37" s="30"/>
      <c r="O37" s="21" t="s">
        <v>28</v>
      </c>
      <c r="P37" s="21" t="s">
        <v>28</v>
      </c>
      <c r="Q37" s="21" t="s">
        <v>59</v>
      </c>
      <c r="R37" s="32" t="s">
        <v>25</v>
      </c>
      <c r="S37" s="32"/>
      <c r="T37" s="21"/>
      <c r="U37" s="66"/>
      <c r="V37" s="66"/>
      <c r="W37" s="21"/>
      <c r="X37" s="21" t="s">
        <v>28</v>
      </c>
    </row>
    <row r="38" customFormat="false" ht="15.75" hidden="false" customHeight="false" outlineLevel="0" collapsed="false">
      <c r="A38" s="61" t="n">
        <v>6989</v>
      </c>
      <c r="B38" s="29" t="n">
        <v>44949</v>
      </c>
      <c r="C38" s="21" t="s">
        <v>1259</v>
      </c>
      <c r="D38" s="21" t="s">
        <v>24</v>
      </c>
      <c r="E38" s="21" t="s">
        <v>25</v>
      </c>
      <c r="F38" s="21" t="s">
        <v>2285</v>
      </c>
      <c r="G38" s="30" t="s">
        <v>2286</v>
      </c>
      <c r="H38" s="45" t="str">
        <f aca="false">HYPERLINK("https://photos.app.goo.gl/mALA1A4DLvwiUEf67", "Completo")</f>
        <v>Completo</v>
      </c>
      <c r="I38" s="21" t="s">
        <v>28</v>
      </c>
      <c r="J38" s="21" t="s">
        <v>29</v>
      </c>
      <c r="K38" s="21" t="s">
        <v>29</v>
      </c>
      <c r="L38" s="21" t="s">
        <v>29</v>
      </c>
      <c r="M38" s="21" t="s">
        <v>29</v>
      </c>
      <c r="N38" s="30"/>
      <c r="O38" s="21" t="s">
        <v>28</v>
      </c>
      <c r="P38" s="66" t="s">
        <v>28</v>
      </c>
      <c r="Q38" s="21" t="s">
        <v>59</v>
      </c>
      <c r="R38" s="32" t="s">
        <v>25</v>
      </c>
      <c r="S38" s="32"/>
      <c r="T38" s="21"/>
      <c r="U38" s="21"/>
      <c r="V38" s="21"/>
      <c r="W38" s="21"/>
      <c r="X38" s="21" t="s">
        <v>28</v>
      </c>
    </row>
    <row r="39" customFormat="false" ht="15" hidden="false" customHeight="true" outlineLevel="0" collapsed="false">
      <c r="A39" s="61" t="n">
        <v>6484</v>
      </c>
      <c r="B39" s="29" t="n">
        <v>44949</v>
      </c>
      <c r="C39" s="21" t="s">
        <v>1290</v>
      </c>
      <c r="D39" s="21" t="s">
        <v>578</v>
      </c>
      <c r="E39" s="21" t="s">
        <v>25</v>
      </c>
      <c r="F39" s="21" t="s">
        <v>2287</v>
      </c>
      <c r="G39" s="30"/>
      <c r="H39" s="45" t="str">
        <f aca="false">HYPERLINK("https://photos.app.goo.gl/CfRyRqtU9sUcakNG6", "Completo")</f>
        <v>Completo</v>
      </c>
      <c r="I39" s="21" t="s">
        <v>28</v>
      </c>
      <c r="J39" s="21"/>
      <c r="K39" s="21"/>
      <c r="L39" s="21"/>
      <c r="M39" s="21" t="s">
        <v>29</v>
      </c>
      <c r="N39" s="30"/>
      <c r="O39" s="21"/>
      <c r="P39" s="21"/>
      <c r="Q39" s="21"/>
      <c r="R39" s="32"/>
      <c r="S39" s="32"/>
      <c r="T39" s="21"/>
      <c r="U39" s="21"/>
      <c r="V39" s="21"/>
      <c r="W39" s="21"/>
      <c r="X39" s="21" t="s">
        <v>37</v>
      </c>
    </row>
    <row r="40" customFormat="false" ht="15.75" hidden="false" customHeight="false" outlineLevel="0" collapsed="false">
      <c r="A40" s="61" t="n">
        <v>6991</v>
      </c>
      <c r="B40" s="29" t="n">
        <v>44949</v>
      </c>
      <c r="C40" s="21" t="s">
        <v>1259</v>
      </c>
      <c r="D40" s="21" t="s">
        <v>24</v>
      </c>
      <c r="E40" s="21" t="s">
        <v>25</v>
      </c>
      <c r="F40" s="21" t="s">
        <v>2288</v>
      </c>
      <c r="G40" s="30" t="s">
        <v>2289</v>
      </c>
      <c r="H40" s="45" t="str">
        <f aca="false">HYPERLINK("https://photos.app.goo.gl/eQNz87Q4CzjiBEHX8", "Completo")</f>
        <v>Completo</v>
      </c>
      <c r="I40" s="21" t="s">
        <v>28</v>
      </c>
      <c r="J40" s="21" t="s">
        <v>29</v>
      </c>
      <c r="K40" s="21" t="s">
        <v>29</v>
      </c>
      <c r="L40" s="21" t="s">
        <v>29</v>
      </c>
      <c r="M40" s="21" t="s">
        <v>29</v>
      </c>
      <c r="N40" s="30"/>
      <c r="O40" s="21" t="s">
        <v>28</v>
      </c>
      <c r="P40" s="21" t="s">
        <v>28</v>
      </c>
      <c r="Q40" s="21" t="s">
        <v>59</v>
      </c>
      <c r="R40" s="32" t="s">
        <v>25</v>
      </c>
      <c r="S40" s="32"/>
      <c r="T40" s="21"/>
      <c r="U40" s="21"/>
      <c r="V40" s="21"/>
      <c r="W40" s="21"/>
      <c r="X40" s="21" t="s">
        <v>28</v>
      </c>
    </row>
    <row r="41" customFormat="false" ht="15.75" hidden="false" customHeight="false" outlineLevel="0" collapsed="false">
      <c r="A41" s="61" t="n">
        <v>6992</v>
      </c>
      <c r="B41" s="29" t="n">
        <v>44949</v>
      </c>
      <c r="C41" s="21" t="s">
        <v>1259</v>
      </c>
      <c r="D41" s="21" t="s">
        <v>24</v>
      </c>
      <c r="E41" s="21" t="s">
        <v>25</v>
      </c>
      <c r="F41" s="21" t="s">
        <v>2288</v>
      </c>
      <c r="G41" s="30" t="s">
        <v>2289</v>
      </c>
      <c r="H41" s="45" t="str">
        <f aca="false">HYPERLINK("https://photos.app.goo.gl/45zz6NFRhVWbDtHr7", "Completo")</f>
        <v>Completo</v>
      </c>
      <c r="I41" s="21" t="s">
        <v>28</v>
      </c>
      <c r="J41" s="21" t="s">
        <v>29</v>
      </c>
      <c r="K41" s="21" t="s">
        <v>29</v>
      </c>
      <c r="L41" s="21" t="s">
        <v>29</v>
      </c>
      <c r="M41" s="21" t="s">
        <v>29</v>
      </c>
      <c r="N41" s="30"/>
      <c r="O41" s="21" t="s">
        <v>28</v>
      </c>
      <c r="P41" s="21" t="s">
        <v>28</v>
      </c>
      <c r="Q41" s="21" t="s">
        <v>59</v>
      </c>
      <c r="R41" s="32" t="s">
        <v>25</v>
      </c>
      <c r="S41" s="32"/>
      <c r="T41" s="21"/>
      <c r="U41" s="21"/>
      <c r="V41" s="21"/>
      <c r="W41" s="21"/>
      <c r="X41" s="21" t="s">
        <v>28</v>
      </c>
    </row>
    <row r="42" customFormat="false" ht="15.75" hidden="false" customHeight="false" outlineLevel="0" collapsed="false">
      <c r="A42" s="63" t="n">
        <v>1237444</v>
      </c>
      <c r="B42" s="29" t="n">
        <v>44949</v>
      </c>
      <c r="C42" s="21" t="s">
        <v>1561</v>
      </c>
      <c r="D42" s="21" t="s">
        <v>290</v>
      </c>
      <c r="E42" s="21" t="s">
        <v>25</v>
      </c>
      <c r="F42" s="21" t="s">
        <v>1554</v>
      </c>
      <c r="G42" s="30" t="s">
        <v>2290</v>
      </c>
      <c r="H42" s="45" t="str">
        <f aca="false">HYPERLINK("https://photos.app.goo.gl/gu48b3fViBJfcxMw9", "Completo")</f>
        <v>Completo</v>
      </c>
      <c r="I42" s="21" t="s">
        <v>28</v>
      </c>
      <c r="J42" s="21" t="s">
        <v>29</v>
      </c>
      <c r="K42" s="21" t="s">
        <v>29</v>
      </c>
      <c r="L42" s="21" t="s">
        <v>29</v>
      </c>
      <c r="M42" s="21" t="s">
        <v>29</v>
      </c>
      <c r="N42" s="68"/>
      <c r="O42" s="21" t="s">
        <v>28</v>
      </c>
      <c r="P42" s="21" t="s">
        <v>28</v>
      </c>
      <c r="Q42" s="21" t="s">
        <v>59</v>
      </c>
      <c r="R42" s="32" t="s">
        <v>25</v>
      </c>
      <c r="S42" s="32"/>
      <c r="T42" s="21"/>
      <c r="U42" s="66"/>
      <c r="V42" s="66"/>
      <c r="W42" s="21"/>
      <c r="X42" s="21" t="s">
        <v>28</v>
      </c>
    </row>
    <row r="43" customFormat="false" ht="15.75" hidden="false" customHeight="false" outlineLevel="0" collapsed="false">
      <c r="A43" s="61" t="s">
        <v>2291</v>
      </c>
      <c r="B43" s="29" t="n">
        <v>44946</v>
      </c>
      <c r="C43" s="21" t="s">
        <v>1484</v>
      </c>
      <c r="D43" s="21" t="s">
        <v>578</v>
      </c>
      <c r="E43" s="21" t="s">
        <v>25</v>
      </c>
      <c r="F43" s="21" t="s">
        <v>2292</v>
      </c>
      <c r="G43" s="30"/>
      <c r="H43" s="45" t="str">
        <f aca="false">HYPERLINK("https://photos.app.goo.gl/VyTXdrMhKUbRT4Yp7", "Completo")</f>
        <v>Completo</v>
      </c>
      <c r="I43" s="21" t="s">
        <v>28</v>
      </c>
      <c r="J43" s="21" t="s">
        <v>29</v>
      </c>
      <c r="K43" s="21" t="s">
        <v>29</v>
      </c>
      <c r="L43" s="21" t="n">
        <v>643</v>
      </c>
      <c r="M43" s="21" t="s">
        <v>29</v>
      </c>
      <c r="N43" s="30"/>
      <c r="O43" s="21"/>
      <c r="P43" s="21"/>
      <c r="Q43" s="21"/>
      <c r="R43" s="32"/>
      <c r="S43" s="32"/>
      <c r="T43" s="21"/>
      <c r="U43" s="21"/>
      <c r="V43" s="21"/>
      <c r="W43" s="21"/>
      <c r="X43" s="21" t="s">
        <v>37</v>
      </c>
    </row>
    <row r="44" customFormat="false" ht="15.75" hidden="false" customHeight="false" outlineLevel="0" collapsed="false">
      <c r="A44" s="61" t="n">
        <v>6993</v>
      </c>
      <c r="B44" s="29" t="n">
        <v>44949</v>
      </c>
      <c r="C44" s="21" t="s">
        <v>1259</v>
      </c>
      <c r="D44" s="21" t="s">
        <v>24</v>
      </c>
      <c r="E44" s="21" t="s">
        <v>34</v>
      </c>
      <c r="F44" s="21" t="s">
        <v>2293</v>
      </c>
      <c r="G44" s="30"/>
      <c r="H44" s="31"/>
      <c r="I44" s="21"/>
      <c r="J44" s="21"/>
      <c r="K44" s="21"/>
      <c r="L44" s="21"/>
      <c r="M44" s="21"/>
      <c r="N44" s="69"/>
      <c r="O44" s="21"/>
      <c r="P44" s="21"/>
      <c r="Q44" s="21"/>
      <c r="R44" s="32"/>
      <c r="S44" s="32"/>
      <c r="T44" s="21"/>
      <c r="U44" s="21"/>
      <c r="V44" s="21"/>
      <c r="W44" s="21"/>
      <c r="X44" s="21" t="s">
        <v>28</v>
      </c>
    </row>
    <row r="45" customFormat="false" ht="15.75" hidden="false" customHeight="false" outlineLevel="0" collapsed="false">
      <c r="A45" s="61" t="n">
        <v>6994</v>
      </c>
      <c r="B45" s="54" t="n">
        <v>44950</v>
      </c>
      <c r="C45" s="21" t="s">
        <v>2294</v>
      </c>
      <c r="D45" s="21" t="s">
        <v>24</v>
      </c>
      <c r="E45" s="21" t="s">
        <v>25</v>
      </c>
      <c r="F45" s="21" t="s">
        <v>2295</v>
      </c>
      <c r="G45" s="30" t="s">
        <v>2296</v>
      </c>
      <c r="H45" s="45" t="str">
        <f aca="false">HYPERLINK("https://photos.app.goo.gl/732tryT8qiZmX3XJ6", "Completo")</f>
        <v>Completo</v>
      </c>
      <c r="I45" s="21" t="s">
        <v>28</v>
      </c>
      <c r="J45" s="21" t="s">
        <v>2297</v>
      </c>
      <c r="K45" s="21"/>
      <c r="L45" s="21" t="s">
        <v>29</v>
      </c>
      <c r="M45" s="21" t="s">
        <v>2133</v>
      </c>
      <c r="N45" s="69"/>
      <c r="O45" s="21" t="s">
        <v>37</v>
      </c>
      <c r="P45" s="21" t="s">
        <v>37</v>
      </c>
      <c r="Q45" s="21" t="s">
        <v>29</v>
      </c>
      <c r="R45" s="32"/>
      <c r="S45" s="32" t="s">
        <v>2298</v>
      </c>
      <c r="T45" s="21"/>
      <c r="U45" s="21"/>
      <c r="V45" s="21"/>
      <c r="W45" s="71" t="s">
        <v>2299</v>
      </c>
      <c r="X45" s="21" t="s">
        <v>37</v>
      </c>
    </row>
    <row r="46" customFormat="false" ht="15.75" hidden="false" customHeight="false" outlineLevel="0" collapsed="false">
      <c r="A46" s="61" t="n">
        <v>6995</v>
      </c>
      <c r="B46" s="54" t="n">
        <v>44951</v>
      </c>
      <c r="C46" s="21" t="s">
        <v>75</v>
      </c>
      <c r="D46" s="21" t="s">
        <v>24</v>
      </c>
      <c r="E46" s="21" t="s">
        <v>25</v>
      </c>
      <c r="F46" s="21" t="s">
        <v>2300</v>
      </c>
      <c r="G46" s="30" t="s">
        <v>29</v>
      </c>
      <c r="H46" s="45" t="str">
        <f aca="false">HYPERLINK("https://photos.app.goo.gl/MNHndENtjaJmtkqL7", "Completo")</f>
        <v>Completo</v>
      </c>
      <c r="I46" s="21" t="s">
        <v>28</v>
      </c>
      <c r="J46" s="21" t="s">
        <v>29</v>
      </c>
      <c r="K46" s="21" t="s">
        <v>29</v>
      </c>
      <c r="L46" s="21" t="s">
        <v>29</v>
      </c>
      <c r="M46" s="21" t="s">
        <v>2301</v>
      </c>
      <c r="N46" s="69"/>
      <c r="O46" s="21" t="s">
        <v>28</v>
      </c>
      <c r="P46" s="21" t="s">
        <v>28</v>
      </c>
      <c r="Q46" s="21" t="s">
        <v>59</v>
      </c>
      <c r="R46" s="32" t="s">
        <v>25</v>
      </c>
      <c r="S46" s="32"/>
      <c r="T46" s="21"/>
      <c r="U46" s="21"/>
      <c r="V46" s="21"/>
      <c r="W46" s="21"/>
      <c r="X46" s="21" t="s">
        <v>28</v>
      </c>
    </row>
    <row r="47" customFormat="false" ht="15.75" hidden="false" customHeight="false" outlineLevel="0" collapsed="false">
      <c r="A47" s="61" t="n">
        <v>6996</v>
      </c>
      <c r="B47" s="29" t="n">
        <v>44951</v>
      </c>
      <c r="C47" s="21" t="s">
        <v>1456</v>
      </c>
      <c r="D47" s="21" t="s">
        <v>24</v>
      </c>
      <c r="E47" s="21" t="s">
        <v>25</v>
      </c>
      <c r="F47" s="21" t="s">
        <v>2302</v>
      </c>
      <c r="G47" s="30"/>
      <c r="H47" s="45" t="str">
        <f aca="false">HYPERLINK("https://photos.app.goo.gl/wN6cQQXVeNXVB65m7", "Completo")</f>
        <v>Completo</v>
      </c>
      <c r="I47" s="46" t="str">
        <f aca="false">HYPERLINK("https://photos.app.goo.gl/MW31KnHY2qook39v9", "Completo")</f>
        <v>Completo</v>
      </c>
      <c r="J47" s="21" t="s">
        <v>29</v>
      </c>
      <c r="K47" s="21" t="s">
        <v>29</v>
      </c>
      <c r="L47" s="21" t="n">
        <v>53477</v>
      </c>
      <c r="M47" s="21" t="s">
        <v>29</v>
      </c>
      <c r="N47" s="69"/>
      <c r="O47" s="21"/>
      <c r="P47" s="21"/>
      <c r="Q47" s="21"/>
      <c r="R47" s="32"/>
      <c r="S47" s="32"/>
      <c r="T47" s="21"/>
      <c r="U47" s="21"/>
      <c r="V47" s="21"/>
      <c r="W47" s="21"/>
      <c r="X47" s="21" t="s">
        <v>28</v>
      </c>
    </row>
    <row r="48" customFormat="false" ht="15.75" hidden="false" customHeight="false" outlineLevel="0" collapsed="false">
      <c r="A48" s="61" t="n">
        <v>6997</v>
      </c>
      <c r="B48" s="29" t="n">
        <v>44951</v>
      </c>
      <c r="C48" s="21" t="s">
        <v>2303</v>
      </c>
      <c r="D48" s="21" t="s">
        <v>24</v>
      </c>
      <c r="E48" s="21" t="s">
        <v>25</v>
      </c>
      <c r="F48" s="21" t="s">
        <v>2304</v>
      </c>
      <c r="G48" s="30" t="s">
        <v>2305</v>
      </c>
      <c r="H48" s="45" t="str">
        <f aca="false">HYPERLINK("https://photos.app.goo.gl/n2rqeTrBJYWuBP2WA", "Completo")</f>
        <v>Completo</v>
      </c>
      <c r="I48" s="21" t="s">
        <v>28</v>
      </c>
      <c r="J48" s="21" t="s">
        <v>29</v>
      </c>
      <c r="K48" s="21" t="s">
        <v>29</v>
      </c>
      <c r="L48" s="21" t="s">
        <v>29</v>
      </c>
      <c r="M48" s="21" t="s">
        <v>29</v>
      </c>
      <c r="N48" s="69" t="s">
        <v>2306</v>
      </c>
      <c r="O48" s="21" t="s">
        <v>28</v>
      </c>
      <c r="P48" s="21"/>
      <c r="Q48" s="21" t="s">
        <v>59</v>
      </c>
      <c r="R48" s="32" t="s">
        <v>25</v>
      </c>
      <c r="S48" s="32"/>
      <c r="T48" s="21"/>
      <c r="U48" s="21"/>
      <c r="V48" s="21"/>
      <c r="W48" s="21"/>
      <c r="X48" s="21" t="s">
        <v>28</v>
      </c>
    </row>
    <row r="49" customFormat="false" ht="15.75" hidden="false" customHeight="false" outlineLevel="0" collapsed="false">
      <c r="A49" s="61" t="n">
        <v>6998</v>
      </c>
      <c r="B49" s="29" t="n">
        <v>44586</v>
      </c>
      <c r="C49" s="21" t="s">
        <v>2307</v>
      </c>
      <c r="D49" s="21" t="s">
        <v>24</v>
      </c>
      <c r="E49" s="21" t="s">
        <v>34</v>
      </c>
      <c r="F49" s="21" t="s">
        <v>2308</v>
      </c>
      <c r="G49" s="30" t="s">
        <v>36</v>
      </c>
      <c r="H49" s="31" t="s">
        <v>37</v>
      </c>
      <c r="I49" s="21" t="s">
        <v>37</v>
      </c>
      <c r="J49" s="21"/>
      <c r="K49" s="21"/>
      <c r="L49" s="21"/>
      <c r="M49" s="21"/>
      <c r="N49" s="30"/>
      <c r="O49" s="21"/>
      <c r="P49" s="21"/>
      <c r="Q49" s="21"/>
      <c r="R49" s="32"/>
      <c r="S49" s="32"/>
      <c r="T49" s="21"/>
      <c r="U49" s="21"/>
      <c r="V49" s="21"/>
      <c r="W49" s="21"/>
      <c r="X49" s="21" t="s">
        <v>28</v>
      </c>
    </row>
    <row r="50" customFormat="false" ht="15.75" hidden="false" customHeight="false" outlineLevel="0" collapsed="false">
      <c r="A50" s="61" t="n">
        <v>6999</v>
      </c>
      <c r="B50" s="29" t="n">
        <v>44952</v>
      </c>
      <c r="C50" s="21" t="s">
        <v>2309</v>
      </c>
      <c r="D50" s="21" t="s">
        <v>24</v>
      </c>
      <c r="E50" s="21" t="s">
        <v>34</v>
      </c>
      <c r="F50" s="21" t="s">
        <v>2310</v>
      </c>
      <c r="G50" s="30"/>
      <c r="H50" s="31"/>
      <c r="I50" s="21"/>
      <c r="J50" s="21"/>
      <c r="K50" s="21"/>
      <c r="L50" s="21"/>
      <c r="M50" s="21"/>
      <c r="N50" s="30"/>
      <c r="O50" s="21"/>
      <c r="P50" s="21"/>
      <c r="Q50" s="21"/>
      <c r="R50" s="32"/>
      <c r="S50" s="32"/>
      <c r="T50" s="21"/>
      <c r="U50" s="21"/>
      <c r="V50" s="21"/>
      <c r="W50" s="21"/>
      <c r="X50" s="21" t="s">
        <v>28</v>
      </c>
      <c r="Y50" s="12"/>
      <c r="Z50" s="12"/>
      <c r="AA50" s="12"/>
      <c r="AB50" s="12"/>
      <c r="AC50" s="12"/>
      <c r="AD50" s="12"/>
      <c r="AE50" s="12"/>
    </row>
    <row r="51" customFormat="false" ht="15.75" hidden="false" customHeight="false" outlineLevel="0" collapsed="false">
      <c r="A51" s="61" t="n">
        <v>7000</v>
      </c>
      <c r="B51" s="29" t="n">
        <v>44952</v>
      </c>
      <c r="C51" s="21" t="s">
        <v>2311</v>
      </c>
      <c r="D51" s="21" t="s">
        <v>24</v>
      </c>
      <c r="E51" s="21" t="s">
        <v>34</v>
      </c>
      <c r="F51" s="21" t="s">
        <v>2312</v>
      </c>
      <c r="G51" s="30" t="s">
        <v>2313</v>
      </c>
      <c r="H51" s="45" t="str">
        <f aca="false">HYPERLINK("https://photos.app.goo.gl/a4jKE5XiPNeUarJ68", "Completo")</f>
        <v>Completo</v>
      </c>
      <c r="I51" s="21" t="s">
        <v>28</v>
      </c>
      <c r="J51" s="21" t="s">
        <v>29</v>
      </c>
      <c r="K51" s="21" t="s">
        <v>29</v>
      </c>
      <c r="L51" s="21" t="s">
        <v>29</v>
      </c>
      <c r="M51" s="21" t="s">
        <v>29</v>
      </c>
      <c r="N51" s="30"/>
      <c r="O51" s="21"/>
      <c r="P51" s="21"/>
      <c r="Q51" s="21"/>
      <c r="R51" s="32"/>
      <c r="S51" s="32"/>
      <c r="T51" s="21"/>
      <c r="U51" s="21"/>
      <c r="V51" s="21"/>
      <c r="W51" s="21"/>
      <c r="X51" s="21" t="s">
        <v>28</v>
      </c>
      <c r="Y51" s="12"/>
      <c r="Z51" s="12"/>
      <c r="AA51" s="12"/>
      <c r="AB51" s="12"/>
      <c r="AC51" s="12"/>
      <c r="AD51" s="12"/>
      <c r="AE51" s="12"/>
    </row>
    <row r="52" customFormat="false" ht="15.75" hidden="false" customHeight="false" outlineLevel="0" collapsed="false">
      <c r="A52" s="61" t="n">
        <v>7001</v>
      </c>
      <c r="B52" s="29" t="n">
        <v>44952</v>
      </c>
      <c r="C52" s="21" t="s">
        <v>2311</v>
      </c>
      <c r="D52" s="21" t="s">
        <v>24</v>
      </c>
      <c r="E52" s="21" t="s">
        <v>34</v>
      </c>
      <c r="F52" s="21" t="s">
        <v>2312</v>
      </c>
      <c r="G52" s="30" t="s">
        <v>2313</v>
      </c>
      <c r="H52" s="45" t="str">
        <f aca="false">HYPERLINK("https://photos.app.goo.gl/cc1xoiPTLwnGcQPa9", "Completo")</f>
        <v>Completo</v>
      </c>
      <c r="I52" s="21" t="s">
        <v>28</v>
      </c>
      <c r="J52" s="21" t="s">
        <v>29</v>
      </c>
      <c r="K52" s="21" t="s">
        <v>29</v>
      </c>
      <c r="L52" s="21" t="s">
        <v>29</v>
      </c>
      <c r="M52" s="21" t="s">
        <v>29</v>
      </c>
      <c r="N52" s="30"/>
      <c r="O52" s="21"/>
      <c r="P52" s="21"/>
      <c r="Q52" s="21"/>
      <c r="R52" s="32"/>
      <c r="S52" s="32"/>
      <c r="T52" s="21"/>
      <c r="U52" s="66"/>
      <c r="V52" s="66"/>
      <c r="W52" s="21"/>
      <c r="X52" s="21" t="s">
        <v>28</v>
      </c>
    </row>
    <row r="53" customFormat="false" ht="15.75" hidden="false" customHeight="false" outlineLevel="0" collapsed="false">
      <c r="A53" s="61" t="n">
        <v>7002</v>
      </c>
      <c r="B53" s="29" t="n">
        <v>44952</v>
      </c>
      <c r="C53" s="21" t="s">
        <v>2314</v>
      </c>
      <c r="D53" s="21" t="s">
        <v>24</v>
      </c>
      <c r="E53" s="21" t="s">
        <v>25</v>
      </c>
      <c r="F53" s="21" t="s">
        <v>2315</v>
      </c>
      <c r="G53" s="30" t="s">
        <v>2316</v>
      </c>
      <c r="H53" s="45" t="str">
        <f aca="false">HYPERLINK("https://photos.app.goo.gl/gbhDNUUaAqFWhZwPA", "Completo")</f>
        <v>Completo</v>
      </c>
      <c r="I53" s="21" t="s">
        <v>28</v>
      </c>
      <c r="J53" s="21" t="n">
        <v>3534117999</v>
      </c>
      <c r="K53" s="21" t="s">
        <v>2317</v>
      </c>
      <c r="L53" s="21"/>
      <c r="M53" s="21"/>
      <c r="N53" s="30"/>
      <c r="O53" s="21"/>
      <c r="P53" s="21"/>
      <c r="Q53" s="21"/>
      <c r="R53" s="32"/>
      <c r="S53" s="32"/>
      <c r="T53" s="21" t="s">
        <v>74</v>
      </c>
      <c r="U53" s="46" t="s">
        <v>28</v>
      </c>
      <c r="V53" s="46" t="s">
        <v>28</v>
      </c>
      <c r="W53" s="21" t="s">
        <v>36</v>
      </c>
      <c r="X53" s="21" t="s">
        <v>28</v>
      </c>
    </row>
    <row r="54" customFormat="false" ht="15.75" hidden="false" customHeight="false" outlineLevel="0" collapsed="false">
      <c r="A54" s="61" t="n">
        <v>7003</v>
      </c>
      <c r="B54" s="29" t="n">
        <v>44952</v>
      </c>
      <c r="C54" s="21" t="s">
        <v>1290</v>
      </c>
      <c r="D54" s="21" t="s">
        <v>24</v>
      </c>
      <c r="E54" s="21" t="s">
        <v>25</v>
      </c>
      <c r="F54" s="21" t="s">
        <v>1554</v>
      </c>
      <c r="G54" s="30" t="s">
        <v>2318</v>
      </c>
      <c r="H54" s="45" t="str">
        <f aca="false">HYPERLINK("https://photos.app.goo.gl/ahDi7mEpkn1PDU8k7", "Completo")</f>
        <v>Completo</v>
      </c>
      <c r="I54" s="21" t="s">
        <v>28</v>
      </c>
      <c r="J54" s="21" t="s">
        <v>29</v>
      </c>
      <c r="K54" s="21" t="s">
        <v>29</v>
      </c>
      <c r="L54" s="21" t="s">
        <v>29</v>
      </c>
      <c r="M54" s="21" t="s">
        <v>29</v>
      </c>
      <c r="N54" s="30"/>
      <c r="O54" s="21"/>
      <c r="P54" s="66"/>
      <c r="Q54" s="21"/>
      <c r="R54" s="32"/>
      <c r="S54" s="32"/>
      <c r="T54" s="21"/>
      <c r="U54" s="21"/>
      <c r="V54" s="21"/>
      <c r="W54" s="21"/>
      <c r="X54" s="21" t="s">
        <v>28</v>
      </c>
    </row>
    <row r="55" customFormat="false" ht="15.75" hidden="false" customHeight="false" outlineLevel="0" collapsed="false">
      <c r="A55" s="61" t="n">
        <v>7004</v>
      </c>
      <c r="B55" s="29" t="n">
        <v>44952</v>
      </c>
      <c r="C55" s="21" t="s">
        <v>2319</v>
      </c>
      <c r="D55" s="21" t="s">
        <v>24</v>
      </c>
      <c r="E55" s="21" t="s">
        <v>25</v>
      </c>
      <c r="F55" s="21" t="s">
        <v>2320</v>
      </c>
      <c r="G55" s="30"/>
      <c r="H55" s="45" t="str">
        <f aca="false">HYPERLINK("https://photos.app.goo.gl/FArGdxWMF14sBN3V9", "Completo")</f>
        <v>Completo</v>
      </c>
      <c r="I55" s="21" t="s">
        <v>28</v>
      </c>
      <c r="J55" s="21" t="s">
        <v>29</v>
      </c>
      <c r="K55" s="21" t="s">
        <v>29</v>
      </c>
      <c r="L55" s="21" t="s">
        <v>29</v>
      </c>
      <c r="M55" s="21" t="s">
        <v>29</v>
      </c>
      <c r="N55" s="30"/>
      <c r="O55" s="21"/>
      <c r="P55" s="21"/>
      <c r="Q55" s="21"/>
      <c r="R55" s="32"/>
      <c r="S55" s="32"/>
      <c r="T55" s="21"/>
      <c r="U55" s="21"/>
      <c r="V55" s="21"/>
      <c r="W55" s="21"/>
      <c r="X55" s="21" t="s">
        <v>37</v>
      </c>
    </row>
    <row r="56" customFormat="false" ht="15.75" hidden="false" customHeight="false" outlineLevel="0" collapsed="false">
      <c r="A56" s="61" t="n">
        <v>7005</v>
      </c>
      <c r="B56" s="29" t="n">
        <v>44953</v>
      </c>
      <c r="C56" s="21" t="s">
        <v>841</v>
      </c>
      <c r="D56" s="21" t="s">
        <v>24</v>
      </c>
      <c r="E56" s="21" t="s">
        <v>25</v>
      </c>
      <c r="F56" s="21" t="s">
        <v>2321</v>
      </c>
      <c r="G56" s="30"/>
      <c r="H56" s="45" t="str">
        <f aca="false">HYPERLINK("https://photos.app.goo.gl/eE69etfCqv4nFHeZ6", "Completo")</f>
        <v>Completo</v>
      </c>
      <c r="I56" s="21" t="s">
        <v>28</v>
      </c>
      <c r="J56" s="21" t="s">
        <v>29</v>
      </c>
      <c r="K56" s="21" t="s">
        <v>29</v>
      </c>
      <c r="L56" s="21" t="n">
        <v>1402</v>
      </c>
      <c r="M56" s="21" t="s">
        <v>2322</v>
      </c>
      <c r="N56" s="30"/>
      <c r="O56" s="21"/>
      <c r="P56" s="21"/>
      <c r="Q56" s="21"/>
      <c r="R56" s="32"/>
      <c r="S56" s="32"/>
      <c r="T56" s="21"/>
      <c r="U56" s="21"/>
      <c r="V56" s="21"/>
      <c r="W56" s="21"/>
      <c r="X56" s="21" t="s">
        <v>28</v>
      </c>
    </row>
    <row r="57" customFormat="false" ht="15.75" hidden="false" customHeight="false" outlineLevel="0" collapsed="false">
      <c r="A57" s="61" t="n">
        <v>7006</v>
      </c>
      <c r="B57" s="29" t="n">
        <v>44953</v>
      </c>
      <c r="C57" s="21" t="s">
        <v>841</v>
      </c>
      <c r="D57" s="21" t="s">
        <v>24</v>
      </c>
      <c r="E57" s="21" t="s">
        <v>25</v>
      </c>
      <c r="F57" s="21" t="s">
        <v>2323</v>
      </c>
      <c r="G57" s="30"/>
      <c r="H57" s="45" t="str">
        <f aca="false">HYPERLINK("https://photos.app.goo.gl/1iLGdUnM75WvVgWP6", "Completo")</f>
        <v>Completo</v>
      </c>
      <c r="I57" s="21" t="s">
        <v>28</v>
      </c>
      <c r="J57" s="21" t="s">
        <v>29</v>
      </c>
      <c r="K57" s="21" t="s">
        <v>29</v>
      </c>
      <c r="L57" s="21" t="n">
        <v>1402</v>
      </c>
      <c r="M57" s="21" t="s">
        <v>2324</v>
      </c>
      <c r="N57" s="30"/>
      <c r="O57" s="21"/>
      <c r="P57" s="21"/>
      <c r="Q57" s="21"/>
      <c r="R57" s="32"/>
      <c r="S57" s="32"/>
      <c r="T57" s="21"/>
      <c r="U57" s="21"/>
      <c r="V57" s="21"/>
      <c r="W57" s="21"/>
      <c r="X57" s="21" t="s">
        <v>28</v>
      </c>
    </row>
    <row r="58" customFormat="false" ht="15.75" hidden="false" customHeight="false" outlineLevel="0" collapsed="false">
      <c r="A58" s="61" t="n">
        <v>7007</v>
      </c>
      <c r="B58" s="29" t="n">
        <v>44956</v>
      </c>
      <c r="C58" s="21" t="s">
        <v>2325</v>
      </c>
      <c r="D58" s="21" t="s">
        <v>24</v>
      </c>
      <c r="E58" s="21" t="s">
        <v>34</v>
      </c>
      <c r="F58" s="21" t="s">
        <v>2326</v>
      </c>
      <c r="G58" s="30"/>
      <c r="H58" s="31"/>
      <c r="I58" s="21"/>
      <c r="J58" s="21"/>
      <c r="K58" s="21"/>
      <c r="L58" s="21"/>
      <c r="M58" s="21"/>
      <c r="N58" s="30"/>
      <c r="O58" s="21"/>
      <c r="P58" s="21"/>
      <c r="Q58" s="21"/>
      <c r="R58" s="32"/>
      <c r="S58" s="32"/>
      <c r="T58" s="21"/>
      <c r="U58" s="21"/>
      <c r="V58" s="21"/>
      <c r="W58" s="21"/>
      <c r="X58" s="21" t="s">
        <v>28</v>
      </c>
    </row>
    <row r="59" customFormat="false" ht="15.75" hidden="false" customHeight="false" outlineLevel="0" collapsed="false">
      <c r="A59" s="61" t="n">
        <v>7008</v>
      </c>
      <c r="B59" s="29" t="n">
        <v>44956</v>
      </c>
      <c r="C59" s="21" t="s">
        <v>716</v>
      </c>
      <c r="D59" s="21" t="s">
        <v>24</v>
      </c>
      <c r="E59" s="21" t="s">
        <v>34</v>
      </c>
      <c r="F59" s="21" t="s">
        <v>2327</v>
      </c>
      <c r="G59" s="30" t="s">
        <v>2328</v>
      </c>
      <c r="H59" s="31" t="s">
        <v>37</v>
      </c>
      <c r="I59" s="21"/>
      <c r="J59" s="21"/>
      <c r="K59" s="21"/>
      <c r="L59" s="21"/>
      <c r="M59" s="21"/>
      <c r="N59" s="30"/>
      <c r="O59" s="21"/>
      <c r="P59" s="21"/>
      <c r="Q59" s="21"/>
      <c r="R59" s="32"/>
      <c r="S59" s="32"/>
      <c r="T59" s="21"/>
      <c r="U59" s="21"/>
      <c r="V59" s="21"/>
      <c r="W59" s="21"/>
      <c r="X59" s="21" t="s">
        <v>28</v>
      </c>
    </row>
    <row r="60" customFormat="false" ht="15.75" hidden="false" customHeight="false" outlineLevel="0" collapsed="false">
      <c r="A60" s="61" t="n">
        <v>7009</v>
      </c>
      <c r="B60" s="29" t="n">
        <v>44956</v>
      </c>
      <c r="C60" s="21" t="s">
        <v>716</v>
      </c>
      <c r="D60" s="21" t="s">
        <v>24</v>
      </c>
      <c r="E60" s="21" t="s">
        <v>34</v>
      </c>
      <c r="F60" s="21" t="s">
        <v>2327</v>
      </c>
      <c r="G60" s="30" t="s">
        <v>2328</v>
      </c>
      <c r="H60" s="31" t="s">
        <v>37</v>
      </c>
      <c r="I60" s="21"/>
      <c r="J60" s="21"/>
      <c r="K60" s="21"/>
      <c r="L60" s="21"/>
      <c r="M60" s="21"/>
      <c r="N60" s="30"/>
      <c r="O60" s="21"/>
      <c r="P60" s="66"/>
      <c r="Q60" s="21"/>
      <c r="R60" s="32"/>
      <c r="S60" s="32"/>
      <c r="T60" s="21"/>
      <c r="U60" s="21"/>
      <c r="V60" s="21"/>
      <c r="W60" s="21"/>
      <c r="X60" s="21" t="s">
        <v>28</v>
      </c>
    </row>
    <row r="61" customFormat="false" ht="15.75" hidden="false" customHeight="false" outlineLevel="0" collapsed="false">
      <c r="A61" s="61" t="n">
        <v>7010</v>
      </c>
      <c r="B61" s="29" t="n">
        <v>44957</v>
      </c>
      <c r="C61" s="21" t="s">
        <v>2329</v>
      </c>
      <c r="D61" s="21" t="s">
        <v>24</v>
      </c>
      <c r="E61" s="21" t="s">
        <v>34</v>
      </c>
      <c r="F61" s="21" t="s">
        <v>2330</v>
      </c>
      <c r="G61" s="30"/>
      <c r="H61" s="31"/>
      <c r="I61" s="21"/>
      <c r="J61" s="21"/>
      <c r="K61" s="21"/>
      <c r="L61" s="21"/>
      <c r="M61" s="21"/>
      <c r="N61" s="30"/>
      <c r="O61" s="21"/>
      <c r="P61" s="66"/>
      <c r="Q61" s="21"/>
      <c r="R61" s="32"/>
      <c r="S61" s="32"/>
      <c r="T61" s="21"/>
      <c r="U61" s="21"/>
      <c r="V61" s="21"/>
      <c r="W61" s="21"/>
      <c r="X61" s="21" t="s">
        <v>28</v>
      </c>
    </row>
    <row r="62" customFormat="false" ht="15.75" hidden="false" customHeight="false" outlineLevel="0" collapsed="false">
      <c r="A62" s="61" t="n">
        <v>7011</v>
      </c>
      <c r="B62" s="29" t="n">
        <v>44957</v>
      </c>
      <c r="C62" s="21" t="s">
        <v>2331</v>
      </c>
      <c r="D62" s="21" t="s">
        <v>24</v>
      </c>
      <c r="E62" s="21" t="s">
        <v>34</v>
      </c>
      <c r="F62" s="21" t="s">
        <v>2332</v>
      </c>
      <c r="G62" s="30"/>
      <c r="H62" s="31"/>
      <c r="I62" s="21"/>
      <c r="J62" s="21"/>
      <c r="K62" s="21"/>
      <c r="L62" s="21"/>
      <c r="M62" s="21"/>
      <c r="N62" s="30"/>
      <c r="O62" s="21"/>
      <c r="P62" s="66"/>
      <c r="Q62" s="21"/>
      <c r="R62" s="32"/>
      <c r="S62" s="32"/>
      <c r="T62" s="21"/>
      <c r="U62" s="21"/>
      <c r="V62" s="21"/>
      <c r="W62" s="21"/>
      <c r="X62" s="21" t="s">
        <v>28</v>
      </c>
    </row>
    <row r="63" customFormat="false" ht="15.75" hidden="false" customHeight="false" outlineLevel="0" collapsed="false">
      <c r="A63" s="61" t="n">
        <v>7012</v>
      </c>
      <c r="B63" s="29" t="n">
        <v>44957</v>
      </c>
      <c r="C63" s="21" t="s">
        <v>1456</v>
      </c>
      <c r="D63" s="21" t="s">
        <v>24</v>
      </c>
      <c r="E63" s="21" t="s">
        <v>34</v>
      </c>
      <c r="F63" s="21" t="s">
        <v>2333</v>
      </c>
      <c r="G63" s="30"/>
      <c r="H63" s="31"/>
      <c r="I63" s="21"/>
      <c r="J63" s="21"/>
      <c r="K63" s="21"/>
      <c r="L63" s="21"/>
      <c r="M63" s="21"/>
      <c r="N63" s="30"/>
      <c r="O63" s="21"/>
      <c r="P63" s="21"/>
      <c r="Q63" s="21"/>
      <c r="R63" s="32"/>
      <c r="S63" s="32"/>
      <c r="T63" s="21"/>
      <c r="U63" s="21"/>
      <c r="V63" s="21"/>
      <c r="W63" s="21"/>
      <c r="X63" s="21" t="s">
        <v>28</v>
      </c>
    </row>
    <row r="64" customFormat="false" ht="15.75" hidden="false" customHeight="false" outlineLevel="0" collapsed="false">
      <c r="A64" s="61"/>
      <c r="B64" s="29"/>
      <c r="C64" s="21"/>
      <c r="D64" s="21"/>
      <c r="E64" s="21"/>
      <c r="F64" s="21"/>
      <c r="G64" s="30"/>
      <c r="H64" s="31"/>
      <c r="I64" s="21"/>
      <c r="J64" s="21"/>
      <c r="K64" s="21"/>
      <c r="L64" s="21"/>
      <c r="M64" s="21"/>
      <c r="N64" s="30"/>
      <c r="O64" s="21"/>
      <c r="P64" s="66"/>
      <c r="Q64" s="21"/>
      <c r="R64" s="32"/>
      <c r="S64" s="32"/>
      <c r="T64" s="21"/>
      <c r="U64" s="21"/>
      <c r="V64" s="21"/>
      <c r="W64" s="21"/>
      <c r="X64" s="21"/>
    </row>
    <row r="65" customFormat="false" ht="15.75" hidden="false" customHeight="false" outlineLevel="0" collapsed="false">
      <c r="A65" s="61"/>
      <c r="B65" s="29"/>
      <c r="C65" s="21"/>
      <c r="D65" s="21"/>
      <c r="E65" s="21"/>
      <c r="F65" s="21"/>
      <c r="G65" s="30"/>
      <c r="H65" s="31"/>
      <c r="I65" s="21"/>
      <c r="J65" s="21"/>
      <c r="K65" s="21"/>
      <c r="L65" s="21"/>
      <c r="M65" s="21"/>
      <c r="N65" s="30"/>
      <c r="O65" s="21"/>
      <c r="P65" s="21"/>
      <c r="Q65" s="21"/>
      <c r="R65" s="32"/>
      <c r="S65" s="32"/>
      <c r="T65" s="21"/>
      <c r="U65" s="21"/>
      <c r="V65" s="21"/>
      <c r="W65" s="21"/>
      <c r="X65" s="21"/>
    </row>
    <row r="66" customFormat="false" ht="15.75" hidden="false" customHeight="false" outlineLevel="0" collapsed="false">
      <c r="A66" s="61"/>
      <c r="B66" s="29"/>
      <c r="C66" s="21"/>
      <c r="D66" s="21"/>
      <c r="E66" s="21"/>
      <c r="F66" s="21"/>
      <c r="G66" s="30"/>
      <c r="H66" s="31"/>
      <c r="I66" s="21"/>
      <c r="J66" s="21"/>
      <c r="K66" s="21"/>
      <c r="L66" s="21"/>
      <c r="M66" s="21"/>
      <c r="N66" s="30"/>
      <c r="O66" s="21"/>
      <c r="P66" s="21"/>
      <c r="Q66" s="21"/>
      <c r="R66" s="32"/>
      <c r="S66" s="32"/>
      <c r="T66" s="21"/>
      <c r="U66" s="21"/>
      <c r="V66" s="21"/>
      <c r="W66" s="21"/>
      <c r="X66" s="21"/>
    </row>
    <row r="67" customFormat="false" ht="15.75" hidden="false" customHeight="false" outlineLevel="0" collapsed="false">
      <c r="A67" s="61"/>
      <c r="B67" s="29"/>
      <c r="C67" s="21"/>
      <c r="D67" s="21"/>
      <c r="E67" s="21"/>
      <c r="F67" s="21"/>
      <c r="G67" s="30"/>
      <c r="H67" s="31"/>
      <c r="I67" s="21"/>
      <c r="J67" s="21"/>
      <c r="K67" s="21"/>
      <c r="L67" s="21"/>
      <c r="M67" s="21"/>
      <c r="N67" s="30"/>
      <c r="O67" s="21"/>
      <c r="P67" s="21"/>
      <c r="Q67" s="21"/>
      <c r="R67" s="32"/>
      <c r="S67" s="32"/>
      <c r="T67" s="21"/>
      <c r="U67" s="21"/>
      <c r="V67" s="21"/>
      <c r="W67" s="21"/>
      <c r="X67" s="21"/>
    </row>
    <row r="68" customFormat="false" ht="15.75" hidden="false" customHeight="false" outlineLevel="0" collapsed="false">
      <c r="A68" s="61"/>
      <c r="B68" s="29"/>
      <c r="C68" s="21"/>
      <c r="D68" s="21"/>
      <c r="E68" s="21"/>
      <c r="F68" s="21"/>
      <c r="G68" s="30"/>
      <c r="H68" s="31"/>
      <c r="I68" s="21"/>
      <c r="J68" s="21"/>
      <c r="K68" s="21"/>
      <c r="L68" s="21"/>
      <c r="M68" s="21"/>
      <c r="N68" s="30"/>
      <c r="O68" s="21"/>
      <c r="P68" s="21"/>
      <c r="Q68" s="21"/>
      <c r="R68" s="32"/>
      <c r="S68" s="32"/>
      <c r="T68" s="21"/>
      <c r="U68" s="21"/>
      <c r="V68" s="21"/>
      <c r="W68" s="21"/>
      <c r="X68" s="21"/>
    </row>
    <row r="69" customFormat="false" ht="15.75" hidden="false" customHeight="false" outlineLevel="0" collapsed="false">
      <c r="A69" s="61"/>
      <c r="B69" s="29"/>
      <c r="C69" s="21"/>
      <c r="D69" s="21"/>
      <c r="E69" s="21"/>
      <c r="F69" s="21"/>
      <c r="G69" s="30"/>
      <c r="H69" s="31"/>
      <c r="I69" s="21"/>
      <c r="J69" s="21"/>
      <c r="K69" s="21"/>
      <c r="L69" s="21"/>
      <c r="M69" s="21"/>
      <c r="N69" s="30"/>
      <c r="O69" s="21"/>
      <c r="P69" s="21"/>
      <c r="Q69" s="21"/>
      <c r="R69" s="32"/>
      <c r="S69" s="32"/>
      <c r="T69" s="21"/>
      <c r="U69" s="21"/>
      <c r="V69" s="21"/>
      <c r="W69" s="21"/>
      <c r="X69" s="21"/>
    </row>
    <row r="70" customFormat="false" ht="15.75" hidden="false" customHeight="false" outlineLevel="0" collapsed="false">
      <c r="A70" s="61"/>
      <c r="B70" s="29"/>
      <c r="C70" s="21"/>
      <c r="D70" s="21"/>
      <c r="E70" s="21"/>
      <c r="F70" s="21"/>
      <c r="G70" s="30"/>
      <c r="H70" s="31"/>
      <c r="I70" s="21"/>
      <c r="J70" s="21"/>
      <c r="K70" s="21"/>
      <c r="L70" s="21"/>
      <c r="M70" s="21"/>
      <c r="N70" s="30"/>
      <c r="O70" s="21"/>
      <c r="P70" s="21"/>
      <c r="Q70" s="21"/>
      <c r="R70" s="32"/>
      <c r="S70" s="32"/>
      <c r="T70" s="21"/>
      <c r="U70" s="21"/>
      <c r="V70" s="21"/>
      <c r="W70" s="21"/>
      <c r="X70" s="21"/>
    </row>
    <row r="71" customFormat="false" ht="15.75" hidden="false" customHeight="false" outlineLevel="0" collapsed="false">
      <c r="A71" s="61"/>
      <c r="B71" s="29"/>
      <c r="C71" s="21"/>
      <c r="D71" s="21"/>
      <c r="E71" s="21"/>
      <c r="F71" s="21"/>
      <c r="G71" s="30"/>
      <c r="H71" s="31"/>
      <c r="I71" s="21"/>
      <c r="J71" s="21"/>
      <c r="K71" s="21"/>
      <c r="L71" s="21"/>
      <c r="M71" s="21"/>
      <c r="N71" s="30"/>
      <c r="O71" s="21"/>
      <c r="P71" s="21"/>
      <c r="Q71" s="21"/>
      <c r="R71" s="32"/>
      <c r="S71" s="32"/>
      <c r="T71" s="21"/>
      <c r="U71" s="21"/>
      <c r="V71" s="21"/>
      <c r="W71" s="21"/>
      <c r="X71" s="21"/>
    </row>
    <row r="72" customFormat="false" ht="15.75" hidden="false" customHeight="false" outlineLevel="0" collapsed="false">
      <c r="A72" s="61"/>
      <c r="B72" s="29"/>
      <c r="C72" s="21"/>
      <c r="D72" s="21"/>
      <c r="E72" s="21"/>
      <c r="F72" s="21"/>
      <c r="G72" s="30"/>
      <c r="H72" s="31"/>
      <c r="I72" s="21"/>
      <c r="J72" s="21"/>
      <c r="K72" s="21"/>
      <c r="L72" s="21"/>
      <c r="M72" s="21"/>
      <c r="N72" s="30"/>
      <c r="O72" s="21"/>
      <c r="P72" s="21"/>
      <c r="Q72" s="21"/>
      <c r="R72" s="32"/>
      <c r="S72" s="32"/>
      <c r="T72" s="21"/>
      <c r="U72" s="21"/>
      <c r="V72" s="21"/>
      <c r="W72" s="21"/>
      <c r="X72" s="21"/>
    </row>
    <row r="73" customFormat="false" ht="15.75" hidden="false" customHeight="false" outlineLevel="0" collapsed="false">
      <c r="A73" s="61"/>
      <c r="B73" s="29"/>
      <c r="C73" s="21"/>
      <c r="D73" s="21"/>
      <c r="E73" s="21"/>
      <c r="F73" s="21"/>
      <c r="G73" s="30"/>
      <c r="H73" s="31"/>
      <c r="I73" s="21"/>
      <c r="J73" s="21"/>
      <c r="K73" s="21"/>
      <c r="L73" s="21"/>
      <c r="M73" s="21"/>
      <c r="N73" s="30"/>
      <c r="O73" s="21"/>
      <c r="P73" s="21"/>
      <c r="Q73" s="21"/>
      <c r="R73" s="32"/>
      <c r="S73" s="32"/>
      <c r="T73" s="21"/>
      <c r="U73" s="21"/>
      <c r="V73" s="21"/>
      <c r="W73" s="21"/>
      <c r="X73" s="21"/>
    </row>
    <row r="74" customFormat="false" ht="15.75" hidden="false" customHeight="false" outlineLevel="0" collapsed="false">
      <c r="A74" s="61"/>
      <c r="B74" s="29"/>
      <c r="C74" s="21"/>
      <c r="D74" s="21"/>
      <c r="E74" s="21"/>
      <c r="F74" s="21"/>
      <c r="G74" s="30"/>
      <c r="H74" s="31"/>
      <c r="I74" s="21"/>
      <c r="J74" s="21"/>
      <c r="K74" s="21"/>
      <c r="L74" s="21"/>
      <c r="M74" s="21"/>
      <c r="N74" s="30"/>
      <c r="O74" s="21"/>
      <c r="P74" s="21"/>
      <c r="Q74" s="21"/>
      <c r="R74" s="32"/>
      <c r="S74" s="32"/>
      <c r="T74" s="21"/>
      <c r="U74" s="21"/>
      <c r="V74" s="21"/>
      <c r="W74" s="21"/>
      <c r="X74" s="21"/>
    </row>
    <row r="75" customFormat="false" ht="15.75" hidden="false" customHeight="false" outlineLevel="0" collapsed="false">
      <c r="A75" s="61"/>
      <c r="B75" s="29"/>
      <c r="C75" s="21"/>
      <c r="D75" s="21"/>
      <c r="E75" s="21"/>
      <c r="F75" s="21"/>
      <c r="G75" s="30"/>
      <c r="H75" s="31"/>
      <c r="I75" s="21"/>
      <c r="J75" s="21"/>
      <c r="K75" s="21"/>
      <c r="L75" s="21"/>
      <c r="M75" s="21"/>
      <c r="N75" s="30"/>
      <c r="O75" s="21"/>
      <c r="P75" s="21"/>
      <c r="Q75" s="21"/>
      <c r="R75" s="32"/>
      <c r="S75" s="32"/>
      <c r="T75" s="21"/>
      <c r="U75" s="21"/>
      <c r="V75" s="21"/>
      <c r="W75" s="21"/>
      <c r="X75" s="21"/>
    </row>
    <row r="76" customFormat="false" ht="15.75" hidden="false" customHeight="false" outlineLevel="0" collapsed="false">
      <c r="A76" s="61"/>
      <c r="B76" s="29"/>
      <c r="C76" s="21"/>
      <c r="D76" s="21"/>
      <c r="E76" s="21"/>
      <c r="F76" s="21"/>
      <c r="G76" s="30"/>
      <c r="H76" s="31"/>
      <c r="I76" s="21"/>
      <c r="J76" s="21"/>
      <c r="K76" s="21"/>
      <c r="L76" s="21"/>
      <c r="M76" s="21"/>
      <c r="N76" s="30"/>
      <c r="O76" s="21"/>
      <c r="P76" s="21"/>
      <c r="Q76" s="21"/>
      <c r="R76" s="32"/>
      <c r="S76" s="32"/>
      <c r="T76" s="21"/>
      <c r="U76" s="21"/>
      <c r="V76" s="21"/>
      <c r="W76" s="21"/>
      <c r="X76" s="21"/>
    </row>
    <row r="77" customFormat="false" ht="15.75" hidden="false" customHeight="false" outlineLevel="0" collapsed="false">
      <c r="A77" s="61"/>
      <c r="B77" s="29"/>
      <c r="C77" s="21"/>
      <c r="D77" s="21"/>
      <c r="E77" s="21"/>
      <c r="F77" s="21"/>
      <c r="G77" s="30"/>
      <c r="H77" s="31"/>
      <c r="I77" s="21"/>
      <c r="J77" s="21"/>
      <c r="K77" s="21"/>
      <c r="L77" s="21"/>
      <c r="M77" s="21"/>
      <c r="N77" s="30"/>
      <c r="O77" s="21"/>
      <c r="P77" s="21"/>
      <c r="Q77" s="21"/>
      <c r="R77" s="32"/>
      <c r="S77" s="32"/>
      <c r="T77" s="21"/>
      <c r="U77" s="21"/>
      <c r="V77" s="21"/>
      <c r="W77" s="21"/>
      <c r="X77" s="21"/>
    </row>
    <row r="78" customFormat="false" ht="15.75" hidden="false" customHeight="false" outlineLevel="0" collapsed="false">
      <c r="A78" s="61"/>
      <c r="B78" s="29"/>
      <c r="C78" s="21"/>
      <c r="D78" s="21"/>
      <c r="E78" s="21"/>
      <c r="F78" s="21"/>
      <c r="G78" s="30"/>
      <c r="H78" s="31"/>
      <c r="I78" s="21"/>
      <c r="J78" s="21"/>
      <c r="K78" s="21"/>
      <c r="L78" s="21"/>
      <c r="M78" s="21"/>
      <c r="N78" s="30"/>
      <c r="O78" s="21"/>
      <c r="P78" s="21"/>
      <c r="Q78" s="21"/>
      <c r="R78" s="32"/>
      <c r="S78" s="32"/>
      <c r="T78" s="21"/>
      <c r="U78" s="21"/>
      <c r="V78" s="21"/>
      <c r="W78" s="21"/>
      <c r="X78" s="21"/>
    </row>
    <row r="79" customFormat="false" ht="15.75" hidden="false" customHeight="false" outlineLevel="0" collapsed="false">
      <c r="A79" s="61"/>
      <c r="B79" s="29"/>
      <c r="C79" s="21"/>
      <c r="D79" s="21"/>
      <c r="E79" s="21"/>
      <c r="F79" s="21"/>
      <c r="G79" s="30"/>
      <c r="H79" s="31"/>
      <c r="I79" s="21"/>
      <c r="J79" s="21"/>
      <c r="K79" s="21"/>
      <c r="L79" s="21"/>
      <c r="M79" s="21"/>
      <c r="N79" s="30"/>
      <c r="O79" s="21"/>
      <c r="P79" s="21"/>
      <c r="Q79" s="21"/>
      <c r="R79" s="32"/>
      <c r="S79" s="32"/>
      <c r="T79" s="21"/>
      <c r="U79" s="21"/>
      <c r="V79" s="21"/>
      <c r="W79" s="21"/>
      <c r="X79" s="21"/>
    </row>
    <row r="80" customFormat="false" ht="15.75" hidden="false" customHeight="false" outlineLevel="0" collapsed="false">
      <c r="A80" s="61"/>
      <c r="B80" s="29"/>
      <c r="C80" s="21"/>
      <c r="D80" s="21"/>
      <c r="E80" s="21"/>
      <c r="F80" s="21"/>
      <c r="G80" s="30"/>
      <c r="H80" s="31"/>
      <c r="I80" s="21"/>
      <c r="J80" s="21"/>
      <c r="K80" s="21"/>
      <c r="L80" s="21"/>
      <c r="M80" s="21"/>
      <c r="N80" s="30"/>
      <c r="O80" s="21"/>
      <c r="P80" s="21"/>
      <c r="Q80" s="21"/>
      <c r="R80" s="32"/>
      <c r="S80" s="32"/>
      <c r="T80" s="21"/>
      <c r="U80" s="21"/>
      <c r="V80" s="21"/>
      <c r="W80" s="21"/>
      <c r="X80" s="21"/>
    </row>
    <row r="81" customFormat="false" ht="15.75" hidden="false" customHeight="false" outlineLevel="0" collapsed="false">
      <c r="A81" s="61"/>
      <c r="B81" s="29"/>
      <c r="C81" s="21"/>
      <c r="D81" s="21"/>
      <c r="E81" s="21"/>
      <c r="F81" s="21"/>
      <c r="G81" s="30"/>
      <c r="H81" s="31"/>
      <c r="I81" s="21"/>
      <c r="J81" s="21"/>
      <c r="K81" s="21"/>
      <c r="L81" s="21"/>
      <c r="M81" s="21"/>
      <c r="N81" s="30"/>
      <c r="O81" s="21"/>
      <c r="P81" s="21"/>
      <c r="Q81" s="21"/>
      <c r="R81" s="32"/>
      <c r="S81" s="32"/>
      <c r="T81" s="21"/>
      <c r="U81" s="21"/>
      <c r="V81" s="21"/>
      <c r="W81" s="21"/>
      <c r="X81" s="21"/>
    </row>
    <row r="82" customFormat="false" ht="15.75" hidden="false" customHeight="false" outlineLevel="0" collapsed="false">
      <c r="A82" s="61"/>
      <c r="B82" s="29"/>
      <c r="C82" s="21"/>
      <c r="D82" s="21"/>
      <c r="E82" s="21"/>
      <c r="F82" s="21"/>
      <c r="G82" s="30"/>
      <c r="H82" s="31"/>
      <c r="I82" s="21"/>
      <c r="J82" s="21"/>
      <c r="K82" s="21"/>
      <c r="L82" s="21"/>
      <c r="M82" s="21"/>
      <c r="N82" s="30"/>
      <c r="O82" s="21"/>
      <c r="P82" s="21"/>
      <c r="Q82" s="21"/>
      <c r="R82" s="32"/>
      <c r="S82" s="32"/>
      <c r="T82" s="21"/>
      <c r="U82" s="21"/>
      <c r="V82" s="21"/>
      <c r="W82" s="21"/>
      <c r="X82" s="21"/>
    </row>
    <row r="83" customFormat="false" ht="15.75" hidden="false" customHeight="false" outlineLevel="0" collapsed="false">
      <c r="A83" s="61"/>
      <c r="B83" s="29"/>
      <c r="C83" s="21"/>
      <c r="D83" s="21"/>
      <c r="E83" s="21"/>
      <c r="F83" s="21"/>
      <c r="G83" s="30"/>
      <c r="H83" s="31"/>
      <c r="I83" s="21"/>
      <c r="J83" s="21"/>
      <c r="K83" s="21"/>
      <c r="L83" s="21"/>
      <c r="M83" s="21"/>
      <c r="N83" s="30"/>
      <c r="O83" s="21"/>
      <c r="P83" s="21"/>
      <c r="Q83" s="21"/>
      <c r="R83" s="32"/>
      <c r="S83" s="32"/>
      <c r="T83" s="21"/>
      <c r="U83" s="21"/>
      <c r="V83" s="21"/>
      <c r="W83" s="21"/>
      <c r="X83" s="21"/>
    </row>
    <row r="84" customFormat="false" ht="15.75" hidden="false" customHeight="false" outlineLevel="0" collapsed="false">
      <c r="A84" s="61"/>
      <c r="B84" s="29"/>
      <c r="C84" s="21"/>
      <c r="D84" s="21"/>
      <c r="E84" s="21"/>
      <c r="F84" s="21"/>
      <c r="G84" s="30"/>
      <c r="H84" s="31"/>
      <c r="I84" s="21"/>
      <c r="J84" s="21"/>
      <c r="K84" s="21"/>
      <c r="L84" s="21"/>
      <c r="M84" s="21"/>
      <c r="N84" s="30"/>
      <c r="O84" s="21"/>
      <c r="P84" s="21"/>
      <c r="Q84" s="21"/>
      <c r="R84" s="32"/>
      <c r="S84" s="32"/>
      <c r="T84" s="21"/>
      <c r="U84" s="21"/>
      <c r="V84" s="21"/>
      <c r="W84" s="21"/>
      <c r="X84" s="21"/>
    </row>
    <row r="85" customFormat="false" ht="15.75" hidden="false" customHeight="false" outlineLevel="0" collapsed="false">
      <c r="A85" s="61"/>
      <c r="B85" s="29"/>
      <c r="C85" s="21"/>
      <c r="D85" s="21"/>
      <c r="E85" s="21"/>
      <c r="F85" s="21"/>
      <c r="G85" s="30"/>
      <c r="H85" s="31"/>
      <c r="I85" s="21"/>
      <c r="J85" s="21"/>
      <c r="K85" s="21"/>
      <c r="L85" s="21"/>
      <c r="M85" s="21"/>
      <c r="N85" s="30"/>
      <c r="O85" s="21"/>
      <c r="P85" s="21"/>
      <c r="Q85" s="21"/>
      <c r="R85" s="32"/>
      <c r="S85" s="32"/>
      <c r="T85" s="21"/>
      <c r="U85" s="21"/>
      <c r="V85" s="21"/>
      <c r="W85" s="21"/>
      <c r="X85" s="21"/>
    </row>
    <row r="86" customFormat="false" ht="15.75" hidden="false" customHeight="false" outlineLevel="0" collapsed="false">
      <c r="A86" s="61"/>
      <c r="B86" s="29"/>
      <c r="C86" s="21"/>
      <c r="D86" s="21"/>
      <c r="E86" s="21"/>
      <c r="F86" s="21"/>
      <c r="G86" s="30"/>
      <c r="H86" s="31"/>
      <c r="I86" s="21"/>
      <c r="J86" s="21"/>
      <c r="K86" s="21"/>
      <c r="L86" s="21"/>
      <c r="M86" s="21"/>
      <c r="N86" s="30"/>
      <c r="O86" s="21"/>
      <c r="P86" s="21"/>
      <c r="Q86" s="21"/>
      <c r="R86" s="32"/>
      <c r="S86" s="32"/>
      <c r="T86" s="21"/>
      <c r="U86" s="21"/>
      <c r="V86" s="21"/>
      <c r="W86" s="21"/>
      <c r="X86" s="21"/>
    </row>
    <row r="87" customFormat="false" ht="15.75" hidden="false" customHeight="false" outlineLevel="0" collapsed="false">
      <c r="A87" s="61"/>
      <c r="B87" s="29"/>
      <c r="C87" s="21"/>
      <c r="D87" s="21"/>
      <c r="E87" s="21"/>
      <c r="F87" s="21"/>
      <c r="G87" s="30"/>
      <c r="H87" s="31"/>
      <c r="I87" s="21"/>
      <c r="J87" s="21"/>
      <c r="K87" s="21"/>
      <c r="L87" s="21"/>
      <c r="M87" s="21"/>
      <c r="N87" s="30"/>
      <c r="O87" s="21"/>
      <c r="P87" s="21"/>
      <c r="Q87" s="21"/>
      <c r="R87" s="32"/>
      <c r="S87" s="32"/>
      <c r="T87" s="21"/>
      <c r="U87" s="21"/>
      <c r="V87" s="21"/>
      <c r="W87" s="21"/>
      <c r="X87" s="21"/>
    </row>
    <row r="88" customFormat="false" ht="15.75" hidden="false" customHeight="false" outlineLevel="0" collapsed="false">
      <c r="A88" s="61"/>
      <c r="B88" s="29"/>
      <c r="C88" s="21"/>
      <c r="D88" s="21"/>
      <c r="E88" s="21"/>
      <c r="F88" s="21"/>
      <c r="G88" s="30"/>
      <c r="H88" s="31"/>
      <c r="I88" s="21"/>
      <c r="J88" s="21"/>
      <c r="K88" s="21"/>
      <c r="L88" s="21"/>
      <c r="M88" s="21"/>
      <c r="N88" s="30"/>
      <c r="O88" s="21"/>
      <c r="P88" s="21"/>
      <c r="Q88" s="21"/>
      <c r="R88" s="32"/>
      <c r="S88" s="32"/>
      <c r="T88" s="21"/>
      <c r="U88" s="21"/>
      <c r="V88" s="21"/>
      <c r="W88" s="21"/>
      <c r="X88" s="21"/>
    </row>
    <row r="89" customFormat="false" ht="15.75" hidden="false" customHeight="false" outlineLevel="0" collapsed="false">
      <c r="A89" s="61"/>
      <c r="B89" s="29"/>
      <c r="C89" s="21"/>
      <c r="D89" s="21"/>
      <c r="E89" s="21"/>
      <c r="F89" s="21"/>
      <c r="G89" s="30"/>
      <c r="H89" s="31"/>
      <c r="I89" s="21"/>
      <c r="J89" s="21"/>
      <c r="K89" s="21"/>
      <c r="L89" s="21"/>
      <c r="M89" s="21"/>
      <c r="N89" s="30"/>
      <c r="O89" s="21"/>
      <c r="P89" s="21"/>
      <c r="Q89" s="21"/>
      <c r="R89" s="32"/>
      <c r="S89" s="32"/>
      <c r="T89" s="21"/>
      <c r="U89" s="21"/>
      <c r="V89" s="21"/>
      <c r="W89" s="21"/>
      <c r="X89" s="21"/>
    </row>
    <row r="90" customFormat="false" ht="15.75" hidden="false" customHeight="false" outlineLevel="0" collapsed="false">
      <c r="A90" s="61"/>
      <c r="B90" s="29"/>
      <c r="C90" s="21"/>
      <c r="D90" s="21"/>
      <c r="E90" s="21"/>
      <c r="F90" s="21"/>
      <c r="G90" s="30"/>
      <c r="H90" s="31"/>
      <c r="I90" s="21"/>
      <c r="J90" s="21"/>
      <c r="K90" s="21"/>
      <c r="L90" s="21"/>
      <c r="M90" s="21"/>
      <c r="N90" s="30"/>
      <c r="O90" s="21"/>
      <c r="P90" s="21"/>
      <c r="Q90" s="21"/>
      <c r="R90" s="32"/>
      <c r="S90" s="32"/>
      <c r="T90" s="21"/>
      <c r="U90" s="21"/>
      <c r="V90" s="21"/>
      <c r="W90" s="21"/>
      <c r="X90" s="21"/>
    </row>
    <row r="91" customFormat="false" ht="15.75" hidden="false" customHeight="false" outlineLevel="0" collapsed="false">
      <c r="A91" s="61"/>
      <c r="B91" s="29"/>
      <c r="C91" s="21"/>
      <c r="D91" s="21"/>
      <c r="E91" s="21"/>
      <c r="F91" s="21"/>
      <c r="G91" s="30"/>
      <c r="H91" s="31"/>
      <c r="I91" s="21"/>
      <c r="J91" s="21"/>
      <c r="K91" s="21"/>
      <c r="L91" s="21"/>
      <c r="M91" s="21"/>
      <c r="N91" s="30"/>
      <c r="O91" s="21"/>
      <c r="P91" s="21"/>
      <c r="Q91" s="21"/>
      <c r="R91" s="32"/>
      <c r="S91" s="32"/>
      <c r="T91" s="21"/>
      <c r="U91" s="21"/>
      <c r="V91" s="21"/>
      <c r="W91" s="21"/>
      <c r="X91" s="21"/>
    </row>
    <row r="92" customFormat="false" ht="15.75" hidden="false" customHeight="false" outlineLevel="0" collapsed="false">
      <c r="A92" s="61"/>
      <c r="B92" s="29"/>
      <c r="C92" s="21"/>
      <c r="D92" s="21"/>
      <c r="E92" s="21"/>
      <c r="F92" s="21"/>
      <c r="G92" s="30"/>
      <c r="H92" s="31"/>
      <c r="I92" s="21"/>
      <c r="J92" s="21"/>
      <c r="K92" s="21"/>
      <c r="L92" s="21"/>
      <c r="M92" s="21"/>
      <c r="N92" s="30"/>
      <c r="O92" s="21"/>
      <c r="P92" s="21"/>
      <c r="Q92" s="21"/>
      <c r="R92" s="32"/>
      <c r="S92" s="32"/>
      <c r="T92" s="21"/>
      <c r="U92" s="21"/>
      <c r="V92" s="21"/>
      <c r="W92" s="21"/>
      <c r="X92" s="21"/>
    </row>
    <row r="93" customFormat="false" ht="15.75" hidden="false" customHeight="false" outlineLevel="0" collapsed="false">
      <c r="A93" s="61"/>
      <c r="B93" s="29"/>
      <c r="C93" s="21"/>
      <c r="D93" s="21"/>
      <c r="E93" s="21"/>
      <c r="F93" s="21"/>
      <c r="G93" s="30"/>
      <c r="H93" s="31"/>
      <c r="I93" s="21"/>
      <c r="J93" s="21"/>
      <c r="K93" s="21"/>
      <c r="L93" s="21"/>
      <c r="M93" s="21"/>
      <c r="N93" s="30"/>
      <c r="O93" s="21"/>
      <c r="P93" s="21"/>
      <c r="Q93" s="21"/>
      <c r="R93" s="32"/>
      <c r="S93" s="32"/>
      <c r="T93" s="21"/>
      <c r="U93" s="21"/>
      <c r="V93" s="21"/>
      <c r="W93" s="21"/>
      <c r="X93" s="21"/>
    </row>
    <row r="94" customFormat="false" ht="15.75" hidden="false" customHeight="false" outlineLevel="0" collapsed="false">
      <c r="A94" s="61"/>
      <c r="B94" s="29"/>
      <c r="C94" s="21"/>
      <c r="D94" s="21"/>
      <c r="E94" s="21"/>
      <c r="F94" s="21"/>
      <c r="G94" s="30"/>
      <c r="H94" s="31"/>
      <c r="I94" s="21"/>
      <c r="J94" s="21"/>
      <c r="K94" s="21"/>
      <c r="L94" s="21"/>
      <c r="M94" s="21"/>
      <c r="N94" s="30"/>
      <c r="O94" s="21"/>
      <c r="P94" s="21"/>
      <c r="Q94" s="21"/>
      <c r="R94" s="32"/>
      <c r="S94" s="32"/>
      <c r="T94" s="21"/>
      <c r="U94" s="21"/>
      <c r="V94" s="21"/>
      <c r="W94" s="21"/>
      <c r="X94" s="21"/>
    </row>
    <row r="95" customFormat="false" ht="15.75" hidden="false" customHeight="false" outlineLevel="0" collapsed="false">
      <c r="A95" s="61"/>
      <c r="B95" s="29"/>
      <c r="C95" s="21"/>
      <c r="D95" s="21"/>
      <c r="E95" s="21"/>
      <c r="F95" s="21"/>
      <c r="G95" s="30"/>
      <c r="H95" s="31"/>
      <c r="I95" s="21"/>
      <c r="J95" s="21"/>
      <c r="K95" s="21"/>
      <c r="L95" s="21"/>
      <c r="M95" s="21"/>
      <c r="N95" s="30"/>
      <c r="O95" s="21"/>
      <c r="P95" s="21"/>
      <c r="Q95" s="21"/>
      <c r="R95" s="32"/>
      <c r="S95" s="32"/>
      <c r="T95" s="21"/>
      <c r="U95" s="21"/>
      <c r="V95" s="21"/>
      <c r="W95" s="21"/>
      <c r="X95" s="21"/>
    </row>
    <row r="96" customFormat="false" ht="15.75" hidden="false" customHeight="false" outlineLevel="0" collapsed="false">
      <c r="A96" s="61"/>
      <c r="B96" s="29"/>
      <c r="C96" s="21"/>
      <c r="D96" s="21"/>
      <c r="E96" s="21"/>
      <c r="F96" s="21"/>
      <c r="G96" s="30"/>
      <c r="H96" s="31"/>
      <c r="I96" s="21"/>
      <c r="J96" s="21"/>
      <c r="K96" s="21"/>
      <c r="L96" s="21"/>
      <c r="M96" s="21"/>
      <c r="N96" s="30"/>
      <c r="O96" s="21"/>
      <c r="P96" s="21"/>
      <c r="Q96" s="21"/>
      <c r="R96" s="32"/>
      <c r="S96" s="32"/>
      <c r="T96" s="21"/>
      <c r="U96" s="21"/>
      <c r="V96" s="21"/>
      <c r="W96" s="21"/>
      <c r="X96" s="21"/>
    </row>
    <row r="97" customFormat="false" ht="15.75" hidden="false" customHeight="false" outlineLevel="0" collapsed="false">
      <c r="A97" s="61"/>
      <c r="B97" s="29"/>
      <c r="C97" s="21"/>
      <c r="D97" s="21"/>
      <c r="E97" s="21"/>
      <c r="F97" s="21"/>
      <c r="G97" s="30"/>
      <c r="H97" s="31"/>
      <c r="I97" s="21"/>
      <c r="J97" s="21"/>
      <c r="K97" s="21"/>
      <c r="L97" s="21"/>
      <c r="M97" s="21"/>
      <c r="N97" s="30"/>
      <c r="O97" s="21"/>
      <c r="P97" s="21"/>
      <c r="Q97" s="21"/>
      <c r="R97" s="32"/>
      <c r="S97" s="32"/>
      <c r="T97" s="21"/>
      <c r="U97" s="21"/>
      <c r="V97" s="21"/>
      <c r="W97" s="21"/>
      <c r="X97" s="21"/>
    </row>
    <row r="98" customFormat="false" ht="15.75" hidden="false" customHeight="false" outlineLevel="0" collapsed="false">
      <c r="A98" s="61"/>
      <c r="B98" s="29"/>
      <c r="C98" s="21"/>
      <c r="D98" s="21"/>
      <c r="E98" s="21"/>
      <c r="F98" s="21"/>
      <c r="G98" s="30"/>
      <c r="H98" s="31"/>
      <c r="I98" s="21"/>
      <c r="J98" s="21"/>
      <c r="K98" s="21"/>
      <c r="L98" s="21"/>
      <c r="M98" s="21"/>
      <c r="N98" s="30"/>
      <c r="O98" s="21"/>
      <c r="P98" s="21"/>
      <c r="Q98" s="21"/>
      <c r="R98" s="32"/>
      <c r="S98" s="32"/>
      <c r="T98" s="21"/>
      <c r="U98" s="21"/>
      <c r="V98" s="21"/>
      <c r="W98" s="21"/>
      <c r="X98" s="21"/>
    </row>
    <row r="99" customFormat="false" ht="15.75" hidden="false" customHeight="false" outlineLevel="0" collapsed="false">
      <c r="A99" s="61"/>
      <c r="B99" s="29"/>
      <c r="C99" s="21"/>
      <c r="D99" s="21"/>
      <c r="E99" s="21"/>
      <c r="F99" s="21"/>
      <c r="G99" s="30"/>
      <c r="H99" s="31"/>
      <c r="I99" s="21"/>
      <c r="J99" s="21"/>
      <c r="K99" s="21"/>
      <c r="L99" s="21"/>
      <c r="M99" s="21"/>
      <c r="N99" s="30"/>
      <c r="O99" s="21"/>
      <c r="P99" s="21"/>
      <c r="Q99" s="21"/>
      <c r="R99" s="32"/>
      <c r="S99" s="32"/>
      <c r="T99" s="21"/>
      <c r="U99" s="21"/>
      <c r="V99" s="21"/>
      <c r="W99" s="21"/>
      <c r="X99" s="21"/>
    </row>
    <row r="100" customFormat="false" ht="15.75" hidden="false" customHeight="false" outlineLevel="0" collapsed="false">
      <c r="A100" s="61"/>
      <c r="B100" s="29"/>
      <c r="C100" s="21"/>
      <c r="D100" s="21"/>
      <c r="E100" s="21"/>
      <c r="F100" s="21"/>
      <c r="G100" s="30"/>
      <c r="H100" s="31"/>
      <c r="I100" s="21"/>
      <c r="J100" s="21"/>
      <c r="K100" s="21"/>
      <c r="L100" s="21"/>
      <c r="M100" s="21"/>
      <c r="N100" s="30"/>
      <c r="O100" s="21"/>
      <c r="P100" s="21"/>
      <c r="Q100" s="21"/>
      <c r="R100" s="32"/>
      <c r="S100" s="32"/>
      <c r="T100" s="21"/>
      <c r="U100" s="21"/>
      <c r="V100" s="21"/>
      <c r="W100" s="21"/>
      <c r="X100" s="21"/>
    </row>
    <row r="101" customFormat="false" ht="15.75" hidden="false" customHeight="false" outlineLevel="0" collapsed="false">
      <c r="A101" s="61"/>
      <c r="B101" s="29"/>
      <c r="C101" s="21"/>
      <c r="D101" s="21"/>
      <c r="E101" s="21"/>
      <c r="F101" s="21"/>
      <c r="G101" s="30"/>
      <c r="H101" s="31"/>
      <c r="I101" s="21"/>
      <c r="J101" s="21"/>
      <c r="K101" s="21"/>
      <c r="L101" s="21"/>
      <c r="M101" s="21"/>
      <c r="N101" s="30"/>
      <c r="O101" s="21"/>
      <c r="P101" s="21"/>
      <c r="Q101" s="21"/>
      <c r="R101" s="32"/>
      <c r="S101" s="32"/>
      <c r="T101" s="21"/>
      <c r="U101" s="21"/>
      <c r="V101" s="21"/>
      <c r="W101" s="21"/>
      <c r="X101" s="21"/>
    </row>
    <row r="102" customFormat="false" ht="15.75" hidden="false" customHeight="false" outlineLevel="0" collapsed="false">
      <c r="A102" s="61"/>
      <c r="B102" s="29"/>
      <c r="C102" s="21"/>
      <c r="D102" s="21"/>
      <c r="E102" s="21"/>
      <c r="F102" s="21"/>
      <c r="G102" s="30"/>
      <c r="H102" s="31"/>
      <c r="I102" s="21"/>
      <c r="J102" s="21"/>
      <c r="K102" s="21"/>
      <c r="L102" s="21"/>
      <c r="M102" s="21"/>
      <c r="N102" s="30"/>
      <c r="O102" s="21"/>
      <c r="P102" s="21"/>
      <c r="Q102" s="21"/>
      <c r="R102" s="32"/>
      <c r="S102" s="32"/>
      <c r="T102" s="21"/>
      <c r="U102" s="21"/>
      <c r="V102" s="21"/>
      <c r="W102" s="21"/>
      <c r="X102" s="21"/>
    </row>
    <row r="103" customFormat="false" ht="15.75" hidden="false" customHeight="false" outlineLevel="0" collapsed="false">
      <c r="A103" s="61"/>
      <c r="B103" s="29"/>
      <c r="C103" s="21"/>
      <c r="D103" s="21"/>
      <c r="E103" s="21"/>
      <c r="F103" s="21"/>
      <c r="G103" s="30"/>
      <c r="H103" s="31"/>
      <c r="I103" s="21"/>
      <c r="J103" s="21"/>
      <c r="K103" s="21"/>
      <c r="L103" s="21"/>
      <c r="M103" s="21"/>
      <c r="N103" s="30"/>
      <c r="O103" s="21"/>
      <c r="P103" s="21"/>
      <c r="Q103" s="21"/>
      <c r="R103" s="32"/>
      <c r="S103" s="32"/>
      <c r="T103" s="21"/>
      <c r="U103" s="21"/>
      <c r="V103" s="21"/>
      <c r="W103" s="21"/>
      <c r="X103" s="21"/>
    </row>
    <row r="104" customFormat="false" ht="15.75" hidden="false" customHeight="false" outlineLevel="0" collapsed="false">
      <c r="A104" s="61"/>
      <c r="B104" s="29"/>
      <c r="C104" s="21"/>
      <c r="D104" s="21"/>
      <c r="E104" s="21"/>
      <c r="F104" s="21"/>
      <c r="G104" s="30"/>
      <c r="H104" s="31"/>
      <c r="I104" s="21"/>
      <c r="J104" s="21"/>
      <c r="K104" s="21"/>
      <c r="L104" s="21"/>
      <c r="M104" s="21"/>
      <c r="N104" s="30"/>
      <c r="O104" s="21"/>
      <c r="P104" s="21"/>
      <c r="Q104" s="21"/>
      <c r="R104" s="32"/>
      <c r="S104" s="32"/>
      <c r="T104" s="21"/>
      <c r="U104" s="21"/>
      <c r="V104" s="21"/>
      <c r="W104" s="21"/>
      <c r="X104" s="21"/>
    </row>
    <row r="105" customFormat="false" ht="15.75" hidden="false" customHeight="false" outlineLevel="0" collapsed="false">
      <c r="A105" s="61"/>
      <c r="B105" s="29"/>
      <c r="C105" s="21"/>
      <c r="D105" s="21"/>
      <c r="E105" s="21"/>
      <c r="F105" s="21"/>
      <c r="G105" s="30"/>
      <c r="H105" s="31"/>
      <c r="I105" s="21"/>
      <c r="J105" s="21"/>
      <c r="K105" s="21"/>
      <c r="L105" s="21"/>
      <c r="M105" s="21"/>
      <c r="N105" s="30"/>
      <c r="O105" s="21"/>
      <c r="P105" s="21"/>
      <c r="Q105" s="21"/>
      <c r="R105" s="32"/>
      <c r="S105" s="32"/>
      <c r="T105" s="21"/>
      <c r="U105" s="21"/>
      <c r="V105" s="21"/>
      <c r="W105" s="21"/>
      <c r="X105" s="21"/>
    </row>
    <row r="106" customFormat="false" ht="15.75" hidden="false" customHeight="false" outlineLevel="0" collapsed="false">
      <c r="A106" s="61"/>
      <c r="B106" s="29"/>
      <c r="C106" s="21"/>
      <c r="D106" s="21"/>
      <c r="E106" s="21"/>
      <c r="F106" s="21"/>
      <c r="G106" s="30"/>
      <c r="H106" s="31"/>
      <c r="I106" s="21"/>
      <c r="J106" s="21"/>
      <c r="K106" s="21"/>
      <c r="L106" s="21"/>
      <c r="M106" s="21"/>
      <c r="N106" s="30"/>
      <c r="O106" s="21"/>
      <c r="P106" s="21"/>
      <c r="Q106" s="21"/>
      <c r="R106" s="32"/>
      <c r="S106" s="32"/>
      <c r="T106" s="21"/>
      <c r="U106" s="21"/>
      <c r="V106" s="21"/>
      <c r="W106" s="21"/>
      <c r="X106" s="21"/>
    </row>
    <row r="107" customFormat="false" ht="15.75" hidden="false" customHeight="false" outlineLevel="0" collapsed="false">
      <c r="A107" s="61"/>
      <c r="B107" s="29"/>
      <c r="C107" s="21"/>
      <c r="D107" s="21"/>
      <c r="E107" s="21"/>
      <c r="F107" s="21"/>
      <c r="G107" s="30"/>
      <c r="H107" s="31"/>
      <c r="I107" s="21"/>
      <c r="J107" s="21"/>
      <c r="K107" s="21"/>
      <c r="L107" s="21"/>
      <c r="M107" s="21"/>
      <c r="N107" s="30"/>
      <c r="O107" s="21"/>
      <c r="P107" s="21"/>
      <c r="Q107" s="21"/>
      <c r="R107" s="32"/>
      <c r="S107" s="32"/>
      <c r="T107" s="21"/>
      <c r="U107" s="21"/>
      <c r="V107" s="21"/>
      <c r="W107" s="21"/>
      <c r="X107" s="21"/>
    </row>
    <row r="108" customFormat="false" ht="15.75" hidden="false" customHeight="false" outlineLevel="0" collapsed="false">
      <c r="A108" s="61"/>
      <c r="B108" s="29"/>
      <c r="C108" s="21"/>
      <c r="D108" s="21"/>
      <c r="E108" s="21"/>
      <c r="F108" s="21"/>
      <c r="G108" s="30"/>
      <c r="H108" s="31"/>
      <c r="I108" s="21"/>
      <c r="J108" s="21"/>
      <c r="K108" s="21"/>
      <c r="L108" s="21"/>
      <c r="M108" s="21"/>
      <c r="N108" s="30"/>
      <c r="O108" s="21"/>
      <c r="P108" s="21"/>
      <c r="Q108" s="21"/>
      <c r="R108" s="32"/>
      <c r="S108" s="32"/>
      <c r="T108" s="21"/>
      <c r="U108" s="21"/>
      <c r="V108" s="21"/>
      <c r="W108" s="21"/>
      <c r="X108" s="21"/>
    </row>
    <row r="109" customFormat="false" ht="15.75" hidden="false" customHeight="false" outlineLevel="0" collapsed="false">
      <c r="A109" s="61"/>
      <c r="B109" s="29"/>
      <c r="C109" s="21"/>
      <c r="D109" s="21"/>
      <c r="E109" s="21"/>
      <c r="F109" s="21"/>
      <c r="G109" s="30"/>
      <c r="H109" s="31"/>
      <c r="I109" s="21"/>
      <c r="J109" s="21"/>
      <c r="K109" s="21"/>
      <c r="L109" s="21"/>
      <c r="M109" s="21"/>
      <c r="N109" s="30"/>
      <c r="O109" s="21"/>
      <c r="P109" s="21"/>
      <c r="Q109" s="21"/>
      <c r="R109" s="32"/>
      <c r="S109" s="32"/>
      <c r="T109" s="21"/>
      <c r="U109" s="21"/>
      <c r="V109" s="21"/>
      <c r="W109" s="21"/>
      <c r="X109" s="21"/>
    </row>
    <row r="110" customFormat="false" ht="15.75" hidden="false" customHeight="false" outlineLevel="0" collapsed="false">
      <c r="A110" s="61"/>
      <c r="B110" s="29"/>
      <c r="C110" s="21"/>
      <c r="D110" s="21"/>
      <c r="E110" s="21"/>
      <c r="F110" s="21"/>
      <c r="G110" s="30"/>
      <c r="H110" s="31"/>
      <c r="I110" s="21"/>
      <c r="J110" s="21"/>
      <c r="K110" s="21"/>
      <c r="L110" s="21"/>
      <c r="M110" s="21"/>
      <c r="N110" s="30"/>
      <c r="O110" s="21"/>
      <c r="P110" s="21"/>
      <c r="Q110" s="21"/>
      <c r="R110" s="32"/>
      <c r="S110" s="32"/>
      <c r="T110" s="21"/>
      <c r="U110" s="21"/>
      <c r="V110" s="21"/>
      <c r="W110" s="21"/>
      <c r="X110" s="21"/>
    </row>
    <row r="111" customFormat="false" ht="15.75" hidden="false" customHeight="false" outlineLevel="0" collapsed="false">
      <c r="A111" s="61"/>
      <c r="B111" s="29"/>
      <c r="C111" s="21"/>
      <c r="D111" s="21"/>
      <c r="E111" s="21"/>
      <c r="F111" s="21"/>
      <c r="G111" s="30"/>
      <c r="H111" s="31"/>
      <c r="I111" s="21"/>
      <c r="J111" s="21"/>
      <c r="K111" s="21"/>
      <c r="L111" s="21"/>
      <c r="M111" s="21"/>
      <c r="N111" s="30"/>
      <c r="O111" s="21"/>
      <c r="P111" s="21"/>
      <c r="Q111" s="21"/>
      <c r="R111" s="32"/>
      <c r="S111" s="32"/>
      <c r="T111" s="21"/>
      <c r="U111" s="21"/>
      <c r="V111" s="21"/>
      <c r="W111" s="21"/>
      <c r="X111" s="21"/>
    </row>
    <row r="112" customFormat="false" ht="15.75" hidden="false" customHeight="false" outlineLevel="0" collapsed="false">
      <c r="A112" s="61"/>
      <c r="B112" s="29"/>
      <c r="C112" s="21"/>
      <c r="D112" s="21"/>
      <c r="E112" s="21"/>
      <c r="F112" s="21"/>
      <c r="G112" s="30"/>
      <c r="H112" s="31"/>
      <c r="I112" s="21"/>
      <c r="J112" s="21"/>
      <c r="K112" s="21"/>
      <c r="L112" s="21"/>
      <c r="M112" s="21"/>
      <c r="N112" s="30"/>
      <c r="O112" s="21"/>
      <c r="P112" s="21"/>
      <c r="Q112" s="21"/>
      <c r="R112" s="32"/>
      <c r="S112" s="32"/>
      <c r="T112" s="21"/>
      <c r="U112" s="21"/>
      <c r="V112" s="21"/>
      <c r="W112" s="21"/>
      <c r="X112" s="21"/>
    </row>
    <row r="113" customFormat="false" ht="15.75" hidden="false" customHeight="false" outlineLevel="0" collapsed="false">
      <c r="A113" s="61"/>
      <c r="B113" s="29"/>
      <c r="C113" s="21"/>
      <c r="D113" s="21"/>
      <c r="E113" s="21"/>
      <c r="F113" s="21"/>
      <c r="G113" s="30"/>
      <c r="H113" s="31"/>
      <c r="I113" s="21"/>
      <c r="J113" s="21"/>
      <c r="K113" s="21"/>
      <c r="L113" s="21"/>
      <c r="M113" s="21"/>
      <c r="N113" s="30"/>
      <c r="O113" s="21"/>
      <c r="P113" s="21"/>
      <c r="Q113" s="21"/>
      <c r="R113" s="32"/>
      <c r="S113" s="32"/>
      <c r="T113" s="21"/>
      <c r="U113" s="21"/>
      <c r="V113" s="21"/>
      <c r="W113" s="21"/>
      <c r="X113" s="21"/>
    </row>
    <row r="114" customFormat="false" ht="15.75" hidden="false" customHeight="false" outlineLevel="0" collapsed="false">
      <c r="A114" s="61"/>
      <c r="B114" s="29"/>
      <c r="C114" s="21"/>
      <c r="D114" s="21"/>
      <c r="E114" s="21"/>
      <c r="F114" s="21"/>
      <c r="G114" s="30"/>
      <c r="H114" s="31"/>
      <c r="I114" s="21"/>
      <c r="J114" s="21"/>
      <c r="K114" s="21"/>
      <c r="L114" s="21"/>
      <c r="M114" s="21"/>
      <c r="N114" s="30"/>
      <c r="O114" s="21"/>
      <c r="P114" s="21"/>
      <c r="Q114" s="21"/>
      <c r="R114" s="32"/>
      <c r="S114" s="32"/>
      <c r="T114" s="21"/>
      <c r="U114" s="21"/>
      <c r="V114" s="21"/>
      <c r="W114" s="21"/>
      <c r="X114" s="21"/>
    </row>
    <row r="115" customFormat="false" ht="15.75" hidden="false" customHeight="false" outlineLevel="0" collapsed="false">
      <c r="A115" s="61"/>
      <c r="B115" s="29"/>
      <c r="C115" s="21"/>
      <c r="D115" s="21"/>
      <c r="E115" s="21"/>
      <c r="F115" s="21"/>
      <c r="G115" s="30"/>
      <c r="H115" s="31"/>
      <c r="I115" s="21"/>
      <c r="J115" s="21"/>
      <c r="K115" s="21"/>
      <c r="L115" s="21"/>
      <c r="M115" s="21"/>
      <c r="N115" s="30"/>
      <c r="O115" s="21"/>
      <c r="P115" s="21"/>
      <c r="Q115" s="21"/>
      <c r="R115" s="32"/>
      <c r="S115" s="32"/>
      <c r="T115" s="21"/>
      <c r="U115" s="21"/>
      <c r="V115" s="21"/>
      <c r="W115" s="21"/>
      <c r="X115" s="21"/>
    </row>
    <row r="116" customFormat="false" ht="15.75" hidden="false" customHeight="false" outlineLevel="0" collapsed="false">
      <c r="A116" s="12"/>
      <c r="B116" s="34"/>
      <c r="C116" s="12"/>
      <c r="D116" s="12"/>
      <c r="E116" s="12"/>
      <c r="F116" s="12"/>
      <c r="G116" s="18"/>
      <c r="H116" s="35"/>
      <c r="I116" s="12"/>
      <c r="N116" s="18"/>
      <c r="O116" s="12"/>
      <c r="P116" s="12"/>
      <c r="R116" s="36"/>
      <c r="S116" s="36"/>
      <c r="T116" s="21"/>
      <c r="U116" s="12"/>
      <c r="V116" s="12"/>
      <c r="X116" s="12"/>
    </row>
    <row r="117" customFormat="false" ht="15.75" hidden="false" customHeight="false" outlineLevel="0" collapsed="false">
      <c r="A117" s="12"/>
      <c r="B117" s="34"/>
      <c r="C117" s="12"/>
      <c r="D117" s="12"/>
      <c r="E117" s="12"/>
      <c r="F117" s="12"/>
      <c r="G117" s="18"/>
      <c r="H117" s="35"/>
      <c r="I117" s="12"/>
      <c r="N117" s="18"/>
      <c r="O117" s="12"/>
      <c r="P117" s="12"/>
      <c r="R117" s="36"/>
      <c r="S117" s="36"/>
      <c r="T117" s="21"/>
      <c r="U117" s="12"/>
      <c r="V117" s="12"/>
      <c r="X117" s="12"/>
    </row>
    <row r="118" customFormat="false" ht="15.75" hidden="false" customHeight="false" outlineLevel="0" collapsed="false">
      <c r="A118" s="12"/>
      <c r="B118" s="34"/>
      <c r="C118" s="12"/>
      <c r="D118" s="12"/>
      <c r="E118" s="12"/>
      <c r="F118" s="12"/>
      <c r="G118" s="18"/>
      <c r="H118" s="35"/>
      <c r="I118" s="12"/>
      <c r="N118" s="18"/>
      <c r="O118" s="12"/>
      <c r="P118" s="12"/>
      <c r="R118" s="36"/>
      <c r="S118" s="36"/>
      <c r="T118" s="21"/>
      <c r="U118" s="12"/>
      <c r="V118" s="12"/>
      <c r="X118" s="12"/>
    </row>
    <row r="119" customFormat="false" ht="15.75" hidden="false" customHeight="false" outlineLevel="0" collapsed="false">
      <c r="A119" s="12"/>
      <c r="B119" s="34"/>
      <c r="C119" s="12"/>
      <c r="D119" s="12"/>
      <c r="E119" s="12"/>
      <c r="F119" s="12"/>
      <c r="G119" s="18"/>
      <c r="H119" s="35"/>
      <c r="I119" s="12"/>
      <c r="M119" s="12"/>
      <c r="N119" s="18"/>
      <c r="O119" s="12"/>
      <c r="P119" s="12"/>
      <c r="Q119" s="12"/>
      <c r="R119" s="36"/>
      <c r="S119" s="36"/>
      <c r="T119" s="21"/>
      <c r="U119" s="12"/>
      <c r="V119" s="12"/>
      <c r="W119" s="12"/>
      <c r="X119" s="12"/>
    </row>
    <row r="120" customFormat="false" ht="15.75" hidden="false" customHeight="false" outlineLevel="0" collapsed="false">
      <c r="A120" s="12"/>
      <c r="B120" s="34"/>
      <c r="C120" s="12"/>
      <c r="D120" s="12"/>
      <c r="E120" s="12"/>
      <c r="F120" s="12"/>
      <c r="G120" s="18"/>
      <c r="H120" s="35"/>
      <c r="I120" s="12"/>
      <c r="M120" s="12"/>
      <c r="N120" s="18"/>
      <c r="O120" s="12"/>
      <c r="P120" s="12"/>
      <c r="Q120" s="12"/>
      <c r="R120" s="36"/>
      <c r="S120" s="36"/>
      <c r="T120" s="21"/>
      <c r="U120" s="12"/>
      <c r="V120" s="12"/>
      <c r="W120" s="12"/>
      <c r="X120" s="12"/>
    </row>
    <row r="121" customFormat="false" ht="15.75" hidden="false" customHeight="false" outlineLevel="0" collapsed="false">
      <c r="A121" s="12"/>
      <c r="B121" s="34"/>
      <c r="C121" s="12"/>
      <c r="D121" s="12"/>
      <c r="E121" s="12"/>
      <c r="F121" s="12"/>
      <c r="G121" s="18"/>
      <c r="H121" s="35"/>
      <c r="I121" s="12"/>
      <c r="M121" s="12"/>
      <c r="N121" s="18"/>
      <c r="O121" s="12"/>
      <c r="P121" s="12"/>
      <c r="Q121" s="12"/>
      <c r="R121" s="36"/>
      <c r="S121" s="36"/>
      <c r="T121" s="21"/>
      <c r="U121" s="12"/>
      <c r="V121" s="12"/>
      <c r="W121" s="12"/>
      <c r="X121" s="12"/>
    </row>
    <row r="122" customFormat="false" ht="15.75" hidden="false" customHeight="false" outlineLevel="0" collapsed="false">
      <c r="A122" s="12"/>
      <c r="B122" s="34"/>
      <c r="C122" s="12"/>
      <c r="D122" s="12"/>
      <c r="E122" s="12"/>
      <c r="F122" s="12"/>
      <c r="G122" s="18"/>
      <c r="H122" s="35"/>
      <c r="I122" s="12"/>
      <c r="M122" s="12"/>
      <c r="N122" s="18"/>
      <c r="O122" s="12"/>
      <c r="P122" s="12"/>
      <c r="Q122" s="12"/>
      <c r="R122" s="36"/>
      <c r="S122" s="36"/>
      <c r="T122" s="21"/>
      <c r="U122" s="12"/>
      <c r="V122" s="12"/>
      <c r="W122" s="12"/>
      <c r="X122" s="12"/>
    </row>
    <row r="123" customFormat="false" ht="15.75" hidden="false" customHeight="false" outlineLevel="0" collapsed="false">
      <c r="A123" s="12"/>
      <c r="B123" s="34"/>
      <c r="C123" s="12"/>
      <c r="D123" s="12"/>
      <c r="E123" s="12"/>
      <c r="F123" s="12"/>
      <c r="G123" s="18"/>
      <c r="H123" s="35"/>
      <c r="I123" s="12"/>
      <c r="M123" s="12"/>
      <c r="N123" s="18"/>
      <c r="O123" s="12"/>
      <c r="P123" s="12"/>
      <c r="Q123" s="12"/>
      <c r="R123" s="36"/>
      <c r="S123" s="36"/>
      <c r="T123" s="21"/>
      <c r="U123" s="12"/>
      <c r="V123" s="12"/>
      <c r="W123" s="12"/>
      <c r="X123" s="12"/>
    </row>
    <row r="124" customFormat="false" ht="15.75" hidden="false" customHeight="false" outlineLevel="0" collapsed="false">
      <c r="A124" s="12"/>
      <c r="B124" s="34"/>
      <c r="C124" s="12"/>
      <c r="D124" s="12"/>
      <c r="E124" s="12"/>
      <c r="F124" s="12"/>
      <c r="G124" s="18"/>
      <c r="H124" s="35"/>
      <c r="I124" s="12"/>
      <c r="M124" s="12"/>
      <c r="N124" s="18"/>
      <c r="O124" s="12"/>
      <c r="P124" s="12"/>
      <c r="Q124" s="12"/>
      <c r="R124" s="36"/>
      <c r="S124" s="36"/>
      <c r="T124" s="21"/>
      <c r="U124" s="12"/>
      <c r="V124" s="12"/>
      <c r="W124" s="12"/>
      <c r="X124" s="12"/>
    </row>
    <row r="125" customFormat="false" ht="15.75" hidden="false" customHeight="false" outlineLevel="0" collapsed="false">
      <c r="A125" s="12"/>
      <c r="B125" s="34"/>
      <c r="C125" s="12"/>
      <c r="D125" s="12"/>
      <c r="E125" s="12"/>
      <c r="F125" s="12"/>
      <c r="G125" s="18"/>
      <c r="H125" s="35"/>
      <c r="I125" s="12"/>
      <c r="M125" s="12"/>
      <c r="N125" s="18"/>
      <c r="O125" s="12"/>
      <c r="P125" s="12"/>
      <c r="Q125" s="12"/>
      <c r="R125" s="36"/>
      <c r="S125" s="36"/>
      <c r="T125" s="21"/>
      <c r="U125" s="12"/>
      <c r="V125" s="12"/>
      <c r="W125" s="12"/>
      <c r="X125" s="12"/>
    </row>
    <row r="126" customFormat="false" ht="15.75" hidden="false" customHeight="false" outlineLevel="0" collapsed="false">
      <c r="A126" s="12"/>
      <c r="B126" s="34"/>
      <c r="C126" s="12"/>
      <c r="D126" s="12"/>
      <c r="E126" s="12"/>
      <c r="F126" s="12"/>
      <c r="G126" s="18"/>
      <c r="H126" s="35"/>
      <c r="I126" s="12"/>
      <c r="M126" s="12"/>
      <c r="N126" s="18"/>
      <c r="O126" s="12"/>
      <c r="P126" s="12"/>
      <c r="Q126" s="12"/>
      <c r="R126" s="36"/>
      <c r="S126" s="36"/>
      <c r="T126" s="21"/>
      <c r="U126" s="12"/>
      <c r="V126" s="12"/>
      <c r="W126" s="12"/>
      <c r="X126" s="12"/>
    </row>
    <row r="127" customFormat="false" ht="15.75" hidden="false" customHeight="false" outlineLevel="0" collapsed="false">
      <c r="A127" s="12"/>
      <c r="B127" s="34"/>
      <c r="C127" s="12"/>
      <c r="D127" s="12"/>
      <c r="E127" s="12"/>
      <c r="F127" s="12"/>
      <c r="G127" s="18"/>
      <c r="H127" s="35"/>
      <c r="I127" s="12"/>
      <c r="M127" s="12"/>
      <c r="N127" s="18"/>
      <c r="O127" s="12"/>
      <c r="P127" s="12"/>
      <c r="Q127" s="12"/>
      <c r="R127" s="36"/>
      <c r="S127" s="36"/>
      <c r="T127" s="21"/>
      <c r="U127" s="12"/>
      <c r="V127" s="12"/>
      <c r="W127" s="12"/>
      <c r="X127" s="12"/>
    </row>
    <row r="128" customFormat="false" ht="15.75" hidden="false" customHeight="false" outlineLevel="0" collapsed="false">
      <c r="A128" s="12"/>
      <c r="B128" s="34"/>
      <c r="C128" s="12"/>
      <c r="D128" s="12"/>
      <c r="E128" s="12"/>
      <c r="F128" s="12"/>
      <c r="G128" s="18"/>
      <c r="H128" s="35"/>
      <c r="I128" s="12"/>
      <c r="M128" s="12"/>
      <c r="N128" s="18"/>
      <c r="O128" s="12"/>
      <c r="P128" s="12"/>
      <c r="Q128" s="12"/>
      <c r="R128" s="36"/>
      <c r="S128" s="36"/>
      <c r="T128" s="21"/>
      <c r="U128" s="12"/>
      <c r="V128" s="12"/>
      <c r="W128" s="12"/>
      <c r="X128" s="12"/>
    </row>
    <row r="129" customFormat="false" ht="15.75" hidden="false" customHeight="false" outlineLevel="0" collapsed="false">
      <c r="A129" s="12"/>
      <c r="B129" s="34"/>
      <c r="C129" s="12"/>
      <c r="D129" s="12"/>
      <c r="E129" s="12"/>
      <c r="F129" s="12"/>
      <c r="G129" s="18"/>
      <c r="H129" s="35"/>
      <c r="I129" s="12"/>
      <c r="M129" s="12"/>
      <c r="N129" s="18"/>
      <c r="O129" s="12"/>
      <c r="P129" s="12"/>
      <c r="Q129" s="12"/>
      <c r="R129" s="36"/>
      <c r="S129" s="36"/>
      <c r="T129" s="21"/>
      <c r="U129" s="12"/>
      <c r="V129" s="12"/>
      <c r="W129" s="12"/>
      <c r="X129" s="12"/>
    </row>
    <row r="130" customFormat="false" ht="15.75" hidden="false" customHeight="false" outlineLevel="0" collapsed="false">
      <c r="A130" s="12"/>
      <c r="B130" s="34"/>
      <c r="C130" s="12"/>
      <c r="D130" s="12"/>
      <c r="E130" s="12"/>
      <c r="F130" s="12"/>
      <c r="G130" s="18"/>
      <c r="H130" s="35"/>
      <c r="I130" s="12"/>
      <c r="M130" s="12"/>
      <c r="N130" s="18"/>
      <c r="O130" s="12"/>
      <c r="P130" s="12"/>
      <c r="Q130" s="12"/>
      <c r="R130" s="36"/>
      <c r="S130" s="36"/>
      <c r="T130" s="12"/>
      <c r="U130" s="12"/>
      <c r="V130" s="12"/>
      <c r="W130" s="12"/>
      <c r="X130" s="12"/>
    </row>
    <row r="131" customFormat="false" ht="15.75" hidden="false" customHeight="false" outlineLevel="0" collapsed="false">
      <c r="A131" s="12"/>
      <c r="B131" s="34"/>
      <c r="C131" s="12"/>
      <c r="D131" s="12"/>
      <c r="E131" s="12"/>
      <c r="F131" s="12"/>
      <c r="G131" s="18"/>
      <c r="H131" s="35"/>
      <c r="I131" s="12"/>
      <c r="M131" s="12"/>
      <c r="N131" s="18"/>
      <c r="O131" s="12"/>
      <c r="P131" s="12"/>
      <c r="Q131" s="12"/>
      <c r="R131" s="36"/>
      <c r="S131" s="36"/>
      <c r="T131" s="12"/>
      <c r="U131" s="12"/>
      <c r="V131" s="12"/>
      <c r="W131" s="12"/>
      <c r="X131" s="12"/>
    </row>
    <row r="132" customFormat="false" ht="15.75" hidden="false" customHeight="false" outlineLevel="0" collapsed="false">
      <c r="A132" s="12"/>
      <c r="B132" s="34"/>
      <c r="C132" s="12"/>
      <c r="D132" s="12"/>
      <c r="E132" s="12"/>
      <c r="F132" s="12"/>
      <c r="G132" s="18"/>
      <c r="H132" s="35"/>
      <c r="I132" s="12"/>
      <c r="M132" s="12"/>
      <c r="N132" s="18"/>
      <c r="O132" s="12"/>
      <c r="P132" s="12"/>
      <c r="Q132" s="12"/>
      <c r="R132" s="36"/>
      <c r="S132" s="36"/>
      <c r="T132" s="12"/>
      <c r="U132" s="12"/>
      <c r="V132" s="12"/>
      <c r="W132" s="12"/>
      <c r="X132" s="12"/>
    </row>
    <row r="133" customFormat="false" ht="15.75" hidden="false" customHeight="false" outlineLevel="0" collapsed="false">
      <c r="A133" s="12"/>
      <c r="B133" s="34"/>
      <c r="C133" s="12"/>
      <c r="D133" s="12"/>
      <c r="E133" s="12"/>
      <c r="F133" s="12"/>
      <c r="G133" s="18"/>
      <c r="H133" s="35"/>
      <c r="I133" s="12"/>
      <c r="M133" s="12"/>
      <c r="N133" s="18"/>
      <c r="O133" s="12"/>
      <c r="P133" s="12"/>
      <c r="Q133" s="12"/>
      <c r="R133" s="36"/>
      <c r="S133" s="36"/>
      <c r="T133" s="12"/>
      <c r="U133" s="12"/>
      <c r="V133" s="12"/>
      <c r="W133" s="12"/>
      <c r="X133" s="12"/>
    </row>
    <row r="134" customFormat="false" ht="15.75" hidden="false" customHeight="false" outlineLevel="0" collapsed="false">
      <c r="A134" s="12"/>
      <c r="B134" s="34"/>
      <c r="C134" s="12"/>
      <c r="D134" s="12"/>
      <c r="E134" s="12"/>
      <c r="F134" s="12"/>
      <c r="G134" s="18"/>
      <c r="H134" s="35"/>
      <c r="I134" s="12"/>
      <c r="M134" s="12"/>
      <c r="N134" s="18"/>
      <c r="O134" s="12"/>
      <c r="P134" s="12"/>
      <c r="Q134" s="12"/>
      <c r="R134" s="36"/>
      <c r="S134" s="36"/>
      <c r="T134" s="12"/>
      <c r="U134" s="12"/>
      <c r="V134" s="12"/>
      <c r="W134" s="12"/>
      <c r="X134" s="12"/>
    </row>
    <row r="135" customFormat="false" ht="15.75" hidden="false" customHeight="false" outlineLevel="0" collapsed="false">
      <c r="A135" s="12"/>
      <c r="B135" s="34"/>
      <c r="C135" s="12"/>
      <c r="D135" s="12"/>
      <c r="E135" s="12"/>
      <c r="F135" s="12"/>
      <c r="G135" s="18"/>
      <c r="H135" s="35"/>
      <c r="I135" s="12"/>
      <c r="M135" s="12"/>
      <c r="N135" s="18"/>
      <c r="O135" s="12"/>
      <c r="P135" s="12"/>
      <c r="Q135" s="12"/>
      <c r="R135" s="36"/>
      <c r="S135" s="36"/>
      <c r="T135" s="12"/>
      <c r="U135" s="12"/>
      <c r="V135" s="12"/>
      <c r="W135" s="12"/>
      <c r="X135" s="12"/>
    </row>
    <row r="136" customFormat="false" ht="15.75" hidden="false" customHeight="false" outlineLevel="0" collapsed="false">
      <c r="A136" s="12"/>
      <c r="B136" s="34"/>
      <c r="C136" s="12"/>
      <c r="D136" s="12"/>
      <c r="E136" s="12"/>
      <c r="F136" s="12"/>
      <c r="G136" s="18"/>
      <c r="H136" s="35"/>
      <c r="I136" s="12"/>
      <c r="M136" s="12"/>
      <c r="N136" s="18"/>
      <c r="O136" s="12"/>
      <c r="P136" s="12"/>
      <c r="Q136" s="12"/>
      <c r="R136" s="36"/>
      <c r="S136" s="36"/>
      <c r="T136" s="12"/>
      <c r="U136" s="12"/>
      <c r="V136" s="12"/>
      <c r="W136" s="12"/>
      <c r="X136" s="12"/>
    </row>
    <row r="137" customFormat="false" ht="15.75" hidden="false" customHeight="false" outlineLevel="0" collapsed="false">
      <c r="A137" s="12"/>
      <c r="B137" s="34"/>
      <c r="C137" s="12"/>
      <c r="D137" s="12"/>
      <c r="E137" s="12"/>
      <c r="F137" s="12"/>
      <c r="G137" s="18"/>
      <c r="H137" s="35"/>
      <c r="I137" s="12"/>
      <c r="M137" s="12"/>
      <c r="N137" s="18"/>
      <c r="O137" s="12"/>
      <c r="P137" s="12"/>
      <c r="Q137" s="12"/>
      <c r="R137" s="36"/>
      <c r="S137" s="36"/>
      <c r="T137" s="12"/>
      <c r="U137" s="12"/>
      <c r="V137" s="12"/>
      <c r="W137" s="12"/>
      <c r="X137" s="12"/>
    </row>
    <row r="138" customFormat="false" ht="15.75" hidden="false" customHeight="false" outlineLevel="0" collapsed="false">
      <c r="A138" s="12"/>
      <c r="B138" s="34"/>
      <c r="C138" s="12"/>
      <c r="D138" s="12"/>
      <c r="E138" s="12"/>
      <c r="F138" s="12"/>
      <c r="G138" s="18"/>
      <c r="H138" s="35"/>
      <c r="I138" s="12"/>
      <c r="M138" s="12"/>
      <c r="N138" s="18"/>
      <c r="O138" s="12"/>
      <c r="P138" s="12"/>
      <c r="Q138" s="12"/>
      <c r="R138" s="36"/>
      <c r="S138" s="36"/>
      <c r="T138" s="12"/>
      <c r="U138" s="12"/>
      <c r="V138" s="12"/>
      <c r="W138" s="12"/>
      <c r="X138" s="12"/>
    </row>
    <row r="139" customFormat="false" ht="15.75" hidden="false" customHeight="false" outlineLevel="0" collapsed="false">
      <c r="A139" s="12"/>
      <c r="B139" s="34"/>
      <c r="C139" s="12"/>
      <c r="D139" s="12"/>
      <c r="E139" s="12"/>
      <c r="F139" s="12"/>
      <c r="G139" s="18"/>
      <c r="H139" s="35"/>
      <c r="I139" s="12"/>
      <c r="M139" s="12"/>
      <c r="N139" s="18"/>
      <c r="O139" s="12"/>
      <c r="P139" s="12"/>
      <c r="Q139" s="12"/>
      <c r="R139" s="36"/>
      <c r="S139" s="36"/>
      <c r="T139" s="12"/>
      <c r="U139" s="12"/>
      <c r="V139" s="12"/>
      <c r="W139" s="12"/>
      <c r="X139" s="12"/>
    </row>
    <row r="140" customFormat="false" ht="15.75" hidden="false" customHeight="false" outlineLevel="0" collapsed="false">
      <c r="A140" s="12"/>
      <c r="B140" s="34"/>
      <c r="C140" s="12"/>
      <c r="D140" s="12"/>
      <c r="E140" s="12"/>
      <c r="F140" s="12"/>
      <c r="G140" s="18"/>
      <c r="H140" s="35"/>
      <c r="I140" s="12"/>
      <c r="M140" s="12"/>
      <c r="N140" s="18"/>
      <c r="O140" s="12"/>
      <c r="P140" s="12"/>
      <c r="Q140" s="12"/>
      <c r="R140" s="36"/>
      <c r="S140" s="36"/>
      <c r="T140" s="12"/>
      <c r="U140" s="12"/>
      <c r="V140" s="12"/>
      <c r="W140" s="12"/>
      <c r="X140" s="12"/>
    </row>
    <row r="141" customFormat="false" ht="15.75" hidden="false" customHeight="false" outlineLevel="0" collapsed="false">
      <c r="A141" s="12"/>
      <c r="B141" s="34"/>
      <c r="C141" s="12"/>
      <c r="D141" s="12"/>
      <c r="E141" s="12"/>
      <c r="F141" s="12"/>
      <c r="G141" s="18"/>
      <c r="H141" s="35"/>
      <c r="I141" s="12"/>
      <c r="M141" s="12"/>
      <c r="N141" s="18"/>
      <c r="O141" s="12"/>
      <c r="P141" s="12"/>
      <c r="Q141" s="12"/>
      <c r="R141" s="36"/>
      <c r="S141" s="36"/>
      <c r="T141" s="12"/>
      <c r="U141" s="12"/>
      <c r="V141" s="12"/>
      <c r="W141" s="12"/>
      <c r="X141" s="12"/>
    </row>
    <row r="142" customFormat="false" ht="15.75" hidden="false" customHeight="false" outlineLevel="0" collapsed="false">
      <c r="A142" s="12"/>
      <c r="B142" s="34"/>
      <c r="C142" s="12"/>
      <c r="D142" s="12"/>
      <c r="E142" s="12"/>
      <c r="F142" s="12"/>
      <c r="G142" s="18"/>
      <c r="H142" s="35"/>
      <c r="I142" s="12"/>
      <c r="M142" s="12"/>
      <c r="N142" s="18"/>
      <c r="O142" s="12"/>
      <c r="P142" s="12"/>
      <c r="Q142" s="12"/>
      <c r="R142" s="36"/>
      <c r="S142" s="36"/>
      <c r="T142" s="12"/>
      <c r="U142" s="12"/>
      <c r="V142" s="12"/>
      <c r="W142" s="12"/>
      <c r="X142" s="12"/>
    </row>
    <row r="143" customFormat="false" ht="15.75" hidden="false" customHeight="false" outlineLevel="0" collapsed="false">
      <c r="A143" s="12"/>
      <c r="B143" s="34"/>
      <c r="C143" s="12"/>
      <c r="D143" s="12"/>
      <c r="E143" s="12"/>
      <c r="F143" s="12"/>
      <c r="G143" s="18"/>
      <c r="H143" s="35"/>
      <c r="I143" s="12"/>
      <c r="M143" s="12"/>
      <c r="N143" s="18"/>
      <c r="O143" s="12"/>
      <c r="P143" s="12"/>
      <c r="Q143" s="12"/>
      <c r="R143" s="36"/>
      <c r="S143" s="36"/>
      <c r="T143" s="12"/>
      <c r="U143" s="12"/>
      <c r="V143" s="12"/>
      <c r="W143" s="12"/>
      <c r="X143" s="12"/>
    </row>
    <row r="144" customFormat="false" ht="15.75" hidden="false" customHeight="false" outlineLevel="0" collapsed="false">
      <c r="A144" s="12"/>
      <c r="B144" s="34"/>
      <c r="C144" s="12"/>
      <c r="D144" s="12"/>
      <c r="E144" s="12"/>
      <c r="F144" s="12"/>
      <c r="G144" s="18"/>
      <c r="H144" s="35"/>
      <c r="I144" s="12"/>
      <c r="M144" s="12"/>
      <c r="N144" s="18"/>
      <c r="O144" s="12"/>
      <c r="P144" s="12"/>
      <c r="Q144" s="12"/>
      <c r="R144" s="36"/>
      <c r="S144" s="36"/>
      <c r="T144" s="12"/>
      <c r="U144" s="12"/>
      <c r="V144" s="12"/>
      <c r="W144" s="12"/>
      <c r="X144" s="12"/>
    </row>
    <row r="145" customFormat="false" ht="15.75" hidden="false" customHeight="false" outlineLevel="0" collapsed="false">
      <c r="A145" s="12"/>
      <c r="B145" s="34"/>
      <c r="C145" s="12"/>
      <c r="D145" s="12"/>
      <c r="E145" s="12"/>
      <c r="F145" s="12"/>
      <c r="G145" s="18"/>
      <c r="H145" s="35"/>
      <c r="I145" s="12"/>
      <c r="M145" s="12"/>
      <c r="N145" s="18"/>
      <c r="O145" s="12"/>
      <c r="P145" s="12"/>
      <c r="Q145" s="12"/>
      <c r="R145" s="36"/>
      <c r="S145" s="36"/>
      <c r="T145" s="12"/>
      <c r="U145" s="12"/>
      <c r="V145" s="12"/>
      <c r="W145" s="12"/>
      <c r="X145" s="12"/>
    </row>
    <row r="146" customFormat="false" ht="15.75" hidden="false" customHeight="false" outlineLevel="0" collapsed="false">
      <c r="A146" s="12"/>
      <c r="B146" s="34"/>
      <c r="C146" s="12"/>
      <c r="D146" s="12"/>
      <c r="E146" s="12"/>
      <c r="F146" s="12"/>
      <c r="G146" s="18"/>
      <c r="H146" s="35"/>
      <c r="I146" s="12"/>
      <c r="M146" s="12"/>
      <c r="N146" s="18"/>
      <c r="O146" s="12"/>
      <c r="P146" s="12"/>
      <c r="Q146" s="12"/>
      <c r="R146" s="36"/>
      <c r="S146" s="36"/>
      <c r="T146" s="12"/>
      <c r="U146" s="12"/>
      <c r="V146" s="12"/>
      <c r="W146" s="12"/>
      <c r="X146" s="12"/>
    </row>
    <row r="147" customFormat="false" ht="15.75" hidden="false" customHeight="false" outlineLevel="0" collapsed="false">
      <c r="A147" s="12"/>
      <c r="B147" s="34"/>
      <c r="C147" s="12"/>
      <c r="D147" s="12"/>
      <c r="E147" s="12"/>
      <c r="F147" s="12"/>
      <c r="G147" s="18"/>
      <c r="H147" s="35"/>
      <c r="I147" s="12"/>
      <c r="M147" s="12"/>
      <c r="N147" s="18"/>
      <c r="O147" s="12"/>
      <c r="P147" s="12"/>
      <c r="Q147" s="12"/>
      <c r="R147" s="36"/>
      <c r="S147" s="36"/>
      <c r="T147" s="12"/>
      <c r="U147" s="12"/>
      <c r="V147" s="12"/>
      <c r="W147" s="12"/>
      <c r="X147" s="12"/>
    </row>
    <row r="148" customFormat="false" ht="15.75" hidden="false" customHeight="false" outlineLevel="0" collapsed="false">
      <c r="A148" s="12"/>
      <c r="B148" s="34"/>
      <c r="C148" s="12"/>
      <c r="D148" s="12"/>
      <c r="E148" s="12"/>
      <c r="F148" s="12"/>
      <c r="G148" s="18"/>
      <c r="H148" s="35"/>
      <c r="I148" s="12"/>
      <c r="M148" s="12"/>
      <c r="N148" s="18"/>
      <c r="O148" s="12"/>
      <c r="P148" s="12"/>
      <c r="Q148" s="12"/>
      <c r="R148" s="36"/>
      <c r="S148" s="36"/>
      <c r="T148" s="12"/>
      <c r="U148" s="12"/>
      <c r="V148" s="12"/>
      <c r="W148" s="12"/>
      <c r="X148" s="12"/>
    </row>
    <row r="149" customFormat="false" ht="15.75" hidden="false" customHeight="false" outlineLevel="0" collapsed="false">
      <c r="A149" s="12"/>
      <c r="B149" s="34"/>
      <c r="C149" s="12"/>
      <c r="D149" s="12"/>
      <c r="E149" s="12"/>
      <c r="F149" s="12"/>
      <c r="G149" s="18"/>
      <c r="H149" s="35"/>
      <c r="I149" s="12"/>
      <c r="M149" s="12"/>
      <c r="N149" s="18"/>
      <c r="O149" s="12"/>
      <c r="P149" s="12"/>
      <c r="Q149" s="12"/>
      <c r="R149" s="36"/>
      <c r="S149" s="36"/>
      <c r="T149" s="12"/>
      <c r="U149" s="12"/>
      <c r="V149" s="12"/>
      <c r="W149" s="12"/>
      <c r="X149" s="12"/>
    </row>
    <row r="150" customFormat="false" ht="15.75" hidden="false" customHeight="false" outlineLevel="0" collapsed="false">
      <c r="A150" s="12"/>
      <c r="B150" s="34"/>
      <c r="C150" s="12"/>
      <c r="D150" s="12"/>
      <c r="E150" s="12"/>
      <c r="F150" s="12"/>
      <c r="G150" s="18"/>
      <c r="H150" s="35"/>
      <c r="I150" s="12"/>
      <c r="M150" s="12"/>
      <c r="N150" s="18"/>
      <c r="O150" s="12"/>
      <c r="P150" s="12"/>
      <c r="Q150" s="12"/>
      <c r="R150" s="36"/>
      <c r="S150" s="36"/>
      <c r="T150" s="12"/>
      <c r="U150" s="12"/>
      <c r="V150" s="12"/>
      <c r="W150" s="12"/>
      <c r="X150" s="12"/>
    </row>
    <row r="151" customFormat="false" ht="15.75" hidden="false" customHeight="false" outlineLevel="0" collapsed="false">
      <c r="A151" s="12"/>
      <c r="B151" s="34"/>
      <c r="C151" s="12"/>
      <c r="D151" s="12"/>
      <c r="E151" s="12"/>
      <c r="F151" s="12"/>
      <c r="G151" s="18"/>
      <c r="H151" s="35"/>
      <c r="I151" s="12"/>
      <c r="M151" s="12"/>
      <c r="N151" s="18"/>
      <c r="O151" s="12"/>
      <c r="P151" s="12"/>
      <c r="Q151" s="12"/>
      <c r="R151" s="36"/>
      <c r="S151" s="36"/>
      <c r="T151" s="12"/>
      <c r="U151" s="12"/>
      <c r="V151" s="12"/>
      <c r="W151" s="12"/>
      <c r="X151" s="12"/>
    </row>
    <row r="152" customFormat="false" ht="15.75" hidden="false" customHeight="false" outlineLevel="0" collapsed="false">
      <c r="A152" s="12"/>
      <c r="B152" s="34"/>
      <c r="C152" s="12"/>
      <c r="D152" s="12"/>
      <c r="E152" s="12"/>
      <c r="F152" s="12"/>
      <c r="G152" s="18"/>
      <c r="H152" s="35"/>
      <c r="I152" s="12"/>
      <c r="M152" s="12"/>
      <c r="N152" s="18"/>
      <c r="O152" s="12"/>
      <c r="P152" s="12"/>
      <c r="Q152" s="12"/>
      <c r="R152" s="36"/>
      <c r="S152" s="36"/>
      <c r="T152" s="12"/>
      <c r="U152" s="12"/>
      <c r="V152" s="12"/>
      <c r="W152" s="12"/>
      <c r="X152" s="12"/>
    </row>
    <row r="153" customFormat="false" ht="15.75" hidden="false" customHeight="false" outlineLevel="0" collapsed="false">
      <c r="A153" s="12"/>
      <c r="B153" s="34"/>
      <c r="C153" s="12"/>
      <c r="D153" s="12"/>
      <c r="E153" s="12"/>
      <c r="F153" s="12"/>
      <c r="G153" s="18"/>
      <c r="H153" s="35"/>
      <c r="I153" s="12"/>
      <c r="M153" s="12"/>
      <c r="N153" s="18"/>
      <c r="O153" s="12"/>
      <c r="P153" s="12"/>
      <c r="Q153" s="12"/>
      <c r="R153" s="36"/>
      <c r="S153" s="36"/>
      <c r="T153" s="12"/>
      <c r="U153" s="12"/>
      <c r="V153" s="12"/>
      <c r="W153" s="12"/>
      <c r="X153" s="12"/>
    </row>
    <row r="154" customFormat="false" ht="15.75" hidden="false" customHeight="false" outlineLevel="0" collapsed="false">
      <c r="A154" s="12"/>
      <c r="B154" s="34"/>
      <c r="C154" s="12"/>
      <c r="D154" s="12"/>
      <c r="E154" s="12"/>
      <c r="F154" s="12"/>
      <c r="G154" s="18"/>
      <c r="H154" s="35"/>
      <c r="I154" s="12"/>
      <c r="M154" s="12"/>
      <c r="N154" s="18"/>
      <c r="O154" s="12"/>
      <c r="P154" s="12"/>
      <c r="Q154" s="12"/>
      <c r="R154" s="36"/>
      <c r="S154" s="36"/>
      <c r="T154" s="12"/>
      <c r="U154" s="12"/>
      <c r="V154" s="12"/>
      <c r="W154" s="12"/>
      <c r="X154" s="12"/>
    </row>
    <row r="155" customFormat="false" ht="15.75" hidden="false" customHeight="false" outlineLevel="0" collapsed="false">
      <c r="A155" s="12"/>
      <c r="B155" s="34"/>
      <c r="C155" s="12"/>
      <c r="D155" s="12"/>
      <c r="E155" s="12"/>
      <c r="F155" s="12"/>
      <c r="G155" s="18"/>
      <c r="H155" s="35"/>
      <c r="I155" s="12"/>
      <c r="M155" s="12"/>
      <c r="N155" s="18"/>
      <c r="O155" s="12"/>
      <c r="P155" s="12"/>
      <c r="Q155" s="12"/>
      <c r="R155" s="36"/>
      <c r="S155" s="36"/>
      <c r="T155" s="12"/>
      <c r="U155" s="12"/>
      <c r="V155" s="12"/>
      <c r="W155" s="12"/>
      <c r="X155" s="12"/>
    </row>
    <row r="156" customFormat="false" ht="15.75" hidden="false" customHeight="false" outlineLevel="0" collapsed="false">
      <c r="A156" s="12"/>
      <c r="B156" s="34"/>
      <c r="C156" s="12"/>
      <c r="D156" s="12"/>
      <c r="E156" s="12"/>
      <c r="F156" s="12"/>
      <c r="G156" s="18"/>
      <c r="H156" s="35"/>
      <c r="I156" s="12"/>
      <c r="M156" s="12"/>
      <c r="N156" s="18"/>
      <c r="O156" s="12"/>
      <c r="P156" s="12"/>
      <c r="Q156" s="12"/>
      <c r="R156" s="36"/>
      <c r="S156" s="36"/>
      <c r="T156" s="12"/>
      <c r="U156" s="12"/>
      <c r="V156" s="12"/>
      <c r="W156" s="12"/>
      <c r="X156" s="12"/>
    </row>
    <row r="157" customFormat="false" ht="15.75" hidden="false" customHeight="false" outlineLevel="0" collapsed="false">
      <c r="A157" s="12"/>
      <c r="B157" s="34"/>
      <c r="C157" s="12"/>
      <c r="D157" s="12"/>
      <c r="E157" s="12"/>
      <c r="F157" s="12"/>
      <c r="G157" s="18"/>
      <c r="H157" s="35"/>
      <c r="I157" s="12"/>
      <c r="M157" s="12"/>
      <c r="N157" s="18"/>
      <c r="O157" s="12"/>
      <c r="P157" s="12"/>
      <c r="Q157" s="12"/>
      <c r="R157" s="36"/>
      <c r="S157" s="36"/>
      <c r="T157" s="12"/>
      <c r="U157" s="12"/>
      <c r="V157" s="12"/>
      <c r="W157" s="12"/>
      <c r="X157" s="12"/>
    </row>
    <row r="158" customFormat="false" ht="15.75" hidden="false" customHeight="false" outlineLevel="0" collapsed="false">
      <c r="A158" s="12"/>
      <c r="B158" s="34"/>
      <c r="C158" s="12"/>
      <c r="D158" s="12"/>
      <c r="E158" s="12"/>
      <c r="F158" s="12"/>
      <c r="G158" s="18"/>
      <c r="H158" s="35"/>
      <c r="I158" s="12"/>
      <c r="M158" s="12"/>
      <c r="N158" s="18"/>
      <c r="O158" s="12"/>
      <c r="P158" s="12"/>
      <c r="Q158" s="12"/>
      <c r="R158" s="36"/>
      <c r="S158" s="36"/>
      <c r="T158" s="12"/>
      <c r="U158" s="12"/>
      <c r="V158" s="12"/>
      <c r="W158" s="12"/>
      <c r="X158" s="12"/>
    </row>
    <row r="159" customFormat="false" ht="15.75" hidden="false" customHeight="false" outlineLevel="0" collapsed="false">
      <c r="A159" s="12"/>
      <c r="B159" s="34"/>
      <c r="C159" s="12"/>
      <c r="D159" s="12"/>
      <c r="E159" s="12"/>
      <c r="F159" s="12"/>
      <c r="G159" s="18"/>
      <c r="H159" s="35"/>
      <c r="I159" s="12"/>
      <c r="M159" s="12"/>
      <c r="N159" s="18"/>
      <c r="O159" s="12"/>
      <c r="P159" s="12"/>
      <c r="Q159" s="12"/>
      <c r="R159" s="36"/>
      <c r="S159" s="36"/>
      <c r="T159" s="12"/>
      <c r="U159" s="12"/>
      <c r="V159" s="12"/>
      <c r="W159" s="12"/>
      <c r="X159" s="12"/>
    </row>
    <row r="160" customFormat="false" ht="15.75" hidden="false" customHeight="false" outlineLevel="0" collapsed="false">
      <c r="A160" s="12"/>
      <c r="B160" s="34"/>
      <c r="C160" s="12"/>
      <c r="D160" s="12"/>
      <c r="E160" s="12"/>
      <c r="F160" s="12"/>
      <c r="G160" s="18"/>
      <c r="H160" s="35"/>
      <c r="I160" s="12"/>
      <c r="M160" s="12"/>
      <c r="N160" s="18"/>
      <c r="O160" s="12"/>
      <c r="P160" s="12"/>
      <c r="Q160" s="12"/>
      <c r="R160" s="36"/>
      <c r="S160" s="36"/>
      <c r="T160" s="12"/>
      <c r="U160" s="12"/>
      <c r="V160" s="12"/>
      <c r="W160" s="12"/>
      <c r="X160" s="12"/>
    </row>
    <row r="161" customFormat="false" ht="15.75" hidden="false" customHeight="false" outlineLevel="0" collapsed="false">
      <c r="A161" s="12"/>
      <c r="B161" s="34"/>
      <c r="C161" s="12"/>
      <c r="D161" s="12"/>
      <c r="E161" s="12"/>
      <c r="F161" s="12"/>
      <c r="G161" s="18"/>
      <c r="H161" s="35"/>
      <c r="I161" s="12"/>
      <c r="M161" s="12"/>
      <c r="N161" s="18"/>
      <c r="O161" s="12"/>
      <c r="P161" s="12"/>
      <c r="Q161" s="12"/>
      <c r="R161" s="36"/>
      <c r="S161" s="36"/>
      <c r="T161" s="12"/>
      <c r="U161" s="12"/>
      <c r="V161" s="12"/>
      <c r="W161" s="12"/>
      <c r="X161" s="12"/>
    </row>
    <row r="162" customFormat="false" ht="15.75" hidden="false" customHeight="false" outlineLevel="0" collapsed="false">
      <c r="A162" s="12"/>
      <c r="B162" s="34"/>
      <c r="C162" s="12"/>
      <c r="D162" s="12"/>
      <c r="E162" s="12"/>
      <c r="F162" s="12"/>
      <c r="G162" s="18"/>
      <c r="H162" s="35"/>
      <c r="I162" s="12"/>
      <c r="M162" s="12"/>
      <c r="N162" s="18"/>
      <c r="O162" s="12"/>
      <c r="P162" s="12"/>
      <c r="Q162" s="12"/>
      <c r="R162" s="36"/>
      <c r="S162" s="36"/>
      <c r="T162" s="12"/>
      <c r="U162" s="12"/>
      <c r="V162" s="12"/>
      <c r="W162" s="12"/>
      <c r="X162" s="12"/>
    </row>
    <row r="163" customFormat="false" ht="15.75" hidden="false" customHeight="false" outlineLevel="0" collapsed="false">
      <c r="A163" s="12"/>
      <c r="B163" s="34"/>
      <c r="C163" s="12"/>
      <c r="D163" s="12"/>
      <c r="E163" s="12"/>
      <c r="F163" s="12"/>
      <c r="G163" s="18"/>
      <c r="H163" s="35"/>
      <c r="I163" s="12"/>
      <c r="M163" s="12"/>
      <c r="N163" s="18"/>
      <c r="O163" s="12"/>
      <c r="P163" s="12"/>
      <c r="Q163" s="12"/>
      <c r="R163" s="36"/>
      <c r="S163" s="36"/>
      <c r="T163" s="12"/>
      <c r="U163" s="12"/>
      <c r="V163" s="12"/>
      <c r="W163" s="12"/>
      <c r="X163" s="12"/>
    </row>
    <row r="164" customFormat="false" ht="15.75" hidden="false" customHeight="false" outlineLevel="0" collapsed="false">
      <c r="A164" s="12"/>
      <c r="B164" s="34"/>
      <c r="C164" s="12"/>
      <c r="D164" s="12"/>
      <c r="E164" s="12"/>
      <c r="F164" s="12"/>
      <c r="G164" s="18"/>
      <c r="H164" s="35"/>
      <c r="I164" s="12"/>
      <c r="M164" s="12"/>
      <c r="N164" s="18"/>
      <c r="O164" s="12"/>
      <c r="P164" s="12"/>
      <c r="Q164" s="12"/>
      <c r="R164" s="36"/>
      <c r="S164" s="36"/>
      <c r="T164" s="12"/>
      <c r="U164" s="12"/>
      <c r="V164" s="12"/>
      <c r="W164" s="12"/>
      <c r="X164" s="12"/>
    </row>
    <row r="165" customFormat="false" ht="15.75" hidden="false" customHeight="false" outlineLevel="0" collapsed="false">
      <c r="A165" s="12"/>
      <c r="B165" s="34"/>
      <c r="C165" s="12"/>
      <c r="D165" s="12"/>
      <c r="E165" s="12"/>
      <c r="F165" s="12"/>
      <c r="G165" s="18"/>
      <c r="H165" s="35"/>
      <c r="I165" s="12"/>
      <c r="M165" s="12"/>
      <c r="N165" s="18"/>
      <c r="O165" s="12"/>
      <c r="P165" s="12"/>
      <c r="Q165" s="12"/>
      <c r="R165" s="36"/>
      <c r="S165" s="36"/>
      <c r="T165" s="12"/>
      <c r="U165" s="12"/>
      <c r="V165" s="12"/>
      <c r="W165" s="12"/>
      <c r="X165" s="12"/>
    </row>
    <row r="166" customFormat="false" ht="15.75" hidden="false" customHeight="false" outlineLevel="0" collapsed="false">
      <c r="A166" s="12"/>
      <c r="B166" s="34"/>
      <c r="C166" s="12"/>
      <c r="D166" s="12"/>
      <c r="E166" s="12"/>
      <c r="F166" s="12"/>
      <c r="G166" s="18"/>
      <c r="H166" s="35"/>
      <c r="I166" s="12"/>
      <c r="M166" s="12"/>
      <c r="N166" s="18"/>
      <c r="O166" s="12"/>
      <c r="P166" s="12"/>
      <c r="Q166" s="12"/>
      <c r="R166" s="36"/>
      <c r="S166" s="36"/>
      <c r="T166" s="12"/>
      <c r="U166" s="12"/>
      <c r="V166" s="12"/>
      <c r="W166" s="12"/>
      <c r="X166" s="12"/>
    </row>
    <row r="167" customFormat="false" ht="15.75" hidden="false" customHeight="false" outlineLevel="0" collapsed="false">
      <c r="A167" s="12"/>
      <c r="B167" s="34"/>
      <c r="C167" s="12"/>
      <c r="D167" s="12"/>
      <c r="E167" s="12"/>
      <c r="F167" s="12"/>
      <c r="G167" s="18"/>
      <c r="H167" s="35"/>
      <c r="I167" s="12"/>
      <c r="M167" s="12"/>
      <c r="N167" s="18"/>
      <c r="O167" s="12"/>
      <c r="P167" s="12"/>
      <c r="Q167" s="12"/>
      <c r="R167" s="36"/>
      <c r="S167" s="36"/>
      <c r="T167" s="12"/>
      <c r="U167" s="12"/>
      <c r="V167" s="12"/>
      <c r="W167" s="12"/>
      <c r="X167" s="12"/>
    </row>
    <row r="168" customFormat="false" ht="15.75" hidden="false" customHeight="false" outlineLevel="0" collapsed="false">
      <c r="A168" s="12"/>
      <c r="B168" s="34"/>
      <c r="C168" s="12"/>
      <c r="D168" s="12"/>
      <c r="E168" s="12"/>
      <c r="F168" s="12"/>
      <c r="G168" s="18"/>
      <c r="H168" s="35"/>
      <c r="I168" s="12"/>
      <c r="M168" s="12"/>
      <c r="N168" s="18"/>
      <c r="O168" s="12"/>
      <c r="P168" s="12"/>
      <c r="Q168" s="12"/>
      <c r="R168" s="36"/>
      <c r="S168" s="36"/>
      <c r="T168" s="12"/>
      <c r="U168" s="12"/>
      <c r="V168" s="12"/>
      <c r="W168" s="12"/>
      <c r="X168" s="12"/>
    </row>
    <row r="169" customFormat="false" ht="15.75" hidden="false" customHeight="false" outlineLevel="0" collapsed="false">
      <c r="A169" s="12"/>
      <c r="B169" s="34"/>
      <c r="C169" s="12"/>
      <c r="D169" s="12"/>
      <c r="E169" s="12"/>
      <c r="F169" s="12"/>
      <c r="G169" s="18"/>
      <c r="H169" s="35"/>
      <c r="I169" s="12"/>
      <c r="M169" s="12"/>
      <c r="N169" s="18"/>
      <c r="O169" s="12"/>
      <c r="P169" s="12"/>
      <c r="Q169" s="12"/>
      <c r="R169" s="36"/>
      <c r="S169" s="36"/>
      <c r="T169" s="12"/>
      <c r="U169" s="12"/>
      <c r="V169" s="12"/>
      <c r="W169" s="12"/>
      <c r="X169" s="12"/>
    </row>
    <row r="170" customFormat="false" ht="15.75" hidden="false" customHeight="false" outlineLevel="0" collapsed="false">
      <c r="A170" s="12"/>
      <c r="B170" s="34"/>
      <c r="C170" s="12"/>
      <c r="D170" s="12"/>
      <c r="E170" s="12"/>
      <c r="F170" s="12"/>
      <c r="G170" s="18"/>
      <c r="H170" s="35"/>
      <c r="I170" s="12"/>
      <c r="M170" s="12"/>
      <c r="N170" s="18"/>
      <c r="O170" s="12"/>
      <c r="P170" s="12"/>
      <c r="Q170" s="12"/>
      <c r="R170" s="36"/>
      <c r="S170" s="36"/>
      <c r="T170" s="12"/>
      <c r="U170" s="12"/>
      <c r="V170" s="12"/>
      <c r="W170" s="12"/>
      <c r="X170" s="12"/>
    </row>
    <row r="171" customFormat="false" ht="15.75" hidden="false" customHeight="false" outlineLevel="0" collapsed="false">
      <c r="A171" s="12"/>
      <c r="B171" s="34"/>
      <c r="C171" s="12"/>
      <c r="D171" s="12"/>
      <c r="E171" s="12"/>
      <c r="F171" s="12"/>
      <c r="G171" s="18"/>
      <c r="H171" s="35"/>
      <c r="I171" s="12"/>
      <c r="M171" s="12"/>
      <c r="N171" s="18"/>
      <c r="O171" s="12"/>
      <c r="P171" s="12"/>
      <c r="Q171" s="12"/>
      <c r="R171" s="36"/>
      <c r="S171" s="36"/>
      <c r="T171" s="12"/>
      <c r="U171" s="12"/>
      <c r="V171" s="12"/>
      <c r="W171" s="12"/>
      <c r="X171" s="12"/>
    </row>
    <row r="172" customFormat="false" ht="15.75" hidden="false" customHeight="false" outlineLevel="0" collapsed="false">
      <c r="A172" s="12"/>
      <c r="B172" s="34"/>
      <c r="C172" s="12"/>
      <c r="D172" s="12"/>
      <c r="E172" s="12"/>
      <c r="F172" s="12"/>
      <c r="G172" s="18"/>
      <c r="H172" s="35"/>
      <c r="I172" s="12"/>
      <c r="M172" s="12"/>
      <c r="N172" s="18"/>
      <c r="O172" s="12"/>
      <c r="P172" s="12"/>
      <c r="Q172" s="12"/>
      <c r="R172" s="36"/>
      <c r="S172" s="36"/>
      <c r="T172" s="12"/>
      <c r="U172" s="12"/>
      <c r="V172" s="12"/>
      <c r="W172" s="12"/>
      <c r="X172" s="12"/>
    </row>
    <row r="173" customFormat="false" ht="15.75" hidden="false" customHeight="false" outlineLevel="0" collapsed="false">
      <c r="A173" s="12"/>
      <c r="B173" s="34"/>
      <c r="C173" s="12"/>
      <c r="D173" s="12"/>
      <c r="E173" s="12"/>
      <c r="F173" s="12"/>
      <c r="G173" s="18"/>
      <c r="H173" s="35"/>
      <c r="I173" s="12"/>
      <c r="M173" s="12"/>
      <c r="N173" s="18"/>
      <c r="O173" s="12"/>
      <c r="P173" s="12"/>
      <c r="Q173" s="12"/>
      <c r="R173" s="36"/>
      <c r="S173" s="36"/>
      <c r="T173" s="12"/>
      <c r="U173" s="12"/>
      <c r="V173" s="12"/>
      <c r="W173" s="12"/>
      <c r="X173" s="12"/>
    </row>
    <row r="174" customFormat="false" ht="15.75" hidden="false" customHeight="false" outlineLevel="0" collapsed="false">
      <c r="A174" s="12"/>
      <c r="B174" s="34"/>
      <c r="C174" s="12"/>
      <c r="D174" s="12"/>
      <c r="E174" s="12"/>
      <c r="F174" s="12"/>
      <c r="G174" s="18"/>
      <c r="H174" s="35"/>
      <c r="I174" s="12"/>
      <c r="M174" s="12"/>
      <c r="N174" s="18"/>
      <c r="O174" s="12"/>
      <c r="P174" s="12"/>
      <c r="Q174" s="12"/>
      <c r="R174" s="36"/>
      <c r="S174" s="36"/>
      <c r="T174" s="12"/>
      <c r="U174" s="12"/>
      <c r="V174" s="12"/>
      <c r="W174" s="12"/>
      <c r="X174" s="12"/>
    </row>
    <row r="175" customFormat="false" ht="15.75" hidden="false" customHeight="false" outlineLevel="0" collapsed="false">
      <c r="A175" s="12"/>
      <c r="B175" s="34"/>
      <c r="C175" s="12"/>
      <c r="D175" s="12"/>
      <c r="E175" s="12"/>
      <c r="F175" s="12"/>
      <c r="G175" s="18"/>
      <c r="H175" s="35"/>
      <c r="I175" s="12"/>
      <c r="M175" s="12"/>
      <c r="N175" s="18"/>
      <c r="O175" s="12"/>
      <c r="P175" s="12"/>
      <c r="Q175" s="12"/>
      <c r="R175" s="36"/>
      <c r="S175" s="36"/>
      <c r="T175" s="12"/>
      <c r="U175" s="12"/>
      <c r="V175" s="12"/>
      <c r="W175" s="12"/>
      <c r="X175" s="12"/>
    </row>
    <row r="176" customFormat="false" ht="15.75" hidden="false" customHeight="false" outlineLevel="0" collapsed="false">
      <c r="A176" s="12"/>
      <c r="B176" s="34"/>
      <c r="C176" s="12"/>
      <c r="D176" s="12"/>
      <c r="E176" s="12"/>
      <c r="F176" s="12"/>
      <c r="G176" s="18"/>
      <c r="H176" s="35"/>
      <c r="I176" s="12"/>
      <c r="M176" s="12"/>
      <c r="N176" s="18"/>
      <c r="O176" s="12"/>
      <c r="P176" s="12"/>
      <c r="Q176" s="12"/>
      <c r="R176" s="36"/>
      <c r="S176" s="36"/>
      <c r="T176" s="12"/>
      <c r="U176" s="12"/>
      <c r="V176" s="12"/>
      <c r="W176" s="12"/>
      <c r="X176" s="12"/>
    </row>
    <row r="177" customFormat="false" ht="15.75" hidden="false" customHeight="false" outlineLevel="0" collapsed="false">
      <c r="A177" s="12"/>
      <c r="B177" s="34"/>
      <c r="C177" s="12"/>
      <c r="D177" s="12"/>
      <c r="E177" s="12"/>
      <c r="F177" s="12"/>
      <c r="G177" s="18"/>
      <c r="H177" s="35"/>
      <c r="I177" s="12"/>
      <c r="M177" s="12"/>
      <c r="N177" s="18"/>
      <c r="O177" s="12"/>
      <c r="P177" s="12"/>
      <c r="Q177" s="12"/>
      <c r="R177" s="36"/>
      <c r="S177" s="36"/>
      <c r="T177" s="12"/>
      <c r="U177" s="12"/>
      <c r="V177" s="12"/>
      <c r="W177" s="12"/>
      <c r="X177" s="12"/>
    </row>
    <row r="178" customFormat="false" ht="15.75" hidden="false" customHeight="false" outlineLevel="0" collapsed="false">
      <c r="A178" s="12"/>
      <c r="B178" s="34"/>
      <c r="C178" s="12"/>
      <c r="D178" s="12"/>
      <c r="E178" s="12"/>
      <c r="F178" s="12"/>
      <c r="G178" s="18"/>
      <c r="H178" s="35"/>
      <c r="I178" s="12"/>
      <c r="M178" s="12"/>
      <c r="N178" s="18"/>
      <c r="O178" s="12"/>
      <c r="P178" s="12"/>
      <c r="Q178" s="12"/>
      <c r="R178" s="36"/>
      <c r="S178" s="36"/>
      <c r="T178" s="12"/>
      <c r="U178" s="12"/>
      <c r="V178" s="12"/>
      <c r="W178" s="12"/>
      <c r="X178" s="12"/>
    </row>
    <row r="179" customFormat="false" ht="15.75" hidden="false" customHeight="false" outlineLevel="0" collapsed="false">
      <c r="A179" s="12"/>
      <c r="B179" s="34"/>
      <c r="C179" s="12"/>
      <c r="D179" s="12"/>
      <c r="E179" s="12"/>
      <c r="F179" s="12"/>
      <c r="G179" s="18"/>
      <c r="H179" s="35"/>
      <c r="I179" s="12"/>
      <c r="M179" s="12"/>
      <c r="N179" s="18"/>
      <c r="O179" s="12"/>
      <c r="P179" s="12"/>
      <c r="Q179" s="12"/>
      <c r="R179" s="36"/>
      <c r="S179" s="36"/>
      <c r="T179" s="12"/>
      <c r="U179" s="12"/>
      <c r="V179" s="12"/>
      <c r="W179" s="12"/>
      <c r="X179" s="12"/>
    </row>
    <row r="180" customFormat="false" ht="15.75" hidden="false" customHeight="false" outlineLevel="0" collapsed="false">
      <c r="A180" s="12"/>
      <c r="B180" s="34"/>
      <c r="C180" s="12"/>
      <c r="D180" s="12"/>
      <c r="E180" s="12"/>
      <c r="F180" s="12"/>
      <c r="G180" s="18"/>
      <c r="H180" s="35"/>
      <c r="I180" s="12"/>
      <c r="M180" s="12"/>
      <c r="N180" s="18"/>
      <c r="O180" s="12"/>
      <c r="P180" s="12"/>
      <c r="Q180" s="12"/>
      <c r="R180" s="36"/>
      <c r="S180" s="36"/>
      <c r="T180" s="12"/>
      <c r="U180" s="12"/>
      <c r="V180" s="12"/>
      <c r="W180" s="12"/>
      <c r="X180" s="12"/>
    </row>
    <row r="181" customFormat="false" ht="15.75" hidden="false" customHeight="false" outlineLevel="0" collapsed="false">
      <c r="A181" s="12"/>
      <c r="B181" s="34"/>
      <c r="C181" s="12"/>
      <c r="D181" s="12"/>
      <c r="E181" s="12"/>
      <c r="F181" s="12"/>
      <c r="G181" s="18"/>
      <c r="H181" s="35"/>
      <c r="I181" s="12"/>
      <c r="M181" s="12"/>
      <c r="N181" s="18"/>
      <c r="O181" s="12"/>
      <c r="P181" s="12"/>
      <c r="Q181" s="12"/>
      <c r="R181" s="36"/>
      <c r="S181" s="36"/>
      <c r="T181" s="12"/>
      <c r="U181" s="12"/>
      <c r="V181" s="12"/>
      <c r="W181" s="12"/>
      <c r="X181" s="12"/>
    </row>
    <row r="182" customFormat="false" ht="15.75" hidden="false" customHeight="false" outlineLevel="0" collapsed="false">
      <c r="A182" s="12"/>
      <c r="B182" s="34"/>
      <c r="C182" s="12"/>
      <c r="D182" s="12"/>
      <c r="E182" s="12"/>
      <c r="F182" s="12"/>
      <c r="G182" s="18"/>
      <c r="H182" s="35"/>
      <c r="I182" s="12"/>
      <c r="M182" s="12"/>
      <c r="N182" s="18"/>
      <c r="O182" s="12"/>
      <c r="P182" s="12"/>
      <c r="Q182" s="12"/>
      <c r="R182" s="36"/>
      <c r="S182" s="36"/>
      <c r="T182" s="12"/>
      <c r="U182" s="12"/>
      <c r="V182" s="12"/>
      <c r="W182" s="12"/>
      <c r="X182" s="12"/>
    </row>
    <row r="183" customFormat="false" ht="15.75" hidden="false" customHeight="false" outlineLevel="0" collapsed="false">
      <c r="A183" s="12"/>
      <c r="B183" s="34"/>
      <c r="C183" s="12"/>
      <c r="D183" s="12"/>
      <c r="E183" s="12"/>
      <c r="F183" s="12"/>
      <c r="G183" s="18"/>
      <c r="H183" s="35"/>
      <c r="I183" s="12"/>
      <c r="M183" s="12"/>
      <c r="N183" s="18"/>
      <c r="O183" s="12"/>
      <c r="P183" s="12"/>
      <c r="Q183" s="12"/>
      <c r="R183" s="36"/>
      <c r="S183" s="36"/>
      <c r="T183" s="12"/>
      <c r="U183" s="12"/>
      <c r="V183" s="12"/>
      <c r="W183" s="12"/>
      <c r="X183" s="12"/>
    </row>
    <row r="184" customFormat="false" ht="15.75" hidden="false" customHeight="false" outlineLevel="0" collapsed="false">
      <c r="A184" s="12"/>
      <c r="B184" s="34"/>
      <c r="C184" s="12"/>
      <c r="D184" s="12"/>
      <c r="E184" s="12"/>
      <c r="F184" s="12"/>
      <c r="G184" s="18"/>
      <c r="H184" s="35"/>
      <c r="I184" s="12"/>
      <c r="M184" s="12"/>
      <c r="N184" s="18"/>
      <c r="O184" s="12"/>
      <c r="P184" s="12"/>
      <c r="Q184" s="12"/>
      <c r="R184" s="36"/>
      <c r="S184" s="36"/>
      <c r="T184" s="12"/>
      <c r="U184" s="12"/>
      <c r="V184" s="12"/>
      <c r="W184" s="12"/>
      <c r="X184" s="12"/>
    </row>
    <row r="185" customFormat="false" ht="15.75" hidden="false" customHeight="false" outlineLevel="0" collapsed="false">
      <c r="A185" s="12"/>
      <c r="B185" s="34"/>
      <c r="C185" s="12"/>
      <c r="D185" s="12"/>
      <c r="E185" s="12"/>
      <c r="F185" s="12"/>
      <c r="G185" s="18"/>
      <c r="H185" s="35"/>
      <c r="I185" s="12"/>
      <c r="M185" s="12"/>
      <c r="N185" s="18"/>
      <c r="O185" s="12"/>
      <c r="P185" s="12"/>
      <c r="Q185" s="12"/>
      <c r="R185" s="36"/>
      <c r="S185" s="36"/>
      <c r="T185" s="12"/>
      <c r="U185" s="12"/>
      <c r="V185" s="12"/>
      <c r="W185" s="12"/>
      <c r="X185" s="12"/>
    </row>
    <row r="186" customFormat="false" ht="15.75" hidden="false" customHeight="false" outlineLevel="0" collapsed="false">
      <c r="A186" s="12"/>
      <c r="B186" s="34"/>
      <c r="C186" s="12"/>
      <c r="D186" s="12"/>
      <c r="E186" s="12"/>
      <c r="F186" s="12"/>
      <c r="G186" s="18"/>
      <c r="H186" s="35"/>
      <c r="I186" s="12"/>
      <c r="M186" s="12"/>
      <c r="N186" s="18"/>
      <c r="O186" s="12"/>
      <c r="P186" s="12"/>
      <c r="Q186" s="12"/>
      <c r="R186" s="36"/>
      <c r="S186" s="36"/>
      <c r="T186" s="12"/>
      <c r="U186" s="12"/>
      <c r="V186" s="12"/>
      <c r="W186" s="12"/>
      <c r="X186" s="12"/>
    </row>
    <row r="187" customFormat="false" ht="15.75" hidden="false" customHeight="false" outlineLevel="0" collapsed="false">
      <c r="A187" s="12"/>
      <c r="B187" s="34"/>
      <c r="C187" s="12"/>
      <c r="D187" s="12"/>
      <c r="E187" s="12"/>
      <c r="F187" s="12"/>
      <c r="G187" s="18"/>
      <c r="H187" s="35"/>
      <c r="I187" s="12"/>
      <c r="M187" s="12"/>
      <c r="N187" s="18"/>
      <c r="O187" s="12"/>
      <c r="P187" s="12"/>
      <c r="Q187" s="12"/>
      <c r="R187" s="36"/>
      <c r="S187" s="36"/>
      <c r="T187" s="12"/>
      <c r="U187" s="12"/>
      <c r="V187" s="12"/>
      <c r="W187" s="12"/>
      <c r="X187" s="12"/>
    </row>
    <row r="188" customFormat="false" ht="15.75" hidden="false" customHeight="false" outlineLevel="0" collapsed="false">
      <c r="A188" s="12"/>
      <c r="B188" s="34"/>
      <c r="C188" s="12"/>
      <c r="D188" s="12"/>
      <c r="E188" s="12"/>
      <c r="F188" s="12"/>
      <c r="G188" s="18"/>
      <c r="H188" s="35"/>
      <c r="I188" s="12"/>
      <c r="M188" s="12"/>
      <c r="N188" s="18"/>
      <c r="O188" s="12"/>
      <c r="P188" s="12"/>
      <c r="Q188" s="12"/>
      <c r="R188" s="36"/>
      <c r="S188" s="36"/>
      <c r="T188" s="12"/>
      <c r="U188" s="12"/>
      <c r="V188" s="12"/>
      <c r="W188" s="12"/>
      <c r="X188" s="12"/>
    </row>
    <row r="189" customFormat="false" ht="15.75" hidden="false" customHeight="false" outlineLevel="0" collapsed="false">
      <c r="A189" s="12"/>
      <c r="B189" s="34"/>
      <c r="C189" s="12"/>
      <c r="D189" s="12"/>
      <c r="E189" s="12"/>
      <c r="F189" s="12"/>
      <c r="G189" s="18"/>
      <c r="H189" s="35"/>
      <c r="I189" s="12"/>
      <c r="M189" s="12"/>
      <c r="N189" s="18"/>
      <c r="O189" s="12"/>
      <c r="P189" s="12"/>
      <c r="Q189" s="12"/>
      <c r="R189" s="36"/>
      <c r="S189" s="36"/>
      <c r="T189" s="12"/>
      <c r="U189" s="12"/>
      <c r="V189" s="12"/>
      <c r="W189" s="12"/>
      <c r="X189" s="12"/>
    </row>
    <row r="190" customFormat="false" ht="15.75" hidden="false" customHeight="false" outlineLevel="0" collapsed="false">
      <c r="A190" s="12"/>
      <c r="B190" s="34"/>
      <c r="C190" s="12"/>
      <c r="D190" s="12"/>
      <c r="E190" s="12"/>
      <c r="F190" s="12"/>
      <c r="G190" s="18"/>
      <c r="H190" s="35"/>
      <c r="I190" s="12"/>
      <c r="M190" s="12"/>
      <c r="N190" s="18"/>
      <c r="O190" s="12"/>
      <c r="P190" s="12"/>
      <c r="Q190" s="12"/>
      <c r="R190" s="36"/>
      <c r="S190" s="36"/>
      <c r="T190" s="12"/>
      <c r="U190" s="12"/>
      <c r="V190" s="12"/>
      <c r="W190" s="12"/>
      <c r="X190" s="12"/>
    </row>
    <row r="191" customFormat="false" ht="15.75" hidden="false" customHeight="false" outlineLevel="0" collapsed="false">
      <c r="A191" s="12"/>
      <c r="B191" s="34"/>
      <c r="C191" s="12"/>
      <c r="D191" s="12"/>
      <c r="E191" s="12"/>
      <c r="F191" s="12"/>
      <c r="G191" s="18"/>
      <c r="H191" s="35"/>
      <c r="I191" s="12"/>
      <c r="M191" s="12"/>
      <c r="N191" s="18"/>
      <c r="O191" s="12"/>
      <c r="P191" s="12"/>
      <c r="Q191" s="12"/>
      <c r="R191" s="36"/>
      <c r="S191" s="36"/>
      <c r="T191" s="12"/>
      <c r="U191" s="12"/>
      <c r="V191" s="12"/>
      <c r="W191" s="12"/>
      <c r="X191" s="12"/>
    </row>
    <row r="192" customFormat="false" ht="15.75" hidden="false" customHeight="false" outlineLevel="0" collapsed="false">
      <c r="A192" s="12"/>
      <c r="B192" s="34"/>
      <c r="C192" s="12"/>
      <c r="D192" s="12"/>
      <c r="E192" s="12"/>
      <c r="F192" s="12"/>
      <c r="G192" s="18"/>
      <c r="H192" s="35"/>
      <c r="I192" s="12"/>
      <c r="M192" s="12"/>
      <c r="N192" s="18"/>
      <c r="O192" s="12"/>
      <c r="P192" s="12"/>
      <c r="Q192" s="12"/>
      <c r="R192" s="36"/>
      <c r="S192" s="36"/>
      <c r="T192" s="12"/>
      <c r="U192" s="12"/>
      <c r="V192" s="12"/>
      <c r="W192" s="12"/>
      <c r="X192" s="12"/>
    </row>
    <row r="193" customFormat="false" ht="15.75" hidden="false" customHeight="false" outlineLevel="0" collapsed="false">
      <c r="A193" s="12"/>
      <c r="B193" s="34"/>
      <c r="C193" s="12"/>
      <c r="D193" s="12"/>
      <c r="E193" s="12"/>
      <c r="F193" s="12"/>
      <c r="G193" s="18"/>
      <c r="H193" s="35"/>
      <c r="I193" s="12"/>
      <c r="M193" s="12"/>
      <c r="N193" s="18"/>
      <c r="O193" s="12"/>
      <c r="P193" s="12"/>
      <c r="Q193" s="12"/>
      <c r="R193" s="36"/>
      <c r="S193" s="36"/>
      <c r="T193" s="12"/>
      <c r="U193" s="12"/>
      <c r="V193" s="12"/>
      <c r="W193" s="12"/>
      <c r="X193" s="12"/>
    </row>
    <row r="194" customFormat="false" ht="15.75" hidden="false" customHeight="false" outlineLevel="0" collapsed="false">
      <c r="A194" s="12"/>
      <c r="B194" s="34"/>
      <c r="C194" s="12"/>
      <c r="D194" s="12"/>
      <c r="E194" s="12"/>
      <c r="F194" s="12"/>
      <c r="G194" s="18"/>
      <c r="H194" s="35"/>
      <c r="I194" s="12"/>
      <c r="M194" s="12"/>
      <c r="N194" s="18"/>
      <c r="O194" s="12"/>
      <c r="P194" s="12"/>
      <c r="Q194" s="12"/>
      <c r="R194" s="36"/>
      <c r="S194" s="36"/>
      <c r="T194" s="12"/>
      <c r="U194" s="12"/>
      <c r="V194" s="12"/>
      <c r="W194" s="12"/>
      <c r="X194" s="12"/>
    </row>
    <row r="195" customFormat="false" ht="15.75" hidden="false" customHeight="false" outlineLevel="0" collapsed="false">
      <c r="A195" s="12"/>
      <c r="B195" s="34"/>
      <c r="C195" s="12"/>
      <c r="D195" s="12"/>
      <c r="E195" s="12"/>
      <c r="F195" s="12"/>
      <c r="G195" s="18"/>
      <c r="H195" s="35"/>
      <c r="I195" s="12"/>
      <c r="M195" s="12"/>
      <c r="N195" s="18"/>
      <c r="O195" s="12"/>
      <c r="P195" s="12"/>
      <c r="Q195" s="12"/>
      <c r="R195" s="36"/>
      <c r="S195" s="36"/>
      <c r="T195" s="12"/>
      <c r="U195" s="12"/>
      <c r="V195" s="12"/>
      <c r="W195" s="12"/>
      <c r="X195" s="12"/>
    </row>
    <row r="196" customFormat="false" ht="15.75" hidden="false" customHeight="false" outlineLevel="0" collapsed="false">
      <c r="A196" s="12"/>
      <c r="B196" s="34"/>
      <c r="C196" s="12"/>
      <c r="D196" s="12"/>
      <c r="E196" s="12"/>
      <c r="F196" s="12"/>
      <c r="G196" s="18"/>
      <c r="H196" s="35"/>
      <c r="I196" s="12"/>
      <c r="M196" s="12"/>
      <c r="N196" s="18"/>
      <c r="O196" s="12"/>
      <c r="P196" s="12"/>
      <c r="Q196" s="12"/>
      <c r="R196" s="36"/>
      <c r="S196" s="36"/>
      <c r="T196" s="12"/>
      <c r="U196" s="12"/>
      <c r="V196" s="12"/>
      <c r="W196" s="12"/>
      <c r="X196" s="12"/>
    </row>
    <row r="197" customFormat="false" ht="15.75" hidden="false" customHeight="false" outlineLevel="0" collapsed="false">
      <c r="A197" s="12"/>
      <c r="B197" s="34"/>
      <c r="C197" s="12"/>
      <c r="D197" s="12"/>
      <c r="E197" s="12"/>
      <c r="F197" s="12"/>
      <c r="G197" s="18"/>
      <c r="H197" s="35"/>
      <c r="I197" s="12"/>
      <c r="M197" s="12"/>
      <c r="N197" s="18"/>
      <c r="O197" s="12"/>
      <c r="P197" s="12"/>
      <c r="Q197" s="12"/>
      <c r="R197" s="36"/>
      <c r="S197" s="36"/>
      <c r="T197" s="12"/>
      <c r="U197" s="12"/>
      <c r="V197" s="12"/>
      <c r="W197" s="12"/>
      <c r="X197" s="12"/>
    </row>
    <row r="198" customFormat="false" ht="15.75" hidden="false" customHeight="false" outlineLevel="0" collapsed="false">
      <c r="A198" s="12"/>
      <c r="B198" s="34"/>
      <c r="C198" s="12"/>
      <c r="D198" s="12"/>
      <c r="E198" s="12"/>
      <c r="F198" s="12"/>
      <c r="G198" s="18"/>
      <c r="H198" s="35"/>
      <c r="I198" s="12"/>
      <c r="M198" s="12"/>
      <c r="N198" s="18"/>
      <c r="O198" s="12"/>
      <c r="P198" s="12"/>
      <c r="Q198" s="12"/>
      <c r="R198" s="36"/>
      <c r="S198" s="36"/>
      <c r="T198" s="12"/>
      <c r="U198" s="12"/>
      <c r="V198" s="12"/>
      <c r="W198" s="12"/>
      <c r="X198" s="12"/>
    </row>
    <row r="199" customFormat="false" ht="15.75" hidden="false" customHeight="false" outlineLevel="0" collapsed="false">
      <c r="A199" s="12"/>
      <c r="B199" s="34"/>
      <c r="C199" s="12"/>
      <c r="D199" s="12"/>
      <c r="E199" s="12"/>
      <c r="F199" s="12"/>
      <c r="G199" s="18"/>
      <c r="H199" s="35"/>
      <c r="I199" s="12"/>
      <c r="M199" s="12"/>
      <c r="N199" s="18"/>
      <c r="O199" s="12"/>
      <c r="P199" s="12"/>
      <c r="Q199" s="12"/>
      <c r="R199" s="36"/>
      <c r="S199" s="36"/>
      <c r="T199" s="12"/>
      <c r="U199" s="12"/>
      <c r="V199" s="12"/>
      <c r="W199" s="12"/>
      <c r="X199" s="12"/>
    </row>
    <row r="200" customFormat="false" ht="15.75" hidden="false" customHeight="false" outlineLevel="0" collapsed="false">
      <c r="A200" s="12"/>
      <c r="B200" s="34"/>
      <c r="C200" s="12"/>
      <c r="D200" s="12"/>
      <c r="E200" s="12"/>
      <c r="F200" s="12"/>
      <c r="G200" s="18"/>
      <c r="H200" s="35"/>
      <c r="I200" s="12"/>
      <c r="M200" s="12"/>
      <c r="N200" s="18"/>
      <c r="O200" s="12"/>
      <c r="P200" s="12"/>
      <c r="Q200" s="12"/>
      <c r="R200" s="36"/>
      <c r="S200" s="36"/>
      <c r="T200" s="12"/>
      <c r="U200" s="12"/>
      <c r="V200" s="12"/>
      <c r="W200" s="12"/>
      <c r="X200" s="12"/>
    </row>
    <row r="201" customFormat="false" ht="15.75" hidden="false" customHeight="false" outlineLevel="0" collapsed="false">
      <c r="A201" s="12"/>
      <c r="B201" s="34"/>
      <c r="C201" s="12"/>
      <c r="D201" s="12"/>
      <c r="E201" s="12"/>
      <c r="F201" s="12"/>
      <c r="G201" s="18"/>
      <c r="H201" s="35"/>
      <c r="I201" s="12"/>
      <c r="M201" s="12"/>
      <c r="N201" s="18"/>
      <c r="O201" s="12"/>
      <c r="P201" s="12"/>
      <c r="Q201" s="12"/>
      <c r="R201" s="36"/>
      <c r="S201" s="36"/>
      <c r="T201" s="12"/>
      <c r="U201" s="12"/>
      <c r="V201" s="12"/>
      <c r="W201" s="12"/>
      <c r="X201" s="12"/>
    </row>
    <row r="202" customFormat="false" ht="15.75" hidden="false" customHeight="false" outlineLevel="0" collapsed="false">
      <c r="A202" s="12"/>
      <c r="B202" s="34"/>
      <c r="C202" s="12"/>
      <c r="D202" s="12"/>
      <c r="E202" s="12"/>
      <c r="F202" s="12"/>
      <c r="G202" s="18"/>
      <c r="H202" s="35"/>
      <c r="I202" s="12"/>
      <c r="M202" s="12"/>
      <c r="N202" s="18"/>
      <c r="O202" s="12"/>
      <c r="P202" s="12"/>
      <c r="Q202" s="12"/>
      <c r="R202" s="36"/>
      <c r="S202" s="36"/>
      <c r="T202" s="12"/>
      <c r="U202" s="12"/>
      <c r="V202" s="12"/>
      <c r="W202" s="12"/>
      <c r="X202" s="12"/>
    </row>
    <row r="203" customFormat="false" ht="15.75" hidden="false" customHeight="false" outlineLevel="0" collapsed="false">
      <c r="A203" s="12"/>
      <c r="B203" s="34"/>
      <c r="C203" s="12"/>
      <c r="D203" s="12"/>
      <c r="E203" s="12"/>
      <c r="F203" s="12"/>
      <c r="G203" s="18"/>
      <c r="H203" s="35"/>
      <c r="I203" s="12"/>
      <c r="M203" s="12"/>
      <c r="N203" s="18"/>
      <c r="O203" s="12"/>
      <c r="P203" s="12"/>
      <c r="Q203" s="12"/>
      <c r="R203" s="36"/>
      <c r="S203" s="36"/>
      <c r="T203" s="12"/>
      <c r="U203" s="12"/>
      <c r="V203" s="12"/>
      <c r="W203" s="12"/>
      <c r="X203" s="12"/>
    </row>
    <row r="204" customFormat="false" ht="15.75" hidden="false" customHeight="false" outlineLevel="0" collapsed="false">
      <c r="A204" s="12"/>
      <c r="B204" s="34"/>
      <c r="C204" s="12"/>
      <c r="D204" s="12"/>
      <c r="E204" s="12"/>
      <c r="F204" s="12"/>
      <c r="G204" s="18"/>
      <c r="H204" s="35"/>
      <c r="I204" s="12"/>
      <c r="M204" s="12"/>
      <c r="N204" s="18"/>
      <c r="O204" s="12"/>
      <c r="P204" s="12"/>
      <c r="Q204" s="12"/>
      <c r="R204" s="36"/>
      <c r="S204" s="36"/>
      <c r="T204" s="12"/>
      <c r="U204" s="12"/>
      <c r="V204" s="12"/>
      <c r="W204" s="12"/>
      <c r="X204" s="12"/>
    </row>
    <row r="205" customFormat="false" ht="15.75" hidden="false" customHeight="false" outlineLevel="0" collapsed="false">
      <c r="A205" s="12"/>
      <c r="B205" s="34"/>
      <c r="C205" s="12"/>
      <c r="D205" s="12"/>
      <c r="E205" s="12"/>
      <c r="F205" s="12"/>
      <c r="G205" s="18"/>
      <c r="H205" s="35"/>
      <c r="I205" s="12"/>
      <c r="M205" s="12"/>
      <c r="N205" s="18"/>
      <c r="O205" s="12"/>
      <c r="P205" s="12"/>
      <c r="Q205" s="12"/>
      <c r="R205" s="36"/>
      <c r="S205" s="36"/>
      <c r="T205" s="12"/>
      <c r="U205" s="12"/>
      <c r="V205" s="12"/>
      <c r="W205" s="12"/>
      <c r="X205" s="12"/>
    </row>
    <row r="206" customFormat="false" ht="15.75" hidden="false" customHeight="false" outlineLevel="0" collapsed="false">
      <c r="A206" s="12"/>
      <c r="B206" s="34"/>
      <c r="C206" s="12"/>
      <c r="D206" s="12"/>
      <c r="E206" s="12"/>
      <c r="F206" s="12"/>
      <c r="G206" s="18"/>
      <c r="H206" s="35"/>
      <c r="I206" s="12"/>
      <c r="M206" s="12"/>
      <c r="N206" s="18"/>
      <c r="O206" s="12"/>
      <c r="P206" s="12"/>
      <c r="Q206" s="12"/>
      <c r="R206" s="36"/>
      <c r="S206" s="36"/>
      <c r="T206" s="12"/>
      <c r="U206" s="12"/>
      <c r="V206" s="12"/>
      <c r="W206" s="12"/>
      <c r="X206" s="12"/>
    </row>
    <row r="207" customFormat="false" ht="15.75" hidden="false" customHeight="false" outlineLevel="0" collapsed="false">
      <c r="A207" s="12"/>
      <c r="B207" s="34"/>
      <c r="C207" s="12"/>
      <c r="D207" s="12"/>
      <c r="E207" s="12"/>
      <c r="F207" s="12"/>
      <c r="G207" s="18"/>
      <c r="H207" s="35"/>
      <c r="I207" s="12"/>
      <c r="M207" s="12"/>
      <c r="N207" s="18"/>
      <c r="O207" s="12"/>
      <c r="P207" s="12"/>
      <c r="Q207" s="12"/>
      <c r="R207" s="36"/>
      <c r="S207" s="36"/>
      <c r="T207" s="12"/>
      <c r="U207" s="12"/>
      <c r="V207" s="12"/>
      <c r="W207" s="12"/>
      <c r="X207" s="12"/>
    </row>
    <row r="208" customFormat="false" ht="15.75" hidden="false" customHeight="false" outlineLevel="0" collapsed="false">
      <c r="A208" s="12"/>
      <c r="B208" s="34"/>
      <c r="C208" s="12"/>
      <c r="D208" s="12"/>
      <c r="E208" s="12"/>
      <c r="F208" s="12"/>
      <c r="G208" s="18"/>
      <c r="H208" s="35"/>
      <c r="I208" s="12"/>
      <c r="M208" s="12"/>
      <c r="N208" s="18"/>
      <c r="O208" s="12"/>
      <c r="P208" s="12"/>
      <c r="Q208" s="12"/>
      <c r="R208" s="36"/>
      <c r="S208" s="36"/>
      <c r="T208" s="12"/>
      <c r="U208" s="12"/>
      <c r="V208" s="12"/>
      <c r="W208" s="12"/>
      <c r="X208" s="12"/>
    </row>
    <row r="209" customFormat="false" ht="15.75" hidden="false" customHeight="false" outlineLevel="0" collapsed="false">
      <c r="A209" s="12"/>
      <c r="B209" s="34"/>
      <c r="C209" s="12"/>
      <c r="D209" s="12"/>
      <c r="E209" s="12"/>
      <c r="F209" s="12"/>
      <c r="G209" s="18"/>
      <c r="H209" s="35"/>
      <c r="I209" s="12"/>
      <c r="M209" s="12"/>
      <c r="N209" s="18"/>
      <c r="O209" s="12"/>
      <c r="P209" s="12"/>
      <c r="Q209" s="12"/>
      <c r="R209" s="36"/>
      <c r="S209" s="36"/>
      <c r="T209" s="12"/>
      <c r="U209" s="12"/>
      <c r="V209" s="12"/>
      <c r="W209" s="12"/>
      <c r="X209" s="12"/>
    </row>
    <row r="210" customFormat="false" ht="15.75" hidden="false" customHeight="false" outlineLevel="0" collapsed="false">
      <c r="A210" s="12"/>
      <c r="B210" s="34"/>
      <c r="C210" s="12"/>
      <c r="D210" s="12"/>
      <c r="E210" s="12"/>
      <c r="F210" s="12"/>
      <c r="G210" s="18"/>
      <c r="H210" s="35"/>
      <c r="I210" s="12"/>
      <c r="M210" s="12"/>
      <c r="N210" s="18"/>
      <c r="O210" s="12"/>
      <c r="P210" s="12"/>
      <c r="Q210" s="12"/>
      <c r="R210" s="36"/>
      <c r="S210" s="36"/>
      <c r="T210" s="12"/>
      <c r="U210" s="12"/>
      <c r="V210" s="12"/>
      <c r="W210" s="12"/>
      <c r="X210" s="12"/>
    </row>
    <row r="211" customFormat="false" ht="15.75" hidden="false" customHeight="false" outlineLevel="0" collapsed="false">
      <c r="A211" s="12"/>
      <c r="B211" s="34"/>
      <c r="C211" s="12"/>
      <c r="D211" s="12"/>
      <c r="E211" s="12"/>
      <c r="F211" s="12"/>
      <c r="G211" s="18"/>
      <c r="H211" s="35"/>
      <c r="I211" s="12"/>
      <c r="M211" s="12"/>
      <c r="N211" s="18"/>
      <c r="O211" s="12"/>
      <c r="P211" s="12"/>
      <c r="Q211" s="12"/>
      <c r="R211" s="36"/>
      <c r="S211" s="36"/>
      <c r="T211" s="12"/>
      <c r="U211" s="12"/>
      <c r="V211" s="12"/>
      <c r="W211" s="12"/>
      <c r="X211" s="12"/>
    </row>
    <row r="212" customFormat="false" ht="15.75" hidden="false" customHeight="false" outlineLevel="0" collapsed="false">
      <c r="A212" s="12"/>
      <c r="B212" s="34"/>
      <c r="C212" s="12"/>
      <c r="D212" s="12"/>
      <c r="E212" s="12"/>
      <c r="F212" s="12"/>
      <c r="G212" s="18"/>
      <c r="H212" s="35"/>
      <c r="I212" s="12"/>
      <c r="M212" s="12"/>
      <c r="N212" s="18"/>
      <c r="O212" s="12"/>
      <c r="P212" s="12"/>
      <c r="Q212" s="12"/>
      <c r="R212" s="36"/>
      <c r="S212" s="36"/>
      <c r="T212" s="12"/>
      <c r="U212" s="12"/>
      <c r="V212" s="12"/>
      <c r="W212" s="12"/>
      <c r="X212" s="12"/>
    </row>
    <row r="213" customFormat="false" ht="15.75" hidden="false" customHeight="false" outlineLevel="0" collapsed="false">
      <c r="A213" s="12"/>
      <c r="B213" s="34"/>
      <c r="C213" s="12"/>
      <c r="D213" s="12"/>
      <c r="E213" s="12"/>
      <c r="F213" s="12"/>
      <c r="G213" s="18"/>
      <c r="H213" s="35"/>
      <c r="I213" s="12"/>
      <c r="M213" s="12"/>
      <c r="N213" s="18"/>
      <c r="O213" s="12"/>
      <c r="P213" s="12"/>
      <c r="Q213" s="12"/>
      <c r="R213" s="36"/>
      <c r="S213" s="36"/>
      <c r="T213" s="12"/>
      <c r="U213" s="12"/>
      <c r="V213" s="12"/>
      <c r="W213" s="12"/>
      <c r="X213" s="12"/>
    </row>
    <row r="214" customFormat="false" ht="15.75" hidden="false" customHeight="false" outlineLevel="0" collapsed="false">
      <c r="A214" s="12"/>
      <c r="B214" s="34"/>
      <c r="C214" s="12"/>
      <c r="D214" s="12"/>
      <c r="E214" s="12"/>
      <c r="F214" s="12"/>
      <c r="G214" s="18"/>
      <c r="H214" s="35"/>
      <c r="I214" s="12"/>
      <c r="M214" s="12"/>
      <c r="N214" s="18"/>
      <c r="O214" s="12"/>
      <c r="P214" s="12"/>
      <c r="Q214" s="12"/>
      <c r="R214" s="36"/>
      <c r="S214" s="36"/>
      <c r="T214" s="12"/>
      <c r="U214" s="12"/>
      <c r="V214" s="12"/>
      <c r="W214" s="12"/>
      <c r="X214" s="12"/>
    </row>
    <row r="215" customFormat="false" ht="15.75" hidden="false" customHeight="false" outlineLevel="0" collapsed="false">
      <c r="A215" s="12"/>
      <c r="B215" s="34"/>
      <c r="C215" s="12"/>
      <c r="D215" s="12"/>
      <c r="E215" s="12"/>
      <c r="F215" s="12"/>
      <c r="G215" s="18"/>
      <c r="H215" s="35"/>
      <c r="I215" s="12"/>
      <c r="M215" s="12"/>
      <c r="N215" s="18"/>
      <c r="O215" s="12"/>
      <c r="P215" s="12"/>
      <c r="Q215" s="12"/>
      <c r="R215" s="36"/>
      <c r="S215" s="36"/>
      <c r="T215" s="12"/>
      <c r="U215" s="12"/>
      <c r="V215" s="12"/>
      <c r="W215" s="12"/>
      <c r="X215" s="12"/>
    </row>
    <row r="216" customFormat="false" ht="15.75" hidden="false" customHeight="false" outlineLevel="0" collapsed="false">
      <c r="A216" s="12"/>
      <c r="B216" s="34"/>
      <c r="C216" s="12"/>
      <c r="D216" s="12"/>
      <c r="E216" s="12"/>
      <c r="F216" s="12"/>
      <c r="G216" s="18"/>
      <c r="H216" s="35"/>
      <c r="I216" s="12"/>
      <c r="M216" s="12"/>
      <c r="N216" s="18"/>
      <c r="O216" s="12"/>
      <c r="P216" s="12"/>
      <c r="Q216" s="12"/>
      <c r="R216" s="36"/>
      <c r="S216" s="36"/>
      <c r="T216" s="12"/>
      <c r="U216" s="12"/>
      <c r="V216" s="12"/>
      <c r="W216" s="12"/>
      <c r="X216" s="12"/>
    </row>
    <row r="217" customFormat="false" ht="15.75" hidden="false" customHeight="false" outlineLevel="0" collapsed="false">
      <c r="A217" s="12"/>
      <c r="B217" s="34"/>
      <c r="C217" s="12"/>
      <c r="D217" s="12"/>
      <c r="E217" s="12"/>
      <c r="F217" s="12"/>
      <c r="G217" s="18"/>
      <c r="H217" s="35"/>
      <c r="I217" s="12"/>
      <c r="M217" s="12"/>
      <c r="N217" s="18"/>
      <c r="O217" s="12"/>
      <c r="P217" s="12"/>
      <c r="Q217" s="12"/>
      <c r="R217" s="36"/>
      <c r="S217" s="36"/>
      <c r="T217" s="12"/>
      <c r="U217" s="12"/>
      <c r="V217" s="12"/>
      <c r="W217" s="12"/>
      <c r="X217" s="12"/>
    </row>
    <row r="218" customFormat="false" ht="15.75" hidden="false" customHeight="false" outlineLevel="0" collapsed="false">
      <c r="A218" s="12"/>
      <c r="B218" s="34"/>
      <c r="C218" s="12"/>
      <c r="D218" s="12"/>
      <c r="E218" s="12"/>
      <c r="F218" s="12"/>
      <c r="G218" s="18"/>
      <c r="H218" s="35"/>
      <c r="I218" s="12"/>
      <c r="M218" s="12"/>
      <c r="N218" s="18"/>
      <c r="O218" s="12"/>
      <c r="P218" s="12"/>
      <c r="Q218" s="12"/>
      <c r="R218" s="36"/>
      <c r="S218" s="36"/>
      <c r="T218" s="12"/>
      <c r="U218" s="12"/>
      <c r="V218" s="12"/>
      <c r="W218" s="12"/>
      <c r="X218" s="12"/>
    </row>
    <row r="219" customFormat="false" ht="15.75" hidden="false" customHeight="false" outlineLevel="0" collapsed="false">
      <c r="A219" s="12"/>
      <c r="B219" s="34"/>
      <c r="C219" s="12"/>
      <c r="D219" s="12"/>
      <c r="E219" s="12"/>
      <c r="F219" s="12"/>
      <c r="G219" s="18"/>
      <c r="H219" s="35"/>
      <c r="I219" s="12"/>
      <c r="M219" s="12"/>
      <c r="N219" s="18"/>
      <c r="O219" s="12"/>
      <c r="P219" s="12"/>
      <c r="Q219" s="12"/>
      <c r="R219" s="36"/>
      <c r="S219" s="36"/>
      <c r="T219" s="12"/>
      <c r="U219" s="12"/>
      <c r="V219" s="12"/>
      <c r="W219" s="12"/>
      <c r="X219" s="12"/>
    </row>
    <row r="220" customFormat="false" ht="15.75" hidden="false" customHeight="false" outlineLevel="0" collapsed="false">
      <c r="A220" s="12"/>
      <c r="B220" s="34"/>
      <c r="C220" s="12"/>
      <c r="D220" s="12"/>
      <c r="E220" s="12"/>
      <c r="F220" s="12"/>
      <c r="G220" s="18"/>
      <c r="H220" s="35"/>
      <c r="I220" s="12"/>
      <c r="M220" s="12"/>
      <c r="N220" s="18"/>
      <c r="O220" s="12"/>
      <c r="P220" s="12"/>
      <c r="Q220" s="12"/>
      <c r="R220" s="36"/>
      <c r="S220" s="36"/>
      <c r="T220" s="12"/>
      <c r="U220" s="12"/>
      <c r="V220" s="12"/>
      <c r="W220" s="12"/>
      <c r="X220" s="12"/>
    </row>
    <row r="221" customFormat="false" ht="15.75" hidden="false" customHeight="false" outlineLevel="0" collapsed="false">
      <c r="A221" s="12"/>
      <c r="B221" s="34"/>
      <c r="C221" s="12"/>
      <c r="D221" s="12"/>
      <c r="E221" s="12"/>
      <c r="F221" s="12"/>
      <c r="G221" s="18"/>
      <c r="H221" s="35"/>
      <c r="I221" s="12"/>
      <c r="M221" s="12"/>
      <c r="N221" s="18"/>
      <c r="O221" s="12"/>
      <c r="P221" s="12"/>
      <c r="Q221" s="12"/>
      <c r="R221" s="36"/>
      <c r="S221" s="36"/>
      <c r="T221" s="12"/>
      <c r="U221" s="12"/>
      <c r="V221" s="12"/>
      <c r="W221" s="12"/>
      <c r="X221" s="12"/>
    </row>
    <row r="222" customFormat="false" ht="15.75" hidden="false" customHeight="false" outlineLevel="0" collapsed="false">
      <c r="A222" s="12"/>
      <c r="B222" s="34"/>
      <c r="C222" s="12"/>
      <c r="D222" s="12"/>
      <c r="E222" s="12"/>
      <c r="F222" s="12"/>
      <c r="G222" s="18"/>
      <c r="H222" s="35"/>
      <c r="I222" s="12"/>
      <c r="M222" s="12"/>
      <c r="N222" s="18"/>
      <c r="O222" s="12"/>
      <c r="P222" s="12"/>
      <c r="Q222" s="12"/>
      <c r="R222" s="36"/>
      <c r="S222" s="36"/>
      <c r="T222" s="12"/>
      <c r="U222" s="12"/>
      <c r="V222" s="12"/>
      <c r="W222" s="12"/>
      <c r="X222" s="12"/>
    </row>
    <row r="223" customFormat="false" ht="15.75" hidden="false" customHeight="false" outlineLevel="0" collapsed="false">
      <c r="A223" s="12"/>
      <c r="B223" s="34"/>
      <c r="C223" s="12"/>
      <c r="D223" s="12"/>
      <c r="E223" s="12"/>
      <c r="F223" s="12"/>
      <c r="G223" s="18"/>
      <c r="H223" s="35"/>
      <c r="I223" s="12"/>
      <c r="M223" s="12"/>
      <c r="N223" s="18"/>
      <c r="O223" s="12"/>
      <c r="P223" s="12"/>
      <c r="Q223" s="12"/>
      <c r="R223" s="36"/>
      <c r="S223" s="36"/>
      <c r="T223" s="12"/>
      <c r="U223" s="12"/>
      <c r="V223" s="12"/>
      <c r="W223" s="12"/>
      <c r="X223" s="12"/>
    </row>
    <row r="224" customFormat="false" ht="15.75" hidden="false" customHeight="false" outlineLevel="0" collapsed="false">
      <c r="A224" s="12"/>
      <c r="B224" s="34"/>
      <c r="C224" s="12"/>
      <c r="D224" s="12"/>
      <c r="E224" s="12"/>
      <c r="F224" s="12"/>
      <c r="G224" s="18"/>
      <c r="H224" s="35"/>
      <c r="I224" s="12"/>
      <c r="M224" s="12"/>
      <c r="N224" s="18"/>
      <c r="O224" s="12"/>
      <c r="P224" s="12"/>
      <c r="Q224" s="12"/>
      <c r="R224" s="36"/>
      <c r="S224" s="36"/>
      <c r="T224" s="12"/>
      <c r="U224" s="12"/>
      <c r="V224" s="12"/>
      <c r="W224" s="12"/>
      <c r="X224" s="12"/>
    </row>
    <row r="225" customFormat="false" ht="15.75" hidden="false" customHeight="false" outlineLevel="0" collapsed="false">
      <c r="A225" s="12"/>
      <c r="B225" s="34"/>
      <c r="C225" s="12"/>
      <c r="D225" s="12"/>
      <c r="E225" s="12"/>
      <c r="F225" s="12"/>
      <c r="G225" s="18"/>
      <c r="H225" s="35"/>
      <c r="I225" s="12"/>
      <c r="M225" s="12"/>
      <c r="N225" s="18"/>
      <c r="O225" s="12"/>
      <c r="P225" s="12"/>
      <c r="Q225" s="12"/>
      <c r="R225" s="36"/>
      <c r="S225" s="36"/>
      <c r="T225" s="12"/>
      <c r="U225" s="12"/>
      <c r="V225" s="12"/>
      <c r="W225" s="12"/>
      <c r="X225" s="12"/>
    </row>
    <row r="226" customFormat="false" ht="15.75" hidden="false" customHeight="false" outlineLevel="0" collapsed="false">
      <c r="A226" s="12"/>
      <c r="B226" s="34"/>
      <c r="C226" s="12"/>
      <c r="D226" s="12"/>
      <c r="E226" s="12"/>
      <c r="F226" s="12"/>
      <c r="G226" s="18"/>
      <c r="H226" s="35"/>
      <c r="I226" s="12"/>
      <c r="M226" s="12"/>
      <c r="N226" s="18"/>
      <c r="O226" s="12"/>
      <c r="P226" s="12"/>
      <c r="Q226" s="12"/>
      <c r="R226" s="36"/>
      <c r="S226" s="36"/>
      <c r="T226" s="12"/>
      <c r="U226" s="12"/>
      <c r="V226" s="12"/>
      <c r="W226" s="12"/>
      <c r="X226" s="12"/>
    </row>
    <row r="227" customFormat="false" ht="15.75" hidden="false" customHeight="false" outlineLevel="0" collapsed="false">
      <c r="A227" s="12"/>
      <c r="B227" s="34"/>
      <c r="C227" s="12"/>
      <c r="D227" s="12"/>
      <c r="E227" s="12"/>
      <c r="F227" s="12"/>
      <c r="G227" s="18"/>
      <c r="H227" s="35"/>
      <c r="I227" s="12"/>
      <c r="M227" s="12"/>
      <c r="N227" s="18"/>
      <c r="O227" s="12"/>
      <c r="P227" s="12"/>
      <c r="Q227" s="12"/>
      <c r="R227" s="36"/>
      <c r="S227" s="36"/>
      <c r="T227" s="12"/>
      <c r="U227" s="12"/>
      <c r="V227" s="12"/>
      <c r="W227" s="12"/>
      <c r="X227" s="12"/>
    </row>
    <row r="228" customFormat="false" ht="15.75" hidden="false" customHeight="false" outlineLevel="0" collapsed="false">
      <c r="A228" s="12"/>
      <c r="B228" s="34"/>
      <c r="C228" s="12"/>
      <c r="D228" s="12"/>
      <c r="E228" s="12"/>
      <c r="F228" s="12"/>
      <c r="G228" s="18"/>
      <c r="H228" s="35"/>
      <c r="I228" s="12"/>
      <c r="M228" s="12"/>
      <c r="N228" s="18"/>
      <c r="O228" s="12"/>
      <c r="P228" s="12"/>
      <c r="Q228" s="12"/>
      <c r="R228" s="36"/>
      <c r="S228" s="36"/>
      <c r="T228" s="12"/>
      <c r="U228" s="12"/>
      <c r="V228" s="12"/>
      <c r="W228" s="12"/>
      <c r="X228" s="12"/>
    </row>
    <row r="229" customFormat="false" ht="15.75" hidden="false" customHeight="false" outlineLevel="0" collapsed="false">
      <c r="A229" s="12"/>
      <c r="B229" s="34"/>
      <c r="C229" s="12"/>
      <c r="D229" s="12"/>
      <c r="E229" s="12"/>
      <c r="F229" s="12"/>
      <c r="G229" s="18"/>
      <c r="H229" s="35"/>
      <c r="I229" s="12"/>
      <c r="M229" s="12"/>
      <c r="N229" s="18"/>
      <c r="O229" s="12"/>
      <c r="P229" s="12"/>
      <c r="Q229" s="12"/>
      <c r="R229" s="36"/>
      <c r="S229" s="36"/>
      <c r="T229" s="12"/>
      <c r="U229" s="12"/>
      <c r="V229" s="12"/>
      <c r="W229" s="12"/>
      <c r="X229" s="12"/>
    </row>
    <row r="230" customFormat="false" ht="15.75" hidden="false" customHeight="false" outlineLevel="0" collapsed="false">
      <c r="A230" s="12"/>
      <c r="B230" s="34"/>
      <c r="C230" s="12"/>
      <c r="D230" s="12"/>
      <c r="E230" s="12"/>
      <c r="F230" s="12"/>
      <c r="G230" s="18"/>
      <c r="H230" s="35"/>
      <c r="I230" s="12"/>
      <c r="M230" s="12"/>
      <c r="N230" s="18"/>
      <c r="O230" s="12"/>
      <c r="P230" s="12"/>
      <c r="Q230" s="12"/>
      <c r="R230" s="36"/>
      <c r="S230" s="36"/>
      <c r="T230" s="12"/>
      <c r="U230" s="12"/>
      <c r="V230" s="12"/>
      <c r="W230" s="12"/>
      <c r="X230" s="12"/>
    </row>
    <row r="231" customFormat="false" ht="15.75" hidden="false" customHeight="false" outlineLevel="0" collapsed="false">
      <c r="A231" s="12"/>
      <c r="B231" s="34"/>
      <c r="C231" s="12"/>
      <c r="D231" s="12"/>
      <c r="E231" s="12"/>
      <c r="F231" s="12"/>
      <c r="G231" s="18"/>
      <c r="H231" s="35"/>
      <c r="I231" s="12"/>
      <c r="M231" s="12"/>
      <c r="N231" s="18"/>
      <c r="O231" s="12"/>
      <c r="P231" s="12"/>
      <c r="Q231" s="12"/>
      <c r="R231" s="36"/>
      <c r="S231" s="36"/>
      <c r="T231" s="12"/>
      <c r="U231" s="12"/>
      <c r="V231" s="12"/>
      <c r="W231" s="12"/>
      <c r="X231" s="12"/>
    </row>
    <row r="232" customFormat="false" ht="15.75" hidden="false" customHeight="false" outlineLevel="0" collapsed="false">
      <c r="A232" s="12"/>
      <c r="B232" s="34"/>
      <c r="C232" s="12"/>
      <c r="D232" s="12"/>
      <c r="E232" s="12"/>
      <c r="F232" s="12"/>
      <c r="G232" s="18"/>
      <c r="H232" s="35"/>
      <c r="I232" s="12"/>
      <c r="M232" s="12"/>
      <c r="N232" s="18"/>
      <c r="O232" s="12"/>
      <c r="P232" s="12"/>
      <c r="Q232" s="12"/>
      <c r="R232" s="36"/>
      <c r="S232" s="36"/>
      <c r="T232" s="12"/>
      <c r="U232" s="12"/>
      <c r="V232" s="12"/>
      <c r="W232" s="12"/>
      <c r="X232" s="12"/>
    </row>
    <row r="233" customFormat="false" ht="15.75" hidden="false" customHeight="false" outlineLevel="0" collapsed="false">
      <c r="A233" s="12"/>
      <c r="B233" s="34"/>
      <c r="C233" s="12"/>
      <c r="D233" s="12"/>
      <c r="E233" s="12"/>
      <c r="F233" s="12"/>
      <c r="G233" s="18"/>
      <c r="H233" s="35"/>
      <c r="I233" s="12"/>
      <c r="M233" s="12"/>
      <c r="N233" s="18"/>
      <c r="O233" s="12"/>
      <c r="P233" s="12"/>
      <c r="Q233" s="12"/>
      <c r="R233" s="36"/>
      <c r="S233" s="36"/>
      <c r="T233" s="12"/>
      <c r="U233" s="12"/>
      <c r="V233" s="12"/>
      <c r="W233" s="12"/>
      <c r="X233" s="12"/>
    </row>
    <row r="234" customFormat="false" ht="15.75" hidden="false" customHeight="false" outlineLevel="0" collapsed="false">
      <c r="A234" s="12"/>
      <c r="B234" s="34"/>
      <c r="C234" s="12"/>
      <c r="D234" s="12"/>
      <c r="E234" s="12"/>
      <c r="F234" s="12"/>
      <c r="G234" s="18"/>
      <c r="H234" s="35"/>
      <c r="I234" s="12"/>
      <c r="M234" s="12"/>
      <c r="N234" s="18"/>
      <c r="O234" s="12"/>
      <c r="P234" s="12"/>
      <c r="Q234" s="12"/>
      <c r="R234" s="36"/>
      <c r="S234" s="36"/>
      <c r="T234" s="12"/>
      <c r="U234" s="12"/>
      <c r="V234" s="12"/>
      <c r="W234" s="12"/>
      <c r="X234" s="12"/>
    </row>
    <row r="235" customFormat="false" ht="15.75" hidden="false" customHeight="false" outlineLevel="0" collapsed="false">
      <c r="A235" s="12"/>
      <c r="B235" s="34"/>
      <c r="C235" s="12"/>
      <c r="D235" s="12"/>
      <c r="E235" s="12"/>
      <c r="F235" s="12"/>
      <c r="G235" s="18"/>
      <c r="H235" s="35"/>
      <c r="I235" s="12"/>
      <c r="M235" s="12"/>
      <c r="N235" s="18"/>
      <c r="O235" s="12"/>
      <c r="P235" s="12"/>
      <c r="Q235" s="12"/>
      <c r="R235" s="36"/>
      <c r="S235" s="36"/>
      <c r="T235" s="12"/>
      <c r="U235" s="12"/>
      <c r="V235" s="12"/>
      <c r="W235" s="12"/>
      <c r="X235" s="12"/>
    </row>
    <row r="236" customFormat="false" ht="15.75" hidden="false" customHeight="false" outlineLevel="0" collapsed="false">
      <c r="A236" s="12"/>
      <c r="B236" s="34"/>
      <c r="C236" s="12"/>
      <c r="D236" s="12"/>
      <c r="E236" s="12"/>
      <c r="F236" s="12"/>
      <c r="G236" s="18"/>
      <c r="H236" s="35"/>
      <c r="I236" s="12"/>
      <c r="M236" s="12"/>
      <c r="N236" s="18"/>
      <c r="O236" s="12"/>
      <c r="P236" s="12"/>
      <c r="Q236" s="12"/>
      <c r="R236" s="36"/>
      <c r="S236" s="36"/>
      <c r="T236" s="12"/>
      <c r="U236" s="12"/>
      <c r="V236" s="12"/>
      <c r="W236" s="12"/>
      <c r="X236" s="12"/>
    </row>
    <row r="237" customFormat="false" ht="15.75" hidden="false" customHeight="false" outlineLevel="0" collapsed="false">
      <c r="A237" s="12"/>
      <c r="B237" s="34"/>
      <c r="C237" s="12"/>
      <c r="D237" s="12"/>
      <c r="E237" s="12"/>
      <c r="F237" s="12"/>
      <c r="G237" s="18"/>
      <c r="H237" s="35"/>
      <c r="I237" s="12"/>
      <c r="M237" s="12"/>
      <c r="N237" s="18"/>
      <c r="O237" s="12"/>
      <c r="P237" s="12"/>
      <c r="Q237" s="12"/>
      <c r="R237" s="36"/>
      <c r="S237" s="36"/>
      <c r="T237" s="12"/>
      <c r="U237" s="12"/>
      <c r="V237" s="12"/>
      <c r="W237" s="12"/>
      <c r="X237" s="12"/>
    </row>
    <row r="238" customFormat="false" ht="15.75" hidden="false" customHeight="false" outlineLevel="0" collapsed="false">
      <c r="A238" s="12"/>
      <c r="B238" s="34"/>
      <c r="C238" s="12"/>
      <c r="D238" s="12"/>
      <c r="E238" s="12"/>
      <c r="F238" s="12"/>
      <c r="G238" s="18"/>
      <c r="H238" s="35"/>
      <c r="I238" s="12"/>
      <c r="M238" s="12"/>
      <c r="N238" s="18"/>
      <c r="O238" s="12"/>
      <c r="P238" s="12"/>
      <c r="Q238" s="12"/>
      <c r="R238" s="36"/>
      <c r="S238" s="36"/>
      <c r="T238" s="12"/>
      <c r="U238" s="12"/>
      <c r="V238" s="12"/>
      <c r="W238" s="12"/>
      <c r="X238" s="12"/>
    </row>
    <row r="239" customFormat="false" ht="15.75" hidden="false" customHeight="false" outlineLevel="0" collapsed="false">
      <c r="A239" s="12"/>
      <c r="B239" s="34"/>
      <c r="C239" s="12"/>
      <c r="D239" s="12"/>
      <c r="E239" s="12"/>
      <c r="F239" s="12"/>
      <c r="G239" s="18"/>
      <c r="H239" s="35"/>
      <c r="I239" s="12"/>
      <c r="M239" s="12"/>
      <c r="N239" s="18"/>
      <c r="O239" s="12"/>
      <c r="P239" s="12"/>
      <c r="Q239" s="12"/>
      <c r="R239" s="36"/>
      <c r="S239" s="36"/>
      <c r="T239" s="12"/>
      <c r="U239" s="12"/>
      <c r="V239" s="12"/>
      <c r="W239" s="12"/>
      <c r="X239" s="12"/>
    </row>
    <row r="240" customFormat="false" ht="15.75" hidden="false" customHeight="false" outlineLevel="0" collapsed="false">
      <c r="A240" s="12"/>
      <c r="B240" s="34"/>
      <c r="C240" s="12"/>
      <c r="D240" s="12"/>
      <c r="E240" s="12"/>
      <c r="F240" s="12"/>
      <c r="G240" s="18"/>
      <c r="H240" s="35"/>
      <c r="I240" s="12"/>
      <c r="M240" s="12"/>
      <c r="N240" s="18"/>
      <c r="O240" s="12"/>
      <c r="P240" s="12"/>
      <c r="Q240" s="12"/>
      <c r="R240" s="36"/>
      <c r="S240" s="36"/>
      <c r="T240" s="12"/>
      <c r="U240" s="12"/>
      <c r="V240" s="12"/>
      <c r="W240" s="12"/>
      <c r="X240" s="12"/>
    </row>
    <row r="241" customFormat="false" ht="15.75" hidden="false" customHeight="false" outlineLevel="0" collapsed="false">
      <c r="A241" s="12"/>
      <c r="B241" s="34"/>
      <c r="C241" s="12"/>
      <c r="D241" s="12"/>
      <c r="E241" s="12"/>
      <c r="F241" s="12"/>
      <c r="G241" s="18"/>
      <c r="H241" s="35"/>
      <c r="I241" s="12"/>
      <c r="M241" s="12"/>
      <c r="N241" s="18"/>
      <c r="O241" s="12"/>
      <c r="P241" s="12"/>
      <c r="Q241" s="12"/>
      <c r="R241" s="36"/>
      <c r="S241" s="36"/>
      <c r="T241" s="12"/>
      <c r="U241" s="12"/>
      <c r="V241" s="12"/>
      <c r="W241" s="12"/>
      <c r="X241" s="12"/>
    </row>
    <row r="242" customFormat="false" ht="15.75" hidden="false" customHeight="false" outlineLevel="0" collapsed="false">
      <c r="A242" s="12"/>
      <c r="B242" s="34"/>
      <c r="C242" s="12"/>
      <c r="D242" s="12"/>
      <c r="E242" s="12"/>
      <c r="F242" s="12"/>
      <c r="G242" s="18"/>
      <c r="H242" s="35"/>
      <c r="I242" s="12"/>
      <c r="M242" s="12"/>
      <c r="N242" s="18"/>
      <c r="O242" s="12"/>
      <c r="P242" s="12"/>
      <c r="Q242" s="12"/>
      <c r="R242" s="36"/>
      <c r="S242" s="36"/>
      <c r="T242" s="12"/>
      <c r="U242" s="12"/>
      <c r="V242" s="12"/>
      <c r="W242" s="12"/>
      <c r="X242" s="12"/>
    </row>
    <row r="243" customFormat="false" ht="15.75" hidden="false" customHeight="false" outlineLevel="0" collapsed="false">
      <c r="A243" s="12"/>
      <c r="B243" s="34"/>
      <c r="C243" s="12"/>
      <c r="D243" s="12"/>
      <c r="E243" s="12"/>
      <c r="F243" s="12"/>
      <c r="G243" s="18"/>
      <c r="H243" s="35"/>
      <c r="I243" s="12"/>
      <c r="M243" s="12"/>
      <c r="N243" s="18"/>
      <c r="O243" s="12"/>
      <c r="P243" s="12"/>
      <c r="Q243" s="12"/>
      <c r="R243" s="36"/>
      <c r="S243" s="36"/>
      <c r="T243" s="12"/>
      <c r="U243" s="12"/>
      <c r="V243" s="12"/>
      <c r="W243" s="12"/>
      <c r="X243" s="12"/>
    </row>
    <row r="244" customFormat="false" ht="15.75" hidden="false" customHeight="false" outlineLevel="0" collapsed="false">
      <c r="A244" s="12"/>
      <c r="B244" s="34"/>
      <c r="C244" s="12"/>
      <c r="D244" s="12"/>
      <c r="E244" s="12"/>
      <c r="F244" s="12"/>
      <c r="G244" s="18"/>
      <c r="H244" s="35"/>
      <c r="I244" s="12"/>
      <c r="M244" s="12"/>
      <c r="N244" s="18"/>
      <c r="O244" s="12"/>
      <c r="P244" s="12"/>
      <c r="Q244" s="12"/>
      <c r="R244" s="36"/>
      <c r="S244" s="36"/>
      <c r="T244" s="12"/>
      <c r="U244" s="12"/>
      <c r="V244" s="12"/>
      <c r="W244" s="12"/>
      <c r="X244" s="12"/>
    </row>
    <row r="245" customFormat="false" ht="15.75" hidden="false" customHeight="false" outlineLevel="0" collapsed="false">
      <c r="A245" s="12"/>
      <c r="B245" s="34"/>
      <c r="C245" s="12"/>
      <c r="D245" s="12"/>
      <c r="E245" s="12"/>
      <c r="F245" s="12"/>
      <c r="G245" s="18"/>
      <c r="H245" s="35"/>
      <c r="I245" s="12"/>
      <c r="M245" s="12"/>
      <c r="N245" s="18"/>
      <c r="O245" s="12"/>
      <c r="P245" s="12"/>
      <c r="Q245" s="12"/>
      <c r="R245" s="36"/>
      <c r="S245" s="36"/>
      <c r="T245" s="12"/>
      <c r="U245" s="12"/>
      <c r="V245" s="12"/>
      <c r="W245" s="12"/>
      <c r="X245" s="12"/>
    </row>
    <row r="246" customFormat="false" ht="15.75" hidden="false" customHeight="false" outlineLevel="0" collapsed="false">
      <c r="A246" s="12"/>
      <c r="B246" s="34"/>
      <c r="C246" s="12"/>
      <c r="D246" s="12"/>
      <c r="E246" s="12"/>
      <c r="F246" s="12"/>
      <c r="G246" s="18"/>
      <c r="H246" s="35"/>
      <c r="I246" s="12"/>
      <c r="M246" s="12"/>
      <c r="N246" s="18"/>
      <c r="O246" s="12"/>
      <c r="P246" s="12"/>
      <c r="Q246" s="12"/>
      <c r="R246" s="36"/>
      <c r="S246" s="36"/>
      <c r="T246" s="12"/>
      <c r="U246" s="12"/>
      <c r="V246" s="12"/>
      <c r="W246" s="12"/>
      <c r="X246" s="12"/>
    </row>
    <row r="247" customFormat="false" ht="15.75" hidden="false" customHeight="false" outlineLevel="0" collapsed="false">
      <c r="A247" s="12"/>
      <c r="B247" s="34"/>
      <c r="C247" s="12"/>
      <c r="D247" s="12"/>
      <c r="E247" s="12"/>
      <c r="F247" s="12"/>
      <c r="G247" s="18"/>
      <c r="H247" s="35"/>
      <c r="I247" s="12"/>
      <c r="M247" s="12"/>
      <c r="N247" s="18"/>
      <c r="O247" s="12"/>
      <c r="P247" s="12"/>
      <c r="Q247" s="12"/>
      <c r="R247" s="36"/>
      <c r="S247" s="36"/>
      <c r="T247" s="12"/>
      <c r="U247" s="12"/>
      <c r="V247" s="12"/>
      <c r="W247" s="12"/>
      <c r="X247" s="12"/>
    </row>
    <row r="248" customFormat="false" ht="15.75" hidden="false" customHeight="false" outlineLevel="0" collapsed="false">
      <c r="A248" s="12"/>
      <c r="B248" s="34"/>
      <c r="C248" s="12"/>
      <c r="D248" s="12"/>
      <c r="E248" s="12"/>
      <c r="F248" s="12"/>
      <c r="G248" s="18"/>
      <c r="H248" s="35"/>
      <c r="I248" s="12"/>
      <c r="M248" s="12"/>
      <c r="N248" s="18"/>
      <c r="O248" s="12"/>
      <c r="P248" s="12"/>
      <c r="Q248" s="12"/>
      <c r="R248" s="36"/>
      <c r="S248" s="36"/>
      <c r="T248" s="12"/>
      <c r="U248" s="12"/>
      <c r="V248" s="12"/>
      <c r="W248" s="12"/>
      <c r="X248" s="12"/>
    </row>
    <row r="249" customFormat="false" ht="15.75" hidden="false" customHeight="false" outlineLevel="0" collapsed="false">
      <c r="A249" s="12"/>
      <c r="B249" s="34"/>
      <c r="C249" s="12"/>
      <c r="D249" s="12"/>
      <c r="E249" s="12"/>
      <c r="F249" s="12"/>
      <c r="G249" s="18"/>
      <c r="H249" s="35"/>
      <c r="I249" s="12"/>
      <c r="M249" s="12"/>
      <c r="N249" s="18"/>
      <c r="O249" s="12"/>
      <c r="P249" s="12"/>
      <c r="Q249" s="12"/>
      <c r="R249" s="36"/>
      <c r="S249" s="36"/>
      <c r="T249" s="12"/>
      <c r="U249" s="12"/>
      <c r="V249" s="12"/>
      <c r="W249" s="12"/>
      <c r="X249" s="12"/>
    </row>
    <row r="250" customFormat="false" ht="15.75" hidden="false" customHeight="false" outlineLevel="0" collapsed="false">
      <c r="A250" s="12"/>
      <c r="B250" s="34"/>
      <c r="C250" s="12"/>
      <c r="D250" s="12"/>
      <c r="E250" s="12"/>
      <c r="F250" s="12"/>
      <c r="G250" s="18"/>
      <c r="H250" s="35"/>
      <c r="I250" s="12"/>
      <c r="M250" s="12"/>
      <c r="N250" s="18"/>
      <c r="O250" s="12"/>
      <c r="P250" s="12"/>
      <c r="Q250" s="12"/>
      <c r="R250" s="36"/>
      <c r="S250" s="36"/>
      <c r="T250" s="12"/>
      <c r="U250" s="12"/>
      <c r="V250" s="12"/>
      <c r="W250" s="12"/>
      <c r="X250" s="12"/>
    </row>
    <row r="251" customFormat="false" ht="15.75" hidden="false" customHeight="false" outlineLevel="0" collapsed="false">
      <c r="A251" s="12"/>
      <c r="B251" s="34"/>
      <c r="C251" s="12"/>
      <c r="D251" s="12"/>
      <c r="E251" s="12"/>
      <c r="F251" s="12"/>
      <c r="G251" s="18"/>
      <c r="H251" s="35"/>
      <c r="I251" s="12"/>
      <c r="M251" s="12"/>
      <c r="N251" s="18"/>
      <c r="O251" s="12"/>
      <c r="P251" s="12"/>
      <c r="Q251" s="12"/>
      <c r="R251" s="36"/>
      <c r="S251" s="36"/>
      <c r="T251" s="12"/>
      <c r="U251" s="12"/>
      <c r="V251" s="12"/>
      <c r="W251" s="12"/>
      <c r="X251" s="12"/>
    </row>
    <row r="252" customFormat="false" ht="15.75" hidden="false" customHeight="false" outlineLevel="0" collapsed="false">
      <c r="A252" s="12"/>
      <c r="B252" s="34"/>
      <c r="C252" s="12"/>
      <c r="D252" s="12"/>
      <c r="E252" s="12"/>
      <c r="F252" s="12"/>
      <c r="G252" s="18"/>
      <c r="H252" s="35"/>
      <c r="I252" s="12"/>
      <c r="M252" s="12"/>
      <c r="N252" s="18"/>
      <c r="O252" s="12"/>
      <c r="P252" s="12"/>
      <c r="Q252" s="12"/>
      <c r="R252" s="36"/>
      <c r="S252" s="36"/>
      <c r="T252" s="12"/>
      <c r="U252" s="12"/>
      <c r="V252" s="12"/>
      <c r="W252" s="12"/>
      <c r="X252" s="12"/>
    </row>
    <row r="253" customFormat="false" ht="15.75" hidden="false" customHeight="false" outlineLevel="0" collapsed="false">
      <c r="A253" s="12"/>
      <c r="B253" s="34"/>
      <c r="C253" s="12"/>
      <c r="D253" s="12"/>
      <c r="E253" s="12"/>
      <c r="F253" s="12"/>
      <c r="G253" s="18"/>
      <c r="H253" s="35"/>
      <c r="I253" s="12"/>
      <c r="M253" s="12"/>
      <c r="N253" s="18"/>
      <c r="O253" s="12"/>
      <c r="P253" s="12"/>
      <c r="Q253" s="12"/>
      <c r="R253" s="36"/>
      <c r="S253" s="36"/>
      <c r="T253" s="12"/>
      <c r="U253" s="12"/>
      <c r="V253" s="12"/>
      <c r="W253" s="12"/>
      <c r="X253" s="12"/>
    </row>
    <row r="254" customFormat="false" ht="15.75" hidden="false" customHeight="false" outlineLevel="0" collapsed="false">
      <c r="A254" s="12"/>
      <c r="B254" s="34"/>
      <c r="C254" s="12"/>
      <c r="D254" s="12"/>
      <c r="E254" s="12"/>
      <c r="F254" s="12"/>
      <c r="G254" s="18"/>
      <c r="H254" s="35"/>
      <c r="I254" s="12"/>
      <c r="M254" s="12"/>
      <c r="N254" s="18"/>
      <c r="O254" s="12"/>
      <c r="P254" s="12"/>
      <c r="Q254" s="12"/>
      <c r="R254" s="36"/>
      <c r="S254" s="36"/>
      <c r="T254" s="12"/>
      <c r="U254" s="12"/>
      <c r="V254" s="12"/>
      <c r="W254" s="12"/>
      <c r="X254" s="12"/>
    </row>
    <row r="255" customFormat="false" ht="15.75" hidden="false" customHeight="false" outlineLevel="0" collapsed="false">
      <c r="A255" s="12"/>
      <c r="B255" s="34"/>
      <c r="C255" s="12"/>
      <c r="D255" s="12"/>
      <c r="E255" s="12"/>
      <c r="F255" s="12"/>
      <c r="G255" s="18"/>
      <c r="H255" s="35"/>
      <c r="I255" s="12"/>
      <c r="M255" s="12"/>
      <c r="N255" s="18"/>
      <c r="O255" s="12"/>
      <c r="P255" s="12"/>
      <c r="Q255" s="12"/>
      <c r="R255" s="36"/>
      <c r="S255" s="36"/>
      <c r="T255" s="12"/>
      <c r="U255" s="12"/>
      <c r="V255" s="12"/>
      <c r="W255" s="12"/>
      <c r="X255" s="12"/>
    </row>
    <row r="256" customFormat="false" ht="15.75" hidden="false" customHeight="false" outlineLevel="0" collapsed="false">
      <c r="A256" s="12"/>
      <c r="B256" s="34"/>
      <c r="C256" s="12"/>
      <c r="D256" s="12"/>
      <c r="E256" s="12"/>
      <c r="F256" s="12"/>
      <c r="G256" s="18"/>
      <c r="H256" s="35"/>
      <c r="I256" s="12"/>
      <c r="M256" s="12"/>
      <c r="N256" s="18"/>
      <c r="O256" s="12"/>
      <c r="P256" s="12"/>
      <c r="Q256" s="12"/>
      <c r="R256" s="36"/>
      <c r="S256" s="36"/>
      <c r="T256" s="12"/>
      <c r="U256" s="12"/>
      <c r="V256" s="12"/>
      <c r="W256" s="12"/>
      <c r="X256" s="12"/>
    </row>
    <row r="257" customFormat="false" ht="15.75" hidden="false" customHeight="false" outlineLevel="0" collapsed="false">
      <c r="A257" s="12"/>
      <c r="B257" s="34"/>
      <c r="C257" s="12"/>
      <c r="D257" s="12"/>
      <c r="E257" s="12"/>
      <c r="F257" s="12"/>
      <c r="G257" s="18"/>
      <c r="H257" s="35"/>
      <c r="I257" s="12"/>
      <c r="M257" s="12"/>
      <c r="N257" s="18"/>
      <c r="O257" s="12"/>
      <c r="P257" s="12"/>
      <c r="Q257" s="12"/>
      <c r="R257" s="36"/>
      <c r="S257" s="36"/>
      <c r="T257" s="12"/>
      <c r="U257" s="12"/>
      <c r="V257" s="12"/>
      <c r="W257" s="12"/>
      <c r="X257" s="12"/>
    </row>
    <row r="258" customFormat="false" ht="15.75" hidden="false" customHeight="false" outlineLevel="0" collapsed="false">
      <c r="A258" s="12"/>
      <c r="B258" s="34"/>
      <c r="C258" s="12"/>
      <c r="D258" s="12"/>
      <c r="E258" s="12"/>
      <c r="F258" s="12"/>
      <c r="G258" s="18"/>
      <c r="H258" s="35"/>
      <c r="I258" s="12"/>
      <c r="M258" s="12"/>
      <c r="N258" s="18"/>
      <c r="O258" s="12"/>
      <c r="P258" s="12"/>
      <c r="Q258" s="12"/>
      <c r="R258" s="36"/>
      <c r="S258" s="36"/>
      <c r="T258" s="12"/>
      <c r="U258" s="12"/>
      <c r="V258" s="12"/>
      <c r="W258" s="12"/>
      <c r="X258" s="12"/>
    </row>
    <row r="259" customFormat="false" ht="15.75" hidden="false" customHeight="false" outlineLevel="0" collapsed="false">
      <c r="A259" s="12"/>
      <c r="B259" s="34"/>
      <c r="C259" s="12"/>
      <c r="D259" s="12"/>
      <c r="E259" s="12"/>
      <c r="F259" s="12"/>
      <c r="G259" s="18"/>
      <c r="H259" s="35"/>
      <c r="I259" s="12"/>
      <c r="M259" s="12"/>
      <c r="N259" s="18"/>
      <c r="O259" s="12"/>
      <c r="P259" s="12"/>
      <c r="Q259" s="12"/>
      <c r="R259" s="36"/>
      <c r="S259" s="36"/>
      <c r="T259" s="12"/>
      <c r="U259" s="12"/>
      <c r="V259" s="12"/>
      <c r="W259" s="12"/>
      <c r="X259" s="12"/>
    </row>
    <row r="260" customFormat="false" ht="15.75" hidden="false" customHeight="false" outlineLevel="0" collapsed="false">
      <c r="A260" s="12"/>
      <c r="B260" s="34"/>
      <c r="C260" s="12"/>
      <c r="D260" s="12"/>
      <c r="E260" s="12"/>
      <c r="F260" s="12"/>
      <c r="G260" s="18"/>
      <c r="H260" s="35"/>
      <c r="I260" s="12"/>
      <c r="M260" s="12"/>
      <c r="N260" s="18"/>
      <c r="O260" s="12"/>
      <c r="P260" s="12"/>
      <c r="Q260" s="12"/>
      <c r="R260" s="36"/>
      <c r="S260" s="36"/>
      <c r="T260" s="12"/>
      <c r="U260" s="12"/>
      <c r="V260" s="12"/>
      <c r="W260" s="12"/>
      <c r="X260" s="12"/>
    </row>
    <row r="261" customFormat="false" ht="15.75" hidden="false" customHeight="false" outlineLevel="0" collapsed="false">
      <c r="A261" s="12"/>
      <c r="B261" s="34"/>
      <c r="C261" s="12"/>
      <c r="D261" s="12"/>
      <c r="E261" s="12"/>
      <c r="F261" s="12"/>
      <c r="G261" s="18"/>
      <c r="H261" s="35"/>
      <c r="I261" s="12"/>
      <c r="M261" s="12"/>
      <c r="N261" s="18"/>
      <c r="O261" s="12"/>
      <c r="P261" s="12"/>
      <c r="Q261" s="12"/>
      <c r="R261" s="36"/>
      <c r="S261" s="36"/>
      <c r="T261" s="12"/>
      <c r="U261" s="12"/>
      <c r="V261" s="12"/>
      <c r="W261" s="12"/>
      <c r="X261" s="12"/>
    </row>
    <row r="262" customFormat="false" ht="15.75" hidden="false" customHeight="false" outlineLevel="0" collapsed="false">
      <c r="A262" s="12"/>
      <c r="B262" s="34"/>
      <c r="C262" s="12"/>
      <c r="D262" s="12"/>
      <c r="E262" s="12"/>
      <c r="F262" s="12"/>
      <c r="G262" s="18"/>
      <c r="H262" s="35"/>
      <c r="I262" s="12"/>
      <c r="M262" s="12"/>
      <c r="N262" s="18"/>
      <c r="O262" s="12"/>
      <c r="P262" s="12"/>
      <c r="Q262" s="12"/>
      <c r="R262" s="36"/>
      <c r="S262" s="36"/>
      <c r="T262" s="12"/>
      <c r="U262" s="12"/>
      <c r="V262" s="12"/>
      <c r="W262" s="12"/>
      <c r="X262" s="12"/>
    </row>
    <row r="263" customFormat="false" ht="15.75" hidden="false" customHeight="false" outlineLevel="0" collapsed="false">
      <c r="A263" s="12"/>
      <c r="B263" s="34"/>
      <c r="C263" s="12"/>
      <c r="D263" s="12"/>
      <c r="E263" s="12"/>
      <c r="F263" s="12"/>
      <c r="G263" s="18"/>
      <c r="H263" s="35"/>
      <c r="I263" s="12"/>
      <c r="M263" s="12"/>
      <c r="N263" s="18"/>
      <c r="O263" s="12"/>
      <c r="P263" s="12"/>
      <c r="Q263" s="12"/>
      <c r="R263" s="36"/>
      <c r="S263" s="36"/>
      <c r="T263" s="12"/>
      <c r="U263" s="12"/>
      <c r="V263" s="12"/>
      <c r="W263" s="12"/>
      <c r="X263" s="12"/>
    </row>
    <row r="264" customFormat="false" ht="15.75" hidden="false" customHeight="false" outlineLevel="0" collapsed="false">
      <c r="A264" s="12"/>
      <c r="B264" s="34"/>
      <c r="C264" s="12"/>
      <c r="D264" s="12"/>
      <c r="E264" s="12"/>
      <c r="F264" s="12"/>
      <c r="G264" s="18"/>
      <c r="H264" s="35"/>
      <c r="I264" s="12"/>
      <c r="M264" s="12"/>
      <c r="N264" s="18"/>
      <c r="O264" s="12"/>
      <c r="P264" s="12"/>
      <c r="Q264" s="12"/>
      <c r="R264" s="36"/>
      <c r="S264" s="36"/>
      <c r="T264" s="12"/>
      <c r="U264" s="12"/>
      <c r="V264" s="12"/>
      <c r="W264" s="12"/>
      <c r="X264" s="12"/>
    </row>
    <row r="265" customFormat="false" ht="15.75" hidden="false" customHeight="false" outlineLevel="0" collapsed="false">
      <c r="A265" s="12"/>
      <c r="B265" s="34"/>
      <c r="C265" s="12"/>
      <c r="D265" s="12"/>
      <c r="E265" s="12"/>
      <c r="F265" s="12"/>
      <c r="G265" s="18"/>
      <c r="H265" s="35"/>
      <c r="I265" s="12"/>
      <c r="M265" s="12"/>
      <c r="N265" s="18"/>
      <c r="O265" s="12"/>
      <c r="P265" s="12"/>
      <c r="Q265" s="12"/>
      <c r="R265" s="36"/>
      <c r="S265" s="36"/>
      <c r="T265" s="12"/>
      <c r="U265" s="12"/>
      <c r="V265" s="12"/>
      <c r="W265" s="12"/>
      <c r="X265" s="12"/>
    </row>
    <row r="266" customFormat="false" ht="15.75" hidden="false" customHeight="false" outlineLevel="0" collapsed="false">
      <c r="A266" s="12"/>
      <c r="B266" s="34"/>
      <c r="C266" s="12"/>
      <c r="D266" s="12"/>
      <c r="E266" s="12"/>
      <c r="F266" s="12"/>
      <c r="G266" s="18"/>
      <c r="H266" s="35"/>
      <c r="I266" s="12"/>
      <c r="M266" s="12"/>
      <c r="N266" s="18"/>
      <c r="O266" s="12"/>
      <c r="P266" s="12"/>
      <c r="Q266" s="12"/>
      <c r="R266" s="36"/>
      <c r="S266" s="36"/>
      <c r="T266" s="12"/>
      <c r="U266" s="12"/>
      <c r="V266" s="12"/>
      <c r="W266" s="12"/>
      <c r="X266" s="12"/>
    </row>
    <row r="267" customFormat="false" ht="15.75" hidden="false" customHeight="false" outlineLevel="0" collapsed="false">
      <c r="A267" s="12"/>
      <c r="B267" s="34"/>
      <c r="C267" s="12"/>
      <c r="D267" s="12"/>
      <c r="E267" s="12"/>
      <c r="F267" s="12"/>
      <c r="G267" s="18"/>
      <c r="H267" s="35"/>
      <c r="I267" s="12"/>
      <c r="M267" s="12"/>
      <c r="N267" s="18"/>
      <c r="O267" s="12"/>
      <c r="P267" s="12"/>
      <c r="Q267" s="12"/>
      <c r="R267" s="36"/>
      <c r="S267" s="36"/>
      <c r="T267" s="12"/>
      <c r="U267" s="12"/>
      <c r="V267" s="12"/>
      <c r="W267" s="12"/>
      <c r="X267" s="12"/>
    </row>
    <row r="268" customFormat="false" ht="15.75" hidden="false" customHeight="false" outlineLevel="0" collapsed="false">
      <c r="A268" s="12"/>
      <c r="B268" s="34"/>
      <c r="C268" s="12"/>
      <c r="D268" s="12"/>
      <c r="E268" s="12"/>
      <c r="F268" s="12"/>
      <c r="G268" s="18"/>
      <c r="H268" s="35"/>
      <c r="I268" s="12"/>
      <c r="M268" s="12"/>
      <c r="N268" s="18"/>
      <c r="O268" s="12"/>
      <c r="P268" s="12"/>
      <c r="Q268" s="12"/>
      <c r="R268" s="36"/>
      <c r="S268" s="36"/>
      <c r="T268" s="12"/>
      <c r="U268" s="12"/>
      <c r="V268" s="12"/>
      <c r="W268" s="12"/>
      <c r="X268" s="12"/>
    </row>
    <row r="269" customFormat="false" ht="15.75" hidden="false" customHeight="false" outlineLevel="0" collapsed="false">
      <c r="A269" s="12"/>
      <c r="B269" s="34"/>
      <c r="C269" s="12"/>
      <c r="D269" s="12"/>
      <c r="E269" s="12"/>
      <c r="F269" s="12"/>
      <c r="G269" s="18"/>
      <c r="H269" s="35"/>
      <c r="I269" s="12"/>
      <c r="M269" s="12"/>
      <c r="N269" s="18"/>
      <c r="O269" s="12"/>
      <c r="P269" s="12"/>
      <c r="Q269" s="12"/>
      <c r="R269" s="36"/>
      <c r="S269" s="36"/>
      <c r="T269" s="12"/>
      <c r="U269" s="12"/>
      <c r="V269" s="12"/>
      <c r="W269" s="12"/>
      <c r="X269" s="12"/>
    </row>
    <row r="270" customFormat="false" ht="15.75" hidden="false" customHeight="false" outlineLevel="0" collapsed="false">
      <c r="A270" s="12"/>
      <c r="B270" s="34"/>
      <c r="C270" s="12"/>
      <c r="D270" s="12"/>
      <c r="E270" s="12"/>
      <c r="F270" s="12"/>
      <c r="G270" s="18"/>
      <c r="H270" s="35"/>
      <c r="I270" s="12"/>
      <c r="M270" s="12"/>
      <c r="N270" s="18"/>
      <c r="O270" s="12"/>
      <c r="P270" s="12"/>
      <c r="Q270" s="12"/>
      <c r="R270" s="36"/>
      <c r="S270" s="36"/>
      <c r="T270" s="12"/>
      <c r="U270" s="12"/>
      <c r="V270" s="12"/>
      <c r="W270" s="12"/>
      <c r="X270" s="12"/>
    </row>
    <row r="271" customFormat="false" ht="15.75" hidden="false" customHeight="false" outlineLevel="0" collapsed="false">
      <c r="A271" s="12"/>
      <c r="B271" s="34"/>
      <c r="C271" s="12"/>
      <c r="D271" s="12"/>
      <c r="E271" s="12"/>
      <c r="F271" s="12"/>
      <c r="G271" s="18"/>
      <c r="H271" s="35"/>
      <c r="I271" s="12"/>
      <c r="M271" s="12"/>
      <c r="N271" s="18"/>
      <c r="O271" s="12"/>
      <c r="P271" s="12"/>
      <c r="Q271" s="12"/>
      <c r="R271" s="36"/>
      <c r="S271" s="36"/>
      <c r="T271" s="12"/>
      <c r="U271" s="12"/>
      <c r="V271" s="12"/>
      <c r="W271" s="12"/>
      <c r="X271" s="12"/>
    </row>
    <row r="272" customFormat="false" ht="15.75" hidden="false" customHeight="false" outlineLevel="0" collapsed="false">
      <c r="A272" s="12"/>
      <c r="B272" s="34"/>
      <c r="C272" s="12"/>
      <c r="D272" s="12"/>
      <c r="E272" s="12"/>
      <c r="F272" s="12"/>
      <c r="G272" s="18"/>
      <c r="H272" s="35"/>
      <c r="I272" s="12"/>
      <c r="M272" s="12"/>
      <c r="N272" s="18"/>
      <c r="O272" s="12"/>
      <c r="P272" s="12"/>
      <c r="Q272" s="12"/>
      <c r="R272" s="36"/>
      <c r="S272" s="36"/>
      <c r="T272" s="12"/>
      <c r="U272" s="12"/>
      <c r="V272" s="12"/>
      <c r="W272" s="12"/>
      <c r="X272" s="12"/>
    </row>
    <row r="273" customFormat="false" ht="15.75" hidden="false" customHeight="false" outlineLevel="0" collapsed="false">
      <c r="A273" s="12"/>
      <c r="B273" s="34"/>
      <c r="C273" s="12"/>
      <c r="D273" s="12"/>
      <c r="E273" s="12"/>
      <c r="F273" s="12"/>
      <c r="G273" s="18"/>
      <c r="H273" s="35"/>
      <c r="I273" s="12"/>
      <c r="M273" s="12"/>
      <c r="N273" s="18"/>
      <c r="O273" s="12"/>
      <c r="P273" s="12"/>
      <c r="Q273" s="12"/>
      <c r="R273" s="36"/>
      <c r="S273" s="36"/>
      <c r="T273" s="12"/>
      <c r="U273" s="12"/>
      <c r="V273" s="12"/>
      <c r="W273" s="12"/>
      <c r="X273" s="12"/>
    </row>
    <row r="274" customFormat="false" ht="15.75" hidden="false" customHeight="false" outlineLevel="0" collapsed="false">
      <c r="A274" s="12"/>
      <c r="B274" s="34"/>
      <c r="C274" s="12"/>
      <c r="D274" s="12"/>
      <c r="E274" s="12"/>
      <c r="F274" s="12"/>
      <c r="G274" s="18"/>
      <c r="H274" s="35"/>
      <c r="I274" s="12"/>
      <c r="M274" s="12"/>
      <c r="N274" s="18"/>
      <c r="O274" s="12"/>
      <c r="P274" s="12"/>
      <c r="Q274" s="12"/>
      <c r="R274" s="36"/>
      <c r="S274" s="36"/>
      <c r="T274" s="12"/>
      <c r="U274" s="12"/>
      <c r="V274" s="12"/>
      <c r="W274" s="12"/>
      <c r="X274" s="12"/>
    </row>
    <row r="275" customFormat="false" ht="15.75" hidden="false" customHeight="false" outlineLevel="0" collapsed="false">
      <c r="A275" s="12"/>
      <c r="B275" s="34"/>
      <c r="C275" s="12"/>
      <c r="D275" s="12"/>
      <c r="E275" s="12"/>
      <c r="F275" s="12"/>
      <c r="G275" s="18"/>
      <c r="H275" s="35"/>
      <c r="I275" s="12"/>
      <c r="M275" s="12"/>
      <c r="N275" s="18"/>
      <c r="O275" s="12"/>
      <c r="P275" s="12"/>
      <c r="Q275" s="12"/>
      <c r="R275" s="36"/>
      <c r="S275" s="36"/>
      <c r="T275" s="12"/>
      <c r="U275" s="12"/>
      <c r="V275" s="12"/>
      <c r="W275" s="12"/>
      <c r="X275" s="12"/>
    </row>
    <row r="276" customFormat="false" ht="15.75" hidden="false" customHeight="false" outlineLevel="0" collapsed="false">
      <c r="A276" s="12"/>
      <c r="B276" s="34"/>
      <c r="C276" s="12"/>
      <c r="D276" s="12"/>
      <c r="E276" s="12"/>
      <c r="F276" s="12"/>
      <c r="G276" s="18"/>
      <c r="H276" s="35"/>
      <c r="I276" s="12"/>
      <c r="M276" s="12"/>
      <c r="N276" s="18"/>
      <c r="O276" s="12"/>
      <c r="P276" s="12"/>
      <c r="Q276" s="12"/>
      <c r="R276" s="36"/>
      <c r="S276" s="36"/>
      <c r="T276" s="12"/>
      <c r="U276" s="12"/>
      <c r="V276" s="12"/>
      <c r="W276" s="12"/>
      <c r="X276" s="12"/>
    </row>
    <row r="277" customFormat="false" ht="15.75" hidden="false" customHeight="false" outlineLevel="0" collapsed="false">
      <c r="A277" s="12"/>
      <c r="B277" s="34"/>
      <c r="C277" s="12"/>
      <c r="D277" s="12"/>
      <c r="E277" s="12"/>
      <c r="F277" s="12"/>
      <c r="G277" s="18"/>
      <c r="H277" s="35"/>
      <c r="I277" s="12"/>
      <c r="M277" s="12"/>
      <c r="N277" s="18"/>
      <c r="O277" s="12"/>
      <c r="P277" s="12"/>
      <c r="Q277" s="12"/>
      <c r="R277" s="36"/>
      <c r="S277" s="36"/>
      <c r="T277" s="12"/>
      <c r="U277" s="12"/>
      <c r="V277" s="12"/>
      <c r="W277" s="12"/>
      <c r="X277" s="12"/>
    </row>
    <row r="278" customFormat="false" ht="15.75" hidden="false" customHeight="false" outlineLevel="0" collapsed="false">
      <c r="A278" s="12"/>
      <c r="B278" s="34"/>
      <c r="C278" s="12"/>
      <c r="D278" s="12"/>
      <c r="E278" s="12"/>
      <c r="F278" s="12"/>
      <c r="G278" s="18"/>
      <c r="H278" s="35"/>
      <c r="I278" s="12"/>
      <c r="M278" s="12"/>
      <c r="N278" s="18"/>
      <c r="O278" s="12"/>
      <c r="P278" s="12"/>
      <c r="Q278" s="12"/>
      <c r="R278" s="36"/>
      <c r="S278" s="36"/>
      <c r="T278" s="12"/>
      <c r="U278" s="12"/>
      <c r="V278" s="12"/>
      <c r="W278" s="12"/>
      <c r="X278" s="12"/>
    </row>
    <row r="279" customFormat="false" ht="15.75" hidden="false" customHeight="false" outlineLevel="0" collapsed="false">
      <c r="A279" s="12"/>
      <c r="B279" s="34"/>
      <c r="C279" s="12"/>
      <c r="D279" s="12"/>
      <c r="E279" s="12"/>
      <c r="F279" s="12"/>
      <c r="G279" s="18"/>
      <c r="H279" s="35"/>
      <c r="I279" s="12"/>
      <c r="M279" s="12"/>
      <c r="N279" s="18"/>
      <c r="O279" s="12"/>
      <c r="P279" s="12"/>
      <c r="Q279" s="12"/>
      <c r="R279" s="36"/>
      <c r="S279" s="36"/>
      <c r="T279" s="12"/>
      <c r="U279" s="12"/>
      <c r="V279" s="12"/>
      <c r="W279" s="12"/>
      <c r="X279" s="12"/>
    </row>
    <row r="280" customFormat="false" ht="15.75" hidden="false" customHeight="false" outlineLevel="0" collapsed="false">
      <c r="A280" s="12"/>
      <c r="B280" s="34"/>
      <c r="C280" s="12"/>
      <c r="D280" s="12"/>
      <c r="E280" s="12"/>
      <c r="F280" s="12"/>
      <c r="G280" s="18"/>
      <c r="H280" s="35"/>
      <c r="I280" s="12"/>
      <c r="M280" s="12"/>
      <c r="N280" s="18"/>
      <c r="O280" s="12"/>
      <c r="P280" s="12"/>
      <c r="Q280" s="12"/>
      <c r="R280" s="36"/>
      <c r="S280" s="36"/>
      <c r="T280" s="12"/>
      <c r="U280" s="12"/>
      <c r="V280" s="12"/>
      <c r="W280" s="12"/>
      <c r="X280" s="12"/>
    </row>
    <row r="281" customFormat="false" ht="15.75" hidden="false" customHeight="false" outlineLevel="0" collapsed="false">
      <c r="A281" s="12"/>
      <c r="B281" s="34"/>
      <c r="C281" s="12"/>
      <c r="D281" s="12"/>
      <c r="E281" s="12"/>
      <c r="F281" s="12"/>
      <c r="G281" s="18"/>
      <c r="H281" s="35"/>
      <c r="I281" s="12"/>
      <c r="M281" s="12"/>
      <c r="N281" s="18"/>
      <c r="O281" s="12"/>
      <c r="P281" s="12"/>
      <c r="Q281" s="12"/>
      <c r="R281" s="36"/>
      <c r="S281" s="36"/>
      <c r="T281" s="12"/>
      <c r="U281" s="12"/>
      <c r="V281" s="12"/>
      <c r="W281" s="12"/>
      <c r="X281" s="12"/>
    </row>
    <row r="282" customFormat="false" ht="15.75" hidden="false" customHeight="false" outlineLevel="0" collapsed="false">
      <c r="A282" s="12"/>
      <c r="B282" s="34"/>
      <c r="C282" s="12"/>
      <c r="D282" s="12"/>
      <c r="E282" s="12"/>
      <c r="F282" s="12"/>
      <c r="G282" s="18"/>
      <c r="H282" s="35"/>
      <c r="I282" s="12"/>
      <c r="M282" s="12"/>
      <c r="N282" s="18"/>
      <c r="O282" s="12"/>
      <c r="P282" s="12"/>
      <c r="Q282" s="12"/>
      <c r="R282" s="36"/>
      <c r="S282" s="36"/>
      <c r="T282" s="12"/>
      <c r="U282" s="12"/>
      <c r="V282" s="12"/>
      <c r="W282" s="12"/>
      <c r="X282" s="12"/>
    </row>
    <row r="283" customFormat="false" ht="15.75" hidden="false" customHeight="false" outlineLevel="0" collapsed="false">
      <c r="A283" s="12"/>
      <c r="B283" s="34"/>
      <c r="C283" s="12"/>
      <c r="D283" s="12"/>
      <c r="E283" s="12"/>
      <c r="F283" s="12"/>
      <c r="G283" s="18"/>
      <c r="H283" s="35"/>
      <c r="I283" s="12"/>
      <c r="M283" s="12"/>
      <c r="N283" s="18"/>
      <c r="O283" s="12"/>
      <c r="P283" s="12"/>
      <c r="Q283" s="12"/>
      <c r="R283" s="36"/>
      <c r="S283" s="36"/>
      <c r="T283" s="12"/>
      <c r="U283" s="12"/>
      <c r="V283" s="12"/>
      <c r="W283" s="12"/>
      <c r="X283" s="12"/>
    </row>
    <row r="284" customFormat="false" ht="15.75" hidden="false" customHeight="false" outlineLevel="0" collapsed="false">
      <c r="A284" s="12"/>
      <c r="B284" s="34"/>
      <c r="C284" s="12"/>
      <c r="D284" s="12"/>
      <c r="E284" s="12"/>
      <c r="F284" s="12"/>
      <c r="G284" s="18"/>
      <c r="H284" s="35"/>
      <c r="I284" s="12"/>
      <c r="M284" s="12"/>
      <c r="N284" s="18"/>
      <c r="O284" s="12"/>
      <c r="P284" s="12"/>
      <c r="Q284" s="12"/>
      <c r="R284" s="36"/>
      <c r="S284" s="36"/>
      <c r="T284" s="12"/>
      <c r="U284" s="12"/>
      <c r="V284" s="12"/>
      <c r="W284" s="12"/>
      <c r="X284" s="12"/>
    </row>
    <row r="285" customFormat="false" ht="15.75" hidden="false" customHeight="false" outlineLevel="0" collapsed="false">
      <c r="A285" s="12"/>
      <c r="B285" s="34"/>
      <c r="C285" s="12"/>
      <c r="D285" s="12"/>
      <c r="E285" s="12"/>
      <c r="F285" s="12"/>
      <c r="G285" s="18"/>
      <c r="H285" s="35"/>
      <c r="I285" s="12"/>
      <c r="M285" s="12"/>
      <c r="N285" s="18"/>
      <c r="O285" s="12"/>
      <c r="P285" s="12"/>
      <c r="Q285" s="12"/>
      <c r="R285" s="36"/>
      <c r="S285" s="36"/>
      <c r="T285" s="12"/>
      <c r="U285" s="12"/>
      <c r="V285" s="12"/>
      <c r="W285" s="12"/>
      <c r="X285" s="12"/>
    </row>
    <row r="286" customFormat="false" ht="15.75" hidden="false" customHeight="false" outlineLevel="0" collapsed="false">
      <c r="A286" s="12"/>
      <c r="B286" s="34"/>
      <c r="C286" s="12"/>
      <c r="D286" s="12"/>
      <c r="E286" s="12"/>
      <c r="F286" s="12"/>
      <c r="G286" s="18"/>
      <c r="H286" s="35"/>
      <c r="I286" s="12"/>
      <c r="M286" s="12"/>
      <c r="N286" s="18"/>
      <c r="O286" s="12"/>
      <c r="P286" s="12"/>
      <c r="Q286" s="12"/>
      <c r="R286" s="36"/>
      <c r="S286" s="36"/>
      <c r="T286" s="12"/>
      <c r="U286" s="12"/>
      <c r="V286" s="12"/>
      <c r="W286" s="12"/>
      <c r="X286" s="12"/>
    </row>
    <row r="287" customFormat="false" ht="15.75" hidden="false" customHeight="false" outlineLevel="0" collapsed="false">
      <c r="A287" s="12"/>
      <c r="B287" s="34"/>
      <c r="C287" s="12"/>
      <c r="D287" s="12"/>
      <c r="E287" s="12"/>
      <c r="F287" s="12"/>
      <c r="G287" s="18"/>
      <c r="H287" s="35"/>
      <c r="I287" s="12"/>
      <c r="M287" s="12"/>
      <c r="N287" s="18"/>
      <c r="O287" s="12"/>
      <c r="P287" s="12"/>
      <c r="Q287" s="12"/>
      <c r="R287" s="36"/>
      <c r="S287" s="36"/>
      <c r="T287" s="12"/>
      <c r="U287" s="12"/>
      <c r="V287" s="12"/>
      <c r="W287" s="12"/>
      <c r="X287" s="12"/>
    </row>
    <row r="288" customFormat="false" ht="15.75" hidden="false" customHeight="false" outlineLevel="0" collapsed="false">
      <c r="A288" s="12"/>
      <c r="B288" s="34"/>
      <c r="C288" s="12"/>
      <c r="D288" s="12"/>
      <c r="E288" s="12"/>
      <c r="F288" s="12"/>
      <c r="G288" s="18"/>
      <c r="H288" s="35"/>
      <c r="I288" s="12"/>
      <c r="M288" s="12"/>
      <c r="N288" s="18"/>
      <c r="O288" s="12"/>
      <c r="P288" s="12"/>
      <c r="Q288" s="12"/>
      <c r="R288" s="36"/>
      <c r="S288" s="36"/>
      <c r="T288" s="12"/>
      <c r="U288" s="12"/>
      <c r="V288" s="12"/>
      <c r="W288" s="12"/>
      <c r="X288" s="12"/>
    </row>
    <row r="289" customFormat="false" ht="15.75" hidden="false" customHeight="false" outlineLevel="0" collapsed="false">
      <c r="A289" s="12"/>
      <c r="B289" s="34"/>
      <c r="C289" s="12"/>
      <c r="D289" s="12"/>
      <c r="E289" s="12"/>
      <c r="F289" s="12"/>
      <c r="G289" s="18"/>
      <c r="H289" s="35"/>
      <c r="I289" s="12"/>
      <c r="M289" s="12"/>
      <c r="N289" s="18"/>
      <c r="O289" s="12"/>
      <c r="P289" s="12"/>
      <c r="Q289" s="12"/>
      <c r="R289" s="36"/>
      <c r="S289" s="36"/>
      <c r="T289" s="12"/>
      <c r="U289" s="12"/>
      <c r="V289" s="12"/>
      <c r="W289" s="12"/>
      <c r="X289" s="12"/>
    </row>
    <row r="290" customFormat="false" ht="15.75" hidden="false" customHeight="false" outlineLevel="0" collapsed="false">
      <c r="A290" s="12"/>
      <c r="B290" s="34"/>
      <c r="C290" s="12"/>
      <c r="D290" s="12"/>
      <c r="E290" s="12"/>
      <c r="F290" s="12"/>
      <c r="G290" s="18"/>
      <c r="H290" s="35"/>
      <c r="I290" s="12"/>
      <c r="M290" s="12"/>
      <c r="N290" s="18"/>
      <c r="O290" s="12"/>
      <c r="P290" s="12"/>
      <c r="Q290" s="12"/>
      <c r="R290" s="36"/>
      <c r="S290" s="36"/>
      <c r="T290" s="12"/>
      <c r="U290" s="12"/>
      <c r="V290" s="12"/>
      <c r="W290" s="12"/>
      <c r="X290" s="12"/>
    </row>
    <row r="291" customFormat="false" ht="15.75" hidden="false" customHeight="false" outlineLevel="0" collapsed="false">
      <c r="A291" s="12"/>
      <c r="B291" s="34"/>
      <c r="C291" s="12"/>
      <c r="D291" s="12"/>
      <c r="E291" s="12"/>
      <c r="F291" s="12"/>
      <c r="G291" s="18"/>
      <c r="H291" s="35"/>
      <c r="I291" s="12"/>
      <c r="M291" s="12"/>
      <c r="N291" s="18"/>
      <c r="O291" s="12"/>
      <c r="P291" s="12"/>
      <c r="Q291" s="12"/>
      <c r="R291" s="36"/>
      <c r="S291" s="36"/>
      <c r="T291" s="12"/>
      <c r="U291" s="12"/>
      <c r="V291" s="12"/>
      <c r="W291" s="12"/>
      <c r="X291" s="12"/>
    </row>
    <row r="292" customFormat="false" ht="15.75" hidden="false" customHeight="false" outlineLevel="0" collapsed="false">
      <c r="A292" s="12"/>
      <c r="B292" s="34"/>
      <c r="C292" s="12"/>
      <c r="D292" s="12"/>
      <c r="E292" s="12"/>
      <c r="F292" s="12"/>
      <c r="G292" s="18"/>
      <c r="H292" s="35"/>
      <c r="I292" s="12"/>
      <c r="M292" s="12"/>
      <c r="N292" s="18"/>
      <c r="O292" s="12"/>
      <c r="P292" s="12"/>
      <c r="Q292" s="12"/>
      <c r="R292" s="36"/>
      <c r="S292" s="36"/>
      <c r="T292" s="12"/>
      <c r="U292" s="12"/>
      <c r="V292" s="12"/>
      <c r="W292" s="12"/>
      <c r="X292" s="12"/>
    </row>
    <row r="293" customFormat="false" ht="15.75" hidden="false" customHeight="false" outlineLevel="0" collapsed="false">
      <c r="A293" s="12"/>
      <c r="B293" s="34"/>
      <c r="C293" s="12"/>
      <c r="D293" s="12"/>
      <c r="E293" s="12"/>
      <c r="F293" s="12"/>
      <c r="G293" s="18"/>
      <c r="H293" s="35"/>
      <c r="I293" s="12"/>
      <c r="M293" s="12"/>
      <c r="N293" s="18"/>
      <c r="O293" s="12"/>
      <c r="P293" s="12"/>
      <c r="Q293" s="12"/>
      <c r="R293" s="36"/>
      <c r="S293" s="36"/>
      <c r="T293" s="12"/>
      <c r="U293" s="12"/>
      <c r="V293" s="12"/>
      <c r="W293" s="12"/>
      <c r="X293" s="12"/>
    </row>
    <row r="294" customFormat="false" ht="15.75" hidden="false" customHeight="false" outlineLevel="0" collapsed="false">
      <c r="A294" s="12"/>
      <c r="B294" s="34"/>
      <c r="C294" s="12"/>
      <c r="D294" s="12"/>
      <c r="E294" s="12"/>
      <c r="F294" s="12"/>
      <c r="G294" s="18"/>
      <c r="H294" s="35"/>
      <c r="I294" s="12"/>
      <c r="M294" s="12"/>
      <c r="N294" s="18"/>
      <c r="O294" s="12"/>
      <c r="P294" s="12"/>
      <c r="Q294" s="12"/>
      <c r="R294" s="36"/>
      <c r="S294" s="36"/>
      <c r="T294" s="12"/>
      <c r="U294" s="12"/>
      <c r="V294" s="12"/>
      <c r="W294" s="12"/>
      <c r="X294" s="12"/>
    </row>
    <row r="295" customFormat="false" ht="15.75" hidden="false" customHeight="false" outlineLevel="0" collapsed="false">
      <c r="A295" s="12"/>
      <c r="B295" s="34"/>
      <c r="C295" s="12"/>
      <c r="D295" s="12"/>
      <c r="E295" s="12"/>
      <c r="F295" s="12"/>
      <c r="G295" s="18"/>
      <c r="H295" s="35"/>
      <c r="I295" s="12"/>
      <c r="M295" s="12"/>
      <c r="N295" s="18"/>
      <c r="O295" s="12"/>
      <c r="P295" s="12"/>
      <c r="Q295" s="12"/>
      <c r="R295" s="36"/>
      <c r="S295" s="36"/>
      <c r="T295" s="12"/>
      <c r="U295" s="12"/>
      <c r="V295" s="12"/>
      <c r="W295" s="12"/>
      <c r="X295" s="12"/>
    </row>
    <row r="296" customFormat="false" ht="15.75" hidden="false" customHeight="false" outlineLevel="0" collapsed="false">
      <c r="A296" s="12"/>
      <c r="B296" s="34"/>
      <c r="C296" s="12"/>
      <c r="D296" s="12"/>
      <c r="E296" s="12"/>
      <c r="F296" s="12"/>
      <c r="G296" s="18"/>
      <c r="H296" s="35"/>
      <c r="I296" s="12"/>
      <c r="M296" s="12"/>
      <c r="N296" s="18"/>
      <c r="O296" s="12"/>
      <c r="P296" s="12"/>
      <c r="Q296" s="12"/>
      <c r="R296" s="36"/>
      <c r="S296" s="36"/>
      <c r="T296" s="12"/>
      <c r="U296" s="12"/>
      <c r="V296" s="12"/>
      <c r="W296" s="12"/>
      <c r="X296" s="12"/>
    </row>
    <row r="297" customFormat="false" ht="15.75" hidden="false" customHeight="false" outlineLevel="0" collapsed="false">
      <c r="A297" s="12"/>
      <c r="B297" s="34"/>
      <c r="C297" s="12"/>
      <c r="D297" s="12"/>
      <c r="E297" s="12"/>
      <c r="F297" s="12"/>
      <c r="G297" s="18"/>
      <c r="H297" s="35"/>
      <c r="I297" s="12"/>
      <c r="M297" s="12"/>
      <c r="N297" s="18"/>
      <c r="O297" s="12"/>
      <c r="P297" s="12"/>
      <c r="Q297" s="12"/>
      <c r="R297" s="36"/>
      <c r="S297" s="36"/>
      <c r="T297" s="12"/>
      <c r="U297" s="12"/>
      <c r="V297" s="12"/>
      <c r="W297" s="12"/>
      <c r="X297" s="12"/>
    </row>
    <row r="298" customFormat="false" ht="15.75" hidden="false" customHeight="false" outlineLevel="0" collapsed="false">
      <c r="A298" s="12"/>
      <c r="B298" s="34"/>
      <c r="C298" s="12"/>
      <c r="D298" s="12"/>
      <c r="E298" s="12"/>
      <c r="F298" s="12"/>
      <c r="G298" s="18"/>
      <c r="H298" s="35"/>
      <c r="I298" s="12"/>
      <c r="M298" s="12"/>
      <c r="N298" s="18"/>
      <c r="O298" s="12"/>
      <c r="P298" s="12"/>
      <c r="Q298" s="12"/>
      <c r="R298" s="36"/>
      <c r="S298" s="36"/>
      <c r="T298" s="12"/>
      <c r="U298" s="12"/>
      <c r="V298" s="12"/>
      <c r="W298" s="12"/>
      <c r="X298" s="12"/>
    </row>
    <row r="299" customFormat="false" ht="15.75" hidden="false" customHeight="false" outlineLevel="0" collapsed="false">
      <c r="A299" s="12"/>
      <c r="B299" s="34"/>
      <c r="C299" s="12"/>
      <c r="D299" s="12"/>
      <c r="E299" s="12"/>
      <c r="F299" s="12"/>
      <c r="G299" s="18"/>
      <c r="H299" s="35"/>
      <c r="I299" s="12"/>
      <c r="M299" s="12"/>
      <c r="N299" s="18"/>
      <c r="O299" s="12"/>
      <c r="P299" s="12"/>
      <c r="Q299" s="12"/>
      <c r="R299" s="36"/>
      <c r="S299" s="36"/>
      <c r="T299" s="12"/>
      <c r="U299" s="12"/>
      <c r="V299" s="12"/>
      <c r="W299" s="12"/>
      <c r="X299" s="12"/>
    </row>
    <row r="300" customFormat="false" ht="15.75" hidden="false" customHeight="false" outlineLevel="0" collapsed="false">
      <c r="A300" s="12"/>
      <c r="B300" s="34"/>
      <c r="C300" s="12"/>
      <c r="D300" s="12"/>
      <c r="E300" s="12"/>
      <c r="F300" s="12"/>
      <c r="G300" s="18"/>
      <c r="H300" s="35"/>
      <c r="I300" s="12"/>
      <c r="M300" s="12"/>
      <c r="N300" s="18"/>
      <c r="O300" s="12"/>
      <c r="P300" s="12"/>
      <c r="Q300" s="12"/>
      <c r="R300" s="36"/>
      <c r="S300" s="36"/>
      <c r="T300" s="12"/>
      <c r="U300" s="12"/>
      <c r="V300" s="12"/>
      <c r="W300" s="12"/>
      <c r="X300" s="12"/>
    </row>
    <row r="301" customFormat="false" ht="15.75" hidden="false" customHeight="false" outlineLevel="0" collapsed="false">
      <c r="A301" s="12"/>
      <c r="B301" s="34"/>
      <c r="C301" s="12"/>
      <c r="D301" s="12"/>
      <c r="E301" s="12"/>
      <c r="F301" s="12"/>
      <c r="G301" s="18"/>
      <c r="H301" s="35"/>
      <c r="I301" s="12"/>
      <c r="M301" s="12"/>
      <c r="N301" s="18"/>
      <c r="O301" s="12"/>
      <c r="P301" s="12"/>
      <c r="Q301" s="12"/>
      <c r="R301" s="36"/>
      <c r="S301" s="36"/>
      <c r="T301" s="12"/>
      <c r="U301" s="12"/>
      <c r="V301" s="12"/>
      <c r="W301" s="12"/>
      <c r="X301" s="12"/>
    </row>
    <row r="302" customFormat="false" ht="15.75" hidden="false" customHeight="false" outlineLevel="0" collapsed="false">
      <c r="A302" s="12"/>
      <c r="B302" s="34"/>
      <c r="C302" s="12"/>
      <c r="D302" s="12"/>
      <c r="E302" s="12"/>
      <c r="F302" s="12"/>
      <c r="G302" s="18"/>
      <c r="H302" s="35"/>
      <c r="I302" s="12"/>
      <c r="M302" s="12"/>
      <c r="N302" s="18"/>
      <c r="O302" s="12"/>
      <c r="P302" s="12"/>
      <c r="Q302" s="12"/>
      <c r="R302" s="36"/>
      <c r="S302" s="36"/>
      <c r="T302" s="12"/>
      <c r="U302" s="12"/>
      <c r="V302" s="12"/>
      <c r="W302" s="12"/>
      <c r="X302" s="12"/>
    </row>
    <row r="303" customFormat="false" ht="15.75" hidden="false" customHeight="false" outlineLevel="0" collapsed="false">
      <c r="A303" s="12"/>
      <c r="B303" s="34"/>
      <c r="C303" s="12"/>
      <c r="D303" s="12"/>
      <c r="E303" s="12"/>
      <c r="F303" s="12"/>
      <c r="G303" s="18"/>
      <c r="H303" s="35"/>
      <c r="I303" s="12"/>
      <c r="M303" s="12"/>
      <c r="N303" s="18"/>
      <c r="O303" s="12"/>
      <c r="P303" s="12"/>
      <c r="Q303" s="12"/>
      <c r="R303" s="36"/>
      <c r="S303" s="36"/>
      <c r="T303" s="12"/>
      <c r="U303" s="12"/>
      <c r="V303" s="12"/>
      <c r="W303" s="12"/>
      <c r="X303" s="12"/>
    </row>
    <row r="304" customFormat="false" ht="15.75" hidden="false" customHeight="false" outlineLevel="0" collapsed="false">
      <c r="A304" s="12"/>
      <c r="B304" s="34"/>
      <c r="C304" s="12"/>
      <c r="D304" s="12"/>
      <c r="E304" s="12"/>
      <c r="F304" s="12"/>
      <c r="G304" s="18"/>
      <c r="H304" s="35"/>
      <c r="I304" s="12"/>
      <c r="M304" s="12"/>
      <c r="N304" s="18"/>
      <c r="O304" s="12"/>
      <c r="P304" s="12"/>
      <c r="Q304" s="12"/>
      <c r="R304" s="36"/>
      <c r="S304" s="36"/>
      <c r="T304" s="12"/>
      <c r="U304" s="12"/>
      <c r="V304" s="12"/>
      <c r="W304" s="12"/>
      <c r="X304" s="12"/>
    </row>
    <row r="305" customFormat="false" ht="15.75" hidden="false" customHeight="false" outlineLevel="0" collapsed="false">
      <c r="A305" s="12"/>
      <c r="B305" s="34"/>
      <c r="C305" s="12"/>
      <c r="D305" s="12"/>
      <c r="E305" s="12"/>
      <c r="F305" s="12"/>
      <c r="G305" s="18"/>
      <c r="H305" s="35"/>
      <c r="I305" s="12"/>
      <c r="M305" s="12"/>
      <c r="N305" s="18"/>
      <c r="O305" s="12"/>
      <c r="P305" s="12"/>
      <c r="Q305" s="12"/>
      <c r="R305" s="36"/>
      <c r="S305" s="36"/>
      <c r="T305" s="12"/>
      <c r="U305" s="12"/>
      <c r="V305" s="12"/>
      <c r="W305" s="12"/>
      <c r="X305" s="12"/>
    </row>
    <row r="306" customFormat="false" ht="15.75" hidden="false" customHeight="false" outlineLevel="0" collapsed="false">
      <c r="A306" s="12"/>
      <c r="B306" s="34"/>
      <c r="C306" s="12"/>
      <c r="D306" s="12"/>
      <c r="E306" s="12"/>
      <c r="F306" s="12"/>
      <c r="G306" s="18"/>
      <c r="H306" s="35"/>
      <c r="I306" s="12"/>
      <c r="M306" s="12"/>
      <c r="N306" s="18"/>
      <c r="O306" s="12"/>
      <c r="P306" s="12"/>
      <c r="Q306" s="12"/>
      <c r="R306" s="36"/>
      <c r="S306" s="36"/>
      <c r="T306" s="12"/>
      <c r="U306" s="12"/>
      <c r="V306" s="12"/>
      <c r="W306" s="12"/>
      <c r="X306" s="12"/>
    </row>
    <row r="307" customFormat="false" ht="15.75" hidden="false" customHeight="false" outlineLevel="0" collapsed="false">
      <c r="A307" s="12"/>
      <c r="B307" s="34"/>
      <c r="C307" s="12"/>
      <c r="D307" s="12"/>
      <c r="E307" s="12"/>
      <c r="F307" s="12"/>
      <c r="G307" s="18"/>
      <c r="H307" s="35"/>
      <c r="I307" s="12"/>
      <c r="M307" s="12"/>
      <c r="N307" s="18"/>
      <c r="O307" s="12"/>
      <c r="P307" s="12"/>
      <c r="Q307" s="12"/>
      <c r="R307" s="36"/>
      <c r="S307" s="36"/>
      <c r="T307" s="12"/>
      <c r="U307" s="12"/>
      <c r="V307" s="12"/>
      <c r="W307" s="12"/>
      <c r="X307" s="12"/>
    </row>
    <row r="308" customFormat="false" ht="15.75" hidden="false" customHeight="false" outlineLevel="0" collapsed="false">
      <c r="A308" s="12"/>
      <c r="B308" s="34"/>
      <c r="C308" s="12"/>
      <c r="D308" s="12"/>
      <c r="E308" s="12"/>
      <c r="F308" s="12"/>
      <c r="G308" s="18"/>
      <c r="H308" s="35"/>
      <c r="I308" s="12"/>
      <c r="M308" s="12"/>
      <c r="N308" s="18"/>
      <c r="O308" s="12"/>
      <c r="P308" s="12"/>
      <c r="Q308" s="12"/>
      <c r="R308" s="36"/>
      <c r="S308" s="36"/>
      <c r="T308" s="12"/>
      <c r="U308" s="12"/>
      <c r="V308" s="12"/>
      <c r="W308" s="12"/>
      <c r="X308" s="12"/>
    </row>
    <row r="309" customFormat="false" ht="15.75" hidden="false" customHeight="false" outlineLevel="0" collapsed="false">
      <c r="A309" s="12"/>
      <c r="B309" s="34"/>
      <c r="C309" s="12"/>
      <c r="D309" s="12"/>
      <c r="E309" s="12"/>
      <c r="F309" s="12"/>
      <c r="G309" s="18"/>
      <c r="H309" s="35"/>
      <c r="I309" s="12"/>
      <c r="M309" s="12"/>
      <c r="N309" s="18"/>
      <c r="O309" s="12"/>
      <c r="P309" s="12"/>
      <c r="Q309" s="12"/>
      <c r="R309" s="36"/>
      <c r="S309" s="36"/>
      <c r="T309" s="12"/>
      <c r="U309" s="12"/>
      <c r="V309" s="12"/>
      <c r="W309" s="12"/>
      <c r="X309" s="12"/>
    </row>
    <row r="310" customFormat="false" ht="15.75" hidden="false" customHeight="false" outlineLevel="0" collapsed="false">
      <c r="A310" s="12"/>
      <c r="B310" s="34"/>
      <c r="C310" s="12"/>
      <c r="D310" s="12"/>
      <c r="E310" s="12"/>
      <c r="F310" s="12"/>
      <c r="G310" s="18"/>
      <c r="H310" s="35"/>
      <c r="I310" s="12"/>
      <c r="M310" s="12"/>
      <c r="N310" s="18"/>
      <c r="O310" s="12"/>
      <c r="P310" s="12"/>
      <c r="Q310" s="12"/>
      <c r="R310" s="36"/>
      <c r="S310" s="36"/>
      <c r="T310" s="12"/>
      <c r="U310" s="12"/>
      <c r="V310" s="12"/>
      <c r="W310" s="12"/>
      <c r="X310" s="12"/>
    </row>
    <row r="311" customFormat="false" ht="15.75" hidden="false" customHeight="false" outlineLevel="0" collapsed="false">
      <c r="A311" s="12"/>
      <c r="B311" s="34"/>
      <c r="C311" s="12"/>
      <c r="D311" s="12"/>
      <c r="E311" s="12"/>
      <c r="F311" s="12"/>
      <c r="G311" s="18"/>
      <c r="H311" s="35"/>
      <c r="I311" s="12"/>
      <c r="M311" s="12"/>
      <c r="N311" s="18"/>
      <c r="O311" s="12"/>
      <c r="P311" s="12"/>
      <c r="Q311" s="12"/>
      <c r="R311" s="36"/>
      <c r="S311" s="36"/>
      <c r="T311" s="12"/>
      <c r="U311" s="12"/>
      <c r="V311" s="12"/>
      <c r="W311" s="12"/>
      <c r="X311" s="12"/>
    </row>
    <row r="312" customFormat="false" ht="15.75" hidden="false" customHeight="false" outlineLevel="0" collapsed="false">
      <c r="A312" s="12"/>
      <c r="B312" s="34"/>
      <c r="C312" s="12"/>
      <c r="D312" s="12"/>
      <c r="E312" s="12"/>
      <c r="F312" s="12"/>
      <c r="G312" s="18"/>
      <c r="H312" s="35"/>
      <c r="I312" s="12"/>
      <c r="M312" s="12"/>
      <c r="N312" s="18"/>
      <c r="O312" s="12"/>
      <c r="P312" s="12"/>
      <c r="Q312" s="12"/>
      <c r="R312" s="36"/>
      <c r="S312" s="36"/>
      <c r="T312" s="12"/>
      <c r="U312" s="12"/>
      <c r="V312" s="12"/>
      <c r="W312" s="12"/>
      <c r="X312" s="12"/>
    </row>
    <row r="313" customFormat="false" ht="15.75" hidden="false" customHeight="false" outlineLevel="0" collapsed="false">
      <c r="A313" s="12"/>
      <c r="B313" s="34"/>
      <c r="C313" s="12"/>
      <c r="D313" s="12"/>
      <c r="E313" s="12"/>
      <c r="F313" s="12"/>
      <c r="G313" s="18"/>
      <c r="H313" s="35"/>
      <c r="I313" s="12"/>
      <c r="M313" s="12"/>
      <c r="N313" s="18"/>
      <c r="O313" s="12"/>
      <c r="P313" s="12"/>
      <c r="Q313" s="12"/>
      <c r="R313" s="36"/>
      <c r="S313" s="36"/>
      <c r="T313" s="12"/>
      <c r="U313" s="12"/>
      <c r="V313" s="12"/>
      <c r="W313" s="12"/>
      <c r="X313" s="12"/>
    </row>
    <row r="314" customFormat="false" ht="15.75" hidden="false" customHeight="false" outlineLevel="0" collapsed="false">
      <c r="A314" s="12"/>
      <c r="B314" s="34"/>
      <c r="C314" s="12"/>
      <c r="D314" s="12"/>
      <c r="E314" s="12"/>
      <c r="F314" s="12"/>
      <c r="G314" s="18"/>
      <c r="H314" s="35"/>
      <c r="I314" s="12"/>
      <c r="M314" s="12"/>
      <c r="N314" s="18"/>
      <c r="O314" s="12"/>
      <c r="P314" s="12"/>
      <c r="Q314" s="12"/>
      <c r="R314" s="36"/>
      <c r="S314" s="36"/>
      <c r="T314" s="12"/>
      <c r="U314" s="12"/>
      <c r="V314" s="12"/>
      <c r="W314" s="12"/>
      <c r="X314" s="12"/>
    </row>
    <row r="315" customFormat="false" ht="15.75" hidden="false" customHeight="false" outlineLevel="0" collapsed="false">
      <c r="A315" s="12"/>
      <c r="B315" s="34"/>
      <c r="C315" s="12"/>
      <c r="D315" s="12"/>
      <c r="E315" s="12"/>
      <c r="F315" s="12"/>
      <c r="G315" s="18"/>
      <c r="H315" s="35"/>
      <c r="I315" s="12"/>
      <c r="M315" s="12"/>
      <c r="N315" s="18"/>
      <c r="O315" s="12"/>
      <c r="P315" s="12"/>
      <c r="Q315" s="12"/>
      <c r="R315" s="36"/>
      <c r="S315" s="36"/>
      <c r="T315" s="12"/>
      <c r="U315" s="12"/>
      <c r="V315" s="12"/>
      <c r="W315" s="12"/>
      <c r="X315" s="12"/>
    </row>
    <row r="316" customFormat="false" ht="15.75" hidden="false" customHeight="false" outlineLevel="0" collapsed="false">
      <c r="A316" s="12"/>
      <c r="B316" s="34"/>
      <c r="C316" s="12"/>
      <c r="D316" s="12"/>
      <c r="E316" s="12"/>
      <c r="F316" s="12"/>
      <c r="G316" s="18"/>
      <c r="H316" s="35"/>
      <c r="I316" s="12"/>
      <c r="M316" s="12"/>
      <c r="N316" s="18"/>
      <c r="O316" s="12"/>
      <c r="P316" s="12"/>
      <c r="Q316" s="12"/>
      <c r="R316" s="36"/>
      <c r="S316" s="36"/>
      <c r="T316" s="12"/>
      <c r="U316" s="12"/>
      <c r="V316" s="12"/>
      <c r="W316" s="12"/>
      <c r="X316" s="12"/>
    </row>
    <row r="317" customFormat="false" ht="15.75" hidden="false" customHeight="false" outlineLevel="0" collapsed="false">
      <c r="A317" s="12"/>
      <c r="B317" s="34"/>
      <c r="C317" s="12"/>
      <c r="D317" s="12"/>
      <c r="E317" s="12"/>
      <c r="F317" s="12"/>
      <c r="G317" s="18"/>
      <c r="H317" s="35"/>
      <c r="I317" s="12"/>
      <c r="M317" s="12"/>
      <c r="N317" s="18"/>
      <c r="O317" s="12"/>
      <c r="P317" s="12"/>
      <c r="Q317" s="12"/>
      <c r="R317" s="36"/>
      <c r="S317" s="36"/>
      <c r="T317" s="12"/>
      <c r="U317" s="12"/>
      <c r="V317" s="12"/>
      <c r="W317" s="12"/>
      <c r="X317" s="12"/>
    </row>
    <row r="318" customFormat="false" ht="15.75" hidden="false" customHeight="false" outlineLevel="0" collapsed="false">
      <c r="A318" s="12"/>
      <c r="B318" s="34"/>
      <c r="C318" s="12"/>
      <c r="D318" s="12"/>
      <c r="E318" s="12"/>
      <c r="F318" s="12"/>
      <c r="G318" s="18"/>
      <c r="H318" s="35"/>
      <c r="I318" s="12"/>
      <c r="M318" s="12"/>
      <c r="N318" s="18"/>
      <c r="O318" s="12"/>
      <c r="P318" s="12"/>
      <c r="Q318" s="12"/>
      <c r="R318" s="36"/>
      <c r="S318" s="36"/>
      <c r="T318" s="12"/>
      <c r="U318" s="12"/>
      <c r="V318" s="12"/>
      <c r="W318" s="12"/>
      <c r="X318" s="12"/>
    </row>
    <row r="319" customFormat="false" ht="15.75" hidden="false" customHeight="false" outlineLevel="0" collapsed="false">
      <c r="A319" s="12"/>
      <c r="B319" s="34"/>
      <c r="C319" s="12"/>
      <c r="D319" s="12"/>
      <c r="E319" s="12"/>
      <c r="F319" s="12"/>
      <c r="G319" s="18"/>
      <c r="H319" s="35"/>
      <c r="I319" s="12"/>
      <c r="M319" s="12"/>
      <c r="N319" s="18"/>
      <c r="O319" s="12"/>
      <c r="P319" s="12"/>
      <c r="Q319" s="12"/>
      <c r="R319" s="36"/>
      <c r="S319" s="36"/>
      <c r="T319" s="12"/>
      <c r="U319" s="12"/>
      <c r="V319" s="12"/>
      <c r="W319" s="12"/>
      <c r="X319" s="12"/>
    </row>
    <row r="320" customFormat="false" ht="15.75" hidden="false" customHeight="false" outlineLevel="0" collapsed="false">
      <c r="A320" s="12"/>
      <c r="B320" s="34"/>
      <c r="C320" s="12"/>
      <c r="D320" s="12"/>
      <c r="E320" s="12"/>
      <c r="F320" s="12"/>
      <c r="G320" s="18"/>
      <c r="H320" s="35"/>
      <c r="I320" s="12"/>
      <c r="M320" s="12"/>
      <c r="N320" s="18"/>
      <c r="O320" s="12"/>
      <c r="P320" s="12"/>
      <c r="Q320" s="12"/>
      <c r="R320" s="36"/>
      <c r="S320" s="36"/>
      <c r="T320" s="12"/>
      <c r="U320" s="12"/>
      <c r="V320" s="12"/>
      <c r="W320" s="12"/>
      <c r="X320" s="12"/>
    </row>
    <row r="321" customFormat="false" ht="15.75" hidden="false" customHeight="false" outlineLevel="0" collapsed="false">
      <c r="A321" s="12"/>
      <c r="B321" s="34"/>
      <c r="C321" s="12"/>
      <c r="D321" s="12"/>
      <c r="E321" s="12"/>
      <c r="F321" s="12"/>
      <c r="G321" s="18"/>
      <c r="H321" s="35"/>
      <c r="I321" s="12"/>
      <c r="M321" s="12"/>
      <c r="N321" s="18"/>
      <c r="O321" s="12"/>
      <c r="P321" s="12"/>
      <c r="Q321" s="12"/>
      <c r="R321" s="36"/>
      <c r="S321" s="36"/>
      <c r="T321" s="12"/>
      <c r="U321" s="12"/>
      <c r="V321" s="12"/>
      <c r="W321" s="12"/>
      <c r="X321" s="12"/>
    </row>
    <row r="322" customFormat="false" ht="15.75" hidden="false" customHeight="false" outlineLevel="0" collapsed="false">
      <c r="A322" s="12"/>
      <c r="B322" s="34"/>
      <c r="C322" s="12"/>
      <c r="D322" s="12"/>
      <c r="E322" s="12"/>
      <c r="F322" s="12"/>
      <c r="G322" s="18"/>
      <c r="H322" s="35"/>
      <c r="I322" s="12"/>
      <c r="M322" s="12"/>
      <c r="N322" s="18"/>
      <c r="O322" s="12"/>
      <c r="P322" s="12"/>
      <c r="Q322" s="12"/>
      <c r="R322" s="36"/>
      <c r="S322" s="36"/>
      <c r="T322" s="12"/>
      <c r="U322" s="12"/>
      <c r="V322" s="12"/>
      <c r="W322" s="12"/>
      <c r="X322" s="12"/>
    </row>
    <row r="323" customFormat="false" ht="15.75" hidden="false" customHeight="false" outlineLevel="0" collapsed="false">
      <c r="A323" s="12"/>
      <c r="B323" s="34"/>
      <c r="C323" s="12"/>
      <c r="D323" s="12"/>
      <c r="E323" s="12"/>
      <c r="F323" s="12"/>
      <c r="G323" s="18"/>
      <c r="H323" s="35"/>
      <c r="I323" s="12"/>
      <c r="M323" s="12"/>
      <c r="N323" s="18"/>
      <c r="O323" s="12"/>
      <c r="P323" s="12"/>
      <c r="Q323" s="12"/>
      <c r="R323" s="36"/>
      <c r="S323" s="36"/>
      <c r="T323" s="12"/>
      <c r="U323" s="12"/>
      <c r="V323" s="12"/>
      <c r="W323" s="12"/>
      <c r="X323" s="12"/>
    </row>
    <row r="324" customFormat="false" ht="15.75" hidden="false" customHeight="false" outlineLevel="0" collapsed="false">
      <c r="A324" s="12"/>
      <c r="B324" s="34"/>
      <c r="C324" s="12"/>
      <c r="D324" s="12"/>
      <c r="E324" s="12"/>
      <c r="F324" s="12"/>
      <c r="G324" s="18"/>
      <c r="H324" s="35"/>
      <c r="I324" s="12"/>
      <c r="M324" s="12"/>
      <c r="N324" s="18"/>
      <c r="O324" s="12"/>
      <c r="P324" s="12"/>
      <c r="Q324" s="12"/>
      <c r="R324" s="36"/>
      <c r="S324" s="36"/>
      <c r="T324" s="12"/>
      <c r="U324" s="12"/>
      <c r="V324" s="12"/>
      <c r="W324" s="12"/>
      <c r="X324" s="12"/>
    </row>
    <row r="325" customFormat="false" ht="15.75" hidden="false" customHeight="false" outlineLevel="0" collapsed="false">
      <c r="A325" s="12"/>
      <c r="B325" s="34"/>
      <c r="C325" s="12"/>
      <c r="D325" s="12"/>
      <c r="E325" s="12"/>
      <c r="F325" s="12"/>
      <c r="G325" s="18"/>
      <c r="H325" s="35"/>
      <c r="I325" s="12"/>
      <c r="M325" s="12"/>
      <c r="N325" s="18"/>
      <c r="O325" s="12"/>
      <c r="P325" s="12"/>
      <c r="Q325" s="12"/>
      <c r="R325" s="36"/>
      <c r="S325" s="36"/>
      <c r="T325" s="12"/>
      <c r="U325" s="12"/>
      <c r="V325" s="12"/>
      <c r="W325" s="12"/>
      <c r="X325" s="12"/>
    </row>
    <row r="326" customFormat="false" ht="15.75" hidden="false" customHeight="false" outlineLevel="0" collapsed="false">
      <c r="A326" s="12"/>
      <c r="B326" s="34"/>
      <c r="C326" s="12"/>
      <c r="D326" s="12"/>
      <c r="E326" s="12"/>
      <c r="F326" s="12"/>
      <c r="G326" s="18"/>
      <c r="H326" s="35"/>
      <c r="I326" s="12"/>
      <c r="M326" s="12"/>
      <c r="N326" s="18"/>
      <c r="O326" s="12"/>
      <c r="P326" s="12"/>
      <c r="Q326" s="12"/>
      <c r="R326" s="36"/>
      <c r="S326" s="36"/>
      <c r="T326" s="12"/>
      <c r="U326" s="12"/>
      <c r="V326" s="12"/>
      <c r="W326" s="12"/>
      <c r="X326" s="12"/>
    </row>
    <row r="327" customFormat="false" ht="15.75" hidden="false" customHeight="false" outlineLevel="0" collapsed="false">
      <c r="A327" s="12"/>
      <c r="B327" s="34"/>
      <c r="C327" s="12"/>
      <c r="D327" s="12"/>
      <c r="E327" s="12"/>
      <c r="F327" s="12"/>
      <c r="G327" s="18"/>
      <c r="H327" s="35"/>
      <c r="I327" s="12"/>
      <c r="M327" s="12"/>
      <c r="N327" s="18"/>
      <c r="O327" s="12"/>
      <c r="P327" s="12"/>
      <c r="Q327" s="12"/>
      <c r="R327" s="36"/>
      <c r="S327" s="36"/>
      <c r="T327" s="12"/>
      <c r="U327" s="12"/>
      <c r="V327" s="12"/>
      <c r="W327" s="12"/>
      <c r="X327" s="12"/>
    </row>
    <row r="328" customFormat="false" ht="15.75" hidden="false" customHeight="false" outlineLevel="0" collapsed="false">
      <c r="A328" s="12"/>
      <c r="B328" s="34"/>
      <c r="C328" s="12"/>
      <c r="D328" s="12"/>
      <c r="E328" s="12"/>
      <c r="F328" s="12"/>
      <c r="G328" s="18"/>
      <c r="H328" s="35"/>
      <c r="I328" s="12"/>
      <c r="M328" s="12"/>
      <c r="N328" s="18"/>
      <c r="O328" s="12"/>
      <c r="P328" s="12"/>
      <c r="Q328" s="12"/>
      <c r="R328" s="36"/>
      <c r="S328" s="36"/>
      <c r="T328" s="12"/>
      <c r="U328" s="12"/>
      <c r="V328" s="12"/>
      <c r="W328" s="12"/>
      <c r="X328" s="12"/>
    </row>
    <row r="329" customFormat="false" ht="15.75" hidden="false" customHeight="false" outlineLevel="0" collapsed="false">
      <c r="A329" s="12"/>
      <c r="B329" s="34"/>
      <c r="C329" s="12"/>
      <c r="D329" s="12"/>
      <c r="E329" s="12"/>
      <c r="F329" s="12"/>
      <c r="G329" s="18"/>
      <c r="H329" s="35"/>
      <c r="I329" s="12"/>
      <c r="M329" s="12"/>
      <c r="N329" s="18"/>
      <c r="O329" s="12"/>
      <c r="P329" s="12"/>
      <c r="Q329" s="12"/>
      <c r="R329" s="36"/>
      <c r="S329" s="36"/>
      <c r="T329" s="12"/>
      <c r="U329" s="12"/>
      <c r="V329" s="12"/>
      <c r="W329" s="12"/>
      <c r="X329" s="12"/>
    </row>
    <row r="330" customFormat="false" ht="15.75" hidden="false" customHeight="false" outlineLevel="0" collapsed="false">
      <c r="A330" s="12"/>
      <c r="B330" s="34"/>
      <c r="C330" s="12"/>
      <c r="D330" s="12"/>
      <c r="E330" s="12"/>
      <c r="F330" s="12"/>
      <c r="G330" s="18"/>
      <c r="H330" s="35"/>
      <c r="I330" s="12"/>
      <c r="M330" s="12"/>
      <c r="N330" s="18"/>
      <c r="O330" s="12"/>
      <c r="P330" s="12"/>
      <c r="Q330" s="12"/>
      <c r="R330" s="36"/>
      <c r="S330" s="36"/>
      <c r="T330" s="12"/>
      <c r="U330" s="12"/>
      <c r="V330" s="12"/>
      <c r="W330" s="12"/>
      <c r="X330" s="12"/>
    </row>
    <row r="331" customFormat="false" ht="15.75" hidden="false" customHeight="false" outlineLevel="0" collapsed="false">
      <c r="A331" s="12"/>
      <c r="B331" s="34"/>
      <c r="C331" s="12"/>
      <c r="D331" s="12"/>
      <c r="E331" s="12"/>
      <c r="F331" s="12"/>
      <c r="G331" s="18"/>
      <c r="H331" s="35"/>
      <c r="I331" s="12"/>
      <c r="M331" s="12"/>
      <c r="N331" s="18"/>
      <c r="O331" s="12"/>
      <c r="P331" s="12"/>
      <c r="Q331" s="12"/>
      <c r="R331" s="36"/>
      <c r="S331" s="36"/>
      <c r="T331" s="12"/>
      <c r="U331" s="12"/>
      <c r="V331" s="12"/>
      <c r="W331" s="12"/>
      <c r="X331" s="12"/>
    </row>
    <row r="332" customFormat="false" ht="15.75" hidden="false" customHeight="false" outlineLevel="0" collapsed="false">
      <c r="A332" s="12"/>
      <c r="B332" s="34"/>
      <c r="C332" s="12"/>
      <c r="D332" s="12"/>
      <c r="E332" s="12"/>
      <c r="F332" s="12"/>
      <c r="G332" s="18"/>
      <c r="H332" s="35"/>
      <c r="I332" s="12"/>
      <c r="M332" s="12"/>
      <c r="N332" s="18"/>
      <c r="O332" s="12"/>
      <c r="P332" s="12"/>
      <c r="Q332" s="12"/>
      <c r="R332" s="36"/>
      <c r="S332" s="36"/>
      <c r="T332" s="12"/>
      <c r="U332" s="12"/>
      <c r="V332" s="12"/>
      <c r="W332" s="12"/>
      <c r="X332" s="12"/>
    </row>
    <row r="333" customFormat="false" ht="15.75" hidden="false" customHeight="false" outlineLevel="0" collapsed="false">
      <c r="A333" s="12"/>
      <c r="B333" s="34"/>
      <c r="C333" s="12"/>
      <c r="D333" s="12"/>
      <c r="E333" s="12"/>
      <c r="F333" s="12"/>
      <c r="G333" s="18"/>
      <c r="H333" s="35"/>
      <c r="I333" s="12"/>
      <c r="M333" s="12"/>
      <c r="N333" s="18"/>
      <c r="O333" s="12"/>
      <c r="P333" s="12"/>
      <c r="Q333" s="12"/>
      <c r="R333" s="36"/>
      <c r="S333" s="36"/>
      <c r="T333" s="12"/>
      <c r="U333" s="12"/>
      <c r="V333" s="12"/>
      <c r="W333" s="12"/>
      <c r="X333" s="12"/>
    </row>
    <row r="334" customFormat="false" ht="15.75" hidden="false" customHeight="false" outlineLevel="0" collapsed="false">
      <c r="A334" s="12"/>
      <c r="B334" s="34"/>
      <c r="C334" s="12"/>
      <c r="D334" s="12"/>
      <c r="E334" s="12"/>
      <c r="F334" s="12"/>
      <c r="G334" s="18"/>
      <c r="H334" s="35"/>
      <c r="I334" s="12"/>
      <c r="M334" s="12"/>
      <c r="N334" s="18"/>
      <c r="O334" s="12"/>
      <c r="P334" s="12"/>
      <c r="Q334" s="12"/>
      <c r="R334" s="36"/>
      <c r="S334" s="36"/>
      <c r="T334" s="12"/>
      <c r="U334" s="12"/>
      <c r="V334" s="12"/>
      <c r="W334" s="12"/>
      <c r="X334" s="12"/>
    </row>
    <row r="335" customFormat="false" ht="15.75" hidden="false" customHeight="false" outlineLevel="0" collapsed="false">
      <c r="A335" s="12"/>
      <c r="B335" s="34"/>
      <c r="C335" s="12"/>
      <c r="D335" s="12"/>
      <c r="E335" s="12"/>
      <c r="F335" s="12"/>
      <c r="G335" s="18"/>
      <c r="H335" s="35"/>
      <c r="I335" s="12"/>
      <c r="M335" s="12"/>
      <c r="N335" s="18"/>
      <c r="O335" s="12"/>
      <c r="P335" s="12"/>
      <c r="Q335" s="12"/>
      <c r="R335" s="36"/>
      <c r="S335" s="36"/>
      <c r="T335" s="12"/>
      <c r="U335" s="12"/>
      <c r="V335" s="12"/>
      <c r="W335" s="12"/>
      <c r="X335" s="12"/>
    </row>
    <row r="336" customFormat="false" ht="15.75" hidden="false" customHeight="false" outlineLevel="0" collapsed="false">
      <c r="A336" s="12"/>
      <c r="B336" s="34"/>
      <c r="C336" s="12"/>
      <c r="D336" s="12"/>
      <c r="E336" s="12"/>
      <c r="F336" s="12"/>
      <c r="G336" s="18"/>
      <c r="H336" s="35"/>
      <c r="I336" s="12"/>
      <c r="M336" s="12"/>
      <c r="N336" s="18"/>
      <c r="O336" s="12"/>
      <c r="P336" s="12"/>
      <c r="Q336" s="12"/>
      <c r="R336" s="36"/>
      <c r="S336" s="36"/>
      <c r="T336" s="12"/>
      <c r="U336" s="12"/>
      <c r="V336" s="12"/>
      <c r="W336" s="12"/>
      <c r="X336" s="12"/>
    </row>
    <row r="337" customFormat="false" ht="15.75" hidden="false" customHeight="false" outlineLevel="0" collapsed="false">
      <c r="A337" s="12"/>
      <c r="B337" s="34"/>
      <c r="C337" s="12"/>
      <c r="D337" s="12"/>
      <c r="E337" s="12"/>
      <c r="F337" s="12"/>
      <c r="G337" s="18"/>
      <c r="H337" s="35"/>
      <c r="I337" s="12"/>
      <c r="M337" s="12"/>
      <c r="N337" s="18"/>
      <c r="O337" s="12"/>
      <c r="P337" s="12"/>
      <c r="Q337" s="12"/>
      <c r="R337" s="36"/>
      <c r="S337" s="36"/>
      <c r="T337" s="12"/>
      <c r="U337" s="12"/>
      <c r="V337" s="12"/>
      <c r="W337" s="12"/>
      <c r="X337" s="12"/>
    </row>
    <row r="338" customFormat="false" ht="15.75" hidden="false" customHeight="false" outlineLevel="0" collapsed="false">
      <c r="A338" s="12"/>
      <c r="B338" s="34"/>
      <c r="C338" s="12"/>
      <c r="D338" s="12"/>
      <c r="E338" s="12"/>
      <c r="F338" s="12"/>
      <c r="G338" s="18"/>
      <c r="H338" s="35"/>
      <c r="I338" s="12"/>
      <c r="M338" s="12"/>
      <c r="N338" s="18"/>
      <c r="O338" s="12"/>
      <c r="P338" s="12"/>
      <c r="Q338" s="12"/>
      <c r="R338" s="36"/>
      <c r="S338" s="36"/>
      <c r="T338" s="12"/>
      <c r="U338" s="12"/>
      <c r="V338" s="12"/>
      <c r="W338" s="12"/>
      <c r="X338" s="12"/>
    </row>
    <row r="339" customFormat="false" ht="15.75" hidden="false" customHeight="false" outlineLevel="0" collapsed="false">
      <c r="A339" s="12"/>
      <c r="B339" s="34"/>
      <c r="C339" s="12"/>
      <c r="D339" s="12"/>
      <c r="E339" s="12"/>
      <c r="F339" s="12"/>
      <c r="G339" s="18"/>
      <c r="H339" s="35"/>
      <c r="I339" s="12"/>
      <c r="M339" s="12"/>
      <c r="N339" s="18"/>
      <c r="O339" s="12"/>
      <c r="P339" s="12"/>
      <c r="Q339" s="12"/>
      <c r="R339" s="36"/>
      <c r="S339" s="36"/>
      <c r="T339" s="12"/>
      <c r="U339" s="12"/>
      <c r="V339" s="12"/>
      <c r="W339" s="12"/>
      <c r="X339" s="12"/>
    </row>
    <row r="340" customFormat="false" ht="15.75" hidden="false" customHeight="false" outlineLevel="0" collapsed="false">
      <c r="A340" s="12"/>
      <c r="B340" s="34"/>
      <c r="C340" s="12"/>
      <c r="D340" s="12"/>
      <c r="E340" s="12"/>
      <c r="F340" s="12"/>
      <c r="G340" s="18"/>
      <c r="H340" s="35"/>
      <c r="I340" s="12"/>
      <c r="M340" s="12"/>
      <c r="N340" s="18"/>
      <c r="O340" s="12"/>
      <c r="P340" s="12"/>
      <c r="Q340" s="12"/>
      <c r="R340" s="36"/>
      <c r="S340" s="36"/>
      <c r="T340" s="12"/>
      <c r="U340" s="12"/>
      <c r="V340" s="12"/>
      <c r="W340" s="12"/>
      <c r="X340" s="12"/>
    </row>
    <row r="341" customFormat="false" ht="15.75" hidden="false" customHeight="false" outlineLevel="0" collapsed="false">
      <c r="A341" s="12"/>
      <c r="B341" s="34"/>
      <c r="C341" s="12"/>
      <c r="D341" s="12"/>
      <c r="E341" s="12"/>
      <c r="F341" s="12"/>
      <c r="G341" s="18"/>
      <c r="H341" s="35"/>
      <c r="I341" s="12"/>
      <c r="M341" s="12"/>
      <c r="N341" s="18"/>
      <c r="O341" s="12"/>
      <c r="P341" s="12"/>
      <c r="Q341" s="12"/>
      <c r="R341" s="36"/>
      <c r="S341" s="36"/>
      <c r="T341" s="12"/>
      <c r="U341" s="12"/>
      <c r="V341" s="12"/>
      <c r="W341" s="12"/>
      <c r="X341" s="12"/>
    </row>
    <row r="342" customFormat="false" ht="15.75" hidden="false" customHeight="false" outlineLevel="0" collapsed="false">
      <c r="A342" s="12"/>
      <c r="B342" s="34"/>
      <c r="C342" s="12"/>
      <c r="D342" s="12"/>
      <c r="E342" s="12"/>
      <c r="F342" s="12"/>
      <c r="G342" s="18"/>
      <c r="H342" s="35"/>
      <c r="I342" s="12"/>
      <c r="M342" s="12"/>
      <c r="N342" s="18"/>
      <c r="O342" s="12"/>
      <c r="P342" s="12"/>
      <c r="Q342" s="12"/>
      <c r="R342" s="36"/>
      <c r="S342" s="36"/>
      <c r="T342" s="12"/>
      <c r="U342" s="12"/>
      <c r="V342" s="12"/>
      <c r="W342" s="12"/>
      <c r="X342" s="12"/>
    </row>
    <row r="343" customFormat="false" ht="15.75" hidden="false" customHeight="false" outlineLevel="0" collapsed="false">
      <c r="A343" s="12"/>
      <c r="B343" s="34"/>
      <c r="C343" s="12"/>
      <c r="D343" s="12"/>
      <c r="E343" s="12"/>
      <c r="F343" s="12"/>
      <c r="G343" s="18"/>
      <c r="H343" s="35"/>
      <c r="I343" s="12"/>
      <c r="M343" s="12"/>
      <c r="N343" s="18"/>
      <c r="O343" s="12"/>
      <c r="P343" s="12"/>
      <c r="Q343" s="12"/>
      <c r="R343" s="36"/>
      <c r="S343" s="36"/>
      <c r="T343" s="12"/>
      <c r="U343" s="12"/>
      <c r="V343" s="12"/>
      <c r="W343" s="12"/>
      <c r="X343" s="12"/>
    </row>
    <row r="344" customFormat="false" ht="15.75" hidden="false" customHeight="false" outlineLevel="0" collapsed="false">
      <c r="A344" s="12"/>
      <c r="B344" s="34"/>
      <c r="C344" s="12"/>
      <c r="D344" s="12"/>
      <c r="E344" s="12"/>
      <c r="F344" s="12"/>
      <c r="G344" s="18"/>
      <c r="H344" s="35"/>
      <c r="I344" s="12"/>
      <c r="M344" s="12"/>
      <c r="N344" s="18"/>
      <c r="O344" s="12"/>
      <c r="P344" s="12"/>
      <c r="Q344" s="12"/>
      <c r="R344" s="36"/>
      <c r="S344" s="36"/>
      <c r="T344" s="12"/>
      <c r="U344" s="12"/>
      <c r="V344" s="12"/>
      <c r="W344" s="12"/>
      <c r="X344" s="12"/>
    </row>
    <row r="345" customFormat="false" ht="15.75" hidden="false" customHeight="false" outlineLevel="0" collapsed="false">
      <c r="A345" s="12"/>
      <c r="B345" s="34"/>
      <c r="C345" s="12"/>
      <c r="D345" s="12"/>
      <c r="E345" s="12"/>
      <c r="F345" s="12"/>
      <c r="G345" s="18"/>
      <c r="H345" s="35"/>
      <c r="I345" s="12"/>
      <c r="M345" s="12"/>
      <c r="N345" s="18"/>
      <c r="O345" s="12"/>
      <c r="P345" s="12"/>
      <c r="Q345" s="12"/>
      <c r="R345" s="36"/>
      <c r="S345" s="36"/>
      <c r="T345" s="12"/>
      <c r="U345" s="12"/>
      <c r="V345" s="12"/>
      <c r="W345" s="12"/>
      <c r="X345" s="12"/>
    </row>
    <row r="346" customFormat="false" ht="15.75" hidden="false" customHeight="false" outlineLevel="0" collapsed="false">
      <c r="A346" s="12"/>
      <c r="B346" s="34"/>
      <c r="C346" s="12"/>
      <c r="D346" s="12"/>
      <c r="E346" s="12"/>
      <c r="F346" s="12"/>
      <c r="G346" s="18"/>
      <c r="H346" s="35"/>
      <c r="I346" s="12"/>
      <c r="M346" s="12"/>
      <c r="N346" s="18"/>
      <c r="O346" s="12"/>
      <c r="P346" s="12"/>
      <c r="Q346" s="12"/>
      <c r="R346" s="36"/>
      <c r="S346" s="36"/>
      <c r="T346" s="12"/>
      <c r="U346" s="12"/>
      <c r="V346" s="12"/>
      <c r="W346" s="12"/>
      <c r="X346" s="12"/>
    </row>
    <row r="347" customFormat="false" ht="15.75" hidden="false" customHeight="false" outlineLevel="0" collapsed="false">
      <c r="A347" s="12"/>
      <c r="B347" s="34"/>
      <c r="C347" s="12"/>
      <c r="D347" s="12"/>
      <c r="E347" s="12"/>
      <c r="F347" s="12"/>
      <c r="G347" s="18"/>
      <c r="H347" s="35"/>
      <c r="I347" s="12"/>
      <c r="M347" s="12"/>
      <c r="N347" s="18"/>
      <c r="O347" s="12"/>
      <c r="P347" s="12"/>
      <c r="Q347" s="12"/>
      <c r="R347" s="36"/>
      <c r="S347" s="36"/>
      <c r="T347" s="12"/>
      <c r="U347" s="12"/>
      <c r="V347" s="12"/>
      <c r="W347" s="12"/>
      <c r="X347" s="12"/>
    </row>
    <row r="348" customFormat="false" ht="15.75" hidden="false" customHeight="false" outlineLevel="0" collapsed="false">
      <c r="A348" s="12"/>
      <c r="B348" s="34"/>
      <c r="C348" s="12"/>
      <c r="D348" s="12"/>
      <c r="E348" s="12"/>
      <c r="F348" s="12"/>
      <c r="G348" s="18"/>
      <c r="H348" s="35"/>
      <c r="I348" s="12"/>
      <c r="M348" s="12"/>
      <c r="N348" s="18"/>
      <c r="O348" s="12"/>
      <c r="P348" s="12"/>
      <c r="Q348" s="12"/>
      <c r="R348" s="36"/>
      <c r="S348" s="36"/>
      <c r="T348" s="12"/>
      <c r="U348" s="12"/>
      <c r="V348" s="12"/>
      <c r="W348" s="12"/>
      <c r="X348" s="12"/>
    </row>
    <row r="349" customFormat="false" ht="15.75" hidden="false" customHeight="false" outlineLevel="0" collapsed="false">
      <c r="A349" s="12"/>
      <c r="B349" s="34"/>
      <c r="C349" s="12"/>
      <c r="D349" s="12"/>
      <c r="E349" s="12"/>
      <c r="F349" s="12"/>
      <c r="G349" s="18"/>
      <c r="H349" s="35"/>
      <c r="I349" s="12"/>
      <c r="M349" s="12"/>
      <c r="N349" s="18"/>
      <c r="O349" s="12"/>
      <c r="P349" s="12"/>
      <c r="Q349" s="12"/>
      <c r="R349" s="36"/>
      <c r="S349" s="36"/>
      <c r="T349" s="12"/>
      <c r="U349" s="12"/>
      <c r="V349" s="12"/>
      <c r="W349" s="12"/>
      <c r="X349" s="12"/>
    </row>
    <row r="350" customFormat="false" ht="15.75" hidden="false" customHeight="false" outlineLevel="0" collapsed="false">
      <c r="A350" s="12"/>
      <c r="B350" s="34"/>
      <c r="C350" s="12"/>
      <c r="D350" s="12"/>
      <c r="E350" s="12"/>
      <c r="F350" s="12"/>
      <c r="G350" s="18"/>
      <c r="H350" s="35"/>
      <c r="I350" s="12"/>
      <c r="M350" s="12"/>
      <c r="N350" s="18"/>
      <c r="O350" s="12"/>
      <c r="P350" s="12"/>
      <c r="Q350" s="12"/>
      <c r="R350" s="36"/>
      <c r="S350" s="36"/>
      <c r="T350" s="12"/>
      <c r="U350" s="12"/>
      <c r="V350" s="12"/>
      <c r="W350" s="12"/>
      <c r="X350" s="12"/>
    </row>
    <row r="351" customFormat="false" ht="15.75" hidden="false" customHeight="false" outlineLevel="0" collapsed="false">
      <c r="A351" s="12"/>
      <c r="B351" s="34"/>
      <c r="C351" s="12"/>
      <c r="D351" s="12"/>
      <c r="E351" s="12"/>
      <c r="F351" s="12"/>
      <c r="G351" s="18"/>
      <c r="H351" s="35"/>
      <c r="I351" s="12"/>
      <c r="M351" s="12"/>
      <c r="N351" s="18"/>
      <c r="O351" s="12"/>
      <c r="P351" s="12"/>
      <c r="Q351" s="12"/>
      <c r="R351" s="36"/>
      <c r="S351" s="36"/>
      <c r="T351" s="12"/>
      <c r="U351" s="12"/>
      <c r="V351" s="12"/>
      <c r="W351" s="12"/>
      <c r="X351" s="12"/>
    </row>
    <row r="352" customFormat="false" ht="15.75" hidden="false" customHeight="false" outlineLevel="0" collapsed="false">
      <c r="A352" s="12"/>
      <c r="B352" s="34"/>
      <c r="C352" s="12"/>
      <c r="D352" s="12"/>
      <c r="E352" s="12"/>
      <c r="F352" s="12"/>
      <c r="G352" s="18"/>
      <c r="H352" s="35"/>
      <c r="I352" s="12"/>
      <c r="M352" s="12"/>
      <c r="N352" s="18"/>
      <c r="O352" s="12"/>
      <c r="P352" s="12"/>
      <c r="Q352" s="12"/>
      <c r="R352" s="36"/>
      <c r="S352" s="36"/>
      <c r="T352" s="12"/>
      <c r="U352" s="12"/>
      <c r="V352" s="12"/>
      <c r="W352" s="12"/>
      <c r="X352" s="12"/>
    </row>
    <row r="353" customFormat="false" ht="15.75" hidden="false" customHeight="false" outlineLevel="0" collapsed="false">
      <c r="A353" s="12"/>
      <c r="B353" s="34"/>
      <c r="C353" s="12"/>
      <c r="D353" s="12"/>
      <c r="E353" s="12"/>
      <c r="F353" s="12"/>
      <c r="G353" s="18"/>
      <c r="H353" s="35"/>
      <c r="I353" s="12"/>
      <c r="M353" s="12"/>
      <c r="N353" s="18"/>
      <c r="O353" s="12"/>
      <c r="P353" s="12"/>
      <c r="Q353" s="12"/>
      <c r="R353" s="36"/>
      <c r="S353" s="36"/>
      <c r="T353" s="12"/>
      <c r="U353" s="12"/>
      <c r="V353" s="12"/>
      <c r="W353" s="12"/>
      <c r="X353" s="12"/>
    </row>
    <row r="354" customFormat="false" ht="15.75" hidden="false" customHeight="false" outlineLevel="0" collapsed="false">
      <c r="A354" s="12"/>
      <c r="B354" s="34"/>
      <c r="C354" s="12"/>
      <c r="D354" s="12"/>
      <c r="E354" s="12"/>
      <c r="F354" s="12"/>
      <c r="G354" s="18"/>
      <c r="H354" s="35"/>
      <c r="I354" s="12"/>
      <c r="M354" s="12"/>
      <c r="N354" s="18"/>
      <c r="O354" s="12"/>
      <c r="P354" s="12"/>
      <c r="Q354" s="12"/>
      <c r="R354" s="36"/>
      <c r="S354" s="36"/>
      <c r="T354" s="12"/>
      <c r="U354" s="12"/>
      <c r="V354" s="12"/>
      <c r="W354" s="12"/>
      <c r="X354" s="12"/>
    </row>
    <row r="355" customFormat="false" ht="15.75" hidden="false" customHeight="false" outlineLevel="0" collapsed="false">
      <c r="A355" s="12"/>
      <c r="B355" s="34"/>
      <c r="C355" s="12"/>
      <c r="D355" s="12"/>
      <c r="E355" s="12"/>
      <c r="F355" s="12"/>
      <c r="G355" s="18"/>
      <c r="H355" s="35"/>
      <c r="I355" s="12"/>
      <c r="M355" s="12"/>
      <c r="N355" s="18"/>
      <c r="O355" s="12"/>
      <c r="P355" s="12"/>
      <c r="Q355" s="12"/>
      <c r="R355" s="36"/>
      <c r="S355" s="36"/>
      <c r="T355" s="12"/>
      <c r="U355" s="12"/>
      <c r="V355" s="12"/>
      <c r="W355" s="12"/>
      <c r="X355" s="12"/>
    </row>
    <row r="356" customFormat="false" ht="15.75" hidden="false" customHeight="false" outlineLevel="0" collapsed="false">
      <c r="A356" s="12"/>
      <c r="B356" s="34"/>
      <c r="C356" s="12"/>
      <c r="D356" s="12"/>
      <c r="E356" s="12"/>
      <c r="F356" s="12"/>
      <c r="G356" s="18"/>
      <c r="H356" s="35"/>
      <c r="I356" s="12"/>
      <c r="M356" s="12"/>
      <c r="N356" s="18"/>
      <c r="O356" s="12"/>
      <c r="P356" s="12"/>
      <c r="Q356" s="12"/>
      <c r="R356" s="36"/>
      <c r="S356" s="36"/>
      <c r="T356" s="12"/>
      <c r="U356" s="12"/>
      <c r="V356" s="12"/>
      <c r="W356" s="12"/>
      <c r="X356" s="12"/>
    </row>
    <row r="357" customFormat="false" ht="15.75" hidden="false" customHeight="false" outlineLevel="0" collapsed="false">
      <c r="A357" s="12"/>
      <c r="B357" s="34"/>
      <c r="C357" s="12"/>
      <c r="D357" s="12"/>
      <c r="E357" s="12"/>
      <c r="F357" s="12"/>
      <c r="G357" s="18"/>
      <c r="H357" s="35"/>
      <c r="I357" s="12"/>
      <c r="M357" s="12"/>
      <c r="N357" s="18"/>
      <c r="O357" s="12"/>
      <c r="P357" s="12"/>
      <c r="Q357" s="12"/>
      <c r="R357" s="36"/>
      <c r="S357" s="36"/>
      <c r="T357" s="12"/>
      <c r="U357" s="12"/>
      <c r="V357" s="12"/>
      <c r="W357" s="12"/>
      <c r="X357" s="12"/>
    </row>
    <row r="358" customFormat="false" ht="15.75" hidden="false" customHeight="false" outlineLevel="0" collapsed="false">
      <c r="A358" s="12"/>
      <c r="B358" s="34"/>
      <c r="C358" s="12"/>
      <c r="D358" s="12"/>
      <c r="E358" s="12"/>
      <c r="F358" s="12"/>
      <c r="G358" s="18"/>
      <c r="H358" s="35"/>
      <c r="I358" s="12"/>
      <c r="M358" s="12"/>
      <c r="N358" s="18"/>
      <c r="O358" s="12"/>
      <c r="P358" s="12"/>
      <c r="Q358" s="12"/>
      <c r="R358" s="36"/>
      <c r="S358" s="36"/>
      <c r="T358" s="12"/>
      <c r="U358" s="12"/>
      <c r="V358" s="12"/>
      <c r="W358" s="12"/>
      <c r="X358" s="12"/>
    </row>
    <row r="359" customFormat="false" ht="15.75" hidden="false" customHeight="false" outlineLevel="0" collapsed="false">
      <c r="A359" s="12"/>
      <c r="B359" s="34"/>
      <c r="C359" s="12"/>
      <c r="D359" s="12"/>
      <c r="E359" s="12"/>
      <c r="F359" s="12"/>
      <c r="G359" s="18"/>
      <c r="H359" s="35"/>
      <c r="I359" s="12"/>
      <c r="M359" s="12"/>
      <c r="N359" s="18"/>
      <c r="O359" s="12"/>
      <c r="P359" s="12"/>
      <c r="Q359" s="12"/>
      <c r="R359" s="36"/>
      <c r="S359" s="36"/>
      <c r="T359" s="12"/>
      <c r="U359" s="12"/>
      <c r="V359" s="12"/>
      <c r="W359" s="12"/>
      <c r="X359" s="12"/>
    </row>
    <row r="360" customFormat="false" ht="15.75" hidden="false" customHeight="false" outlineLevel="0" collapsed="false">
      <c r="A360" s="12"/>
      <c r="B360" s="34"/>
      <c r="C360" s="12"/>
      <c r="D360" s="12"/>
      <c r="E360" s="12"/>
      <c r="F360" s="12"/>
      <c r="G360" s="18"/>
      <c r="H360" s="35"/>
      <c r="I360" s="12"/>
      <c r="M360" s="12"/>
      <c r="N360" s="18"/>
      <c r="O360" s="12"/>
      <c r="P360" s="12"/>
      <c r="Q360" s="12"/>
      <c r="R360" s="36"/>
      <c r="S360" s="36"/>
      <c r="T360" s="12"/>
      <c r="U360" s="12"/>
      <c r="V360" s="12"/>
      <c r="W360" s="12"/>
      <c r="X360" s="12"/>
    </row>
    <row r="361" customFormat="false" ht="15.75" hidden="false" customHeight="false" outlineLevel="0" collapsed="false">
      <c r="A361" s="12"/>
      <c r="B361" s="34"/>
      <c r="C361" s="12"/>
      <c r="D361" s="12"/>
      <c r="E361" s="12"/>
      <c r="F361" s="12"/>
      <c r="G361" s="18"/>
      <c r="H361" s="35"/>
      <c r="I361" s="12"/>
      <c r="M361" s="12"/>
      <c r="N361" s="18"/>
      <c r="O361" s="12"/>
      <c r="P361" s="12"/>
      <c r="Q361" s="12"/>
      <c r="R361" s="36"/>
      <c r="S361" s="36"/>
      <c r="T361" s="12"/>
      <c r="U361" s="12"/>
      <c r="V361" s="12"/>
      <c r="W361" s="12"/>
      <c r="X361" s="12"/>
    </row>
    <row r="362" customFormat="false" ht="15.75" hidden="false" customHeight="false" outlineLevel="0" collapsed="false">
      <c r="A362" s="12"/>
      <c r="B362" s="34"/>
      <c r="C362" s="12"/>
      <c r="D362" s="12"/>
      <c r="E362" s="12"/>
      <c r="F362" s="12"/>
      <c r="G362" s="18"/>
      <c r="H362" s="35"/>
      <c r="I362" s="12"/>
      <c r="M362" s="12"/>
      <c r="N362" s="18"/>
      <c r="O362" s="12"/>
      <c r="P362" s="12"/>
      <c r="Q362" s="12"/>
      <c r="R362" s="36"/>
      <c r="S362" s="36"/>
      <c r="T362" s="12"/>
      <c r="U362" s="12"/>
      <c r="V362" s="12"/>
      <c r="W362" s="12"/>
      <c r="X362" s="12"/>
    </row>
    <row r="363" customFormat="false" ht="15.75" hidden="false" customHeight="false" outlineLevel="0" collapsed="false">
      <c r="A363" s="12"/>
      <c r="B363" s="34"/>
      <c r="C363" s="12"/>
      <c r="D363" s="12"/>
      <c r="E363" s="12"/>
      <c r="F363" s="12"/>
      <c r="G363" s="18"/>
      <c r="H363" s="35"/>
      <c r="I363" s="12"/>
      <c r="M363" s="12"/>
      <c r="N363" s="18"/>
      <c r="O363" s="12"/>
      <c r="P363" s="12"/>
      <c r="Q363" s="12"/>
      <c r="R363" s="36"/>
      <c r="S363" s="36"/>
      <c r="T363" s="12"/>
      <c r="U363" s="12"/>
      <c r="V363" s="12"/>
      <c r="W363" s="12"/>
      <c r="X363" s="12"/>
    </row>
    <row r="364" customFormat="false" ht="15.75" hidden="false" customHeight="false" outlineLevel="0" collapsed="false">
      <c r="A364" s="12"/>
      <c r="B364" s="34"/>
      <c r="C364" s="12"/>
      <c r="D364" s="12"/>
      <c r="E364" s="12"/>
      <c r="F364" s="12"/>
      <c r="G364" s="18"/>
      <c r="H364" s="35"/>
      <c r="I364" s="12"/>
      <c r="M364" s="12"/>
      <c r="N364" s="18"/>
      <c r="O364" s="12"/>
      <c r="P364" s="12"/>
      <c r="Q364" s="12"/>
      <c r="R364" s="36"/>
      <c r="S364" s="36"/>
      <c r="T364" s="12"/>
      <c r="U364" s="12"/>
      <c r="V364" s="12"/>
      <c r="W364" s="12"/>
      <c r="X364" s="12"/>
    </row>
    <row r="365" customFormat="false" ht="15.75" hidden="false" customHeight="false" outlineLevel="0" collapsed="false">
      <c r="A365" s="12"/>
      <c r="B365" s="34"/>
      <c r="C365" s="12"/>
      <c r="D365" s="12"/>
      <c r="E365" s="12"/>
      <c r="F365" s="12"/>
      <c r="G365" s="18"/>
      <c r="H365" s="35"/>
      <c r="I365" s="12"/>
      <c r="M365" s="12"/>
      <c r="N365" s="18"/>
      <c r="O365" s="12"/>
      <c r="P365" s="12"/>
      <c r="Q365" s="12"/>
      <c r="R365" s="36"/>
      <c r="S365" s="36"/>
      <c r="T365" s="12"/>
      <c r="U365" s="12"/>
      <c r="V365" s="12"/>
      <c r="W365" s="12"/>
      <c r="X365" s="12"/>
    </row>
    <row r="366" customFormat="false" ht="15.75" hidden="false" customHeight="false" outlineLevel="0" collapsed="false">
      <c r="A366" s="12"/>
      <c r="B366" s="34"/>
      <c r="C366" s="12"/>
      <c r="D366" s="12"/>
      <c r="E366" s="12"/>
      <c r="F366" s="12"/>
      <c r="G366" s="18"/>
      <c r="H366" s="35"/>
      <c r="I366" s="12"/>
      <c r="M366" s="12"/>
      <c r="N366" s="18"/>
      <c r="O366" s="12"/>
      <c r="P366" s="12"/>
      <c r="Q366" s="12"/>
      <c r="R366" s="36"/>
      <c r="S366" s="36"/>
      <c r="T366" s="12"/>
      <c r="U366" s="12"/>
      <c r="V366" s="12"/>
      <c r="W366" s="12"/>
      <c r="X366" s="12"/>
    </row>
    <row r="367" customFormat="false" ht="15.75" hidden="false" customHeight="false" outlineLevel="0" collapsed="false">
      <c r="A367" s="12"/>
      <c r="B367" s="34"/>
      <c r="C367" s="12"/>
      <c r="D367" s="12"/>
      <c r="E367" s="12"/>
      <c r="F367" s="12"/>
      <c r="G367" s="18"/>
      <c r="H367" s="35"/>
      <c r="I367" s="12"/>
      <c r="M367" s="12"/>
      <c r="N367" s="18"/>
      <c r="O367" s="12"/>
      <c r="P367" s="12"/>
      <c r="Q367" s="12"/>
      <c r="R367" s="36"/>
      <c r="S367" s="36"/>
      <c r="T367" s="12"/>
      <c r="U367" s="12"/>
      <c r="V367" s="12"/>
      <c r="W367" s="12"/>
      <c r="X367" s="12"/>
    </row>
    <row r="368" customFormat="false" ht="15.75" hidden="false" customHeight="false" outlineLevel="0" collapsed="false">
      <c r="A368" s="12"/>
      <c r="B368" s="34"/>
      <c r="C368" s="12"/>
      <c r="D368" s="12"/>
      <c r="E368" s="12"/>
      <c r="F368" s="12"/>
      <c r="G368" s="18"/>
      <c r="H368" s="35"/>
      <c r="I368" s="12"/>
      <c r="M368" s="12"/>
      <c r="N368" s="18"/>
      <c r="O368" s="12"/>
      <c r="P368" s="12"/>
      <c r="Q368" s="12"/>
      <c r="R368" s="36"/>
      <c r="S368" s="36"/>
      <c r="T368" s="12"/>
      <c r="U368" s="12"/>
      <c r="V368" s="12"/>
      <c r="W368" s="12"/>
      <c r="X368" s="12"/>
    </row>
    <row r="369" customFormat="false" ht="15.75" hidden="false" customHeight="false" outlineLevel="0" collapsed="false">
      <c r="A369" s="12"/>
      <c r="B369" s="34"/>
      <c r="C369" s="12"/>
      <c r="D369" s="12"/>
      <c r="E369" s="12"/>
      <c r="F369" s="12"/>
      <c r="G369" s="18"/>
      <c r="H369" s="35"/>
      <c r="I369" s="12"/>
      <c r="M369" s="12"/>
      <c r="N369" s="18"/>
      <c r="O369" s="12"/>
      <c r="P369" s="12"/>
      <c r="Q369" s="12"/>
      <c r="R369" s="36"/>
      <c r="S369" s="36"/>
      <c r="T369" s="12"/>
      <c r="U369" s="12"/>
      <c r="V369" s="12"/>
      <c r="W369" s="12"/>
      <c r="X369" s="12"/>
    </row>
    <row r="370" customFormat="false" ht="15.75" hidden="false" customHeight="false" outlineLevel="0" collapsed="false">
      <c r="A370" s="12"/>
      <c r="B370" s="34"/>
      <c r="C370" s="12"/>
      <c r="D370" s="12"/>
      <c r="E370" s="12"/>
      <c r="F370" s="12"/>
      <c r="G370" s="18"/>
      <c r="H370" s="35"/>
      <c r="I370" s="12"/>
      <c r="M370" s="12"/>
      <c r="N370" s="18"/>
      <c r="O370" s="12"/>
      <c r="P370" s="12"/>
      <c r="Q370" s="12"/>
      <c r="R370" s="36"/>
      <c r="S370" s="36"/>
      <c r="T370" s="12"/>
      <c r="U370" s="12"/>
      <c r="V370" s="12"/>
      <c r="W370" s="12"/>
      <c r="X370" s="12"/>
    </row>
    <row r="371" customFormat="false" ht="15.75" hidden="false" customHeight="false" outlineLevel="0" collapsed="false">
      <c r="A371" s="12"/>
      <c r="B371" s="34"/>
      <c r="C371" s="12"/>
      <c r="D371" s="12"/>
      <c r="E371" s="12"/>
      <c r="F371" s="12"/>
      <c r="G371" s="18"/>
      <c r="H371" s="35"/>
      <c r="I371" s="12"/>
      <c r="M371" s="12"/>
      <c r="N371" s="18"/>
      <c r="O371" s="12"/>
      <c r="P371" s="12"/>
      <c r="Q371" s="12"/>
      <c r="R371" s="36"/>
      <c r="S371" s="36"/>
      <c r="T371" s="12"/>
      <c r="U371" s="12"/>
      <c r="V371" s="12"/>
      <c r="W371" s="12"/>
      <c r="X371" s="12"/>
    </row>
    <row r="372" customFormat="false" ht="15.75" hidden="false" customHeight="false" outlineLevel="0" collapsed="false">
      <c r="A372" s="12"/>
      <c r="B372" s="34"/>
      <c r="C372" s="12"/>
      <c r="D372" s="12"/>
      <c r="E372" s="12"/>
      <c r="F372" s="12"/>
      <c r="G372" s="18"/>
      <c r="H372" s="35"/>
      <c r="I372" s="12"/>
      <c r="M372" s="12"/>
      <c r="N372" s="18"/>
      <c r="O372" s="12"/>
      <c r="P372" s="12"/>
      <c r="Q372" s="12"/>
      <c r="R372" s="36"/>
      <c r="S372" s="36"/>
      <c r="T372" s="12"/>
      <c r="U372" s="12"/>
      <c r="V372" s="12"/>
      <c r="W372" s="12"/>
      <c r="X372" s="12"/>
    </row>
    <row r="373" customFormat="false" ht="15.75" hidden="false" customHeight="false" outlineLevel="0" collapsed="false">
      <c r="A373" s="12"/>
      <c r="B373" s="34"/>
      <c r="C373" s="12"/>
      <c r="D373" s="12"/>
      <c r="E373" s="12"/>
      <c r="F373" s="12"/>
      <c r="G373" s="18"/>
      <c r="H373" s="35"/>
      <c r="I373" s="12"/>
      <c r="M373" s="12"/>
      <c r="N373" s="18"/>
      <c r="O373" s="12"/>
      <c r="P373" s="12"/>
      <c r="Q373" s="12"/>
      <c r="R373" s="36"/>
      <c r="S373" s="36"/>
      <c r="T373" s="12"/>
      <c r="U373" s="12"/>
      <c r="V373" s="12"/>
      <c r="W373" s="12"/>
      <c r="X373" s="12"/>
    </row>
    <row r="374" customFormat="false" ht="15.75" hidden="false" customHeight="false" outlineLevel="0" collapsed="false">
      <c r="A374" s="12"/>
      <c r="B374" s="34"/>
      <c r="C374" s="12"/>
      <c r="D374" s="12"/>
      <c r="E374" s="12"/>
      <c r="F374" s="12"/>
      <c r="G374" s="18"/>
      <c r="H374" s="35"/>
      <c r="I374" s="12"/>
      <c r="M374" s="12"/>
      <c r="N374" s="18"/>
      <c r="O374" s="12"/>
      <c r="P374" s="12"/>
      <c r="Q374" s="12"/>
      <c r="R374" s="36"/>
      <c r="S374" s="36"/>
      <c r="T374" s="12"/>
      <c r="U374" s="12"/>
      <c r="V374" s="12"/>
      <c r="W374" s="12"/>
      <c r="X374" s="12"/>
    </row>
    <row r="375" customFormat="false" ht="15.75" hidden="false" customHeight="false" outlineLevel="0" collapsed="false">
      <c r="A375" s="12"/>
      <c r="B375" s="34"/>
      <c r="C375" s="12"/>
      <c r="D375" s="12"/>
      <c r="E375" s="12"/>
      <c r="F375" s="12"/>
      <c r="G375" s="18"/>
      <c r="H375" s="35"/>
      <c r="I375" s="12"/>
      <c r="M375" s="12"/>
      <c r="N375" s="18"/>
      <c r="O375" s="12"/>
      <c r="P375" s="12"/>
      <c r="Q375" s="12"/>
      <c r="R375" s="36"/>
      <c r="S375" s="36"/>
      <c r="T375" s="12"/>
      <c r="U375" s="12"/>
      <c r="V375" s="12"/>
      <c r="W375" s="12"/>
      <c r="X375" s="12"/>
    </row>
    <row r="376" customFormat="false" ht="15.75" hidden="false" customHeight="false" outlineLevel="0" collapsed="false">
      <c r="A376" s="12"/>
      <c r="B376" s="34"/>
      <c r="C376" s="12"/>
      <c r="D376" s="12"/>
      <c r="E376" s="12"/>
      <c r="F376" s="12"/>
      <c r="G376" s="18"/>
      <c r="H376" s="35"/>
      <c r="I376" s="12"/>
      <c r="M376" s="12"/>
      <c r="N376" s="18"/>
      <c r="O376" s="12"/>
      <c r="P376" s="12"/>
      <c r="Q376" s="12"/>
      <c r="R376" s="36"/>
      <c r="S376" s="36"/>
      <c r="T376" s="12"/>
      <c r="U376" s="12"/>
      <c r="V376" s="12"/>
      <c r="W376" s="12"/>
      <c r="X376" s="12"/>
    </row>
    <row r="377" customFormat="false" ht="15.75" hidden="false" customHeight="false" outlineLevel="0" collapsed="false">
      <c r="A377" s="12"/>
      <c r="B377" s="34"/>
      <c r="C377" s="12"/>
      <c r="D377" s="12"/>
      <c r="E377" s="12"/>
      <c r="F377" s="12"/>
      <c r="G377" s="18"/>
      <c r="H377" s="35"/>
      <c r="I377" s="12"/>
      <c r="M377" s="12"/>
      <c r="N377" s="18"/>
      <c r="O377" s="12"/>
      <c r="P377" s="12"/>
      <c r="Q377" s="12"/>
      <c r="R377" s="36"/>
      <c r="S377" s="36"/>
      <c r="T377" s="12"/>
      <c r="U377" s="12"/>
      <c r="V377" s="12"/>
      <c r="W377" s="12"/>
      <c r="X377" s="12"/>
    </row>
    <row r="378" customFormat="false" ht="15.75" hidden="false" customHeight="false" outlineLevel="0" collapsed="false">
      <c r="A378" s="12"/>
      <c r="B378" s="34"/>
      <c r="C378" s="12"/>
      <c r="D378" s="12"/>
      <c r="E378" s="12"/>
      <c r="F378" s="12"/>
      <c r="G378" s="18"/>
      <c r="H378" s="35"/>
      <c r="I378" s="12"/>
      <c r="M378" s="12"/>
      <c r="N378" s="18"/>
      <c r="O378" s="12"/>
      <c r="P378" s="12"/>
      <c r="Q378" s="12"/>
      <c r="R378" s="36"/>
      <c r="S378" s="36"/>
      <c r="T378" s="12"/>
      <c r="U378" s="12"/>
      <c r="V378" s="12"/>
      <c r="W378" s="12"/>
      <c r="X378" s="12"/>
    </row>
    <row r="379" customFormat="false" ht="15.75" hidden="false" customHeight="false" outlineLevel="0" collapsed="false">
      <c r="A379" s="12"/>
      <c r="B379" s="34"/>
      <c r="C379" s="12"/>
      <c r="D379" s="12"/>
      <c r="E379" s="12"/>
      <c r="F379" s="12"/>
      <c r="G379" s="18"/>
      <c r="H379" s="35"/>
      <c r="I379" s="12"/>
      <c r="M379" s="12"/>
      <c r="N379" s="18"/>
      <c r="O379" s="12"/>
      <c r="P379" s="12"/>
      <c r="Q379" s="12"/>
      <c r="R379" s="36"/>
      <c r="S379" s="36"/>
      <c r="T379" s="12"/>
      <c r="U379" s="12"/>
      <c r="V379" s="12"/>
      <c r="W379" s="12"/>
      <c r="X379" s="12"/>
    </row>
    <row r="380" customFormat="false" ht="15.75" hidden="false" customHeight="false" outlineLevel="0" collapsed="false">
      <c r="A380" s="12"/>
      <c r="B380" s="34"/>
      <c r="C380" s="12"/>
      <c r="D380" s="12"/>
      <c r="E380" s="12"/>
      <c r="F380" s="12"/>
      <c r="G380" s="18"/>
      <c r="H380" s="35"/>
      <c r="I380" s="12"/>
      <c r="M380" s="12"/>
      <c r="N380" s="18"/>
      <c r="O380" s="12"/>
      <c r="P380" s="12"/>
      <c r="Q380" s="12"/>
      <c r="R380" s="36"/>
      <c r="S380" s="36"/>
      <c r="T380" s="12"/>
      <c r="U380" s="12"/>
      <c r="V380" s="12"/>
      <c r="W380" s="12"/>
      <c r="X380" s="12"/>
    </row>
    <row r="381" customFormat="false" ht="15.75" hidden="false" customHeight="false" outlineLevel="0" collapsed="false">
      <c r="A381" s="12"/>
      <c r="B381" s="34"/>
      <c r="C381" s="12"/>
      <c r="D381" s="12"/>
      <c r="E381" s="12"/>
      <c r="F381" s="12"/>
      <c r="G381" s="18"/>
      <c r="H381" s="35"/>
      <c r="I381" s="12"/>
      <c r="M381" s="12"/>
      <c r="N381" s="18"/>
      <c r="O381" s="12"/>
      <c r="P381" s="12"/>
      <c r="Q381" s="12"/>
      <c r="R381" s="36"/>
      <c r="S381" s="36"/>
      <c r="T381" s="12"/>
      <c r="U381" s="12"/>
      <c r="V381" s="12"/>
      <c r="W381" s="12"/>
      <c r="X381" s="12"/>
    </row>
    <row r="382" customFormat="false" ht="15.75" hidden="false" customHeight="false" outlineLevel="0" collapsed="false">
      <c r="A382" s="12"/>
      <c r="B382" s="34"/>
      <c r="C382" s="12"/>
      <c r="D382" s="12"/>
      <c r="E382" s="12"/>
      <c r="F382" s="12"/>
      <c r="G382" s="18"/>
      <c r="H382" s="35"/>
      <c r="I382" s="12"/>
      <c r="M382" s="12"/>
      <c r="N382" s="18"/>
      <c r="O382" s="12"/>
      <c r="P382" s="12"/>
      <c r="Q382" s="12"/>
      <c r="R382" s="36"/>
      <c r="S382" s="36"/>
      <c r="T382" s="12"/>
      <c r="U382" s="12"/>
      <c r="V382" s="12"/>
      <c r="W382" s="12"/>
      <c r="X382" s="12"/>
    </row>
    <row r="383" customFormat="false" ht="15.75" hidden="false" customHeight="false" outlineLevel="0" collapsed="false">
      <c r="A383" s="12"/>
      <c r="B383" s="34"/>
      <c r="C383" s="12"/>
      <c r="D383" s="12"/>
      <c r="E383" s="12"/>
      <c r="F383" s="12"/>
      <c r="G383" s="18"/>
      <c r="H383" s="35"/>
      <c r="I383" s="12"/>
      <c r="M383" s="12"/>
      <c r="N383" s="18"/>
      <c r="O383" s="12"/>
      <c r="P383" s="12"/>
      <c r="Q383" s="12"/>
      <c r="R383" s="36"/>
      <c r="S383" s="36"/>
      <c r="T383" s="12"/>
      <c r="U383" s="12"/>
      <c r="V383" s="12"/>
      <c r="W383" s="12"/>
      <c r="X383" s="12"/>
    </row>
    <row r="384" customFormat="false" ht="15.75" hidden="false" customHeight="false" outlineLevel="0" collapsed="false">
      <c r="A384" s="12"/>
      <c r="B384" s="34"/>
      <c r="C384" s="12"/>
      <c r="D384" s="12"/>
      <c r="E384" s="12"/>
      <c r="F384" s="12"/>
      <c r="G384" s="18"/>
      <c r="H384" s="35"/>
      <c r="I384" s="12"/>
      <c r="M384" s="12"/>
      <c r="N384" s="18"/>
      <c r="O384" s="12"/>
      <c r="P384" s="12"/>
      <c r="Q384" s="12"/>
      <c r="R384" s="36"/>
      <c r="S384" s="36"/>
      <c r="T384" s="12"/>
      <c r="U384" s="12"/>
      <c r="V384" s="12"/>
      <c r="W384" s="12"/>
      <c r="X384" s="12"/>
    </row>
    <row r="385" customFormat="false" ht="15.75" hidden="false" customHeight="false" outlineLevel="0" collapsed="false">
      <c r="A385" s="12"/>
      <c r="B385" s="34"/>
      <c r="C385" s="12"/>
      <c r="D385" s="12"/>
      <c r="E385" s="12"/>
      <c r="F385" s="12"/>
      <c r="G385" s="18"/>
      <c r="H385" s="35"/>
      <c r="I385" s="12"/>
      <c r="M385" s="12"/>
      <c r="N385" s="18"/>
      <c r="O385" s="12"/>
      <c r="P385" s="12"/>
      <c r="Q385" s="12"/>
      <c r="R385" s="36"/>
      <c r="S385" s="36"/>
      <c r="T385" s="12"/>
      <c r="U385" s="12"/>
      <c r="V385" s="12"/>
      <c r="W385" s="12"/>
      <c r="X385" s="12"/>
    </row>
    <row r="386" customFormat="false" ht="15.75" hidden="false" customHeight="false" outlineLevel="0" collapsed="false">
      <c r="A386" s="12"/>
      <c r="B386" s="34"/>
      <c r="C386" s="12"/>
      <c r="D386" s="12"/>
      <c r="E386" s="12"/>
      <c r="F386" s="12"/>
      <c r="G386" s="18"/>
      <c r="H386" s="35"/>
      <c r="I386" s="12"/>
      <c r="M386" s="12"/>
      <c r="N386" s="18"/>
      <c r="O386" s="12"/>
      <c r="P386" s="12"/>
      <c r="Q386" s="12"/>
      <c r="R386" s="36"/>
      <c r="S386" s="36"/>
      <c r="T386" s="12"/>
      <c r="U386" s="12"/>
      <c r="V386" s="12"/>
      <c r="W386" s="12"/>
      <c r="X386" s="12"/>
    </row>
    <row r="387" customFormat="false" ht="15.75" hidden="false" customHeight="false" outlineLevel="0" collapsed="false">
      <c r="A387" s="12"/>
      <c r="B387" s="34"/>
      <c r="C387" s="12"/>
      <c r="D387" s="12"/>
      <c r="E387" s="12"/>
      <c r="F387" s="12"/>
      <c r="G387" s="18"/>
      <c r="H387" s="35"/>
      <c r="I387" s="12"/>
      <c r="M387" s="12"/>
      <c r="N387" s="18"/>
      <c r="O387" s="12"/>
      <c r="P387" s="12"/>
      <c r="Q387" s="12"/>
      <c r="R387" s="36"/>
      <c r="S387" s="36"/>
      <c r="T387" s="12"/>
      <c r="U387" s="12"/>
      <c r="V387" s="12"/>
      <c r="W387" s="12"/>
      <c r="X387" s="12"/>
    </row>
    <row r="388" customFormat="false" ht="15.75" hidden="false" customHeight="false" outlineLevel="0" collapsed="false">
      <c r="A388" s="12"/>
      <c r="B388" s="34"/>
      <c r="C388" s="12"/>
      <c r="D388" s="12"/>
      <c r="E388" s="12"/>
      <c r="F388" s="12"/>
      <c r="G388" s="18"/>
      <c r="H388" s="35"/>
      <c r="I388" s="12"/>
      <c r="M388" s="12"/>
      <c r="N388" s="18"/>
      <c r="O388" s="12"/>
      <c r="P388" s="12"/>
      <c r="Q388" s="12"/>
      <c r="R388" s="36"/>
      <c r="S388" s="36"/>
      <c r="T388" s="12"/>
      <c r="U388" s="12"/>
      <c r="V388" s="12"/>
      <c r="W388" s="12"/>
      <c r="X388" s="12"/>
    </row>
    <row r="389" customFormat="false" ht="15.75" hidden="false" customHeight="false" outlineLevel="0" collapsed="false">
      <c r="A389" s="12"/>
      <c r="B389" s="34"/>
      <c r="C389" s="12"/>
      <c r="D389" s="12"/>
      <c r="E389" s="12"/>
      <c r="F389" s="12"/>
      <c r="G389" s="18"/>
      <c r="H389" s="35"/>
      <c r="I389" s="12"/>
      <c r="M389" s="12"/>
      <c r="N389" s="18"/>
      <c r="O389" s="12"/>
      <c r="P389" s="12"/>
      <c r="Q389" s="12"/>
      <c r="R389" s="36"/>
      <c r="S389" s="36"/>
      <c r="T389" s="12"/>
      <c r="U389" s="12"/>
      <c r="V389" s="12"/>
      <c r="W389" s="12"/>
      <c r="X389" s="12"/>
    </row>
    <row r="390" customFormat="false" ht="15.75" hidden="false" customHeight="false" outlineLevel="0" collapsed="false">
      <c r="A390" s="12"/>
      <c r="B390" s="34"/>
      <c r="C390" s="12"/>
      <c r="D390" s="12"/>
      <c r="E390" s="12"/>
      <c r="F390" s="12"/>
      <c r="G390" s="18"/>
      <c r="H390" s="35"/>
      <c r="I390" s="12"/>
      <c r="M390" s="12"/>
      <c r="N390" s="18"/>
      <c r="O390" s="12"/>
      <c r="P390" s="12"/>
      <c r="Q390" s="12"/>
      <c r="R390" s="36"/>
      <c r="S390" s="36"/>
      <c r="T390" s="12"/>
      <c r="U390" s="12"/>
      <c r="V390" s="12"/>
      <c r="W390" s="12"/>
      <c r="X390" s="12"/>
    </row>
    <row r="391" customFormat="false" ht="15.75" hidden="false" customHeight="false" outlineLevel="0" collapsed="false">
      <c r="A391" s="12"/>
      <c r="B391" s="34"/>
      <c r="C391" s="12"/>
      <c r="D391" s="12"/>
      <c r="E391" s="12"/>
      <c r="F391" s="12"/>
      <c r="G391" s="18"/>
      <c r="H391" s="35"/>
      <c r="I391" s="12"/>
      <c r="M391" s="12"/>
      <c r="N391" s="18"/>
      <c r="O391" s="12"/>
      <c r="P391" s="12"/>
      <c r="Q391" s="12"/>
      <c r="R391" s="36"/>
      <c r="S391" s="36"/>
      <c r="T391" s="12"/>
      <c r="U391" s="12"/>
      <c r="V391" s="12"/>
      <c r="W391" s="12"/>
      <c r="X391" s="12"/>
    </row>
    <row r="392" customFormat="false" ht="15.75" hidden="false" customHeight="false" outlineLevel="0" collapsed="false">
      <c r="A392" s="12"/>
      <c r="B392" s="34"/>
      <c r="C392" s="12"/>
      <c r="D392" s="12"/>
      <c r="E392" s="12"/>
      <c r="F392" s="12"/>
      <c r="G392" s="18"/>
      <c r="H392" s="35"/>
      <c r="I392" s="12"/>
      <c r="M392" s="12"/>
      <c r="N392" s="18"/>
      <c r="O392" s="12"/>
      <c r="P392" s="12"/>
      <c r="Q392" s="12"/>
      <c r="R392" s="36"/>
      <c r="S392" s="36"/>
      <c r="T392" s="12"/>
      <c r="U392" s="12"/>
      <c r="V392" s="12"/>
      <c r="W392" s="12"/>
      <c r="X392" s="12"/>
    </row>
    <row r="393" customFormat="false" ht="15.75" hidden="false" customHeight="false" outlineLevel="0" collapsed="false">
      <c r="A393" s="12"/>
      <c r="B393" s="34"/>
      <c r="C393" s="12"/>
      <c r="D393" s="12"/>
      <c r="E393" s="12"/>
      <c r="F393" s="12"/>
      <c r="G393" s="18"/>
      <c r="H393" s="35"/>
      <c r="I393" s="12"/>
      <c r="M393" s="12"/>
      <c r="N393" s="18"/>
      <c r="O393" s="12"/>
      <c r="P393" s="12"/>
      <c r="Q393" s="12"/>
      <c r="R393" s="36"/>
      <c r="S393" s="36"/>
      <c r="T393" s="12"/>
      <c r="U393" s="12"/>
      <c r="V393" s="12"/>
      <c r="W393" s="12"/>
      <c r="X393" s="12"/>
    </row>
    <row r="394" customFormat="false" ht="15.75" hidden="false" customHeight="false" outlineLevel="0" collapsed="false">
      <c r="A394" s="12"/>
      <c r="B394" s="34"/>
      <c r="C394" s="12"/>
      <c r="D394" s="12"/>
      <c r="E394" s="12"/>
      <c r="F394" s="12"/>
      <c r="G394" s="18"/>
      <c r="H394" s="35"/>
      <c r="I394" s="12"/>
      <c r="M394" s="12"/>
      <c r="N394" s="18"/>
      <c r="O394" s="12"/>
      <c r="P394" s="12"/>
      <c r="Q394" s="12"/>
      <c r="R394" s="36"/>
      <c r="S394" s="36"/>
      <c r="T394" s="12"/>
      <c r="U394" s="12"/>
      <c r="V394" s="12"/>
      <c r="W394" s="12"/>
      <c r="X394" s="12"/>
    </row>
    <row r="395" customFormat="false" ht="15.75" hidden="false" customHeight="false" outlineLevel="0" collapsed="false">
      <c r="A395" s="12"/>
      <c r="B395" s="34"/>
      <c r="C395" s="12"/>
      <c r="D395" s="12"/>
      <c r="E395" s="12"/>
      <c r="F395" s="12"/>
      <c r="G395" s="18"/>
      <c r="H395" s="35"/>
      <c r="I395" s="12"/>
      <c r="M395" s="12"/>
      <c r="N395" s="18"/>
      <c r="O395" s="12"/>
      <c r="P395" s="12"/>
      <c r="Q395" s="12"/>
      <c r="R395" s="36"/>
      <c r="S395" s="36"/>
      <c r="T395" s="12"/>
      <c r="U395" s="12"/>
      <c r="V395" s="12"/>
      <c r="W395" s="12"/>
      <c r="X395" s="12"/>
    </row>
    <row r="396" customFormat="false" ht="15.75" hidden="false" customHeight="false" outlineLevel="0" collapsed="false">
      <c r="A396" s="12"/>
      <c r="B396" s="34"/>
      <c r="C396" s="12"/>
      <c r="D396" s="12"/>
      <c r="E396" s="12"/>
      <c r="F396" s="12"/>
      <c r="G396" s="18"/>
      <c r="H396" s="35"/>
      <c r="I396" s="12"/>
      <c r="M396" s="12"/>
      <c r="N396" s="18"/>
      <c r="O396" s="12"/>
      <c r="P396" s="12"/>
      <c r="Q396" s="12"/>
      <c r="R396" s="36"/>
      <c r="S396" s="36"/>
      <c r="T396" s="12"/>
      <c r="U396" s="12"/>
      <c r="V396" s="12"/>
      <c r="W396" s="12"/>
      <c r="X396" s="12"/>
    </row>
    <row r="397" customFormat="false" ht="15.75" hidden="false" customHeight="false" outlineLevel="0" collapsed="false">
      <c r="A397" s="12"/>
      <c r="B397" s="34"/>
      <c r="C397" s="12"/>
      <c r="D397" s="12"/>
      <c r="E397" s="12"/>
      <c r="F397" s="12"/>
      <c r="G397" s="18"/>
      <c r="H397" s="35"/>
      <c r="I397" s="12"/>
      <c r="M397" s="12"/>
      <c r="N397" s="18"/>
      <c r="O397" s="12"/>
      <c r="P397" s="12"/>
      <c r="Q397" s="12"/>
      <c r="R397" s="36"/>
      <c r="S397" s="36"/>
      <c r="T397" s="12"/>
      <c r="U397" s="12"/>
      <c r="V397" s="12"/>
      <c r="W397" s="12"/>
      <c r="X397" s="12"/>
    </row>
    <row r="398" customFormat="false" ht="15.75" hidden="false" customHeight="false" outlineLevel="0" collapsed="false">
      <c r="A398" s="12"/>
      <c r="B398" s="34"/>
      <c r="C398" s="12"/>
      <c r="D398" s="12"/>
      <c r="E398" s="12"/>
      <c r="F398" s="12"/>
      <c r="G398" s="18"/>
      <c r="H398" s="35"/>
      <c r="I398" s="12"/>
      <c r="M398" s="12"/>
      <c r="N398" s="18"/>
      <c r="O398" s="12"/>
      <c r="P398" s="12"/>
      <c r="Q398" s="12"/>
      <c r="R398" s="36"/>
      <c r="S398" s="36"/>
      <c r="T398" s="12"/>
      <c r="U398" s="12"/>
      <c r="V398" s="12"/>
      <c r="W398" s="12"/>
      <c r="X398" s="12"/>
    </row>
    <row r="399" customFormat="false" ht="15.75" hidden="false" customHeight="false" outlineLevel="0" collapsed="false">
      <c r="A399" s="12"/>
      <c r="B399" s="34"/>
      <c r="C399" s="12"/>
      <c r="D399" s="12"/>
      <c r="E399" s="12"/>
      <c r="F399" s="12"/>
      <c r="G399" s="18"/>
      <c r="H399" s="35"/>
      <c r="I399" s="12"/>
      <c r="M399" s="12"/>
      <c r="N399" s="18"/>
      <c r="O399" s="12"/>
      <c r="P399" s="12"/>
      <c r="Q399" s="12"/>
      <c r="R399" s="36"/>
      <c r="S399" s="36"/>
      <c r="T399" s="12"/>
      <c r="U399" s="12"/>
      <c r="V399" s="12"/>
      <c r="W399" s="12"/>
      <c r="X399" s="12"/>
    </row>
    <row r="400" customFormat="false" ht="15.75" hidden="false" customHeight="false" outlineLevel="0" collapsed="false">
      <c r="A400" s="12"/>
      <c r="B400" s="34"/>
      <c r="C400" s="12"/>
      <c r="D400" s="12"/>
      <c r="E400" s="12"/>
      <c r="F400" s="12"/>
      <c r="G400" s="18"/>
      <c r="H400" s="35"/>
      <c r="I400" s="12"/>
      <c r="M400" s="12"/>
      <c r="N400" s="18"/>
      <c r="O400" s="12"/>
      <c r="P400" s="12"/>
      <c r="Q400" s="12"/>
      <c r="R400" s="36"/>
      <c r="S400" s="36"/>
      <c r="T400" s="12"/>
      <c r="U400" s="12"/>
      <c r="V400" s="12"/>
      <c r="W400" s="12"/>
      <c r="X400" s="12"/>
    </row>
    <row r="401" customFormat="false" ht="15.75" hidden="false" customHeight="false" outlineLevel="0" collapsed="false">
      <c r="A401" s="12"/>
      <c r="B401" s="34"/>
      <c r="C401" s="12"/>
      <c r="D401" s="12"/>
      <c r="E401" s="12"/>
      <c r="F401" s="12"/>
      <c r="G401" s="18"/>
      <c r="H401" s="35"/>
      <c r="I401" s="12"/>
      <c r="M401" s="12"/>
      <c r="N401" s="18"/>
      <c r="O401" s="12"/>
      <c r="P401" s="12"/>
      <c r="Q401" s="12"/>
      <c r="R401" s="36"/>
      <c r="S401" s="36"/>
      <c r="T401" s="12"/>
      <c r="U401" s="12"/>
      <c r="V401" s="12"/>
      <c r="W401" s="12"/>
      <c r="X401" s="12"/>
    </row>
    <row r="402" customFormat="false" ht="15.75" hidden="false" customHeight="false" outlineLevel="0" collapsed="false">
      <c r="A402" s="12"/>
      <c r="B402" s="34"/>
      <c r="C402" s="12"/>
      <c r="D402" s="12"/>
      <c r="E402" s="12"/>
      <c r="F402" s="12"/>
      <c r="G402" s="18"/>
      <c r="H402" s="35"/>
      <c r="I402" s="12"/>
      <c r="M402" s="12"/>
      <c r="N402" s="18"/>
      <c r="O402" s="12"/>
      <c r="P402" s="12"/>
      <c r="Q402" s="12"/>
      <c r="R402" s="36"/>
      <c r="S402" s="36"/>
      <c r="T402" s="12"/>
      <c r="U402" s="12"/>
      <c r="V402" s="12"/>
      <c r="W402" s="12"/>
      <c r="X402" s="12"/>
    </row>
    <row r="403" customFormat="false" ht="15.75" hidden="false" customHeight="false" outlineLevel="0" collapsed="false">
      <c r="A403" s="12"/>
      <c r="B403" s="34"/>
      <c r="C403" s="12"/>
      <c r="D403" s="12"/>
      <c r="E403" s="12"/>
      <c r="F403" s="12"/>
      <c r="G403" s="18"/>
      <c r="H403" s="35"/>
      <c r="I403" s="12"/>
      <c r="M403" s="12"/>
      <c r="N403" s="18"/>
      <c r="O403" s="12"/>
      <c r="P403" s="12"/>
      <c r="Q403" s="12"/>
      <c r="R403" s="36"/>
      <c r="S403" s="36"/>
      <c r="T403" s="12"/>
      <c r="U403" s="12"/>
      <c r="V403" s="12"/>
      <c r="W403" s="12"/>
      <c r="X403" s="12"/>
    </row>
    <row r="404" customFormat="false" ht="15.75" hidden="false" customHeight="false" outlineLevel="0" collapsed="false">
      <c r="A404" s="12"/>
      <c r="B404" s="34"/>
      <c r="C404" s="12"/>
      <c r="D404" s="12"/>
      <c r="E404" s="12"/>
      <c r="F404" s="12"/>
      <c r="G404" s="18"/>
      <c r="H404" s="35"/>
      <c r="I404" s="12"/>
      <c r="M404" s="12"/>
      <c r="N404" s="18"/>
      <c r="O404" s="12"/>
      <c r="P404" s="12"/>
      <c r="Q404" s="12"/>
      <c r="R404" s="36"/>
      <c r="S404" s="36"/>
      <c r="T404" s="12"/>
      <c r="U404" s="12"/>
      <c r="V404" s="12"/>
      <c r="W404" s="12"/>
      <c r="X404" s="12"/>
    </row>
    <row r="405" customFormat="false" ht="15.75" hidden="false" customHeight="false" outlineLevel="0" collapsed="false">
      <c r="A405" s="12"/>
      <c r="B405" s="34"/>
      <c r="C405" s="12"/>
      <c r="D405" s="12"/>
      <c r="E405" s="12"/>
      <c r="F405" s="12"/>
      <c r="G405" s="18"/>
      <c r="H405" s="35"/>
      <c r="I405" s="12"/>
      <c r="M405" s="12"/>
      <c r="N405" s="18"/>
      <c r="O405" s="12"/>
      <c r="P405" s="12"/>
      <c r="Q405" s="12"/>
      <c r="R405" s="36"/>
      <c r="S405" s="36"/>
      <c r="T405" s="12"/>
      <c r="U405" s="12"/>
      <c r="V405" s="12"/>
      <c r="W405" s="12"/>
      <c r="X405" s="12"/>
    </row>
    <row r="406" customFormat="false" ht="15.75" hidden="false" customHeight="false" outlineLevel="0" collapsed="false">
      <c r="A406" s="12"/>
      <c r="B406" s="34"/>
      <c r="C406" s="12"/>
      <c r="D406" s="12"/>
      <c r="E406" s="12"/>
      <c r="F406" s="12"/>
      <c r="G406" s="18"/>
      <c r="H406" s="35"/>
      <c r="I406" s="12"/>
      <c r="M406" s="12"/>
      <c r="N406" s="18"/>
      <c r="O406" s="12"/>
      <c r="P406" s="12"/>
      <c r="Q406" s="12"/>
      <c r="R406" s="36"/>
      <c r="S406" s="36"/>
      <c r="T406" s="12"/>
      <c r="U406" s="12"/>
      <c r="V406" s="12"/>
      <c r="W406" s="12"/>
      <c r="X406" s="12"/>
    </row>
    <row r="407" customFormat="false" ht="15.75" hidden="false" customHeight="false" outlineLevel="0" collapsed="false">
      <c r="A407" s="12"/>
      <c r="B407" s="34"/>
      <c r="C407" s="12"/>
      <c r="D407" s="12"/>
      <c r="E407" s="12"/>
      <c r="F407" s="12"/>
      <c r="G407" s="18"/>
      <c r="H407" s="35"/>
      <c r="I407" s="12"/>
      <c r="M407" s="12"/>
      <c r="N407" s="18"/>
      <c r="O407" s="12"/>
      <c r="P407" s="12"/>
      <c r="Q407" s="12"/>
      <c r="R407" s="36"/>
      <c r="S407" s="36"/>
      <c r="T407" s="12"/>
      <c r="U407" s="12"/>
      <c r="V407" s="12"/>
      <c r="W407" s="12"/>
      <c r="X407" s="12"/>
    </row>
    <row r="408" customFormat="false" ht="15.75" hidden="false" customHeight="false" outlineLevel="0" collapsed="false">
      <c r="A408" s="12"/>
      <c r="B408" s="34"/>
      <c r="C408" s="12"/>
      <c r="D408" s="12"/>
      <c r="E408" s="12"/>
      <c r="F408" s="12"/>
      <c r="G408" s="18"/>
      <c r="H408" s="35"/>
      <c r="I408" s="12"/>
      <c r="M408" s="12"/>
      <c r="N408" s="18"/>
      <c r="O408" s="12"/>
      <c r="P408" s="12"/>
      <c r="Q408" s="12"/>
      <c r="R408" s="36"/>
      <c r="S408" s="36"/>
      <c r="T408" s="12"/>
      <c r="U408" s="12"/>
      <c r="V408" s="12"/>
      <c r="W408" s="12"/>
      <c r="X408" s="12"/>
    </row>
    <row r="409" customFormat="false" ht="15.75" hidden="false" customHeight="false" outlineLevel="0" collapsed="false">
      <c r="A409" s="12"/>
      <c r="B409" s="34"/>
      <c r="C409" s="12"/>
      <c r="D409" s="12"/>
      <c r="E409" s="12"/>
      <c r="F409" s="12"/>
      <c r="G409" s="18"/>
      <c r="H409" s="35"/>
      <c r="I409" s="12"/>
      <c r="M409" s="12"/>
      <c r="N409" s="18"/>
      <c r="O409" s="12"/>
      <c r="P409" s="12"/>
      <c r="Q409" s="12"/>
      <c r="R409" s="36"/>
      <c r="S409" s="36"/>
      <c r="T409" s="12"/>
      <c r="U409" s="12"/>
      <c r="V409" s="12"/>
      <c r="W409" s="12"/>
      <c r="X409" s="12"/>
    </row>
    <row r="410" customFormat="false" ht="15.75" hidden="false" customHeight="false" outlineLevel="0" collapsed="false">
      <c r="A410" s="12"/>
      <c r="B410" s="34"/>
      <c r="C410" s="12"/>
      <c r="D410" s="12"/>
      <c r="E410" s="12"/>
      <c r="F410" s="12"/>
      <c r="G410" s="18"/>
      <c r="H410" s="35"/>
      <c r="I410" s="12"/>
      <c r="M410" s="12"/>
      <c r="N410" s="18"/>
      <c r="O410" s="12"/>
      <c r="P410" s="12"/>
      <c r="Q410" s="12"/>
      <c r="R410" s="36"/>
      <c r="S410" s="36"/>
      <c r="T410" s="12"/>
      <c r="U410" s="12"/>
      <c r="V410" s="12"/>
      <c r="W410" s="12"/>
      <c r="X410" s="12"/>
    </row>
    <row r="411" customFormat="false" ht="15.75" hidden="false" customHeight="false" outlineLevel="0" collapsed="false">
      <c r="A411" s="12"/>
      <c r="B411" s="34"/>
      <c r="C411" s="12"/>
      <c r="D411" s="12"/>
      <c r="E411" s="12"/>
      <c r="F411" s="12"/>
      <c r="G411" s="18"/>
      <c r="H411" s="35"/>
      <c r="I411" s="12"/>
      <c r="M411" s="12"/>
      <c r="N411" s="18"/>
      <c r="O411" s="12"/>
      <c r="P411" s="12"/>
      <c r="Q411" s="12"/>
      <c r="R411" s="36"/>
      <c r="S411" s="36"/>
      <c r="T411" s="12"/>
      <c r="U411" s="12"/>
      <c r="V411" s="12"/>
      <c r="W411" s="12"/>
      <c r="X411" s="12"/>
    </row>
    <row r="412" customFormat="false" ht="15.75" hidden="false" customHeight="false" outlineLevel="0" collapsed="false">
      <c r="A412" s="12"/>
      <c r="B412" s="34"/>
      <c r="C412" s="12"/>
      <c r="D412" s="12"/>
      <c r="E412" s="12"/>
      <c r="F412" s="12"/>
      <c r="G412" s="18"/>
      <c r="H412" s="35"/>
      <c r="I412" s="12"/>
      <c r="M412" s="12"/>
      <c r="N412" s="18"/>
      <c r="O412" s="12"/>
      <c r="P412" s="12"/>
      <c r="Q412" s="12"/>
      <c r="R412" s="36"/>
      <c r="S412" s="36"/>
      <c r="T412" s="12"/>
      <c r="U412" s="12"/>
      <c r="V412" s="12"/>
      <c r="W412" s="12"/>
      <c r="X412" s="12"/>
    </row>
    <row r="413" customFormat="false" ht="15.75" hidden="false" customHeight="false" outlineLevel="0" collapsed="false">
      <c r="A413" s="12"/>
      <c r="B413" s="34"/>
      <c r="C413" s="12"/>
      <c r="D413" s="12"/>
      <c r="E413" s="12"/>
      <c r="F413" s="12"/>
      <c r="G413" s="18"/>
      <c r="H413" s="35"/>
      <c r="I413" s="12"/>
      <c r="M413" s="12"/>
      <c r="N413" s="18"/>
      <c r="O413" s="12"/>
      <c r="P413" s="12"/>
      <c r="Q413" s="12"/>
      <c r="R413" s="36"/>
      <c r="S413" s="36"/>
      <c r="T413" s="12"/>
      <c r="U413" s="12"/>
      <c r="V413" s="12"/>
      <c r="W413" s="12"/>
      <c r="X413" s="12"/>
    </row>
    <row r="414" customFormat="false" ht="15.75" hidden="false" customHeight="false" outlineLevel="0" collapsed="false">
      <c r="A414" s="12"/>
      <c r="B414" s="34"/>
      <c r="C414" s="12"/>
      <c r="D414" s="12"/>
      <c r="E414" s="12"/>
      <c r="F414" s="12"/>
      <c r="G414" s="18"/>
      <c r="H414" s="35"/>
      <c r="I414" s="12"/>
      <c r="M414" s="12"/>
      <c r="N414" s="18"/>
      <c r="O414" s="12"/>
      <c r="P414" s="12"/>
      <c r="Q414" s="12"/>
      <c r="R414" s="36"/>
      <c r="S414" s="36"/>
      <c r="T414" s="12"/>
      <c r="U414" s="12"/>
      <c r="V414" s="12"/>
      <c r="W414" s="12"/>
      <c r="X414" s="12"/>
    </row>
    <row r="415" customFormat="false" ht="15.75" hidden="false" customHeight="false" outlineLevel="0" collapsed="false">
      <c r="A415" s="12"/>
      <c r="B415" s="34"/>
      <c r="C415" s="12"/>
      <c r="D415" s="12"/>
      <c r="E415" s="12"/>
      <c r="F415" s="12"/>
      <c r="G415" s="18"/>
      <c r="H415" s="35"/>
      <c r="I415" s="12"/>
      <c r="M415" s="12"/>
      <c r="N415" s="18"/>
      <c r="O415" s="12"/>
      <c r="P415" s="12"/>
      <c r="Q415" s="12"/>
      <c r="R415" s="36"/>
      <c r="S415" s="36"/>
      <c r="T415" s="12"/>
      <c r="U415" s="12"/>
      <c r="V415" s="12"/>
      <c r="W415" s="12"/>
      <c r="X415" s="12"/>
    </row>
    <row r="416" customFormat="false" ht="15.75" hidden="false" customHeight="false" outlineLevel="0" collapsed="false">
      <c r="A416" s="12"/>
      <c r="B416" s="34"/>
      <c r="C416" s="12"/>
      <c r="D416" s="12"/>
      <c r="E416" s="12"/>
      <c r="F416" s="12"/>
      <c r="G416" s="18"/>
      <c r="H416" s="35"/>
      <c r="I416" s="12"/>
      <c r="M416" s="12"/>
      <c r="N416" s="18"/>
      <c r="O416" s="12"/>
      <c r="P416" s="12"/>
      <c r="Q416" s="12"/>
      <c r="R416" s="36"/>
      <c r="S416" s="36"/>
      <c r="T416" s="12"/>
      <c r="U416" s="12"/>
      <c r="V416" s="12"/>
      <c r="W416" s="12"/>
      <c r="X416" s="12"/>
    </row>
    <row r="417" customFormat="false" ht="15.75" hidden="false" customHeight="false" outlineLevel="0" collapsed="false">
      <c r="A417" s="12"/>
      <c r="B417" s="34"/>
      <c r="C417" s="12"/>
      <c r="D417" s="12"/>
      <c r="E417" s="12"/>
      <c r="F417" s="12"/>
      <c r="G417" s="18"/>
      <c r="H417" s="35"/>
      <c r="I417" s="12"/>
      <c r="M417" s="12"/>
      <c r="N417" s="18"/>
      <c r="O417" s="12"/>
      <c r="P417" s="12"/>
      <c r="Q417" s="12"/>
      <c r="R417" s="36"/>
      <c r="S417" s="36"/>
      <c r="T417" s="12"/>
      <c r="U417" s="12"/>
      <c r="V417" s="12"/>
      <c r="W417" s="12"/>
      <c r="X417" s="12"/>
    </row>
    <row r="418" customFormat="false" ht="15.75" hidden="false" customHeight="false" outlineLevel="0" collapsed="false">
      <c r="A418" s="12"/>
      <c r="B418" s="34"/>
      <c r="C418" s="12"/>
      <c r="D418" s="12"/>
      <c r="E418" s="12"/>
      <c r="F418" s="12"/>
      <c r="G418" s="18"/>
      <c r="H418" s="35"/>
      <c r="I418" s="12"/>
      <c r="M418" s="12"/>
      <c r="N418" s="18"/>
      <c r="O418" s="12"/>
      <c r="P418" s="12"/>
      <c r="Q418" s="12"/>
      <c r="R418" s="36"/>
      <c r="S418" s="36"/>
      <c r="T418" s="12"/>
      <c r="U418" s="12"/>
      <c r="V418" s="12"/>
      <c r="W418" s="12"/>
      <c r="X418" s="12"/>
    </row>
    <row r="419" customFormat="false" ht="15.75" hidden="false" customHeight="false" outlineLevel="0" collapsed="false">
      <c r="A419" s="12"/>
      <c r="B419" s="34"/>
      <c r="C419" s="12"/>
      <c r="D419" s="12"/>
      <c r="E419" s="12"/>
      <c r="F419" s="12"/>
      <c r="G419" s="18"/>
      <c r="H419" s="35"/>
      <c r="I419" s="12"/>
      <c r="M419" s="12"/>
      <c r="N419" s="18"/>
      <c r="O419" s="12"/>
      <c r="P419" s="12"/>
      <c r="Q419" s="12"/>
      <c r="R419" s="36"/>
      <c r="S419" s="36"/>
      <c r="T419" s="12"/>
      <c r="U419" s="12"/>
      <c r="V419" s="12"/>
      <c r="W419" s="12"/>
      <c r="X419" s="12"/>
    </row>
    <row r="420" customFormat="false" ht="15.75" hidden="false" customHeight="false" outlineLevel="0" collapsed="false">
      <c r="A420" s="12"/>
      <c r="B420" s="34"/>
      <c r="C420" s="12"/>
      <c r="D420" s="12"/>
      <c r="E420" s="12"/>
      <c r="F420" s="12"/>
      <c r="G420" s="18"/>
      <c r="H420" s="35"/>
      <c r="I420" s="12"/>
      <c r="M420" s="12"/>
      <c r="N420" s="18"/>
      <c r="O420" s="12"/>
      <c r="P420" s="12"/>
      <c r="Q420" s="12"/>
      <c r="R420" s="36"/>
      <c r="S420" s="36"/>
      <c r="T420" s="12"/>
      <c r="U420" s="12"/>
      <c r="V420" s="12"/>
      <c r="W420" s="12"/>
      <c r="X420" s="12"/>
    </row>
    <row r="421" customFormat="false" ht="15.75" hidden="false" customHeight="false" outlineLevel="0" collapsed="false">
      <c r="A421" s="12"/>
      <c r="B421" s="34"/>
      <c r="C421" s="12"/>
      <c r="D421" s="12"/>
      <c r="E421" s="12"/>
      <c r="F421" s="12"/>
      <c r="G421" s="18"/>
      <c r="H421" s="35"/>
      <c r="I421" s="12"/>
      <c r="M421" s="12"/>
      <c r="N421" s="18"/>
      <c r="O421" s="12"/>
      <c r="P421" s="12"/>
      <c r="Q421" s="12"/>
      <c r="R421" s="36"/>
      <c r="S421" s="36"/>
      <c r="T421" s="12"/>
      <c r="U421" s="12"/>
      <c r="V421" s="12"/>
      <c r="W421" s="12"/>
      <c r="X421" s="12"/>
    </row>
    <row r="422" customFormat="false" ht="15.75" hidden="false" customHeight="false" outlineLevel="0" collapsed="false">
      <c r="A422" s="12"/>
      <c r="B422" s="34"/>
      <c r="C422" s="12"/>
      <c r="D422" s="12"/>
      <c r="E422" s="12"/>
      <c r="F422" s="12"/>
      <c r="G422" s="18"/>
      <c r="H422" s="35"/>
      <c r="I422" s="12"/>
      <c r="M422" s="12"/>
      <c r="N422" s="18"/>
      <c r="O422" s="12"/>
      <c r="P422" s="12"/>
      <c r="Q422" s="12"/>
      <c r="R422" s="36"/>
      <c r="S422" s="36"/>
      <c r="T422" s="12"/>
      <c r="U422" s="12"/>
      <c r="V422" s="12"/>
      <c r="W422" s="12"/>
      <c r="X422" s="12"/>
    </row>
    <row r="423" customFormat="false" ht="15.75" hidden="false" customHeight="false" outlineLevel="0" collapsed="false">
      <c r="A423" s="12"/>
      <c r="B423" s="34"/>
      <c r="C423" s="12"/>
      <c r="D423" s="12"/>
      <c r="E423" s="12"/>
      <c r="F423" s="12"/>
      <c r="G423" s="18"/>
      <c r="H423" s="35"/>
      <c r="I423" s="12"/>
      <c r="M423" s="12"/>
      <c r="N423" s="18"/>
      <c r="O423" s="12"/>
      <c r="P423" s="12"/>
      <c r="Q423" s="12"/>
      <c r="R423" s="36"/>
      <c r="S423" s="36"/>
      <c r="T423" s="12"/>
      <c r="U423" s="12"/>
      <c r="V423" s="12"/>
      <c r="W423" s="12"/>
      <c r="X423" s="12"/>
    </row>
    <row r="424" customFormat="false" ht="15.75" hidden="false" customHeight="false" outlineLevel="0" collapsed="false">
      <c r="A424" s="12"/>
      <c r="B424" s="34"/>
      <c r="C424" s="12"/>
      <c r="D424" s="12"/>
      <c r="E424" s="12"/>
      <c r="F424" s="12"/>
      <c r="G424" s="18"/>
      <c r="H424" s="35"/>
      <c r="I424" s="12"/>
      <c r="M424" s="12"/>
      <c r="N424" s="18"/>
      <c r="O424" s="12"/>
      <c r="P424" s="12"/>
      <c r="Q424" s="12"/>
      <c r="R424" s="36"/>
      <c r="S424" s="36"/>
      <c r="T424" s="12"/>
      <c r="U424" s="12"/>
      <c r="V424" s="12"/>
      <c r="W424" s="12"/>
      <c r="X424" s="12"/>
    </row>
    <row r="425" customFormat="false" ht="15.75" hidden="false" customHeight="false" outlineLevel="0" collapsed="false">
      <c r="A425" s="12"/>
      <c r="B425" s="34"/>
      <c r="C425" s="12"/>
      <c r="D425" s="12"/>
      <c r="E425" s="12"/>
      <c r="F425" s="12"/>
      <c r="G425" s="18"/>
      <c r="H425" s="35"/>
      <c r="I425" s="12"/>
      <c r="M425" s="12"/>
      <c r="N425" s="18"/>
      <c r="O425" s="12"/>
      <c r="P425" s="12"/>
      <c r="Q425" s="12"/>
      <c r="R425" s="36"/>
      <c r="S425" s="36"/>
      <c r="T425" s="12"/>
      <c r="U425" s="12"/>
      <c r="V425" s="12"/>
      <c r="W425" s="12"/>
      <c r="X425" s="12"/>
    </row>
    <row r="426" customFormat="false" ht="15.75" hidden="false" customHeight="false" outlineLevel="0" collapsed="false">
      <c r="A426" s="12"/>
      <c r="B426" s="34"/>
      <c r="C426" s="12"/>
      <c r="D426" s="12"/>
      <c r="E426" s="12"/>
      <c r="F426" s="12"/>
      <c r="G426" s="18"/>
      <c r="H426" s="35"/>
      <c r="I426" s="12"/>
      <c r="M426" s="12"/>
      <c r="N426" s="18"/>
      <c r="O426" s="12"/>
      <c r="P426" s="12"/>
      <c r="Q426" s="12"/>
      <c r="R426" s="36"/>
      <c r="S426" s="36"/>
      <c r="T426" s="12"/>
      <c r="U426" s="12"/>
      <c r="V426" s="12"/>
      <c r="W426" s="12"/>
      <c r="X426" s="12"/>
    </row>
    <row r="427" customFormat="false" ht="15.75" hidden="false" customHeight="false" outlineLevel="0" collapsed="false">
      <c r="A427" s="12"/>
      <c r="B427" s="34"/>
      <c r="C427" s="12"/>
      <c r="D427" s="12"/>
      <c r="E427" s="12"/>
      <c r="F427" s="12"/>
      <c r="G427" s="18"/>
      <c r="H427" s="35"/>
      <c r="I427" s="12"/>
      <c r="M427" s="12"/>
      <c r="N427" s="18"/>
      <c r="O427" s="12"/>
      <c r="P427" s="12"/>
      <c r="Q427" s="12"/>
      <c r="R427" s="36"/>
      <c r="S427" s="36"/>
      <c r="T427" s="12"/>
      <c r="U427" s="12"/>
      <c r="V427" s="12"/>
      <c r="W427" s="12"/>
      <c r="X427" s="12"/>
    </row>
    <row r="428" customFormat="false" ht="15.75" hidden="false" customHeight="false" outlineLevel="0" collapsed="false">
      <c r="A428" s="12"/>
      <c r="B428" s="34"/>
      <c r="C428" s="12"/>
      <c r="D428" s="12"/>
      <c r="E428" s="12"/>
      <c r="F428" s="12"/>
      <c r="G428" s="18"/>
      <c r="H428" s="35"/>
      <c r="I428" s="12"/>
      <c r="M428" s="12"/>
      <c r="N428" s="18"/>
      <c r="O428" s="12"/>
      <c r="P428" s="12"/>
      <c r="Q428" s="12"/>
      <c r="R428" s="36"/>
      <c r="S428" s="36"/>
      <c r="T428" s="12"/>
      <c r="U428" s="12"/>
      <c r="V428" s="12"/>
      <c r="W428" s="12"/>
      <c r="X428" s="12"/>
    </row>
    <row r="429" customFormat="false" ht="15.75" hidden="false" customHeight="false" outlineLevel="0" collapsed="false">
      <c r="A429" s="12"/>
      <c r="B429" s="34"/>
      <c r="C429" s="12"/>
      <c r="D429" s="12"/>
      <c r="E429" s="12"/>
      <c r="F429" s="12"/>
      <c r="G429" s="18"/>
      <c r="H429" s="35"/>
      <c r="I429" s="12"/>
      <c r="M429" s="12"/>
      <c r="N429" s="18"/>
      <c r="O429" s="12"/>
      <c r="P429" s="12"/>
      <c r="Q429" s="12"/>
      <c r="R429" s="36"/>
      <c r="S429" s="36"/>
      <c r="T429" s="12"/>
      <c r="U429" s="12"/>
      <c r="V429" s="12"/>
      <c r="W429" s="12"/>
      <c r="X429" s="12"/>
    </row>
    <row r="430" customFormat="false" ht="15.75" hidden="false" customHeight="false" outlineLevel="0" collapsed="false">
      <c r="A430" s="12"/>
      <c r="B430" s="34"/>
      <c r="C430" s="12"/>
      <c r="D430" s="12"/>
      <c r="E430" s="12"/>
      <c r="F430" s="12"/>
      <c r="G430" s="18"/>
      <c r="H430" s="35"/>
      <c r="I430" s="12"/>
      <c r="M430" s="12"/>
      <c r="N430" s="18"/>
      <c r="O430" s="12"/>
      <c r="P430" s="12"/>
      <c r="Q430" s="12"/>
      <c r="R430" s="36"/>
      <c r="S430" s="36"/>
      <c r="T430" s="12"/>
      <c r="U430" s="12"/>
      <c r="V430" s="12"/>
      <c r="W430" s="12"/>
      <c r="X430" s="12"/>
    </row>
    <row r="431" customFormat="false" ht="15.75" hidden="false" customHeight="false" outlineLevel="0" collapsed="false">
      <c r="A431" s="12"/>
      <c r="B431" s="34"/>
      <c r="C431" s="12"/>
      <c r="D431" s="12"/>
      <c r="E431" s="12"/>
      <c r="F431" s="12"/>
      <c r="G431" s="18"/>
      <c r="H431" s="35"/>
      <c r="I431" s="12"/>
      <c r="M431" s="12"/>
      <c r="N431" s="18"/>
      <c r="O431" s="12"/>
      <c r="P431" s="12"/>
      <c r="Q431" s="12"/>
      <c r="R431" s="36"/>
      <c r="S431" s="36"/>
      <c r="T431" s="12"/>
      <c r="U431" s="12"/>
      <c r="V431" s="12"/>
      <c r="W431" s="12"/>
      <c r="X431" s="12"/>
    </row>
    <row r="432" customFormat="false" ht="15.75" hidden="false" customHeight="false" outlineLevel="0" collapsed="false">
      <c r="A432" s="12"/>
      <c r="B432" s="34"/>
      <c r="C432" s="12"/>
      <c r="D432" s="12"/>
      <c r="E432" s="12"/>
      <c r="F432" s="12"/>
      <c r="G432" s="18"/>
      <c r="H432" s="35"/>
      <c r="I432" s="12"/>
      <c r="M432" s="12"/>
      <c r="N432" s="18"/>
      <c r="O432" s="12"/>
      <c r="P432" s="12"/>
      <c r="Q432" s="12"/>
      <c r="R432" s="36"/>
      <c r="S432" s="36"/>
      <c r="T432" s="12"/>
      <c r="U432" s="12"/>
      <c r="V432" s="12"/>
      <c r="W432" s="12"/>
      <c r="X432" s="12"/>
    </row>
    <row r="433" customFormat="false" ht="15.75" hidden="false" customHeight="false" outlineLevel="0" collapsed="false">
      <c r="A433" s="12"/>
      <c r="B433" s="34"/>
      <c r="C433" s="12"/>
      <c r="D433" s="12"/>
      <c r="E433" s="12"/>
      <c r="F433" s="12"/>
      <c r="G433" s="18"/>
      <c r="H433" s="35"/>
      <c r="I433" s="12"/>
      <c r="M433" s="12"/>
      <c r="N433" s="18"/>
      <c r="O433" s="12"/>
      <c r="P433" s="12"/>
      <c r="Q433" s="12"/>
      <c r="R433" s="36"/>
      <c r="S433" s="36"/>
      <c r="T433" s="12"/>
      <c r="U433" s="12"/>
      <c r="V433" s="12"/>
      <c r="W433" s="12"/>
      <c r="X433" s="12"/>
    </row>
    <row r="434" customFormat="false" ht="15.75" hidden="false" customHeight="false" outlineLevel="0" collapsed="false">
      <c r="A434" s="12"/>
      <c r="B434" s="34"/>
      <c r="C434" s="12"/>
      <c r="D434" s="12"/>
      <c r="E434" s="12"/>
      <c r="F434" s="12"/>
      <c r="G434" s="18"/>
      <c r="H434" s="35"/>
      <c r="I434" s="12"/>
      <c r="M434" s="12"/>
      <c r="N434" s="18"/>
      <c r="O434" s="12"/>
      <c r="P434" s="12"/>
      <c r="Q434" s="12"/>
      <c r="R434" s="36"/>
      <c r="S434" s="36"/>
      <c r="T434" s="12"/>
      <c r="U434" s="12"/>
      <c r="V434" s="12"/>
      <c r="W434" s="12"/>
      <c r="X434" s="12"/>
    </row>
    <row r="435" customFormat="false" ht="15.75" hidden="false" customHeight="false" outlineLevel="0" collapsed="false">
      <c r="A435" s="12"/>
      <c r="B435" s="34"/>
      <c r="C435" s="12"/>
      <c r="D435" s="12"/>
      <c r="E435" s="12"/>
      <c r="F435" s="12"/>
      <c r="G435" s="18"/>
      <c r="H435" s="35"/>
      <c r="I435" s="12"/>
      <c r="M435" s="12"/>
      <c r="N435" s="18"/>
      <c r="O435" s="12"/>
      <c r="P435" s="12"/>
      <c r="Q435" s="12"/>
      <c r="R435" s="36"/>
      <c r="S435" s="36"/>
      <c r="T435" s="12"/>
      <c r="U435" s="12"/>
      <c r="V435" s="12"/>
      <c r="W435" s="12"/>
      <c r="X435" s="12"/>
    </row>
    <row r="436" customFormat="false" ht="15.75" hidden="false" customHeight="false" outlineLevel="0" collapsed="false">
      <c r="A436" s="12"/>
      <c r="B436" s="34"/>
      <c r="C436" s="12"/>
      <c r="D436" s="12"/>
      <c r="E436" s="12"/>
      <c r="F436" s="12"/>
      <c r="G436" s="18"/>
      <c r="H436" s="35"/>
      <c r="I436" s="12"/>
      <c r="M436" s="12"/>
      <c r="N436" s="18"/>
      <c r="O436" s="12"/>
      <c r="P436" s="12"/>
      <c r="Q436" s="12"/>
      <c r="R436" s="36"/>
      <c r="S436" s="36"/>
      <c r="T436" s="12"/>
      <c r="U436" s="12"/>
      <c r="V436" s="12"/>
      <c r="W436" s="12"/>
      <c r="X436" s="12"/>
    </row>
    <row r="437" customFormat="false" ht="15.75" hidden="false" customHeight="false" outlineLevel="0" collapsed="false">
      <c r="A437" s="12"/>
      <c r="B437" s="34"/>
      <c r="C437" s="12"/>
      <c r="D437" s="12"/>
      <c r="E437" s="12"/>
      <c r="F437" s="12"/>
      <c r="G437" s="18"/>
      <c r="H437" s="35"/>
      <c r="I437" s="12"/>
      <c r="M437" s="12"/>
      <c r="N437" s="18"/>
      <c r="O437" s="12"/>
      <c r="P437" s="12"/>
      <c r="Q437" s="12"/>
      <c r="R437" s="36"/>
      <c r="S437" s="36"/>
      <c r="T437" s="12"/>
      <c r="U437" s="12"/>
      <c r="V437" s="12"/>
      <c r="W437" s="12"/>
      <c r="X437" s="12"/>
    </row>
    <row r="438" customFormat="false" ht="15.75" hidden="false" customHeight="false" outlineLevel="0" collapsed="false">
      <c r="A438" s="12"/>
      <c r="B438" s="34"/>
      <c r="C438" s="12"/>
      <c r="D438" s="12"/>
      <c r="E438" s="12"/>
      <c r="F438" s="12"/>
      <c r="G438" s="18"/>
      <c r="H438" s="35"/>
      <c r="I438" s="12"/>
      <c r="M438" s="12"/>
      <c r="N438" s="18"/>
      <c r="O438" s="12"/>
      <c r="P438" s="12"/>
      <c r="Q438" s="12"/>
      <c r="R438" s="36"/>
      <c r="S438" s="36"/>
      <c r="T438" s="12"/>
      <c r="U438" s="12"/>
      <c r="V438" s="12"/>
      <c r="W438" s="12"/>
      <c r="X438" s="12"/>
    </row>
    <row r="439" customFormat="false" ht="15.75" hidden="false" customHeight="false" outlineLevel="0" collapsed="false">
      <c r="A439" s="12"/>
      <c r="B439" s="34"/>
      <c r="C439" s="12"/>
      <c r="D439" s="12"/>
      <c r="E439" s="12"/>
      <c r="F439" s="12"/>
      <c r="G439" s="18"/>
      <c r="H439" s="35"/>
      <c r="I439" s="12"/>
      <c r="M439" s="12"/>
      <c r="N439" s="18"/>
      <c r="O439" s="12"/>
      <c r="P439" s="12"/>
      <c r="Q439" s="12"/>
      <c r="R439" s="36"/>
      <c r="S439" s="36"/>
      <c r="T439" s="12"/>
      <c r="U439" s="12"/>
      <c r="V439" s="12"/>
      <c r="W439" s="12"/>
      <c r="X439" s="12"/>
    </row>
    <row r="440" customFormat="false" ht="15.75" hidden="false" customHeight="false" outlineLevel="0" collapsed="false">
      <c r="A440" s="12"/>
      <c r="B440" s="34"/>
      <c r="C440" s="12"/>
      <c r="D440" s="12"/>
      <c r="E440" s="12"/>
      <c r="F440" s="12"/>
      <c r="G440" s="18"/>
      <c r="H440" s="35"/>
      <c r="I440" s="12"/>
      <c r="M440" s="12"/>
      <c r="N440" s="18"/>
      <c r="O440" s="12"/>
      <c r="P440" s="12"/>
      <c r="Q440" s="12"/>
      <c r="R440" s="36"/>
      <c r="S440" s="36"/>
      <c r="T440" s="12"/>
      <c r="U440" s="12"/>
      <c r="V440" s="12"/>
      <c r="W440" s="12"/>
      <c r="X440" s="12"/>
    </row>
    <row r="441" customFormat="false" ht="15.75" hidden="false" customHeight="false" outlineLevel="0" collapsed="false">
      <c r="A441" s="12"/>
      <c r="B441" s="34"/>
      <c r="C441" s="12"/>
      <c r="D441" s="12"/>
      <c r="E441" s="12"/>
      <c r="F441" s="12"/>
      <c r="G441" s="18"/>
      <c r="H441" s="35"/>
      <c r="I441" s="12"/>
      <c r="M441" s="12"/>
      <c r="N441" s="18"/>
      <c r="O441" s="12"/>
      <c r="P441" s="12"/>
      <c r="Q441" s="12"/>
      <c r="R441" s="36"/>
      <c r="S441" s="36"/>
      <c r="T441" s="12"/>
      <c r="U441" s="12"/>
      <c r="V441" s="12"/>
      <c r="W441" s="12"/>
      <c r="X441" s="12"/>
    </row>
    <row r="442" customFormat="false" ht="15.75" hidden="false" customHeight="false" outlineLevel="0" collapsed="false">
      <c r="A442" s="12"/>
      <c r="B442" s="34"/>
      <c r="C442" s="12"/>
      <c r="D442" s="12"/>
      <c r="E442" s="12"/>
      <c r="F442" s="12"/>
      <c r="G442" s="18"/>
      <c r="H442" s="35"/>
      <c r="I442" s="12"/>
      <c r="M442" s="12"/>
      <c r="N442" s="18"/>
      <c r="O442" s="12"/>
      <c r="P442" s="12"/>
      <c r="Q442" s="12"/>
      <c r="R442" s="36"/>
      <c r="S442" s="36"/>
      <c r="T442" s="12"/>
      <c r="U442" s="12"/>
      <c r="V442" s="12"/>
      <c r="W442" s="12"/>
      <c r="X442" s="12"/>
    </row>
    <row r="443" customFormat="false" ht="15.75" hidden="false" customHeight="false" outlineLevel="0" collapsed="false">
      <c r="A443" s="12"/>
      <c r="B443" s="34"/>
      <c r="C443" s="12"/>
      <c r="D443" s="12"/>
      <c r="E443" s="12"/>
      <c r="F443" s="12"/>
      <c r="G443" s="18"/>
      <c r="H443" s="35"/>
      <c r="I443" s="12"/>
      <c r="M443" s="12"/>
      <c r="N443" s="18"/>
      <c r="O443" s="12"/>
      <c r="P443" s="12"/>
      <c r="Q443" s="12"/>
      <c r="R443" s="36"/>
      <c r="S443" s="36"/>
      <c r="T443" s="12"/>
      <c r="U443" s="12"/>
      <c r="V443" s="12"/>
      <c r="W443" s="12"/>
      <c r="X443" s="12"/>
    </row>
    <row r="444" customFormat="false" ht="15.75" hidden="false" customHeight="false" outlineLevel="0" collapsed="false">
      <c r="A444" s="12"/>
      <c r="B444" s="34"/>
      <c r="C444" s="12"/>
      <c r="D444" s="12"/>
      <c r="E444" s="12"/>
      <c r="F444" s="12"/>
      <c r="G444" s="18"/>
      <c r="H444" s="35"/>
      <c r="I444" s="12"/>
      <c r="M444" s="12"/>
      <c r="N444" s="18"/>
      <c r="O444" s="12"/>
      <c r="P444" s="12"/>
      <c r="Q444" s="12"/>
      <c r="R444" s="36"/>
      <c r="S444" s="36"/>
      <c r="T444" s="12"/>
      <c r="U444" s="12"/>
      <c r="V444" s="12"/>
      <c r="W444" s="12"/>
      <c r="X444" s="12"/>
    </row>
    <row r="445" customFormat="false" ht="15.75" hidden="false" customHeight="false" outlineLevel="0" collapsed="false">
      <c r="A445" s="12"/>
      <c r="B445" s="34"/>
      <c r="C445" s="12"/>
      <c r="D445" s="12"/>
      <c r="E445" s="12"/>
      <c r="F445" s="12"/>
      <c r="G445" s="18"/>
      <c r="H445" s="35"/>
      <c r="I445" s="12"/>
      <c r="M445" s="12"/>
      <c r="N445" s="18"/>
      <c r="O445" s="12"/>
      <c r="P445" s="12"/>
      <c r="Q445" s="12"/>
      <c r="R445" s="36"/>
      <c r="S445" s="36"/>
      <c r="T445" s="12"/>
      <c r="U445" s="12"/>
      <c r="V445" s="12"/>
      <c r="W445" s="12"/>
      <c r="X445" s="12"/>
    </row>
    <row r="446" customFormat="false" ht="15.75" hidden="false" customHeight="false" outlineLevel="0" collapsed="false">
      <c r="A446" s="12"/>
      <c r="B446" s="34"/>
      <c r="C446" s="12"/>
      <c r="D446" s="12"/>
      <c r="E446" s="12"/>
      <c r="F446" s="12"/>
      <c r="G446" s="18"/>
      <c r="H446" s="35"/>
      <c r="I446" s="12"/>
      <c r="M446" s="12"/>
      <c r="N446" s="18"/>
      <c r="O446" s="12"/>
      <c r="P446" s="12"/>
      <c r="Q446" s="12"/>
      <c r="R446" s="36"/>
      <c r="S446" s="36"/>
      <c r="T446" s="12"/>
      <c r="U446" s="12"/>
      <c r="V446" s="12"/>
      <c r="W446" s="12"/>
      <c r="X446" s="12"/>
    </row>
    <row r="447" customFormat="false" ht="15.75" hidden="false" customHeight="false" outlineLevel="0" collapsed="false">
      <c r="A447" s="12"/>
      <c r="B447" s="34"/>
      <c r="C447" s="12"/>
      <c r="D447" s="12"/>
      <c r="E447" s="12"/>
      <c r="F447" s="12"/>
      <c r="G447" s="18"/>
      <c r="H447" s="35"/>
      <c r="I447" s="12"/>
      <c r="M447" s="12"/>
      <c r="N447" s="18"/>
      <c r="O447" s="12"/>
      <c r="P447" s="12"/>
      <c r="Q447" s="12"/>
      <c r="R447" s="36"/>
      <c r="S447" s="36"/>
      <c r="T447" s="12"/>
      <c r="U447" s="12"/>
      <c r="V447" s="12"/>
      <c r="W447" s="12"/>
      <c r="X447" s="12"/>
    </row>
    <row r="448" customFormat="false" ht="15.75" hidden="false" customHeight="false" outlineLevel="0" collapsed="false">
      <c r="A448" s="12"/>
      <c r="B448" s="34"/>
      <c r="C448" s="12"/>
      <c r="D448" s="12"/>
      <c r="E448" s="12"/>
      <c r="F448" s="12"/>
      <c r="G448" s="18"/>
      <c r="H448" s="35"/>
      <c r="I448" s="12"/>
      <c r="M448" s="12"/>
      <c r="N448" s="18"/>
      <c r="O448" s="12"/>
      <c r="P448" s="12"/>
      <c r="Q448" s="12"/>
      <c r="R448" s="36"/>
      <c r="S448" s="36"/>
      <c r="T448" s="12"/>
      <c r="U448" s="12"/>
      <c r="V448" s="12"/>
      <c r="W448" s="12"/>
      <c r="X448" s="12"/>
    </row>
    <row r="449" customFormat="false" ht="15.75" hidden="false" customHeight="false" outlineLevel="0" collapsed="false">
      <c r="A449" s="12"/>
      <c r="B449" s="34"/>
      <c r="C449" s="12"/>
      <c r="D449" s="12"/>
      <c r="E449" s="12"/>
      <c r="F449" s="12"/>
      <c r="G449" s="18"/>
      <c r="H449" s="35"/>
      <c r="I449" s="12"/>
      <c r="M449" s="12"/>
      <c r="N449" s="18"/>
      <c r="O449" s="12"/>
      <c r="P449" s="12"/>
      <c r="Q449" s="12"/>
      <c r="R449" s="36"/>
      <c r="S449" s="36"/>
      <c r="T449" s="12"/>
      <c r="U449" s="12"/>
      <c r="V449" s="12"/>
      <c r="W449" s="12"/>
      <c r="X449" s="12"/>
    </row>
    <row r="450" customFormat="false" ht="15.75" hidden="false" customHeight="false" outlineLevel="0" collapsed="false">
      <c r="A450" s="12"/>
      <c r="B450" s="34"/>
      <c r="C450" s="12"/>
      <c r="D450" s="12"/>
      <c r="E450" s="12"/>
      <c r="F450" s="12"/>
      <c r="G450" s="18"/>
      <c r="H450" s="35"/>
      <c r="I450" s="12"/>
      <c r="M450" s="12"/>
      <c r="N450" s="18"/>
      <c r="O450" s="12"/>
      <c r="P450" s="12"/>
      <c r="Q450" s="12"/>
      <c r="R450" s="36"/>
      <c r="S450" s="36"/>
      <c r="T450" s="12"/>
      <c r="U450" s="12"/>
      <c r="V450" s="12"/>
      <c r="W450" s="12"/>
      <c r="X450" s="12"/>
    </row>
    <row r="451" customFormat="false" ht="15.75" hidden="false" customHeight="false" outlineLevel="0" collapsed="false">
      <c r="A451" s="12"/>
      <c r="B451" s="34"/>
      <c r="C451" s="12"/>
      <c r="D451" s="12"/>
      <c r="E451" s="12"/>
      <c r="F451" s="12"/>
      <c r="G451" s="18"/>
      <c r="H451" s="35"/>
      <c r="I451" s="12"/>
      <c r="M451" s="12"/>
      <c r="N451" s="18"/>
      <c r="O451" s="12"/>
      <c r="P451" s="12"/>
      <c r="Q451" s="12"/>
      <c r="R451" s="36"/>
      <c r="S451" s="36"/>
      <c r="T451" s="12"/>
      <c r="U451" s="12"/>
      <c r="V451" s="12"/>
      <c r="W451" s="12"/>
      <c r="X451" s="12"/>
    </row>
    <row r="452" customFormat="false" ht="15.75" hidden="false" customHeight="false" outlineLevel="0" collapsed="false">
      <c r="A452" s="12"/>
      <c r="B452" s="34"/>
      <c r="C452" s="12"/>
      <c r="D452" s="12"/>
      <c r="E452" s="12"/>
      <c r="F452" s="12"/>
      <c r="G452" s="18"/>
      <c r="H452" s="35"/>
      <c r="I452" s="12"/>
      <c r="M452" s="12"/>
      <c r="N452" s="18"/>
      <c r="O452" s="12"/>
      <c r="P452" s="12"/>
      <c r="Q452" s="12"/>
      <c r="R452" s="36"/>
      <c r="S452" s="36"/>
      <c r="T452" s="12"/>
      <c r="U452" s="12"/>
      <c r="V452" s="12"/>
      <c r="W452" s="12"/>
      <c r="X452" s="12"/>
    </row>
    <row r="453" customFormat="false" ht="15.75" hidden="false" customHeight="false" outlineLevel="0" collapsed="false">
      <c r="A453" s="12"/>
      <c r="B453" s="34"/>
      <c r="C453" s="12"/>
      <c r="D453" s="12"/>
      <c r="E453" s="12"/>
      <c r="F453" s="12"/>
      <c r="G453" s="18"/>
      <c r="H453" s="35"/>
      <c r="I453" s="12"/>
      <c r="M453" s="12"/>
      <c r="N453" s="18"/>
      <c r="O453" s="12"/>
      <c r="P453" s="12"/>
      <c r="Q453" s="12"/>
      <c r="R453" s="36"/>
      <c r="S453" s="36"/>
      <c r="T453" s="12"/>
      <c r="U453" s="12"/>
      <c r="V453" s="12"/>
      <c r="W453" s="12"/>
      <c r="X453" s="12"/>
    </row>
    <row r="454" customFormat="false" ht="15.75" hidden="false" customHeight="false" outlineLevel="0" collapsed="false">
      <c r="A454" s="12"/>
      <c r="B454" s="34"/>
      <c r="C454" s="12"/>
      <c r="D454" s="12"/>
      <c r="E454" s="12"/>
      <c r="F454" s="12"/>
      <c r="G454" s="18"/>
      <c r="H454" s="35"/>
      <c r="I454" s="12"/>
      <c r="M454" s="12"/>
      <c r="N454" s="18"/>
      <c r="O454" s="12"/>
      <c r="P454" s="12"/>
      <c r="Q454" s="12"/>
      <c r="R454" s="36"/>
      <c r="S454" s="36"/>
      <c r="T454" s="12"/>
      <c r="U454" s="12"/>
      <c r="V454" s="12"/>
      <c r="W454" s="12"/>
      <c r="X454" s="12"/>
    </row>
    <row r="455" customFormat="false" ht="15.75" hidden="false" customHeight="false" outlineLevel="0" collapsed="false">
      <c r="A455" s="12"/>
      <c r="B455" s="34"/>
      <c r="C455" s="12"/>
      <c r="D455" s="12"/>
      <c r="E455" s="12"/>
      <c r="F455" s="12"/>
      <c r="G455" s="18"/>
      <c r="H455" s="35"/>
      <c r="I455" s="12"/>
      <c r="M455" s="12"/>
      <c r="N455" s="18"/>
      <c r="O455" s="12"/>
      <c r="P455" s="12"/>
      <c r="Q455" s="12"/>
      <c r="R455" s="36"/>
      <c r="S455" s="36"/>
      <c r="T455" s="12"/>
      <c r="U455" s="12"/>
      <c r="V455" s="12"/>
      <c r="W455" s="12"/>
      <c r="X455" s="12"/>
    </row>
    <row r="456" customFormat="false" ht="15.75" hidden="false" customHeight="false" outlineLevel="0" collapsed="false">
      <c r="A456" s="12"/>
      <c r="B456" s="34"/>
      <c r="C456" s="12"/>
      <c r="D456" s="12"/>
      <c r="E456" s="12"/>
      <c r="F456" s="12"/>
      <c r="G456" s="18"/>
      <c r="H456" s="35"/>
      <c r="I456" s="12"/>
      <c r="M456" s="12"/>
      <c r="N456" s="18"/>
      <c r="O456" s="12"/>
      <c r="P456" s="12"/>
      <c r="Q456" s="12"/>
      <c r="R456" s="36"/>
      <c r="S456" s="36"/>
      <c r="T456" s="12"/>
      <c r="U456" s="12"/>
      <c r="V456" s="12"/>
      <c r="W456" s="12"/>
      <c r="X456" s="12"/>
    </row>
    <row r="457" customFormat="false" ht="15.75" hidden="false" customHeight="false" outlineLevel="0" collapsed="false">
      <c r="A457" s="12"/>
      <c r="B457" s="34"/>
      <c r="C457" s="12"/>
      <c r="D457" s="12"/>
      <c r="E457" s="12"/>
      <c r="F457" s="12"/>
      <c r="G457" s="18"/>
      <c r="H457" s="35"/>
      <c r="I457" s="12"/>
      <c r="M457" s="12"/>
      <c r="N457" s="18"/>
      <c r="O457" s="12"/>
      <c r="P457" s="12"/>
      <c r="Q457" s="12"/>
      <c r="R457" s="36"/>
      <c r="S457" s="36"/>
      <c r="T457" s="12"/>
      <c r="U457" s="12"/>
      <c r="V457" s="12"/>
      <c r="W457" s="12"/>
      <c r="X457" s="12"/>
    </row>
    <row r="458" customFormat="false" ht="15.75" hidden="false" customHeight="false" outlineLevel="0" collapsed="false">
      <c r="A458" s="12"/>
      <c r="B458" s="34"/>
      <c r="C458" s="12"/>
      <c r="D458" s="12"/>
      <c r="E458" s="12"/>
      <c r="F458" s="12"/>
      <c r="G458" s="18"/>
      <c r="H458" s="35"/>
      <c r="I458" s="12"/>
      <c r="M458" s="12"/>
      <c r="N458" s="18"/>
      <c r="O458" s="12"/>
      <c r="P458" s="12"/>
      <c r="Q458" s="12"/>
      <c r="R458" s="36"/>
      <c r="S458" s="36"/>
      <c r="T458" s="12"/>
      <c r="U458" s="12"/>
      <c r="V458" s="12"/>
      <c r="W458" s="12"/>
      <c r="X458" s="12"/>
    </row>
    <row r="459" customFormat="false" ht="15.75" hidden="false" customHeight="false" outlineLevel="0" collapsed="false">
      <c r="A459" s="12"/>
      <c r="B459" s="34"/>
      <c r="C459" s="12"/>
      <c r="D459" s="12"/>
      <c r="E459" s="12"/>
      <c r="F459" s="12"/>
      <c r="G459" s="18"/>
      <c r="H459" s="35"/>
      <c r="I459" s="12"/>
      <c r="M459" s="12"/>
      <c r="N459" s="18"/>
      <c r="O459" s="12"/>
      <c r="P459" s="12"/>
      <c r="Q459" s="12"/>
      <c r="R459" s="36"/>
      <c r="S459" s="36"/>
      <c r="T459" s="12"/>
      <c r="U459" s="12"/>
      <c r="V459" s="12"/>
      <c r="W459" s="12"/>
      <c r="X459" s="12"/>
    </row>
    <row r="460" customFormat="false" ht="15.75" hidden="false" customHeight="false" outlineLevel="0" collapsed="false">
      <c r="A460" s="12"/>
      <c r="B460" s="34"/>
      <c r="C460" s="12"/>
      <c r="D460" s="12"/>
      <c r="E460" s="12"/>
      <c r="F460" s="12"/>
      <c r="G460" s="18"/>
      <c r="H460" s="35"/>
      <c r="I460" s="12"/>
      <c r="M460" s="12"/>
      <c r="N460" s="18"/>
      <c r="O460" s="12"/>
      <c r="P460" s="12"/>
      <c r="Q460" s="12"/>
      <c r="R460" s="36"/>
      <c r="S460" s="36"/>
      <c r="T460" s="12"/>
      <c r="U460" s="12"/>
      <c r="V460" s="12"/>
      <c r="W460" s="12"/>
      <c r="X460" s="12"/>
    </row>
    <row r="461" customFormat="false" ht="15.75" hidden="false" customHeight="false" outlineLevel="0" collapsed="false">
      <c r="A461" s="12"/>
      <c r="B461" s="34"/>
      <c r="C461" s="12"/>
      <c r="D461" s="12"/>
      <c r="E461" s="12"/>
      <c r="F461" s="12"/>
      <c r="G461" s="18"/>
      <c r="H461" s="35"/>
      <c r="I461" s="12"/>
      <c r="M461" s="12"/>
      <c r="N461" s="18"/>
      <c r="O461" s="12"/>
      <c r="P461" s="12"/>
      <c r="Q461" s="12"/>
      <c r="R461" s="36"/>
      <c r="S461" s="36"/>
      <c r="T461" s="12"/>
      <c r="U461" s="12"/>
      <c r="V461" s="12"/>
      <c r="W461" s="12"/>
      <c r="X461" s="12"/>
    </row>
    <row r="462" customFormat="false" ht="15.75" hidden="false" customHeight="false" outlineLevel="0" collapsed="false">
      <c r="A462" s="12"/>
      <c r="B462" s="34"/>
      <c r="C462" s="12"/>
      <c r="D462" s="12"/>
      <c r="E462" s="12"/>
      <c r="F462" s="12"/>
      <c r="G462" s="18"/>
      <c r="H462" s="35"/>
      <c r="I462" s="12"/>
      <c r="M462" s="12"/>
      <c r="N462" s="18"/>
      <c r="O462" s="12"/>
      <c r="P462" s="12"/>
      <c r="Q462" s="12"/>
      <c r="R462" s="36"/>
      <c r="S462" s="36"/>
      <c r="T462" s="12"/>
      <c r="U462" s="12"/>
      <c r="V462" s="12"/>
      <c r="W462" s="12"/>
      <c r="X462" s="12"/>
    </row>
    <row r="463" customFormat="false" ht="15.75" hidden="false" customHeight="false" outlineLevel="0" collapsed="false">
      <c r="A463" s="12"/>
      <c r="B463" s="34"/>
      <c r="C463" s="12"/>
      <c r="D463" s="12"/>
      <c r="E463" s="12"/>
      <c r="F463" s="12"/>
      <c r="G463" s="18"/>
      <c r="H463" s="35"/>
      <c r="I463" s="12"/>
      <c r="M463" s="12"/>
      <c r="N463" s="18"/>
      <c r="O463" s="12"/>
      <c r="P463" s="12"/>
      <c r="Q463" s="12"/>
      <c r="R463" s="36"/>
      <c r="S463" s="36"/>
      <c r="T463" s="12"/>
      <c r="U463" s="12"/>
      <c r="V463" s="12"/>
      <c r="W463" s="12"/>
      <c r="X463" s="12"/>
    </row>
    <row r="464" customFormat="false" ht="15.75" hidden="false" customHeight="false" outlineLevel="0" collapsed="false">
      <c r="A464" s="12"/>
      <c r="B464" s="34"/>
      <c r="C464" s="12"/>
      <c r="D464" s="12"/>
      <c r="E464" s="12"/>
      <c r="F464" s="12"/>
      <c r="G464" s="18"/>
      <c r="H464" s="35"/>
      <c r="I464" s="12"/>
      <c r="M464" s="12"/>
      <c r="N464" s="18"/>
      <c r="O464" s="12"/>
      <c r="P464" s="12"/>
      <c r="Q464" s="12"/>
      <c r="R464" s="36"/>
      <c r="S464" s="36"/>
      <c r="T464" s="12"/>
      <c r="U464" s="12"/>
      <c r="V464" s="12"/>
      <c r="W464" s="12"/>
      <c r="X464" s="12"/>
    </row>
    <row r="465" customFormat="false" ht="15.75" hidden="false" customHeight="false" outlineLevel="0" collapsed="false">
      <c r="A465" s="12"/>
      <c r="B465" s="34"/>
      <c r="C465" s="12"/>
      <c r="D465" s="12"/>
      <c r="E465" s="12"/>
      <c r="F465" s="12"/>
      <c r="G465" s="18"/>
      <c r="H465" s="35"/>
      <c r="I465" s="12"/>
      <c r="M465" s="12"/>
      <c r="N465" s="18"/>
      <c r="O465" s="12"/>
      <c r="P465" s="12"/>
      <c r="Q465" s="12"/>
      <c r="R465" s="36"/>
      <c r="S465" s="36"/>
      <c r="T465" s="12"/>
      <c r="U465" s="12"/>
      <c r="V465" s="12"/>
      <c r="W465" s="12"/>
      <c r="X465" s="12"/>
    </row>
    <row r="466" customFormat="false" ht="15.75" hidden="false" customHeight="false" outlineLevel="0" collapsed="false">
      <c r="A466" s="12"/>
      <c r="B466" s="34"/>
      <c r="C466" s="12"/>
      <c r="D466" s="12"/>
      <c r="E466" s="12"/>
      <c r="F466" s="12"/>
      <c r="G466" s="18"/>
      <c r="H466" s="35"/>
      <c r="I466" s="12"/>
      <c r="M466" s="12"/>
      <c r="N466" s="18"/>
      <c r="O466" s="12"/>
      <c r="P466" s="12"/>
      <c r="Q466" s="12"/>
      <c r="R466" s="36"/>
      <c r="S466" s="36"/>
      <c r="T466" s="12"/>
      <c r="U466" s="12"/>
      <c r="V466" s="12"/>
      <c r="W466" s="12"/>
      <c r="X466" s="12"/>
    </row>
    <row r="467" customFormat="false" ht="15.75" hidden="false" customHeight="false" outlineLevel="0" collapsed="false">
      <c r="A467" s="12"/>
      <c r="B467" s="34"/>
      <c r="C467" s="12"/>
      <c r="D467" s="12"/>
      <c r="E467" s="12"/>
      <c r="F467" s="12"/>
      <c r="G467" s="18"/>
      <c r="H467" s="35"/>
      <c r="I467" s="12"/>
      <c r="M467" s="12"/>
      <c r="N467" s="18"/>
      <c r="O467" s="12"/>
      <c r="P467" s="12"/>
      <c r="Q467" s="12"/>
      <c r="R467" s="36"/>
      <c r="S467" s="36"/>
      <c r="T467" s="12"/>
      <c r="U467" s="12"/>
      <c r="V467" s="12"/>
      <c r="W467" s="12"/>
      <c r="X467" s="12"/>
    </row>
    <row r="468" customFormat="false" ht="15.75" hidden="false" customHeight="false" outlineLevel="0" collapsed="false">
      <c r="A468" s="12"/>
      <c r="B468" s="34"/>
      <c r="C468" s="12"/>
      <c r="D468" s="12"/>
      <c r="E468" s="12"/>
      <c r="F468" s="12"/>
      <c r="G468" s="18"/>
      <c r="H468" s="35"/>
      <c r="I468" s="12"/>
      <c r="M468" s="12"/>
      <c r="N468" s="18"/>
      <c r="O468" s="12"/>
      <c r="P468" s="12"/>
      <c r="Q468" s="12"/>
      <c r="R468" s="36"/>
      <c r="S468" s="36"/>
      <c r="T468" s="12"/>
      <c r="U468" s="12"/>
      <c r="V468" s="12"/>
      <c r="W468" s="12"/>
      <c r="X468" s="12"/>
    </row>
    <row r="469" customFormat="false" ht="15.75" hidden="false" customHeight="false" outlineLevel="0" collapsed="false">
      <c r="A469" s="12"/>
      <c r="B469" s="34"/>
      <c r="C469" s="12"/>
      <c r="D469" s="12"/>
      <c r="E469" s="12"/>
      <c r="F469" s="12"/>
      <c r="G469" s="18"/>
      <c r="H469" s="35"/>
      <c r="I469" s="12"/>
      <c r="M469" s="12"/>
      <c r="N469" s="18"/>
      <c r="O469" s="12"/>
      <c r="P469" s="12"/>
      <c r="Q469" s="12"/>
      <c r="R469" s="36"/>
      <c r="S469" s="36"/>
      <c r="T469" s="12"/>
      <c r="U469" s="12"/>
      <c r="V469" s="12"/>
      <c r="W469" s="12"/>
      <c r="X469" s="12"/>
    </row>
    <row r="470" customFormat="false" ht="15.75" hidden="false" customHeight="false" outlineLevel="0" collapsed="false">
      <c r="A470" s="12"/>
      <c r="B470" s="34"/>
      <c r="C470" s="12"/>
      <c r="D470" s="12"/>
      <c r="E470" s="12"/>
      <c r="F470" s="12"/>
      <c r="G470" s="18"/>
      <c r="H470" s="35"/>
      <c r="I470" s="12"/>
      <c r="M470" s="12"/>
      <c r="N470" s="18"/>
      <c r="O470" s="12"/>
      <c r="P470" s="12"/>
      <c r="Q470" s="12"/>
      <c r="R470" s="36"/>
      <c r="S470" s="36"/>
      <c r="T470" s="12"/>
      <c r="U470" s="12"/>
      <c r="V470" s="12"/>
      <c r="W470" s="12"/>
      <c r="X470" s="12"/>
    </row>
    <row r="471" customFormat="false" ht="15.75" hidden="false" customHeight="false" outlineLevel="0" collapsed="false">
      <c r="A471" s="12"/>
      <c r="B471" s="34"/>
      <c r="C471" s="12"/>
      <c r="D471" s="12"/>
      <c r="E471" s="12"/>
      <c r="F471" s="12"/>
      <c r="G471" s="18"/>
      <c r="H471" s="35"/>
      <c r="I471" s="12"/>
      <c r="M471" s="12"/>
      <c r="N471" s="18"/>
      <c r="O471" s="12"/>
      <c r="P471" s="12"/>
      <c r="Q471" s="12"/>
      <c r="R471" s="36"/>
      <c r="S471" s="36"/>
      <c r="T471" s="12"/>
      <c r="U471" s="12"/>
      <c r="V471" s="12"/>
      <c r="W471" s="12"/>
      <c r="X471" s="12"/>
    </row>
    <row r="472" customFormat="false" ht="15.75" hidden="false" customHeight="false" outlineLevel="0" collapsed="false">
      <c r="A472" s="12"/>
      <c r="B472" s="34"/>
      <c r="C472" s="12"/>
      <c r="D472" s="12"/>
      <c r="E472" s="12"/>
      <c r="F472" s="12"/>
      <c r="G472" s="18"/>
      <c r="H472" s="35"/>
      <c r="I472" s="12"/>
      <c r="M472" s="12"/>
      <c r="N472" s="18"/>
      <c r="O472" s="12"/>
      <c r="P472" s="12"/>
      <c r="Q472" s="12"/>
      <c r="R472" s="36"/>
      <c r="S472" s="36"/>
      <c r="T472" s="12"/>
      <c r="U472" s="12"/>
      <c r="V472" s="12"/>
      <c r="W472" s="12"/>
      <c r="X472" s="12"/>
    </row>
    <row r="473" customFormat="false" ht="15.75" hidden="false" customHeight="false" outlineLevel="0" collapsed="false">
      <c r="A473" s="12"/>
      <c r="B473" s="34"/>
      <c r="C473" s="12"/>
      <c r="D473" s="12"/>
      <c r="E473" s="12"/>
      <c r="F473" s="12"/>
      <c r="G473" s="18"/>
      <c r="H473" s="35"/>
      <c r="I473" s="12"/>
      <c r="M473" s="12"/>
      <c r="N473" s="18"/>
      <c r="O473" s="12"/>
      <c r="P473" s="12"/>
      <c r="Q473" s="12"/>
      <c r="R473" s="36"/>
      <c r="S473" s="36"/>
      <c r="T473" s="12"/>
      <c r="U473" s="12"/>
      <c r="V473" s="12"/>
      <c r="W473" s="12"/>
      <c r="X473" s="12"/>
    </row>
    <row r="474" customFormat="false" ht="15.75" hidden="false" customHeight="false" outlineLevel="0" collapsed="false">
      <c r="A474" s="12"/>
      <c r="B474" s="34"/>
      <c r="C474" s="12"/>
      <c r="D474" s="12"/>
      <c r="E474" s="12"/>
      <c r="F474" s="12"/>
      <c r="G474" s="18"/>
      <c r="H474" s="35"/>
      <c r="I474" s="12"/>
      <c r="M474" s="12"/>
      <c r="N474" s="18"/>
      <c r="O474" s="12"/>
      <c r="P474" s="12"/>
      <c r="Q474" s="12"/>
      <c r="R474" s="36"/>
      <c r="S474" s="36"/>
      <c r="T474" s="12"/>
      <c r="U474" s="12"/>
      <c r="V474" s="12"/>
      <c r="W474" s="12"/>
      <c r="X474" s="12"/>
    </row>
    <row r="475" customFormat="false" ht="15.75" hidden="false" customHeight="false" outlineLevel="0" collapsed="false">
      <c r="A475" s="12"/>
      <c r="B475" s="34"/>
      <c r="C475" s="12"/>
      <c r="D475" s="12"/>
      <c r="E475" s="12"/>
      <c r="F475" s="12"/>
      <c r="G475" s="18"/>
      <c r="H475" s="35"/>
      <c r="I475" s="12"/>
      <c r="M475" s="12"/>
      <c r="N475" s="18"/>
      <c r="O475" s="12"/>
      <c r="P475" s="12"/>
      <c r="Q475" s="12"/>
      <c r="R475" s="36"/>
      <c r="S475" s="36"/>
      <c r="T475" s="12"/>
      <c r="U475" s="12"/>
      <c r="V475" s="12"/>
      <c r="W475" s="12"/>
      <c r="X475" s="12"/>
    </row>
    <row r="476" customFormat="false" ht="15.75" hidden="false" customHeight="false" outlineLevel="0" collapsed="false">
      <c r="A476" s="12"/>
      <c r="B476" s="34"/>
      <c r="C476" s="12"/>
      <c r="D476" s="12"/>
      <c r="E476" s="12"/>
      <c r="F476" s="12"/>
      <c r="G476" s="18"/>
      <c r="H476" s="35"/>
      <c r="I476" s="12"/>
      <c r="M476" s="12"/>
      <c r="N476" s="18"/>
      <c r="O476" s="12"/>
      <c r="P476" s="12"/>
      <c r="Q476" s="12"/>
      <c r="R476" s="36"/>
      <c r="S476" s="36"/>
      <c r="T476" s="12"/>
      <c r="U476" s="12"/>
      <c r="V476" s="12"/>
      <c r="W476" s="12"/>
      <c r="X476" s="12"/>
    </row>
    <row r="477" customFormat="false" ht="15.75" hidden="false" customHeight="false" outlineLevel="0" collapsed="false">
      <c r="A477" s="12"/>
      <c r="B477" s="34"/>
      <c r="C477" s="12"/>
      <c r="D477" s="12"/>
      <c r="E477" s="12"/>
      <c r="F477" s="12"/>
      <c r="G477" s="18"/>
      <c r="H477" s="35"/>
      <c r="I477" s="12"/>
      <c r="M477" s="12"/>
      <c r="N477" s="18"/>
      <c r="O477" s="12"/>
      <c r="P477" s="12"/>
      <c r="Q477" s="12"/>
      <c r="R477" s="36"/>
      <c r="S477" s="36"/>
      <c r="T477" s="12"/>
      <c r="U477" s="12"/>
      <c r="V477" s="12"/>
      <c r="W477" s="12"/>
      <c r="X477" s="12"/>
    </row>
    <row r="478" customFormat="false" ht="15.75" hidden="false" customHeight="false" outlineLevel="0" collapsed="false">
      <c r="A478" s="12"/>
      <c r="B478" s="34"/>
      <c r="C478" s="12"/>
      <c r="D478" s="12"/>
      <c r="E478" s="12"/>
      <c r="F478" s="12"/>
      <c r="G478" s="18"/>
      <c r="H478" s="35"/>
      <c r="I478" s="12"/>
      <c r="M478" s="12"/>
      <c r="N478" s="18"/>
      <c r="O478" s="12"/>
      <c r="P478" s="12"/>
      <c r="Q478" s="12"/>
      <c r="R478" s="36"/>
      <c r="S478" s="36"/>
      <c r="T478" s="12"/>
      <c r="U478" s="12"/>
      <c r="V478" s="12"/>
      <c r="W478" s="12"/>
      <c r="X478" s="12"/>
    </row>
    <row r="479" customFormat="false" ht="15.75" hidden="false" customHeight="false" outlineLevel="0" collapsed="false">
      <c r="A479" s="12"/>
      <c r="B479" s="34"/>
      <c r="C479" s="12"/>
      <c r="D479" s="12"/>
      <c r="E479" s="12"/>
      <c r="F479" s="12"/>
      <c r="G479" s="18"/>
      <c r="H479" s="35"/>
      <c r="I479" s="12"/>
      <c r="M479" s="12"/>
      <c r="N479" s="18"/>
      <c r="O479" s="12"/>
      <c r="P479" s="12"/>
      <c r="Q479" s="12"/>
      <c r="R479" s="36"/>
      <c r="S479" s="36"/>
      <c r="T479" s="12"/>
      <c r="U479" s="12"/>
      <c r="V479" s="12"/>
      <c r="W479" s="12"/>
      <c r="X479" s="12"/>
    </row>
    <row r="480" customFormat="false" ht="15.75" hidden="false" customHeight="false" outlineLevel="0" collapsed="false">
      <c r="A480" s="12"/>
      <c r="B480" s="34"/>
      <c r="C480" s="12"/>
      <c r="D480" s="12"/>
      <c r="E480" s="12"/>
      <c r="F480" s="12"/>
      <c r="G480" s="18"/>
      <c r="H480" s="35"/>
      <c r="I480" s="12"/>
      <c r="M480" s="12"/>
      <c r="N480" s="18"/>
      <c r="O480" s="12"/>
      <c r="P480" s="12"/>
      <c r="Q480" s="12"/>
      <c r="R480" s="36"/>
      <c r="S480" s="36"/>
      <c r="T480" s="12"/>
      <c r="U480" s="12"/>
      <c r="V480" s="12"/>
      <c r="W480" s="12"/>
      <c r="X480" s="12"/>
    </row>
    <row r="481" customFormat="false" ht="15.75" hidden="false" customHeight="false" outlineLevel="0" collapsed="false">
      <c r="A481" s="12"/>
      <c r="B481" s="34"/>
      <c r="C481" s="12"/>
      <c r="D481" s="12"/>
      <c r="E481" s="12"/>
      <c r="F481" s="12"/>
      <c r="G481" s="18"/>
      <c r="H481" s="35"/>
      <c r="I481" s="12"/>
      <c r="M481" s="12"/>
      <c r="N481" s="18"/>
      <c r="O481" s="12"/>
      <c r="P481" s="12"/>
      <c r="Q481" s="12"/>
      <c r="R481" s="36"/>
      <c r="S481" s="36"/>
      <c r="T481" s="12"/>
      <c r="U481" s="12"/>
      <c r="V481" s="12"/>
      <c r="W481" s="12"/>
      <c r="X481" s="12"/>
    </row>
    <row r="482" customFormat="false" ht="15.75" hidden="false" customHeight="false" outlineLevel="0" collapsed="false">
      <c r="A482" s="12"/>
      <c r="B482" s="34"/>
      <c r="C482" s="12"/>
      <c r="D482" s="12"/>
      <c r="E482" s="12"/>
      <c r="F482" s="12"/>
      <c r="G482" s="18"/>
      <c r="H482" s="35"/>
      <c r="I482" s="12"/>
      <c r="M482" s="12"/>
      <c r="N482" s="18"/>
      <c r="O482" s="12"/>
      <c r="P482" s="12"/>
      <c r="Q482" s="12"/>
      <c r="R482" s="36"/>
      <c r="S482" s="36"/>
      <c r="T482" s="12"/>
      <c r="U482" s="12"/>
      <c r="V482" s="12"/>
      <c r="W482" s="12"/>
      <c r="X482" s="12"/>
    </row>
    <row r="483" customFormat="false" ht="15.75" hidden="false" customHeight="false" outlineLevel="0" collapsed="false">
      <c r="A483" s="12"/>
      <c r="B483" s="34"/>
      <c r="C483" s="12"/>
      <c r="D483" s="12"/>
      <c r="E483" s="12"/>
      <c r="F483" s="12"/>
      <c r="G483" s="18"/>
      <c r="H483" s="35"/>
      <c r="I483" s="12"/>
      <c r="M483" s="12"/>
      <c r="N483" s="18"/>
      <c r="O483" s="12"/>
      <c r="P483" s="12"/>
      <c r="Q483" s="12"/>
      <c r="R483" s="36"/>
      <c r="S483" s="36"/>
      <c r="T483" s="12"/>
      <c r="U483" s="12"/>
      <c r="V483" s="12"/>
      <c r="W483" s="12"/>
      <c r="X483" s="12"/>
    </row>
    <row r="484" customFormat="false" ht="15.75" hidden="false" customHeight="false" outlineLevel="0" collapsed="false">
      <c r="A484" s="12"/>
      <c r="B484" s="34"/>
      <c r="C484" s="12"/>
      <c r="D484" s="12"/>
      <c r="E484" s="12"/>
      <c r="F484" s="12"/>
      <c r="G484" s="18"/>
      <c r="H484" s="35"/>
      <c r="I484" s="12"/>
      <c r="M484" s="12"/>
      <c r="N484" s="18"/>
      <c r="O484" s="12"/>
      <c r="P484" s="12"/>
      <c r="Q484" s="12"/>
      <c r="R484" s="36"/>
      <c r="S484" s="36"/>
      <c r="T484" s="12"/>
      <c r="U484" s="12"/>
      <c r="V484" s="12"/>
      <c r="W484" s="12"/>
      <c r="X484" s="12"/>
    </row>
    <row r="485" customFormat="false" ht="15.75" hidden="false" customHeight="false" outlineLevel="0" collapsed="false">
      <c r="A485" s="12"/>
      <c r="B485" s="34"/>
      <c r="C485" s="12"/>
      <c r="D485" s="12"/>
      <c r="E485" s="12"/>
      <c r="F485" s="12"/>
      <c r="G485" s="18"/>
      <c r="H485" s="35"/>
      <c r="I485" s="12"/>
      <c r="M485" s="12"/>
      <c r="N485" s="18"/>
      <c r="O485" s="12"/>
      <c r="P485" s="12"/>
      <c r="Q485" s="12"/>
      <c r="R485" s="36"/>
      <c r="S485" s="36"/>
      <c r="T485" s="12"/>
      <c r="U485" s="12"/>
      <c r="V485" s="12"/>
      <c r="W485" s="12"/>
      <c r="X485" s="12"/>
    </row>
    <row r="486" customFormat="false" ht="15.75" hidden="false" customHeight="false" outlineLevel="0" collapsed="false">
      <c r="A486" s="12"/>
      <c r="B486" s="34"/>
      <c r="C486" s="12"/>
      <c r="D486" s="12"/>
      <c r="E486" s="12"/>
      <c r="F486" s="12"/>
      <c r="G486" s="18"/>
      <c r="H486" s="35"/>
      <c r="I486" s="12"/>
      <c r="M486" s="12"/>
      <c r="N486" s="18"/>
      <c r="O486" s="12"/>
      <c r="P486" s="12"/>
      <c r="Q486" s="12"/>
      <c r="R486" s="36"/>
      <c r="S486" s="36"/>
      <c r="T486" s="12"/>
      <c r="U486" s="12"/>
      <c r="V486" s="12"/>
      <c r="W486" s="12"/>
      <c r="X486" s="12"/>
    </row>
    <row r="487" customFormat="false" ht="15.75" hidden="false" customHeight="false" outlineLevel="0" collapsed="false">
      <c r="A487" s="12"/>
      <c r="B487" s="34"/>
      <c r="C487" s="12"/>
      <c r="D487" s="12"/>
      <c r="E487" s="12"/>
      <c r="F487" s="12"/>
      <c r="G487" s="18"/>
      <c r="H487" s="35"/>
      <c r="I487" s="12"/>
      <c r="M487" s="12"/>
      <c r="N487" s="18"/>
      <c r="O487" s="12"/>
      <c r="P487" s="12"/>
      <c r="Q487" s="12"/>
      <c r="R487" s="36"/>
      <c r="S487" s="36"/>
      <c r="T487" s="12"/>
      <c r="U487" s="12"/>
      <c r="V487" s="12"/>
      <c r="W487" s="12"/>
      <c r="X487" s="12"/>
    </row>
    <row r="488" customFormat="false" ht="15.75" hidden="false" customHeight="false" outlineLevel="0" collapsed="false">
      <c r="A488" s="12"/>
      <c r="B488" s="34"/>
      <c r="C488" s="12"/>
      <c r="D488" s="12"/>
      <c r="E488" s="12"/>
      <c r="F488" s="12"/>
      <c r="G488" s="18"/>
      <c r="H488" s="35"/>
      <c r="I488" s="12"/>
      <c r="M488" s="12"/>
      <c r="N488" s="18"/>
      <c r="O488" s="12"/>
      <c r="P488" s="12"/>
      <c r="Q488" s="12"/>
      <c r="R488" s="36"/>
      <c r="S488" s="36"/>
      <c r="T488" s="12"/>
      <c r="U488" s="12"/>
      <c r="V488" s="12"/>
      <c r="W488" s="12"/>
      <c r="X488" s="12"/>
    </row>
    <row r="489" customFormat="false" ht="15.75" hidden="false" customHeight="false" outlineLevel="0" collapsed="false">
      <c r="A489" s="12"/>
      <c r="B489" s="34"/>
      <c r="C489" s="12"/>
      <c r="D489" s="12"/>
      <c r="E489" s="12"/>
      <c r="F489" s="12"/>
      <c r="G489" s="18"/>
      <c r="H489" s="35"/>
      <c r="I489" s="12"/>
      <c r="M489" s="12"/>
      <c r="N489" s="18"/>
      <c r="O489" s="12"/>
      <c r="P489" s="12"/>
      <c r="Q489" s="12"/>
      <c r="R489" s="36"/>
      <c r="S489" s="36"/>
      <c r="T489" s="12"/>
      <c r="U489" s="12"/>
      <c r="V489" s="12"/>
      <c r="W489" s="12"/>
      <c r="X489" s="12"/>
    </row>
    <row r="490" customFormat="false" ht="15.75" hidden="false" customHeight="false" outlineLevel="0" collapsed="false">
      <c r="A490" s="12"/>
      <c r="B490" s="34"/>
      <c r="C490" s="12"/>
      <c r="D490" s="12"/>
      <c r="E490" s="12"/>
      <c r="F490" s="12"/>
      <c r="G490" s="18"/>
      <c r="H490" s="35"/>
      <c r="I490" s="12"/>
      <c r="M490" s="12"/>
      <c r="N490" s="18"/>
      <c r="O490" s="12"/>
      <c r="P490" s="12"/>
      <c r="Q490" s="12"/>
      <c r="R490" s="36"/>
      <c r="S490" s="36"/>
      <c r="T490" s="12"/>
      <c r="U490" s="12"/>
      <c r="V490" s="12"/>
      <c r="W490" s="12"/>
      <c r="X490" s="12"/>
    </row>
    <row r="491" customFormat="false" ht="15.75" hidden="false" customHeight="false" outlineLevel="0" collapsed="false">
      <c r="A491" s="12"/>
      <c r="B491" s="34"/>
      <c r="C491" s="12"/>
      <c r="D491" s="12"/>
      <c r="E491" s="12"/>
      <c r="F491" s="12"/>
      <c r="G491" s="18"/>
      <c r="H491" s="35"/>
      <c r="I491" s="12"/>
      <c r="M491" s="12"/>
      <c r="N491" s="18"/>
      <c r="O491" s="12"/>
      <c r="P491" s="12"/>
      <c r="Q491" s="12"/>
      <c r="R491" s="36"/>
      <c r="S491" s="36"/>
      <c r="T491" s="12"/>
      <c r="U491" s="12"/>
      <c r="V491" s="12"/>
      <c r="W491" s="12"/>
      <c r="X491" s="12"/>
    </row>
    <row r="492" customFormat="false" ht="15.75" hidden="false" customHeight="false" outlineLevel="0" collapsed="false">
      <c r="A492" s="12"/>
      <c r="B492" s="34"/>
      <c r="C492" s="12"/>
      <c r="D492" s="12"/>
      <c r="E492" s="12"/>
      <c r="F492" s="12"/>
      <c r="G492" s="18"/>
      <c r="H492" s="35"/>
      <c r="I492" s="12"/>
      <c r="M492" s="12"/>
      <c r="N492" s="18"/>
      <c r="O492" s="12"/>
      <c r="P492" s="12"/>
      <c r="Q492" s="12"/>
      <c r="R492" s="36"/>
      <c r="S492" s="36"/>
      <c r="T492" s="12"/>
      <c r="U492" s="12"/>
      <c r="V492" s="12"/>
      <c r="W492" s="12"/>
      <c r="X492" s="12"/>
    </row>
    <row r="493" customFormat="false" ht="15.75" hidden="false" customHeight="false" outlineLevel="0" collapsed="false">
      <c r="A493" s="12"/>
      <c r="B493" s="34"/>
      <c r="C493" s="12"/>
      <c r="D493" s="12"/>
      <c r="E493" s="12"/>
      <c r="F493" s="12"/>
      <c r="G493" s="18"/>
      <c r="H493" s="35"/>
      <c r="I493" s="12"/>
      <c r="M493" s="12"/>
      <c r="N493" s="18"/>
      <c r="O493" s="12"/>
      <c r="P493" s="12"/>
      <c r="Q493" s="12"/>
      <c r="R493" s="36"/>
      <c r="S493" s="36"/>
      <c r="T493" s="12"/>
      <c r="U493" s="12"/>
      <c r="V493" s="12"/>
      <c r="W493" s="12"/>
      <c r="X493" s="12"/>
    </row>
    <row r="494" customFormat="false" ht="15.75" hidden="false" customHeight="false" outlineLevel="0" collapsed="false">
      <c r="A494" s="12"/>
      <c r="B494" s="34"/>
      <c r="C494" s="12"/>
      <c r="D494" s="12"/>
      <c r="E494" s="12"/>
      <c r="F494" s="12"/>
      <c r="G494" s="18"/>
      <c r="H494" s="35"/>
      <c r="I494" s="12"/>
      <c r="M494" s="12"/>
      <c r="N494" s="18"/>
      <c r="O494" s="12"/>
      <c r="P494" s="12"/>
      <c r="Q494" s="12"/>
      <c r="R494" s="36"/>
      <c r="S494" s="36"/>
      <c r="T494" s="12"/>
      <c r="U494" s="12"/>
      <c r="V494" s="12"/>
      <c r="W494" s="12"/>
      <c r="X494" s="12"/>
    </row>
    <row r="495" customFormat="false" ht="15.75" hidden="false" customHeight="false" outlineLevel="0" collapsed="false">
      <c r="A495" s="12"/>
      <c r="B495" s="34"/>
      <c r="C495" s="12"/>
      <c r="D495" s="12"/>
      <c r="E495" s="12"/>
      <c r="F495" s="12"/>
      <c r="G495" s="18"/>
      <c r="H495" s="35"/>
      <c r="I495" s="12"/>
      <c r="M495" s="12"/>
      <c r="N495" s="18"/>
      <c r="O495" s="12"/>
      <c r="P495" s="12"/>
      <c r="Q495" s="12"/>
      <c r="R495" s="36"/>
      <c r="S495" s="36"/>
      <c r="T495" s="12"/>
      <c r="U495" s="12"/>
      <c r="V495" s="12"/>
      <c r="W495" s="12"/>
      <c r="X495" s="12"/>
    </row>
    <row r="496" customFormat="false" ht="15.75" hidden="false" customHeight="false" outlineLevel="0" collapsed="false">
      <c r="A496" s="12"/>
      <c r="B496" s="34"/>
      <c r="C496" s="12"/>
      <c r="D496" s="12"/>
      <c r="E496" s="12"/>
      <c r="F496" s="12"/>
      <c r="G496" s="18"/>
      <c r="H496" s="35"/>
      <c r="I496" s="12"/>
      <c r="M496" s="12"/>
      <c r="N496" s="18"/>
      <c r="O496" s="12"/>
      <c r="P496" s="12"/>
      <c r="Q496" s="12"/>
      <c r="R496" s="36"/>
      <c r="S496" s="36"/>
      <c r="T496" s="12"/>
      <c r="U496" s="12"/>
      <c r="V496" s="12"/>
      <c r="W496" s="12"/>
      <c r="X496" s="12"/>
    </row>
    <row r="497" customFormat="false" ht="15.75" hidden="false" customHeight="false" outlineLevel="0" collapsed="false">
      <c r="A497" s="12"/>
      <c r="B497" s="34"/>
      <c r="C497" s="12"/>
      <c r="D497" s="12"/>
      <c r="E497" s="12"/>
      <c r="F497" s="12"/>
      <c r="G497" s="18"/>
      <c r="H497" s="35"/>
      <c r="I497" s="12"/>
      <c r="M497" s="12"/>
      <c r="N497" s="18"/>
      <c r="O497" s="12"/>
      <c r="P497" s="12"/>
      <c r="Q497" s="12"/>
      <c r="R497" s="36"/>
      <c r="S497" s="36"/>
      <c r="T497" s="12"/>
      <c r="U497" s="12"/>
      <c r="V497" s="12"/>
      <c r="W497" s="12"/>
      <c r="X497" s="12"/>
    </row>
    <row r="498" customFormat="false" ht="15.75" hidden="false" customHeight="false" outlineLevel="0" collapsed="false">
      <c r="A498" s="12"/>
      <c r="B498" s="34"/>
      <c r="C498" s="12"/>
      <c r="D498" s="12"/>
      <c r="E498" s="12"/>
      <c r="F498" s="12"/>
      <c r="G498" s="18"/>
      <c r="H498" s="35"/>
      <c r="I498" s="12"/>
      <c r="M498" s="12"/>
      <c r="N498" s="18"/>
      <c r="O498" s="12"/>
      <c r="P498" s="12"/>
      <c r="Q498" s="12"/>
      <c r="R498" s="36"/>
      <c r="S498" s="36"/>
      <c r="T498" s="12"/>
      <c r="U498" s="12"/>
      <c r="V498" s="12"/>
      <c r="W498" s="12"/>
      <c r="X498" s="12"/>
    </row>
    <row r="499" customFormat="false" ht="15.75" hidden="false" customHeight="false" outlineLevel="0" collapsed="false">
      <c r="A499" s="12"/>
      <c r="B499" s="34"/>
      <c r="C499" s="12"/>
      <c r="D499" s="12"/>
      <c r="E499" s="12"/>
      <c r="F499" s="12"/>
      <c r="G499" s="18"/>
      <c r="H499" s="35"/>
      <c r="I499" s="12"/>
      <c r="M499" s="12"/>
      <c r="N499" s="18"/>
      <c r="O499" s="12"/>
      <c r="P499" s="12"/>
      <c r="Q499" s="12"/>
      <c r="R499" s="36"/>
      <c r="S499" s="36"/>
      <c r="T499" s="12"/>
      <c r="U499" s="12"/>
      <c r="V499" s="12"/>
      <c r="W499" s="12"/>
      <c r="X499" s="12"/>
    </row>
    <row r="500" customFormat="false" ht="15.75" hidden="false" customHeight="false" outlineLevel="0" collapsed="false">
      <c r="A500" s="12"/>
      <c r="B500" s="34"/>
      <c r="C500" s="12"/>
      <c r="D500" s="12"/>
      <c r="E500" s="12"/>
      <c r="F500" s="12"/>
      <c r="G500" s="18"/>
      <c r="H500" s="35"/>
      <c r="I500" s="12"/>
      <c r="M500" s="12"/>
      <c r="N500" s="18"/>
      <c r="O500" s="12"/>
      <c r="P500" s="12"/>
      <c r="Q500" s="12"/>
      <c r="R500" s="36"/>
      <c r="S500" s="36"/>
      <c r="T500" s="12"/>
      <c r="U500" s="12"/>
      <c r="V500" s="12"/>
      <c r="W500" s="12"/>
      <c r="X500" s="12"/>
    </row>
    <row r="501" customFormat="false" ht="15.75" hidden="false" customHeight="false" outlineLevel="0" collapsed="false">
      <c r="A501" s="12"/>
      <c r="B501" s="34"/>
      <c r="C501" s="12"/>
      <c r="D501" s="12"/>
      <c r="E501" s="12"/>
      <c r="F501" s="12"/>
      <c r="G501" s="18"/>
      <c r="H501" s="35"/>
      <c r="I501" s="12"/>
      <c r="M501" s="12"/>
      <c r="N501" s="18"/>
      <c r="O501" s="12"/>
      <c r="P501" s="12"/>
      <c r="Q501" s="12"/>
      <c r="R501" s="36"/>
      <c r="S501" s="36"/>
      <c r="T501" s="12"/>
      <c r="U501" s="12"/>
      <c r="V501" s="12"/>
      <c r="W501" s="12"/>
      <c r="X501" s="12"/>
    </row>
    <row r="502" customFormat="false" ht="15.75" hidden="false" customHeight="false" outlineLevel="0" collapsed="false">
      <c r="A502" s="12"/>
      <c r="B502" s="34"/>
      <c r="C502" s="12"/>
      <c r="D502" s="12"/>
      <c r="E502" s="12"/>
      <c r="F502" s="12"/>
      <c r="G502" s="18"/>
      <c r="H502" s="35"/>
      <c r="I502" s="12"/>
      <c r="M502" s="12"/>
      <c r="N502" s="18"/>
      <c r="O502" s="12"/>
      <c r="P502" s="12"/>
      <c r="Q502" s="12"/>
      <c r="R502" s="36"/>
      <c r="S502" s="36"/>
      <c r="T502" s="12"/>
      <c r="U502" s="12"/>
      <c r="V502" s="12"/>
      <c r="W502" s="12"/>
      <c r="X502" s="12"/>
    </row>
    <row r="503" customFormat="false" ht="15.75" hidden="false" customHeight="false" outlineLevel="0" collapsed="false">
      <c r="A503" s="12"/>
      <c r="B503" s="34"/>
      <c r="C503" s="12"/>
      <c r="D503" s="12"/>
      <c r="E503" s="12"/>
      <c r="F503" s="12"/>
      <c r="G503" s="18"/>
      <c r="H503" s="35"/>
      <c r="I503" s="12"/>
      <c r="M503" s="12"/>
      <c r="N503" s="18"/>
      <c r="O503" s="12"/>
      <c r="P503" s="12"/>
      <c r="Q503" s="12"/>
      <c r="R503" s="36"/>
      <c r="S503" s="36"/>
      <c r="T503" s="12"/>
      <c r="U503" s="12"/>
      <c r="V503" s="12"/>
      <c r="W503" s="12"/>
      <c r="X503" s="12"/>
    </row>
    <row r="504" customFormat="false" ht="15.75" hidden="false" customHeight="false" outlineLevel="0" collapsed="false">
      <c r="A504" s="12"/>
      <c r="B504" s="34"/>
      <c r="C504" s="12"/>
      <c r="D504" s="12"/>
      <c r="E504" s="12"/>
      <c r="F504" s="12"/>
      <c r="G504" s="18"/>
      <c r="H504" s="35"/>
      <c r="I504" s="12"/>
      <c r="M504" s="12"/>
      <c r="N504" s="18"/>
      <c r="O504" s="12"/>
      <c r="P504" s="12"/>
      <c r="Q504" s="12"/>
      <c r="R504" s="36"/>
      <c r="S504" s="36"/>
      <c r="T504" s="12"/>
      <c r="U504" s="12"/>
      <c r="V504" s="12"/>
      <c r="W504" s="12"/>
      <c r="X504" s="12"/>
    </row>
    <row r="505" customFormat="false" ht="15.75" hidden="false" customHeight="false" outlineLevel="0" collapsed="false">
      <c r="A505" s="12"/>
      <c r="B505" s="34"/>
      <c r="C505" s="12"/>
      <c r="D505" s="12"/>
      <c r="E505" s="12"/>
      <c r="F505" s="12"/>
      <c r="G505" s="18"/>
      <c r="H505" s="35"/>
      <c r="I505" s="12"/>
      <c r="M505" s="12"/>
      <c r="N505" s="18"/>
      <c r="O505" s="12"/>
      <c r="P505" s="12"/>
      <c r="Q505" s="12"/>
      <c r="R505" s="36"/>
      <c r="S505" s="36"/>
      <c r="T505" s="12"/>
      <c r="U505" s="12"/>
      <c r="V505" s="12"/>
      <c r="W505" s="12"/>
      <c r="X505" s="12"/>
    </row>
    <row r="506" customFormat="false" ht="15.75" hidden="false" customHeight="false" outlineLevel="0" collapsed="false">
      <c r="A506" s="12"/>
      <c r="B506" s="34"/>
      <c r="C506" s="12"/>
      <c r="D506" s="12"/>
      <c r="E506" s="12"/>
      <c r="F506" s="12"/>
      <c r="G506" s="18"/>
      <c r="H506" s="35"/>
      <c r="I506" s="12"/>
      <c r="M506" s="12"/>
      <c r="N506" s="18"/>
      <c r="O506" s="12"/>
      <c r="P506" s="12"/>
      <c r="Q506" s="12"/>
      <c r="R506" s="36"/>
      <c r="S506" s="36"/>
      <c r="T506" s="12"/>
      <c r="U506" s="12"/>
      <c r="V506" s="12"/>
      <c r="W506" s="12"/>
      <c r="X506" s="12"/>
    </row>
    <row r="507" customFormat="false" ht="15.75" hidden="false" customHeight="false" outlineLevel="0" collapsed="false">
      <c r="A507" s="12"/>
      <c r="B507" s="34"/>
      <c r="C507" s="12"/>
      <c r="D507" s="12"/>
      <c r="E507" s="12"/>
      <c r="F507" s="12"/>
      <c r="G507" s="18"/>
      <c r="H507" s="35"/>
      <c r="I507" s="12"/>
      <c r="M507" s="12"/>
      <c r="N507" s="18"/>
      <c r="O507" s="12"/>
      <c r="P507" s="12"/>
      <c r="Q507" s="12"/>
      <c r="R507" s="36"/>
      <c r="S507" s="36"/>
      <c r="T507" s="12"/>
      <c r="U507" s="12"/>
      <c r="V507" s="12"/>
      <c r="W507" s="12"/>
      <c r="X507" s="12"/>
    </row>
    <row r="508" customFormat="false" ht="15.75" hidden="false" customHeight="false" outlineLevel="0" collapsed="false">
      <c r="A508" s="12"/>
      <c r="B508" s="34"/>
      <c r="C508" s="12"/>
      <c r="D508" s="12"/>
      <c r="E508" s="12"/>
      <c r="F508" s="12"/>
      <c r="G508" s="18"/>
      <c r="H508" s="35"/>
      <c r="I508" s="12"/>
      <c r="M508" s="12"/>
      <c r="N508" s="18"/>
      <c r="O508" s="12"/>
      <c r="P508" s="12"/>
      <c r="Q508" s="12"/>
      <c r="R508" s="36"/>
      <c r="S508" s="36"/>
      <c r="T508" s="12"/>
      <c r="U508" s="12"/>
      <c r="V508" s="12"/>
      <c r="W508" s="12"/>
      <c r="X508" s="12"/>
    </row>
    <row r="509" customFormat="false" ht="15.75" hidden="false" customHeight="false" outlineLevel="0" collapsed="false">
      <c r="A509" s="12"/>
      <c r="B509" s="34"/>
      <c r="C509" s="12"/>
      <c r="D509" s="12"/>
      <c r="E509" s="12"/>
      <c r="F509" s="12"/>
      <c r="G509" s="18"/>
      <c r="H509" s="35"/>
      <c r="I509" s="12"/>
      <c r="M509" s="12"/>
      <c r="N509" s="18"/>
      <c r="O509" s="12"/>
      <c r="P509" s="12"/>
      <c r="Q509" s="12"/>
      <c r="R509" s="36"/>
      <c r="S509" s="36"/>
      <c r="T509" s="12"/>
      <c r="U509" s="12"/>
      <c r="V509" s="12"/>
      <c r="W509" s="12"/>
      <c r="X509" s="12"/>
    </row>
    <row r="510" customFormat="false" ht="15.75" hidden="false" customHeight="false" outlineLevel="0" collapsed="false">
      <c r="A510" s="12"/>
      <c r="B510" s="34"/>
      <c r="C510" s="12"/>
      <c r="D510" s="12"/>
      <c r="E510" s="12"/>
      <c r="F510" s="12"/>
      <c r="G510" s="18"/>
      <c r="H510" s="35"/>
      <c r="I510" s="12"/>
      <c r="M510" s="12"/>
      <c r="N510" s="18"/>
      <c r="O510" s="12"/>
      <c r="P510" s="12"/>
      <c r="Q510" s="12"/>
      <c r="R510" s="36"/>
      <c r="S510" s="36"/>
      <c r="T510" s="12"/>
      <c r="U510" s="12"/>
      <c r="V510" s="12"/>
      <c r="W510" s="12"/>
      <c r="X510" s="12"/>
    </row>
    <row r="511" customFormat="false" ht="15.75" hidden="false" customHeight="false" outlineLevel="0" collapsed="false">
      <c r="A511" s="12"/>
      <c r="B511" s="34"/>
      <c r="C511" s="12"/>
      <c r="D511" s="12"/>
      <c r="E511" s="12"/>
      <c r="F511" s="12"/>
      <c r="G511" s="18"/>
      <c r="H511" s="35"/>
      <c r="I511" s="12"/>
      <c r="M511" s="12"/>
      <c r="N511" s="18"/>
      <c r="O511" s="12"/>
      <c r="P511" s="12"/>
      <c r="Q511" s="12"/>
      <c r="R511" s="36"/>
      <c r="S511" s="36"/>
      <c r="T511" s="12"/>
      <c r="U511" s="12"/>
      <c r="V511" s="12"/>
      <c r="W511" s="12"/>
      <c r="X511" s="12"/>
    </row>
    <row r="512" customFormat="false" ht="15.75" hidden="false" customHeight="false" outlineLevel="0" collapsed="false">
      <c r="A512" s="12"/>
      <c r="B512" s="34"/>
      <c r="C512" s="12"/>
      <c r="D512" s="12"/>
      <c r="E512" s="12"/>
      <c r="F512" s="12"/>
      <c r="G512" s="18"/>
      <c r="H512" s="35"/>
      <c r="I512" s="12"/>
      <c r="M512" s="12"/>
      <c r="N512" s="18"/>
      <c r="O512" s="12"/>
      <c r="P512" s="12"/>
      <c r="Q512" s="12"/>
      <c r="R512" s="36"/>
      <c r="S512" s="36"/>
      <c r="T512" s="12"/>
      <c r="U512" s="12"/>
      <c r="V512" s="12"/>
      <c r="W512" s="12"/>
      <c r="X512" s="12"/>
    </row>
    <row r="513" customFormat="false" ht="15.75" hidden="false" customHeight="false" outlineLevel="0" collapsed="false">
      <c r="A513" s="12"/>
      <c r="B513" s="34"/>
      <c r="C513" s="12"/>
      <c r="D513" s="12"/>
      <c r="E513" s="12"/>
      <c r="F513" s="12"/>
      <c r="G513" s="18"/>
      <c r="H513" s="35"/>
      <c r="I513" s="12"/>
      <c r="M513" s="12"/>
      <c r="N513" s="18"/>
      <c r="O513" s="12"/>
      <c r="P513" s="12"/>
      <c r="Q513" s="12"/>
      <c r="R513" s="36"/>
      <c r="S513" s="36"/>
      <c r="T513" s="12"/>
      <c r="U513" s="12"/>
      <c r="V513" s="12"/>
      <c r="W513" s="12"/>
      <c r="X513" s="12"/>
    </row>
    <row r="514" customFormat="false" ht="15.75" hidden="false" customHeight="false" outlineLevel="0" collapsed="false">
      <c r="A514" s="12"/>
      <c r="B514" s="34"/>
      <c r="C514" s="12"/>
      <c r="D514" s="12"/>
      <c r="E514" s="12"/>
      <c r="F514" s="12"/>
      <c r="G514" s="18"/>
      <c r="H514" s="35"/>
      <c r="I514" s="12"/>
      <c r="M514" s="12"/>
      <c r="N514" s="18"/>
      <c r="O514" s="12"/>
      <c r="P514" s="12"/>
      <c r="Q514" s="12"/>
      <c r="R514" s="36"/>
      <c r="S514" s="36"/>
      <c r="T514" s="12"/>
      <c r="U514" s="12"/>
      <c r="V514" s="12"/>
      <c r="W514" s="12"/>
      <c r="X514" s="12"/>
    </row>
    <row r="515" customFormat="false" ht="15.75" hidden="false" customHeight="false" outlineLevel="0" collapsed="false">
      <c r="A515" s="12"/>
      <c r="B515" s="34"/>
      <c r="C515" s="12"/>
      <c r="D515" s="12"/>
      <c r="E515" s="12"/>
      <c r="F515" s="12"/>
      <c r="G515" s="18"/>
      <c r="H515" s="35"/>
      <c r="I515" s="12"/>
      <c r="M515" s="12"/>
      <c r="N515" s="18"/>
      <c r="O515" s="12"/>
      <c r="P515" s="12"/>
      <c r="Q515" s="12"/>
      <c r="R515" s="36"/>
      <c r="S515" s="36"/>
      <c r="T515" s="12"/>
      <c r="U515" s="12"/>
      <c r="V515" s="12"/>
      <c r="W515" s="12"/>
      <c r="X515" s="12"/>
    </row>
    <row r="516" customFormat="false" ht="15.75" hidden="false" customHeight="false" outlineLevel="0" collapsed="false">
      <c r="A516" s="12"/>
      <c r="B516" s="34"/>
      <c r="C516" s="12"/>
      <c r="D516" s="12"/>
      <c r="E516" s="12"/>
      <c r="F516" s="12"/>
      <c r="G516" s="18"/>
      <c r="H516" s="35"/>
      <c r="I516" s="12"/>
      <c r="M516" s="12"/>
      <c r="N516" s="18"/>
      <c r="O516" s="12"/>
      <c r="P516" s="12"/>
      <c r="Q516" s="12"/>
      <c r="R516" s="36"/>
      <c r="S516" s="36"/>
      <c r="T516" s="12"/>
      <c r="U516" s="12"/>
      <c r="V516" s="12"/>
      <c r="W516" s="12"/>
      <c r="X516" s="12"/>
    </row>
    <row r="517" customFormat="false" ht="15.75" hidden="false" customHeight="false" outlineLevel="0" collapsed="false">
      <c r="A517" s="12"/>
      <c r="B517" s="34"/>
      <c r="C517" s="12"/>
      <c r="D517" s="12"/>
      <c r="E517" s="12"/>
      <c r="F517" s="12"/>
      <c r="G517" s="18"/>
      <c r="H517" s="35"/>
      <c r="I517" s="12"/>
      <c r="M517" s="12"/>
      <c r="N517" s="18"/>
      <c r="O517" s="12"/>
      <c r="P517" s="12"/>
      <c r="Q517" s="12"/>
      <c r="R517" s="36"/>
      <c r="S517" s="36"/>
      <c r="T517" s="12"/>
      <c r="U517" s="12"/>
      <c r="V517" s="12"/>
      <c r="W517" s="12"/>
      <c r="X517" s="12"/>
    </row>
    <row r="518" customFormat="false" ht="15.75" hidden="false" customHeight="false" outlineLevel="0" collapsed="false">
      <c r="A518" s="12"/>
      <c r="B518" s="34"/>
      <c r="C518" s="12"/>
      <c r="D518" s="12"/>
      <c r="E518" s="12"/>
      <c r="F518" s="12"/>
      <c r="G518" s="18"/>
      <c r="H518" s="35"/>
      <c r="I518" s="12"/>
      <c r="M518" s="12"/>
      <c r="N518" s="18"/>
      <c r="O518" s="12"/>
      <c r="P518" s="12"/>
      <c r="Q518" s="12"/>
      <c r="R518" s="36"/>
      <c r="S518" s="36"/>
      <c r="T518" s="12"/>
      <c r="U518" s="12"/>
      <c r="V518" s="12"/>
      <c r="W518" s="12"/>
      <c r="X518" s="12"/>
    </row>
    <row r="519" customFormat="false" ht="15.75" hidden="false" customHeight="false" outlineLevel="0" collapsed="false">
      <c r="A519" s="12"/>
      <c r="B519" s="34"/>
      <c r="C519" s="12"/>
      <c r="D519" s="12"/>
      <c r="E519" s="12"/>
      <c r="F519" s="12"/>
      <c r="G519" s="18"/>
      <c r="H519" s="35"/>
      <c r="I519" s="12"/>
      <c r="M519" s="12"/>
      <c r="N519" s="18"/>
      <c r="O519" s="12"/>
      <c r="P519" s="12"/>
      <c r="Q519" s="12"/>
      <c r="R519" s="36"/>
      <c r="S519" s="36"/>
      <c r="T519" s="12"/>
      <c r="U519" s="12"/>
      <c r="V519" s="12"/>
      <c r="W519" s="12"/>
      <c r="X519" s="12"/>
    </row>
    <row r="520" customFormat="false" ht="15.75" hidden="false" customHeight="false" outlineLevel="0" collapsed="false">
      <c r="A520" s="12"/>
      <c r="B520" s="34"/>
      <c r="C520" s="12"/>
      <c r="D520" s="12"/>
      <c r="E520" s="12"/>
      <c r="F520" s="12"/>
      <c r="G520" s="18"/>
      <c r="H520" s="35"/>
      <c r="I520" s="12"/>
      <c r="M520" s="12"/>
      <c r="N520" s="18"/>
      <c r="O520" s="12"/>
      <c r="P520" s="12"/>
      <c r="Q520" s="12"/>
      <c r="R520" s="36"/>
      <c r="S520" s="36"/>
      <c r="T520" s="12"/>
      <c r="U520" s="12"/>
      <c r="V520" s="12"/>
      <c r="W520" s="12"/>
      <c r="X520" s="12"/>
    </row>
    <row r="521" customFormat="false" ht="15.75" hidden="false" customHeight="false" outlineLevel="0" collapsed="false">
      <c r="A521" s="12"/>
      <c r="B521" s="34"/>
      <c r="C521" s="12"/>
      <c r="D521" s="12"/>
      <c r="E521" s="12"/>
      <c r="F521" s="12"/>
      <c r="G521" s="18"/>
      <c r="H521" s="35"/>
      <c r="I521" s="12"/>
      <c r="M521" s="12"/>
      <c r="N521" s="18"/>
      <c r="O521" s="12"/>
      <c r="P521" s="12"/>
      <c r="Q521" s="12"/>
      <c r="R521" s="36"/>
      <c r="S521" s="36"/>
      <c r="T521" s="12"/>
      <c r="U521" s="12"/>
      <c r="V521" s="12"/>
      <c r="W521" s="12"/>
      <c r="X521" s="12"/>
    </row>
    <row r="522" customFormat="false" ht="15.75" hidden="false" customHeight="false" outlineLevel="0" collapsed="false">
      <c r="A522" s="12"/>
      <c r="B522" s="34"/>
      <c r="C522" s="12"/>
      <c r="D522" s="12"/>
      <c r="E522" s="12"/>
      <c r="F522" s="12"/>
      <c r="G522" s="18"/>
      <c r="H522" s="35"/>
      <c r="I522" s="12"/>
      <c r="M522" s="12"/>
      <c r="N522" s="18"/>
      <c r="O522" s="12"/>
      <c r="P522" s="12"/>
      <c r="Q522" s="12"/>
      <c r="R522" s="36"/>
      <c r="S522" s="36"/>
      <c r="T522" s="12"/>
      <c r="U522" s="12"/>
      <c r="V522" s="12"/>
      <c r="W522" s="12"/>
      <c r="X522" s="12"/>
    </row>
    <row r="523" customFormat="false" ht="15.75" hidden="false" customHeight="false" outlineLevel="0" collapsed="false">
      <c r="A523" s="12"/>
      <c r="B523" s="34"/>
      <c r="C523" s="12"/>
      <c r="D523" s="12"/>
      <c r="E523" s="12"/>
      <c r="F523" s="12"/>
      <c r="G523" s="18"/>
      <c r="H523" s="35"/>
      <c r="I523" s="12"/>
      <c r="M523" s="12"/>
      <c r="N523" s="18"/>
      <c r="O523" s="12"/>
      <c r="P523" s="12"/>
      <c r="Q523" s="12"/>
      <c r="R523" s="36"/>
      <c r="S523" s="36"/>
      <c r="T523" s="12"/>
      <c r="U523" s="12"/>
      <c r="V523" s="12"/>
      <c r="W523" s="12"/>
      <c r="X523" s="12"/>
    </row>
    <row r="524" customFormat="false" ht="15.75" hidden="false" customHeight="false" outlineLevel="0" collapsed="false">
      <c r="A524" s="12"/>
      <c r="B524" s="34"/>
      <c r="C524" s="12"/>
      <c r="D524" s="12"/>
      <c r="E524" s="12"/>
      <c r="F524" s="12"/>
      <c r="G524" s="18"/>
      <c r="H524" s="35"/>
      <c r="I524" s="12"/>
      <c r="M524" s="12"/>
      <c r="N524" s="18"/>
      <c r="O524" s="12"/>
      <c r="P524" s="12"/>
      <c r="Q524" s="12"/>
      <c r="R524" s="36"/>
      <c r="S524" s="36"/>
      <c r="T524" s="12"/>
      <c r="U524" s="12"/>
      <c r="V524" s="12"/>
      <c r="W524" s="12"/>
      <c r="X524" s="12"/>
    </row>
    <row r="525" customFormat="false" ht="15.75" hidden="false" customHeight="false" outlineLevel="0" collapsed="false">
      <c r="A525" s="12"/>
      <c r="B525" s="34"/>
      <c r="C525" s="12"/>
      <c r="D525" s="12"/>
      <c r="E525" s="12"/>
      <c r="F525" s="12"/>
      <c r="G525" s="18"/>
      <c r="H525" s="35"/>
      <c r="I525" s="12"/>
      <c r="M525" s="12"/>
      <c r="N525" s="18"/>
      <c r="O525" s="12"/>
      <c r="P525" s="12"/>
      <c r="Q525" s="12"/>
      <c r="R525" s="36"/>
      <c r="S525" s="36"/>
      <c r="T525" s="12"/>
      <c r="U525" s="12"/>
      <c r="V525" s="12"/>
      <c r="W525" s="12"/>
      <c r="X525" s="12"/>
    </row>
    <row r="526" customFormat="false" ht="15.75" hidden="false" customHeight="false" outlineLevel="0" collapsed="false">
      <c r="A526" s="12"/>
      <c r="B526" s="34"/>
      <c r="C526" s="12"/>
      <c r="D526" s="12"/>
      <c r="E526" s="12"/>
      <c r="F526" s="12"/>
      <c r="G526" s="18"/>
      <c r="H526" s="35"/>
      <c r="I526" s="12"/>
      <c r="M526" s="12"/>
      <c r="N526" s="18"/>
      <c r="O526" s="12"/>
      <c r="P526" s="12"/>
      <c r="Q526" s="12"/>
      <c r="R526" s="36"/>
      <c r="S526" s="36"/>
      <c r="T526" s="12"/>
      <c r="U526" s="12"/>
      <c r="V526" s="12"/>
      <c r="W526" s="12"/>
      <c r="X526" s="12"/>
    </row>
    <row r="527" customFormat="false" ht="15.75" hidden="false" customHeight="false" outlineLevel="0" collapsed="false">
      <c r="A527" s="12"/>
      <c r="B527" s="34"/>
      <c r="C527" s="12"/>
      <c r="D527" s="12"/>
      <c r="E527" s="12"/>
      <c r="F527" s="12"/>
      <c r="G527" s="18"/>
      <c r="H527" s="35"/>
      <c r="I527" s="12"/>
      <c r="M527" s="12"/>
      <c r="N527" s="18"/>
      <c r="O527" s="12"/>
      <c r="P527" s="12"/>
      <c r="Q527" s="12"/>
      <c r="R527" s="36"/>
      <c r="S527" s="36"/>
      <c r="T527" s="12"/>
      <c r="U527" s="12"/>
      <c r="V527" s="12"/>
      <c r="W527" s="12"/>
      <c r="X527" s="12"/>
    </row>
    <row r="528" customFormat="false" ht="15.75" hidden="false" customHeight="false" outlineLevel="0" collapsed="false">
      <c r="A528" s="12"/>
      <c r="B528" s="34"/>
      <c r="C528" s="12"/>
      <c r="D528" s="12"/>
      <c r="E528" s="12"/>
      <c r="F528" s="12"/>
      <c r="G528" s="18"/>
      <c r="H528" s="35"/>
      <c r="I528" s="12"/>
      <c r="M528" s="12"/>
      <c r="N528" s="18"/>
      <c r="O528" s="12"/>
      <c r="P528" s="12"/>
      <c r="Q528" s="12"/>
      <c r="R528" s="36"/>
      <c r="S528" s="36"/>
      <c r="T528" s="12"/>
      <c r="U528" s="12"/>
      <c r="V528" s="12"/>
      <c r="W528" s="12"/>
      <c r="X528" s="12"/>
    </row>
    <row r="529" customFormat="false" ht="15.75" hidden="false" customHeight="false" outlineLevel="0" collapsed="false">
      <c r="A529" s="12"/>
      <c r="B529" s="34"/>
      <c r="C529" s="12"/>
      <c r="D529" s="12"/>
      <c r="E529" s="12"/>
      <c r="F529" s="12"/>
      <c r="G529" s="18"/>
      <c r="H529" s="35"/>
      <c r="I529" s="12"/>
      <c r="M529" s="12"/>
      <c r="N529" s="18"/>
      <c r="O529" s="12"/>
      <c r="P529" s="12"/>
      <c r="Q529" s="12"/>
      <c r="R529" s="36"/>
      <c r="S529" s="36"/>
      <c r="T529" s="12"/>
      <c r="U529" s="12"/>
      <c r="V529" s="12"/>
      <c r="W529" s="12"/>
      <c r="X529" s="12"/>
    </row>
    <row r="530" customFormat="false" ht="15.75" hidden="false" customHeight="false" outlineLevel="0" collapsed="false">
      <c r="A530" s="12"/>
      <c r="B530" s="34"/>
      <c r="C530" s="12"/>
      <c r="D530" s="12"/>
      <c r="E530" s="12"/>
      <c r="F530" s="12"/>
      <c r="G530" s="18"/>
      <c r="H530" s="35"/>
      <c r="I530" s="12"/>
      <c r="M530" s="12"/>
      <c r="N530" s="18"/>
      <c r="O530" s="12"/>
      <c r="P530" s="12"/>
      <c r="Q530" s="12"/>
      <c r="R530" s="36"/>
      <c r="S530" s="36"/>
      <c r="T530" s="12"/>
      <c r="U530" s="12"/>
      <c r="V530" s="12"/>
      <c r="W530" s="12"/>
      <c r="X530" s="12"/>
    </row>
    <row r="531" customFormat="false" ht="15.75" hidden="false" customHeight="false" outlineLevel="0" collapsed="false">
      <c r="A531" s="12"/>
      <c r="B531" s="34"/>
      <c r="C531" s="12"/>
      <c r="D531" s="12"/>
      <c r="E531" s="12"/>
      <c r="F531" s="12"/>
      <c r="G531" s="18"/>
      <c r="H531" s="35"/>
      <c r="I531" s="12"/>
      <c r="M531" s="12"/>
      <c r="N531" s="18"/>
      <c r="O531" s="12"/>
      <c r="P531" s="12"/>
      <c r="Q531" s="12"/>
      <c r="R531" s="36"/>
      <c r="S531" s="36"/>
      <c r="T531" s="12"/>
      <c r="U531" s="12"/>
      <c r="V531" s="12"/>
      <c r="W531" s="12"/>
      <c r="X531" s="12"/>
    </row>
    <row r="532" customFormat="false" ht="15.75" hidden="false" customHeight="false" outlineLevel="0" collapsed="false">
      <c r="A532" s="12"/>
      <c r="B532" s="34"/>
      <c r="C532" s="12"/>
      <c r="D532" s="12"/>
      <c r="E532" s="12"/>
      <c r="F532" s="12"/>
      <c r="G532" s="18"/>
      <c r="H532" s="35"/>
      <c r="I532" s="12"/>
      <c r="M532" s="12"/>
      <c r="N532" s="18"/>
      <c r="O532" s="12"/>
      <c r="P532" s="12"/>
      <c r="Q532" s="12"/>
      <c r="R532" s="36"/>
      <c r="S532" s="36"/>
      <c r="T532" s="12"/>
      <c r="U532" s="12"/>
      <c r="V532" s="12"/>
      <c r="W532" s="12"/>
      <c r="X532" s="12"/>
    </row>
    <row r="533" customFormat="false" ht="15.75" hidden="false" customHeight="false" outlineLevel="0" collapsed="false">
      <c r="A533" s="12"/>
      <c r="B533" s="34"/>
      <c r="C533" s="12"/>
      <c r="D533" s="12"/>
      <c r="E533" s="12"/>
      <c r="F533" s="12"/>
      <c r="G533" s="18"/>
      <c r="H533" s="35"/>
      <c r="I533" s="12"/>
      <c r="M533" s="12"/>
      <c r="N533" s="18"/>
      <c r="O533" s="12"/>
      <c r="P533" s="12"/>
      <c r="Q533" s="12"/>
      <c r="R533" s="36"/>
      <c r="S533" s="36"/>
      <c r="T533" s="12"/>
      <c r="U533" s="12"/>
      <c r="V533" s="12"/>
      <c r="W533" s="12"/>
      <c r="X533" s="12"/>
    </row>
    <row r="534" customFormat="false" ht="15.75" hidden="false" customHeight="false" outlineLevel="0" collapsed="false">
      <c r="A534" s="12"/>
      <c r="B534" s="34"/>
      <c r="C534" s="12"/>
      <c r="D534" s="12"/>
      <c r="E534" s="12"/>
      <c r="F534" s="12"/>
      <c r="G534" s="18"/>
      <c r="H534" s="35"/>
      <c r="I534" s="12"/>
      <c r="M534" s="12"/>
      <c r="N534" s="18"/>
      <c r="O534" s="12"/>
      <c r="P534" s="12"/>
      <c r="Q534" s="12"/>
      <c r="R534" s="36"/>
      <c r="S534" s="36"/>
      <c r="T534" s="12"/>
      <c r="U534" s="12"/>
      <c r="V534" s="12"/>
      <c r="W534" s="12"/>
      <c r="X534" s="12"/>
    </row>
    <row r="535" customFormat="false" ht="15.75" hidden="false" customHeight="false" outlineLevel="0" collapsed="false">
      <c r="A535" s="12"/>
      <c r="B535" s="34"/>
      <c r="C535" s="12"/>
      <c r="D535" s="12"/>
      <c r="E535" s="12"/>
      <c r="F535" s="12"/>
      <c r="G535" s="18"/>
      <c r="H535" s="35"/>
      <c r="I535" s="12"/>
      <c r="M535" s="12"/>
      <c r="N535" s="18"/>
      <c r="O535" s="12"/>
      <c r="P535" s="12"/>
      <c r="Q535" s="12"/>
      <c r="R535" s="36"/>
      <c r="S535" s="36"/>
      <c r="T535" s="12"/>
      <c r="U535" s="12"/>
      <c r="V535" s="12"/>
      <c r="W535" s="12"/>
      <c r="X535" s="12"/>
    </row>
    <row r="536" customFormat="false" ht="15.75" hidden="false" customHeight="false" outlineLevel="0" collapsed="false">
      <c r="A536" s="12"/>
      <c r="B536" s="34"/>
      <c r="C536" s="12"/>
      <c r="D536" s="12"/>
      <c r="E536" s="12"/>
      <c r="F536" s="12"/>
      <c r="G536" s="18"/>
      <c r="H536" s="35"/>
      <c r="I536" s="12"/>
      <c r="M536" s="12"/>
      <c r="N536" s="18"/>
      <c r="O536" s="12"/>
      <c r="P536" s="12"/>
      <c r="Q536" s="12"/>
      <c r="R536" s="36"/>
      <c r="S536" s="36"/>
      <c r="T536" s="12"/>
      <c r="U536" s="12"/>
      <c r="V536" s="12"/>
      <c r="W536" s="12"/>
      <c r="X536" s="12"/>
    </row>
    <row r="537" customFormat="false" ht="15.75" hidden="false" customHeight="false" outlineLevel="0" collapsed="false">
      <c r="A537" s="12"/>
      <c r="B537" s="34"/>
      <c r="C537" s="12"/>
      <c r="D537" s="12"/>
      <c r="E537" s="12"/>
      <c r="F537" s="12"/>
      <c r="G537" s="18"/>
      <c r="H537" s="35"/>
      <c r="I537" s="12"/>
      <c r="M537" s="12"/>
      <c r="N537" s="18"/>
      <c r="O537" s="12"/>
      <c r="P537" s="12"/>
      <c r="Q537" s="12"/>
      <c r="R537" s="36"/>
      <c r="S537" s="36"/>
      <c r="T537" s="12"/>
      <c r="U537" s="12"/>
      <c r="V537" s="12"/>
      <c r="W537" s="12"/>
      <c r="X537" s="12"/>
    </row>
    <row r="538" customFormat="false" ht="15.75" hidden="false" customHeight="false" outlineLevel="0" collapsed="false">
      <c r="A538" s="12"/>
      <c r="B538" s="34"/>
      <c r="C538" s="12"/>
      <c r="D538" s="12"/>
      <c r="E538" s="12"/>
      <c r="F538" s="12"/>
      <c r="G538" s="18"/>
      <c r="H538" s="35"/>
      <c r="I538" s="12"/>
      <c r="M538" s="12"/>
      <c r="N538" s="18"/>
      <c r="O538" s="12"/>
      <c r="P538" s="12"/>
      <c r="Q538" s="12"/>
      <c r="R538" s="36"/>
      <c r="S538" s="36"/>
      <c r="T538" s="12"/>
      <c r="U538" s="12"/>
      <c r="V538" s="12"/>
      <c r="W538" s="12"/>
      <c r="X538" s="12"/>
    </row>
    <row r="539" customFormat="false" ht="15.75" hidden="false" customHeight="false" outlineLevel="0" collapsed="false">
      <c r="A539" s="12"/>
      <c r="B539" s="34"/>
      <c r="C539" s="12"/>
      <c r="D539" s="12"/>
      <c r="E539" s="12"/>
      <c r="F539" s="12"/>
      <c r="G539" s="18"/>
      <c r="H539" s="35"/>
      <c r="I539" s="12"/>
      <c r="M539" s="12"/>
      <c r="N539" s="18"/>
      <c r="O539" s="12"/>
      <c r="P539" s="12"/>
      <c r="Q539" s="12"/>
      <c r="R539" s="36"/>
      <c r="S539" s="36"/>
      <c r="T539" s="12"/>
      <c r="U539" s="12"/>
      <c r="V539" s="12"/>
      <c r="W539" s="12"/>
      <c r="X539" s="12"/>
    </row>
    <row r="540" customFormat="false" ht="15.75" hidden="false" customHeight="false" outlineLevel="0" collapsed="false">
      <c r="A540" s="12"/>
      <c r="B540" s="34"/>
      <c r="C540" s="12"/>
      <c r="D540" s="12"/>
      <c r="E540" s="12"/>
      <c r="F540" s="12"/>
      <c r="G540" s="18"/>
      <c r="H540" s="35"/>
      <c r="I540" s="12"/>
      <c r="M540" s="12"/>
      <c r="N540" s="18"/>
      <c r="O540" s="12"/>
      <c r="P540" s="12"/>
      <c r="Q540" s="12"/>
      <c r="R540" s="36"/>
      <c r="S540" s="36"/>
      <c r="T540" s="12"/>
      <c r="U540" s="12"/>
      <c r="V540" s="12"/>
      <c r="W540" s="12"/>
      <c r="X540" s="12"/>
    </row>
    <row r="541" customFormat="false" ht="15.75" hidden="false" customHeight="false" outlineLevel="0" collapsed="false">
      <c r="A541" s="12"/>
      <c r="B541" s="34"/>
      <c r="C541" s="12"/>
      <c r="D541" s="12"/>
      <c r="E541" s="12"/>
      <c r="F541" s="12"/>
      <c r="G541" s="18"/>
      <c r="H541" s="35"/>
      <c r="I541" s="12"/>
      <c r="M541" s="12"/>
      <c r="N541" s="18"/>
      <c r="O541" s="12"/>
      <c r="P541" s="12"/>
      <c r="Q541" s="12"/>
      <c r="R541" s="36"/>
      <c r="S541" s="36"/>
      <c r="T541" s="12"/>
      <c r="U541" s="12"/>
      <c r="V541" s="12"/>
      <c r="W541" s="12"/>
      <c r="X541" s="12"/>
    </row>
    <row r="542" customFormat="false" ht="15.75" hidden="false" customHeight="false" outlineLevel="0" collapsed="false">
      <c r="A542" s="12"/>
      <c r="B542" s="34"/>
      <c r="C542" s="12"/>
      <c r="D542" s="12"/>
      <c r="E542" s="12"/>
      <c r="F542" s="12"/>
      <c r="G542" s="18"/>
      <c r="H542" s="35"/>
      <c r="I542" s="12"/>
      <c r="M542" s="12"/>
      <c r="N542" s="18"/>
      <c r="O542" s="12"/>
      <c r="P542" s="12"/>
      <c r="Q542" s="12"/>
      <c r="R542" s="36"/>
      <c r="S542" s="36"/>
      <c r="T542" s="12"/>
      <c r="U542" s="12"/>
      <c r="V542" s="12"/>
      <c r="W542" s="12"/>
      <c r="X542" s="12"/>
    </row>
    <row r="543" customFormat="false" ht="15.75" hidden="false" customHeight="false" outlineLevel="0" collapsed="false">
      <c r="A543" s="12"/>
      <c r="B543" s="34"/>
      <c r="C543" s="12"/>
      <c r="D543" s="12"/>
      <c r="E543" s="12"/>
      <c r="F543" s="12"/>
      <c r="G543" s="18"/>
      <c r="H543" s="35"/>
      <c r="I543" s="12"/>
      <c r="M543" s="12"/>
      <c r="N543" s="18"/>
      <c r="O543" s="12"/>
      <c r="P543" s="12"/>
      <c r="Q543" s="12"/>
      <c r="R543" s="36"/>
      <c r="S543" s="36"/>
      <c r="T543" s="12"/>
      <c r="U543" s="12"/>
      <c r="V543" s="12"/>
      <c r="W543" s="12"/>
      <c r="X543" s="12"/>
    </row>
    <row r="544" customFormat="false" ht="15.75" hidden="false" customHeight="false" outlineLevel="0" collapsed="false">
      <c r="A544" s="12"/>
      <c r="B544" s="34"/>
      <c r="C544" s="12"/>
      <c r="D544" s="12"/>
      <c r="E544" s="12"/>
      <c r="F544" s="12"/>
      <c r="G544" s="18"/>
      <c r="H544" s="35"/>
      <c r="I544" s="12"/>
      <c r="M544" s="12"/>
      <c r="N544" s="18"/>
      <c r="O544" s="12"/>
      <c r="P544" s="12"/>
      <c r="Q544" s="12"/>
      <c r="R544" s="36"/>
      <c r="S544" s="36"/>
      <c r="T544" s="12"/>
      <c r="U544" s="12"/>
      <c r="V544" s="12"/>
      <c r="W544" s="12"/>
      <c r="X544" s="12"/>
    </row>
    <row r="545" customFormat="false" ht="15.75" hidden="false" customHeight="false" outlineLevel="0" collapsed="false">
      <c r="A545" s="12"/>
      <c r="B545" s="34"/>
      <c r="C545" s="12"/>
      <c r="D545" s="12"/>
      <c r="E545" s="12"/>
      <c r="F545" s="12"/>
      <c r="G545" s="18"/>
      <c r="H545" s="35"/>
      <c r="I545" s="12"/>
      <c r="M545" s="12"/>
      <c r="N545" s="18"/>
      <c r="O545" s="12"/>
      <c r="P545" s="12"/>
      <c r="Q545" s="12"/>
      <c r="R545" s="36"/>
      <c r="S545" s="36"/>
      <c r="T545" s="12"/>
      <c r="U545" s="12"/>
      <c r="V545" s="12"/>
      <c r="W545" s="12"/>
      <c r="X545" s="12"/>
    </row>
    <row r="546" customFormat="false" ht="15.75" hidden="false" customHeight="false" outlineLevel="0" collapsed="false">
      <c r="A546" s="12"/>
      <c r="B546" s="34"/>
      <c r="C546" s="12"/>
      <c r="D546" s="12"/>
      <c r="E546" s="12"/>
      <c r="F546" s="12"/>
      <c r="G546" s="18"/>
      <c r="H546" s="35"/>
      <c r="I546" s="12"/>
      <c r="M546" s="12"/>
      <c r="N546" s="18"/>
      <c r="O546" s="12"/>
      <c r="P546" s="12"/>
      <c r="Q546" s="12"/>
      <c r="R546" s="36"/>
      <c r="S546" s="36"/>
      <c r="T546" s="12"/>
      <c r="U546" s="12"/>
      <c r="V546" s="12"/>
      <c r="W546" s="12"/>
      <c r="X546" s="12"/>
    </row>
    <row r="547" customFormat="false" ht="15.75" hidden="false" customHeight="false" outlineLevel="0" collapsed="false">
      <c r="A547" s="12"/>
      <c r="B547" s="34"/>
      <c r="C547" s="12"/>
      <c r="D547" s="12"/>
      <c r="E547" s="12"/>
      <c r="F547" s="12"/>
      <c r="G547" s="18"/>
      <c r="H547" s="35"/>
      <c r="I547" s="12"/>
      <c r="M547" s="12"/>
      <c r="N547" s="18"/>
      <c r="O547" s="12"/>
      <c r="P547" s="12"/>
      <c r="Q547" s="12"/>
      <c r="R547" s="36"/>
      <c r="S547" s="36"/>
      <c r="T547" s="12"/>
      <c r="U547" s="12"/>
      <c r="V547" s="12"/>
      <c r="W547" s="12"/>
      <c r="X547" s="12"/>
    </row>
    <row r="548" customFormat="false" ht="15.75" hidden="false" customHeight="false" outlineLevel="0" collapsed="false">
      <c r="A548" s="12"/>
      <c r="B548" s="34"/>
      <c r="C548" s="12"/>
      <c r="D548" s="12"/>
      <c r="E548" s="12"/>
      <c r="F548" s="12"/>
      <c r="G548" s="18"/>
      <c r="H548" s="35"/>
      <c r="I548" s="12"/>
      <c r="M548" s="12"/>
      <c r="N548" s="18"/>
      <c r="O548" s="12"/>
      <c r="P548" s="12"/>
      <c r="Q548" s="12"/>
      <c r="R548" s="36"/>
      <c r="S548" s="36"/>
      <c r="T548" s="12"/>
      <c r="U548" s="12"/>
      <c r="V548" s="12"/>
      <c r="W548" s="12"/>
      <c r="X548" s="12"/>
    </row>
    <row r="549" customFormat="false" ht="15.75" hidden="false" customHeight="false" outlineLevel="0" collapsed="false">
      <c r="A549" s="12"/>
      <c r="B549" s="34"/>
      <c r="C549" s="12"/>
      <c r="D549" s="12"/>
      <c r="E549" s="12"/>
      <c r="F549" s="12"/>
      <c r="G549" s="18"/>
      <c r="H549" s="35"/>
      <c r="I549" s="12"/>
      <c r="M549" s="12"/>
      <c r="N549" s="18"/>
      <c r="O549" s="12"/>
      <c r="P549" s="12"/>
      <c r="Q549" s="12"/>
      <c r="R549" s="36"/>
      <c r="S549" s="36"/>
      <c r="T549" s="12"/>
      <c r="U549" s="12"/>
      <c r="V549" s="12"/>
      <c r="W549" s="12"/>
      <c r="X549" s="12"/>
    </row>
    <row r="550" customFormat="false" ht="15.75" hidden="false" customHeight="false" outlineLevel="0" collapsed="false">
      <c r="A550" s="12"/>
      <c r="B550" s="34"/>
      <c r="C550" s="12"/>
      <c r="D550" s="12"/>
      <c r="E550" s="12"/>
      <c r="F550" s="12"/>
      <c r="G550" s="18"/>
      <c r="H550" s="35"/>
      <c r="I550" s="12"/>
      <c r="M550" s="12"/>
      <c r="N550" s="18"/>
      <c r="O550" s="12"/>
      <c r="P550" s="12"/>
      <c r="Q550" s="12"/>
      <c r="R550" s="36"/>
      <c r="S550" s="36"/>
      <c r="T550" s="12"/>
      <c r="U550" s="12"/>
      <c r="V550" s="12"/>
      <c r="W550" s="12"/>
      <c r="X550" s="12"/>
    </row>
    <row r="551" customFormat="false" ht="15.75" hidden="false" customHeight="false" outlineLevel="0" collapsed="false">
      <c r="A551" s="12"/>
      <c r="B551" s="34"/>
      <c r="C551" s="12"/>
      <c r="D551" s="12"/>
      <c r="E551" s="12"/>
      <c r="F551" s="12"/>
      <c r="G551" s="18"/>
      <c r="H551" s="35"/>
      <c r="I551" s="12"/>
      <c r="M551" s="12"/>
      <c r="N551" s="18"/>
      <c r="O551" s="12"/>
      <c r="P551" s="12"/>
      <c r="Q551" s="12"/>
      <c r="R551" s="36"/>
      <c r="S551" s="36"/>
      <c r="T551" s="12"/>
      <c r="U551" s="12"/>
      <c r="V551" s="12"/>
      <c r="W551" s="12"/>
      <c r="X551" s="12"/>
    </row>
    <row r="552" customFormat="false" ht="15.75" hidden="false" customHeight="false" outlineLevel="0" collapsed="false">
      <c r="A552" s="12"/>
      <c r="B552" s="34"/>
      <c r="C552" s="12"/>
      <c r="D552" s="12"/>
      <c r="E552" s="12"/>
      <c r="F552" s="12"/>
      <c r="G552" s="18"/>
      <c r="H552" s="35"/>
      <c r="I552" s="12"/>
      <c r="M552" s="12"/>
      <c r="N552" s="18"/>
      <c r="O552" s="12"/>
      <c r="P552" s="12"/>
      <c r="Q552" s="12"/>
      <c r="R552" s="36"/>
      <c r="S552" s="36"/>
      <c r="T552" s="12"/>
      <c r="U552" s="12"/>
      <c r="V552" s="12"/>
      <c r="W552" s="12"/>
      <c r="X552" s="12"/>
    </row>
    <row r="553" customFormat="false" ht="15.75" hidden="false" customHeight="false" outlineLevel="0" collapsed="false">
      <c r="A553" s="12"/>
      <c r="B553" s="34"/>
      <c r="C553" s="12"/>
      <c r="D553" s="12"/>
      <c r="E553" s="12"/>
      <c r="F553" s="12"/>
      <c r="G553" s="18"/>
      <c r="H553" s="35"/>
      <c r="I553" s="12"/>
      <c r="M553" s="12"/>
      <c r="N553" s="18"/>
      <c r="O553" s="12"/>
      <c r="P553" s="12"/>
      <c r="Q553" s="12"/>
      <c r="R553" s="36"/>
      <c r="S553" s="36"/>
      <c r="T553" s="12"/>
      <c r="U553" s="12"/>
      <c r="V553" s="12"/>
      <c r="W553" s="12"/>
      <c r="X553" s="12"/>
    </row>
    <row r="554" customFormat="false" ht="15.75" hidden="false" customHeight="false" outlineLevel="0" collapsed="false">
      <c r="A554" s="12"/>
      <c r="B554" s="34"/>
      <c r="C554" s="12"/>
      <c r="D554" s="12"/>
      <c r="E554" s="12"/>
      <c r="F554" s="12"/>
      <c r="G554" s="18"/>
      <c r="H554" s="35"/>
      <c r="I554" s="12"/>
      <c r="M554" s="12"/>
      <c r="N554" s="18"/>
      <c r="O554" s="12"/>
      <c r="P554" s="12"/>
      <c r="Q554" s="12"/>
      <c r="R554" s="36"/>
      <c r="S554" s="36"/>
      <c r="T554" s="12"/>
      <c r="U554" s="12"/>
      <c r="V554" s="12"/>
      <c r="W554" s="12"/>
      <c r="X554" s="12"/>
    </row>
    <row r="555" customFormat="false" ht="15.75" hidden="false" customHeight="false" outlineLevel="0" collapsed="false">
      <c r="A555" s="12"/>
      <c r="B555" s="34"/>
      <c r="C555" s="12"/>
      <c r="D555" s="12"/>
      <c r="E555" s="12"/>
      <c r="F555" s="12"/>
      <c r="G555" s="18"/>
      <c r="H555" s="35"/>
      <c r="I555" s="12"/>
      <c r="M555" s="12"/>
      <c r="N555" s="18"/>
      <c r="O555" s="12"/>
      <c r="P555" s="12"/>
      <c r="Q555" s="12"/>
      <c r="R555" s="36"/>
      <c r="S555" s="36"/>
      <c r="T555" s="12"/>
      <c r="U555" s="12"/>
      <c r="V555" s="12"/>
      <c r="W555" s="12"/>
      <c r="X555" s="12"/>
    </row>
    <row r="556" customFormat="false" ht="15.75" hidden="false" customHeight="false" outlineLevel="0" collapsed="false">
      <c r="A556" s="12"/>
      <c r="B556" s="34"/>
      <c r="C556" s="12"/>
      <c r="D556" s="12"/>
      <c r="E556" s="12"/>
      <c r="F556" s="12"/>
      <c r="G556" s="18"/>
      <c r="H556" s="35"/>
      <c r="I556" s="12"/>
      <c r="M556" s="12"/>
      <c r="N556" s="18"/>
      <c r="O556" s="12"/>
      <c r="P556" s="12"/>
      <c r="Q556" s="12"/>
      <c r="R556" s="36"/>
      <c r="S556" s="36"/>
      <c r="T556" s="12"/>
      <c r="U556" s="12"/>
      <c r="V556" s="12"/>
      <c r="W556" s="12"/>
      <c r="X556" s="12"/>
    </row>
    <row r="557" customFormat="false" ht="15.75" hidden="false" customHeight="false" outlineLevel="0" collapsed="false">
      <c r="A557" s="12"/>
      <c r="B557" s="34"/>
      <c r="C557" s="12"/>
      <c r="D557" s="12"/>
      <c r="E557" s="12"/>
      <c r="F557" s="12"/>
      <c r="G557" s="18"/>
      <c r="H557" s="35"/>
      <c r="I557" s="12"/>
      <c r="M557" s="12"/>
      <c r="N557" s="18"/>
      <c r="O557" s="12"/>
      <c r="P557" s="12"/>
      <c r="Q557" s="12"/>
      <c r="R557" s="36"/>
      <c r="S557" s="36"/>
      <c r="T557" s="12"/>
      <c r="U557" s="12"/>
      <c r="V557" s="12"/>
      <c r="W557" s="12"/>
      <c r="X557" s="12"/>
    </row>
    <row r="558" customFormat="false" ht="15.75" hidden="false" customHeight="false" outlineLevel="0" collapsed="false">
      <c r="A558" s="12"/>
      <c r="B558" s="34"/>
      <c r="C558" s="12"/>
      <c r="D558" s="12"/>
      <c r="E558" s="12"/>
      <c r="F558" s="12"/>
      <c r="G558" s="18"/>
      <c r="H558" s="35"/>
      <c r="I558" s="12"/>
      <c r="M558" s="12"/>
      <c r="N558" s="18"/>
      <c r="O558" s="12"/>
      <c r="P558" s="12"/>
      <c r="Q558" s="12"/>
      <c r="R558" s="36"/>
      <c r="S558" s="36"/>
      <c r="T558" s="12"/>
      <c r="U558" s="12"/>
      <c r="V558" s="12"/>
      <c r="W558" s="12"/>
      <c r="X558" s="12"/>
    </row>
    <row r="559" customFormat="false" ht="15.75" hidden="false" customHeight="false" outlineLevel="0" collapsed="false">
      <c r="A559" s="12"/>
      <c r="B559" s="34"/>
      <c r="C559" s="12"/>
      <c r="D559" s="12"/>
      <c r="E559" s="12"/>
      <c r="F559" s="12"/>
      <c r="G559" s="18"/>
      <c r="H559" s="35"/>
      <c r="I559" s="12"/>
      <c r="M559" s="12"/>
      <c r="N559" s="18"/>
      <c r="O559" s="12"/>
      <c r="P559" s="12"/>
      <c r="Q559" s="12"/>
      <c r="R559" s="36"/>
      <c r="S559" s="36"/>
      <c r="T559" s="12"/>
      <c r="U559" s="12"/>
      <c r="V559" s="12"/>
      <c r="W559" s="12"/>
      <c r="X559" s="12"/>
    </row>
    <row r="560" customFormat="false" ht="15.75" hidden="false" customHeight="false" outlineLevel="0" collapsed="false">
      <c r="A560" s="12"/>
      <c r="B560" s="34"/>
      <c r="C560" s="12"/>
      <c r="D560" s="12"/>
      <c r="E560" s="12"/>
      <c r="F560" s="12"/>
      <c r="G560" s="18"/>
      <c r="H560" s="35"/>
      <c r="I560" s="12"/>
      <c r="M560" s="12"/>
      <c r="N560" s="18"/>
      <c r="O560" s="12"/>
      <c r="P560" s="12"/>
      <c r="Q560" s="12"/>
      <c r="R560" s="36"/>
      <c r="S560" s="36"/>
      <c r="T560" s="12"/>
      <c r="U560" s="12"/>
      <c r="V560" s="12"/>
      <c r="W560" s="12"/>
      <c r="X560" s="12"/>
    </row>
    <row r="561" customFormat="false" ht="15.75" hidden="false" customHeight="false" outlineLevel="0" collapsed="false">
      <c r="A561" s="12"/>
      <c r="B561" s="34"/>
      <c r="C561" s="12"/>
      <c r="D561" s="12"/>
      <c r="E561" s="12"/>
      <c r="F561" s="12"/>
      <c r="G561" s="18"/>
      <c r="H561" s="35"/>
      <c r="I561" s="12"/>
      <c r="M561" s="12"/>
      <c r="N561" s="18"/>
      <c r="O561" s="12"/>
      <c r="P561" s="12"/>
      <c r="Q561" s="12"/>
      <c r="R561" s="36"/>
      <c r="S561" s="36"/>
      <c r="T561" s="12"/>
      <c r="U561" s="12"/>
      <c r="V561" s="12"/>
      <c r="W561" s="12"/>
      <c r="X561" s="12"/>
    </row>
    <row r="562" customFormat="false" ht="15.75" hidden="false" customHeight="false" outlineLevel="0" collapsed="false">
      <c r="A562" s="12"/>
      <c r="B562" s="34"/>
      <c r="C562" s="12"/>
      <c r="D562" s="12"/>
      <c r="E562" s="12"/>
      <c r="F562" s="12"/>
      <c r="G562" s="18"/>
      <c r="H562" s="35"/>
      <c r="I562" s="12"/>
      <c r="M562" s="12"/>
      <c r="N562" s="18"/>
      <c r="O562" s="12"/>
      <c r="P562" s="12"/>
      <c r="Q562" s="12"/>
      <c r="R562" s="36"/>
      <c r="S562" s="36"/>
      <c r="T562" s="12"/>
      <c r="U562" s="12"/>
      <c r="V562" s="12"/>
      <c r="W562" s="12"/>
      <c r="X562" s="12"/>
    </row>
    <row r="563" customFormat="false" ht="15.75" hidden="false" customHeight="false" outlineLevel="0" collapsed="false">
      <c r="A563" s="12"/>
      <c r="B563" s="34"/>
      <c r="C563" s="12"/>
      <c r="D563" s="12"/>
      <c r="E563" s="12"/>
      <c r="F563" s="12"/>
      <c r="G563" s="18"/>
      <c r="H563" s="35"/>
      <c r="I563" s="12"/>
      <c r="M563" s="12"/>
      <c r="N563" s="18"/>
      <c r="O563" s="12"/>
      <c r="P563" s="12"/>
      <c r="Q563" s="12"/>
      <c r="R563" s="36"/>
      <c r="S563" s="36"/>
      <c r="T563" s="12"/>
      <c r="U563" s="12"/>
      <c r="V563" s="12"/>
      <c r="W563" s="12"/>
      <c r="X563" s="12"/>
    </row>
    <row r="564" customFormat="false" ht="15.75" hidden="false" customHeight="false" outlineLevel="0" collapsed="false">
      <c r="A564" s="12"/>
      <c r="B564" s="34"/>
      <c r="C564" s="12"/>
      <c r="D564" s="12"/>
      <c r="E564" s="12"/>
      <c r="F564" s="12"/>
      <c r="G564" s="18"/>
      <c r="H564" s="35"/>
      <c r="I564" s="12"/>
      <c r="M564" s="12"/>
      <c r="N564" s="18"/>
      <c r="O564" s="12"/>
      <c r="P564" s="12"/>
      <c r="Q564" s="12"/>
      <c r="R564" s="36"/>
      <c r="S564" s="36"/>
      <c r="T564" s="12"/>
      <c r="U564" s="12"/>
      <c r="V564" s="12"/>
      <c r="W564" s="12"/>
      <c r="X564" s="12"/>
    </row>
    <row r="565" customFormat="false" ht="15.75" hidden="false" customHeight="false" outlineLevel="0" collapsed="false">
      <c r="A565" s="12"/>
      <c r="B565" s="34"/>
      <c r="C565" s="12"/>
      <c r="D565" s="12"/>
      <c r="E565" s="12"/>
      <c r="F565" s="12"/>
      <c r="G565" s="18"/>
      <c r="H565" s="35"/>
      <c r="I565" s="12"/>
      <c r="M565" s="12"/>
      <c r="N565" s="18"/>
      <c r="O565" s="12"/>
      <c r="P565" s="12"/>
      <c r="Q565" s="12"/>
      <c r="R565" s="36"/>
      <c r="S565" s="36"/>
      <c r="T565" s="12"/>
      <c r="U565" s="12"/>
      <c r="V565" s="12"/>
      <c r="W565" s="12"/>
      <c r="X565" s="12"/>
    </row>
    <row r="566" customFormat="false" ht="15.75" hidden="false" customHeight="false" outlineLevel="0" collapsed="false">
      <c r="A566" s="12"/>
      <c r="B566" s="34"/>
      <c r="C566" s="12"/>
      <c r="D566" s="12"/>
      <c r="E566" s="12"/>
      <c r="F566" s="12"/>
      <c r="G566" s="18"/>
      <c r="H566" s="35"/>
      <c r="I566" s="12"/>
      <c r="M566" s="12"/>
      <c r="N566" s="18"/>
      <c r="O566" s="12"/>
      <c r="P566" s="12"/>
      <c r="Q566" s="12"/>
      <c r="R566" s="36"/>
      <c r="S566" s="36"/>
      <c r="T566" s="12"/>
      <c r="U566" s="12"/>
      <c r="V566" s="12"/>
      <c r="W566" s="12"/>
      <c r="X566" s="12"/>
    </row>
    <row r="567" customFormat="false" ht="15.75" hidden="false" customHeight="false" outlineLevel="0" collapsed="false">
      <c r="A567" s="12"/>
      <c r="B567" s="34"/>
      <c r="C567" s="12"/>
      <c r="D567" s="12"/>
      <c r="E567" s="12"/>
      <c r="F567" s="12"/>
      <c r="G567" s="18"/>
      <c r="H567" s="35"/>
      <c r="I567" s="12"/>
      <c r="M567" s="12"/>
      <c r="N567" s="18"/>
      <c r="O567" s="12"/>
      <c r="P567" s="12"/>
      <c r="Q567" s="12"/>
      <c r="R567" s="36"/>
      <c r="S567" s="36"/>
      <c r="T567" s="12"/>
      <c r="U567" s="12"/>
      <c r="V567" s="12"/>
      <c r="W567" s="12"/>
      <c r="X567" s="12"/>
    </row>
    <row r="568" customFormat="false" ht="15.75" hidden="false" customHeight="false" outlineLevel="0" collapsed="false">
      <c r="A568" s="12"/>
      <c r="B568" s="34"/>
      <c r="C568" s="12"/>
      <c r="D568" s="12"/>
      <c r="E568" s="12"/>
      <c r="F568" s="12"/>
      <c r="G568" s="18"/>
      <c r="H568" s="35"/>
      <c r="I568" s="12"/>
      <c r="M568" s="12"/>
      <c r="N568" s="18"/>
      <c r="O568" s="12"/>
      <c r="P568" s="12"/>
      <c r="Q568" s="12"/>
      <c r="R568" s="36"/>
      <c r="S568" s="36"/>
      <c r="T568" s="12"/>
      <c r="U568" s="12"/>
      <c r="V568" s="12"/>
      <c r="W568" s="12"/>
      <c r="X568" s="12"/>
    </row>
    <row r="569" customFormat="false" ht="15.75" hidden="false" customHeight="false" outlineLevel="0" collapsed="false">
      <c r="A569" s="12"/>
      <c r="B569" s="34"/>
      <c r="C569" s="12"/>
      <c r="D569" s="12"/>
      <c r="E569" s="12"/>
      <c r="F569" s="12"/>
      <c r="G569" s="18"/>
      <c r="H569" s="35"/>
      <c r="I569" s="12"/>
      <c r="M569" s="12"/>
      <c r="N569" s="18"/>
      <c r="O569" s="12"/>
      <c r="P569" s="12"/>
      <c r="Q569" s="12"/>
      <c r="R569" s="36"/>
      <c r="S569" s="36"/>
      <c r="T569" s="12"/>
      <c r="U569" s="12"/>
      <c r="V569" s="12"/>
      <c r="W569" s="12"/>
      <c r="X569" s="12"/>
    </row>
    <row r="570" customFormat="false" ht="15.75" hidden="false" customHeight="false" outlineLevel="0" collapsed="false">
      <c r="A570" s="12"/>
      <c r="B570" s="34"/>
      <c r="C570" s="12"/>
      <c r="D570" s="12"/>
      <c r="E570" s="12"/>
      <c r="F570" s="12"/>
      <c r="G570" s="18"/>
      <c r="H570" s="35"/>
      <c r="I570" s="12"/>
      <c r="M570" s="12"/>
      <c r="N570" s="18"/>
      <c r="O570" s="12"/>
      <c r="P570" s="12"/>
      <c r="Q570" s="12"/>
      <c r="R570" s="36"/>
      <c r="S570" s="36"/>
      <c r="T570" s="12"/>
      <c r="U570" s="12"/>
      <c r="V570" s="12"/>
      <c r="W570" s="12"/>
      <c r="X570" s="12"/>
    </row>
    <row r="571" customFormat="false" ht="15.75" hidden="false" customHeight="false" outlineLevel="0" collapsed="false">
      <c r="A571" s="12"/>
      <c r="B571" s="34"/>
      <c r="C571" s="12"/>
      <c r="D571" s="12"/>
      <c r="E571" s="12"/>
      <c r="F571" s="12"/>
      <c r="G571" s="18"/>
      <c r="H571" s="35"/>
      <c r="I571" s="12"/>
      <c r="M571" s="12"/>
      <c r="N571" s="18"/>
      <c r="O571" s="12"/>
      <c r="P571" s="12"/>
      <c r="Q571" s="12"/>
      <c r="R571" s="36"/>
      <c r="S571" s="36"/>
      <c r="T571" s="12"/>
      <c r="U571" s="12"/>
      <c r="V571" s="12"/>
      <c r="W571" s="12"/>
      <c r="X571" s="12"/>
    </row>
    <row r="572" customFormat="false" ht="15.75" hidden="false" customHeight="false" outlineLevel="0" collapsed="false">
      <c r="A572" s="12"/>
      <c r="B572" s="34"/>
      <c r="C572" s="12"/>
      <c r="D572" s="12"/>
      <c r="E572" s="12"/>
      <c r="F572" s="12"/>
      <c r="G572" s="18"/>
      <c r="H572" s="35"/>
      <c r="I572" s="12"/>
      <c r="M572" s="12"/>
      <c r="N572" s="18"/>
      <c r="O572" s="12"/>
      <c r="P572" s="12"/>
      <c r="Q572" s="12"/>
      <c r="R572" s="36"/>
      <c r="S572" s="36"/>
      <c r="T572" s="12"/>
      <c r="U572" s="12"/>
      <c r="V572" s="12"/>
      <c r="W572" s="12"/>
      <c r="X572" s="12"/>
    </row>
    <row r="573" customFormat="false" ht="15.75" hidden="false" customHeight="false" outlineLevel="0" collapsed="false">
      <c r="A573" s="12"/>
      <c r="B573" s="34"/>
      <c r="C573" s="12"/>
      <c r="D573" s="12"/>
      <c r="E573" s="12"/>
      <c r="F573" s="12"/>
      <c r="G573" s="18"/>
      <c r="H573" s="35"/>
      <c r="I573" s="12"/>
      <c r="M573" s="12"/>
      <c r="N573" s="18"/>
      <c r="O573" s="12"/>
      <c r="P573" s="12"/>
      <c r="Q573" s="12"/>
      <c r="R573" s="36"/>
      <c r="S573" s="36"/>
      <c r="T573" s="12"/>
      <c r="U573" s="12"/>
      <c r="V573" s="12"/>
      <c r="W573" s="12"/>
      <c r="X573" s="12"/>
    </row>
    <row r="574" customFormat="false" ht="15.75" hidden="false" customHeight="false" outlineLevel="0" collapsed="false">
      <c r="A574" s="12"/>
      <c r="B574" s="34"/>
      <c r="C574" s="12"/>
      <c r="D574" s="12"/>
      <c r="E574" s="12"/>
      <c r="F574" s="12"/>
      <c r="G574" s="18"/>
      <c r="H574" s="35"/>
      <c r="I574" s="12"/>
      <c r="M574" s="12"/>
      <c r="N574" s="18"/>
      <c r="O574" s="12"/>
      <c r="P574" s="12"/>
      <c r="Q574" s="12"/>
      <c r="R574" s="36"/>
      <c r="S574" s="36"/>
      <c r="T574" s="12"/>
      <c r="U574" s="12"/>
      <c r="V574" s="12"/>
      <c r="W574" s="12"/>
      <c r="X574" s="12"/>
    </row>
    <row r="575" customFormat="false" ht="15.75" hidden="false" customHeight="false" outlineLevel="0" collapsed="false">
      <c r="A575" s="12"/>
      <c r="B575" s="34"/>
      <c r="C575" s="12"/>
      <c r="D575" s="12"/>
      <c r="E575" s="12"/>
      <c r="F575" s="12"/>
      <c r="G575" s="18"/>
      <c r="H575" s="35"/>
      <c r="I575" s="12"/>
      <c r="M575" s="12"/>
      <c r="N575" s="18"/>
      <c r="O575" s="12"/>
      <c r="P575" s="12"/>
      <c r="Q575" s="12"/>
      <c r="R575" s="36"/>
      <c r="S575" s="36"/>
      <c r="T575" s="12"/>
      <c r="U575" s="12"/>
      <c r="V575" s="12"/>
      <c r="W575" s="12"/>
      <c r="X575" s="12"/>
    </row>
    <row r="576" customFormat="false" ht="15.75" hidden="false" customHeight="false" outlineLevel="0" collapsed="false">
      <c r="A576" s="12"/>
      <c r="B576" s="34"/>
      <c r="C576" s="12"/>
      <c r="D576" s="12"/>
      <c r="E576" s="12"/>
      <c r="F576" s="12"/>
      <c r="G576" s="18"/>
      <c r="H576" s="35"/>
      <c r="I576" s="12"/>
      <c r="M576" s="12"/>
      <c r="N576" s="18"/>
      <c r="O576" s="12"/>
      <c r="P576" s="12"/>
      <c r="Q576" s="12"/>
      <c r="R576" s="36"/>
      <c r="S576" s="36"/>
      <c r="T576" s="12"/>
      <c r="U576" s="12"/>
      <c r="V576" s="12"/>
      <c r="W576" s="12"/>
      <c r="X576" s="12"/>
    </row>
    <row r="577" customFormat="false" ht="15.75" hidden="false" customHeight="false" outlineLevel="0" collapsed="false">
      <c r="A577" s="12"/>
      <c r="B577" s="34"/>
      <c r="C577" s="12"/>
      <c r="D577" s="12"/>
      <c r="E577" s="12"/>
      <c r="F577" s="12"/>
      <c r="G577" s="18"/>
      <c r="H577" s="35"/>
      <c r="I577" s="12"/>
      <c r="M577" s="12"/>
      <c r="N577" s="18"/>
      <c r="O577" s="12"/>
      <c r="P577" s="12"/>
      <c r="Q577" s="12"/>
      <c r="R577" s="36"/>
      <c r="S577" s="36"/>
      <c r="T577" s="12"/>
      <c r="U577" s="12"/>
      <c r="V577" s="12"/>
      <c r="W577" s="12"/>
      <c r="X577" s="12"/>
    </row>
    <row r="578" customFormat="false" ht="15.75" hidden="false" customHeight="false" outlineLevel="0" collapsed="false">
      <c r="A578" s="12"/>
      <c r="B578" s="34"/>
      <c r="C578" s="12"/>
      <c r="D578" s="12"/>
      <c r="E578" s="12"/>
      <c r="F578" s="12"/>
      <c r="G578" s="18"/>
      <c r="H578" s="35"/>
      <c r="I578" s="12"/>
      <c r="M578" s="12"/>
      <c r="N578" s="18"/>
      <c r="O578" s="12"/>
      <c r="P578" s="12"/>
      <c r="Q578" s="12"/>
      <c r="R578" s="36"/>
      <c r="S578" s="36"/>
      <c r="T578" s="12"/>
      <c r="U578" s="12"/>
      <c r="V578" s="12"/>
      <c r="W578" s="12"/>
      <c r="X578" s="12"/>
    </row>
    <row r="579" customFormat="false" ht="15.75" hidden="false" customHeight="false" outlineLevel="0" collapsed="false">
      <c r="A579" s="12"/>
      <c r="B579" s="34"/>
      <c r="C579" s="12"/>
      <c r="D579" s="12"/>
      <c r="E579" s="12"/>
      <c r="F579" s="12"/>
      <c r="G579" s="18"/>
      <c r="H579" s="35"/>
      <c r="I579" s="12"/>
      <c r="M579" s="12"/>
      <c r="N579" s="18"/>
      <c r="O579" s="12"/>
      <c r="P579" s="12"/>
      <c r="Q579" s="12"/>
      <c r="R579" s="36"/>
      <c r="S579" s="36"/>
      <c r="T579" s="12"/>
      <c r="U579" s="12"/>
      <c r="V579" s="12"/>
      <c r="W579" s="12"/>
      <c r="X579" s="12"/>
    </row>
    <row r="580" customFormat="false" ht="15.75" hidden="false" customHeight="false" outlineLevel="0" collapsed="false">
      <c r="A580" s="12"/>
      <c r="B580" s="34"/>
      <c r="C580" s="12"/>
      <c r="D580" s="12"/>
      <c r="E580" s="12"/>
      <c r="F580" s="12"/>
      <c r="G580" s="18"/>
      <c r="H580" s="35"/>
      <c r="I580" s="12"/>
      <c r="M580" s="12"/>
      <c r="N580" s="18"/>
      <c r="O580" s="12"/>
      <c r="P580" s="12"/>
      <c r="Q580" s="12"/>
      <c r="R580" s="36"/>
      <c r="S580" s="36"/>
      <c r="T580" s="12"/>
      <c r="U580" s="12"/>
      <c r="V580" s="12"/>
      <c r="W580" s="12"/>
      <c r="X580" s="12"/>
    </row>
    <row r="581" customFormat="false" ht="15.75" hidden="false" customHeight="false" outlineLevel="0" collapsed="false">
      <c r="A581" s="12"/>
      <c r="B581" s="34"/>
      <c r="C581" s="12"/>
      <c r="D581" s="12"/>
      <c r="E581" s="12"/>
      <c r="F581" s="12"/>
      <c r="G581" s="18"/>
      <c r="H581" s="35"/>
      <c r="I581" s="12"/>
      <c r="M581" s="12"/>
      <c r="N581" s="18"/>
      <c r="O581" s="12"/>
      <c r="P581" s="12"/>
      <c r="Q581" s="12"/>
      <c r="R581" s="36"/>
      <c r="S581" s="36"/>
      <c r="T581" s="12"/>
      <c r="U581" s="12"/>
      <c r="V581" s="12"/>
      <c r="W581" s="12"/>
      <c r="X581" s="12"/>
    </row>
    <row r="582" customFormat="false" ht="15.75" hidden="false" customHeight="false" outlineLevel="0" collapsed="false">
      <c r="A582" s="12"/>
      <c r="B582" s="34"/>
      <c r="C582" s="12"/>
      <c r="D582" s="12"/>
      <c r="E582" s="12"/>
      <c r="F582" s="12"/>
      <c r="G582" s="18"/>
      <c r="H582" s="35"/>
      <c r="I582" s="12"/>
      <c r="M582" s="12"/>
      <c r="N582" s="18"/>
      <c r="O582" s="12"/>
      <c r="P582" s="12"/>
      <c r="Q582" s="12"/>
      <c r="R582" s="36"/>
      <c r="S582" s="36"/>
      <c r="T582" s="12"/>
      <c r="U582" s="12"/>
      <c r="V582" s="12"/>
      <c r="W582" s="12"/>
      <c r="X582" s="12"/>
    </row>
    <row r="583" customFormat="false" ht="15.75" hidden="false" customHeight="false" outlineLevel="0" collapsed="false">
      <c r="A583" s="12"/>
      <c r="B583" s="34"/>
      <c r="C583" s="12"/>
      <c r="D583" s="12"/>
      <c r="E583" s="12"/>
      <c r="F583" s="12"/>
      <c r="G583" s="18"/>
      <c r="H583" s="35"/>
      <c r="I583" s="12"/>
      <c r="M583" s="12"/>
      <c r="N583" s="18"/>
      <c r="O583" s="12"/>
      <c r="P583" s="12"/>
      <c r="Q583" s="12"/>
      <c r="R583" s="36"/>
      <c r="S583" s="36"/>
      <c r="T583" s="12"/>
      <c r="U583" s="12"/>
      <c r="V583" s="12"/>
      <c r="W583" s="12"/>
      <c r="X583" s="12"/>
    </row>
    <row r="584" customFormat="false" ht="15.75" hidden="false" customHeight="false" outlineLevel="0" collapsed="false">
      <c r="A584" s="12"/>
      <c r="B584" s="34"/>
      <c r="C584" s="12"/>
      <c r="D584" s="12"/>
      <c r="E584" s="12"/>
      <c r="F584" s="12"/>
      <c r="G584" s="18"/>
      <c r="H584" s="35"/>
      <c r="I584" s="12"/>
      <c r="M584" s="12"/>
      <c r="N584" s="18"/>
      <c r="O584" s="12"/>
      <c r="P584" s="12"/>
      <c r="Q584" s="12"/>
      <c r="R584" s="36"/>
      <c r="S584" s="36"/>
      <c r="T584" s="12"/>
      <c r="U584" s="12"/>
      <c r="V584" s="12"/>
      <c r="W584" s="12"/>
      <c r="X584" s="12"/>
    </row>
    <row r="585" customFormat="false" ht="15.75" hidden="false" customHeight="false" outlineLevel="0" collapsed="false">
      <c r="A585" s="12"/>
      <c r="B585" s="34"/>
      <c r="C585" s="12"/>
      <c r="D585" s="12"/>
      <c r="E585" s="12"/>
      <c r="F585" s="12"/>
      <c r="G585" s="18"/>
      <c r="H585" s="35"/>
      <c r="I585" s="12"/>
      <c r="M585" s="12"/>
      <c r="N585" s="18"/>
      <c r="O585" s="12"/>
      <c r="P585" s="12"/>
      <c r="Q585" s="12"/>
      <c r="R585" s="36"/>
      <c r="S585" s="36"/>
      <c r="T585" s="12"/>
      <c r="U585" s="12"/>
      <c r="V585" s="12"/>
      <c r="W585" s="12"/>
      <c r="X585" s="12"/>
    </row>
    <row r="586" customFormat="false" ht="15.75" hidden="false" customHeight="false" outlineLevel="0" collapsed="false">
      <c r="A586" s="12"/>
      <c r="B586" s="34"/>
      <c r="C586" s="12"/>
      <c r="D586" s="12"/>
      <c r="E586" s="12"/>
      <c r="F586" s="12"/>
      <c r="G586" s="18"/>
      <c r="H586" s="35"/>
      <c r="I586" s="12"/>
      <c r="M586" s="12"/>
      <c r="N586" s="18"/>
      <c r="O586" s="12"/>
      <c r="P586" s="12"/>
      <c r="Q586" s="12"/>
      <c r="R586" s="36"/>
      <c r="S586" s="36"/>
      <c r="T586" s="12"/>
      <c r="U586" s="12"/>
      <c r="V586" s="12"/>
      <c r="W586" s="12"/>
      <c r="X586" s="12"/>
    </row>
    <row r="587" customFormat="false" ht="15.75" hidden="false" customHeight="false" outlineLevel="0" collapsed="false">
      <c r="A587" s="12"/>
      <c r="B587" s="34"/>
      <c r="C587" s="12"/>
      <c r="D587" s="12"/>
      <c r="E587" s="12"/>
      <c r="F587" s="12"/>
      <c r="G587" s="18"/>
      <c r="H587" s="35"/>
      <c r="I587" s="12"/>
      <c r="M587" s="12"/>
      <c r="N587" s="18"/>
      <c r="O587" s="12"/>
      <c r="P587" s="12"/>
      <c r="Q587" s="12"/>
      <c r="R587" s="36"/>
      <c r="S587" s="36"/>
      <c r="T587" s="12"/>
      <c r="U587" s="12"/>
      <c r="V587" s="12"/>
      <c r="W587" s="12"/>
      <c r="X587" s="12"/>
    </row>
    <row r="588" customFormat="false" ht="15.75" hidden="false" customHeight="false" outlineLevel="0" collapsed="false">
      <c r="A588" s="12"/>
      <c r="B588" s="34"/>
      <c r="C588" s="12"/>
      <c r="D588" s="12"/>
      <c r="E588" s="12"/>
      <c r="F588" s="12"/>
      <c r="G588" s="18"/>
      <c r="H588" s="35"/>
      <c r="I588" s="12"/>
      <c r="M588" s="12"/>
      <c r="N588" s="18"/>
      <c r="O588" s="12"/>
      <c r="P588" s="12"/>
      <c r="Q588" s="12"/>
      <c r="R588" s="36"/>
      <c r="S588" s="36"/>
      <c r="T588" s="12"/>
      <c r="U588" s="12"/>
      <c r="V588" s="12"/>
      <c r="W588" s="12"/>
      <c r="X588" s="12"/>
    </row>
    <row r="589" customFormat="false" ht="15.75" hidden="false" customHeight="false" outlineLevel="0" collapsed="false">
      <c r="A589" s="12"/>
      <c r="B589" s="34"/>
      <c r="C589" s="12"/>
      <c r="D589" s="12"/>
      <c r="E589" s="12"/>
      <c r="F589" s="12"/>
      <c r="G589" s="18"/>
      <c r="H589" s="35"/>
      <c r="I589" s="12"/>
      <c r="M589" s="12"/>
      <c r="N589" s="18"/>
      <c r="O589" s="12"/>
      <c r="P589" s="12"/>
      <c r="Q589" s="12"/>
      <c r="R589" s="36"/>
      <c r="S589" s="36"/>
      <c r="T589" s="12"/>
      <c r="U589" s="12"/>
      <c r="V589" s="12"/>
      <c r="W589" s="12"/>
      <c r="X589" s="12"/>
    </row>
    <row r="590" customFormat="false" ht="15.75" hidden="false" customHeight="false" outlineLevel="0" collapsed="false">
      <c r="A590" s="12"/>
      <c r="B590" s="34"/>
      <c r="C590" s="12"/>
      <c r="D590" s="12"/>
      <c r="E590" s="12"/>
      <c r="F590" s="12"/>
      <c r="G590" s="18"/>
      <c r="H590" s="35"/>
      <c r="I590" s="12"/>
      <c r="M590" s="12"/>
      <c r="N590" s="18"/>
      <c r="O590" s="12"/>
      <c r="P590" s="12"/>
      <c r="Q590" s="12"/>
      <c r="R590" s="36"/>
      <c r="S590" s="36"/>
      <c r="T590" s="12"/>
      <c r="U590" s="12"/>
      <c r="V590" s="12"/>
      <c r="W590" s="12"/>
      <c r="X590" s="12"/>
    </row>
    <row r="591" customFormat="false" ht="15.75" hidden="false" customHeight="false" outlineLevel="0" collapsed="false">
      <c r="A591" s="12"/>
      <c r="B591" s="34"/>
      <c r="C591" s="12"/>
      <c r="D591" s="12"/>
      <c r="E591" s="12"/>
      <c r="F591" s="12"/>
      <c r="G591" s="18"/>
      <c r="H591" s="35"/>
      <c r="I591" s="12"/>
      <c r="M591" s="12"/>
      <c r="N591" s="18"/>
      <c r="O591" s="12"/>
      <c r="P591" s="12"/>
      <c r="Q591" s="12"/>
      <c r="R591" s="36"/>
      <c r="S591" s="36"/>
      <c r="T591" s="12"/>
      <c r="U591" s="12"/>
      <c r="V591" s="12"/>
      <c r="W591" s="12"/>
      <c r="X591" s="12"/>
    </row>
    <row r="592" customFormat="false" ht="15.75" hidden="false" customHeight="false" outlineLevel="0" collapsed="false">
      <c r="A592" s="12"/>
      <c r="B592" s="34"/>
      <c r="C592" s="12"/>
      <c r="D592" s="12"/>
      <c r="E592" s="12"/>
      <c r="F592" s="12"/>
      <c r="G592" s="18"/>
      <c r="H592" s="35"/>
      <c r="I592" s="12"/>
      <c r="M592" s="12"/>
      <c r="N592" s="18"/>
      <c r="O592" s="12"/>
      <c r="P592" s="12"/>
      <c r="Q592" s="12"/>
      <c r="R592" s="36"/>
      <c r="S592" s="36"/>
      <c r="T592" s="12"/>
      <c r="U592" s="12"/>
      <c r="V592" s="12"/>
      <c r="W592" s="12"/>
      <c r="X592" s="12"/>
    </row>
    <row r="593" customFormat="false" ht="15.75" hidden="false" customHeight="false" outlineLevel="0" collapsed="false">
      <c r="A593" s="12"/>
      <c r="B593" s="34"/>
      <c r="C593" s="12"/>
      <c r="D593" s="12"/>
      <c r="E593" s="12"/>
      <c r="F593" s="12"/>
      <c r="G593" s="18"/>
      <c r="H593" s="35"/>
      <c r="I593" s="12"/>
      <c r="M593" s="12"/>
      <c r="N593" s="18"/>
      <c r="O593" s="12"/>
      <c r="P593" s="12"/>
      <c r="Q593" s="12"/>
      <c r="R593" s="36"/>
      <c r="S593" s="36"/>
      <c r="T593" s="12"/>
      <c r="U593" s="12"/>
      <c r="V593" s="12"/>
      <c r="W593" s="12"/>
      <c r="X593" s="12"/>
    </row>
    <row r="594" customFormat="false" ht="15.75" hidden="false" customHeight="false" outlineLevel="0" collapsed="false">
      <c r="A594" s="12"/>
      <c r="B594" s="34"/>
      <c r="C594" s="12"/>
      <c r="D594" s="12"/>
      <c r="E594" s="12"/>
      <c r="F594" s="12"/>
      <c r="G594" s="18"/>
      <c r="H594" s="35"/>
      <c r="I594" s="12"/>
      <c r="M594" s="12"/>
      <c r="N594" s="18"/>
      <c r="O594" s="12"/>
      <c r="P594" s="12"/>
      <c r="Q594" s="12"/>
      <c r="R594" s="36"/>
      <c r="S594" s="36"/>
      <c r="T594" s="12"/>
      <c r="U594" s="12"/>
      <c r="V594" s="12"/>
      <c r="W594" s="12"/>
      <c r="X594" s="12"/>
    </row>
    <row r="595" customFormat="false" ht="15.75" hidden="false" customHeight="false" outlineLevel="0" collapsed="false">
      <c r="A595" s="12"/>
      <c r="B595" s="34"/>
      <c r="C595" s="12"/>
      <c r="D595" s="12"/>
      <c r="E595" s="12"/>
      <c r="F595" s="12"/>
      <c r="G595" s="18"/>
      <c r="H595" s="35"/>
      <c r="I595" s="12"/>
      <c r="M595" s="12"/>
      <c r="N595" s="18"/>
      <c r="O595" s="12"/>
      <c r="P595" s="12"/>
      <c r="Q595" s="12"/>
      <c r="R595" s="36"/>
      <c r="S595" s="36"/>
      <c r="T595" s="12"/>
      <c r="U595" s="12"/>
      <c r="V595" s="12"/>
      <c r="W595" s="12"/>
      <c r="X595" s="12"/>
    </row>
    <row r="596" customFormat="false" ht="15.75" hidden="false" customHeight="false" outlineLevel="0" collapsed="false">
      <c r="A596" s="12"/>
      <c r="B596" s="34"/>
      <c r="C596" s="12"/>
      <c r="D596" s="12"/>
      <c r="E596" s="12"/>
      <c r="F596" s="12"/>
      <c r="G596" s="18"/>
      <c r="H596" s="35"/>
      <c r="I596" s="12"/>
      <c r="M596" s="12"/>
      <c r="N596" s="18"/>
      <c r="O596" s="12"/>
      <c r="P596" s="12"/>
      <c r="Q596" s="12"/>
      <c r="R596" s="36"/>
      <c r="S596" s="36"/>
      <c r="T596" s="12"/>
      <c r="U596" s="12"/>
      <c r="V596" s="12"/>
      <c r="W596" s="12"/>
      <c r="X596" s="12"/>
    </row>
    <row r="597" customFormat="false" ht="15.75" hidden="false" customHeight="false" outlineLevel="0" collapsed="false">
      <c r="A597" s="12"/>
      <c r="B597" s="34"/>
      <c r="C597" s="12"/>
      <c r="D597" s="12"/>
      <c r="E597" s="12"/>
      <c r="F597" s="12"/>
      <c r="G597" s="18"/>
      <c r="H597" s="35"/>
      <c r="I597" s="12"/>
      <c r="M597" s="12"/>
      <c r="N597" s="18"/>
      <c r="O597" s="12"/>
      <c r="P597" s="12"/>
      <c r="Q597" s="12"/>
      <c r="R597" s="36"/>
      <c r="S597" s="36"/>
      <c r="T597" s="12"/>
      <c r="U597" s="12"/>
      <c r="V597" s="12"/>
      <c r="W597" s="12"/>
      <c r="X597" s="12"/>
    </row>
    <row r="598" customFormat="false" ht="15.75" hidden="false" customHeight="false" outlineLevel="0" collapsed="false">
      <c r="A598" s="12"/>
      <c r="B598" s="34"/>
      <c r="C598" s="12"/>
      <c r="D598" s="12"/>
      <c r="E598" s="12"/>
      <c r="F598" s="12"/>
      <c r="G598" s="18"/>
      <c r="H598" s="35"/>
      <c r="I598" s="12"/>
      <c r="M598" s="12"/>
      <c r="N598" s="18"/>
      <c r="O598" s="12"/>
      <c r="P598" s="12"/>
      <c r="Q598" s="12"/>
      <c r="R598" s="36"/>
      <c r="S598" s="36"/>
      <c r="T598" s="12"/>
      <c r="U598" s="12"/>
      <c r="V598" s="12"/>
      <c r="W598" s="12"/>
      <c r="X598" s="12"/>
    </row>
    <row r="599" customFormat="false" ht="15.75" hidden="false" customHeight="false" outlineLevel="0" collapsed="false">
      <c r="A599" s="12"/>
      <c r="B599" s="34"/>
      <c r="C599" s="12"/>
      <c r="D599" s="12"/>
      <c r="E599" s="12"/>
      <c r="F599" s="12"/>
      <c r="G599" s="18"/>
      <c r="H599" s="35"/>
      <c r="I599" s="12"/>
      <c r="M599" s="12"/>
      <c r="N599" s="18"/>
      <c r="O599" s="12"/>
      <c r="P599" s="12"/>
      <c r="Q599" s="12"/>
      <c r="R599" s="36"/>
      <c r="S599" s="36"/>
      <c r="T599" s="12"/>
      <c r="U599" s="12"/>
      <c r="V599" s="12"/>
      <c r="W599" s="12"/>
      <c r="X599" s="12"/>
    </row>
    <row r="600" customFormat="false" ht="15.75" hidden="false" customHeight="false" outlineLevel="0" collapsed="false">
      <c r="A600" s="12"/>
      <c r="B600" s="34"/>
      <c r="C600" s="12"/>
      <c r="D600" s="12"/>
      <c r="E600" s="12"/>
      <c r="F600" s="12"/>
      <c r="G600" s="18"/>
      <c r="H600" s="35"/>
      <c r="I600" s="12"/>
      <c r="M600" s="12"/>
      <c r="N600" s="18"/>
      <c r="O600" s="12"/>
      <c r="P600" s="12"/>
      <c r="Q600" s="12"/>
      <c r="R600" s="36"/>
      <c r="S600" s="36"/>
      <c r="T600" s="12"/>
      <c r="U600" s="12"/>
      <c r="V600" s="12"/>
      <c r="W600" s="12"/>
      <c r="X600" s="12"/>
    </row>
    <row r="601" customFormat="false" ht="15.75" hidden="false" customHeight="false" outlineLevel="0" collapsed="false">
      <c r="A601" s="12"/>
      <c r="B601" s="34"/>
      <c r="C601" s="12"/>
      <c r="D601" s="12"/>
      <c r="E601" s="12"/>
      <c r="F601" s="12"/>
      <c r="G601" s="18"/>
      <c r="H601" s="35"/>
      <c r="I601" s="12"/>
      <c r="M601" s="12"/>
      <c r="N601" s="18"/>
      <c r="O601" s="12"/>
      <c r="P601" s="12"/>
      <c r="Q601" s="12"/>
      <c r="R601" s="36"/>
      <c r="S601" s="36"/>
      <c r="T601" s="12"/>
      <c r="U601" s="12"/>
      <c r="V601" s="12"/>
      <c r="W601" s="12"/>
      <c r="X601" s="12"/>
    </row>
    <row r="602" customFormat="false" ht="15.75" hidden="false" customHeight="false" outlineLevel="0" collapsed="false">
      <c r="A602" s="12"/>
      <c r="B602" s="34"/>
      <c r="C602" s="12"/>
      <c r="D602" s="12"/>
      <c r="E602" s="12"/>
      <c r="F602" s="12"/>
      <c r="G602" s="18"/>
      <c r="H602" s="35"/>
      <c r="I602" s="12"/>
      <c r="M602" s="12"/>
      <c r="N602" s="18"/>
      <c r="O602" s="12"/>
      <c r="P602" s="12"/>
      <c r="Q602" s="12"/>
      <c r="R602" s="36"/>
      <c r="S602" s="36"/>
      <c r="T602" s="12"/>
      <c r="U602" s="12"/>
      <c r="V602" s="12"/>
      <c r="W602" s="12"/>
      <c r="X602" s="12"/>
    </row>
    <row r="603" customFormat="false" ht="15.75" hidden="false" customHeight="false" outlineLevel="0" collapsed="false">
      <c r="A603" s="12"/>
      <c r="B603" s="34"/>
      <c r="C603" s="12"/>
      <c r="D603" s="12"/>
      <c r="E603" s="12"/>
      <c r="F603" s="12"/>
      <c r="G603" s="18"/>
      <c r="H603" s="35"/>
      <c r="I603" s="12"/>
      <c r="M603" s="12"/>
      <c r="N603" s="18"/>
      <c r="O603" s="12"/>
      <c r="P603" s="12"/>
      <c r="Q603" s="12"/>
      <c r="R603" s="36"/>
      <c r="S603" s="36"/>
      <c r="T603" s="12"/>
      <c r="U603" s="12"/>
      <c r="V603" s="12"/>
      <c r="W603" s="12"/>
      <c r="X603" s="12"/>
    </row>
    <row r="604" customFormat="false" ht="15.75" hidden="false" customHeight="false" outlineLevel="0" collapsed="false">
      <c r="A604" s="12"/>
      <c r="B604" s="34"/>
      <c r="C604" s="12"/>
      <c r="D604" s="12"/>
      <c r="E604" s="12"/>
      <c r="F604" s="12"/>
      <c r="G604" s="18"/>
      <c r="H604" s="35"/>
      <c r="I604" s="12"/>
      <c r="M604" s="12"/>
      <c r="N604" s="18"/>
      <c r="O604" s="12"/>
      <c r="P604" s="12"/>
      <c r="Q604" s="12"/>
      <c r="R604" s="36"/>
      <c r="S604" s="36"/>
      <c r="T604" s="12"/>
      <c r="U604" s="12"/>
      <c r="V604" s="12"/>
      <c r="W604" s="12"/>
      <c r="X604" s="12"/>
    </row>
    <row r="605" customFormat="false" ht="15.75" hidden="false" customHeight="false" outlineLevel="0" collapsed="false">
      <c r="A605" s="12"/>
      <c r="B605" s="34"/>
      <c r="C605" s="12"/>
      <c r="D605" s="12"/>
      <c r="E605" s="12"/>
      <c r="F605" s="12"/>
      <c r="G605" s="18"/>
      <c r="H605" s="35"/>
      <c r="I605" s="12"/>
      <c r="M605" s="12"/>
      <c r="N605" s="18"/>
      <c r="O605" s="12"/>
      <c r="P605" s="12"/>
      <c r="Q605" s="12"/>
      <c r="R605" s="36"/>
      <c r="S605" s="36"/>
      <c r="T605" s="12"/>
      <c r="U605" s="12"/>
      <c r="V605" s="12"/>
      <c r="W605" s="12"/>
      <c r="X605" s="12"/>
    </row>
    <row r="606" customFormat="false" ht="15.75" hidden="false" customHeight="false" outlineLevel="0" collapsed="false">
      <c r="A606" s="12"/>
      <c r="B606" s="34"/>
      <c r="C606" s="12"/>
      <c r="D606" s="12"/>
      <c r="E606" s="12"/>
      <c r="F606" s="12"/>
      <c r="G606" s="18"/>
      <c r="H606" s="35"/>
      <c r="I606" s="12"/>
      <c r="M606" s="12"/>
      <c r="N606" s="18"/>
      <c r="O606" s="12"/>
      <c r="P606" s="12"/>
      <c r="Q606" s="12"/>
      <c r="R606" s="36"/>
      <c r="S606" s="36"/>
      <c r="T606" s="12"/>
      <c r="U606" s="12"/>
      <c r="V606" s="12"/>
      <c r="W606" s="12"/>
      <c r="X606" s="12"/>
    </row>
    <row r="607" customFormat="false" ht="15.75" hidden="false" customHeight="false" outlineLevel="0" collapsed="false">
      <c r="A607" s="12"/>
      <c r="B607" s="34"/>
      <c r="C607" s="12"/>
      <c r="D607" s="12"/>
      <c r="E607" s="12"/>
      <c r="F607" s="12"/>
      <c r="G607" s="18"/>
      <c r="H607" s="35"/>
      <c r="I607" s="12"/>
      <c r="M607" s="12"/>
      <c r="N607" s="18"/>
      <c r="O607" s="12"/>
      <c r="P607" s="12"/>
      <c r="Q607" s="12"/>
      <c r="R607" s="36"/>
      <c r="S607" s="36"/>
      <c r="T607" s="12"/>
      <c r="U607" s="12"/>
      <c r="V607" s="12"/>
      <c r="W607" s="12"/>
      <c r="X607" s="12"/>
    </row>
    <row r="608" customFormat="false" ht="15.75" hidden="false" customHeight="false" outlineLevel="0" collapsed="false">
      <c r="A608" s="12"/>
      <c r="B608" s="34"/>
      <c r="C608" s="12"/>
      <c r="D608" s="12"/>
      <c r="E608" s="12"/>
      <c r="F608" s="12"/>
      <c r="G608" s="18"/>
      <c r="H608" s="35"/>
      <c r="I608" s="12"/>
      <c r="M608" s="12"/>
      <c r="N608" s="18"/>
      <c r="O608" s="12"/>
      <c r="P608" s="12"/>
      <c r="Q608" s="12"/>
      <c r="R608" s="36"/>
      <c r="S608" s="36"/>
      <c r="T608" s="12"/>
      <c r="U608" s="12"/>
      <c r="V608" s="12"/>
      <c r="W608" s="12"/>
      <c r="X608" s="12"/>
    </row>
    <row r="609" customFormat="false" ht="15.75" hidden="false" customHeight="false" outlineLevel="0" collapsed="false">
      <c r="A609" s="12"/>
      <c r="B609" s="34"/>
      <c r="C609" s="12"/>
      <c r="D609" s="12"/>
      <c r="E609" s="12"/>
      <c r="F609" s="12"/>
      <c r="G609" s="18"/>
      <c r="H609" s="35"/>
      <c r="I609" s="12"/>
      <c r="M609" s="12"/>
      <c r="N609" s="18"/>
      <c r="O609" s="12"/>
      <c r="P609" s="12"/>
      <c r="Q609" s="12"/>
      <c r="R609" s="36"/>
      <c r="S609" s="36"/>
      <c r="T609" s="12"/>
      <c r="U609" s="12"/>
      <c r="V609" s="12"/>
      <c r="W609" s="12"/>
      <c r="X609" s="12"/>
    </row>
    <row r="610" customFormat="false" ht="15.75" hidden="false" customHeight="false" outlineLevel="0" collapsed="false">
      <c r="A610" s="12"/>
      <c r="B610" s="34"/>
      <c r="C610" s="12"/>
      <c r="D610" s="12"/>
      <c r="E610" s="12"/>
      <c r="F610" s="12"/>
      <c r="G610" s="18"/>
      <c r="H610" s="35"/>
      <c r="I610" s="12"/>
      <c r="M610" s="12"/>
      <c r="N610" s="18"/>
      <c r="O610" s="12"/>
      <c r="P610" s="12"/>
      <c r="Q610" s="12"/>
      <c r="R610" s="36"/>
      <c r="S610" s="36"/>
      <c r="T610" s="12"/>
      <c r="U610" s="12"/>
      <c r="V610" s="12"/>
      <c r="W610" s="12"/>
      <c r="X610" s="12"/>
    </row>
    <row r="611" customFormat="false" ht="15.75" hidden="false" customHeight="false" outlineLevel="0" collapsed="false">
      <c r="A611" s="12"/>
      <c r="B611" s="34"/>
      <c r="C611" s="12"/>
      <c r="D611" s="12"/>
      <c r="E611" s="12"/>
      <c r="F611" s="12"/>
      <c r="G611" s="18"/>
      <c r="H611" s="35"/>
      <c r="I611" s="12"/>
      <c r="M611" s="12"/>
      <c r="N611" s="18"/>
      <c r="O611" s="12"/>
      <c r="P611" s="12"/>
      <c r="Q611" s="12"/>
      <c r="R611" s="36"/>
      <c r="S611" s="36"/>
      <c r="T611" s="12"/>
      <c r="U611" s="12"/>
      <c r="V611" s="12"/>
      <c r="W611" s="12"/>
      <c r="X611" s="12"/>
    </row>
    <row r="612" customFormat="false" ht="15.75" hidden="false" customHeight="false" outlineLevel="0" collapsed="false">
      <c r="A612" s="12"/>
      <c r="B612" s="34"/>
      <c r="C612" s="12"/>
      <c r="D612" s="12"/>
      <c r="E612" s="12"/>
      <c r="F612" s="12"/>
      <c r="G612" s="18"/>
      <c r="H612" s="35"/>
      <c r="I612" s="12"/>
      <c r="M612" s="12"/>
      <c r="N612" s="18"/>
      <c r="O612" s="12"/>
      <c r="P612" s="12"/>
      <c r="Q612" s="12"/>
      <c r="R612" s="36"/>
      <c r="S612" s="36"/>
      <c r="T612" s="12"/>
      <c r="U612" s="12"/>
      <c r="V612" s="12"/>
      <c r="W612" s="12"/>
      <c r="X612" s="12"/>
    </row>
    <row r="613" customFormat="false" ht="15.75" hidden="false" customHeight="false" outlineLevel="0" collapsed="false">
      <c r="A613" s="12"/>
      <c r="B613" s="34"/>
      <c r="C613" s="12"/>
      <c r="D613" s="12"/>
      <c r="E613" s="12"/>
      <c r="F613" s="12"/>
      <c r="G613" s="18"/>
      <c r="H613" s="35"/>
      <c r="I613" s="12"/>
      <c r="M613" s="12"/>
      <c r="N613" s="18"/>
      <c r="O613" s="12"/>
      <c r="P613" s="12"/>
      <c r="Q613" s="12"/>
      <c r="R613" s="36"/>
      <c r="S613" s="36"/>
      <c r="T613" s="12"/>
      <c r="U613" s="12"/>
      <c r="V613" s="12"/>
      <c r="W613" s="12"/>
      <c r="X613" s="12"/>
    </row>
    <row r="614" customFormat="false" ht="15.75" hidden="false" customHeight="false" outlineLevel="0" collapsed="false">
      <c r="A614" s="12"/>
      <c r="B614" s="34"/>
      <c r="C614" s="12"/>
      <c r="D614" s="12"/>
      <c r="E614" s="12"/>
      <c r="F614" s="12"/>
      <c r="G614" s="18"/>
      <c r="H614" s="35"/>
      <c r="I614" s="12"/>
      <c r="M614" s="12"/>
      <c r="N614" s="18"/>
      <c r="O614" s="12"/>
      <c r="P614" s="12"/>
      <c r="Q614" s="12"/>
      <c r="R614" s="36"/>
      <c r="S614" s="36"/>
      <c r="T614" s="12"/>
      <c r="U614" s="12"/>
      <c r="V614" s="12"/>
      <c r="W614" s="12"/>
      <c r="X614" s="12"/>
    </row>
    <row r="615" customFormat="false" ht="15.75" hidden="false" customHeight="false" outlineLevel="0" collapsed="false">
      <c r="A615" s="12"/>
      <c r="B615" s="34"/>
      <c r="C615" s="12"/>
      <c r="D615" s="12"/>
      <c r="E615" s="12"/>
      <c r="F615" s="12"/>
      <c r="G615" s="18"/>
      <c r="H615" s="35"/>
      <c r="I615" s="12"/>
      <c r="M615" s="12"/>
      <c r="N615" s="18"/>
      <c r="O615" s="12"/>
      <c r="P615" s="12"/>
      <c r="Q615" s="12"/>
      <c r="R615" s="36"/>
      <c r="S615" s="36"/>
      <c r="T615" s="12"/>
      <c r="U615" s="12"/>
      <c r="V615" s="12"/>
      <c r="W615" s="12"/>
      <c r="X615" s="12"/>
    </row>
    <row r="616" customFormat="false" ht="15.75" hidden="false" customHeight="false" outlineLevel="0" collapsed="false">
      <c r="A616" s="12"/>
      <c r="B616" s="34"/>
      <c r="C616" s="12"/>
      <c r="D616" s="12"/>
      <c r="E616" s="12"/>
      <c r="F616" s="12"/>
      <c r="G616" s="18"/>
      <c r="H616" s="35"/>
      <c r="I616" s="12"/>
      <c r="M616" s="12"/>
      <c r="N616" s="18"/>
      <c r="O616" s="12"/>
      <c r="P616" s="12"/>
      <c r="Q616" s="12"/>
      <c r="R616" s="36"/>
      <c r="S616" s="36"/>
      <c r="T616" s="12"/>
      <c r="U616" s="12"/>
      <c r="V616" s="12"/>
      <c r="W616" s="12"/>
      <c r="X616" s="12"/>
    </row>
    <row r="617" customFormat="false" ht="15.75" hidden="false" customHeight="false" outlineLevel="0" collapsed="false">
      <c r="A617" s="12"/>
      <c r="B617" s="34"/>
      <c r="C617" s="12"/>
      <c r="D617" s="12"/>
      <c r="E617" s="12"/>
      <c r="F617" s="12"/>
      <c r="G617" s="18"/>
      <c r="H617" s="35"/>
      <c r="I617" s="12"/>
      <c r="M617" s="12"/>
      <c r="N617" s="18"/>
      <c r="O617" s="12"/>
      <c r="P617" s="12"/>
      <c r="Q617" s="12"/>
      <c r="R617" s="36"/>
      <c r="S617" s="36"/>
      <c r="T617" s="12"/>
      <c r="U617" s="12"/>
      <c r="V617" s="12"/>
      <c r="W617" s="12"/>
      <c r="X617" s="12"/>
    </row>
    <row r="618" customFormat="false" ht="15.75" hidden="false" customHeight="false" outlineLevel="0" collapsed="false">
      <c r="A618" s="12"/>
      <c r="B618" s="34"/>
      <c r="C618" s="12"/>
      <c r="D618" s="12"/>
      <c r="E618" s="12"/>
      <c r="F618" s="12"/>
      <c r="G618" s="18"/>
      <c r="H618" s="35"/>
      <c r="I618" s="12"/>
      <c r="M618" s="12"/>
      <c r="N618" s="18"/>
      <c r="O618" s="12"/>
      <c r="P618" s="12"/>
      <c r="Q618" s="12"/>
      <c r="R618" s="36"/>
      <c r="S618" s="36"/>
      <c r="T618" s="12"/>
      <c r="U618" s="12"/>
      <c r="V618" s="12"/>
      <c r="W618" s="12"/>
      <c r="X618" s="12"/>
    </row>
    <row r="619" customFormat="false" ht="15.75" hidden="false" customHeight="false" outlineLevel="0" collapsed="false">
      <c r="A619" s="12"/>
      <c r="B619" s="34"/>
      <c r="C619" s="12"/>
      <c r="D619" s="12"/>
      <c r="E619" s="12"/>
      <c r="F619" s="12"/>
      <c r="G619" s="18"/>
      <c r="H619" s="35"/>
      <c r="I619" s="12"/>
      <c r="M619" s="12"/>
      <c r="N619" s="18"/>
      <c r="O619" s="12"/>
      <c r="P619" s="12"/>
      <c r="Q619" s="12"/>
      <c r="R619" s="36"/>
      <c r="S619" s="36"/>
      <c r="T619" s="12"/>
      <c r="U619" s="12"/>
      <c r="V619" s="12"/>
      <c r="W619" s="12"/>
      <c r="X619" s="12"/>
    </row>
    <row r="620" customFormat="false" ht="15.75" hidden="false" customHeight="false" outlineLevel="0" collapsed="false">
      <c r="A620" s="12"/>
      <c r="B620" s="34"/>
      <c r="C620" s="12"/>
      <c r="D620" s="12"/>
      <c r="E620" s="12"/>
      <c r="F620" s="12"/>
      <c r="G620" s="18"/>
      <c r="H620" s="35"/>
      <c r="I620" s="12"/>
      <c r="M620" s="12"/>
      <c r="N620" s="18"/>
      <c r="O620" s="12"/>
      <c r="P620" s="12"/>
      <c r="Q620" s="12"/>
      <c r="R620" s="36"/>
      <c r="S620" s="36"/>
      <c r="T620" s="12"/>
      <c r="U620" s="12"/>
      <c r="V620" s="12"/>
      <c r="W620" s="12"/>
      <c r="X620" s="12"/>
    </row>
    <row r="621" customFormat="false" ht="15.75" hidden="false" customHeight="false" outlineLevel="0" collapsed="false">
      <c r="A621" s="12"/>
      <c r="B621" s="34"/>
      <c r="C621" s="12"/>
      <c r="D621" s="12"/>
      <c r="E621" s="12"/>
      <c r="F621" s="12"/>
      <c r="G621" s="18"/>
      <c r="H621" s="35"/>
      <c r="I621" s="12"/>
      <c r="M621" s="12"/>
      <c r="N621" s="18"/>
      <c r="O621" s="12"/>
      <c r="P621" s="12"/>
      <c r="Q621" s="12"/>
      <c r="R621" s="36"/>
      <c r="S621" s="36"/>
      <c r="T621" s="12"/>
      <c r="U621" s="12"/>
      <c r="V621" s="12"/>
      <c r="W621" s="12"/>
      <c r="X621" s="12"/>
    </row>
    <row r="622" customFormat="false" ht="15.75" hidden="false" customHeight="false" outlineLevel="0" collapsed="false">
      <c r="A622" s="12"/>
      <c r="B622" s="34"/>
      <c r="C622" s="12"/>
      <c r="D622" s="12"/>
      <c r="E622" s="12"/>
      <c r="F622" s="12"/>
      <c r="G622" s="18"/>
      <c r="H622" s="35"/>
      <c r="I622" s="12"/>
      <c r="M622" s="12"/>
      <c r="N622" s="18"/>
      <c r="O622" s="12"/>
      <c r="P622" s="12"/>
      <c r="Q622" s="12"/>
      <c r="R622" s="36"/>
      <c r="S622" s="36"/>
      <c r="T622" s="12"/>
      <c r="U622" s="12"/>
      <c r="V622" s="12"/>
      <c r="W622" s="12"/>
      <c r="X622" s="12"/>
    </row>
    <row r="623" customFormat="false" ht="15.75" hidden="false" customHeight="false" outlineLevel="0" collapsed="false">
      <c r="A623" s="12"/>
      <c r="B623" s="34"/>
      <c r="C623" s="12"/>
      <c r="D623" s="12"/>
      <c r="E623" s="12"/>
      <c r="F623" s="12"/>
      <c r="G623" s="18"/>
      <c r="H623" s="35"/>
      <c r="I623" s="12"/>
      <c r="M623" s="12"/>
      <c r="N623" s="18"/>
      <c r="O623" s="12"/>
      <c r="P623" s="12"/>
      <c r="Q623" s="12"/>
      <c r="R623" s="36"/>
      <c r="S623" s="36"/>
      <c r="T623" s="12"/>
      <c r="U623" s="12"/>
      <c r="V623" s="12"/>
      <c r="W623" s="12"/>
      <c r="X623" s="12"/>
    </row>
    <row r="624" customFormat="false" ht="15.75" hidden="false" customHeight="false" outlineLevel="0" collapsed="false">
      <c r="A624" s="12"/>
      <c r="B624" s="34"/>
      <c r="C624" s="12"/>
      <c r="D624" s="12"/>
      <c r="E624" s="12"/>
      <c r="F624" s="12"/>
      <c r="G624" s="18"/>
      <c r="H624" s="35"/>
      <c r="I624" s="12"/>
      <c r="M624" s="12"/>
      <c r="N624" s="18"/>
      <c r="O624" s="12"/>
      <c r="P624" s="12"/>
      <c r="Q624" s="12"/>
      <c r="R624" s="36"/>
      <c r="S624" s="36"/>
      <c r="T624" s="12"/>
      <c r="U624" s="12"/>
      <c r="V624" s="12"/>
      <c r="W624" s="12"/>
      <c r="X624" s="12"/>
    </row>
    <row r="625" customFormat="false" ht="15.75" hidden="false" customHeight="false" outlineLevel="0" collapsed="false">
      <c r="A625" s="12"/>
      <c r="B625" s="34"/>
      <c r="C625" s="12"/>
      <c r="D625" s="12"/>
      <c r="E625" s="12"/>
      <c r="F625" s="12"/>
      <c r="G625" s="18"/>
      <c r="H625" s="35"/>
      <c r="I625" s="12"/>
      <c r="M625" s="12"/>
      <c r="N625" s="18"/>
      <c r="O625" s="12"/>
      <c r="P625" s="12"/>
      <c r="Q625" s="12"/>
      <c r="R625" s="36"/>
      <c r="S625" s="36"/>
      <c r="T625" s="12"/>
      <c r="U625" s="12"/>
      <c r="V625" s="12"/>
      <c r="W625" s="12"/>
      <c r="X625" s="12"/>
    </row>
    <row r="626" customFormat="false" ht="15.75" hidden="false" customHeight="false" outlineLevel="0" collapsed="false">
      <c r="A626" s="12"/>
      <c r="B626" s="34"/>
      <c r="C626" s="12"/>
      <c r="D626" s="12"/>
      <c r="E626" s="12"/>
      <c r="F626" s="12"/>
      <c r="G626" s="18"/>
      <c r="H626" s="35"/>
      <c r="I626" s="12"/>
      <c r="M626" s="12"/>
      <c r="N626" s="18"/>
      <c r="O626" s="12"/>
      <c r="P626" s="12"/>
      <c r="Q626" s="12"/>
      <c r="R626" s="36"/>
      <c r="S626" s="36"/>
      <c r="T626" s="12"/>
      <c r="U626" s="12"/>
      <c r="V626" s="12"/>
      <c r="W626" s="12"/>
      <c r="X626" s="12"/>
    </row>
    <row r="627" customFormat="false" ht="15.75" hidden="false" customHeight="false" outlineLevel="0" collapsed="false">
      <c r="A627" s="12"/>
      <c r="B627" s="34"/>
      <c r="C627" s="12"/>
      <c r="D627" s="12"/>
      <c r="E627" s="12"/>
      <c r="F627" s="12"/>
      <c r="G627" s="18"/>
      <c r="H627" s="35"/>
      <c r="I627" s="12"/>
      <c r="M627" s="12"/>
      <c r="N627" s="18"/>
      <c r="O627" s="12"/>
      <c r="P627" s="12"/>
      <c r="Q627" s="12"/>
      <c r="R627" s="36"/>
      <c r="S627" s="36"/>
      <c r="T627" s="12"/>
      <c r="U627" s="12"/>
      <c r="V627" s="12"/>
      <c r="W627" s="12"/>
      <c r="X627" s="12"/>
    </row>
    <row r="628" customFormat="false" ht="15.75" hidden="false" customHeight="false" outlineLevel="0" collapsed="false">
      <c r="A628" s="12"/>
      <c r="B628" s="34"/>
      <c r="C628" s="12"/>
      <c r="D628" s="12"/>
      <c r="E628" s="12"/>
      <c r="F628" s="12"/>
      <c r="G628" s="18"/>
      <c r="H628" s="35"/>
      <c r="I628" s="12"/>
      <c r="M628" s="12"/>
      <c r="N628" s="18"/>
      <c r="O628" s="12"/>
      <c r="P628" s="12"/>
      <c r="Q628" s="12"/>
      <c r="R628" s="36"/>
      <c r="S628" s="36"/>
      <c r="T628" s="12"/>
      <c r="U628" s="12"/>
      <c r="V628" s="12"/>
      <c r="W628" s="12"/>
      <c r="X628" s="12"/>
    </row>
    <row r="629" customFormat="false" ht="15.75" hidden="false" customHeight="false" outlineLevel="0" collapsed="false">
      <c r="A629" s="12"/>
      <c r="B629" s="34"/>
      <c r="C629" s="12"/>
      <c r="D629" s="12"/>
      <c r="E629" s="12"/>
      <c r="F629" s="12"/>
      <c r="G629" s="18"/>
      <c r="H629" s="35"/>
      <c r="I629" s="12"/>
      <c r="M629" s="12"/>
      <c r="N629" s="18"/>
      <c r="O629" s="12"/>
      <c r="P629" s="12"/>
      <c r="Q629" s="12"/>
      <c r="R629" s="36"/>
      <c r="S629" s="36"/>
      <c r="T629" s="12"/>
      <c r="U629" s="12"/>
      <c r="V629" s="12"/>
      <c r="W629" s="12"/>
      <c r="X629" s="12"/>
    </row>
    <row r="630" customFormat="false" ht="15.75" hidden="false" customHeight="false" outlineLevel="0" collapsed="false">
      <c r="A630" s="12"/>
      <c r="B630" s="34"/>
      <c r="C630" s="12"/>
      <c r="D630" s="12"/>
      <c r="E630" s="12"/>
      <c r="F630" s="12"/>
      <c r="G630" s="18"/>
      <c r="H630" s="35"/>
      <c r="I630" s="12"/>
      <c r="M630" s="12"/>
      <c r="N630" s="18"/>
      <c r="O630" s="12"/>
      <c r="P630" s="12"/>
      <c r="Q630" s="12"/>
      <c r="R630" s="36"/>
      <c r="S630" s="36"/>
      <c r="T630" s="12"/>
      <c r="U630" s="12"/>
      <c r="V630" s="12"/>
      <c r="W630" s="12"/>
      <c r="X630" s="12"/>
    </row>
    <row r="631" customFormat="false" ht="15.75" hidden="false" customHeight="false" outlineLevel="0" collapsed="false">
      <c r="A631" s="12"/>
      <c r="B631" s="34"/>
      <c r="C631" s="12"/>
      <c r="D631" s="12"/>
      <c r="E631" s="12"/>
      <c r="F631" s="12"/>
      <c r="G631" s="18"/>
      <c r="H631" s="35"/>
      <c r="I631" s="12"/>
      <c r="M631" s="12"/>
      <c r="N631" s="18"/>
      <c r="O631" s="12"/>
      <c r="P631" s="12"/>
      <c r="Q631" s="12"/>
      <c r="R631" s="36"/>
      <c r="S631" s="36"/>
      <c r="T631" s="12"/>
      <c r="U631" s="12"/>
      <c r="V631" s="12"/>
      <c r="W631" s="12"/>
      <c r="X631" s="12"/>
    </row>
    <row r="632" customFormat="false" ht="15.75" hidden="false" customHeight="false" outlineLevel="0" collapsed="false">
      <c r="A632" s="12"/>
      <c r="B632" s="34"/>
      <c r="C632" s="12"/>
      <c r="D632" s="12"/>
      <c r="E632" s="12"/>
      <c r="F632" s="12"/>
      <c r="G632" s="18"/>
      <c r="H632" s="35"/>
      <c r="I632" s="12"/>
      <c r="M632" s="12"/>
      <c r="N632" s="18"/>
      <c r="O632" s="12"/>
      <c r="P632" s="12"/>
      <c r="Q632" s="12"/>
      <c r="R632" s="36"/>
      <c r="S632" s="36"/>
      <c r="T632" s="12"/>
      <c r="U632" s="12"/>
      <c r="V632" s="12"/>
      <c r="W632" s="12"/>
      <c r="X632" s="12"/>
    </row>
    <row r="633" customFormat="false" ht="15.75" hidden="false" customHeight="false" outlineLevel="0" collapsed="false">
      <c r="A633" s="12"/>
      <c r="B633" s="34"/>
      <c r="C633" s="12"/>
      <c r="D633" s="12"/>
      <c r="E633" s="12"/>
      <c r="F633" s="12"/>
      <c r="G633" s="18"/>
      <c r="H633" s="35"/>
      <c r="I633" s="12"/>
      <c r="M633" s="12"/>
      <c r="N633" s="18"/>
      <c r="O633" s="12"/>
      <c r="P633" s="12"/>
      <c r="Q633" s="12"/>
      <c r="R633" s="36"/>
      <c r="S633" s="36"/>
      <c r="T633" s="12"/>
      <c r="U633" s="12"/>
      <c r="V633" s="12"/>
      <c r="W633" s="12"/>
      <c r="X633" s="12"/>
    </row>
    <row r="634" customFormat="false" ht="15.75" hidden="false" customHeight="false" outlineLevel="0" collapsed="false">
      <c r="A634" s="12"/>
      <c r="B634" s="34"/>
      <c r="C634" s="12"/>
      <c r="D634" s="12"/>
      <c r="E634" s="12"/>
      <c r="F634" s="12"/>
      <c r="G634" s="18"/>
      <c r="H634" s="35"/>
      <c r="I634" s="12"/>
      <c r="M634" s="12"/>
      <c r="N634" s="18"/>
      <c r="O634" s="12"/>
      <c r="P634" s="12"/>
      <c r="Q634" s="12"/>
      <c r="R634" s="36"/>
      <c r="S634" s="36"/>
      <c r="T634" s="12"/>
      <c r="U634" s="12"/>
      <c r="V634" s="12"/>
      <c r="W634" s="12"/>
      <c r="X634" s="12"/>
    </row>
    <row r="635" customFormat="false" ht="15.75" hidden="false" customHeight="false" outlineLevel="0" collapsed="false">
      <c r="A635" s="12"/>
      <c r="B635" s="34"/>
      <c r="C635" s="12"/>
      <c r="D635" s="12"/>
      <c r="E635" s="12"/>
      <c r="F635" s="12"/>
      <c r="G635" s="18"/>
      <c r="H635" s="35"/>
      <c r="I635" s="12"/>
      <c r="M635" s="12"/>
      <c r="N635" s="18"/>
      <c r="O635" s="12"/>
      <c r="P635" s="12"/>
      <c r="Q635" s="12"/>
      <c r="R635" s="36"/>
      <c r="S635" s="36"/>
      <c r="T635" s="12"/>
      <c r="U635" s="12"/>
      <c r="V635" s="12"/>
      <c r="W635" s="12"/>
      <c r="X635" s="12"/>
    </row>
    <row r="636" customFormat="false" ht="15.75" hidden="false" customHeight="false" outlineLevel="0" collapsed="false">
      <c r="A636" s="12"/>
      <c r="B636" s="34"/>
      <c r="C636" s="12"/>
      <c r="D636" s="12"/>
      <c r="E636" s="12"/>
      <c r="F636" s="12"/>
      <c r="G636" s="18"/>
      <c r="H636" s="35"/>
      <c r="I636" s="12"/>
      <c r="M636" s="12"/>
      <c r="N636" s="18"/>
      <c r="O636" s="12"/>
      <c r="P636" s="12"/>
      <c r="Q636" s="12"/>
      <c r="R636" s="36"/>
      <c r="S636" s="36"/>
      <c r="T636" s="12"/>
      <c r="U636" s="12"/>
      <c r="V636" s="12"/>
      <c r="W636" s="12"/>
      <c r="X636" s="12"/>
    </row>
    <row r="637" customFormat="false" ht="15.75" hidden="false" customHeight="false" outlineLevel="0" collapsed="false">
      <c r="A637" s="12"/>
      <c r="B637" s="34"/>
      <c r="C637" s="12"/>
      <c r="D637" s="12"/>
      <c r="E637" s="12"/>
      <c r="F637" s="12"/>
      <c r="G637" s="18"/>
      <c r="H637" s="35"/>
      <c r="I637" s="12"/>
      <c r="M637" s="12"/>
      <c r="N637" s="18"/>
      <c r="O637" s="12"/>
      <c r="P637" s="12"/>
      <c r="Q637" s="12"/>
      <c r="R637" s="36"/>
      <c r="S637" s="36"/>
      <c r="T637" s="12"/>
      <c r="U637" s="12"/>
      <c r="V637" s="12"/>
      <c r="W637" s="12"/>
      <c r="X637" s="12"/>
    </row>
    <row r="638" customFormat="false" ht="15.75" hidden="false" customHeight="false" outlineLevel="0" collapsed="false">
      <c r="A638" s="12"/>
      <c r="B638" s="34"/>
      <c r="C638" s="12"/>
      <c r="D638" s="12"/>
      <c r="E638" s="12"/>
      <c r="F638" s="12"/>
      <c r="G638" s="18"/>
      <c r="H638" s="35"/>
      <c r="I638" s="12"/>
      <c r="M638" s="12"/>
      <c r="N638" s="18"/>
      <c r="O638" s="12"/>
      <c r="P638" s="12"/>
      <c r="Q638" s="12"/>
      <c r="R638" s="36"/>
      <c r="S638" s="36"/>
      <c r="T638" s="12"/>
      <c r="U638" s="12"/>
      <c r="V638" s="12"/>
      <c r="W638" s="12"/>
      <c r="X638" s="12"/>
    </row>
    <row r="639" customFormat="false" ht="15.75" hidden="false" customHeight="false" outlineLevel="0" collapsed="false">
      <c r="A639" s="12"/>
      <c r="B639" s="34"/>
      <c r="C639" s="12"/>
      <c r="D639" s="12"/>
      <c r="E639" s="12"/>
      <c r="F639" s="12"/>
      <c r="G639" s="18"/>
      <c r="H639" s="35"/>
      <c r="I639" s="12"/>
      <c r="M639" s="12"/>
      <c r="N639" s="18"/>
      <c r="O639" s="12"/>
      <c r="P639" s="12"/>
      <c r="Q639" s="12"/>
      <c r="R639" s="36"/>
      <c r="S639" s="36"/>
      <c r="T639" s="12"/>
      <c r="U639" s="12"/>
      <c r="V639" s="12"/>
      <c r="W639" s="12"/>
      <c r="X639" s="12"/>
    </row>
    <row r="640" customFormat="false" ht="15.75" hidden="false" customHeight="false" outlineLevel="0" collapsed="false">
      <c r="A640" s="12"/>
      <c r="B640" s="34"/>
      <c r="C640" s="12"/>
      <c r="D640" s="12"/>
      <c r="E640" s="12"/>
      <c r="F640" s="12"/>
      <c r="G640" s="18"/>
      <c r="H640" s="35"/>
      <c r="I640" s="12"/>
      <c r="M640" s="12"/>
      <c r="N640" s="18"/>
      <c r="O640" s="12"/>
      <c r="P640" s="12"/>
      <c r="Q640" s="12"/>
      <c r="R640" s="36"/>
      <c r="S640" s="36"/>
      <c r="T640" s="12"/>
      <c r="U640" s="12"/>
      <c r="V640" s="12"/>
      <c r="W640" s="12"/>
      <c r="X640" s="12"/>
    </row>
    <row r="641" customFormat="false" ht="15.75" hidden="false" customHeight="false" outlineLevel="0" collapsed="false">
      <c r="A641" s="12"/>
      <c r="B641" s="34"/>
      <c r="C641" s="12"/>
      <c r="D641" s="12"/>
      <c r="E641" s="12"/>
      <c r="F641" s="12"/>
      <c r="G641" s="18"/>
      <c r="H641" s="35"/>
      <c r="I641" s="12"/>
      <c r="M641" s="12"/>
      <c r="N641" s="18"/>
      <c r="O641" s="12"/>
      <c r="P641" s="12"/>
      <c r="Q641" s="12"/>
      <c r="R641" s="36"/>
      <c r="S641" s="36"/>
      <c r="T641" s="12"/>
      <c r="U641" s="12"/>
      <c r="V641" s="12"/>
      <c r="W641" s="12"/>
      <c r="X641" s="12"/>
    </row>
    <row r="642" customFormat="false" ht="15.75" hidden="false" customHeight="false" outlineLevel="0" collapsed="false">
      <c r="A642" s="12"/>
      <c r="B642" s="34"/>
      <c r="C642" s="12"/>
      <c r="D642" s="12"/>
      <c r="E642" s="12"/>
      <c r="F642" s="12"/>
      <c r="G642" s="18"/>
      <c r="H642" s="35"/>
      <c r="I642" s="12"/>
      <c r="M642" s="12"/>
      <c r="N642" s="18"/>
      <c r="O642" s="12"/>
      <c r="P642" s="12"/>
      <c r="Q642" s="12"/>
      <c r="R642" s="36"/>
      <c r="S642" s="36"/>
      <c r="T642" s="12"/>
      <c r="U642" s="12"/>
      <c r="V642" s="12"/>
      <c r="W642" s="12"/>
      <c r="X642" s="12"/>
    </row>
    <row r="643" customFormat="false" ht="15.75" hidden="false" customHeight="false" outlineLevel="0" collapsed="false">
      <c r="A643" s="12"/>
      <c r="B643" s="34"/>
      <c r="C643" s="12"/>
      <c r="D643" s="12"/>
      <c r="E643" s="12"/>
      <c r="F643" s="12"/>
      <c r="G643" s="18"/>
      <c r="H643" s="35"/>
      <c r="I643" s="12"/>
      <c r="M643" s="12"/>
      <c r="N643" s="18"/>
      <c r="O643" s="12"/>
      <c r="P643" s="12"/>
      <c r="Q643" s="12"/>
      <c r="R643" s="36"/>
      <c r="S643" s="36"/>
      <c r="T643" s="12"/>
      <c r="U643" s="12"/>
      <c r="V643" s="12"/>
      <c r="W643" s="12"/>
      <c r="X643" s="12"/>
    </row>
    <row r="644" customFormat="false" ht="15.75" hidden="false" customHeight="false" outlineLevel="0" collapsed="false">
      <c r="A644" s="12"/>
      <c r="B644" s="34"/>
      <c r="C644" s="12"/>
      <c r="D644" s="12"/>
      <c r="E644" s="12"/>
      <c r="F644" s="12"/>
      <c r="G644" s="18"/>
      <c r="H644" s="35"/>
      <c r="I644" s="12"/>
      <c r="M644" s="12"/>
      <c r="N644" s="18"/>
      <c r="O644" s="12"/>
      <c r="P644" s="12"/>
      <c r="Q644" s="12"/>
      <c r="R644" s="36"/>
      <c r="S644" s="36"/>
      <c r="T644" s="12"/>
      <c r="U644" s="12"/>
      <c r="V644" s="12"/>
      <c r="W644" s="12"/>
      <c r="X644" s="12"/>
    </row>
    <row r="645" customFormat="false" ht="15.75" hidden="false" customHeight="false" outlineLevel="0" collapsed="false">
      <c r="A645" s="12"/>
      <c r="B645" s="34"/>
      <c r="C645" s="12"/>
      <c r="D645" s="12"/>
      <c r="E645" s="12"/>
      <c r="F645" s="12"/>
      <c r="G645" s="18"/>
      <c r="H645" s="35"/>
      <c r="I645" s="12"/>
      <c r="M645" s="12"/>
      <c r="N645" s="18"/>
      <c r="O645" s="12"/>
      <c r="P645" s="12"/>
      <c r="Q645" s="12"/>
      <c r="R645" s="36"/>
      <c r="S645" s="36"/>
      <c r="T645" s="12"/>
      <c r="U645" s="12"/>
      <c r="V645" s="12"/>
      <c r="W645" s="12"/>
      <c r="X645" s="12"/>
    </row>
    <row r="646" customFormat="false" ht="15.75" hidden="false" customHeight="false" outlineLevel="0" collapsed="false">
      <c r="A646" s="12"/>
      <c r="B646" s="34"/>
      <c r="C646" s="12"/>
      <c r="D646" s="12"/>
      <c r="E646" s="12"/>
      <c r="F646" s="12"/>
      <c r="G646" s="18"/>
      <c r="H646" s="35"/>
      <c r="I646" s="12"/>
      <c r="M646" s="12"/>
      <c r="N646" s="18"/>
      <c r="O646" s="12"/>
      <c r="P646" s="12"/>
      <c r="Q646" s="12"/>
      <c r="R646" s="36"/>
      <c r="S646" s="36"/>
      <c r="T646" s="12"/>
      <c r="U646" s="12"/>
      <c r="V646" s="12"/>
      <c r="W646" s="12"/>
      <c r="X646" s="12"/>
    </row>
    <row r="647" customFormat="false" ht="15.75" hidden="false" customHeight="false" outlineLevel="0" collapsed="false">
      <c r="A647" s="12"/>
      <c r="B647" s="34"/>
      <c r="C647" s="12"/>
      <c r="D647" s="12"/>
      <c r="E647" s="12"/>
      <c r="F647" s="12"/>
      <c r="G647" s="18"/>
      <c r="H647" s="35"/>
      <c r="I647" s="12"/>
      <c r="M647" s="12"/>
      <c r="N647" s="18"/>
      <c r="O647" s="12"/>
      <c r="P647" s="12"/>
      <c r="Q647" s="12"/>
      <c r="R647" s="36"/>
      <c r="S647" s="36"/>
      <c r="T647" s="12"/>
      <c r="U647" s="12"/>
      <c r="V647" s="12"/>
      <c r="W647" s="12"/>
      <c r="X647" s="12"/>
    </row>
    <row r="648" customFormat="false" ht="15.75" hidden="false" customHeight="false" outlineLevel="0" collapsed="false">
      <c r="A648" s="12"/>
      <c r="B648" s="34"/>
      <c r="C648" s="12"/>
      <c r="D648" s="12"/>
      <c r="E648" s="12"/>
      <c r="F648" s="12"/>
      <c r="G648" s="18"/>
      <c r="H648" s="35"/>
      <c r="I648" s="12"/>
      <c r="M648" s="12"/>
      <c r="N648" s="18"/>
      <c r="O648" s="12"/>
      <c r="P648" s="12"/>
      <c r="Q648" s="12"/>
      <c r="R648" s="36"/>
      <c r="S648" s="36"/>
      <c r="T648" s="12"/>
      <c r="U648" s="12"/>
      <c r="V648" s="12"/>
      <c r="W648" s="12"/>
      <c r="X648" s="12"/>
    </row>
    <row r="649" customFormat="false" ht="15.75" hidden="false" customHeight="false" outlineLevel="0" collapsed="false">
      <c r="A649" s="12"/>
      <c r="B649" s="34"/>
      <c r="C649" s="12"/>
      <c r="D649" s="12"/>
      <c r="E649" s="12"/>
      <c r="F649" s="12"/>
      <c r="G649" s="18"/>
      <c r="H649" s="35"/>
      <c r="I649" s="12"/>
      <c r="M649" s="12"/>
      <c r="N649" s="18"/>
      <c r="O649" s="12"/>
      <c r="P649" s="12"/>
      <c r="Q649" s="12"/>
      <c r="R649" s="36"/>
      <c r="S649" s="36"/>
      <c r="T649" s="12"/>
      <c r="U649" s="12"/>
      <c r="V649" s="12"/>
      <c r="W649" s="12"/>
      <c r="X649" s="12"/>
    </row>
    <row r="650" customFormat="false" ht="15.75" hidden="false" customHeight="false" outlineLevel="0" collapsed="false">
      <c r="A650" s="12"/>
      <c r="B650" s="34"/>
      <c r="C650" s="12"/>
      <c r="D650" s="12"/>
      <c r="E650" s="12"/>
      <c r="F650" s="12"/>
      <c r="G650" s="18"/>
      <c r="H650" s="35"/>
      <c r="I650" s="12"/>
      <c r="M650" s="12"/>
      <c r="N650" s="18"/>
      <c r="O650" s="12"/>
      <c r="P650" s="12"/>
      <c r="Q650" s="12"/>
      <c r="R650" s="36"/>
      <c r="S650" s="36"/>
      <c r="T650" s="12"/>
      <c r="U650" s="12"/>
      <c r="V650" s="12"/>
      <c r="W650" s="12"/>
      <c r="X650" s="12"/>
    </row>
    <row r="651" customFormat="false" ht="15.75" hidden="false" customHeight="false" outlineLevel="0" collapsed="false">
      <c r="A651" s="12"/>
      <c r="B651" s="34"/>
      <c r="C651" s="12"/>
      <c r="D651" s="12"/>
      <c r="E651" s="12"/>
      <c r="F651" s="12"/>
      <c r="G651" s="18"/>
      <c r="H651" s="35"/>
      <c r="I651" s="12"/>
      <c r="M651" s="12"/>
      <c r="N651" s="18"/>
      <c r="O651" s="12"/>
      <c r="P651" s="12"/>
      <c r="Q651" s="12"/>
      <c r="R651" s="36"/>
      <c r="S651" s="36"/>
      <c r="T651" s="12"/>
      <c r="U651" s="12"/>
      <c r="V651" s="12"/>
      <c r="W651" s="12"/>
      <c r="X651" s="12"/>
    </row>
    <row r="652" customFormat="false" ht="15.75" hidden="false" customHeight="false" outlineLevel="0" collapsed="false">
      <c r="A652" s="12"/>
      <c r="B652" s="34"/>
      <c r="C652" s="12"/>
      <c r="D652" s="12"/>
      <c r="E652" s="12"/>
      <c r="F652" s="12"/>
      <c r="G652" s="18"/>
      <c r="H652" s="35"/>
      <c r="I652" s="12"/>
      <c r="M652" s="12"/>
      <c r="N652" s="18"/>
      <c r="O652" s="12"/>
      <c r="P652" s="12"/>
      <c r="Q652" s="12"/>
      <c r="R652" s="36"/>
      <c r="S652" s="36"/>
      <c r="T652" s="12"/>
      <c r="U652" s="12"/>
      <c r="V652" s="12"/>
      <c r="W652" s="12"/>
      <c r="X652" s="12"/>
    </row>
    <row r="653" customFormat="false" ht="15.75" hidden="false" customHeight="false" outlineLevel="0" collapsed="false">
      <c r="A653" s="12"/>
      <c r="B653" s="34"/>
      <c r="C653" s="12"/>
      <c r="D653" s="12"/>
      <c r="E653" s="12"/>
      <c r="F653" s="12"/>
      <c r="G653" s="18"/>
      <c r="H653" s="35"/>
      <c r="I653" s="12"/>
      <c r="M653" s="12"/>
      <c r="N653" s="18"/>
      <c r="O653" s="12"/>
      <c r="P653" s="12"/>
      <c r="Q653" s="12"/>
      <c r="R653" s="36"/>
      <c r="S653" s="36"/>
      <c r="T653" s="12"/>
      <c r="U653" s="12"/>
      <c r="V653" s="12"/>
      <c r="W653" s="12"/>
      <c r="X653" s="12"/>
    </row>
    <row r="654" customFormat="false" ht="15.75" hidden="false" customHeight="false" outlineLevel="0" collapsed="false">
      <c r="A654" s="12"/>
      <c r="B654" s="34"/>
      <c r="C654" s="12"/>
      <c r="D654" s="12"/>
      <c r="E654" s="12"/>
      <c r="F654" s="12"/>
      <c r="G654" s="18"/>
      <c r="H654" s="35"/>
      <c r="I654" s="12"/>
      <c r="M654" s="12"/>
      <c r="N654" s="18"/>
      <c r="O654" s="12"/>
      <c r="P654" s="12"/>
      <c r="Q654" s="12"/>
      <c r="R654" s="36"/>
      <c r="S654" s="36"/>
      <c r="T654" s="12"/>
      <c r="U654" s="12"/>
      <c r="V654" s="12"/>
      <c r="W654" s="12"/>
      <c r="X654" s="12"/>
    </row>
    <row r="655" customFormat="false" ht="15.75" hidden="false" customHeight="false" outlineLevel="0" collapsed="false">
      <c r="A655" s="12"/>
      <c r="B655" s="34"/>
      <c r="C655" s="12"/>
      <c r="D655" s="12"/>
      <c r="E655" s="12"/>
      <c r="F655" s="12"/>
      <c r="G655" s="18"/>
      <c r="H655" s="35"/>
      <c r="I655" s="12"/>
      <c r="M655" s="12"/>
      <c r="N655" s="18"/>
      <c r="O655" s="12"/>
      <c r="P655" s="12"/>
      <c r="Q655" s="12"/>
      <c r="R655" s="36"/>
      <c r="S655" s="36"/>
      <c r="T655" s="12"/>
      <c r="U655" s="12"/>
      <c r="V655" s="12"/>
      <c r="W655" s="12"/>
      <c r="X655" s="12"/>
    </row>
    <row r="656" customFormat="false" ht="15.75" hidden="false" customHeight="false" outlineLevel="0" collapsed="false">
      <c r="A656" s="12"/>
      <c r="B656" s="34"/>
      <c r="C656" s="12"/>
      <c r="D656" s="12"/>
      <c r="E656" s="12"/>
      <c r="F656" s="12"/>
      <c r="G656" s="18"/>
      <c r="H656" s="35"/>
      <c r="I656" s="12"/>
      <c r="M656" s="12"/>
      <c r="N656" s="18"/>
      <c r="O656" s="12"/>
      <c r="P656" s="12"/>
      <c r="Q656" s="12"/>
      <c r="R656" s="36"/>
      <c r="S656" s="36"/>
      <c r="T656" s="12"/>
      <c r="U656" s="12"/>
      <c r="V656" s="12"/>
      <c r="W656" s="12"/>
      <c r="X656" s="12"/>
    </row>
    <row r="657" customFormat="false" ht="15.75" hidden="false" customHeight="false" outlineLevel="0" collapsed="false">
      <c r="A657" s="12"/>
      <c r="B657" s="34"/>
      <c r="C657" s="12"/>
      <c r="D657" s="12"/>
      <c r="E657" s="12"/>
      <c r="F657" s="12"/>
      <c r="G657" s="18"/>
      <c r="H657" s="35"/>
      <c r="I657" s="12"/>
      <c r="M657" s="12"/>
      <c r="N657" s="18"/>
      <c r="O657" s="12"/>
      <c r="P657" s="12"/>
      <c r="Q657" s="12"/>
      <c r="R657" s="36"/>
      <c r="S657" s="36"/>
      <c r="T657" s="12"/>
      <c r="U657" s="12"/>
      <c r="V657" s="12"/>
      <c r="W657" s="12"/>
      <c r="X657" s="12"/>
    </row>
    <row r="658" customFormat="false" ht="15.75" hidden="false" customHeight="false" outlineLevel="0" collapsed="false">
      <c r="A658" s="12"/>
      <c r="B658" s="34"/>
      <c r="C658" s="12"/>
      <c r="D658" s="12"/>
      <c r="E658" s="12"/>
      <c r="F658" s="12"/>
      <c r="G658" s="18"/>
      <c r="H658" s="35"/>
      <c r="I658" s="12"/>
      <c r="M658" s="12"/>
      <c r="N658" s="18"/>
      <c r="O658" s="12"/>
      <c r="P658" s="12"/>
      <c r="Q658" s="12"/>
      <c r="R658" s="36"/>
      <c r="S658" s="36"/>
      <c r="T658" s="12"/>
      <c r="U658" s="12"/>
      <c r="V658" s="12"/>
      <c r="W658" s="12"/>
      <c r="X658" s="12"/>
    </row>
    <row r="659" customFormat="false" ht="15.75" hidden="false" customHeight="false" outlineLevel="0" collapsed="false">
      <c r="A659" s="12"/>
      <c r="B659" s="34"/>
      <c r="C659" s="12"/>
      <c r="D659" s="12"/>
      <c r="E659" s="12"/>
      <c r="F659" s="12"/>
      <c r="G659" s="18"/>
      <c r="H659" s="35"/>
      <c r="I659" s="12"/>
      <c r="M659" s="12"/>
      <c r="N659" s="18"/>
      <c r="O659" s="12"/>
      <c r="P659" s="12"/>
      <c r="Q659" s="12"/>
      <c r="R659" s="36"/>
      <c r="S659" s="36"/>
      <c r="T659" s="12"/>
      <c r="U659" s="12"/>
      <c r="V659" s="12"/>
      <c r="W659" s="12"/>
      <c r="X659" s="12"/>
    </row>
    <row r="660" customFormat="false" ht="15.75" hidden="false" customHeight="false" outlineLevel="0" collapsed="false">
      <c r="A660" s="12"/>
      <c r="B660" s="34"/>
      <c r="C660" s="12"/>
      <c r="D660" s="12"/>
      <c r="E660" s="12"/>
      <c r="F660" s="12"/>
      <c r="G660" s="18"/>
      <c r="H660" s="35"/>
      <c r="I660" s="12"/>
      <c r="M660" s="12"/>
      <c r="N660" s="18"/>
      <c r="O660" s="12"/>
      <c r="P660" s="12"/>
      <c r="Q660" s="12"/>
      <c r="R660" s="36"/>
      <c r="S660" s="36"/>
      <c r="T660" s="12"/>
      <c r="U660" s="12"/>
      <c r="V660" s="12"/>
      <c r="W660" s="12"/>
      <c r="X660" s="12"/>
    </row>
    <row r="661" customFormat="false" ht="15.75" hidden="false" customHeight="false" outlineLevel="0" collapsed="false">
      <c r="A661" s="12"/>
      <c r="B661" s="34"/>
      <c r="C661" s="12"/>
      <c r="D661" s="12"/>
      <c r="E661" s="12"/>
      <c r="F661" s="12"/>
      <c r="G661" s="18"/>
      <c r="H661" s="35"/>
      <c r="I661" s="12"/>
      <c r="M661" s="12"/>
      <c r="N661" s="18"/>
      <c r="O661" s="12"/>
      <c r="P661" s="12"/>
      <c r="Q661" s="12"/>
      <c r="R661" s="36"/>
      <c r="S661" s="36"/>
      <c r="T661" s="12"/>
      <c r="U661" s="12"/>
      <c r="V661" s="12"/>
      <c r="W661" s="12"/>
      <c r="X661" s="12"/>
    </row>
    <row r="662" customFormat="false" ht="15.75" hidden="false" customHeight="false" outlineLevel="0" collapsed="false">
      <c r="A662" s="12"/>
      <c r="B662" s="34"/>
      <c r="C662" s="12"/>
      <c r="D662" s="12"/>
      <c r="E662" s="12"/>
      <c r="F662" s="12"/>
      <c r="G662" s="18"/>
      <c r="H662" s="35"/>
      <c r="I662" s="12"/>
      <c r="M662" s="12"/>
      <c r="N662" s="18"/>
      <c r="O662" s="12"/>
      <c r="P662" s="12"/>
      <c r="Q662" s="12"/>
      <c r="R662" s="36"/>
      <c r="S662" s="36"/>
      <c r="T662" s="12"/>
      <c r="U662" s="12"/>
      <c r="V662" s="12"/>
      <c r="W662" s="12"/>
      <c r="X662" s="12"/>
    </row>
    <row r="663" customFormat="false" ht="15.75" hidden="false" customHeight="false" outlineLevel="0" collapsed="false">
      <c r="A663" s="12"/>
      <c r="B663" s="34"/>
      <c r="C663" s="12"/>
      <c r="D663" s="12"/>
      <c r="E663" s="12"/>
      <c r="F663" s="12"/>
      <c r="G663" s="18"/>
      <c r="H663" s="35"/>
      <c r="I663" s="12"/>
      <c r="M663" s="12"/>
      <c r="N663" s="18"/>
      <c r="O663" s="12"/>
      <c r="P663" s="12"/>
      <c r="Q663" s="12"/>
      <c r="R663" s="36"/>
      <c r="S663" s="36"/>
      <c r="T663" s="12"/>
      <c r="U663" s="12"/>
      <c r="V663" s="12"/>
      <c r="W663" s="12"/>
      <c r="X663" s="12"/>
    </row>
    <row r="664" customFormat="false" ht="15.75" hidden="false" customHeight="false" outlineLevel="0" collapsed="false">
      <c r="A664" s="12"/>
      <c r="B664" s="34"/>
      <c r="C664" s="12"/>
      <c r="D664" s="12"/>
      <c r="E664" s="12"/>
      <c r="F664" s="12"/>
      <c r="G664" s="18"/>
      <c r="H664" s="35"/>
      <c r="I664" s="12"/>
      <c r="M664" s="12"/>
      <c r="N664" s="18"/>
      <c r="O664" s="12"/>
      <c r="P664" s="12"/>
      <c r="Q664" s="12"/>
      <c r="R664" s="36"/>
      <c r="S664" s="36"/>
      <c r="T664" s="12"/>
      <c r="U664" s="12"/>
      <c r="V664" s="12"/>
      <c r="W664" s="12"/>
      <c r="X664" s="12"/>
    </row>
    <row r="665" customFormat="false" ht="15.75" hidden="false" customHeight="false" outlineLevel="0" collapsed="false">
      <c r="A665" s="12"/>
      <c r="B665" s="34"/>
      <c r="C665" s="12"/>
      <c r="D665" s="12"/>
      <c r="E665" s="12"/>
      <c r="F665" s="12"/>
      <c r="G665" s="18"/>
      <c r="H665" s="35"/>
      <c r="I665" s="12"/>
      <c r="M665" s="12"/>
      <c r="N665" s="18"/>
      <c r="O665" s="12"/>
      <c r="P665" s="12"/>
      <c r="Q665" s="12"/>
      <c r="R665" s="36"/>
      <c r="S665" s="36"/>
      <c r="T665" s="12"/>
      <c r="U665" s="12"/>
      <c r="V665" s="12"/>
      <c r="W665" s="12"/>
      <c r="X665" s="12"/>
    </row>
    <row r="666" customFormat="false" ht="15.75" hidden="false" customHeight="false" outlineLevel="0" collapsed="false">
      <c r="A666" s="12"/>
      <c r="B666" s="34"/>
      <c r="C666" s="12"/>
      <c r="D666" s="12"/>
      <c r="E666" s="12"/>
      <c r="F666" s="12"/>
      <c r="G666" s="18"/>
      <c r="H666" s="35"/>
      <c r="I666" s="12"/>
      <c r="M666" s="12"/>
      <c r="N666" s="18"/>
      <c r="O666" s="12"/>
      <c r="P666" s="12"/>
      <c r="Q666" s="12"/>
      <c r="R666" s="36"/>
      <c r="S666" s="36"/>
      <c r="T666" s="12"/>
      <c r="U666" s="12"/>
      <c r="V666" s="12"/>
      <c r="W666" s="12"/>
      <c r="X666" s="12"/>
    </row>
    <row r="667" customFormat="false" ht="15.75" hidden="false" customHeight="false" outlineLevel="0" collapsed="false">
      <c r="A667" s="12"/>
      <c r="B667" s="34"/>
      <c r="C667" s="12"/>
      <c r="D667" s="12"/>
      <c r="E667" s="12"/>
      <c r="F667" s="12"/>
      <c r="G667" s="18"/>
      <c r="H667" s="35"/>
      <c r="I667" s="12"/>
      <c r="M667" s="12"/>
      <c r="N667" s="18"/>
      <c r="O667" s="12"/>
      <c r="P667" s="12"/>
      <c r="Q667" s="12"/>
      <c r="R667" s="36"/>
      <c r="S667" s="36"/>
      <c r="T667" s="12"/>
      <c r="U667" s="12"/>
      <c r="V667" s="12"/>
      <c r="W667" s="12"/>
      <c r="X667" s="12"/>
    </row>
    <row r="668" customFormat="false" ht="15.75" hidden="false" customHeight="false" outlineLevel="0" collapsed="false">
      <c r="A668" s="12"/>
      <c r="B668" s="34"/>
      <c r="C668" s="12"/>
      <c r="D668" s="12"/>
      <c r="E668" s="12"/>
      <c r="F668" s="12"/>
      <c r="G668" s="18"/>
      <c r="H668" s="35"/>
      <c r="I668" s="12"/>
      <c r="M668" s="12"/>
      <c r="N668" s="18"/>
      <c r="O668" s="12"/>
      <c r="P668" s="12"/>
      <c r="Q668" s="12"/>
      <c r="R668" s="36"/>
      <c r="S668" s="36"/>
      <c r="T668" s="12"/>
      <c r="U668" s="12"/>
      <c r="V668" s="12"/>
      <c r="W668" s="12"/>
      <c r="X668" s="12"/>
    </row>
    <row r="669" customFormat="false" ht="15.75" hidden="false" customHeight="false" outlineLevel="0" collapsed="false">
      <c r="A669" s="12"/>
      <c r="B669" s="34"/>
      <c r="C669" s="12"/>
      <c r="D669" s="12"/>
      <c r="E669" s="12"/>
      <c r="F669" s="12"/>
      <c r="G669" s="18"/>
      <c r="H669" s="35"/>
      <c r="I669" s="12"/>
      <c r="M669" s="12"/>
      <c r="N669" s="18"/>
      <c r="O669" s="12"/>
      <c r="P669" s="12"/>
      <c r="Q669" s="12"/>
      <c r="R669" s="36"/>
      <c r="S669" s="36"/>
      <c r="T669" s="12"/>
      <c r="U669" s="12"/>
      <c r="V669" s="12"/>
      <c r="W669" s="12"/>
      <c r="X669" s="12"/>
    </row>
    <row r="670" customFormat="false" ht="15.75" hidden="false" customHeight="false" outlineLevel="0" collapsed="false">
      <c r="A670" s="12"/>
      <c r="B670" s="34"/>
      <c r="C670" s="12"/>
      <c r="D670" s="12"/>
      <c r="E670" s="12"/>
      <c r="F670" s="12"/>
      <c r="G670" s="18"/>
      <c r="H670" s="35"/>
      <c r="I670" s="12"/>
      <c r="M670" s="12"/>
      <c r="N670" s="18"/>
      <c r="O670" s="12"/>
      <c r="P670" s="12"/>
      <c r="Q670" s="12"/>
      <c r="R670" s="36"/>
      <c r="S670" s="36"/>
      <c r="T670" s="12"/>
      <c r="U670" s="12"/>
      <c r="V670" s="12"/>
      <c r="W670" s="12"/>
      <c r="X670" s="12"/>
    </row>
    <row r="671" customFormat="false" ht="15.75" hidden="false" customHeight="false" outlineLevel="0" collapsed="false">
      <c r="A671" s="12"/>
      <c r="B671" s="34"/>
      <c r="C671" s="12"/>
      <c r="D671" s="12"/>
      <c r="E671" s="12"/>
      <c r="F671" s="12"/>
      <c r="G671" s="18"/>
      <c r="H671" s="35"/>
      <c r="I671" s="12"/>
      <c r="M671" s="12"/>
      <c r="N671" s="18"/>
      <c r="O671" s="12"/>
      <c r="P671" s="12"/>
      <c r="Q671" s="12"/>
      <c r="R671" s="36"/>
      <c r="S671" s="36"/>
      <c r="T671" s="12"/>
      <c r="U671" s="12"/>
      <c r="V671" s="12"/>
      <c r="W671" s="12"/>
      <c r="X671" s="12"/>
    </row>
    <row r="672" customFormat="false" ht="15.75" hidden="false" customHeight="false" outlineLevel="0" collapsed="false">
      <c r="A672" s="12"/>
      <c r="B672" s="34"/>
      <c r="C672" s="12"/>
      <c r="D672" s="12"/>
      <c r="E672" s="12"/>
      <c r="F672" s="12"/>
      <c r="G672" s="18"/>
      <c r="H672" s="35"/>
      <c r="I672" s="12"/>
      <c r="M672" s="12"/>
      <c r="N672" s="18"/>
      <c r="O672" s="12"/>
      <c r="P672" s="12"/>
      <c r="Q672" s="12"/>
      <c r="R672" s="36"/>
      <c r="S672" s="36"/>
      <c r="T672" s="12"/>
      <c r="U672" s="12"/>
      <c r="V672" s="12"/>
      <c r="W672" s="12"/>
      <c r="X672" s="12"/>
    </row>
    <row r="673" customFormat="false" ht="15.75" hidden="false" customHeight="false" outlineLevel="0" collapsed="false">
      <c r="A673" s="12"/>
      <c r="B673" s="34"/>
      <c r="C673" s="12"/>
      <c r="D673" s="12"/>
      <c r="E673" s="12"/>
      <c r="F673" s="12"/>
      <c r="G673" s="18"/>
      <c r="H673" s="35"/>
      <c r="I673" s="12"/>
      <c r="M673" s="12"/>
      <c r="N673" s="18"/>
      <c r="O673" s="12"/>
      <c r="P673" s="12"/>
      <c r="Q673" s="12"/>
      <c r="R673" s="36"/>
      <c r="S673" s="36"/>
      <c r="T673" s="12"/>
      <c r="U673" s="12"/>
      <c r="V673" s="12"/>
      <c r="W673" s="12"/>
      <c r="X673" s="12"/>
    </row>
    <row r="674" customFormat="false" ht="15.75" hidden="false" customHeight="false" outlineLevel="0" collapsed="false">
      <c r="A674" s="12"/>
      <c r="B674" s="34"/>
      <c r="C674" s="12"/>
      <c r="D674" s="12"/>
      <c r="E674" s="12"/>
      <c r="F674" s="12"/>
      <c r="G674" s="18"/>
      <c r="H674" s="35"/>
      <c r="I674" s="12"/>
      <c r="M674" s="12"/>
      <c r="N674" s="18"/>
      <c r="O674" s="12"/>
      <c r="P674" s="12"/>
      <c r="Q674" s="12"/>
      <c r="R674" s="36"/>
      <c r="S674" s="36"/>
      <c r="T674" s="12"/>
      <c r="U674" s="12"/>
      <c r="V674" s="12"/>
      <c r="W674" s="12"/>
      <c r="X674" s="12"/>
    </row>
    <row r="675" customFormat="false" ht="15.75" hidden="false" customHeight="false" outlineLevel="0" collapsed="false">
      <c r="A675" s="12"/>
      <c r="B675" s="34"/>
      <c r="C675" s="12"/>
      <c r="D675" s="12"/>
      <c r="E675" s="12"/>
      <c r="F675" s="12"/>
      <c r="G675" s="18"/>
      <c r="H675" s="35"/>
      <c r="I675" s="12"/>
      <c r="M675" s="12"/>
      <c r="N675" s="18"/>
      <c r="O675" s="12"/>
      <c r="P675" s="12"/>
      <c r="Q675" s="12"/>
      <c r="R675" s="36"/>
      <c r="S675" s="36"/>
      <c r="T675" s="12"/>
      <c r="U675" s="12"/>
      <c r="V675" s="12"/>
      <c r="W675" s="12"/>
      <c r="X675" s="12"/>
    </row>
    <row r="676" customFormat="false" ht="15.75" hidden="false" customHeight="false" outlineLevel="0" collapsed="false">
      <c r="A676" s="12"/>
      <c r="B676" s="34"/>
      <c r="C676" s="12"/>
      <c r="D676" s="12"/>
      <c r="E676" s="12"/>
      <c r="F676" s="12"/>
      <c r="G676" s="18"/>
      <c r="H676" s="35"/>
      <c r="I676" s="12"/>
      <c r="M676" s="12"/>
      <c r="N676" s="18"/>
      <c r="O676" s="12"/>
      <c r="P676" s="12"/>
      <c r="Q676" s="12"/>
      <c r="R676" s="36"/>
      <c r="S676" s="36"/>
      <c r="T676" s="12"/>
      <c r="U676" s="12"/>
      <c r="V676" s="12"/>
      <c r="W676" s="12"/>
      <c r="X676" s="12"/>
    </row>
    <row r="677" customFormat="false" ht="15.75" hidden="false" customHeight="false" outlineLevel="0" collapsed="false">
      <c r="A677" s="12"/>
      <c r="B677" s="34"/>
      <c r="C677" s="12"/>
      <c r="D677" s="12"/>
      <c r="E677" s="12"/>
      <c r="F677" s="12"/>
      <c r="G677" s="18"/>
      <c r="H677" s="35"/>
      <c r="I677" s="12"/>
      <c r="M677" s="12"/>
      <c r="N677" s="18"/>
      <c r="O677" s="12"/>
      <c r="P677" s="12"/>
      <c r="Q677" s="12"/>
      <c r="R677" s="36"/>
      <c r="S677" s="36"/>
      <c r="T677" s="12"/>
      <c r="U677" s="12"/>
      <c r="V677" s="12"/>
      <c r="W677" s="12"/>
      <c r="X677" s="12"/>
    </row>
    <row r="678" customFormat="false" ht="15.75" hidden="false" customHeight="false" outlineLevel="0" collapsed="false">
      <c r="A678" s="12"/>
      <c r="B678" s="34"/>
      <c r="C678" s="12"/>
      <c r="D678" s="12"/>
      <c r="E678" s="12"/>
      <c r="F678" s="12"/>
      <c r="G678" s="18"/>
      <c r="H678" s="35"/>
      <c r="I678" s="12"/>
      <c r="M678" s="12"/>
      <c r="N678" s="18"/>
      <c r="O678" s="12"/>
      <c r="P678" s="12"/>
      <c r="Q678" s="12"/>
      <c r="R678" s="36"/>
      <c r="S678" s="36"/>
      <c r="T678" s="12"/>
      <c r="U678" s="12"/>
      <c r="V678" s="12"/>
      <c r="W678" s="12"/>
      <c r="X678" s="12"/>
    </row>
    <row r="679" customFormat="false" ht="15.75" hidden="false" customHeight="false" outlineLevel="0" collapsed="false">
      <c r="A679" s="12"/>
      <c r="B679" s="34"/>
      <c r="C679" s="12"/>
      <c r="D679" s="12"/>
      <c r="E679" s="12"/>
      <c r="F679" s="12"/>
      <c r="G679" s="18"/>
      <c r="H679" s="35"/>
      <c r="I679" s="12"/>
      <c r="M679" s="12"/>
      <c r="N679" s="18"/>
      <c r="O679" s="12"/>
      <c r="P679" s="12"/>
      <c r="Q679" s="12"/>
      <c r="R679" s="36"/>
      <c r="S679" s="36"/>
      <c r="T679" s="12"/>
      <c r="U679" s="12"/>
      <c r="V679" s="12"/>
      <c r="W679" s="12"/>
      <c r="X679" s="12"/>
    </row>
    <row r="680" customFormat="false" ht="15.75" hidden="false" customHeight="false" outlineLevel="0" collapsed="false">
      <c r="A680" s="12"/>
      <c r="B680" s="34"/>
      <c r="C680" s="12"/>
      <c r="D680" s="12"/>
      <c r="E680" s="12"/>
      <c r="F680" s="12"/>
      <c r="G680" s="18"/>
      <c r="H680" s="35"/>
      <c r="I680" s="12"/>
      <c r="M680" s="12"/>
      <c r="N680" s="18"/>
      <c r="O680" s="12"/>
      <c r="P680" s="12"/>
      <c r="Q680" s="12"/>
      <c r="R680" s="36"/>
      <c r="S680" s="36"/>
      <c r="T680" s="12"/>
      <c r="U680" s="12"/>
      <c r="V680" s="12"/>
      <c r="W680" s="12"/>
      <c r="X680" s="12"/>
    </row>
    <row r="681" customFormat="false" ht="15.75" hidden="false" customHeight="false" outlineLevel="0" collapsed="false">
      <c r="A681" s="12"/>
      <c r="B681" s="34"/>
      <c r="C681" s="12"/>
      <c r="D681" s="12"/>
      <c r="E681" s="12"/>
      <c r="F681" s="12"/>
      <c r="G681" s="18"/>
      <c r="H681" s="35"/>
      <c r="I681" s="12"/>
      <c r="M681" s="12"/>
      <c r="N681" s="18"/>
      <c r="O681" s="12"/>
      <c r="P681" s="12"/>
      <c r="Q681" s="12"/>
      <c r="R681" s="36"/>
      <c r="S681" s="36"/>
      <c r="T681" s="12"/>
      <c r="U681" s="12"/>
      <c r="V681" s="12"/>
      <c r="W681" s="12"/>
      <c r="X681" s="12"/>
    </row>
    <row r="682" customFormat="false" ht="15.75" hidden="false" customHeight="false" outlineLevel="0" collapsed="false">
      <c r="A682" s="12"/>
      <c r="B682" s="34"/>
      <c r="C682" s="12"/>
      <c r="D682" s="12"/>
      <c r="E682" s="12"/>
      <c r="F682" s="12"/>
      <c r="G682" s="18"/>
      <c r="H682" s="35"/>
      <c r="I682" s="12"/>
      <c r="M682" s="12"/>
      <c r="N682" s="18"/>
      <c r="O682" s="12"/>
      <c r="P682" s="12"/>
      <c r="Q682" s="12"/>
      <c r="R682" s="36"/>
      <c r="S682" s="36"/>
      <c r="T682" s="12"/>
      <c r="U682" s="12"/>
      <c r="V682" s="12"/>
      <c r="W682" s="12"/>
      <c r="X682" s="12"/>
    </row>
    <row r="683" customFormat="false" ht="15.75" hidden="false" customHeight="false" outlineLevel="0" collapsed="false">
      <c r="A683" s="12"/>
      <c r="B683" s="34"/>
      <c r="C683" s="12"/>
      <c r="D683" s="12"/>
      <c r="E683" s="12"/>
      <c r="F683" s="12"/>
      <c r="G683" s="18"/>
      <c r="H683" s="35"/>
      <c r="I683" s="12"/>
      <c r="M683" s="12"/>
      <c r="N683" s="18"/>
      <c r="O683" s="12"/>
      <c r="P683" s="12"/>
      <c r="Q683" s="12"/>
      <c r="R683" s="36"/>
      <c r="S683" s="36"/>
      <c r="T683" s="12"/>
      <c r="U683" s="12"/>
      <c r="V683" s="12"/>
      <c r="W683" s="12"/>
      <c r="X683" s="12"/>
    </row>
    <row r="684" customFormat="false" ht="15.75" hidden="false" customHeight="false" outlineLevel="0" collapsed="false">
      <c r="A684" s="12"/>
      <c r="B684" s="34"/>
      <c r="C684" s="12"/>
      <c r="D684" s="12"/>
      <c r="E684" s="12"/>
      <c r="F684" s="12"/>
      <c r="G684" s="18"/>
      <c r="H684" s="35"/>
      <c r="I684" s="12"/>
      <c r="M684" s="12"/>
      <c r="N684" s="18"/>
      <c r="O684" s="12"/>
      <c r="P684" s="12"/>
      <c r="Q684" s="12"/>
      <c r="R684" s="36"/>
      <c r="S684" s="36"/>
      <c r="T684" s="12"/>
      <c r="U684" s="12"/>
      <c r="V684" s="12"/>
      <c r="W684" s="12"/>
      <c r="X684" s="12"/>
    </row>
    <row r="685" customFormat="false" ht="15.75" hidden="false" customHeight="false" outlineLevel="0" collapsed="false">
      <c r="A685" s="12"/>
      <c r="B685" s="34"/>
      <c r="C685" s="12"/>
      <c r="D685" s="12"/>
      <c r="E685" s="12"/>
      <c r="F685" s="12"/>
      <c r="G685" s="18"/>
      <c r="H685" s="35"/>
      <c r="I685" s="12"/>
      <c r="M685" s="12"/>
      <c r="N685" s="18"/>
      <c r="O685" s="12"/>
      <c r="P685" s="12"/>
      <c r="Q685" s="12"/>
      <c r="R685" s="36"/>
      <c r="S685" s="36"/>
      <c r="T685" s="12"/>
      <c r="U685" s="12"/>
      <c r="V685" s="12"/>
      <c r="W685" s="12"/>
      <c r="X685" s="12"/>
    </row>
    <row r="686" customFormat="false" ht="15.75" hidden="false" customHeight="false" outlineLevel="0" collapsed="false">
      <c r="A686" s="12"/>
      <c r="B686" s="34"/>
      <c r="C686" s="12"/>
      <c r="D686" s="12"/>
      <c r="E686" s="12"/>
      <c r="F686" s="12"/>
      <c r="G686" s="18"/>
      <c r="H686" s="35"/>
      <c r="I686" s="12"/>
      <c r="M686" s="12"/>
      <c r="N686" s="18"/>
      <c r="O686" s="12"/>
      <c r="P686" s="12"/>
      <c r="Q686" s="12"/>
      <c r="R686" s="36"/>
      <c r="S686" s="36"/>
      <c r="T686" s="12"/>
      <c r="U686" s="12"/>
      <c r="V686" s="12"/>
      <c r="W686" s="12"/>
      <c r="X686" s="12"/>
    </row>
    <row r="687" customFormat="false" ht="15.75" hidden="false" customHeight="false" outlineLevel="0" collapsed="false">
      <c r="A687" s="12"/>
      <c r="B687" s="34"/>
      <c r="C687" s="12"/>
      <c r="D687" s="12"/>
      <c r="E687" s="12"/>
      <c r="F687" s="12"/>
      <c r="G687" s="18"/>
      <c r="H687" s="35"/>
      <c r="I687" s="12"/>
      <c r="M687" s="12"/>
      <c r="N687" s="18"/>
      <c r="O687" s="12"/>
      <c r="P687" s="12"/>
      <c r="Q687" s="12"/>
      <c r="R687" s="36"/>
      <c r="S687" s="36"/>
      <c r="T687" s="12"/>
      <c r="U687" s="12"/>
      <c r="V687" s="12"/>
      <c r="W687" s="12"/>
      <c r="X687" s="12"/>
    </row>
    <row r="688" customFormat="false" ht="15.75" hidden="false" customHeight="false" outlineLevel="0" collapsed="false">
      <c r="A688" s="12"/>
      <c r="B688" s="34"/>
      <c r="C688" s="12"/>
      <c r="D688" s="12"/>
      <c r="E688" s="12"/>
      <c r="F688" s="12"/>
      <c r="G688" s="18"/>
      <c r="H688" s="35"/>
      <c r="I688" s="12"/>
      <c r="M688" s="12"/>
      <c r="N688" s="18"/>
      <c r="O688" s="12"/>
      <c r="P688" s="12"/>
      <c r="Q688" s="12"/>
      <c r="R688" s="36"/>
      <c r="S688" s="36"/>
      <c r="T688" s="12"/>
      <c r="U688" s="12"/>
      <c r="V688" s="12"/>
      <c r="W688" s="12"/>
      <c r="X688" s="12"/>
    </row>
    <row r="689" customFormat="false" ht="15.75" hidden="false" customHeight="false" outlineLevel="0" collapsed="false">
      <c r="A689" s="12"/>
      <c r="B689" s="34"/>
      <c r="C689" s="12"/>
      <c r="D689" s="12"/>
      <c r="E689" s="12"/>
      <c r="F689" s="12"/>
      <c r="G689" s="18"/>
      <c r="H689" s="35"/>
      <c r="I689" s="12"/>
      <c r="M689" s="12"/>
      <c r="N689" s="18"/>
      <c r="O689" s="12"/>
      <c r="P689" s="12"/>
      <c r="Q689" s="12"/>
      <c r="R689" s="36"/>
      <c r="S689" s="36"/>
      <c r="T689" s="12"/>
      <c r="U689" s="12"/>
      <c r="V689" s="12"/>
      <c r="W689" s="12"/>
      <c r="X689" s="12"/>
    </row>
    <row r="690" customFormat="false" ht="15.75" hidden="false" customHeight="false" outlineLevel="0" collapsed="false">
      <c r="A690" s="12"/>
      <c r="B690" s="34"/>
      <c r="C690" s="12"/>
      <c r="D690" s="12"/>
      <c r="E690" s="12"/>
      <c r="F690" s="12"/>
      <c r="G690" s="18"/>
      <c r="H690" s="35"/>
      <c r="I690" s="12"/>
      <c r="M690" s="12"/>
      <c r="N690" s="18"/>
      <c r="O690" s="12"/>
      <c r="P690" s="12"/>
      <c r="Q690" s="12"/>
      <c r="R690" s="36"/>
      <c r="S690" s="36"/>
      <c r="T690" s="12"/>
      <c r="U690" s="12"/>
      <c r="V690" s="12"/>
      <c r="W690" s="12"/>
      <c r="X690" s="12"/>
    </row>
    <row r="691" customFormat="false" ht="15.75" hidden="false" customHeight="false" outlineLevel="0" collapsed="false">
      <c r="A691" s="12"/>
      <c r="B691" s="34"/>
      <c r="C691" s="12"/>
      <c r="D691" s="12"/>
      <c r="E691" s="12"/>
      <c r="F691" s="12"/>
      <c r="G691" s="18"/>
      <c r="H691" s="35"/>
      <c r="I691" s="12"/>
      <c r="M691" s="12"/>
      <c r="N691" s="18"/>
      <c r="O691" s="12"/>
      <c r="P691" s="12"/>
      <c r="Q691" s="12"/>
      <c r="R691" s="36"/>
      <c r="S691" s="36"/>
      <c r="T691" s="12"/>
      <c r="U691" s="12"/>
      <c r="V691" s="12"/>
      <c r="W691" s="12"/>
      <c r="X691" s="12"/>
    </row>
    <row r="692" customFormat="false" ht="15.75" hidden="false" customHeight="false" outlineLevel="0" collapsed="false">
      <c r="A692" s="12"/>
      <c r="B692" s="34"/>
      <c r="C692" s="12"/>
      <c r="D692" s="12"/>
      <c r="E692" s="12"/>
      <c r="F692" s="12"/>
      <c r="G692" s="18"/>
      <c r="H692" s="35"/>
      <c r="I692" s="12"/>
      <c r="M692" s="12"/>
      <c r="N692" s="18"/>
      <c r="O692" s="12"/>
      <c r="P692" s="12"/>
      <c r="Q692" s="12"/>
      <c r="R692" s="36"/>
      <c r="S692" s="36"/>
      <c r="T692" s="12"/>
      <c r="U692" s="12"/>
      <c r="V692" s="12"/>
      <c r="W692" s="12"/>
      <c r="X692" s="12"/>
    </row>
    <row r="693" customFormat="false" ht="15.75" hidden="false" customHeight="false" outlineLevel="0" collapsed="false">
      <c r="A693" s="12"/>
      <c r="B693" s="34"/>
      <c r="C693" s="12"/>
      <c r="D693" s="12"/>
      <c r="E693" s="12"/>
      <c r="F693" s="12"/>
      <c r="G693" s="18"/>
      <c r="H693" s="35"/>
      <c r="I693" s="12"/>
      <c r="M693" s="12"/>
      <c r="N693" s="18"/>
      <c r="O693" s="12"/>
      <c r="P693" s="12"/>
      <c r="Q693" s="12"/>
      <c r="R693" s="36"/>
      <c r="S693" s="36"/>
      <c r="T693" s="12"/>
      <c r="U693" s="12"/>
      <c r="V693" s="12"/>
      <c r="W693" s="12"/>
      <c r="X693" s="12"/>
    </row>
    <row r="694" customFormat="false" ht="15.75" hidden="false" customHeight="false" outlineLevel="0" collapsed="false">
      <c r="A694" s="12"/>
      <c r="B694" s="34"/>
      <c r="C694" s="12"/>
      <c r="D694" s="12"/>
      <c r="E694" s="12"/>
      <c r="F694" s="12"/>
      <c r="G694" s="18"/>
      <c r="H694" s="35"/>
      <c r="I694" s="12"/>
      <c r="M694" s="12"/>
      <c r="N694" s="18"/>
      <c r="O694" s="12"/>
      <c r="P694" s="12"/>
      <c r="Q694" s="12"/>
      <c r="R694" s="36"/>
      <c r="S694" s="36"/>
      <c r="T694" s="12"/>
      <c r="U694" s="12"/>
      <c r="V694" s="12"/>
      <c r="W694" s="12"/>
      <c r="X694" s="12"/>
    </row>
    <row r="695" customFormat="false" ht="15.75" hidden="false" customHeight="false" outlineLevel="0" collapsed="false">
      <c r="A695" s="12"/>
      <c r="B695" s="34"/>
      <c r="C695" s="12"/>
      <c r="D695" s="12"/>
      <c r="E695" s="12"/>
      <c r="F695" s="12"/>
      <c r="G695" s="18"/>
      <c r="H695" s="35"/>
      <c r="I695" s="12"/>
      <c r="M695" s="12"/>
      <c r="N695" s="18"/>
      <c r="O695" s="12"/>
      <c r="P695" s="12"/>
      <c r="Q695" s="12"/>
      <c r="R695" s="36"/>
      <c r="S695" s="36"/>
      <c r="T695" s="12"/>
      <c r="U695" s="12"/>
      <c r="V695" s="12"/>
      <c r="W695" s="12"/>
      <c r="X695" s="12"/>
    </row>
    <row r="696" customFormat="false" ht="15.75" hidden="false" customHeight="false" outlineLevel="0" collapsed="false">
      <c r="A696" s="12"/>
      <c r="B696" s="34"/>
      <c r="C696" s="12"/>
      <c r="D696" s="12"/>
      <c r="E696" s="12"/>
      <c r="F696" s="12"/>
      <c r="G696" s="18"/>
      <c r="H696" s="35"/>
      <c r="I696" s="12"/>
      <c r="M696" s="12"/>
      <c r="N696" s="18"/>
      <c r="O696" s="12"/>
      <c r="P696" s="12"/>
      <c r="Q696" s="12"/>
      <c r="R696" s="36"/>
      <c r="S696" s="36"/>
      <c r="T696" s="12"/>
      <c r="U696" s="12"/>
      <c r="V696" s="12"/>
      <c r="W696" s="12"/>
      <c r="X696" s="12"/>
    </row>
    <row r="697" customFormat="false" ht="15.75" hidden="false" customHeight="false" outlineLevel="0" collapsed="false">
      <c r="A697" s="12"/>
      <c r="B697" s="34"/>
      <c r="C697" s="12"/>
      <c r="D697" s="12"/>
      <c r="E697" s="12"/>
      <c r="F697" s="12"/>
      <c r="G697" s="18"/>
      <c r="H697" s="35"/>
      <c r="I697" s="12"/>
      <c r="M697" s="12"/>
      <c r="N697" s="18"/>
      <c r="O697" s="12"/>
      <c r="P697" s="12"/>
      <c r="Q697" s="12"/>
      <c r="R697" s="36"/>
      <c r="S697" s="36"/>
      <c r="T697" s="12"/>
      <c r="U697" s="12"/>
      <c r="V697" s="12"/>
      <c r="W697" s="12"/>
      <c r="X697" s="12"/>
    </row>
    <row r="698" customFormat="false" ht="15.75" hidden="false" customHeight="false" outlineLevel="0" collapsed="false">
      <c r="A698" s="12"/>
      <c r="B698" s="34"/>
      <c r="C698" s="12"/>
      <c r="D698" s="12"/>
      <c r="E698" s="12"/>
      <c r="F698" s="12"/>
      <c r="G698" s="18"/>
      <c r="H698" s="35"/>
      <c r="I698" s="12"/>
      <c r="M698" s="12"/>
      <c r="N698" s="18"/>
      <c r="O698" s="12"/>
      <c r="P698" s="12"/>
      <c r="Q698" s="12"/>
      <c r="R698" s="36"/>
      <c r="S698" s="36"/>
      <c r="T698" s="12"/>
      <c r="U698" s="12"/>
      <c r="V698" s="12"/>
      <c r="W698" s="12"/>
      <c r="X698" s="12"/>
    </row>
    <row r="699" customFormat="false" ht="15.75" hidden="false" customHeight="false" outlineLevel="0" collapsed="false">
      <c r="A699" s="12"/>
      <c r="B699" s="34"/>
      <c r="C699" s="12"/>
      <c r="D699" s="12"/>
      <c r="E699" s="12"/>
      <c r="F699" s="12"/>
      <c r="G699" s="18"/>
      <c r="H699" s="35"/>
      <c r="I699" s="12"/>
      <c r="M699" s="12"/>
      <c r="N699" s="18"/>
      <c r="O699" s="12"/>
      <c r="P699" s="12"/>
      <c r="Q699" s="12"/>
      <c r="R699" s="36"/>
      <c r="S699" s="36"/>
      <c r="T699" s="12"/>
      <c r="U699" s="12"/>
      <c r="V699" s="12"/>
      <c r="W699" s="12"/>
      <c r="X699" s="12"/>
    </row>
    <row r="700" customFormat="false" ht="15.75" hidden="false" customHeight="false" outlineLevel="0" collapsed="false">
      <c r="A700" s="12"/>
      <c r="B700" s="34"/>
      <c r="C700" s="12"/>
      <c r="D700" s="12"/>
      <c r="E700" s="12"/>
      <c r="F700" s="12"/>
      <c r="G700" s="18"/>
      <c r="H700" s="35"/>
      <c r="I700" s="12"/>
      <c r="M700" s="12"/>
      <c r="N700" s="18"/>
      <c r="O700" s="12"/>
      <c r="P700" s="12"/>
      <c r="Q700" s="12"/>
      <c r="R700" s="36"/>
      <c r="S700" s="36"/>
      <c r="T700" s="12"/>
      <c r="U700" s="12"/>
      <c r="V700" s="12"/>
      <c r="W700" s="12"/>
      <c r="X700" s="12"/>
    </row>
    <row r="701" customFormat="false" ht="15.75" hidden="false" customHeight="false" outlineLevel="0" collapsed="false">
      <c r="A701" s="12"/>
      <c r="B701" s="34"/>
      <c r="C701" s="12"/>
      <c r="D701" s="12"/>
      <c r="E701" s="12"/>
      <c r="F701" s="12"/>
      <c r="G701" s="18"/>
      <c r="H701" s="35"/>
      <c r="I701" s="12"/>
      <c r="M701" s="12"/>
      <c r="N701" s="18"/>
      <c r="O701" s="12"/>
      <c r="P701" s="12"/>
      <c r="Q701" s="12"/>
      <c r="R701" s="36"/>
      <c r="S701" s="36"/>
      <c r="T701" s="12"/>
      <c r="U701" s="12"/>
      <c r="V701" s="12"/>
      <c r="W701" s="12"/>
      <c r="X701" s="12"/>
    </row>
    <row r="702" customFormat="false" ht="15.75" hidden="false" customHeight="false" outlineLevel="0" collapsed="false">
      <c r="A702" s="12"/>
      <c r="B702" s="34"/>
      <c r="C702" s="12"/>
      <c r="D702" s="12"/>
      <c r="E702" s="12"/>
      <c r="F702" s="12"/>
      <c r="G702" s="18"/>
      <c r="H702" s="35"/>
      <c r="I702" s="12"/>
      <c r="M702" s="12"/>
      <c r="N702" s="18"/>
      <c r="O702" s="12"/>
      <c r="P702" s="12"/>
      <c r="Q702" s="12"/>
      <c r="R702" s="36"/>
      <c r="S702" s="36"/>
      <c r="T702" s="12"/>
      <c r="U702" s="12"/>
      <c r="V702" s="12"/>
      <c r="W702" s="12"/>
      <c r="X702" s="12"/>
    </row>
    <row r="703" customFormat="false" ht="15.75" hidden="false" customHeight="false" outlineLevel="0" collapsed="false">
      <c r="A703" s="12"/>
      <c r="B703" s="34"/>
      <c r="C703" s="12"/>
      <c r="D703" s="12"/>
      <c r="E703" s="12"/>
      <c r="F703" s="12"/>
      <c r="G703" s="18"/>
      <c r="H703" s="35"/>
      <c r="I703" s="12"/>
      <c r="M703" s="12"/>
      <c r="N703" s="18"/>
      <c r="O703" s="12"/>
      <c r="P703" s="12"/>
      <c r="Q703" s="12"/>
      <c r="R703" s="36"/>
      <c r="S703" s="36"/>
      <c r="T703" s="12"/>
      <c r="U703" s="12"/>
      <c r="V703" s="12"/>
      <c r="W703" s="12"/>
      <c r="X703" s="12"/>
    </row>
    <row r="704" customFormat="false" ht="15.75" hidden="false" customHeight="false" outlineLevel="0" collapsed="false">
      <c r="A704" s="12"/>
      <c r="B704" s="34"/>
      <c r="C704" s="12"/>
      <c r="D704" s="12"/>
      <c r="E704" s="12"/>
      <c r="F704" s="12"/>
      <c r="G704" s="18"/>
      <c r="H704" s="35"/>
      <c r="I704" s="12"/>
      <c r="M704" s="12"/>
      <c r="N704" s="18"/>
      <c r="O704" s="12"/>
      <c r="P704" s="12"/>
      <c r="Q704" s="12"/>
      <c r="R704" s="36"/>
      <c r="S704" s="36"/>
      <c r="T704" s="12"/>
      <c r="U704" s="12"/>
      <c r="V704" s="12"/>
      <c r="W704" s="12"/>
      <c r="X704" s="12"/>
    </row>
    <row r="705" customFormat="false" ht="15.75" hidden="false" customHeight="false" outlineLevel="0" collapsed="false">
      <c r="A705" s="12"/>
      <c r="B705" s="34"/>
      <c r="C705" s="12"/>
      <c r="D705" s="12"/>
      <c r="E705" s="12"/>
      <c r="F705" s="12"/>
      <c r="G705" s="18"/>
      <c r="H705" s="35"/>
      <c r="I705" s="12"/>
      <c r="M705" s="12"/>
      <c r="N705" s="18"/>
      <c r="O705" s="12"/>
      <c r="P705" s="12"/>
      <c r="Q705" s="12"/>
      <c r="R705" s="36"/>
      <c r="S705" s="36"/>
      <c r="T705" s="12"/>
      <c r="U705" s="12"/>
      <c r="V705" s="12"/>
      <c r="W705" s="12"/>
      <c r="X705" s="12"/>
    </row>
    <row r="706" customFormat="false" ht="15.75" hidden="false" customHeight="false" outlineLevel="0" collapsed="false">
      <c r="A706" s="12"/>
      <c r="B706" s="34"/>
      <c r="C706" s="12"/>
      <c r="D706" s="12"/>
      <c r="E706" s="12"/>
      <c r="F706" s="12"/>
      <c r="G706" s="18"/>
      <c r="H706" s="35"/>
      <c r="I706" s="12"/>
      <c r="M706" s="12"/>
      <c r="N706" s="18"/>
      <c r="O706" s="12"/>
      <c r="P706" s="12"/>
      <c r="Q706" s="12"/>
      <c r="R706" s="36"/>
      <c r="S706" s="36"/>
      <c r="T706" s="12"/>
      <c r="U706" s="12"/>
      <c r="V706" s="12"/>
      <c r="W706" s="12"/>
      <c r="X706" s="12"/>
    </row>
    <row r="707" customFormat="false" ht="15.75" hidden="false" customHeight="false" outlineLevel="0" collapsed="false">
      <c r="A707" s="12"/>
      <c r="B707" s="34"/>
      <c r="C707" s="12"/>
      <c r="D707" s="12"/>
      <c r="E707" s="12"/>
      <c r="F707" s="12"/>
      <c r="G707" s="18"/>
      <c r="H707" s="35"/>
      <c r="I707" s="12"/>
      <c r="M707" s="12"/>
      <c r="N707" s="18"/>
      <c r="O707" s="12"/>
      <c r="P707" s="12"/>
      <c r="Q707" s="12"/>
      <c r="R707" s="36"/>
      <c r="S707" s="36"/>
      <c r="T707" s="12"/>
      <c r="U707" s="12"/>
      <c r="V707" s="12"/>
      <c r="W707" s="12"/>
      <c r="X707" s="12"/>
    </row>
    <row r="708" customFormat="false" ht="15.75" hidden="false" customHeight="false" outlineLevel="0" collapsed="false">
      <c r="A708" s="12"/>
      <c r="B708" s="34"/>
      <c r="C708" s="12"/>
      <c r="D708" s="12"/>
      <c r="E708" s="12"/>
      <c r="F708" s="12"/>
      <c r="G708" s="18"/>
      <c r="H708" s="35"/>
      <c r="I708" s="12"/>
      <c r="M708" s="12"/>
      <c r="N708" s="18"/>
      <c r="O708" s="12"/>
      <c r="P708" s="12"/>
      <c r="Q708" s="12"/>
      <c r="R708" s="36"/>
      <c r="S708" s="36"/>
      <c r="T708" s="12"/>
      <c r="U708" s="12"/>
      <c r="V708" s="12"/>
      <c r="W708" s="12"/>
      <c r="X708" s="12"/>
    </row>
    <row r="709" customFormat="false" ht="15.75" hidden="false" customHeight="false" outlineLevel="0" collapsed="false">
      <c r="A709" s="12"/>
      <c r="B709" s="34"/>
      <c r="C709" s="12"/>
      <c r="D709" s="12"/>
      <c r="E709" s="12"/>
      <c r="F709" s="12"/>
      <c r="G709" s="18"/>
      <c r="H709" s="35"/>
      <c r="I709" s="12"/>
      <c r="M709" s="12"/>
      <c r="N709" s="18"/>
      <c r="O709" s="12"/>
      <c r="P709" s="12"/>
      <c r="Q709" s="12"/>
      <c r="R709" s="36"/>
      <c r="S709" s="36"/>
      <c r="T709" s="12"/>
      <c r="U709" s="12"/>
      <c r="V709" s="12"/>
      <c r="W709" s="12"/>
      <c r="X709" s="12"/>
    </row>
    <row r="710" customFormat="false" ht="15.75" hidden="false" customHeight="false" outlineLevel="0" collapsed="false">
      <c r="A710" s="12"/>
      <c r="B710" s="34"/>
      <c r="C710" s="12"/>
      <c r="D710" s="12"/>
      <c r="E710" s="12"/>
      <c r="F710" s="12"/>
      <c r="G710" s="18"/>
      <c r="H710" s="35"/>
      <c r="I710" s="12"/>
      <c r="M710" s="12"/>
      <c r="N710" s="18"/>
      <c r="O710" s="12"/>
      <c r="P710" s="12"/>
      <c r="Q710" s="12"/>
      <c r="R710" s="36"/>
      <c r="S710" s="36"/>
      <c r="T710" s="12"/>
      <c r="U710" s="12"/>
      <c r="V710" s="12"/>
      <c r="W710" s="12"/>
      <c r="X710" s="12"/>
    </row>
    <row r="711" customFormat="false" ht="15.75" hidden="false" customHeight="false" outlineLevel="0" collapsed="false">
      <c r="A711" s="12"/>
      <c r="B711" s="34"/>
      <c r="C711" s="12"/>
      <c r="D711" s="12"/>
      <c r="E711" s="12"/>
      <c r="F711" s="12"/>
      <c r="G711" s="18"/>
      <c r="H711" s="35"/>
      <c r="I711" s="12"/>
      <c r="M711" s="12"/>
      <c r="N711" s="18"/>
      <c r="O711" s="12"/>
      <c r="P711" s="12"/>
      <c r="Q711" s="12"/>
      <c r="R711" s="36"/>
      <c r="S711" s="36"/>
      <c r="T711" s="12"/>
      <c r="U711" s="12"/>
      <c r="V711" s="12"/>
      <c r="W711" s="12"/>
      <c r="X711" s="12"/>
    </row>
    <row r="712" customFormat="false" ht="15.75" hidden="false" customHeight="false" outlineLevel="0" collapsed="false">
      <c r="A712" s="12"/>
      <c r="B712" s="34"/>
      <c r="C712" s="12"/>
      <c r="D712" s="12"/>
      <c r="E712" s="12"/>
      <c r="F712" s="12"/>
      <c r="G712" s="18"/>
      <c r="H712" s="35"/>
      <c r="I712" s="12"/>
      <c r="M712" s="12"/>
      <c r="N712" s="18"/>
      <c r="O712" s="12"/>
      <c r="P712" s="12"/>
      <c r="Q712" s="12"/>
      <c r="R712" s="36"/>
      <c r="S712" s="36"/>
      <c r="T712" s="12"/>
      <c r="U712" s="12"/>
      <c r="V712" s="12"/>
      <c r="W712" s="12"/>
      <c r="X712" s="12"/>
    </row>
    <row r="713" customFormat="false" ht="15.75" hidden="false" customHeight="false" outlineLevel="0" collapsed="false">
      <c r="A713" s="12"/>
      <c r="B713" s="34"/>
      <c r="C713" s="12"/>
      <c r="D713" s="12"/>
      <c r="E713" s="12"/>
      <c r="F713" s="12"/>
      <c r="G713" s="18"/>
      <c r="H713" s="35"/>
      <c r="I713" s="12"/>
      <c r="M713" s="12"/>
      <c r="N713" s="18"/>
      <c r="O713" s="12"/>
      <c r="P713" s="12"/>
      <c r="Q713" s="12"/>
      <c r="R713" s="36"/>
      <c r="S713" s="36"/>
      <c r="T713" s="12"/>
      <c r="U713" s="12"/>
      <c r="V713" s="12"/>
      <c r="W713" s="12"/>
      <c r="X713" s="12"/>
    </row>
    <row r="714" customFormat="false" ht="15.75" hidden="false" customHeight="false" outlineLevel="0" collapsed="false">
      <c r="A714" s="12"/>
      <c r="B714" s="34"/>
      <c r="C714" s="12"/>
      <c r="D714" s="12"/>
      <c r="E714" s="12"/>
      <c r="F714" s="12"/>
      <c r="G714" s="18"/>
      <c r="H714" s="35"/>
      <c r="I714" s="12"/>
      <c r="M714" s="12"/>
      <c r="N714" s="18"/>
      <c r="O714" s="12"/>
      <c r="P714" s="12"/>
      <c r="Q714" s="12"/>
      <c r="R714" s="36"/>
      <c r="S714" s="36"/>
      <c r="T714" s="12"/>
      <c r="U714" s="12"/>
      <c r="V714" s="12"/>
      <c r="W714" s="12"/>
      <c r="X714" s="12"/>
    </row>
    <row r="715" customFormat="false" ht="15.75" hidden="false" customHeight="false" outlineLevel="0" collapsed="false">
      <c r="A715" s="12"/>
      <c r="B715" s="34"/>
      <c r="C715" s="12"/>
      <c r="D715" s="12"/>
      <c r="E715" s="12"/>
      <c r="F715" s="12"/>
      <c r="G715" s="18"/>
      <c r="H715" s="35"/>
      <c r="I715" s="12"/>
      <c r="M715" s="12"/>
      <c r="N715" s="18"/>
      <c r="O715" s="12"/>
      <c r="P715" s="12"/>
      <c r="Q715" s="12"/>
      <c r="R715" s="36"/>
      <c r="S715" s="36"/>
      <c r="T715" s="12"/>
      <c r="U715" s="12"/>
      <c r="V715" s="12"/>
      <c r="W715" s="12"/>
      <c r="X715" s="12"/>
    </row>
    <row r="716" customFormat="false" ht="15.75" hidden="false" customHeight="false" outlineLevel="0" collapsed="false">
      <c r="A716" s="12"/>
      <c r="B716" s="34"/>
      <c r="C716" s="12"/>
      <c r="D716" s="12"/>
      <c r="E716" s="12"/>
      <c r="F716" s="12"/>
      <c r="G716" s="18"/>
      <c r="H716" s="35"/>
      <c r="I716" s="12"/>
      <c r="M716" s="12"/>
      <c r="N716" s="18"/>
      <c r="O716" s="12"/>
      <c r="P716" s="12"/>
      <c r="Q716" s="12"/>
      <c r="R716" s="36"/>
      <c r="S716" s="36"/>
      <c r="T716" s="12"/>
      <c r="U716" s="12"/>
      <c r="V716" s="12"/>
      <c r="W716" s="12"/>
      <c r="X716" s="12"/>
    </row>
    <row r="717" customFormat="false" ht="15.75" hidden="false" customHeight="false" outlineLevel="0" collapsed="false">
      <c r="A717" s="12"/>
      <c r="B717" s="34"/>
      <c r="C717" s="12"/>
      <c r="D717" s="12"/>
      <c r="E717" s="12"/>
      <c r="F717" s="12"/>
      <c r="G717" s="18"/>
      <c r="H717" s="35"/>
      <c r="I717" s="12"/>
      <c r="M717" s="12"/>
      <c r="N717" s="18"/>
      <c r="O717" s="12"/>
      <c r="P717" s="12"/>
      <c r="Q717" s="12"/>
      <c r="R717" s="36"/>
      <c r="S717" s="36"/>
      <c r="T717" s="12"/>
      <c r="U717" s="12"/>
      <c r="V717" s="12"/>
      <c r="W717" s="12"/>
      <c r="X717" s="12"/>
    </row>
    <row r="718" customFormat="false" ht="15.75" hidden="false" customHeight="false" outlineLevel="0" collapsed="false">
      <c r="A718" s="12"/>
      <c r="B718" s="34"/>
      <c r="C718" s="12"/>
      <c r="D718" s="12"/>
      <c r="E718" s="12"/>
      <c r="F718" s="12"/>
      <c r="G718" s="18"/>
      <c r="H718" s="35"/>
      <c r="I718" s="12"/>
      <c r="M718" s="12"/>
      <c r="N718" s="18"/>
      <c r="O718" s="12"/>
      <c r="P718" s="12"/>
      <c r="Q718" s="12"/>
      <c r="R718" s="36"/>
      <c r="S718" s="36"/>
      <c r="T718" s="12"/>
      <c r="U718" s="12"/>
      <c r="V718" s="12"/>
      <c r="W718" s="12"/>
      <c r="X718" s="12"/>
    </row>
    <row r="719" customFormat="false" ht="15.75" hidden="false" customHeight="false" outlineLevel="0" collapsed="false">
      <c r="A719" s="12"/>
      <c r="B719" s="34"/>
      <c r="C719" s="12"/>
      <c r="D719" s="12"/>
      <c r="E719" s="12"/>
      <c r="F719" s="12"/>
      <c r="G719" s="18"/>
      <c r="H719" s="35"/>
      <c r="I719" s="12"/>
      <c r="M719" s="12"/>
      <c r="N719" s="18"/>
      <c r="O719" s="12"/>
      <c r="P719" s="12"/>
      <c r="Q719" s="12"/>
      <c r="R719" s="36"/>
      <c r="S719" s="36"/>
      <c r="T719" s="12"/>
      <c r="U719" s="12"/>
      <c r="V719" s="12"/>
      <c r="W719" s="12"/>
      <c r="X719" s="12"/>
    </row>
    <row r="720" customFormat="false" ht="15.75" hidden="false" customHeight="false" outlineLevel="0" collapsed="false">
      <c r="A720" s="12"/>
      <c r="B720" s="34"/>
      <c r="C720" s="12"/>
      <c r="D720" s="12"/>
      <c r="E720" s="12"/>
      <c r="F720" s="12"/>
      <c r="G720" s="18"/>
      <c r="H720" s="35"/>
      <c r="I720" s="12"/>
      <c r="M720" s="12"/>
      <c r="N720" s="18"/>
      <c r="O720" s="12"/>
      <c r="P720" s="12"/>
      <c r="Q720" s="12"/>
      <c r="R720" s="36"/>
      <c r="S720" s="36"/>
      <c r="T720" s="12"/>
      <c r="U720" s="12"/>
      <c r="V720" s="12"/>
      <c r="W720" s="12"/>
      <c r="X720" s="12"/>
    </row>
    <row r="721" customFormat="false" ht="15.75" hidden="false" customHeight="false" outlineLevel="0" collapsed="false">
      <c r="A721" s="12"/>
      <c r="B721" s="34"/>
      <c r="C721" s="12"/>
      <c r="D721" s="12"/>
      <c r="E721" s="12"/>
      <c r="F721" s="12"/>
      <c r="G721" s="18"/>
      <c r="H721" s="35"/>
      <c r="I721" s="12"/>
      <c r="M721" s="12"/>
      <c r="N721" s="18"/>
      <c r="O721" s="12"/>
      <c r="P721" s="12"/>
      <c r="Q721" s="12"/>
      <c r="R721" s="36"/>
      <c r="S721" s="36"/>
      <c r="T721" s="12"/>
      <c r="U721" s="12"/>
      <c r="V721" s="12"/>
      <c r="W721" s="12"/>
      <c r="X721" s="12"/>
    </row>
    <row r="722" customFormat="false" ht="15.75" hidden="false" customHeight="false" outlineLevel="0" collapsed="false">
      <c r="A722" s="12"/>
      <c r="B722" s="34"/>
      <c r="C722" s="12"/>
      <c r="D722" s="12"/>
      <c r="E722" s="12"/>
      <c r="F722" s="12"/>
      <c r="G722" s="18"/>
      <c r="H722" s="35"/>
      <c r="I722" s="12"/>
      <c r="M722" s="12"/>
      <c r="N722" s="18"/>
      <c r="O722" s="12"/>
      <c r="P722" s="12"/>
      <c r="Q722" s="12"/>
      <c r="R722" s="36"/>
      <c r="S722" s="36"/>
      <c r="T722" s="12"/>
      <c r="U722" s="12"/>
      <c r="V722" s="12"/>
      <c r="W722" s="12"/>
      <c r="X722" s="12"/>
    </row>
    <row r="723" customFormat="false" ht="15.75" hidden="false" customHeight="false" outlineLevel="0" collapsed="false">
      <c r="A723" s="12"/>
      <c r="B723" s="34"/>
      <c r="C723" s="12"/>
      <c r="D723" s="12"/>
      <c r="E723" s="12"/>
      <c r="F723" s="12"/>
      <c r="G723" s="18"/>
      <c r="H723" s="35"/>
      <c r="I723" s="12"/>
      <c r="M723" s="12"/>
      <c r="N723" s="18"/>
      <c r="O723" s="12"/>
      <c r="P723" s="12"/>
      <c r="Q723" s="12"/>
      <c r="R723" s="36"/>
      <c r="S723" s="36"/>
      <c r="T723" s="12"/>
      <c r="U723" s="12"/>
      <c r="V723" s="12"/>
      <c r="W723" s="12"/>
      <c r="X723" s="12"/>
    </row>
    <row r="724" customFormat="false" ht="15.75" hidden="false" customHeight="false" outlineLevel="0" collapsed="false">
      <c r="A724" s="12"/>
      <c r="B724" s="34"/>
      <c r="C724" s="12"/>
      <c r="D724" s="12"/>
      <c r="E724" s="12"/>
      <c r="F724" s="12"/>
      <c r="G724" s="18"/>
      <c r="H724" s="35"/>
      <c r="I724" s="12"/>
      <c r="M724" s="12"/>
      <c r="N724" s="18"/>
      <c r="O724" s="12"/>
      <c r="P724" s="12"/>
      <c r="Q724" s="12"/>
      <c r="R724" s="36"/>
      <c r="S724" s="36"/>
      <c r="T724" s="12"/>
      <c r="U724" s="12"/>
      <c r="V724" s="12"/>
      <c r="W724" s="12"/>
      <c r="X724" s="12"/>
    </row>
    <row r="725" customFormat="false" ht="15.75" hidden="false" customHeight="false" outlineLevel="0" collapsed="false">
      <c r="A725" s="12"/>
      <c r="B725" s="34"/>
      <c r="C725" s="12"/>
      <c r="D725" s="12"/>
      <c r="E725" s="12"/>
      <c r="F725" s="12"/>
      <c r="G725" s="18"/>
      <c r="H725" s="35"/>
      <c r="I725" s="12"/>
      <c r="M725" s="12"/>
      <c r="N725" s="18"/>
      <c r="O725" s="12"/>
      <c r="P725" s="12"/>
      <c r="Q725" s="12"/>
      <c r="R725" s="36"/>
      <c r="S725" s="36"/>
      <c r="T725" s="12"/>
      <c r="U725" s="12"/>
      <c r="V725" s="12"/>
      <c r="W725" s="12"/>
      <c r="X725" s="12"/>
    </row>
    <row r="726" customFormat="false" ht="15.75" hidden="false" customHeight="false" outlineLevel="0" collapsed="false">
      <c r="A726" s="12"/>
      <c r="B726" s="34"/>
      <c r="C726" s="12"/>
      <c r="D726" s="12"/>
      <c r="E726" s="12"/>
      <c r="F726" s="12"/>
      <c r="G726" s="18"/>
      <c r="H726" s="35"/>
      <c r="I726" s="12"/>
      <c r="M726" s="12"/>
      <c r="N726" s="18"/>
      <c r="O726" s="12"/>
      <c r="P726" s="12"/>
      <c r="Q726" s="12"/>
      <c r="R726" s="36"/>
      <c r="S726" s="36"/>
      <c r="T726" s="12"/>
      <c r="U726" s="12"/>
      <c r="V726" s="12"/>
      <c r="W726" s="12"/>
      <c r="X726" s="12"/>
    </row>
    <row r="727" customFormat="false" ht="15.75" hidden="false" customHeight="false" outlineLevel="0" collapsed="false">
      <c r="A727" s="12"/>
      <c r="B727" s="34"/>
      <c r="C727" s="12"/>
      <c r="D727" s="12"/>
      <c r="E727" s="12"/>
      <c r="F727" s="12"/>
      <c r="G727" s="18"/>
      <c r="H727" s="35"/>
      <c r="I727" s="12"/>
      <c r="M727" s="12"/>
      <c r="N727" s="18"/>
      <c r="O727" s="12"/>
      <c r="P727" s="12"/>
      <c r="Q727" s="12"/>
      <c r="R727" s="36"/>
      <c r="S727" s="36"/>
      <c r="T727" s="12"/>
      <c r="U727" s="12"/>
      <c r="V727" s="12"/>
      <c r="W727" s="12"/>
      <c r="X727" s="12"/>
    </row>
    <row r="728" customFormat="false" ht="15.75" hidden="false" customHeight="false" outlineLevel="0" collapsed="false">
      <c r="A728" s="12"/>
      <c r="B728" s="34"/>
      <c r="C728" s="12"/>
      <c r="D728" s="12"/>
      <c r="E728" s="12"/>
      <c r="F728" s="12"/>
      <c r="G728" s="18"/>
      <c r="H728" s="35"/>
      <c r="I728" s="12"/>
      <c r="M728" s="12"/>
      <c r="N728" s="18"/>
      <c r="O728" s="12"/>
      <c r="P728" s="12"/>
      <c r="Q728" s="12"/>
      <c r="R728" s="36"/>
      <c r="S728" s="36"/>
      <c r="T728" s="12"/>
      <c r="U728" s="12"/>
      <c r="V728" s="12"/>
      <c r="W728" s="12"/>
      <c r="X728" s="12"/>
    </row>
    <row r="729" customFormat="false" ht="15.75" hidden="false" customHeight="false" outlineLevel="0" collapsed="false">
      <c r="A729" s="12"/>
      <c r="B729" s="34"/>
      <c r="C729" s="12"/>
      <c r="D729" s="12"/>
      <c r="E729" s="12"/>
      <c r="F729" s="12"/>
      <c r="G729" s="18"/>
      <c r="H729" s="35"/>
      <c r="I729" s="12"/>
      <c r="M729" s="12"/>
      <c r="N729" s="18"/>
      <c r="O729" s="12"/>
      <c r="P729" s="12"/>
      <c r="Q729" s="12"/>
      <c r="R729" s="36"/>
      <c r="S729" s="36"/>
      <c r="T729" s="12"/>
      <c r="U729" s="12"/>
      <c r="V729" s="12"/>
      <c r="W729" s="12"/>
      <c r="X729" s="12"/>
    </row>
    <row r="730" customFormat="false" ht="15.75" hidden="false" customHeight="false" outlineLevel="0" collapsed="false">
      <c r="A730" s="12"/>
      <c r="B730" s="34"/>
      <c r="C730" s="12"/>
      <c r="D730" s="12"/>
      <c r="E730" s="12"/>
      <c r="F730" s="12"/>
      <c r="G730" s="18"/>
      <c r="H730" s="35"/>
      <c r="I730" s="12"/>
      <c r="M730" s="12"/>
      <c r="N730" s="18"/>
      <c r="O730" s="12"/>
      <c r="P730" s="12"/>
      <c r="Q730" s="12"/>
      <c r="R730" s="36"/>
      <c r="S730" s="36"/>
      <c r="T730" s="12"/>
      <c r="U730" s="12"/>
      <c r="V730" s="12"/>
      <c r="W730" s="12"/>
      <c r="X730" s="12"/>
    </row>
    <row r="731" customFormat="false" ht="15.75" hidden="false" customHeight="false" outlineLevel="0" collapsed="false">
      <c r="A731" s="12"/>
      <c r="B731" s="34"/>
      <c r="C731" s="12"/>
      <c r="D731" s="12"/>
      <c r="E731" s="12"/>
      <c r="F731" s="12"/>
      <c r="G731" s="18"/>
      <c r="H731" s="35"/>
      <c r="I731" s="12"/>
      <c r="M731" s="12"/>
      <c r="N731" s="18"/>
      <c r="O731" s="12"/>
      <c r="P731" s="12"/>
      <c r="Q731" s="12"/>
      <c r="R731" s="36"/>
      <c r="S731" s="36"/>
      <c r="T731" s="12"/>
      <c r="U731" s="12"/>
      <c r="V731" s="12"/>
      <c r="W731" s="12"/>
      <c r="X731" s="12"/>
    </row>
    <row r="732" customFormat="false" ht="15.75" hidden="false" customHeight="false" outlineLevel="0" collapsed="false">
      <c r="A732" s="12"/>
      <c r="B732" s="34"/>
      <c r="C732" s="12"/>
      <c r="D732" s="12"/>
      <c r="E732" s="12"/>
      <c r="F732" s="12"/>
      <c r="G732" s="18"/>
      <c r="H732" s="35"/>
      <c r="I732" s="12"/>
      <c r="M732" s="12"/>
      <c r="N732" s="18"/>
      <c r="O732" s="12"/>
      <c r="P732" s="12"/>
      <c r="Q732" s="12"/>
      <c r="R732" s="36"/>
      <c r="S732" s="36"/>
      <c r="T732" s="12"/>
      <c r="U732" s="12"/>
      <c r="V732" s="12"/>
      <c r="W732" s="12"/>
      <c r="X732" s="12"/>
    </row>
    <row r="733" customFormat="false" ht="15.75" hidden="false" customHeight="false" outlineLevel="0" collapsed="false">
      <c r="A733" s="12"/>
      <c r="B733" s="34"/>
      <c r="C733" s="12"/>
      <c r="D733" s="12"/>
      <c r="E733" s="12"/>
      <c r="F733" s="12"/>
      <c r="G733" s="18"/>
      <c r="H733" s="35"/>
      <c r="I733" s="12"/>
      <c r="M733" s="12"/>
      <c r="N733" s="18"/>
      <c r="O733" s="12"/>
      <c r="P733" s="12"/>
      <c r="Q733" s="12"/>
      <c r="R733" s="36"/>
      <c r="S733" s="36"/>
      <c r="T733" s="12"/>
      <c r="U733" s="12"/>
      <c r="V733" s="12"/>
      <c r="W733" s="12"/>
      <c r="X733" s="12"/>
    </row>
    <row r="734" customFormat="false" ht="15.75" hidden="false" customHeight="false" outlineLevel="0" collapsed="false">
      <c r="A734" s="12"/>
      <c r="B734" s="34"/>
      <c r="C734" s="12"/>
      <c r="D734" s="12"/>
      <c r="E734" s="12"/>
      <c r="F734" s="12"/>
      <c r="G734" s="18"/>
      <c r="H734" s="35"/>
      <c r="I734" s="12"/>
      <c r="M734" s="12"/>
      <c r="N734" s="18"/>
      <c r="O734" s="12"/>
      <c r="P734" s="12"/>
      <c r="Q734" s="12"/>
      <c r="R734" s="36"/>
      <c r="S734" s="36"/>
      <c r="T734" s="12"/>
      <c r="U734" s="12"/>
      <c r="V734" s="12"/>
      <c r="W734" s="12"/>
      <c r="X734" s="12"/>
    </row>
    <row r="735" customFormat="false" ht="15.75" hidden="false" customHeight="false" outlineLevel="0" collapsed="false">
      <c r="A735" s="12"/>
      <c r="B735" s="34"/>
      <c r="C735" s="12"/>
      <c r="D735" s="12"/>
      <c r="E735" s="12"/>
      <c r="F735" s="12"/>
      <c r="G735" s="18"/>
      <c r="H735" s="35"/>
      <c r="I735" s="12"/>
      <c r="M735" s="12"/>
      <c r="N735" s="18"/>
      <c r="O735" s="12"/>
      <c r="P735" s="12"/>
      <c r="Q735" s="12"/>
      <c r="R735" s="36"/>
      <c r="S735" s="36"/>
      <c r="T735" s="12"/>
      <c r="U735" s="12"/>
      <c r="V735" s="12"/>
      <c r="W735" s="12"/>
      <c r="X735" s="12"/>
    </row>
    <row r="736" customFormat="false" ht="15.75" hidden="false" customHeight="false" outlineLevel="0" collapsed="false">
      <c r="A736" s="12"/>
      <c r="B736" s="34"/>
      <c r="C736" s="12"/>
      <c r="D736" s="12"/>
      <c r="E736" s="12"/>
      <c r="F736" s="12"/>
      <c r="G736" s="18"/>
      <c r="H736" s="35"/>
      <c r="I736" s="12"/>
      <c r="M736" s="12"/>
      <c r="N736" s="18"/>
      <c r="O736" s="12"/>
      <c r="P736" s="12"/>
      <c r="Q736" s="12"/>
      <c r="R736" s="36"/>
      <c r="S736" s="36"/>
      <c r="T736" s="12"/>
      <c r="U736" s="12"/>
      <c r="V736" s="12"/>
      <c r="W736" s="12"/>
      <c r="X736" s="12"/>
    </row>
    <row r="737" customFormat="false" ht="15.75" hidden="false" customHeight="false" outlineLevel="0" collapsed="false">
      <c r="A737" s="12"/>
      <c r="B737" s="34"/>
      <c r="C737" s="12"/>
      <c r="D737" s="12"/>
      <c r="E737" s="12"/>
      <c r="F737" s="12"/>
      <c r="G737" s="18"/>
      <c r="H737" s="35"/>
      <c r="I737" s="12"/>
      <c r="M737" s="12"/>
      <c r="N737" s="18"/>
      <c r="O737" s="12"/>
      <c r="P737" s="12"/>
      <c r="Q737" s="12"/>
      <c r="R737" s="36"/>
      <c r="S737" s="36"/>
      <c r="T737" s="12"/>
      <c r="U737" s="12"/>
      <c r="V737" s="12"/>
      <c r="W737" s="12"/>
      <c r="X737" s="12"/>
    </row>
    <row r="738" customFormat="false" ht="15.75" hidden="false" customHeight="false" outlineLevel="0" collapsed="false">
      <c r="A738" s="12"/>
      <c r="B738" s="34"/>
      <c r="C738" s="12"/>
      <c r="D738" s="12"/>
      <c r="E738" s="12"/>
      <c r="F738" s="12"/>
      <c r="G738" s="18"/>
      <c r="H738" s="35"/>
      <c r="I738" s="12"/>
      <c r="M738" s="12"/>
      <c r="N738" s="18"/>
      <c r="O738" s="12"/>
      <c r="P738" s="12"/>
      <c r="Q738" s="12"/>
      <c r="R738" s="36"/>
      <c r="S738" s="36"/>
      <c r="T738" s="12"/>
      <c r="U738" s="12"/>
      <c r="V738" s="12"/>
      <c r="W738" s="12"/>
      <c r="X738" s="12"/>
    </row>
    <row r="739" customFormat="false" ht="15.75" hidden="false" customHeight="false" outlineLevel="0" collapsed="false">
      <c r="A739" s="12"/>
      <c r="B739" s="34"/>
      <c r="C739" s="12"/>
      <c r="D739" s="12"/>
      <c r="E739" s="12"/>
      <c r="F739" s="12"/>
      <c r="G739" s="18"/>
      <c r="H739" s="35"/>
      <c r="I739" s="12"/>
      <c r="M739" s="12"/>
      <c r="N739" s="18"/>
      <c r="O739" s="12"/>
      <c r="P739" s="12"/>
      <c r="Q739" s="12"/>
      <c r="R739" s="36"/>
      <c r="S739" s="36"/>
      <c r="T739" s="12"/>
      <c r="U739" s="12"/>
      <c r="V739" s="12"/>
      <c r="W739" s="12"/>
      <c r="X739" s="12"/>
    </row>
    <row r="740" customFormat="false" ht="15.75" hidden="false" customHeight="false" outlineLevel="0" collapsed="false">
      <c r="A740" s="12"/>
      <c r="B740" s="34"/>
      <c r="C740" s="12"/>
      <c r="D740" s="12"/>
      <c r="E740" s="12"/>
      <c r="F740" s="12"/>
      <c r="G740" s="18"/>
      <c r="H740" s="35"/>
      <c r="I740" s="12"/>
      <c r="M740" s="12"/>
      <c r="N740" s="18"/>
      <c r="O740" s="12"/>
      <c r="P740" s="12"/>
      <c r="Q740" s="12"/>
      <c r="R740" s="36"/>
      <c r="S740" s="36"/>
      <c r="T740" s="12"/>
      <c r="U740" s="12"/>
      <c r="V740" s="12"/>
      <c r="W740" s="12"/>
      <c r="X740" s="12"/>
    </row>
    <row r="741" customFormat="false" ht="15.75" hidden="false" customHeight="false" outlineLevel="0" collapsed="false">
      <c r="A741" s="12"/>
      <c r="B741" s="34"/>
      <c r="C741" s="12"/>
      <c r="D741" s="12"/>
      <c r="E741" s="12"/>
      <c r="F741" s="12"/>
      <c r="G741" s="18"/>
      <c r="H741" s="35"/>
      <c r="I741" s="12"/>
      <c r="M741" s="12"/>
      <c r="N741" s="18"/>
      <c r="O741" s="12"/>
      <c r="P741" s="12"/>
      <c r="Q741" s="12"/>
      <c r="R741" s="36"/>
      <c r="S741" s="36"/>
      <c r="T741" s="12"/>
      <c r="U741" s="12"/>
      <c r="V741" s="12"/>
      <c r="W741" s="12"/>
      <c r="X741" s="12"/>
    </row>
    <row r="742" customFormat="false" ht="15.75" hidden="false" customHeight="false" outlineLevel="0" collapsed="false">
      <c r="A742" s="12"/>
      <c r="B742" s="34"/>
      <c r="C742" s="12"/>
      <c r="D742" s="12"/>
      <c r="E742" s="12"/>
      <c r="F742" s="12"/>
      <c r="G742" s="18"/>
      <c r="H742" s="35"/>
      <c r="I742" s="12"/>
      <c r="M742" s="12"/>
      <c r="N742" s="18"/>
      <c r="O742" s="12"/>
      <c r="P742" s="12"/>
      <c r="Q742" s="12"/>
      <c r="R742" s="36"/>
      <c r="S742" s="36"/>
      <c r="T742" s="12"/>
      <c r="U742" s="12"/>
      <c r="V742" s="12"/>
      <c r="W742" s="12"/>
      <c r="X742" s="12"/>
    </row>
    <row r="743" customFormat="false" ht="15.75" hidden="false" customHeight="false" outlineLevel="0" collapsed="false">
      <c r="A743" s="12"/>
      <c r="B743" s="34"/>
      <c r="C743" s="12"/>
      <c r="D743" s="12"/>
      <c r="E743" s="12"/>
      <c r="F743" s="12"/>
      <c r="G743" s="18"/>
      <c r="H743" s="35"/>
      <c r="I743" s="12"/>
      <c r="M743" s="12"/>
      <c r="N743" s="18"/>
      <c r="O743" s="12"/>
      <c r="P743" s="12"/>
      <c r="Q743" s="12"/>
      <c r="R743" s="36"/>
      <c r="S743" s="36"/>
      <c r="T743" s="12"/>
      <c r="U743" s="12"/>
      <c r="V743" s="12"/>
      <c r="W743" s="12"/>
      <c r="X743" s="12"/>
    </row>
    <row r="744" customFormat="false" ht="15.75" hidden="false" customHeight="false" outlineLevel="0" collapsed="false">
      <c r="A744" s="12"/>
      <c r="B744" s="34"/>
      <c r="C744" s="12"/>
      <c r="D744" s="12"/>
      <c r="E744" s="12"/>
      <c r="F744" s="12"/>
      <c r="G744" s="18"/>
      <c r="H744" s="35"/>
      <c r="I744" s="12"/>
      <c r="M744" s="12"/>
      <c r="N744" s="18"/>
      <c r="O744" s="12"/>
      <c r="P744" s="12"/>
      <c r="Q744" s="12"/>
      <c r="R744" s="36"/>
      <c r="S744" s="36"/>
      <c r="T744" s="12"/>
      <c r="U744" s="12"/>
      <c r="V744" s="12"/>
      <c r="W744" s="12"/>
      <c r="X744" s="12"/>
    </row>
    <row r="745" customFormat="false" ht="15.75" hidden="false" customHeight="false" outlineLevel="0" collapsed="false">
      <c r="A745" s="12"/>
      <c r="B745" s="34"/>
      <c r="C745" s="12"/>
      <c r="D745" s="12"/>
      <c r="E745" s="12"/>
      <c r="F745" s="12"/>
      <c r="G745" s="18"/>
      <c r="H745" s="35"/>
      <c r="I745" s="12"/>
      <c r="M745" s="12"/>
      <c r="N745" s="18"/>
      <c r="O745" s="12"/>
      <c r="P745" s="12"/>
      <c r="Q745" s="12"/>
      <c r="R745" s="36"/>
      <c r="S745" s="36"/>
      <c r="T745" s="12"/>
      <c r="U745" s="12"/>
      <c r="V745" s="12"/>
      <c r="W745" s="12"/>
      <c r="X745" s="12"/>
    </row>
    <row r="746" customFormat="false" ht="15.75" hidden="false" customHeight="false" outlineLevel="0" collapsed="false">
      <c r="A746" s="12"/>
      <c r="B746" s="34"/>
      <c r="C746" s="12"/>
      <c r="D746" s="12"/>
      <c r="E746" s="12"/>
      <c r="F746" s="12"/>
      <c r="G746" s="18"/>
      <c r="H746" s="35"/>
      <c r="I746" s="12"/>
      <c r="M746" s="12"/>
      <c r="N746" s="18"/>
      <c r="O746" s="12"/>
      <c r="P746" s="12"/>
      <c r="Q746" s="12"/>
      <c r="R746" s="36"/>
      <c r="S746" s="36"/>
      <c r="T746" s="12"/>
      <c r="U746" s="12"/>
      <c r="V746" s="12"/>
      <c r="W746" s="12"/>
      <c r="X746" s="12"/>
    </row>
    <row r="747" customFormat="false" ht="15.75" hidden="false" customHeight="false" outlineLevel="0" collapsed="false">
      <c r="A747" s="12"/>
      <c r="B747" s="34"/>
      <c r="C747" s="12"/>
      <c r="D747" s="12"/>
      <c r="E747" s="12"/>
      <c r="F747" s="12"/>
      <c r="G747" s="18"/>
      <c r="H747" s="35"/>
      <c r="I747" s="12"/>
      <c r="M747" s="12"/>
      <c r="N747" s="18"/>
      <c r="O747" s="12"/>
      <c r="P747" s="12"/>
      <c r="Q747" s="12"/>
      <c r="R747" s="36"/>
      <c r="S747" s="36"/>
      <c r="T747" s="12"/>
      <c r="U747" s="12"/>
      <c r="V747" s="12"/>
      <c r="W747" s="12"/>
      <c r="X747" s="12"/>
    </row>
    <row r="748" customFormat="false" ht="15.75" hidden="false" customHeight="false" outlineLevel="0" collapsed="false">
      <c r="A748" s="12"/>
      <c r="B748" s="34"/>
      <c r="C748" s="12"/>
      <c r="D748" s="12"/>
      <c r="E748" s="12"/>
      <c r="F748" s="12"/>
      <c r="G748" s="18"/>
      <c r="H748" s="35"/>
      <c r="I748" s="12"/>
      <c r="M748" s="12"/>
      <c r="N748" s="18"/>
      <c r="O748" s="12"/>
      <c r="P748" s="12"/>
      <c r="Q748" s="12"/>
      <c r="R748" s="36"/>
      <c r="S748" s="36"/>
      <c r="T748" s="12"/>
      <c r="U748" s="12"/>
      <c r="V748" s="12"/>
      <c r="W748" s="12"/>
      <c r="X748" s="12"/>
    </row>
    <row r="749" customFormat="false" ht="15.75" hidden="false" customHeight="false" outlineLevel="0" collapsed="false">
      <c r="A749" s="12"/>
      <c r="B749" s="34"/>
      <c r="C749" s="12"/>
      <c r="D749" s="12"/>
      <c r="E749" s="12"/>
      <c r="F749" s="12"/>
      <c r="G749" s="18"/>
      <c r="H749" s="35"/>
      <c r="I749" s="12"/>
      <c r="M749" s="12"/>
      <c r="N749" s="18"/>
      <c r="O749" s="12"/>
      <c r="P749" s="12"/>
      <c r="Q749" s="12"/>
      <c r="R749" s="36"/>
      <c r="S749" s="36"/>
      <c r="T749" s="12"/>
      <c r="U749" s="12"/>
      <c r="V749" s="12"/>
      <c r="W749" s="12"/>
      <c r="X749" s="12"/>
    </row>
    <row r="750" customFormat="false" ht="15.75" hidden="false" customHeight="false" outlineLevel="0" collapsed="false">
      <c r="A750" s="12"/>
      <c r="B750" s="34"/>
      <c r="C750" s="12"/>
      <c r="D750" s="12"/>
      <c r="E750" s="12"/>
      <c r="F750" s="12"/>
      <c r="G750" s="18"/>
      <c r="H750" s="35"/>
      <c r="I750" s="12"/>
      <c r="M750" s="12"/>
      <c r="N750" s="18"/>
      <c r="O750" s="12"/>
      <c r="P750" s="12"/>
      <c r="Q750" s="12"/>
      <c r="R750" s="36"/>
      <c r="S750" s="36"/>
      <c r="T750" s="12"/>
      <c r="U750" s="12"/>
      <c r="V750" s="12"/>
      <c r="W750" s="12"/>
      <c r="X750" s="12"/>
    </row>
    <row r="751" customFormat="false" ht="15.75" hidden="false" customHeight="false" outlineLevel="0" collapsed="false">
      <c r="A751" s="12"/>
      <c r="B751" s="34"/>
      <c r="C751" s="12"/>
      <c r="D751" s="12"/>
      <c r="E751" s="12"/>
      <c r="F751" s="12"/>
      <c r="G751" s="18"/>
      <c r="H751" s="35"/>
      <c r="I751" s="12"/>
      <c r="M751" s="12"/>
      <c r="N751" s="18"/>
      <c r="O751" s="12"/>
      <c r="P751" s="12"/>
      <c r="Q751" s="12"/>
      <c r="R751" s="36"/>
      <c r="S751" s="36"/>
      <c r="T751" s="12"/>
      <c r="U751" s="12"/>
      <c r="V751" s="12"/>
      <c r="W751" s="12"/>
      <c r="X751" s="12"/>
    </row>
    <row r="752" customFormat="false" ht="15.75" hidden="false" customHeight="false" outlineLevel="0" collapsed="false">
      <c r="A752" s="12"/>
      <c r="B752" s="34"/>
      <c r="C752" s="12"/>
      <c r="D752" s="12"/>
      <c r="E752" s="12"/>
      <c r="F752" s="12"/>
      <c r="G752" s="18"/>
      <c r="H752" s="35"/>
      <c r="I752" s="12"/>
      <c r="M752" s="12"/>
      <c r="N752" s="18"/>
      <c r="O752" s="12"/>
      <c r="P752" s="12"/>
      <c r="Q752" s="12"/>
      <c r="R752" s="36"/>
      <c r="S752" s="36"/>
      <c r="T752" s="12"/>
      <c r="U752" s="12"/>
      <c r="V752" s="12"/>
      <c r="W752" s="12"/>
      <c r="X752" s="12"/>
    </row>
    <row r="753" customFormat="false" ht="15.75" hidden="false" customHeight="false" outlineLevel="0" collapsed="false">
      <c r="A753" s="12"/>
      <c r="B753" s="34"/>
      <c r="C753" s="12"/>
      <c r="D753" s="12"/>
      <c r="E753" s="12"/>
      <c r="F753" s="12"/>
      <c r="G753" s="18"/>
      <c r="H753" s="35"/>
      <c r="I753" s="12"/>
      <c r="M753" s="12"/>
      <c r="N753" s="18"/>
      <c r="O753" s="12"/>
      <c r="P753" s="12"/>
      <c r="Q753" s="12"/>
      <c r="R753" s="36"/>
      <c r="S753" s="36"/>
      <c r="T753" s="12"/>
      <c r="U753" s="12"/>
      <c r="V753" s="12"/>
      <c r="W753" s="12"/>
      <c r="X753" s="12"/>
    </row>
    <row r="754" customFormat="false" ht="15.75" hidden="false" customHeight="false" outlineLevel="0" collapsed="false">
      <c r="A754" s="12"/>
      <c r="B754" s="34"/>
      <c r="C754" s="12"/>
      <c r="D754" s="12"/>
      <c r="E754" s="12"/>
      <c r="F754" s="12"/>
      <c r="G754" s="18"/>
      <c r="H754" s="35"/>
      <c r="I754" s="12"/>
      <c r="M754" s="12"/>
      <c r="N754" s="18"/>
      <c r="O754" s="12"/>
      <c r="P754" s="12"/>
      <c r="Q754" s="12"/>
      <c r="R754" s="36"/>
      <c r="S754" s="36"/>
      <c r="T754" s="12"/>
      <c r="U754" s="12"/>
      <c r="V754" s="12"/>
      <c r="W754" s="12"/>
      <c r="X754" s="12"/>
    </row>
    <row r="755" customFormat="false" ht="15.75" hidden="false" customHeight="false" outlineLevel="0" collapsed="false">
      <c r="A755" s="12"/>
      <c r="B755" s="34"/>
      <c r="C755" s="12"/>
      <c r="D755" s="12"/>
      <c r="E755" s="12"/>
      <c r="F755" s="12"/>
      <c r="G755" s="18"/>
      <c r="H755" s="35"/>
      <c r="I755" s="12"/>
      <c r="M755" s="12"/>
      <c r="N755" s="18"/>
      <c r="O755" s="12"/>
      <c r="P755" s="12"/>
      <c r="Q755" s="12"/>
      <c r="R755" s="36"/>
      <c r="S755" s="36"/>
      <c r="T755" s="12"/>
      <c r="U755" s="12"/>
      <c r="V755" s="12"/>
      <c r="W755" s="12"/>
      <c r="X755" s="12"/>
    </row>
    <row r="756" customFormat="false" ht="15.75" hidden="false" customHeight="false" outlineLevel="0" collapsed="false">
      <c r="A756" s="12"/>
      <c r="B756" s="34"/>
      <c r="C756" s="12"/>
      <c r="D756" s="12"/>
      <c r="E756" s="12"/>
      <c r="F756" s="12"/>
      <c r="G756" s="18"/>
      <c r="H756" s="35"/>
      <c r="I756" s="12"/>
      <c r="M756" s="12"/>
      <c r="N756" s="18"/>
      <c r="O756" s="12"/>
      <c r="P756" s="12"/>
      <c r="Q756" s="12"/>
      <c r="R756" s="36"/>
      <c r="S756" s="36"/>
      <c r="T756" s="12"/>
      <c r="U756" s="12"/>
      <c r="V756" s="12"/>
      <c r="W756" s="12"/>
      <c r="X756" s="12"/>
    </row>
    <row r="757" customFormat="false" ht="15.75" hidden="false" customHeight="false" outlineLevel="0" collapsed="false">
      <c r="A757" s="12"/>
      <c r="B757" s="34"/>
      <c r="C757" s="12"/>
      <c r="D757" s="12"/>
      <c r="E757" s="12"/>
      <c r="F757" s="12"/>
      <c r="G757" s="18"/>
      <c r="H757" s="35"/>
      <c r="I757" s="12"/>
      <c r="M757" s="12"/>
      <c r="N757" s="18"/>
      <c r="O757" s="12"/>
      <c r="P757" s="12"/>
      <c r="Q757" s="12"/>
      <c r="R757" s="36"/>
      <c r="S757" s="36"/>
      <c r="T757" s="12"/>
      <c r="U757" s="12"/>
      <c r="V757" s="12"/>
      <c r="W757" s="12"/>
      <c r="X757" s="12"/>
    </row>
    <row r="758" customFormat="false" ht="15.75" hidden="false" customHeight="false" outlineLevel="0" collapsed="false">
      <c r="A758" s="12"/>
      <c r="B758" s="34"/>
      <c r="C758" s="12"/>
      <c r="D758" s="12"/>
      <c r="E758" s="12"/>
      <c r="F758" s="12"/>
      <c r="G758" s="18"/>
      <c r="H758" s="35"/>
      <c r="I758" s="12"/>
      <c r="M758" s="12"/>
      <c r="N758" s="18"/>
      <c r="O758" s="12"/>
      <c r="P758" s="12"/>
      <c r="Q758" s="12"/>
      <c r="R758" s="36"/>
      <c r="S758" s="36"/>
      <c r="T758" s="12"/>
      <c r="U758" s="12"/>
      <c r="V758" s="12"/>
      <c r="W758" s="12"/>
      <c r="X758" s="12"/>
    </row>
    <row r="759" customFormat="false" ht="15.75" hidden="false" customHeight="false" outlineLevel="0" collapsed="false">
      <c r="A759" s="12"/>
      <c r="B759" s="34"/>
      <c r="C759" s="12"/>
      <c r="D759" s="12"/>
      <c r="E759" s="12"/>
      <c r="F759" s="12"/>
      <c r="G759" s="18"/>
      <c r="H759" s="35"/>
      <c r="I759" s="12"/>
      <c r="M759" s="12"/>
      <c r="N759" s="18"/>
      <c r="O759" s="12"/>
      <c r="P759" s="12"/>
      <c r="Q759" s="12"/>
      <c r="R759" s="36"/>
      <c r="S759" s="36"/>
      <c r="T759" s="12"/>
      <c r="U759" s="12"/>
      <c r="V759" s="12"/>
      <c r="W759" s="12"/>
      <c r="X759" s="12"/>
    </row>
    <row r="760" customFormat="false" ht="15.75" hidden="false" customHeight="false" outlineLevel="0" collapsed="false">
      <c r="A760" s="12"/>
      <c r="B760" s="34"/>
      <c r="C760" s="12"/>
      <c r="D760" s="12"/>
      <c r="E760" s="12"/>
      <c r="F760" s="12"/>
      <c r="G760" s="18"/>
      <c r="H760" s="35"/>
      <c r="I760" s="12"/>
      <c r="M760" s="12"/>
      <c r="N760" s="18"/>
      <c r="O760" s="12"/>
      <c r="P760" s="12"/>
      <c r="Q760" s="12"/>
      <c r="R760" s="36"/>
      <c r="S760" s="36"/>
      <c r="T760" s="12"/>
      <c r="U760" s="12"/>
      <c r="V760" s="12"/>
      <c r="W760" s="12"/>
      <c r="X760" s="12"/>
    </row>
    <row r="761" customFormat="false" ht="15.75" hidden="false" customHeight="false" outlineLevel="0" collapsed="false">
      <c r="A761" s="12"/>
      <c r="B761" s="34"/>
      <c r="C761" s="12"/>
      <c r="D761" s="12"/>
      <c r="E761" s="12"/>
      <c r="F761" s="12"/>
      <c r="G761" s="18"/>
      <c r="H761" s="35"/>
      <c r="I761" s="12"/>
      <c r="M761" s="12"/>
      <c r="N761" s="18"/>
      <c r="O761" s="12"/>
      <c r="P761" s="12"/>
      <c r="Q761" s="12"/>
      <c r="R761" s="36"/>
      <c r="S761" s="36"/>
      <c r="T761" s="12"/>
      <c r="U761" s="12"/>
      <c r="V761" s="12"/>
      <c r="W761" s="12"/>
      <c r="X761" s="12"/>
    </row>
    <row r="762" customFormat="false" ht="15.75" hidden="false" customHeight="false" outlineLevel="0" collapsed="false">
      <c r="A762" s="12"/>
      <c r="B762" s="34"/>
      <c r="C762" s="12"/>
      <c r="D762" s="12"/>
      <c r="E762" s="12"/>
      <c r="F762" s="12"/>
      <c r="G762" s="18"/>
      <c r="H762" s="35"/>
      <c r="I762" s="12"/>
      <c r="M762" s="12"/>
      <c r="N762" s="18"/>
      <c r="O762" s="12"/>
      <c r="P762" s="12"/>
      <c r="Q762" s="12"/>
      <c r="R762" s="36"/>
      <c r="S762" s="36"/>
      <c r="T762" s="12"/>
      <c r="U762" s="12"/>
      <c r="V762" s="12"/>
      <c r="W762" s="12"/>
      <c r="X762" s="12"/>
    </row>
    <row r="763" customFormat="false" ht="15.75" hidden="false" customHeight="false" outlineLevel="0" collapsed="false">
      <c r="A763" s="12"/>
      <c r="B763" s="34"/>
      <c r="C763" s="12"/>
      <c r="D763" s="12"/>
      <c r="E763" s="12"/>
      <c r="F763" s="12"/>
      <c r="G763" s="18"/>
      <c r="H763" s="35"/>
      <c r="I763" s="12"/>
      <c r="M763" s="12"/>
      <c r="N763" s="18"/>
      <c r="O763" s="12"/>
      <c r="P763" s="12"/>
      <c r="Q763" s="12"/>
      <c r="R763" s="36"/>
      <c r="S763" s="36"/>
      <c r="T763" s="12"/>
      <c r="U763" s="12"/>
      <c r="V763" s="12"/>
      <c r="W763" s="12"/>
      <c r="X763" s="12"/>
    </row>
    <row r="764" customFormat="false" ht="15.75" hidden="false" customHeight="false" outlineLevel="0" collapsed="false">
      <c r="A764" s="12"/>
      <c r="B764" s="34"/>
      <c r="C764" s="12"/>
      <c r="D764" s="12"/>
      <c r="E764" s="12"/>
      <c r="F764" s="12"/>
      <c r="G764" s="18"/>
      <c r="H764" s="35"/>
      <c r="I764" s="12"/>
      <c r="M764" s="12"/>
      <c r="N764" s="18"/>
      <c r="O764" s="12"/>
      <c r="P764" s="12"/>
      <c r="Q764" s="12"/>
      <c r="R764" s="36"/>
      <c r="S764" s="36"/>
      <c r="T764" s="12"/>
      <c r="U764" s="12"/>
      <c r="V764" s="12"/>
      <c r="W764" s="12"/>
      <c r="X764" s="12"/>
    </row>
    <row r="765" customFormat="false" ht="15.75" hidden="false" customHeight="false" outlineLevel="0" collapsed="false">
      <c r="A765" s="12"/>
      <c r="B765" s="34"/>
      <c r="C765" s="12"/>
      <c r="D765" s="12"/>
      <c r="E765" s="12"/>
      <c r="F765" s="12"/>
      <c r="G765" s="18"/>
      <c r="H765" s="35"/>
      <c r="I765" s="12"/>
      <c r="M765" s="12"/>
      <c r="N765" s="18"/>
      <c r="O765" s="12"/>
      <c r="P765" s="12"/>
      <c r="Q765" s="12"/>
      <c r="R765" s="36"/>
      <c r="S765" s="36"/>
      <c r="T765" s="12"/>
      <c r="U765" s="12"/>
      <c r="V765" s="12"/>
      <c r="W765" s="12"/>
      <c r="X765" s="12"/>
    </row>
    <row r="766" customFormat="false" ht="15.75" hidden="false" customHeight="false" outlineLevel="0" collapsed="false">
      <c r="A766" s="12"/>
      <c r="B766" s="34"/>
      <c r="C766" s="12"/>
      <c r="D766" s="12"/>
      <c r="E766" s="12"/>
      <c r="F766" s="12"/>
      <c r="G766" s="18"/>
      <c r="H766" s="35"/>
      <c r="I766" s="12"/>
      <c r="M766" s="12"/>
      <c r="N766" s="18"/>
      <c r="O766" s="12"/>
      <c r="P766" s="12"/>
      <c r="Q766" s="12"/>
      <c r="R766" s="36"/>
      <c r="S766" s="36"/>
      <c r="T766" s="12"/>
      <c r="U766" s="12"/>
      <c r="V766" s="12"/>
      <c r="W766" s="12"/>
      <c r="X766" s="12"/>
    </row>
    <row r="767" customFormat="false" ht="15.75" hidden="false" customHeight="false" outlineLevel="0" collapsed="false">
      <c r="A767" s="12"/>
      <c r="B767" s="34"/>
      <c r="C767" s="12"/>
      <c r="D767" s="12"/>
      <c r="E767" s="12"/>
      <c r="F767" s="12"/>
      <c r="G767" s="18"/>
      <c r="H767" s="35"/>
      <c r="I767" s="12"/>
      <c r="M767" s="12"/>
      <c r="N767" s="18"/>
      <c r="O767" s="12"/>
      <c r="P767" s="12"/>
      <c r="Q767" s="12"/>
      <c r="R767" s="36"/>
      <c r="S767" s="36"/>
      <c r="T767" s="12"/>
      <c r="U767" s="12"/>
      <c r="V767" s="12"/>
      <c r="W767" s="12"/>
      <c r="X767" s="12"/>
    </row>
    <row r="768" customFormat="false" ht="15.75" hidden="false" customHeight="false" outlineLevel="0" collapsed="false">
      <c r="A768" s="12"/>
      <c r="B768" s="34"/>
      <c r="C768" s="12"/>
      <c r="D768" s="12"/>
      <c r="E768" s="12"/>
      <c r="F768" s="12"/>
      <c r="G768" s="18"/>
      <c r="H768" s="35"/>
      <c r="I768" s="12"/>
      <c r="M768" s="12"/>
      <c r="N768" s="18"/>
      <c r="O768" s="12"/>
      <c r="P768" s="12"/>
      <c r="Q768" s="12"/>
      <c r="R768" s="36"/>
      <c r="S768" s="36"/>
      <c r="T768" s="12"/>
      <c r="U768" s="12"/>
      <c r="V768" s="12"/>
      <c r="W768" s="12"/>
      <c r="X768" s="12"/>
    </row>
    <row r="769" customFormat="false" ht="15.75" hidden="false" customHeight="false" outlineLevel="0" collapsed="false">
      <c r="A769" s="12"/>
      <c r="B769" s="34"/>
      <c r="C769" s="12"/>
      <c r="D769" s="12"/>
      <c r="E769" s="12"/>
      <c r="F769" s="12"/>
      <c r="G769" s="18"/>
      <c r="H769" s="35"/>
      <c r="I769" s="12"/>
      <c r="M769" s="12"/>
      <c r="N769" s="18"/>
      <c r="O769" s="12"/>
      <c r="P769" s="12"/>
      <c r="Q769" s="12"/>
      <c r="R769" s="36"/>
      <c r="S769" s="36"/>
      <c r="T769" s="12"/>
      <c r="U769" s="12"/>
      <c r="V769" s="12"/>
      <c r="W769" s="12"/>
      <c r="X769" s="12"/>
    </row>
    <row r="770" customFormat="false" ht="15.75" hidden="false" customHeight="false" outlineLevel="0" collapsed="false">
      <c r="A770" s="12"/>
      <c r="B770" s="34"/>
      <c r="C770" s="12"/>
      <c r="D770" s="12"/>
      <c r="E770" s="12"/>
      <c r="F770" s="12"/>
      <c r="G770" s="18"/>
      <c r="H770" s="35"/>
      <c r="I770" s="12"/>
      <c r="M770" s="12"/>
      <c r="N770" s="18"/>
      <c r="O770" s="12"/>
      <c r="P770" s="12"/>
      <c r="Q770" s="12"/>
      <c r="R770" s="36"/>
      <c r="S770" s="36"/>
      <c r="T770" s="12"/>
      <c r="U770" s="12"/>
      <c r="V770" s="12"/>
      <c r="W770" s="12"/>
      <c r="X770" s="12"/>
    </row>
    <row r="771" customFormat="false" ht="15.75" hidden="false" customHeight="false" outlineLevel="0" collapsed="false">
      <c r="A771" s="12"/>
      <c r="B771" s="34"/>
      <c r="C771" s="12"/>
      <c r="D771" s="12"/>
      <c r="E771" s="12"/>
      <c r="F771" s="12"/>
      <c r="G771" s="18"/>
      <c r="H771" s="35"/>
      <c r="I771" s="12"/>
      <c r="M771" s="12"/>
      <c r="N771" s="18"/>
      <c r="O771" s="12"/>
      <c r="P771" s="12"/>
      <c r="Q771" s="12"/>
      <c r="R771" s="36"/>
      <c r="S771" s="36"/>
      <c r="T771" s="12"/>
      <c r="U771" s="12"/>
      <c r="V771" s="12"/>
      <c r="W771" s="12"/>
      <c r="X771" s="12"/>
    </row>
    <row r="772" customFormat="false" ht="15.75" hidden="false" customHeight="false" outlineLevel="0" collapsed="false">
      <c r="A772" s="12"/>
      <c r="B772" s="34"/>
      <c r="C772" s="12"/>
      <c r="D772" s="12"/>
      <c r="E772" s="12"/>
      <c r="F772" s="12"/>
      <c r="G772" s="18"/>
      <c r="H772" s="35"/>
      <c r="I772" s="12"/>
      <c r="M772" s="12"/>
      <c r="N772" s="18"/>
      <c r="O772" s="12"/>
      <c r="P772" s="12"/>
      <c r="Q772" s="12"/>
      <c r="R772" s="36"/>
      <c r="S772" s="36"/>
      <c r="T772" s="12"/>
      <c r="U772" s="12"/>
      <c r="V772" s="12"/>
      <c r="W772" s="12"/>
      <c r="X772" s="12"/>
    </row>
    <row r="773" customFormat="false" ht="15.75" hidden="false" customHeight="false" outlineLevel="0" collapsed="false">
      <c r="A773" s="12"/>
      <c r="B773" s="34"/>
      <c r="C773" s="12"/>
      <c r="D773" s="12"/>
      <c r="E773" s="12"/>
      <c r="F773" s="12"/>
      <c r="G773" s="18"/>
      <c r="H773" s="35"/>
      <c r="I773" s="12"/>
      <c r="M773" s="12"/>
      <c r="N773" s="18"/>
      <c r="O773" s="12"/>
      <c r="P773" s="12"/>
      <c r="Q773" s="12"/>
      <c r="R773" s="36"/>
      <c r="S773" s="36"/>
      <c r="T773" s="12"/>
      <c r="U773" s="12"/>
      <c r="V773" s="12"/>
      <c r="W773" s="12"/>
      <c r="X773" s="12"/>
    </row>
    <row r="774" customFormat="false" ht="15.75" hidden="false" customHeight="false" outlineLevel="0" collapsed="false">
      <c r="A774" s="12"/>
      <c r="B774" s="34"/>
      <c r="C774" s="12"/>
      <c r="D774" s="12"/>
      <c r="E774" s="12"/>
      <c r="F774" s="12"/>
      <c r="G774" s="18"/>
      <c r="H774" s="35"/>
      <c r="I774" s="12"/>
      <c r="M774" s="12"/>
      <c r="N774" s="18"/>
      <c r="O774" s="12"/>
      <c r="P774" s="12"/>
      <c r="Q774" s="12"/>
      <c r="R774" s="36"/>
      <c r="S774" s="36"/>
      <c r="T774" s="12"/>
      <c r="U774" s="12"/>
      <c r="V774" s="12"/>
      <c r="W774" s="12"/>
      <c r="X774" s="12"/>
    </row>
    <row r="775" customFormat="false" ht="15.75" hidden="false" customHeight="false" outlineLevel="0" collapsed="false">
      <c r="A775" s="12"/>
      <c r="B775" s="34"/>
      <c r="C775" s="12"/>
      <c r="D775" s="12"/>
      <c r="E775" s="12"/>
      <c r="F775" s="12"/>
      <c r="G775" s="18"/>
      <c r="H775" s="35"/>
      <c r="I775" s="12"/>
      <c r="M775" s="12"/>
      <c r="N775" s="18"/>
      <c r="O775" s="12"/>
      <c r="P775" s="12"/>
      <c r="Q775" s="12"/>
      <c r="R775" s="36"/>
      <c r="S775" s="36"/>
      <c r="T775" s="12"/>
      <c r="U775" s="12"/>
      <c r="V775" s="12"/>
      <c r="W775" s="12"/>
      <c r="X775" s="12"/>
    </row>
    <row r="776" customFormat="false" ht="15.75" hidden="false" customHeight="false" outlineLevel="0" collapsed="false">
      <c r="A776" s="12"/>
      <c r="B776" s="34"/>
      <c r="C776" s="12"/>
      <c r="D776" s="12"/>
      <c r="E776" s="12"/>
      <c r="F776" s="12"/>
      <c r="G776" s="18"/>
      <c r="H776" s="35"/>
      <c r="I776" s="12"/>
      <c r="M776" s="12"/>
      <c r="N776" s="18"/>
      <c r="O776" s="12"/>
      <c r="P776" s="12"/>
      <c r="Q776" s="12"/>
      <c r="R776" s="36"/>
      <c r="S776" s="36"/>
      <c r="T776" s="12"/>
      <c r="U776" s="12"/>
      <c r="V776" s="12"/>
      <c r="W776" s="12"/>
      <c r="X776" s="12"/>
    </row>
    <row r="1048575" customFormat="false" ht="12.8" hidden="false" customHeight="true" outlineLevel="0" collapsed="false"/>
    <row r="1048576" customFormat="false" ht="12.8" hidden="false" customHeight="true" outlineLevel="0" collapsed="false"/>
  </sheetData>
  <conditionalFormatting sqref="R2:S776 W3">
    <cfRule type="expression" priority="2" aboveAverage="0" equalAverage="0" bottom="0" percent="0" rank="0" text="" dxfId="0">
      <formula>LEN(TRIM(R2))&gt;0</formula>
    </cfRule>
  </conditionalFormatting>
  <conditionalFormatting sqref="Q2:Q776">
    <cfRule type="expression" priority="3" aboveAverage="0" equalAverage="0" bottom="0" percent="0" rank="0" text="" dxfId="0">
      <formula>LEN(TRIM(Q2))&gt;0</formula>
    </cfRule>
  </conditionalFormatting>
  <conditionalFormatting sqref="G2:G776 N2:N776">
    <cfRule type="containsText" priority="4" operator="containsText" aboveAverage="0" equalAverage="0" bottom="0" percent="0" rank="0" text="x" dxfId="0">
      <formula>NOT(ISERROR(SEARCH("x",G2)))</formula>
    </cfRule>
  </conditionalFormatting>
  <conditionalFormatting sqref="T2:T776">
    <cfRule type="expression" priority="5" aboveAverage="0" equalAverage="0" bottom="0" percent="0" rank="0" text="" dxfId="0">
      <formula>LEN(TRIM(T2))&gt;0</formula>
    </cfRule>
  </conditionalFormatting>
  <conditionalFormatting sqref="W2:W776">
    <cfRule type="expression" priority="6" aboveAverage="0" equalAverage="0" bottom="0" percent="0" rank="0" text="" dxfId="0">
      <formula>LEN(TRIM(W2))&gt;0</formula>
    </cfRule>
  </conditionalFormatting>
  <conditionalFormatting sqref="X2:X776 G3:I3 O3:P3 U3:V3">
    <cfRule type="cellIs" priority="7" operator="equal" aboveAverage="0" equalAverage="0" bottom="0" percent="0" rank="0" text="" dxfId="0">
      <formula>"Completo"</formula>
    </cfRule>
  </conditionalFormatting>
  <conditionalFormatting sqref="X2:X776">
    <cfRule type="cellIs" priority="8" operator="equal" aboveAverage="0" equalAverage="0" bottom="0" percent="0" rank="0" text="" dxfId="1">
      <formula>"No aplica"</formula>
    </cfRule>
  </conditionalFormatting>
  <conditionalFormatting sqref="G2:I776 O2:P776 U2:V776 X2:X776">
    <cfRule type="cellIs" priority="9" operator="equal" aboveAverage="0" equalAverage="0" bottom="0" percent="0" rank="0" text="" dxfId="0">
      <formula>"Completo"</formula>
    </cfRule>
    <cfRule type="cellIs" priority="10" operator="equal" aboveAverage="0" equalAverage="0" bottom="0" percent="0" rank="0" text="" dxfId="1">
      <formula>"No Aplica"</formula>
    </cfRule>
  </conditionalFormatting>
  <dataValidations count="6">
    <dataValidation allowBlank="true" errorStyle="stop" operator="between" showDropDown="false" showErrorMessage="true" showInputMessage="false" sqref="D2:D776" type="list">
      <formula1>LEYENDA!$B$2:$D$2</formula1>
      <formula2>0</formula2>
    </dataValidation>
    <dataValidation allowBlank="true" errorStyle="stop" operator="between" showDropDown="false" showErrorMessage="false" showInputMessage="false" sqref="R2:R776" type="list">
      <formula1>LEYENDA!$A$15:$A$19</formula1>
      <formula2>0</formula2>
    </dataValidation>
    <dataValidation allowBlank="true" errorStyle="stop" operator="between" showDropDown="false" showErrorMessage="true" showInputMessage="false" sqref="H2:I776 O2:P9 U2:V776 X2:X776 P10 O11:P776" type="list">
      <formula1>LEYENDA!$B$1:$C$1</formula1>
      <formula2>0</formula2>
    </dataValidation>
    <dataValidation allowBlank="true" errorStyle="stop" operator="between" showDropDown="false" showErrorMessage="false" showInputMessage="false" sqref="E2:E776" type="list">
      <formula1>LEYENDA!$A$8:$A$12</formula1>
      <formula2>0</formula2>
    </dataValidation>
    <dataValidation allowBlank="true" errorStyle="stop" operator="between" showDropDown="false" showErrorMessage="false" showInputMessage="false" sqref="T2:T129" type="list">
      <formula1>LEYENDA!$A$23:$A$25</formula1>
      <formula2>0</formula2>
    </dataValidation>
    <dataValidation allowBlank="true" errorStyle="stop" operator="between" showDropDown="false" showErrorMessage="false" showInputMessage="false" sqref="T130:T776" type="list">
      <formula1>LEYENDA!$A$23:$A$24</formula1>
      <formula2>0</formula2>
    </dataValidation>
  </dataValidations>
  <hyperlinks>
    <hyperlink ref="U3" r:id="rId1" display="Completo"/>
    <hyperlink ref="V3" r:id="rId2" display="Completo"/>
    <hyperlink ref="U4" r:id="rId3" display="Completo"/>
    <hyperlink ref="V4" r:id="rId4" display="Completo"/>
    <hyperlink ref="U6" r:id="rId5" display="Completo"/>
    <hyperlink ref="V6" r:id="rId6" display="Completo"/>
    <hyperlink ref="U7" r:id="rId7" display="Completo"/>
    <hyperlink ref="V7" r:id="rId8" display="Completo"/>
    <hyperlink ref="P12" r:id="rId9" display="Completo"/>
    <hyperlink ref="U12" r:id="rId10" display="Completo"/>
    <hyperlink ref="V12" r:id="rId11" display="Completo"/>
    <hyperlink ref="U14" r:id="rId12" display="Completo"/>
    <hyperlink ref="U22" r:id="rId13" display="Completo"/>
    <hyperlink ref="V22" r:id="rId14" display="Completo"/>
    <hyperlink ref="U53" r:id="rId15" display="Completo"/>
    <hyperlink ref="V53" r:id="rId16" display="Completo"/>
  </hyperlinks>
  <printOptions headings="false" gridLines="true" gridLinesSet="true" horizontalCentered="true" verticalCentered="false"/>
  <pageMargins left="0.7" right="0.7" top="0.75" bottom="0.75" header="0.511811023622047" footer="0.511811023622047"/>
  <pageSetup paperSize="9" scale="100" fitToWidth="1" fitToHeight="0" pageOrder="overThenDown" orientation="landscape" blackAndWhite="false" draft="false" cellComments="none" horizontalDpi="300" verticalDpi="300" copies="1"/>
  <headerFooter differentFirst="false" differentOddEven="false">
    <oddHeader/>
    <oddFooter/>
  </headerFooter>
  <drawing r:id="rId17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AF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6" ySplit="3" topLeftCell="G4" activePane="bottomRight" state="frozen"/>
      <selection pane="topLeft" activeCell="A1" activeCellId="0" sqref="A1"/>
      <selection pane="topRight" activeCell="G1" activeCellId="0" sqref="G1"/>
      <selection pane="bottomLeft" activeCell="A4" activeCellId="0" sqref="A4"/>
      <selection pane="bottomRight" activeCell="F9" activeCellId="0" sqref="F9"/>
    </sheetView>
  </sheetViews>
  <sheetFormatPr defaultColWidth="12.6328125" defaultRowHeight="15.75" zeroHeight="false" outlineLevelRow="0" outlineLevelCol="0"/>
  <cols>
    <col collapsed="false" customWidth="true" hidden="false" outlineLevel="0" max="1" min="1" style="1" width="10.25"/>
    <col collapsed="false" customWidth="true" hidden="false" outlineLevel="0" max="2" min="2" style="1" width="10.38"/>
    <col collapsed="false" customWidth="true" hidden="false" outlineLevel="0" max="3" min="3" style="1" width="16.89"/>
    <col collapsed="false" customWidth="true" hidden="false" outlineLevel="0" max="4" min="4" style="1" width="11.25"/>
    <col collapsed="false" customWidth="true" hidden="false" outlineLevel="0" max="5" min="5" style="1" width="17.13"/>
    <col collapsed="false" customWidth="true" hidden="false" outlineLevel="0" max="6" min="6" style="1" width="33.75"/>
    <col collapsed="false" customWidth="true" hidden="false" outlineLevel="0" max="7" min="7" style="1" width="15.88"/>
    <col collapsed="false" customWidth="true" hidden="false" outlineLevel="0" max="8" min="8" style="1" width="10.88"/>
    <col collapsed="false" customWidth="true" hidden="false" outlineLevel="0" max="9" min="9" style="1" width="12.88"/>
    <col collapsed="false" customWidth="true" hidden="false" outlineLevel="0" max="10" min="10" style="1" width="12"/>
    <col collapsed="false" customWidth="true" hidden="false" outlineLevel="0" max="11" min="11" style="1" width="10"/>
    <col collapsed="false" customWidth="true" hidden="false" outlineLevel="0" max="12" min="12" style="1" width="12.25"/>
    <col collapsed="false" customWidth="true" hidden="false" outlineLevel="0" max="13" min="13" style="1" width="26.12"/>
    <col collapsed="false" customWidth="true" hidden="false" outlineLevel="0" max="14" min="14" style="1" width="18"/>
    <col collapsed="false" customWidth="true" hidden="false" outlineLevel="0" max="16" min="15" style="1" width="10.63"/>
    <col collapsed="false" customWidth="true" hidden="false" outlineLevel="0" max="17" min="17" style="1" width="8.5"/>
    <col collapsed="false" customWidth="true" hidden="false" outlineLevel="0" max="19" min="19" style="1" width="25.38"/>
    <col collapsed="false" customWidth="true" hidden="false" outlineLevel="0" max="20" min="20" style="1" width="17.88"/>
    <col collapsed="false" customWidth="true" hidden="false" outlineLevel="0" max="21" min="21" style="1" width="10.13"/>
    <col collapsed="false" customWidth="true" hidden="false" outlineLevel="0" max="22" min="22" style="1" width="11.12"/>
    <col collapsed="false" customWidth="true" hidden="false" outlineLevel="0" max="23" min="23" style="1" width="24.88"/>
  </cols>
  <sheetData>
    <row r="1" customFormat="false" ht="68" hidden="false" customHeight="false" outlineLevel="0" collapsed="false">
      <c r="A1" s="2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/>
      <c r="J1" s="4" t="s">
        <v>8</v>
      </c>
      <c r="K1" s="2"/>
      <c r="L1" s="2" t="s">
        <v>9</v>
      </c>
      <c r="M1" s="2" t="s">
        <v>10</v>
      </c>
      <c r="N1" s="4" t="s">
        <v>11</v>
      </c>
      <c r="O1" s="3" t="s">
        <v>12</v>
      </c>
      <c r="P1" s="7" t="s">
        <v>13</v>
      </c>
      <c r="Q1" s="7" t="s">
        <v>14</v>
      </c>
      <c r="R1" s="7" t="s">
        <v>15</v>
      </c>
      <c r="S1" s="7" t="s">
        <v>16</v>
      </c>
      <c r="T1" s="7" t="s">
        <v>17</v>
      </c>
      <c r="U1" s="8" t="s">
        <v>18</v>
      </c>
      <c r="V1" s="9" t="s">
        <v>19</v>
      </c>
      <c r="W1" s="9" t="s">
        <v>20</v>
      </c>
      <c r="X1" s="10" t="s">
        <v>15</v>
      </c>
      <c r="Y1" s="11" t="s">
        <v>21</v>
      </c>
      <c r="Z1" s="11" t="s">
        <v>22</v>
      </c>
      <c r="AA1" s="12"/>
      <c r="AB1" s="12"/>
      <c r="AC1" s="12"/>
      <c r="AD1" s="12"/>
      <c r="AE1" s="12"/>
      <c r="AF1" s="12"/>
    </row>
    <row r="2" customFormat="false" ht="15.75" hidden="false" customHeight="false" outlineLevel="0" collapsed="false">
      <c r="A2" s="61" t="n">
        <v>6899</v>
      </c>
      <c r="B2" s="29" t="n">
        <v>44896</v>
      </c>
      <c r="C2" s="21" t="s">
        <v>2334</v>
      </c>
      <c r="D2" s="21" t="s">
        <v>24</v>
      </c>
      <c r="E2" s="21" t="s">
        <v>25</v>
      </c>
      <c r="F2" s="21" t="s">
        <v>883</v>
      </c>
      <c r="G2" s="30" t="s">
        <v>36</v>
      </c>
      <c r="H2" s="45" t="str">
        <f aca="false">HYPERLINK("https://photos.app.goo.gl/ZD1eCeb8Gx645ycm6", "Completo")</f>
        <v>Completo</v>
      </c>
      <c r="I2" s="21" t="s">
        <v>28</v>
      </c>
      <c r="J2" s="21"/>
      <c r="K2" s="21"/>
      <c r="L2" s="21"/>
      <c r="M2" s="21"/>
      <c r="N2" s="30"/>
      <c r="O2" s="21" t="s">
        <v>28</v>
      </c>
      <c r="P2" s="46" t="s">
        <v>28</v>
      </c>
      <c r="Q2" s="21" t="s">
        <v>59</v>
      </c>
      <c r="R2" s="32" t="s">
        <v>58</v>
      </c>
      <c r="S2" s="32" t="s">
        <v>36</v>
      </c>
      <c r="T2" s="21" t="s">
        <v>58</v>
      </c>
      <c r="U2" s="46" t="s">
        <v>28</v>
      </c>
      <c r="V2" s="21" t="s">
        <v>28</v>
      </c>
      <c r="W2" s="21" t="s">
        <v>36</v>
      </c>
      <c r="X2" s="21" t="s">
        <v>28</v>
      </c>
    </row>
    <row r="3" customFormat="false" ht="15.75" hidden="false" customHeight="false" outlineLevel="0" collapsed="false">
      <c r="A3" s="61" t="n">
        <v>6900</v>
      </c>
      <c r="B3" s="29" t="n">
        <v>44897</v>
      </c>
      <c r="C3" s="21" t="s">
        <v>2335</v>
      </c>
      <c r="D3" s="21" t="s">
        <v>24</v>
      </c>
      <c r="E3" s="21" t="s">
        <v>34</v>
      </c>
      <c r="F3" s="21" t="s">
        <v>2336</v>
      </c>
      <c r="G3" s="30" t="s">
        <v>36</v>
      </c>
      <c r="H3" s="31" t="s">
        <v>37</v>
      </c>
      <c r="I3" s="21" t="s">
        <v>37</v>
      </c>
      <c r="J3" s="21"/>
      <c r="K3" s="21"/>
      <c r="L3" s="21"/>
      <c r="M3" s="21"/>
      <c r="N3" s="30"/>
      <c r="O3" s="21"/>
      <c r="P3" s="21"/>
      <c r="Q3" s="21"/>
      <c r="R3" s="32"/>
      <c r="S3" s="32"/>
      <c r="T3" s="21"/>
      <c r="U3" s="21"/>
      <c r="V3" s="21"/>
      <c r="W3" s="21"/>
      <c r="X3" s="21" t="s">
        <v>37</v>
      </c>
    </row>
    <row r="4" customFormat="false" ht="15.75" hidden="false" customHeight="false" outlineLevel="0" collapsed="false">
      <c r="A4" s="61" t="n">
        <v>6901</v>
      </c>
      <c r="B4" s="29" t="n">
        <v>44900</v>
      </c>
      <c r="C4" s="21" t="s">
        <v>2337</v>
      </c>
      <c r="D4" s="21" t="s">
        <v>24</v>
      </c>
      <c r="E4" s="21" t="s">
        <v>74</v>
      </c>
      <c r="F4" s="21" t="s">
        <v>2338</v>
      </c>
      <c r="G4" s="30" t="s">
        <v>36</v>
      </c>
      <c r="H4" s="45" t="str">
        <f aca="false">HYPERLINK("https://photos.app.goo.gl/vDnnPbdYvRW89SK79", "Completo")</f>
        <v>Completo</v>
      </c>
      <c r="I4" s="21" t="s">
        <v>37</v>
      </c>
      <c r="J4" s="21"/>
      <c r="K4" s="21"/>
      <c r="L4" s="21"/>
      <c r="M4" s="21"/>
      <c r="N4" s="30"/>
      <c r="O4" s="21"/>
      <c r="P4" s="21"/>
      <c r="Q4" s="21"/>
      <c r="R4" s="32"/>
      <c r="S4" s="32"/>
      <c r="T4" s="21"/>
      <c r="U4" s="21"/>
      <c r="V4" s="21"/>
      <c r="W4" s="21"/>
      <c r="X4" s="21" t="s">
        <v>28</v>
      </c>
    </row>
    <row r="5" customFormat="false" ht="15.75" hidden="false" customHeight="false" outlineLevel="0" collapsed="false">
      <c r="A5" s="61" t="n">
        <v>6902</v>
      </c>
      <c r="B5" s="29" t="n">
        <v>44901</v>
      </c>
      <c r="C5" s="21" t="s">
        <v>2339</v>
      </c>
      <c r="D5" s="21" t="s">
        <v>24</v>
      </c>
      <c r="E5" s="21" t="s">
        <v>25</v>
      </c>
      <c r="F5" s="21" t="s">
        <v>2340</v>
      </c>
      <c r="G5" s="30" t="s">
        <v>29</v>
      </c>
      <c r="H5" s="45" t="str">
        <f aca="false">HYPERLINK("https://photos.app.goo.gl/Vht1Ardr65PuoCxB6", "Completo")</f>
        <v>Completo</v>
      </c>
      <c r="I5" s="21" t="s">
        <v>28</v>
      </c>
      <c r="J5" s="21" t="s">
        <v>2341</v>
      </c>
      <c r="K5" s="21" t="s">
        <v>2342</v>
      </c>
      <c r="L5" s="21"/>
      <c r="M5" s="21" t="s">
        <v>2343</v>
      </c>
      <c r="N5" s="30" t="s">
        <v>29</v>
      </c>
      <c r="O5" s="21" t="s">
        <v>28</v>
      </c>
      <c r="P5" s="46" t="str">
        <f aca="false">HYPERLINK("https://photos.app.goo.gl/PkwYvFUTH2WB5x5K8", "Completo")</f>
        <v>Completo</v>
      </c>
      <c r="Q5" s="21" t="s">
        <v>59</v>
      </c>
      <c r="R5" s="32" t="s">
        <v>25</v>
      </c>
      <c r="S5" s="32" t="s">
        <v>2344</v>
      </c>
      <c r="T5" s="21" t="s">
        <v>58</v>
      </c>
      <c r="U5" s="21" t="s">
        <v>28</v>
      </c>
      <c r="V5" s="46" t="s">
        <v>28</v>
      </c>
      <c r="W5" s="21" t="s">
        <v>29</v>
      </c>
      <c r="X5" s="21" t="s">
        <v>28</v>
      </c>
    </row>
    <row r="6" customFormat="false" ht="15.75" hidden="false" customHeight="false" outlineLevel="0" collapsed="false">
      <c r="A6" s="61" t="n">
        <v>6903</v>
      </c>
      <c r="B6" s="29" t="n">
        <v>44901</v>
      </c>
      <c r="C6" s="21" t="s">
        <v>2345</v>
      </c>
      <c r="D6" s="21" t="s">
        <v>24</v>
      </c>
      <c r="E6" s="21" t="s">
        <v>25</v>
      </c>
      <c r="F6" s="21" t="s">
        <v>2346</v>
      </c>
      <c r="G6" s="30" t="s">
        <v>36</v>
      </c>
      <c r="H6" s="45" t="str">
        <f aca="false">HYPERLINK("https://photos.app.goo.gl/5J2iC5T9PmHFW9LL9", "Completo")</f>
        <v>Completo</v>
      </c>
      <c r="I6" s="21" t="s">
        <v>28</v>
      </c>
      <c r="J6" s="21"/>
      <c r="K6" s="21"/>
      <c r="L6" s="21"/>
      <c r="M6" s="21"/>
      <c r="N6" s="30"/>
      <c r="O6" s="21"/>
      <c r="P6" s="66"/>
      <c r="Q6" s="21"/>
      <c r="R6" s="32"/>
      <c r="S6" s="32"/>
      <c r="T6" s="21"/>
      <c r="U6" s="21"/>
      <c r="V6" s="21"/>
      <c r="W6" s="21"/>
      <c r="X6" s="21" t="s">
        <v>28</v>
      </c>
    </row>
    <row r="7" customFormat="false" ht="15.75" hidden="false" customHeight="false" outlineLevel="0" collapsed="false">
      <c r="A7" s="61" t="n">
        <v>6904</v>
      </c>
      <c r="B7" s="29" t="n">
        <v>44901</v>
      </c>
      <c r="C7" s="21" t="s">
        <v>2345</v>
      </c>
      <c r="D7" s="21" t="s">
        <v>24</v>
      </c>
      <c r="E7" s="21" t="s">
        <v>25</v>
      </c>
      <c r="F7" s="21" t="s">
        <v>2346</v>
      </c>
      <c r="G7" s="30" t="s">
        <v>36</v>
      </c>
      <c r="H7" s="45" t="str">
        <f aca="false">HYPERLINK("https://photos.app.goo.gl/5J2iC5T9PmHFW9LL9", "Completo")</f>
        <v>Completo</v>
      </c>
      <c r="I7" s="21"/>
      <c r="J7" s="21" t="n">
        <v>3516260144</v>
      </c>
      <c r="K7" s="21" t="s">
        <v>2347</v>
      </c>
      <c r="L7" s="21"/>
      <c r="M7" s="21"/>
      <c r="N7" s="30"/>
      <c r="O7" s="21"/>
      <c r="P7" s="21"/>
      <c r="Q7" s="21"/>
      <c r="R7" s="32"/>
      <c r="S7" s="32"/>
      <c r="T7" s="21"/>
      <c r="U7" s="21"/>
      <c r="V7" s="21"/>
      <c r="W7" s="21"/>
      <c r="X7" s="21" t="s">
        <v>28</v>
      </c>
    </row>
    <row r="8" customFormat="false" ht="15.75" hidden="false" customHeight="false" outlineLevel="0" collapsed="false">
      <c r="A8" s="61" t="n">
        <v>6905</v>
      </c>
      <c r="B8" s="29" t="n">
        <v>44901</v>
      </c>
      <c r="C8" s="21" t="s">
        <v>389</v>
      </c>
      <c r="D8" s="21" t="s">
        <v>24</v>
      </c>
      <c r="E8" s="21" t="s">
        <v>25</v>
      </c>
      <c r="F8" s="21" t="s">
        <v>2348</v>
      </c>
      <c r="G8" s="30" t="s">
        <v>36</v>
      </c>
      <c r="H8" s="45" t="str">
        <f aca="false">HYPERLINK("https://photos.app.goo.gl/ZaKX1bPRiQVD58oK9", "Completo")</f>
        <v>Completo</v>
      </c>
      <c r="I8" s="21" t="s">
        <v>37</v>
      </c>
      <c r="J8" s="21"/>
      <c r="K8" s="21"/>
      <c r="L8" s="21"/>
      <c r="M8" s="21" t="s">
        <v>2349</v>
      </c>
      <c r="N8" s="30"/>
      <c r="O8" s="21"/>
      <c r="P8" s="21"/>
      <c r="Q8" s="21"/>
      <c r="R8" s="32"/>
      <c r="S8" s="32"/>
      <c r="T8" s="21"/>
      <c r="U8" s="21"/>
      <c r="V8" s="21"/>
      <c r="W8" s="21"/>
      <c r="X8" s="21" t="s">
        <v>28</v>
      </c>
    </row>
    <row r="9" customFormat="false" ht="15.75" hidden="false" customHeight="false" outlineLevel="0" collapsed="false">
      <c r="A9" s="61" t="n">
        <v>6906</v>
      </c>
      <c r="B9" s="29" t="n">
        <v>44901</v>
      </c>
      <c r="C9" s="21" t="s">
        <v>1781</v>
      </c>
      <c r="D9" s="21" t="s">
        <v>24</v>
      </c>
      <c r="E9" s="21" t="s">
        <v>25</v>
      </c>
      <c r="F9" s="21" t="s">
        <v>2350</v>
      </c>
      <c r="G9" s="30" t="s">
        <v>2351</v>
      </c>
      <c r="H9" s="45" t="str">
        <f aca="false">HYPERLINK("https://photos.app.goo.gl/sTgdd44YJvzaKCFd9", "Completo")</f>
        <v>Completo</v>
      </c>
      <c r="I9" s="21" t="s">
        <v>28</v>
      </c>
      <c r="J9" s="21"/>
      <c r="K9" s="21"/>
      <c r="L9" s="21"/>
      <c r="M9" s="21"/>
      <c r="N9" s="30"/>
      <c r="O9" s="21"/>
      <c r="P9" s="21"/>
      <c r="Q9" s="21"/>
      <c r="R9" s="32"/>
      <c r="S9" s="32"/>
      <c r="T9" s="21"/>
      <c r="U9" s="21"/>
      <c r="V9" s="21"/>
      <c r="W9" s="21"/>
      <c r="X9" s="21" t="s">
        <v>28</v>
      </c>
    </row>
    <row r="10" customFormat="false" ht="15.75" hidden="false" customHeight="false" outlineLevel="0" collapsed="false">
      <c r="A10" s="61" t="n">
        <v>6907</v>
      </c>
      <c r="B10" s="29" t="n">
        <v>44901</v>
      </c>
      <c r="C10" s="21" t="s">
        <v>2352</v>
      </c>
      <c r="D10" s="21" t="s">
        <v>24</v>
      </c>
      <c r="E10" s="21" t="s">
        <v>34</v>
      </c>
      <c r="F10" s="21" t="s">
        <v>2353</v>
      </c>
      <c r="G10" s="30" t="s">
        <v>86</v>
      </c>
      <c r="H10" s="31" t="s">
        <v>37</v>
      </c>
      <c r="I10" s="21" t="s">
        <v>37</v>
      </c>
      <c r="J10" s="21" t="s">
        <v>36</v>
      </c>
      <c r="K10" s="21" t="s">
        <v>36</v>
      </c>
      <c r="L10" s="21" t="s">
        <v>36</v>
      </c>
      <c r="M10" s="21" t="s">
        <v>36</v>
      </c>
      <c r="N10" s="30"/>
      <c r="O10" s="21"/>
      <c r="P10" s="21"/>
      <c r="Q10" s="21"/>
      <c r="R10" s="32"/>
      <c r="S10" s="32"/>
      <c r="T10" s="21"/>
      <c r="U10" s="21"/>
      <c r="V10" s="21"/>
      <c r="W10" s="21"/>
      <c r="X10" s="21" t="s">
        <v>28</v>
      </c>
    </row>
    <row r="11" customFormat="false" ht="15.75" hidden="false" customHeight="false" outlineLevel="0" collapsed="false">
      <c r="A11" s="61" t="n">
        <v>6909</v>
      </c>
      <c r="B11" s="29" t="n">
        <v>44901</v>
      </c>
      <c r="C11" s="21" t="s">
        <v>2260</v>
      </c>
      <c r="D11" s="21" t="s">
        <v>24</v>
      </c>
      <c r="E11" s="21" t="s">
        <v>25</v>
      </c>
      <c r="F11" s="21" t="s">
        <v>2261</v>
      </c>
      <c r="G11" s="30" t="s">
        <v>2262</v>
      </c>
      <c r="H11" s="45" t="str">
        <f aca="false">HYPERLINK("https://photos.app.goo.gl/2ubSqMRTFh59N71S9", "Completo")</f>
        <v>Completo</v>
      </c>
      <c r="I11" s="21" t="s">
        <v>28</v>
      </c>
      <c r="J11" s="21"/>
      <c r="K11" s="21"/>
      <c r="L11" s="21"/>
      <c r="M11" s="21"/>
      <c r="N11" s="30"/>
      <c r="O11" s="21" t="s">
        <v>28</v>
      </c>
      <c r="P11" s="46" t="s">
        <v>28</v>
      </c>
      <c r="Q11" s="21" t="s">
        <v>73</v>
      </c>
      <c r="R11" s="32" t="s">
        <v>58</v>
      </c>
      <c r="S11" s="32" t="s">
        <v>36</v>
      </c>
      <c r="T11" s="21" t="s">
        <v>58</v>
      </c>
      <c r="U11" s="46" t="s">
        <v>28</v>
      </c>
      <c r="V11" s="46" t="s">
        <v>28</v>
      </c>
      <c r="W11" s="21" t="s">
        <v>36</v>
      </c>
      <c r="X11" s="21" t="s">
        <v>28</v>
      </c>
    </row>
    <row r="12" customFormat="false" ht="15.75" hidden="false" customHeight="false" outlineLevel="0" collapsed="false">
      <c r="A12" s="61" t="n">
        <v>6908</v>
      </c>
      <c r="B12" s="29" t="n">
        <v>44901</v>
      </c>
      <c r="C12" s="21" t="s">
        <v>730</v>
      </c>
      <c r="D12" s="21" t="s">
        <v>24</v>
      </c>
      <c r="E12" s="21" t="s">
        <v>25</v>
      </c>
      <c r="F12" s="21" t="s">
        <v>1554</v>
      </c>
      <c r="G12" s="30" t="s">
        <v>2354</v>
      </c>
      <c r="H12" s="45" t="str">
        <f aca="false">HYPERLINK("https://photos.app.goo.gl/njRRyvoaeaUubJXF8", "Completo")</f>
        <v>Completo</v>
      </c>
      <c r="I12" s="21" t="s">
        <v>28</v>
      </c>
      <c r="J12" s="21"/>
      <c r="K12" s="21"/>
      <c r="L12" s="21"/>
      <c r="M12" s="21"/>
      <c r="N12" s="30"/>
      <c r="O12" s="21" t="s">
        <v>28</v>
      </c>
      <c r="P12" s="46" t="s">
        <v>28</v>
      </c>
      <c r="Q12" s="21" t="s">
        <v>73</v>
      </c>
      <c r="R12" s="32" t="s">
        <v>58</v>
      </c>
      <c r="S12" s="32" t="s">
        <v>36</v>
      </c>
      <c r="T12" s="21" t="s">
        <v>58</v>
      </c>
      <c r="U12" s="46" t="s">
        <v>28</v>
      </c>
      <c r="V12" s="46" t="s">
        <v>28</v>
      </c>
      <c r="W12" s="21" t="s">
        <v>36</v>
      </c>
      <c r="X12" s="21" t="s">
        <v>28</v>
      </c>
    </row>
    <row r="13" customFormat="false" ht="15.75" hidden="false" customHeight="false" outlineLevel="0" collapsed="false">
      <c r="A13" s="61" t="n">
        <v>6910</v>
      </c>
      <c r="B13" s="29" t="n">
        <v>44901</v>
      </c>
      <c r="C13" s="21" t="s">
        <v>2260</v>
      </c>
      <c r="D13" s="21" t="s">
        <v>24</v>
      </c>
      <c r="E13" s="21" t="s">
        <v>25</v>
      </c>
      <c r="F13" s="21" t="s">
        <v>1554</v>
      </c>
      <c r="G13" s="30" t="s">
        <v>2355</v>
      </c>
      <c r="H13" s="45" t="str">
        <f aca="false">HYPERLINK("https://photos.app.goo.gl/3HTcjCxQB37mRmq69", "Completo")</f>
        <v>Completo</v>
      </c>
      <c r="I13" s="21" t="s">
        <v>28</v>
      </c>
      <c r="J13" s="21"/>
      <c r="K13" s="21"/>
      <c r="L13" s="21"/>
      <c r="M13" s="21"/>
      <c r="N13" s="30"/>
      <c r="O13" s="21" t="s">
        <v>28</v>
      </c>
      <c r="P13" s="21" t="s">
        <v>28</v>
      </c>
      <c r="Q13" s="21" t="s">
        <v>73</v>
      </c>
      <c r="R13" s="32" t="s">
        <v>58</v>
      </c>
      <c r="S13" s="32" t="s">
        <v>36</v>
      </c>
      <c r="T13" s="21" t="s">
        <v>74</v>
      </c>
      <c r="U13" s="46" t="s">
        <v>28</v>
      </c>
      <c r="V13" s="46" t="s">
        <v>28</v>
      </c>
      <c r="W13" s="21" t="s">
        <v>36</v>
      </c>
      <c r="X13" s="21" t="s">
        <v>28</v>
      </c>
    </row>
    <row r="14" customFormat="false" ht="15.75" hidden="false" customHeight="false" outlineLevel="0" collapsed="false">
      <c r="A14" s="61" t="n">
        <v>6911</v>
      </c>
      <c r="B14" s="29" t="n">
        <v>44907</v>
      </c>
      <c r="C14" s="21" t="s">
        <v>1259</v>
      </c>
      <c r="D14" s="21" t="s">
        <v>24</v>
      </c>
      <c r="E14" s="21" t="s">
        <v>25</v>
      </c>
      <c r="F14" s="21" t="s">
        <v>2356</v>
      </c>
      <c r="G14" s="30" t="s">
        <v>29</v>
      </c>
      <c r="H14" s="45" t="str">
        <f aca="false">HYPERLINK("https://photos.app.goo.gl/iomc3UJv5mSHE2LG6", "Completo")</f>
        <v>Completo</v>
      </c>
      <c r="I14" s="21" t="s">
        <v>28</v>
      </c>
      <c r="J14" s="21" t="s">
        <v>29</v>
      </c>
      <c r="K14" s="21" t="s">
        <v>29</v>
      </c>
      <c r="L14" s="21" t="n">
        <v>16658</v>
      </c>
      <c r="M14" s="21" t="s">
        <v>2357</v>
      </c>
      <c r="N14" s="30"/>
      <c r="O14" s="21"/>
      <c r="P14" s="21"/>
      <c r="Q14" s="21"/>
      <c r="R14" s="32"/>
      <c r="S14" s="32"/>
      <c r="T14" s="21"/>
      <c r="U14" s="21"/>
      <c r="V14" s="21"/>
      <c r="W14" s="21"/>
      <c r="X14" s="21" t="s">
        <v>28</v>
      </c>
    </row>
    <row r="15" customFormat="false" ht="15.75" hidden="false" customHeight="false" outlineLevel="0" collapsed="false">
      <c r="A15" s="61" t="n">
        <v>6912</v>
      </c>
      <c r="B15" s="29" t="n">
        <v>44908</v>
      </c>
      <c r="C15" s="21" t="s">
        <v>67</v>
      </c>
      <c r="D15" s="21" t="s">
        <v>24</v>
      </c>
      <c r="E15" s="21" t="s">
        <v>34</v>
      </c>
      <c r="F15" s="21" t="s">
        <v>2358</v>
      </c>
      <c r="G15" s="30" t="s">
        <v>36</v>
      </c>
      <c r="H15" s="31" t="s">
        <v>37</v>
      </c>
      <c r="I15" s="21" t="s">
        <v>37</v>
      </c>
      <c r="J15" s="21" t="s">
        <v>36</v>
      </c>
      <c r="K15" s="21" t="s">
        <v>36</v>
      </c>
      <c r="L15" s="21" t="s">
        <v>36</v>
      </c>
      <c r="M15" s="21" t="s">
        <v>2359</v>
      </c>
      <c r="N15" s="30" t="s">
        <v>36</v>
      </c>
      <c r="O15" s="21" t="s">
        <v>37</v>
      </c>
      <c r="P15" s="66" t="s">
        <v>37</v>
      </c>
      <c r="Q15" s="21" t="s">
        <v>36</v>
      </c>
      <c r="R15" s="32" t="s">
        <v>36</v>
      </c>
      <c r="S15" s="32" t="s">
        <v>36</v>
      </c>
      <c r="T15" s="21" t="s">
        <v>29</v>
      </c>
      <c r="U15" s="21" t="s">
        <v>37</v>
      </c>
      <c r="V15" s="21" t="s">
        <v>37</v>
      </c>
      <c r="W15" s="21" t="s">
        <v>36</v>
      </c>
      <c r="X15" s="21" t="s">
        <v>28</v>
      </c>
    </row>
    <row r="16" customFormat="false" ht="15.75" hidden="false" customHeight="false" outlineLevel="0" collapsed="false">
      <c r="A16" s="61" t="n">
        <v>6913</v>
      </c>
      <c r="B16" s="29" t="n">
        <v>44909</v>
      </c>
      <c r="C16" s="21" t="s">
        <v>41</v>
      </c>
      <c r="D16" s="21" t="s">
        <v>24</v>
      </c>
      <c r="E16" s="21" t="s">
        <v>25</v>
      </c>
      <c r="F16" s="21" t="s">
        <v>2360</v>
      </c>
      <c r="G16" s="30" t="s">
        <v>29</v>
      </c>
      <c r="H16" s="45" t="str">
        <f aca="false">HYPERLINK("https://photos.app.goo.gl/nfY7EzFB22rGwyaC7", "Completo")</f>
        <v>Completo</v>
      </c>
      <c r="I16" s="21" t="s">
        <v>28</v>
      </c>
      <c r="J16" s="21" t="n">
        <v>3514939200</v>
      </c>
      <c r="K16" s="21" t="s">
        <v>29</v>
      </c>
      <c r="L16" s="21" t="n">
        <v>3016</v>
      </c>
      <c r="M16" s="21" t="s">
        <v>2361</v>
      </c>
      <c r="N16" s="30"/>
      <c r="O16" s="21"/>
      <c r="P16" s="66"/>
      <c r="Q16" s="21"/>
      <c r="R16" s="32"/>
      <c r="S16" s="32"/>
      <c r="T16" s="21"/>
      <c r="U16" s="21"/>
      <c r="V16" s="21"/>
      <c r="W16" s="21"/>
      <c r="X16" s="21" t="s">
        <v>37</v>
      </c>
    </row>
    <row r="17" customFormat="false" ht="15.75" hidden="false" customHeight="false" outlineLevel="0" collapsed="false">
      <c r="A17" s="61" t="n">
        <v>6914</v>
      </c>
      <c r="B17" s="29" t="n">
        <v>44909</v>
      </c>
      <c r="C17" s="21" t="s">
        <v>2362</v>
      </c>
      <c r="D17" s="21" t="s">
        <v>24</v>
      </c>
      <c r="E17" s="21" t="s">
        <v>74</v>
      </c>
      <c r="F17" s="21" t="s">
        <v>2363</v>
      </c>
      <c r="G17" s="30" t="s">
        <v>29</v>
      </c>
      <c r="H17" s="45" t="str">
        <f aca="false">HYPERLINK("https://photos.app.goo.gl/xipSRwcbKMXLNDgz6", "Completo")</f>
        <v>Completo</v>
      </c>
      <c r="I17" s="21" t="s">
        <v>28</v>
      </c>
      <c r="J17" s="21" t="s">
        <v>2364</v>
      </c>
      <c r="K17" s="21" t="s">
        <v>2365</v>
      </c>
      <c r="L17" s="21"/>
      <c r="M17" s="21" t="s">
        <v>2366</v>
      </c>
      <c r="N17" s="30"/>
      <c r="O17" s="21"/>
      <c r="P17" s="21"/>
      <c r="Q17" s="21"/>
      <c r="R17" s="32"/>
      <c r="S17" s="32"/>
      <c r="T17" s="21"/>
      <c r="U17" s="66"/>
      <c r="V17" s="66"/>
      <c r="W17" s="21"/>
      <c r="X17" s="21" t="s">
        <v>28</v>
      </c>
    </row>
    <row r="18" customFormat="false" ht="15.75" hidden="false" customHeight="false" outlineLevel="0" collapsed="false">
      <c r="A18" s="61" t="n">
        <v>6915</v>
      </c>
      <c r="B18" s="54" t="n">
        <v>44909</v>
      </c>
      <c r="C18" s="21" t="s">
        <v>709</v>
      </c>
      <c r="D18" s="21" t="s">
        <v>24</v>
      </c>
      <c r="E18" s="21" t="s">
        <v>34</v>
      </c>
      <c r="F18" s="21" t="s">
        <v>2367</v>
      </c>
      <c r="G18" s="30" t="s">
        <v>36</v>
      </c>
      <c r="H18" s="31" t="s">
        <v>37</v>
      </c>
      <c r="I18" s="21" t="s">
        <v>37</v>
      </c>
      <c r="J18" s="21" t="s">
        <v>36</v>
      </c>
      <c r="K18" s="21" t="s">
        <v>36</v>
      </c>
      <c r="L18" s="21" t="s">
        <v>36</v>
      </c>
      <c r="M18" s="21" t="s">
        <v>2368</v>
      </c>
      <c r="N18" s="30" t="s">
        <v>36</v>
      </c>
      <c r="O18" s="21" t="s">
        <v>37</v>
      </c>
      <c r="P18" s="21" t="s">
        <v>37</v>
      </c>
      <c r="Q18" s="21" t="s">
        <v>36</v>
      </c>
      <c r="R18" s="32" t="s">
        <v>36</v>
      </c>
      <c r="S18" s="32" t="s">
        <v>36</v>
      </c>
      <c r="T18" s="21" t="s">
        <v>29</v>
      </c>
      <c r="U18" s="21" t="s">
        <v>37</v>
      </c>
      <c r="V18" s="21" t="s">
        <v>37</v>
      </c>
      <c r="W18" s="21" t="s">
        <v>36</v>
      </c>
      <c r="X18" s="21" t="s">
        <v>28</v>
      </c>
    </row>
    <row r="19" customFormat="false" ht="21" hidden="false" customHeight="true" outlineLevel="0" collapsed="false">
      <c r="A19" s="61" t="n">
        <v>6916</v>
      </c>
      <c r="B19" s="54" t="n">
        <v>44910</v>
      </c>
      <c r="C19" s="21" t="s">
        <v>1456</v>
      </c>
      <c r="D19" s="21" t="s">
        <v>24</v>
      </c>
      <c r="E19" s="21" t="s">
        <v>25</v>
      </c>
      <c r="F19" s="21" t="s">
        <v>2369</v>
      </c>
      <c r="G19" s="30" t="s">
        <v>29</v>
      </c>
      <c r="H19" s="45" t="str">
        <f aca="false">HYPERLINK("https://photos.app.goo.gl/yi9yKMzicSU6rv4m8", "Completo")</f>
        <v>Completo</v>
      </c>
      <c r="I19" s="21" t="s">
        <v>37</v>
      </c>
      <c r="J19" s="21" t="s">
        <v>29</v>
      </c>
      <c r="K19" s="21" t="s">
        <v>29</v>
      </c>
      <c r="L19" s="21" t="n">
        <v>53265</v>
      </c>
      <c r="M19" s="21" t="s">
        <v>2370</v>
      </c>
      <c r="N19" s="30"/>
      <c r="O19" s="21"/>
      <c r="P19" s="21"/>
      <c r="Q19" s="21"/>
      <c r="R19" s="32"/>
      <c r="S19" s="32"/>
      <c r="T19" s="21"/>
      <c r="U19" s="21"/>
      <c r="V19" s="21"/>
      <c r="W19" s="21"/>
      <c r="X19" s="21" t="s">
        <v>28</v>
      </c>
    </row>
    <row r="20" customFormat="false" ht="15.75" hidden="false" customHeight="false" outlineLevel="0" collapsed="false">
      <c r="A20" s="61" t="n">
        <v>6917</v>
      </c>
      <c r="B20" s="29" t="n">
        <v>44910</v>
      </c>
      <c r="C20" s="21" t="s">
        <v>1456</v>
      </c>
      <c r="D20" s="21" t="s">
        <v>24</v>
      </c>
      <c r="E20" s="21" t="s">
        <v>25</v>
      </c>
      <c r="F20" s="21" t="s">
        <v>2371</v>
      </c>
      <c r="G20" s="30" t="s">
        <v>29</v>
      </c>
      <c r="H20" s="45" t="str">
        <f aca="false">HYPERLINK("https://photos.app.goo.gl/jUgjKaJ1kKFY7GXx8", "Completo")</f>
        <v>Completo</v>
      </c>
      <c r="I20" s="21" t="s">
        <v>37</v>
      </c>
      <c r="J20" s="21" t="s">
        <v>29</v>
      </c>
      <c r="K20" s="21" t="s">
        <v>29</v>
      </c>
      <c r="L20" s="21" t="n">
        <v>53265</v>
      </c>
      <c r="M20" s="21" t="s">
        <v>2370</v>
      </c>
      <c r="N20" s="30"/>
      <c r="O20" s="21"/>
      <c r="P20" s="21"/>
      <c r="Q20" s="21"/>
      <c r="R20" s="32"/>
      <c r="S20" s="32"/>
      <c r="T20" s="21"/>
      <c r="U20" s="21"/>
      <c r="V20" s="21"/>
      <c r="W20" s="21"/>
      <c r="X20" s="21" t="s">
        <v>28</v>
      </c>
    </row>
    <row r="21" customFormat="false" ht="15.75" hidden="false" customHeight="false" outlineLevel="0" collapsed="false">
      <c r="A21" s="61" t="n">
        <v>6918</v>
      </c>
      <c r="B21" s="29" t="n">
        <v>44910</v>
      </c>
      <c r="C21" s="21" t="s">
        <v>1456</v>
      </c>
      <c r="D21" s="21" t="s">
        <v>24</v>
      </c>
      <c r="E21" s="21" t="s">
        <v>25</v>
      </c>
      <c r="F21" s="21" t="s">
        <v>2372</v>
      </c>
      <c r="G21" s="30" t="s">
        <v>29</v>
      </c>
      <c r="H21" s="45" t="str">
        <f aca="false">HYPERLINK("https://photos.app.goo.gl/8TSJ6bGDoDw1fB8p7", "Completo")</f>
        <v>Completo</v>
      </c>
      <c r="I21" s="21" t="s">
        <v>37</v>
      </c>
      <c r="J21" s="21" t="s">
        <v>29</v>
      </c>
      <c r="K21" s="21" t="s">
        <v>29</v>
      </c>
      <c r="L21" s="21" t="n">
        <v>53265</v>
      </c>
      <c r="M21" s="21" t="s">
        <v>2370</v>
      </c>
      <c r="N21" s="30"/>
      <c r="O21" s="21"/>
      <c r="P21" s="21"/>
      <c r="Q21" s="21"/>
      <c r="R21" s="32"/>
      <c r="S21" s="32"/>
      <c r="T21" s="21"/>
      <c r="U21" s="21"/>
      <c r="V21" s="21"/>
      <c r="W21" s="21"/>
      <c r="X21" s="21" t="s">
        <v>28</v>
      </c>
    </row>
    <row r="22" customFormat="false" ht="15.75" hidden="false" customHeight="false" outlineLevel="0" collapsed="false">
      <c r="A22" s="61" t="n">
        <v>6919</v>
      </c>
      <c r="B22" s="29" t="n">
        <v>44910</v>
      </c>
      <c r="C22" s="21" t="s">
        <v>389</v>
      </c>
      <c r="D22" s="21" t="s">
        <v>24</v>
      </c>
      <c r="E22" s="21" t="s">
        <v>25</v>
      </c>
      <c r="F22" s="21" t="s">
        <v>2373</v>
      </c>
      <c r="G22" s="30" t="s">
        <v>2374</v>
      </c>
      <c r="H22" s="45" t="str">
        <f aca="false">HYPERLINK("https://photos.app.goo.gl/oea9na4CKTT7tTrLA", "Completo")</f>
        <v>Completo</v>
      </c>
      <c r="I22" s="21" t="s">
        <v>28</v>
      </c>
      <c r="J22" s="21" t="s">
        <v>29</v>
      </c>
      <c r="K22" s="21" t="s">
        <v>29</v>
      </c>
      <c r="L22" s="21" t="s">
        <v>29</v>
      </c>
      <c r="M22" s="21" t="s">
        <v>2375</v>
      </c>
      <c r="N22" s="30"/>
      <c r="O22" s="21" t="s">
        <v>28</v>
      </c>
      <c r="P22" s="46" t="s">
        <v>28</v>
      </c>
      <c r="Q22" s="21" t="s">
        <v>59</v>
      </c>
      <c r="R22" s="32" t="s">
        <v>58</v>
      </c>
      <c r="S22" s="32" t="s">
        <v>36</v>
      </c>
      <c r="T22" s="21" t="s">
        <v>58</v>
      </c>
      <c r="U22" s="46" t="s">
        <v>28</v>
      </c>
      <c r="V22" s="46" t="s">
        <v>28</v>
      </c>
      <c r="W22" s="21" t="s">
        <v>36</v>
      </c>
      <c r="X22" s="21" t="s">
        <v>28</v>
      </c>
    </row>
    <row r="23" customFormat="false" ht="15.75" hidden="false" customHeight="false" outlineLevel="0" collapsed="false">
      <c r="A23" s="61" t="n">
        <v>6920</v>
      </c>
      <c r="B23" s="29" t="n">
        <v>44911</v>
      </c>
      <c r="C23" s="21" t="s">
        <v>2376</v>
      </c>
      <c r="D23" s="21" t="s">
        <v>24</v>
      </c>
      <c r="E23" s="21" t="s">
        <v>25</v>
      </c>
      <c r="F23" s="21" t="s">
        <v>2377</v>
      </c>
      <c r="G23" s="30" t="s">
        <v>29</v>
      </c>
      <c r="H23" s="45" t="str">
        <f aca="false">HYPERLINK("https://photos.app.goo.gl/s8mQ24fNuJVKAKQs5", "Completo")</f>
        <v>Completo</v>
      </c>
      <c r="I23" s="21" t="s">
        <v>28</v>
      </c>
      <c r="J23" s="21" t="s">
        <v>29</v>
      </c>
      <c r="K23" s="21" t="s">
        <v>29</v>
      </c>
      <c r="L23" s="21" t="s">
        <v>29</v>
      </c>
      <c r="M23" s="21" t="s">
        <v>2378</v>
      </c>
      <c r="N23" s="30"/>
      <c r="O23" s="21"/>
      <c r="P23" s="21"/>
      <c r="Q23" s="21"/>
      <c r="R23" s="32"/>
      <c r="S23" s="32"/>
      <c r="T23" s="21"/>
      <c r="U23" s="21" t="s">
        <v>37</v>
      </c>
      <c r="V23" s="21" t="s">
        <v>37</v>
      </c>
      <c r="W23" s="21"/>
      <c r="X23" s="21" t="s">
        <v>28</v>
      </c>
    </row>
    <row r="24" customFormat="false" ht="15.75" hidden="false" customHeight="false" outlineLevel="0" collapsed="false">
      <c r="A24" s="61" t="n">
        <v>6921</v>
      </c>
      <c r="B24" s="29" t="n">
        <v>44911</v>
      </c>
      <c r="C24" s="21" t="s">
        <v>133</v>
      </c>
      <c r="D24" s="21" t="s">
        <v>24</v>
      </c>
      <c r="E24" s="21" t="s">
        <v>25</v>
      </c>
      <c r="F24" s="21" t="s">
        <v>2379</v>
      </c>
      <c r="G24" s="30" t="s">
        <v>2380</v>
      </c>
      <c r="H24" s="45" t="str">
        <f aca="false">HYPERLINK("https://photos.app.goo.gl/C4pksEQQsbg3EVND9", "Completo")</f>
        <v>Completo</v>
      </c>
      <c r="I24" s="21" t="s">
        <v>28</v>
      </c>
      <c r="J24" s="21" t="s">
        <v>29</v>
      </c>
      <c r="K24" s="21" t="s">
        <v>29</v>
      </c>
      <c r="L24" s="21" t="n">
        <v>8520</v>
      </c>
      <c r="M24" s="21" t="s">
        <v>2381</v>
      </c>
      <c r="N24" s="30"/>
      <c r="O24" s="21" t="s">
        <v>28</v>
      </c>
      <c r="P24" s="21" t="s">
        <v>28</v>
      </c>
      <c r="Q24" s="21" t="s">
        <v>73</v>
      </c>
      <c r="R24" s="32" t="s">
        <v>58</v>
      </c>
      <c r="S24" s="32" t="s">
        <v>36</v>
      </c>
      <c r="T24" s="21" t="s">
        <v>58</v>
      </c>
      <c r="U24" s="46" t="s">
        <v>28</v>
      </c>
      <c r="V24" s="46" t="s">
        <v>28</v>
      </c>
      <c r="W24" s="21" t="s">
        <v>36</v>
      </c>
      <c r="X24" s="21" t="s">
        <v>28</v>
      </c>
    </row>
    <row r="25" customFormat="false" ht="15.75" hidden="false" customHeight="false" outlineLevel="0" collapsed="false">
      <c r="A25" s="61" t="n">
        <v>6922</v>
      </c>
      <c r="B25" s="29" t="n">
        <v>44911</v>
      </c>
      <c r="C25" s="21" t="s">
        <v>133</v>
      </c>
      <c r="D25" s="21" t="s">
        <v>24</v>
      </c>
      <c r="E25" s="21" t="s">
        <v>25</v>
      </c>
      <c r="F25" s="21" t="s">
        <v>2379</v>
      </c>
      <c r="G25" s="30" t="s">
        <v>2380</v>
      </c>
      <c r="H25" s="45" t="str">
        <f aca="false">HYPERLINK("https://photos.app.goo.gl/qP6cpmDd6cu7oqLq6", "Completo")</f>
        <v>Completo</v>
      </c>
      <c r="I25" s="21" t="s">
        <v>28</v>
      </c>
      <c r="J25" s="21" t="s">
        <v>29</v>
      </c>
      <c r="K25" s="21" t="s">
        <v>29</v>
      </c>
      <c r="L25" s="21" t="n">
        <v>8520</v>
      </c>
      <c r="M25" s="21" t="s">
        <v>2381</v>
      </c>
      <c r="N25" s="30"/>
      <c r="O25" s="21" t="s">
        <v>28</v>
      </c>
      <c r="P25" s="21" t="s">
        <v>28</v>
      </c>
      <c r="Q25" s="21" t="s">
        <v>73</v>
      </c>
      <c r="R25" s="32" t="s">
        <v>58</v>
      </c>
      <c r="S25" s="32" t="s">
        <v>36</v>
      </c>
      <c r="T25" s="21" t="s">
        <v>58</v>
      </c>
      <c r="U25" s="46" t="s">
        <v>28</v>
      </c>
      <c r="V25" s="46" t="s">
        <v>28</v>
      </c>
      <c r="W25" s="21" t="s">
        <v>36</v>
      </c>
      <c r="X25" s="21" t="s">
        <v>28</v>
      </c>
    </row>
    <row r="26" customFormat="false" ht="15.75" hidden="false" customHeight="false" outlineLevel="0" collapsed="false">
      <c r="A26" s="61" t="n">
        <v>6923</v>
      </c>
      <c r="B26" s="29" t="n">
        <v>44911</v>
      </c>
      <c r="C26" s="21" t="s">
        <v>133</v>
      </c>
      <c r="D26" s="21" t="s">
        <v>24</v>
      </c>
      <c r="E26" s="21" t="s">
        <v>25</v>
      </c>
      <c r="F26" s="21" t="s">
        <v>2379</v>
      </c>
      <c r="G26" s="30" t="s">
        <v>2380</v>
      </c>
      <c r="H26" s="45" t="str">
        <f aca="false">HYPERLINK("https://photos.app.goo.gl/2fM3eKp8mSydwP6o6", "Completo")</f>
        <v>Completo</v>
      </c>
      <c r="I26" s="21" t="s">
        <v>28</v>
      </c>
      <c r="J26" s="21" t="s">
        <v>29</v>
      </c>
      <c r="K26" s="21" t="s">
        <v>29</v>
      </c>
      <c r="L26" s="21" t="n">
        <v>8520</v>
      </c>
      <c r="M26" s="21" t="s">
        <v>2381</v>
      </c>
      <c r="N26" s="30"/>
      <c r="O26" s="21" t="s">
        <v>28</v>
      </c>
      <c r="P26" s="21" t="s">
        <v>28</v>
      </c>
      <c r="Q26" s="21" t="s">
        <v>73</v>
      </c>
      <c r="R26" s="32" t="s">
        <v>58</v>
      </c>
      <c r="S26" s="32" t="s">
        <v>36</v>
      </c>
      <c r="T26" s="21" t="s">
        <v>58</v>
      </c>
      <c r="U26" s="46" t="s">
        <v>28</v>
      </c>
      <c r="V26" s="46" t="s">
        <v>28</v>
      </c>
      <c r="W26" s="21" t="s">
        <v>36</v>
      </c>
      <c r="X26" s="21" t="s">
        <v>28</v>
      </c>
    </row>
    <row r="27" customFormat="false" ht="15.75" hidden="false" customHeight="false" outlineLevel="0" collapsed="false">
      <c r="A27" s="61" t="n">
        <v>6924</v>
      </c>
      <c r="B27" s="29" t="n">
        <v>44911</v>
      </c>
      <c r="C27" s="21" t="s">
        <v>133</v>
      </c>
      <c r="D27" s="21" t="s">
        <v>24</v>
      </c>
      <c r="E27" s="21" t="s">
        <v>25</v>
      </c>
      <c r="F27" s="21" t="s">
        <v>2379</v>
      </c>
      <c r="G27" s="30" t="s">
        <v>2380</v>
      </c>
      <c r="H27" s="45" t="str">
        <f aca="false">HYPERLINK("https://photos.app.goo.gl/T8cHTnzTSFnxvaHS6", "Completo")</f>
        <v>Completo</v>
      </c>
      <c r="I27" s="21" t="s">
        <v>28</v>
      </c>
      <c r="J27" s="21" t="s">
        <v>29</v>
      </c>
      <c r="K27" s="21" t="s">
        <v>29</v>
      </c>
      <c r="L27" s="21" t="n">
        <v>8520</v>
      </c>
      <c r="M27" s="21" t="s">
        <v>2381</v>
      </c>
      <c r="N27" s="30"/>
      <c r="O27" s="21" t="s">
        <v>28</v>
      </c>
      <c r="P27" s="21" t="s">
        <v>28</v>
      </c>
      <c r="Q27" s="21" t="s">
        <v>73</v>
      </c>
      <c r="R27" s="32" t="s">
        <v>58</v>
      </c>
      <c r="S27" s="32" t="s">
        <v>36</v>
      </c>
      <c r="T27" s="21" t="s">
        <v>58</v>
      </c>
      <c r="U27" s="46" t="s">
        <v>28</v>
      </c>
      <c r="V27" s="46" t="s">
        <v>28</v>
      </c>
      <c r="W27" s="21" t="s">
        <v>36</v>
      </c>
      <c r="X27" s="21" t="s">
        <v>28</v>
      </c>
    </row>
    <row r="28" customFormat="false" ht="15.75" hidden="false" customHeight="false" outlineLevel="0" collapsed="false">
      <c r="A28" s="61" t="n">
        <v>6925</v>
      </c>
      <c r="B28" s="29" t="n">
        <v>44911</v>
      </c>
      <c r="C28" s="21" t="s">
        <v>133</v>
      </c>
      <c r="D28" s="21" t="s">
        <v>24</v>
      </c>
      <c r="E28" s="21" t="s">
        <v>25</v>
      </c>
      <c r="F28" s="21" t="s">
        <v>2379</v>
      </c>
      <c r="G28" s="30" t="s">
        <v>2380</v>
      </c>
      <c r="H28" s="45" t="str">
        <f aca="false">HYPERLINK("https://photos.app.goo.gl/s7Yd34i2DRa6ETrH9", "Completo")</f>
        <v>Completo</v>
      </c>
      <c r="I28" s="21" t="s">
        <v>28</v>
      </c>
      <c r="J28" s="21" t="s">
        <v>29</v>
      </c>
      <c r="K28" s="21" t="s">
        <v>29</v>
      </c>
      <c r="L28" s="21" t="n">
        <v>8520</v>
      </c>
      <c r="M28" s="21" t="s">
        <v>2381</v>
      </c>
      <c r="N28" s="30"/>
      <c r="O28" s="21" t="s">
        <v>28</v>
      </c>
      <c r="P28" s="21" t="s">
        <v>28</v>
      </c>
      <c r="Q28" s="21" t="s">
        <v>73</v>
      </c>
      <c r="R28" s="32" t="s">
        <v>58</v>
      </c>
      <c r="S28" s="32" t="s">
        <v>36</v>
      </c>
      <c r="T28" s="21" t="s">
        <v>58</v>
      </c>
      <c r="U28" s="46" t="s">
        <v>28</v>
      </c>
      <c r="V28" s="46" t="s">
        <v>28</v>
      </c>
      <c r="W28" s="21" t="s">
        <v>36</v>
      </c>
      <c r="X28" s="21" t="s">
        <v>28</v>
      </c>
    </row>
    <row r="29" customFormat="false" ht="15.75" hidden="false" customHeight="false" outlineLevel="0" collapsed="false">
      <c r="A29" s="61" t="n">
        <v>6926</v>
      </c>
      <c r="B29" s="29" t="n">
        <v>44912</v>
      </c>
      <c r="C29" s="21" t="s">
        <v>2382</v>
      </c>
      <c r="D29" s="21" t="s">
        <v>24</v>
      </c>
      <c r="E29" s="21" t="s">
        <v>25</v>
      </c>
      <c r="F29" s="21" t="s">
        <v>2383</v>
      </c>
      <c r="G29" s="30" t="s">
        <v>36</v>
      </c>
      <c r="H29" s="45" t="str">
        <f aca="false">HYPERLINK("https://photos.app.goo.gl/msRmSx6Zg4gtDC7d7", "Completo")</f>
        <v>Completo</v>
      </c>
      <c r="I29" s="21" t="s">
        <v>28</v>
      </c>
      <c r="J29" s="21" t="s">
        <v>2384</v>
      </c>
      <c r="K29" s="21"/>
      <c r="L29" s="21" t="s">
        <v>2385</v>
      </c>
      <c r="M29" s="21" t="s">
        <v>2386</v>
      </c>
      <c r="N29" s="30"/>
      <c r="O29" s="21"/>
      <c r="P29" s="21"/>
      <c r="Q29" s="21"/>
      <c r="R29" s="32"/>
      <c r="S29" s="32"/>
      <c r="T29" s="21" t="s">
        <v>58</v>
      </c>
      <c r="U29" s="46" t="s">
        <v>28</v>
      </c>
      <c r="V29" s="46" t="s">
        <v>28</v>
      </c>
      <c r="W29" s="21" t="s">
        <v>36</v>
      </c>
      <c r="X29" s="21" t="s">
        <v>28</v>
      </c>
    </row>
    <row r="30" customFormat="false" ht="15.75" hidden="false" customHeight="false" outlineLevel="0" collapsed="false">
      <c r="A30" s="61" t="n">
        <v>6927</v>
      </c>
      <c r="B30" s="29" t="n">
        <v>44914</v>
      </c>
      <c r="C30" s="21" t="s">
        <v>1666</v>
      </c>
      <c r="D30" s="21" t="s">
        <v>24</v>
      </c>
      <c r="E30" s="21" t="s">
        <v>34</v>
      </c>
      <c r="F30" s="21" t="s">
        <v>2387</v>
      </c>
      <c r="G30" s="30" t="s">
        <v>36</v>
      </c>
      <c r="H30" s="31" t="s">
        <v>37</v>
      </c>
      <c r="I30" s="21" t="s">
        <v>37</v>
      </c>
      <c r="J30" s="21" t="s">
        <v>36</v>
      </c>
      <c r="K30" s="21" t="s">
        <v>36</v>
      </c>
      <c r="L30" s="21" t="s">
        <v>36</v>
      </c>
      <c r="M30" s="21" t="s">
        <v>2388</v>
      </c>
      <c r="N30" s="30"/>
      <c r="O30" s="21"/>
      <c r="P30" s="21"/>
      <c r="Q30" s="21"/>
      <c r="R30" s="32"/>
      <c r="S30" s="32"/>
      <c r="T30" s="21"/>
      <c r="U30" s="21" t="s">
        <v>37</v>
      </c>
      <c r="V30" s="21" t="s">
        <v>37</v>
      </c>
      <c r="W30" s="21"/>
      <c r="X30" s="21" t="s">
        <v>28</v>
      </c>
    </row>
    <row r="31" customFormat="false" ht="15.75" hidden="false" customHeight="false" outlineLevel="0" collapsed="false">
      <c r="A31" s="61" t="n">
        <v>6928</v>
      </c>
      <c r="B31" s="29" t="n">
        <v>44914</v>
      </c>
      <c r="C31" s="21" t="s">
        <v>1259</v>
      </c>
      <c r="D31" s="21" t="s">
        <v>24</v>
      </c>
      <c r="E31" s="21" t="s">
        <v>25</v>
      </c>
      <c r="F31" s="21" t="s">
        <v>2389</v>
      </c>
      <c r="G31" s="30" t="s">
        <v>2390</v>
      </c>
      <c r="H31" s="45" t="str">
        <f aca="false">HYPERLINK("https://photos.app.goo.gl/KB8vY1GQURkHwmnx8", "Completo")</f>
        <v>Completo</v>
      </c>
      <c r="I31" s="21" t="s">
        <v>28</v>
      </c>
      <c r="J31" s="21" t="s">
        <v>29</v>
      </c>
      <c r="K31" s="21" t="s">
        <v>29</v>
      </c>
      <c r="L31" s="21" t="n">
        <v>16663</v>
      </c>
      <c r="M31" s="21" t="s">
        <v>2154</v>
      </c>
      <c r="N31" s="30"/>
      <c r="O31" s="21"/>
      <c r="P31" s="66"/>
      <c r="Q31" s="21"/>
      <c r="R31" s="32"/>
      <c r="S31" s="32"/>
      <c r="T31" s="21" t="s">
        <v>58</v>
      </c>
      <c r="U31" s="46" t="s">
        <v>28</v>
      </c>
      <c r="V31" s="46" t="s">
        <v>28</v>
      </c>
      <c r="W31" s="21" t="s">
        <v>36</v>
      </c>
      <c r="X31" s="21" t="s">
        <v>28</v>
      </c>
    </row>
    <row r="32" customFormat="false" ht="15.75" hidden="false" customHeight="false" outlineLevel="0" collapsed="false">
      <c r="A32" s="61" t="n">
        <v>6929</v>
      </c>
      <c r="B32" s="29" t="n">
        <v>44914</v>
      </c>
      <c r="C32" s="21" t="s">
        <v>1259</v>
      </c>
      <c r="D32" s="21" t="s">
        <v>24</v>
      </c>
      <c r="E32" s="21" t="s">
        <v>25</v>
      </c>
      <c r="F32" s="21" t="s">
        <v>2391</v>
      </c>
      <c r="G32" s="30" t="s">
        <v>29</v>
      </c>
      <c r="H32" s="45" t="str">
        <f aca="false">HYPERLINK("https://photos.app.goo.gl/yt722mJ7YTfALhxVA", "Completo")</f>
        <v>Completo</v>
      </c>
      <c r="I32" s="21" t="s">
        <v>28</v>
      </c>
      <c r="J32" s="21" t="s">
        <v>29</v>
      </c>
      <c r="K32" s="21" t="s">
        <v>29</v>
      </c>
      <c r="L32" s="21" t="n">
        <v>16664</v>
      </c>
      <c r="M32" s="21" t="s">
        <v>2154</v>
      </c>
      <c r="N32" s="30"/>
      <c r="O32" s="21"/>
      <c r="P32" s="21"/>
      <c r="Q32" s="21"/>
      <c r="R32" s="32"/>
      <c r="S32" s="32"/>
      <c r="T32" s="21"/>
      <c r="U32" s="21"/>
      <c r="V32" s="21"/>
      <c r="W32" s="21"/>
      <c r="X32" s="21" t="s">
        <v>28</v>
      </c>
    </row>
    <row r="33" customFormat="false" ht="15.75" hidden="false" customHeight="false" outlineLevel="0" collapsed="false">
      <c r="A33" s="61" t="n">
        <v>6930</v>
      </c>
      <c r="B33" s="29" t="n">
        <v>44915</v>
      </c>
      <c r="C33" s="21" t="s">
        <v>904</v>
      </c>
      <c r="D33" s="21" t="s">
        <v>24</v>
      </c>
      <c r="E33" s="21" t="s">
        <v>25</v>
      </c>
      <c r="F33" s="21" t="s">
        <v>2392</v>
      </c>
      <c r="G33" s="30" t="s">
        <v>2393</v>
      </c>
      <c r="H33" s="45" t="str">
        <f aca="false">HYPERLINK("https://photos.app.goo.gl/iyA5BYriE5SKsVQm9 ", "Completo")</f>
        <v>Completo</v>
      </c>
      <c r="I33" s="21" t="s">
        <v>28</v>
      </c>
      <c r="J33" s="21" t="s">
        <v>2394</v>
      </c>
      <c r="K33" s="21"/>
      <c r="L33" s="67" t="n">
        <v>715</v>
      </c>
      <c r="M33" s="21" t="s">
        <v>2395</v>
      </c>
      <c r="N33" s="30"/>
      <c r="O33" s="21"/>
      <c r="P33" s="21"/>
      <c r="Q33" s="21"/>
      <c r="R33" s="32"/>
      <c r="S33" s="32"/>
      <c r="T33" s="21" t="s">
        <v>58</v>
      </c>
      <c r="U33" s="46" t="s">
        <v>28</v>
      </c>
      <c r="V33" s="46" t="s">
        <v>28</v>
      </c>
      <c r="W33" s="21" t="s">
        <v>36</v>
      </c>
      <c r="X33" s="21" t="s">
        <v>28</v>
      </c>
    </row>
    <row r="34" customFormat="false" ht="15.75" hidden="false" customHeight="false" outlineLevel="0" collapsed="false">
      <c r="A34" s="61" t="n">
        <v>6931</v>
      </c>
      <c r="B34" s="29" t="n">
        <v>44916</v>
      </c>
      <c r="C34" s="21" t="s">
        <v>705</v>
      </c>
      <c r="D34" s="21" t="s">
        <v>24</v>
      </c>
      <c r="E34" s="21" t="s">
        <v>34</v>
      </c>
      <c r="F34" s="21" t="s">
        <v>2396</v>
      </c>
      <c r="G34" s="30" t="s">
        <v>2397</v>
      </c>
      <c r="H34" s="31" t="s">
        <v>37</v>
      </c>
      <c r="I34" s="21" t="s">
        <v>37</v>
      </c>
      <c r="J34" s="21" t="s">
        <v>36</v>
      </c>
      <c r="K34" s="21" t="s">
        <v>36</v>
      </c>
      <c r="L34" s="21" t="s">
        <v>36</v>
      </c>
      <c r="M34" s="21" t="s">
        <v>2398</v>
      </c>
      <c r="N34" s="30" t="s">
        <v>36</v>
      </c>
      <c r="O34" s="21" t="s">
        <v>37</v>
      </c>
      <c r="P34" s="21" t="s">
        <v>37</v>
      </c>
      <c r="Q34" s="21" t="s">
        <v>36</v>
      </c>
      <c r="R34" s="32" t="s">
        <v>36</v>
      </c>
      <c r="S34" s="32" t="s">
        <v>36</v>
      </c>
      <c r="T34" s="21" t="s">
        <v>36</v>
      </c>
      <c r="U34" s="21" t="s">
        <v>37</v>
      </c>
      <c r="V34" s="21" t="s">
        <v>37</v>
      </c>
      <c r="W34" s="21" t="s">
        <v>36</v>
      </c>
      <c r="X34" s="21" t="s">
        <v>28</v>
      </c>
    </row>
    <row r="35" customFormat="false" ht="15.75" hidden="false" customHeight="false" outlineLevel="0" collapsed="false">
      <c r="A35" s="61" t="n">
        <v>6932</v>
      </c>
      <c r="B35" s="29" t="n">
        <v>44916</v>
      </c>
      <c r="C35" s="21" t="s">
        <v>705</v>
      </c>
      <c r="D35" s="21" t="s">
        <v>24</v>
      </c>
      <c r="E35" s="21" t="s">
        <v>34</v>
      </c>
      <c r="F35" s="21" t="s">
        <v>2399</v>
      </c>
      <c r="G35" s="68" t="s">
        <v>36</v>
      </c>
      <c r="H35" s="31" t="s">
        <v>37</v>
      </c>
      <c r="I35" s="21" t="s">
        <v>37</v>
      </c>
      <c r="J35" s="21" t="s">
        <v>36</v>
      </c>
      <c r="K35" s="21" t="s">
        <v>36</v>
      </c>
      <c r="L35" s="21" t="s">
        <v>29</v>
      </c>
      <c r="M35" s="21" t="s">
        <v>1189</v>
      </c>
      <c r="N35" s="30" t="s">
        <v>36</v>
      </c>
      <c r="O35" s="21" t="s">
        <v>37</v>
      </c>
      <c r="P35" s="21" t="s">
        <v>37</v>
      </c>
      <c r="Q35" s="21" t="s">
        <v>36</v>
      </c>
      <c r="R35" s="32" t="s">
        <v>36</v>
      </c>
      <c r="S35" s="32" t="s">
        <v>36</v>
      </c>
      <c r="T35" s="21" t="s">
        <v>36</v>
      </c>
      <c r="U35" s="21" t="s">
        <v>37</v>
      </c>
      <c r="V35" s="21" t="s">
        <v>37</v>
      </c>
      <c r="W35" s="21" t="s">
        <v>36</v>
      </c>
      <c r="X35" s="21" t="s">
        <v>28</v>
      </c>
    </row>
    <row r="36" customFormat="false" ht="15.75" hidden="false" customHeight="false" outlineLevel="0" collapsed="false">
      <c r="A36" s="61" t="n">
        <v>6933</v>
      </c>
      <c r="B36" s="29" t="n">
        <v>44916</v>
      </c>
      <c r="C36" s="21" t="s">
        <v>841</v>
      </c>
      <c r="D36" s="21" t="s">
        <v>24</v>
      </c>
      <c r="E36" s="21" t="s">
        <v>25</v>
      </c>
      <c r="F36" s="21" t="s">
        <v>2400</v>
      </c>
      <c r="G36" s="68" t="s">
        <v>2401</v>
      </c>
      <c r="H36" s="45" t="str">
        <f aca="false">HYPERLINK("https://photos.app.goo.gl/cbkhd1yQcCaHLZYJ7", "Completo")</f>
        <v>Completo</v>
      </c>
      <c r="I36" s="21" t="s">
        <v>28</v>
      </c>
      <c r="J36" s="21" t="s">
        <v>29</v>
      </c>
      <c r="K36" s="21" t="s">
        <v>29</v>
      </c>
      <c r="L36" s="21" t="n">
        <v>1394</v>
      </c>
      <c r="M36" s="21" t="s">
        <v>2133</v>
      </c>
      <c r="N36" s="30"/>
      <c r="O36" s="21"/>
      <c r="P36" s="21"/>
      <c r="Q36" s="21"/>
      <c r="R36" s="32"/>
      <c r="S36" s="32"/>
      <c r="T36" s="21" t="s">
        <v>58</v>
      </c>
      <c r="U36" s="46" t="s">
        <v>28</v>
      </c>
      <c r="V36" s="46" t="s">
        <v>28</v>
      </c>
      <c r="W36" s="21" t="s">
        <v>36</v>
      </c>
      <c r="X36" s="21" t="s">
        <v>28</v>
      </c>
    </row>
    <row r="37" customFormat="false" ht="15.75" hidden="false" customHeight="false" outlineLevel="0" collapsed="false">
      <c r="A37" s="61" t="n">
        <v>6934</v>
      </c>
      <c r="B37" s="29" t="n">
        <v>44916</v>
      </c>
      <c r="C37" s="21" t="s">
        <v>841</v>
      </c>
      <c r="D37" s="21" t="s">
        <v>24</v>
      </c>
      <c r="E37" s="21" t="s">
        <v>25</v>
      </c>
      <c r="F37" s="21" t="s">
        <v>1940</v>
      </c>
      <c r="G37" s="30" t="s">
        <v>2402</v>
      </c>
      <c r="H37" s="45" t="str">
        <f aca="false">HYPERLINK("https://photos.app.goo.gl/fN3Pdx4s9QPDFfLQ9", "Completo")</f>
        <v>Completo</v>
      </c>
      <c r="I37" s="21" t="s">
        <v>28</v>
      </c>
      <c r="J37" s="21" t="s">
        <v>29</v>
      </c>
      <c r="K37" s="21" t="s">
        <v>29</v>
      </c>
      <c r="L37" s="21" t="n">
        <v>1394</v>
      </c>
      <c r="M37" s="21" t="s">
        <v>2133</v>
      </c>
      <c r="N37" s="30"/>
      <c r="O37" s="21"/>
      <c r="P37" s="21"/>
      <c r="Q37" s="21"/>
      <c r="R37" s="32"/>
      <c r="S37" s="32"/>
      <c r="T37" s="21" t="s">
        <v>74</v>
      </c>
      <c r="U37" s="46" t="s">
        <v>28</v>
      </c>
      <c r="V37" s="46" t="s">
        <v>28</v>
      </c>
      <c r="W37" s="21" t="s">
        <v>36</v>
      </c>
      <c r="X37" s="21" t="s">
        <v>28</v>
      </c>
    </row>
    <row r="38" customFormat="false" ht="15.75" hidden="false" customHeight="false" outlineLevel="0" collapsed="false">
      <c r="A38" s="61" t="n">
        <v>6935</v>
      </c>
      <c r="B38" s="29" t="n">
        <v>44916</v>
      </c>
      <c r="C38" s="21" t="s">
        <v>841</v>
      </c>
      <c r="D38" s="21" t="s">
        <v>24</v>
      </c>
      <c r="E38" s="21" t="s">
        <v>25</v>
      </c>
      <c r="F38" s="21" t="s">
        <v>2403</v>
      </c>
      <c r="G38" s="30" t="s">
        <v>2404</v>
      </c>
      <c r="H38" s="45" t="str">
        <f aca="false">HYPERLINK("https://photos.app.goo.gl/59wr8z23ufX7LZxV9", "Completo")</f>
        <v>Completo</v>
      </c>
      <c r="I38" s="21" t="s">
        <v>28</v>
      </c>
      <c r="J38" s="21" t="s">
        <v>29</v>
      </c>
      <c r="K38" s="21" t="s">
        <v>29</v>
      </c>
      <c r="L38" s="21" t="n">
        <v>1394</v>
      </c>
      <c r="M38" s="21" t="s">
        <v>2133</v>
      </c>
      <c r="N38" s="30"/>
      <c r="O38" s="21"/>
      <c r="P38" s="66"/>
      <c r="Q38" s="21"/>
      <c r="R38" s="32"/>
      <c r="S38" s="32"/>
      <c r="T38" s="21" t="s">
        <v>58</v>
      </c>
      <c r="U38" s="46" t="s">
        <v>28</v>
      </c>
      <c r="V38" s="46" t="s">
        <v>28</v>
      </c>
      <c r="W38" s="21" t="s">
        <v>36</v>
      </c>
      <c r="X38" s="21" t="s">
        <v>28</v>
      </c>
    </row>
    <row r="39" customFormat="false" ht="15" hidden="false" customHeight="true" outlineLevel="0" collapsed="false">
      <c r="A39" s="61" t="n">
        <v>6936</v>
      </c>
      <c r="B39" s="29" t="n">
        <v>44916</v>
      </c>
      <c r="C39" s="21" t="s">
        <v>841</v>
      </c>
      <c r="D39" s="21" t="s">
        <v>24</v>
      </c>
      <c r="E39" s="21" t="s">
        <v>25</v>
      </c>
      <c r="F39" s="21" t="s">
        <v>2003</v>
      </c>
      <c r="G39" s="30" t="s">
        <v>2405</v>
      </c>
      <c r="H39" s="45" t="str">
        <f aca="false">HYPERLINK("https://photos.app.goo.gl/zQgQA7Vzioh7PhxF8", "Completo")</f>
        <v>Completo</v>
      </c>
      <c r="I39" s="21" t="s">
        <v>28</v>
      </c>
      <c r="J39" s="21" t="s">
        <v>29</v>
      </c>
      <c r="K39" s="21" t="s">
        <v>29</v>
      </c>
      <c r="L39" s="21" t="n">
        <v>1394</v>
      </c>
      <c r="M39" s="21" t="s">
        <v>2133</v>
      </c>
      <c r="N39" s="30"/>
      <c r="O39" s="21"/>
      <c r="P39" s="21"/>
      <c r="Q39" s="21"/>
      <c r="R39" s="32"/>
      <c r="S39" s="32"/>
      <c r="T39" s="21" t="s">
        <v>74</v>
      </c>
      <c r="U39" s="46" t="s">
        <v>28</v>
      </c>
      <c r="V39" s="46" t="s">
        <v>28</v>
      </c>
      <c r="W39" s="21" t="s">
        <v>36</v>
      </c>
      <c r="X39" s="21" t="s">
        <v>28</v>
      </c>
    </row>
    <row r="40" customFormat="false" ht="15.75" hidden="false" customHeight="false" outlineLevel="0" collapsed="false">
      <c r="A40" s="61" t="n">
        <v>6937</v>
      </c>
      <c r="B40" s="29" t="n">
        <v>44916</v>
      </c>
      <c r="C40" s="21" t="s">
        <v>841</v>
      </c>
      <c r="D40" s="21" t="s">
        <v>24</v>
      </c>
      <c r="E40" s="21" t="s">
        <v>25</v>
      </c>
      <c r="F40" s="21" t="s">
        <v>2003</v>
      </c>
      <c r="G40" s="30" t="s">
        <v>2406</v>
      </c>
      <c r="H40" s="45" t="str">
        <f aca="false">HYPERLINK("https://photos.app.goo.gl/W7v1mn485tsrZHgq8", "Completo")</f>
        <v>Completo</v>
      </c>
      <c r="I40" s="21" t="s">
        <v>28</v>
      </c>
      <c r="J40" s="21" t="s">
        <v>29</v>
      </c>
      <c r="K40" s="21" t="s">
        <v>29</v>
      </c>
      <c r="L40" s="21" t="n">
        <v>1394</v>
      </c>
      <c r="M40" s="21" t="s">
        <v>2133</v>
      </c>
      <c r="N40" s="30" t="s">
        <v>1178</v>
      </c>
      <c r="O40" s="46" t="s">
        <v>28</v>
      </c>
      <c r="P40" s="46" t="s">
        <v>28</v>
      </c>
      <c r="Q40" s="21" t="s">
        <v>73</v>
      </c>
      <c r="R40" s="32" t="s">
        <v>74</v>
      </c>
      <c r="S40" s="32" t="s">
        <v>36</v>
      </c>
      <c r="T40" s="21" t="s">
        <v>58</v>
      </c>
      <c r="U40" s="46" t="s">
        <v>28</v>
      </c>
      <c r="V40" s="46" t="s">
        <v>28</v>
      </c>
      <c r="W40" s="21" t="s">
        <v>36</v>
      </c>
      <c r="X40" s="21" t="s">
        <v>28</v>
      </c>
    </row>
    <row r="41" customFormat="false" ht="15.75" hidden="false" customHeight="false" outlineLevel="0" collapsed="false">
      <c r="A41" s="61" t="n">
        <v>6938</v>
      </c>
      <c r="B41" s="29" t="n">
        <v>44916</v>
      </c>
      <c r="C41" s="21" t="s">
        <v>841</v>
      </c>
      <c r="D41" s="21" t="s">
        <v>24</v>
      </c>
      <c r="E41" s="21" t="s">
        <v>25</v>
      </c>
      <c r="F41" s="21" t="s">
        <v>2407</v>
      </c>
      <c r="G41" s="30" t="s">
        <v>2408</v>
      </c>
      <c r="H41" s="45" t="str">
        <f aca="false">HYPERLINK("https://photos.app.goo.gl/ZqtjQZ3FSttANP638", "Completo")</f>
        <v>Completo</v>
      </c>
      <c r="I41" s="21" t="s">
        <v>28</v>
      </c>
      <c r="J41" s="21" t="s">
        <v>29</v>
      </c>
      <c r="K41" s="21" t="s">
        <v>29</v>
      </c>
      <c r="L41" s="21" t="n">
        <v>1394</v>
      </c>
      <c r="M41" s="21" t="s">
        <v>2133</v>
      </c>
      <c r="N41" s="30"/>
      <c r="O41" s="21"/>
      <c r="P41" s="21"/>
      <c r="Q41" s="21"/>
      <c r="R41" s="32"/>
      <c r="S41" s="32"/>
      <c r="T41" s="21" t="s">
        <v>58</v>
      </c>
      <c r="U41" s="46" t="s">
        <v>28</v>
      </c>
      <c r="V41" s="46" t="s">
        <v>28</v>
      </c>
      <c r="W41" s="21" t="s">
        <v>36</v>
      </c>
      <c r="X41" s="21" t="s">
        <v>28</v>
      </c>
    </row>
    <row r="42" customFormat="false" ht="15.75" hidden="false" customHeight="false" outlineLevel="0" collapsed="false">
      <c r="A42" s="61" t="n">
        <v>6939</v>
      </c>
      <c r="B42" s="29" t="n">
        <v>44916</v>
      </c>
      <c r="C42" s="21" t="s">
        <v>841</v>
      </c>
      <c r="D42" s="21" t="s">
        <v>24</v>
      </c>
      <c r="E42" s="21" t="s">
        <v>25</v>
      </c>
      <c r="F42" s="21" t="s">
        <v>2409</v>
      </c>
      <c r="G42" s="30" t="s">
        <v>2410</v>
      </c>
      <c r="H42" s="45" t="str">
        <f aca="false">HYPERLINK("https://photos.app.goo.gl/muHCxJw67MKd3wAv8", "Completo")</f>
        <v>Completo</v>
      </c>
      <c r="I42" s="21" t="s">
        <v>28</v>
      </c>
      <c r="J42" s="21" t="s">
        <v>29</v>
      </c>
      <c r="K42" s="21" t="s">
        <v>29</v>
      </c>
      <c r="L42" s="21" t="n">
        <v>1394</v>
      </c>
      <c r="M42" s="21" t="s">
        <v>2133</v>
      </c>
      <c r="N42" s="68"/>
      <c r="O42" s="21" t="s">
        <v>28</v>
      </c>
      <c r="P42" s="46" t="s">
        <v>28</v>
      </c>
      <c r="Q42" s="21" t="s">
        <v>73</v>
      </c>
      <c r="R42" s="32" t="s">
        <v>186</v>
      </c>
      <c r="S42" s="32" t="s">
        <v>2411</v>
      </c>
      <c r="T42" s="21"/>
      <c r="U42" s="46" t="s">
        <v>28</v>
      </c>
      <c r="V42" s="46" t="s">
        <v>28</v>
      </c>
      <c r="W42" s="21" t="s">
        <v>36</v>
      </c>
      <c r="X42" s="21" t="s">
        <v>28</v>
      </c>
    </row>
    <row r="43" customFormat="false" ht="15.75" hidden="false" customHeight="false" outlineLevel="0" collapsed="false">
      <c r="A43" s="61" t="n">
        <v>6940</v>
      </c>
      <c r="B43" s="29" t="n">
        <v>44916</v>
      </c>
      <c r="C43" s="21" t="s">
        <v>841</v>
      </c>
      <c r="D43" s="21" t="s">
        <v>24</v>
      </c>
      <c r="E43" s="21" t="s">
        <v>25</v>
      </c>
      <c r="F43" s="21" t="s">
        <v>2409</v>
      </c>
      <c r="G43" s="30" t="s">
        <v>2410</v>
      </c>
      <c r="H43" s="45" t="str">
        <f aca="false">HYPERLINK("https://photos.app.goo.gl/ga5zKjygBktzc4Jn6", "Completo")</f>
        <v>Completo</v>
      </c>
      <c r="I43" s="21" t="s">
        <v>28</v>
      </c>
      <c r="J43" s="21" t="s">
        <v>29</v>
      </c>
      <c r="K43" s="21" t="s">
        <v>29</v>
      </c>
      <c r="L43" s="21" t="n">
        <v>1394</v>
      </c>
      <c r="M43" s="21" t="s">
        <v>2133</v>
      </c>
      <c r="N43" s="30"/>
      <c r="O43" s="21"/>
      <c r="P43" s="21"/>
      <c r="Q43" s="21"/>
      <c r="R43" s="32"/>
      <c r="S43" s="32"/>
      <c r="T43" s="21"/>
      <c r="U43" s="46" t="s">
        <v>28</v>
      </c>
      <c r="V43" s="46" t="s">
        <v>28</v>
      </c>
      <c r="W43" s="21" t="s">
        <v>36</v>
      </c>
      <c r="X43" s="21" t="s">
        <v>28</v>
      </c>
    </row>
    <row r="44" customFormat="false" ht="15.75" hidden="false" customHeight="false" outlineLevel="0" collapsed="false">
      <c r="A44" s="61" t="n">
        <v>6941</v>
      </c>
      <c r="B44" s="54" t="n">
        <v>44916</v>
      </c>
      <c r="C44" s="21" t="s">
        <v>1456</v>
      </c>
      <c r="D44" s="21" t="s">
        <v>24</v>
      </c>
      <c r="E44" s="21" t="s">
        <v>25</v>
      </c>
      <c r="F44" s="21" t="s">
        <v>2412</v>
      </c>
      <c r="G44" s="30" t="s">
        <v>29</v>
      </c>
      <c r="H44" s="45" t="str">
        <f aca="false">HYPERLINK("https://photos.app.goo.gl/f8DjAGZyyjyj8PpY7", "Completo")</f>
        <v>Completo</v>
      </c>
      <c r="I44" s="21" t="s">
        <v>28</v>
      </c>
      <c r="J44" s="21" t="s">
        <v>29</v>
      </c>
      <c r="K44" s="21" t="s">
        <v>29</v>
      </c>
      <c r="L44" s="21" t="n">
        <v>53212</v>
      </c>
      <c r="M44" s="21" t="s">
        <v>2413</v>
      </c>
      <c r="N44" s="69"/>
      <c r="O44" s="21"/>
      <c r="P44" s="21"/>
      <c r="Q44" s="21"/>
      <c r="R44" s="32"/>
      <c r="S44" s="32"/>
      <c r="T44" s="21"/>
      <c r="U44" s="21"/>
      <c r="V44" s="21"/>
      <c r="W44" s="21"/>
      <c r="X44" s="21" t="s">
        <v>28</v>
      </c>
    </row>
    <row r="45" customFormat="false" ht="15.75" hidden="false" customHeight="false" outlineLevel="0" collapsed="false">
      <c r="A45" s="63" t="n">
        <v>1675735</v>
      </c>
      <c r="B45" s="54" t="n">
        <v>44916</v>
      </c>
      <c r="C45" s="21" t="s">
        <v>357</v>
      </c>
      <c r="D45" s="21" t="s">
        <v>290</v>
      </c>
      <c r="E45" s="21" t="s">
        <v>25</v>
      </c>
      <c r="F45" s="21" t="s">
        <v>2414</v>
      </c>
      <c r="G45" s="30" t="s">
        <v>2415</v>
      </c>
      <c r="H45" s="45" t="str">
        <f aca="false">HYPERLINK("https://photos.app.goo.gl/uL4579gT2pbmt9gG6", "Completo")</f>
        <v>Completo</v>
      </c>
      <c r="I45" s="21" t="s">
        <v>28</v>
      </c>
      <c r="J45" s="21" t="s">
        <v>29</v>
      </c>
      <c r="K45" s="21" t="s">
        <v>29</v>
      </c>
      <c r="L45" s="21" t="n">
        <v>6623</v>
      </c>
      <c r="M45" s="21" t="s">
        <v>2416</v>
      </c>
      <c r="N45" s="69" t="s">
        <v>2415</v>
      </c>
      <c r="O45" s="21" t="s">
        <v>28</v>
      </c>
      <c r="P45" s="46" t="str">
        <f aca="false">HYPERLINK("https://photos.app.goo.gl/QuCCVwYagKHAY5ck7", "Completo")</f>
        <v>Completo</v>
      </c>
      <c r="Q45" s="21" t="s">
        <v>2417</v>
      </c>
      <c r="R45" s="32" t="s">
        <v>25</v>
      </c>
      <c r="S45" s="32" t="s">
        <v>2418</v>
      </c>
      <c r="T45" s="21" t="s">
        <v>74</v>
      </c>
      <c r="U45" s="46" t="s">
        <v>28</v>
      </c>
      <c r="V45" s="46" t="s">
        <v>28</v>
      </c>
      <c r="W45" s="21" t="s">
        <v>36</v>
      </c>
      <c r="X45" s="21" t="s">
        <v>28</v>
      </c>
    </row>
    <row r="46" customFormat="false" ht="15.75" hidden="false" customHeight="false" outlineLevel="0" collapsed="false">
      <c r="A46" s="61" t="n">
        <v>6942</v>
      </c>
      <c r="B46" s="54" t="n">
        <v>44917</v>
      </c>
      <c r="C46" s="21" t="s">
        <v>2419</v>
      </c>
      <c r="D46" s="21" t="s">
        <v>24</v>
      </c>
      <c r="E46" s="21" t="s">
        <v>25</v>
      </c>
      <c r="F46" s="21" t="s">
        <v>2420</v>
      </c>
      <c r="G46" s="30" t="s">
        <v>2421</v>
      </c>
      <c r="H46" s="45" t="str">
        <f aca="false">HYPERLINK("https://photos.app.goo.gl/qo8LDQDzzEBRHJ2p7", "Completo")</f>
        <v>Completo</v>
      </c>
      <c r="I46" s="21" t="s">
        <v>28</v>
      </c>
      <c r="J46" s="21" t="s">
        <v>29</v>
      </c>
      <c r="K46" s="21" t="s">
        <v>29</v>
      </c>
      <c r="L46" s="21" t="n">
        <v>32596</v>
      </c>
      <c r="M46" s="21" t="s">
        <v>2255</v>
      </c>
      <c r="N46" s="69"/>
      <c r="O46" s="21"/>
      <c r="P46" s="21"/>
      <c r="Q46" s="21"/>
      <c r="R46" s="32"/>
      <c r="S46" s="32"/>
      <c r="T46" s="21"/>
      <c r="U46" s="21"/>
      <c r="V46" s="21"/>
      <c r="W46" s="21"/>
      <c r="X46" s="21" t="s">
        <v>28</v>
      </c>
    </row>
    <row r="47" customFormat="false" ht="15.75" hidden="false" customHeight="false" outlineLevel="0" collapsed="false">
      <c r="A47" s="61" t="n">
        <v>6943</v>
      </c>
      <c r="B47" s="29" t="n">
        <v>44917</v>
      </c>
      <c r="C47" s="21" t="s">
        <v>389</v>
      </c>
      <c r="D47" s="21" t="s">
        <v>24</v>
      </c>
      <c r="E47" s="21" t="s">
        <v>25</v>
      </c>
      <c r="F47" s="21" t="s">
        <v>2422</v>
      </c>
      <c r="G47" s="30" t="s">
        <v>29</v>
      </c>
      <c r="H47" s="45" t="str">
        <f aca="false">HYPERLINK("https://photos.app.goo.gl/myvPadM2taxoKM819", "Completo")</f>
        <v>Completo</v>
      </c>
      <c r="I47" s="21" t="s">
        <v>28</v>
      </c>
      <c r="J47" s="21" t="s">
        <v>29</v>
      </c>
      <c r="K47" s="21" t="s">
        <v>29</v>
      </c>
      <c r="L47" s="21" t="s">
        <v>29</v>
      </c>
      <c r="M47" s="21" t="s">
        <v>2423</v>
      </c>
      <c r="N47" s="69"/>
      <c r="O47" s="21"/>
      <c r="P47" s="21"/>
      <c r="Q47" s="21"/>
      <c r="R47" s="32"/>
      <c r="S47" s="32"/>
      <c r="T47" s="21"/>
      <c r="U47" s="21"/>
      <c r="V47" s="21"/>
      <c r="W47" s="21"/>
      <c r="X47" s="21" t="s">
        <v>28</v>
      </c>
    </row>
    <row r="48" customFormat="false" ht="15.75" hidden="false" customHeight="false" outlineLevel="0" collapsed="false">
      <c r="A48" s="61" t="n">
        <v>6944</v>
      </c>
      <c r="B48" s="29" t="n">
        <v>44921</v>
      </c>
      <c r="C48" s="21" t="s">
        <v>1259</v>
      </c>
      <c r="D48" s="21" t="s">
        <v>24</v>
      </c>
      <c r="E48" s="21" t="s">
        <v>25</v>
      </c>
      <c r="F48" s="21" t="s">
        <v>2424</v>
      </c>
      <c r="G48" s="30" t="s">
        <v>2425</v>
      </c>
      <c r="H48" s="45" t="str">
        <f aca="false">HYPERLINK("https://photos.app.goo.gl/ZX2uDBSyTVXhgPBM8", "Completo")</f>
        <v>Completo</v>
      </c>
      <c r="I48" s="21" t="s">
        <v>28</v>
      </c>
      <c r="J48" s="21" t="s">
        <v>29</v>
      </c>
      <c r="K48" s="21" t="s">
        <v>29</v>
      </c>
      <c r="L48" s="21" t="n">
        <v>16459</v>
      </c>
      <c r="M48" s="21" t="s">
        <v>2154</v>
      </c>
      <c r="N48" s="69"/>
      <c r="O48" s="21"/>
      <c r="P48" s="21"/>
      <c r="Q48" s="21"/>
      <c r="R48" s="32"/>
      <c r="S48" s="32"/>
      <c r="T48" s="21" t="s">
        <v>74</v>
      </c>
      <c r="U48" s="46" t="s">
        <v>28</v>
      </c>
      <c r="V48" s="46" t="s">
        <v>28</v>
      </c>
      <c r="W48" s="21" t="s">
        <v>36</v>
      </c>
      <c r="X48" s="21" t="s">
        <v>28</v>
      </c>
    </row>
    <row r="49" customFormat="false" ht="15.75" hidden="false" customHeight="false" outlineLevel="0" collapsed="false">
      <c r="A49" s="63" t="n">
        <v>1139193</v>
      </c>
      <c r="B49" s="29" t="n">
        <v>44921</v>
      </c>
      <c r="C49" s="21" t="s">
        <v>1259</v>
      </c>
      <c r="D49" s="21" t="s">
        <v>290</v>
      </c>
      <c r="E49" s="21" t="s">
        <v>25</v>
      </c>
      <c r="F49" s="21" t="s">
        <v>2426</v>
      </c>
      <c r="G49" s="30" t="s">
        <v>2427</v>
      </c>
      <c r="H49" s="45" t="str">
        <f aca="false">HYPERLINK("https://photos.app.goo.gl/G7zWBEbG3nptfEb3A", "Completo")</f>
        <v>Completo</v>
      </c>
      <c r="I49" s="21" t="s">
        <v>28</v>
      </c>
      <c r="J49" s="21" t="s">
        <v>29</v>
      </c>
      <c r="K49" s="21" t="s">
        <v>29</v>
      </c>
      <c r="L49" s="21" t="n">
        <v>16459</v>
      </c>
      <c r="M49" s="21" t="s">
        <v>2154</v>
      </c>
      <c r="N49" s="30"/>
      <c r="O49" s="21"/>
      <c r="P49" s="21"/>
      <c r="Q49" s="21"/>
      <c r="R49" s="32"/>
      <c r="S49" s="32"/>
      <c r="T49" s="21" t="s">
        <v>58</v>
      </c>
      <c r="U49" s="46" t="s">
        <v>28</v>
      </c>
      <c r="V49" s="46" t="s">
        <v>28</v>
      </c>
      <c r="W49" s="21" t="s">
        <v>36</v>
      </c>
      <c r="X49" s="21" t="s">
        <v>28</v>
      </c>
    </row>
    <row r="50" customFormat="false" ht="15.75" hidden="false" customHeight="false" outlineLevel="0" collapsed="false">
      <c r="A50" s="61" t="n">
        <v>6945</v>
      </c>
      <c r="B50" s="29" t="n">
        <v>44921</v>
      </c>
      <c r="C50" s="21" t="s">
        <v>2428</v>
      </c>
      <c r="D50" s="21" t="s">
        <v>24</v>
      </c>
      <c r="E50" s="21" t="s">
        <v>25</v>
      </c>
      <c r="F50" s="21" t="s">
        <v>1075</v>
      </c>
      <c r="G50" s="30" t="s">
        <v>2429</v>
      </c>
      <c r="H50" s="45" t="str">
        <f aca="false">HYPERLINK("https://photos.app.goo.gl/6Xtxuga1D6Bg8AxSA", "Completo")</f>
        <v>Completo</v>
      </c>
      <c r="I50" s="21" t="s">
        <v>28</v>
      </c>
      <c r="J50" s="21" t="s">
        <v>29</v>
      </c>
      <c r="K50" s="21" t="s">
        <v>29</v>
      </c>
      <c r="L50" s="21" t="s">
        <v>29</v>
      </c>
      <c r="M50" s="21" t="s">
        <v>2154</v>
      </c>
      <c r="N50" s="30"/>
      <c r="O50" s="21"/>
      <c r="P50" s="21"/>
      <c r="Q50" s="21"/>
      <c r="R50" s="32"/>
      <c r="S50" s="32"/>
      <c r="T50" s="21" t="s">
        <v>74</v>
      </c>
      <c r="U50" s="46" t="s">
        <v>28</v>
      </c>
      <c r="V50" s="46" t="s">
        <v>28</v>
      </c>
      <c r="W50" s="21" t="s">
        <v>36</v>
      </c>
      <c r="X50" s="21" t="s">
        <v>28</v>
      </c>
      <c r="Y50" s="12"/>
      <c r="Z50" s="12"/>
      <c r="AA50" s="12"/>
      <c r="AB50" s="12"/>
      <c r="AC50" s="12"/>
      <c r="AD50" s="12"/>
      <c r="AE50" s="12"/>
    </row>
    <row r="51" customFormat="false" ht="15.75" hidden="false" customHeight="false" outlineLevel="0" collapsed="false">
      <c r="A51" s="61" t="n">
        <v>6946</v>
      </c>
      <c r="B51" s="29" t="n">
        <v>44923</v>
      </c>
      <c r="C51" s="21" t="s">
        <v>2430</v>
      </c>
      <c r="D51" s="21" t="s">
        <v>24</v>
      </c>
      <c r="E51" s="21" t="s">
        <v>25</v>
      </c>
      <c r="F51" s="21" t="s">
        <v>2431</v>
      </c>
      <c r="G51" s="30" t="s">
        <v>2432</v>
      </c>
      <c r="H51" s="45" t="str">
        <f aca="false">HYPERLINK("https://photos.app.goo.gl/YMmzky1wzwRqxBea9", "Completo")</f>
        <v>Completo</v>
      </c>
      <c r="I51" s="21" t="s">
        <v>28</v>
      </c>
      <c r="J51" s="21" t="s">
        <v>2433</v>
      </c>
      <c r="K51" s="21" t="s">
        <v>2434</v>
      </c>
      <c r="L51" s="21" t="s">
        <v>29</v>
      </c>
      <c r="M51" s="21" t="s">
        <v>2133</v>
      </c>
      <c r="N51" s="30"/>
      <c r="O51" s="21"/>
      <c r="P51" s="21"/>
      <c r="Q51" s="21"/>
      <c r="R51" s="32"/>
      <c r="S51" s="32"/>
      <c r="T51" s="21"/>
      <c r="U51" s="21"/>
      <c r="V51" s="21"/>
      <c r="W51" s="21"/>
      <c r="X51" s="21" t="s">
        <v>28</v>
      </c>
      <c r="Y51" s="12"/>
      <c r="Z51" s="12"/>
      <c r="AA51" s="12"/>
      <c r="AB51" s="12"/>
      <c r="AC51" s="12"/>
      <c r="AD51" s="12"/>
      <c r="AE51" s="12"/>
    </row>
    <row r="52" customFormat="false" ht="15.75" hidden="false" customHeight="false" outlineLevel="0" collapsed="false">
      <c r="A52" s="61" t="n">
        <v>6947</v>
      </c>
      <c r="B52" s="29" t="n">
        <v>44923</v>
      </c>
      <c r="C52" s="21" t="s">
        <v>389</v>
      </c>
      <c r="D52" s="21" t="s">
        <v>24</v>
      </c>
      <c r="E52" s="21" t="s">
        <v>25</v>
      </c>
      <c r="F52" s="21" t="s">
        <v>2435</v>
      </c>
      <c r="G52" s="30" t="s">
        <v>29</v>
      </c>
      <c r="H52" s="45" t="str">
        <f aca="false">HYPERLINK("https://photos.app.goo.gl/sKKF8YB2E9JmJtnJ9", "Completo")</f>
        <v>Completo</v>
      </c>
      <c r="I52" s="21" t="s">
        <v>28</v>
      </c>
      <c r="J52" s="21" t="s">
        <v>29</v>
      </c>
      <c r="K52" s="21" t="s">
        <v>29</v>
      </c>
      <c r="L52" s="21" t="n">
        <v>269318</v>
      </c>
      <c r="M52" s="21" t="s">
        <v>950</v>
      </c>
      <c r="N52" s="30"/>
      <c r="O52" s="21"/>
      <c r="P52" s="21"/>
      <c r="Q52" s="21"/>
      <c r="R52" s="32"/>
      <c r="S52" s="32"/>
      <c r="T52" s="21"/>
      <c r="U52" s="66"/>
      <c r="V52" s="66"/>
      <c r="W52" s="21"/>
      <c r="X52" s="21" t="s">
        <v>28</v>
      </c>
    </row>
    <row r="53" customFormat="false" ht="15.75" hidden="false" customHeight="false" outlineLevel="0" collapsed="false">
      <c r="A53" s="61" t="n">
        <v>6948</v>
      </c>
      <c r="B53" s="29" t="n">
        <v>44923</v>
      </c>
      <c r="C53" s="21" t="s">
        <v>389</v>
      </c>
      <c r="D53" s="21" t="s">
        <v>24</v>
      </c>
      <c r="E53" s="21" t="s">
        <v>25</v>
      </c>
      <c r="F53" s="21" t="s">
        <v>2436</v>
      </c>
      <c r="G53" s="30" t="s">
        <v>2437</v>
      </c>
      <c r="H53" s="45" t="str">
        <f aca="false">HYPERLINK("https://photos.app.goo.gl/w2XXc9LMfUqeMcTN7", "Completo")</f>
        <v>Completo</v>
      </c>
      <c r="I53" s="21" t="s">
        <v>28</v>
      </c>
      <c r="J53" s="21" t="s">
        <v>29</v>
      </c>
      <c r="K53" s="21" t="s">
        <v>29</v>
      </c>
      <c r="L53" s="21" t="n">
        <v>269317</v>
      </c>
      <c r="M53" s="21" t="s">
        <v>2438</v>
      </c>
      <c r="N53" s="30"/>
      <c r="O53" s="21"/>
      <c r="P53" s="21"/>
      <c r="Q53" s="21"/>
      <c r="R53" s="32"/>
      <c r="S53" s="32"/>
      <c r="T53" s="21" t="s">
        <v>58</v>
      </c>
      <c r="U53" s="46" t="s">
        <v>28</v>
      </c>
      <c r="V53" s="46" t="s">
        <v>28</v>
      </c>
      <c r="W53" s="21" t="s">
        <v>36</v>
      </c>
      <c r="X53" s="21" t="s">
        <v>28</v>
      </c>
    </row>
    <row r="54" customFormat="false" ht="15.75" hidden="false" customHeight="false" outlineLevel="0" collapsed="false">
      <c r="A54" s="61" t="n">
        <v>6949</v>
      </c>
      <c r="B54" s="29" t="n">
        <v>44923</v>
      </c>
      <c r="C54" s="21" t="s">
        <v>67</v>
      </c>
      <c r="D54" s="21" t="s">
        <v>24</v>
      </c>
      <c r="E54" s="21" t="s">
        <v>25</v>
      </c>
      <c r="F54" s="21" t="s">
        <v>2439</v>
      </c>
      <c r="G54" s="30" t="s">
        <v>2440</v>
      </c>
      <c r="H54" s="45" t="str">
        <f aca="false">HYPERLINK("https://photos.app.goo.gl/YS49VutVoG4sUNGSA", "Completo")</f>
        <v>Completo</v>
      </c>
      <c r="I54" s="21" t="s">
        <v>28</v>
      </c>
      <c r="J54" s="21" t="s">
        <v>29</v>
      </c>
      <c r="K54" s="21" t="s">
        <v>29</v>
      </c>
      <c r="L54" s="21" t="s">
        <v>29</v>
      </c>
      <c r="M54" s="21" t="s">
        <v>2133</v>
      </c>
      <c r="N54" s="30"/>
      <c r="O54" s="21"/>
      <c r="P54" s="66"/>
      <c r="Q54" s="21"/>
      <c r="R54" s="32"/>
      <c r="S54" s="32"/>
      <c r="T54" s="21"/>
      <c r="U54" s="21"/>
      <c r="V54" s="21"/>
      <c r="W54" s="21"/>
      <c r="X54" s="21"/>
    </row>
    <row r="55" customFormat="false" ht="15.75" hidden="false" customHeight="false" outlineLevel="0" collapsed="false">
      <c r="A55" s="61" t="n">
        <v>6950</v>
      </c>
      <c r="B55" s="29" t="n">
        <v>44923</v>
      </c>
      <c r="C55" s="21" t="s">
        <v>760</v>
      </c>
      <c r="D55" s="21" t="s">
        <v>24</v>
      </c>
      <c r="E55" s="21" t="s">
        <v>25</v>
      </c>
      <c r="F55" s="21" t="s">
        <v>2441</v>
      </c>
      <c r="G55" s="30" t="s">
        <v>2442</v>
      </c>
      <c r="H55" s="45" t="str">
        <f aca="false">HYPERLINK("https://photos.app.goo.gl/3bw9uV8psxncN2M16", "Completo")</f>
        <v>Completo</v>
      </c>
      <c r="I55" s="21" t="s">
        <v>28</v>
      </c>
      <c r="J55" s="21" t="s">
        <v>29</v>
      </c>
      <c r="K55" s="21" t="s">
        <v>29</v>
      </c>
      <c r="L55" s="21" t="s">
        <v>29</v>
      </c>
      <c r="M55" s="21" t="s">
        <v>2443</v>
      </c>
      <c r="N55" s="30"/>
      <c r="O55" s="21"/>
      <c r="P55" s="21"/>
      <c r="Q55" s="21"/>
      <c r="R55" s="32"/>
      <c r="S55" s="32"/>
      <c r="T55" s="21"/>
      <c r="U55" s="21"/>
      <c r="V55" s="21"/>
      <c r="W55" s="21"/>
      <c r="X55" s="21" t="s">
        <v>28</v>
      </c>
    </row>
    <row r="56" customFormat="false" ht="15.75" hidden="false" customHeight="false" outlineLevel="0" collapsed="false">
      <c r="A56" s="61" t="n">
        <v>6951</v>
      </c>
      <c r="B56" s="29" t="n">
        <v>44924</v>
      </c>
      <c r="C56" s="21" t="s">
        <v>389</v>
      </c>
      <c r="D56" s="21" t="s">
        <v>24</v>
      </c>
      <c r="E56" s="21" t="s">
        <v>34</v>
      </c>
      <c r="F56" s="21" t="s">
        <v>2444</v>
      </c>
      <c r="G56" s="30" t="s">
        <v>36</v>
      </c>
      <c r="H56" s="31" t="s">
        <v>37</v>
      </c>
      <c r="I56" s="21" t="s">
        <v>37</v>
      </c>
      <c r="J56" s="21"/>
      <c r="K56" s="21"/>
      <c r="L56" s="21"/>
      <c r="M56" s="21"/>
      <c r="N56" s="30"/>
      <c r="O56" s="21"/>
      <c r="P56" s="21"/>
      <c r="Q56" s="21"/>
      <c r="R56" s="32"/>
      <c r="S56" s="32"/>
      <c r="T56" s="21"/>
      <c r="U56" s="21"/>
      <c r="V56" s="21"/>
      <c r="W56" s="21"/>
      <c r="X56" s="21" t="s">
        <v>28</v>
      </c>
    </row>
    <row r="57" customFormat="false" ht="15.75" hidden="false" customHeight="false" outlineLevel="0" collapsed="false">
      <c r="A57" s="61" t="n">
        <v>6952</v>
      </c>
      <c r="B57" s="29" t="n">
        <v>44925</v>
      </c>
      <c r="C57" s="21" t="s">
        <v>2445</v>
      </c>
      <c r="D57" s="21" t="s">
        <v>24</v>
      </c>
      <c r="E57" s="21" t="s">
        <v>34</v>
      </c>
      <c r="F57" s="21" t="s">
        <v>2446</v>
      </c>
      <c r="G57" s="30" t="s">
        <v>36</v>
      </c>
      <c r="H57" s="31" t="s">
        <v>37</v>
      </c>
      <c r="I57" s="21" t="s">
        <v>37</v>
      </c>
      <c r="J57" s="21" t="s">
        <v>36</v>
      </c>
      <c r="K57" s="21" t="s">
        <v>36</v>
      </c>
      <c r="L57" s="21" t="s">
        <v>36</v>
      </c>
      <c r="M57" s="21" t="s">
        <v>2447</v>
      </c>
      <c r="N57" s="30"/>
      <c r="O57" s="21"/>
      <c r="P57" s="21"/>
      <c r="Q57" s="21"/>
      <c r="R57" s="32"/>
      <c r="S57" s="32"/>
      <c r="T57" s="21"/>
      <c r="U57" s="21"/>
      <c r="V57" s="21"/>
      <c r="W57" s="21"/>
      <c r="X57" s="21" t="s">
        <v>28</v>
      </c>
    </row>
    <row r="58" customFormat="false" ht="15.75" hidden="false" customHeight="false" outlineLevel="0" collapsed="false">
      <c r="A58" s="61" t="n">
        <v>6953</v>
      </c>
      <c r="B58" s="29" t="n">
        <v>44925</v>
      </c>
      <c r="C58" s="21" t="s">
        <v>2448</v>
      </c>
      <c r="D58" s="21" t="s">
        <v>24</v>
      </c>
      <c r="E58" s="21" t="s">
        <v>34</v>
      </c>
      <c r="F58" s="21" t="s">
        <v>2449</v>
      </c>
      <c r="G58" s="30" t="s">
        <v>2450</v>
      </c>
      <c r="H58" s="45" t="str">
        <f aca="false">HYPERLINK("https://photos.app.goo.gl/BhER8gAhXdV6DRjv9", "Completo")</f>
        <v>Completo</v>
      </c>
      <c r="I58" s="21" t="s">
        <v>28</v>
      </c>
      <c r="J58" s="21" t="n">
        <v>3512421549</v>
      </c>
      <c r="K58" s="21" t="s">
        <v>2451</v>
      </c>
      <c r="L58" s="21"/>
      <c r="M58" s="21" t="s">
        <v>2452</v>
      </c>
      <c r="N58" s="30"/>
      <c r="O58" s="21"/>
      <c r="P58" s="21"/>
      <c r="Q58" s="21"/>
      <c r="R58" s="32"/>
      <c r="S58" s="32"/>
      <c r="T58" s="21"/>
      <c r="U58" s="21"/>
      <c r="V58" s="21"/>
      <c r="W58" s="21"/>
      <c r="X58" s="21" t="s">
        <v>28</v>
      </c>
      <c r="Y58" s="12" t="s">
        <v>2453</v>
      </c>
    </row>
    <row r="59" customFormat="false" ht="15.75" hidden="false" customHeight="false" outlineLevel="0" collapsed="false">
      <c r="A59" s="61" t="n">
        <v>6954</v>
      </c>
      <c r="B59" s="29" t="n">
        <v>44925</v>
      </c>
      <c r="C59" s="21" t="s">
        <v>140</v>
      </c>
      <c r="D59" s="21" t="s">
        <v>24</v>
      </c>
      <c r="E59" s="21" t="s">
        <v>25</v>
      </c>
      <c r="F59" s="21" t="s">
        <v>2454</v>
      </c>
      <c r="G59" s="30" t="s">
        <v>2455</v>
      </c>
      <c r="H59" s="45" t="str">
        <f aca="false">HYPERLINK("https://photos.app.goo.gl/KQsfAQjM7XWwsN3s7", "Completo")</f>
        <v>Completo</v>
      </c>
      <c r="I59" s="21" t="s">
        <v>28</v>
      </c>
      <c r="J59" s="21" t="s">
        <v>29</v>
      </c>
      <c r="K59" s="21" t="s">
        <v>29</v>
      </c>
      <c r="L59" s="21" t="s">
        <v>29</v>
      </c>
      <c r="M59" s="21" t="s">
        <v>2456</v>
      </c>
      <c r="N59" s="30"/>
      <c r="O59" s="21"/>
      <c r="P59" s="21"/>
      <c r="Q59" s="21"/>
      <c r="R59" s="32"/>
      <c r="S59" s="32"/>
      <c r="T59" s="21" t="s">
        <v>58</v>
      </c>
      <c r="U59" s="46" t="s">
        <v>28</v>
      </c>
      <c r="V59" s="21" t="s">
        <v>28</v>
      </c>
      <c r="W59" s="21" t="s">
        <v>36</v>
      </c>
      <c r="X59" s="21" t="s">
        <v>28</v>
      </c>
    </row>
    <row r="60" customFormat="false" ht="15.75" hidden="false" customHeight="false" outlineLevel="0" collapsed="false">
      <c r="A60" s="72" t="s">
        <v>2457</v>
      </c>
      <c r="B60" s="72"/>
      <c r="C60" s="72"/>
      <c r="D60" s="72"/>
      <c r="E60" s="72"/>
      <c r="F60" s="72"/>
      <c r="G60" s="30"/>
      <c r="H60" s="31"/>
      <c r="I60" s="21"/>
      <c r="J60" s="21"/>
      <c r="K60" s="21"/>
      <c r="L60" s="21"/>
      <c r="M60" s="21"/>
      <c r="N60" s="30"/>
      <c r="O60" s="21"/>
      <c r="P60" s="66"/>
      <c r="Q60" s="21"/>
      <c r="R60" s="32"/>
      <c r="S60" s="32"/>
      <c r="T60" s="21"/>
      <c r="U60" s="21"/>
      <c r="V60" s="21"/>
      <c r="W60" s="21"/>
      <c r="X60" s="21"/>
    </row>
    <row r="61" customFormat="false" ht="15.75" hidden="false" customHeight="false" outlineLevel="0" collapsed="false">
      <c r="A61" s="61"/>
      <c r="B61" s="29"/>
      <c r="C61" s="21"/>
      <c r="D61" s="21"/>
      <c r="E61" s="21"/>
      <c r="F61" s="21"/>
      <c r="G61" s="30"/>
      <c r="H61" s="31"/>
      <c r="I61" s="21"/>
      <c r="J61" s="21"/>
      <c r="K61" s="21"/>
      <c r="L61" s="21"/>
      <c r="M61" s="21"/>
      <c r="N61" s="30"/>
      <c r="O61" s="21"/>
      <c r="P61" s="66"/>
      <c r="Q61" s="21"/>
      <c r="R61" s="32"/>
      <c r="S61" s="32"/>
      <c r="T61" s="21"/>
      <c r="U61" s="21"/>
      <c r="V61" s="21"/>
      <c r="W61" s="21"/>
      <c r="X61" s="21"/>
    </row>
    <row r="62" customFormat="false" ht="15.75" hidden="false" customHeight="false" outlineLevel="0" collapsed="false">
      <c r="A62" s="61"/>
      <c r="B62" s="29"/>
      <c r="C62" s="21"/>
      <c r="D62" s="21"/>
      <c r="E62" s="21"/>
      <c r="F62" s="21"/>
      <c r="G62" s="30"/>
      <c r="H62" s="31"/>
      <c r="I62" s="21"/>
      <c r="J62" s="21"/>
      <c r="K62" s="21"/>
      <c r="L62" s="21"/>
      <c r="M62" s="21"/>
      <c r="N62" s="30"/>
      <c r="O62" s="21"/>
      <c r="P62" s="21"/>
      <c r="Q62" s="21"/>
      <c r="R62" s="32"/>
      <c r="S62" s="32"/>
      <c r="T62" s="21"/>
      <c r="U62" s="21"/>
      <c r="V62" s="21"/>
      <c r="W62" s="21"/>
      <c r="X62" s="21"/>
    </row>
    <row r="63" customFormat="false" ht="15.75" hidden="false" customHeight="false" outlineLevel="0" collapsed="false">
      <c r="A63" s="61"/>
      <c r="B63" s="29"/>
      <c r="C63" s="21"/>
      <c r="D63" s="21"/>
      <c r="E63" s="21"/>
      <c r="F63" s="21"/>
      <c r="G63" s="30"/>
      <c r="H63" s="31"/>
      <c r="I63" s="21"/>
      <c r="J63" s="21"/>
      <c r="K63" s="21"/>
      <c r="L63" s="21"/>
      <c r="M63" s="21"/>
      <c r="N63" s="30"/>
      <c r="O63" s="21"/>
      <c r="P63" s="66"/>
      <c r="Q63" s="21"/>
      <c r="R63" s="32"/>
      <c r="S63" s="32"/>
      <c r="T63" s="21"/>
      <c r="U63" s="21"/>
      <c r="V63" s="21"/>
      <c r="W63" s="21"/>
      <c r="X63" s="21"/>
    </row>
    <row r="64" customFormat="false" ht="15.75" hidden="false" customHeight="false" outlineLevel="0" collapsed="false">
      <c r="A64" s="61"/>
      <c r="B64" s="29"/>
      <c r="C64" s="21"/>
      <c r="D64" s="21"/>
      <c r="E64" s="21"/>
      <c r="F64" s="21"/>
      <c r="G64" s="30"/>
      <c r="H64" s="31"/>
      <c r="I64" s="21"/>
      <c r="J64" s="21"/>
      <c r="K64" s="21"/>
      <c r="L64" s="21"/>
      <c r="M64" s="21"/>
      <c r="N64" s="30"/>
      <c r="O64" s="21"/>
      <c r="P64" s="21"/>
      <c r="Q64" s="21"/>
      <c r="R64" s="32"/>
      <c r="S64" s="32"/>
      <c r="T64" s="21"/>
      <c r="U64" s="21"/>
      <c r="V64" s="21"/>
      <c r="W64" s="21"/>
      <c r="X64" s="21"/>
    </row>
    <row r="65" customFormat="false" ht="15.75" hidden="false" customHeight="false" outlineLevel="0" collapsed="false">
      <c r="A65" s="61"/>
      <c r="B65" s="29"/>
      <c r="C65" s="21"/>
      <c r="D65" s="21"/>
      <c r="E65" s="21"/>
      <c r="F65" s="21"/>
      <c r="G65" s="30"/>
      <c r="H65" s="31"/>
      <c r="I65" s="21"/>
      <c r="J65" s="21"/>
      <c r="K65" s="21"/>
      <c r="L65" s="21"/>
      <c r="M65" s="21"/>
      <c r="N65" s="30"/>
      <c r="O65" s="21"/>
      <c r="P65" s="21"/>
      <c r="Q65" s="21"/>
      <c r="R65" s="32"/>
      <c r="S65" s="32"/>
      <c r="T65" s="21"/>
      <c r="U65" s="21"/>
      <c r="V65" s="21"/>
      <c r="W65" s="21"/>
      <c r="X65" s="21"/>
    </row>
    <row r="66" customFormat="false" ht="15.75" hidden="false" customHeight="false" outlineLevel="0" collapsed="false">
      <c r="A66" s="61"/>
      <c r="B66" s="29"/>
      <c r="C66" s="21"/>
      <c r="D66" s="21"/>
      <c r="E66" s="21"/>
      <c r="F66" s="21"/>
      <c r="G66" s="30"/>
      <c r="H66" s="31"/>
      <c r="I66" s="21"/>
      <c r="J66" s="21"/>
      <c r="K66" s="21"/>
      <c r="L66" s="21"/>
      <c r="M66" s="21"/>
      <c r="N66" s="30"/>
      <c r="O66" s="21"/>
      <c r="P66" s="21"/>
      <c r="Q66" s="21"/>
      <c r="R66" s="32"/>
      <c r="S66" s="32"/>
      <c r="T66" s="21"/>
      <c r="U66" s="21"/>
      <c r="V66" s="21"/>
      <c r="W66" s="21"/>
      <c r="X66" s="21"/>
    </row>
    <row r="67" customFormat="false" ht="15.75" hidden="false" customHeight="false" outlineLevel="0" collapsed="false">
      <c r="A67" s="61"/>
      <c r="B67" s="29"/>
      <c r="C67" s="21"/>
      <c r="D67" s="21"/>
      <c r="E67" s="21"/>
      <c r="F67" s="21"/>
      <c r="G67" s="30"/>
      <c r="H67" s="31"/>
      <c r="I67" s="21"/>
      <c r="J67" s="21"/>
      <c r="K67" s="21"/>
      <c r="L67" s="21"/>
      <c r="M67" s="21"/>
      <c r="N67" s="30"/>
      <c r="O67" s="21"/>
      <c r="P67" s="21"/>
      <c r="Q67" s="21"/>
      <c r="R67" s="32"/>
      <c r="S67" s="32"/>
      <c r="T67" s="21"/>
      <c r="U67" s="21"/>
      <c r="V67" s="21"/>
      <c r="W67" s="21"/>
      <c r="X67" s="21"/>
    </row>
    <row r="68" customFormat="false" ht="15.75" hidden="false" customHeight="false" outlineLevel="0" collapsed="false">
      <c r="A68" s="61"/>
      <c r="B68" s="29"/>
      <c r="C68" s="21"/>
      <c r="D68" s="21"/>
      <c r="E68" s="21"/>
      <c r="F68" s="21"/>
      <c r="G68" s="30"/>
      <c r="H68" s="31"/>
      <c r="I68" s="21"/>
      <c r="J68" s="21"/>
      <c r="K68" s="21"/>
      <c r="L68" s="21"/>
      <c r="M68" s="21"/>
      <c r="N68" s="30"/>
      <c r="O68" s="21"/>
      <c r="P68" s="21"/>
      <c r="Q68" s="21"/>
      <c r="R68" s="32"/>
      <c r="S68" s="32"/>
      <c r="T68" s="21"/>
      <c r="U68" s="21"/>
      <c r="V68" s="21"/>
      <c r="W68" s="21"/>
      <c r="X68" s="21"/>
    </row>
    <row r="69" customFormat="false" ht="15.75" hidden="false" customHeight="false" outlineLevel="0" collapsed="false">
      <c r="A69" s="61"/>
      <c r="B69" s="29"/>
      <c r="C69" s="21"/>
      <c r="D69" s="21"/>
      <c r="E69" s="21"/>
      <c r="F69" s="21"/>
      <c r="G69" s="30"/>
      <c r="H69" s="31"/>
      <c r="I69" s="21"/>
      <c r="J69" s="21"/>
      <c r="K69" s="21"/>
      <c r="L69" s="21"/>
      <c r="M69" s="21"/>
      <c r="N69" s="30"/>
      <c r="O69" s="21"/>
      <c r="P69" s="21"/>
      <c r="Q69" s="21"/>
      <c r="R69" s="32"/>
      <c r="S69" s="32"/>
      <c r="T69" s="21"/>
      <c r="U69" s="21"/>
      <c r="V69" s="21"/>
      <c r="W69" s="21"/>
      <c r="X69" s="21"/>
    </row>
    <row r="70" customFormat="false" ht="15.75" hidden="false" customHeight="false" outlineLevel="0" collapsed="false">
      <c r="A70" s="61"/>
      <c r="B70" s="29"/>
      <c r="C70" s="21"/>
      <c r="D70" s="21"/>
      <c r="E70" s="21"/>
      <c r="F70" s="21"/>
      <c r="G70" s="30"/>
      <c r="H70" s="31"/>
      <c r="I70" s="21"/>
      <c r="J70" s="21"/>
      <c r="K70" s="21"/>
      <c r="L70" s="21"/>
      <c r="M70" s="21"/>
      <c r="N70" s="30"/>
      <c r="O70" s="21"/>
      <c r="P70" s="21"/>
      <c r="Q70" s="21"/>
      <c r="R70" s="32"/>
      <c r="S70" s="32"/>
      <c r="T70" s="21"/>
      <c r="U70" s="21"/>
      <c r="V70" s="21"/>
      <c r="W70" s="21"/>
      <c r="X70" s="21"/>
    </row>
    <row r="71" customFormat="false" ht="15.75" hidden="false" customHeight="false" outlineLevel="0" collapsed="false">
      <c r="A71" s="61"/>
      <c r="B71" s="29"/>
      <c r="C71" s="21"/>
      <c r="D71" s="21"/>
      <c r="E71" s="21"/>
      <c r="F71" s="21"/>
      <c r="G71" s="30"/>
      <c r="H71" s="31"/>
      <c r="I71" s="21"/>
      <c r="J71" s="21"/>
      <c r="K71" s="21"/>
      <c r="L71" s="21"/>
      <c r="M71" s="21"/>
      <c r="N71" s="30"/>
      <c r="O71" s="21"/>
      <c r="P71" s="21"/>
      <c r="Q71" s="21"/>
      <c r="R71" s="32"/>
      <c r="S71" s="32"/>
      <c r="T71" s="21"/>
      <c r="U71" s="21"/>
      <c r="V71" s="21"/>
      <c r="W71" s="21"/>
      <c r="X71" s="21"/>
    </row>
    <row r="72" customFormat="false" ht="15.75" hidden="false" customHeight="false" outlineLevel="0" collapsed="false">
      <c r="A72" s="61"/>
      <c r="B72" s="29"/>
      <c r="C72" s="21"/>
      <c r="D72" s="21"/>
      <c r="E72" s="21"/>
      <c r="F72" s="21"/>
      <c r="G72" s="30"/>
      <c r="H72" s="31"/>
      <c r="I72" s="21"/>
      <c r="J72" s="21"/>
      <c r="K72" s="21"/>
      <c r="L72" s="21"/>
      <c r="M72" s="21"/>
      <c r="N72" s="30"/>
      <c r="O72" s="21"/>
      <c r="P72" s="21"/>
      <c r="Q72" s="21"/>
      <c r="R72" s="32"/>
      <c r="S72" s="32"/>
      <c r="T72" s="21"/>
      <c r="U72" s="21"/>
      <c r="V72" s="21"/>
      <c r="W72" s="21"/>
      <c r="X72" s="21"/>
    </row>
    <row r="73" customFormat="false" ht="15.75" hidden="false" customHeight="false" outlineLevel="0" collapsed="false">
      <c r="A73" s="61"/>
      <c r="B73" s="29"/>
      <c r="C73" s="21"/>
      <c r="D73" s="21"/>
      <c r="E73" s="21"/>
      <c r="F73" s="21"/>
      <c r="G73" s="30"/>
      <c r="H73" s="31"/>
      <c r="I73" s="21"/>
      <c r="J73" s="21"/>
      <c r="K73" s="21"/>
      <c r="L73" s="21"/>
      <c r="M73" s="21"/>
      <c r="N73" s="30"/>
      <c r="O73" s="21"/>
      <c r="P73" s="21"/>
      <c r="Q73" s="21"/>
      <c r="R73" s="32"/>
      <c r="S73" s="32"/>
      <c r="T73" s="21"/>
      <c r="U73" s="21"/>
      <c r="V73" s="21"/>
      <c r="W73" s="21"/>
      <c r="X73" s="21"/>
    </row>
    <row r="74" customFormat="false" ht="15.75" hidden="false" customHeight="false" outlineLevel="0" collapsed="false">
      <c r="A74" s="61"/>
      <c r="B74" s="29"/>
      <c r="C74" s="21"/>
      <c r="D74" s="21"/>
      <c r="E74" s="21"/>
      <c r="F74" s="21"/>
      <c r="G74" s="30"/>
      <c r="H74" s="31"/>
      <c r="I74" s="21"/>
      <c r="J74" s="21"/>
      <c r="K74" s="21"/>
      <c r="L74" s="21"/>
      <c r="M74" s="21"/>
      <c r="N74" s="30"/>
      <c r="O74" s="21"/>
      <c r="P74" s="21"/>
      <c r="Q74" s="21"/>
      <c r="R74" s="32"/>
      <c r="S74" s="32"/>
      <c r="T74" s="21"/>
      <c r="U74" s="21"/>
      <c r="V74" s="21"/>
      <c r="W74" s="21"/>
      <c r="X74" s="21"/>
    </row>
    <row r="75" customFormat="false" ht="15.75" hidden="false" customHeight="false" outlineLevel="0" collapsed="false">
      <c r="A75" s="61"/>
      <c r="B75" s="29"/>
      <c r="C75" s="21"/>
      <c r="D75" s="21"/>
      <c r="E75" s="21"/>
      <c r="F75" s="21"/>
      <c r="G75" s="30"/>
      <c r="H75" s="31"/>
      <c r="I75" s="21"/>
      <c r="J75" s="21"/>
      <c r="K75" s="21"/>
      <c r="L75" s="21"/>
      <c r="M75" s="21"/>
      <c r="N75" s="30"/>
      <c r="O75" s="21"/>
      <c r="P75" s="21"/>
      <c r="Q75" s="21"/>
      <c r="R75" s="32"/>
      <c r="S75" s="32"/>
      <c r="T75" s="21"/>
      <c r="U75" s="21"/>
      <c r="V75" s="21"/>
      <c r="W75" s="21"/>
      <c r="X75" s="21"/>
    </row>
    <row r="76" customFormat="false" ht="15.75" hidden="false" customHeight="false" outlineLevel="0" collapsed="false">
      <c r="A76" s="61"/>
      <c r="B76" s="29"/>
      <c r="C76" s="21"/>
      <c r="D76" s="21"/>
      <c r="E76" s="21"/>
      <c r="F76" s="21"/>
      <c r="G76" s="30"/>
      <c r="H76" s="31"/>
      <c r="I76" s="21"/>
      <c r="J76" s="21"/>
      <c r="K76" s="21"/>
      <c r="L76" s="21"/>
      <c r="M76" s="21"/>
      <c r="N76" s="30"/>
      <c r="O76" s="21"/>
      <c r="P76" s="21"/>
      <c r="Q76" s="21"/>
      <c r="R76" s="32"/>
      <c r="S76" s="32"/>
      <c r="T76" s="21"/>
      <c r="U76" s="21"/>
      <c r="V76" s="21"/>
      <c r="W76" s="21"/>
      <c r="X76" s="21"/>
    </row>
    <row r="77" customFormat="false" ht="15.75" hidden="false" customHeight="false" outlineLevel="0" collapsed="false">
      <c r="A77" s="61"/>
      <c r="B77" s="29"/>
      <c r="C77" s="21"/>
      <c r="D77" s="21"/>
      <c r="E77" s="21"/>
      <c r="F77" s="21"/>
      <c r="G77" s="30"/>
      <c r="H77" s="31"/>
      <c r="I77" s="21"/>
      <c r="J77" s="21"/>
      <c r="K77" s="21"/>
      <c r="L77" s="21"/>
      <c r="M77" s="21"/>
      <c r="N77" s="30"/>
      <c r="O77" s="21"/>
      <c r="P77" s="21"/>
      <c r="Q77" s="21"/>
      <c r="R77" s="32"/>
      <c r="S77" s="32"/>
      <c r="T77" s="21"/>
      <c r="U77" s="21"/>
      <c r="V77" s="21"/>
      <c r="W77" s="21"/>
      <c r="X77" s="21"/>
    </row>
    <row r="78" customFormat="false" ht="15.75" hidden="false" customHeight="false" outlineLevel="0" collapsed="false">
      <c r="A78" s="61"/>
      <c r="B78" s="29"/>
      <c r="C78" s="21"/>
      <c r="D78" s="21"/>
      <c r="E78" s="21"/>
      <c r="F78" s="21"/>
      <c r="G78" s="30"/>
      <c r="H78" s="31"/>
      <c r="I78" s="21"/>
      <c r="J78" s="21"/>
      <c r="K78" s="21"/>
      <c r="L78" s="21"/>
      <c r="M78" s="21"/>
      <c r="N78" s="30"/>
      <c r="O78" s="21"/>
      <c r="P78" s="21"/>
      <c r="Q78" s="21"/>
      <c r="R78" s="32"/>
      <c r="S78" s="32"/>
      <c r="T78" s="21"/>
      <c r="U78" s="21"/>
      <c r="V78" s="21"/>
      <c r="W78" s="21"/>
      <c r="X78" s="21"/>
    </row>
    <row r="79" customFormat="false" ht="15.75" hidden="false" customHeight="false" outlineLevel="0" collapsed="false">
      <c r="A79" s="61"/>
      <c r="B79" s="29"/>
      <c r="C79" s="21"/>
      <c r="D79" s="21"/>
      <c r="E79" s="21"/>
      <c r="F79" s="21"/>
      <c r="G79" s="30"/>
      <c r="H79" s="31"/>
      <c r="I79" s="21"/>
      <c r="J79" s="21"/>
      <c r="K79" s="21"/>
      <c r="L79" s="21"/>
      <c r="M79" s="21"/>
      <c r="N79" s="30"/>
      <c r="O79" s="21"/>
      <c r="P79" s="21"/>
      <c r="Q79" s="21"/>
      <c r="R79" s="32"/>
      <c r="S79" s="32"/>
      <c r="T79" s="21"/>
      <c r="U79" s="21"/>
      <c r="V79" s="21"/>
      <c r="W79" s="21"/>
      <c r="X79" s="21"/>
    </row>
    <row r="80" customFormat="false" ht="15.75" hidden="false" customHeight="false" outlineLevel="0" collapsed="false">
      <c r="A80" s="61"/>
      <c r="B80" s="29"/>
      <c r="C80" s="21"/>
      <c r="D80" s="21"/>
      <c r="E80" s="21"/>
      <c r="F80" s="21"/>
      <c r="G80" s="30"/>
      <c r="H80" s="31"/>
      <c r="I80" s="21"/>
      <c r="J80" s="21"/>
      <c r="K80" s="21"/>
      <c r="L80" s="21"/>
      <c r="M80" s="21"/>
      <c r="N80" s="30"/>
      <c r="O80" s="21"/>
      <c r="P80" s="21"/>
      <c r="Q80" s="21"/>
      <c r="R80" s="32"/>
      <c r="S80" s="32"/>
      <c r="T80" s="21"/>
      <c r="U80" s="21"/>
      <c r="V80" s="21"/>
      <c r="W80" s="21"/>
      <c r="X80" s="21"/>
    </row>
    <row r="81" customFormat="false" ht="15.75" hidden="false" customHeight="false" outlineLevel="0" collapsed="false">
      <c r="A81" s="61"/>
      <c r="B81" s="29"/>
      <c r="C81" s="21"/>
      <c r="D81" s="21"/>
      <c r="E81" s="21"/>
      <c r="F81" s="21"/>
      <c r="G81" s="30"/>
      <c r="H81" s="31"/>
      <c r="I81" s="21"/>
      <c r="J81" s="21"/>
      <c r="K81" s="21"/>
      <c r="L81" s="21"/>
      <c r="M81" s="21"/>
      <c r="N81" s="30"/>
      <c r="O81" s="21"/>
      <c r="P81" s="21"/>
      <c r="Q81" s="21"/>
      <c r="R81" s="32"/>
      <c r="S81" s="32"/>
      <c r="T81" s="21"/>
      <c r="U81" s="21"/>
      <c r="V81" s="21"/>
      <c r="W81" s="21"/>
      <c r="X81" s="21"/>
    </row>
    <row r="82" customFormat="false" ht="15.75" hidden="false" customHeight="false" outlineLevel="0" collapsed="false">
      <c r="A82" s="61"/>
      <c r="B82" s="29"/>
      <c r="C82" s="21"/>
      <c r="D82" s="21"/>
      <c r="E82" s="21"/>
      <c r="F82" s="21"/>
      <c r="G82" s="30"/>
      <c r="H82" s="31"/>
      <c r="I82" s="21"/>
      <c r="J82" s="21"/>
      <c r="K82" s="21"/>
      <c r="L82" s="21"/>
      <c r="M82" s="21"/>
      <c r="N82" s="30"/>
      <c r="O82" s="21"/>
      <c r="P82" s="21"/>
      <c r="Q82" s="21"/>
      <c r="R82" s="32"/>
      <c r="S82" s="32"/>
      <c r="T82" s="21"/>
      <c r="U82" s="21"/>
      <c r="V82" s="21"/>
      <c r="W82" s="21"/>
      <c r="X82" s="21"/>
    </row>
    <row r="83" customFormat="false" ht="15.75" hidden="false" customHeight="false" outlineLevel="0" collapsed="false">
      <c r="A83" s="61"/>
      <c r="B83" s="29"/>
      <c r="C83" s="21"/>
      <c r="D83" s="21"/>
      <c r="E83" s="21"/>
      <c r="F83" s="21"/>
      <c r="G83" s="30"/>
      <c r="H83" s="31"/>
      <c r="I83" s="21"/>
      <c r="J83" s="21"/>
      <c r="K83" s="21"/>
      <c r="L83" s="21"/>
      <c r="M83" s="21"/>
      <c r="N83" s="30"/>
      <c r="O83" s="21"/>
      <c r="P83" s="21"/>
      <c r="Q83" s="21"/>
      <c r="R83" s="32"/>
      <c r="S83" s="32"/>
      <c r="T83" s="21"/>
      <c r="U83" s="21"/>
      <c r="V83" s="21"/>
      <c r="W83" s="21"/>
      <c r="X83" s="21"/>
    </row>
    <row r="84" customFormat="false" ht="15.75" hidden="false" customHeight="false" outlineLevel="0" collapsed="false">
      <c r="A84" s="61"/>
      <c r="B84" s="29"/>
      <c r="C84" s="21"/>
      <c r="D84" s="21"/>
      <c r="E84" s="21"/>
      <c r="F84" s="21"/>
      <c r="G84" s="30"/>
      <c r="H84" s="31"/>
      <c r="I84" s="21"/>
      <c r="J84" s="21"/>
      <c r="K84" s="21"/>
      <c r="L84" s="21"/>
      <c r="M84" s="21"/>
      <c r="N84" s="30"/>
      <c r="O84" s="21"/>
      <c r="P84" s="21"/>
      <c r="Q84" s="21"/>
      <c r="R84" s="32"/>
      <c r="S84" s="32"/>
      <c r="T84" s="21"/>
      <c r="U84" s="21"/>
      <c r="V84" s="21"/>
      <c r="W84" s="21"/>
      <c r="X84" s="21"/>
    </row>
    <row r="85" customFormat="false" ht="15.75" hidden="false" customHeight="false" outlineLevel="0" collapsed="false">
      <c r="A85" s="61"/>
      <c r="B85" s="29"/>
      <c r="C85" s="21"/>
      <c r="D85" s="21"/>
      <c r="E85" s="21"/>
      <c r="F85" s="21"/>
      <c r="G85" s="30"/>
      <c r="H85" s="31"/>
      <c r="I85" s="21"/>
      <c r="J85" s="21"/>
      <c r="K85" s="21"/>
      <c r="L85" s="21"/>
      <c r="M85" s="21"/>
      <c r="N85" s="30"/>
      <c r="O85" s="21"/>
      <c r="P85" s="21"/>
      <c r="Q85" s="21"/>
      <c r="R85" s="32"/>
      <c r="S85" s="32"/>
      <c r="T85" s="21"/>
      <c r="U85" s="21"/>
      <c r="V85" s="21"/>
      <c r="W85" s="21"/>
      <c r="X85" s="21"/>
    </row>
    <row r="86" customFormat="false" ht="15.75" hidden="false" customHeight="false" outlineLevel="0" collapsed="false">
      <c r="A86" s="61"/>
      <c r="B86" s="29"/>
      <c r="C86" s="21"/>
      <c r="D86" s="21"/>
      <c r="E86" s="21"/>
      <c r="F86" s="21"/>
      <c r="G86" s="30"/>
      <c r="H86" s="31"/>
      <c r="I86" s="21"/>
      <c r="J86" s="21"/>
      <c r="K86" s="21"/>
      <c r="L86" s="21"/>
      <c r="M86" s="21"/>
      <c r="N86" s="30"/>
      <c r="O86" s="21"/>
      <c r="P86" s="21"/>
      <c r="Q86" s="21"/>
      <c r="R86" s="32"/>
      <c r="S86" s="32"/>
      <c r="T86" s="21"/>
      <c r="U86" s="21"/>
      <c r="V86" s="21"/>
      <c r="W86" s="21"/>
      <c r="X86" s="21"/>
    </row>
    <row r="87" customFormat="false" ht="15.75" hidden="false" customHeight="false" outlineLevel="0" collapsed="false">
      <c r="A87" s="61"/>
      <c r="B87" s="29"/>
      <c r="C87" s="21"/>
      <c r="D87" s="21"/>
      <c r="E87" s="21"/>
      <c r="F87" s="21"/>
      <c r="G87" s="30"/>
      <c r="H87" s="31"/>
      <c r="I87" s="21"/>
      <c r="J87" s="21"/>
      <c r="K87" s="21"/>
      <c r="L87" s="21"/>
      <c r="M87" s="21"/>
      <c r="N87" s="30"/>
      <c r="O87" s="21"/>
      <c r="P87" s="21"/>
      <c r="Q87" s="21"/>
      <c r="R87" s="32"/>
      <c r="S87" s="32"/>
      <c r="T87" s="21"/>
      <c r="U87" s="21"/>
      <c r="V87" s="21"/>
      <c r="W87" s="21"/>
      <c r="X87" s="21"/>
    </row>
    <row r="88" customFormat="false" ht="15.75" hidden="false" customHeight="false" outlineLevel="0" collapsed="false">
      <c r="A88" s="61"/>
      <c r="B88" s="29"/>
      <c r="C88" s="21"/>
      <c r="D88" s="21"/>
      <c r="E88" s="21"/>
      <c r="F88" s="21"/>
      <c r="G88" s="30"/>
      <c r="H88" s="31"/>
      <c r="I88" s="21"/>
      <c r="J88" s="21"/>
      <c r="K88" s="21"/>
      <c r="L88" s="21"/>
      <c r="M88" s="21"/>
      <c r="N88" s="30"/>
      <c r="O88" s="21"/>
      <c r="P88" s="21"/>
      <c r="Q88" s="21"/>
      <c r="R88" s="32"/>
      <c r="S88" s="32"/>
      <c r="T88" s="21"/>
      <c r="U88" s="21"/>
      <c r="V88" s="21"/>
      <c r="W88" s="21"/>
      <c r="X88" s="21"/>
    </row>
    <row r="89" customFormat="false" ht="15.75" hidden="false" customHeight="false" outlineLevel="0" collapsed="false">
      <c r="A89" s="61"/>
      <c r="B89" s="29"/>
      <c r="C89" s="21"/>
      <c r="D89" s="21"/>
      <c r="E89" s="21"/>
      <c r="F89" s="21"/>
      <c r="G89" s="30"/>
      <c r="H89" s="31"/>
      <c r="I89" s="21"/>
      <c r="J89" s="21"/>
      <c r="K89" s="21"/>
      <c r="L89" s="21"/>
      <c r="M89" s="21"/>
      <c r="N89" s="30"/>
      <c r="O89" s="21"/>
      <c r="P89" s="21"/>
      <c r="Q89" s="21"/>
      <c r="R89" s="32"/>
      <c r="S89" s="32"/>
      <c r="T89" s="21"/>
      <c r="U89" s="21"/>
      <c r="V89" s="21"/>
      <c r="W89" s="21"/>
      <c r="X89" s="21"/>
    </row>
    <row r="90" customFormat="false" ht="15.75" hidden="false" customHeight="false" outlineLevel="0" collapsed="false">
      <c r="A90" s="61"/>
      <c r="B90" s="29"/>
      <c r="C90" s="21"/>
      <c r="D90" s="21"/>
      <c r="E90" s="21"/>
      <c r="F90" s="21"/>
      <c r="G90" s="30"/>
      <c r="H90" s="31"/>
      <c r="I90" s="21"/>
      <c r="J90" s="21"/>
      <c r="K90" s="21"/>
      <c r="L90" s="21"/>
      <c r="M90" s="21"/>
      <c r="N90" s="30"/>
      <c r="O90" s="21"/>
      <c r="P90" s="21"/>
      <c r="Q90" s="21"/>
      <c r="R90" s="32"/>
      <c r="S90" s="32"/>
      <c r="T90" s="21"/>
      <c r="U90" s="21"/>
      <c r="V90" s="21"/>
      <c r="W90" s="21"/>
      <c r="X90" s="21"/>
    </row>
    <row r="91" customFormat="false" ht="15.75" hidden="false" customHeight="false" outlineLevel="0" collapsed="false">
      <c r="A91" s="61"/>
      <c r="B91" s="29"/>
      <c r="C91" s="21"/>
      <c r="D91" s="21"/>
      <c r="E91" s="21"/>
      <c r="F91" s="21"/>
      <c r="G91" s="30"/>
      <c r="H91" s="31"/>
      <c r="I91" s="21"/>
      <c r="J91" s="21"/>
      <c r="K91" s="21"/>
      <c r="L91" s="21"/>
      <c r="M91" s="21"/>
      <c r="N91" s="30"/>
      <c r="O91" s="21"/>
      <c r="P91" s="21"/>
      <c r="Q91" s="21"/>
      <c r="R91" s="32"/>
      <c r="S91" s="32"/>
      <c r="T91" s="21"/>
      <c r="U91" s="21"/>
      <c r="V91" s="21"/>
      <c r="W91" s="21"/>
      <c r="X91" s="21"/>
    </row>
    <row r="92" customFormat="false" ht="15.75" hidden="false" customHeight="false" outlineLevel="0" collapsed="false">
      <c r="A92" s="61"/>
      <c r="B92" s="29"/>
      <c r="C92" s="21"/>
      <c r="D92" s="21"/>
      <c r="E92" s="21"/>
      <c r="F92" s="21"/>
      <c r="G92" s="30"/>
      <c r="H92" s="31"/>
      <c r="I92" s="21"/>
      <c r="J92" s="21"/>
      <c r="K92" s="21"/>
      <c r="L92" s="21"/>
      <c r="M92" s="21"/>
      <c r="N92" s="30"/>
      <c r="O92" s="21"/>
      <c r="P92" s="21"/>
      <c r="Q92" s="21"/>
      <c r="R92" s="32"/>
      <c r="S92" s="32"/>
      <c r="T92" s="21"/>
      <c r="U92" s="21"/>
      <c r="V92" s="21"/>
      <c r="W92" s="21"/>
      <c r="X92" s="21"/>
    </row>
    <row r="93" customFormat="false" ht="15.75" hidden="false" customHeight="false" outlineLevel="0" collapsed="false">
      <c r="A93" s="61"/>
      <c r="B93" s="29"/>
      <c r="C93" s="21"/>
      <c r="D93" s="21"/>
      <c r="E93" s="21"/>
      <c r="F93" s="21"/>
      <c r="G93" s="30"/>
      <c r="H93" s="31"/>
      <c r="I93" s="21"/>
      <c r="J93" s="21"/>
      <c r="K93" s="21"/>
      <c r="L93" s="21"/>
      <c r="M93" s="21"/>
      <c r="N93" s="30"/>
      <c r="O93" s="21"/>
      <c r="P93" s="21"/>
      <c r="Q93" s="21"/>
      <c r="R93" s="32"/>
      <c r="S93" s="32"/>
      <c r="T93" s="21"/>
      <c r="U93" s="21"/>
      <c r="V93" s="21"/>
      <c r="W93" s="21"/>
      <c r="X93" s="21"/>
    </row>
    <row r="94" customFormat="false" ht="15.75" hidden="false" customHeight="false" outlineLevel="0" collapsed="false">
      <c r="A94" s="61"/>
      <c r="B94" s="29"/>
      <c r="C94" s="21"/>
      <c r="D94" s="21"/>
      <c r="E94" s="21"/>
      <c r="F94" s="21"/>
      <c r="G94" s="30"/>
      <c r="H94" s="31"/>
      <c r="I94" s="21"/>
      <c r="J94" s="21"/>
      <c r="K94" s="21"/>
      <c r="L94" s="21"/>
      <c r="M94" s="21"/>
      <c r="N94" s="30"/>
      <c r="O94" s="21"/>
      <c r="P94" s="21"/>
      <c r="Q94" s="21"/>
      <c r="R94" s="32"/>
      <c r="S94" s="32"/>
      <c r="T94" s="21"/>
      <c r="U94" s="21"/>
      <c r="V94" s="21"/>
      <c r="W94" s="21"/>
      <c r="X94" s="21"/>
    </row>
    <row r="95" customFormat="false" ht="15.75" hidden="false" customHeight="false" outlineLevel="0" collapsed="false">
      <c r="A95" s="61"/>
      <c r="B95" s="29"/>
      <c r="C95" s="21"/>
      <c r="D95" s="21"/>
      <c r="E95" s="21"/>
      <c r="F95" s="21"/>
      <c r="G95" s="30"/>
      <c r="H95" s="31"/>
      <c r="I95" s="21"/>
      <c r="J95" s="21"/>
      <c r="K95" s="21"/>
      <c r="L95" s="21"/>
      <c r="M95" s="21"/>
      <c r="N95" s="30"/>
      <c r="O95" s="21"/>
      <c r="P95" s="21"/>
      <c r="Q95" s="21"/>
      <c r="R95" s="32"/>
      <c r="S95" s="32"/>
      <c r="T95" s="21"/>
      <c r="U95" s="21"/>
      <c r="V95" s="21"/>
      <c r="W95" s="21"/>
      <c r="X95" s="21"/>
    </row>
    <row r="96" customFormat="false" ht="15.75" hidden="false" customHeight="false" outlineLevel="0" collapsed="false">
      <c r="A96" s="61"/>
      <c r="B96" s="29"/>
      <c r="C96" s="21"/>
      <c r="D96" s="21"/>
      <c r="E96" s="21"/>
      <c r="F96" s="21"/>
      <c r="G96" s="30"/>
      <c r="H96" s="31"/>
      <c r="I96" s="21"/>
      <c r="J96" s="21"/>
      <c r="K96" s="21"/>
      <c r="L96" s="21"/>
      <c r="M96" s="21"/>
      <c r="N96" s="30"/>
      <c r="O96" s="21"/>
      <c r="P96" s="21"/>
      <c r="Q96" s="21"/>
      <c r="R96" s="32"/>
      <c r="S96" s="32"/>
      <c r="T96" s="21"/>
      <c r="U96" s="21"/>
      <c r="V96" s="21"/>
      <c r="W96" s="21"/>
      <c r="X96" s="21"/>
    </row>
    <row r="97" customFormat="false" ht="15.75" hidden="false" customHeight="false" outlineLevel="0" collapsed="false">
      <c r="A97" s="61"/>
      <c r="B97" s="29"/>
      <c r="C97" s="21"/>
      <c r="D97" s="21"/>
      <c r="E97" s="21"/>
      <c r="F97" s="21"/>
      <c r="G97" s="30"/>
      <c r="H97" s="31"/>
      <c r="I97" s="21"/>
      <c r="J97" s="21"/>
      <c r="K97" s="21"/>
      <c r="L97" s="21"/>
      <c r="M97" s="21"/>
      <c r="N97" s="30"/>
      <c r="O97" s="21"/>
      <c r="P97" s="21"/>
      <c r="Q97" s="21"/>
      <c r="R97" s="32"/>
      <c r="S97" s="32"/>
      <c r="T97" s="21"/>
      <c r="U97" s="21"/>
      <c r="V97" s="21"/>
      <c r="W97" s="21"/>
      <c r="X97" s="21"/>
    </row>
    <row r="98" customFormat="false" ht="15.75" hidden="false" customHeight="false" outlineLevel="0" collapsed="false">
      <c r="A98" s="61"/>
      <c r="B98" s="29"/>
      <c r="C98" s="21"/>
      <c r="D98" s="21"/>
      <c r="E98" s="21"/>
      <c r="F98" s="21"/>
      <c r="G98" s="30"/>
      <c r="H98" s="31"/>
      <c r="I98" s="21"/>
      <c r="J98" s="21"/>
      <c r="K98" s="21"/>
      <c r="L98" s="21"/>
      <c r="M98" s="21"/>
      <c r="N98" s="30"/>
      <c r="O98" s="21"/>
      <c r="P98" s="21"/>
      <c r="Q98" s="21"/>
      <c r="R98" s="32"/>
      <c r="S98" s="32"/>
      <c r="T98" s="21"/>
      <c r="U98" s="21"/>
      <c r="V98" s="21"/>
      <c r="W98" s="21"/>
      <c r="X98" s="21"/>
    </row>
    <row r="99" customFormat="false" ht="15.75" hidden="false" customHeight="false" outlineLevel="0" collapsed="false">
      <c r="A99" s="61"/>
      <c r="B99" s="29"/>
      <c r="C99" s="21"/>
      <c r="D99" s="21"/>
      <c r="E99" s="21"/>
      <c r="F99" s="21"/>
      <c r="G99" s="30"/>
      <c r="H99" s="31"/>
      <c r="I99" s="21"/>
      <c r="J99" s="21"/>
      <c r="K99" s="21"/>
      <c r="L99" s="21"/>
      <c r="M99" s="21"/>
      <c r="N99" s="30"/>
      <c r="O99" s="21"/>
      <c r="P99" s="21"/>
      <c r="Q99" s="21"/>
      <c r="R99" s="32"/>
      <c r="S99" s="32"/>
      <c r="T99" s="21"/>
      <c r="U99" s="21"/>
      <c r="V99" s="21"/>
      <c r="W99" s="21"/>
      <c r="X99" s="21"/>
    </row>
    <row r="100" customFormat="false" ht="15.75" hidden="false" customHeight="false" outlineLevel="0" collapsed="false">
      <c r="A100" s="61"/>
      <c r="B100" s="29"/>
      <c r="C100" s="21"/>
      <c r="D100" s="21"/>
      <c r="E100" s="21"/>
      <c r="F100" s="21"/>
      <c r="G100" s="30"/>
      <c r="H100" s="31"/>
      <c r="I100" s="21"/>
      <c r="J100" s="21"/>
      <c r="K100" s="21"/>
      <c r="L100" s="21"/>
      <c r="M100" s="21"/>
      <c r="N100" s="30"/>
      <c r="O100" s="21"/>
      <c r="P100" s="21"/>
      <c r="Q100" s="21"/>
      <c r="R100" s="32"/>
      <c r="S100" s="32"/>
      <c r="T100" s="21"/>
      <c r="U100" s="21"/>
      <c r="V100" s="21"/>
      <c r="W100" s="21"/>
      <c r="X100" s="21"/>
    </row>
    <row r="101" customFormat="false" ht="15.75" hidden="false" customHeight="false" outlineLevel="0" collapsed="false">
      <c r="A101" s="61"/>
      <c r="B101" s="29"/>
      <c r="C101" s="21"/>
      <c r="D101" s="21"/>
      <c r="E101" s="21"/>
      <c r="F101" s="21"/>
      <c r="G101" s="30"/>
      <c r="H101" s="31"/>
      <c r="I101" s="21"/>
      <c r="J101" s="21"/>
      <c r="K101" s="21"/>
      <c r="L101" s="21"/>
      <c r="M101" s="21"/>
      <c r="N101" s="30"/>
      <c r="O101" s="21"/>
      <c r="P101" s="21"/>
      <c r="Q101" s="21"/>
      <c r="R101" s="32"/>
      <c r="S101" s="32"/>
      <c r="T101" s="21"/>
      <c r="U101" s="21"/>
      <c r="V101" s="21"/>
      <c r="W101" s="21"/>
      <c r="X101" s="21"/>
    </row>
    <row r="102" customFormat="false" ht="15.75" hidden="false" customHeight="false" outlineLevel="0" collapsed="false">
      <c r="A102" s="61"/>
      <c r="B102" s="29"/>
      <c r="C102" s="21"/>
      <c r="D102" s="21"/>
      <c r="E102" s="21"/>
      <c r="F102" s="21"/>
      <c r="G102" s="30"/>
      <c r="H102" s="31"/>
      <c r="I102" s="21"/>
      <c r="J102" s="21"/>
      <c r="K102" s="21"/>
      <c r="L102" s="21"/>
      <c r="M102" s="21"/>
      <c r="N102" s="30"/>
      <c r="O102" s="21"/>
      <c r="P102" s="21"/>
      <c r="Q102" s="21"/>
      <c r="R102" s="32"/>
      <c r="S102" s="32"/>
      <c r="T102" s="21"/>
      <c r="U102" s="21"/>
      <c r="V102" s="21"/>
      <c r="W102" s="21"/>
      <c r="X102" s="21"/>
    </row>
    <row r="103" customFormat="false" ht="15.75" hidden="false" customHeight="false" outlineLevel="0" collapsed="false">
      <c r="A103" s="61"/>
      <c r="B103" s="29"/>
      <c r="C103" s="21"/>
      <c r="D103" s="21"/>
      <c r="E103" s="21"/>
      <c r="F103" s="21"/>
      <c r="G103" s="30"/>
      <c r="H103" s="31"/>
      <c r="I103" s="21"/>
      <c r="J103" s="21"/>
      <c r="K103" s="21"/>
      <c r="L103" s="21"/>
      <c r="M103" s="21"/>
      <c r="N103" s="30"/>
      <c r="O103" s="21"/>
      <c r="P103" s="21"/>
      <c r="Q103" s="21"/>
      <c r="R103" s="32"/>
      <c r="S103" s="32"/>
      <c r="T103" s="21"/>
      <c r="U103" s="21"/>
      <c r="V103" s="21"/>
      <c r="W103" s="21"/>
      <c r="X103" s="21"/>
    </row>
    <row r="104" customFormat="false" ht="15.75" hidden="false" customHeight="false" outlineLevel="0" collapsed="false">
      <c r="A104" s="61"/>
      <c r="B104" s="29"/>
      <c r="C104" s="21"/>
      <c r="D104" s="21"/>
      <c r="E104" s="21"/>
      <c r="F104" s="21"/>
      <c r="G104" s="30"/>
      <c r="H104" s="31"/>
      <c r="I104" s="21"/>
      <c r="J104" s="21"/>
      <c r="K104" s="21"/>
      <c r="L104" s="21"/>
      <c r="M104" s="21"/>
      <c r="N104" s="30"/>
      <c r="O104" s="21"/>
      <c r="P104" s="21"/>
      <c r="Q104" s="21"/>
      <c r="R104" s="32"/>
      <c r="S104" s="32"/>
      <c r="T104" s="21"/>
      <c r="U104" s="21"/>
      <c r="V104" s="21"/>
      <c r="W104" s="21"/>
      <c r="X104" s="21"/>
    </row>
    <row r="105" customFormat="false" ht="15.75" hidden="false" customHeight="false" outlineLevel="0" collapsed="false">
      <c r="A105" s="61"/>
      <c r="B105" s="29"/>
      <c r="C105" s="21"/>
      <c r="D105" s="21"/>
      <c r="E105" s="21"/>
      <c r="F105" s="21"/>
      <c r="G105" s="30"/>
      <c r="H105" s="31"/>
      <c r="I105" s="21"/>
      <c r="J105" s="21"/>
      <c r="K105" s="21"/>
      <c r="L105" s="21"/>
      <c r="M105" s="21"/>
      <c r="N105" s="30"/>
      <c r="O105" s="21"/>
      <c r="P105" s="21"/>
      <c r="Q105" s="21"/>
      <c r="R105" s="32"/>
      <c r="S105" s="32"/>
      <c r="T105" s="21"/>
      <c r="U105" s="21"/>
      <c r="V105" s="21"/>
      <c r="W105" s="21"/>
      <c r="X105" s="21"/>
    </row>
    <row r="106" customFormat="false" ht="15.75" hidden="false" customHeight="false" outlineLevel="0" collapsed="false">
      <c r="A106" s="61"/>
      <c r="B106" s="29"/>
      <c r="C106" s="21"/>
      <c r="D106" s="21"/>
      <c r="E106" s="21"/>
      <c r="F106" s="21"/>
      <c r="G106" s="30"/>
      <c r="H106" s="31"/>
      <c r="I106" s="21"/>
      <c r="J106" s="21"/>
      <c r="K106" s="21"/>
      <c r="L106" s="21"/>
      <c r="M106" s="21"/>
      <c r="N106" s="30"/>
      <c r="O106" s="21"/>
      <c r="P106" s="21"/>
      <c r="Q106" s="21"/>
      <c r="R106" s="32"/>
      <c r="S106" s="32"/>
      <c r="T106" s="21"/>
      <c r="U106" s="21"/>
      <c r="V106" s="21"/>
      <c r="W106" s="21"/>
      <c r="X106" s="21"/>
    </row>
    <row r="107" customFormat="false" ht="15.75" hidden="false" customHeight="false" outlineLevel="0" collapsed="false">
      <c r="A107" s="61"/>
      <c r="B107" s="29"/>
      <c r="C107" s="21"/>
      <c r="D107" s="21"/>
      <c r="E107" s="21"/>
      <c r="F107" s="21"/>
      <c r="G107" s="30"/>
      <c r="H107" s="31"/>
      <c r="I107" s="21"/>
      <c r="J107" s="21"/>
      <c r="K107" s="21"/>
      <c r="L107" s="21"/>
      <c r="M107" s="21"/>
      <c r="N107" s="30"/>
      <c r="O107" s="21"/>
      <c r="P107" s="21"/>
      <c r="Q107" s="21"/>
      <c r="R107" s="32"/>
      <c r="S107" s="32"/>
      <c r="T107" s="21"/>
      <c r="U107" s="21"/>
      <c r="V107" s="21"/>
      <c r="W107" s="21"/>
      <c r="X107" s="21"/>
    </row>
    <row r="108" customFormat="false" ht="15.75" hidden="false" customHeight="false" outlineLevel="0" collapsed="false">
      <c r="A108" s="61"/>
      <c r="B108" s="29"/>
      <c r="C108" s="21"/>
      <c r="D108" s="21"/>
      <c r="E108" s="21"/>
      <c r="F108" s="21"/>
      <c r="G108" s="30"/>
      <c r="H108" s="31"/>
      <c r="I108" s="21"/>
      <c r="J108" s="21"/>
      <c r="K108" s="21"/>
      <c r="L108" s="21"/>
      <c r="M108" s="21"/>
      <c r="N108" s="30"/>
      <c r="O108" s="21"/>
      <c r="P108" s="21"/>
      <c r="Q108" s="21"/>
      <c r="R108" s="32"/>
      <c r="S108" s="32"/>
      <c r="T108" s="21"/>
      <c r="U108" s="21"/>
      <c r="V108" s="21"/>
      <c r="W108" s="21"/>
      <c r="X108" s="21"/>
    </row>
    <row r="109" customFormat="false" ht="15.75" hidden="false" customHeight="false" outlineLevel="0" collapsed="false">
      <c r="A109" s="61"/>
      <c r="B109" s="29"/>
      <c r="C109" s="21"/>
      <c r="D109" s="21"/>
      <c r="E109" s="21"/>
      <c r="F109" s="21"/>
      <c r="G109" s="30"/>
      <c r="H109" s="31"/>
      <c r="I109" s="21"/>
      <c r="J109" s="21"/>
      <c r="K109" s="21"/>
      <c r="L109" s="21"/>
      <c r="M109" s="21"/>
      <c r="N109" s="30"/>
      <c r="O109" s="21"/>
      <c r="P109" s="21"/>
      <c r="Q109" s="21"/>
      <c r="R109" s="32"/>
      <c r="S109" s="32"/>
      <c r="T109" s="21"/>
      <c r="U109" s="21"/>
      <c r="V109" s="21"/>
      <c r="W109" s="21"/>
      <c r="X109" s="21"/>
    </row>
    <row r="110" customFormat="false" ht="15.75" hidden="false" customHeight="false" outlineLevel="0" collapsed="false">
      <c r="A110" s="61"/>
      <c r="B110" s="29"/>
      <c r="C110" s="21"/>
      <c r="D110" s="21"/>
      <c r="E110" s="21"/>
      <c r="F110" s="21"/>
      <c r="G110" s="30"/>
      <c r="H110" s="31"/>
      <c r="I110" s="21"/>
      <c r="J110" s="21"/>
      <c r="K110" s="21"/>
      <c r="L110" s="21"/>
      <c r="M110" s="21"/>
      <c r="N110" s="30"/>
      <c r="O110" s="21"/>
      <c r="P110" s="21"/>
      <c r="Q110" s="21"/>
      <c r="R110" s="32"/>
      <c r="S110" s="32"/>
      <c r="T110" s="21"/>
      <c r="U110" s="21"/>
      <c r="V110" s="21"/>
      <c r="W110" s="21"/>
      <c r="X110" s="21"/>
    </row>
    <row r="111" customFormat="false" ht="15.75" hidden="false" customHeight="false" outlineLevel="0" collapsed="false">
      <c r="A111" s="61"/>
      <c r="B111" s="29"/>
      <c r="C111" s="21"/>
      <c r="D111" s="21"/>
      <c r="E111" s="21"/>
      <c r="F111" s="21"/>
      <c r="G111" s="30"/>
      <c r="H111" s="31"/>
      <c r="I111" s="21"/>
      <c r="J111" s="21"/>
      <c r="K111" s="21"/>
      <c r="L111" s="21"/>
      <c r="M111" s="21"/>
      <c r="N111" s="30"/>
      <c r="O111" s="21"/>
      <c r="P111" s="21"/>
      <c r="Q111" s="21"/>
      <c r="R111" s="32"/>
      <c r="S111" s="32"/>
      <c r="T111" s="21"/>
      <c r="U111" s="21"/>
      <c r="V111" s="21"/>
      <c r="W111" s="21"/>
      <c r="X111" s="21"/>
    </row>
    <row r="112" customFormat="false" ht="15.75" hidden="false" customHeight="false" outlineLevel="0" collapsed="false">
      <c r="A112" s="61"/>
      <c r="B112" s="29"/>
      <c r="C112" s="21"/>
      <c r="D112" s="21"/>
      <c r="E112" s="21"/>
      <c r="F112" s="21"/>
      <c r="G112" s="30"/>
      <c r="H112" s="31"/>
      <c r="I112" s="21"/>
      <c r="J112" s="21"/>
      <c r="K112" s="21"/>
      <c r="L112" s="21"/>
      <c r="M112" s="21"/>
      <c r="N112" s="30"/>
      <c r="O112" s="21"/>
      <c r="P112" s="21"/>
      <c r="Q112" s="21"/>
      <c r="R112" s="32"/>
      <c r="S112" s="32"/>
      <c r="T112" s="21"/>
      <c r="U112" s="21"/>
      <c r="V112" s="21"/>
      <c r="W112" s="21"/>
      <c r="X112" s="21"/>
    </row>
    <row r="113" customFormat="false" ht="15.75" hidden="false" customHeight="false" outlineLevel="0" collapsed="false">
      <c r="A113" s="61"/>
      <c r="B113" s="29"/>
      <c r="C113" s="21"/>
      <c r="D113" s="21"/>
      <c r="E113" s="21"/>
      <c r="F113" s="21"/>
      <c r="G113" s="30"/>
      <c r="H113" s="31"/>
      <c r="I113" s="21"/>
      <c r="J113" s="21"/>
      <c r="K113" s="21"/>
      <c r="L113" s="21"/>
      <c r="M113" s="21"/>
      <c r="N113" s="30"/>
      <c r="O113" s="21"/>
      <c r="P113" s="21"/>
      <c r="Q113" s="21"/>
      <c r="R113" s="32"/>
      <c r="S113" s="32"/>
      <c r="T113" s="21"/>
      <c r="U113" s="21"/>
      <c r="V113" s="21"/>
      <c r="W113" s="21"/>
      <c r="X113" s="21"/>
    </row>
    <row r="114" customFormat="false" ht="15.75" hidden="false" customHeight="false" outlineLevel="0" collapsed="false">
      <c r="A114" s="61"/>
      <c r="B114" s="29"/>
      <c r="C114" s="21"/>
      <c r="D114" s="21"/>
      <c r="E114" s="21"/>
      <c r="F114" s="21"/>
      <c r="G114" s="30"/>
      <c r="H114" s="31"/>
      <c r="I114" s="21"/>
      <c r="J114" s="21"/>
      <c r="K114" s="21"/>
      <c r="L114" s="21"/>
      <c r="M114" s="21"/>
      <c r="N114" s="30"/>
      <c r="O114" s="21"/>
      <c r="P114" s="21"/>
      <c r="Q114" s="21"/>
      <c r="R114" s="32"/>
      <c r="S114" s="32"/>
      <c r="T114" s="21"/>
      <c r="U114" s="21"/>
      <c r="V114" s="21"/>
      <c r="W114" s="21"/>
      <c r="X114" s="21"/>
    </row>
    <row r="115" customFormat="false" ht="15.75" hidden="false" customHeight="false" outlineLevel="0" collapsed="false">
      <c r="A115" s="12"/>
      <c r="B115" s="34"/>
      <c r="C115" s="12"/>
      <c r="D115" s="12"/>
      <c r="E115" s="12"/>
      <c r="F115" s="12"/>
      <c r="G115" s="18"/>
      <c r="H115" s="35"/>
      <c r="I115" s="12"/>
      <c r="N115" s="18"/>
      <c r="O115" s="12"/>
      <c r="P115" s="12"/>
      <c r="R115" s="36"/>
      <c r="S115" s="36"/>
      <c r="T115" s="21"/>
      <c r="U115" s="12"/>
      <c r="V115" s="12"/>
      <c r="X115" s="12"/>
    </row>
    <row r="116" customFormat="false" ht="15.75" hidden="false" customHeight="false" outlineLevel="0" collapsed="false">
      <c r="A116" s="12"/>
      <c r="B116" s="34"/>
      <c r="C116" s="12"/>
      <c r="D116" s="12"/>
      <c r="E116" s="12"/>
      <c r="F116" s="12"/>
      <c r="G116" s="18"/>
      <c r="H116" s="35"/>
      <c r="I116" s="12"/>
      <c r="N116" s="18"/>
      <c r="O116" s="12"/>
      <c r="P116" s="12"/>
      <c r="R116" s="36"/>
      <c r="S116" s="36"/>
      <c r="T116" s="21"/>
      <c r="U116" s="12"/>
      <c r="V116" s="12"/>
      <c r="X116" s="12"/>
    </row>
    <row r="117" customFormat="false" ht="15.75" hidden="false" customHeight="false" outlineLevel="0" collapsed="false">
      <c r="A117" s="12"/>
      <c r="B117" s="34"/>
      <c r="C117" s="12"/>
      <c r="D117" s="12"/>
      <c r="E117" s="12"/>
      <c r="F117" s="12"/>
      <c r="G117" s="18"/>
      <c r="H117" s="35"/>
      <c r="I117" s="12"/>
      <c r="N117" s="18"/>
      <c r="O117" s="12"/>
      <c r="P117" s="12"/>
      <c r="R117" s="36"/>
      <c r="S117" s="36"/>
      <c r="T117" s="21"/>
      <c r="U117" s="12"/>
      <c r="V117" s="12"/>
      <c r="X117" s="12"/>
    </row>
    <row r="118" customFormat="false" ht="15.75" hidden="false" customHeight="false" outlineLevel="0" collapsed="false">
      <c r="A118" s="12"/>
      <c r="B118" s="34"/>
      <c r="C118" s="12"/>
      <c r="D118" s="12"/>
      <c r="E118" s="12"/>
      <c r="F118" s="12"/>
      <c r="G118" s="18"/>
      <c r="H118" s="35"/>
      <c r="I118" s="12"/>
      <c r="M118" s="12"/>
      <c r="N118" s="18"/>
      <c r="O118" s="12"/>
      <c r="P118" s="12"/>
      <c r="Q118" s="12"/>
      <c r="R118" s="36"/>
      <c r="S118" s="36"/>
      <c r="T118" s="21"/>
      <c r="U118" s="12"/>
      <c r="V118" s="12"/>
      <c r="W118" s="12"/>
      <c r="X118" s="12"/>
    </row>
    <row r="119" customFormat="false" ht="15.75" hidden="false" customHeight="false" outlineLevel="0" collapsed="false">
      <c r="A119" s="12"/>
      <c r="B119" s="34"/>
      <c r="C119" s="12"/>
      <c r="D119" s="12"/>
      <c r="E119" s="12"/>
      <c r="F119" s="12"/>
      <c r="G119" s="18"/>
      <c r="H119" s="35"/>
      <c r="I119" s="12"/>
      <c r="M119" s="12"/>
      <c r="N119" s="18"/>
      <c r="O119" s="12"/>
      <c r="P119" s="12"/>
      <c r="Q119" s="12"/>
      <c r="R119" s="36"/>
      <c r="S119" s="36"/>
      <c r="T119" s="21"/>
      <c r="U119" s="12"/>
      <c r="V119" s="12"/>
      <c r="W119" s="12"/>
      <c r="X119" s="12"/>
    </row>
    <row r="120" customFormat="false" ht="15.75" hidden="false" customHeight="false" outlineLevel="0" collapsed="false">
      <c r="A120" s="12"/>
      <c r="B120" s="34"/>
      <c r="C120" s="12"/>
      <c r="D120" s="12"/>
      <c r="E120" s="12"/>
      <c r="F120" s="12"/>
      <c r="G120" s="18"/>
      <c r="H120" s="35"/>
      <c r="I120" s="12"/>
      <c r="M120" s="12"/>
      <c r="N120" s="18"/>
      <c r="O120" s="12"/>
      <c r="P120" s="12"/>
      <c r="Q120" s="12"/>
      <c r="R120" s="36"/>
      <c r="S120" s="36"/>
      <c r="T120" s="21"/>
      <c r="U120" s="12"/>
      <c r="V120" s="12"/>
      <c r="W120" s="12"/>
      <c r="X120" s="12"/>
    </row>
    <row r="121" customFormat="false" ht="15.75" hidden="false" customHeight="false" outlineLevel="0" collapsed="false">
      <c r="A121" s="12"/>
      <c r="B121" s="34"/>
      <c r="C121" s="12"/>
      <c r="D121" s="12"/>
      <c r="E121" s="12"/>
      <c r="F121" s="12"/>
      <c r="G121" s="18"/>
      <c r="H121" s="35"/>
      <c r="I121" s="12"/>
      <c r="M121" s="12"/>
      <c r="N121" s="18"/>
      <c r="O121" s="12"/>
      <c r="P121" s="12"/>
      <c r="Q121" s="12"/>
      <c r="R121" s="36"/>
      <c r="S121" s="36"/>
      <c r="T121" s="21"/>
      <c r="U121" s="12"/>
      <c r="V121" s="12"/>
      <c r="W121" s="12"/>
      <c r="X121" s="12"/>
    </row>
    <row r="122" customFormat="false" ht="15.75" hidden="false" customHeight="false" outlineLevel="0" collapsed="false">
      <c r="A122" s="12"/>
      <c r="B122" s="34"/>
      <c r="C122" s="12"/>
      <c r="D122" s="12"/>
      <c r="E122" s="12"/>
      <c r="F122" s="12"/>
      <c r="G122" s="18"/>
      <c r="H122" s="35"/>
      <c r="I122" s="12"/>
      <c r="M122" s="12"/>
      <c r="N122" s="18"/>
      <c r="O122" s="12"/>
      <c r="P122" s="12"/>
      <c r="Q122" s="12"/>
      <c r="R122" s="36"/>
      <c r="S122" s="36"/>
      <c r="T122" s="21"/>
      <c r="U122" s="12"/>
      <c r="V122" s="12"/>
      <c r="W122" s="12"/>
      <c r="X122" s="12"/>
    </row>
    <row r="123" customFormat="false" ht="15.75" hidden="false" customHeight="false" outlineLevel="0" collapsed="false">
      <c r="A123" s="12"/>
      <c r="B123" s="34"/>
      <c r="C123" s="12"/>
      <c r="D123" s="12"/>
      <c r="E123" s="12"/>
      <c r="F123" s="12"/>
      <c r="G123" s="18"/>
      <c r="H123" s="35"/>
      <c r="I123" s="12"/>
      <c r="M123" s="12"/>
      <c r="N123" s="18"/>
      <c r="O123" s="12"/>
      <c r="P123" s="12"/>
      <c r="Q123" s="12"/>
      <c r="R123" s="36"/>
      <c r="S123" s="36"/>
      <c r="T123" s="21"/>
      <c r="U123" s="12"/>
      <c r="V123" s="12"/>
      <c r="W123" s="12"/>
      <c r="X123" s="12"/>
    </row>
    <row r="124" customFormat="false" ht="15.75" hidden="false" customHeight="false" outlineLevel="0" collapsed="false">
      <c r="A124" s="12"/>
      <c r="B124" s="34"/>
      <c r="C124" s="12"/>
      <c r="D124" s="12"/>
      <c r="E124" s="12"/>
      <c r="F124" s="12"/>
      <c r="G124" s="18"/>
      <c r="H124" s="35"/>
      <c r="I124" s="12"/>
      <c r="M124" s="12"/>
      <c r="N124" s="18"/>
      <c r="O124" s="12"/>
      <c r="P124" s="12"/>
      <c r="Q124" s="12"/>
      <c r="R124" s="36"/>
      <c r="S124" s="36"/>
      <c r="T124" s="21"/>
      <c r="U124" s="12"/>
      <c r="V124" s="12"/>
      <c r="W124" s="12"/>
      <c r="X124" s="12"/>
    </row>
    <row r="125" customFormat="false" ht="15.75" hidden="false" customHeight="false" outlineLevel="0" collapsed="false">
      <c r="A125" s="12"/>
      <c r="B125" s="34"/>
      <c r="C125" s="12"/>
      <c r="D125" s="12"/>
      <c r="E125" s="12"/>
      <c r="F125" s="12"/>
      <c r="G125" s="18"/>
      <c r="H125" s="35"/>
      <c r="I125" s="12"/>
      <c r="M125" s="12"/>
      <c r="N125" s="18"/>
      <c r="O125" s="12"/>
      <c r="P125" s="12"/>
      <c r="Q125" s="12"/>
      <c r="R125" s="36"/>
      <c r="S125" s="36"/>
      <c r="T125" s="21"/>
      <c r="U125" s="12"/>
      <c r="V125" s="12"/>
      <c r="W125" s="12"/>
      <c r="X125" s="12"/>
    </row>
    <row r="126" customFormat="false" ht="15.75" hidden="false" customHeight="false" outlineLevel="0" collapsed="false">
      <c r="A126" s="12"/>
      <c r="B126" s="34"/>
      <c r="C126" s="12"/>
      <c r="D126" s="12"/>
      <c r="E126" s="12"/>
      <c r="F126" s="12"/>
      <c r="G126" s="18"/>
      <c r="H126" s="35"/>
      <c r="I126" s="12"/>
      <c r="M126" s="12"/>
      <c r="N126" s="18"/>
      <c r="O126" s="12"/>
      <c r="P126" s="12"/>
      <c r="Q126" s="12"/>
      <c r="R126" s="36"/>
      <c r="S126" s="36"/>
      <c r="T126" s="21"/>
      <c r="U126" s="12"/>
      <c r="V126" s="12"/>
      <c r="W126" s="12"/>
      <c r="X126" s="12"/>
    </row>
    <row r="127" customFormat="false" ht="15.75" hidden="false" customHeight="false" outlineLevel="0" collapsed="false">
      <c r="A127" s="12"/>
      <c r="B127" s="34"/>
      <c r="C127" s="12"/>
      <c r="D127" s="12"/>
      <c r="E127" s="12"/>
      <c r="F127" s="12"/>
      <c r="G127" s="18"/>
      <c r="H127" s="35"/>
      <c r="I127" s="12"/>
      <c r="M127" s="12"/>
      <c r="N127" s="18"/>
      <c r="O127" s="12"/>
      <c r="P127" s="12"/>
      <c r="Q127" s="12"/>
      <c r="R127" s="36"/>
      <c r="S127" s="36"/>
      <c r="T127" s="21"/>
      <c r="U127" s="12"/>
      <c r="V127" s="12"/>
      <c r="W127" s="12"/>
      <c r="X127" s="12"/>
    </row>
    <row r="128" customFormat="false" ht="15.75" hidden="false" customHeight="false" outlineLevel="0" collapsed="false">
      <c r="A128" s="12"/>
      <c r="B128" s="34"/>
      <c r="C128" s="12"/>
      <c r="D128" s="12"/>
      <c r="E128" s="12"/>
      <c r="F128" s="12"/>
      <c r="G128" s="18"/>
      <c r="H128" s="35"/>
      <c r="I128" s="12"/>
      <c r="M128" s="12"/>
      <c r="N128" s="18"/>
      <c r="O128" s="12"/>
      <c r="P128" s="12"/>
      <c r="Q128" s="12"/>
      <c r="R128" s="36"/>
      <c r="S128" s="36"/>
      <c r="T128" s="21"/>
      <c r="U128" s="12"/>
      <c r="V128" s="12"/>
      <c r="W128" s="12"/>
      <c r="X128" s="12"/>
    </row>
    <row r="129" customFormat="false" ht="15.75" hidden="false" customHeight="false" outlineLevel="0" collapsed="false">
      <c r="A129" s="12"/>
      <c r="B129" s="34"/>
      <c r="C129" s="12"/>
      <c r="D129" s="12"/>
      <c r="E129" s="12"/>
      <c r="F129" s="12"/>
      <c r="G129" s="18"/>
      <c r="H129" s="35"/>
      <c r="I129" s="12"/>
      <c r="M129" s="12"/>
      <c r="N129" s="18"/>
      <c r="O129" s="12"/>
      <c r="P129" s="12"/>
      <c r="Q129" s="12"/>
      <c r="R129" s="36"/>
      <c r="S129" s="36"/>
      <c r="T129" s="12"/>
      <c r="U129" s="12"/>
      <c r="V129" s="12"/>
      <c r="W129" s="12"/>
      <c r="X129" s="12"/>
    </row>
    <row r="130" customFormat="false" ht="15.75" hidden="false" customHeight="false" outlineLevel="0" collapsed="false">
      <c r="A130" s="12"/>
      <c r="B130" s="34"/>
      <c r="C130" s="12"/>
      <c r="D130" s="12"/>
      <c r="E130" s="12"/>
      <c r="F130" s="12"/>
      <c r="G130" s="18"/>
      <c r="H130" s="35"/>
      <c r="I130" s="12"/>
      <c r="M130" s="12"/>
      <c r="N130" s="18"/>
      <c r="O130" s="12"/>
      <c r="P130" s="12"/>
      <c r="Q130" s="12"/>
      <c r="R130" s="36"/>
      <c r="S130" s="36"/>
      <c r="T130" s="12"/>
      <c r="U130" s="12"/>
      <c r="V130" s="12"/>
      <c r="W130" s="12"/>
      <c r="X130" s="12"/>
    </row>
    <row r="131" customFormat="false" ht="15.75" hidden="false" customHeight="false" outlineLevel="0" collapsed="false">
      <c r="A131" s="12"/>
      <c r="B131" s="34"/>
      <c r="C131" s="12"/>
      <c r="D131" s="12"/>
      <c r="E131" s="12"/>
      <c r="F131" s="12"/>
      <c r="G131" s="18"/>
      <c r="H131" s="35"/>
      <c r="I131" s="12"/>
      <c r="M131" s="12"/>
      <c r="N131" s="18"/>
      <c r="O131" s="12"/>
      <c r="P131" s="12"/>
      <c r="Q131" s="12"/>
      <c r="R131" s="36"/>
      <c r="S131" s="36"/>
      <c r="T131" s="12"/>
      <c r="U131" s="12"/>
      <c r="V131" s="12"/>
      <c r="W131" s="12"/>
      <c r="X131" s="12"/>
    </row>
    <row r="132" customFormat="false" ht="15.75" hidden="false" customHeight="false" outlineLevel="0" collapsed="false">
      <c r="A132" s="12"/>
      <c r="B132" s="34"/>
      <c r="C132" s="12"/>
      <c r="D132" s="12"/>
      <c r="E132" s="12"/>
      <c r="F132" s="12"/>
      <c r="G132" s="18"/>
      <c r="H132" s="35"/>
      <c r="I132" s="12"/>
      <c r="M132" s="12"/>
      <c r="N132" s="18"/>
      <c r="O132" s="12"/>
      <c r="P132" s="12"/>
      <c r="Q132" s="12"/>
      <c r="R132" s="36"/>
      <c r="S132" s="36"/>
      <c r="T132" s="12"/>
      <c r="U132" s="12"/>
      <c r="V132" s="12"/>
      <c r="W132" s="12"/>
      <c r="X132" s="12"/>
    </row>
    <row r="133" customFormat="false" ht="15.75" hidden="false" customHeight="false" outlineLevel="0" collapsed="false">
      <c r="A133" s="12"/>
      <c r="B133" s="34"/>
      <c r="C133" s="12"/>
      <c r="D133" s="12"/>
      <c r="E133" s="12"/>
      <c r="F133" s="12"/>
      <c r="G133" s="18"/>
      <c r="H133" s="35"/>
      <c r="I133" s="12"/>
      <c r="M133" s="12"/>
      <c r="N133" s="18"/>
      <c r="O133" s="12"/>
      <c r="P133" s="12"/>
      <c r="Q133" s="12"/>
      <c r="R133" s="36"/>
      <c r="S133" s="36"/>
      <c r="T133" s="12"/>
      <c r="U133" s="12"/>
      <c r="V133" s="12"/>
      <c r="W133" s="12"/>
      <c r="X133" s="12"/>
    </row>
    <row r="134" customFormat="false" ht="15.75" hidden="false" customHeight="false" outlineLevel="0" collapsed="false">
      <c r="A134" s="12"/>
      <c r="B134" s="34"/>
      <c r="C134" s="12"/>
      <c r="D134" s="12"/>
      <c r="E134" s="12"/>
      <c r="F134" s="12"/>
      <c r="G134" s="18"/>
      <c r="H134" s="35"/>
      <c r="I134" s="12"/>
      <c r="M134" s="12"/>
      <c r="N134" s="18"/>
      <c r="O134" s="12"/>
      <c r="P134" s="12"/>
      <c r="Q134" s="12"/>
      <c r="R134" s="36"/>
      <c r="S134" s="36"/>
      <c r="T134" s="12"/>
      <c r="U134" s="12"/>
      <c r="V134" s="12"/>
      <c r="W134" s="12"/>
      <c r="X134" s="12"/>
    </row>
    <row r="135" customFormat="false" ht="15.75" hidden="false" customHeight="false" outlineLevel="0" collapsed="false">
      <c r="A135" s="12"/>
      <c r="B135" s="34"/>
      <c r="C135" s="12"/>
      <c r="D135" s="12"/>
      <c r="E135" s="12"/>
      <c r="F135" s="12"/>
      <c r="G135" s="18"/>
      <c r="H135" s="35"/>
      <c r="I135" s="12"/>
      <c r="M135" s="12"/>
      <c r="N135" s="18"/>
      <c r="O135" s="12"/>
      <c r="P135" s="12"/>
      <c r="Q135" s="12"/>
      <c r="R135" s="36"/>
      <c r="S135" s="36"/>
      <c r="T135" s="12"/>
      <c r="U135" s="12"/>
      <c r="V135" s="12"/>
      <c r="W135" s="12"/>
      <c r="X135" s="12"/>
    </row>
    <row r="136" customFormat="false" ht="15.75" hidden="false" customHeight="false" outlineLevel="0" collapsed="false">
      <c r="A136" s="12"/>
      <c r="B136" s="34"/>
      <c r="C136" s="12"/>
      <c r="D136" s="12"/>
      <c r="E136" s="12"/>
      <c r="F136" s="12"/>
      <c r="G136" s="18"/>
      <c r="H136" s="35"/>
      <c r="I136" s="12"/>
      <c r="M136" s="12"/>
      <c r="N136" s="18"/>
      <c r="O136" s="12"/>
      <c r="P136" s="12"/>
      <c r="Q136" s="12"/>
      <c r="R136" s="36"/>
      <c r="S136" s="36"/>
      <c r="T136" s="12"/>
      <c r="U136" s="12"/>
      <c r="V136" s="12"/>
      <c r="W136" s="12"/>
      <c r="X136" s="12"/>
    </row>
    <row r="137" customFormat="false" ht="15.75" hidden="false" customHeight="false" outlineLevel="0" collapsed="false">
      <c r="A137" s="12"/>
      <c r="B137" s="34"/>
      <c r="C137" s="12"/>
      <c r="D137" s="12"/>
      <c r="E137" s="12"/>
      <c r="F137" s="12"/>
      <c r="G137" s="18"/>
      <c r="H137" s="35"/>
      <c r="I137" s="12"/>
      <c r="M137" s="12"/>
      <c r="N137" s="18"/>
      <c r="O137" s="12"/>
      <c r="P137" s="12"/>
      <c r="Q137" s="12"/>
      <c r="R137" s="36"/>
      <c r="S137" s="36"/>
      <c r="T137" s="12"/>
      <c r="U137" s="12"/>
      <c r="V137" s="12"/>
      <c r="W137" s="12"/>
      <c r="X137" s="12"/>
    </row>
    <row r="138" customFormat="false" ht="15.75" hidden="false" customHeight="false" outlineLevel="0" collapsed="false">
      <c r="A138" s="12"/>
      <c r="B138" s="34"/>
      <c r="C138" s="12"/>
      <c r="D138" s="12"/>
      <c r="E138" s="12"/>
      <c r="F138" s="12"/>
      <c r="G138" s="18"/>
      <c r="H138" s="35"/>
      <c r="I138" s="12"/>
      <c r="M138" s="12"/>
      <c r="N138" s="18"/>
      <c r="O138" s="12"/>
      <c r="P138" s="12"/>
      <c r="Q138" s="12"/>
      <c r="R138" s="36"/>
      <c r="S138" s="36"/>
      <c r="T138" s="12"/>
      <c r="U138" s="12"/>
      <c r="V138" s="12"/>
      <c r="W138" s="12"/>
      <c r="X138" s="12"/>
    </row>
    <row r="139" customFormat="false" ht="15.75" hidden="false" customHeight="false" outlineLevel="0" collapsed="false">
      <c r="A139" s="12"/>
      <c r="B139" s="34"/>
      <c r="C139" s="12"/>
      <c r="D139" s="12"/>
      <c r="E139" s="12"/>
      <c r="F139" s="12"/>
      <c r="G139" s="18"/>
      <c r="H139" s="35"/>
      <c r="I139" s="12"/>
      <c r="M139" s="12"/>
      <c r="N139" s="18"/>
      <c r="O139" s="12"/>
      <c r="P139" s="12"/>
      <c r="Q139" s="12"/>
      <c r="R139" s="36"/>
      <c r="S139" s="36"/>
      <c r="T139" s="12"/>
      <c r="U139" s="12"/>
      <c r="V139" s="12"/>
      <c r="W139" s="12"/>
      <c r="X139" s="12"/>
    </row>
    <row r="140" customFormat="false" ht="15.75" hidden="false" customHeight="false" outlineLevel="0" collapsed="false">
      <c r="A140" s="12"/>
      <c r="B140" s="34"/>
      <c r="C140" s="12"/>
      <c r="D140" s="12"/>
      <c r="E140" s="12"/>
      <c r="F140" s="12"/>
      <c r="G140" s="18"/>
      <c r="H140" s="35"/>
      <c r="I140" s="12"/>
      <c r="M140" s="12"/>
      <c r="N140" s="18"/>
      <c r="O140" s="12"/>
      <c r="P140" s="12"/>
      <c r="Q140" s="12"/>
      <c r="R140" s="36"/>
      <c r="S140" s="36"/>
      <c r="T140" s="12"/>
      <c r="U140" s="12"/>
      <c r="V140" s="12"/>
      <c r="W140" s="12"/>
      <c r="X140" s="12"/>
    </row>
    <row r="141" customFormat="false" ht="15.75" hidden="false" customHeight="false" outlineLevel="0" collapsed="false">
      <c r="A141" s="12"/>
      <c r="B141" s="34"/>
      <c r="C141" s="12"/>
      <c r="D141" s="12"/>
      <c r="E141" s="12"/>
      <c r="F141" s="12"/>
      <c r="G141" s="18"/>
      <c r="H141" s="35"/>
      <c r="I141" s="12"/>
      <c r="M141" s="12"/>
      <c r="N141" s="18"/>
      <c r="O141" s="12"/>
      <c r="P141" s="12"/>
      <c r="Q141" s="12"/>
      <c r="R141" s="36"/>
      <c r="S141" s="36"/>
      <c r="T141" s="12"/>
      <c r="U141" s="12"/>
      <c r="V141" s="12"/>
      <c r="W141" s="12"/>
      <c r="X141" s="12"/>
    </row>
    <row r="142" customFormat="false" ht="15.75" hidden="false" customHeight="false" outlineLevel="0" collapsed="false">
      <c r="A142" s="12"/>
      <c r="B142" s="34"/>
      <c r="C142" s="12"/>
      <c r="D142" s="12"/>
      <c r="E142" s="12"/>
      <c r="F142" s="12"/>
      <c r="G142" s="18"/>
      <c r="H142" s="35"/>
      <c r="I142" s="12"/>
      <c r="M142" s="12"/>
      <c r="N142" s="18"/>
      <c r="O142" s="12"/>
      <c r="P142" s="12"/>
      <c r="Q142" s="12"/>
      <c r="R142" s="36"/>
      <c r="S142" s="36"/>
      <c r="T142" s="12"/>
      <c r="U142" s="12"/>
      <c r="V142" s="12"/>
      <c r="W142" s="12"/>
      <c r="X142" s="12"/>
    </row>
    <row r="143" customFormat="false" ht="15.75" hidden="false" customHeight="false" outlineLevel="0" collapsed="false">
      <c r="A143" s="12"/>
      <c r="B143" s="34"/>
      <c r="C143" s="12"/>
      <c r="D143" s="12"/>
      <c r="E143" s="12"/>
      <c r="F143" s="12"/>
      <c r="G143" s="18"/>
      <c r="H143" s="35"/>
      <c r="I143" s="12"/>
      <c r="M143" s="12"/>
      <c r="N143" s="18"/>
      <c r="O143" s="12"/>
      <c r="P143" s="12"/>
      <c r="Q143" s="12"/>
      <c r="R143" s="36"/>
      <c r="S143" s="36"/>
      <c r="T143" s="12"/>
      <c r="U143" s="12"/>
      <c r="V143" s="12"/>
      <c r="W143" s="12"/>
      <c r="X143" s="12"/>
    </row>
    <row r="144" customFormat="false" ht="15.75" hidden="false" customHeight="false" outlineLevel="0" collapsed="false">
      <c r="A144" s="12"/>
      <c r="B144" s="34"/>
      <c r="C144" s="12"/>
      <c r="D144" s="12"/>
      <c r="E144" s="12"/>
      <c r="F144" s="12"/>
      <c r="G144" s="18"/>
      <c r="H144" s="35"/>
      <c r="I144" s="12"/>
      <c r="M144" s="12"/>
      <c r="N144" s="18"/>
      <c r="O144" s="12"/>
      <c r="P144" s="12"/>
      <c r="Q144" s="12"/>
      <c r="R144" s="36"/>
      <c r="S144" s="36"/>
      <c r="T144" s="12"/>
      <c r="U144" s="12"/>
      <c r="V144" s="12"/>
      <c r="W144" s="12"/>
      <c r="X144" s="12"/>
    </row>
    <row r="145" customFormat="false" ht="15.75" hidden="false" customHeight="false" outlineLevel="0" collapsed="false">
      <c r="A145" s="12"/>
      <c r="B145" s="34"/>
      <c r="C145" s="12"/>
      <c r="D145" s="12"/>
      <c r="E145" s="12"/>
      <c r="F145" s="12"/>
      <c r="G145" s="18"/>
      <c r="H145" s="35"/>
      <c r="I145" s="12"/>
      <c r="M145" s="12"/>
      <c r="N145" s="18"/>
      <c r="O145" s="12"/>
      <c r="P145" s="12"/>
      <c r="Q145" s="12"/>
      <c r="R145" s="36"/>
      <c r="S145" s="36"/>
      <c r="T145" s="12"/>
      <c r="U145" s="12"/>
      <c r="V145" s="12"/>
      <c r="W145" s="12"/>
      <c r="X145" s="12"/>
    </row>
    <row r="146" customFormat="false" ht="15.75" hidden="false" customHeight="false" outlineLevel="0" collapsed="false">
      <c r="A146" s="12"/>
      <c r="B146" s="34"/>
      <c r="C146" s="12"/>
      <c r="D146" s="12"/>
      <c r="E146" s="12"/>
      <c r="F146" s="12"/>
      <c r="G146" s="18"/>
      <c r="H146" s="35"/>
      <c r="I146" s="12"/>
      <c r="M146" s="12"/>
      <c r="N146" s="18"/>
      <c r="O146" s="12"/>
      <c r="P146" s="12"/>
      <c r="Q146" s="12"/>
      <c r="R146" s="36"/>
      <c r="S146" s="36"/>
      <c r="T146" s="12"/>
      <c r="U146" s="12"/>
      <c r="V146" s="12"/>
      <c r="W146" s="12"/>
      <c r="X146" s="12"/>
    </row>
    <row r="147" customFormat="false" ht="15.75" hidden="false" customHeight="false" outlineLevel="0" collapsed="false">
      <c r="A147" s="12"/>
      <c r="B147" s="34"/>
      <c r="C147" s="12"/>
      <c r="D147" s="12"/>
      <c r="E147" s="12"/>
      <c r="F147" s="12"/>
      <c r="G147" s="18"/>
      <c r="H147" s="35"/>
      <c r="I147" s="12"/>
      <c r="M147" s="12"/>
      <c r="N147" s="18"/>
      <c r="O147" s="12"/>
      <c r="P147" s="12"/>
      <c r="Q147" s="12"/>
      <c r="R147" s="36"/>
      <c r="S147" s="36"/>
      <c r="T147" s="12"/>
      <c r="U147" s="12"/>
      <c r="V147" s="12"/>
      <c r="W147" s="12"/>
      <c r="X147" s="12"/>
    </row>
    <row r="148" customFormat="false" ht="15.75" hidden="false" customHeight="false" outlineLevel="0" collapsed="false">
      <c r="A148" s="12"/>
      <c r="B148" s="34"/>
      <c r="C148" s="12"/>
      <c r="D148" s="12"/>
      <c r="E148" s="12"/>
      <c r="F148" s="12"/>
      <c r="G148" s="18"/>
      <c r="H148" s="35"/>
      <c r="I148" s="12"/>
      <c r="M148" s="12"/>
      <c r="N148" s="18"/>
      <c r="O148" s="12"/>
      <c r="P148" s="12"/>
      <c r="Q148" s="12"/>
      <c r="R148" s="36"/>
      <c r="S148" s="36"/>
      <c r="T148" s="12"/>
      <c r="U148" s="12"/>
      <c r="V148" s="12"/>
      <c r="W148" s="12"/>
      <c r="X148" s="12"/>
    </row>
    <row r="149" customFormat="false" ht="15.75" hidden="false" customHeight="false" outlineLevel="0" collapsed="false">
      <c r="A149" s="12"/>
      <c r="B149" s="34"/>
      <c r="C149" s="12"/>
      <c r="D149" s="12"/>
      <c r="E149" s="12"/>
      <c r="F149" s="12"/>
      <c r="G149" s="18"/>
      <c r="H149" s="35"/>
      <c r="I149" s="12"/>
      <c r="M149" s="12"/>
      <c r="N149" s="18"/>
      <c r="O149" s="12"/>
      <c r="P149" s="12"/>
      <c r="Q149" s="12"/>
      <c r="R149" s="36"/>
      <c r="S149" s="36"/>
      <c r="T149" s="12"/>
      <c r="U149" s="12"/>
      <c r="V149" s="12"/>
      <c r="W149" s="12"/>
      <c r="X149" s="12"/>
    </row>
    <row r="150" customFormat="false" ht="15.75" hidden="false" customHeight="false" outlineLevel="0" collapsed="false">
      <c r="A150" s="12"/>
      <c r="B150" s="34"/>
      <c r="C150" s="12"/>
      <c r="D150" s="12"/>
      <c r="E150" s="12"/>
      <c r="F150" s="12"/>
      <c r="G150" s="18"/>
      <c r="H150" s="35"/>
      <c r="I150" s="12"/>
      <c r="M150" s="12"/>
      <c r="N150" s="18"/>
      <c r="O150" s="12"/>
      <c r="P150" s="12"/>
      <c r="Q150" s="12"/>
      <c r="R150" s="36"/>
      <c r="S150" s="36"/>
      <c r="T150" s="12"/>
      <c r="U150" s="12"/>
      <c r="V150" s="12"/>
      <c r="W150" s="12"/>
      <c r="X150" s="12"/>
    </row>
    <row r="151" customFormat="false" ht="15.75" hidden="false" customHeight="false" outlineLevel="0" collapsed="false">
      <c r="A151" s="12"/>
      <c r="B151" s="34"/>
      <c r="C151" s="12"/>
      <c r="D151" s="12"/>
      <c r="E151" s="12"/>
      <c r="F151" s="12"/>
      <c r="G151" s="18"/>
      <c r="H151" s="35"/>
      <c r="I151" s="12"/>
      <c r="M151" s="12"/>
      <c r="N151" s="18"/>
      <c r="O151" s="12"/>
      <c r="P151" s="12"/>
      <c r="Q151" s="12"/>
      <c r="R151" s="36"/>
      <c r="S151" s="36"/>
      <c r="T151" s="12"/>
      <c r="U151" s="12"/>
      <c r="V151" s="12"/>
      <c r="W151" s="12"/>
      <c r="X151" s="12"/>
    </row>
    <row r="152" customFormat="false" ht="15.75" hidden="false" customHeight="false" outlineLevel="0" collapsed="false">
      <c r="A152" s="12"/>
      <c r="B152" s="34"/>
      <c r="C152" s="12"/>
      <c r="D152" s="12"/>
      <c r="E152" s="12"/>
      <c r="F152" s="12"/>
      <c r="G152" s="18"/>
      <c r="H152" s="35"/>
      <c r="I152" s="12"/>
      <c r="M152" s="12"/>
      <c r="N152" s="18"/>
      <c r="O152" s="12"/>
      <c r="P152" s="12"/>
      <c r="Q152" s="12"/>
      <c r="R152" s="36"/>
      <c r="S152" s="36"/>
      <c r="T152" s="12"/>
      <c r="U152" s="12"/>
      <c r="V152" s="12"/>
      <c r="W152" s="12"/>
      <c r="X152" s="12"/>
    </row>
    <row r="153" customFormat="false" ht="15.75" hidden="false" customHeight="false" outlineLevel="0" collapsed="false">
      <c r="A153" s="12"/>
      <c r="B153" s="34"/>
      <c r="C153" s="12"/>
      <c r="D153" s="12"/>
      <c r="E153" s="12"/>
      <c r="F153" s="12"/>
      <c r="G153" s="18"/>
      <c r="H153" s="35"/>
      <c r="I153" s="12"/>
      <c r="M153" s="12"/>
      <c r="N153" s="18"/>
      <c r="O153" s="12"/>
      <c r="P153" s="12"/>
      <c r="Q153" s="12"/>
      <c r="R153" s="36"/>
      <c r="S153" s="36"/>
      <c r="T153" s="12"/>
      <c r="U153" s="12"/>
      <c r="V153" s="12"/>
      <c r="W153" s="12"/>
      <c r="X153" s="12"/>
    </row>
    <row r="154" customFormat="false" ht="15.75" hidden="false" customHeight="false" outlineLevel="0" collapsed="false">
      <c r="A154" s="12"/>
      <c r="B154" s="34"/>
      <c r="C154" s="12"/>
      <c r="D154" s="12"/>
      <c r="E154" s="12"/>
      <c r="F154" s="12"/>
      <c r="G154" s="18"/>
      <c r="H154" s="35"/>
      <c r="I154" s="12"/>
      <c r="M154" s="12"/>
      <c r="N154" s="18"/>
      <c r="O154" s="12"/>
      <c r="P154" s="12"/>
      <c r="Q154" s="12"/>
      <c r="R154" s="36"/>
      <c r="S154" s="36"/>
      <c r="T154" s="12"/>
      <c r="U154" s="12"/>
      <c r="V154" s="12"/>
      <c r="W154" s="12"/>
      <c r="X154" s="12"/>
    </row>
    <row r="155" customFormat="false" ht="15.75" hidden="false" customHeight="false" outlineLevel="0" collapsed="false">
      <c r="A155" s="12"/>
      <c r="B155" s="34"/>
      <c r="C155" s="12"/>
      <c r="D155" s="12"/>
      <c r="E155" s="12"/>
      <c r="F155" s="12"/>
      <c r="G155" s="18"/>
      <c r="H155" s="35"/>
      <c r="I155" s="12"/>
      <c r="M155" s="12"/>
      <c r="N155" s="18"/>
      <c r="O155" s="12"/>
      <c r="P155" s="12"/>
      <c r="Q155" s="12"/>
      <c r="R155" s="36"/>
      <c r="S155" s="36"/>
      <c r="T155" s="12"/>
      <c r="U155" s="12"/>
      <c r="V155" s="12"/>
      <c r="W155" s="12"/>
      <c r="X155" s="12"/>
    </row>
    <row r="156" customFormat="false" ht="15.75" hidden="false" customHeight="false" outlineLevel="0" collapsed="false">
      <c r="A156" s="12"/>
      <c r="B156" s="34"/>
      <c r="C156" s="12"/>
      <c r="D156" s="12"/>
      <c r="E156" s="12"/>
      <c r="F156" s="12"/>
      <c r="G156" s="18"/>
      <c r="H156" s="35"/>
      <c r="I156" s="12"/>
      <c r="M156" s="12"/>
      <c r="N156" s="18"/>
      <c r="O156" s="12"/>
      <c r="P156" s="12"/>
      <c r="Q156" s="12"/>
      <c r="R156" s="36"/>
      <c r="S156" s="36"/>
      <c r="T156" s="12"/>
      <c r="U156" s="12"/>
      <c r="V156" s="12"/>
      <c r="W156" s="12"/>
      <c r="X156" s="12"/>
    </row>
    <row r="157" customFormat="false" ht="15.75" hidden="false" customHeight="false" outlineLevel="0" collapsed="false">
      <c r="A157" s="12"/>
      <c r="B157" s="34"/>
      <c r="C157" s="12"/>
      <c r="D157" s="12"/>
      <c r="E157" s="12"/>
      <c r="F157" s="12"/>
      <c r="G157" s="18"/>
      <c r="H157" s="35"/>
      <c r="I157" s="12"/>
      <c r="M157" s="12"/>
      <c r="N157" s="18"/>
      <c r="O157" s="12"/>
      <c r="P157" s="12"/>
      <c r="Q157" s="12"/>
      <c r="R157" s="36"/>
      <c r="S157" s="36"/>
      <c r="T157" s="12"/>
      <c r="U157" s="12"/>
      <c r="V157" s="12"/>
      <c r="W157" s="12"/>
      <c r="X157" s="12"/>
    </row>
    <row r="158" customFormat="false" ht="15.75" hidden="false" customHeight="false" outlineLevel="0" collapsed="false">
      <c r="A158" s="12"/>
      <c r="B158" s="34"/>
      <c r="C158" s="12"/>
      <c r="D158" s="12"/>
      <c r="E158" s="12"/>
      <c r="F158" s="12"/>
      <c r="G158" s="18"/>
      <c r="H158" s="35"/>
      <c r="I158" s="12"/>
      <c r="M158" s="12"/>
      <c r="N158" s="18"/>
      <c r="O158" s="12"/>
      <c r="P158" s="12"/>
      <c r="Q158" s="12"/>
      <c r="R158" s="36"/>
      <c r="S158" s="36"/>
      <c r="T158" s="12"/>
      <c r="U158" s="12"/>
      <c r="V158" s="12"/>
      <c r="W158" s="12"/>
      <c r="X158" s="12"/>
    </row>
    <row r="159" customFormat="false" ht="15.75" hidden="false" customHeight="false" outlineLevel="0" collapsed="false">
      <c r="A159" s="12"/>
      <c r="B159" s="34"/>
      <c r="C159" s="12"/>
      <c r="D159" s="12"/>
      <c r="E159" s="12"/>
      <c r="F159" s="12"/>
      <c r="G159" s="18"/>
      <c r="H159" s="35"/>
      <c r="I159" s="12"/>
      <c r="M159" s="12"/>
      <c r="N159" s="18"/>
      <c r="O159" s="12"/>
      <c r="P159" s="12"/>
      <c r="Q159" s="12"/>
      <c r="R159" s="36"/>
      <c r="S159" s="36"/>
      <c r="T159" s="12"/>
      <c r="U159" s="12"/>
      <c r="V159" s="12"/>
      <c r="W159" s="12"/>
      <c r="X159" s="12"/>
    </row>
    <row r="160" customFormat="false" ht="15.75" hidden="false" customHeight="false" outlineLevel="0" collapsed="false">
      <c r="A160" s="12"/>
      <c r="B160" s="34"/>
      <c r="C160" s="12"/>
      <c r="D160" s="12"/>
      <c r="E160" s="12"/>
      <c r="F160" s="12"/>
      <c r="G160" s="18"/>
      <c r="H160" s="35"/>
      <c r="I160" s="12"/>
      <c r="M160" s="12"/>
      <c r="N160" s="18"/>
      <c r="O160" s="12"/>
      <c r="P160" s="12"/>
      <c r="Q160" s="12"/>
      <c r="R160" s="36"/>
      <c r="S160" s="36"/>
      <c r="T160" s="12"/>
      <c r="U160" s="12"/>
      <c r="V160" s="12"/>
      <c r="W160" s="12"/>
      <c r="X160" s="12"/>
    </row>
    <row r="161" customFormat="false" ht="15.75" hidden="false" customHeight="false" outlineLevel="0" collapsed="false">
      <c r="A161" s="12"/>
      <c r="B161" s="34"/>
      <c r="C161" s="12"/>
      <c r="D161" s="12"/>
      <c r="E161" s="12"/>
      <c r="F161" s="12"/>
      <c r="G161" s="18"/>
      <c r="H161" s="35"/>
      <c r="I161" s="12"/>
      <c r="M161" s="12"/>
      <c r="N161" s="18"/>
      <c r="O161" s="12"/>
      <c r="P161" s="12"/>
      <c r="Q161" s="12"/>
      <c r="R161" s="36"/>
      <c r="S161" s="36"/>
      <c r="T161" s="12"/>
      <c r="U161" s="12"/>
      <c r="V161" s="12"/>
      <c r="W161" s="12"/>
      <c r="X161" s="12"/>
    </row>
    <row r="162" customFormat="false" ht="15.75" hidden="false" customHeight="false" outlineLevel="0" collapsed="false">
      <c r="A162" s="12"/>
      <c r="B162" s="34"/>
      <c r="C162" s="12"/>
      <c r="D162" s="12"/>
      <c r="E162" s="12"/>
      <c r="F162" s="12"/>
      <c r="G162" s="18"/>
      <c r="H162" s="35"/>
      <c r="I162" s="12"/>
      <c r="M162" s="12"/>
      <c r="N162" s="18"/>
      <c r="O162" s="12"/>
      <c r="P162" s="12"/>
      <c r="Q162" s="12"/>
      <c r="R162" s="36"/>
      <c r="S162" s="36"/>
      <c r="T162" s="12"/>
      <c r="U162" s="12"/>
      <c r="V162" s="12"/>
      <c r="W162" s="12"/>
      <c r="X162" s="12"/>
    </row>
    <row r="163" customFormat="false" ht="15.75" hidden="false" customHeight="false" outlineLevel="0" collapsed="false">
      <c r="A163" s="12"/>
      <c r="B163" s="34"/>
      <c r="C163" s="12"/>
      <c r="D163" s="12"/>
      <c r="E163" s="12"/>
      <c r="F163" s="12"/>
      <c r="G163" s="18"/>
      <c r="H163" s="35"/>
      <c r="I163" s="12"/>
      <c r="M163" s="12"/>
      <c r="N163" s="18"/>
      <c r="O163" s="12"/>
      <c r="P163" s="12"/>
      <c r="Q163" s="12"/>
      <c r="R163" s="36"/>
      <c r="S163" s="36"/>
      <c r="T163" s="12"/>
      <c r="U163" s="12"/>
      <c r="V163" s="12"/>
      <c r="W163" s="12"/>
      <c r="X163" s="12"/>
    </row>
    <row r="164" customFormat="false" ht="15.75" hidden="false" customHeight="false" outlineLevel="0" collapsed="false">
      <c r="A164" s="12"/>
      <c r="B164" s="34"/>
      <c r="C164" s="12"/>
      <c r="D164" s="12"/>
      <c r="E164" s="12"/>
      <c r="F164" s="12"/>
      <c r="G164" s="18"/>
      <c r="H164" s="35"/>
      <c r="I164" s="12"/>
      <c r="M164" s="12"/>
      <c r="N164" s="18"/>
      <c r="O164" s="12"/>
      <c r="P164" s="12"/>
      <c r="Q164" s="12"/>
      <c r="R164" s="36"/>
      <c r="S164" s="36"/>
      <c r="T164" s="12"/>
      <c r="U164" s="12"/>
      <c r="V164" s="12"/>
      <c r="W164" s="12"/>
      <c r="X164" s="12"/>
    </row>
    <row r="165" customFormat="false" ht="15.75" hidden="false" customHeight="false" outlineLevel="0" collapsed="false">
      <c r="A165" s="12"/>
      <c r="B165" s="34"/>
      <c r="C165" s="12"/>
      <c r="D165" s="12"/>
      <c r="E165" s="12"/>
      <c r="F165" s="12"/>
      <c r="G165" s="18"/>
      <c r="H165" s="35"/>
      <c r="I165" s="12"/>
      <c r="M165" s="12"/>
      <c r="N165" s="18"/>
      <c r="O165" s="12"/>
      <c r="P165" s="12"/>
      <c r="Q165" s="12"/>
      <c r="R165" s="36"/>
      <c r="S165" s="36"/>
      <c r="T165" s="12"/>
      <c r="U165" s="12"/>
      <c r="V165" s="12"/>
      <c r="W165" s="12"/>
      <c r="X165" s="12"/>
    </row>
    <row r="166" customFormat="false" ht="15.75" hidden="false" customHeight="false" outlineLevel="0" collapsed="false">
      <c r="A166" s="12"/>
      <c r="B166" s="34"/>
      <c r="C166" s="12"/>
      <c r="D166" s="12"/>
      <c r="E166" s="12"/>
      <c r="F166" s="12"/>
      <c r="G166" s="18"/>
      <c r="H166" s="35"/>
      <c r="I166" s="12"/>
      <c r="M166" s="12"/>
      <c r="N166" s="18"/>
      <c r="O166" s="12"/>
      <c r="P166" s="12"/>
      <c r="Q166" s="12"/>
      <c r="R166" s="36"/>
      <c r="S166" s="36"/>
      <c r="T166" s="12"/>
      <c r="U166" s="12"/>
      <c r="V166" s="12"/>
      <c r="W166" s="12"/>
      <c r="X166" s="12"/>
    </row>
    <row r="167" customFormat="false" ht="15.75" hidden="false" customHeight="false" outlineLevel="0" collapsed="false">
      <c r="A167" s="12"/>
      <c r="B167" s="34"/>
      <c r="C167" s="12"/>
      <c r="D167" s="12"/>
      <c r="E167" s="12"/>
      <c r="F167" s="12"/>
      <c r="G167" s="18"/>
      <c r="H167" s="35"/>
      <c r="I167" s="12"/>
      <c r="M167" s="12"/>
      <c r="N167" s="18"/>
      <c r="O167" s="12"/>
      <c r="P167" s="12"/>
      <c r="Q167" s="12"/>
      <c r="R167" s="36"/>
      <c r="S167" s="36"/>
      <c r="T167" s="12"/>
      <c r="U167" s="12"/>
      <c r="V167" s="12"/>
      <c r="W167" s="12"/>
      <c r="X167" s="12"/>
    </row>
    <row r="168" customFormat="false" ht="15.75" hidden="false" customHeight="false" outlineLevel="0" collapsed="false">
      <c r="A168" s="12"/>
      <c r="B168" s="34"/>
      <c r="C168" s="12"/>
      <c r="D168" s="12"/>
      <c r="E168" s="12"/>
      <c r="F168" s="12"/>
      <c r="G168" s="18"/>
      <c r="H168" s="35"/>
      <c r="I168" s="12"/>
      <c r="M168" s="12"/>
      <c r="N168" s="18"/>
      <c r="O168" s="12"/>
      <c r="P168" s="12"/>
      <c r="Q168" s="12"/>
      <c r="R168" s="36"/>
      <c r="S168" s="36"/>
      <c r="T168" s="12"/>
      <c r="U168" s="12"/>
      <c r="V168" s="12"/>
      <c r="W168" s="12"/>
      <c r="X168" s="12"/>
    </row>
    <row r="169" customFormat="false" ht="15.75" hidden="false" customHeight="false" outlineLevel="0" collapsed="false">
      <c r="A169" s="12"/>
      <c r="B169" s="34"/>
      <c r="C169" s="12"/>
      <c r="D169" s="12"/>
      <c r="E169" s="12"/>
      <c r="F169" s="12"/>
      <c r="G169" s="18"/>
      <c r="H169" s="35"/>
      <c r="I169" s="12"/>
      <c r="M169" s="12"/>
      <c r="N169" s="18"/>
      <c r="O169" s="12"/>
      <c r="P169" s="12"/>
      <c r="Q169" s="12"/>
      <c r="R169" s="36"/>
      <c r="S169" s="36"/>
      <c r="T169" s="12"/>
      <c r="U169" s="12"/>
      <c r="V169" s="12"/>
      <c r="W169" s="12"/>
      <c r="X169" s="12"/>
    </row>
    <row r="170" customFormat="false" ht="15.75" hidden="false" customHeight="false" outlineLevel="0" collapsed="false">
      <c r="A170" s="12"/>
      <c r="B170" s="34"/>
      <c r="C170" s="12"/>
      <c r="D170" s="12"/>
      <c r="E170" s="12"/>
      <c r="F170" s="12"/>
      <c r="G170" s="18"/>
      <c r="H170" s="35"/>
      <c r="I170" s="12"/>
      <c r="M170" s="12"/>
      <c r="N170" s="18"/>
      <c r="O170" s="12"/>
      <c r="P170" s="12"/>
      <c r="Q170" s="12"/>
      <c r="R170" s="36"/>
      <c r="S170" s="36"/>
      <c r="T170" s="12"/>
      <c r="U170" s="12"/>
      <c r="V170" s="12"/>
      <c r="W170" s="12"/>
      <c r="X170" s="12"/>
    </row>
    <row r="171" customFormat="false" ht="15.75" hidden="false" customHeight="false" outlineLevel="0" collapsed="false">
      <c r="A171" s="12"/>
      <c r="B171" s="34"/>
      <c r="C171" s="12"/>
      <c r="D171" s="12"/>
      <c r="E171" s="12"/>
      <c r="F171" s="12"/>
      <c r="G171" s="18"/>
      <c r="H171" s="35"/>
      <c r="I171" s="12"/>
      <c r="M171" s="12"/>
      <c r="N171" s="18"/>
      <c r="O171" s="12"/>
      <c r="P171" s="12"/>
      <c r="Q171" s="12"/>
      <c r="R171" s="36"/>
      <c r="S171" s="36"/>
      <c r="T171" s="12"/>
      <c r="U171" s="12"/>
      <c r="V171" s="12"/>
      <c r="W171" s="12"/>
      <c r="X171" s="12"/>
    </row>
    <row r="172" customFormat="false" ht="15.75" hidden="false" customHeight="false" outlineLevel="0" collapsed="false">
      <c r="A172" s="12"/>
      <c r="B172" s="34"/>
      <c r="C172" s="12"/>
      <c r="D172" s="12"/>
      <c r="E172" s="12"/>
      <c r="F172" s="12"/>
      <c r="G172" s="18"/>
      <c r="H172" s="35"/>
      <c r="I172" s="12"/>
      <c r="M172" s="12"/>
      <c r="N172" s="18"/>
      <c r="O172" s="12"/>
      <c r="P172" s="12"/>
      <c r="Q172" s="12"/>
      <c r="R172" s="36"/>
      <c r="S172" s="36"/>
      <c r="T172" s="12"/>
      <c r="U172" s="12"/>
      <c r="V172" s="12"/>
      <c r="W172" s="12"/>
      <c r="X172" s="12"/>
    </row>
    <row r="173" customFormat="false" ht="15.75" hidden="false" customHeight="false" outlineLevel="0" collapsed="false">
      <c r="A173" s="12"/>
      <c r="B173" s="34"/>
      <c r="C173" s="12"/>
      <c r="D173" s="12"/>
      <c r="E173" s="12"/>
      <c r="F173" s="12"/>
      <c r="G173" s="18"/>
      <c r="H173" s="35"/>
      <c r="I173" s="12"/>
      <c r="M173" s="12"/>
      <c r="N173" s="18"/>
      <c r="O173" s="12"/>
      <c r="P173" s="12"/>
      <c r="Q173" s="12"/>
      <c r="R173" s="36"/>
      <c r="S173" s="36"/>
      <c r="T173" s="12"/>
      <c r="U173" s="12"/>
      <c r="V173" s="12"/>
      <c r="W173" s="12"/>
      <c r="X173" s="12"/>
    </row>
    <row r="174" customFormat="false" ht="15.75" hidden="false" customHeight="false" outlineLevel="0" collapsed="false">
      <c r="A174" s="12"/>
      <c r="B174" s="34"/>
      <c r="C174" s="12"/>
      <c r="D174" s="12"/>
      <c r="E174" s="12"/>
      <c r="F174" s="12"/>
      <c r="G174" s="18"/>
      <c r="H174" s="35"/>
      <c r="I174" s="12"/>
      <c r="M174" s="12"/>
      <c r="N174" s="18"/>
      <c r="O174" s="12"/>
      <c r="P174" s="12"/>
      <c r="Q174" s="12"/>
      <c r="R174" s="36"/>
      <c r="S174" s="36"/>
      <c r="T174" s="12"/>
      <c r="U174" s="12"/>
      <c r="V174" s="12"/>
      <c r="W174" s="12"/>
      <c r="X174" s="12"/>
    </row>
    <row r="175" customFormat="false" ht="15.75" hidden="false" customHeight="false" outlineLevel="0" collapsed="false">
      <c r="A175" s="12"/>
      <c r="B175" s="34"/>
      <c r="C175" s="12"/>
      <c r="D175" s="12"/>
      <c r="E175" s="12"/>
      <c r="F175" s="12"/>
      <c r="G175" s="18"/>
      <c r="H175" s="35"/>
      <c r="I175" s="12"/>
      <c r="M175" s="12"/>
      <c r="N175" s="18"/>
      <c r="O175" s="12"/>
      <c r="P175" s="12"/>
      <c r="Q175" s="12"/>
      <c r="R175" s="36"/>
      <c r="S175" s="36"/>
      <c r="T175" s="12"/>
      <c r="U175" s="12"/>
      <c r="V175" s="12"/>
      <c r="W175" s="12"/>
      <c r="X175" s="12"/>
    </row>
    <row r="176" customFormat="false" ht="15.75" hidden="false" customHeight="false" outlineLevel="0" collapsed="false">
      <c r="A176" s="12"/>
      <c r="B176" s="34"/>
      <c r="C176" s="12"/>
      <c r="D176" s="12"/>
      <c r="E176" s="12"/>
      <c r="F176" s="12"/>
      <c r="G176" s="18"/>
      <c r="H176" s="35"/>
      <c r="I176" s="12"/>
      <c r="M176" s="12"/>
      <c r="N176" s="18"/>
      <c r="O176" s="12"/>
      <c r="P176" s="12"/>
      <c r="Q176" s="12"/>
      <c r="R176" s="36"/>
      <c r="S176" s="36"/>
      <c r="T176" s="12"/>
      <c r="U176" s="12"/>
      <c r="V176" s="12"/>
      <c r="W176" s="12"/>
      <c r="X176" s="12"/>
    </row>
    <row r="177" customFormat="false" ht="15.75" hidden="false" customHeight="false" outlineLevel="0" collapsed="false">
      <c r="A177" s="12"/>
      <c r="B177" s="34"/>
      <c r="C177" s="12"/>
      <c r="D177" s="12"/>
      <c r="E177" s="12"/>
      <c r="F177" s="12"/>
      <c r="G177" s="18"/>
      <c r="H177" s="35"/>
      <c r="I177" s="12"/>
      <c r="M177" s="12"/>
      <c r="N177" s="18"/>
      <c r="O177" s="12"/>
      <c r="P177" s="12"/>
      <c r="Q177" s="12"/>
      <c r="R177" s="36"/>
      <c r="S177" s="36"/>
      <c r="T177" s="12"/>
      <c r="U177" s="12"/>
      <c r="V177" s="12"/>
      <c r="W177" s="12"/>
      <c r="X177" s="12"/>
    </row>
    <row r="178" customFormat="false" ht="15.75" hidden="false" customHeight="false" outlineLevel="0" collapsed="false">
      <c r="A178" s="12"/>
      <c r="B178" s="34"/>
      <c r="C178" s="12"/>
      <c r="D178" s="12"/>
      <c r="E178" s="12"/>
      <c r="F178" s="12"/>
      <c r="G178" s="18"/>
      <c r="H178" s="35"/>
      <c r="I178" s="12"/>
      <c r="M178" s="12"/>
      <c r="N178" s="18"/>
      <c r="O178" s="12"/>
      <c r="P178" s="12"/>
      <c r="Q178" s="12"/>
      <c r="R178" s="36"/>
      <c r="S178" s="36"/>
      <c r="T178" s="12"/>
      <c r="U178" s="12"/>
      <c r="V178" s="12"/>
      <c r="W178" s="12"/>
      <c r="X178" s="12"/>
    </row>
    <row r="179" customFormat="false" ht="15.75" hidden="false" customHeight="false" outlineLevel="0" collapsed="false">
      <c r="A179" s="12"/>
      <c r="B179" s="34"/>
      <c r="C179" s="12"/>
      <c r="D179" s="12"/>
      <c r="E179" s="12"/>
      <c r="F179" s="12"/>
      <c r="G179" s="18"/>
      <c r="H179" s="35"/>
      <c r="I179" s="12"/>
      <c r="M179" s="12"/>
      <c r="N179" s="18"/>
      <c r="O179" s="12"/>
      <c r="P179" s="12"/>
      <c r="Q179" s="12"/>
      <c r="R179" s="36"/>
      <c r="S179" s="36"/>
      <c r="T179" s="12"/>
      <c r="U179" s="12"/>
      <c r="V179" s="12"/>
      <c r="W179" s="12"/>
      <c r="X179" s="12"/>
    </row>
    <row r="180" customFormat="false" ht="15.75" hidden="false" customHeight="false" outlineLevel="0" collapsed="false">
      <c r="A180" s="12"/>
      <c r="B180" s="34"/>
      <c r="C180" s="12"/>
      <c r="D180" s="12"/>
      <c r="E180" s="12"/>
      <c r="F180" s="12"/>
      <c r="G180" s="18"/>
      <c r="H180" s="35"/>
      <c r="I180" s="12"/>
      <c r="M180" s="12"/>
      <c r="N180" s="18"/>
      <c r="O180" s="12"/>
      <c r="P180" s="12"/>
      <c r="Q180" s="12"/>
      <c r="R180" s="36"/>
      <c r="S180" s="36"/>
      <c r="T180" s="12"/>
      <c r="U180" s="12"/>
      <c r="V180" s="12"/>
      <c r="W180" s="12"/>
      <c r="X180" s="12"/>
    </row>
    <row r="181" customFormat="false" ht="15.75" hidden="false" customHeight="false" outlineLevel="0" collapsed="false">
      <c r="A181" s="12"/>
      <c r="B181" s="34"/>
      <c r="C181" s="12"/>
      <c r="D181" s="12"/>
      <c r="E181" s="12"/>
      <c r="F181" s="12"/>
      <c r="G181" s="18"/>
      <c r="H181" s="35"/>
      <c r="I181" s="12"/>
      <c r="M181" s="12"/>
      <c r="N181" s="18"/>
      <c r="O181" s="12"/>
      <c r="P181" s="12"/>
      <c r="Q181" s="12"/>
      <c r="R181" s="36"/>
      <c r="S181" s="36"/>
      <c r="T181" s="12"/>
      <c r="U181" s="12"/>
      <c r="V181" s="12"/>
      <c r="W181" s="12"/>
      <c r="X181" s="12"/>
    </row>
    <row r="182" customFormat="false" ht="15.75" hidden="false" customHeight="false" outlineLevel="0" collapsed="false">
      <c r="A182" s="12"/>
      <c r="B182" s="34"/>
      <c r="C182" s="12"/>
      <c r="D182" s="12"/>
      <c r="E182" s="12"/>
      <c r="F182" s="12"/>
      <c r="G182" s="18"/>
      <c r="H182" s="35"/>
      <c r="I182" s="12"/>
      <c r="M182" s="12"/>
      <c r="N182" s="18"/>
      <c r="O182" s="12"/>
      <c r="P182" s="12"/>
      <c r="Q182" s="12"/>
      <c r="R182" s="36"/>
      <c r="S182" s="36"/>
      <c r="T182" s="12"/>
      <c r="U182" s="12"/>
      <c r="V182" s="12"/>
      <c r="W182" s="12"/>
      <c r="X182" s="12"/>
    </row>
    <row r="183" customFormat="false" ht="15.75" hidden="false" customHeight="false" outlineLevel="0" collapsed="false">
      <c r="A183" s="12"/>
      <c r="B183" s="34"/>
      <c r="C183" s="12"/>
      <c r="D183" s="12"/>
      <c r="E183" s="12"/>
      <c r="F183" s="12"/>
      <c r="G183" s="18"/>
      <c r="H183" s="35"/>
      <c r="I183" s="12"/>
      <c r="M183" s="12"/>
      <c r="N183" s="18"/>
      <c r="O183" s="12"/>
      <c r="P183" s="12"/>
      <c r="Q183" s="12"/>
      <c r="R183" s="36"/>
      <c r="S183" s="36"/>
      <c r="T183" s="12"/>
      <c r="U183" s="12"/>
      <c r="V183" s="12"/>
      <c r="W183" s="12"/>
      <c r="X183" s="12"/>
    </row>
    <row r="184" customFormat="false" ht="15.75" hidden="false" customHeight="false" outlineLevel="0" collapsed="false">
      <c r="A184" s="12"/>
      <c r="B184" s="34"/>
      <c r="C184" s="12"/>
      <c r="D184" s="12"/>
      <c r="E184" s="12"/>
      <c r="F184" s="12"/>
      <c r="G184" s="18"/>
      <c r="H184" s="35"/>
      <c r="I184" s="12"/>
      <c r="M184" s="12"/>
      <c r="N184" s="18"/>
      <c r="O184" s="12"/>
      <c r="P184" s="12"/>
      <c r="Q184" s="12"/>
      <c r="R184" s="36"/>
      <c r="S184" s="36"/>
      <c r="T184" s="12"/>
      <c r="U184" s="12"/>
      <c r="V184" s="12"/>
      <c r="W184" s="12"/>
      <c r="X184" s="12"/>
    </row>
    <row r="185" customFormat="false" ht="15.75" hidden="false" customHeight="false" outlineLevel="0" collapsed="false">
      <c r="A185" s="12"/>
      <c r="B185" s="34"/>
      <c r="C185" s="12"/>
      <c r="D185" s="12"/>
      <c r="E185" s="12"/>
      <c r="F185" s="12"/>
      <c r="G185" s="18"/>
      <c r="H185" s="35"/>
      <c r="I185" s="12"/>
      <c r="M185" s="12"/>
      <c r="N185" s="18"/>
      <c r="O185" s="12"/>
      <c r="P185" s="12"/>
      <c r="Q185" s="12"/>
      <c r="R185" s="36"/>
      <c r="S185" s="36"/>
      <c r="T185" s="12"/>
      <c r="U185" s="12"/>
      <c r="V185" s="12"/>
      <c r="W185" s="12"/>
      <c r="X185" s="12"/>
    </row>
    <row r="186" customFormat="false" ht="15.75" hidden="false" customHeight="false" outlineLevel="0" collapsed="false">
      <c r="A186" s="12"/>
      <c r="B186" s="34"/>
      <c r="C186" s="12"/>
      <c r="D186" s="12"/>
      <c r="E186" s="12"/>
      <c r="F186" s="12"/>
      <c r="G186" s="18"/>
      <c r="H186" s="35"/>
      <c r="I186" s="12"/>
      <c r="M186" s="12"/>
      <c r="N186" s="18"/>
      <c r="O186" s="12"/>
      <c r="P186" s="12"/>
      <c r="Q186" s="12"/>
      <c r="R186" s="36"/>
      <c r="S186" s="36"/>
      <c r="T186" s="12"/>
      <c r="U186" s="12"/>
      <c r="V186" s="12"/>
      <c r="W186" s="12"/>
      <c r="X186" s="12"/>
    </row>
    <row r="187" customFormat="false" ht="15.75" hidden="false" customHeight="false" outlineLevel="0" collapsed="false">
      <c r="A187" s="12"/>
      <c r="B187" s="34"/>
      <c r="C187" s="12"/>
      <c r="D187" s="12"/>
      <c r="E187" s="12"/>
      <c r="F187" s="12"/>
      <c r="G187" s="18"/>
      <c r="H187" s="35"/>
      <c r="I187" s="12"/>
      <c r="M187" s="12"/>
      <c r="N187" s="18"/>
      <c r="O187" s="12"/>
      <c r="P187" s="12"/>
      <c r="Q187" s="12"/>
      <c r="R187" s="36"/>
      <c r="S187" s="36"/>
      <c r="T187" s="12"/>
      <c r="U187" s="12"/>
      <c r="V187" s="12"/>
      <c r="W187" s="12"/>
      <c r="X187" s="12"/>
    </row>
    <row r="188" customFormat="false" ht="15.75" hidden="false" customHeight="false" outlineLevel="0" collapsed="false">
      <c r="A188" s="12"/>
      <c r="B188" s="34"/>
      <c r="C188" s="12"/>
      <c r="D188" s="12"/>
      <c r="E188" s="12"/>
      <c r="F188" s="12"/>
      <c r="G188" s="18"/>
      <c r="H188" s="35"/>
      <c r="I188" s="12"/>
      <c r="M188" s="12"/>
      <c r="N188" s="18"/>
      <c r="O188" s="12"/>
      <c r="P188" s="12"/>
      <c r="Q188" s="12"/>
      <c r="R188" s="36"/>
      <c r="S188" s="36"/>
      <c r="T188" s="12"/>
      <c r="U188" s="12"/>
      <c r="V188" s="12"/>
      <c r="W188" s="12"/>
      <c r="X188" s="12"/>
    </row>
    <row r="189" customFormat="false" ht="15.75" hidden="false" customHeight="false" outlineLevel="0" collapsed="false">
      <c r="A189" s="12"/>
      <c r="B189" s="34"/>
      <c r="C189" s="12"/>
      <c r="D189" s="12"/>
      <c r="E189" s="12"/>
      <c r="F189" s="12"/>
      <c r="G189" s="18"/>
      <c r="H189" s="35"/>
      <c r="I189" s="12"/>
      <c r="M189" s="12"/>
      <c r="N189" s="18"/>
      <c r="O189" s="12"/>
      <c r="P189" s="12"/>
      <c r="Q189" s="12"/>
      <c r="R189" s="36"/>
      <c r="S189" s="36"/>
      <c r="T189" s="12"/>
      <c r="U189" s="12"/>
      <c r="V189" s="12"/>
      <c r="W189" s="12"/>
      <c r="X189" s="12"/>
    </row>
    <row r="190" customFormat="false" ht="15.75" hidden="false" customHeight="false" outlineLevel="0" collapsed="false">
      <c r="A190" s="12"/>
      <c r="B190" s="34"/>
      <c r="C190" s="12"/>
      <c r="D190" s="12"/>
      <c r="E190" s="12"/>
      <c r="F190" s="12"/>
      <c r="G190" s="18"/>
      <c r="H190" s="35"/>
      <c r="I190" s="12"/>
      <c r="M190" s="12"/>
      <c r="N190" s="18"/>
      <c r="O190" s="12"/>
      <c r="P190" s="12"/>
      <c r="Q190" s="12"/>
      <c r="R190" s="36"/>
      <c r="S190" s="36"/>
      <c r="T190" s="12"/>
      <c r="U190" s="12"/>
      <c r="V190" s="12"/>
      <c r="W190" s="12"/>
      <c r="X190" s="12"/>
    </row>
    <row r="191" customFormat="false" ht="15.75" hidden="false" customHeight="false" outlineLevel="0" collapsed="false">
      <c r="A191" s="12"/>
      <c r="B191" s="34"/>
      <c r="C191" s="12"/>
      <c r="D191" s="12"/>
      <c r="E191" s="12"/>
      <c r="F191" s="12"/>
      <c r="G191" s="18"/>
      <c r="H191" s="35"/>
      <c r="I191" s="12"/>
      <c r="M191" s="12"/>
      <c r="N191" s="18"/>
      <c r="O191" s="12"/>
      <c r="P191" s="12"/>
      <c r="Q191" s="12"/>
      <c r="R191" s="36"/>
      <c r="S191" s="36"/>
      <c r="T191" s="12"/>
      <c r="U191" s="12"/>
      <c r="V191" s="12"/>
      <c r="W191" s="12"/>
      <c r="X191" s="12"/>
    </row>
    <row r="192" customFormat="false" ht="15.75" hidden="false" customHeight="false" outlineLevel="0" collapsed="false">
      <c r="A192" s="12"/>
      <c r="B192" s="34"/>
      <c r="C192" s="12"/>
      <c r="D192" s="12"/>
      <c r="E192" s="12"/>
      <c r="F192" s="12"/>
      <c r="G192" s="18"/>
      <c r="H192" s="35"/>
      <c r="I192" s="12"/>
      <c r="M192" s="12"/>
      <c r="N192" s="18"/>
      <c r="O192" s="12"/>
      <c r="P192" s="12"/>
      <c r="Q192" s="12"/>
      <c r="R192" s="36"/>
      <c r="S192" s="36"/>
      <c r="T192" s="12"/>
      <c r="U192" s="12"/>
      <c r="V192" s="12"/>
      <c r="W192" s="12"/>
      <c r="X192" s="12"/>
    </row>
    <row r="193" customFormat="false" ht="15.75" hidden="false" customHeight="false" outlineLevel="0" collapsed="false">
      <c r="A193" s="12"/>
      <c r="B193" s="34"/>
      <c r="C193" s="12"/>
      <c r="D193" s="12"/>
      <c r="E193" s="12"/>
      <c r="F193" s="12"/>
      <c r="G193" s="18"/>
      <c r="H193" s="35"/>
      <c r="I193" s="12"/>
      <c r="M193" s="12"/>
      <c r="N193" s="18"/>
      <c r="O193" s="12"/>
      <c r="P193" s="12"/>
      <c r="Q193" s="12"/>
      <c r="R193" s="36"/>
      <c r="S193" s="36"/>
      <c r="T193" s="12"/>
      <c r="U193" s="12"/>
      <c r="V193" s="12"/>
      <c r="W193" s="12"/>
      <c r="X193" s="12"/>
    </row>
    <row r="194" customFormat="false" ht="15.75" hidden="false" customHeight="false" outlineLevel="0" collapsed="false">
      <c r="A194" s="12"/>
      <c r="B194" s="34"/>
      <c r="C194" s="12"/>
      <c r="D194" s="12"/>
      <c r="E194" s="12"/>
      <c r="F194" s="12"/>
      <c r="G194" s="18"/>
      <c r="H194" s="35"/>
      <c r="I194" s="12"/>
      <c r="M194" s="12"/>
      <c r="N194" s="18"/>
      <c r="O194" s="12"/>
      <c r="P194" s="12"/>
      <c r="Q194" s="12"/>
      <c r="R194" s="36"/>
      <c r="S194" s="36"/>
      <c r="T194" s="12"/>
      <c r="U194" s="12"/>
      <c r="V194" s="12"/>
      <c r="W194" s="12"/>
      <c r="X194" s="12"/>
    </row>
    <row r="195" customFormat="false" ht="15.75" hidden="false" customHeight="false" outlineLevel="0" collapsed="false">
      <c r="A195" s="12"/>
      <c r="B195" s="34"/>
      <c r="C195" s="12"/>
      <c r="D195" s="12"/>
      <c r="E195" s="12"/>
      <c r="F195" s="12"/>
      <c r="G195" s="18"/>
      <c r="H195" s="35"/>
      <c r="I195" s="12"/>
      <c r="M195" s="12"/>
      <c r="N195" s="18"/>
      <c r="O195" s="12"/>
      <c r="P195" s="12"/>
      <c r="Q195" s="12"/>
      <c r="R195" s="36"/>
      <c r="S195" s="36"/>
      <c r="T195" s="12"/>
      <c r="U195" s="12"/>
      <c r="V195" s="12"/>
      <c r="W195" s="12"/>
      <c r="X195" s="12"/>
    </row>
    <row r="196" customFormat="false" ht="15.75" hidden="false" customHeight="false" outlineLevel="0" collapsed="false">
      <c r="A196" s="12"/>
      <c r="B196" s="34"/>
      <c r="C196" s="12"/>
      <c r="D196" s="12"/>
      <c r="E196" s="12"/>
      <c r="F196" s="12"/>
      <c r="G196" s="18"/>
      <c r="H196" s="35"/>
      <c r="I196" s="12"/>
      <c r="M196" s="12"/>
      <c r="N196" s="18"/>
      <c r="O196" s="12"/>
      <c r="P196" s="12"/>
      <c r="Q196" s="12"/>
      <c r="R196" s="36"/>
      <c r="S196" s="36"/>
      <c r="T196" s="12"/>
      <c r="U196" s="12"/>
      <c r="V196" s="12"/>
      <c r="W196" s="12"/>
      <c r="X196" s="12"/>
    </row>
    <row r="197" customFormat="false" ht="15.75" hidden="false" customHeight="false" outlineLevel="0" collapsed="false">
      <c r="A197" s="12"/>
      <c r="B197" s="34"/>
      <c r="C197" s="12"/>
      <c r="D197" s="12"/>
      <c r="E197" s="12"/>
      <c r="F197" s="12"/>
      <c r="G197" s="18"/>
      <c r="H197" s="35"/>
      <c r="I197" s="12"/>
      <c r="M197" s="12"/>
      <c r="N197" s="18"/>
      <c r="O197" s="12"/>
      <c r="P197" s="12"/>
      <c r="Q197" s="12"/>
      <c r="R197" s="36"/>
      <c r="S197" s="36"/>
      <c r="T197" s="12"/>
      <c r="U197" s="12"/>
      <c r="V197" s="12"/>
      <c r="W197" s="12"/>
      <c r="X197" s="12"/>
    </row>
    <row r="198" customFormat="false" ht="15.75" hidden="false" customHeight="false" outlineLevel="0" collapsed="false">
      <c r="A198" s="12"/>
      <c r="B198" s="34"/>
      <c r="C198" s="12"/>
      <c r="D198" s="12"/>
      <c r="E198" s="12"/>
      <c r="F198" s="12"/>
      <c r="G198" s="18"/>
      <c r="H198" s="35"/>
      <c r="I198" s="12"/>
      <c r="M198" s="12"/>
      <c r="N198" s="18"/>
      <c r="O198" s="12"/>
      <c r="P198" s="12"/>
      <c r="Q198" s="12"/>
      <c r="R198" s="36"/>
      <c r="S198" s="36"/>
      <c r="T198" s="12"/>
      <c r="U198" s="12"/>
      <c r="V198" s="12"/>
      <c r="W198" s="12"/>
      <c r="X198" s="12"/>
    </row>
    <row r="199" customFormat="false" ht="15.75" hidden="false" customHeight="false" outlineLevel="0" collapsed="false">
      <c r="A199" s="12"/>
      <c r="B199" s="34"/>
      <c r="C199" s="12"/>
      <c r="D199" s="12"/>
      <c r="E199" s="12"/>
      <c r="F199" s="12"/>
      <c r="G199" s="18"/>
      <c r="H199" s="35"/>
      <c r="I199" s="12"/>
      <c r="M199" s="12"/>
      <c r="N199" s="18"/>
      <c r="O199" s="12"/>
      <c r="P199" s="12"/>
      <c r="Q199" s="12"/>
      <c r="R199" s="36"/>
      <c r="S199" s="36"/>
      <c r="T199" s="12"/>
      <c r="U199" s="12"/>
      <c r="V199" s="12"/>
      <c r="W199" s="12"/>
      <c r="X199" s="12"/>
    </row>
    <row r="200" customFormat="false" ht="15.75" hidden="false" customHeight="false" outlineLevel="0" collapsed="false">
      <c r="A200" s="12"/>
      <c r="B200" s="34"/>
      <c r="C200" s="12"/>
      <c r="D200" s="12"/>
      <c r="E200" s="12"/>
      <c r="F200" s="12"/>
      <c r="G200" s="18"/>
      <c r="H200" s="35"/>
      <c r="I200" s="12"/>
      <c r="M200" s="12"/>
      <c r="N200" s="18"/>
      <c r="O200" s="12"/>
      <c r="P200" s="12"/>
      <c r="Q200" s="12"/>
      <c r="R200" s="36"/>
      <c r="S200" s="36"/>
      <c r="T200" s="12"/>
      <c r="U200" s="12"/>
      <c r="V200" s="12"/>
      <c r="W200" s="12"/>
      <c r="X200" s="12"/>
    </row>
    <row r="201" customFormat="false" ht="15.75" hidden="false" customHeight="false" outlineLevel="0" collapsed="false">
      <c r="A201" s="12"/>
      <c r="B201" s="34"/>
      <c r="C201" s="12"/>
      <c r="D201" s="12"/>
      <c r="E201" s="12"/>
      <c r="F201" s="12"/>
      <c r="G201" s="18"/>
      <c r="H201" s="35"/>
      <c r="I201" s="12"/>
      <c r="M201" s="12"/>
      <c r="N201" s="18"/>
      <c r="O201" s="12"/>
      <c r="P201" s="12"/>
      <c r="Q201" s="12"/>
      <c r="R201" s="36"/>
      <c r="S201" s="36"/>
      <c r="T201" s="12"/>
      <c r="U201" s="12"/>
      <c r="V201" s="12"/>
      <c r="W201" s="12"/>
      <c r="X201" s="12"/>
    </row>
    <row r="202" customFormat="false" ht="15.75" hidden="false" customHeight="false" outlineLevel="0" collapsed="false">
      <c r="A202" s="12"/>
      <c r="B202" s="34"/>
      <c r="C202" s="12"/>
      <c r="D202" s="12"/>
      <c r="E202" s="12"/>
      <c r="F202" s="12"/>
      <c r="G202" s="18"/>
      <c r="H202" s="35"/>
      <c r="I202" s="12"/>
      <c r="M202" s="12"/>
      <c r="N202" s="18"/>
      <c r="O202" s="12"/>
      <c r="P202" s="12"/>
      <c r="Q202" s="12"/>
      <c r="R202" s="36"/>
      <c r="S202" s="36"/>
      <c r="T202" s="12"/>
      <c r="U202" s="12"/>
      <c r="V202" s="12"/>
      <c r="W202" s="12"/>
      <c r="X202" s="12"/>
    </row>
    <row r="203" customFormat="false" ht="15.75" hidden="false" customHeight="false" outlineLevel="0" collapsed="false">
      <c r="A203" s="12"/>
      <c r="B203" s="34"/>
      <c r="C203" s="12"/>
      <c r="D203" s="12"/>
      <c r="E203" s="12"/>
      <c r="F203" s="12"/>
      <c r="G203" s="18"/>
      <c r="H203" s="35"/>
      <c r="I203" s="12"/>
      <c r="M203" s="12"/>
      <c r="N203" s="18"/>
      <c r="O203" s="12"/>
      <c r="P203" s="12"/>
      <c r="Q203" s="12"/>
      <c r="R203" s="36"/>
      <c r="S203" s="36"/>
      <c r="T203" s="12"/>
      <c r="U203" s="12"/>
      <c r="V203" s="12"/>
      <c r="W203" s="12"/>
      <c r="X203" s="12"/>
    </row>
    <row r="204" customFormat="false" ht="15.75" hidden="false" customHeight="false" outlineLevel="0" collapsed="false">
      <c r="A204" s="12"/>
      <c r="B204" s="34"/>
      <c r="C204" s="12"/>
      <c r="D204" s="12"/>
      <c r="E204" s="12"/>
      <c r="F204" s="12"/>
      <c r="G204" s="18"/>
      <c r="H204" s="35"/>
      <c r="I204" s="12"/>
      <c r="M204" s="12"/>
      <c r="N204" s="18"/>
      <c r="O204" s="12"/>
      <c r="P204" s="12"/>
      <c r="Q204" s="12"/>
      <c r="R204" s="36"/>
      <c r="S204" s="36"/>
      <c r="T204" s="12"/>
      <c r="U204" s="12"/>
      <c r="V204" s="12"/>
      <c r="W204" s="12"/>
      <c r="X204" s="12"/>
    </row>
    <row r="205" customFormat="false" ht="15.75" hidden="false" customHeight="false" outlineLevel="0" collapsed="false">
      <c r="A205" s="12"/>
      <c r="B205" s="34"/>
      <c r="C205" s="12"/>
      <c r="D205" s="12"/>
      <c r="E205" s="12"/>
      <c r="F205" s="12"/>
      <c r="G205" s="18"/>
      <c r="H205" s="35"/>
      <c r="I205" s="12"/>
      <c r="M205" s="12"/>
      <c r="N205" s="18"/>
      <c r="O205" s="12"/>
      <c r="P205" s="12"/>
      <c r="Q205" s="12"/>
      <c r="R205" s="36"/>
      <c r="S205" s="36"/>
      <c r="T205" s="12"/>
      <c r="U205" s="12"/>
      <c r="V205" s="12"/>
      <c r="W205" s="12"/>
      <c r="X205" s="12"/>
    </row>
    <row r="206" customFormat="false" ht="15.75" hidden="false" customHeight="false" outlineLevel="0" collapsed="false">
      <c r="A206" s="12"/>
      <c r="B206" s="34"/>
      <c r="C206" s="12"/>
      <c r="D206" s="12"/>
      <c r="E206" s="12"/>
      <c r="F206" s="12"/>
      <c r="G206" s="18"/>
      <c r="H206" s="35"/>
      <c r="I206" s="12"/>
      <c r="M206" s="12"/>
      <c r="N206" s="18"/>
      <c r="O206" s="12"/>
      <c r="P206" s="12"/>
      <c r="Q206" s="12"/>
      <c r="R206" s="36"/>
      <c r="S206" s="36"/>
      <c r="T206" s="12"/>
      <c r="U206" s="12"/>
      <c r="V206" s="12"/>
      <c r="W206" s="12"/>
      <c r="X206" s="12"/>
    </row>
    <row r="207" customFormat="false" ht="15.75" hidden="false" customHeight="false" outlineLevel="0" collapsed="false">
      <c r="A207" s="12"/>
      <c r="B207" s="34"/>
      <c r="C207" s="12"/>
      <c r="D207" s="12"/>
      <c r="E207" s="12"/>
      <c r="F207" s="12"/>
      <c r="G207" s="18"/>
      <c r="H207" s="35"/>
      <c r="I207" s="12"/>
      <c r="M207" s="12"/>
      <c r="N207" s="18"/>
      <c r="O207" s="12"/>
      <c r="P207" s="12"/>
      <c r="Q207" s="12"/>
      <c r="R207" s="36"/>
      <c r="S207" s="36"/>
      <c r="T207" s="12"/>
      <c r="U207" s="12"/>
      <c r="V207" s="12"/>
      <c r="W207" s="12"/>
      <c r="X207" s="12"/>
    </row>
    <row r="208" customFormat="false" ht="15.75" hidden="false" customHeight="false" outlineLevel="0" collapsed="false">
      <c r="A208" s="12"/>
      <c r="B208" s="34"/>
      <c r="C208" s="12"/>
      <c r="D208" s="12"/>
      <c r="E208" s="12"/>
      <c r="F208" s="12"/>
      <c r="G208" s="18"/>
      <c r="H208" s="35"/>
      <c r="I208" s="12"/>
      <c r="M208" s="12"/>
      <c r="N208" s="18"/>
      <c r="O208" s="12"/>
      <c r="P208" s="12"/>
      <c r="Q208" s="12"/>
      <c r="R208" s="36"/>
      <c r="S208" s="36"/>
      <c r="T208" s="12"/>
      <c r="U208" s="12"/>
      <c r="V208" s="12"/>
      <c r="W208" s="12"/>
      <c r="X208" s="12"/>
    </row>
    <row r="209" customFormat="false" ht="15.75" hidden="false" customHeight="false" outlineLevel="0" collapsed="false">
      <c r="A209" s="12"/>
      <c r="B209" s="34"/>
      <c r="C209" s="12"/>
      <c r="D209" s="12"/>
      <c r="E209" s="12"/>
      <c r="F209" s="12"/>
      <c r="G209" s="18"/>
      <c r="H209" s="35"/>
      <c r="I209" s="12"/>
      <c r="M209" s="12"/>
      <c r="N209" s="18"/>
      <c r="O209" s="12"/>
      <c r="P209" s="12"/>
      <c r="Q209" s="12"/>
      <c r="R209" s="36"/>
      <c r="S209" s="36"/>
      <c r="T209" s="12"/>
      <c r="U209" s="12"/>
      <c r="V209" s="12"/>
      <c r="W209" s="12"/>
      <c r="X209" s="12"/>
    </row>
    <row r="210" customFormat="false" ht="15.75" hidden="false" customHeight="false" outlineLevel="0" collapsed="false">
      <c r="A210" s="12"/>
      <c r="B210" s="34"/>
      <c r="C210" s="12"/>
      <c r="D210" s="12"/>
      <c r="E210" s="12"/>
      <c r="F210" s="12"/>
      <c r="G210" s="18"/>
      <c r="H210" s="35"/>
      <c r="I210" s="12"/>
      <c r="M210" s="12"/>
      <c r="N210" s="18"/>
      <c r="O210" s="12"/>
      <c r="P210" s="12"/>
      <c r="Q210" s="12"/>
      <c r="R210" s="36"/>
      <c r="S210" s="36"/>
      <c r="T210" s="12"/>
      <c r="U210" s="12"/>
      <c r="V210" s="12"/>
      <c r="W210" s="12"/>
      <c r="X210" s="12"/>
    </row>
    <row r="211" customFormat="false" ht="15.75" hidden="false" customHeight="false" outlineLevel="0" collapsed="false">
      <c r="A211" s="12"/>
      <c r="B211" s="34"/>
      <c r="C211" s="12"/>
      <c r="D211" s="12"/>
      <c r="E211" s="12"/>
      <c r="F211" s="12"/>
      <c r="G211" s="18"/>
      <c r="H211" s="35"/>
      <c r="I211" s="12"/>
      <c r="M211" s="12"/>
      <c r="N211" s="18"/>
      <c r="O211" s="12"/>
      <c r="P211" s="12"/>
      <c r="Q211" s="12"/>
      <c r="R211" s="36"/>
      <c r="S211" s="36"/>
      <c r="T211" s="12"/>
      <c r="U211" s="12"/>
      <c r="V211" s="12"/>
      <c r="W211" s="12"/>
      <c r="X211" s="12"/>
    </row>
    <row r="212" customFormat="false" ht="15.75" hidden="false" customHeight="false" outlineLevel="0" collapsed="false">
      <c r="A212" s="12"/>
      <c r="B212" s="34"/>
      <c r="C212" s="12"/>
      <c r="D212" s="12"/>
      <c r="E212" s="12"/>
      <c r="F212" s="12"/>
      <c r="G212" s="18"/>
      <c r="H212" s="35"/>
      <c r="I212" s="12"/>
      <c r="M212" s="12"/>
      <c r="N212" s="18"/>
      <c r="O212" s="12"/>
      <c r="P212" s="12"/>
      <c r="Q212" s="12"/>
      <c r="R212" s="36"/>
      <c r="S212" s="36"/>
      <c r="T212" s="12"/>
      <c r="U212" s="12"/>
      <c r="V212" s="12"/>
      <c r="W212" s="12"/>
      <c r="X212" s="12"/>
    </row>
    <row r="213" customFormat="false" ht="15.75" hidden="false" customHeight="false" outlineLevel="0" collapsed="false">
      <c r="A213" s="12"/>
      <c r="B213" s="34"/>
      <c r="C213" s="12"/>
      <c r="D213" s="12"/>
      <c r="E213" s="12"/>
      <c r="F213" s="12"/>
      <c r="G213" s="18"/>
      <c r="H213" s="35"/>
      <c r="I213" s="12"/>
      <c r="M213" s="12"/>
      <c r="N213" s="18"/>
      <c r="O213" s="12"/>
      <c r="P213" s="12"/>
      <c r="Q213" s="12"/>
      <c r="R213" s="36"/>
      <c r="S213" s="36"/>
      <c r="T213" s="12"/>
      <c r="U213" s="12"/>
      <c r="V213" s="12"/>
      <c r="W213" s="12"/>
      <c r="X213" s="12"/>
    </row>
    <row r="214" customFormat="false" ht="15.75" hidden="false" customHeight="false" outlineLevel="0" collapsed="false">
      <c r="A214" s="12"/>
      <c r="B214" s="34"/>
      <c r="C214" s="12"/>
      <c r="D214" s="12"/>
      <c r="E214" s="12"/>
      <c r="F214" s="12"/>
      <c r="G214" s="18"/>
      <c r="H214" s="35"/>
      <c r="I214" s="12"/>
      <c r="M214" s="12"/>
      <c r="N214" s="18"/>
      <c r="O214" s="12"/>
      <c r="P214" s="12"/>
      <c r="Q214" s="12"/>
      <c r="R214" s="36"/>
      <c r="S214" s="36"/>
      <c r="T214" s="12"/>
      <c r="U214" s="12"/>
      <c r="V214" s="12"/>
      <c r="W214" s="12"/>
      <c r="X214" s="12"/>
    </row>
    <row r="215" customFormat="false" ht="15.75" hidden="false" customHeight="false" outlineLevel="0" collapsed="false">
      <c r="A215" s="12"/>
      <c r="B215" s="34"/>
      <c r="C215" s="12"/>
      <c r="D215" s="12"/>
      <c r="E215" s="12"/>
      <c r="F215" s="12"/>
      <c r="G215" s="18"/>
      <c r="H215" s="35"/>
      <c r="I215" s="12"/>
      <c r="M215" s="12"/>
      <c r="N215" s="18"/>
      <c r="O215" s="12"/>
      <c r="P215" s="12"/>
      <c r="Q215" s="12"/>
      <c r="R215" s="36"/>
      <c r="S215" s="36"/>
      <c r="T215" s="12"/>
      <c r="U215" s="12"/>
      <c r="V215" s="12"/>
      <c r="W215" s="12"/>
      <c r="X215" s="12"/>
    </row>
    <row r="216" customFormat="false" ht="15.75" hidden="false" customHeight="false" outlineLevel="0" collapsed="false">
      <c r="A216" s="12"/>
      <c r="B216" s="34"/>
      <c r="C216" s="12"/>
      <c r="D216" s="12"/>
      <c r="E216" s="12"/>
      <c r="F216" s="12"/>
      <c r="G216" s="18"/>
      <c r="H216" s="35"/>
      <c r="I216" s="12"/>
      <c r="M216" s="12"/>
      <c r="N216" s="18"/>
      <c r="O216" s="12"/>
      <c r="P216" s="12"/>
      <c r="Q216" s="12"/>
      <c r="R216" s="36"/>
      <c r="S216" s="36"/>
      <c r="T216" s="12"/>
      <c r="U216" s="12"/>
      <c r="V216" s="12"/>
      <c r="W216" s="12"/>
      <c r="X216" s="12"/>
    </row>
    <row r="217" customFormat="false" ht="15.75" hidden="false" customHeight="false" outlineLevel="0" collapsed="false">
      <c r="A217" s="12"/>
      <c r="B217" s="34"/>
      <c r="C217" s="12"/>
      <c r="D217" s="12"/>
      <c r="E217" s="12"/>
      <c r="F217" s="12"/>
      <c r="G217" s="18"/>
      <c r="H217" s="35"/>
      <c r="I217" s="12"/>
      <c r="M217" s="12"/>
      <c r="N217" s="18"/>
      <c r="O217" s="12"/>
      <c r="P217" s="12"/>
      <c r="Q217" s="12"/>
      <c r="R217" s="36"/>
      <c r="S217" s="36"/>
      <c r="T217" s="12"/>
      <c r="U217" s="12"/>
      <c r="V217" s="12"/>
      <c r="W217" s="12"/>
      <c r="X217" s="12"/>
    </row>
    <row r="218" customFormat="false" ht="15.75" hidden="false" customHeight="false" outlineLevel="0" collapsed="false">
      <c r="A218" s="12"/>
      <c r="B218" s="34"/>
      <c r="C218" s="12"/>
      <c r="D218" s="12"/>
      <c r="E218" s="12"/>
      <c r="F218" s="12"/>
      <c r="G218" s="18"/>
      <c r="H218" s="35"/>
      <c r="I218" s="12"/>
      <c r="M218" s="12"/>
      <c r="N218" s="18"/>
      <c r="O218" s="12"/>
      <c r="P218" s="12"/>
      <c r="Q218" s="12"/>
      <c r="R218" s="36"/>
      <c r="S218" s="36"/>
      <c r="T218" s="12"/>
      <c r="U218" s="12"/>
      <c r="V218" s="12"/>
      <c r="W218" s="12"/>
      <c r="X218" s="12"/>
    </row>
    <row r="219" customFormat="false" ht="15.75" hidden="false" customHeight="false" outlineLevel="0" collapsed="false">
      <c r="A219" s="12"/>
      <c r="B219" s="34"/>
      <c r="C219" s="12"/>
      <c r="D219" s="12"/>
      <c r="E219" s="12"/>
      <c r="F219" s="12"/>
      <c r="G219" s="18"/>
      <c r="H219" s="35"/>
      <c r="I219" s="12"/>
      <c r="M219" s="12"/>
      <c r="N219" s="18"/>
      <c r="O219" s="12"/>
      <c r="P219" s="12"/>
      <c r="Q219" s="12"/>
      <c r="R219" s="36"/>
      <c r="S219" s="36"/>
      <c r="T219" s="12"/>
      <c r="U219" s="12"/>
      <c r="V219" s="12"/>
      <c r="W219" s="12"/>
      <c r="X219" s="12"/>
    </row>
    <row r="220" customFormat="false" ht="15.75" hidden="false" customHeight="false" outlineLevel="0" collapsed="false">
      <c r="A220" s="12"/>
      <c r="B220" s="34"/>
      <c r="C220" s="12"/>
      <c r="D220" s="12"/>
      <c r="E220" s="12"/>
      <c r="F220" s="12"/>
      <c r="G220" s="18"/>
      <c r="H220" s="35"/>
      <c r="I220" s="12"/>
      <c r="M220" s="12"/>
      <c r="N220" s="18"/>
      <c r="O220" s="12"/>
      <c r="P220" s="12"/>
      <c r="Q220" s="12"/>
      <c r="R220" s="36"/>
      <c r="S220" s="36"/>
      <c r="T220" s="12"/>
      <c r="U220" s="12"/>
      <c r="V220" s="12"/>
      <c r="W220" s="12"/>
      <c r="X220" s="12"/>
    </row>
    <row r="221" customFormat="false" ht="15.75" hidden="false" customHeight="false" outlineLevel="0" collapsed="false">
      <c r="A221" s="12"/>
      <c r="B221" s="34"/>
      <c r="C221" s="12"/>
      <c r="D221" s="12"/>
      <c r="E221" s="12"/>
      <c r="F221" s="12"/>
      <c r="G221" s="18"/>
      <c r="H221" s="35"/>
      <c r="I221" s="12"/>
      <c r="M221" s="12"/>
      <c r="N221" s="18"/>
      <c r="O221" s="12"/>
      <c r="P221" s="12"/>
      <c r="Q221" s="12"/>
      <c r="R221" s="36"/>
      <c r="S221" s="36"/>
      <c r="T221" s="12"/>
      <c r="U221" s="12"/>
      <c r="V221" s="12"/>
      <c r="W221" s="12"/>
      <c r="X221" s="12"/>
    </row>
    <row r="222" customFormat="false" ht="15.75" hidden="false" customHeight="false" outlineLevel="0" collapsed="false">
      <c r="A222" s="12"/>
      <c r="B222" s="34"/>
      <c r="C222" s="12"/>
      <c r="D222" s="12"/>
      <c r="E222" s="12"/>
      <c r="F222" s="12"/>
      <c r="G222" s="18"/>
      <c r="H222" s="35"/>
      <c r="I222" s="12"/>
      <c r="M222" s="12"/>
      <c r="N222" s="18"/>
      <c r="O222" s="12"/>
      <c r="P222" s="12"/>
      <c r="Q222" s="12"/>
      <c r="R222" s="36"/>
      <c r="S222" s="36"/>
      <c r="T222" s="12"/>
      <c r="U222" s="12"/>
      <c r="V222" s="12"/>
      <c r="W222" s="12"/>
      <c r="X222" s="12"/>
    </row>
    <row r="223" customFormat="false" ht="15.75" hidden="false" customHeight="false" outlineLevel="0" collapsed="false">
      <c r="A223" s="12"/>
      <c r="B223" s="34"/>
      <c r="C223" s="12"/>
      <c r="D223" s="12"/>
      <c r="E223" s="12"/>
      <c r="F223" s="12"/>
      <c r="G223" s="18"/>
      <c r="H223" s="35"/>
      <c r="I223" s="12"/>
      <c r="M223" s="12"/>
      <c r="N223" s="18"/>
      <c r="O223" s="12"/>
      <c r="P223" s="12"/>
      <c r="Q223" s="12"/>
      <c r="R223" s="36"/>
      <c r="S223" s="36"/>
      <c r="T223" s="12"/>
      <c r="U223" s="12"/>
      <c r="V223" s="12"/>
      <c r="W223" s="12"/>
      <c r="X223" s="12"/>
    </row>
    <row r="224" customFormat="false" ht="15.75" hidden="false" customHeight="false" outlineLevel="0" collapsed="false">
      <c r="A224" s="12"/>
      <c r="B224" s="34"/>
      <c r="C224" s="12"/>
      <c r="D224" s="12"/>
      <c r="E224" s="12"/>
      <c r="F224" s="12"/>
      <c r="G224" s="18"/>
      <c r="H224" s="35"/>
      <c r="I224" s="12"/>
      <c r="M224" s="12"/>
      <c r="N224" s="18"/>
      <c r="O224" s="12"/>
      <c r="P224" s="12"/>
      <c r="Q224" s="12"/>
      <c r="R224" s="36"/>
      <c r="S224" s="36"/>
      <c r="T224" s="12"/>
      <c r="U224" s="12"/>
      <c r="V224" s="12"/>
      <c r="W224" s="12"/>
      <c r="X224" s="12"/>
    </row>
    <row r="225" customFormat="false" ht="15.75" hidden="false" customHeight="false" outlineLevel="0" collapsed="false">
      <c r="A225" s="12"/>
      <c r="B225" s="34"/>
      <c r="C225" s="12"/>
      <c r="D225" s="12"/>
      <c r="E225" s="12"/>
      <c r="F225" s="12"/>
      <c r="G225" s="18"/>
      <c r="H225" s="35"/>
      <c r="I225" s="12"/>
      <c r="M225" s="12"/>
      <c r="N225" s="18"/>
      <c r="O225" s="12"/>
      <c r="P225" s="12"/>
      <c r="Q225" s="12"/>
      <c r="R225" s="36"/>
      <c r="S225" s="36"/>
      <c r="T225" s="12"/>
      <c r="U225" s="12"/>
      <c r="V225" s="12"/>
      <c r="W225" s="12"/>
      <c r="X225" s="12"/>
    </row>
    <row r="226" customFormat="false" ht="15.75" hidden="false" customHeight="false" outlineLevel="0" collapsed="false">
      <c r="A226" s="12"/>
      <c r="B226" s="34"/>
      <c r="C226" s="12"/>
      <c r="D226" s="12"/>
      <c r="E226" s="12"/>
      <c r="F226" s="12"/>
      <c r="G226" s="18"/>
      <c r="H226" s="35"/>
      <c r="I226" s="12"/>
      <c r="M226" s="12"/>
      <c r="N226" s="18"/>
      <c r="O226" s="12"/>
      <c r="P226" s="12"/>
      <c r="Q226" s="12"/>
      <c r="R226" s="36"/>
      <c r="S226" s="36"/>
      <c r="T226" s="12"/>
      <c r="U226" s="12"/>
      <c r="V226" s="12"/>
      <c r="W226" s="12"/>
      <c r="X226" s="12"/>
    </row>
    <row r="227" customFormat="false" ht="15.75" hidden="false" customHeight="false" outlineLevel="0" collapsed="false">
      <c r="A227" s="12"/>
      <c r="B227" s="34"/>
      <c r="C227" s="12"/>
      <c r="D227" s="12"/>
      <c r="E227" s="12"/>
      <c r="F227" s="12"/>
      <c r="G227" s="18"/>
      <c r="H227" s="35"/>
      <c r="I227" s="12"/>
      <c r="M227" s="12"/>
      <c r="N227" s="18"/>
      <c r="O227" s="12"/>
      <c r="P227" s="12"/>
      <c r="Q227" s="12"/>
      <c r="R227" s="36"/>
      <c r="S227" s="36"/>
      <c r="T227" s="12"/>
      <c r="U227" s="12"/>
      <c r="V227" s="12"/>
      <c r="W227" s="12"/>
      <c r="X227" s="12"/>
    </row>
    <row r="228" customFormat="false" ht="15.75" hidden="false" customHeight="false" outlineLevel="0" collapsed="false">
      <c r="A228" s="12"/>
      <c r="B228" s="34"/>
      <c r="C228" s="12"/>
      <c r="D228" s="12"/>
      <c r="E228" s="12"/>
      <c r="F228" s="12"/>
      <c r="G228" s="18"/>
      <c r="H228" s="35"/>
      <c r="I228" s="12"/>
      <c r="M228" s="12"/>
      <c r="N228" s="18"/>
      <c r="O228" s="12"/>
      <c r="P228" s="12"/>
      <c r="Q228" s="12"/>
      <c r="R228" s="36"/>
      <c r="S228" s="36"/>
      <c r="T228" s="12"/>
      <c r="U228" s="12"/>
      <c r="V228" s="12"/>
      <c r="W228" s="12"/>
      <c r="X228" s="12"/>
    </row>
    <row r="229" customFormat="false" ht="15.75" hidden="false" customHeight="false" outlineLevel="0" collapsed="false">
      <c r="A229" s="12"/>
      <c r="B229" s="34"/>
      <c r="C229" s="12"/>
      <c r="D229" s="12"/>
      <c r="E229" s="12"/>
      <c r="F229" s="12"/>
      <c r="G229" s="18"/>
      <c r="H229" s="35"/>
      <c r="I229" s="12"/>
      <c r="M229" s="12"/>
      <c r="N229" s="18"/>
      <c r="O229" s="12"/>
      <c r="P229" s="12"/>
      <c r="Q229" s="12"/>
      <c r="R229" s="36"/>
      <c r="S229" s="36"/>
      <c r="T229" s="12"/>
      <c r="U229" s="12"/>
      <c r="V229" s="12"/>
      <c r="W229" s="12"/>
      <c r="X229" s="12"/>
    </row>
    <row r="230" customFormat="false" ht="15.75" hidden="false" customHeight="false" outlineLevel="0" collapsed="false">
      <c r="A230" s="12"/>
      <c r="B230" s="34"/>
      <c r="C230" s="12"/>
      <c r="D230" s="12"/>
      <c r="E230" s="12"/>
      <c r="F230" s="12"/>
      <c r="G230" s="18"/>
      <c r="H230" s="35"/>
      <c r="I230" s="12"/>
      <c r="M230" s="12"/>
      <c r="N230" s="18"/>
      <c r="O230" s="12"/>
      <c r="P230" s="12"/>
      <c r="Q230" s="12"/>
      <c r="R230" s="36"/>
      <c r="S230" s="36"/>
      <c r="T230" s="12"/>
      <c r="U230" s="12"/>
      <c r="V230" s="12"/>
      <c r="W230" s="12"/>
      <c r="X230" s="12"/>
    </row>
    <row r="231" customFormat="false" ht="15.75" hidden="false" customHeight="false" outlineLevel="0" collapsed="false">
      <c r="A231" s="12"/>
      <c r="B231" s="34"/>
      <c r="C231" s="12"/>
      <c r="D231" s="12"/>
      <c r="E231" s="12"/>
      <c r="F231" s="12"/>
      <c r="G231" s="18"/>
      <c r="H231" s="35"/>
      <c r="I231" s="12"/>
      <c r="M231" s="12"/>
      <c r="N231" s="18"/>
      <c r="O231" s="12"/>
      <c r="P231" s="12"/>
      <c r="Q231" s="12"/>
      <c r="R231" s="36"/>
      <c r="S231" s="36"/>
      <c r="T231" s="12"/>
      <c r="U231" s="12"/>
      <c r="V231" s="12"/>
      <c r="W231" s="12"/>
      <c r="X231" s="12"/>
    </row>
    <row r="232" customFormat="false" ht="15.75" hidden="false" customHeight="false" outlineLevel="0" collapsed="false">
      <c r="A232" s="12"/>
      <c r="B232" s="34"/>
      <c r="C232" s="12"/>
      <c r="D232" s="12"/>
      <c r="E232" s="12"/>
      <c r="F232" s="12"/>
      <c r="G232" s="18"/>
      <c r="H232" s="35"/>
      <c r="I232" s="12"/>
      <c r="M232" s="12"/>
      <c r="N232" s="18"/>
      <c r="O232" s="12"/>
      <c r="P232" s="12"/>
      <c r="Q232" s="12"/>
      <c r="R232" s="36"/>
      <c r="S232" s="36"/>
      <c r="T232" s="12"/>
      <c r="U232" s="12"/>
      <c r="V232" s="12"/>
      <c r="W232" s="12"/>
      <c r="X232" s="12"/>
    </row>
    <row r="233" customFormat="false" ht="15.75" hidden="false" customHeight="false" outlineLevel="0" collapsed="false">
      <c r="A233" s="12"/>
      <c r="B233" s="34"/>
      <c r="C233" s="12"/>
      <c r="D233" s="12"/>
      <c r="E233" s="12"/>
      <c r="F233" s="12"/>
      <c r="G233" s="18"/>
      <c r="H233" s="35"/>
      <c r="I233" s="12"/>
      <c r="M233" s="12"/>
      <c r="N233" s="18"/>
      <c r="O233" s="12"/>
      <c r="P233" s="12"/>
      <c r="Q233" s="12"/>
      <c r="R233" s="36"/>
      <c r="S233" s="36"/>
      <c r="T233" s="12"/>
      <c r="U233" s="12"/>
      <c r="V233" s="12"/>
      <c r="W233" s="12"/>
      <c r="X233" s="12"/>
    </row>
    <row r="234" customFormat="false" ht="15.75" hidden="false" customHeight="false" outlineLevel="0" collapsed="false">
      <c r="A234" s="12"/>
      <c r="B234" s="34"/>
      <c r="C234" s="12"/>
      <c r="D234" s="12"/>
      <c r="E234" s="12"/>
      <c r="F234" s="12"/>
      <c r="G234" s="18"/>
      <c r="H234" s="35"/>
      <c r="I234" s="12"/>
      <c r="M234" s="12"/>
      <c r="N234" s="18"/>
      <c r="O234" s="12"/>
      <c r="P234" s="12"/>
      <c r="Q234" s="12"/>
      <c r="R234" s="36"/>
      <c r="S234" s="36"/>
      <c r="T234" s="12"/>
      <c r="U234" s="12"/>
      <c r="V234" s="12"/>
      <c r="W234" s="12"/>
      <c r="X234" s="12"/>
    </row>
    <row r="235" customFormat="false" ht="15.75" hidden="false" customHeight="false" outlineLevel="0" collapsed="false">
      <c r="A235" s="12"/>
      <c r="B235" s="34"/>
      <c r="C235" s="12"/>
      <c r="D235" s="12"/>
      <c r="E235" s="12"/>
      <c r="F235" s="12"/>
      <c r="G235" s="18"/>
      <c r="H235" s="35"/>
      <c r="I235" s="12"/>
      <c r="M235" s="12"/>
      <c r="N235" s="18"/>
      <c r="O235" s="12"/>
      <c r="P235" s="12"/>
      <c r="Q235" s="12"/>
      <c r="R235" s="36"/>
      <c r="S235" s="36"/>
      <c r="T235" s="12"/>
      <c r="U235" s="12"/>
      <c r="V235" s="12"/>
      <c r="W235" s="12"/>
      <c r="X235" s="12"/>
    </row>
    <row r="236" customFormat="false" ht="15.75" hidden="false" customHeight="false" outlineLevel="0" collapsed="false">
      <c r="A236" s="12"/>
      <c r="B236" s="34"/>
      <c r="C236" s="12"/>
      <c r="D236" s="12"/>
      <c r="E236" s="12"/>
      <c r="F236" s="12"/>
      <c r="G236" s="18"/>
      <c r="H236" s="35"/>
      <c r="I236" s="12"/>
      <c r="M236" s="12"/>
      <c r="N236" s="18"/>
      <c r="O236" s="12"/>
      <c r="P236" s="12"/>
      <c r="Q236" s="12"/>
      <c r="R236" s="36"/>
      <c r="S236" s="36"/>
      <c r="T236" s="12"/>
      <c r="U236" s="12"/>
      <c r="V236" s="12"/>
      <c r="W236" s="12"/>
      <c r="X236" s="12"/>
    </row>
    <row r="237" customFormat="false" ht="15.75" hidden="false" customHeight="false" outlineLevel="0" collapsed="false">
      <c r="A237" s="12"/>
      <c r="B237" s="34"/>
      <c r="C237" s="12"/>
      <c r="D237" s="12"/>
      <c r="E237" s="12"/>
      <c r="F237" s="12"/>
      <c r="G237" s="18"/>
      <c r="H237" s="35"/>
      <c r="I237" s="12"/>
      <c r="M237" s="12"/>
      <c r="N237" s="18"/>
      <c r="O237" s="12"/>
      <c r="P237" s="12"/>
      <c r="Q237" s="12"/>
      <c r="R237" s="36"/>
      <c r="S237" s="36"/>
      <c r="T237" s="12"/>
      <c r="U237" s="12"/>
      <c r="V237" s="12"/>
      <c r="W237" s="12"/>
      <c r="X237" s="12"/>
    </row>
    <row r="238" customFormat="false" ht="15.75" hidden="false" customHeight="false" outlineLevel="0" collapsed="false">
      <c r="A238" s="12"/>
      <c r="B238" s="34"/>
      <c r="C238" s="12"/>
      <c r="D238" s="12"/>
      <c r="E238" s="12"/>
      <c r="F238" s="12"/>
      <c r="G238" s="18"/>
      <c r="H238" s="35"/>
      <c r="I238" s="12"/>
      <c r="M238" s="12"/>
      <c r="N238" s="18"/>
      <c r="O238" s="12"/>
      <c r="P238" s="12"/>
      <c r="Q238" s="12"/>
      <c r="R238" s="36"/>
      <c r="S238" s="36"/>
      <c r="T238" s="12"/>
      <c r="U238" s="12"/>
      <c r="V238" s="12"/>
      <c r="W238" s="12"/>
      <c r="X238" s="12"/>
    </row>
    <row r="239" customFormat="false" ht="15.75" hidden="false" customHeight="false" outlineLevel="0" collapsed="false">
      <c r="A239" s="12"/>
      <c r="B239" s="34"/>
      <c r="C239" s="12"/>
      <c r="D239" s="12"/>
      <c r="E239" s="12"/>
      <c r="F239" s="12"/>
      <c r="G239" s="18"/>
      <c r="H239" s="35"/>
      <c r="I239" s="12"/>
      <c r="M239" s="12"/>
      <c r="N239" s="18"/>
      <c r="O239" s="12"/>
      <c r="P239" s="12"/>
      <c r="Q239" s="12"/>
      <c r="R239" s="36"/>
      <c r="S239" s="36"/>
      <c r="T239" s="12"/>
      <c r="U239" s="12"/>
      <c r="V239" s="12"/>
      <c r="W239" s="12"/>
      <c r="X239" s="12"/>
    </row>
    <row r="240" customFormat="false" ht="15.75" hidden="false" customHeight="false" outlineLevel="0" collapsed="false">
      <c r="A240" s="12"/>
      <c r="B240" s="34"/>
      <c r="C240" s="12"/>
      <c r="D240" s="12"/>
      <c r="E240" s="12"/>
      <c r="F240" s="12"/>
      <c r="G240" s="18"/>
      <c r="H240" s="35"/>
      <c r="I240" s="12"/>
      <c r="M240" s="12"/>
      <c r="N240" s="18"/>
      <c r="O240" s="12"/>
      <c r="P240" s="12"/>
      <c r="Q240" s="12"/>
      <c r="R240" s="36"/>
      <c r="S240" s="36"/>
      <c r="T240" s="12"/>
      <c r="U240" s="12"/>
      <c r="V240" s="12"/>
      <c r="W240" s="12"/>
      <c r="X240" s="12"/>
    </row>
    <row r="241" customFormat="false" ht="15.75" hidden="false" customHeight="false" outlineLevel="0" collapsed="false">
      <c r="A241" s="12"/>
      <c r="B241" s="34"/>
      <c r="C241" s="12"/>
      <c r="D241" s="12"/>
      <c r="E241" s="12"/>
      <c r="F241" s="12"/>
      <c r="G241" s="18"/>
      <c r="H241" s="35"/>
      <c r="I241" s="12"/>
      <c r="M241" s="12"/>
      <c r="N241" s="18"/>
      <c r="O241" s="12"/>
      <c r="P241" s="12"/>
      <c r="Q241" s="12"/>
      <c r="R241" s="36"/>
      <c r="S241" s="36"/>
      <c r="T241" s="12"/>
      <c r="U241" s="12"/>
      <c r="V241" s="12"/>
      <c r="W241" s="12"/>
      <c r="X241" s="12"/>
    </row>
    <row r="242" customFormat="false" ht="15.75" hidden="false" customHeight="false" outlineLevel="0" collapsed="false">
      <c r="A242" s="12"/>
      <c r="B242" s="34"/>
      <c r="C242" s="12"/>
      <c r="D242" s="12"/>
      <c r="E242" s="12"/>
      <c r="F242" s="12"/>
      <c r="G242" s="18"/>
      <c r="H242" s="35"/>
      <c r="I242" s="12"/>
      <c r="M242" s="12"/>
      <c r="N242" s="18"/>
      <c r="O242" s="12"/>
      <c r="P242" s="12"/>
      <c r="Q242" s="12"/>
      <c r="R242" s="36"/>
      <c r="S242" s="36"/>
      <c r="T242" s="12"/>
      <c r="U242" s="12"/>
      <c r="V242" s="12"/>
      <c r="W242" s="12"/>
      <c r="X242" s="12"/>
    </row>
    <row r="243" customFormat="false" ht="15.75" hidden="false" customHeight="false" outlineLevel="0" collapsed="false">
      <c r="A243" s="12"/>
      <c r="B243" s="34"/>
      <c r="C243" s="12"/>
      <c r="D243" s="12"/>
      <c r="E243" s="12"/>
      <c r="F243" s="12"/>
      <c r="G243" s="18"/>
      <c r="H243" s="35"/>
      <c r="I243" s="12"/>
      <c r="M243" s="12"/>
      <c r="N243" s="18"/>
      <c r="O243" s="12"/>
      <c r="P243" s="12"/>
      <c r="Q243" s="12"/>
      <c r="R243" s="36"/>
      <c r="S243" s="36"/>
      <c r="T243" s="12"/>
      <c r="U243" s="12"/>
      <c r="V243" s="12"/>
      <c r="W243" s="12"/>
      <c r="X243" s="12"/>
    </row>
    <row r="244" customFormat="false" ht="15.75" hidden="false" customHeight="false" outlineLevel="0" collapsed="false">
      <c r="A244" s="12"/>
      <c r="B244" s="34"/>
      <c r="C244" s="12"/>
      <c r="D244" s="12"/>
      <c r="E244" s="12"/>
      <c r="F244" s="12"/>
      <c r="G244" s="18"/>
      <c r="H244" s="35"/>
      <c r="I244" s="12"/>
      <c r="M244" s="12"/>
      <c r="N244" s="18"/>
      <c r="O244" s="12"/>
      <c r="P244" s="12"/>
      <c r="Q244" s="12"/>
      <c r="R244" s="36"/>
      <c r="S244" s="36"/>
      <c r="T244" s="12"/>
      <c r="U244" s="12"/>
      <c r="V244" s="12"/>
      <c r="W244" s="12"/>
      <c r="X244" s="12"/>
    </row>
    <row r="245" customFormat="false" ht="15.75" hidden="false" customHeight="false" outlineLevel="0" collapsed="false">
      <c r="A245" s="12"/>
      <c r="B245" s="34"/>
      <c r="C245" s="12"/>
      <c r="D245" s="12"/>
      <c r="E245" s="12"/>
      <c r="F245" s="12"/>
      <c r="G245" s="18"/>
      <c r="H245" s="35"/>
      <c r="I245" s="12"/>
      <c r="M245" s="12"/>
      <c r="N245" s="18"/>
      <c r="O245" s="12"/>
      <c r="P245" s="12"/>
      <c r="Q245" s="12"/>
      <c r="R245" s="36"/>
      <c r="S245" s="36"/>
      <c r="T245" s="12"/>
      <c r="U245" s="12"/>
      <c r="V245" s="12"/>
      <c r="W245" s="12"/>
      <c r="X245" s="12"/>
    </row>
    <row r="246" customFormat="false" ht="15.75" hidden="false" customHeight="false" outlineLevel="0" collapsed="false">
      <c r="A246" s="12"/>
      <c r="B246" s="34"/>
      <c r="C246" s="12"/>
      <c r="D246" s="12"/>
      <c r="E246" s="12"/>
      <c r="F246" s="12"/>
      <c r="G246" s="18"/>
      <c r="H246" s="35"/>
      <c r="I246" s="12"/>
      <c r="M246" s="12"/>
      <c r="N246" s="18"/>
      <c r="O246" s="12"/>
      <c r="P246" s="12"/>
      <c r="Q246" s="12"/>
      <c r="R246" s="36"/>
      <c r="S246" s="36"/>
      <c r="T246" s="12"/>
      <c r="U246" s="12"/>
      <c r="V246" s="12"/>
      <c r="W246" s="12"/>
      <c r="X246" s="12"/>
    </row>
    <row r="247" customFormat="false" ht="15.75" hidden="false" customHeight="false" outlineLevel="0" collapsed="false">
      <c r="A247" s="12"/>
      <c r="B247" s="34"/>
      <c r="C247" s="12"/>
      <c r="D247" s="12"/>
      <c r="E247" s="12"/>
      <c r="F247" s="12"/>
      <c r="G247" s="18"/>
      <c r="H247" s="35"/>
      <c r="I247" s="12"/>
      <c r="M247" s="12"/>
      <c r="N247" s="18"/>
      <c r="O247" s="12"/>
      <c r="P247" s="12"/>
      <c r="Q247" s="12"/>
      <c r="R247" s="36"/>
      <c r="S247" s="36"/>
      <c r="T247" s="12"/>
      <c r="U247" s="12"/>
      <c r="V247" s="12"/>
      <c r="W247" s="12"/>
      <c r="X247" s="12"/>
    </row>
    <row r="248" customFormat="false" ht="15.75" hidden="false" customHeight="false" outlineLevel="0" collapsed="false">
      <c r="A248" s="12"/>
      <c r="B248" s="34"/>
      <c r="C248" s="12"/>
      <c r="D248" s="12"/>
      <c r="E248" s="12"/>
      <c r="F248" s="12"/>
      <c r="G248" s="18"/>
      <c r="H248" s="35"/>
      <c r="I248" s="12"/>
      <c r="M248" s="12"/>
      <c r="N248" s="18"/>
      <c r="O248" s="12"/>
      <c r="P248" s="12"/>
      <c r="Q248" s="12"/>
      <c r="R248" s="36"/>
      <c r="S248" s="36"/>
      <c r="T248" s="12"/>
      <c r="U248" s="12"/>
      <c r="V248" s="12"/>
      <c r="W248" s="12"/>
      <c r="X248" s="12"/>
    </row>
    <row r="249" customFormat="false" ht="15.75" hidden="false" customHeight="false" outlineLevel="0" collapsed="false">
      <c r="A249" s="12"/>
      <c r="B249" s="34"/>
      <c r="C249" s="12"/>
      <c r="D249" s="12"/>
      <c r="E249" s="12"/>
      <c r="F249" s="12"/>
      <c r="G249" s="18"/>
      <c r="H249" s="35"/>
      <c r="I249" s="12"/>
      <c r="M249" s="12"/>
      <c r="N249" s="18"/>
      <c r="O249" s="12"/>
      <c r="P249" s="12"/>
      <c r="Q249" s="12"/>
      <c r="R249" s="36"/>
      <c r="S249" s="36"/>
      <c r="T249" s="12"/>
      <c r="U249" s="12"/>
      <c r="V249" s="12"/>
      <c r="W249" s="12"/>
      <c r="X249" s="12"/>
    </row>
    <row r="250" customFormat="false" ht="15.75" hidden="false" customHeight="false" outlineLevel="0" collapsed="false">
      <c r="A250" s="12"/>
      <c r="B250" s="34"/>
      <c r="C250" s="12"/>
      <c r="D250" s="12"/>
      <c r="E250" s="12"/>
      <c r="F250" s="12"/>
      <c r="G250" s="18"/>
      <c r="H250" s="35"/>
      <c r="I250" s="12"/>
      <c r="M250" s="12"/>
      <c r="N250" s="18"/>
      <c r="O250" s="12"/>
      <c r="P250" s="12"/>
      <c r="Q250" s="12"/>
      <c r="R250" s="36"/>
      <c r="S250" s="36"/>
      <c r="T250" s="12"/>
      <c r="U250" s="12"/>
      <c r="V250" s="12"/>
      <c r="W250" s="12"/>
      <c r="X250" s="12"/>
    </row>
    <row r="251" customFormat="false" ht="15.75" hidden="false" customHeight="false" outlineLevel="0" collapsed="false">
      <c r="A251" s="12"/>
      <c r="B251" s="34"/>
      <c r="C251" s="12"/>
      <c r="D251" s="12"/>
      <c r="E251" s="12"/>
      <c r="F251" s="12"/>
      <c r="G251" s="18"/>
      <c r="H251" s="35"/>
      <c r="I251" s="12"/>
      <c r="M251" s="12"/>
      <c r="N251" s="18"/>
      <c r="O251" s="12"/>
      <c r="P251" s="12"/>
      <c r="Q251" s="12"/>
      <c r="R251" s="36"/>
      <c r="S251" s="36"/>
      <c r="T251" s="12"/>
      <c r="U251" s="12"/>
      <c r="V251" s="12"/>
      <c r="W251" s="12"/>
      <c r="X251" s="12"/>
    </row>
    <row r="252" customFormat="false" ht="15.75" hidden="false" customHeight="false" outlineLevel="0" collapsed="false">
      <c r="A252" s="12"/>
      <c r="B252" s="34"/>
      <c r="C252" s="12"/>
      <c r="D252" s="12"/>
      <c r="E252" s="12"/>
      <c r="F252" s="12"/>
      <c r="G252" s="18"/>
      <c r="H252" s="35"/>
      <c r="I252" s="12"/>
      <c r="M252" s="12"/>
      <c r="N252" s="18"/>
      <c r="O252" s="12"/>
      <c r="P252" s="12"/>
      <c r="Q252" s="12"/>
      <c r="R252" s="36"/>
      <c r="S252" s="36"/>
      <c r="T252" s="12"/>
      <c r="U252" s="12"/>
      <c r="V252" s="12"/>
      <c r="W252" s="12"/>
      <c r="X252" s="12"/>
    </row>
    <row r="253" customFormat="false" ht="15.75" hidden="false" customHeight="false" outlineLevel="0" collapsed="false">
      <c r="A253" s="12"/>
      <c r="B253" s="34"/>
      <c r="C253" s="12"/>
      <c r="D253" s="12"/>
      <c r="E253" s="12"/>
      <c r="F253" s="12"/>
      <c r="G253" s="18"/>
      <c r="H253" s="35"/>
      <c r="I253" s="12"/>
      <c r="M253" s="12"/>
      <c r="N253" s="18"/>
      <c r="O253" s="12"/>
      <c r="P253" s="12"/>
      <c r="Q253" s="12"/>
      <c r="R253" s="36"/>
      <c r="S253" s="36"/>
      <c r="T253" s="12"/>
      <c r="U253" s="12"/>
      <c r="V253" s="12"/>
      <c r="W253" s="12"/>
      <c r="X253" s="12"/>
    </row>
    <row r="254" customFormat="false" ht="15.75" hidden="false" customHeight="false" outlineLevel="0" collapsed="false">
      <c r="A254" s="12"/>
      <c r="B254" s="34"/>
      <c r="C254" s="12"/>
      <c r="D254" s="12"/>
      <c r="E254" s="12"/>
      <c r="F254" s="12"/>
      <c r="G254" s="18"/>
      <c r="H254" s="35"/>
      <c r="I254" s="12"/>
      <c r="M254" s="12"/>
      <c r="N254" s="18"/>
      <c r="O254" s="12"/>
      <c r="P254" s="12"/>
      <c r="Q254" s="12"/>
      <c r="R254" s="36"/>
      <c r="S254" s="36"/>
      <c r="T254" s="12"/>
      <c r="U254" s="12"/>
      <c r="V254" s="12"/>
      <c r="W254" s="12"/>
      <c r="X254" s="12"/>
    </row>
    <row r="255" customFormat="false" ht="15.75" hidden="false" customHeight="false" outlineLevel="0" collapsed="false">
      <c r="A255" s="12"/>
      <c r="B255" s="34"/>
      <c r="C255" s="12"/>
      <c r="D255" s="12"/>
      <c r="E255" s="12"/>
      <c r="F255" s="12"/>
      <c r="G255" s="18"/>
      <c r="H255" s="35"/>
      <c r="I255" s="12"/>
      <c r="M255" s="12"/>
      <c r="N255" s="18"/>
      <c r="O255" s="12"/>
      <c r="P255" s="12"/>
      <c r="Q255" s="12"/>
      <c r="R255" s="36"/>
      <c r="S255" s="36"/>
      <c r="T255" s="12"/>
      <c r="U255" s="12"/>
      <c r="V255" s="12"/>
      <c r="W255" s="12"/>
      <c r="X255" s="12"/>
    </row>
    <row r="256" customFormat="false" ht="15.75" hidden="false" customHeight="false" outlineLevel="0" collapsed="false">
      <c r="A256" s="12"/>
      <c r="B256" s="34"/>
      <c r="C256" s="12"/>
      <c r="D256" s="12"/>
      <c r="E256" s="12"/>
      <c r="F256" s="12"/>
      <c r="G256" s="18"/>
      <c r="H256" s="35"/>
      <c r="I256" s="12"/>
      <c r="M256" s="12"/>
      <c r="N256" s="18"/>
      <c r="O256" s="12"/>
      <c r="P256" s="12"/>
      <c r="Q256" s="12"/>
      <c r="R256" s="36"/>
      <c r="S256" s="36"/>
      <c r="T256" s="12"/>
      <c r="U256" s="12"/>
      <c r="V256" s="12"/>
      <c r="W256" s="12"/>
      <c r="X256" s="12"/>
    </row>
    <row r="257" customFormat="false" ht="15.75" hidden="false" customHeight="false" outlineLevel="0" collapsed="false">
      <c r="A257" s="12"/>
      <c r="B257" s="34"/>
      <c r="C257" s="12"/>
      <c r="D257" s="12"/>
      <c r="E257" s="12"/>
      <c r="F257" s="12"/>
      <c r="G257" s="18"/>
      <c r="H257" s="35"/>
      <c r="I257" s="12"/>
      <c r="M257" s="12"/>
      <c r="N257" s="18"/>
      <c r="O257" s="12"/>
      <c r="P257" s="12"/>
      <c r="Q257" s="12"/>
      <c r="R257" s="36"/>
      <c r="S257" s="36"/>
      <c r="T257" s="12"/>
      <c r="U257" s="12"/>
      <c r="V257" s="12"/>
      <c r="W257" s="12"/>
      <c r="X257" s="12"/>
    </row>
    <row r="258" customFormat="false" ht="15.75" hidden="false" customHeight="false" outlineLevel="0" collapsed="false">
      <c r="A258" s="12"/>
      <c r="B258" s="34"/>
      <c r="C258" s="12"/>
      <c r="D258" s="12"/>
      <c r="E258" s="12"/>
      <c r="F258" s="12"/>
      <c r="G258" s="18"/>
      <c r="H258" s="35"/>
      <c r="I258" s="12"/>
      <c r="M258" s="12"/>
      <c r="N258" s="18"/>
      <c r="O258" s="12"/>
      <c r="P258" s="12"/>
      <c r="Q258" s="12"/>
      <c r="R258" s="36"/>
      <c r="S258" s="36"/>
      <c r="T258" s="12"/>
      <c r="U258" s="12"/>
      <c r="V258" s="12"/>
      <c r="W258" s="12"/>
      <c r="X258" s="12"/>
    </row>
    <row r="259" customFormat="false" ht="15.75" hidden="false" customHeight="false" outlineLevel="0" collapsed="false">
      <c r="A259" s="12"/>
      <c r="B259" s="34"/>
      <c r="C259" s="12"/>
      <c r="D259" s="12"/>
      <c r="E259" s="12"/>
      <c r="F259" s="12"/>
      <c r="G259" s="18"/>
      <c r="H259" s="35"/>
      <c r="I259" s="12"/>
      <c r="M259" s="12"/>
      <c r="N259" s="18"/>
      <c r="O259" s="12"/>
      <c r="P259" s="12"/>
      <c r="Q259" s="12"/>
      <c r="R259" s="36"/>
      <c r="S259" s="36"/>
      <c r="T259" s="12"/>
      <c r="U259" s="12"/>
      <c r="V259" s="12"/>
      <c r="W259" s="12"/>
      <c r="X259" s="12"/>
    </row>
    <row r="260" customFormat="false" ht="15.75" hidden="false" customHeight="false" outlineLevel="0" collapsed="false">
      <c r="A260" s="12"/>
      <c r="B260" s="34"/>
      <c r="C260" s="12"/>
      <c r="D260" s="12"/>
      <c r="E260" s="12"/>
      <c r="F260" s="12"/>
      <c r="G260" s="18"/>
      <c r="H260" s="35"/>
      <c r="I260" s="12"/>
      <c r="M260" s="12"/>
      <c r="N260" s="18"/>
      <c r="O260" s="12"/>
      <c r="P260" s="12"/>
      <c r="Q260" s="12"/>
      <c r="R260" s="36"/>
      <c r="S260" s="36"/>
      <c r="T260" s="12"/>
      <c r="U260" s="12"/>
      <c r="V260" s="12"/>
      <c r="W260" s="12"/>
      <c r="X260" s="12"/>
    </row>
    <row r="261" customFormat="false" ht="15.75" hidden="false" customHeight="false" outlineLevel="0" collapsed="false">
      <c r="A261" s="12"/>
      <c r="B261" s="34"/>
      <c r="C261" s="12"/>
      <c r="D261" s="12"/>
      <c r="E261" s="12"/>
      <c r="F261" s="12"/>
      <c r="G261" s="18"/>
      <c r="H261" s="35"/>
      <c r="I261" s="12"/>
      <c r="M261" s="12"/>
      <c r="N261" s="18"/>
      <c r="O261" s="12"/>
      <c r="P261" s="12"/>
      <c r="Q261" s="12"/>
      <c r="R261" s="36"/>
      <c r="S261" s="36"/>
      <c r="T261" s="12"/>
      <c r="U261" s="12"/>
      <c r="V261" s="12"/>
      <c r="W261" s="12"/>
      <c r="X261" s="12"/>
    </row>
    <row r="262" customFormat="false" ht="15.75" hidden="false" customHeight="false" outlineLevel="0" collapsed="false">
      <c r="A262" s="12"/>
      <c r="B262" s="34"/>
      <c r="C262" s="12"/>
      <c r="D262" s="12"/>
      <c r="E262" s="12"/>
      <c r="F262" s="12"/>
      <c r="G262" s="18"/>
      <c r="H262" s="35"/>
      <c r="I262" s="12"/>
      <c r="M262" s="12"/>
      <c r="N262" s="18"/>
      <c r="O262" s="12"/>
      <c r="P262" s="12"/>
      <c r="Q262" s="12"/>
      <c r="R262" s="36"/>
      <c r="S262" s="36"/>
      <c r="T262" s="12"/>
      <c r="U262" s="12"/>
      <c r="V262" s="12"/>
      <c r="W262" s="12"/>
      <c r="X262" s="12"/>
    </row>
    <row r="263" customFormat="false" ht="15.75" hidden="false" customHeight="false" outlineLevel="0" collapsed="false">
      <c r="A263" s="12"/>
      <c r="B263" s="34"/>
      <c r="C263" s="12"/>
      <c r="D263" s="12"/>
      <c r="E263" s="12"/>
      <c r="F263" s="12"/>
      <c r="G263" s="18"/>
      <c r="H263" s="35"/>
      <c r="I263" s="12"/>
      <c r="M263" s="12"/>
      <c r="N263" s="18"/>
      <c r="O263" s="12"/>
      <c r="P263" s="12"/>
      <c r="Q263" s="12"/>
      <c r="R263" s="36"/>
      <c r="S263" s="36"/>
      <c r="T263" s="12"/>
      <c r="U263" s="12"/>
      <c r="V263" s="12"/>
      <c r="W263" s="12"/>
      <c r="X263" s="12"/>
    </row>
    <row r="264" customFormat="false" ht="15.75" hidden="false" customHeight="false" outlineLevel="0" collapsed="false">
      <c r="A264" s="12"/>
      <c r="B264" s="34"/>
      <c r="C264" s="12"/>
      <c r="D264" s="12"/>
      <c r="E264" s="12"/>
      <c r="F264" s="12"/>
      <c r="G264" s="18"/>
      <c r="H264" s="35"/>
      <c r="I264" s="12"/>
      <c r="M264" s="12"/>
      <c r="N264" s="18"/>
      <c r="O264" s="12"/>
      <c r="P264" s="12"/>
      <c r="Q264" s="12"/>
      <c r="R264" s="36"/>
      <c r="S264" s="36"/>
      <c r="T264" s="12"/>
      <c r="U264" s="12"/>
      <c r="V264" s="12"/>
      <c r="W264" s="12"/>
      <c r="X264" s="12"/>
    </row>
    <row r="265" customFormat="false" ht="15.75" hidden="false" customHeight="false" outlineLevel="0" collapsed="false">
      <c r="A265" s="12"/>
      <c r="B265" s="34"/>
      <c r="C265" s="12"/>
      <c r="D265" s="12"/>
      <c r="E265" s="12"/>
      <c r="F265" s="12"/>
      <c r="G265" s="18"/>
      <c r="H265" s="35"/>
      <c r="I265" s="12"/>
      <c r="M265" s="12"/>
      <c r="N265" s="18"/>
      <c r="O265" s="12"/>
      <c r="P265" s="12"/>
      <c r="Q265" s="12"/>
      <c r="R265" s="36"/>
      <c r="S265" s="36"/>
      <c r="T265" s="12"/>
      <c r="U265" s="12"/>
      <c r="V265" s="12"/>
      <c r="W265" s="12"/>
      <c r="X265" s="12"/>
    </row>
    <row r="266" customFormat="false" ht="15.75" hidden="false" customHeight="false" outlineLevel="0" collapsed="false">
      <c r="A266" s="12"/>
      <c r="B266" s="34"/>
      <c r="C266" s="12"/>
      <c r="D266" s="12"/>
      <c r="E266" s="12"/>
      <c r="F266" s="12"/>
      <c r="G266" s="18"/>
      <c r="H266" s="35"/>
      <c r="I266" s="12"/>
      <c r="M266" s="12"/>
      <c r="N266" s="18"/>
      <c r="O266" s="12"/>
      <c r="P266" s="12"/>
      <c r="Q266" s="12"/>
      <c r="R266" s="36"/>
      <c r="S266" s="36"/>
      <c r="T266" s="12"/>
      <c r="U266" s="12"/>
      <c r="V266" s="12"/>
      <c r="W266" s="12"/>
      <c r="X266" s="12"/>
    </row>
    <row r="267" customFormat="false" ht="15.75" hidden="false" customHeight="false" outlineLevel="0" collapsed="false">
      <c r="A267" s="12"/>
      <c r="B267" s="34"/>
      <c r="C267" s="12"/>
      <c r="D267" s="12"/>
      <c r="E267" s="12"/>
      <c r="F267" s="12"/>
      <c r="G267" s="18"/>
      <c r="H267" s="35"/>
      <c r="I267" s="12"/>
      <c r="M267" s="12"/>
      <c r="N267" s="18"/>
      <c r="O267" s="12"/>
      <c r="P267" s="12"/>
      <c r="Q267" s="12"/>
      <c r="R267" s="36"/>
      <c r="S267" s="36"/>
      <c r="T267" s="12"/>
      <c r="U267" s="12"/>
      <c r="V267" s="12"/>
      <c r="W267" s="12"/>
      <c r="X267" s="12"/>
    </row>
    <row r="268" customFormat="false" ht="15.75" hidden="false" customHeight="false" outlineLevel="0" collapsed="false">
      <c r="A268" s="12"/>
      <c r="B268" s="34"/>
      <c r="C268" s="12"/>
      <c r="D268" s="12"/>
      <c r="E268" s="12"/>
      <c r="F268" s="12"/>
      <c r="G268" s="18"/>
      <c r="H268" s="35"/>
      <c r="I268" s="12"/>
      <c r="M268" s="12"/>
      <c r="N268" s="18"/>
      <c r="O268" s="12"/>
      <c r="P268" s="12"/>
      <c r="Q268" s="12"/>
      <c r="R268" s="36"/>
      <c r="S268" s="36"/>
      <c r="T268" s="12"/>
      <c r="U268" s="12"/>
      <c r="V268" s="12"/>
      <c r="W268" s="12"/>
      <c r="X268" s="12"/>
    </row>
    <row r="269" customFormat="false" ht="15.75" hidden="false" customHeight="false" outlineLevel="0" collapsed="false">
      <c r="A269" s="12"/>
      <c r="B269" s="34"/>
      <c r="C269" s="12"/>
      <c r="D269" s="12"/>
      <c r="E269" s="12"/>
      <c r="F269" s="12"/>
      <c r="G269" s="18"/>
      <c r="H269" s="35"/>
      <c r="I269" s="12"/>
      <c r="M269" s="12"/>
      <c r="N269" s="18"/>
      <c r="O269" s="12"/>
      <c r="P269" s="12"/>
      <c r="Q269" s="12"/>
      <c r="R269" s="36"/>
      <c r="S269" s="36"/>
      <c r="T269" s="12"/>
      <c r="U269" s="12"/>
      <c r="V269" s="12"/>
      <c r="W269" s="12"/>
      <c r="X269" s="12"/>
    </row>
    <row r="270" customFormat="false" ht="15.75" hidden="false" customHeight="false" outlineLevel="0" collapsed="false">
      <c r="A270" s="12"/>
      <c r="B270" s="34"/>
      <c r="C270" s="12"/>
      <c r="D270" s="12"/>
      <c r="E270" s="12"/>
      <c r="F270" s="12"/>
      <c r="G270" s="18"/>
      <c r="H270" s="35"/>
      <c r="I270" s="12"/>
      <c r="M270" s="12"/>
      <c r="N270" s="18"/>
      <c r="O270" s="12"/>
      <c r="P270" s="12"/>
      <c r="Q270" s="12"/>
      <c r="R270" s="36"/>
      <c r="S270" s="36"/>
      <c r="T270" s="12"/>
      <c r="U270" s="12"/>
      <c r="V270" s="12"/>
      <c r="W270" s="12"/>
      <c r="X270" s="12"/>
    </row>
    <row r="271" customFormat="false" ht="15.75" hidden="false" customHeight="false" outlineLevel="0" collapsed="false">
      <c r="A271" s="12"/>
      <c r="B271" s="34"/>
      <c r="C271" s="12"/>
      <c r="D271" s="12"/>
      <c r="E271" s="12"/>
      <c r="F271" s="12"/>
      <c r="G271" s="18"/>
      <c r="H271" s="35"/>
      <c r="I271" s="12"/>
      <c r="M271" s="12"/>
      <c r="N271" s="18"/>
      <c r="O271" s="12"/>
      <c r="P271" s="12"/>
      <c r="Q271" s="12"/>
      <c r="R271" s="36"/>
      <c r="S271" s="36"/>
      <c r="T271" s="12"/>
      <c r="U271" s="12"/>
      <c r="V271" s="12"/>
      <c r="W271" s="12"/>
      <c r="X271" s="12"/>
    </row>
    <row r="272" customFormat="false" ht="15.75" hidden="false" customHeight="false" outlineLevel="0" collapsed="false">
      <c r="A272" s="12"/>
      <c r="B272" s="34"/>
      <c r="C272" s="12"/>
      <c r="D272" s="12"/>
      <c r="E272" s="12"/>
      <c r="F272" s="12"/>
      <c r="G272" s="18"/>
      <c r="H272" s="35"/>
      <c r="I272" s="12"/>
      <c r="M272" s="12"/>
      <c r="N272" s="18"/>
      <c r="O272" s="12"/>
      <c r="P272" s="12"/>
      <c r="Q272" s="12"/>
      <c r="R272" s="36"/>
      <c r="S272" s="36"/>
      <c r="T272" s="12"/>
      <c r="U272" s="12"/>
      <c r="V272" s="12"/>
      <c r="W272" s="12"/>
      <c r="X272" s="12"/>
    </row>
    <row r="273" customFormat="false" ht="15.75" hidden="false" customHeight="false" outlineLevel="0" collapsed="false">
      <c r="A273" s="12"/>
      <c r="B273" s="34"/>
      <c r="C273" s="12"/>
      <c r="D273" s="12"/>
      <c r="E273" s="12"/>
      <c r="F273" s="12"/>
      <c r="G273" s="18"/>
      <c r="H273" s="35"/>
      <c r="I273" s="12"/>
      <c r="M273" s="12"/>
      <c r="N273" s="18"/>
      <c r="O273" s="12"/>
      <c r="P273" s="12"/>
      <c r="Q273" s="12"/>
      <c r="R273" s="36"/>
      <c r="S273" s="36"/>
      <c r="T273" s="12"/>
      <c r="U273" s="12"/>
      <c r="V273" s="12"/>
      <c r="W273" s="12"/>
      <c r="X273" s="12"/>
    </row>
    <row r="274" customFormat="false" ht="15.75" hidden="false" customHeight="false" outlineLevel="0" collapsed="false">
      <c r="A274" s="12"/>
      <c r="B274" s="34"/>
      <c r="C274" s="12"/>
      <c r="D274" s="12"/>
      <c r="E274" s="12"/>
      <c r="F274" s="12"/>
      <c r="G274" s="18"/>
      <c r="H274" s="35"/>
      <c r="I274" s="12"/>
      <c r="M274" s="12"/>
      <c r="N274" s="18"/>
      <c r="O274" s="12"/>
      <c r="P274" s="12"/>
      <c r="Q274" s="12"/>
      <c r="R274" s="36"/>
      <c r="S274" s="36"/>
      <c r="T274" s="12"/>
      <c r="U274" s="12"/>
      <c r="V274" s="12"/>
      <c r="W274" s="12"/>
      <c r="X274" s="12"/>
    </row>
    <row r="275" customFormat="false" ht="15.75" hidden="false" customHeight="false" outlineLevel="0" collapsed="false">
      <c r="A275" s="12"/>
      <c r="B275" s="34"/>
      <c r="C275" s="12"/>
      <c r="D275" s="12"/>
      <c r="E275" s="12"/>
      <c r="F275" s="12"/>
      <c r="G275" s="18"/>
      <c r="H275" s="35"/>
      <c r="I275" s="12"/>
      <c r="M275" s="12"/>
      <c r="N275" s="18"/>
      <c r="O275" s="12"/>
      <c r="P275" s="12"/>
      <c r="Q275" s="12"/>
      <c r="R275" s="36"/>
      <c r="S275" s="36"/>
      <c r="T275" s="12"/>
      <c r="U275" s="12"/>
      <c r="V275" s="12"/>
      <c r="W275" s="12"/>
      <c r="X275" s="12"/>
    </row>
    <row r="276" customFormat="false" ht="15.75" hidden="false" customHeight="false" outlineLevel="0" collapsed="false">
      <c r="A276" s="12"/>
      <c r="B276" s="34"/>
      <c r="C276" s="12"/>
      <c r="D276" s="12"/>
      <c r="E276" s="12"/>
      <c r="F276" s="12"/>
      <c r="G276" s="18"/>
      <c r="H276" s="35"/>
      <c r="I276" s="12"/>
      <c r="M276" s="12"/>
      <c r="N276" s="18"/>
      <c r="O276" s="12"/>
      <c r="P276" s="12"/>
      <c r="Q276" s="12"/>
      <c r="R276" s="36"/>
      <c r="S276" s="36"/>
      <c r="T276" s="12"/>
      <c r="U276" s="12"/>
      <c r="V276" s="12"/>
      <c r="W276" s="12"/>
      <c r="X276" s="12"/>
    </row>
    <row r="277" customFormat="false" ht="15.75" hidden="false" customHeight="false" outlineLevel="0" collapsed="false">
      <c r="A277" s="12"/>
      <c r="B277" s="34"/>
      <c r="C277" s="12"/>
      <c r="D277" s="12"/>
      <c r="E277" s="12"/>
      <c r="F277" s="12"/>
      <c r="G277" s="18"/>
      <c r="H277" s="35"/>
      <c r="I277" s="12"/>
      <c r="M277" s="12"/>
      <c r="N277" s="18"/>
      <c r="O277" s="12"/>
      <c r="P277" s="12"/>
      <c r="Q277" s="12"/>
      <c r="R277" s="36"/>
      <c r="S277" s="36"/>
      <c r="T277" s="12"/>
      <c r="U277" s="12"/>
      <c r="V277" s="12"/>
      <c r="W277" s="12"/>
      <c r="X277" s="12"/>
    </row>
    <row r="278" customFormat="false" ht="15.75" hidden="false" customHeight="false" outlineLevel="0" collapsed="false">
      <c r="A278" s="12"/>
      <c r="B278" s="34"/>
      <c r="C278" s="12"/>
      <c r="D278" s="12"/>
      <c r="E278" s="12"/>
      <c r="F278" s="12"/>
      <c r="G278" s="18"/>
      <c r="H278" s="35"/>
      <c r="I278" s="12"/>
      <c r="M278" s="12"/>
      <c r="N278" s="18"/>
      <c r="O278" s="12"/>
      <c r="P278" s="12"/>
      <c r="Q278" s="12"/>
      <c r="R278" s="36"/>
      <c r="S278" s="36"/>
      <c r="T278" s="12"/>
      <c r="U278" s="12"/>
      <c r="V278" s="12"/>
      <c r="W278" s="12"/>
      <c r="X278" s="12"/>
    </row>
    <row r="279" customFormat="false" ht="15.75" hidden="false" customHeight="false" outlineLevel="0" collapsed="false">
      <c r="A279" s="12"/>
      <c r="B279" s="34"/>
      <c r="C279" s="12"/>
      <c r="D279" s="12"/>
      <c r="E279" s="12"/>
      <c r="F279" s="12"/>
      <c r="G279" s="18"/>
      <c r="H279" s="35"/>
      <c r="I279" s="12"/>
      <c r="M279" s="12"/>
      <c r="N279" s="18"/>
      <c r="O279" s="12"/>
      <c r="P279" s="12"/>
      <c r="Q279" s="12"/>
      <c r="R279" s="36"/>
      <c r="S279" s="36"/>
      <c r="T279" s="12"/>
      <c r="U279" s="12"/>
      <c r="V279" s="12"/>
      <c r="W279" s="12"/>
      <c r="X279" s="12"/>
    </row>
    <row r="280" customFormat="false" ht="15.75" hidden="false" customHeight="false" outlineLevel="0" collapsed="false">
      <c r="A280" s="12"/>
      <c r="B280" s="34"/>
      <c r="C280" s="12"/>
      <c r="D280" s="12"/>
      <c r="E280" s="12"/>
      <c r="F280" s="12"/>
      <c r="G280" s="18"/>
      <c r="H280" s="35"/>
      <c r="I280" s="12"/>
      <c r="M280" s="12"/>
      <c r="N280" s="18"/>
      <c r="O280" s="12"/>
      <c r="P280" s="12"/>
      <c r="Q280" s="12"/>
      <c r="R280" s="36"/>
      <c r="S280" s="36"/>
      <c r="T280" s="12"/>
      <c r="U280" s="12"/>
      <c r="V280" s="12"/>
      <c r="W280" s="12"/>
      <c r="X280" s="12"/>
    </row>
    <row r="281" customFormat="false" ht="15.75" hidden="false" customHeight="false" outlineLevel="0" collapsed="false">
      <c r="A281" s="12"/>
      <c r="B281" s="34"/>
      <c r="C281" s="12"/>
      <c r="D281" s="12"/>
      <c r="E281" s="12"/>
      <c r="F281" s="12"/>
      <c r="G281" s="18"/>
      <c r="H281" s="35"/>
      <c r="I281" s="12"/>
      <c r="M281" s="12"/>
      <c r="N281" s="18"/>
      <c r="O281" s="12"/>
      <c r="P281" s="12"/>
      <c r="Q281" s="12"/>
      <c r="R281" s="36"/>
      <c r="S281" s="36"/>
      <c r="T281" s="12"/>
      <c r="U281" s="12"/>
      <c r="V281" s="12"/>
      <c r="W281" s="12"/>
      <c r="X281" s="12"/>
    </row>
    <row r="282" customFormat="false" ht="15.75" hidden="false" customHeight="false" outlineLevel="0" collapsed="false">
      <c r="A282" s="12"/>
      <c r="B282" s="34"/>
      <c r="C282" s="12"/>
      <c r="D282" s="12"/>
      <c r="E282" s="12"/>
      <c r="F282" s="12"/>
      <c r="G282" s="18"/>
      <c r="H282" s="35"/>
      <c r="I282" s="12"/>
      <c r="M282" s="12"/>
      <c r="N282" s="18"/>
      <c r="O282" s="12"/>
      <c r="P282" s="12"/>
      <c r="Q282" s="12"/>
      <c r="R282" s="36"/>
      <c r="S282" s="36"/>
      <c r="T282" s="12"/>
      <c r="U282" s="12"/>
      <c r="V282" s="12"/>
      <c r="W282" s="12"/>
      <c r="X282" s="12"/>
    </row>
    <row r="283" customFormat="false" ht="15.75" hidden="false" customHeight="false" outlineLevel="0" collapsed="false">
      <c r="A283" s="12"/>
      <c r="B283" s="34"/>
      <c r="C283" s="12"/>
      <c r="D283" s="12"/>
      <c r="E283" s="12"/>
      <c r="F283" s="12"/>
      <c r="G283" s="18"/>
      <c r="H283" s="35"/>
      <c r="I283" s="12"/>
      <c r="M283" s="12"/>
      <c r="N283" s="18"/>
      <c r="O283" s="12"/>
      <c r="P283" s="12"/>
      <c r="Q283" s="12"/>
      <c r="R283" s="36"/>
      <c r="S283" s="36"/>
      <c r="T283" s="12"/>
      <c r="U283" s="12"/>
      <c r="V283" s="12"/>
      <c r="W283" s="12"/>
      <c r="X283" s="12"/>
    </row>
    <row r="284" customFormat="false" ht="15.75" hidden="false" customHeight="false" outlineLevel="0" collapsed="false">
      <c r="A284" s="12"/>
      <c r="B284" s="34"/>
      <c r="C284" s="12"/>
      <c r="D284" s="12"/>
      <c r="E284" s="12"/>
      <c r="F284" s="12"/>
      <c r="G284" s="18"/>
      <c r="H284" s="35"/>
      <c r="I284" s="12"/>
      <c r="M284" s="12"/>
      <c r="N284" s="18"/>
      <c r="O284" s="12"/>
      <c r="P284" s="12"/>
      <c r="Q284" s="12"/>
      <c r="R284" s="36"/>
      <c r="S284" s="36"/>
      <c r="T284" s="12"/>
      <c r="U284" s="12"/>
      <c r="V284" s="12"/>
      <c r="W284" s="12"/>
      <c r="X284" s="12"/>
    </row>
    <row r="285" customFormat="false" ht="15.75" hidden="false" customHeight="false" outlineLevel="0" collapsed="false">
      <c r="A285" s="12"/>
      <c r="B285" s="34"/>
      <c r="C285" s="12"/>
      <c r="D285" s="12"/>
      <c r="E285" s="12"/>
      <c r="F285" s="12"/>
      <c r="G285" s="18"/>
      <c r="H285" s="35"/>
      <c r="I285" s="12"/>
      <c r="M285" s="12"/>
      <c r="N285" s="18"/>
      <c r="O285" s="12"/>
      <c r="P285" s="12"/>
      <c r="Q285" s="12"/>
      <c r="R285" s="36"/>
      <c r="S285" s="36"/>
      <c r="T285" s="12"/>
      <c r="U285" s="12"/>
      <c r="V285" s="12"/>
      <c r="W285" s="12"/>
      <c r="X285" s="12"/>
    </row>
    <row r="286" customFormat="false" ht="15.75" hidden="false" customHeight="false" outlineLevel="0" collapsed="false">
      <c r="A286" s="12"/>
      <c r="B286" s="34"/>
      <c r="C286" s="12"/>
      <c r="D286" s="12"/>
      <c r="E286" s="12"/>
      <c r="F286" s="12"/>
      <c r="G286" s="18"/>
      <c r="H286" s="35"/>
      <c r="I286" s="12"/>
      <c r="M286" s="12"/>
      <c r="N286" s="18"/>
      <c r="O286" s="12"/>
      <c r="P286" s="12"/>
      <c r="Q286" s="12"/>
      <c r="R286" s="36"/>
      <c r="S286" s="36"/>
      <c r="T286" s="12"/>
      <c r="U286" s="12"/>
      <c r="V286" s="12"/>
      <c r="W286" s="12"/>
      <c r="X286" s="12"/>
    </row>
    <row r="287" customFormat="false" ht="15.75" hidden="false" customHeight="false" outlineLevel="0" collapsed="false">
      <c r="A287" s="12"/>
      <c r="B287" s="34"/>
      <c r="C287" s="12"/>
      <c r="D287" s="12"/>
      <c r="E287" s="12"/>
      <c r="F287" s="12"/>
      <c r="G287" s="18"/>
      <c r="H287" s="35"/>
      <c r="I287" s="12"/>
      <c r="M287" s="12"/>
      <c r="N287" s="18"/>
      <c r="O287" s="12"/>
      <c r="P287" s="12"/>
      <c r="Q287" s="12"/>
      <c r="R287" s="36"/>
      <c r="S287" s="36"/>
      <c r="T287" s="12"/>
      <c r="U287" s="12"/>
      <c r="V287" s="12"/>
      <c r="W287" s="12"/>
      <c r="X287" s="12"/>
    </row>
    <row r="288" customFormat="false" ht="15.75" hidden="false" customHeight="false" outlineLevel="0" collapsed="false">
      <c r="A288" s="12"/>
      <c r="B288" s="34"/>
      <c r="C288" s="12"/>
      <c r="D288" s="12"/>
      <c r="E288" s="12"/>
      <c r="F288" s="12"/>
      <c r="G288" s="18"/>
      <c r="H288" s="35"/>
      <c r="I288" s="12"/>
      <c r="M288" s="12"/>
      <c r="N288" s="18"/>
      <c r="O288" s="12"/>
      <c r="P288" s="12"/>
      <c r="Q288" s="12"/>
      <c r="R288" s="36"/>
      <c r="S288" s="36"/>
      <c r="T288" s="12"/>
      <c r="U288" s="12"/>
      <c r="V288" s="12"/>
      <c r="W288" s="12"/>
      <c r="X288" s="12"/>
    </row>
    <row r="289" customFormat="false" ht="15.75" hidden="false" customHeight="false" outlineLevel="0" collapsed="false">
      <c r="A289" s="12"/>
      <c r="B289" s="34"/>
      <c r="C289" s="12"/>
      <c r="D289" s="12"/>
      <c r="E289" s="12"/>
      <c r="F289" s="12"/>
      <c r="G289" s="18"/>
      <c r="H289" s="35"/>
      <c r="I289" s="12"/>
      <c r="M289" s="12"/>
      <c r="N289" s="18"/>
      <c r="O289" s="12"/>
      <c r="P289" s="12"/>
      <c r="Q289" s="12"/>
      <c r="R289" s="36"/>
      <c r="S289" s="36"/>
      <c r="T289" s="12"/>
      <c r="U289" s="12"/>
      <c r="V289" s="12"/>
      <c r="W289" s="12"/>
      <c r="X289" s="12"/>
    </row>
    <row r="290" customFormat="false" ht="15.75" hidden="false" customHeight="false" outlineLevel="0" collapsed="false">
      <c r="A290" s="12"/>
      <c r="B290" s="34"/>
      <c r="C290" s="12"/>
      <c r="D290" s="12"/>
      <c r="E290" s="12"/>
      <c r="F290" s="12"/>
      <c r="G290" s="18"/>
      <c r="H290" s="35"/>
      <c r="I290" s="12"/>
      <c r="M290" s="12"/>
      <c r="N290" s="18"/>
      <c r="O290" s="12"/>
      <c r="P290" s="12"/>
      <c r="Q290" s="12"/>
      <c r="R290" s="36"/>
      <c r="S290" s="36"/>
      <c r="T290" s="12"/>
      <c r="U290" s="12"/>
      <c r="V290" s="12"/>
      <c r="W290" s="12"/>
      <c r="X290" s="12"/>
    </row>
    <row r="291" customFormat="false" ht="15.75" hidden="false" customHeight="false" outlineLevel="0" collapsed="false">
      <c r="A291" s="12"/>
      <c r="B291" s="34"/>
      <c r="C291" s="12"/>
      <c r="D291" s="12"/>
      <c r="E291" s="12"/>
      <c r="F291" s="12"/>
      <c r="G291" s="18"/>
      <c r="H291" s="35"/>
      <c r="I291" s="12"/>
      <c r="M291" s="12"/>
      <c r="N291" s="18"/>
      <c r="O291" s="12"/>
      <c r="P291" s="12"/>
      <c r="Q291" s="12"/>
      <c r="R291" s="36"/>
      <c r="S291" s="36"/>
      <c r="T291" s="12"/>
      <c r="U291" s="12"/>
      <c r="V291" s="12"/>
      <c r="W291" s="12"/>
      <c r="X291" s="12"/>
    </row>
    <row r="292" customFormat="false" ht="15.75" hidden="false" customHeight="false" outlineLevel="0" collapsed="false">
      <c r="A292" s="12"/>
      <c r="B292" s="34"/>
      <c r="C292" s="12"/>
      <c r="D292" s="12"/>
      <c r="E292" s="12"/>
      <c r="F292" s="12"/>
      <c r="G292" s="18"/>
      <c r="H292" s="35"/>
      <c r="I292" s="12"/>
      <c r="M292" s="12"/>
      <c r="N292" s="18"/>
      <c r="O292" s="12"/>
      <c r="P292" s="12"/>
      <c r="Q292" s="12"/>
      <c r="R292" s="36"/>
      <c r="S292" s="36"/>
      <c r="T292" s="12"/>
      <c r="U292" s="12"/>
      <c r="V292" s="12"/>
      <c r="W292" s="12"/>
      <c r="X292" s="12"/>
    </row>
    <row r="293" customFormat="false" ht="15.75" hidden="false" customHeight="false" outlineLevel="0" collapsed="false">
      <c r="A293" s="12"/>
      <c r="B293" s="34"/>
      <c r="C293" s="12"/>
      <c r="D293" s="12"/>
      <c r="E293" s="12"/>
      <c r="F293" s="12"/>
      <c r="G293" s="18"/>
      <c r="H293" s="35"/>
      <c r="I293" s="12"/>
      <c r="M293" s="12"/>
      <c r="N293" s="18"/>
      <c r="O293" s="12"/>
      <c r="P293" s="12"/>
      <c r="Q293" s="12"/>
      <c r="R293" s="36"/>
      <c r="S293" s="36"/>
      <c r="T293" s="12"/>
      <c r="U293" s="12"/>
      <c r="V293" s="12"/>
      <c r="W293" s="12"/>
      <c r="X293" s="12"/>
    </row>
    <row r="294" customFormat="false" ht="15.75" hidden="false" customHeight="false" outlineLevel="0" collapsed="false">
      <c r="A294" s="12"/>
      <c r="B294" s="34"/>
      <c r="C294" s="12"/>
      <c r="D294" s="12"/>
      <c r="E294" s="12"/>
      <c r="F294" s="12"/>
      <c r="G294" s="18"/>
      <c r="H294" s="35"/>
      <c r="I294" s="12"/>
      <c r="M294" s="12"/>
      <c r="N294" s="18"/>
      <c r="O294" s="12"/>
      <c r="P294" s="12"/>
      <c r="Q294" s="12"/>
      <c r="R294" s="36"/>
      <c r="S294" s="36"/>
      <c r="T294" s="12"/>
      <c r="U294" s="12"/>
      <c r="V294" s="12"/>
      <c r="W294" s="12"/>
      <c r="X294" s="12"/>
    </row>
    <row r="295" customFormat="false" ht="15.75" hidden="false" customHeight="false" outlineLevel="0" collapsed="false">
      <c r="A295" s="12"/>
      <c r="B295" s="34"/>
      <c r="C295" s="12"/>
      <c r="D295" s="12"/>
      <c r="E295" s="12"/>
      <c r="F295" s="12"/>
      <c r="G295" s="18"/>
      <c r="H295" s="35"/>
      <c r="I295" s="12"/>
      <c r="M295" s="12"/>
      <c r="N295" s="18"/>
      <c r="O295" s="12"/>
      <c r="P295" s="12"/>
      <c r="Q295" s="12"/>
      <c r="R295" s="36"/>
      <c r="S295" s="36"/>
      <c r="T295" s="12"/>
      <c r="U295" s="12"/>
      <c r="V295" s="12"/>
      <c r="W295" s="12"/>
      <c r="X295" s="12"/>
    </row>
    <row r="296" customFormat="false" ht="15.75" hidden="false" customHeight="false" outlineLevel="0" collapsed="false">
      <c r="A296" s="12"/>
      <c r="B296" s="34"/>
      <c r="C296" s="12"/>
      <c r="D296" s="12"/>
      <c r="E296" s="12"/>
      <c r="F296" s="12"/>
      <c r="G296" s="18"/>
      <c r="H296" s="35"/>
      <c r="I296" s="12"/>
      <c r="M296" s="12"/>
      <c r="N296" s="18"/>
      <c r="O296" s="12"/>
      <c r="P296" s="12"/>
      <c r="Q296" s="12"/>
      <c r="R296" s="36"/>
      <c r="S296" s="36"/>
      <c r="T296" s="12"/>
      <c r="U296" s="12"/>
      <c r="V296" s="12"/>
      <c r="W296" s="12"/>
      <c r="X296" s="12"/>
    </row>
    <row r="297" customFormat="false" ht="15.75" hidden="false" customHeight="false" outlineLevel="0" collapsed="false">
      <c r="A297" s="12"/>
      <c r="B297" s="34"/>
      <c r="C297" s="12"/>
      <c r="D297" s="12"/>
      <c r="E297" s="12"/>
      <c r="F297" s="12"/>
      <c r="G297" s="18"/>
      <c r="H297" s="35"/>
      <c r="I297" s="12"/>
      <c r="M297" s="12"/>
      <c r="N297" s="18"/>
      <c r="O297" s="12"/>
      <c r="P297" s="12"/>
      <c r="Q297" s="12"/>
      <c r="R297" s="36"/>
      <c r="S297" s="36"/>
      <c r="T297" s="12"/>
      <c r="U297" s="12"/>
      <c r="V297" s="12"/>
      <c r="W297" s="12"/>
      <c r="X297" s="12"/>
    </row>
    <row r="298" customFormat="false" ht="15.75" hidden="false" customHeight="false" outlineLevel="0" collapsed="false">
      <c r="A298" s="12"/>
      <c r="B298" s="34"/>
      <c r="C298" s="12"/>
      <c r="D298" s="12"/>
      <c r="E298" s="12"/>
      <c r="F298" s="12"/>
      <c r="G298" s="18"/>
      <c r="H298" s="35"/>
      <c r="I298" s="12"/>
      <c r="M298" s="12"/>
      <c r="N298" s="18"/>
      <c r="O298" s="12"/>
      <c r="P298" s="12"/>
      <c r="Q298" s="12"/>
      <c r="R298" s="36"/>
      <c r="S298" s="36"/>
      <c r="T298" s="12"/>
      <c r="U298" s="12"/>
      <c r="V298" s="12"/>
      <c r="W298" s="12"/>
      <c r="X298" s="12"/>
    </row>
    <row r="299" customFormat="false" ht="15.75" hidden="false" customHeight="false" outlineLevel="0" collapsed="false">
      <c r="A299" s="12"/>
      <c r="B299" s="34"/>
      <c r="C299" s="12"/>
      <c r="D299" s="12"/>
      <c r="E299" s="12"/>
      <c r="F299" s="12"/>
      <c r="G299" s="18"/>
      <c r="H299" s="35"/>
      <c r="I299" s="12"/>
      <c r="M299" s="12"/>
      <c r="N299" s="18"/>
      <c r="O299" s="12"/>
      <c r="P299" s="12"/>
      <c r="Q299" s="12"/>
      <c r="R299" s="36"/>
      <c r="S299" s="36"/>
      <c r="T299" s="12"/>
      <c r="U299" s="12"/>
      <c r="V299" s="12"/>
      <c r="W299" s="12"/>
      <c r="X299" s="12"/>
    </row>
    <row r="300" customFormat="false" ht="15.75" hidden="false" customHeight="false" outlineLevel="0" collapsed="false">
      <c r="A300" s="12"/>
      <c r="B300" s="34"/>
      <c r="C300" s="12"/>
      <c r="D300" s="12"/>
      <c r="E300" s="12"/>
      <c r="F300" s="12"/>
      <c r="G300" s="18"/>
      <c r="H300" s="35"/>
      <c r="I300" s="12"/>
      <c r="M300" s="12"/>
      <c r="N300" s="18"/>
      <c r="O300" s="12"/>
      <c r="P300" s="12"/>
      <c r="Q300" s="12"/>
      <c r="R300" s="36"/>
      <c r="S300" s="36"/>
      <c r="T300" s="12"/>
      <c r="U300" s="12"/>
      <c r="V300" s="12"/>
      <c r="W300" s="12"/>
      <c r="X300" s="12"/>
    </row>
    <row r="301" customFormat="false" ht="15.75" hidden="false" customHeight="false" outlineLevel="0" collapsed="false">
      <c r="A301" s="12"/>
      <c r="B301" s="34"/>
      <c r="C301" s="12"/>
      <c r="D301" s="12"/>
      <c r="E301" s="12"/>
      <c r="F301" s="12"/>
      <c r="G301" s="18"/>
      <c r="H301" s="35"/>
      <c r="I301" s="12"/>
      <c r="M301" s="12"/>
      <c r="N301" s="18"/>
      <c r="O301" s="12"/>
      <c r="P301" s="12"/>
      <c r="Q301" s="12"/>
      <c r="R301" s="36"/>
      <c r="S301" s="36"/>
      <c r="T301" s="12"/>
      <c r="U301" s="12"/>
      <c r="V301" s="12"/>
      <c r="W301" s="12"/>
      <c r="X301" s="12"/>
    </row>
    <row r="302" customFormat="false" ht="15.75" hidden="false" customHeight="false" outlineLevel="0" collapsed="false">
      <c r="A302" s="12"/>
      <c r="B302" s="34"/>
      <c r="C302" s="12"/>
      <c r="D302" s="12"/>
      <c r="E302" s="12"/>
      <c r="F302" s="12"/>
      <c r="G302" s="18"/>
      <c r="H302" s="35"/>
      <c r="I302" s="12"/>
      <c r="M302" s="12"/>
      <c r="N302" s="18"/>
      <c r="O302" s="12"/>
      <c r="P302" s="12"/>
      <c r="Q302" s="12"/>
      <c r="R302" s="36"/>
      <c r="S302" s="36"/>
      <c r="T302" s="12"/>
      <c r="U302" s="12"/>
      <c r="V302" s="12"/>
      <c r="W302" s="12"/>
      <c r="X302" s="12"/>
    </row>
    <row r="303" customFormat="false" ht="15.75" hidden="false" customHeight="false" outlineLevel="0" collapsed="false">
      <c r="A303" s="12"/>
      <c r="B303" s="34"/>
      <c r="C303" s="12"/>
      <c r="D303" s="12"/>
      <c r="E303" s="12"/>
      <c r="F303" s="12"/>
      <c r="G303" s="18"/>
      <c r="H303" s="35"/>
      <c r="I303" s="12"/>
      <c r="M303" s="12"/>
      <c r="N303" s="18"/>
      <c r="O303" s="12"/>
      <c r="P303" s="12"/>
      <c r="Q303" s="12"/>
      <c r="R303" s="36"/>
      <c r="S303" s="36"/>
      <c r="T303" s="12"/>
      <c r="U303" s="12"/>
      <c r="V303" s="12"/>
      <c r="W303" s="12"/>
      <c r="X303" s="12"/>
    </row>
    <row r="304" customFormat="false" ht="15.75" hidden="false" customHeight="false" outlineLevel="0" collapsed="false">
      <c r="A304" s="12"/>
      <c r="B304" s="34"/>
      <c r="C304" s="12"/>
      <c r="D304" s="12"/>
      <c r="E304" s="12"/>
      <c r="F304" s="12"/>
      <c r="G304" s="18"/>
      <c r="H304" s="35"/>
      <c r="I304" s="12"/>
      <c r="M304" s="12"/>
      <c r="N304" s="18"/>
      <c r="O304" s="12"/>
      <c r="P304" s="12"/>
      <c r="Q304" s="12"/>
      <c r="R304" s="36"/>
      <c r="S304" s="36"/>
      <c r="T304" s="12"/>
      <c r="U304" s="12"/>
      <c r="V304" s="12"/>
      <c r="W304" s="12"/>
      <c r="X304" s="12"/>
    </row>
    <row r="305" customFormat="false" ht="15.75" hidden="false" customHeight="false" outlineLevel="0" collapsed="false">
      <c r="A305" s="12"/>
      <c r="B305" s="34"/>
      <c r="C305" s="12"/>
      <c r="D305" s="12"/>
      <c r="E305" s="12"/>
      <c r="F305" s="12"/>
      <c r="G305" s="18"/>
      <c r="H305" s="35"/>
      <c r="I305" s="12"/>
      <c r="M305" s="12"/>
      <c r="N305" s="18"/>
      <c r="O305" s="12"/>
      <c r="P305" s="12"/>
      <c r="Q305" s="12"/>
      <c r="R305" s="36"/>
      <c r="S305" s="36"/>
      <c r="T305" s="12"/>
      <c r="U305" s="12"/>
      <c r="V305" s="12"/>
      <c r="W305" s="12"/>
      <c r="X305" s="12"/>
    </row>
    <row r="306" customFormat="false" ht="15.75" hidden="false" customHeight="false" outlineLevel="0" collapsed="false">
      <c r="A306" s="12"/>
      <c r="B306" s="34"/>
      <c r="C306" s="12"/>
      <c r="D306" s="12"/>
      <c r="E306" s="12"/>
      <c r="F306" s="12"/>
      <c r="G306" s="18"/>
      <c r="H306" s="35"/>
      <c r="I306" s="12"/>
      <c r="M306" s="12"/>
      <c r="N306" s="18"/>
      <c r="O306" s="12"/>
      <c r="P306" s="12"/>
      <c r="Q306" s="12"/>
      <c r="R306" s="36"/>
      <c r="S306" s="36"/>
      <c r="T306" s="12"/>
      <c r="U306" s="12"/>
      <c r="V306" s="12"/>
      <c r="W306" s="12"/>
      <c r="X306" s="12"/>
    </row>
    <row r="307" customFormat="false" ht="15.75" hidden="false" customHeight="false" outlineLevel="0" collapsed="false">
      <c r="A307" s="12"/>
      <c r="B307" s="34"/>
      <c r="C307" s="12"/>
      <c r="D307" s="12"/>
      <c r="E307" s="12"/>
      <c r="F307" s="12"/>
      <c r="G307" s="18"/>
      <c r="H307" s="35"/>
      <c r="I307" s="12"/>
      <c r="M307" s="12"/>
      <c r="N307" s="18"/>
      <c r="O307" s="12"/>
      <c r="P307" s="12"/>
      <c r="Q307" s="12"/>
      <c r="R307" s="36"/>
      <c r="S307" s="36"/>
      <c r="T307" s="12"/>
      <c r="U307" s="12"/>
      <c r="V307" s="12"/>
      <c r="W307" s="12"/>
      <c r="X307" s="12"/>
    </row>
    <row r="308" customFormat="false" ht="15.75" hidden="false" customHeight="false" outlineLevel="0" collapsed="false">
      <c r="A308" s="12"/>
      <c r="B308" s="34"/>
      <c r="C308" s="12"/>
      <c r="D308" s="12"/>
      <c r="E308" s="12"/>
      <c r="F308" s="12"/>
      <c r="G308" s="18"/>
      <c r="H308" s="35"/>
      <c r="I308" s="12"/>
      <c r="M308" s="12"/>
      <c r="N308" s="18"/>
      <c r="O308" s="12"/>
      <c r="P308" s="12"/>
      <c r="Q308" s="12"/>
      <c r="R308" s="36"/>
      <c r="S308" s="36"/>
      <c r="T308" s="12"/>
      <c r="U308" s="12"/>
      <c r="V308" s="12"/>
      <c r="W308" s="12"/>
      <c r="X308" s="12"/>
    </row>
    <row r="309" customFormat="false" ht="15.75" hidden="false" customHeight="false" outlineLevel="0" collapsed="false">
      <c r="A309" s="12"/>
      <c r="B309" s="34"/>
      <c r="C309" s="12"/>
      <c r="D309" s="12"/>
      <c r="E309" s="12"/>
      <c r="F309" s="12"/>
      <c r="G309" s="18"/>
      <c r="H309" s="35"/>
      <c r="I309" s="12"/>
      <c r="M309" s="12"/>
      <c r="N309" s="18"/>
      <c r="O309" s="12"/>
      <c r="P309" s="12"/>
      <c r="Q309" s="12"/>
      <c r="R309" s="36"/>
      <c r="S309" s="36"/>
      <c r="T309" s="12"/>
      <c r="U309" s="12"/>
      <c r="V309" s="12"/>
      <c r="W309" s="12"/>
      <c r="X309" s="12"/>
    </row>
    <row r="310" customFormat="false" ht="15.75" hidden="false" customHeight="false" outlineLevel="0" collapsed="false">
      <c r="A310" s="12"/>
      <c r="B310" s="34"/>
      <c r="C310" s="12"/>
      <c r="D310" s="12"/>
      <c r="E310" s="12"/>
      <c r="F310" s="12"/>
      <c r="G310" s="18"/>
      <c r="H310" s="35"/>
      <c r="I310" s="12"/>
      <c r="M310" s="12"/>
      <c r="N310" s="18"/>
      <c r="O310" s="12"/>
      <c r="P310" s="12"/>
      <c r="Q310" s="12"/>
      <c r="R310" s="36"/>
      <c r="S310" s="36"/>
      <c r="T310" s="12"/>
      <c r="U310" s="12"/>
      <c r="V310" s="12"/>
      <c r="W310" s="12"/>
      <c r="X310" s="12"/>
    </row>
    <row r="311" customFormat="false" ht="15.75" hidden="false" customHeight="false" outlineLevel="0" collapsed="false">
      <c r="A311" s="12"/>
      <c r="B311" s="34"/>
      <c r="C311" s="12"/>
      <c r="D311" s="12"/>
      <c r="E311" s="12"/>
      <c r="F311" s="12"/>
      <c r="G311" s="18"/>
      <c r="H311" s="35"/>
      <c r="I311" s="12"/>
      <c r="M311" s="12"/>
      <c r="N311" s="18"/>
      <c r="O311" s="12"/>
      <c r="P311" s="12"/>
      <c r="Q311" s="12"/>
      <c r="R311" s="36"/>
      <c r="S311" s="36"/>
      <c r="T311" s="12"/>
      <c r="U311" s="12"/>
      <c r="V311" s="12"/>
      <c r="W311" s="12"/>
      <c r="X311" s="12"/>
    </row>
    <row r="312" customFormat="false" ht="15.75" hidden="false" customHeight="false" outlineLevel="0" collapsed="false">
      <c r="A312" s="12"/>
      <c r="B312" s="34"/>
      <c r="C312" s="12"/>
      <c r="D312" s="12"/>
      <c r="E312" s="12"/>
      <c r="F312" s="12"/>
      <c r="G312" s="18"/>
      <c r="H312" s="35"/>
      <c r="I312" s="12"/>
      <c r="M312" s="12"/>
      <c r="N312" s="18"/>
      <c r="O312" s="12"/>
      <c r="P312" s="12"/>
      <c r="Q312" s="12"/>
      <c r="R312" s="36"/>
      <c r="S312" s="36"/>
      <c r="T312" s="12"/>
      <c r="U312" s="12"/>
      <c r="V312" s="12"/>
      <c r="W312" s="12"/>
      <c r="X312" s="12"/>
    </row>
    <row r="313" customFormat="false" ht="15.75" hidden="false" customHeight="false" outlineLevel="0" collapsed="false">
      <c r="A313" s="12"/>
      <c r="B313" s="34"/>
      <c r="C313" s="12"/>
      <c r="D313" s="12"/>
      <c r="E313" s="12"/>
      <c r="F313" s="12"/>
      <c r="G313" s="18"/>
      <c r="H313" s="35"/>
      <c r="I313" s="12"/>
      <c r="M313" s="12"/>
      <c r="N313" s="18"/>
      <c r="O313" s="12"/>
      <c r="P313" s="12"/>
      <c r="Q313" s="12"/>
      <c r="R313" s="36"/>
      <c r="S313" s="36"/>
      <c r="T313" s="12"/>
      <c r="U313" s="12"/>
      <c r="V313" s="12"/>
      <c r="W313" s="12"/>
      <c r="X313" s="12"/>
    </row>
    <row r="314" customFormat="false" ht="15.75" hidden="false" customHeight="false" outlineLevel="0" collapsed="false">
      <c r="A314" s="12"/>
      <c r="B314" s="34"/>
      <c r="C314" s="12"/>
      <c r="D314" s="12"/>
      <c r="E314" s="12"/>
      <c r="F314" s="12"/>
      <c r="G314" s="18"/>
      <c r="H314" s="35"/>
      <c r="I314" s="12"/>
      <c r="M314" s="12"/>
      <c r="N314" s="18"/>
      <c r="O314" s="12"/>
      <c r="P314" s="12"/>
      <c r="Q314" s="12"/>
      <c r="R314" s="36"/>
      <c r="S314" s="36"/>
      <c r="T314" s="12"/>
      <c r="U314" s="12"/>
      <c r="V314" s="12"/>
      <c r="W314" s="12"/>
      <c r="X314" s="12"/>
    </row>
    <row r="315" customFormat="false" ht="15.75" hidden="false" customHeight="false" outlineLevel="0" collapsed="false">
      <c r="A315" s="12"/>
      <c r="B315" s="34"/>
      <c r="C315" s="12"/>
      <c r="D315" s="12"/>
      <c r="E315" s="12"/>
      <c r="F315" s="12"/>
      <c r="G315" s="18"/>
      <c r="H315" s="35"/>
      <c r="I315" s="12"/>
      <c r="M315" s="12"/>
      <c r="N315" s="18"/>
      <c r="O315" s="12"/>
      <c r="P315" s="12"/>
      <c r="Q315" s="12"/>
      <c r="R315" s="36"/>
      <c r="S315" s="36"/>
      <c r="T315" s="12"/>
      <c r="U315" s="12"/>
      <c r="V315" s="12"/>
      <c r="W315" s="12"/>
      <c r="X315" s="12"/>
    </row>
    <row r="316" customFormat="false" ht="15.75" hidden="false" customHeight="false" outlineLevel="0" collapsed="false">
      <c r="A316" s="12"/>
      <c r="B316" s="34"/>
      <c r="C316" s="12"/>
      <c r="D316" s="12"/>
      <c r="E316" s="12"/>
      <c r="F316" s="12"/>
      <c r="G316" s="18"/>
      <c r="H316" s="35"/>
      <c r="I316" s="12"/>
      <c r="M316" s="12"/>
      <c r="N316" s="18"/>
      <c r="O316" s="12"/>
      <c r="P316" s="12"/>
      <c r="Q316" s="12"/>
      <c r="R316" s="36"/>
      <c r="S316" s="36"/>
      <c r="T316" s="12"/>
      <c r="U316" s="12"/>
      <c r="V316" s="12"/>
      <c r="W316" s="12"/>
      <c r="X316" s="12"/>
    </row>
    <row r="317" customFormat="false" ht="15.75" hidden="false" customHeight="false" outlineLevel="0" collapsed="false">
      <c r="A317" s="12"/>
      <c r="B317" s="34"/>
      <c r="C317" s="12"/>
      <c r="D317" s="12"/>
      <c r="E317" s="12"/>
      <c r="F317" s="12"/>
      <c r="G317" s="18"/>
      <c r="H317" s="35"/>
      <c r="I317" s="12"/>
      <c r="M317" s="12"/>
      <c r="N317" s="18"/>
      <c r="O317" s="12"/>
      <c r="P317" s="12"/>
      <c r="Q317" s="12"/>
      <c r="R317" s="36"/>
      <c r="S317" s="36"/>
      <c r="T317" s="12"/>
      <c r="U317" s="12"/>
      <c r="V317" s="12"/>
      <c r="W317" s="12"/>
      <c r="X317" s="12"/>
    </row>
    <row r="318" customFormat="false" ht="15.75" hidden="false" customHeight="false" outlineLevel="0" collapsed="false">
      <c r="A318" s="12"/>
      <c r="B318" s="34"/>
      <c r="C318" s="12"/>
      <c r="D318" s="12"/>
      <c r="E318" s="12"/>
      <c r="F318" s="12"/>
      <c r="G318" s="18"/>
      <c r="H318" s="35"/>
      <c r="I318" s="12"/>
      <c r="M318" s="12"/>
      <c r="N318" s="18"/>
      <c r="O318" s="12"/>
      <c r="P318" s="12"/>
      <c r="Q318" s="12"/>
      <c r="R318" s="36"/>
      <c r="S318" s="36"/>
      <c r="T318" s="12"/>
      <c r="U318" s="12"/>
      <c r="V318" s="12"/>
      <c r="W318" s="12"/>
      <c r="X318" s="12"/>
    </row>
    <row r="319" customFormat="false" ht="15.75" hidden="false" customHeight="false" outlineLevel="0" collapsed="false">
      <c r="A319" s="12"/>
      <c r="B319" s="34"/>
      <c r="C319" s="12"/>
      <c r="D319" s="12"/>
      <c r="E319" s="12"/>
      <c r="F319" s="12"/>
      <c r="G319" s="18"/>
      <c r="H319" s="35"/>
      <c r="I319" s="12"/>
      <c r="M319" s="12"/>
      <c r="N319" s="18"/>
      <c r="O319" s="12"/>
      <c r="P319" s="12"/>
      <c r="Q319" s="12"/>
      <c r="R319" s="36"/>
      <c r="S319" s="36"/>
      <c r="T319" s="12"/>
      <c r="U319" s="12"/>
      <c r="V319" s="12"/>
      <c r="W319" s="12"/>
      <c r="X319" s="12"/>
    </row>
    <row r="320" customFormat="false" ht="15.75" hidden="false" customHeight="false" outlineLevel="0" collapsed="false">
      <c r="A320" s="12"/>
      <c r="B320" s="34"/>
      <c r="C320" s="12"/>
      <c r="D320" s="12"/>
      <c r="E320" s="12"/>
      <c r="F320" s="12"/>
      <c r="G320" s="18"/>
      <c r="H320" s="35"/>
      <c r="I320" s="12"/>
      <c r="M320" s="12"/>
      <c r="N320" s="18"/>
      <c r="O320" s="12"/>
      <c r="P320" s="12"/>
      <c r="Q320" s="12"/>
      <c r="R320" s="36"/>
      <c r="S320" s="36"/>
      <c r="T320" s="12"/>
      <c r="U320" s="12"/>
      <c r="V320" s="12"/>
      <c r="W320" s="12"/>
      <c r="X320" s="12"/>
    </row>
    <row r="321" customFormat="false" ht="15.75" hidden="false" customHeight="false" outlineLevel="0" collapsed="false">
      <c r="A321" s="12"/>
      <c r="B321" s="34"/>
      <c r="C321" s="12"/>
      <c r="D321" s="12"/>
      <c r="E321" s="12"/>
      <c r="F321" s="12"/>
      <c r="G321" s="18"/>
      <c r="H321" s="35"/>
      <c r="I321" s="12"/>
      <c r="M321" s="12"/>
      <c r="N321" s="18"/>
      <c r="O321" s="12"/>
      <c r="P321" s="12"/>
      <c r="Q321" s="12"/>
      <c r="R321" s="36"/>
      <c r="S321" s="36"/>
      <c r="T321" s="12"/>
      <c r="U321" s="12"/>
      <c r="V321" s="12"/>
      <c r="W321" s="12"/>
      <c r="X321" s="12"/>
    </row>
    <row r="322" customFormat="false" ht="15.75" hidden="false" customHeight="false" outlineLevel="0" collapsed="false">
      <c r="A322" s="12"/>
      <c r="B322" s="34"/>
      <c r="C322" s="12"/>
      <c r="D322" s="12"/>
      <c r="E322" s="12"/>
      <c r="F322" s="12"/>
      <c r="G322" s="18"/>
      <c r="H322" s="35"/>
      <c r="I322" s="12"/>
      <c r="M322" s="12"/>
      <c r="N322" s="18"/>
      <c r="O322" s="12"/>
      <c r="P322" s="12"/>
      <c r="Q322" s="12"/>
      <c r="R322" s="36"/>
      <c r="S322" s="36"/>
      <c r="T322" s="12"/>
      <c r="U322" s="12"/>
      <c r="V322" s="12"/>
      <c r="W322" s="12"/>
      <c r="X322" s="12"/>
    </row>
    <row r="323" customFormat="false" ht="15.75" hidden="false" customHeight="false" outlineLevel="0" collapsed="false">
      <c r="A323" s="12"/>
      <c r="B323" s="34"/>
      <c r="C323" s="12"/>
      <c r="D323" s="12"/>
      <c r="E323" s="12"/>
      <c r="F323" s="12"/>
      <c r="G323" s="18"/>
      <c r="H323" s="35"/>
      <c r="I323" s="12"/>
      <c r="M323" s="12"/>
      <c r="N323" s="18"/>
      <c r="O323" s="12"/>
      <c r="P323" s="12"/>
      <c r="Q323" s="12"/>
      <c r="R323" s="36"/>
      <c r="S323" s="36"/>
      <c r="T323" s="12"/>
      <c r="U323" s="12"/>
      <c r="V323" s="12"/>
      <c r="W323" s="12"/>
      <c r="X323" s="12"/>
    </row>
    <row r="324" customFormat="false" ht="15.75" hidden="false" customHeight="false" outlineLevel="0" collapsed="false">
      <c r="A324" s="12"/>
      <c r="B324" s="34"/>
      <c r="C324" s="12"/>
      <c r="D324" s="12"/>
      <c r="E324" s="12"/>
      <c r="F324" s="12"/>
      <c r="G324" s="18"/>
      <c r="H324" s="35"/>
      <c r="I324" s="12"/>
      <c r="M324" s="12"/>
      <c r="N324" s="18"/>
      <c r="O324" s="12"/>
      <c r="P324" s="12"/>
      <c r="Q324" s="12"/>
      <c r="R324" s="36"/>
      <c r="S324" s="36"/>
      <c r="T324" s="12"/>
      <c r="U324" s="12"/>
      <c r="V324" s="12"/>
      <c r="W324" s="12"/>
      <c r="X324" s="12"/>
    </row>
    <row r="325" customFormat="false" ht="15.75" hidden="false" customHeight="false" outlineLevel="0" collapsed="false">
      <c r="A325" s="12"/>
      <c r="B325" s="34"/>
      <c r="C325" s="12"/>
      <c r="D325" s="12"/>
      <c r="E325" s="12"/>
      <c r="F325" s="12"/>
      <c r="G325" s="18"/>
      <c r="H325" s="35"/>
      <c r="I325" s="12"/>
      <c r="M325" s="12"/>
      <c r="N325" s="18"/>
      <c r="O325" s="12"/>
      <c r="P325" s="12"/>
      <c r="Q325" s="12"/>
      <c r="R325" s="36"/>
      <c r="S325" s="36"/>
      <c r="T325" s="12"/>
      <c r="U325" s="12"/>
      <c r="V325" s="12"/>
      <c r="W325" s="12"/>
      <c r="X325" s="12"/>
    </row>
    <row r="326" customFormat="false" ht="15.75" hidden="false" customHeight="false" outlineLevel="0" collapsed="false">
      <c r="A326" s="12"/>
      <c r="B326" s="34"/>
      <c r="C326" s="12"/>
      <c r="D326" s="12"/>
      <c r="E326" s="12"/>
      <c r="F326" s="12"/>
      <c r="G326" s="18"/>
      <c r="H326" s="35"/>
      <c r="I326" s="12"/>
      <c r="M326" s="12"/>
      <c r="N326" s="18"/>
      <c r="O326" s="12"/>
      <c r="P326" s="12"/>
      <c r="Q326" s="12"/>
      <c r="R326" s="36"/>
      <c r="S326" s="36"/>
      <c r="T326" s="12"/>
      <c r="U326" s="12"/>
      <c r="V326" s="12"/>
      <c r="W326" s="12"/>
      <c r="X326" s="12"/>
    </row>
    <row r="327" customFormat="false" ht="15.75" hidden="false" customHeight="false" outlineLevel="0" collapsed="false">
      <c r="A327" s="12"/>
      <c r="B327" s="34"/>
      <c r="C327" s="12"/>
      <c r="D327" s="12"/>
      <c r="E327" s="12"/>
      <c r="F327" s="12"/>
      <c r="G327" s="18"/>
      <c r="H327" s="35"/>
      <c r="I327" s="12"/>
      <c r="M327" s="12"/>
      <c r="N327" s="18"/>
      <c r="O327" s="12"/>
      <c r="P327" s="12"/>
      <c r="Q327" s="12"/>
      <c r="R327" s="36"/>
      <c r="S327" s="36"/>
      <c r="T327" s="12"/>
      <c r="U327" s="12"/>
      <c r="V327" s="12"/>
      <c r="W327" s="12"/>
      <c r="X327" s="12"/>
    </row>
    <row r="328" customFormat="false" ht="15.75" hidden="false" customHeight="false" outlineLevel="0" collapsed="false">
      <c r="A328" s="12"/>
      <c r="B328" s="34"/>
      <c r="C328" s="12"/>
      <c r="D328" s="12"/>
      <c r="E328" s="12"/>
      <c r="F328" s="12"/>
      <c r="G328" s="18"/>
      <c r="H328" s="35"/>
      <c r="I328" s="12"/>
      <c r="M328" s="12"/>
      <c r="N328" s="18"/>
      <c r="O328" s="12"/>
      <c r="P328" s="12"/>
      <c r="Q328" s="12"/>
      <c r="R328" s="36"/>
      <c r="S328" s="36"/>
      <c r="T328" s="12"/>
      <c r="U328" s="12"/>
      <c r="V328" s="12"/>
      <c r="W328" s="12"/>
      <c r="X328" s="12"/>
    </row>
    <row r="329" customFormat="false" ht="15.75" hidden="false" customHeight="false" outlineLevel="0" collapsed="false">
      <c r="A329" s="12"/>
      <c r="B329" s="34"/>
      <c r="C329" s="12"/>
      <c r="D329" s="12"/>
      <c r="E329" s="12"/>
      <c r="F329" s="12"/>
      <c r="G329" s="18"/>
      <c r="H329" s="35"/>
      <c r="I329" s="12"/>
      <c r="M329" s="12"/>
      <c r="N329" s="18"/>
      <c r="O329" s="12"/>
      <c r="P329" s="12"/>
      <c r="Q329" s="12"/>
      <c r="R329" s="36"/>
      <c r="S329" s="36"/>
      <c r="T329" s="12"/>
      <c r="U329" s="12"/>
      <c r="V329" s="12"/>
      <c r="W329" s="12"/>
      <c r="X329" s="12"/>
    </row>
    <row r="330" customFormat="false" ht="15.75" hidden="false" customHeight="false" outlineLevel="0" collapsed="false">
      <c r="A330" s="12"/>
      <c r="B330" s="34"/>
      <c r="C330" s="12"/>
      <c r="D330" s="12"/>
      <c r="E330" s="12"/>
      <c r="F330" s="12"/>
      <c r="G330" s="18"/>
      <c r="H330" s="35"/>
      <c r="I330" s="12"/>
      <c r="M330" s="12"/>
      <c r="N330" s="18"/>
      <c r="O330" s="12"/>
      <c r="P330" s="12"/>
      <c r="Q330" s="12"/>
      <c r="R330" s="36"/>
      <c r="S330" s="36"/>
      <c r="T330" s="12"/>
      <c r="U330" s="12"/>
      <c r="V330" s="12"/>
      <c r="W330" s="12"/>
      <c r="X330" s="12"/>
    </row>
    <row r="331" customFormat="false" ht="15.75" hidden="false" customHeight="false" outlineLevel="0" collapsed="false">
      <c r="A331" s="12"/>
      <c r="B331" s="34"/>
      <c r="C331" s="12"/>
      <c r="D331" s="12"/>
      <c r="E331" s="12"/>
      <c r="F331" s="12"/>
      <c r="G331" s="18"/>
      <c r="H331" s="35"/>
      <c r="I331" s="12"/>
      <c r="M331" s="12"/>
      <c r="N331" s="18"/>
      <c r="O331" s="12"/>
      <c r="P331" s="12"/>
      <c r="Q331" s="12"/>
      <c r="R331" s="36"/>
      <c r="S331" s="36"/>
      <c r="T331" s="12"/>
      <c r="U331" s="12"/>
      <c r="V331" s="12"/>
      <c r="W331" s="12"/>
      <c r="X331" s="12"/>
    </row>
    <row r="332" customFormat="false" ht="15.75" hidden="false" customHeight="false" outlineLevel="0" collapsed="false">
      <c r="A332" s="12"/>
      <c r="B332" s="34"/>
      <c r="C332" s="12"/>
      <c r="D332" s="12"/>
      <c r="E332" s="12"/>
      <c r="F332" s="12"/>
      <c r="G332" s="18"/>
      <c r="H332" s="35"/>
      <c r="I332" s="12"/>
      <c r="M332" s="12"/>
      <c r="N332" s="18"/>
      <c r="O332" s="12"/>
      <c r="P332" s="12"/>
      <c r="Q332" s="12"/>
      <c r="R332" s="36"/>
      <c r="S332" s="36"/>
      <c r="T332" s="12"/>
      <c r="U332" s="12"/>
      <c r="V332" s="12"/>
      <c r="W332" s="12"/>
      <c r="X332" s="12"/>
    </row>
    <row r="333" customFormat="false" ht="15.75" hidden="false" customHeight="false" outlineLevel="0" collapsed="false">
      <c r="A333" s="12"/>
      <c r="B333" s="34"/>
      <c r="C333" s="12"/>
      <c r="D333" s="12"/>
      <c r="E333" s="12"/>
      <c r="F333" s="12"/>
      <c r="G333" s="18"/>
      <c r="H333" s="35"/>
      <c r="I333" s="12"/>
      <c r="M333" s="12"/>
      <c r="N333" s="18"/>
      <c r="O333" s="12"/>
      <c r="P333" s="12"/>
      <c r="Q333" s="12"/>
      <c r="R333" s="36"/>
      <c r="S333" s="36"/>
      <c r="T333" s="12"/>
      <c r="U333" s="12"/>
      <c r="V333" s="12"/>
      <c r="W333" s="12"/>
      <c r="X333" s="12"/>
    </row>
    <row r="334" customFormat="false" ht="15.75" hidden="false" customHeight="false" outlineLevel="0" collapsed="false">
      <c r="A334" s="12"/>
      <c r="B334" s="34"/>
      <c r="C334" s="12"/>
      <c r="D334" s="12"/>
      <c r="E334" s="12"/>
      <c r="F334" s="12"/>
      <c r="G334" s="18"/>
      <c r="H334" s="35"/>
      <c r="I334" s="12"/>
      <c r="M334" s="12"/>
      <c r="N334" s="18"/>
      <c r="O334" s="12"/>
      <c r="P334" s="12"/>
      <c r="Q334" s="12"/>
      <c r="R334" s="36"/>
      <c r="S334" s="36"/>
      <c r="T334" s="12"/>
      <c r="U334" s="12"/>
      <c r="V334" s="12"/>
      <c r="W334" s="12"/>
      <c r="X334" s="12"/>
    </row>
    <row r="335" customFormat="false" ht="15.75" hidden="false" customHeight="false" outlineLevel="0" collapsed="false">
      <c r="A335" s="12"/>
      <c r="B335" s="34"/>
      <c r="C335" s="12"/>
      <c r="D335" s="12"/>
      <c r="E335" s="12"/>
      <c r="F335" s="12"/>
      <c r="G335" s="18"/>
      <c r="H335" s="35"/>
      <c r="I335" s="12"/>
      <c r="M335" s="12"/>
      <c r="N335" s="18"/>
      <c r="O335" s="12"/>
      <c r="P335" s="12"/>
      <c r="Q335" s="12"/>
      <c r="R335" s="36"/>
      <c r="S335" s="36"/>
      <c r="T335" s="12"/>
      <c r="U335" s="12"/>
      <c r="V335" s="12"/>
      <c r="W335" s="12"/>
      <c r="X335" s="12"/>
    </row>
    <row r="336" customFormat="false" ht="15.75" hidden="false" customHeight="false" outlineLevel="0" collapsed="false">
      <c r="A336" s="12"/>
      <c r="B336" s="34"/>
      <c r="C336" s="12"/>
      <c r="D336" s="12"/>
      <c r="E336" s="12"/>
      <c r="F336" s="12"/>
      <c r="G336" s="18"/>
      <c r="H336" s="35"/>
      <c r="I336" s="12"/>
      <c r="M336" s="12"/>
      <c r="N336" s="18"/>
      <c r="O336" s="12"/>
      <c r="P336" s="12"/>
      <c r="Q336" s="12"/>
      <c r="R336" s="36"/>
      <c r="S336" s="36"/>
      <c r="T336" s="12"/>
      <c r="U336" s="12"/>
      <c r="V336" s="12"/>
      <c r="W336" s="12"/>
      <c r="X336" s="12"/>
    </row>
    <row r="337" customFormat="false" ht="15.75" hidden="false" customHeight="false" outlineLevel="0" collapsed="false">
      <c r="A337" s="12"/>
      <c r="B337" s="34"/>
      <c r="C337" s="12"/>
      <c r="D337" s="12"/>
      <c r="E337" s="12"/>
      <c r="F337" s="12"/>
      <c r="G337" s="18"/>
      <c r="H337" s="35"/>
      <c r="I337" s="12"/>
      <c r="M337" s="12"/>
      <c r="N337" s="18"/>
      <c r="O337" s="12"/>
      <c r="P337" s="12"/>
      <c r="Q337" s="12"/>
      <c r="R337" s="36"/>
      <c r="S337" s="36"/>
      <c r="T337" s="12"/>
      <c r="U337" s="12"/>
      <c r="V337" s="12"/>
      <c r="W337" s="12"/>
      <c r="X337" s="12"/>
    </row>
    <row r="338" customFormat="false" ht="15.75" hidden="false" customHeight="false" outlineLevel="0" collapsed="false">
      <c r="A338" s="12"/>
      <c r="B338" s="34"/>
      <c r="C338" s="12"/>
      <c r="D338" s="12"/>
      <c r="E338" s="12"/>
      <c r="F338" s="12"/>
      <c r="G338" s="18"/>
      <c r="H338" s="35"/>
      <c r="I338" s="12"/>
      <c r="M338" s="12"/>
      <c r="N338" s="18"/>
      <c r="O338" s="12"/>
      <c r="P338" s="12"/>
      <c r="Q338" s="12"/>
      <c r="R338" s="36"/>
      <c r="S338" s="36"/>
      <c r="T338" s="12"/>
      <c r="U338" s="12"/>
      <c r="V338" s="12"/>
      <c r="W338" s="12"/>
      <c r="X338" s="12"/>
    </row>
    <row r="339" customFormat="false" ht="15.75" hidden="false" customHeight="false" outlineLevel="0" collapsed="false">
      <c r="A339" s="12"/>
      <c r="B339" s="34"/>
      <c r="C339" s="12"/>
      <c r="D339" s="12"/>
      <c r="E339" s="12"/>
      <c r="F339" s="12"/>
      <c r="G339" s="18"/>
      <c r="H339" s="35"/>
      <c r="I339" s="12"/>
      <c r="M339" s="12"/>
      <c r="N339" s="18"/>
      <c r="O339" s="12"/>
      <c r="P339" s="12"/>
      <c r="Q339" s="12"/>
      <c r="R339" s="36"/>
      <c r="S339" s="36"/>
      <c r="T339" s="12"/>
      <c r="U339" s="12"/>
      <c r="V339" s="12"/>
      <c r="W339" s="12"/>
      <c r="X339" s="12"/>
    </row>
    <row r="340" customFormat="false" ht="15.75" hidden="false" customHeight="false" outlineLevel="0" collapsed="false">
      <c r="A340" s="12"/>
      <c r="B340" s="34"/>
      <c r="C340" s="12"/>
      <c r="D340" s="12"/>
      <c r="E340" s="12"/>
      <c r="F340" s="12"/>
      <c r="G340" s="18"/>
      <c r="H340" s="35"/>
      <c r="I340" s="12"/>
      <c r="M340" s="12"/>
      <c r="N340" s="18"/>
      <c r="O340" s="12"/>
      <c r="P340" s="12"/>
      <c r="Q340" s="12"/>
      <c r="R340" s="36"/>
      <c r="S340" s="36"/>
      <c r="T340" s="12"/>
      <c r="U340" s="12"/>
      <c r="V340" s="12"/>
      <c r="W340" s="12"/>
      <c r="X340" s="12"/>
    </row>
    <row r="341" customFormat="false" ht="15.75" hidden="false" customHeight="false" outlineLevel="0" collapsed="false">
      <c r="A341" s="12"/>
      <c r="B341" s="34"/>
      <c r="C341" s="12"/>
      <c r="D341" s="12"/>
      <c r="E341" s="12"/>
      <c r="F341" s="12"/>
      <c r="G341" s="18"/>
      <c r="H341" s="35"/>
      <c r="I341" s="12"/>
      <c r="M341" s="12"/>
      <c r="N341" s="18"/>
      <c r="O341" s="12"/>
      <c r="P341" s="12"/>
      <c r="Q341" s="12"/>
      <c r="R341" s="36"/>
      <c r="S341" s="36"/>
      <c r="T341" s="12"/>
      <c r="U341" s="12"/>
      <c r="V341" s="12"/>
      <c r="W341" s="12"/>
      <c r="X341" s="12"/>
    </row>
    <row r="342" customFormat="false" ht="15.75" hidden="false" customHeight="false" outlineLevel="0" collapsed="false">
      <c r="A342" s="12"/>
      <c r="B342" s="34"/>
      <c r="C342" s="12"/>
      <c r="D342" s="12"/>
      <c r="E342" s="12"/>
      <c r="F342" s="12"/>
      <c r="G342" s="18"/>
      <c r="H342" s="35"/>
      <c r="I342" s="12"/>
      <c r="M342" s="12"/>
      <c r="N342" s="18"/>
      <c r="O342" s="12"/>
      <c r="P342" s="12"/>
      <c r="Q342" s="12"/>
      <c r="R342" s="36"/>
      <c r="S342" s="36"/>
      <c r="T342" s="12"/>
      <c r="U342" s="12"/>
      <c r="V342" s="12"/>
      <c r="W342" s="12"/>
      <c r="X342" s="12"/>
    </row>
    <row r="343" customFormat="false" ht="15.75" hidden="false" customHeight="false" outlineLevel="0" collapsed="false">
      <c r="A343" s="12"/>
      <c r="B343" s="34"/>
      <c r="C343" s="12"/>
      <c r="D343" s="12"/>
      <c r="E343" s="12"/>
      <c r="F343" s="12"/>
      <c r="G343" s="18"/>
      <c r="H343" s="35"/>
      <c r="I343" s="12"/>
      <c r="M343" s="12"/>
      <c r="N343" s="18"/>
      <c r="O343" s="12"/>
      <c r="P343" s="12"/>
      <c r="Q343" s="12"/>
      <c r="R343" s="36"/>
      <c r="S343" s="36"/>
      <c r="T343" s="12"/>
      <c r="U343" s="12"/>
      <c r="V343" s="12"/>
      <c r="W343" s="12"/>
      <c r="X343" s="12"/>
    </row>
    <row r="344" customFormat="false" ht="15.75" hidden="false" customHeight="false" outlineLevel="0" collapsed="false">
      <c r="A344" s="12"/>
      <c r="B344" s="34"/>
      <c r="C344" s="12"/>
      <c r="D344" s="12"/>
      <c r="E344" s="12"/>
      <c r="F344" s="12"/>
      <c r="G344" s="18"/>
      <c r="H344" s="35"/>
      <c r="I344" s="12"/>
      <c r="M344" s="12"/>
      <c r="N344" s="18"/>
      <c r="O344" s="12"/>
      <c r="P344" s="12"/>
      <c r="Q344" s="12"/>
      <c r="R344" s="36"/>
      <c r="S344" s="36"/>
      <c r="T344" s="12"/>
      <c r="U344" s="12"/>
      <c r="V344" s="12"/>
      <c r="W344" s="12"/>
      <c r="X344" s="12"/>
    </row>
    <row r="345" customFormat="false" ht="15.75" hidden="false" customHeight="false" outlineLevel="0" collapsed="false">
      <c r="A345" s="12"/>
      <c r="B345" s="34"/>
      <c r="C345" s="12"/>
      <c r="D345" s="12"/>
      <c r="E345" s="12"/>
      <c r="F345" s="12"/>
      <c r="G345" s="18"/>
      <c r="H345" s="35"/>
      <c r="I345" s="12"/>
      <c r="M345" s="12"/>
      <c r="N345" s="18"/>
      <c r="O345" s="12"/>
      <c r="P345" s="12"/>
      <c r="Q345" s="12"/>
      <c r="R345" s="36"/>
      <c r="S345" s="36"/>
      <c r="T345" s="12"/>
      <c r="U345" s="12"/>
      <c r="V345" s="12"/>
      <c r="W345" s="12"/>
      <c r="X345" s="12"/>
    </row>
    <row r="346" customFormat="false" ht="15.75" hidden="false" customHeight="false" outlineLevel="0" collapsed="false">
      <c r="A346" s="12"/>
      <c r="B346" s="34"/>
      <c r="C346" s="12"/>
      <c r="D346" s="12"/>
      <c r="E346" s="12"/>
      <c r="F346" s="12"/>
      <c r="G346" s="18"/>
      <c r="H346" s="35"/>
      <c r="I346" s="12"/>
      <c r="M346" s="12"/>
      <c r="N346" s="18"/>
      <c r="O346" s="12"/>
      <c r="P346" s="12"/>
      <c r="Q346" s="12"/>
      <c r="R346" s="36"/>
      <c r="S346" s="36"/>
      <c r="T346" s="12"/>
      <c r="U346" s="12"/>
      <c r="V346" s="12"/>
      <c r="W346" s="12"/>
      <c r="X346" s="12"/>
    </row>
    <row r="347" customFormat="false" ht="15.75" hidden="false" customHeight="false" outlineLevel="0" collapsed="false">
      <c r="A347" s="12"/>
      <c r="B347" s="34"/>
      <c r="C347" s="12"/>
      <c r="D347" s="12"/>
      <c r="E347" s="12"/>
      <c r="F347" s="12"/>
      <c r="G347" s="18"/>
      <c r="H347" s="35"/>
      <c r="I347" s="12"/>
      <c r="M347" s="12"/>
      <c r="N347" s="18"/>
      <c r="O347" s="12"/>
      <c r="P347" s="12"/>
      <c r="Q347" s="12"/>
      <c r="R347" s="36"/>
      <c r="S347" s="36"/>
      <c r="T347" s="12"/>
      <c r="U347" s="12"/>
      <c r="V347" s="12"/>
      <c r="W347" s="12"/>
      <c r="X347" s="12"/>
    </row>
    <row r="348" customFormat="false" ht="15.75" hidden="false" customHeight="false" outlineLevel="0" collapsed="false">
      <c r="A348" s="12"/>
      <c r="B348" s="34"/>
      <c r="C348" s="12"/>
      <c r="D348" s="12"/>
      <c r="E348" s="12"/>
      <c r="F348" s="12"/>
      <c r="G348" s="18"/>
      <c r="H348" s="35"/>
      <c r="I348" s="12"/>
      <c r="M348" s="12"/>
      <c r="N348" s="18"/>
      <c r="O348" s="12"/>
      <c r="P348" s="12"/>
      <c r="Q348" s="12"/>
      <c r="R348" s="36"/>
      <c r="S348" s="36"/>
      <c r="T348" s="12"/>
      <c r="U348" s="12"/>
      <c r="V348" s="12"/>
      <c r="W348" s="12"/>
      <c r="X348" s="12"/>
    </row>
    <row r="349" customFormat="false" ht="15.75" hidden="false" customHeight="false" outlineLevel="0" collapsed="false">
      <c r="A349" s="12"/>
      <c r="B349" s="34"/>
      <c r="C349" s="12"/>
      <c r="D349" s="12"/>
      <c r="E349" s="12"/>
      <c r="F349" s="12"/>
      <c r="G349" s="18"/>
      <c r="H349" s="35"/>
      <c r="I349" s="12"/>
      <c r="M349" s="12"/>
      <c r="N349" s="18"/>
      <c r="O349" s="12"/>
      <c r="P349" s="12"/>
      <c r="Q349" s="12"/>
      <c r="R349" s="36"/>
      <c r="S349" s="36"/>
      <c r="T349" s="12"/>
      <c r="U349" s="12"/>
      <c r="V349" s="12"/>
      <c r="W349" s="12"/>
      <c r="X349" s="12"/>
    </row>
    <row r="350" customFormat="false" ht="15.75" hidden="false" customHeight="false" outlineLevel="0" collapsed="false">
      <c r="A350" s="12"/>
      <c r="B350" s="34"/>
      <c r="C350" s="12"/>
      <c r="D350" s="12"/>
      <c r="E350" s="12"/>
      <c r="F350" s="12"/>
      <c r="G350" s="18"/>
      <c r="H350" s="35"/>
      <c r="I350" s="12"/>
      <c r="M350" s="12"/>
      <c r="N350" s="18"/>
      <c r="O350" s="12"/>
      <c r="P350" s="12"/>
      <c r="Q350" s="12"/>
      <c r="R350" s="36"/>
      <c r="S350" s="36"/>
      <c r="T350" s="12"/>
      <c r="U350" s="12"/>
      <c r="V350" s="12"/>
      <c r="W350" s="12"/>
      <c r="X350" s="12"/>
    </row>
    <row r="351" customFormat="false" ht="15.75" hidden="false" customHeight="false" outlineLevel="0" collapsed="false">
      <c r="A351" s="12"/>
      <c r="B351" s="34"/>
      <c r="C351" s="12"/>
      <c r="D351" s="12"/>
      <c r="E351" s="12"/>
      <c r="F351" s="12"/>
      <c r="G351" s="18"/>
      <c r="H351" s="35"/>
      <c r="I351" s="12"/>
      <c r="M351" s="12"/>
      <c r="N351" s="18"/>
      <c r="O351" s="12"/>
      <c r="P351" s="12"/>
      <c r="Q351" s="12"/>
      <c r="R351" s="36"/>
      <c r="S351" s="36"/>
      <c r="T351" s="12"/>
      <c r="U351" s="12"/>
      <c r="V351" s="12"/>
      <c r="W351" s="12"/>
      <c r="X351" s="12"/>
    </row>
    <row r="352" customFormat="false" ht="15.75" hidden="false" customHeight="false" outlineLevel="0" collapsed="false">
      <c r="A352" s="12"/>
      <c r="B352" s="34"/>
      <c r="C352" s="12"/>
      <c r="D352" s="12"/>
      <c r="E352" s="12"/>
      <c r="F352" s="12"/>
      <c r="G352" s="18"/>
      <c r="H352" s="35"/>
      <c r="I352" s="12"/>
      <c r="M352" s="12"/>
      <c r="N352" s="18"/>
      <c r="O352" s="12"/>
      <c r="P352" s="12"/>
      <c r="Q352" s="12"/>
      <c r="R352" s="36"/>
      <c r="S352" s="36"/>
      <c r="T352" s="12"/>
      <c r="U352" s="12"/>
      <c r="V352" s="12"/>
      <c r="W352" s="12"/>
      <c r="X352" s="12"/>
    </row>
    <row r="353" customFormat="false" ht="15.75" hidden="false" customHeight="false" outlineLevel="0" collapsed="false">
      <c r="A353" s="12"/>
      <c r="B353" s="34"/>
      <c r="C353" s="12"/>
      <c r="D353" s="12"/>
      <c r="E353" s="12"/>
      <c r="F353" s="12"/>
      <c r="G353" s="18"/>
      <c r="H353" s="35"/>
      <c r="I353" s="12"/>
      <c r="M353" s="12"/>
      <c r="N353" s="18"/>
      <c r="O353" s="12"/>
      <c r="P353" s="12"/>
      <c r="Q353" s="12"/>
      <c r="R353" s="36"/>
      <c r="S353" s="36"/>
      <c r="T353" s="12"/>
      <c r="U353" s="12"/>
      <c r="V353" s="12"/>
      <c r="W353" s="12"/>
      <c r="X353" s="12"/>
    </row>
    <row r="354" customFormat="false" ht="15.75" hidden="false" customHeight="false" outlineLevel="0" collapsed="false">
      <c r="A354" s="12"/>
      <c r="B354" s="34"/>
      <c r="C354" s="12"/>
      <c r="D354" s="12"/>
      <c r="E354" s="12"/>
      <c r="F354" s="12"/>
      <c r="G354" s="18"/>
      <c r="H354" s="35"/>
      <c r="I354" s="12"/>
      <c r="M354" s="12"/>
      <c r="N354" s="18"/>
      <c r="O354" s="12"/>
      <c r="P354" s="12"/>
      <c r="Q354" s="12"/>
      <c r="R354" s="36"/>
      <c r="S354" s="36"/>
      <c r="T354" s="12"/>
      <c r="U354" s="12"/>
      <c r="V354" s="12"/>
      <c r="W354" s="12"/>
      <c r="X354" s="12"/>
    </row>
    <row r="355" customFormat="false" ht="15.75" hidden="false" customHeight="false" outlineLevel="0" collapsed="false">
      <c r="A355" s="12"/>
      <c r="B355" s="34"/>
      <c r="C355" s="12"/>
      <c r="D355" s="12"/>
      <c r="E355" s="12"/>
      <c r="F355" s="12"/>
      <c r="G355" s="18"/>
      <c r="H355" s="35"/>
      <c r="I355" s="12"/>
      <c r="M355" s="12"/>
      <c r="N355" s="18"/>
      <c r="O355" s="12"/>
      <c r="P355" s="12"/>
      <c r="Q355" s="12"/>
      <c r="R355" s="36"/>
      <c r="S355" s="36"/>
      <c r="T355" s="12"/>
      <c r="U355" s="12"/>
      <c r="V355" s="12"/>
      <c r="W355" s="12"/>
      <c r="X355" s="12"/>
    </row>
    <row r="356" customFormat="false" ht="15.75" hidden="false" customHeight="false" outlineLevel="0" collapsed="false">
      <c r="A356" s="12"/>
      <c r="B356" s="34"/>
      <c r="C356" s="12"/>
      <c r="D356" s="12"/>
      <c r="E356" s="12"/>
      <c r="F356" s="12"/>
      <c r="G356" s="18"/>
      <c r="H356" s="35"/>
      <c r="I356" s="12"/>
      <c r="M356" s="12"/>
      <c r="N356" s="18"/>
      <c r="O356" s="12"/>
      <c r="P356" s="12"/>
      <c r="Q356" s="12"/>
      <c r="R356" s="36"/>
      <c r="S356" s="36"/>
      <c r="T356" s="12"/>
      <c r="U356" s="12"/>
      <c r="V356" s="12"/>
      <c r="W356" s="12"/>
      <c r="X356" s="12"/>
    </row>
    <row r="357" customFormat="false" ht="15.75" hidden="false" customHeight="false" outlineLevel="0" collapsed="false">
      <c r="A357" s="12"/>
      <c r="B357" s="34"/>
      <c r="C357" s="12"/>
      <c r="D357" s="12"/>
      <c r="E357" s="12"/>
      <c r="F357" s="12"/>
      <c r="G357" s="18"/>
      <c r="H357" s="35"/>
      <c r="I357" s="12"/>
      <c r="M357" s="12"/>
      <c r="N357" s="18"/>
      <c r="O357" s="12"/>
      <c r="P357" s="12"/>
      <c r="Q357" s="12"/>
      <c r="R357" s="36"/>
      <c r="S357" s="36"/>
      <c r="T357" s="12"/>
      <c r="U357" s="12"/>
      <c r="V357" s="12"/>
      <c r="W357" s="12"/>
      <c r="X357" s="12"/>
    </row>
    <row r="358" customFormat="false" ht="15.75" hidden="false" customHeight="false" outlineLevel="0" collapsed="false">
      <c r="A358" s="12"/>
      <c r="B358" s="34"/>
      <c r="C358" s="12"/>
      <c r="D358" s="12"/>
      <c r="E358" s="12"/>
      <c r="F358" s="12"/>
      <c r="G358" s="18"/>
      <c r="H358" s="35"/>
      <c r="I358" s="12"/>
      <c r="M358" s="12"/>
      <c r="N358" s="18"/>
      <c r="O358" s="12"/>
      <c r="P358" s="12"/>
      <c r="Q358" s="12"/>
      <c r="R358" s="36"/>
      <c r="S358" s="36"/>
      <c r="T358" s="12"/>
      <c r="U358" s="12"/>
      <c r="V358" s="12"/>
      <c r="W358" s="12"/>
      <c r="X358" s="12"/>
    </row>
    <row r="359" customFormat="false" ht="15.75" hidden="false" customHeight="false" outlineLevel="0" collapsed="false">
      <c r="A359" s="12"/>
      <c r="B359" s="34"/>
      <c r="C359" s="12"/>
      <c r="D359" s="12"/>
      <c r="E359" s="12"/>
      <c r="F359" s="12"/>
      <c r="G359" s="18"/>
      <c r="H359" s="35"/>
      <c r="I359" s="12"/>
      <c r="M359" s="12"/>
      <c r="N359" s="18"/>
      <c r="O359" s="12"/>
      <c r="P359" s="12"/>
      <c r="Q359" s="12"/>
      <c r="R359" s="36"/>
      <c r="S359" s="36"/>
      <c r="T359" s="12"/>
      <c r="U359" s="12"/>
      <c r="V359" s="12"/>
      <c r="W359" s="12"/>
      <c r="X359" s="12"/>
    </row>
    <row r="360" customFormat="false" ht="15.75" hidden="false" customHeight="false" outlineLevel="0" collapsed="false">
      <c r="A360" s="12"/>
      <c r="B360" s="34"/>
      <c r="C360" s="12"/>
      <c r="D360" s="12"/>
      <c r="E360" s="12"/>
      <c r="F360" s="12"/>
      <c r="G360" s="18"/>
      <c r="H360" s="35"/>
      <c r="I360" s="12"/>
      <c r="M360" s="12"/>
      <c r="N360" s="18"/>
      <c r="O360" s="12"/>
      <c r="P360" s="12"/>
      <c r="Q360" s="12"/>
      <c r="R360" s="36"/>
      <c r="S360" s="36"/>
      <c r="T360" s="12"/>
      <c r="U360" s="12"/>
      <c r="V360" s="12"/>
      <c r="W360" s="12"/>
      <c r="X360" s="12"/>
    </row>
    <row r="361" customFormat="false" ht="15.75" hidden="false" customHeight="false" outlineLevel="0" collapsed="false">
      <c r="A361" s="12"/>
      <c r="B361" s="34"/>
      <c r="C361" s="12"/>
      <c r="D361" s="12"/>
      <c r="E361" s="12"/>
      <c r="F361" s="12"/>
      <c r="G361" s="18"/>
      <c r="H361" s="35"/>
      <c r="I361" s="12"/>
      <c r="M361" s="12"/>
      <c r="N361" s="18"/>
      <c r="O361" s="12"/>
      <c r="P361" s="12"/>
      <c r="Q361" s="12"/>
      <c r="R361" s="36"/>
      <c r="S361" s="36"/>
      <c r="T361" s="12"/>
      <c r="U361" s="12"/>
      <c r="V361" s="12"/>
      <c r="W361" s="12"/>
      <c r="X361" s="12"/>
    </row>
    <row r="362" customFormat="false" ht="15.75" hidden="false" customHeight="false" outlineLevel="0" collapsed="false">
      <c r="A362" s="12"/>
      <c r="B362" s="34"/>
      <c r="C362" s="12"/>
      <c r="D362" s="12"/>
      <c r="E362" s="12"/>
      <c r="F362" s="12"/>
      <c r="G362" s="18"/>
      <c r="H362" s="35"/>
      <c r="I362" s="12"/>
      <c r="M362" s="12"/>
      <c r="N362" s="18"/>
      <c r="O362" s="12"/>
      <c r="P362" s="12"/>
      <c r="Q362" s="12"/>
      <c r="R362" s="36"/>
      <c r="S362" s="36"/>
      <c r="T362" s="12"/>
      <c r="U362" s="12"/>
      <c r="V362" s="12"/>
      <c r="W362" s="12"/>
      <c r="X362" s="12"/>
    </row>
    <row r="363" customFormat="false" ht="15.75" hidden="false" customHeight="false" outlineLevel="0" collapsed="false">
      <c r="A363" s="12"/>
      <c r="B363" s="34"/>
      <c r="C363" s="12"/>
      <c r="D363" s="12"/>
      <c r="E363" s="12"/>
      <c r="F363" s="12"/>
      <c r="G363" s="18"/>
      <c r="H363" s="35"/>
      <c r="I363" s="12"/>
      <c r="M363" s="12"/>
      <c r="N363" s="18"/>
      <c r="O363" s="12"/>
      <c r="P363" s="12"/>
      <c r="Q363" s="12"/>
      <c r="R363" s="36"/>
      <c r="S363" s="36"/>
      <c r="T363" s="12"/>
      <c r="U363" s="12"/>
      <c r="V363" s="12"/>
      <c r="W363" s="12"/>
      <c r="X363" s="12"/>
    </row>
    <row r="364" customFormat="false" ht="15.75" hidden="false" customHeight="false" outlineLevel="0" collapsed="false">
      <c r="A364" s="12"/>
      <c r="B364" s="34"/>
      <c r="C364" s="12"/>
      <c r="D364" s="12"/>
      <c r="E364" s="12"/>
      <c r="F364" s="12"/>
      <c r="G364" s="18"/>
      <c r="H364" s="35"/>
      <c r="I364" s="12"/>
      <c r="M364" s="12"/>
      <c r="N364" s="18"/>
      <c r="O364" s="12"/>
      <c r="P364" s="12"/>
      <c r="Q364" s="12"/>
      <c r="R364" s="36"/>
      <c r="S364" s="36"/>
      <c r="T364" s="12"/>
      <c r="U364" s="12"/>
      <c r="V364" s="12"/>
      <c r="W364" s="12"/>
      <c r="X364" s="12"/>
    </row>
    <row r="365" customFormat="false" ht="15.75" hidden="false" customHeight="false" outlineLevel="0" collapsed="false">
      <c r="A365" s="12"/>
      <c r="B365" s="34"/>
      <c r="C365" s="12"/>
      <c r="D365" s="12"/>
      <c r="E365" s="12"/>
      <c r="F365" s="12"/>
      <c r="G365" s="18"/>
      <c r="H365" s="35"/>
      <c r="I365" s="12"/>
      <c r="M365" s="12"/>
      <c r="N365" s="18"/>
      <c r="O365" s="12"/>
      <c r="P365" s="12"/>
      <c r="Q365" s="12"/>
      <c r="R365" s="36"/>
      <c r="S365" s="36"/>
      <c r="T365" s="12"/>
      <c r="U365" s="12"/>
      <c r="V365" s="12"/>
      <c r="W365" s="12"/>
      <c r="X365" s="12"/>
    </row>
    <row r="366" customFormat="false" ht="15.75" hidden="false" customHeight="false" outlineLevel="0" collapsed="false">
      <c r="A366" s="12"/>
      <c r="B366" s="34"/>
      <c r="C366" s="12"/>
      <c r="D366" s="12"/>
      <c r="E366" s="12"/>
      <c r="F366" s="12"/>
      <c r="G366" s="18"/>
      <c r="H366" s="35"/>
      <c r="I366" s="12"/>
      <c r="M366" s="12"/>
      <c r="N366" s="18"/>
      <c r="O366" s="12"/>
      <c r="P366" s="12"/>
      <c r="Q366" s="12"/>
      <c r="R366" s="36"/>
      <c r="S366" s="36"/>
      <c r="T366" s="12"/>
      <c r="U366" s="12"/>
      <c r="V366" s="12"/>
      <c r="W366" s="12"/>
      <c r="X366" s="12"/>
    </row>
    <row r="367" customFormat="false" ht="15.75" hidden="false" customHeight="false" outlineLevel="0" collapsed="false">
      <c r="A367" s="12"/>
      <c r="B367" s="34"/>
      <c r="C367" s="12"/>
      <c r="D367" s="12"/>
      <c r="E367" s="12"/>
      <c r="F367" s="12"/>
      <c r="G367" s="18"/>
      <c r="H367" s="35"/>
      <c r="I367" s="12"/>
      <c r="M367" s="12"/>
      <c r="N367" s="18"/>
      <c r="O367" s="12"/>
      <c r="P367" s="12"/>
      <c r="Q367" s="12"/>
      <c r="R367" s="36"/>
      <c r="S367" s="36"/>
      <c r="T367" s="12"/>
      <c r="U367" s="12"/>
      <c r="V367" s="12"/>
      <c r="W367" s="12"/>
      <c r="X367" s="12"/>
    </row>
    <row r="368" customFormat="false" ht="15.75" hidden="false" customHeight="false" outlineLevel="0" collapsed="false">
      <c r="A368" s="12"/>
      <c r="B368" s="34"/>
      <c r="C368" s="12"/>
      <c r="D368" s="12"/>
      <c r="E368" s="12"/>
      <c r="F368" s="12"/>
      <c r="G368" s="18"/>
      <c r="H368" s="35"/>
      <c r="I368" s="12"/>
      <c r="M368" s="12"/>
      <c r="N368" s="18"/>
      <c r="O368" s="12"/>
      <c r="P368" s="12"/>
      <c r="Q368" s="12"/>
      <c r="R368" s="36"/>
      <c r="S368" s="36"/>
      <c r="T368" s="12"/>
      <c r="U368" s="12"/>
      <c r="V368" s="12"/>
      <c r="W368" s="12"/>
      <c r="X368" s="12"/>
    </row>
    <row r="369" customFormat="false" ht="15.75" hidden="false" customHeight="false" outlineLevel="0" collapsed="false">
      <c r="A369" s="12"/>
      <c r="B369" s="34"/>
      <c r="C369" s="12"/>
      <c r="D369" s="12"/>
      <c r="E369" s="12"/>
      <c r="F369" s="12"/>
      <c r="G369" s="18"/>
      <c r="H369" s="35"/>
      <c r="I369" s="12"/>
      <c r="M369" s="12"/>
      <c r="N369" s="18"/>
      <c r="O369" s="12"/>
      <c r="P369" s="12"/>
      <c r="Q369" s="12"/>
      <c r="R369" s="36"/>
      <c r="S369" s="36"/>
      <c r="T369" s="12"/>
      <c r="U369" s="12"/>
      <c r="V369" s="12"/>
      <c r="W369" s="12"/>
      <c r="X369" s="12"/>
    </row>
    <row r="370" customFormat="false" ht="15.75" hidden="false" customHeight="false" outlineLevel="0" collapsed="false">
      <c r="A370" s="12"/>
      <c r="B370" s="34"/>
      <c r="C370" s="12"/>
      <c r="D370" s="12"/>
      <c r="E370" s="12"/>
      <c r="F370" s="12"/>
      <c r="G370" s="18"/>
      <c r="H370" s="35"/>
      <c r="I370" s="12"/>
      <c r="M370" s="12"/>
      <c r="N370" s="18"/>
      <c r="O370" s="12"/>
      <c r="P370" s="12"/>
      <c r="Q370" s="12"/>
      <c r="R370" s="36"/>
      <c r="S370" s="36"/>
      <c r="T370" s="12"/>
      <c r="U370" s="12"/>
      <c r="V370" s="12"/>
      <c r="W370" s="12"/>
      <c r="X370" s="12"/>
    </row>
    <row r="371" customFormat="false" ht="15.75" hidden="false" customHeight="false" outlineLevel="0" collapsed="false">
      <c r="A371" s="12"/>
      <c r="B371" s="34"/>
      <c r="C371" s="12"/>
      <c r="D371" s="12"/>
      <c r="E371" s="12"/>
      <c r="F371" s="12"/>
      <c r="G371" s="18"/>
      <c r="H371" s="35"/>
      <c r="I371" s="12"/>
      <c r="M371" s="12"/>
      <c r="N371" s="18"/>
      <c r="O371" s="12"/>
      <c r="P371" s="12"/>
      <c r="Q371" s="12"/>
      <c r="R371" s="36"/>
      <c r="S371" s="36"/>
      <c r="T371" s="12"/>
      <c r="U371" s="12"/>
      <c r="V371" s="12"/>
      <c r="W371" s="12"/>
      <c r="X371" s="12"/>
    </row>
    <row r="372" customFormat="false" ht="15.75" hidden="false" customHeight="false" outlineLevel="0" collapsed="false">
      <c r="A372" s="12"/>
      <c r="B372" s="34"/>
      <c r="C372" s="12"/>
      <c r="D372" s="12"/>
      <c r="E372" s="12"/>
      <c r="F372" s="12"/>
      <c r="G372" s="18"/>
      <c r="H372" s="35"/>
      <c r="I372" s="12"/>
      <c r="M372" s="12"/>
      <c r="N372" s="18"/>
      <c r="O372" s="12"/>
      <c r="P372" s="12"/>
      <c r="Q372" s="12"/>
      <c r="R372" s="36"/>
      <c r="S372" s="36"/>
      <c r="T372" s="12"/>
      <c r="U372" s="12"/>
      <c r="V372" s="12"/>
      <c r="W372" s="12"/>
      <c r="X372" s="12"/>
    </row>
    <row r="373" customFormat="false" ht="15.75" hidden="false" customHeight="false" outlineLevel="0" collapsed="false">
      <c r="A373" s="12"/>
      <c r="B373" s="34"/>
      <c r="C373" s="12"/>
      <c r="D373" s="12"/>
      <c r="E373" s="12"/>
      <c r="F373" s="12"/>
      <c r="G373" s="18"/>
      <c r="H373" s="35"/>
      <c r="I373" s="12"/>
      <c r="M373" s="12"/>
      <c r="N373" s="18"/>
      <c r="O373" s="12"/>
      <c r="P373" s="12"/>
      <c r="Q373" s="12"/>
      <c r="R373" s="36"/>
      <c r="S373" s="36"/>
      <c r="T373" s="12"/>
      <c r="U373" s="12"/>
      <c r="V373" s="12"/>
      <c r="W373" s="12"/>
      <c r="X373" s="12"/>
    </row>
    <row r="374" customFormat="false" ht="15.75" hidden="false" customHeight="false" outlineLevel="0" collapsed="false">
      <c r="A374" s="12"/>
      <c r="B374" s="34"/>
      <c r="C374" s="12"/>
      <c r="D374" s="12"/>
      <c r="E374" s="12"/>
      <c r="F374" s="12"/>
      <c r="G374" s="18"/>
      <c r="H374" s="35"/>
      <c r="I374" s="12"/>
      <c r="M374" s="12"/>
      <c r="N374" s="18"/>
      <c r="O374" s="12"/>
      <c r="P374" s="12"/>
      <c r="Q374" s="12"/>
      <c r="R374" s="36"/>
      <c r="S374" s="36"/>
      <c r="T374" s="12"/>
      <c r="U374" s="12"/>
      <c r="V374" s="12"/>
      <c r="W374" s="12"/>
      <c r="X374" s="12"/>
    </row>
    <row r="375" customFormat="false" ht="15.75" hidden="false" customHeight="false" outlineLevel="0" collapsed="false">
      <c r="A375" s="12"/>
      <c r="B375" s="34"/>
      <c r="C375" s="12"/>
      <c r="D375" s="12"/>
      <c r="E375" s="12"/>
      <c r="F375" s="12"/>
      <c r="G375" s="18"/>
      <c r="H375" s="35"/>
      <c r="I375" s="12"/>
      <c r="M375" s="12"/>
      <c r="N375" s="18"/>
      <c r="O375" s="12"/>
      <c r="P375" s="12"/>
      <c r="Q375" s="12"/>
      <c r="R375" s="36"/>
      <c r="S375" s="36"/>
      <c r="T375" s="12"/>
      <c r="U375" s="12"/>
      <c r="V375" s="12"/>
      <c r="W375" s="12"/>
      <c r="X375" s="12"/>
    </row>
    <row r="376" customFormat="false" ht="15.75" hidden="false" customHeight="false" outlineLevel="0" collapsed="false">
      <c r="A376" s="12"/>
      <c r="B376" s="34"/>
      <c r="C376" s="12"/>
      <c r="D376" s="12"/>
      <c r="E376" s="12"/>
      <c r="F376" s="12"/>
      <c r="G376" s="18"/>
      <c r="H376" s="35"/>
      <c r="I376" s="12"/>
      <c r="M376" s="12"/>
      <c r="N376" s="18"/>
      <c r="O376" s="12"/>
      <c r="P376" s="12"/>
      <c r="Q376" s="12"/>
      <c r="R376" s="36"/>
      <c r="S376" s="36"/>
      <c r="T376" s="12"/>
      <c r="U376" s="12"/>
      <c r="V376" s="12"/>
      <c r="W376" s="12"/>
      <c r="X376" s="12"/>
    </row>
    <row r="377" customFormat="false" ht="15.75" hidden="false" customHeight="false" outlineLevel="0" collapsed="false">
      <c r="A377" s="12"/>
      <c r="B377" s="34"/>
      <c r="C377" s="12"/>
      <c r="D377" s="12"/>
      <c r="E377" s="12"/>
      <c r="F377" s="12"/>
      <c r="G377" s="18"/>
      <c r="H377" s="35"/>
      <c r="I377" s="12"/>
      <c r="M377" s="12"/>
      <c r="N377" s="18"/>
      <c r="O377" s="12"/>
      <c r="P377" s="12"/>
      <c r="Q377" s="12"/>
      <c r="R377" s="36"/>
      <c r="S377" s="36"/>
      <c r="T377" s="12"/>
      <c r="U377" s="12"/>
      <c r="V377" s="12"/>
      <c r="W377" s="12"/>
      <c r="X377" s="12"/>
    </row>
    <row r="378" customFormat="false" ht="15.75" hidden="false" customHeight="false" outlineLevel="0" collapsed="false">
      <c r="A378" s="12"/>
      <c r="B378" s="34"/>
      <c r="C378" s="12"/>
      <c r="D378" s="12"/>
      <c r="E378" s="12"/>
      <c r="F378" s="12"/>
      <c r="G378" s="18"/>
      <c r="H378" s="35"/>
      <c r="I378" s="12"/>
      <c r="M378" s="12"/>
      <c r="N378" s="18"/>
      <c r="O378" s="12"/>
      <c r="P378" s="12"/>
      <c r="Q378" s="12"/>
      <c r="R378" s="36"/>
      <c r="S378" s="36"/>
      <c r="T378" s="12"/>
      <c r="U378" s="12"/>
      <c r="V378" s="12"/>
      <c r="W378" s="12"/>
      <c r="X378" s="12"/>
    </row>
    <row r="379" customFormat="false" ht="15.75" hidden="false" customHeight="false" outlineLevel="0" collapsed="false">
      <c r="A379" s="12"/>
      <c r="B379" s="34"/>
      <c r="C379" s="12"/>
      <c r="D379" s="12"/>
      <c r="E379" s="12"/>
      <c r="F379" s="12"/>
      <c r="G379" s="18"/>
      <c r="H379" s="35"/>
      <c r="I379" s="12"/>
      <c r="M379" s="12"/>
      <c r="N379" s="18"/>
      <c r="O379" s="12"/>
      <c r="P379" s="12"/>
      <c r="Q379" s="12"/>
      <c r="R379" s="36"/>
      <c r="S379" s="36"/>
      <c r="T379" s="12"/>
      <c r="U379" s="12"/>
      <c r="V379" s="12"/>
      <c r="W379" s="12"/>
      <c r="X379" s="12"/>
    </row>
    <row r="380" customFormat="false" ht="15.75" hidden="false" customHeight="false" outlineLevel="0" collapsed="false">
      <c r="A380" s="12"/>
      <c r="B380" s="34"/>
      <c r="C380" s="12"/>
      <c r="D380" s="12"/>
      <c r="E380" s="12"/>
      <c r="F380" s="12"/>
      <c r="G380" s="18"/>
      <c r="H380" s="35"/>
      <c r="I380" s="12"/>
      <c r="M380" s="12"/>
      <c r="N380" s="18"/>
      <c r="O380" s="12"/>
      <c r="P380" s="12"/>
      <c r="Q380" s="12"/>
      <c r="R380" s="36"/>
      <c r="S380" s="36"/>
      <c r="T380" s="12"/>
      <c r="U380" s="12"/>
      <c r="V380" s="12"/>
      <c r="W380" s="12"/>
      <c r="X380" s="12"/>
    </row>
    <row r="381" customFormat="false" ht="15.75" hidden="false" customHeight="false" outlineLevel="0" collapsed="false">
      <c r="A381" s="12"/>
      <c r="B381" s="34"/>
      <c r="C381" s="12"/>
      <c r="D381" s="12"/>
      <c r="E381" s="12"/>
      <c r="F381" s="12"/>
      <c r="G381" s="18"/>
      <c r="H381" s="35"/>
      <c r="I381" s="12"/>
      <c r="M381" s="12"/>
      <c r="N381" s="18"/>
      <c r="O381" s="12"/>
      <c r="P381" s="12"/>
      <c r="Q381" s="12"/>
      <c r="R381" s="36"/>
      <c r="S381" s="36"/>
      <c r="T381" s="12"/>
      <c r="U381" s="12"/>
      <c r="V381" s="12"/>
      <c r="W381" s="12"/>
      <c r="X381" s="12"/>
    </row>
    <row r="382" customFormat="false" ht="15.75" hidden="false" customHeight="false" outlineLevel="0" collapsed="false">
      <c r="A382" s="12"/>
      <c r="B382" s="34"/>
      <c r="C382" s="12"/>
      <c r="D382" s="12"/>
      <c r="E382" s="12"/>
      <c r="F382" s="12"/>
      <c r="G382" s="18"/>
      <c r="H382" s="35"/>
      <c r="I382" s="12"/>
      <c r="M382" s="12"/>
      <c r="N382" s="18"/>
      <c r="O382" s="12"/>
      <c r="P382" s="12"/>
      <c r="Q382" s="12"/>
      <c r="R382" s="36"/>
      <c r="S382" s="36"/>
      <c r="T382" s="12"/>
      <c r="U382" s="12"/>
      <c r="V382" s="12"/>
      <c r="W382" s="12"/>
      <c r="X382" s="12"/>
    </row>
    <row r="383" customFormat="false" ht="15.75" hidden="false" customHeight="false" outlineLevel="0" collapsed="false">
      <c r="A383" s="12"/>
      <c r="B383" s="34"/>
      <c r="C383" s="12"/>
      <c r="D383" s="12"/>
      <c r="E383" s="12"/>
      <c r="F383" s="12"/>
      <c r="G383" s="18"/>
      <c r="H383" s="35"/>
      <c r="I383" s="12"/>
      <c r="M383" s="12"/>
      <c r="N383" s="18"/>
      <c r="O383" s="12"/>
      <c r="P383" s="12"/>
      <c r="Q383" s="12"/>
      <c r="R383" s="36"/>
      <c r="S383" s="36"/>
      <c r="T383" s="12"/>
      <c r="U383" s="12"/>
      <c r="V383" s="12"/>
      <c r="W383" s="12"/>
      <c r="X383" s="12"/>
    </row>
    <row r="384" customFormat="false" ht="15.75" hidden="false" customHeight="false" outlineLevel="0" collapsed="false">
      <c r="A384" s="12"/>
      <c r="B384" s="34"/>
      <c r="C384" s="12"/>
      <c r="D384" s="12"/>
      <c r="E384" s="12"/>
      <c r="F384" s="12"/>
      <c r="G384" s="18"/>
      <c r="H384" s="35"/>
      <c r="I384" s="12"/>
      <c r="M384" s="12"/>
      <c r="N384" s="18"/>
      <c r="O384" s="12"/>
      <c r="P384" s="12"/>
      <c r="Q384" s="12"/>
      <c r="R384" s="36"/>
      <c r="S384" s="36"/>
      <c r="T384" s="12"/>
      <c r="U384" s="12"/>
      <c r="V384" s="12"/>
      <c r="W384" s="12"/>
      <c r="X384" s="12"/>
    </row>
    <row r="385" customFormat="false" ht="15.75" hidden="false" customHeight="false" outlineLevel="0" collapsed="false">
      <c r="A385" s="12"/>
      <c r="B385" s="34"/>
      <c r="C385" s="12"/>
      <c r="D385" s="12"/>
      <c r="E385" s="12"/>
      <c r="F385" s="12"/>
      <c r="G385" s="18"/>
      <c r="H385" s="35"/>
      <c r="I385" s="12"/>
      <c r="M385" s="12"/>
      <c r="N385" s="18"/>
      <c r="O385" s="12"/>
      <c r="P385" s="12"/>
      <c r="Q385" s="12"/>
      <c r="R385" s="36"/>
      <c r="S385" s="36"/>
      <c r="T385" s="12"/>
      <c r="U385" s="12"/>
      <c r="V385" s="12"/>
      <c r="W385" s="12"/>
      <c r="X385" s="12"/>
    </row>
    <row r="386" customFormat="false" ht="15.75" hidden="false" customHeight="false" outlineLevel="0" collapsed="false">
      <c r="A386" s="12"/>
      <c r="B386" s="34"/>
      <c r="C386" s="12"/>
      <c r="D386" s="12"/>
      <c r="E386" s="12"/>
      <c r="F386" s="12"/>
      <c r="G386" s="18"/>
      <c r="H386" s="35"/>
      <c r="I386" s="12"/>
      <c r="M386" s="12"/>
      <c r="N386" s="18"/>
      <c r="O386" s="12"/>
      <c r="P386" s="12"/>
      <c r="Q386" s="12"/>
      <c r="R386" s="36"/>
      <c r="S386" s="36"/>
      <c r="T386" s="12"/>
      <c r="U386" s="12"/>
      <c r="V386" s="12"/>
      <c r="W386" s="12"/>
      <c r="X386" s="12"/>
    </row>
    <row r="387" customFormat="false" ht="15.75" hidden="false" customHeight="false" outlineLevel="0" collapsed="false">
      <c r="A387" s="12"/>
      <c r="B387" s="34"/>
      <c r="C387" s="12"/>
      <c r="D387" s="12"/>
      <c r="E387" s="12"/>
      <c r="F387" s="12"/>
      <c r="G387" s="18"/>
      <c r="H387" s="35"/>
      <c r="I387" s="12"/>
      <c r="M387" s="12"/>
      <c r="N387" s="18"/>
      <c r="O387" s="12"/>
      <c r="P387" s="12"/>
      <c r="Q387" s="12"/>
      <c r="R387" s="36"/>
      <c r="S387" s="36"/>
      <c r="T387" s="12"/>
      <c r="U387" s="12"/>
      <c r="V387" s="12"/>
      <c r="W387" s="12"/>
      <c r="X387" s="12"/>
    </row>
    <row r="388" customFormat="false" ht="15.75" hidden="false" customHeight="false" outlineLevel="0" collapsed="false">
      <c r="A388" s="12"/>
      <c r="B388" s="34"/>
      <c r="C388" s="12"/>
      <c r="D388" s="12"/>
      <c r="E388" s="12"/>
      <c r="F388" s="12"/>
      <c r="G388" s="18"/>
      <c r="H388" s="35"/>
      <c r="I388" s="12"/>
      <c r="M388" s="12"/>
      <c r="N388" s="18"/>
      <c r="O388" s="12"/>
      <c r="P388" s="12"/>
      <c r="Q388" s="12"/>
      <c r="R388" s="36"/>
      <c r="S388" s="36"/>
      <c r="T388" s="12"/>
      <c r="U388" s="12"/>
      <c r="V388" s="12"/>
      <c r="W388" s="12"/>
      <c r="X388" s="12"/>
    </row>
    <row r="389" customFormat="false" ht="15.75" hidden="false" customHeight="false" outlineLevel="0" collapsed="false">
      <c r="A389" s="12"/>
      <c r="B389" s="34"/>
      <c r="C389" s="12"/>
      <c r="D389" s="12"/>
      <c r="E389" s="12"/>
      <c r="F389" s="12"/>
      <c r="G389" s="18"/>
      <c r="H389" s="35"/>
      <c r="I389" s="12"/>
      <c r="M389" s="12"/>
      <c r="N389" s="18"/>
      <c r="O389" s="12"/>
      <c r="P389" s="12"/>
      <c r="Q389" s="12"/>
      <c r="R389" s="36"/>
      <c r="S389" s="36"/>
      <c r="T389" s="12"/>
      <c r="U389" s="12"/>
      <c r="V389" s="12"/>
      <c r="W389" s="12"/>
      <c r="X389" s="12"/>
    </row>
    <row r="390" customFormat="false" ht="15.75" hidden="false" customHeight="false" outlineLevel="0" collapsed="false">
      <c r="A390" s="12"/>
      <c r="B390" s="34"/>
      <c r="C390" s="12"/>
      <c r="D390" s="12"/>
      <c r="E390" s="12"/>
      <c r="F390" s="12"/>
      <c r="G390" s="18"/>
      <c r="H390" s="35"/>
      <c r="I390" s="12"/>
      <c r="M390" s="12"/>
      <c r="N390" s="18"/>
      <c r="O390" s="12"/>
      <c r="P390" s="12"/>
      <c r="Q390" s="12"/>
      <c r="R390" s="36"/>
      <c r="S390" s="36"/>
      <c r="T390" s="12"/>
      <c r="U390" s="12"/>
      <c r="V390" s="12"/>
      <c r="W390" s="12"/>
      <c r="X390" s="12"/>
    </row>
    <row r="391" customFormat="false" ht="15.75" hidden="false" customHeight="false" outlineLevel="0" collapsed="false">
      <c r="A391" s="12"/>
      <c r="B391" s="34"/>
      <c r="C391" s="12"/>
      <c r="D391" s="12"/>
      <c r="E391" s="12"/>
      <c r="F391" s="12"/>
      <c r="G391" s="18"/>
      <c r="H391" s="35"/>
      <c r="I391" s="12"/>
      <c r="M391" s="12"/>
      <c r="N391" s="18"/>
      <c r="O391" s="12"/>
      <c r="P391" s="12"/>
      <c r="Q391" s="12"/>
      <c r="R391" s="36"/>
      <c r="S391" s="36"/>
      <c r="T391" s="12"/>
      <c r="U391" s="12"/>
      <c r="V391" s="12"/>
      <c r="W391" s="12"/>
      <c r="X391" s="12"/>
    </row>
    <row r="392" customFormat="false" ht="15.75" hidden="false" customHeight="false" outlineLevel="0" collapsed="false">
      <c r="A392" s="12"/>
      <c r="B392" s="34"/>
      <c r="C392" s="12"/>
      <c r="D392" s="12"/>
      <c r="E392" s="12"/>
      <c r="F392" s="12"/>
      <c r="G392" s="18"/>
      <c r="H392" s="35"/>
      <c r="I392" s="12"/>
      <c r="M392" s="12"/>
      <c r="N392" s="18"/>
      <c r="O392" s="12"/>
      <c r="P392" s="12"/>
      <c r="Q392" s="12"/>
      <c r="R392" s="36"/>
      <c r="S392" s="36"/>
      <c r="T392" s="12"/>
      <c r="U392" s="12"/>
      <c r="V392" s="12"/>
      <c r="W392" s="12"/>
      <c r="X392" s="12"/>
    </row>
    <row r="393" customFormat="false" ht="15.75" hidden="false" customHeight="false" outlineLevel="0" collapsed="false">
      <c r="A393" s="12"/>
      <c r="B393" s="34"/>
      <c r="C393" s="12"/>
      <c r="D393" s="12"/>
      <c r="E393" s="12"/>
      <c r="F393" s="12"/>
      <c r="G393" s="18"/>
      <c r="H393" s="35"/>
      <c r="I393" s="12"/>
      <c r="M393" s="12"/>
      <c r="N393" s="18"/>
      <c r="O393" s="12"/>
      <c r="P393" s="12"/>
      <c r="Q393" s="12"/>
      <c r="R393" s="36"/>
      <c r="S393" s="36"/>
      <c r="T393" s="12"/>
      <c r="U393" s="12"/>
      <c r="V393" s="12"/>
      <c r="W393" s="12"/>
      <c r="X393" s="12"/>
    </row>
    <row r="394" customFormat="false" ht="15.75" hidden="false" customHeight="false" outlineLevel="0" collapsed="false">
      <c r="A394" s="12"/>
      <c r="B394" s="34"/>
      <c r="C394" s="12"/>
      <c r="D394" s="12"/>
      <c r="E394" s="12"/>
      <c r="F394" s="12"/>
      <c r="G394" s="18"/>
      <c r="H394" s="35"/>
      <c r="I394" s="12"/>
      <c r="M394" s="12"/>
      <c r="N394" s="18"/>
      <c r="O394" s="12"/>
      <c r="P394" s="12"/>
      <c r="Q394" s="12"/>
      <c r="R394" s="36"/>
      <c r="S394" s="36"/>
      <c r="T394" s="12"/>
      <c r="U394" s="12"/>
      <c r="V394" s="12"/>
      <c r="W394" s="12"/>
      <c r="X394" s="12"/>
    </row>
    <row r="395" customFormat="false" ht="15.75" hidden="false" customHeight="false" outlineLevel="0" collapsed="false">
      <c r="A395" s="12"/>
      <c r="B395" s="34"/>
      <c r="C395" s="12"/>
      <c r="D395" s="12"/>
      <c r="E395" s="12"/>
      <c r="F395" s="12"/>
      <c r="G395" s="18"/>
      <c r="H395" s="35"/>
      <c r="I395" s="12"/>
      <c r="M395" s="12"/>
      <c r="N395" s="18"/>
      <c r="O395" s="12"/>
      <c r="P395" s="12"/>
      <c r="Q395" s="12"/>
      <c r="R395" s="36"/>
      <c r="S395" s="36"/>
      <c r="T395" s="12"/>
      <c r="U395" s="12"/>
      <c r="V395" s="12"/>
      <c r="W395" s="12"/>
      <c r="X395" s="12"/>
    </row>
    <row r="396" customFormat="false" ht="15.75" hidden="false" customHeight="false" outlineLevel="0" collapsed="false">
      <c r="A396" s="12"/>
      <c r="B396" s="34"/>
      <c r="C396" s="12"/>
      <c r="D396" s="12"/>
      <c r="E396" s="12"/>
      <c r="F396" s="12"/>
      <c r="G396" s="18"/>
      <c r="H396" s="35"/>
      <c r="I396" s="12"/>
      <c r="M396" s="12"/>
      <c r="N396" s="18"/>
      <c r="O396" s="12"/>
      <c r="P396" s="12"/>
      <c r="Q396" s="12"/>
      <c r="R396" s="36"/>
      <c r="S396" s="36"/>
      <c r="T396" s="12"/>
      <c r="U396" s="12"/>
      <c r="V396" s="12"/>
      <c r="W396" s="12"/>
      <c r="X396" s="12"/>
    </row>
    <row r="397" customFormat="false" ht="15.75" hidden="false" customHeight="false" outlineLevel="0" collapsed="false">
      <c r="A397" s="12"/>
      <c r="B397" s="34"/>
      <c r="C397" s="12"/>
      <c r="D397" s="12"/>
      <c r="E397" s="12"/>
      <c r="F397" s="12"/>
      <c r="G397" s="18"/>
      <c r="H397" s="35"/>
      <c r="I397" s="12"/>
      <c r="M397" s="12"/>
      <c r="N397" s="18"/>
      <c r="O397" s="12"/>
      <c r="P397" s="12"/>
      <c r="Q397" s="12"/>
      <c r="R397" s="36"/>
      <c r="S397" s="36"/>
      <c r="T397" s="12"/>
      <c r="U397" s="12"/>
      <c r="V397" s="12"/>
      <c r="W397" s="12"/>
      <c r="X397" s="12"/>
    </row>
    <row r="398" customFormat="false" ht="15.75" hidden="false" customHeight="false" outlineLevel="0" collapsed="false">
      <c r="A398" s="12"/>
      <c r="B398" s="34"/>
      <c r="C398" s="12"/>
      <c r="D398" s="12"/>
      <c r="E398" s="12"/>
      <c r="F398" s="12"/>
      <c r="G398" s="18"/>
      <c r="H398" s="35"/>
      <c r="I398" s="12"/>
      <c r="M398" s="12"/>
      <c r="N398" s="18"/>
      <c r="O398" s="12"/>
      <c r="P398" s="12"/>
      <c r="Q398" s="12"/>
      <c r="R398" s="36"/>
      <c r="S398" s="36"/>
      <c r="T398" s="12"/>
      <c r="U398" s="12"/>
      <c r="V398" s="12"/>
      <c r="W398" s="12"/>
      <c r="X398" s="12"/>
    </row>
    <row r="399" customFormat="false" ht="15.75" hidden="false" customHeight="false" outlineLevel="0" collapsed="false">
      <c r="A399" s="12"/>
      <c r="B399" s="34"/>
      <c r="C399" s="12"/>
      <c r="D399" s="12"/>
      <c r="E399" s="12"/>
      <c r="F399" s="12"/>
      <c r="G399" s="18"/>
      <c r="H399" s="35"/>
      <c r="I399" s="12"/>
      <c r="M399" s="12"/>
      <c r="N399" s="18"/>
      <c r="O399" s="12"/>
      <c r="P399" s="12"/>
      <c r="Q399" s="12"/>
      <c r="R399" s="36"/>
      <c r="S399" s="36"/>
      <c r="T399" s="12"/>
      <c r="U399" s="12"/>
      <c r="V399" s="12"/>
      <c r="W399" s="12"/>
      <c r="X399" s="12"/>
    </row>
    <row r="400" customFormat="false" ht="15.75" hidden="false" customHeight="false" outlineLevel="0" collapsed="false">
      <c r="A400" s="12"/>
      <c r="B400" s="34"/>
      <c r="C400" s="12"/>
      <c r="D400" s="12"/>
      <c r="E400" s="12"/>
      <c r="F400" s="12"/>
      <c r="G400" s="18"/>
      <c r="H400" s="35"/>
      <c r="I400" s="12"/>
      <c r="M400" s="12"/>
      <c r="N400" s="18"/>
      <c r="O400" s="12"/>
      <c r="P400" s="12"/>
      <c r="Q400" s="12"/>
      <c r="R400" s="36"/>
      <c r="S400" s="36"/>
      <c r="T400" s="12"/>
      <c r="U400" s="12"/>
      <c r="V400" s="12"/>
      <c r="W400" s="12"/>
      <c r="X400" s="12"/>
    </row>
    <row r="401" customFormat="false" ht="15.75" hidden="false" customHeight="false" outlineLevel="0" collapsed="false">
      <c r="A401" s="12"/>
      <c r="B401" s="34"/>
      <c r="C401" s="12"/>
      <c r="D401" s="12"/>
      <c r="E401" s="12"/>
      <c r="F401" s="12"/>
      <c r="G401" s="18"/>
      <c r="H401" s="35"/>
      <c r="I401" s="12"/>
      <c r="M401" s="12"/>
      <c r="N401" s="18"/>
      <c r="O401" s="12"/>
      <c r="P401" s="12"/>
      <c r="Q401" s="12"/>
      <c r="R401" s="36"/>
      <c r="S401" s="36"/>
      <c r="T401" s="12"/>
      <c r="U401" s="12"/>
      <c r="V401" s="12"/>
      <c r="W401" s="12"/>
      <c r="X401" s="12"/>
    </row>
    <row r="402" customFormat="false" ht="15.75" hidden="false" customHeight="false" outlineLevel="0" collapsed="false">
      <c r="A402" s="12"/>
      <c r="B402" s="34"/>
      <c r="C402" s="12"/>
      <c r="D402" s="12"/>
      <c r="E402" s="12"/>
      <c r="F402" s="12"/>
      <c r="G402" s="18"/>
      <c r="H402" s="35"/>
      <c r="I402" s="12"/>
      <c r="M402" s="12"/>
      <c r="N402" s="18"/>
      <c r="O402" s="12"/>
      <c r="P402" s="12"/>
      <c r="Q402" s="12"/>
      <c r="R402" s="36"/>
      <c r="S402" s="36"/>
      <c r="T402" s="12"/>
      <c r="U402" s="12"/>
      <c r="V402" s="12"/>
      <c r="W402" s="12"/>
      <c r="X402" s="12"/>
    </row>
    <row r="403" customFormat="false" ht="15.75" hidden="false" customHeight="false" outlineLevel="0" collapsed="false">
      <c r="A403" s="12"/>
      <c r="B403" s="34"/>
      <c r="C403" s="12"/>
      <c r="D403" s="12"/>
      <c r="E403" s="12"/>
      <c r="F403" s="12"/>
      <c r="G403" s="18"/>
      <c r="H403" s="35"/>
      <c r="I403" s="12"/>
      <c r="M403" s="12"/>
      <c r="N403" s="18"/>
      <c r="O403" s="12"/>
      <c r="P403" s="12"/>
      <c r="Q403" s="12"/>
      <c r="R403" s="36"/>
      <c r="S403" s="36"/>
      <c r="T403" s="12"/>
      <c r="U403" s="12"/>
      <c r="V403" s="12"/>
      <c r="W403" s="12"/>
      <c r="X403" s="12"/>
    </row>
    <row r="404" customFormat="false" ht="15.75" hidden="false" customHeight="false" outlineLevel="0" collapsed="false">
      <c r="A404" s="12"/>
      <c r="B404" s="34"/>
      <c r="C404" s="12"/>
      <c r="D404" s="12"/>
      <c r="E404" s="12"/>
      <c r="F404" s="12"/>
      <c r="G404" s="18"/>
      <c r="H404" s="35"/>
      <c r="I404" s="12"/>
      <c r="M404" s="12"/>
      <c r="N404" s="18"/>
      <c r="O404" s="12"/>
      <c r="P404" s="12"/>
      <c r="Q404" s="12"/>
      <c r="R404" s="36"/>
      <c r="S404" s="36"/>
      <c r="T404" s="12"/>
      <c r="U404" s="12"/>
      <c r="V404" s="12"/>
      <c r="W404" s="12"/>
      <c r="X404" s="12"/>
    </row>
    <row r="405" customFormat="false" ht="15.75" hidden="false" customHeight="false" outlineLevel="0" collapsed="false">
      <c r="A405" s="12"/>
      <c r="B405" s="34"/>
      <c r="C405" s="12"/>
      <c r="D405" s="12"/>
      <c r="E405" s="12"/>
      <c r="F405" s="12"/>
      <c r="G405" s="18"/>
      <c r="H405" s="35"/>
      <c r="I405" s="12"/>
      <c r="M405" s="12"/>
      <c r="N405" s="18"/>
      <c r="O405" s="12"/>
      <c r="P405" s="12"/>
      <c r="Q405" s="12"/>
      <c r="R405" s="36"/>
      <c r="S405" s="36"/>
      <c r="T405" s="12"/>
      <c r="U405" s="12"/>
      <c r="V405" s="12"/>
      <c r="W405" s="12"/>
      <c r="X405" s="12"/>
    </row>
    <row r="406" customFormat="false" ht="15.75" hidden="false" customHeight="false" outlineLevel="0" collapsed="false">
      <c r="A406" s="12"/>
      <c r="B406" s="34"/>
      <c r="C406" s="12"/>
      <c r="D406" s="12"/>
      <c r="E406" s="12"/>
      <c r="F406" s="12"/>
      <c r="G406" s="18"/>
      <c r="H406" s="35"/>
      <c r="I406" s="12"/>
      <c r="M406" s="12"/>
      <c r="N406" s="18"/>
      <c r="O406" s="12"/>
      <c r="P406" s="12"/>
      <c r="Q406" s="12"/>
      <c r="R406" s="36"/>
      <c r="S406" s="36"/>
      <c r="T406" s="12"/>
      <c r="U406" s="12"/>
      <c r="V406" s="12"/>
      <c r="W406" s="12"/>
      <c r="X406" s="12"/>
    </row>
    <row r="407" customFormat="false" ht="15.75" hidden="false" customHeight="false" outlineLevel="0" collapsed="false">
      <c r="A407" s="12"/>
      <c r="B407" s="34"/>
      <c r="C407" s="12"/>
      <c r="D407" s="12"/>
      <c r="E407" s="12"/>
      <c r="F407" s="12"/>
      <c r="G407" s="18"/>
      <c r="H407" s="35"/>
      <c r="I407" s="12"/>
      <c r="M407" s="12"/>
      <c r="N407" s="18"/>
      <c r="O407" s="12"/>
      <c r="P407" s="12"/>
      <c r="Q407" s="12"/>
      <c r="R407" s="36"/>
      <c r="S407" s="36"/>
      <c r="T407" s="12"/>
      <c r="U407" s="12"/>
      <c r="V407" s="12"/>
      <c r="W407" s="12"/>
      <c r="X407" s="12"/>
    </row>
    <row r="408" customFormat="false" ht="15.75" hidden="false" customHeight="false" outlineLevel="0" collapsed="false">
      <c r="A408" s="12"/>
      <c r="B408" s="34"/>
      <c r="C408" s="12"/>
      <c r="D408" s="12"/>
      <c r="E408" s="12"/>
      <c r="F408" s="12"/>
      <c r="G408" s="18"/>
      <c r="H408" s="35"/>
      <c r="I408" s="12"/>
      <c r="M408" s="12"/>
      <c r="N408" s="18"/>
      <c r="O408" s="12"/>
      <c r="P408" s="12"/>
      <c r="Q408" s="12"/>
      <c r="R408" s="36"/>
      <c r="S408" s="36"/>
      <c r="T408" s="12"/>
      <c r="U408" s="12"/>
      <c r="V408" s="12"/>
      <c r="W408" s="12"/>
      <c r="X408" s="12"/>
    </row>
    <row r="409" customFormat="false" ht="15.75" hidden="false" customHeight="false" outlineLevel="0" collapsed="false">
      <c r="A409" s="12"/>
      <c r="B409" s="34"/>
      <c r="C409" s="12"/>
      <c r="D409" s="12"/>
      <c r="E409" s="12"/>
      <c r="F409" s="12"/>
      <c r="G409" s="18"/>
      <c r="H409" s="35"/>
      <c r="I409" s="12"/>
      <c r="M409" s="12"/>
      <c r="N409" s="18"/>
      <c r="O409" s="12"/>
      <c r="P409" s="12"/>
      <c r="Q409" s="12"/>
      <c r="R409" s="36"/>
      <c r="S409" s="36"/>
      <c r="T409" s="12"/>
      <c r="U409" s="12"/>
      <c r="V409" s="12"/>
      <c r="W409" s="12"/>
      <c r="X409" s="12"/>
    </row>
    <row r="410" customFormat="false" ht="15.75" hidden="false" customHeight="false" outlineLevel="0" collapsed="false">
      <c r="A410" s="12"/>
      <c r="B410" s="34"/>
      <c r="C410" s="12"/>
      <c r="D410" s="12"/>
      <c r="E410" s="12"/>
      <c r="F410" s="12"/>
      <c r="G410" s="18"/>
      <c r="H410" s="35"/>
      <c r="I410" s="12"/>
      <c r="M410" s="12"/>
      <c r="N410" s="18"/>
      <c r="O410" s="12"/>
      <c r="P410" s="12"/>
      <c r="Q410" s="12"/>
      <c r="R410" s="36"/>
      <c r="S410" s="36"/>
      <c r="T410" s="12"/>
      <c r="U410" s="12"/>
      <c r="V410" s="12"/>
      <c r="W410" s="12"/>
      <c r="X410" s="12"/>
    </row>
    <row r="411" customFormat="false" ht="15.75" hidden="false" customHeight="false" outlineLevel="0" collapsed="false">
      <c r="A411" s="12"/>
      <c r="B411" s="34"/>
      <c r="C411" s="12"/>
      <c r="D411" s="12"/>
      <c r="E411" s="12"/>
      <c r="F411" s="12"/>
      <c r="G411" s="18"/>
      <c r="H411" s="35"/>
      <c r="I411" s="12"/>
      <c r="M411" s="12"/>
      <c r="N411" s="18"/>
      <c r="O411" s="12"/>
      <c r="P411" s="12"/>
      <c r="Q411" s="12"/>
      <c r="R411" s="36"/>
      <c r="S411" s="36"/>
      <c r="T411" s="12"/>
      <c r="U411" s="12"/>
      <c r="V411" s="12"/>
      <c r="W411" s="12"/>
      <c r="X411" s="12"/>
    </row>
    <row r="412" customFormat="false" ht="15.75" hidden="false" customHeight="false" outlineLevel="0" collapsed="false">
      <c r="A412" s="12"/>
      <c r="B412" s="34"/>
      <c r="C412" s="12"/>
      <c r="D412" s="12"/>
      <c r="E412" s="12"/>
      <c r="F412" s="12"/>
      <c r="G412" s="18"/>
      <c r="H412" s="35"/>
      <c r="I412" s="12"/>
      <c r="M412" s="12"/>
      <c r="N412" s="18"/>
      <c r="O412" s="12"/>
      <c r="P412" s="12"/>
      <c r="Q412" s="12"/>
      <c r="R412" s="36"/>
      <c r="S412" s="36"/>
      <c r="T412" s="12"/>
      <c r="U412" s="12"/>
      <c r="V412" s="12"/>
      <c r="W412" s="12"/>
      <c r="X412" s="12"/>
    </row>
    <row r="413" customFormat="false" ht="15.75" hidden="false" customHeight="false" outlineLevel="0" collapsed="false">
      <c r="A413" s="12"/>
      <c r="B413" s="34"/>
      <c r="C413" s="12"/>
      <c r="D413" s="12"/>
      <c r="E413" s="12"/>
      <c r="F413" s="12"/>
      <c r="G413" s="18"/>
      <c r="H413" s="35"/>
      <c r="I413" s="12"/>
      <c r="M413" s="12"/>
      <c r="N413" s="18"/>
      <c r="O413" s="12"/>
      <c r="P413" s="12"/>
      <c r="Q413" s="12"/>
      <c r="R413" s="36"/>
      <c r="S413" s="36"/>
      <c r="T413" s="12"/>
      <c r="U413" s="12"/>
      <c r="V413" s="12"/>
      <c r="W413" s="12"/>
      <c r="X413" s="12"/>
    </row>
    <row r="414" customFormat="false" ht="15.75" hidden="false" customHeight="false" outlineLevel="0" collapsed="false">
      <c r="A414" s="12"/>
      <c r="B414" s="34"/>
      <c r="C414" s="12"/>
      <c r="D414" s="12"/>
      <c r="E414" s="12"/>
      <c r="F414" s="12"/>
      <c r="G414" s="18"/>
      <c r="H414" s="35"/>
      <c r="I414" s="12"/>
      <c r="M414" s="12"/>
      <c r="N414" s="18"/>
      <c r="O414" s="12"/>
      <c r="P414" s="12"/>
      <c r="Q414" s="12"/>
      <c r="R414" s="36"/>
      <c r="S414" s="36"/>
      <c r="T414" s="12"/>
      <c r="U414" s="12"/>
      <c r="V414" s="12"/>
      <c r="W414" s="12"/>
      <c r="X414" s="12"/>
    </row>
    <row r="415" customFormat="false" ht="15.75" hidden="false" customHeight="false" outlineLevel="0" collapsed="false">
      <c r="A415" s="12"/>
      <c r="B415" s="34"/>
      <c r="C415" s="12"/>
      <c r="D415" s="12"/>
      <c r="E415" s="12"/>
      <c r="F415" s="12"/>
      <c r="G415" s="18"/>
      <c r="H415" s="35"/>
      <c r="I415" s="12"/>
      <c r="M415" s="12"/>
      <c r="N415" s="18"/>
      <c r="O415" s="12"/>
      <c r="P415" s="12"/>
      <c r="Q415" s="12"/>
      <c r="R415" s="36"/>
      <c r="S415" s="36"/>
      <c r="T415" s="12"/>
      <c r="U415" s="12"/>
      <c r="V415" s="12"/>
      <c r="W415" s="12"/>
      <c r="X415" s="12"/>
    </row>
    <row r="416" customFormat="false" ht="15.75" hidden="false" customHeight="false" outlineLevel="0" collapsed="false">
      <c r="A416" s="12"/>
      <c r="B416" s="34"/>
      <c r="C416" s="12"/>
      <c r="D416" s="12"/>
      <c r="E416" s="12"/>
      <c r="F416" s="12"/>
      <c r="G416" s="18"/>
      <c r="H416" s="35"/>
      <c r="I416" s="12"/>
      <c r="M416" s="12"/>
      <c r="N416" s="18"/>
      <c r="O416" s="12"/>
      <c r="P416" s="12"/>
      <c r="Q416" s="12"/>
      <c r="R416" s="36"/>
      <c r="S416" s="36"/>
      <c r="T416" s="12"/>
      <c r="U416" s="12"/>
      <c r="V416" s="12"/>
      <c r="W416" s="12"/>
      <c r="X416" s="12"/>
    </row>
    <row r="417" customFormat="false" ht="15.75" hidden="false" customHeight="false" outlineLevel="0" collapsed="false">
      <c r="A417" s="12"/>
      <c r="B417" s="34"/>
      <c r="C417" s="12"/>
      <c r="D417" s="12"/>
      <c r="E417" s="12"/>
      <c r="F417" s="12"/>
      <c r="G417" s="18"/>
      <c r="H417" s="35"/>
      <c r="I417" s="12"/>
      <c r="M417" s="12"/>
      <c r="N417" s="18"/>
      <c r="O417" s="12"/>
      <c r="P417" s="12"/>
      <c r="Q417" s="12"/>
      <c r="R417" s="36"/>
      <c r="S417" s="36"/>
      <c r="T417" s="12"/>
      <c r="U417" s="12"/>
      <c r="V417" s="12"/>
      <c r="W417" s="12"/>
      <c r="X417" s="12"/>
    </row>
    <row r="418" customFormat="false" ht="15.75" hidden="false" customHeight="false" outlineLevel="0" collapsed="false">
      <c r="A418" s="12"/>
      <c r="B418" s="34"/>
      <c r="C418" s="12"/>
      <c r="D418" s="12"/>
      <c r="E418" s="12"/>
      <c r="F418" s="12"/>
      <c r="G418" s="18"/>
      <c r="H418" s="35"/>
      <c r="I418" s="12"/>
      <c r="M418" s="12"/>
      <c r="N418" s="18"/>
      <c r="O418" s="12"/>
      <c r="P418" s="12"/>
      <c r="Q418" s="12"/>
      <c r="R418" s="36"/>
      <c r="S418" s="36"/>
      <c r="T418" s="12"/>
      <c r="U418" s="12"/>
      <c r="V418" s="12"/>
      <c r="W418" s="12"/>
      <c r="X418" s="12"/>
    </row>
    <row r="419" customFormat="false" ht="15.75" hidden="false" customHeight="false" outlineLevel="0" collapsed="false">
      <c r="A419" s="12"/>
      <c r="B419" s="34"/>
      <c r="C419" s="12"/>
      <c r="D419" s="12"/>
      <c r="E419" s="12"/>
      <c r="F419" s="12"/>
      <c r="G419" s="18"/>
      <c r="H419" s="35"/>
      <c r="I419" s="12"/>
      <c r="M419" s="12"/>
      <c r="N419" s="18"/>
      <c r="O419" s="12"/>
      <c r="P419" s="12"/>
      <c r="Q419" s="12"/>
      <c r="R419" s="36"/>
      <c r="S419" s="36"/>
      <c r="T419" s="12"/>
      <c r="U419" s="12"/>
      <c r="V419" s="12"/>
      <c r="W419" s="12"/>
      <c r="X419" s="12"/>
    </row>
    <row r="420" customFormat="false" ht="15.75" hidden="false" customHeight="false" outlineLevel="0" collapsed="false">
      <c r="A420" s="12"/>
      <c r="B420" s="34"/>
      <c r="C420" s="12"/>
      <c r="D420" s="12"/>
      <c r="E420" s="12"/>
      <c r="F420" s="12"/>
      <c r="G420" s="18"/>
      <c r="H420" s="35"/>
      <c r="I420" s="12"/>
      <c r="M420" s="12"/>
      <c r="N420" s="18"/>
      <c r="O420" s="12"/>
      <c r="P420" s="12"/>
      <c r="Q420" s="12"/>
      <c r="R420" s="36"/>
      <c r="S420" s="36"/>
      <c r="T420" s="12"/>
      <c r="U420" s="12"/>
      <c r="V420" s="12"/>
      <c r="W420" s="12"/>
      <c r="X420" s="12"/>
    </row>
    <row r="421" customFormat="false" ht="15.75" hidden="false" customHeight="false" outlineLevel="0" collapsed="false">
      <c r="A421" s="12"/>
      <c r="B421" s="34"/>
      <c r="C421" s="12"/>
      <c r="D421" s="12"/>
      <c r="E421" s="12"/>
      <c r="F421" s="12"/>
      <c r="G421" s="18"/>
      <c r="H421" s="35"/>
      <c r="I421" s="12"/>
      <c r="M421" s="12"/>
      <c r="N421" s="18"/>
      <c r="O421" s="12"/>
      <c r="P421" s="12"/>
      <c r="Q421" s="12"/>
      <c r="R421" s="36"/>
      <c r="S421" s="36"/>
      <c r="T421" s="12"/>
      <c r="U421" s="12"/>
      <c r="V421" s="12"/>
      <c r="W421" s="12"/>
      <c r="X421" s="12"/>
    </row>
    <row r="422" customFormat="false" ht="15.75" hidden="false" customHeight="false" outlineLevel="0" collapsed="false">
      <c r="A422" s="12"/>
      <c r="B422" s="34"/>
      <c r="C422" s="12"/>
      <c r="D422" s="12"/>
      <c r="E422" s="12"/>
      <c r="F422" s="12"/>
      <c r="G422" s="18"/>
      <c r="H422" s="35"/>
      <c r="I422" s="12"/>
      <c r="M422" s="12"/>
      <c r="N422" s="18"/>
      <c r="O422" s="12"/>
      <c r="P422" s="12"/>
      <c r="Q422" s="12"/>
      <c r="R422" s="36"/>
      <c r="S422" s="36"/>
      <c r="T422" s="12"/>
      <c r="U422" s="12"/>
      <c r="V422" s="12"/>
      <c r="W422" s="12"/>
      <c r="X422" s="12"/>
    </row>
    <row r="423" customFormat="false" ht="15.75" hidden="false" customHeight="false" outlineLevel="0" collapsed="false">
      <c r="A423" s="12"/>
      <c r="B423" s="34"/>
      <c r="C423" s="12"/>
      <c r="D423" s="12"/>
      <c r="E423" s="12"/>
      <c r="F423" s="12"/>
      <c r="G423" s="18"/>
      <c r="H423" s="35"/>
      <c r="I423" s="12"/>
      <c r="M423" s="12"/>
      <c r="N423" s="18"/>
      <c r="O423" s="12"/>
      <c r="P423" s="12"/>
      <c r="Q423" s="12"/>
      <c r="R423" s="36"/>
      <c r="S423" s="36"/>
      <c r="T423" s="12"/>
      <c r="U423" s="12"/>
      <c r="V423" s="12"/>
      <c r="W423" s="12"/>
      <c r="X423" s="12"/>
    </row>
    <row r="424" customFormat="false" ht="15.75" hidden="false" customHeight="false" outlineLevel="0" collapsed="false">
      <c r="A424" s="12"/>
      <c r="B424" s="34"/>
      <c r="C424" s="12"/>
      <c r="D424" s="12"/>
      <c r="E424" s="12"/>
      <c r="F424" s="12"/>
      <c r="G424" s="18"/>
      <c r="H424" s="35"/>
      <c r="I424" s="12"/>
      <c r="M424" s="12"/>
      <c r="N424" s="18"/>
      <c r="O424" s="12"/>
      <c r="P424" s="12"/>
      <c r="Q424" s="12"/>
      <c r="R424" s="36"/>
      <c r="S424" s="36"/>
      <c r="T424" s="12"/>
      <c r="U424" s="12"/>
      <c r="V424" s="12"/>
      <c r="W424" s="12"/>
      <c r="X424" s="12"/>
    </row>
    <row r="425" customFormat="false" ht="15.75" hidden="false" customHeight="false" outlineLevel="0" collapsed="false">
      <c r="A425" s="12"/>
      <c r="B425" s="34"/>
      <c r="C425" s="12"/>
      <c r="D425" s="12"/>
      <c r="E425" s="12"/>
      <c r="F425" s="12"/>
      <c r="G425" s="18"/>
      <c r="H425" s="35"/>
      <c r="I425" s="12"/>
      <c r="M425" s="12"/>
      <c r="N425" s="18"/>
      <c r="O425" s="12"/>
      <c r="P425" s="12"/>
      <c r="Q425" s="12"/>
      <c r="R425" s="36"/>
      <c r="S425" s="36"/>
      <c r="T425" s="12"/>
      <c r="U425" s="12"/>
      <c r="V425" s="12"/>
      <c r="W425" s="12"/>
      <c r="X425" s="12"/>
    </row>
    <row r="426" customFormat="false" ht="15.75" hidden="false" customHeight="false" outlineLevel="0" collapsed="false">
      <c r="A426" s="12"/>
      <c r="B426" s="34"/>
      <c r="C426" s="12"/>
      <c r="D426" s="12"/>
      <c r="E426" s="12"/>
      <c r="F426" s="12"/>
      <c r="G426" s="18"/>
      <c r="H426" s="35"/>
      <c r="I426" s="12"/>
      <c r="M426" s="12"/>
      <c r="N426" s="18"/>
      <c r="O426" s="12"/>
      <c r="P426" s="12"/>
      <c r="Q426" s="12"/>
      <c r="R426" s="36"/>
      <c r="S426" s="36"/>
      <c r="T426" s="12"/>
      <c r="U426" s="12"/>
      <c r="V426" s="12"/>
      <c r="W426" s="12"/>
      <c r="X426" s="12"/>
    </row>
    <row r="427" customFormat="false" ht="15.75" hidden="false" customHeight="false" outlineLevel="0" collapsed="false">
      <c r="A427" s="12"/>
      <c r="B427" s="34"/>
      <c r="C427" s="12"/>
      <c r="D427" s="12"/>
      <c r="E427" s="12"/>
      <c r="F427" s="12"/>
      <c r="G427" s="18"/>
      <c r="H427" s="35"/>
      <c r="I427" s="12"/>
      <c r="M427" s="12"/>
      <c r="N427" s="18"/>
      <c r="O427" s="12"/>
      <c r="P427" s="12"/>
      <c r="Q427" s="12"/>
      <c r="R427" s="36"/>
      <c r="S427" s="36"/>
      <c r="T427" s="12"/>
      <c r="U427" s="12"/>
      <c r="V427" s="12"/>
      <c r="W427" s="12"/>
      <c r="X427" s="12"/>
    </row>
    <row r="428" customFormat="false" ht="15.75" hidden="false" customHeight="false" outlineLevel="0" collapsed="false">
      <c r="A428" s="12"/>
      <c r="B428" s="34"/>
      <c r="C428" s="12"/>
      <c r="D428" s="12"/>
      <c r="E428" s="12"/>
      <c r="F428" s="12"/>
      <c r="G428" s="18"/>
      <c r="H428" s="35"/>
      <c r="I428" s="12"/>
      <c r="M428" s="12"/>
      <c r="N428" s="18"/>
      <c r="O428" s="12"/>
      <c r="P428" s="12"/>
      <c r="Q428" s="12"/>
      <c r="R428" s="36"/>
      <c r="S428" s="36"/>
      <c r="T428" s="12"/>
      <c r="U428" s="12"/>
      <c r="V428" s="12"/>
      <c r="W428" s="12"/>
      <c r="X428" s="12"/>
    </row>
    <row r="429" customFormat="false" ht="15.75" hidden="false" customHeight="false" outlineLevel="0" collapsed="false">
      <c r="A429" s="12"/>
      <c r="B429" s="34"/>
      <c r="C429" s="12"/>
      <c r="D429" s="12"/>
      <c r="E429" s="12"/>
      <c r="F429" s="12"/>
      <c r="G429" s="18"/>
      <c r="H429" s="35"/>
      <c r="I429" s="12"/>
      <c r="M429" s="12"/>
      <c r="N429" s="18"/>
      <c r="O429" s="12"/>
      <c r="P429" s="12"/>
      <c r="Q429" s="12"/>
      <c r="R429" s="36"/>
      <c r="S429" s="36"/>
      <c r="T429" s="12"/>
      <c r="U429" s="12"/>
      <c r="V429" s="12"/>
      <c r="W429" s="12"/>
      <c r="X429" s="12"/>
    </row>
    <row r="430" customFormat="false" ht="15.75" hidden="false" customHeight="false" outlineLevel="0" collapsed="false">
      <c r="A430" s="12"/>
      <c r="B430" s="34"/>
      <c r="C430" s="12"/>
      <c r="D430" s="12"/>
      <c r="E430" s="12"/>
      <c r="F430" s="12"/>
      <c r="G430" s="18"/>
      <c r="H430" s="35"/>
      <c r="I430" s="12"/>
      <c r="M430" s="12"/>
      <c r="N430" s="18"/>
      <c r="O430" s="12"/>
      <c r="P430" s="12"/>
      <c r="Q430" s="12"/>
      <c r="R430" s="36"/>
      <c r="S430" s="36"/>
      <c r="T430" s="12"/>
      <c r="U430" s="12"/>
      <c r="V430" s="12"/>
      <c r="W430" s="12"/>
      <c r="X430" s="12"/>
    </row>
    <row r="431" customFormat="false" ht="15.75" hidden="false" customHeight="false" outlineLevel="0" collapsed="false">
      <c r="A431" s="12"/>
      <c r="B431" s="34"/>
      <c r="C431" s="12"/>
      <c r="D431" s="12"/>
      <c r="E431" s="12"/>
      <c r="F431" s="12"/>
      <c r="G431" s="18"/>
      <c r="H431" s="35"/>
      <c r="I431" s="12"/>
      <c r="M431" s="12"/>
      <c r="N431" s="18"/>
      <c r="O431" s="12"/>
      <c r="P431" s="12"/>
      <c r="Q431" s="12"/>
      <c r="R431" s="36"/>
      <c r="S431" s="36"/>
      <c r="T431" s="12"/>
      <c r="U431" s="12"/>
      <c r="V431" s="12"/>
      <c r="W431" s="12"/>
      <c r="X431" s="12"/>
    </row>
    <row r="432" customFormat="false" ht="15.75" hidden="false" customHeight="false" outlineLevel="0" collapsed="false">
      <c r="A432" s="12"/>
      <c r="B432" s="34"/>
      <c r="C432" s="12"/>
      <c r="D432" s="12"/>
      <c r="E432" s="12"/>
      <c r="F432" s="12"/>
      <c r="G432" s="18"/>
      <c r="H432" s="35"/>
      <c r="I432" s="12"/>
      <c r="M432" s="12"/>
      <c r="N432" s="18"/>
      <c r="O432" s="12"/>
      <c r="P432" s="12"/>
      <c r="Q432" s="12"/>
      <c r="R432" s="36"/>
      <c r="S432" s="36"/>
      <c r="T432" s="12"/>
      <c r="U432" s="12"/>
      <c r="V432" s="12"/>
      <c r="W432" s="12"/>
      <c r="X432" s="12"/>
    </row>
    <row r="433" customFormat="false" ht="15.75" hidden="false" customHeight="false" outlineLevel="0" collapsed="false">
      <c r="A433" s="12"/>
      <c r="B433" s="34"/>
      <c r="C433" s="12"/>
      <c r="D433" s="12"/>
      <c r="E433" s="12"/>
      <c r="F433" s="12"/>
      <c r="G433" s="18"/>
      <c r="H433" s="35"/>
      <c r="I433" s="12"/>
      <c r="M433" s="12"/>
      <c r="N433" s="18"/>
      <c r="O433" s="12"/>
      <c r="P433" s="12"/>
      <c r="Q433" s="12"/>
      <c r="R433" s="36"/>
      <c r="S433" s="36"/>
      <c r="T433" s="12"/>
      <c r="U433" s="12"/>
      <c r="V433" s="12"/>
      <c r="W433" s="12"/>
      <c r="X433" s="12"/>
    </row>
    <row r="434" customFormat="false" ht="15.75" hidden="false" customHeight="false" outlineLevel="0" collapsed="false">
      <c r="A434" s="12"/>
      <c r="B434" s="34"/>
      <c r="C434" s="12"/>
      <c r="D434" s="12"/>
      <c r="E434" s="12"/>
      <c r="F434" s="12"/>
      <c r="G434" s="18"/>
      <c r="H434" s="35"/>
      <c r="I434" s="12"/>
      <c r="M434" s="12"/>
      <c r="N434" s="18"/>
      <c r="O434" s="12"/>
      <c r="P434" s="12"/>
      <c r="Q434" s="12"/>
      <c r="R434" s="36"/>
      <c r="S434" s="36"/>
      <c r="T434" s="12"/>
      <c r="U434" s="12"/>
      <c r="V434" s="12"/>
      <c r="W434" s="12"/>
      <c r="X434" s="12"/>
    </row>
    <row r="435" customFormat="false" ht="15.75" hidden="false" customHeight="false" outlineLevel="0" collapsed="false">
      <c r="A435" s="12"/>
      <c r="B435" s="34"/>
      <c r="C435" s="12"/>
      <c r="D435" s="12"/>
      <c r="E435" s="12"/>
      <c r="F435" s="12"/>
      <c r="G435" s="18"/>
      <c r="H435" s="35"/>
      <c r="I435" s="12"/>
      <c r="M435" s="12"/>
      <c r="N435" s="18"/>
      <c r="O435" s="12"/>
      <c r="P435" s="12"/>
      <c r="Q435" s="12"/>
      <c r="R435" s="36"/>
      <c r="S435" s="36"/>
      <c r="T435" s="12"/>
      <c r="U435" s="12"/>
      <c r="V435" s="12"/>
      <c r="W435" s="12"/>
      <c r="X435" s="12"/>
    </row>
    <row r="436" customFormat="false" ht="15.75" hidden="false" customHeight="false" outlineLevel="0" collapsed="false">
      <c r="A436" s="12"/>
      <c r="B436" s="34"/>
      <c r="C436" s="12"/>
      <c r="D436" s="12"/>
      <c r="E436" s="12"/>
      <c r="F436" s="12"/>
      <c r="G436" s="18"/>
      <c r="H436" s="35"/>
      <c r="I436" s="12"/>
      <c r="M436" s="12"/>
      <c r="N436" s="18"/>
      <c r="O436" s="12"/>
      <c r="P436" s="12"/>
      <c r="Q436" s="12"/>
      <c r="R436" s="36"/>
      <c r="S436" s="36"/>
      <c r="T436" s="12"/>
      <c r="U436" s="12"/>
      <c r="V436" s="12"/>
      <c r="W436" s="12"/>
      <c r="X436" s="12"/>
    </row>
    <row r="437" customFormat="false" ht="15.75" hidden="false" customHeight="false" outlineLevel="0" collapsed="false">
      <c r="A437" s="12"/>
      <c r="B437" s="34"/>
      <c r="C437" s="12"/>
      <c r="D437" s="12"/>
      <c r="E437" s="12"/>
      <c r="F437" s="12"/>
      <c r="G437" s="18"/>
      <c r="H437" s="35"/>
      <c r="I437" s="12"/>
      <c r="M437" s="12"/>
      <c r="N437" s="18"/>
      <c r="O437" s="12"/>
      <c r="P437" s="12"/>
      <c r="Q437" s="12"/>
      <c r="R437" s="36"/>
      <c r="S437" s="36"/>
      <c r="T437" s="12"/>
      <c r="U437" s="12"/>
      <c r="V437" s="12"/>
      <c r="W437" s="12"/>
      <c r="X437" s="12"/>
    </row>
    <row r="438" customFormat="false" ht="15.75" hidden="false" customHeight="false" outlineLevel="0" collapsed="false">
      <c r="A438" s="12"/>
      <c r="B438" s="34"/>
      <c r="C438" s="12"/>
      <c r="D438" s="12"/>
      <c r="E438" s="12"/>
      <c r="F438" s="12"/>
      <c r="G438" s="18"/>
      <c r="H438" s="35"/>
      <c r="I438" s="12"/>
      <c r="M438" s="12"/>
      <c r="N438" s="18"/>
      <c r="O438" s="12"/>
      <c r="P438" s="12"/>
      <c r="Q438" s="12"/>
      <c r="R438" s="36"/>
      <c r="S438" s="36"/>
      <c r="T438" s="12"/>
      <c r="U438" s="12"/>
      <c r="V438" s="12"/>
      <c r="W438" s="12"/>
      <c r="X438" s="12"/>
    </row>
    <row r="439" customFormat="false" ht="15.75" hidden="false" customHeight="false" outlineLevel="0" collapsed="false">
      <c r="A439" s="12"/>
      <c r="B439" s="34"/>
      <c r="C439" s="12"/>
      <c r="D439" s="12"/>
      <c r="E439" s="12"/>
      <c r="F439" s="12"/>
      <c r="G439" s="18"/>
      <c r="H439" s="35"/>
      <c r="I439" s="12"/>
      <c r="M439" s="12"/>
      <c r="N439" s="18"/>
      <c r="O439" s="12"/>
      <c r="P439" s="12"/>
      <c r="Q439" s="12"/>
      <c r="R439" s="36"/>
      <c r="S439" s="36"/>
      <c r="T439" s="12"/>
      <c r="U439" s="12"/>
      <c r="V439" s="12"/>
      <c r="W439" s="12"/>
      <c r="X439" s="12"/>
    </row>
    <row r="440" customFormat="false" ht="15.75" hidden="false" customHeight="false" outlineLevel="0" collapsed="false">
      <c r="A440" s="12"/>
      <c r="B440" s="34"/>
      <c r="C440" s="12"/>
      <c r="D440" s="12"/>
      <c r="E440" s="12"/>
      <c r="F440" s="12"/>
      <c r="G440" s="18"/>
      <c r="H440" s="35"/>
      <c r="I440" s="12"/>
      <c r="M440" s="12"/>
      <c r="N440" s="18"/>
      <c r="O440" s="12"/>
      <c r="P440" s="12"/>
      <c r="Q440" s="12"/>
      <c r="R440" s="36"/>
      <c r="S440" s="36"/>
      <c r="T440" s="12"/>
      <c r="U440" s="12"/>
      <c r="V440" s="12"/>
      <c r="W440" s="12"/>
      <c r="X440" s="12"/>
    </row>
    <row r="441" customFormat="false" ht="15.75" hidden="false" customHeight="false" outlineLevel="0" collapsed="false">
      <c r="A441" s="12"/>
      <c r="B441" s="34"/>
      <c r="C441" s="12"/>
      <c r="D441" s="12"/>
      <c r="E441" s="12"/>
      <c r="F441" s="12"/>
      <c r="G441" s="18"/>
      <c r="H441" s="35"/>
      <c r="I441" s="12"/>
      <c r="M441" s="12"/>
      <c r="N441" s="18"/>
      <c r="O441" s="12"/>
      <c r="P441" s="12"/>
      <c r="Q441" s="12"/>
      <c r="R441" s="36"/>
      <c r="S441" s="36"/>
      <c r="T441" s="12"/>
      <c r="U441" s="12"/>
      <c r="V441" s="12"/>
      <c r="W441" s="12"/>
      <c r="X441" s="12"/>
    </row>
    <row r="442" customFormat="false" ht="15.75" hidden="false" customHeight="false" outlineLevel="0" collapsed="false">
      <c r="A442" s="12"/>
      <c r="B442" s="34"/>
      <c r="C442" s="12"/>
      <c r="D442" s="12"/>
      <c r="E442" s="12"/>
      <c r="F442" s="12"/>
      <c r="G442" s="18"/>
      <c r="H442" s="35"/>
      <c r="I442" s="12"/>
      <c r="M442" s="12"/>
      <c r="N442" s="18"/>
      <c r="O442" s="12"/>
      <c r="P442" s="12"/>
      <c r="Q442" s="12"/>
      <c r="R442" s="36"/>
      <c r="S442" s="36"/>
      <c r="T442" s="12"/>
      <c r="U442" s="12"/>
      <c r="V442" s="12"/>
      <c r="W442" s="12"/>
      <c r="X442" s="12"/>
    </row>
    <row r="443" customFormat="false" ht="15.75" hidden="false" customHeight="false" outlineLevel="0" collapsed="false">
      <c r="A443" s="12"/>
      <c r="B443" s="34"/>
      <c r="C443" s="12"/>
      <c r="D443" s="12"/>
      <c r="E443" s="12"/>
      <c r="F443" s="12"/>
      <c r="G443" s="18"/>
      <c r="H443" s="35"/>
      <c r="I443" s="12"/>
      <c r="M443" s="12"/>
      <c r="N443" s="18"/>
      <c r="O443" s="12"/>
      <c r="P443" s="12"/>
      <c r="Q443" s="12"/>
      <c r="R443" s="36"/>
      <c r="S443" s="36"/>
      <c r="T443" s="12"/>
      <c r="U443" s="12"/>
      <c r="V443" s="12"/>
      <c r="W443" s="12"/>
      <c r="X443" s="12"/>
    </row>
    <row r="444" customFormat="false" ht="15.75" hidden="false" customHeight="false" outlineLevel="0" collapsed="false">
      <c r="A444" s="12"/>
      <c r="B444" s="34"/>
      <c r="C444" s="12"/>
      <c r="D444" s="12"/>
      <c r="E444" s="12"/>
      <c r="F444" s="12"/>
      <c r="G444" s="18"/>
      <c r="H444" s="35"/>
      <c r="I444" s="12"/>
      <c r="M444" s="12"/>
      <c r="N444" s="18"/>
      <c r="O444" s="12"/>
      <c r="P444" s="12"/>
      <c r="Q444" s="12"/>
      <c r="R444" s="36"/>
      <c r="S444" s="36"/>
      <c r="T444" s="12"/>
      <c r="U444" s="12"/>
      <c r="V444" s="12"/>
      <c r="W444" s="12"/>
      <c r="X444" s="12"/>
    </row>
    <row r="445" customFormat="false" ht="15.75" hidden="false" customHeight="false" outlineLevel="0" collapsed="false">
      <c r="A445" s="12"/>
      <c r="B445" s="34"/>
      <c r="C445" s="12"/>
      <c r="D445" s="12"/>
      <c r="E445" s="12"/>
      <c r="F445" s="12"/>
      <c r="G445" s="18"/>
      <c r="H445" s="35"/>
      <c r="I445" s="12"/>
      <c r="M445" s="12"/>
      <c r="N445" s="18"/>
      <c r="O445" s="12"/>
      <c r="P445" s="12"/>
      <c r="Q445" s="12"/>
      <c r="R445" s="36"/>
      <c r="S445" s="36"/>
      <c r="T445" s="12"/>
      <c r="U445" s="12"/>
      <c r="V445" s="12"/>
      <c r="W445" s="12"/>
      <c r="X445" s="12"/>
    </row>
    <row r="446" customFormat="false" ht="15.75" hidden="false" customHeight="false" outlineLevel="0" collapsed="false">
      <c r="A446" s="12"/>
      <c r="B446" s="34"/>
      <c r="C446" s="12"/>
      <c r="D446" s="12"/>
      <c r="E446" s="12"/>
      <c r="F446" s="12"/>
      <c r="G446" s="18"/>
      <c r="H446" s="35"/>
      <c r="I446" s="12"/>
      <c r="M446" s="12"/>
      <c r="N446" s="18"/>
      <c r="O446" s="12"/>
      <c r="P446" s="12"/>
      <c r="Q446" s="12"/>
      <c r="R446" s="36"/>
      <c r="S446" s="36"/>
      <c r="T446" s="12"/>
      <c r="U446" s="12"/>
      <c r="V446" s="12"/>
      <c r="W446" s="12"/>
      <c r="X446" s="12"/>
    </row>
    <row r="447" customFormat="false" ht="15.75" hidden="false" customHeight="false" outlineLevel="0" collapsed="false">
      <c r="A447" s="12"/>
      <c r="B447" s="34"/>
      <c r="C447" s="12"/>
      <c r="D447" s="12"/>
      <c r="E447" s="12"/>
      <c r="F447" s="12"/>
      <c r="G447" s="18"/>
      <c r="H447" s="35"/>
      <c r="I447" s="12"/>
      <c r="M447" s="12"/>
      <c r="N447" s="18"/>
      <c r="O447" s="12"/>
      <c r="P447" s="12"/>
      <c r="Q447" s="12"/>
      <c r="R447" s="36"/>
      <c r="S447" s="36"/>
      <c r="T447" s="12"/>
      <c r="U447" s="12"/>
      <c r="V447" s="12"/>
      <c r="W447" s="12"/>
      <c r="X447" s="12"/>
    </row>
    <row r="448" customFormat="false" ht="15.75" hidden="false" customHeight="false" outlineLevel="0" collapsed="false">
      <c r="A448" s="12"/>
      <c r="B448" s="34"/>
      <c r="C448" s="12"/>
      <c r="D448" s="12"/>
      <c r="E448" s="12"/>
      <c r="F448" s="12"/>
      <c r="G448" s="18"/>
      <c r="H448" s="35"/>
      <c r="I448" s="12"/>
      <c r="M448" s="12"/>
      <c r="N448" s="18"/>
      <c r="O448" s="12"/>
      <c r="P448" s="12"/>
      <c r="Q448" s="12"/>
      <c r="R448" s="36"/>
      <c r="S448" s="36"/>
      <c r="T448" s="12"/>
      <c r="U448" s="12"/>
      <c r="V448" s="12"/>
      <c r="W448" s="12"/>
      <c r="X448" s="12"/>
    </row>
    <row r="449" customFormat="false" ht="15.75" hidden="false" customHeight="false" outlineLevel="0" collapsed="false">
      <c r="A449" s="12"/>
      <c r="B449" s="34"/>
      <c r="C449" s="12"/>
      <c r="D449" s="12"/>
      <c r="E449" s="12"/>
      <c r="F449" s="12"/>
      <c r="G449" s="18"/>
      <c r="H449" s="35"/>
      <c r="I449" s="12"/>
      <c r="M449" s="12"/>
      <c r="N449" s="18"/>
      <c r="O449" s="12"/>
      <c r="P449" s="12"/>
      <c r="Q449" s="12"/>
      <c r="R449" s="36"/>
      <c r="S449" s="36"/>
      <c r="T449" s="12"/>
      <c r="U449" s="12"/>
      <c r="V449" s="12"/>
      <c r="W449" s="12"/>
      <c r="X449" s="12"/>
    </row>
    <row r="450" customFormat="false" ht="15.75" hidden="false" customHeight="false" outlineLevel="0" collapsed="false">
      <c r="A450" s="12"/>
      <c r="B450" s="34"/>
      <c r="C450" s="12"/>
      <c r="D450" s="12"/>
      <c r="E450" s="12"/>
      <c r="F450" s="12"/>
      <c r="G450" s="18"/>
      <c r="H450" s="35"/>
      <c r="I450" s="12"/>
      <c r="M450" s="12"/>
      <c r="N450" s="18"/>
      <c r="O450" s="12"/>
      <c r="P450" s="12"/>
      <c r="Q450" s="12"/>
      <c r="R450" s="36"/>
      <c r="S450" s="36"/>
      <c r="T450" s="12"/>
      <c r="U450" s="12"/>
      <c r="V450" s="12"/>
      <c r="W450" s="12"/>
      <c r="X450" s="12"/>
    </row>
    <row r="451" customFormat="false" ht="15.75" hidden="false" customHeight="false" outlineLevel="0" collapsed="false">
      <c r="A451" s="12"/>
      <c r="B451" s="34"/>
      <c r="C451" s="12"/>
      <c r="D451" s="12"/>
      <c r="E451" s="12"/>
      <c r="F451" s="12"/>
      <c r="G451" s="18"/>
      <c r="H451" s="35"/>
      <c r="I451" s="12"/>
      <c r="M451" s="12"/>
      <c r="N451" s="18"/>
      <c r="O451" s="12"/>
      <c r="P451" s="12"/>
      <c r="Q451" s="12"/>
      <c r="R451" s="36"/>
      <c r="S451" s="36"/>
      <c r="T451" s="12"/>
      <c r="U451" s="12"/>
      <c r="V451" s="12"/>
      <c r="W451" s="12"/>
      <c r="X451" s="12"/>
    </row>
    <row r="452" customFormat="false" ht="15.75" hidden="false" customHeight="false" outlineLevel="0" collapsed="false">
      <c r="A452" s="12"/>
      <c r="B452" s="34"/>
      <c r="C452" s="12"/>
      <c r="D452" s="12"/>
      <c r="E452" s="12"/>
      <c r="F452" s="12"/>
      <c r="G452" s="18"/>
      <c r="H452" s="35"/>
      <c r="I452" s="12"/>
      <c r="M452" s="12"/>
      <c r="N452" s="18"/>
      <c r="O452" s="12"/>
      <c r="P452" s="12"/>
      <c r="Q452" s="12"/>
      <c r="R452" s="36"/>
      <c r="S452" s="36"/>
      <c r="T452" s="12"/>
      <c r="U452" s="12"/>
      <c r="V452" s="12"/>
      <c r="W452" s="12"/>
      <c r="X452" s="12"/>
    </row>
    <row r="453" customFormat="false" ht="15.75" hidden="false" customHeight="false" outlineLevel="0" collapsed="false">
      <c r="A453" s="12"/>
      <c r="B453" s="34"/>
      <c r="C453" s="12"/>
      <c r="D453" s="12"/>
      <c r="E453" s="12"/>
      <c r="F453" s="12"/>
      <c r="G453" s="18"/>
      <c r="H453" s="35"/>
      <c r="I453" s="12"/>
      <c r="M453" s="12"/>
      <c r="N453" s="18"/>
      <c r="O453" s="12"/>
      <c r="P453" s="12"/>
      <c r="Q453" s="12"/>
      <c r="R453" s="36"/>
      <c r="S453" s="36"/>
      <c r="T453" s="12"/>
      <c r="U453" s="12"/>
      <c r="V453" s="12"/>
      <c r="W453" s="12"/>
      <c r="X453" s="12"/>
    </row>
    <row r="454" customFormat="false" ht="15.75" hidden="false" customHeight="false" outlineLevel="0" collapsed="false">
      <c r="A454" s="12"/>
      <c r="B454" s="34"/>
      <c r="C454" s="12"/>
      <c r="D454" s="12"/>
      <c r="E454" s="12"/>
      <c r="F454" s="12"/>
      <c r="G454" s="18"/>
      <c r="H454" s="35"/>
      <c r="I454" s="12"/>
      <c r="M454" s="12"/>
      <c r="N454" s="18"/>
      <c r="O454" s="12"/>
      <c r="P454" s="12"/>
      <c r="Q454" s="12"/>
      <c r="R454" s="36"/>
      <c r="S454" s="36"/>
      <c r="T454" s="12"/>
      <c r="U454" s="12"/>
      <c r="V454" s="12"/>
      <c r="W454" s="12"/>
      <c r="X454" s="12"/>
    </row>
    <row r="455" customFormat="false" ht="15.75" hidden="false" customHeight="false" outlineLevel="0" collapsed="false">
      <c r="A455" s="12"/>
      <c r="B455" s="34"/>
      <c r="C455" s="12"/>
      <c r="D455" s="12"/>
      <c r="E455" s="12"/>
      <c r="F455" s="12"/>
      <c r="G455" s="18"/>
      <c r="H455" s="35"/>
      <c r="I455" s="12"/>
      <c r="M455" s="12"/>
      <c r="N455" s="18"/>
      <c r="O455" s="12"/>
      <c r="P455" s="12"/>
      <c r="Q455" s="12"/>
      <c r="R455" s="36"/>
      <c r="S455" s="36"/>
      <c r="T455" s="12"/>
      <c r="U455" s="12"/>
      <c r="V455" s="12"/>
      <c r="W455" s="12"/>
      <c r="X455" s="12"/>
    </row>
    <row r="456" customFormat="false" ht="15.75" hidden="false" customHeight="false" outlineLevel="0" collapsed="false">
      <c r="A456" s="12"/>
      <c r="B456" s="34"/>
      <c r="C456" s="12"/>
      <c r="D456" s="12"/>
      <c r="E456" s="12"/>
      <c r="F456" s="12"/>
      <c r="G456" s="18"/>
      <c r="H456" s="35"/>
      <c r="I456" s="12"/>
      <c r="M456" s="12"/>
      <c r="N456" s="18"/>
      <c r="O456" s="12"/>
      <c r="P456" s="12"/>
      <c r="Q456" s="12"/>
      <c r="R456" s="36"/>
      <c r="S456" s="36"/>
      <c r="T456" s="12"/>
      <c r="U456" s="12"/>
      <c r="V456" s="12"/>
      <c r="W456" s="12"/>
      <c r="X456" s="12"/>
    </row>
    <row r="457" customFormat="false" ht="15.75" hidden="false" customHeight="false" outlineLevel="0" collapsed="false">
      <c r="A457" s="12"/>
      <c r="B457" s="34"/>
      <c r="C457" s="12"/>
      <c r="D457" s="12"/>
      <c r="E457" s="12"/>
      <c r="F457" s="12"/>
      <c r="G457" s="18"/>
      <c r="H457" s="35"/>
      <c r="I457" s="12"/>
      <c r="M457" s="12"/>
      <c r="N457" s="18"/>
      <c r="O457" s="12"/>
      <c r="P457" s="12"/>
      <c r="Q457" s="12"/>
      <c r="R457" s="36"/>
      <c r="S457" s="36"/>
      <c r="T457" s="12"/>
      <c r="U457" s="12"/>
      <c r="V457" s="12"/>
      <c r="W457" s="12"/>
      <c r="X457" s="12"/>
    </row>
    <row r="458" customFormat="false" ht="15.75" hidden="false" customHeight="false" outlineLevel="0" collapsed="false">
      <c r="A458" s="12"/>
      <c r="B458" s="34"/>
      <c r="C458" s="12"/>
      <c r="D458" s="12"/>
      <c r="E458" s="12"/>
      <c r="F458" s="12"/>
      <c r="G458" s="18"/>
      <c r="H458" s="35"/>
      <c r="I458" s="12"/>
      <c r="M458" s="12"/>
      <c r="N458" s="18"/>
      <c r="O458" s="12"/>
      <c r="P458" s="12"/>
      <c r="Q458" s="12"/>
      <c r="R458" s="36"/>
      <c r="S458" s="36"/>
      <c r="T458" s="12"/>
      <c r="U458" s="12"/>
      <c r="V458" s="12"/>
      <c r="W458" s="12"/>
      <c r="X458" s="12"/>
    </row>
    <row r="459" customFormat="false" ht="15.75" hidden="false" customHeight="false" outlineLevel="0" collapsed="false">
      <c r="A459" s="12"/>
      <c r="B459" s="34"/>
      <c r="C459" s="12"/>
      <c r="D459" s="12"/>
      <c r="E459" s="12"/>
      <c r="F459" s="12"/>
      <c r="G459" s="18"/>
      <c r="H459" s="35"/>
      <c r="I459" s="12"/>
      <c r="M459" s="12"/>
      <c r="N459" s="18"/>
      <c r="O459" s="12"/>
      <c r="P459" s="12"/>
      <c r="Q459" s="12"/>
      <c r="R459" s="36"/>
      <c r="S459" s="36"/>
      <c r="T459" s="12"/>
      <c r="U459" s="12"/>
      <c r="V459" s="12"/>
      <c r="W459" s="12"/>
      <c r="X459" s="12"/>
    </row>
    <row r="460" customFormat="false" ht="15.75" hidden="false" customHeight="false" outlineLevel="0" collapsed="false">
      <c r="A460" s="12"/>
      <c r="B460" s="34"/>
      <c r="C460" s="12"/>
      <c r="D460" s="12"/>
      <c r="E460" s="12"/>
      <c r="F460" s="12"/>
      <c r="G460" s="18"/>
      <c r="H460" s="35"/>
      <c r="I460" s="12"/>
      <c r="M460" s="12"/>
      <c r="N460" s="18"/>
      <c r="O460" s="12"/>
      <c r="P460" s="12"/>
      <c r="Q460" s="12"/>
      <c r="R460" s="36"/>
      <c r="S460" s="36"/>
      <c r="T460" s="12"/>
      <c r="U460" s="12"/>
      <c r="V460" s="12"/>
      <c r="W460" s="12"/>
      <c r="X460" s="12"/>
    </row>
    <row r="461" customFormat="false" ht="15.75" hidden="false" customHeight="false" outlineLevel="0" collapsed="false">
      <c r="A461" s="12"/>
      <c r="B461" s="34"/>
      <c r="C461" s="12"/>
      <c r="D461" s="12"/>
      <c r="E461" s="12"/>
      <c r="F461" s="12"/>
      <c r="G461" s="18"/>
      <c r="H461" s="35"/>
      <c r="I461" s="12"/>
      <c r="M461" s="12"/>
      <c r="N461" s="18"/>
      <c r="O461" s="12"/>
      <c r="P461" s="12"/>
      <c r="Q461" s="12"/>
      <c r="R461" s="36"/>
      <c r="S461" s="36"/>
      <c r="T461" s="12"/>
      <c r="U461" s="12"/>
      <c r="V461" s="12"/>
      <c r="W461" s="12"/>
      <c r="X461" s="12"/>
    </row>
    <row r="462" customFormat="false" ht="15.75" hidden="false" customHeight="false" outlineLevel="0" collapsed="false">
      <c r="A462" s="12"/>
      <c r="B462" s="34"/>
      <c r="C462" s="12"/>
      <c r="D462" s="12"/>
      <c r="E462" s="12"/>
      <c r="F462" s="12"/>
      <c r="G462" s="18"/>
      <c r="H462" s="35"/>
      <c r="I462" s="12"/>
      <c r="M462" s="12"/>
      <c r="N462" s="18"/>
      <c r="O462" s="12"/>
      <c r="P462" s="12"/>
      <c r="Q462" s="12"/>
      <c r="R462" s="36"/>
      <c r="S462" s="36"/>
      <c r="T462" s="12"/>
      <c r="U462" s="12"/>
      <c r="V462" s="12"/>
      <c r="W462" s="12"/>
      <c r="X462" s="12"/>
    </row>
    <row r="463" customFormat="false" ht="15.75" hidden="false" customHeight="false" outlineLevel="0" collapsed="false">
      <c r="A463" s="12"/>
      <c r="B463" s="34"/>
      <c r="C463" s="12"/>
      <c r="D463" s="12"/>
      <c r="E463" s="12"/>
      <c r="F463" s="12"/>
      <c r="G463" s="18"/>
      <c r="H463" s="35"/>
      <c r="I463" s="12"/>
      <c r="M463" s="12"/>
      <c r="N463" s="18"/>
      <c r="O463" s="12"/>
      <c r="P463" s="12"/>
      <c r="Q463" s="12"/>
      <c r="R463" s="36"/>
      <c r="S463" s="36"/>
      <c r="T463" s="12"/>
      <c r="U463" s="12"/>
      <c r="V463" s="12"/>
      <c r="W463" s="12"/>
      <c r="X463" s="12"/>
    </row>
    <row r="464" customFormat="false" ht="15.75" hidden="false" customHeight="false" outlineLevel="0" collapsed="false">
      <c r="A464" s="12"/>
      <c r="B464" s="34"/>
      <c r="C464" s="12"/>
      <c r="D464" s="12"/>
      <c r="E464" s="12"/>
      <c r="F464" s="12"/>
      <c r="G464" s="18"/>
      <c r="H464" s="35"/>
      <c r="I464" s="12"/>
      <c r="M464" s="12"/>
      <c r="N464" s="18"/>
      <c r="O464" s="12"/>
      <c r="P464" s="12"/>
      <c r="Q464" s="12"/>
      <c r="R464" s="36"/>
      <c r="S464" s="36"/>
      <c r="T464" s="12"/>
      <c r="U464" s="12"/>
      <c r="V464" s="12"/>
      <c r="W464" s="12"/>
      <c r="X464" s="12"/>
    </row>
    <row r="465" customFormat="false" ht="15.75" hidden="false" customHeight="false" outlineLevel="0" collapsed="false">
      <c r="A465" s="12"/>
      <c r="B465" s="34"/>
      <c r="C465" s="12"/>
      <c r="D465" s="12"/>
      <c r="E465" s="12"/>
      <c r="F465" s="12"/>
      <c r="G465" s="18"/>
      <c r="H465" s="35"/>
      <c r="I465" s="12"/>
      <c r="M465" s="12"/>
      <c r="N465" s="18"/>
      <c r="O465" s="12"/>
      <c r="P465" s="12"/>
      <c r="Q465" s="12"/>
      <c r="R465" s="36"/>
      <c r="S465" s="36"/>
      <c r="T465" s="12"/>
      <c r="U465" s="12"/>
      <c r="V465" s="12"/>
      <c r="W465" s="12"/>
      <c r="X465" s="12"/>
    </row>
    <row r="466" customFormat="false" ht="15.75" hidden="false" customHeight="false" outlineLevel="0" collapsed="false">
      <c r="A466" s="12"/>
      <c r="B466" s="34"/>
      <c r="C466" s="12"/>
      <c r="D466" s="12"/>
      <c r="E466" s="12"/>
      <c r="F466" s="12"/>
      <c r="G466" s="18"/>
      <c r="H466" s="35"/>
      <c r="I466" s="12"/>
      <c r="M466" s="12"/>
      <c r="N466" s="18"/>
      <c r="O466" s="12"/>
      <c r="P466" s="12"/>
      <c r="Q466" s="12"/>
      <c r="R466" s="36"/>
      <c r="S466" s="36"/>
      <c r="T466" s="12"/>
      <c r="U466" s="12"/>
      <c r="V466" s="12"/>
      <c r="W466" s="12"/>
      <c r="X466" s="12"/>
    </row>
    <row r="467" customFormat="false" ht="15.75" hidden="false" customHeight="false" outlineLevel="0" collapsed="false">
      <c r="A467" s="12"/>
      <c r="B467" s="34"/>
      <c r="C467" s="12"/>
      <c r="D467" s="12"/>
      <c r="E467" s="12"/>
      <c r="F467" s="12"/>
      <c r="G467" s="18"/>
      <c r="H467" s="35"/>
      <c r="I467" s="12"/>
      <c r="M467" s="12"/>
      <c r="N467" s="18"/>
      <c r="O467" s="12"/>
      <c r="P467" s="12"/>
      <c r="Q467" s="12"/>
      <c r="R467" s="36"/>
      <c r="S467" s="36"/>
      <c r="T467" s="12"/>
      <c r="U467" s="12"/>
      <c r="V467" s="12"/>
      <c r="W467" s="12"/>
      <c r="X467" s="12"/>
    </row>
    <row r="468" customFormat="false" ht="15.75" hidden="false" customHeight="false" outlineLevel="0" collapsed="false">
      <c r="A468" s="12"/>
      <c r="B468" s="34"/>
      <c r="C468" s="12"/>
      <c r="D468" s="12"/>
      <c r="E468" s="12"/>
      <c r="F468" s="12"/>
      <c r="G468" s="18"/>
      <c r="H468" s="35"/>
      <c r="I468" s="12"/>
      <c r="M468" s="12"/>
      <c r="N468" s="18"/>
      <c r="O468" s="12"/>
      <c r="P468" s="12"/>
      <c r="Q468" s="12"/>
      <c r="R468" s="36"/>
      <c r="S468" s="36"/>
      <c r="T468" s="12"/>
      <c r="U468" s="12"/>
      <c r="V468" s="12"/>
      <c r="W468" s="12"/>
      <c r="X468" s="12"/>
    </row>
    <row r="469" customFormat="false" ht="15.75" hidden="false" customHeight="false" outlineLevel="0" collapsed="false">
      <c r="A469" s="12"/>
      <c r="B469" s="34"/>
      <c r="C469" s="12"/>
      <c r="D469" s="12"/>
      <c r="E469" s="12"/>
      <c r="F469" s="12"/>
      <c r="G469" s="18"/>
      <c r="H469" s="35"/>
      <c r="I469" s="12"/>
      <c r="M469" s="12"/>
      <c r="N469" s="18"/>
      <c r="O469" s="12"/>
      <c r="P469" s="12"/>
      <c r="Q469" s="12"/>
      <c r="R469" s="36"/>
      <c r="S469" s="36"/>
      <c r="T469" s="12"/>
      <c r="U469" s="12"/>
      <c r="V469" s="12"/>
      <c r="W469" s="12"/>
      <c r="X469" s="12"/>
    </row>
    <row r="470" customFormat="false" ht="15.75" hidden="false" customHeight="false" outlineLevel="0" collapsed="false">
      <c r="A470" s="12"/>
      <c r="B470" s="34"/>
      <c r="C470" s="12"/>
      <c r="D470" s="12"/>
      <c r="E470" s="12"/>
      <c r="F470" s="12"/>
      <c r="G470" s="18"/>
      <c r="H470" s="35"/>
      <c r="I470" s="12"/>
      <c r="M470" s="12"/>
      <c r="N470" s="18"/>
      <c r="O470" s="12"/>
      <c r="P470" s="12"/>
      <c r="Q470" s="12"/>
      <c r="R470" s="36"/>
      <c r="S470" s="36"/>
      <c r="T470" s="12"/>
      <c r="U470" s="12"/>
      <c r="V470" s="12"/>
      <c r="W470" s="12"/>
      <c r="X470" s="12"/>
    </row>
    <row r="471" customFormat="false" ht="15.75" hidden="false" customHeight="false" outlineLevel="0" collapsed="false">
      <c r="A471" s="12"/>
      <c r="B471" s="34"/>
      <c r="C471" s="12"/>
      <c r="D471" s="12"/>
      <c r="E471" s="12"/>
      <c r="F471" s="12"/>
      <c r="G471" s="18"/>
      <c r="H471" s="35"/>
      <c r="I471" s="12"/>
      <c r="M471" s="12"/>
      <c r="N471" s="18"/>
      <c r="O471" s="12"/>
      <c r="P471" s="12"/>
      <c r="Q471" s="12"/>
      <c r="R471" s="36"/>
      <c r="S471" s="36"/>
      <c r="T471" s="12"/>
      <c r="U471" s="12"/>
      <c r="V471" s="12"/>
      <c r="W471" s="12"/>
      <c r="X471" s="12"/>
    </row>
    <row r="472" customFormat="false" ht="15.75" hidden="false" customHeight="false" outlineLevel="0" collapsed="false">
      <c r="A472" s="12"/>
      <c r="B472" s="34"/>
      <c r="C472" s="12"/>
      <c r="D472" s="12"/>
      <c r="E472" s="12"/>
      <c r="F472" s="12"/>
      <c r="G472" s="18"/>
      <c r="H472" s="35"/>
      <c r="I472" s="12"/>
      <c r="M472" s="12"/>
      <c r="N472" s="18"/>
      <c r="O472" s="12"/>
      <c r="P472" s="12"/>
      <c r="Q472" s="12"/>
      <c r="R472" s="36"/>
      <c r="S472" s="36"/>
      <c r="T472" s="12"/>
      <c r="U472" s="12"/>
      <c r="V472" s="12"/>
      <c r="W472" s="12"/>
      <c r="X472" s="12"/>
    </row>
    <row r="473" customFormat="false" ht="15.75" hidden="false" customHeight="false" outlineLevel="0" collapsed="false">
      <c r="A473" s="12"/>
      <c r="B473" s="34"/>
      <c r="C473" s="12"/>
      <c r="D473" s="12"/>
      <c r="E473" s="12"/>
      <c r="F473" s="12"/>
      <c r="G473" s="18"/>
      <c r="H473" s="35"/>
      <c r="I473" s="12"/>
      <c r="M473" s="12"/>
      <c r="N473" s="18"/>
      <c r="O473" s="12"/>
      <c r="P473" s="12"/>
      <c r="Q473" s="12"/>
      <c r="R473" s="36"/>
      <c r="S473" s="36"/>
      <c r="T473" s="12"/>
      <c r="U473" s="12"/>
      <c r="V473" s="12"/>
      <c r="W473" s="12"/>
      <c r="X473" s="12"/>
    </row>
    <row r="474" customFormat="false" ht="15.75" hidden="false" customHeight="false" outlineLevel="0" collapsed="false">
      <c r="A474" s="12"/>
      <c r="B474" s="34"/>
      <c r="C474" s="12"/>
      <c r="D474" s="12"/>
      <c r="E474" s="12"/>
      <c r="F474" s="12"/>
      <c r="G474" s="18"/>
      <c r="H474" s="35"/>
      <c r="I474" s="12"/>
      <c r="M474" s="12"/>
      <c r="N474" s="18"/>
      <c r="O474" s="12"/>
      <c r="P474" s="12"/>
      <c r="Q474" s="12"/>
      <c r="R474" s="36"/>
      <c r="S474" s="36"/>
      <c r="T474" s="12"/>
      <c r="U474" s="12"/>
      <c r="V474" s="12"/>
      <c r="W474" s="12"/>
      <c r="X474" s="12"/>
    </row>
    <row r="475" customFormat="false" ht="15.75" hidden="false" customHeight="false" outlineLevel="0" collapsed="false">
      <c r="A475" s="12"/>
      <c r="B475" s="34"/>
      <c r="C475" s="12"/>
      <c r="D475" s="12"/>
      <c r="E475" s="12"/>
      <c r="F475" s="12"/>
      <c r="G475" s="18"/>
      <c r="H475" s="35"/>
      <c r="I475" s="12"/>
      <c r="M475" s="12"/>
      <c r="N475" s="18"/>
      <c r="O475" s="12"/>
      <c r="P475" s="12"/>
      <c r="Q475" s="12"/>
      <c r="R475" s="36"/>
      <c r="S475" s="36"/>
      <c r="T475" s="12"/>
      <c r="U475" s="12"/>
      <c r="V475" s="12"/>
      <c r="W475" s="12"/>
      <c r="X475" s="12"/>
    </row>
    <row r="476" customFormat="false" ht="15.75" hidden="false" customHeight="false" outlineLevel="0" collapsed="false">
      <c r="A476" s="12"/>
      <c r="B476" s="34"/>
      <c r="C476" s="12"/>
      <c r="D476" s="12"/>
      <c r="E476" s="12"/>
      <c r="F476" s="12"/>
      <c r="G476" s="18"/>
      <c r="H476" s="35"/>
      <c r="I476" s="12"/>
      <c r="M476" s="12"/>
      <c r="N476" s="18"/>
      <c r="O476" s="12"/>
      <c r="P476" s="12"/>
      <c r="Q476" s="12"/>
      <c r="R476" s="36"/>
      <c r="S476" s="36"/>
      <c r="T476" s="12"/>
      <c r="U476" s="12"/>
      <c r="V476" s="12"/>
      <c r="W476" s="12"/>
      <c r="X476" s="12"/>
    </row>
    <row r="477" customFormat="false" ht="15.75" hidden="false" customHeight="false" outlineLevel="0" collapsed="false">
      <c r="A477" s="12"/>
      <c r="B477" s="34"/>
      <c r="C477" s="12"/>
      <c r="D477" s="12"/>
      <c r="E477" s="12"/>
      <c r="F477" s="12"/>
      <c r="G477" s="18"/>
      <c r="H477" s="35"/>
      <c r="I477" s="12"/>
      <c r="M477" s="12"/>
      <c r="N477" s="18"/>
      <c r="O477" s="12"/>
      <c r="P477" s="12"/>
      <c r="Q477" s="12"/>
      <c r="R477" s="36"/>
      <c r="S477" s="36"/>
      <c r="T477" s="12"/>
      <c r="U477" s="12"/>
      <c r="V477" s="12"/>
      <c r="W477" s="12"/>
      <c r="X477" s="12"/>
    </row>
    <row r="478" customFormat="false" ht="15.75" hidden="false" customHeight="false" outlineLevel="0" collapsed="false">
      <c r="A478" s="12"/>
      <c r="B478" s="34"/>
      <c r="C478" s="12"/>
      <c r="D478" s="12"/>
      <c r="E478" s="12"/>
      <c r="F478" s="12"/>
      <c r="G478" s="18"/>
      <c r="H478" s="35"/>
      <c r="I478" s="12"/>
      <c r="M478" s="12"/>
      <c r="N478" s="18"/>
      <c r="O478" s="12"/>
      <c r="P478" s="12"/>
      <c r="Q478" s="12"/>
      <c r="R478" s="36"/>
      <c r="S478" s="36"/>
      <c r="T478" s="12"/>
      <c r="U478" s="12"/>
      <c r="V478" s="12"/>
      <c r="W478" s="12"/>
      <c r="X478" s="12"/>
    </row>
    <row r="479" customFormat="false" ht="15.75" hidden="false" customHeight="false" outlineLevel="0" collapsed="false">
      <c r="A479" s="12"/>
      <c r="B479" s="34"/>
      <c r="C479" s="12"/>
      <c r="D479" s="12"/>
      <c r="E479" s="12"/>
      <c r="F479" s="12"/>
      <c r="G479" s="18"/>
      <c r="H479" s="35"/>
      <c r="I479" s="12"/>
      <c r="M479" s="12"/>
      <c r="N479" s="18"/>
      <c r="O479" s="12"/>
      <c r="P479" s="12"/>
      <c r="Q479" s="12"/>
      <c r="R479" s="36"/>
      <c r="S479" s="36"/>
      <c r="T479" s="12"/>
      <c r="U479" s="12"/>
      <c r="V479" s="12"/>
      <c r="W479" s="12"/>
      <c r="X479" s="12"/>
    </row>
    <row r="480" customFormat="false" ht="15.75" hidden="false" customHeight="false" outlineLevel="0" collapsed="false">
      <c r="A480" s="12"/>
      <c r="B480" s="34"/>
      <c r="C480" s="12"/>
      <c r="D480" s="12"/>
      <c r="E480" s="12"/>
      <c r="F480" s="12"/>
      <c r="G480" s="18"/>
      <c r="H480" s="35"/>
      <c r="I480" s="12"/>
      <c r="M480" s="12"/>
      <c r="N480" s="18"/>
      <c r="O480" s="12"/>
      <c r="P480" s="12"/>
      <c r="Q480" s="12"/>
      <c r="R480" s="36"/>
      <c r="S480" s="36"/>
      <c r="T480" s="12"/>
      <c r="U480" s="12"/>
      <c r="V480" s="12"/>
      <c r="W480" s="12"/>
      <c r="X480" s="12"/>
    </row>
    <row r="481" customFormat="false" ht="15.75" hidden="false" customHeight="false" outlineLevel="0" collapsed="false">
      <c r="A481" s="12"/>
      <c r="B481" s="34"/>
      <c r="C481" s="12"/>
      <c r="D481" s="12"/>
      <c r="E481" s="12"/>
      <c r="F481" s="12"/>
      <c r="G481" s="18"/>
      <c r="H481" s="35"/>
      <c r="I481" s="12"/>
      <c r="M481" s="12"/>
      <c r="N481" s="18"/>
      <c r="O481" s="12"/>
      <c r="P481" s="12"/>
      <c r="Q481" s="12"/>
      <c r="R481" s="36"/>
      <c r="S481" s="36"/>
      <c r="T481" s="12"/>
      <c r="U481" s="12"/>
      <c r="V481" s="12"/>
      <c r="W481" s="12"/>
      <c r="X481" s="12"/>
    </row>
    <row r="482" customFormat="false" ht="15.75" hidden="false" customHeight="false" outlineLevel="0" collapsed="false">
      <c r="A482" s="12"/>
      <c r="B482" s="34"/>
      <c r="C482" s="12"/>
      <c r="D482" s="12"/>
      <c r="E482" s="12"/>
      <c r="F482" s="12"/>
      <c r="G482" s="18"/>
      <c r="H482" s="35"/>
      <c r="I482" s="12"/>
      <c r="M482" s="12"/>
      <c r="N482" s="18"/>
      <c r="O482" s="12"/>
      <c r="P482" s="12"/>
      <c r="Q482" s="12"/>
      <c r="R482" s="36"/>
      <c r="S482" s="36"/>
      <c r="T482" s="12"/>
      <c r="U482" s="12"/>
      <c r="V482" s="12"/>
      <c r="W482" s="12"/>
      <c r="X482" s="12"/>
    </row>
    <row r="483" customFormat="false" ht="15.75" hidden="false" customHeight="false" outlineLevel="0" collapsed="false">
      <c r="A483" s="12"/>
      <c r="B483" s="34"/>
      <c r="C483" s="12"/>
      <c r="D483" s="12"/>
      <c r="E483" s="12"/>
      <c r="F483" s="12"/>
      <c r="G483" s="18"/>
      <c r="H483" s="35"/>
      <c r="I483" s="12"/>
      <c r="M483" s="12"/>
      <c r="N483" s="18"/>
      <c r="O483" s="12"/>
      <c r="P483" s="12"/>
      <c r="Q483" s="12"/>
      <c r="R483" s="36"/>
      <c r="S483" s="36"/>
      <c r="T483" s="12"/>
      <c r="U483" s="12"/>
      <c r="V483" s="12"/>
      <c r="W483" s="12"/>
      <c r="X483" s="12"/>
    </row>
    <row r="484" customFormat="false" ht="15.75" hidden="false" customHeight="false" outlineLevel="0" collapsed="false">
      <c r="A484" s="12"/>
      <c r="B484" s="34"/>
      <c r="C484" s="12"/>
      <c r="D484" s="12"/>
      <c r="E484" s="12"/>
      <c r="F484" s="12"/>
      <c r="G484" s="18"/>
      <c r="H484" s="35"/>
      <c r="I484" s="12"/>
      <c r="M484" s="12"/>
      <c r="N484" s="18"/>
      <c r="O484" s="12"/>
      <c r="P484" s="12"/>
      <c r="Q484" s="12"/>
      <c r="R484" s="36"/>
      <c r="S484" s="36"/>
      <c r="T484" s="12"/>
      <c r="U484" s="12"/>
      <c r="V484" s="12"/>
      <c r="W484" s="12"/>
      <c r="X484" s="12"/>
    </row>
    <row r="485" customFormat="false" ht="15.75" hidden="false" customHeight="false" outlineLevel="0" collapsed="false">
      <c r="A485" s="12"/>
      <c r="B485" s="34"/>
      <c r="C485" s="12"/>
      <c r="D485" s="12"/>
      <c r="E485" s="12"/>
      <c r="F485" s="12"/>
      <c r="G485" s="18"/>
      <c r="H485" s="35"/>
      <c r="I485" s="12"/>
      <c r="M485" s="12"/>
      <c r="N485" s="18"/>
      <c r="O485" s="12"/>
      <c r="P485" s="12"/>
      <c r="Q485" s="12"/>
      <c r="R485" s="36"/>
      <c r="S485" s="36"/>
      <c r="T485" s="12"/>
      <c r="U485" s="12"/>
      <c r="V485" s="12"/>
      <c r="W485" s="12"/>
      <c r="X485" s="12"/>
    </row>
    <row r="486" customFormat="false" ht="15.75" hidden="false" customHeight="false" outlineLevel="0" collapsed="false">
      <c r="A486" s="12"/>
      <c r="B486" s="34"/>
      <c r="C486" s="12"/>
      <c r="D486" s="12"/>
      <c r="E486" s="12"/>
      <c r="F486" s="12"/>
      <c r="G486" s="18"/>
      <c r="H486" s="35"/>
      <c r="I486" s="12"/>
      <c r="M486" s="12"/>
      <c r="N486" s="18"/>
      <c r="O486" s="12"/>
      <c r="P486" s="12"/>
      <c r="Q486" s="12"/>
      <c r="R486" s="36"/>
      <c r="S486" s="36"/>
      <c r="T486" s="12"/>
      <c r="U486" s="12"/>
      <c r="V486" s="12"/>
      <c r="W486" s="12"/>
      <c r="X486" s="12"/>
    </row>
    <row r="487" customFormat="false" ht="15.75" hidden="false" customHeight="false" outlineLevel="0" collapsed="false">
      <c r="A487" s="12"/>
      <c r="B487" s="34"/>
      <c r="C487" s="12"/>
      <c r="D487" s="12"/>
      <c r="E487" s="12"/>
      <c r="F487" s="12"/>
      <c r="G487" s="18"/>
      <c r="H487" s="35"/>
      <c r="I487" s="12"/>
      <c r="M487" s="12"/>
      <c r="N487" s="18"/>
      <c r="O487" s="12"/>
      <c r="P487" s="12"/>
      <c r="Q487" s="12"/>
      <c r="R487" s="36"/>
      <c r="S487" s="36"/>
      <c r="T487" s="12"/>
      <c r="U487" s="12"/>
      <c r="V487" s="12"/>
      <c r="W487" s="12"/>
      <c r="X487" s="12"/>
    </row>
    <row r="488" customFormat="false" ht="15.75" hidden="false" customHeight="false" outlineLevel="0" collapsed="false">
      <c r="A488" s="12"/>
      <c r="B488" s="34"/>
      <c r="C488" s="12"/>
      <c r="D488" s="12"/>
      <c r="E488" s="12"/>
      <c r="F488" s="12"/>
      <c r="G488" s="18"/>
      <c r="H488" s="35"/>
      <c r="I488" s="12"/>
      <c r="M488" s="12"/>
      <c r="N488" s="18"/>
      <c r="O488" s="12"/>
      <c r="P488" s="12"/>
      <c r="Q488" s="12"/>
      <c r="R488" s="36"/>
      <c r="S488" s="36"/>
      <c r="T488" s="12"/>
      <c r="U488" s="12"/>
      <c r="V488" s="12"/>
      <c r="W488" s="12"/>
      <c r="X488" s="12"/>
    </row>
    <row r="489" customFormat="false" ht="15.75" hidden="false" customHeight="false" outlineLevel="0" collapsed="false">
      <c r="A489" s="12"/>
      <c r="B489" s="34"/>
      <c r="C489" s="12"/>
      <c r="D489" s="12"/>
      <c r="E489" s="12"/>
      <c r="F489" s="12"/>
      <c r="G489" s="18"/>
      <c r="H489" s="35"/>
      <c r="I489" s="12"/>
      <c r="M489" s="12"/>
      <c r="N489" s="18"/>
      <c r="O489" s="12"/>
      <c r="P489" s="12"/>
      <c r="Q489" s="12"/>
      <c r="R489" s="36"/>
      <c r="S489" s="36"/>
      <c r="T489" s="12"/>
      <c r="U489" s="12"/>
      <c r="V489" s="12"/>
      <c r="W489" s="12"/>
      <c r="X489" s="12"/>
    </row>
    <row r="490" customFormat="false" ht="15.75" hidden="false" customHeight="false" outlineLevel="0" collapsed="false">
      <c r="A490" s="12"/>
      <c r="B490" s="34"/>
      <c r="C490" s="12"/>
      <c r="D490" s="12"/>
      <c r="E490" s="12"/>
      <c r="F490" s="12"/>
      <c r="G490" s="18"/>
      <c r="H490" s="35"/>
      <c r="I490" s="12"/>
      <c r="M490" s="12"/>
      <c r="N490" s="18"/>
      <c r="O490" s="12"/>
      <c r="P490" s="12"/>
      <c r="Q490" s="12"/>
      <c r="R490" s="36"/>
      <c r="S490" s="36"/>
      <c r="T490" s="12"/>
      <c r="U490" s="12"/>
      <c r="V490" s="12"/>
      <c r="W490" s="12"/>
      <c r="X490" s="12"/>
    </row>
    <row r="491" customFormat="false" ht="15.75" hidden="false" customHeight="false" outlineLevel="0" collapsed="false">
      <c r="A491" s="12"/>
      <c r="B491" s="34"/>
      <c r="C491" s="12"/>
      <c r="D491" s="12"/>
      <c r="E491" s="12"/>
      <c r="F491" s="12"/>
      <c r="G491" s="18"/>
      <c r="H491" s="35"/>
      <c r="I491" s="12"/>
      <c r="M491" s="12"/>
      <c r="N491" s="18"/>
      <c r="O491" s="12"/>
      <c r="P491" s="12"/>
      <c r="Q491" s="12"/>
      <c r="R491" s="36"/>
      <c r="S491" s="36"/>
      <c r="T491" s="12"/>
      <c r="U491" s="12"/>
      <c r="V491" s="12"/>
      <c r="W491" s="12"/>
      <c r="X491" s="12"/>
    </row>
    <row r="492" customFormat="false" ht="15.75" hidden="false" customHeight="false" outlineLevel="0" collapsed="false">
      <c r="A492" s="12"/>
      <c r="B492" s="34"/>
      <c r="C492" s="12"/>
      <c r="D492" s="12"/>
      <c r="E492" s="12"/>
      <c r="F492" s="12"/>
      <c r="G492" s="18"/>
      <c r="H492" s="35"/>
      <c r="I492" s="12"/>
      <c r="M492" s="12"/>
      <c r="N492" s="18"/>
      <c r="O492" s="12"/>
      <c r="P492" s="12"/>
      <c r="Q492" s="12"/>
      <c r="R492" s="36"/>
      <c r="S492" s="36"/>
      <c r="T492" s="12"/>
      <c r="U492" s="12"/>
      <c r="V492" s="12"/>
      <c r="W492" s="12"/>
      <c r="X492" s="12"/>
    </row>
    <row r="493" customFormat="false" ht="15.75" hidden="false" customHeight="false" outlineLevel="0" collapsed="false">
      <c r="A493" s="12"/>
      <c r="B493" s="34"/>
      <c r="C493" s="12"/>
      <c r="D493" s="12"/>
      <c r="E493" s="12"/>
      <c r="F493" s="12"/>
      <c r="G493" s="18"/>
      <c r="H493" s="35"/>
      <c r="I493" s="12"/>
      <c r="M493" s="12"/>
      <c r="N493" s="18"/>
      <c r="O493" s="12"/>
      <c r="P493" s="12"/>
      <c r="Q493" s="12"/>
      <c r="R493" s="36"/>
      <c r="S493" s="36"/>
      <c r="T493" s="12"/>
      <c r="U493" s="12"/>
      <c r="V493" s="12"/>
      <c r="W493" s="12"/>
      <c r="X493" s="12"/>
    </row>
    <row r="494" customFormat="false" ht="15.75" hidden="false" customHeight="false" outlineLevel="0" collapsed="false">
      <c r="A494" s="12"/>
      <c r="B494" s="34"/>
      <c r="C494" s="12"/>
      <c r="D494" s="12"/>
      <c r="E494" s="12"/>
      <c r="F494" s="12"/>
      <c r="G494" s="18"/>
      <c r="H494" s="35"/>
      <c r="I494" s="12"/>
      <c r="M494" s="12"/>
      <c r="N494" s="18"/>
      <c r="O494" s="12"/>
      <c r="P494" s="12"/>
      <c r="Q494" s="12"/>
      <c r="R494" s="36"/>
      <c r="S494" s="36"/>
      <c r="T494" s="12"/>
      <c r="U494" s="12"/>
      <c r="V494" s="12"/>
      <c r="W494" s="12"/>
      <c r="X494" s="12"/>
    </row>
    <row r="495" customFormat="false" ht="15.75" hidden="false" customHeight="false" outlineLevel="0" collapsed="false">
      <c r="A495" s="12"/>
      <c r="B495" s="34"/>
      <c r="C495" s="12"/>
      <c r="D495" s="12"/>
      <c r="E495" s="12"/>
      <c r="F495" s="12"/>
      <c r="G495" s="18"/>
      <c r="H495" s="35"/>
      <c r="I495" s="12"/>
      <c r="M495" s="12"/>
      <c r="N495" s="18"/>
      <c r="O495" s="12"/>
      <c r="P495" s="12"/>
      <c r="Q495" s="12"/>
      <c r="R495" s="36"/>
      <c r="S495" s="36"/>
      <c r="T495" s="12"/>
      <c r="U495" s="12"/>
      <c r="V495" s="12"/>
      <c r="W495" s="12"/>
      <c r="X495" s="12"/>
    </row>
    <row r="496" customFormat="false" ht="15.75" hidden="false" customHeight="false" outlineLevel="0" collapsed="false">
      <c r="A496" s="12"/>
      <c r="B496" s="34"/>
      <c r="C496" s="12"/>
      <c r="D496" s="12"/>
      <c r="E496" s="12"/>
      <c r="F496" s="12"/>
      <c r="G496" s="18"/>
      <c r="H496" s="35"/>
      <c r="I496" s="12"/>
      <c r="M496" s="12"/>
      <c r="N496" s="18"/>
      <c r="O496" s="12"/>
      <c r="P496" s="12"/>
      <c r="Q496" s="12"/>
      <c r="R496" s="36"/>
      <c r="S496" s="36"/>
      <c r="T496" s="12"/>
      <c r="U496" s="12"/>
      <c r="V496" s="12"/>
      <c r="W496" s="12"/>
      <c r="X496" s="12"/>
    </row>
    <row r="497" customFormat="false" ht="15.75" hidden="false" customHeight="false" outlineLevel="0" collapsed="false">
      <c r="A497" s="12"/>
      <c r="B497" s="34"/>
      <c r="C497" s="12"/>
      <c r="D497" s="12"/>
      <c r="E497" s="12"/>
      <c r="F497" s="12"/>
      <c r="G497" s="18"/>
      <c r="H497" s="35"/>
      <c r="I497" s="12"/>
      <c r="M497" s="12"/>
      <c r="N497" s="18"/>
      <c r="O497" s="12"/>
      <c r="P497" s="12"/>
      <c r="Q497" s="12"/>
      <c r="R497" s="36"/>
      <c r="S497" s="36"/>
      <c r="T497" s="12"/>
      <c r="U497" s="12"/>
      <c r="V497" s="12"/>
      <c r="W497" s="12"/>
      <c r="X497" s="12"/>
    </row>
    <row r="498" customFormat="false" ht="15.75" hidden="false" customHeight="false" outlineLevel="0" collapsed="false">
      <c r="A498" s="12"/>
      <c r="B498" s="34"/>
      <c r="C498" s="12"/>
      <c r="D498" s="12"/>
      <c r="E498" s="12"/>
      <c r="F498" s="12"/>
      <c r="G498" s="18"/>
      <c r="H498" s="35"/>
      <c r="I498" s="12"/>
      <c r="M498" s="12"/>
      <c r="N498" s="18"/>
      <c r="O498" s="12"/>
      <c r="P498" s="12"/>
      <c r="Q498" s="12"/>
      <c r="R498" s="36"/>
      <c r="S498" s="36"/>
      <c r="T498" s="12"/>
      <c r="U498" s="12"/>
      <c r="V498" s="12"/>
      <c r="W498" s="12"/>
      <c r="X498" s="12"/>
    </row>
    <row r="499" customFormat="false" ht="15.75" hidden="false" customHeight="false" outlineLevel="0" collapsed="false">
      <c r="A499" s="12"/>
      <c r="B499" s="34"/>
      <c r="C499" s="12"/>
      <c r="D499" s="12"/>
      <c r="E499" s="12"/>
      <c r="F499" s="12"/>
      <c r="G499" s="18"/>
      <c r="H499" s="35"/>
      <c r="I499" s="12"/>
      <c r="M499" s="12"/>
      <c r="N499" s="18"/>
      <c r="O499" s="12"/>
      <c r="P499" s="12"/>
      <c r="Q499" s="12"/>
      <c r="R499" s="36"/>
      <c r="S499" s="36"/>
      <c r="T499" s="12"/>
      <c r="U499" s="12"/>
      <c r="V499" s="12"/>
      <c r="W499" s="12"/>
      <c r="X499" s="12"/>
    </row>
    <row r="500" customFormat="false" ht="15.75" hidden="false" customHeight="false" outlineLevel="0" collapsed="false">
      <c r="A500" s="12"/>
      <c r="B500" s="34"/>
      <c r="C500" s="12"/>
      <c r="D500" s="12"/>
      <c r="E500" s="12"/>
      <c r="F500" s="12"/>
      <c r="G500" s="18"/>
      <c r="H500" s="35"/>
      <c r="I500" s="12"/>
      <c r="M500" s="12"/>
      <c r="N500" s="18"/>
      <c r="O500" s="12"/>
      <c r="P500" s="12"/>
      <c r="Q500" s="12"/>
      <c r="R500" s="36"/>
      <c r="S500" s="36"/>
      <c r="T500" s="12"/>
      <c r="U500" s="12"/>
      <c r="V500" s="12"/>
      <c r="W500" s="12"/>
      <c r="X500" s="12"/>
    </row>
    <row r="501" customFormat="false" ht="15.75" hidden="false" customHeight="false" outlineLevel="0" collapsed="false">
      <c r="A501" s="12"/>
      <c r="B501" s="34"/>
      <c r="C501" s="12"/>
      <c r="D501" s="12"/>
      <c r="E501" s="12"/>
      <c r="F501" s="12"/>
      <c r="G501" s="18"/>
      <c r="H501" s="35"/>
      <c r="I501" s="12"/>
      <c r="M501" s="12"/>
      <c r="N501" s="18"/>
      <c r="O501" s="12"/>
      <c r="P501" s="12"/>
      <c r="Q501" s="12"/>
      <c r="R501" s="36"/>
      <c r="S501" s="36"/>
      <c r="T501" s="12"/>
      <c r="U501" s="12"/>
      <c r="V501" s="12"/>
      <c r="W501" s="12"/>
      <c r="X501" s="12"/>
    </row>
    <row r="502" customFormat="false" ht="15.75" hidden="false" customHeight="false" outlineLevel="0" collapsed="false">
      <c r="A502" s="12"/>
      <c r="B502" s="34"/>
      <c r="C502" s="12"/>
      <c r="D502" s="12"/>
      <c r="E502" s="12"/>
      <c r="F502" s="12"/>
      <c r="G502" s="18"/>
      <c r="H502" s="35"/>
      <c r="I502" s="12"/>
      <c r="M502" s="12"/>
      <c r="N502" s="18"/>
      <c r="O502" s="12"/>
      <c r="P502" s="12"/>
      <c r="Q502" s="12"/>
      <c r="R502" s="36"/>
      <c r="S502" s="36"/>
      <c r="T502" s="12"/>
      <c r="U502" s="12"/>
      <c r="V502" s="12"/>
      <c r="W502" s="12"/>
      <c r="X502" s="12"/>
    </row>
    <row r="503" customFormat="false" ht="15.75" hidden="false" customHeight="false" outlineLevel="0" collapsed="false">
      <c r="A503" s="12"/>
      <c r="B503" s="34"/>
      <c r="C503" s="12"/>
      <c r="D503" s="12"/>
      <c r="E503" s="12"/>
      <c r="F503" s="12"/>
      <c r="G503" s="18"/>
      <c r="H503" s="35"/>
      <c r="I503" s="12"/>
      <c r="M503" s="12"/>
      <c r="N503" s="18"/>
      <c r="O503" s="12"/>
      <c r="P503" s="12"/>
      <c r="Q503" s="12"/>
      <c r="R503" s="36"/>
      <c r="S503" s="36"/>
      <c r="T503" s="12"/>
      <c r="U503" s="12"/>
      <c r="V503" s="12"/>
      <c r="W503" s="12"/>
      <c r="X503" s="12"/>
    </row>
    <row r="504" customFormat="false" ht="15.75" hidden="false" customHeight="false" outlineLevel="0" collapsed="false">
      <c r="A504" s="12"/>
      <c r="B504" s="34"/>
      <c r="C504" s="12"/>
      <c r="D504" s="12"/>
      <c r="E504" s="12"/>
      <c r="F504" s="12"/>
      <c r="G504" s="18"/>
      <c r="H504" s="35"/>
      <c r="I504" s="12"/>
      <c r="M504" s="12"/>
      <c r="N504" s="18"/>
      <c r="O504" s="12"/>
      <c r="P504" s="12"/>
      <c r="Q504" s="12"/>
      <c r="R504" s="36"/>
      <c r="S504" s="36"/>
      <c r="T504" s="12"/>
      <c r="U504" s="12"/>
      <c r="V504" s="12"/>
      <c r="W504" s="12"/>
      <c r="X504" s="12"/>
    </row>
    <row r="505" customFormat="false" ht="15.75" hidden="false" customHeight="false" outlineLevel="0" collapsed="false">
      <c r="A505" s="12"/>
      <c r="B505" s="34"/>
      <c r="C505" s="12"/>
      <c r="D505" s="12"/>
      <c r="E505" s="12"/>
      <c r="F505" s="12"/>
      <c r="G505" s="18"/>
      <c r="H505" s="35"/>
      <c r="I505" s="12"/>
      <c r="M505" s="12"/>
      <c r="N505" s="18"/>
      <c r="O505" s="12"/>
      <c r="P505" s="12"/>
      <c r="Q505" s="12"/>
      <c r="R505" s="36"/>
      <c r="S505" s="36"/>
      <c r="T505" s="12"/>
      <c r="U505" s="12"/>
      <c r="V505" s="12"/>
      <c r="W505" s="12"/>
      <c r="X505" s="12"/>
    </row>
    <row r="506" customFormat="false" ht="15.75" hidden="false" customHeight="false" outlineLevel="0" collapsed="false">
      <c r="A506" s="12"/>
      <c r="B506" s="34"/>
      <c r="C506" s="12"/>
      <c r="D506" s="12"/>
      <c r="E506" s="12"/>
      <c r="F506" s="12"/>
      <c r="G506" s="18"/>
      <c r="H506" s="35"/>
      <c r="I506" s="12"/>
      <c r="M506" s="12"/>
      <c r="N506" s="18"/>
      <c r="O506" s="12"/>
      <c r="P506" s="12"/>
      <c r="Q506" s="12"/>
      <c r="R506" s="36"/>
      <c r="S506" s="36"/>
      <c r="T506" s="12"/>
      <c r="U506" s="12"/>
      <c r="V506" s="12"/>
      <c r="W506" s="12"/>
      <c r="X506" s="12"/>
    </row>
    <row r="507" customFormat="false" ht="15.75" hidden="false" customHeight="false" outlineLevel="0" collapsed="false">
      <c r="A507" s="12"/>
      <c r="B507" s="34"/>
      <c r="C507" s="12"/>
      <c r="D507" s="12"/>
      <c r="E507" s="12"/>
      <c r="F507" s="12"/>
      <c r="G507" s="18"/>
      <c r="H507" s="35"/>
      <c r="I507" s="12"/>
      <c r="M507" s="12"/>
      <c r="N507" s="18"/>
      <c r="O507" s="12"/>
      <c r="P507" s="12"/>
      <c r="Q507" s="12"/>
      <c r="R507" s="36"/>
      <c r="S507" s="36"/>
      <c r="T507" s="12"/>
      <c r="U507" s="12"/>
      <c r="V507" s="12"/>
      <c r="W507" s="12"/>
      <c r="X507" s="12"/>
    </row>
    <row r="508" customFormat="false" ht="15.75" hidden="false" customHeight="false" outlineLevel="0" collapsed="false">
      <c r="A508" s="12"/>
      <c r="B508" s="34"/>
      <c r="C508" s="12"/>
      <c r="D508" s="12"/>
      <c r="E508" s="12"/>
      <c r="F508" s="12"/>
      <c r="G508" s="18"/>
      <c r="H508" s="35"/>
      <c r="I508" s="12"/>
      <c r="M508" s="12"/>
      <c r="N508" s="18"/>
      <c r="O508" s="12"/>
      <c r="P508" s="12"/>
      <c r="Q508" s="12"/>
      <c r="R508" s="36"/>
      <c r="S508" s="36"/>
      <c r="T508" s="12"/>
      <c r="U508" s="12"/>
      <c r="V508" s="12"/>
      <c r="W508" s="12"/>
      <c r="X508" s="12"/>
    </row>
    <row r="509" customFormat="false" ht="15.75" hidden="false" customHeight="false" outlineLevel="0" collapsed="false">
      <c r="A509" s="12"/>
      <c r="B509" s="34"/>
      <c r="C509" s="12"/>
      <c r="D509" s="12"/>
      <c r="E509" s="12"/>
      <c r="F509" s="12"/>
      <c r="G509" s="18"/>
      <c r="H509" s="35"/>
      <c r="I509" s="12"/>
      <c r="M509" s="12"/>
      <c r="N509" s="18"/>
      <c r="O509" s="12"/>
      <c r="P509" s="12"/>
      <c r="Q509" s="12"/>
      <c r="R509" s="36"/>
      <c r="S509" s="36"/>
      <c r="T509" s="12"/>
      <c r="U509" s="12"/>
      <c r="V509" s="12"/>
      <c r="W509" s="12"/>
      <c r="X509" s="12"/>
    </row>
    <row r="510" customFormat="false" ht="15.75" hidden="false" customHeight="false" outlineLevel="0" collapsed="false">
      <c r="A510" s="12"/>
      <c r="B510" s="34"/>
      <c r="C510" s="12"/>
      <c r="D510" s="12"/>
      <c r="E510" s="12"/>
      <c r="F510" s="12"/>
      <c r="G510" s="18"/>
      <c r="H510" s="35"/>
      <c r="I510" s="12"/>
      <c r="M510" s="12"/>
      <c r="N510" s="18"/>
      <c r="O510" s="12"/>
      <c r="P510" s="12"/>
      <c r="Q510" s="12"/>
      <c r="R510" s="36"/>
      <c r="S510" s="36"/>
      <c r="T510" s="12"/>
      <c r="U510" s="12"/>
      <c r="V510" s="12"/>
      <c r="W510" s="12"/>
      <c r="X510" s="12"/>
    </row>
    <row r="511" customFormat="false" ht="15.75" hidden="false" customHeight="false" outlineLevel="0" collapsed="false">
      <c r="A511" s="12"/>
      <c r="B511" s="34"/>
      <c r="C511" s="12"/>
      <c r="D511" s="12"/>
      <c r="E511" s="12"/>
      <c r="F511" s="12"/>
      <c r="G511" s="18"/>
      <c r="H511" s="35"/>
      <c r="I511" s="12"/>
      <c r="M511" s="12"/>
      <c r="N511" s="18"/>
      <c r="O511" s="12"/>
      <c r="P511" s="12"/>
      <c r="Q511" s="12"/>
      <c r="R511" s="36"/>
      <c r="S511" s="36"/>
      <c r="T511" s="12"/>
      <c r="U511" s="12"/>
      <c r="V511" s="12"/>
      <c r="W511" s="12"/>
      <c r="X511" s="12"/>
    </row>
    <row r="512" customFormat="false" ht="15.75" hidden="false" customHeight="false" outlineLevel="0" collapsed="false">
      <c r="A512" s="12"/>
      <c r="B512" s="34"/>
      <c r="C512" s="12"/>
      <c r="D512" s="12"/>
      <c r="E512" s="12"/>
      <c r="F512" s="12"/>
      <c r="G512" s="18"/>
      <c r="H512" s="35"/>
      <c r="I512" s="12"/>
      <c r="M512" s="12"/>
      <c r="N512" s="18"/>
      <c r="O512" s="12"/>
      <c r="P512" s="12"/>
      <c r="Q512" s="12"/>
      <c r="R512" s="36"/>
      <c r="S512" s="36"/>
      <c r="T512" s="12"/>
      <c r="U512" s="12"/>
      <c r="V512" s="12"/>
      <c r="W512" s="12"/>
      <c r="X512" s="12"/>
    </row>
    <row r="513" customFormat="false" ht="15.75" hidden="false" customHeight="false" outlineLevel="0" collapsed="false">
      <c r="A513" s="12"/>
      <c r="B513" s="34"/>
      <c r="C513" s="12"/>
      <c r="D513" s="12"/>
      <c r="E513" s="12"/>
      <c r="F513" s="12"/>
      <c r="G513" s="18"/>
      <c r="H513" s="35"/>
      <c r="I513" s="12"/>
      <c r="M513" s="12"/>
      <c r="N513" s="18"/>
      <c r="O513" s="12"/>
      <c r="P513" s="12"/>
      <c r="Q513" s="12"/>
      <c r="R513" s="36"/>
      <c r="S513" s="36"/>
      <c r="T513" s="12"/>
      <c r="U513" s="12"/>
      <c r="V513" s="12"/>
      <c r="W513" s="12"/>
      <c r="X513" s="12"/>
    </row>
    <row r="514" customFormat="false" ht="15.75" hidden="false" customHeight="false" outlineLevel="0" collapsed="false">
      <c r="A514" s="12"/>
      <c r="B514" s="34"/>
      <c r="C514" s="12"/>
      <c r="D514" s="12"/>
      <c r="E514" s="12"/>
      <c r="F514" s="12"/>
      <c r="G514" s="18"/>
      <c r="H514" s="35"/>
      <c r="I514" s="12"/>
      <c r="M514" s="12"/>
      <c r="N514" s="18"/>
      <c r="O514" s="12"/>
      <c r="P514" s="12"/>
      <c r="Q514" s="12"/>
      <c r="R514" s="36"/>
      <c r="S514" s="36"/>
      <c r="T514" s="12"/>
      <c r="U514" s="12"/>
      <c r="V514" s="12"/>
      <c r="W514" s="12"/>
      <c r="X514" s="12"/>
    </row>
    <row r="515" customFormat="false" ht="15.75" hidden="false" customHeight="false" outlineLevel="0" collapsed="false">
      <c r="A515" s="12"/>
      <c r="B515" s="34"/>
      <c r="C515" s="12"/>
      <c r="D515" s="12"/>
      <c r="E515" s="12"/>
      <c r="F515" s="12"/>
      <c r="G515" s="18"/>
      <c r="H515" s="35"/>
      <c r="I515" s="12"/>
      <c r="M515" s="12"/>
      <c r="N515" s="18"/>
      <c r="O515" s="12"/>
      <c r="P515" s="12"/>
      <c r="Q515" s="12"/>
      <c r="R515" s="36"/>
      <c r="S515" s="36"/>
      <c r="T515" s="12"/>
      <c r="U515" s="12"/>
      <c r="V515" s="12"/>
      <c r="W515" s="12"/>
      <c r="X515" s="12"/>
    </row>
    <row r="516" customFormat="false" ht="15.75" hidden="false" customHeight="false" outlineLevel="0" collapsed="false">
      <c r="A516" s="12"/>
      <c r="B516" s="34"/>
      <c r="C516" s="12"/>
      <c r="D516" s="12"/>
      <c r="E516" s="12"/>
      <c r="F516" s="12"/>
      <c r="G516" s="18"/>
      <c r="H516" s="35"/>
      <c r="I516" s="12"/>
      <c r="M516" s="12"/>
      <c r="N516" s="18"/>
      <c r="O516" s="12"/>
      <c r="P516" s="12"/>
      <c r="Q516" s="12"/>
      <c r="R516" s="36"/>
      <c r="S516" s="36"/>
      <c r="T516" s="12"/>
      <c r="U516" s="12"/>
      <c r="V516" s="12"/>
      <c r="W516" s="12"/>
      <c r="X516" s="12"/>
    </row>
    <row r="517" customFormat="false" ht="15.75" hidden="false" customHeight="false" outlineLevel="0" collapsed="false">
      <c r="A517" s="12"/>
      <c r="B517" s="34"/>
      <c r="C517" s="12"/>
      <c r="D517" s="12"/>
      <c r="E517" s="12"/>
      <c r="F517" s="12"/>
      <c r="G517" s="18"/>
      <c r="H517" s="35"/>
      <c r="I517" s="12"/>
      <c r="M517" s="12"/>
      <c r="N517" s="18"/>
      <c r="O517" s="12"/>
      <c r="P517" s="12"/>
      <c r="Q517" s="12"/>
      <c r="R517" s="36"/>
      <c r="S517" s="36"/>
      <c r="T517" s="12"/>
      <c r="U517" s="12"/>
      <c r="V517" s="12"/>
      <c r="W517" s="12"/>
      <c r="X517" s="12"/>
    </row>
    <row r="518" customFormat="false" ht="15.75" hidden="false" customHeight="false" outlineLevel="0" collapsed="false">
      <c r="A518" s="12"/>
      <c r="B518" s="34"/>
      <c r="C518" s="12"/>
      <c r="D518" s="12"/>
      <c r="E518" s="12"/>
      <c r="F518" s="12"/>
      <c r="G518" s="18"/>
      <c r="H518" s="35"/>
      <c r="I518" s="12"/>
      <c r="M518" s="12"/>
      <c r="N518" s="18"/>
      <c r="O518" s="12"/>
      <c r="P518" s="12"/>
      <c r="Q518" s="12"/>
      <c r="R518" s="36"/>
      <c r="S518" s="36"/>
      <c r="T518" s="12"/>
      <c r="U518" s="12"/>
      <c r="V518" s="12"/>
      <c r="W518" s="12"/>
      <c r="X518" s="12"/>
    </row>
    <row r="519" customFormat="false" ht="15.75" hidden="false" customHeight="false" outlineLevel="0" collapsed="false">
      <c r="A519" s="12"/>
      <c r="B519" s="34"/>
      <c r="C519" s="12"/>
      <c r="D519" s="12"/>
      <c r="E519" s="12"/>
      <c r="F519" s="12"/>
      <c r="G519" s="18"/>
      <c r="H519" s="35"/>
      <c r="I519" s="12"/>
      <c r="M519" s="12"/>
      <c r="N519" s="18"/>
      <c r="O519" s="12"/>
      <c r="P519" s="12"/>
      <c r="Q519" s="12"/>
      <c r="R519" s="36"/>
      <c r="S519" s="36"/>
      <c r="T519" s="12"/>
      <c r="U519" s="12"/>
      <c r="V519" s="12"/>
      <c r="W519" s="12"/>
      <c r="X519" s="12"/>
    </row>
    <row r="520" customFormat="false" ht="15.75" hidden="false" customHeight="false" outlineLevel="0" collapsed="false">
      <c r="A520" s="12"/>
      <c r="B520" s="34"/>
      <c r="C520" s="12"/>
      <c r="D520" s="12"/>
      <c r="E520" s="12"/>
      <c r="F520" s="12"/>
      <c r="G520" s="18"/>
      <c r="H520" s="35"/>
      <c r="I520" s="12"/>
      <c r="M520" s="12"/>
      <c r="N520" s="18"/>
      <c r="O520" s="12"/>
      <c r="P520" s="12"/>
      <c r="Q520" s="12"/>
      <c r="R520" s="36"/>
      <c r="S520" s="36"/>
      <c r="T520" s="12"/>
      <c r="U520" s="12"/>
      <c r="V520" s="12"/>
      <c r="W520" s="12"/>
      <c r="X520" s="12"/>
    </row>
    <row r="521" customFormat="false" ht="15.75" hidden="false" customHeight="false" outlineLevel="0" collapsed="false">
      <c r="A521" s="12"/>
      <c r="B521" s="34"/>
      <c r="C521" s="12"/>
      <c r="D521" s="12"/>
      <c r="E521" s="12"/>
      <c r="F521" s="12"/>
      <c r="G521" s="18"/>
      <c r="H521" s="35"/>
      <c r="I521" s="12"/>
      <c r="M521" s="12"/>
      <c r="N521" s="18"/>
      <c r="O521" s="12"/>
      <c r="P521" s="12"/>
      <c r="Q521" s="12"/>
      <c r="R521" s="36"/>
      <c r="S521" s="36"/>
      <c r="T521" s="12"/>
      <c r="U521" s="12"/>
      <c r="V521" s="12"/>
      <c r="W521" s="12"/>
      <c r="X521" s="12"/>
    </row>
    <row r="522" customFormat="false" ht="15.75" hidden="false" customHeight="false" outlineLevel="0" collapsed="false">
      <c r="A522" s="12"/>
      <c r="B522" s="34"/>
      <c r="C522" s="12"/>
      <c r="D522" s="12"/>
      <c r="E522" s="12"/>
      <c r="F522" s="12"/>
      <c r="G522" s="18"/>
      <c r="H522" s="35"/>
      <c r="I522" s="12"/>
      <c r="M522" s="12"/>
      <c r="N522" s="18"/>
      <c r="O522" s="12"/>
      <c r="P522" s="12"/>
      <c r="Q522" s="12"/>
      <c r="R522" s="36"/>
      <c r="S522" s="36"/>
      <c r="T522" s="12"/>
      <c r="U522" s="12"/>
      <c r="V522" s="12"/>
      <c r="W522" s="12"/>
      <c r="X522" s="12"/>
    </row>
    <row r="523" customFormat="false" ht="15.75" hidden="false" customHeight="false" outlineLevel="0" collapsed="false">
      <c r="A523" s="12"/>
      <c r="B523" s="34"/>
      <c r="C523" s="12"/>
      <c r="D523" s="12"/>
      <c r="E523" s="12"/>
      <c r="F523" s="12"/>
      <c r="G523" s="18"/>
      <c r="H523" s="35"/>
      <c r="I523" s="12"/>
      <c r="M523" s="12"/>
      <c r="N523" s="18"/>
      <c r="O523" s="12"/>
      <c r="P523" s="12"/>
      <c r="Q523" s="12"/>
      <c r="R523" s="36"/>
      <c r="S523" s="36"/>
      <c r="T523" s="12"/>
      <c r="U523" s="12"/>
      <c r="V523" s="12"/>
      <c r="W523" s="12"/>
      <c r="X523" s="12"/>
    </row>
    <row r="524" customFormat="false" ht="15.75" hidden="false" customHeight="false" outlineLevel="0" collapsed="false">
      <c r="A524" s="12"/>
      <c r="B524" s="34"/>
      <c r="C524" s="12"/>
      <c r="D524" s="12"/>
      <c r="E524" s="12"/>
      <c r="F524" s="12"/>
      <c r="G524" s="18"/>
      <c r="H524" s="35"/>
      <c r="I524" s="12"/>
      <c r="M524" s="12"/>
      <c r="N524" s="18"/>
      <c r="O524" s="12"/>
      <c r="P524" s="12"/>
      <c r="Q524" s="12"/>
      <c r="R524" s="36"/>
      <c r="S524" s="36"/>
      <c r="T524" s="12"/>
      <c r="U524" s="12"/>
      <c r="V524" s="12"/>
      <c r="W524" s="12"/>
      <c r="X524" s="12"/>
    </row>
    <row r="525" customFormat="false" ht="15.75" hidden="false" customHeight="false" outlineLevel="0" collapsed="false">
      <c r="A525" s="12"/>
      <c r="B525" s="34"/>
      <c r="C525" s="12"/>
      <c r="D525" s="12"/>
      <c r="E525" s="12"/>
      <c r="F525" s="12"/>
      <c r="G525" s="18"/>
      <c r="H525" s="35"/>
      <c r="I525" s="12"/>
      <c r="M525" s="12"/>
      <c r="N525" s="18"/>
      <c r="O525" s="12"/>
      <c r="P525" s="12"/>
      <c r="Q525" s="12"/>
      <c r="R525" s="36"/>
      <c r="S525" s="36"/>
      <c r="T525" s="12"/>
      <c r="U525" s="12"/>
      <c r="V525" s="12"/>
      <c r="W525" s="12"/>
      <c r="X525" s="12"/>
    </row>
    <row r="526" customFormat="false" ht="15.75" hidden="false" customHeight="false" outlineLevel="0" collapsed="false">
      <c r="A526" s="12"/>
      <c r="B526" s="34"/>
      <c r="C526" s="12"/>
      <c r="D526" s="12"/>
      <c r="E526" s="12"/>
      <c r="F526" s="12"/>
      <c r="G526" s="18"/>
      <c r="H526" s="35"/>
      <c r="I526" s="12"/>
      <c r="M526" s="12"/>
      <c r="N526" s="18"/>
      <c r="O526" s="12"/>
      <c r="P526" s="12"/>
      <c r="Q526" s="12"/>
      <c r="R526" s="36"/>
      <c r="S526" s="36"/>
      <c r="T526" s="12"/>
      <c r="U526" s="12"/>
      <c r="V526" s="12"/>
      <c r="W526" s="12"/>
      <c r="X526" s="12"/>
    </row>
    <row r="527" customFormat="false" ht="15.75" hidden="false" customHeight="false" outlineLevel="0" collapsed="false">
      <c r="A527" s="12"/>
      <c r="B527" s="34"/>
      <c r="C527" s="12"/>
      <c r="D527" s="12"/>
      <c r="E527" s="12"/>
      <c r="F527" s="12"/>
      <c r="G527" s="18"/>
      <c r="H527" s="35"/>
      <c r="I527" s="12"/>
      <c r="M527" s="12"/>
      <c r="N527" s="18"/>
      <c r="O527" s="12"/>
      <c r="P527" s="12"/>
      <c r="Q527" s="12"/>
      <c r="R527" s="36"/>
      <c r="S527" s="36"/>
      <c r="T527" s="12"/>
      <c r="U527" s="12"/>
      <c r="V527" s="12"/>
      <c r="W527" s="12"/>
      <c r="X527" s="12"/>
    </row>
    <row r="528" customFormat="false" ht="15.75" hidden="false" customHeight="false" outlineLevel="0" collapsed="false">
      <c r="A528" s="12"/>
      <c r="B528" s="34"/>
      <c r="C528" s="12"/>
      <c r="D528" s="12"/>
      <c r="E528" s="12"/>
      <c r="F528" s="12"/>
      <c r="G528" s="18"/>
      <c r="H528" s="35"/>
      <c r="I528" s="12"/>
      <c r="M528" s="12"/>
      <c r="N528" s="18"/>
      <c r="O528" s="12"/>
      <c r="P528" s="12"/>
      <c r="Q528" s="12"/>
      <c r="R528" s="36"/>
      <c r="S528" s="36"/>
      <c r="T528" s="12"/>
      <c r="U528" s="12"/>
      <c r="V528" s="12"/>
      <c r="W528" s="12"/>
      <c r="X528" s="12"/>
    </row>
    <row r="529" customFormat="false" ht="15.75" hidden="false" customHeight="false" outlineLevel="0" collapsed="false">
      <c r="A529" s="12"/>
      <c r="B529" s="34"/>
      <c r="C529" s="12"/>
      <c r="D529" s="12"/>
      <c r="E529" s="12"/>
      <c r="F529" s="12"/>
      <c r="G529" s="18"/>
      <c r="H529" s="35"/>
      <c r="I529" s="12"/>
      <c r="M529" s="12"/>
      <c r="N529" s="18"/>
      <c r="O529" s="12"/>
      <c r="P529" s="12"/>
      <c r="Q529" s="12"/>
      <c r="R529" s="36"/>
      <c r="S529" s="36"/>
      <c r="T529" s="12"/>
      <c r="U529" s="12"/>
      <c r="V529" s="12"/>
      <c r="W529" s="12"/>
      <c r="X529" s="12"/>
    </row>
    <row r="530" customFormat="false" ht="15.75" hidden="false" customHeight="false" outlineLevel="0" collapsed="false">
      <c r="A530" s="12"/>
      <c r="B530" s="34"/>
      <c r="C530" s="12"/>
      <c r="D530" s="12"/>
      <c r="E530" s="12"/>
      <c r="F530" s="12"/>
      <c r="G530" s="18"/>
      <c r="H530" s="35"/>
      <c r="I530" s="12"/>
      <c r="M530" s="12"/>
      <c r="N530" s="18"/>
      <c r="O530" s="12"/>
      <c r="P530" s="12"/>
      <c r="Q530" s="12"/>
      <c r="R530" s="36"/>
      <c r="S530" s="36"/>
      <c r="T530" s="12"/>
      <c r="U530" s="12"/>
      <c r="V530" s="12"/>
      <c r="W530" s="12"/>
      <c r="X530" s="12"/>
    </row>
    <row r="531" customFormat="false" ht="15.75" hidden="false" customHeight="false" outlineLevel="0" collapsed="false">
      <c r="A531" s="12"/>
      <c r="B531" s="34"/>
      <c r="C531" s="12"/>
      <c r="D531" s="12"/>
      <c r="E531" s="12"/>
      <c r="F531" s="12"/>
      <c r="G531" s="18"/>
      <c r="H531" s="35"/>
      <c r="I531" s="12"/>
      <c r="M531" s="12"/>
      <c r="N531" s="18"/>
      <c r="O531" s="12"/>
      <c r="P531" s="12"/>
      <c r="Q531" s="12"/>
      <c r="R531" s="36"/>
      <c r="S531" s="36"/>
      <c r="T531" s="12"/>
      <c r="U531" s="12"/>
      <c r="V531" s="12"/>
      <c r="W531" s="12"/>
      <c r="X531" s="12"/>
    </row>
    <row r="532" customFormat="false" ht="15.75" hidden="false" customHeight="false" outlineLevel="0" collapsed="false">
      <c r="A532" s="12"/>
      <c r="B532" s="34"/>
      <c r="C532" s="12"/>
      <c r="D532" s="12"/>
      <c r="E532" s="12"/>
      <c r="F532" s="12"/>
      <c r="G532" s="18"/>
      <c r="H532" s="35"/>
      <c r="I532" s="12"/>
      <c r="M532" s="12"/>
      <c r="N532" s="18"/>
      <c r="O532" s="12"/>
      <c r="P532" s="12"/>
      <c r="Q532" s="12"/>
      <c r="R532" s="36"/>
      <c r="S532" s="36"/>
      <c r="T532" s="12"/>
      <c r="U532" s="12"/>
      <c r="V532" s="12"/>
      <c r="W532" s="12"/>
      <c r="X532" s="12"/>
    </row>
    <row r="533" customFormat="false" ht="15.75" hidden="false" customHeight="false" outlineLevel="0" collapsed="false">
      <c r="A533" s="12"/>
      <c r="B533" s="34"/>
      <c r="C533" s="12"/>
      <c r="D533" s="12"/>
      <c r="E533" s="12"/>
      <c r="F533" s="12"/>
      <c r="G533" s="18"/>
      <c r="H533" s="35"/>
      <c r="I533" s="12"/>
      <c r="M533" s="12"/>
      <c r="N533" s="18"/>
      <c r="O533" s="12"/>
      <c r="P533" s="12"/>
      <c r="Q533" s="12"/>
      <c r="R533" s="36"/>
      <c r="S533" s="36"/>
      <c r="T533" s="12"/>
      <c r="U533" s="12"/>
      <c r="V533" s="12"/>
      <c r="W533" s="12"/>
      <c r="X533" s="12"/>
    </row>
    <row r="534" customFormat="false" ht="15.75" hidden="false" customHeight="false" outlineLevel="0" collapsed="false">
      <c r="A534" s="12"/>
      <c r="B534" s="34"/>
      <c r="C534" s="12"/>
      <c r="D534" s="12"/>
      <c r="E534" s="12"/>
      <c r="F534" s="12"/>
      <c r="G534" s="18"/>
      <c r="H534" s="35"/>
      <c r="I534" s="12"/>
      <c r="M534" s="12"/>
      <c r="N534" s="18"/>
      <c r="O534" s="12"/>
      <c r="P534" s="12"/>
      <c r="Q534" s="12"/>
      <c r="R534" s="36"/>
      <c r="S534" s="36"/>
      <c r="T534" s="12"/>
      <c r="U534" s="12"/>
      <c r="V534" s="12"/>
      <c r="W534" s="12"/>
      <c r="X534" s="12"/>
    </row>
    <row r="535" customFormat="false" ht="15.75" hidden="false" customHeight="false" outlineLevel="0" collapsed="false">
      <c r="A535" s="12"/>
      <c r="B535" s="34"/>
      <c r="C535" s="12"/>
      <c r="D535" s="12"/>
      <c r="E535" s="12"/>
      <c r="F535" s="12"/>
      <c r="G535" s="18"/>
      <c r="H535" s="35"/>
      <c r="I535" s="12"/>
      <c r="M535" s="12"/>
      <c r="N535" s="18"/>
      <c r="O535" s="12"/>
      <c r="P535" s="12"/>
      <c r="Q535" s="12"/>
      <c r="R535" s="36"/>
      <c r="S535" s="36"/>
      <c r="T535" s="12"/>
      <c r="U535" s="12"/>
      <c r="V535" s="12"/>
      <c r="W535" s="12"/>
      <c r="X535" s="12"/>
    </row>
    <row r="536" customFormat="false" ht="15.75" hidden="false" customHeight="false" outlineLevel="0" collapsed="false">
      <c r="A536" s="12"/>
      <c r="B536" s="34"/>
      <c r="C536" s="12"/>
      <c r="D536" s="12"/>
      <c r="E536" s="12"/>
      <c r="F536" s="12"/>
      <c r="G536" s="18"/>
      <c r="H536" s="35"/>
      <c r="I536" s="12"/>
      <c r="M536" s="12"/>
      <c r="N536" s="18"/>
      <c r="O536" s="12"/>
      <c r="P536" s="12"/>
      <c r="Q536" s="12"/>
      <c r="R536" s="36"/>
      <c r="S536" s="36"/>
      <c r="T536" s="12"/>
      <c r="U536" s="12"/>
      <c r="V536" s="12"/>
      <c r="W536" s="12"/>
      <c r="X536" s="12"/>
    </row>
    <row r="537" customFormat="false" ht="15.75" hidden="false" customHeight="false" outlineLevel="0" collapsed="false">
      <c r="A537" s="12"/>
      <c r="B537" s="34"/>
      <c r="C537" s="12"/>
      <c r="D537" s="12"/>
      <c r="E537" s="12"/>
      <c r="F537" s="12"/>
      <c r="G537" s="18"/>
      <c r="H537" s="35"/>
      <c r="I537" s="12"/>
      <c r="M537" s="12"/>
      <c r="N537" s="18"/>
      <c r="O537" s="12"/>
      <c r="P537" s="12"/>
      <c r="Q537" s="12"/>
      <c r="R537" s="36"/>
      <c r="S537" s="36"/>
      <c r="T537" s="12"/>
      <c r="U537" s="12"/>
      <c r="V537" s="12"/>
      <c r="W537" s="12"/>
      <c r="X537" s="12"/>
    </row>
    <row r="538" customFormat="false" ht="15.75" hidden="false" customHeight="false" outlineLevel="0" collapsed="false">
      <c r="A538" s="12"/>
      <c r="B538" s="34"/>
      <c r="C538" s="12"/>
      <c r="D538" s="12"/>
      <c r="E538" s="12"/>
      <c r="F538" s="12"/>
      <c r="G538" s="18"/>
      <c r="H538" s="35"/>
      <c r="I538" s="12"/>
      <c r="M538" s="12"/>
      <c r="N538" s="18"/>
      <c r="O538" s="12"/>
      <c r="P538" s="12"/>
      <c r="Q538" s="12"/>
      <c r="R538" s="36"/>
      <c r="S538" s="36"/>
      <c r="T538" s="12"/>
      <c r="U538" s="12"/>
      <c r="V538" s="12"/>
      <c r="W538" s="12"/>
      <c r="X538" s="12"/>
    </row>
    <row r="539" customFormat="false" ht="15.75" hidden="false" customHeight="false" outlineLevel="0" collapsed="false">
      <c r="A539" s="12"/>
      <c r="B539" s="34"/>
      <c r="C539" s="12"/>
      <c r="D539" s="12"/>
      <c r="E539" s="12"/>
      <c r="F539" s="12"/>
      <c r="G539" s="18"/>
      <c r="H539" s="35"/>
      <c r="I539" s="12"/>
      <c r="M539" s="12"/>
      <c r="N539" s="18"/>
      <c r="O539" s="12"/>
      <c r="P539" s="12"/>
      <c r="Q539" s="12"/>
      <c r="R539" s="36"/>
      <c r="S539" s="36"/>
      <c r="T539" s="12"/>
      <c r="U539" s="12"/>
      <c r="V539" s="12"/>
      <c r="W539" s="12"/>
      <c r="X539" s="12"/>
    </row>
    <row r="540" customFormat="false" ht="15.75" hidden="false" customHeight="false" outlineLevel="0" collapsed="false">
      <c r="A540" s="12"/>
      <c r="B540" s="34"/>
      <c r="C540" s="12"/>
      <c r="D540" s="12"/>
      <c r="E540" s="12"/>
      <c r="F540" s="12"/>
      <c r="G540" s="18"/>
      <c r="H540" s="35"/>
      <c r="I540" s="12"/>
      <c r="M540" s="12"/>
      <c r="N540" s="18"/>
      <c r="O540" s="12"/>
      <c r="P540" s="12"/>
      <c r="Q540" s="12"/>
      <c r="R540" s="36"/>
      <c r="S540" s="36"/>
      <c r="T540" s="12"/>
      <c r="U540" s="12"/>
      <c r="V540" s="12"/>
      <c r="W540" s="12"/>
      <c r="X540" s="12"/>
    </row>
    <row r="541" customFormat="false" ht="15.75" hidden="false" customHeight="false" outlineLevel="0" collapsed="false">
      <c r="A541" s="12"/>
      <c r="B541" s="34"/>
      <c r="C541" s="12"/>
      <c r="D541" s="12"/>
      <c r="E541" s="12"/>
      <c r="F541" s="12"/>
      <c r="G541" s="18"/>
      <c r="H541" s="35"/>
      <c r="I541" s="12"/>
      <c r="M541" s="12"/>
      <c r="N541" s="18"/>
      <c r="O541" s="12"/>
      <c r="P541" s="12"/>
      <c r="Q541" s="12"/>
      <c r="R541" s="36"/>
      <c r="S541" s="36"/>
      <c r="T541" s="12"/>
      <c r="U541" s="12"/>
      <c r="V541" s="12"/>
      <c r="W541" s="12"/>
      <c r="X541" s="12"/>
    </row>
    <row r="542" customFormat="false" ht="15.75" hidden="false" customHeight="false" outlineLevel="0" collapsed="false">
      <c r="A542" s="12"/>
      <c r="B542" s="34"/>
      <c r="C542" s="12"/>
      <c r="D542" s="12"/>
      <c r="E542" s="12"/>
      <c r="F542" s="12"/>
      <c r="G542" s="18"/>
      <c r="H542" s="35"/>
      <c r="I542" s="12"/>
      <c r="M542" s="12"/>
      <c r="N542" s="18"/>
      <c r="O542" s="12"/>
      <c r="P542" s="12"/>
      <c r="Q542" s="12"/>
      <c r="R542" s="36"/>
      <c r="S542" s="36"/>
      <c r="T542" s="12"/>
      <c r="U542" s="12"/>
      <c r="V542" s="12"/>
      <c r="W542" s="12"/>
      <c r="X542" s="12"/>
    </row>
    <row r="543" customFormat="false" ht="15.75" hidden="false" customHeight="false" outlineLevel="0" collapsed="false">
      <c r="A543" s="12"/>
      <c r="B543" s="34"/>
      <c r="C543" s="12"/>
      <c r="D543" s="12"/>
      <c r="E543" s="12"/>
      <c r="F543" s="12"/>
      <c r="G543" s="18"/>
      <c r="H543" s="35"/>
      <c r="I543" s="12"/>
      <c r="M543" s="12"/>
      <c r="N543" s="18"/>
      <c r="O543" s="12"/>
      <c r="P543" s="12"/>
      <c r="Q543" s="12"/>
      <c r="R543" s="36"/>
      <c r="S543" s="36"/>
      <c r="T543" s="12"/>
      <c r="U543" s="12"/>
      <c r="V543" s="12"/>
      <c r="W543" s="12"/>
      <c r="X543" s="12"/>
    </row>
    <row r="544" customFormat="false" ht="15.75" hidden="false" customHeight="false" outlineLevel="0" collapsed="false">
      <c r="A544" s="12"/>
      <c r="B544" s="34"/>
      <c r="C544" s="12"/>
      <c r="D544" s="12"/>
      <c r="E544" s="12"/>
      <c r="F544" s="12"/>
      <c r="G544" s="18"/>
      <c r="H544" s="35"/>
      <c r="I544" s="12"/>
      <c r="M544" s="12"/>
      <c r="N544" s="18"/>
      <c r="O544" s="12"/>
      <c r="P544" s="12"/>
      <c r="Q544" s="12"/>
      <c r="R544" s="36"/>
      <c r="S544" s="36"/>
      <c r="T544" s="12"/>
      <c r="U544" s="12"/>
      <c r="V544" s="12"/>
      <c r="W544" s="12"/>
      <c r="X544" s="12"/>
    </row>
    <row r="545" customFormat="false" ht="15.75" hidden="false" customHeight="false" outlineLevel="0" collapsed="false">
      <c r="A545" s="12"/>
      <c r="B545" s="34"/>
      <c r="C545" s="12"/>
      <c r="D545" s="12"/>
      <c r="E545" s="12"/>
      <c r="F545" s="12"/>
      <c r="G545" s="18"/>
      <c r="H545" s="35"/>
      <c r="I545" s="12"/>
      <c r="M545" s="12"/>
      <c r="N545" s="18"/>
      <c r="O545" s="12"/>
      <c r="P545" s="12"/>
      <c r="Q545" s="12"/>
      <c r="R545" s="36"/>
      <c r="S545" s="36"/>
      <c r="T545" s="12"/>
      <c r="U545" s="12"/>
      <c r="V545" s="12"/>
      <c r="W545" s="12"/>
      <c r="X545" s="12"/>
    </row>
    <row r="546" customFormat="false" ht="15.75" hidden="false" customHeight="false" outlineLevel="0" collapsed="false">
      <c r="A546" s="12"/>
      <c r="B546" s="34"/>
      <c r="C546" s="12"/>
      <c r="D546" s="12"/>
      <c r="E546" s="12"/>
      <c r="F546" s="12"/>
      <c r="G546" s="18"/>
      <c r="H546" s="35"/>
      <c r="I546" s="12"/>
      <c r="M546" s="12"/>
      <c r="N546" s="18"/>
      <c r="O546" s="12"/>
      <c r="P546" s="12"/>
      <c r="Q546" s="12"/>
      <c r="R546" s="36"/>
      <c r="S546" s="36"/>
      <c r="T546" s="12"/>
      <c r="U546" s="12"/>
      <c r="V546" s="12"/>
      <c r="W546" s="12"/>
      <c r="X546" s="12"/>
    </row>
    <row r="547" customFormat="false" ht="15.75" hidden="false" customHeight="false" outlineLevel="0" collapsed="false">
      <c r="A547" s="12"/>
      <c r="B547" s="34"/>
      <c r="C547" s="12"/>
      <c r="D547" s="12"/>
      <c r="E547" s="12"/>
      <c r="F547" s="12"/>
      <c r="G547" s="18"/>
      <c r="H547" s="35"/>
      <c r="I547" s="12"/>
      <c r="M547" s="12"/>
      <c r="N547" s="18"/>
      <c r="O547" s="12"/>
      <c r="P547" s="12"/>
      <c r="Q547" s="12"/>
      <c r="R547" s="36"/>
      <c r="S547" s="36"/>
      <c r="T547" s="12"/>
      <c r="U547" s="12"/>
      <c r="V547" s="12"/>
      <c r="W547" s="12"/>
      <c r="X547" s="12"/>
    </row>
    <row r="548" customFormat="false" ht="15.75" hidden="false" customHeight="false" outlineLevel="0" collapsed="false">
      <c r="A548" s="12"/>
      <c r="B548" s="34"/>
      <c r="C548" s="12"/>
      <c r="D548" s="12"/>
      <c r="E548" s="12"/>
      <c r="F548" s="12"/>
      <c r="G548" s="18"/>
      <c r="H548" s="35"/>
      <c r="I548" s="12"/>
      <c r="M548" s="12"/>
      <c r="N548" s="18"/>
      <c r="O548" s="12"/>
      <c r="P548" s="12"/>
      <c r="Q548" s="12"/>
      <c r="R548" s="36"/>
      <c r="S548" s="36"/>
      <c r="T548" s="12"/>
      <c r="U548" s="12"/>
      <c r="V548" s="12"/>
      <c r="W548" s="12"/>
      <c r="X548" s="12"/>
    </row>
    <row r="549" customFormat="false" ht="15.75" hidden="false" customHeight="false" outlineLevel="0" collapsed="false">
      <c r="A549" s="12"/>
      <c r="B549" s="34"/>
      <c r="C549" s="12"/>
      <c r="D549" s="12"/>
      <c r="E549" s="12"/>
      <c r="F549" s="12"/>
      <c r="G549" s="18"/>
      <c r="H549" s="35"/>
      <c r="I549" s="12"/>
      <c r="M549" s="12"/>
      <c r="N549" s="18"/>
      <c r="O549" s="12"/>
      <c r="P549" s="12"/>
      <c r="Q549" s="12"/>
      <c r="R549" s="36"/>
      <c r="S549" s="36"/>
      <c r="T549" s="12"/>
      <c r="U549" s="12"/>
      <c r="V549" s="12"/>
      <c r="W549" s="12"/>
      <c r="X549" s="12"/>
    </row>
    <row r="550" customFormat="false" ht="15.75" hidden="false" customHeight="false" outlineLevel="0" collapsed="false">
      <c r="A550" s="12"/>
      <c r="B550" s="34"/>
      <c r="C550" s="12"/>
      <c r="D550" s="12"/>
      <c r="E550" s="12"/>
      <c r="F550" s="12"/>
      <c r="G550" s="18"/>
      <c r="H550" s="35"/>
      <c r="I550" s="12"/>
      <c r="M550" s="12"/>
      <c r="N550" s="18"/>
      <c r="O550" s="12"/>
      <c r="P550" s="12"/>
      <c r="Q550" s="12"/>
      <c r="R550" s="36"/>
      <c r="S550" s="36"/>
      <c r="T550" s="12"/>
      <c r="U550" s="12"/>
      <c r="V550" s="12"/>
      <c r="W550" s="12"/>
      <c r="X550" s="12"/>
    </row>
    <row r="551" customFormat="false" ht="15.75" hidden="false" customHeight="false" outlineLevel="0" collapsed="false">
      <c r="A551" s="12"/>
      <c r="B551" s="34"/>
      <c r="C551" s="12"/>
      <c r="D551" s="12"/>
      <c r="E551" s="12"/>
      <c r="F551" s="12"/>
      <c r="G551" s="18"/>
      <c r="H551" s="35"/>
      <c r="I551" s="12"/>
      <c r="M551" s="12"/>
      <c r="N551" s="18"/>
      <c r="O551" s="12"/>
      <c r="P551" s="12"/>
      <c r="Q551" s="12"/>
      <c r="R551" s="36"/>
      <c r="S551" s="36"/>
      <c r="T551" s="12"/>
      <c r="U551" s="12"/>
      <c r="V551" s="12"/>
      <c r="W551" s="12"/>
      <c r="X551" s="12"/>
    </row>
    <row r="552" customFormat="false" ht="15.75" hidden="false" customHeight="false" outlineLevel="0" collapsed="false">
      <c r="A552" s="12"/>
      <c r="B552" s="34"/>
      <c r="C552" s="12"/>
      <c r="D552" s="12"/>
      <c r="E552" s="12"/>
      <c r="F552" s="12"/>
      <c r="G552" s="18"/>
      <c r="H552" s="35"/>
      <c r="I552" s="12"/>
      <c r="M552" s="12"/>
      <c r="N552" s="18"/>
      <c r="O552" s="12"/>
      <c r="P552" s="12"/>
      <c r="Q552" s="12"/>
      <c r="R552" s="36"/>
      <c r="S552" s="36"/>
      <c r="T552" s="12"/>
      <c r="U552" s="12"/>
      <c r="V552" s="12"/>
      <c r="W552" s="12"/>
      <c r="X552" s="12"/>
    </row>
    <row r="553" customFormat="false" ht="15.75" hidden="false" customHeight="false" outlineLevel="0" collapsed="false">
      <c r="A553" s="12"/>
      <c r="B553" s="34"/>
      <c r="C553" s="12"/>
      <c r="D553" s="12"/>
      <c r="E553" s="12"/>
      <c r="F553" s="12"/>
      <c r="G553" s="18"/>
      <c r="H553" s="35"/>
      <c r="I553" s="12"/>
      <c r="M553" s="12"/>
      <c r="N553" s="18"/>
      <c r="O553" s="12"/>
      <c r="P553" s="12"/>
      <c r="Q553" s="12"/>
      <c r="R553" s="36"/>
      <c r="S553" s="36"/>
      <c r="T553" s="12"/>
      <c r="U553" s="12"/>
      <c r="V553" s="12"/>
      <c r="W553" s="12"/>
      <c r="X553" s="12"/>
    </row>
    <row r="554" customFormat="false" ht="15.75" hidden="false" customHeight="false" outlineLevel="0" collapsed="false">
      <c r="A554" s="12"/>
      <c r="B554" s="34"/>
      <c r="C554" s="12"/>
      <c r="D554" s="12"/>
      <c r="E554" s="12"/>
      <c r="F554" s="12"/>
      <c r="G554" s="18"/>
      <c r="H554" s="35"/>
      <c r="I554" s="12"/>
      <c r="M554" s="12"/>
      <c r="N554" s="18"/>
      <c r="O554" s="12"/>
      <c r="P554" s="12"/>
      <c r="Q554" s="12"/>
      <c r="R554" s="36"/>
      <c r="S554" s="36"/>
      <c r="T554" s="12"/>
      <c r="U554" s="12"/>
      <c r="V554" s="12"/>
      <c r="W554" s="12"/>
      <c r="X554" s="12"/>
    </row>
    <row r="555" customFormat="false" ht="15.75" hidden="false" customHeight="false" outlineLevel="0" collapsed="false">
      <c r="A555" s="12"/>
      <c r="B555" s="34"/>
      <c r="C555" s="12"/>
      <c r="D555" s="12"/>
      <c r="E555" s="12"/>
      <c r="F555" s="12"/>
      <c r="G555" s="18"/>
      <c r="H555" s="35"/>
      <c r="I555" s="12"/>
      <c r="M555" s="12"/>
      <c r="N555" s="18"/>
      <c r="O555" s="12"/>
      <c r="P555" s="12"/>
      <c r="Q555" s="12"/>
      <c r="R555" s="36"/>
      <c r="S555" s="36"/>
      <c r="T555" s="12"/>
      <c r="U555" s="12"/>
      <c r="V555" s="12"/>
      <c r="W555" s="12"/>
      <c r="X555" s="12"/>
    </row>
    <row r="556" customFormat="false" ht="15.75" hidden="false" customHeight="false" outlineLevel="0" collapsed="false">
      <c r="A556" s="12"/>
      <c r="B556" s="34"/>
      <c r="C556" s="12"/>
      <c r="D556" s="12"/>
      <c r="E556" s="12"/>
      <c r="F556" s="12"/>
      <c r="G556" s="18"/>
      <c r="H556" s="35"/>
      <c r="I556" s="12"/>
      <c r="M556" s="12"/>
      <c r="N556" s="18"/>
      <c r="O556" s="12"/>
      <c r="P556" s="12"/>
      <c r="Q556" s="12"/>
      <c r="R556" s="36"/>
      <c r="S556" s="36"/>
      <c r="T556" s="12"/>
      <c r="U556" s="12"/>
      <c r="V556" s="12"/>
      <c r="W556" s="12"/>
      <c r="X556" s="12"/>
    </row>
    <row r="557" customFormat="false" ht="15.75" hidden="false" customHeight="false" outlineLevel="0" collapsed="false">
      <c r="A557" s="12"/>
      <c r="B557" s="34"/>
      <c r="C557" s="12"/>
      <c r="D557" s="12"/>
      <c r="E557" s="12"/>
      <c r="F557" s="12"/>
      <c r="G557" s="18"/>
      <c r="H557" s="35"/>
      <c r="I557" s="12"/>
      <c r="M557" s="12"/>
      <c r="N557" s="18"/>
      <c r="O557" s="12"/>
      <c r="P557" s="12"/>
      <c r="Q557" s="12"/>
      <c r="R557" s="36"/>
      <c r="S557" s="36"/>
      <c r="T557" s="12"/>
      <c r="U557" s="12"/>
      <c r="V557" s="12"/>
      <c r="W557" s="12"/>
      <c r="X557" s="12"/>
    </row>
    <row r="558" customFormat="false" ht="15.75" hidden="false" customHeight="false" outlineLevel="0" collapsed="false">
      <c r="A558" s="12"/>
      <c r="B558" s="34"/>
      <c r="C558" s="12"/>
      <c r="D558" s="12"/>
      <c r="E558" s="12"/>
      <c r="F558" s="12"/>
      <c r="G558" s="18"/>
      <c r="H558" s="35"/>
      <c r="I558" s="12"/>
      <c r="M558" s="12"/>
      <c r="N558" s="18"/>
      <c r="O558" s="12"/>
      <c r="P558" s="12"/>
      <c r="Q558" s="12"/>
      <c r="R558" s="36"/>
      <c r="S558" s="36"/>
      <c r="T558" s="12"/>
      <c r="U558" s="12"/>
      <c r="V558" s="12"/>
      <c r="W558" s="12"/>
      <c r="X558" s="12"/>
    </row>
    <row r="559" customFormat="false" ht="15.75" hidden="false" customHeight="false" outlineLevel="0" collapsed="false">
      <c r="A559" s="12"/>
      <c r="B559" s="34"/>
      <c r="C559" s="12"/>
      <c r="D559" s="12"/>
      <c r="E559" s="12"/>
      <c r="F559" s="12"/>
      <c r="G559" s="18"/>
      <c r="H559" s="35"/>
      <c r="I559" s="12"/>
      <c r="M559" s="12"/>
      <c r="N559" s="18"/>
      <c r="O559" s="12"/>
      <c r="P559" s="12"/>
      <c r="Q559" s="12"/>
      <c r="R559" s="36"/>
      <c r="S559" s="36"/>
      <c r="T559" s="12"/>
      <c r="U559" s="12"/>
      <c r="V559" s="12"/>
      <c r="W559" s="12"/>
      <c r="X559" s="12"/>
    </row>
    <row r="560" customFormat="false" ht="15.75" hidden="false" customHeight="false" outlineLevel="0" collapsed="false">
      <c r="A560" s="12"/>
      <c r="B560" s="34"/>
      <c r="C560" s="12"/>
      <c r="D560" s="12"/>
      <c r="E560" s="12"/>
      <c r="F560" s="12"/>
      <c r="G560" s="18"/>
      <c r="H560" s="35"/>
      <c r="I560" s="12"/>
      <c r="M560" s="12"/>
      <c r="N560" s="18"/>
      <c r="O560" s="12"/>
      <c r="P560" s="12"/>
      <c r="Q560" s="12"/>
      <c r="R560" s="36"/>
      <c r="S560" s="36"/>
      <c r="T560" s="12"/>
      <c r="U560" s="12"/>
      <c r="V560" s="12"/>
      <c r="W560" s="12"/>
      <c r="X560" s="12"/>
    </row>
    <row r="561" customFormat="false" ht="15.75" hidden="false" customHeight="false" outlineLevel="0" collapsed="false">
      <c r="A561" s="12"/>
      <c r="B561" s="34"/>
      <c r="C561" s="12"/>
      <c r="D561" s="12"/>
      <c r="E561" s="12"/>
      <c r="F561" s="12"/>
      <c r="G561" s="18"/>
      <c r="H561" s="35"/>
      <c r="I561" s="12"/>
      <c r="M561" s="12"/>
      <c r="N561" s="18"/>
      <c r="O561" s="12"/>
      <c r="P561" s="12"/>
      <c r="Q561" s="12"/>
      <c r="R561" s="36"/>
      <c r="S561" s="36"/>
      <c r="T561" s="12"/>
      <c r="U561" s="12"/>
      <c r="V561" s="12"/>
      <c r="W561" s="12"/>
      <c r="X561" s="12"/>
    </row>
    <row r="562" customFormat="false" ht="15.75" hidden="false" customHeight="false" outlineLevel="0" collapsed="false">
      <c r="A562" s="12"/>
      <c r="B562" s="34"/>
      <c r="C562" s="12"/>
      <c r="D562" s="12"/>
      <c r="E562" s="12"/>
      <c r="F562" s="12"/>
      <c r="G562" s="18"/>
      <c r="H562" s="35"/>
      <c r="I562" s="12"/>
      <c r="M562" s="12"/>
      <c r="N562" s="18"/>
      <c r="O562" s="12"/>
      <c r="P562" s="12"/>
      <c r="Q562" s="12"/>
      <c r="R562" s="36"/>
      <c r="S562" s="36"/>
      <c r="T562" s="12"/>
      <c r="U562" s="12"/>
      <c r="V562" s="12"/>
      <c r="W562" s="12"/>
      <c r="X562" s="12"/>
    </row>
    <row r="563" customFormat="false" ht="15.75" hidden="false" customHeight="false" outlineLevel="0" collapsed="false">
      <c r="A563" s="12"/>
      <c r="B563" s="34"/>
      <c r="C563" s="12"/>
      <c r="D563" s="12"/>
      <c r="E563" s="12"/>
      <c r="F563" s="12"/>
      <c r="G563" s="18"/>
      <c r="H563" s="35"/>
      <c r="I563" s="12"/>
      <c r="M563" s="12"/>
      <c r="N563" s="18"/>
      <c r="O563" s="12"/>
      <c r="P563" s="12"/>
      <c r="Q563" s="12"/>
      <c r="R563" s="36"/>
      <c r="S563" s="36"/>
      <c r="T563" s="12"/>
      <c r="U563" s="12"/>
      <c r="V563" s="12"/>
      <c r="W563" s="12"/>
      <c r="X563" s="12"/>
    </row>
    <row r="564" customFormat="false" ht="15.75" hidden="false" customHeight="false" outlineLevel="0" collapsed="false">
      <c r="A564" s="12"/>
      <c r="B564" s="34"/>
      <c r="C564" s="12"/>
      <c r="D564" s="12"/>
      <c r="E564" s="12"/>
      <c r="F564" s="12"/>
      <c r="G564" s="18"/>
      <c r="H564" s="35"/>
      <c r="I564" s="12"/>
      <c r="M564" s="12"/>
      <c r="N564" s="18"/>
      <c r="O564" s="12"/>
      <c r="P564" s="12"/>
      <c r="Q564" s="12"/>
      <c r="R564" s="36"/>
      <c r="S564" s="36"/>
      <c r="T564" s="12"/>
      <c r="U564" s="12"/>
      <c r="V564" s="12"/>
      <c r="W564" s="12"/>
      <c r="X564" s="12"/>
    </row>
    <row r="565" customFormat="false" ht="15.75" hidden="false" customHeight="false" outlineLevel="0" collapsed="false">
      <c r="A565" s="12"/>
      <c r="B565" s="34"/>
      <c r="C565" s="12"/>
      <c r="D565" s="12"/>
      <c r="E565" s="12"/>
      <c r="F565" s="12"/>
      <c r="G565" s="18"/>
      <c r="H565" s="35"/>
      <c r="I565" s="12"/>
      <c r="M565" s="12"/>
      <c r="N565" s="18"/>
      <c r="O565" s="12"/>
      <c r="P565" s="12"/>
      <c r="Q565" s="12"/>
      <c r="R565" s="36"/>
      <c r="S565" s="36"/>
      <c r="T565" s="12"/>
      <c r="U565" s="12"/>
      <c r="V565" s="12"/>
      <c r="W565" s="12"/>
      <c r="X565" s="12"/>
    </row>
    <row r="566" customFormat="false" ht="15.75" hidden="false" customHeight="false" outlineLevel="0" collapsed="false">
      <c r="A566" s="12"/>
      <c r="B566" s="34"/>
      <c r="C566" s="12"/>
      <c r="D566" s="12"/>
      <c r="E566" s="12"/>
      <c r="F566" s="12"/>
      <c r="G566" s="18"/>
      <c r="H566" s="35"/>
      <c r="I566" s="12"/>
      <c r="M566" s="12"/>
      <c r="N566" s="18"/>
      <c r="O566" s="12"/>
      <c r="P566" s="12"/>
      <c r="Q566" s="12"/>
      <c r="R566" s="36"/>
      <c r="S566" s="36"/>
      <c r="T566" s="12"/>
      <c r="U566" s="12"/>
      <c r="V566" s="12"/>
      <c r="W566" s="12"/>
      <c r="X566" s="12"/>
    </row>
    <row r="567" customFormat="false" ht="15.75" hidden="false" customHeight="false" outlineLevel="0" collapsed="false">
      <c r="A567" s="12"/>
      <c r="B567" s="34"/>
      <c r="C567" s="12"/>
      <c r="D567" s="12"/>
      <c r="E567" s="12"/>
      <c r="F567" s="12"/>
      <c r="G567" s="18"/>
      <c r="H567" s="35"/>
      <c r="I567" s="12"/>
      <c r="M567" s="12"/>
      <c r="N567" s="18"/>
      <c r="O567" s="12"/>
      <c r="P567" s="12"/>
      <c r="Q567" s="12"/>
      <c r="R567" s="36"/>
      <c r="S567" s="36"/>
      <c r="T567" s="12"/>
      <c r="U567" s="12"/>
      <c r="V567" s="12"/>
      <c r="W567" s="12"/>
      <c r="X567" s="12"/>
    </row>
    <row r="568" customFormat="false" ht="15.75" hidden="false" customHeight="false" outlineLevel="0" collapsed="false">
      <c r="A568" s="12"/>
      <c r="B568" s="34"/>
      <c r="C568" s="12"/>
      <c r="D568" s="12"/>
      <c r="E568" s="12"/>
      <c r="F568" s="12"/>
      <c r="G568" s="18"/>
      <c r="H568" s="35"/>
      <c r="I568" s="12"/>
      <c r="M568" s="12"/>
      <c r="N568" s="18"/>
      <c r="O568" s="12"/>
      <c r="P568" s="12"/>
      <c r="Q568" s="12"/>
      <c r="R568" s="36"/>
      <c r="S568" s="36"/>
      <c r="T568" s="12"/>
      <c r="U568" s="12"/>
      <c r="V568" s="12"/>
      <c r="W568" s="12"/>
      <c r="X568" s="12"/>
    </row>
    <row r="569" customFormat="false" ht="15.75" hidden="false" customHeight="false" outlineLevel="0" collapsed="false">
      <c r="A569" s="12"/>
      <c r="B569" s="34"/>
      <c r="C569" s="12"/>
      <c r="D569" s="12"/>
      <c r="E569" s="12"/>
      <c r="F569" s="12"/>
      <c r="G569" s="18"/>
      <c r="H569" s="35"/>
      <c r="I569" s="12"/>
      <c r="M569" s="12"/>
      <c r="N569" s="18"/>
      <c r="O569" s="12"/>
      <c r="P569" s="12"/>
      <c r="Q569" s="12"/>
      <c r="R569" s="36"/>
      <c r="S569" s="36"/>
      <c r="T569" s="12"/>
      <c r="U569" s="12"/>
      <c r="V569" s="12"/>
      <c r="W569" s="12"/>
      <c r="X569" s="12"/>
    </row>
    <row r="570" customFormat="false" ht="15.75" hidden="false" customHeight="false" outlineLevel="0" collapsed="false">
      <c r="A570" s="12"/>
      <c r="B570" s="34"/>
      <c r="C570" s="12"/>
      <c r="D570" s="12"/>
      <c r="E570" s="12"/>
      <c r="F570" s="12"/>
      <c r="G570" s="18"/>
      <c r="H570" s="35"/>
      <c r="I570" s="12"/>
      <c r="M570" s="12"/>
      <c r="N570" s="18"/>
      <c r="O570" s="12"/>
      <c r="P570" s="12"/>
      <c r="Q570" s="12"/>
      <c r="R570" s="36"/>
      <c r="S570" s="36"/>
      <c r="T570" s="12"/>
      <c r="U570" s="12"/>
      <c r="V570" s="12"/>
      <c r="W570" s="12"/>
      <c r="X570" s="12"/>
    </row>
    <row r="571" customFormat="false" ht="15.75" hidden="false" customHeight="false" outlineLevel="0" collapsed="false">
      <c r="A571" s="12"/>
      <c r="B571" s="34"/>
      <c r="C571" s="12"/>
      <c r="D571" s="12"/>
      <c r="E571" s="12"/>
      <c r="F571" s="12"/>
      <c r="G571" s="18"/>
      <c r="H571" s="35"/>
      <c r="I571" s="12"/>
      <c r="M571" s="12"/>
      <c r="N571" s="18"/>
      <c r="O571" s="12"/>
      <c r="P571" s="12"/>
      <c r="Q571" s="12"/>
      <c r="R571" s="36"/>
      <c r="S571" s="36"/>
      <c r="T571" s="12"/>
      <c r="U571" s="12"/>
      <c r="V571" s="12"/>
      <c r="W571" s="12"/>
      <c r="X571" s="12"/>
    </row>
    <row r="572" customFormat="false" ht="15.75" hidden="false" customHeight="false" outlineLevel="0" collapsed="false">
      <c r="A572" s="12"/>
      <c r="B572" s="34"/>
      <c r="C572" s="12"/>
      <c r="D572" s="12"/>
      <c r="E572" s="12"/>
      <c r="F572" s="12"/>
      <c r="G572" s="18"/>
      <c r="H572" s="35"/>
      <c r="I572" s="12"/>
      <c r="M572" s="12"/>
      <c r="N572" s="18"/>
      <c r="O572" s="12"/>
      <c r="P572" s="12"/>
      <c r="Q572" s="12"/>
      <c r="R572" s="36"/>
      <c r="S572" s="36"/>
      <c r="T572" s="12"/>
      <c r="U572" s="12"/>
      <c r="V572" s="12"/>
      <c r="W572" s="12"/>
      <c r="X572" s="12"/>
    </row>
    <row r="573" customFormat="false" ht="15.75" hidden="false" customHeight="false" outlineLevel="0" collapsed="false">
      <c r="A573" s="12"/>
      <c r="B573" s="34"/>
      <c r="C573" s="12"/>
      <c r="D573" s="12"/>
      <c r="E573" s="12"/>
      <c r="F573" s="12"/>
      <c r="G573" s="18"/>
      <c r="H573" s="35"/>
      <c r="I573" s="12"/>
      <c r="M573" s="12"/>
      <c r="N573" s="18"/>
      <c r="O573" s="12"/>
      <c r="P573" s="12"/>
      <c r="Q573" s="12"/>
      <c r="R573" s="36"/>
      <c r="S573" s="36"/>
      <c r="T573" s="12"/>
      <c r="U573" s="12"/>
      <c r="V573" s="12"/>
      <c r="W573" s="12"/>
      <c r="X573" s="12"/>
    </row>
    <row r="574" customFormat="false" ht="15.75" hidden="false" customHeight="false" outlineLevel="0" collapsed="false">
      <c r="A574" s="12"/>
      <c r="B574" s="34"/>
      <c r="C574" s="12"/>
      <c r="D574" s="12"/>
      <c r="E574" s="12"/>
      <c r="F574" s="12"/>
      <c r="G574" s="18"/>
      <c r="H574" s="35"/>
      <c r="I574" s="12"/>
      <c r="M574" s="12"/>
      <c r="N574" s="18"/>
      <c r="O574" s="12"/>
      <c r="P574" s="12"/>
      <c r="Q574" s="12"/>
      <c r="R574" s="36"/>
      <c r="S574" s="36"/>
      <c r="T574" s="12"/>
      <c r="U574" s="12"/>
      <c r="V574" s="12"/>
      <c r="W574" s="12"/>
      <c r="X574" s="12"/>
    </row>
    <row r="575" customFormat="false" ht="15.75" hidden="false" customHeight="false" outlineLevel="0" collapsed="false">
      <c r="A575" s="12"/>
      <c r="B575" s="34"/>
      <c r="C575" s="12"/>
      <c r="D575" s="12"/>
      <c r="E575" s="12"/>
      <c r="F575" s="12"/>
      <c r="G575" s="18"/>
      <c r="H575" s="35"/>
      <c r="I575" s="12"/>
      <c r="M575" s="12"/>
      <c r="N575" s="18"/>
      <c r="O575" s="12"/>
      <c r="P575" s="12"/>
      <c r="Q575" s="12"/>
      <c r="R575" s="36"/>
      <c r="S575" s="36"/>
      <c r="T575" s="12"/>
      <c r="U575" s="12"/>
      <c r="V575" s="12"/>
      <c r="W575" s="12"/>
      <c r="X575" s="12"/>
    </row>
    <row r="576" customFormat="false" ht="15.75" hidden="false" customHeight="false" outlineLevel="0" collapsed="false">
      <c r="A576" s="12"/>
      <c r="B576" s="34"/>
      <c r="C576" s="12"/>
      <c r="D576" s="12"/>
      <c r="E576" s="12"/>
      <c r="F576" s="12"/>
      <c r="G576" s="18"/>
      <c r="H576" s="35"/>
      <c r="I576" s="12"/>
      <c r="M576" s="12"/>
      <c r="N576" s="18"/>
      <c r="O576" s="12"/>
      <c r="P576" s="12"/>
      <c r="Q576" s="12"/>
      <c r="R576" s="36"/>
      <c r="S576" s="36"/>
      <c r="T576" s="12"/>
      <c r="U576" s="12"/>
      <c r="V576" s="12"/>
      <c r="W576" s="12"/>
      <c r="X576" s="12"/>
    </row>
    <row r="577" customFormat="false" ht="15.75" hidden="false" customHeight="false" outlineLevel="0" collapsed="false">
      <c r="A577" s="12"/>
      <c r="B577" s="34"/>
      <c r="C577" s="12"/>
      <c r="D577" s="12"/>
      <c r="E577" s="12"/>
      <c r="F577" s="12"/>
      <c r="G577" s="18"/>
      <c r="H577" s="35"/>
      <c r="I577" s="12"/>
      <c r="M577" s="12"/>
      <c r="N577" s="18"/>
      <c r="O577" s="12"/>
      <c r="P577" s="12"/>
      <c r="Q577" s="12"/>
      <c r="R577" s="36"/>
      <c r="S577" s="36"/>
      <c r="T577" s="12"/>
      <c r="U577" s="12"/>
      <c r="V577" s="12"/>
      <c r="W577" s="12"/>
      <c r="X577" s="12"/>
    </row>
    <row r="578" customFormat="false" ht="15.75" hidden="false" customHeight="false" outlineLevel="0" collapsed="false">
      <c r="A578" s="12"/>
      <c r="B578" s="34"/>
      <c r="C578" s="12"/>
      <c r="D578" s="12"/>
      <c r="E578" s="12"/>
      <c r="F578" s="12"/>
      <c r="G578" s="18"/>
      <c r="H578" s="35"/>
      <c r="I578" s="12"/>
      <c r="M578" s="12"/>
      <c r="N578" s="18"/>
      <c r="O578" s="12"/>
      <c r="P578" s="12"/>
      <c r="Q578" s="12"/>
      <c r="R578" s="36"/>
      <c r="S578" s="36"/>
      <c r="T578" s="12"/>
      <c r="U578" s="12"/>
      <c r="V578" s="12"/>
      <c r="W578" s="12"/>
      <c r="X578" s="12"/>
    </row>
    <row r="579" customFormat="false" ht="15.75" hidden="false" customHeight="false" outlineLevel="0" collapsed="false">
      <c r="A579" s="12"/>
      <c r="B579" s="34"/>
      <c r="C579" s="12"/>
      <c r="D579" s="12"/>
      <c r="E579" s="12"/>
      <c r="F579" s="12"/>
      <c r="G579" s="18"/>
      <c r="H579" s="35"/>
      <c r="I579" s="12"/>
      <c r="M579" s="12"/>
      <c r="N579" s="18"/>
      <c r="O579" s="12"/>
      <c r="P579" s="12"/>
      <c r="Q579" s="12"/>
      <c r="R579" s="36"/>
      <c r="S579" s="36"/>
      <c r="T579" s="12"/>
      <c r="U579" s="12"/>
      <c r="V579" s="12"/>
      <c r="W579" s="12"/>
      <c r="X579" s="12"/>
    </row>
    <row r="580" customFormat="false" ht="15.75" hidden="false" customHeight="false" outlineLevel="0" collapsed="false">
      <c r="A580" s="12"/>
      <c r="B580" s="34"/>
      <c r="C580" s="12"/>
      <c r="D580" s="12"/>
      <c r="E580" s="12"/>
      <c r="F580" s="12"/>
      <c r="G580" s="18"/>
      <c r="H580" s="35"/>
      <c r="I580" s="12"/>
      <c r="M580" s="12"/>
      <c r="N580" s="18"/>
      <c r="O580" s="12"/>
      <c r="P580" s="12"/>
      <c r="Q580" s="12"/>
      <c r="R580" s="36"/>
      <c r="S580" s="36"/>
      <c r="T580" s="12"/>
      <c r="U580" s="12"/>
      <c r="V580" s="12"/>
      <c r="W580" s="12"/>
      <c r="X580" s="12"/>
    </row>
    <row r="581" customFormat="false" ht="15.75" hidden="false" customHeight="false" outlineLevel="0" collapsed="false">
      <c r="A581" s="12"/>
      <c r="B581" s="34"/>
      <c r="C581" s="12"/>
      <c r="D581" s="12"/>
      <c r="E581" s="12"/>
      <c r="F581" s="12"/>
      <c r="G581" s="18"/>
      <c r="H581" s="35"/>
      <c r="I581" s="12"/>
      <c r="M581" s="12"/>
      <c r="N581" s="18"/>
      <c r="O581" s="12"/>
      <c r="P581" s="12"/>
      <c r="Q581" s="12"/>
      <c r="R581" s="36"/>
      <c r="S581" s="36"/>
      <c r="T581" s="12"/>
      <c r="U581" s="12"/>
      <c r="V581" s="12"/>
      <c r="W581" s="12"/>
      <c r="X581" s="12"/>
    </row>
    <row r="582" customFormat="false" ht="15.75" hidden="false" customHeight="false" outlineLevel="0" collapsed="false">
      <c r="A582" s="12"/>
      <c r="B582" s="34"/>
      <c r="C582" s="12"/>
      <c r="D582" s="12"/>
      <c r="E582" s="12"/>
      <c r="F582" s="12"/>
      <c r="G582" s="18"/>
      <c r="H582" s="35"/>
      <c r="I582" s="12"/>
      <c r="M582" s="12"/>
      <c r="N582" s="18"/>
      <c r="O582" s="12"/>
      <c r="P582" s="12"/>
      <c r="Q582" s="12"/>
      <c r="R582" s="36"/>
      <c r="S582" s="36"/>
      <c r="T582" s="12"/>
      <c r="U582" s="12"/>
      <c r="V582" s="12"/>
      <c r="W582" s="12"/>
      <c r="X582" s="12"/>
    </row>
    <row r="583" customFormat="false" ht="15.75" hidden="false" customHeight="false" outlineLevel="0" collapsed="false">
      <c r="A583" s="12"/>
      <c r="B583" s="34"/>
      <c r="C583" s="12"/>
      <c r="D583" s="12"/>
      <c r="E583" s="12"/>
      <c r="F583" s="12"/>
      <c r="G583" s="18"/>
      <c r="H583" s="35"/>
      <c r="I583" s="12"/>
      <c r="M583" s="12"/>
      <c r="N583" s="18"/>
      <c r="O583" s="12"/>
      <c r="P583" s="12"/>
      <c r="Q583" s="12"/>
      <c r="R583" s="36"/>
      <c r="S583" s="36"/>
      <c r="T583" s="12"/>
      <c r="U583" s="12"/>
      <c r="V583" s="12"/>
      <c r="W583" s="12"/>
      <c r="X583" s="12"/>
    </row>
    <row r="584" customFormat="false" ht="15.75" hidden="false" customHeight="false" outlineLevel="0" collapsed="false">
      <c r="A584" s="12"/>
      <c r="B584" s="34"/>
      <c r="C584" s="12"/>
      <c r="D584" s="12"/>
      <c r="E584" s="12"/>
      <c r="F584" s="12"/>
      <c r="G584" s="18"/>
      <c r="H584" s="35"/>
      <c r="I584" s="12"/>
      <c r="M584" s="12"/>
      <c r="N584" s="18"/>
      <c r="O584" s="12"/>
      <c r="P584" s="12"/>
      <c r="Q584" s="12"/>
      <c r="R584" s="36"/>
      <c r="S584" s="36"/>
      <c r="T584" s="12"/>
      <c r="U584" s="12"/>
      <c r="V584" s="12"/>
      <c r="W584" s="12"/>
      <c r="X584" s="12"/>
    </row>
    <row r="585" customFormat="false" ht="15.75" hidden="false" customHeight="false" outlineLevel="0" collapsed="false">
      <c r="A585" s="12"/>
      <c r="B585" s="34"/>
      <c r="C585" s="12"/>
      <c r="D585" s="12"/>
      <c r="E585" s="12"/>
      <c r="F585" s="12"/>
      <c r="G585" s="18"/>
      <c r="H585" s="35"/>
      <c r="I585" s="12"/>
      <c r="M585" s="12"/>
      <c r="N585" s="18"/>
      <c r="O585" s="12"/>
      <c r="P585" s="12"/>
      <c r="Q585" s="12"/>
      <c r="R585" s="36"/>
      <c r="S585" s="36"/>
      <c r="T585" s="12"/>
      <c r="U585" s="12"/>
      <c r="V585" s="12"/>
      <c r="W585" s="12"/>
      <c r="X585" s="12"/>
    </row>
    <row r="586" customFormat="false" ht="15.75" hidden="false" customHeight="false" outlineLevel="0" collapsed="false">
      <c r="A586" s="12"/>
      <c r="B586" s="34"/>
      <c r="C586" s="12"/>
      <c r="D586" s="12"/>
      <c r="E586" s="12"/>
      <c r="F586" s="12"/>
      <c r="G586" s="18"/>
      <c r="H586" s="35"/>
      <c r="I586" s="12"/>
      <c r="M586" s="12"/>
      <c r="N586" s="18"/>
      <c r="O586" s="12"/>
      <c r="P586" s="12"/>
      <c r="Q586" s="12"/>
      <c r="R586" s="36"/>
      <c r="S586" s="36"/>
      <c r="T586" s="12"/>
      <c r="U586" s="12"/>
      <c r="V586" s="12"/>
      <c r="W586" s="12"/>
      <c r="X586" s="12"/>
    </row>
    <row r="587" customFormat="false" ht="15.75" hidden="false" customHeight="false" outlineLevel="0" collapsed="false">
      <c r="A587" s="12"/>
      <c r="B587" s="34"/>
      <c r="C587" s="12"/>
      <c r="D587" s="12"/>
      <c r="E587" s="12"/>
      <c r="F587" s="12"/>
      <c r="G587" s="18"/>
      <c r="H587" s="35"/>
      <c r="I587" s="12"/>
      <c r="M587" s="12"/>
      <c r="N587" s="18"/>
      <c r="O587" s="12"/>
      <c r="P587" s="12"/>
      <c r="Q587" s="12"/>
      <c r="R587" s="36"/>
      <c r="S587" s="36"/>
      <c r="T587" s="12"/>
      <c r="U587" s="12"/>
      <c r="V587" s="12"/>
      <c r="W587" s="12"/>
      <c r="X587" s="12"/>
    </row>
    <row r="588" customFormat="false" ht="15.75" hidden="false" customHeight="false" outlineLevel="0" collapsed="false">
      <c r="A588" s="12"/>
      <c r="B588" s="34"/>
      <c r="C588" s="12"/>
      <c r="D588" s="12"/>
      <c r="E588" s="12"/>
      <c r="F588" s="12"/>
      <c r="G588" s="18"/>
      <c r="H588" s="35"/>
      <c r="I588" s="12"/>
      <c r="M588" s="12"/>
      <c r="N588" s="18"/>
      <c r="O588" s="12"/>
      <c r="P588" s="12"/>
      <c r="Q588" s="12"/>
      <c r="R588" s="36"/>
      <c r="S588" s="36"/>
      <c r="T588" s="12"/>
      <c r="U588" s="12"/>
      <c r="V588" s="12"/>
      <c r="W588" s="12"/>
      <c r="X588" s="12"/>
    </row>
    <row r="589" customFormat="false" ht="15.75" hidden="false" customHeight="false" outlineLevel="0" collapsed="false">
      <c r="A589" s="12"/>
      <c r="B589" s="34"/>
      <c r="C589" s="12"/>
      <c r="D589" s="12"/>
      <c r="E589" s="12"/>
      <c r="F589" s="12"/>
      <c r="G589" s="18"/>
      <c r="H589" s="35"/>
      <c r="I589" s="12"/>
      <c r="M589" s="12"/>
      <c r="N589" s="18"/>
      <c r="O589" s="12"/>
      <c r="P589" s="12"/>
      <c r="Q589" s="12"/>
      <c r="R589" s="36"/>
      <c r="S589" s="36"/>
      <c r="T589" s="12"/>
      <c r="U589" s="12"/>
      <c r="V589" s="12"/>
      <c r="W589" s="12"/>
      <c r="X589" s="12"/>
    </row>
    <row r="590" customFormat="false" ht="15.75" hidden="false" customHeight="false" outlineLevel="0" collapsed="false">
      <c r="A590" s="12"/>
      <c r="B590" s="34"/>
      <c r="C590" s="12"/>
      <c r="D590" s="12"/>
      <c r="E590" s="12"/>
      <c r="F590" s="12"/>
      <c r="G590" s="18"/>
      <c r="H590" s="35"/>
      <c r="I590" s="12"/>
      <c r="M590" s="12"/>
      <c r="N590" s="18"/>
      <c r="O590" s="12"/>
      <c r="P590" s="12"/>
      <c r="Q590" s="12"/>
      <c r="R590" s="36"/>
      <c r="S590" s="36"/>
      <c r="T590" s="12"/>
      <c r="U590" s="12"/>
      <c r="V590" s="12"/>
      <c r="W590" s="12"/>
      <c r="X590" s="12"/>
    </row>
    <row r="591" customFormat="false" ht="15.75" hidden="false" customHeight="false" outlineLevel="0" collapsed="false">
      <c r="A591" s="12"/>
      <c r="B591" s="34"/>
      <c r="C591" s="12"/>
      <c r="D591" s="12"/>
      <c r="E591" s="12"/>
      <c r="F591" s="12"/>
      <c r="G591" s="18"/>
      <c r="H591" s="35"/>
      <c r="I591" s="12"/>
      <c r="M591" s="12"/>
      <c r="N591" s="18"/>
      <c r="O591" s="12"/>
      <c r="P591" s="12"/>
      <c r="Q591" s="12"/>
      <c r="R591" s="36"/>
      <c r="S591" s="36"/>
      <c r="T591" s="12"/>
      <c r="U591" s="12"/>
      <c r="V591" s="12"/>
      <c r="W591" s="12"/>
      <c r="X591" s="12"/>
    </row>
    <row r="592" customFormat="false" ht="15.75" hidden="false" customHeight="false" outlineLevel="0" collapsed="false">
      <c r="A592" s="12"/>
      <c r="B592" s="34"/>
      <c r="C592" s="12"/>
      <c r="D592" s="12"/>
      <c r="E592" s="12"/>
      <c r="F592" s="12"/>
      <c r="G592" s="18"/>
      <c r="H592" s="35"/>
      <c r="I592" s="12"/>
      <c r="M592" s="12"/>
      <c r="N592" s="18"/>
      <c r="O592" s="12"/>
      <c r="P592" s="12"/>
      <c r="Q592" s="12"/>
      <c r="R592" s="36"/>
      <c r="S592" s="36"/>
      <c r="T592" s="12"/>
      <c r="U592" s="12"/>
      <c r="V592" s="12"/>
      <c r="W592" s="12"/>
      <c r="X592" s="12"/>
    </row>
    <row r="593" customFormat="false" ht="15.75" hidden="false" customHeight="false" outlineLevel="0" collapsed="false">
      <c r="A593" s="12"/>
      <c r="B593" s="34"/>
      <c r="C593" s="12"/>
      <c r="D593" s="12"/>
      <c r="E593" s="12"/>
      <c r="F593" s="12"/>
      <c r="G593" s="18"/>
      <c r="H593" s="35"/>
      <c r="I593" s="12"/>
      <c r="M593" s="12"/>
      <c r="N593" s="18"/>
      <c r="O593" s="12"/>
      <c r="P593" s="12"/>
      <c r="Q593" s="12"/>
      <c r="R593" s="36"/>
      <c r="S593" s="36"/>
      <c r="T593" s="12"/>
      <c r="U593" s="12"/>
      <c r="V593" s="12"/>
      <c r="W593" s="12"/>
      <c r="X593" s="12"/>
    </row>
    <row r="594" customFormat="false" ht="15.75" hidden="false" customHeight="false" outlineLevel="0" collapsed="false">
      <c r="A594" s="12"/>
      <c r="B594" s="34"/>
      <c r="C594" s="12"/>
      <c r="D594" s="12"/>
      <c r="E594" s="12"/>
      <c r="F594" s="12"/>
      <c r="G594" s="18"/>
      <c r="H594" s="35"/>
      <c r="I594" s="12"/>
      <c r="M594" s="12"/>
      <c r="N594" s="18"/>
      <c r="O594" s="12"/>
      <c r="P594" s="12"/>
      <c r="Q594" s="12"/>
      <c r="R594" s="36"/>
      <c r="S594" s="36"/>
      <c r="T594" s="12"/>
      <c r="U594" s="12"/>
      <c r="V594" s="12"/>
      <c r="W594" s="12"/>
      <c r="X594" s="12"/>
    </row>
    <row r="595" customFormat="false" ht="15.75" hidden="false" customHeight="false" outlineLevel="0" collapsed="false">
      <c r="A595" s="12"/>
      <c r="B595" s="34"/>
      <c r="C595" s="12"/>
      <c r="D595" s="12"/>
      <c r="E595" s="12"/>
      <c r="F595" s="12"/>
      <c r="G595" s="18"/>
      <c r="H595" s="35"/>
      <c r="I595" s="12"/>
      <c r="M595" s="12"/>
      <c r="N595" s="18"/>
      <c r="O595" s="12"/>
      <c r="P595" s="12"/>
      <c r="Q595" s="12"/>
      <c r="R595" s="36"/>
      <c r="S595" s="36"/>
      <c r="T595" s="12"/>
      <c r="U595" s="12"/>
      <c r="V595" s="12"/>
      <c r="W595" s="12"/>
      <c r="X595" s="12"/>
    </row>
    <row r="596" customFormat="false" ht="15.75" hidden="false" customHeight="false" outlineLevel="0" collapsed="false">
      <c r="A596" s="12"/>
      <c r="B596" s="34"/>
      <c r="C596" s="12"/>
      <c r="D596" s="12"/>
      <c r="E596" s="12"/>
      <c r="F596" s="12"/>
      <c r="G596" s="18"/>
      <c r="H596" s="35"/>
      <c r="I596" s="12"/>
      <c r="M596" s="12"/>
      <c r="N596" s="18"/>
      <c r="O596" s="12"/>
      <c r="P596" s="12"/>
      <c r="Q596" s="12"/>
      <c r="R596" s="36"/>
      <c r="S596" s="36"/>
      <c r="T596" s="12"/>
      <c r="U596" s="12"/>
      <c r="V596" s="12"/>
      <c r="W596" s="12"/>
      <c r="X596" s="12"/>
    </row>
    <row r="597" customFormat="false" ht="15.75" hidden="false" customHeight="false" outlineLevel="0" collapsed="false">
      <c r="A597" s="12"/>
      <c r="B597" s="34"/>
      <c r="C597" s="12"/>
      <c r="D597" s="12"/>
      <c r="E597" s="12"/>
      <c r="F597" s="12"/>
      <c r="G597" s="18"/>
      <c r="H597" s="35"/>
      <c r="I597" s="12"/>
      <c r="M597" s="12"/>
      <c r="N597" s="18"/>
      <c r="O597" s="12"/>
      <c r="P597" s="12"/>
      <c r="Q597" s="12"/>
      <c r="R597" s="36"/>
      <c r="S597" s="36"/>
      <c r="T597" s="12"/>
      <c r="U597" s="12"/>
      <c r="V597" s="12"/>
      <c r="W597" s="12"/>
      <c r="X597" s="12"/>
    </row>
    <row r="598" customFormat="false" ht="15.75" hidden="false" customHeight="false" outlineLevel="0" collapsed="false">
      <c r="A598" s="12"/>
      <c r="B598" s="34"/>
      <c r="C598" s="12"/>
      <c r="D598" s="12"/>
      <c r="E598" s="12"/>
      <c r="F598" s="12"/>
      <c r="G598" s="18"/>
      <c r="H598" s="35"/>
      <c r="I598" s="12"/>
      <c r="M598" s="12"/>
      <c r="N598" s="18"/>
      <c r="O598" s="12"/>
      <c r="P598" s="12"/>
      <c r="Q598" s="12"/>
      <c r="R598" s="36"/>
      <c r="S598" s="36"/>
      <c r="T598" s="12"/>
      <c r="U598" s="12"/>
      <c r="V598" s="12"/>
      <c r="W598" s="12"/>
      <c r="X598" s="12"/>
    </row>
    <row r="599" customFormat="false" ht="15.75" hidden="false" customHeight="false" outlineLevel="0" collapsed="false">
      <c r="A599" s="12"/>
      <c r="B599" s="34"/>
      <c r="C599" s="12"/>
      <c r="D599" s="12"/>
      <c r="E599" s="12"/>
      <c r="F599" s="12"/>
      <c r="G599" s="18"/>
      <c r="H599" s="35"/>
      <c r="I599" s="12"/>
      <c r="M599" s="12"/>
      <c r="N599" s="18"/>
      <c r="O599" s="12"/>
      <c r="P599" s="12"/>
      <c r="Q599" s="12"/>
      <c r="R599" s="36"/>
      <c r="S599" s="36"/>
      <c r="T599" s="12"/>
      <c r="U599" s="12"/>
      <c r="V599" s="12"/>
      <c r="W599" s="12"/>
      <c r="X599" s="12"/>
    </row>
    <row r="600" customFormat="false" ht="15.75" hidden="false" customHeight="false" outlineLevel="0" collapsed="false">
      <c r="A600" s="12"/>
      <c r="B600" s="34"/>
      <c r="C600" s="12"/>
      <c r="D600" s="12"/>
      <c r="E600" s="12"/>
      <c r="F600" s="12"/>
      <c r="G600" s="18"/>
      <c r="H600" s="35"/>
      <c r="I600" s="12"/>
      <c r="M600" s="12"/>
      <c r="N600" s="18"/>
      <c r="O600" s="12"/>
      <c r="P600" s="12"/>
      <c r="Q600" s="12"/>
      <c r="R600" s="36"/>
      <c r="S600" s="36"/>
      <c r="T600" s="12"/>
      <c r="U600" s="12"/>
      <c r="V600" s="12"/>
      <c r="W600" s="12"/>
      <c r="X600" s="12"/>
    </row>
    <row r="601" customFormat="false" ht="15.75" hidden="false" customHeight="false" outlineLevel="0" collapsed="false">
      <c r="A601" s="12"/>
      <c r="B601" s="34"/>
      <c r="C601" s="12"/>
      <c r="D601" s="12"/>
      <c r="E601" s="12"/>
      <c r="F601" s="12"/>
      <c r="G601" s="18"/>
      <c r="H601" s="35"/>
      <c r="I601" s="12"/>
      <c r="M601" s="12"/>
      <c r="N601" s="18"/>
      <c r="O601" s="12"/>
      <c r="P601" s="12"/>
      <c r="Q601" s="12"/>
      <c r="R601" s="36"/>
      <c r="S601" s="36"/>
      <c r="T601" s="12"/>
      <c r="U601" s="12"/>
      <c r="V601" s="12"/>
      <c r="W601" s="12"/>
      <c r="X601" s="12"/>
    </row>
    <row r="602" customFormat="false" ht="15.75" hidden="false" customHeight="false" outlineLevel="0" collapsed="false">
      <c r="A602" s="12"/>
      <c r="B602" s="34"/>
      <c r="C602" s="12"/>
      <c r="D602" s="12"/>
      <c r="E602" s="12"/>
      <c r="F602" s="12"/>
      <c r="G602" s="18"/>
      <c r="H602" s="35"/>
      <c r="I602" s="12"/>
      <c r="M602" s="12"/>
      <c r="N602" s="18"/>
      <c r="O602" s="12"/>
      <c r="P602" s="12"/>
      <c r="Q602" s="12"/>
      <c r="R602" s="36"/>
      <c r="S602" s="36"/>
      <c r="T602" s="12"/>
      <c r="U602" s="12"/>
      <c r="V602" s="12"/>
      <c r="W602" s="12"/>
      <c r="X602" s="12"/>
    </row>
    <row r="603" customFormat="false" ht="15.75" hidden="false" customHeight="false" outlineLevel="0" collapsed="false">
      <c r="A603" s="12"/>
      <c r="B603" s="34"/>
      <c r="C603" s="12"/>
      <c r="D603" s="12"/>
      <c r="E603" s="12"/>
      <c r="F603" s="12"/>
      <c r="G603" s="18"/>
      <c r="H603" s="35"/>
      <c r="I603" s="12"/>
      <c r="M603" s="12"/>
      <c r="N603" s="18"/>
      <c r="O603" s="12"/>
      <c r="P603" s="12"/>
      <c r="Q603" s="12"/>
      <c r="R603" s="36"/>
      <c r="S603" s="36"/>
      <c r="T603" s="12"/>
      <c r="U603" s="12"/>
      <c r="V603" s="12"/>
      <c r="W603" s="12"/>
      <c r="X603" s="12"/>
    </row>
    <row r="604" customFormat="false" ht="15.75" hidden="false" customHeight="false" outlineLevel="0" collapsed="false">
      <c r="A604" s="12"/>
      <c r="B604" s="34"/>
      <c r="C604" s="12"/>
      <c r="D604" s="12"/>
      <c r="E604" s="12"/>
      <c r="F604" s="12"/>
      <c r="G604" s="18"/>
      <c r="H604" s="35"/>
      <c r="I604" s="12"/>
      <c r="M604" s="12"/>
      <c r="N604" s="18"/>
      <c r="O604" s="12"/>
      <c r="P604" s="12"/>
      <c r="Q604" s="12"/>
      <c r="R604" s="36"/>
      <c r="S604" s="36"/>
      <c r="T604" s="12"/>
      <c r="U604" s="12"/>
      <c r="V604" s="12"/>
      <c r="W604" s="12"/>
      <c r="X604" s="12"/>
    </row>
    <row r="605" customFormat="false" ht="15.75" hidden="false" customHeight="false" outlineLevel="0" collapsed="false">
      <c r="A605" s="12"/>
      <c r="B605" s="34"/>
      <c r="C605" s="12"/>
      <c r="D605" s="12"/>
      <c r="E605" s="12"/>
      <c r="F605" s="12"/>
      <c r="G605" s="18"/>
      <c r="H605" s="35"/>
      <c r="I605" s="12"/>
      <c r="M605" s="12"/>
      <c r="N605" s="18"/>
      <c r="O605" s="12"/>
      <c r="P605" s="12"/>
      <c r="Q605" s="12"/>
      <c r="R605" s="36"/>
      <c r="S605" s="36"/>
      <c r="T605" s="12"/>
      <c r="U605" s="12"/>
      <c r="V605" s="12"/>
      <c r="W605" s="12"/>
      <c r="X605" s="12"/>
    </row>
    <row r="606" customFormat="false" ht="15.75" hidden="false" customHeight="false" outlineLevel="0" collapsed="false">
      <c r="A606" s="12"/>
      <c r="B606" s="34"/>
      <c r="C606" s="12"/>
      <c r="D606" s="12"/>
      <c r="E606" s="12"/>
      <c r="F606" s="12"/>
      <c r="G606" s="18"/>
      <c r="H606" s="35"/>
      <c r="I606" s="12"/>
      <c r="M606" s="12"/>
      <c r="N606" s="18"/>
      <c r="O606" s="12"/>
      <c r="P606" s="12"/>
      <c r="Q606" s="12"/>
      <c r="R606" s="36"/>
      <c r="S606" s="36"/>
      <c r="T606" s="12"/>
      <c r="U606" s="12"/>
      <c r="V606" s="12"/>
      <c r="W606" s="12"/>
      <c r="X606" s="12"/>
    </row>
    <row r="607" customFormat="false" ht="15.75" hidden="false" customHeight="false" outlineLevel="0" collapsed="false">
      <c r="A607" s="12"/>
      <c r="B607" s="34"/>
      <c r="C607" s="12"/>
      <c r="D607" s="12"/>
      <c r="E607" s="12"/>
      <c r="F607" s="12"/>
      <c r="G607" s="18"/>
      <c r="H607" s="35"/>
      <c r="I607" s="12"/>
      <c r="M607" s="12"/>
      <c r="N607" s="18"/>
      <c r="O607" s="12"/>
      <c r="P607" s="12"/>
      <c r="Q607" s="12"/>
      <c r="R607" s="36"/>
      <c r="S607" s="36"/>
      <c r="T607" s="12"/>
      <c r="U607" s="12"/>
      <c r="V607" s="12"/>
      <c r="W607" s="12"/>
      <c r="X607" s="12"/>
    </row>
    <row r="608" customFormat="false" ht="15.75" hidden="false" customHeight="false" outlineLevel="0" collapsed="false">
      <c r="A608" s="12"/>
      <c r="B608" s="34"/>
      <c r="C608" s="12"/>
      <c r="D608" s="12"/>
      <c r="E608" s="12"/>
      <c r="F608" s="12"/>
      <c r="G608" s="18"/>
      <c r="H608" s="35"/>
      <c r="I608" s="12"/>
      <c r="M608" s="12"/>
      <c r="N608" s="18"/>
      <c r="O608" s="12"/>
      <c r="P608" s="12"/>
      <c r="Q608" s="12"/>
      <c r="R608" s="36"/>
      <c r="S608" s="36"/>
      <c r="T608" s="12"/>
      <c r="U608" s="12"/>
      <c r="V608" s="12"/>
      <c r="W608" s="12"/>
      <c r="X608" s="12"/>
    </row>
    <row r="609" customFormat="false" ht="15.75" hidden="false" customHeight="false" outlineLevel="0" collapsed="false">
      <c r="A609" s="12"/>
      <c r="B609" s="34"/>
      <c r="C609" s="12"/>
      <c r="D609" s="12"/>
      <c r="E609" s="12"/>
      <c r="F609" s="12"/>
      <c r="G609" s="18"/>
      <c r="H609" s="35"/>
      <c r="I609" s="12"/>
      <c r="M609" s="12"/>
      <c r="N609" s="18"/>
      <c r="O609" s="12"/>
      <c r="P609" s="12"/>
      <c r="Q609" s="12"/>
      <c r="R609" s="36"/>
      <c r="S609" s="36"/>
      <c r="T609" s="12"/>
      <c r="U609" s="12"/>
      <c r="V609" s="12"/>
      <c r="W609" s="12"/>
      <c r="X609" s="12"/>
    </row>
    <row r="610" customFormat="false" ht="15.75" hidden="false" customHeight="false" outlineLevel="0" collapsed="false">
      <c r="A610" s="12"/>
      <c r="B610" s="34"/>
      <c r="C610" s="12"/>
      <c r="D610" s="12"/>
      <c r="E610" s="12"/>
      <c r="F610" s="12"/>
      <c r="G610" s="18"/>
      <c r="H610" s="35"/>
      <c r="I610" s="12"/>
      <c r="M610" s="12"/>
      <c r="N610" s="18"/>
      <c r="O610" s="12"/>
      <c r="P610" s="12"/>
      <c r="Q610" s="12"/>
      <c r="R610" s="36"/>
      <c r="S610" s="36"/>
      <c r="T610" s="12"/>
      <c r="U610" s="12"/>
      <c r="V610" s="12"/>
      <c r="W610" s="12"/>
      <c r="X610" s="12"/>
    </row>
    <row r="611" customFormat="false" ht="15.75" hidden="false" customHeight="false" outlineLevel="0" collapsed="false">
      <c r="A611" s="12"/>
      <c r="B611" s="34"/>
      <c r="C611" s="12"/>
      <c r="D611" s="12"/>
      <c r="E611" s="12"/>
      <c r="F611" s="12"/>
      <c r="G611" s="18"/>
      <c r="H611" s="35"/>
      <c r="I611" s="12"/>
      <c r="M611" s="12"/>
      <c r="N611" s="18"/>
      <c r="O611" s="12"/>
      <c r="P611" s="12"/>
      <c r="Q611" s="12"/>
      <c r="R611" s="36"/>
      <c r="S611" s="36"/>
      <c r="T611" s="12"/>
      <c r="U611" s="12"/>
      <c r="V611" s="12"/>
      <c r="W611" s="12"/>
      <c r="X611" s="12"/>
    </row>
    <row r="612" customFormat="false" ht="15.75" hidden="false" customHeight="false" outlineLevel="0" collapsed="false">
      <c r="A612" s="12"/>
      <c r="B612" s="34"/>
      <c r="C612" s="12"/>
      <c r="D612" s="12"/>
      <c r="E612" s="12"/>
      <c r="F612" s="12"/>
      <c r="G612" s="18"/>
      <c r="H612" s="35"/>
      <c r="I612" s="12"/>
      <c r="M612" s="12"/>
      <c r="N612" s="18"/>
      <c r="O612" s="12"/>
      <c r="P612" s="12"/>
      <c r="Q612" s="12"/>
      <c r="R612" s="36"/>
      <c r="S612" s="36"/>
      <c r="T612" s="12"/>
      <c r="U612" s="12"/>
      <c r="V612" s="12"/>
      <c r="W612" s="12"/>
      <c r="X612" s="12"/>
    </row>
    <row r="613" customFormat="false" ht="15.75" hidden="false" customHeight="false" outlineLevel="0" collapsed="false">
      <c r="A613" s="12"/>
      <c r="B613" s="34"/>
      <c r="C613" s="12"/>
      <c r="D613" s="12"/>
      <c r="E613" s="12"/>
      <c r="F613" s="12"/>
      <c r="G613" s="18"/>
      <c r="H613" s="35"/>
      <c r="I613" s="12"/>
      <c r="M613" s="12"/>
      <c r="N613" s="18"/>
      <c r="O613" s="12"/>
      <c r="P613" s="12"/>
      <c r="Q613" s="12"/>
      <c r="R613" s="36"/>
      <c r="S613" s="36"/>
      <c r="T613" s="12"/>
      <c r="U613" s="12"/>
      <c r="V613" s="12"/>
      <c r="W613" s="12"/>
      <c r="X613" s="12"/>
    </row>
    <row r="614" customFormat="false" ht="15.75" hidden="false" customHeight="false" outlineLevel="0" collapsed="false">
      <c r="A614" s="12"/>
      <c r="B614" s="34"/>
      <c r="C614" s="12"/>
      <c r="D614" s="12"/>
      <c r="E614" s="12"/>
      <c r="F614" s="12"/>
      <c r="G614" s="18"/>
      <c r="H614" s="35"/>
      <c r="I614" s="12"/>
      <c r="M614" s="12"/>
      <c r="N614" s="18"/>
      <c r="O614" s="12"/>
      <c r="P614" s="12"/>
      <c r="Q614" s="12"/>
      <c r="R614" s="36"/>
      <c r="S614" s="36"/>
      <c r="T614" s="12"/>
      <c r="U614" s="12"/>
      <c r="V614" s="12"/>
      <c r="W614" s="12"/>
      <c r="X614" s="12"/>
    </row>
    <row r="615" customFormat="false" ht="15.75" hidden="false" customHeight="false" outlineLevel="0" collapsed="false">
      <c r="A615" s="12"/>
      <c r="B615" s="34"/>
      <c r="C615" s="12"/>
      <c r="D615" s="12"/>
      <c r="E615" s="12"/>
      <c r="F615" s="12"/>
      <c r="G615" s="18"/>
      <c r="H615" s="35"/>
      <c r="I615" s="12"/>
      <c r="M615" s="12"/>
      <c r="N615" s="18"/>
      <c r="O615" s="12"/>
      <c r="P615" s="12"/>
      <c r="Q615" s="12"/>
      <c r="R615" s="36"/>
      <c r="S615" s="36"/>
      <c r="T615" s="12"/>
      <c r="U615" s="12"/>
      <c r="V615" s="12"/>
      <c r="W615" s="12"/>
      <c r="X615" s="12"/>
    </row>
    <row r="616" customFormat="false" ht="15.75" hidden="false" customHeight="false" outlineLevel="0" collapsed="false">
      <c r="A616" s="12"/>
      <c r="B616" s="34"/>
      <c r="C616" s="12"/>
      <c r="D616" s="12"/>
      <c r="E616" s="12"/>
      <c r="F616" s="12"/>
      <c r="G616" s="18"/>
      <c r="H616" s="35"/>
      <c r="I616" s="12"/>
      <c r="M616" s="12"/>
      <c r="N616" s="18"/>
      <c r="O616" s="12"/>
      <c r="P616" s="12"/>
      <c r="Q616" s="12"/>
      <c r="R616" s="36"/>
      <c r="S616" s="36"/>
      <c r="T616" s="12"/>
      <c r="U616" s="12"/>
      <c r="V616" s="12"/>
      <c r="W616" s="12"/>
      <c r="X616" s="12"/>
    </row>
    <row r="617" customFormat="false" ht="15.75" hidden="false" customHeight="false" outlineLevel="0" collapsed="false">
      <c r="A617" s="12"/>
      <c r="B617" s="34"/>
      <c r="C617" s="12"/>
      <c r="D617" s="12"/>
      <c r="E617" s="12"/>
      <c r="F617" s="12"/>
      <c r="G617" s="18"/>
      <c r="H617" s="35"/>
      <c r="I617" s="12"/>
      <c r="M617" s="12"/>
      <c r="N617" s="18"/>
      <c r="O617" s="12"/>
      <c r="P617" s="12"/>
      <c r="Q617" s="12"/>
      <c r="R617" s="36"/>
      <c r="S617" s="36"/>
      <c r="T617" s="12"/>
      <c r="U617" s="12"/>
      <c r="V617" s="12"/>
      <c r="W617" s="12"/>
      <c r="X617" s="12"/>
    </row>
    <row r="618" customFormat="false" ht="15.75" hidden="false" customHeight="false" outlineLevel="0" collapsed="false">
      <c r="A618" s="12"/>
      <c r="B618" s="34"/>
      <c r="C618" s="12"/>
      <c r="D618" s="12"/>
      <c r="E618" s="12"/>
      <c r="F618" s="12"/>
      <c r="G618" s="18"/>
      <c r="H618" s="35"/>
      <c r="I618" s="12"/>
      <c r="M618" s="12"/>
      <c r="N618" s="18"/>
      <c r="O618" s="12"/>
      <c r="P618" s="12"/>
      <c r="Q618" s="12"/>
      <c r="R618" s="36"/>
      <c r="S618" s="36"/>
      <c r="T618" s="12"/>
      <c r="U618" s="12"/>
      <c r="V618" s="12"/>
      <c r="W618" s="12"/>
      <c r="X618" s="12"/>
    </row>
    <row r="619" customFormat="false" ht="15.75" hidden="false" customHeight="false" outlineLevel="0" collapsed="false">
      <c r="A619" s="12"/>
      <c r="B619" s="34"/>
      <c r="C619" s="12"/>
      <c r="D619" s="12"/>
      <c r="E619" s="12"/>
      <c r="F619" s="12"/>
      <c r="G619" s="18"/>
      <c r="H619" s="35"/>
      <c r="I619" s="12"/>
      <c r="M619" s="12"/>
      <c r="N619" s="18"/>
      <c r="O619" s="12"/>
      <c r="P619" s="12"/>
      <c r="Q619" s="12"/>
      <c r="R619" s="36"/>
      <c r="S619" s="36"/>
      <c r="T619" s="12"/>
      <c r="U619" s="12"/>
      <c r="V619" s="12"/>
      <c r="W619" s="12"/>
      <c r="X619" s="12"/>
    </row>
    <row r="620" customFormat="false" ht="15.75" hidden="false" customHeight="false" outlineLevel="0" collapsed="false">
      <c r="A620" s="12"/>
      <c r="B620" s="34"/>
      <c r="C620" s="12"/>
      <c r="D620" s="12"/>
      <c r="E620" s="12"/>
      <c r="F620" s="12"/>
      <c r="G620" s="18"/>
      <c r="H620" s="35"/>
      <c r="I620" s="12"/>
      <c r="M620" s="12"/>
      <c r="N620" s="18"/>
      <c r="O620" s="12"/>
      <c r="P620" s="12"/>
      <c r="Q620" s="12"/>
      <c r="R620" s="36"/>
      <c r="S620" s="36"/>
      <c r="T620" s="12"/>
      <c r="U620" s="12"/>
      <c r="V620" s="12"/>
      <c r="W620" s="12"/>
      <c r="X620" s="12"/>
    </row>
    <row r="621" customFormat="false" ht="15.75" hidden="false" customHeight="false" outlineLevel="0" collapsed="false">
      <c r="A621" s="12"/>
      <c r="B621" s="34"/>
      <c r="C621" s="12"/>
      <c r="D621" s="12"/>
      <c r="E621" s="12"/>
      <c r="F621" s="12"/>
      <c r="G621" s="18"/>
      <c r="H621" s="35"/>
      <c r="I621" s="12"/>
      <c r="M621" s="12"/>
      <c r="N621" s="18"/>
      <c r="O621" s="12"/>
      <c r="P621" s="12"/>
      <c r="Q621" s="12"/>
      <c r="R621" s="36"/>
      <c r="S621" s="36"/>
      <c r="T621" s="12"/>
      <c r="U621" s="12"/>
      <c r="V621" s="12"/>
      <c r="W621" s="12"/>
      <c r="X621" s="12"/>
    </row>
    <row r="622" customFormat="false" ht="15.75" hidden="false" customHeight="false" outlineLevel="0" collapsed="false">
      <c r="A622" s="12"/>
      <c r="B622" s="34"/>
      <c r="C622" s="12"/>
      <c r="D622" s="12"/>
      <c r="E622" s="12"/>
      <c r="F622" s="12"/>
      <c r="G622" s="18"/>
      <c r="H622" s="35"/>
      <c r="I622" s="12"/>
      <c r="M622" s="12"/>
      <c r="N622" s="18"/>
      <c r="O622" s="12"/>
      <c r="P622" s="12"/>
      <c r="Q622" s="12"/>
      <c r="R622" s="36"/>
      <c r="S622" s="36"/>
      <c r="T622" s="12"/>
      <c r="U622" s="12"/>
      <c r="V622" s="12"/>
      <c r="W622" s="12"/>
      <c r="X622" s="12"/>
    </row>
    <row r="623" customFormat="false" ht="15.75" hidden="false" customHeight="false" outlineLevel="0" collapsed="false">
      <c r="A623" s="12"/>
      <c r="B623" s="34"/>
      <c r="C623" s="12"/>
      <c r="D623" s="12"/>
      <c r="E623" s="12"/>
      <c r="F623" s="12"/>
      <c r="G623" s="18"/>
      <c r="H623" s="35"/>
      <c r="I623" s="12"/>
      <c r="M623" s="12"/>
      <c r="N623" s="18"/>
      <c r="O623" s="12"/>
      <c r="P623" s="12"/>
      <c r="Q623" s="12"/>
      <c r="R623" s="36"/>
      <c r="S623" s="36"/>
      <c r="T623" s="12"/>
      <c r="U623" s="12"/>
      <c r="V623" s="12"/>
      <c r="W623" s="12"/>
      <c r="X623" s="12"/>
    </row>
    <row r="624" customFormat="false" ht="15.75" hidden="false" customHeight="false" outlineLevel="0" collapsed="false">
      <c r="A624" s="12"/>
      <c r="B624" s="34"/>
      <c r="C624" s="12"/>
      <c r="D624" s="12"/>
      <c r="E624" s="12"/>
      <c r="F624" s="12"/>
      <c r="G624" s="18"/>
      <c r="H624" s="35"/>
      <c r="I624" s="12"/>
      <c r="M624" s="12"/>
      <c r="N624" s="18"/>
      <c r="O624" s="12"/>
      <c r="P624" s="12"/>
      <c r="Q624" s="12"/>
      <c r="R624" s="36"/>
      <c r="S624" s="36"/>
      <c r="T624" s="12"/>
      <c r="U624" s="12"/>
      <c r="V624" s="12"/>
      <c r="W624" s="12"/>
      <c r="X624" s="12"/>
    </row>
    <row r="625" customFormat="false" ht="15.75" hidden="false" customHeight="false" outlineLevel="0" collapsed="false">
      <c r="A625" s="12"/>
      <c r="B625" s="34"/>
      <c r="C625" s="12"/>
      <c r="D625" s="12"/>
      <c r="E625" s="12"/>
      <c r="F625" s="12"/>
      <c r="G625" s="18"/>
      <c r="H625" s="35"/>
      <c r="I625" s="12"/>
      <c r="M625" s="12"/>
      <c r="N625" s="18"/>
      <c r="O625" s="12"/>
      <c r="P625" s="12"/>
      <c r="Q625" s="12"/>
      <c r="R625" s="36"/>
      <c r="S625" s="36"/>
      <c r="T625" s="12"/>
      <c r="U625" s="12"/>
      <c r="V625" s="12"/>
      <c r="W625" s="12"/>
      <c r="X625" s="12"/>
    </row>
    <row r="626" customFormat="false" ht="15.75" hidden="false" customHeight="false" outlineLevel="0" collapsed="false">
      <c r="A626" s="12"/>
      <c r="B626" s="34"/>
      <c r="C626" s="12"/>
      <c r="D626" s="12"/>
      <c r="E626" s="12"/>
      <c r="F626" s="12"/>
      <c r="G626" s="18"/>
      <c r="H626" s="35"/>
      <c r="I626" s="12"/>
      <c r="M626" s="12"/>
      <c r="N626" s="18"/>
      <c r="O626" s="12"/>
      <c r="P626" s="12"/>
      <c r="Q626" s="12"/>
      <c r="R626" s="36"/>
      <c r="S626" s="36"/>
      <c r="T626" s="12"/>
      <c r="U626" s="12"/>
      <c r="V626" s="12"/>
      <c r="W626" s="12"/>
      <c r="X626" s="12"/>
    </row>
    <row r="627" customFormat="false" ht="15.75" hidden="false" customHeight="false" outlineLevel="0" collapsed="false">
      <c r="A627" s="12"/>
      <c r="B627" s="34"/>
      <c r="C627" s="12"/>
      <c r="D627" s="12"/>
      <c r="E627" s="12"/>
      <c r="F627" s="12"/>
      <c r="G627" s="18"/>
      <c r="H627" s="35"/>
      <c r="I627" s="12"/>
      <c r="M627" s="12"/>
      <c r="N627" s="18"/>
      <c r="O627" s="12"/>
      <c r="P627" s="12"/>
      <c r="Q627" s="12"/>
      <c r="R627" s="36"/>
      <c r="S627" s="36"/>
      <c r="T627" s="12"/>
      <c r="U627" s="12"/>
      <c r="V627" s="12"/>
      <c r="W627" s="12"/>
      <c r="X627" s="12"/>
    </row>
    <row r="628" customFormat="false" ht="15.75" hidden="false" customHeight="false" outlineLevel="0" collapsed="false">
      <c r="A628" s="12"/>
      <c r="B628" s="34"/>
      <c r="C628" s="12"/>
      <c r="D628" s="12"/>
      <c r="E628" s="12"/>
      <c r="F628" s="12"/>
      <c r="G628" s="18"/>
      <c r="H628" s="35"/>
      <c r="I628" s="12"/>
      <c r="M628" s="12"/>
      <c r="N628" s="18"/>
      <c r="O628" s="12"/>
      <c r="P628" s="12"/>
      <c r="Q628" s="12"/>
      <c r="R628" s="36"/>
      <c r="S628" s="36"/>
      <c r="T628" s="12"/>
      <c r="U628" s="12"/>
      <c r="V628" s="12"/>
      <c r="W628" s="12"/>
      <c r="X628" s="12"/>
    </row>
    <row r="629" customFormat="false" ht="15.75" hidden="false" customHeight="false" outlineLevel="0" collapsed="false">
      <c r="A629" s="12"/>
      <c r="B629" s="34"/>
      <c r="C629" s="12"/>
      <c r="D629" s="12"/>
      <c r="E629" s="12"/>
      <c r="F629" s="12"/>
      <c r="G629" s="18"/>
      <c r="H629" s="35"/>
      <c r="I629" s="12"/>
      <c r="M629" s="12"/>
      <c r="N629" s="18"/>
      <c r="O629" s="12"/>
      <c r="P629" s="12"/>
      <c r="Q629" s="12"/>
      <c r="R629" s="36"/>
      <c r="S629" s="36"/>
      <c r="T629" s="12"/>
      <c r="U629" s="12"/>
      <c r="V629" s="12"/>
      <c r="W629" s="12"/>
      <c r="X629" s="12"/>
    </row>
    <row r="630" customFormat="false" ht="15.75" hidden="false" customHeight="false" outlineLevel="0" collapsed="false">
      <c r="A630" s="12"/>
      <c r="B630" s="34"/>
      <c r="C630" s="12"/>
      <c r="D630" s="12"/>
      <c r="E630" s="12"/>
      <c r="F630" s="12"/>
      <c r="G630" s="18"/>
      <c r="H630" s="35"/>
      <c r="I630" s="12"/>
      <c r="M630" s="12"/>
      <c r="N630" s="18"/>
      <c r="O630" s="12"/>
      <c r="P630" s="12"/>
      <c r="Q630" s="12"/>
      <c r="R630" s="36"/>
      <c r="S630" s="36"/>
      <c r="T630" s="12"/>
      <c r="U630" s="12"/>
      <c r="V630" s="12"/>
      <c r="W630" s="12"/>
      <c r="X630" s="12"/>
    </row>
    <row r="631" customFormat="false" ht="15.75" hidden="false" customHeight="false" outlineLevel="0" collapsed="false">
      <c r="A631" s="12"/>
      <c r="B631" s="34"/>
      <c r="C631" s="12"/>
      <c r="D631" s="12"/>
      <c r="E631" s="12"/>
      <c r="F631" s="12"/>
      <c r="G631" s="18"/>
      <c r="H631" s="35"/>
      <c r="I631" s="12"/>
      <c r="M631" s="12"/>
      <c r="N631" s="18"/>
      <c r="O631" s="12"/>
      <c r="P631" s="12"/>
      <c r="Q631" s="12"/>
      <c r="R631" s="36"/>
      <c r="S631" s="36"/>
      <c r="T631" s="12"/>
      <c r="U631" s="12"/>
      <c r="V631" s="12"/>
      <c r="W631" s="12"/>
      <c r="X631" s="12"/>
    </row>
    <row r="632" customFormat="false" ht="15.75" hidden="false" customHeight="false" outlineLevel="0" collapsed="false">
      <c r="A632" s="12"/>
      <c r="B632" s="34"/>
      <c r="C632" s="12"/>
      <c r="D632" s="12"/>
      <c r="E632" s="12"/>
      <c r="F632" s="12"/>
      <c r="G632" s="18"/>
      <c r="H632" s="35"/>
      <c r="I632" s="12"/>
      <c r="M632" s="12"/>
      <c r="N632" s="18"/>
      <c r="O632" s="12"/>
      <c r="P632" s="12"/>
      <c r="Q632" s="12"/>
      <c r="R632" s="36"/>
      <c r="S632" s="36"/>
      <c r="T632" s="12"/>
      <c r="U632" s="12"/>
      <c r="V632" s="12"/>
      <c r="W632" s="12"/>
      <c r="X632" s="12"/>
    </row>
    <row r="633" customFormat="false" ht="15.75" hidden="false" customHeight="false" outlineLevel="0" collapsed="false">
      <c r="A633" s="12"/>
      <c r="B633" s="34"/>
      <c r="C633" s="12"/>
      <c r="D633" s="12"/>
      <c r="E633" s="12"/>
      <c r="F633" s="12"/>
      <c r="G633" s="18"/>
      <c r="H633" s="35"/>
      <c r="I633" s="12"/>
      <c r="M633" s="12"/>
      <c r="N633" s="18"/>
      <c r="O633" s="12"/>
      <c r="P633" s="12"/>
      <c r="Q633" s="12"/>
      <c r="R633" s="36"/>
      <c r="S633" s="36"/>
      <c r="T633" s="12"/>
      <c r="U633" s="12"/>
      <c r="V633" s="12"/>
      <c r="W633" s="12"/>
      <c r="X633" s="12"/>
    </row>
    <row r="634" customFormat="false" ht="15.75" hidden="false" customHeight="false" outlineLevel="0" collapsed="false">
      <c r="A634" s="12"/>
      <c r="B634" s="34"/>
      <c r="C634" s="12"/>
      <c r="D634" s="12"/>
      <c r="E634" s="12"/>
      <c r="F634" s="12"/>
      <c r="G634" s="18"/>
      <c r="H634" s="35"/>
      <c r="I634" s="12"/>
      <c r="M634" s="12"/>
      <c r="N634" s="18"/>
      <c r="O634" s="12"/>
      <c r="P634" s="12"/>
      <c r="Q634" s="12"/>
      <c r="R634" s="36"/>
      <c r="S634" s="36"/>
      <c r="T634" s="12"/>
      <c r="U634" s="12"/>
      <c r="V634" s="12"/>
      <c r="W634" s="12"/>
      <c r="X634" s="12"/>
    </row>
    <row r="635" customFormat="false" ht="15.75" hidden="false" customHeight="false" outlineLevel="0" collapsed="false">
      <c r="A635" s="12"/>
      <c r="B635" s="34"/>
      <c r="C635" s="12"/>
      <c r="D635" s="12"/>
      <c r="E635" s="12"/>
      <c r="F635" s="12"/>
      <c r="G635" s="18"/>
      <c r="H635" s="35"/>
      <c r="I635" s="12"/>
      <c r="M635" s="12"/>
      <c r="N635" s="18"/>
      <c r="O635" s="12"/>
      <c r="P635" s="12"/>
      <c r="Q635" s="12"/>
      <c r="R635" s="36"/>
      <c r="S635" s="36"/>
      <c r="T635" s="12"/>
      <c r="U635" s="12"/>
      <c r="V635" s="12"/>
      <c r="W635" s="12"/>
      <c r="X635" s="12"/>
    </row>
    <row r="636" customFormat="false" ht="15.75" hidden="false" customHeight="false" outlineLevel="0" collapsed="false">
      <c r="A636" s="12"/>
      <c r="B636" s="34"/>
      <c r="C636" s="12"/>
      <c r="D636" s="12"/>
      <c r="E636" s="12"/>
      <c r="F636" s="12"/>
      <c r="G636" s="18"/>
      <c r="H636" s="35"/>
      <c r="I636" s="12"/>
      <c r="M636" s="12"/>
      <c r="N636" s="18"/>
      <c r="O636" s="12"/>
      <c r="P636" s="12"/>
      <c r="Q636" s="12"/>
      <c r="R636" s="36"/>
      <c r="S636" s="36"/>
      <c r="T636" s="12"/>
      <c r="U636" s="12"/>
      <c r="V636" s="12"/>
      <c r="W636" s="12"/>
      <c r="X636" s="12"/>
    </row>
    <row r="637" customFormat="false" ht="15.75" hidden="false" customHeight="false" outlineLevel="0" collapsed="false">
      <c r="A637" s="12"/>
      <c r="B637" s="34"/>
      <c r="C637" s="12"/>
      <c r="D637" s="12"/>
      <c r="E637" s="12"/>
      <c r="F637" s="12"/>
      <c r="G637" s="18"/>
      <c r="H637" s="35"/>
      <c r="I637" s="12"/>
      <c r="M637" s="12"/>
      <c r="N637" s="18"/>
      <c r="O637" s="12"/>
      <c r="P637" s="12"/>
      <c r="Q637" s="12"/>
      <c r="R637" s="36"/>
      <c r="S637" s="36"/>
      <c r="T637" s="12"/>
      <c r="U637" s="12"/>
      <c r="V637" s="12"/>
      <c r="W637" s="12"/>
      <c r="X637" s="12"/>
    </row>
    <row r="638" customFormat="false" ht="15.75" hidden="false" customHeight="false" outlineLevel="0" collapsed="false">
      <c r="A638" s="12"/>
      <c r="B638" s="34"/>
      <c r="C638" s="12"/>
      <c r="D638" s="12"/>
      <c r="E638" s="12"/>
      <c r="F638" s="12"/>
      <c r="G638" s="18"/>
      <c r="H638" s="35"/>
      <c r="I638" s="12"/>
      <c r="M638" s="12"/>
      <c r="N638" s="18"/>
      <c r="O638" s="12"/>
      <c r="P638" s="12"/>
      <c r="Q638" s="12"/>
      <c r="R638" s="36"/>
      <c r="S638" s="36"/>
      <c r="T638" s="12"/>
      <c r="U638" s="12"/>
      <c r="V638" s="12"/>
      <c r="W638" s="12"/>
      <c r="X638" s="12"/>
    </row>
    <row r="639" customFormat="false" ht="15.75" hidden="false" customHeight="false" outlineLevel="0" collapsed="false">
      <c r="A639" s="12"/>
      <c r="B639" s="34"/>
      <c r="C639" s="12"/>
      <c r="D639" s="12"/>
      <c r="E639" s="12"/>
      <c r="F639" s="12"/>
      <c r="G639" s="18"/>
      <c r="H639" s="35"/>
      <c r="I639" s="12"/>
      <c r="M639" s="12"/>
      <c r="N639" s="18"/>
      <c r="O639" s="12"/>
      <c r="P639" s="12"/>
      <c r="Q639" s="12"/>
      <c r="R639" s="36"/>
      <c r="S639" s="36"/>
      <c r="T639" s="12"/>
      <c r="U639" s="12"/>
      <c r="V639" s="12"/>
      <c r="W639" s="12"/>
      <c r="X639" s="12"/>
    </row>
    <row r="640" customFormat="false" ht="15.75" hidden="false" customHeight="false" outlineLevel="0" collapsed="false">
      <c r="A640" s="12"/>
      <c r="B640" s="34"/>
      <c r="C640" s="12"/>
      <c r="D640" s="12"/>
      <c r="E640" s="12"/>
      <c r="F640" s="12"/>
      <c r="G640" s="18"/>
      <c r="H640" s="35"/>
      <c r="I640" s="12"/>
      <c r="M640" s="12"/>
      <c r="N640" s="18"/>
      <c r="O640" s="12"/>
      <c r="P640" s="12"/>
      <c r="Q640" s="12"/>
      <c r="R640" s="36"/>
      <c r="S640" s="36"/>
      <c r="T640" s="12"/>
      <c r="U640" s="12"/>
      <c r="V640" s="12"/>
      <c r="W640" s="12"/>
      <c r="X640" s="12"/>
    </row>
    <row r="641" customFormat="false" ht="15.75" hidden="false" customHeight="false" outlineLevel="0" collapsed="false">
      <c r="A641" s="12"/>
      <c r="B641" s="34"/>
      <c r="C641" s="12"/>
      <c r="D641" s="12"/>
      <c r="E641" s="12"/>
      <c r="F641" s="12"/>
      <c r="G641" s="18"/>
      <c r="H641" s="35"/>
      <c r="I641" s="12"/>
      <c r="M641" s="12"/>
      <c r="N641" s="18"/>
      <c r="O641" s="12"/>
      <c r="P641" s="12"/>
      <c r="Q641" s="12"/>
      <c r="R641" s="36"/>
      <c r="S641" s="36"/>
      <c r="T641" s="12"/>
      <c r="U641" s="12"/>
      <c r="V641" s="12"/>
      <c r="W641" s="12"/>
      <c r="X641" s="12"/>
    </row>
    <row r="642" customFormat="false" ht="15.75" hidden="false" customHeight="false" outlineLevel="0" collapsed="false">
      <c r="A642" s="12"/>
      <c r="B642" s="34"/>
      <c r="C642" s="12"/>
      <c r="D642" s="12"/>
      <c r="E642" s="12"/>
      <c r="F642" s="12"/>
      <c r="G642" s="18"/>
      <c r="H642" s="35"/>
      <c r="I642" s="12"/>
      <c r="M642" s="12"/>
      <c r="N642" s="18"/>
      <c r="O642" s="12"/>
      <c r="P642" s="12"/>
      <c r="Q642" s="12"/>
      <c r="R642" s="36"/>
      <c r="S642" s="36"/>
      <c r="T642" s="12"/>
      <c r="U642" s="12"/>
      <c r="V642" s="12"/>
      <c r="W642" s="12"/>
      <c r="X642" s="12"/>
    </row>
    <row r="643" customFormat="false" ht="15.75" hidden="false" customHeight="false" outlineLevel="0" collapsed="false">
      <c r="A643" s="12"/>
      <c r="B643" s="34"/>
      <c r="C643" s="12"/>
      <c r="D643" s="12"/>
      <c r="E643" s="12"/>
      <c r="F643" s="12"/>
      <c r="G643" s="18"/>
      <c r="H643" s="35"/>
      <c r="I643" s="12"/>
      <c r="M643" s="12"/>
      <c r="N643" s="18"/>
      <c r="O643" s="12"/>
      <c r="P643" s="12"/>
      <c r="Q643" s="12"/>
      <c r="R643" s="36"/>
      <c r="S643" s="36"/>
      <c r="T643" s="12"/>
      <c r="U643" s="12"/>
      <c r="V643" s="12"/>
      <c r="W643" s="12"/>
      <c r="X643" s="12"/>
    </row>
    <row r="644" customFormat="false" ht="15.75" hidden="false" customHeight="false" outlineLevel="0" collapsed="false">
      <c r="A644" s="12"/>
      <c r="B644" s="34"/>
      <c r="C644" s="12"/>
      <c r="D644" s="12"/>
      <c r="E644" s="12"/>
      <c r="F644" s="12"/>
      <c r="G644" s="18"/>
      <c r="H644" s="35"/>
      <c r="I644" s="12"/>
      <c r="M644" s="12"/>
      <c r="N644" s="18"/>
      <c r="O644" s="12"/>
      <c r="P644" s="12"/>
      <c r="Q644" s="12"/>
      <c r="R644" s="36"/>
      <c r="S644" s="36"/>
      <c r="T644" s="12"/>
      <c r="U644" s="12"/>
      <c r="V644" s="12"/>
      <c r="W644" s="12"/>
      <c r="X644" s="12"/>
    </row>
    <row r="645" customFormat="false" ht="15.75" hidden="false" customHeight="false" outlineLevel="0" collapsed="false">
      <c r="A645" s="12"/>
      <c r="B645" s="34"/>
      <c r="C645" s="12"/>
      <c r="D645" s="12"/>
      <c r="E645" s="12"/>
      <c r="F645" s="12"/>
      <c r="G645" s="18"/>
      <c r="H645" s="35"/>
      <c r="I645" s="12"/>
      <c r="M645" s="12"/>
      <c r="N645" s="18"/>
      <c r="O645" s="12"/>
      <c r="P645" s="12"/>
      <c r="Q645" s="12"/>
      <c r="R645" s="36"/>
      <c r="S645" s="36"/>
      <c r="T645" s="12"/>
      <c r="U645" s="12"/>
      <c r="V645" s="12"/>
      <c r="W645" s="12"/>
      <c r="X645" s="12"/>
    </row>
    <row r="646" customFormat="false" ht="15.75" hidden="false" customHeight="false" outlineLevel="0" collapsed="false">
      <c r="A646" s="12"/>
      <c r="B646" s="34"/>
      <c r="C646" s="12"/>
      <c r="D646" s="12"/>
      <c r="E646" s="12"/>
      <c r="F646" s="12"/>
      <c r="G646" s="18"/>
      <c r="H646" s="35"/>
      <c r="I646" s="12"/>
      <c r="M646" s="12"/>
      <c r="N646" s="18"/>
      <c r="O646" s="12"/>
      <c r="P646" s="12"/>
      <c r="Q646" s="12"/>
      <c r="R646" s="36"/>
      <c r="S646" s="36"/>
      <c r="T646" s="12"/>
      <c r="U646" s="12"/>
      <c r="V646" s="12"/>
      <c r="W646" s="12"/>
      <c r="X646" s="12"/>
    </row>
    <row r="647" customFormat="false" ht="15.75" hidden="false" customHeight="false" outlineLevel="0" collapsed="false">
      <c r="A647" s="12"/>
      <c r="B647" s="34"/>
      <c r="C647" s="12"/>
      <c r="D647" s="12"/>
      <c r="E647" s="12"/>
      <c r="F647" s="12"/>
      <c r="G647" s="18"/>
      <c r="H647" s="35"/>
      <c r="I647" s="12"/>
      <c r="M647" s="12"/>
      <c r="N647" s="18"/>
      <c r="O647" s="12"/>
      <c r="P647" s="12"/>
      <c r="Q647" s="12"/>
      <c r="R647" s="36"/>
      <c r="S647" s="36"/>
      <c r="T647" s="12"/>
      <c r="U647" s="12"/>
      <c r="V647" s="12"/>
      <c r="W647" s="12"/>
      <c r="X647" s="12"/>
    </row>
    <row r="648" customFormat="false" ht="15.75" hidden="false" customHeight="false" outlineLevel="0" collapsed="false">
      <c r="A648" s="12"/>
      <c r="B648" s="34"/>
      <c r="C648" s="12"/>
      <c r="D648" s="12"/>
      <c r="E648" s="12"/>
      <c r="F648" s="12"/>
      <c r="G648" s="18"/>
      <c r="H648" s="35"/>
      <c r="I648" s="12"/>
      <c r="M648" s="12"/>
      <c r="N648" s="18"/>
      <c r="O648" s="12"/>
      <c r="P648" s="12"/>
      <c r="Q648" s="12"/>
      <c r="R648" s="36"/>
      <c r="S648" s="36"/>
      <c r="T648" s="12"/>
      <c r="U648" s="12"/>
      <c r="V648" s="12"/>
      <c r="W648" s="12"/>
      <c r="X648" s="12"/>
    </row>
    <row r="649" customFormat="false" ht="15.75" hidden="false" customHeight="false" outlineLevel="0" collapsed="false">
      <c r="A649" s="12"/>
      <c r="B649" s="34"/>
      <c r="C649" s="12"/>
      <c r="D649" s="12"/>
      <c r="E649" s="12"/>
      <c r="F649" s="12"/>
      <c r="G649" s="18"/>
      <c r="H649" s="35"/>
      <c r="I649" s="12"/>
      <c r="M649" s="12"/>
      <c r="N649" s="18"/>
      <c r="O649" s="12"/>
      <c r="P649" s="12"/>
      <c r="Q649" s="12"/>
      <c r="R649" s="36"/>
      <c r="S649" s="36"/>
      <c r="T649" s="12"/>
      <c r="U649" s="12"/>
      <c r="V649" s="12"/>
      <c r="W649" s="12"/>
      <c r="X649" s="12"/>
    </row>
    <row r="650" customFormat="false" ht="15.75" hidden="false" customHeight="false" outlineLevel="0" collapsed="false">
      <c r="A650" s="12"/>
      <c r="B650" s="34"/>
      <c r="C650" s="12"/>
      <c r="D650" s="12"/>
      <c r="E650" s="12"/>
      <c r="F650" s="12"/>
      <c r="G650" s="18"/>
      <c r="H650" s="35"/>
      <c r="I650" s="12"/>
      <c r="M650" s="12"/>
      <c r="N650" s="18"/>
      <c r="O650" s="12"/>
      <c r="P650" s="12"/>
      <c r="Q650" s="12"/>
      <c r="R650" s="36"/>
      <c r="S650" s="36"/>
      <c r="T650" s="12"/>
      <c r="U650" s="12"/>
      <c r="V650" s="12"/>
      <c r="W650" s="12"/>
      <c r="X650" s="12"/>
    </row>
    <row r="651" customFormat="false" ht="15.75" hidden="false" customHeight="false" outlineLevel="0" collapsed="false">
      <c r="A651" s="12"/>
      <c r="B651" s="34"/>
      <c r="C651" s="12"/>
      <c r="D651" s="12"/>
      <c r="E651" s="12"/>
      <c r="F651" s="12"/>
      <c r="G651" s="18"/>
      <c r="H651" s="35"/>
      <c r="I651" s="12"/>
      <c r="M651" s="12"/>
      <c r="N651" s="18"/>
      <c r="O651" s="12"/>
      <c r="P651" s="12"/>
      <c r="Q651" s="12"/>
      <c r="R651" s="36"/>
      <c r="S651" s="36"/>
      <c r="T651" s="12"/>
      <c r="U651" s="12"/>
      <c r="V651" s="12"/>
      <c r="W651" s="12"/>
      <c r="X651" s="12"/>
    </row>
    <row r="652" customFormat="false" ht="15.75" hidden="false" customHeight="false" outlineLevel="0" collapsed="false">
      <c r="A652" s="12"/>
      <c r="B652" s="34"/>
      <c r="C652" s="12"/>
      <c r="D652" s="12"/>
      <c r="E652" s="12"/>
      <c r="F652" s="12"/>
      <c r="G652" s="18"/>
      <c r="H652" s="35"/>
      <c r="I652" s="12"/>
      <c r="M652" s="12"/>
      <c r="N652" s="18"/>
      <c r="O652" s="12"/>
      <c r="P652" s="12"/>
      <c r="Q652" s="12"/>
      <c r="R652" s="36"/>
      <c r="S652" s="36"/>
      <c r="T652" s="12"/>
      <c r="U652" s="12"/>
      <c r="V652" s="12"/>
      <c r="W652" s="12"/>
      <c r="X652" s="12"/>
    </row>
    <row r="653" customFormat="false" ht="15.75" hidden="false" customHeight="false" outlineLevel="0" collapsed="false">
      <c r="A653" s="12"/>
      <c r="B653" s="34"/>
      <c r="C653" s="12"/>
      <c r="D653" s="12"/>
      <c r="E653" s="12"/>
      <c r="F653" s="12"/>
      <c r="G653" s="18"/>
      <c r="H653" s="35"/>
      <c r="I653" s="12"/>
      <c r="M653" s="12"/>
      <c r="N653" s="18"/>
      <c r="O653" s="12"/>
      <c r="P653" s="12"/>
      <c r="Q653" s="12"/>
      <c r="R653" s="36"/>
      <c r="S653" s="36"/>
      <c r="T653" s="12"/>
      <c r="U653" s="12"/>
      <c r="V653" s="12"/>
      <c r="W653" s="12"/>
      <c r="X653" s="12"/>
    </row>
    <row r="654" customFormat="false" ht="15.75" hidden="false" customHeight="false" outlineLevel="0" collapsed="false">
      <c r="A654" s="12"/>
      <c r="B654" s="34"/>
      <c r="C654" s="12"/>
      <c r="D654" s="12"/>
      <c r="E654" s="12"/>
      <c r="F654" s="12"/>
      <c r="G654" s="18"/>
      <c r="H654" s="35"/>
      <c r="I654" s="12"/>
      <c r="M654" s="12"/>
      <c r="N654" s="18"/>
      <c r="O654" s="12"/>
      <c r="P654" s="12"/>
      <c r="Q654" s="12"/>
      <c r="R654" s="36"/>
      <c r="S654" s="36"/>
      <c r="T654" s="12"/>
      <c r="U654" s="12"/>
      <c r="V654" s="12"/>
      <c r="W654" s="12"/>
      <c r="X654" s="12"/>
    </row>
    <row r="655" customFormat="false" ht="15.75" hidden="false" customHeight="false" outlineLevel="0" collapsed="false">
      <c r="A655" s="12"/>
      <c r="B655" s="34"/>
      <c r="C655" s="12"/>
      <c r="D655" s="12"/>
      <c r="E655" s="12"/>
      <c r="F655" s="12"/>
      <c r="G655" s="18"/>
      <c r="H655" s="35"/>
      <c r="I655" s="12"/>
      <c r="M655" s="12"/>
      <c r="N655" s="18"/>
      <c r="O655" s="12"/>
      <c r="P655" s="12"/>
      <c r="Q655" s="12"/>
      <c r="R655" s="36"/>
      <c r="S655" s="36"/>
      <c r="T655" s="12"/>
      <c r="U655" s="12"/>
      <c r="V655" s="12"/>
      <c r="W655" s="12"/>
      <c r="X655" s="12"/>
    </row>
    <row r="656" customFormat="false" ht="15.75" hidden="false" customHeight="false" outlineLevel="0" collapsed="false">
      <c r="A656" s="12"/>
      <c r="B656" s="34"/>
      <c r="C656" s="12"/>
      <c r="D656" s="12"/>
      <c r="E656" s="12"/>
      <c r="F656" s="12"/>
      <c r="G656" s="18"/>
      <c r="H656" s="35"/>
      <c r="I656" s="12"/>
      <c r="M656" s="12"/>
      <c r="N656" s="18"/>
      <c r="O656" s="12"/>
      <c r="P656" s="12"/>
      <c r="Q656" s="12"/>
      <c r="R656" s="36"/>
      <c r="S656" s="36"/>
      <c r="T656" s="12"/>
      <c r="U656" s="12"/>
      <c r="V656" s="12"/>
      <c r="W656" s="12"/>
      <c r="X656" s="12"/>
    </row>
    <row r="657" customFormat="false" ht="15.75" hidden="false" customHeight="false" outlineLevel="0" collapsed="false">
      <c r="A657" s="12"/>
      <c r="B657" s="34"/>
      <c r="C657" s="12"/>
      <c r="D657" s="12"/>
      <c r="E657" s="12"/>
      <c r="F657" s="12"/>
      <c r="G657" s="18"/>
      <c r="H657" s="35"/>
      <c r="I657" s="12"/>
      <c r="M657" s="12"/>
      <c r="N657" s="18"/>
      <c r="O657" s="12"/>
      <c r="P657" s="12"/>
      <c r="Q657" s="12"/>
      <c r="R657" s="36"/>
      <c r="S657" s="36"/>
      <c r="T657" s="12"/>
      <c r="U657" s="12"/>
      <c r="V657" s="12"/>
      <c r="W657" s="12"/>
      <c r="X657" s="12"/>
    </row>
    <row r="658" customFormat="false" ht="15.75" hidden="false" customHeight="false" outlineLevel="0" collapsed="false">
      <c r="A658" s="12"/>
      <c r="B658" s="34"/>
      <c r="C658" s="12"/>
      <c r="D658" s="12"/>
      <c r="E658" s="12"/>
      <c r="F658" s="12"/>
      <c r="G658" s="18"/>
      <c r="H658" s="35"/>
      <c r="I658" s="12"/>
      <c r="M658" s="12"/>
      <c r="N658" s="18"/>
      <c r="O658" s="12"/>
      <c r="P658" s="12"/>
      <c r="Q658" s="12"/>
      <c r="R658" s="36"/>
      <c r="S658" s="36"/>
      <c r="T658" s="12"/>
      <c r="U658" s="12"/>
      <c r="V658" s="12"/>
      <c r="W658" s="12"/>
      <c r="X658" s="12"/>
    </row>
    <row r="659" customFormat="false" ht="15.75" hidden="false" customHeight="false" outlineLevel="0" collapsed="false">
      <c r="A659" s="12"/>
      <c r="B659" s="34"/>
      <c r="C659" s="12"/>
      <c r="D659" s="12"/>
      <c r="E659" s="12"/>
      <c r="F659" s="12"/>
      <c r="G659" s="18"/>
      <c r="H659" s="35"/>
      <c r="I659" s="12"/>
      <c r="M659" s="12"/>
      <c r="N659" s="18"/>
      <c r="O659" s="12"/>
      <c r="P659" s="12"/>
      <c r="Q659" s="12"/>
      <c r="R659" s="36"/>
      <c r="S659" s="36"/>
      <c r="T659" s="12"/>
      <c r="U659" s="12"/>
      <c r="V659" s="12"/>
      <c r="W659" s="12"/>
      <c r="X659" s="12"/>
    </row>
    <row r="660" customFormat="false" ht="15.75" hidden="false" customHeight="false" outlineLevel="0" collapsed="false">
      <c r="A660" s="12"/>
      <c r="B660" s="34"/>
      <c r="C660" s="12"/>
      <c r="D660" s="12"/>
      <c r="E660" s="12"/>
      <c r="F660" s="12"/>
      <c r="G660" s="18"/>
      <c r="H660" s="35"/>
      <c r="I660" s="12"/>
      <c r="M660" s="12"/>
      <c r="N660" s="18"/>
      <c r="O660" s="12"/>
      <c r="P660" s="12"/>
      <c r="Q660" s="12"/>
      <c r="R660" s="36"/>
      <c r="S660" s="36"/>
      <c r="T660" s="12"/>
      <c r="U660" s="12"/>
      <c r="V660" s="12"/>
      <c r="W660" s="12"/>
      <c r="X660" s="12"/>
    </row>
    <row r="661" customFormat="false" ht="15.75" hidden="false" customHeight="false" outlineLevel="0" collapsed="false">
      <c r="A661" s="12"/>
      <c r="B661" s="34"/>
      <c r="C661" s="12"/>
      <c r="D661" s="12"/>
      <c r="E661" s="12"/>
      <c r="F661" s="12"/>
      <c r="G661" s="18"/>
      <c r="H661" s="35"/>
      <c r="I661" s="12"/>
      <c r="M661" s="12"/>
      <c r="N661" s="18"/>
      <c r="O661" s="12"/>
      <c r="P661" s="12"/>
      <c r="Q661" s="12"/>
      <c r="R661" s="36"/>
      <c r="S661" s="36"/>
      <c r="T661" s="12"/>
      <c r="U661" s="12"/>
      <c r="V661" s="12"/>
      <c r="W661" s="12"/>
      <c r="X661" s="12"/>
    </row>
    <row r="662" customFormat="false" ht="15.75" hidden="false" customHeight="false" outlineLevel="0" collapsed="false">
      <c r="A662" s="12"/>
      <c r="B662" s="34"/>
      <c r="C662" s="12"/>
      <c r="D662" s="12"/>
      <c r="E662" s="12"/>
      <c r="F662" s="12"/>
      <c r="G662" s="18"/>
      <c r="H662" s="35"/>
      <c r="I662" s="12"/>
      <c r="M662" s="12"/>
      <c r="N662" s="18"/>
      <c r="O662" s="12"/>
      <c r="P662" s="12"/>
      <c r="Q662" s="12"/>
      <c r="R662" s="36"/>
      <c r="S662" s="36"/>
      <c r="T662" s="12"/>
      <c r="U662" s="12"/>
      <c r="V662" s="12"/>
      <c r="W662" s="12"/>
      <c r="X662" s="12"/>
    </row>
    <row r="663" customFormat="false" ht="15.75" hidden="false" customHeight="false" outlineLevel="0" collapsed="false">
      <c r="A663" s="12"/>
      <c r="B663" s="34"/>
      <c r="C663" s="12"/>
      <c r="D663" s="12"/>
      <c r="E663" s="12"/>
      <c r="F663" s="12"/>
      <c r="G663" s="18"/>
      <c r="H663" s="35"/>
      <c r="I663" s="12"/>
      <c r="M663" s="12"/>
      <c r="N663" s="18"/>
      <c r="O663" s="12"/>
      <c r="P663" s="12"/>
      <c r="Q663" s="12"/>
      <c r="R663" s="36"/>
      <c r="S663" s="36"/>
      <c r="T663" s="12"/>
      <c r="U663" s="12"/>
      <c r="V663" s="12"/>
      <c r="W663" s="12"/>
      <c r="X663" s="12"/>
    </row>
    <row r="664" customFormat="false" ht="15.75" hidden="false" customHeight="false" outlineLevel="0" collapsed="false">
      <c r="A664" s="12"/>
      <c r="B664" s="34"/>
      <c r="C664" s="12"/>
      <c r="D664" s="12"/>
      <c r="E664" s="12"/>
      <c r="F664" s="12"/>
      <c r="G664" s="18"/>
      <c r="H664" s="35"/>
      <c r="I664" s="12"/>
      <c r="M664" s="12"/>
      <c r="N664" s="18"/>
      <c r="O664" s="12"/>
      <c r="P664" s="12"/>
      <c r="Q664" s="12"/>
      <c r="R664" s="36"/>
      <c r="S664" s="36"/>
      <c r="T664" s="12"/>
      <c r="U664" s="12"/>
      <c r="V664" s="12"/>
      <c r="W664" s="12"/>
      <c r="X664" s="12"/>
    </row>
    <row r="665" customFormat="false" ht="15.75" hidden="false" customHeight="false" outlineLevel="0" collapsed="false">
      <c r="A665" s="12"/>
      <c r="B665" s="34"/>
      <c r="C665" s="12"/>
      <c r="D665" s="12"/>
      <c r="E665" s="12"/>
      <c r="F665" s="12"/>
      <c r="G665" s="18"/>
      <c r="H665" s="35"/>
      <c r="I665" s="12"/>
      <c r="M665" s="12"/>
      <c r="N665" s="18"/>
      <c r="O665" s="12"/>
      <c r="P665" s="12"/>
      <c r="Q665" s="12"/>
      <c r="R665" s="36"/>
      <c r="S665" s="36"/>
      <c r="T665" s="12"/>
      <c r="U665" s="12"/>
      <c r="V665" s="12"/>
      <c r="W665" s="12"/>
      <c r="X665" s="12"/>
    </row>
    <row r="666" customFormat="false" ht="15.75" hidden="false" customHeight="false" outlineLevel="0" collapsed="false">
      <c r="A666" s="12"/>
      <c r="B666" s="34"/>
      <c r="C666" s="12"/>
      <c r="D666" s="12"/>
      <c r="E666" s="12"/>
      <c r="F666" s="12"/>
      <c r="G666" s="18"/>
      <c r="H666" s="35"/>
      <c r="I666" s="12"/>
      <c r="M666" s="12"/>
      <c r="N666" s="18"/>
      <c r="O666" s="12"/>
      <c r="P666" s="12"/>
      <c r="Q666" s="12"/>
      <c r="R666" s="36"/>
      <c r="S666" s="36"/>
      <c r="T666" s="12"/>
      <c r="U666" s="12"/>
      <c r="V666" s="12"/>
      <c r="W666" s="12"/>
      <c r="X666" s="12"/>
    </row>
    <row r="667" customFormat="false" ht="15.75" hidden="false" customHeight="false" outlineLevel="0" collapsed="false">
      <c r="A667" s="12"/>
      <c r="B667" s="34"/>
      <c r="C667" s="12"/>
      <c r="D667" s="12"/>
      <c r="E667" s="12"/>
      <c r="F667" s="12"/>
      <c r="G667" s="18"/>
      <c r="H667" s="35"/>
      <c r="I667" s="12"/>
      <c r="M667" s="12"/>
      <c r="N667" s="18"/>
      <c r="O667" s="12"/>
      <c r="P667" s="12"/>
      <c r="Q667" s="12"/>
      <c r="R667" s="36"/>
      <c r="S667" s="36"/>
      <c r="T667" s="12"/>
      <c r="U667" s="12"/>
      <c r="V667" s="12"/>
      <c r="W667" s="12"/>
      <c r="X667" s="12"/>
    </row>
    <row r="668" customFormat="false" ht="15.75" hidden="false" customHeight="false" outlineLevel="0" collapsed="false">
      <c r="A668" s="12"/>
      <c r="B668" s="34"/>
      <c r="C668" s="12"/>
      <c r="D668" s="12"/>
      <c r="E668" s="12"/>
      <c r="F668" s="12"/>
      <c r="G668" s="18"/>
      <c r="H668" s="35"/>
      <c r="I668" s="12"/>
      <c r="M668" s="12"/>
      <c r="N668" s="18"/>
      <c r="O668" s="12"/>
      <c r="P668" s="12"/>
      <c r="Q668" s="12"/>
      <c r="R668" s="36"/>
      <c r="S668" s="36"/>
      <c r="T668" s="12"/>
      <c r="U668" s="12"/>
      <c r="V668" s="12"/>
      <c r="W668" s="12"/>
      <c r="X668" s="12"/>
    </row>
    <row r="669" customFormat="false" ht="15.75" hidden="false" customHeight="false" outlineLevel="0" collapsed="false">
      <c r="A669" s="12"/>
      <c r="B669" s="34"/>
      <c r="C669" s="12"/>
      <c r="D669" s="12"/>
      <c r="E669" s="12"/>
      <c r="F669" s="12"/>
      <c r="G669" s="18"/>
      <c r="H669" s="35"/>
      <c r="I669" s="12"/>
      <c r="M669" s="12"/>
      <c r="N669" s="18"/>
      <c r="O669" s="12"/>
      <c r="P669" s="12"/>
      <c r="Q669" s="12"/>
      <c r="R669" s="36"/>
      <c r="S669" s="36"/>
      <c r="T669" s="12"/>
      <c r="U669" s="12"/>
      <c r="V669" s="12"/>
      <c r="W669" s="12"/>
      <c r="X669" s="12"/>
    </row>
    <row r="670" customFormat="false" ht="15.75" hidden="false" customHeight="false" outlineLevel="0" collapsed="false">
      <c r="A670" s="12"/>
      <c r="B670" s="34"/>
      <c r="C670" s="12"/>
      <c r="D670" s="12"/>
      <c r="E670" s="12"/>
      <c r="F670" s="12"/>
      <c r="G670" s="18"/>
      <c r="H670" s="35"/>
      <c r="I670" s="12"/>
      <c r="M670" s="12"/>
      <c r="N670" s="18"/>
      <c r="O670" s="12"/>
      <c r="P670" s="12"/>
      <c r="Q670" s="12"/>
      <c r="R670" s="36"/>
      <c r="S670" s="36"/>
      <c r="T670" s="12"/>
      <c r="U670" s="12"/>
      <c r="V670" s="12"/>
      <c r="W670" s="12"/>
      <c r="X670" s="12"/>
    </row>
    <row r="671" customFormat="false" ht="15.75" hidden="false" customHeight="false" outlineLevel="0" collapsed="false">
      <c r="A671" s="12"/>
      <c r="B671" s="34"/>
      <c r="C671" s="12"/>
      <c r="D671" s="12"/>
      <c r="E671" s="12"/>
      <c r="F671" s="12"/>
      <c r="G671" s="18"/>
      <c r="H671" s="35"/>
      <c r="I671" s="12"/>
      <c r="M671" s="12"/>
      <c r="N671" s="18"/>
      <c r="O671" s="12"/>
      <c r="P671" s="12"/>
      <c r="Q671" s="12"/>
      <c r="R671" s="36"/>
      <c r="S671" s="36"/>
      <c r="T671" s="12"/>
      <c r="U671" s="12"/>
      <c r="V671" s="12"/>
      <c r="W671" s="12"/>
      <c r="X671" s="12"/>
    </row>
    <row r="672" customFormat="false" ht="15.75" hidden="false" customHeight="false" outlineLevel="0" collapsed="false">
      <c r="A672" s="12"/>
      <c r="B672" s="34"/>
      <c r="C672" s="12"/>
      <c r="D672" s="12"/>
      <c r="E672" s="12"/>
      <c r="F672" s="12"/>
      <c r="G672" s="18"/>
      <c r="H672" s="35"/>
      <c r="I672" s="12"/>
      <c r="M672" s="12"/>
      <c r="N672" s="18"/>
      <c r="O672" s="12"/>
      <c r="P672" s="12"/>
      <c r="Q672" s="12"/>
      <c r="R672" s="36"/>
      <c r="S672" s="36"/>
      <c r="T672" s="12"/>
      <c r="U672" s="12"/>
      <c r="V672" s="12"/>
      <c r="W672" s="12"/>
      <c r="X672" s="12"/>
    </row>
    <row r="673" customFormat="false" ht="15.75" hidden="false" customHeight="false" outlineLevel="0" collapsed="false">
      <c r="A673" s="12"/>
      <c r="B673" s="34"/>
      <c r="C673" s="12"/>
      <c r="D673" s="12"/>
      <c r="E673" s="12"/>
      <c r="F673" s="12"/>
      <c r="G673" s="18"/>
      <c r="H673" s="35"/>
      <c r="I673" s="12"/>
      <c r="M673" s="12"/>
      <c r="N673" s="18"/>
      <c r="O673" s="12"/>
      <c r="P673" s="12"/>
      <c r="Q673" s="12"/>
      <c r="R673" s="36"/>
      <c r="S673" s="36"/>
      <c r="T673" s="12"/>
      <c r="U673" s="12"/>
      <c r="V673" s="12"/>
      <c r="W673" s="12"/>
      <c r="X673" s="12"/>
    </row>
    <row r="674" customFormat="false" ht="15.75" hidden="false" customHeight="false" outlineLevel="0" collapsed="false">
      <c r="A674" s="12"/>
      <c r="B674" s="34"/>
      <c r="C674" s="12"/>
      <c r="D674" s="12"/>
      <c r="E674" s="12"/>
      <c r="F674" s="12"/>
      <c r="G674" s="18"/>
      <c r="H674" s="35"/>
      <c r="I674" s="12"/>
      <c r="M674" s="12"/>
      <c r="N674" s="18"/>
      <c r="O674" s="12"/>
      <c r="P674" s="12"/>
      <c r="Q674" s="12"/>
      <c r="R674" s="36"/>
      <c r="S674" s="36"/>
      <c r="T674" s="12"/>
      <c r="U674" s="12"/>
      <c r="V674" s="12"/>
      <c r="W674" s="12"/>
      <c r="X674" s="12"/>
    </row>
    <row r="675" customFormat="false" ht="15.75" hidden="false" customHeight="false" outlineLevel="0" collapsed="false">
      <c r="A675" s="12"/>
      <c r="B675" s="34"/>
      <c r="C675" s="12"/>
      <c r="D675" s="12"/>
      <c r="E675" s="12"/>
      <c r="F675" s="12"/>
      <c r="G675" s="18"/>
      <c r="H675" s="35"/>
      <c r="I675" s="12"/>
      <c r="M675" s="12"/>
      <c r="N675" s="18"/>
      <c r="O675" s="12"/>
      <c r="P675" s="12"/>
      <c r="Q675" s="12"/>
      <c r="R675" s="36"/>
      <c r="S675" s="36"/>
      <c r="T675" s="12"/>
      <c r="U675" s="12"/>
      <c r="V675" s="12"/>
      <c r="W675" s="12"/>
      <c r="X675" s="12"/>
    </row>
    <row r="676" customFormat="false" ht="15.75" hidden="false" customHeight="false" outlineLevel="0" collapsed="false">
      <c r="A676" s="12"/>
      <c r="B676" s="34"/>
      <c r="C676" s="12"/>
      <c r="D676" s="12"/>
      <c r="E676" s="12"/>
      <c r="F676" s="12"/>
      <c r="G676" s="18"/>
      <c r="H676" s="35"/>
      <c r="I676" s="12"/>
      <c r="M676" s="12"/>
      <c r="N676" s="18"/>
      <c r="O676" s="12"/>
      <c r="P676" s="12"/>
      <c r="Q676" s="12"/>
      <c r="R676" s="36"/>
      <c r="S676" s="36"/>
      <c r="T676" s="12"/>
      <c r="U676" s="12"/>
      <c r="V676" s="12"/>
      <c r="W676" s="12"/>
      <c r="X676" s="12"/>
    </row>
    <row r="677" customFormat="false" ht="15.75" hidden="false" customHeight="false" outlineLevel="0" collapsed="false">
      <c r="A677" s="12"/>
      <c r="B677" s="34"/>
      <c r="C677" s="12"/>
      <c r="D677" s="12"/>
      <c r="E677" s="12"/>
      <c r="F677" s="12"/>
      <c r="G677" s="18"/>
      <c r="H677" s="35"/>
      <c r="I677" s="12"/>
      <c r="M677" s="12"/>
      <c r="N677" s="18"/>
      <c r="O677" s="12"/>
      <c r="P677" s="12"/>
      <c r="Q677" s="12"/>
      <c r="R677" s="36"/>
      <c r="S677" s="36"/>
      <c r="T677" s="12"/>
      <c r="U677" s="12"/>
      <c r="V677" s="12"/>
      <c r="W677" s="12"/>
      <c r="X677" s="12"/>
    </row>
    <row r="678" customFormat="false" ht="15.75" hidden="false" customHeight="false" outlineLevel="0" collapsed="false">
      <c r="A678" s="12"/>
      <c r="B678" s="34"/>
      <c r="C678" s="12"/>
      <c r="D678" s="12"/>
      <c r="E678" s="12"/>
      <c r="F678" s="12"/>
      <c r="G678" s="18"/>
      <c r="H678" s="35"/>
      <c r="I678" s="12"/>
      <c r="M678" s="12"/>
      <c r="N678" s="18"/>
      <c r="O678" s="12"/>
      <c r="P678" s="12"/>
      <c r="Q678" s="12"/>
      <c r="R678" s="36"/>
      <c r="S678" s="36"/>
      <c r="T678" s="12"/>
      <c r="U678" s="12"/>
      <c r="V678" s="12"/>
      <c r="W678" s="12"/>
      <c r="X678" s="12"/>
    </row>
    <row r="679" customFormat="false" ht="15.75" hidden="false" customHeight="false" outlineLevel="0" collapsed="false">
      <c r="A679" s="12"/>
      <c r="B679" s="34"/>
      <c r="C679" s="12"/>
      <c r="D679" s="12"/>
      <c r="E679" s="12"/>
      <c r="F679" s="12"/>
      <c r="G679" s="18"/>
      <c r="H679" s="35"/>
      <c r="I679" s="12"/>
      <c r="M679" s="12"/>
      <c r="N679" s="18"/>
      <c r="O679" s="12"/>
      <c r="P679" s="12"/>
      <c r="Q679" s="12"/>
      <c r="R679" s="36"/>
      <c r="S679" s="36"/>
      <c r="T679" s="12"/>
      <c r="U679" s="12"/>
      <c r="V679" s="12"/>
      <c r="W679" s="12"/>
      <c r="X679" s="12"/>
    </row>
    <row r="680" customFormat="false" ht="15.75" hidden="false" customHeight="false" outlineLevel="0" collapsed="false">
      <c r="A680" s="12"/>
      <c r="B680" s="34"/>
      <c r="C680" s="12"/>
      <c r="D680" s="12"/>
      <c r="E680" s="12"/>
      <c r="F680" s="12"/>
      <c r="G680" s="18"/>
      <c r="H680" s="35"/>
      <c r="I680" s="12"/>
      <c r="M680" s="12"/>
      <c r="N680" s="18"/>
      <c r="O680" s="12"/>
      <c r="P680" s="12"/>
      <c r="Q680" s="12"/>
      <c r="R680" s="36"/>
      <c r="S680" s="36"/>
      <c r="T680" s="12"/>
      <c r="U680" s="12"/>
      <c r="V680" s="12"/>
      <c r="W680" s="12"/>
      <c r="X680" s="12"/>
    </row>
    <row r="681" customFormat="false" ht="15.75" hidden="false" customHeight="false" outlineLevel="0" collapsed="false">
      <c r="A681" s="12"/>
      <c r="B681" s="34"/>
      <c r="C681" s="12"/>
      <c r="D681" s="12"/>
      <c r="E681" s="12"/>
      <c r="F681" s="12"/>
      <c r="G681" s="18"/>
      <c r="H681" s="35"/>
      <c r="I681" s="12"/>
      <c r="M681" s="12"/>
      <c r="N681" s="18"/>
      <c r="O681" s="12"/>
      <c r="P681" s="12"/>
      <c r="Q681" s="12"/>
      <c r="R681" s="36"/>
      <c r="S681" s="36"/>
      <c r="T681" s="12"/>
      <c r="U681" s="12"/>
      <c r="V681" s="12"/>
      <c r="W681" s="12"/>
      <c r="X681" s="12"/>
    </row>
    <row r="682" customFormat="false" ht="15.75" hidden="false" customHeight="false" outlineLevel="0" collapsed="false">
      <c r="A682" s="12"/>
      <c r="B682" s="34"/>
      <c r="C682" s="12"/>
      <c r="D682" s="12"/>
      <c r="E682" s="12"/>
      <c r="F682" s="12"/>
      <c r="G682" s="18"/>
      <c r="H682" s="35"/>
      <c r="I682" s="12"/>
      <c r="M682" s="12"/>
      <c r="N682" s="18"/>
      <c r="O682" s="12"/>
      <c r="P682" s="12"/>
      <c r="Q682" s="12"/>
      <c r="R682" s="36"/>
      <c r="S682" s="36"/>
      <c r="T682" s="12"/>
      <c r="U682" s="12"/>
      <c r="V682" s="12"/>
      <c r="W682" s="12"/>
      <c r="X682" s="12"/>
    </row>
    <row r="683" customFormat="false" ht="15.75" hidden="false" customHeight="false" outlineLevel="0" collapsed="false">
      <c r="A683" s="12"/>
      <c r="B683" s="34"/>
      <c r="C683" s="12"/>
      <c r="D683" s="12"/>
      <c r="E683" s="12"/>
      <c r="F683" s="12"/>
      <c r="G683" s="18"/>
      <c r="H683" s="35"/>
      <c r="I683" s="12"/>
      <c r="M683" s="12"/>
      <c r="N683" s="18"/>
      <c r="O683" s="12"/>
      <c r="P683" s="12"/>
      <c r="Q683" s="12"/>
      <c r="R683" s="36"/>
      <c r="S683" s="36"/>
      <c r="T683" s="12"/>
      <c r="U683" s="12"/>
      <c r="V683" s="12"/>
      <c r="W683" s="12"/>
      <c r="X683" s="12"/>
    </row>
    <row r="684" customFormat="false" ht="15.75" hidden="false" customHeight="false" outlineLevel="0" collapsed="false">
      <c r="A684" s="12"/>
      <c r="B684" s="34"/>
      <c r="C684" s="12"/>
      <c r="D684" s="12"/>
      <c r="E684" s="12"/>
      <c r="F684" s="12"/>
      <c r="G684" s="18"/>
      <c r="H684" s="35"/>
      <c r="I684" s="12"/>
      <c r="M684" s="12"/>
      <c r="N684" s="18"/>
      <c r="O684" s="12"/>
      <c r="P684" s="12"/>
      <c r="Q684" s="12"/>
      <c r="R684" s="36"/>
      <c r="S684" s="36"/>
      <c r="T684" s="12"/>
      <c r="U684" s="12"/>
      <c r="V684" s="12"/>
      <c r="W684" s="12"/>
      <c r="X684" s="12"/>
    </row>
    <row r="685" customFormat="false" ht="15.75" hidden="false" customHeight="false" outlineLevel="0" collapsed="false">
      <c r="A685" s="12"/>
      <c r="B685" s="34"/>
      <c r="C685" s="12"/>
      <c r="D685" s="12"/>
      <c r="E685" s="12"/>
      <c r="F685" s="12"/>
      <c r="G685" s="18"/>
      <c r="H685" s="35"/>
      <c r="I685" s="12"/>
      <c r="M685" s="12"/>
      <c r="N685" s="18"/>
      <c r="O685" s="12"/>
      <c r="P685" s="12"/>
      <c r="Q685" s="12"/>
      <c r="R685" s="36"/>
      <c r="S685" s="36"/>
      <c r="T685" s="12"/>
      <c r="U685" s="12"/>
      <c r="V685" s="12"/>
      <c r="W685" s="12"/>
      <c r="X685" s="12"/>
    </row>
    <row r="686" customFormat="false" ht="15.75" hidden="false" customHeight="false" outlineLevel="0" collapsed="false">
      <c r="A686" s="12"/>
      <c r="B686" s="34"/>
      <c r="C686" s="12"/>
      <c r="D686" s="12"/>
      <c r="E686" s="12"/>
      <c r="F686" s="12"/>
      <c r="G686" s="18"/>
      <c r="H686" s="35"/>
      <c r="I686" s="12"/>
      <c r="M686" s="12"/>
      <c r="N686" s="18"/>
      <c r="O686" s="12"/>
      <c r="P686" s="12"/>
      <c r="Q686" s="12"/>
      <c r="R686" s="36"/>
      <c r="S686" s="36"/>
      <c r="T686" s="12"/>
      <c r="U686" s="12"/>
      <c r="V686" s="12"/>
      <c r="W686" s="12"/>
      <c r="X686" s="12"/>
    </row>
    <row r="687" customFormat="false" ht="15.75" hidden="false" customHeight="false" outlineLevel="0" collapsed="false">
      <c r="A687" s="12"/>
      <c r="B687" s="34"/>
      <c r="C687" s="12"/>
      <c r="D687" s="12"/>
      <c r="E687" s="12"/>
      <c r="F687" s="12"/>
      <c r="G687" s="18"/>
      <c r="H687" s="35"/>
      <c r="I687" s="12"/>
      <c r="M687" s="12"/>
      <c r="N687" s="18"/>
      <c r="O687" s="12"/>
      <c r="P687" s="12"/>
      <c r="Q687" s="12"/>
      <c r="R687" s="36"/>
      <c r="S687" s="36"/>
      <c r="T687" s="12"/>
      <c r="U687" s="12"/>
      <c r="V687" s="12"/>
      <c r="W687" s="12"/>
      <c r="X687" s="12"/>
    </row>
    <row r="688" customFormat="false" ht="15.75" hidden="false" customHeight="false" outlineLevel="0" collapsed="false">
      <c r="A688" s="12"/>
      <c r="B688" s="34"/>
      <c r="C688" s="12"/>
      <c r="D688" s="12"/>
      <c r="E688" s="12"/>
      <c r="F688" s="12"/>
      <c r="G688" s="18"/>
      <c r="H688" s="35"/>
      <c r="I688" s="12"/>
      <c r="M688" s="12"/>
      <c r="N688" s="18"/>
      <c r="O688" s="12"/>
      <c r="P688" s="12"/>
      <c r="Q688" s="12"/>
      <c r="R688" s="36"/>
      <c r="S688" s="36"/>
      <c r="T688" s="12"/>
      <c r="U688" s="12"/>
      <c r="V688" s="12"/>
      <c r="W688" s="12"/>
      <c r="X688" s="12"/>
    </row>
    <row r="689" customFormat="false" ht="15.75" hidden="false" customHeight="false" outlineLevel="0" collapsed="false">
      <c r="A689" s="12"/>
      <c r="B689" s="34"/>
      <c r="C689" s="12"/>
      <c r="D689" s="12"/>
      <c r="E689" s="12"/>
      <c r="F689" s="12"/>
      <c r="G689" s="18"/>
      <c r="H689" s="35"/>
      <c r="I689" s="12"/>
      <c r="M689" s="12"/>
      <c r="N689" s="18"/>
      <c r="O689" s="12"/>
      <c r="P689" s="12"/>
      <c r="Q689" s="12"/>
      <c r="R689" s="36"/>
      <c r="S689" s="36"/>
      <c r="T689" s="12"/>
      <c r="U689" s="12"/>
      <c r="V689" s="12"/>
      <c r="W689" s="12"/>
      <c r="X689" s="12"/>
    </row>
    <row r="690" customFormat="false" ht="15.75" hidden="false" customHeight="false" outlineLevel="0" collapsed="false">
      <c r="A690" s="12"/>
      <c r="B690" s="34"/>
      <c r="C690" s="12"/>
      <c r="D690" s="12"/>
      <c r="E690" s="12"/>
      <c r="F690" s="12"/>
      <c r="G690" s="18"/>
      <c r="H690" s="35"/>
      <c r="I690" s="12"/>
      <c r="M690" s="12"/>
      <c r="N690" s="18"/>
      <c r="O690" s="12"/>
      <c r="P690" s="12"/>
      <c r="Q690" s="12"/>
      <c r="R690" s="36"/>
      <c r="S690" s="36"/>
      <c r="T690" s="12"/>
      <c r="U690" s="12"/>
      <c r="V690" s="12"/>
      <c r="W690" s="12"/>
      <c r="X690" s="12"/>
    </row>
    <row r="691" customFormat="false" ht="15.75" hidden="false" customHeight="false" outlineLevel="0" collapsed="false">
      <c r="A691" s="12"/>
      <c r="B691" s="34"/>
      <c r="C691" s="12"/>
      <c r="D691" s="12"/>
      <c r="E691" s="12"/>
      <c r="F691" s="12"/>
      <c r="G691" s="18"/>
      <c r="H691" s="35"/>
      <c r="I691" s="12"/>
      <c r="M691" s="12"/>
      <c r="N691" s="18"/>
      <c r="O691" s="12"/>
      <c r="P691" s="12"/>
      <c r="Q691" s="12"/>
      <c r="R691" s="36"/>
      <c r="S691" s="36"/>
      <c r="T691" s="12"/>
      <c r="U691" s="12"/>
      <c r="V691" s="12"/>
      <c r="W691" s="12"/>
      <c r="X691" s="12"/>
    </row>
    <row r="692" customFormat="false" ht="15.75" hidden="false" customHeight="false" outlineLevel="0" collapsed="false">
      <c r="A692" s="12"/>
      <c r="B692" s="34"/>
      <c r="C692" s="12"/>
      <c r="D692" s="12"/>
      <c r="E692" s="12"/>
      <c r="F692" s="12"/>
      <c r="G692" s="18"/>
      <c r="H692" s="35"/>
      <c r="I692" s="12"/>
      <c r="M692" s="12"/>
      <c r="N692" s="18"/>
      <c r="O692" s="12"/>
      <c r="P692" s="12"/>
      <c r="Q692" s="12"/>
      <c r="R692" s="36"/>
      <c r="S692" s="36"/>
      <c r="T692" s="12"/>
      <c r="U692" s="12"/>
      <c r="V692" s="12"/>
      <c r="W692" s="12"/>
      <c r="X692" s="12"/>
    </row>
    <row r="693" customFormat="false" ht="15.75" hidden="false" customHeight="false" outlineLevel="0" collapsed="false">
      <c r="A693" s="12"/>
      <c r="B693" s="34"/>
      <c r="C693" s="12"/>
      <c r="D693" s="12"/>
      <c r="E693" s="12"/>
      <c r="F693" s="12"/>
      <c r="G693" s="18"/>
      <c r="H693" s="35"/>
      <c r="I693" s="12"/>
      <c r="M693" s="12"/>
      <c r="N693" s="18"/>
      <c r="O693" s="12"/>
      <c r="P693" s="12"/>
      <c r="Q693" s="12"/>
      <c r="R693" s="36"/>
      <c r="S693" s="36"/>
      <c r="T693" s="12"/>
      <c r="U693" s="12"/>
      <c r="V693" s="12"/>
      <c r="W693" s="12"/>
      <c r="X693" s="12"/>
    </row>
    <row r="694" customFormat="false" ht="15.75" hidden="false" customHeight="false" outlineLevel="0" collapsed="false">
      <c r="A694" s="12"/>
      <c r="B694" s="34"/>
      <c r="C694" s="12"/>
      <c r="D694" s="12"/>
      <c r="E694" s="12"/>
      <c r="F694" s="12"/>
      <c r="G694" s="18"/>
      <c r="H694" s="35"/>
      <c r="I694" s="12"/>
      <c r="M694" s="12"/>
      <c r="N694" s="18"/>
      <c r="O694" s="12"/>
      <c r="P694" s="12"/>
      <c r="Q694" s="12"/>
      <c r="R694" s="36"/>
      <c r="S694" s="36"/>
      <c r="T694" s="12"/>
      <c r="U694" s="12"/>
      <c r="V694" s="12"/>
      <c r="W694" s="12"/>
      <c r="X694" s="12"/>
    </row>
    <row r="695" customFormat="false" ht="15.75" hidden="false" customHeight="false" outlineLevel="0" collapsed="false">
      <c r="A695" s="12"/>
      <c r="B695" s="34"/>
      <c r="C695" s="12"/>
      <c r="D695" s="12"/>
      <c r="E695" s="12"/>
      <c r="F695" s="12"/>
      <c r="G695" s="18"/>
      <c r="H695" s="35"/>
      <c r="I695" s="12"/>
      <c r="M695" s="12"/>
      <c r="N695" s="18"/>
      <c r="O695" s="12"/>
      <c r="P695" s="12"/>
      <c r="Q695" s="12"/>
      <c r="R695" s="36"/>
      <c r="S695" s="36"/>
      <c r="T695" s="12"/>
      <c r="U695" s="12"/>
      <c r="V695" s="12"/>
      <c r="W695" s="12"/>
      <c r="X695" s="12"/>
    </row>
    <row r="696" customFormat="false" ht="15.75" hidden="false" customHeight="false" outlineLevel="0" collapsed="false">
      <c r="A696" s="12"/>
      <c r="B696" s="34"/>
      <c r="C696" s="12"/>
      <c r="D696" s="12"/>
      <c r="E696" s="12"/>
      <c r="F696" s="12"/>
      <c r="G696" s="18"/>
      <c r="H696" s="35"/>
      <c r="I696" s="12"/>
      <c r="M696" s="12"/>
      <c r="N696" s="18"/>
      <c r="O696" s="12"/>
      <c r="P696" s="12"/>
      <c r="Q696" s="12"/>
      <c r="R696" s="36"/>
      <c r="S696" s="36"/>
      <c r="T696" s="12"/>
      <c r="U696" s="12"/>
      <c r="V696" s="12"/>
      <c r="W696" s="12"/>
      <c r="X696" s="12"/>
    </row>
    <row r="697" customFormat="false" ht="15.75" hidden="false" customHeight="false" outlineLevel="0" collapsed="false">
      <c r="A697" s="12"/>
      <c r="B697" s="34"/>
      <c r="C697" s="12"/>
      <c r="D697" s="12"/>
      <c r="E697" s="12"/>
      <c r="F697" s="12"/>
      <c r="G697" s="18"/>
      <c r="H697" s="35"/>
      <c r="I697" s="12"/>
      <c r="M697" s="12"/>
      <c r="N697" s="18"/>
      <c r="O697" s="12"/>
      <c r="P697" s="12"/>
      <c r="Q697" s="12"/>
      <c r="R697" s="36"/>
      <c r="S697" s="36"/>
      <c r="T697" s="12"/>
      <c r="U697" s="12"/>
      <c r="V697" s="12"/>
      <c r="W697" s="12"/>
      <c r="X697" s="12"/>
    </row>
    <row r="698" customFormat="false" ht="15.75" hidden="false" customHeight="false" outlineLevel="0" collapsed="false">
      <c r="A698" s="12"/>
      <c r="B698" s="34"/>
      <c r="C698" s="12"/>
      <c r="D698" s="12"/>
      <c r="E698" s="12"/>
      <c r="F698" s="12"/>
      <c r="G698" s="18"/>
      <c r="H698" s="35"/>
      <c r="I698" s="12"/>
      <c r="M698" s="12"/>
      <c r="N698" s="18"/>
      <c r="O698" s="12"/>
      <c r="P698" s="12"/>
      <c r="Q698" s="12"/>
      <c r="R698" s="36"/>
      <c r="S698" s="36"/>
      <c r="T698" s="12"/>
      <c r="U698" s="12"/>
      <c r="V698" s="12"/>
      <c r="W698" s="12"/>
      <c r="X698" s="12"/>
    </row>
    <row r="699" customFormat="false" ht="15.75" hidden="false" customHeight="false" outlineLevel="0" collapsed="false">
      <c r="A699" s="12"/>
      <c r="B699" s="34"/>
      <c r="C699" s="12"/>
      <c r="D699" s="12"/>
      <c r="E699" s="12"/>
      <c r="F699" s="12"/>
      <c r="G699" s="18"/>
      <c r="H699" s="35"/>
      <c r="I699" s="12"/>
      <c r="M699" s="12"/>
      <c r="N699" s="18"/>
      <c r="O699" s="12"/>
      <c r="P699" s="12"/>
      <c r="Q699" s="12"/>
      <c r="R699" s="36"/>
      <c r="S699" s="36"/>
      <c r="T699" s="12"/>
      <c r="U699" s="12"/>
      <c r="V699" s="12"/>
      <c r="W699" s="12"/>
      <c r="X699" s="12"/>
    </row>
    <row r="700" customFormat="false" ht="15.75" hidden="false" customHeight="false" outlineLevel="0" collapsed="false">
      <c r="A700" s="12"/>
      <c r="B700" s="34"/>
      <c r="C700" s="12"/>
      <c r="D700" s="12"/>
      <c r="E700" s="12"/>
      <c r="F700" s="12"/>
      <c r="G700" s="18"/>
      <c r="H700" s="35"/>
      <c r="I700" s="12"/>
      <c r="M700" s="12"/>
      <c r="N700" s="18"/>
      <c r="O700" s="12"/>
      <c r="P700" s="12"/>
      <c r="Q700" s="12"/>
      <c r="R700" s="36"/>
      <c r="S700" s="36"/>
      <c r="T700" s="12"/>
      <c r="U700" s="12"/>
      <c r="V700" s="12"/>
      <c r="W700" s="12"/>
      <c r="X700" s="12"/>
    </row>
    <row r="701" customFormat="false" ht="15.75" hidden="false" customHeight="false" outlineLevel="0" collapsed="false">
      <c r="A701" s="12"/>
      <c r="B701" s="34"/>
      <c r="C701" s="12"/>
      <c r="D701" s="12"/>
      <c r="E701" s="12"/>
      <c r="F701" s="12"/>
      <c r="G701" s="18"/>
      <c r="H701" s="35"/>
      <c r="I701" s="12"/>
      <c r="M701" s="12"/>
      <c r="N701" s="18"/>
      <c r="O701" s="12"/>
      <c r="P701" s="12"/>
      <c r="Q701" s="12"/>
      <c r="R701" s="36"/>
      <c r="S701" s="36"/>
      <c r="T701" s="12"/>
      <c r="U701" s="12"/>
      <c r="V701" s="12"/>
      <c r="W701" s="12"/>
      <c r="X701" s="12"/>
    </row>
    <row r="702" customFormat="false" ht="15.75" hidden="false" customHeight="false" outlineLevel="0" collapsed="false">
      <c r="A702" s="12"/>
      <c r="B702" s="34"/>
      <c r="C702" s="12"/>
      <c r="D702" s="12"/>
      <c r="E702" s="12"/>
      <c r="F702" s="12"/>
      <c r="G702" s="18"/>
      <c r="H702" s="35"/>
      <c r="I702" s="12"/>
      <c r="M702" s="12"/>
      <c r="N702" s="18"/>
      <c r="O702" s="12"/>
      <c r="P702" s="12"/>
      <c r="Q702" s="12"/>
      <c r="R702" s="36"/>
      <c r="S702" s="36"/>
      <c r="T702" s="12"/>
      <c r="U702" s="12"/>
      <c r="V702" s="12"/>
      <c r="W702" s="12"/>
      <c r="X702" s="12"/>
    </row>
    <row r="703" customFormat="false" ht="15.75" hidden="false" customHeight="false" outlineLevel="0" collapsed="false">
      <c r="A703" s="12"/>
      <c r="B703" s="34"/>
      <c r="C703" s="12"/>
      <c r="D703" s="12"/>
      <c r="E703" s="12"/>
      <c r="F703" s="12"/>
      <c r="G703" s="18"/>
      <c r="H703" s="35"/>
      <c r="I703" s="12"/>
      <c r="M703" s="12"/>
      <c r="N703" s="18"/>
      <c r="O703" s="12"/>
      <c r="P703" s="12"/>
      <c r="Q703" s="12"/>
      <c r="R703" s="36"/>
      <c r="S703" s="36"/>
      <c r="T703" s="12"/>
      <c r="U703" s="12"/>
      <c r="V703" s="12"/>
      <c r="W703" s="12"/>
      <c r="X703" s="12"/>
    </row>
    <row r="704" customFormat="false" ht="15.75" hidden="false" customHeight="false" outlineLevel="0" collapsed="false">
      <c r="A704" s="12"/>
      <c r="B704" s="34"/>
      <c r="C704" s="12"/>
      <c r="D704" s="12"/>
      <c r="E704" s="12"/>
      <c r="F704" s="12"/>
      <c r="G704" s="18"/>
      <c r="H704" s="35"/>
      <c r="I704" s="12"/>
      <c r="M704" s="12"/>
      <c r="N704" s="18"/>
      <c r="O704" s="12"/>
      <c r="P704" s="12"/>
      <c r="Q704" s="12"/>
      <c r="R704" s="36"/>
      <c r="S704" s="36"/>
      <c r="T704" s="12"/>
      <c r="U704" s="12"/>
      <c r="V704" s="12"/>
      <c r="W704" s="12"/>
      <c r="X704" s="12"/>
    </row>
    <row r="705" customFormat="false" ht="15.75" hidden="false" customHeight="false" outlineLevel="0" collapsed="false">
      <c r="A705" s="12"/>
      <c r="B705" s="34"/>
      <c r="C705" s="12"/>
      <c r="D705" s="12"/>
      <c r="E705" s="12"/>
      <c r="F705" s="12"/>
      <c r="G705" s="18"/>
      <c r="H705" s="35"/>
      <c r="I705" s="12"/>
      <c r="M705" s="12"/>
      <c r="N705" s="18"/>
      <c r="O705" s="12"/>
      <c r="P705" s="12"/>
      <c r="Q705" s="12"/>
      <c r="R705" s="36"/>
      <c r="S705" s="36"/>
      <c r="T705" s="12"/>
      <c r="U705" s="12"/>
      <c r="V705" s="12"/>
      <c r="W705" s="12"/>
      <c r="X705" s="12"/>
    </row>
    <row r="706" customFormat="false" ht="15.75" hidden="false" customHeight="false" outlineLevel="0" collapsed="false">
      <c r="A706" s="12"/>
      <c r="B706" s="34"/>
      <c r="C706" s="12"/>
      <c r="D706" s="12"/>
      <c r="E706" s="12"/>
      <c r="F706" s="12"/>
      <c r="G706" s="18"/>
      <c r="H706" s="35"/>
      <c r="I706" s="12"/>
      <c r="M706" s="12"/>
      <c r="N706" s="18"/>
      <c r="O706" s="12"/>
      <c r="P706" s="12"/>
      <c r="Q706" s="12"/>
      <c r="R706" s="36"/>
      <c r="S706" s="36"/>
      <c r="T706" s="12"/>
      <c r="U706" s="12"/>
      <c r="V706" s="12"/>
      <c r="W706" s="12"/>
      <c r="X706" s="12"/>
    </row>
    <row r="707" customFormat="false" ht="15.75" hidden="false" customHeight="false" outlineLevel="0" collapsed="false">
      <c r="A707" s="12"/>
      <c r="B707" s="34"/>
      <c r="C707" s="12"/>
      <c r="D707" s="12"/>
      <c r="E707" s="12"/>
      <c r="F707" s="12"/>
      <c r="G707" s="18"/>
      <c r="H707" s="35"/>
      <c r="I707" s="12"/>
      <c r="M707" s="12"/>
      <c r="N707" s="18"/>
      <c r="O707" s="12"/>
      <c r="P707" s="12"/>
      <c r="Q707" s="12"/>
      <c r="R707" s="36"/>
      <c r="S707" s="36"/>
      <c r="T707" s="12"/>
      <c r="U707" s="12"/>
      <c r="V707" s="12"/>
      <c r="W707" s="12"/>
      <c r="X707" s="12"/>
    </row>
    <row r="708" customFormat="false" ht="15.75" hidden="false" customHeight="false" outlineLevel="0" collapsed="false">
      <c r="A708" s="12"/>
      <c r="B708" s="34"/>
      <c r="C708" s="12"/>
      <c r="D708" s="12"/>
      <c r="E708" s="12"/>
      <c r="F708" s="12"/>
      <c r="G708" s="18"/>
      <c r="H708" s="35"/>
      <c r="I708" s="12"/>
      <c r="M708" s="12"/>
      <c r="N708" s="18"/>
      <c r="O708" s="12"/>
      <c r="P708" s="12"/>
      <c r="Q708" s="12"/>
      <c r="R708" s="36"/>
      <c r="S708" s="36"/>
      <c r="T708" s="12"/>
      <c r="U708" s="12"/>
      <c r="V708" s="12"/>
      <c r="W708" s="12"/>
      <c r="X708" s="12"/>
    </row>
    <row r="709" customFormat="false" ht="15.75" hidden="false" customHeight="false" outlineLevel="0" collapsed="false">
      <c r="A709" s="12"/>
      <c r="B709" s="34"/>
      <c r="C709" s="12"/>
      <c r="D709" s="12"/>
      <c r="E709" s="12"/>
      <c r="F709" s="12"/>
      <c r="G709" s="18"/>
      <c r="H709" s="35"/>
      <c r="I709" s="12"/>
      <c r="M709" s="12"/>
      <c r="N709" s="18"/>
      <c r="O709" s="12"/>
      <c r="P709" s="12"/>
      <c r="Q709" s="12"/>
      <c r="R709" s="36"/>
      <c r="S709" s="36"/>
      <c r="T709" s="12"/>
      <c r="U709" s="12"/>
      <c r="V709" s="12"/>
      <c r="W709" s="12"/>
      <c r="X709" s="12"/>
    </row>
    <row r="710" customFormat="false" ht="15.75" hidden="false" customHeight="false" outlineLevel="0" collapsed="false">
      <c r="A710" s="12"/>
      <c r="B710" s="34"/>
      <c r="C710" s="12"/>
      <c r="D710" s="12"/>
      <c r="E710" s="12"/>
      <c r="F710" s="12"/>
      <c r="G710" s="18"/>
      <c r="H710" s="35"/>
      <c r="I710" s="12"/>
      <c r="M710" s="12"/>
      <c r="N710" s="18"/>
      <c r="O710" s="12"/>
      <c r="P710" s="12"/>
      <c r="Q710" s="12"/>
      <c r="R710" s="36"/>
      <c r="S710" s="36"/>
      <c r="T710" s="12"/>
      <c r="U710" s="12"/>
      <c r="V710" s="12"/>
      <c r="W710" s="12"/>
      <c r="X710" s="12"/>
    </row>
    <row r="711" customFormat="false" ht="15.75" hidden="false" customHeight="false" outlineLevel="0" collapsed="false">
      <c r="A711" s="12"/>
      <c r="B711" s="34"/>
      <c r="C711" s="12"/>
      <c r="D711" s="12"/>
      <c r="E711" s="12"/>
      <c r="F711" s="12"/>
      <c r="G711" s="18"/>
      <c r="H711" s="35"/>
      <c r="I711" s="12"/>
      <c r="M711" s="12"/>
      <c r="N711" s="18"/>
      <c r="O711" s="12"/>
      <c r="P711" s="12"/>
      <c r="Q711" s="12"/>
      <c r="R711" s="36"/>
      <c r="S711" s="36"/>
      <c r="T711" s="12"/>
      <c r="U711" s="12"/>
      <c r="V711" s="12"/>
      <c r="W711" s="12"/>
      <c r="X711" s="12"/>
    </row>
    <row r="712" customFormat="false" ht="15.75" hidden="false" customHeight="false" outlineLevel="0" collapsed="false">
      <c r="A712" s="12"/>
      <c r="B712" s="34"/>
      <c r="C712" s="12"/>
      <c r="D712" s="12"/>
      <c r="E712" s="12"/>
      <c r="F712" s="12"/>
      <c r="G712" s="18"/>
      <c r="H712" s="35"/>
      <c r="I712" s="12"/>
      <c r="M712" s="12"/>
      <c r="N712" s="18"/>
      <c r="O712" s="12"/>
      <c r="P712" s="12"/>
      <c r="Q712" s="12"/>
      <c r="R712" s="36"/>
      <c r="S712" s="36"/>
      <c r="T712" s="12"/>
      <c r="U712" s="12"/>
      <c r="V712" s="12"/>
      <c r="W712" s="12"/>
      <c r="X712" s="12"/>
    </row>
    <row r="713" customFormat="false" ht="15.75" hidden="false" customHeight="false" outlineLevel="0" collapsed="false">
      <c r="A713" s="12"/>
      <c r="B713" s="34"/>
      <c r="C713" s="12"/>
      <c r="D713" s="12"/>
      <c r="E713" s="12"/>
      <c r="F713" s="12"/>
      <c r="G713" s="18"/>
      <c r="H713" s="35"/>
      <c r="I713" s="12"/>
      <c r="M713" s="12"/>
      <c r="N713" s="18"/>
      <c r="O713" s="12"/>
      <c r="P713" s="12"/>
      <c r="Q713" s="12"/>
      <c r="R713" s="36"/>
      <c r="S713" s="36"/>
      <c r="T713" s="12"/>
      <c r="U713" s="12"/>
      <c r="V713" s="12"/>
      <c r="W713" s="12"/>
      <c r="X713" s="12"/>
    </row>
    <row r="714" customFormat="false" ht="15.75" hidden="false" customHeight="false" outlineLevel="0" collapsed="false">
      <c r="A714" s="12"/>
      <c r="B714" s="34"/>
      <c r="C714" s="12"/>
      <c r="D714" s="12"/>
      <c r="E714" s="12"/>
      <c r="F714" s="12"/>
      <c r="G714" s="18"/>
      <c r="H714" s="35"/>
      <c r="I714" s="12"/>
      <c r="M714" s="12"/>
      <c r="N714" s="18"/>
      <c r="O714" s="12"/>
      <c r="P714" s="12"/>
      <c r="Q714" s="12"/>
      <c r="R714" s="36"/>
      <c r="S714" s="36"/>
      <c r="T714" s="12"/>
      <c r="U714" s="12"/>
      <c r="V714" s="12"/>
      <c r="W714" s="12"/>
      <c r="X714" s="12"/>
    </row>
    <row r="715" customFormat="false" ht="15.75" hidden="false" customHeight="false" outlineLevel="0" collapsed="false">
      <c r="A715" s="12"/>
      <c r="B715" s="34"/>
      <c r="C715" s="12"/>
      <c r="D715" s="12"/>
      <c r="E715" s="12"/>
      <c r="F715" s="12"/>
      <c r="G715" s="18"/>
      <c r="H715" s="35"/>
      <c r="I715" s="12"/>
      <c r="M715" s="12"/>
      <c r="N715" s="18"/>
      <c r="O715" s="12"/>
      <c r="P715" s="12"/>
      <c r="Q715" s="12"/>
      <c r="R715" s="36"/>
      <c r="S715" s="36"/>
      <c r="T715" s="12"/>
      <c r="U715" s="12"/>
      <c r="V715" s="12"/>
      <c r="W715" s="12"/>
      <c r="X715" s="12"/>
    </row>
    <row r="716" customFormat="false" ht="15.75" hidden="false" customHeight="false" outlineLevel="0" collapsed="false">
      <c r="A716" s="12"/>
      <c r="B716" s="34"/>
      <c r="C716" s="12"/>
      <c r="D716" s="12"/>
      <c r="E716" s="12"/>
      <c r="F716" s="12"/>
      <c r="G716" s="18"/>
      <c r="H716" s="35"/>
      <c r="I716" s="12"/>
      <c r="M716" s="12"/>
      <c r="N716" s="18"/>
      <c r="O716" s="12"/>
      <c r="P716" s="12"/>
      <c r="Q716" s="12"/>
      <c r="R716" s="36"/>
      <c r="S716" s="36"/>
      <c r="T716" s="12"/>
      <c r="U716" s="12"/>
      <c r="V716" s="12"/>
      <c r="W716" s="12"/>
      <c r="X716" s="12"/>
    </row>
    <row r="717" customFormat="false" ht="15.75" hidden="false" customHeight="false" outlineLevel="0" collapsed="false">
      <c r="A717" s="12"/>
      <c r="B717" s="34"/>
      <c r="C717" s="12"/>
      <c r="D717" s="12"/>
      <c r="E717" s="12"/>
      <c r="F717" s="12"/>
      <c r="G717" s="18"/>
      <c r="H717" s="35"/>
      <c r="I717" s="12"/>
      <c r="M717" s="12"/>
      <c r="N717" s="18"/>
      <c r="O717" s="12"/>
      <c r="P717" s="12"/>
      <c r="Q717" s="12"/>
      <c r="R717" s="36"/>
      <c r="S717" s="36"/>
      <c r="T717" s="12"/>
      <c r="U717" s="12"/>
      <c r="V717" s="12"/>
      <c r="W717" s="12"/>
      <c r="X717" s="12"/>
    </row>
    <row r="718" customFormat="false" ht="15.75" hidden="false" customHeight="false" outlineLevel="0" collapsed="false">
      <c r="A718" s="12"/>
      <c r="B718" s="34"/>
      <c r="C718" s="12"/>
      <c r="D718" s="12"/>
      <c r="E718" s="12"/>
      <c r="F718" s="12"/>
      <c r="G718" s="18"/>
      <c r="H718" s="35"/>
      <c r="I718" s="12"/>
      <c r="M718" s="12"/>
      <c r="N718" s="18"/>
      <c r="O718" s="12"/>
      <c r="P718" s="12"/>
      <c r="Q718" s="12"/>
      <c r="R718" s="36"/>
      <c r="S718" s="36"/>
      <c r="T718" s="12"/>
      <c r="U718" s="12"/>
      <c r="V718" s="12"/>
      <c r="W718" s="12"/>
      <c r="X718" s="12"/>
    </row>
    <row r="719" customFormat="false" ht="15.75" hidden="false" customHeight="false" outlineLevel="0" collapsed="false">
      <c r="A719" s="12"/>
      <c r="B719" s="34"/>
      <c r="C719" s="12"/>
      <c r="D719" s="12"/>
      <c r="E719" s="12"/>
      <c r="F719" s="12"/>
      <c r="G719" s="18"/>
      <c r="H719" s="35"/>
      <c r="I719" s="12"/>
      <c r="M719" s="12"/>
      <c r="N719" s="18"/>
      <c r="O719" s="12"/>
      <c r="P719" s="12"/>
      <c r="Q719" s="12"/>
      <c r="R719" s="36"/>
      <c r="S719" s="36"/>
      <c r="T719" s="12"/>
      <c r="U719" s="12"/>
      <c r="V719" s="12"/>
      <c r="W719" s="12"/>
      <c r="X719" s="12"/>
    </row>
    <row r="720" customFormat="false" ht="15.75" hidden="false" customHeight="false" outlineLevel="0" collapsed="false">
      <c r="A720" s="12"/>
      <c r="B720" s="34"/>
      <c r="C720" s="12"/>
      <c r="D720" s="12"/>
      <c r="E720" s="12"/>
      <c r="F720" s="12"/>
      <c r="G720" s="18"/>
      <c r="H720" s="35"/>
      <c r="I720" s="12"/>
      <c r="M720" s="12"/>
      <c r="N720" s="18"/>
      <c r="O720" s="12"/>
      <c r="P720" s="12"/>
      <c r="Q720" s="12"/>
      <c r="R720" s="36"/>
      <c r="S720" s="36"/>
      <c r="T720" s="12"/>
      <c r="U720" s="12"/>
      <c r="V720" s="12"/>
      <c r="W720" s="12"/>
      <c r="X720" s="12"/>
    </row>
    <row r="721" customFormat="false" ht="15.75" hidden="false" customHeight="false" outlineLevel="0" collapsed="false">
      <c r="A721" s="12"/>
      <c r="B721" s="34"/>
      <c r="C721" s="12"/>
      <c r="D721" s="12"/>
      <c r="E721" s="12"/>
      <c r="F721" s="12"/>
      <c r="G721" s="18"/>
      <c r="H721" s="35"/>
      <c r="I721" s="12"/>
      <c r="M721" s="12"/>
      <c r="N721" s="18"/>
      <c r="O721" s="12"/>
      <c r="P721" s="12"/>
      <c r="Q721" s="12"/>
      <c r="R721" s="36"/>
      <c r="S721" s="36"/>
      <c r="T721" s="12"/>
      <c r="U721" s="12"/>
      <c r="V721" s="12"/>
      <c r="W721" s="12"/>
      <c r="X721" s="12"/>
    </row>
    <row r="722" customFormat="false" ht="15.75" hidden="false" customHeight="false" outlineLevel="0" collapsed="false">
      <c r="A722" s="12"/>
      <c r="B722" s="34"/>
      <c r="C722" s="12"/>
      <c r="D722" s="12"/>
      <c r="E722" s="12"/>
      <c r="F722" s="12"/>
      <c r="G722" s="18"/>
      <c r="H722" s="35"/>
      <c r="I722" s="12"/>
      <c r="M722" s="12"/>
      <c r="N722" s="18"/>
      <c r="O722" s="12"/>
      <c r="P722" s="12"/>
      <c r="Q722" s="12"/>
      <c r="R722" s="36"/>
      <c r="S722" s="36"/>
      <c r="T722" s="12"/>
      <c r="U722" s="12"/>
      <c r="V722" s="12"/>
      <c r="W722" s="12"/>
      <c r="X722" s="12"/>
    </row>
    <row r="723" customFormat="false" ht="15.75" hidden="false" customHeight="false" outlineLevel="0" collapsed="false">
      <c r="A723" s="12"/>
      <c r="B723" s="34"/>
      <c r="C723" s="12"/>
      <c r="D723" s="12"/>
      <c r="E723" s="12"/>
      <c r="F723" s="12"/>
      <c r="G723" s="18"/>
      <c r="H723" s="35"/>
      <c r="I723" s="12"/>
      <c r="M723" s="12"/>
      <c r="N723" s="18"/>
      <c r="O723" s="12"/>
      <c r="P723" s="12"/>
      <c r="Q723" s="12"/>
      <c r="R723" s="36"/>
      <c r="S723" s="36"/>
      <c r="T723" s="12"/>
      <c r="U723" s="12"/>
      <c r="V723" s="12"/>
      <c r="W723" s="12"/>
      <c r="X723" s="12"/>
    </row>
    <row r="724" customFormat="false" ht="15.75" hidden="false" customHeight="false" outlineLevel="0" collapsed="false">
      <c r="A724" s="12"/>
      <c r="B724" s="34"/>
      <c r="C724" s="12"/>
      <c r="D724" s="12"/>
      <c r="E724" s="12"/>
      <c r="F724" s="12"/>
      <c r="G724" s="18"/>
      <c r="H724" s="35"/>
      <c r="I724" s="12"/>
      <c r="M724" s="12"/>
      <c r="N724" s="18"/>
      <c r="O724" s="12"/>
      <c r="P724" s="12"/>
      <c r="Q724" s="12"/>
      <c r="R724" s="36"/>
      <c r="S724" s="36"/>
      <c r="T724" s="12"/>
      <c r="U724" s="12"/>
      <c r="V724" s="12"/>
      <c r="W724" s="12"/>
      <c r="X724" s="12"/>
    </row>
    <row r="725" customFormat="false" ht="15.75" hidden="false" customHeight="false" outlineLevel="0" collapsed="false">
      <c r="A725" s="12"/>
      <c r="B725" s="34"/>
      <c r="C725" s="12"/>
      <c r="D725" s="12"/>
      <c r="E725" s="12"/>
      <c r="F725" s="12"/>
      <c r="G725" s="18"/>
      <c r="H725" s="35"/>
      <c r="I725" s="12"/>
      <c r="M725" s="12"/>
      <c r="N725" s="18"/>
      <c r="O725" s="12"/>
      <c r="P725" s="12"/>
      <c r="Q725" s="12"/>
      <c r="R725" s="36"/>
      <c r="S725" s="36"/>
      <c r="T725" s="12"/>
      <c r="U725" s="12"/>
      <c r="V725" s="12"/>
      <c r="W725" s="12"/>
      <c r="X725" s="12"/>
    </row>
    <row r="726" customFormat="false" ht="15.75" hidden="false" customHeight="false" outlineLevel="0" collapsed="false">
      <c r="A726" s="12"/>
      <c r="B726" s="34"/>
      <c r="C726" s="12"/>
      <c r="D726" s="12"/>
      <c r="E726" s="12"/>
      <c r="F726" s="12"/>
      <c r="G726" s="18"/>
      <c r="H726" s="35"/>
      <c r="I726" s="12"/>
      <c r="M726" s="12"/>
      <c r="N726" s="18"/>
      <c r="O726" s="12"/>
      <c r="P726" s="12"/>
      <c r="Q726" s="12"/>
      <c r="R726" s="36"/>
      <c r="S726" s="36"/>
      <c r="T726" s="12"/>
      <c r="U726" s="12"/>
      <c r="V726" s="12"/>
      <c r="W726" s="12"/>
      <c r="X726" s="12"/>
    </row>
    <row r="727" customFormat="false" ht="15.75" hidden="false" customHeight="false" outlineLevel="0" collapsed="false">
      <c r="A727" s="12"/>
      <c r="B727" s="34"/>
      <c r="C727" s="12"/>
      <c r="D727" s="12"/>
      <c r="E727" s="12"/>
      <c r="F727" s="12"/>
      <c r="G727" s="18"/>
      <c r="H727" s="35"/>
      <c r="I727" s="12"/>
      <c r="M727" s="12"/>
      <c r="N727" s="18"/>
      <c r="O727" s="12"/>
      <c r="P727" s="12"/>
      <c r="Q727" s="12"/>
      <c r="R727" s="36"/>
      <c r="S727" s="36"/>
      <c r="T727" s="12"/>
      <c r="U727" s="12"/>
      <c r="V727" s="12"/>
      <c r="W727" s="12"/>
      <c r="X727" s="12"/>
    </row>
    <row r="728" customFormat="false" ht="15.75" hidden="false" customHeight="false" outlineLevel="0" collapsed="false">
      <c r="A728" s="12"/>
      <c r="B728" s="34"/>
      <c r="C728" s="12"/>
      <c r="D728" s="12"/>
      <c r="E728" s="12"/>
      <c r="F728" s="12"/>
      <c r="G728" s="18"/>
      <c r="H728" s="35"/>
      <c r="I728" s="12"/>
      <c r="M728" s="12"/>
      <c r="N728" s="18"/>
      <c r="O728" s="12"/>
      <c r="P728" s="12"/>
      <c r="Q728" s="12"/>
      <c r="R728" s="36"/>
      <c r="S728" s="36"/>
      <c r="T728" s="12"/>
      <c r="U728" s="12"/>
      <c r="V728" s="12"/>
      <c r="W728" s="12"/>
      <c r="X728" s="12"/>
    </row>
    <row r="729" customFormat="false" ht="15.75" hidden="false" customHeight="false" outlineLevel="0" collapsed="false">
      <c r="A729" s="12"/>
      <c r="B729" s="34"/>
      <c r="C729" s="12"/>
      <c r="D729" s="12"/>
      <c r="E729" s="12"/>
      <c r="F729" s="12"/>
      <c r="G729" s="18"/>
      <c r="H729" s="35"/>
      <c r="I729" s="12"/>
      <c r="M729" s="12"/>
      <c r="N729" s="18"/>
      <c r="O729" s="12"/>
      <c r="P729" s="12"/>
      <c r="Q729" s="12"/>
      <c r="R729" s="36"/>
      <c r="S729" s="36"/>
      <c r="T729" s="12"/>
      <c r="U729" s="12"/>
      <c r="V729" s="12"/>
      <c r="W729" s="12"/>
      <c r="X729" s="12"/>
    </row>
    <row r="730" customFormat="false" ht="15.75" hidden="false" customHeight="false" outlineLevel="0" collapsed="false">
      <c r="A730" s="12"/>
      <c r="B730" s="34"/>
      <c r="C730" s="12"/>
      <c r="D730" s="12"/>
      <c r="E730" s="12"/>
      <c r="F730" s="12"/>
      <c r="G730" s="18"/>
      <c r="H730" s="35"/>
      <c r="I730" s="12"/>
      <c r="M730" s="12"/>
      <c r="N730" s="18"/>
      <c r="O730" s="12"/>
      <c r="P730" s="12"/>
      <c r="Q730" s="12"/>
      <c r="R730" s="36"/>
      <c r="S730" s="36"/>
      <c r="T730" s="12"/>
      <c r="U730" s="12"/>
      <c r="V730" s="12"/>
      <c r="W730" s="12"/>
      <c r="X730" s="12"/>
    </row>
    <row r="731" customFormat="false" ht="15.75" hidden="false" customHeight="false" outlineLevel="0" collapsed="false">
      <c r="A731" s="12"/>
      <c r="B731" s="34"/>
      <c r="C731" s="12"/>
      <c r="D731" s="12"/>
      <c r="E731" s="12"/>
      <c r="F731" s="12"/>
      <c r="G731" s="18"/>
      <c r="H731" s="35"/>
      <c r="I731" s="12"/>
      <c r="M731" s="12"/>
      <c r="N731" s="18"/>
      <c r="O731" s="12"/>
      <c r="P731" s="12"/>
      <c r="Q731" s="12"/>
      <c r="R731" s="36"/>
      <c r="S731" s="36"/>
      <c r="T731" s="12"/>
      <c r="U731" s="12"/>
      <c r="V731" s="12"/>
      <c r="W731" s="12"/>
      <c r="X731" s="12"/>
    </row>
    <row r="732" customFormat="false" ht="15.75" hidden="false" customHeight="false" outlineLevel="0" collapsed="false">
      <c r="A732" s="12"/>
      <c r="B732" s="34"/>
      <c r="C732" s="12"/>
      <c r="D732" s="12"/>
      <c r="E732" s="12"/>
      <c r="F732" s="12"/>
      <c r="G732" s="18"/>
      <c r="H732" s="35"/>
      <c r="I732" s="12"/>
      <c r="M732" s="12"/>
      <c r="N732" s="18"/>
      <c r="O732" s="12"/>
      <c r="P732" s="12"/>
      <c r="Q732" s="12"/>
      <c r="R732" s="36"/>
      <c r="S732" s="36"/>
      <c r="T732" s="12"/>
      <c r="U732" s="12"/>
      <c r="V732" s="12"/>
      <c r="W732" s="12"/>
      <c r="X732" s="12"/>
    </row>
    <row r="733" customFormat="false" ht="15.75" hidden="false" customHeight="false" outlineLevel="0" collapsed="false">
      <c r="A733" s="12"/>
      <c r="B733" s="34"/>
      <c r="C733" s="12"/>
      <c r="D733" s="12"/>
      <c r="E733" s="12"/>
      <c r="F733" s="12"/>
      <c r="G733" s="18"/>
      <c r="H733" s="35"/>
      <c r="I733" s="12"/>
      <c r="M733" s="12"/>
      <c r="N733" s="18"/>
      <c r="O733" s="12"/>
      <c r="P733" s="12"/>
      <c r="Q733" s="12"/>
      <c r="R733" s="36"/>
      <c r="S733" s="36"/>
      <c r="T733" s="12"/>
      <c r="U733" s="12"/>
      <c r="V733" s="12"/>
      <c r="W733" s="12"/>
      <c r="X733" s="12"/>
    </row>
    <row r="734" customFormat="false" ht="15.75" hidden="false" customHeight="false" outlineLevel="0" collapsed="false">
      <c r="A734" s="12"/>
      <c r="B734" s="34"/>
      <c r="C734" s="12"/>
      <c r="D734" s="12"/>
      <c r="E734" s="12"/>
      <c r="F734" s="12"/>
      <c r="G734" s="18"/>
      <c r="H734" s="35"/>
      <c r="I734" s="12"/>
      <c r="M734" s="12"/>
      <c r="N734" s="18"/>
      <c r="O734" s="12"/>
      <c r="P734" s="12"/>
      <c r="Q734" s="12"/>
      <c r="R734" s="36"/>
      <c r="S734" s="36"/>
      <c r="T734" s="12"/>
      <c r="U734" s="12"/>
      <c r="V734" s="12"/>
      <c r="W734" s="12"/>
      <c r="X734" s="12"/>
    </row>
    <row r="735" customFormat="false" ht="15.75" hidden="false" customHeight="false" outlineLevel="0" collapsed="false">
      <c r="A735" s="12"/>
      <c r="B735" s="34"/>
      <c r="C735" s="12"/>
      <c r="D735" s="12"/>
      <c r="E735" s="12"/>
      <c r="F735" s="12"/>
      <c r="G735" s="18"/>
      <c r="H735" s="35"/>
      <c r="I735" s="12"/>
      <c r="M735" s="12"/>
      <c r="N735" s="18"/>
      <c r="O735" s="12"/>
      <c r="P735" s="12"/>
      <c r="Q735" s="12"/>
      <c r="R735" s="36"/>
      <c r="S735" s="36"/>
      <c r="T735" s="12"/>
      <c r="U735" s="12"/>
      <c r="V735" s="12"/>
      <c r="W735" s="12"/>
      <c r="X735" s="12"/>
    </row>
    <row r="736" customFormat="false" ht="15.75" hidden="false" customHeight="false" outlineLevel="0" collapsed="false">
      <c r="A736" s="12"/>
      <c r="B736" s="34"/>
      <c r="C736" s="12"/>
      <c r="D736" s="12"/>
      <c r="E736" s="12"/>
      <c r="F736" s="12"/>
      <c r="G736" s="18"/>
      <c r="H736" s="35"/>
      <c r="I736" s="12"/>
      <c r="M736" s="12"/>
      <c r="N736" s="18"/>
      <c r="O736" s="12"/>
      <c r="P736" s="12"/>
      <c r="Q736" s="12"/>
      <c r="R736" s="36"/>
      <c r="S736" s="36"/>
      <c r="T736" s="12"/>
      <c r="U736" s="12"/>
      <c r="V736" s="12"/>
      <c r="W736" s="12"/>
      <c r="X736" s="12"/>
    </row>
    <row r="737" customFormat="false" ht="15.75" hidden="false" customHeight="false" outlineLevel="0" collapsed="false">
      <c r="A737" s="12"/>
      <c r="B737" s="34"/>
      <c r="C737" s="12"/>
      <c r="D737" s="12"/>
      <c r="E737" s="12"/>
      <c r="F737" s="12"/>
      <c r="G737" s="18"/>
      <c r="H737" s="35"/>
      <c r="I737" s="12"/>
      <c r="M737" s="12"/>
      <c r="N737" s="18"/>
      <c r="O737" s="12"/>
      <c r="P737" s="12"/>
      <c r="Q737" s="12"/>
      <c r="R737" s="36"/>
      <c r="S737" s="36"/>
      <c r="T737" s="12"/>
      <c r="U737" s="12"/>
      <c r="V737" s="12"/>
      <c r="W737" s="12"/>
      <c r="X737" s="12"/>
    </row>
    <row r="738" customFormat="false" ht="15.75" hidden="false" customHeight="false" outlineLevel="0" collapsed="false">
      <c r="A738" s="12"/>
      <c r="B738" s="34"/>
      <c r="C738" s="12"/>
      <c r="D738" s="12"/>
      <c r="E738" s="12"/>
      <c r="F738" s="12"/>
      <c r="G738" s="18"/>
      <c r="H738" s="35"/>
      <c r="I738" s="12"/>
      <c r="M738" s="12"/>
      <c r="N738" s="18"/>
      <c r="O738" s="12"/>
      <c r="P738" s="12"/>
      <c r="Q738" s="12"/>
      <c r="R738" s="36"/>
      <c r="S738" s="36"/>
      <c r="T738" s="12"/>
      <c r="U738" s="12"/>
      <c r="V738" s="12"/>
      <c r="W738" s="12"/>
      <c r="X738" s="12"/>
    </row>
    <row r="739" customFormat="false" ht="15.75" hidden="false" customHeight="false" outlineLevel="0" collapsed="false">
      <c r="A739" s="12"/>
      <c r="B739" s="34"/>
      <c r="C739" s="12"/>
      <c r="D739" s="12"/>
      <c r="E739" s="12"/>
      <c r="F739" s="12"/>
      <c r="G739" s="18"/>
      <c r="H739" s="35"/>
      <c r="I739" s="12"/>
      <c r="M739" s="12"/>
      <c r="N739" s="18"/>
      <c r="O739" s="12"/>
      <c r="P739" s="12"/>
      <c r="Q739" s="12"/>
      <c r="R739" s="36"/>
      <c r="S739" s="36"/>
      <c r="T739" s="12"/>
      <c r="U739" s="12"/>
      <c r="V739" s="12"/>
      <c r="W739" s="12"/>
      <c r="X739" s="12"/>
    </row>
    <row r="740" customFormat="false" ht="15.75" hidden="false" customHeight="false" outlineLevel="0" collapsed="false">
      <c r="A740" s="12"/>
      <c r="B740" s="34"/>
      <c r="C740" s="12"/>
      <c r="D740" s="12"/>
      <c r="E740" s="12"/>
      <c r="F740" s="12"/>
      <c r="G740" s="18"/>
      <c r="H740" s="35"/>
      <c r="I740" s="12"/>
      <c r="M740" s="12"/>
      <c r="N740" s="18"/>
      <c r="O740" s="12"/>
      <c r="P740" s="12"/>
      <c r="Q740" s="12"/>
      <c r="R740" s="36"/>
      <c r="S740" s="36"/>
      <c r="T740" s="12"/>
      <c r="U740" s="12"/>
      <c r="V740" s="12"/>
      <c r="W740" s="12"/>
      <c r="X740" s="12"/>
    </row>
    <row r="741" customFormat="false" ht="15.75" hidden="false" customHeight="false" outlineLevel="0" collapsed="false">
      <c r="A741" s="12"/>
      <c r="B741" s="34"/>
      <c r="C741" s="12"/>
      <c r="D741" s="12"/>
      <c r="E741" s="12"/>
      <c r="F741" s="12"/>
      <c r="G741" s="18"/>
      <c r="H741" s="35"/>
      <c r="I741" s="12"/>
      <c r="M741" s="12"/>
      <c r="N741" s="18"/>
      <c r="O741" s="12"/>
      <c r="P741" s="12"/>
      <c r="Q741" s="12"/>
      <c r="R741" s="36"/>
      <c r="S741" s="36"/>
      <c r="T741" s="12"/>
      <c r="U741" s="12"/>
      <c r="V741" s="12"/>
      <c r="W741" s="12"/>
      <c r="X741" s="12"/>
    </row>
    <row r="742" customFormat="false" ht="15.75" hidden="false" customHeight="false" outlineLevel="0" collapsed="false">
      <c r="A742" s="12"/>
      <c r="B742" s="34"/>
      <c r="C742" s="12"/>
      <c r="D742" s="12"/>
      <c r="E742" s="12"/>
      <c r="F742" s="12"/>
      <c r="G742" s="18"/>
      <c r="H742" s="35"/>
      <c r="I742" s="12"/>
      <c r="M742" s="12"/>
      <c r="N742" s="18"/>
      <c r="O742" s="12"/>
      <c r="P742" s="12"/>
      <c r="Q742" s="12"/>
      <c r="R742" s="36"/>
      <c r="S742" s="36"/>
      <c r="T742" s="12"/>
      <c r="U742" s="12"/>
      <c r="V742" s="12"/>
      <c r="W742" s="12"/>
      <c r="X742" s="12"/>
    </row>
    <row r="743" customFormat="false" ht="15.75" hidden="false" customHeight="false" outlineLevel="0" collapsed="false">
      <c r="A743" s="12"/>
      <c r="B743" s="34"/>
      <c r="C743" s="12"/>
      <c r="D743" s="12"/>
      <c r="E743" s="12"/>
      <c r="F743" s="12"/>
      <c r="G743" s="18"/>
      <c r="H743" s="35"/>
      <c r="I743" s="12"/>
      <c r="M743" s="12"/>
      <c r="N743" s="18"/>
      <c r="O743" s="12"/>
      <c r="P743" s="12"/>
      <c r="Q743" s="12"/>
      <c r="R743" s="36"/>
      <c r="S743" s="36"/>
      <c r="T743" s="12"/>
      <c r="U743" s="12"/>
      <c r="V743" s="12"/>
      <c r="W743" s="12"/>
      <c r="X743" s="12"/>
    </row>
    <row r="744" customFormat="false" ht="15.75" hidden="false" customHeight="false" outlineLevel="0" collapsed="false">
      <c r="A744" s="12"/>
      <c r="B744" s="34"/>
      <c r="C744" s="12"/>
      <c r="D744" s="12"/>
      <c r="E744" s="12"/>
      <c r="F744" s="12"/>
      <c r="G744" s="18"/>
      <c r="H744" s="35"/>
      <c r="I744" s="12"/>
      <c r="M744" s="12"/>
      <c r="N744" s="18"/>
      <c r="O744" s="12"/>
      <c r="P744" s="12"/>
      <c r="Q744" s="12"/>
      <c r="R744" s="36"/>
      <c r="S744" s="36"/>
      <c r="T744" s="12"/>
      <c r="U744" s="12"/>
      <c r="V744" s="12"/>
      <c r="W744" s="12"/>
      <c r="X744" s="12"/>
    </row>
    <row r="745" customFormat="false" ht="15.75" hidden="false" customHeight="false" outlineLevel="0" collapsed="false">
      <c r="A745" s="12"/>
      <c r="B745" s="34"/>
      <c r="C745" s="12"/>
      <c r="D745" s="12"/>
      <c r="E745" s="12"/>
      <c r="F745" s="12"/>
      <c r="G745" s="18"/>
      <c r="H745" s="35"/>
      <c r="I745" s="12"/>
      <c r="M745" s="12"/>
      <c r="N745" s="18"/>
      <c r="O745" s="12"/>
      <c r="P745" s="12"/>
      <c r="Q745" s="12"/>
      <c r="R745" s="36"/>
      <c r="S745" s="36"/>
      <c r="T745" s="12"/>
      <c r="U745" s="12"/>
      <c r="V745" s="12"/>
      <c r="W745" s="12"/>
      <c r="X745" s="12"/>
    </row>
    <row r="746" customFormat="false" ht="15.75" hidden="false" customHeight="false" outlineLevel="0" collapsed="false">
      <c r="A746" s="12"/>
      <c r="B746" s="34"/>
      <c r="C746" s="12"/>
      <c r="D746" s="12"/>
      <c r="E746" s="12"/>
      <c r="F746" s="12"/>
      <c r="G746" s="18"/>
      <c r="H746" s="35"/>
      <c r="I746" s="12"/>
      <c r="M746" s="12"/>
      <c r="N746" s="18"/>
      <c r="O746" s="12"/>
      <c r="P746" s="12"/>
      <c r="Q746" s="12"/>
      <c r="R746" s="36"/>
      <c r="S746" s="36"/>
      <c r="T746" s="12"/>
      <c r="U746" s="12"/>
      <c r="V746" s="12"/>
      <c r="W746" s="12"/>
      <c r="X746" s="12"/>
    </row>
    <row r="747" customFormat="false" ht="15.75" hidden="false" customHeight="false" outlineLevel="0" collapsed="false">
      <c r="A747" s="12"/>
      <c r="B747" s="34"/>
      <c r="C747" s="12"/>
      <c r="D747" s="12"/>
      <c r="E747" s="12"/>
      <c r="F747" s="12"/>
      <c r="G747" s="18"/>
      <c r="H747" s="35"/>
      <c r="I747" s="12"/>
      <c r="M747" s="12"/>
      <c r="N747" s="18"/>
      <c r="O747" s="12"/>
      <c r="P747" s="12"/>
      <c r="Q747" s="12"/>
      <c r="R747" s="36"/>
      <c r="S747" s="36"/>
      <c r="T747" s="12"/>
      <c r="U747" s="12"/>
      <c r="V747" s="12"/>
      <c r="W747" s="12"/>
      <c r="X747" s="12"/>
    </row>
    <row r="748" customFormat="false" ht="15.75" hidden="false" customHeight="false" outlineLevel="0" collapsed="false">
      <c r="A748" s="12"/>
      <c r="B748" s="34"/>
      <c r="C748" s="12"/>
      <c r="D748" s="12"/>
      <c r="E748" s="12"/>
      <c r="F748" s="12"/>
      <c r="G748" s="18"/>
      <c r="H748" s="35"/>
      <c r="I748" s="12"/>
      <c r="M748" s="12"/>
      <c r="N748" s="18"/>
      <c r="O748" s="12"/>
      <c r="P748" s="12"/>
      <c r="Q748" s="12"/>
      <c r="R748" s="36"/>
      <c r="S748" s="36"/>
      <c r="T748" s="12"/>
      <c r="U748" s="12"/>
      <c r="V748" s="12"/>
      <c r="W748" s="12"/>
      <c r="X748" s="12"/>
    </row>
    <row r="749" customFormat="false" ht="15.75" hidden="false" customHeight="false" outlineLevel="0" collapsed="false">
      <c r="A749" s="12"/>
      <c r="B749" s="34"/>
      <c r="C749" s="12"/>
      <c r="D749" s="12"/>
      <c r="E749" s="12"/>
      <c r="F749" s="12"/>
      <c r="G749" s="18"/>
      <c r="H749" s="35"/>
      <c r="I749" s="12"/>
      <c r="M749" s="12"/>
      <c r="N749" s="18"/>
      <c r="O749" s="12"/>
      <c r="P749" s="12"/>
      <c r="Q749" s="12"/>
      <c r="R749" s="36"/>
      <c r="S749" s="36"/>
      <c r="T749" s="12"/>
      <c r="U749" s="12"/>
      <c r="V749" s="12"/>
      <c r="W749" s="12"/>
      <c r="X749" s="12"/>
    </row>
    <row r="750" customFormat="false" ht="15.75" hidden="false" customHeight="false" outlineLevel="0" collapsed="false">
      <c r="A750" s="12"/>
      <c r="B750" s="34"/>
      <c r="C750" s="12"/>
      <c r="D750" s="12"/>
      <c r="E750" s="12"/>
      <c r="F750" s="12"/>
      <c r="G750" s="18"/>
      <c r="H750" s="35"/>
      <c r="I750" s="12"/>
      <c r="M750" s="12"/>
      <c r="N750" s="18"/>
      <c r="O750" s="12"/>
      <c r="P750" s="12"/>
      <c r="Q750" s="12"/>
      <c r="R750" s="36"/>
      <c r="S750" s="36"/>
      <c r="T750" s="12"/>
      <c r="U750" s="12"/>
      <c r="V750" s="12"/>
      <c r="W750" s="12"/>
      <c r="X750" s="12"/>
    </row>
    <row r="751" customFormat="false" ht="15.75" hidden="false" customHeight="false" outlineLevel="0" collapsed="false">
      <c r="A751" s="12"/>
      <c r="B751" s="34"/>
      <c r="C751" s="12"/>
      <c r="D751" s="12"/>
      <c r="E751" s="12"/>
      <c r="F751" s="12"/>
      <c r="G751" s="18"/>
      <c r="H751" s="35"/>
      <c r="I751" s="12"/>
      <c r="M751" s="12"/>
      <c r="N751" s="18"/>
      <c r="O751" s="12"/>
      <c r="P751" s="12"/>
      <c r="Q751" s="12"/>
      <c r="R751" s="36"/>
      <c r="S751" s="36"/>
      <c r="T751" s="12"/>
      <c r="U751" s="12"/>
      <c r="V751" s="12"/>
      <c r="W751" s="12"/>
      <c r="X751" s="12"/>
    </row>
    <row r="752" customFormat="false" ht="15.75" hidden="false" customHeight="false" outlineLevel="0" collapsed="false">
      <c r="A752" s="12"/>
      <c r="B752" s="34"/>
      <c r="C752" s="12"/>
      <c r="D752" s="12"/>
      <c r="E752" s="12"/>
      <c r="F752" s="12"/>
      <c r="G752" s="18"/>
      <c r="H752" s="35"/>
      <c r="I752" s="12"/>
      <c r="M752" s="12"/>
      <c r="N752" s="18"/>
      <c r="O752" s="12"/>
      <c r="P752" s="12"/>
      <c r="Q752" s="12"/>
      <c r="R752" s="36"/>
      <c r="S752" s="36"/>
      <c r="T752" s="12"/>
      <c r="U752" s="12"/>
      <c r="V752" s="12"/>
      <c r="W752" s="12"/>
      <c r="X752" s="12"/>
    </row>
    <row r="753" customFormat="false" ht="15.75" hidden="false" customHeight="false" outlineLevel="0" collapsed="false">
      <c r="A753" s="12"/>
      <c r="B753" s="34"/>
      <c r="C753" s="12"/>
      <c r="D753" s="12"/>
      <c r="E753" s="12"/>
      <c r="F753" s="12"/>
      <c r="G753" s="18"/>
      <c r="H753" s="35"/>
      <c r="I753" s="12"/>
      <c r="M753" s="12"/>
      <c r="N753" s="18"/>
      <c r="O753" s="12"/>
      <c r="P753" s="12"/>
      <c r="Q753" s="12"/>
      <c r="R753" s="36"/>
      <c r="S753" s="36"/>
      <c r="T753" s="12"/>
      <c r="U753" s="12"/>
      <c r="V753" s="12"/>
      <c r="W753" s="12"/>
      <c r="X753" s="12"/>
    </row>
    <row r="754" customFormat="false" ht="15.75" hidden="false" customHeight="false" outlineLevel="0" collapsed="false">
      <c r="A754" s="12"/>
      <c r="B754" s="34"/>
      <c r="C754" s="12"/>
      <c r="D754" s="12"/>
      <c r="E754" s="12"/>
      <c r="F754" s="12"/>
      <c r="G754" s="18"/>
      <c r="H754" s="35"/>
      <c r="I754" s="12"/>
      <c r="M754" s="12"/>
      <c r="N754" s="18"/>
      <c r="O754" s="12"/>
      <c r="P754" s="12"/>
      <c r="Q754" s="12"/>
      <c r="R754" s="36"/>
      <c r="S754" s="36"/>
      <c r="T754" s="12"/>
      <c r="U754" s="12"/>
      <c r="V754" s="12"/>
      <c r="W754" s="12"/>
      <c r="X754" s="12"/>
    </row>
    <row r="755" customFormat="false" ht="15.75" hidden="false" customHeight="false" outlineLevel="0" collapsed="false">
      <c r="A755" s="12"/>
      <c r="B755" s="34"/>
      <c r="C755" s="12"/>
      <c r="D755" s="12"/>
      <c r="E755" s="12"/>
      <c r="F755" s="12"/>
      <c r="G755" s="18"/>
      <c r="H755" s="35"/>
      <c r="I755" s="12"/>
      <c r="M755" s="12"/>
      <c r="N755" s="18"/>
      <c r="O755" s="12"/>
      <c r="P755" s="12"/>
      <c r="Q755" s="12"/>
      <c r="R755" s="36"/>
      <c r="S755" s="36"/>
      <c r="T755" s="12"/>
      <c r="U755" s="12"/>
      <c r="V755" s="12"/>
      <c r="W755" s="12"/>
      <c r="X755" s="12"/>
    </row>
    <row r="756" customFormat="false" ht="15.75" hidden="false" customHeight="false" outlineLevel="0" collapsed="false">
      <c r="A756" s="12"/>
      <c r="B756" s="34"/>
      <c r="C756" s="12"/>
      <c r="D756" s="12"/>
      <c r="E756" s="12"/>
      <c r="F756" s="12"/>
      <c r="G756" s="18"/>
      <c r="H756" s="35"/>
      <c r="I756" s="12"/>
      <c r="M756" s="12"/>
      <c r="N756" s="18"/>
      <c r="O756" s="12"/>
      <c r="P756" s="12"/>
      <c r="Q756" s="12"/>
      <c r="R756" s="36"/>
      <c r="S756" s="36"/>
      <c r="T756" s="12"/>
      <c r="U756" s="12"/>
      <c r="V756" s="12"/>
      <c r="W756" s="12"/>
      <c r="X756" s="12"/>
    </row>
    <row r="757" customFormat="false" ht="15.75" hidden="false" customHeight="false" outlineLevel="0" collapsed="false">
      <c r="A757" s="12"/>
      <c r="B757" s="34"/>
      <c r="C757" s="12"/>
      <c r="D757" s="12"/>
      <c r="E757" s="12"/>
      <c r="F757" s="12"/>
      <c r="G757" s="18"/>
      <c r="H757" s="35"/>
      <c r="I757" s="12"/>
      <c r="M757" s="12"/>
      <c r="N757" s="18"/>
      <c r="O757" s="12"/>
      <c r="P757" s="12"/>
      <c r="Q757" s="12"/>
      <c r="R757" s="36"/>
      <c r="S757" s="36"/>
      <c r="T757" s="12"/>
      <c r="U757" s="12"/>
      <c r="V757" s="12"/>
      <c r="W757" s="12"/>
      <c r="X757" s="12"/>
    </row>
    <row r="758" customFormat="false" ht="15.75" hidden="false" customHeight="false" outlineLevel="0" collapsed="false">
      <c r="A758" s="12"/>
      <c r="B758" s="34"/>
      <c r="C758" s="12"/>
      <c r="D758" s="12"/>
      <c r="E758" s="12"/>
      <c r="F758" s="12"/>
      <c r="G758" s="18"/>
      <c r="H758" s="35"/>
      <c r="I758" s="12"/>
      <c r="M758" s="12"/>
      <c r="N758" s="18"/>
      <c r="O758" s="12"/>
      <c r="P758" s="12"/>
      <c r="Q758" s="12"/>
      <c r="R758" s="36"/>
      <c r="S758" s="36"/>
      <c r="T758" s="12"/>
      <c r="U758" s="12"/>
      <c r="V758" s="12"/>
      <c r="W758" s="12"/>
      <c r="X758" s="12"/>
    </row>
    <row r="759" customFormat="false" ht="15.75" hidden="false" customHeight="false" outlineLevel="0" collapsed="false">
      <c r="A759" s="12"/>
      <c r="B759" s="34"/>
      <c r="C759" s="12"/>
      <c r="D759" s="12"/>
      <c r="E759" s="12"/>
      <c r="F759" s="12"/>
      <c r="G759" s="18"/>
      <c r="H759" s="35"/>
      <c r="I759" s="12"/>
      <c r="M759" s="12"/>
      <c r="N759" s="18"/>
      <c r="O759" s="12"/>
      <c r="P759" s="12"/>
      <c r="Q759" s="12"/>
      <c r="R759" s="36"/>
      <c r="S759" s="36"/>
      <c r="T759" s="12"/>
      <c r="U759" s="12"/>
      <c r="V759" s="12"/>
      <c r="W759" s="12"/>
      <c r="X759" s="12"/>
    </row>
    <row r="760" customFormat="false" ht="15.75" hidden="false" customHeight="false" outlineLevel="0" collapsed="false">
      <c r="A760" s="12"/>
      <c r="B760" s="34"/>
      <c r="C760" s="12"/>
      <c r="D760" s="12"/>
      <c r="E760" s="12"/>
      <c r="F760" s="12"/>
      <c r="G760" s="18"/>
      <c r="H760" s="35"/>
      <c r="I760" s="12"/>
      <c r="M760" s="12"/>
      <c r="N760" s="18"/>
      <c r="O760" s="12"/>
      <c r="P760" s="12"/>
      <c r="Q760" s="12"/>
      <c r="R760" s="36"/>
      <c r="S760" s="36"/>
      <c r="T760" s="12"/>
      <c r="U760" s="12"/>
      <c r="V760" s="12"/>
      <c r="W760" s="12"/>
      <c r="X760" s="12"/>
    </row>
    <row r="761" customFormat="false" ht="15.75" hidden="false" customHeight="false" outlineLevel="0" collapsed="false">
      <c r="A761" s="12"/>
      <c r="B761" s="34"/>
      <c r="C761" s="12"/>
      <c r="D761" s="12"/>
      <c r="E761" s="12"/>
      <c r="F761" s="12"/>
      <c r="G761" s="18"/>
      <c r="H761" s="35"/>
      <c r="I761" s="12"/>
      <c r="M761" s="12"/>
      <c r="N761" s="18"/>
      <c r="O761" s="12"/>
      <c r="P761" s="12"/>
      <c r="Q761" s="12"/>
      <c r="R761" s="36"/>
      <c r="S761" s="36"/>
      <c r="T761" s="12"/>
      <c r="U761" s="12"/>
      <c r="V761" s="12"/>
      <c r="W761" s="12"/>
      <c r="X761" s="12"/>
    </row>
    <row r="762" customFormat="false" ht="15.75" hidden="false" customHeight="false" outlineLevel="0" collapsed="false">
      <c r="A762" s="12"/>
      <c r="B762" s="34"/>
      <c r="C762" s="12"/>
      <c r="D762" s="12"/>
      <c r="E762" s="12"/>
      <c r="F762" s="12"/>
      <c r="G762" s="18"/>
      <c r="H762" s="35"/>
      <c r="I762" s="12"/>
      <c r="M762" s="12"/>
      <c r="N762" s="18"/>
      <c r="O762" s="12"/>
      <c r="P762" s="12"/>
      <c r="Q762" s="12"/>
      <c r="R762" s="36"/>
      <c r="S762" s="36"/>
      <c r="T762" s="12"/>
      <c r="U762" s="12"/>
      <c r="V762" s="12"/>
      <c r="W762" s="12"/>
      <c r="X762" s="12"/>
    </row>
    <row r="763" customFormat="false" ht="15.75" hidden="false" customHeight="false" outlineLevel="0" collapsed="false">
      <c r="A763" s="12"/>
      <c r="B763" s="34"/>
      <c r="C763" s="12"/>
      <c r="D763" s="12"/>
      <c r="E763" s="12"/>
      <c r="F763" s="12"/>
      <c r="G763" s="18"/>
      <c r="H763" s="35"/>
      <c r="I763" s="12"/>
      <c r="M763" s="12"/>
      <c r="N763" s="18"/>
      <c r="O763" s="12"/>
      <c r="P763" s="12"/>
      <c r="Q763" s="12"/>
      <c r="R763" s="36"/>
      <c r="S763" s="36"/>
      <c r="T763" s="12"/>
      <c r="U763" s="12"/>
      <c r="V763" s="12"/>
      <c r="W763" s="12"/>
      <c r="X763" s="12"/>
    </row>
    <row r="764" customFormat="false" ht="15.75" hidden="false" customHeight="false" outlineLevel="0" collapsed="false">
      <c r="A764" s="12"/>
      <c r="B764" s="34"/>
      <c r="C764" s="12"/>
      <c r="D764" s="12"/>
      <c r="E764" s="12"/>
      <c r="F764" s="12"/>
      <c r="G764" s="18"/>
      <c r="H764" s="35"/>
      <c r="I764" s="12"/>
      <c r="M764" s="12"/>
      <c r="N764" s="18"/>
      <c r="O764" s="12"/>
      <c r="P764" s="12"/>
      <c r="Q764" s="12"/>
      <c r="R764" s="36"/>
      <c r="S764" s="36"/>
      <c r="T764" s="12"/>
      <c r="U764" s="12"/>
      <c r="V764" s="12"/>
      <c r="W764" s="12"/>
      <c r="X764" s="12"/>
    </row>
    <row r="765" customFormat="false" ht="15.75" hidden="false" customHeight="false" outlineLevel="0" collapsed="false">
      <c r="A765" s="12"/>
      <c r="B765" s="34"/>
      <c r="C765" s="12"/>
      <c r="D765" s="12"/>
      <c r="E765" s="12"/>
      <c r="F765" s="12"/>
      <c r="G765" s="18"/>
      <c r="H765" s="35"/>
      <c r="I765" s="12"/>
      <c r="M765" s="12"/>
      <c r="N765" s="18"/>
      <c r="O765" s="12"/>
      <c r="P765" s="12"/>
      <c r="Q765" s="12"/>
      <c r="R765" s="36"/>
      <c r="S765" s="36"/>
      <c r="T765" s="12"/>
      <c r="U765" s="12"/>
      <c r="V765" s="12"/>
      <c r="W765" s="12"/>
      <c r="X765" s="12"/>
    </row>
    <row r="766" customFormat="false" ht="15.75" hidden="false" customHeight="false" outlineLevel="0" collapsed="false">
      <c r="A766" s="12"/>
      <c r="B766" s="34"/>
      <c r="C766" s="12"/>
      <c r="D766" s="12"/>
      <c r="E766" s="12"/>
      <c r="F766" s="12"/>
      <c r="G766" s="18"/>
      <c r="H766" s="35"/>
      <c r="I766" s="12"/>
      <c r="M766" s="12"/>
      <c r="N766" s="18"/>
      <c r="O766" s="12"/>
      <c r="P766" s="12"/>
      <c r="Q766" s="12"/>
      <c r="R766" s="36"/>
      <c r="S766" s="36"/>
      <c r="T766" s="12"/>
      <c r="U766" s="12"/>
      <c r="V766" s="12"/>
      <c r="W766" s="12"/>
      <c r="X766" s="12"/>
    </row>
    <row r="767" customFormat="false" ht="15.75" hidden="false" customHeight="false" outlineLevel="0" collapsed="false">
      <c r="A767" s="12"/>
      <c r="B767" s="34"/>
      <c r="C767" s="12"/>
      <c r="D767" s="12"/>
      <c r="E767" s="12"/>
      <c r="F767" s="12"/>
      <c r="G767" s="18"/>
      <c r="H767" s="35"/>
      <c r="I767" s="12"/>
      <c r="M767" s="12"/>
      <c r="N767" s="18"/>
      <c r="O767" s="12"/>
      <c r="P767" s="12"/>
      <c r="Q767" s="12"/>
      <c r="R767" s="36"/>
      <c r="S767" s="36"/>
      <c r="T767" s="12"/>
      <c r="U767" s="12"/>
      <c r="V767" s="12"/>
      <c r="W767" s="12"/>
      <c r="X767" s="12"/>
    </row>
    <row r="768" customFormat="false" ht="15.75" hidden="false" customHeight="false" outlineLevel="0" collapsed="false">
      <c r="A768" s="12"/>
      <c r="B768" s="34"/>
      <c r="C768" s="12"/>
      <c r="D768" s="12"/>
      <c r="E768" s="12"/>
      <c r="F768" s="12"/>
      <c r="G768" s="18"/>
      <c r="H768" s="35"/>
      <c r="I768" s="12"/>
      <c r="M768" s="12"/>
      <c r="N768" s="18"/>
      <c r="O768" s="12"/>
      <c r="P768" s="12"/>
      <c r="Q768" s="12"/>
      <c r="R768" s="36"/>
      <c r="S768" s="36"/>
      <c r="T768" s="12"/>
      <c r="U768" s="12"/>
      <c r="V768" s="12"/>
      <c r="W768" s="12"/>
      <c r="X768" s="12"/>
    </row>
    <row r="769" customFormat="false" ht="15.75" hidden="false" customHeight="false" outlineLevel="0" collapsed="false">
      <c r="A769" s="12"/>
      <c r="B769" s="34"/>
      <c r="C769" s="12"/>
      <c r="D769" s="12"/>
      <c r="E769" s="12"/>
      <c r="F769" s="12"/>
      <c r="G769" s="18"/>
      <c r="H769" s="35"/>
      <c r="I769" s="12"/>
      <c r="M769" s="12"/>
      <c r="N769" s="18"/>
      <c r="O769" s="12"/>
      <c r="P769" s="12"/>
      <c r="Q769" s="12"/>
      <c r="R769" s="36"/>
      <c r="S769" s="36"/>
      <c r="T769" s="12"/>
      <c r="U769" s="12"/>
      <c r="V769" s="12"/>
      <c r="W769" s="12"/>
      <c r="X769" s="12"/>
    </row>
    <row r="770" customFormat="false" ht="15.75" hidden="false" customHeight="false" outlineLevel="0" collapsed="false">
      <c r="A770" s="12"/>
      <c r="B770" s="34"/>
      <c r="C770" s="12"/>
      <c r="D770" s="12"/>
      <c r="E770" s="12"/>
      <c r="F770" s="12"/>
      <c r="G770" s="18"/>
      <c r="H770" s="35"/>
      <c r="I770" s="12"/>
      <c r="M770" s="12"/>
      <c r="N770" s="18"/>
      <c r="O770" s="12"/>
      <c r="P770" s="12"/>
      <c r="Q770" s="12"/>
      <c r="R770" s="36"/>
      <c r="S770" s="36"/>
      <c r="T770" s="12"/>
      <c r="U770" s="12"/>
      <c r="V770" s="12"/>
      <c r="W770" s="12"/>
      <c r="X770" s="12"/>
    </row>
    <row r="771" customFormat="false" ht="15.75" hidden="false" customHeight="false" outlineLevel="0" collapsed="false">
      <c r="A771" s="12"/>
      <c r="B771" s="34"/>
      <c r="C771" s="12"/>
      <c r="D771" s="12"/>
      <c r="E771" s="12"/>
      <c r="F771" s="12"/>
      <c r="G771" s="18"/>
      <c r="H771" s="35"/>
      <c r="I771" s="12"/>
      <c r="M771" s="12"/>
      <c r="N771" s="18"/>
      <c r="O771" s="12"/>
      <c r="P771" s="12"/>
      <c r="Q771" s="12"/>
      <c r="R771" s="36"/>
      <c r="S771" s="36"/>
      <c r="T771" s="12"/>
      <c r="U771" s="12"/>
      <c r="V771" s="12"/>
      <c r="W771" s="12"/>
      <c r="X771" s="12"/>
    </row>
    <row r="772" customFormat="false" ht="15.75" hidden="false" customHeight="false" outlineLevel="0" collapsed="false">
      <c r="A772" s="12"/>
      <c r="B772" s="34"/>
      <c r="C772" s="12"/>
      <c r="D772" s="12"/>
      <c r="E772" s="12"/>
      <c r="F772" s="12"/>
      <c r="G772" s="18"/>
      <c r="H772" s="35"/>
      <c r="I772" s="12"/>
      <c r="M772" s="12"/>
      <c r="N772" s="18"/>
      <c r="O772" s="12"/>
      <c r="P772" s="12"/>
      <c r="Q772" s="12"/>
      <c r="R772" s="36"/>
      <c r="S772" s="36"/>
      <c r="T772" s="12"/>
      <c r="U772" s="12"/>
      <c r="V772" s="12"/>
      <c r="W772" s="12"/>
      <c r="X772" s="12"/>
    </row>
    <row r="773" customFormat="false" ht="15.75" hidden="false" customHeight="false" outlineLevel="0" collapsed="false">
      <c r="A773" s="12"/>
      <c r="B773" s="34"/>
      <c r="C773" s="12"/>
      <c r="D773" s="12"/>
      <c r="E773" s="12"/>
      <c r="F773" s="12"/>
      <c r="G773" s="18"/>
      <c r="H773" s="35"/>
      <c r="I773" s="12"/>
      <c r="M773" s="12"/>
      <c r="N773" s="18"/>
      <c r="O773" s="12"/>
      <c r="P773" s="12"/>
      <c r="Q773" s="12"/>
      <c r="R773" s="36"/>
      <c r="S773" s="36"/>
      <c r="T773" s="12"/>
      <c r="U773" s="12"/>
      <c r="V773" s="12"/>
      <c r="W773" s="12"/>
      <c r="X773" s="12"/>
    </row>
    <row r="774" customFormat="false" ht="15.75" hidden="false" customHeight="false" outlineLevel="0" collapsed="false">
      <c r="A774" s="12"/>
      <c r="B774" s="34"/>
      <c r="C774" s="12"/>
      <c r="D774" s="12"/>
      <c r="E774" s="12"/>
      <c r="F774" s="12"/>
      <c r="G774" s="18"/>
      <c r="H774" s="35"/>
      <c r="I774" s="12"/>
      <c r="M774" s="12"/>
      <c r="N774" s="18"/>
      <c r="O774" s="12"/>
      <c r="P774" s="12"/>
      <c r="Q774" s="12"/>
      <c r="R774" s="36"/>
      <c r="S774" s="36"/>
      <c r="T774" s="12"/>
      <c r="U774" s="12"/>
      <c r="V774" s="12"/>
      <c r="W774" s="12"/>
      <c r="X774" s="12"/>
    </row>
    <row r="775" customFormat="false" ht="15.75" hidden="false" customHeight="false" outlineLevel="0" collapsed="false">
      <c r="A775" s="12"/>
      <c r="B775" s="34"/>
      <c r="C775" s="12"/>
      <c r="D775" s="12"/>
      <c r="E775" s="12"/>
      <c r="F775" s="12"/>
      <c r="G775" s="18"/>
      <c r="H775" s="35"/>
      <c r="I775" s="12"/>
      <c r="M775" s="12"/>
      <c r="N775" s="18"/>
      <c r="O775" s="12"/>
      <c r="P775" s="12"/>
      <c r="Q775" s="12"/>
      <c r="R775" s="36"/>
      <c r="S775" s="36"/>
      <c r="T775" s="12"/>
      <c r="U775" s="12"/>
      <c r="V775" s="12"/>
      <c r="W775" s="12"/>
      <c r="X775" s="12"/>
    </row>
    <row r="1048575" customFormat="false" ht="12.8" hidden="false" customHeight="true" outlineLevel="0" collapsed="false"/>
    <row r="1048576" customFormat="false" ht="12.8" hidden="false" customHeight="true" outlineLevel="0" collapsed="false"/>
  </sheetData>
  <mergeCells count="1">
    <mergeCell ref="A60:F60"/>
  </mergeCells>
  <conditionalFormatting sqref="R2:S775">
    <cfRule type="expression" priority="2" aboveAverage="0" equalAverage="0" bottom="0" percent="0" rank="0" text="" dxfId="0">
      <formula>LEN(TRIM(R2))&gt;0</formula>
    </cfRule>
  </conditionalFormatting>
  <conditionalFormatting sqref="Q2:Q775">
    <cfRule type="expression" priority="3" aboveAverage="0" equalAverage="0" bottom="0" percent="0" rank="0" text="" dxfId="0">
      <formula>LEN(TRIM(Q2))&gt;0</formula>
    </cfRule>
  </conditionalFormatting>
  <conditionalFormatting sqref="G2:G775 N2:N775">
    <cfRule type="containsText" priority="4" operator="containsText" aboveAverage="0" equalAverage="0" bottom="0" percent="0" rank="0" text="x" dxfId="0">
      <formula>NOT(ISERROR(SEARCH("x",G2)))</formula>
    </cfRule>
  </conditionalFormatting>
  <conditionalFormatting sqref="T2:T775">
    <cfRule type="expression" priority="5" aboveAverage="0" equalAverage="0" bottom="0" percent="0" rank="0" text="" dxfId="0">
      <formula>LEN(TRIM(T2))&gt;0</formula>
    </cfRule>
  </conditionalFormatting>
  <conditionalFormatting sqref="W2:W775">
    <cfRule type="expression" priority="6" aboveAverage="0" equalAverage="0" bottom="0" percent="0" rank="0" text="" dxfId="0">
      <formula>LEN(TRIM(W2))&gt;0</formula>
    </cfRule>
  </conditionalFormatting>
  <conditionalFormatting sqref="X2:X775">
    <cfRule type="cellIs" priority="7" operator="equal" aboveAverage="0" equalAverage="0" bottom="0" percent="0" rank="0" text="" dxfId="0">
      <formula>"Completo"</formula>
    </cfRule>
    <cfRule type="cellIs" priority="8" operator="equal" aboveAverage="0" equalAverage="0" bottom="0" percent="0" rank="0" text="" dxfId="1">
      <formula>"No aplica"</formula>
    </cfRule>
  </conditionalFormatting>
  <conditionalFormatting sqref="G2:I775 O2:P775 U2:V775 X2:X775">
    <cfRule type="cellIs" priority="9" operator="equal" aboveAverage="0" equalAverage="0" bottom="0" percent="0" rank="0" text="" dxfId="0">
      <formula>"Completo"</formula>
    </cfRule>
    <cfRule type="cellIs" priority="10" operator="equal" aboveAverage="0" equalAverage="0" bottom="0" percent="0" rank="0" text="" dxfId="1">
      <formula>"No Aplica"</formula>
    </cfRule>
  </conditionalFormatting>
  <dataValidations count="6">
    <dataValidation allowBlank="true" errorStyle="stop" operator="between" showDropDown="false" showErrorMessage="false" showInputMessage="false" sqref="T129:T775" type="list">
      <formula1>LEYENDA!$A$23:$A$24</formula1>
      <formula2>0</formula2>
    </dataValidation>
    <dataValidation allowBlank="true" errorStyle="stop" operator="between" showDropDown="false" showErrorMessage="true" showInputMessage="false" sqref="D2:D59 D61:D775" type="list">
      <formula1>LEYENDA!$B$2:$D$2</formula1>
      <formula2>0</formula2>
    </dataValidation>
    <dataValidation allowBlank="true" errorStyle="stop" operator="between" showDropDown="false" showErrorMessage="false" showInputMessage="false" sqref="R2:R775" type="list">
      <formula1>LEYENDA!$A$15:$A$19</formula1>
      <formula2>0</formula2>
    </dataValidation>
    <dataValidation allowBlank="true" errorStyle="stop" operator="between" showDropDown="false" showErrorMessage="true" showInputMessage="false" sqref="H2:I775 O2:P775 U2:V775 X2:X775" type="list">
      <formula1>LEYENDA!$B$1:$C$1</formula1>
      <formula2>0</formula2>
    </dataValidation>
    <dataValidation allowBlank="true" errorStyle="stop" operator="between" showDropDown="false" showErrorMessage="false" showInputMessage="false" sqref="E2:E59 E61:E775" type="list">
      <formula1>LEYENDA!$A$8:$A$12</formula1>
      <formula2>0</formula2>
    </dataValidation>
    <dataValidation allowBlank="true" errorStyle="stop" operator="between" showDropDown="false" showErrorMessage="false" showInputMessage="false" sqref="T2:T128" type="list">
      <formula1>LEYENDA!$A$23:$A$25</formula1>
      <formula2>0</formula2>
    </dataValidation>
  </dataValidations>
  <hyperlinks>
    <hyperlink ref="P2" r:id="rId1" display="Completo"/>
    <hyperlink ref="U2" r:id="rId2" display="Completo"/>
    <hyperlink ref="V5" r:id="rId3" display="Completo"/>
    <hyperlink ref="P11" r:id="rId4" display="Completo"/>
    <hyperlink ref="U11" r:id="rId5" display="Completo"/>
    <hyperlink ref="V11" r:id="rId6" display="Completo"/>
    <hyperlink ref="P12" r:id="rId7" display="Completo"/>
    <hyperlink ref="U12" r:id="rId8" display="Completo"/>
    <hyperlink ref="V12" r:id="rId9" display="Completo"/>
    <hyperlink ref="U13" r:id="rId10" display="Completo"/>
    <hyperlink ref="V13" r:id="rId11" display="Completo"/>
    <hyperlink ref="P22" r:id="rId12" display="Completo"/>
    <hyperlink ref="U22" r:id="rId13" display="Completo"/>
    <hyperlink ref="V22" r:id="rId14" display="Completo"/>
    <hyperlink ref="U24" r:id="rId15" display="Completo"/>
    <hyperlink ref="V24" r:id="rId16" display="Completo"/>
    <hyperlink ref="U25" r:id="rId17" display="Completo"/>
    <hyperlink ref="V25" r:id="rId18" display="Completo"/>
    <hyperlink ref="U26" r:id="rId19" display="Completo"/>
    <hyperlink ref="V26" r:id="rId20" display="Completo"/>
    <hyperlink ref="U27" r:id="rId21" display="Completo"/>
    <hyperlink ref="V27" r:id="rId22" display="Completo"/>
    <hyperlink ref="U28" r:id="rId23" display="Completo"/>
    <hyperlink ref="V28" r:id="rId24" display="Completo"/>
    <hyperlink ref="U29" r:id="rId25" display="Completo"/>
    <hyperlink ref="V29" r:id="rId26" display="Completo"/>
    <hyperlink ref="U31" r:id="rId27" display="Completo"/>
    <hyperlink ref="V31" r:id="rId28" display="Completo"/>
    <hyperlink ref="U33" r:id="rId29" display="Completo"/>
    <hyperlink ref="V33" r:id="rId30" display="Completo"/>
    <hyperlink ref="U36" r:id="rId31" display="Completo"/>
    <hyperlink ref="V36" r:id="rId32" display="Completo"/>
    <hyperlink ref="U37" r:id="rId33" display="Completo"/>
    <hyperlink ref="V37" r:id="rId34" display="Completo"/>
    <hyperlink ref="U38" r:id="rId35" display="Completo"/>
    <hyperlink ref="V38" r:id="rId36" display="Completo"/>
    <hyperlink ref="U39" r:id="rId37" display="Completo"/>
    <hyperlink ref="V39" r:id="rId38" display="Completo"/>
    <hyperlink ref="O40" r:id="rId39" display="Completo"/>
    <hyperlink ref="P40" r:id="rId40" display="Completo"/>
    <hyperlink ref="U40" r:id="rId41" display="Completo"/>
    <hyperlink ref="V40" r:id="rId42" display="Completo"/>
    <hyperlink ref="U41" r:id="rId43" display="Completo"/>
    <hyperlink ref="V41" r:id="rId44" display="Completo"/>
    <hyperlink ref="P42" r:id="rId45" display="Completo"/>
    <hyperlink ref="U42" r:id="rId46" display="Completo"/>
    <hyperlink ref="V42" r:id="rId47" display="Completo"/>
    <hyperlink ref="U43" r:id="rId48" display="Completo"/>
    <hyperlink ref="V43" r:id="rId49" display="Completo"/>
    <hyperlink ref="U45" r:id="rId50" display="Completo"/>
    <hyperlink ref="V45" r:id="rId51" display="Completo"/>
    <hyperlink ref="U48" r:id="rId52" display="Completo"/>
    <hyperlink ref="V48" r:id="rId53" display="Completo"/>
    <hyperlink ref="U49" r:id="rId54" display="Completo"/>
    <hyperlink ref="V49" r:id="rId55" display="Completo"/>
    <hyperlink ref="U50" r:id="rId56" display="Completo"/>
    <hyperlink ref="V50" r:id="rId57" display="Completo"/>
    <hyperlink ref="U53" r:id="rId58" display="Completo"/>
    <hyperlink ref="V53" r:id="rId59" display="Completo"/>
    <hyperlink ref="U59" r:id="rId60" display="Completo"/>
  </hyperlinks>
  <printOptions headings="false" gridLines="true" gridLinesSet="true" horizontalCentered="true" verticalCentered="false"/>
  <pageMargins left="0.7" right="0.7" top="0.75" bottom="0.75" header="0.511811023622047" footer="0.511811023622047"/>
  <pageSetup paperSize="9" scale="100" fitToWidth="1" fitToHeight="0" pageOrder="overThenDown" orientation="landscape" blackAndWhite="false" draft="false" cellComments="none" horizontalDpi="300" verticalDpi="300" copies="1"/>
  <headerFooter differentFirst="false" differentOddEven="false">
    <oddHeader/>
    <oddFooter/>
  </headerFooter>
  <drawing r:id="rId6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AF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6" ySplit="3" topLeftCell="G4" activePane="bottomRight" state="frozen"/>
      <selection pane="topLeft" activeCell="A1" activeCellId="0" sqref="A1"/>
      <selection pane="topRight" activeCell="G1" activeCellId="0" sqref="G1"/>
      <selection pane="bottomLeft" activeCell="A4" activeCellId="0" sqref="A4"/>
      <selection pane="bottomRight" activeCell="G1" activeCellId="0" sqref="G1"/>
    </sheetView>
  </sheetViews>
  <sheetFormatPr defaultColWidth="12.6328125" defaultRowHeight="15.75" zeroHeight="false" outlineLevelRow="0" outlineLevelCol="0"/>
  <cols>
    <col collapsed="false" customWidth="true" hidden="false" outlineLevel="0" max="1" min="1" style="1" width="10.25"/>
    <col collapsed="false" customWidth="true" hidden="false" outlineLevel="0" max="2" min="2" style="1" width="10.38"/>
    <col collapsed="false" customWidth="true" hidden="false" outlineLevel="0" max="3" min="3" style="1" width="16.89"/>
    <col collapsed="false" customWidth="true" hidden="false" outlineLevel="0" max="4" min="4" style="1" width="11.25"/>
    <col collapsed="false" customWidth="true" hidden="false" outlineLevel="0" max="5" min="5" style="1" width="17.13"/>
    <col collapsed="false" customWidth="true" hidden="false" outlineLevel="0" max="6" min="6" style="1" width="33.75"/>
    <col collapsed="false" customWidth="true" hidden="false" outlineLevel="0" max="7" min="7" style="1" width="15.88"/>
    <col collapsed="false" customWidth="true" hidden="false" outlineLevel="0" max="8" min="8" style="1" width="10.88"/>
    <col collapsed="false" customWidth="true" hidden="false" outlineLevel="0" max="9" min="9" style="1" width="12.88"/>
    <col collapsed="false" customWidth="true" hidden="false" outlineLevel="0" max="10" min="10" style="1" width="12"/>
    <col collapsed="false" customWidth="true" hidden="false" outlineLevel="0" max="11" min="11" style="1" width="10"/>
    <col collapsed="false" customWidth="true" hidden="false" outlineLevel="0" max="12" min="12" style="1" width="12.25"/>
    <col collapsed="false" customWidth="true" hidden="false" outlineLevel="0" max="13" min="13" style="1" width="26.12"/>
    <col collapsed="false" customWidth="true" hidden="false" outlineLevel="0" max="14" min="14" style="1" width="18"/>
    <col collapsed="false" customWidth="true" hidden="false" outlineLevel="0" max="16" min="15" style="1" width="10.63"/>
    <col collapsed="false" customWidth="true" hidden="false" outlineLevel="0" max="17" min="17" style="1" width="8.5"/>
    <col collapsed="false" customWidth="true" hidden="false" outlineLevel="0" max="19" min="19" style="1" width="25.38"/>
    <col collapsed="false" customWidth="true" hidden="false" outlineLevel="0" max="20" min="20" style="1" width="17.88"/>
    <col collapsed="false" customWidth="true" hidden="false" outlineLevel="0" max="21" min="21" style="1" width="10.13"/>
    <col collapsed="false" customWidth="true" hidden="false" outlineLevel="0" max="22" min="22" style="1" width="11.12"/>
    <col collapsed="false" customWidth="true" hidden="false" outlineLevel="0" max="23" min="23" style="1" width="24.88"/>
  </cols>
  <sheetData>
    <row r="1" customFormat="false" ht="68" hidden="false" customHeight="false" outlineLevel="0" collapsed="false">
      <c r="A1" s="2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/>
      <c r="J1" s="4" t="s">
        <v>8</v>
      </c>
      <c r="K1" s="2"/>
      <c r="L1" s="2" t="s">
        <v>9</v>
      </c>
      <c r="M1" s="2" t="s">
        <v>10</v>
      </c>
      <c r="N1" s="4" t="s">
        <v>11</v>
      </c>
      <c r="O1" s="3" t="s">
        <v>12</v>
      </c>
      <c r="P1" s="7" t="s">
        <v>13</v>
      </c>
      <c r="Q1" s="7" t="s">
        <v>14</v>
      </c>
      <c r="R1" s="7" t="s">
        <v>15</v>
      </c>
      <c r="S1" s="7" t="s">
        <v>16</v>
      </c>
      <c r="T1" s="7" t="s">
        <v>17</v>
      </c>
      <c r="U1" s="8" t="s">
        <v>18</v>
      </c>
      <c r="V1" s="9" t="s">
        <v>19</v>
      </c>
      <c r="W1" s="9" t="s">
        <v>20</v>
      </c>
      <c r="X1" s="10" t="s">
        <v>15</v>
      </c>
      <c r="Y1" s="11" t="s">
        <v>21</v>
      </c>
      <c r="Z1" s="11" t="s">
        <v>22</v>
      </c>
      <c r="AA1" s="12"/>
      <c r="AB1" s="12"/>
      <c r="AC1" s="12"/>
      <c r="AD1" s="12"/>
      <c r="AE1" s="12"/>
      <c r="AF1" s="12"/>
    </row>
    <row r="2" customFormat="false" ht="15.75" hidden="false" customHeight="false" outlineLevel="0" collapsed="false">
      <c r="A2" s="61" t="n">
        <v>6797</v>
      </c>
      <c r="B2" s="29" t="n">
        <v>44866</v>
      </c>
      <c r="C2" s="21" t="s">
        <v>82</v>
      </c>
      <c r="D2" s="21" t="s">
        <v>24</v>
      </c>
      <c r="E2" s="21" t="s">
        <v>34</v>
      </c>
      <c r="F2" s="21" t="s">
        <v>2458</v>
      </c>
      <c r="G2" s="30"/>
      <c r="H2" s="31"/>
      <c r="I2" s="21"/>
      <c r="J2" s="21"/>
      <c r="K2" s="21"/>
      <c r="L2" s="21"/>
      <c r="M2" s="21"/>
      <c r="N2" s="30"/>
      <c r="O2" s="21"/>
      <c r="P2" s="21"/>
      <c r="Q2" s="21"/>
      <c r="R2" s="32"/>
      <c r="S2" s="32"/>
      <c r="T2" s="21"/>
      <c r="U2" s="21"/>
      <c r="V2" s="21"/>
      <c r="W2" s="21"/>
      <c r="X2" s="21" t="s">
        <v>28</v>
      </c>
    </row>
    <row r="3" customFormat="false" ht="15.75" hidden="false" customHeight="false" outlineLevel="0" collapsed="false">
      <c r="A3" s="61" t="n">
        <v>6798</v>
      </c>
      <c r="B3" s="29" t="n">
        <v>44866</v>
      </c>
      <c r="C3" s="21" t="s">
        <v>75</v>
      </c>
      <c r="D3" s="21" t="s">
        <v>24</v>
      </c>
      <c r="E3" s="21" t="s">
        <v>25</v>
      </c>
      <c r="F3" s="21" t="s">
        <v>2459</v>
      </c>
      <c r="G3" s="30"/>
      <c r="H3" s="45" t="str">
        <f aca="false">HYPERLINK("https://photos.app.goo.gl/vJ7XGAJv5CXKn6528", "Completo")</f>
        <v>Completo</v>
      </c>
      <c r="I3" s="21" t="s">
        <v>28</v>
      </c>
      <c r="J3" s="21"/>
      <c r="K3" s="21"/>
      <c r="L3" s="21"/>
      <c r="M3" s="21"/>
      <c r="N3" s="30"/>
      <c r="O3" s="21" t="s">
        <v>28</v>
      </c>
      <c r="P3" s="46" t="s">
        <v>28</v>
      </c>
      <c r="Q3" s="21" t="s">
        <v>201</v>
      </c>
      <c r="R3" s="32" t="s">
        <v>58</v>
      </c>
      <c r="S3" s="32" t="s">
        <v>36</v>
      </c>
      <c r="T3" s="21" t="s">
        <v>58</v>
      </c>
      <c r="U3" s="46" t="s">
        <v>28</v>
      </c>
      <c r="V3" s="46" t="s">
        <v>28</v>
      </c>
      <c r="W3" s="21" t="s">
        <v>36</v>
      </c>
      <c r="X3" s="21" t="s">
        <v>28</v>
      </c>
    </row>
    <row r="4" customFormat="false" ht="15.75" hidden="false" customHeight="false" outlineLevel="0" collapsed="false">
      <c r="A4" s="61" t="n">
        <v>6799</v>
      </c>
      <c r="B4" s="29" t="n">
        <v>44866</v>
      </c>
      <c r="C4" s="21" t="s">
        <v>78</v>
      </c>
      <c r="D4" s="21" t="s">
        <v>24</v>
      </c>
      <c r="E4" s="21" t="s">
        <v>25</v>
      </c>
      <c r="F4" s="21" t="s">
        <v>2460</v>
      </c>
      <c r="G4" s="30"/>
      <c r="H4" s="45" t="str">
        <f aca="false">HYPERLINK("https://photos.app.goo.gl/k4WvxrXFv1uyxPY87", "Completo")</f>
        <v>Completo</v>
      </c>
      <c r="I4" s="21" t="s">
        <v>28</v>
      </c>
      <c r="J4" s="21"/>
      <c r="K4" s="21"/>
      <c r="L4" s="21"/>
      <c r="M4" s="21"/>
      <c r="N4" s="30"/>
      <c r="O4" s="21" t="s">
        <v>28</v>
      </c>
      <c r="P4" s="46" t="s">
        <v>28</v>
      </c>
      <c r="Q4" s="21" t="s">
        <v>201</v>
      </c>
      <c r="R4" s="32" t="s">
        <v>2461</v>
      </c>
      <c r="S4" s="32" t="s">
        <v>36</v>
      </c>
      <c r="T4" s="21" t="s">
        <v>58</v>
      </c>
      <c r="U4" s="46" t="s">
        <v>28</v>
      </c>
      <c r="V4" s="46" t="s">
        <v>28</v>
      </c>
      <c r="W4" s="21" t="s">
        <v>36</v>
      </c>
      <c r="X4" s="21" t="s">
        <v>28</v>
      </c>
    </row>
    <row r="5" customFormat="false" ht="15.75" hidden="false" customHeight="false" outlineLevel="0" collapsed="false">
      <c r="A5" s="61" t="n">
        <v>6800</v>
      </c>
      <c r="B5" s="29" t="n">
        <v>44867</v>
      </c>
      <c r="C5" s="21" t="s">
        <v>872</v>
      </c>
      <c r="D5" s="21" t="s">
        <v>24</v>
      </c>
      <c r="E5" s="21" t="s">
        <v>34</v>
      </c>
      <c r="F5" s="21" t="s">
        <v>2462</v>
      </c>
      <c r="G5" s="30"/>
      <c r="H5" s="31"/>
      <c r="I5" s="21"/>
      <c r="J5" s="21"/>
      <c r="K5" s="21"/>
      <c r="L5" s="21"/>
      <c r="M5" s="21"/>
      <c r="N5" s="30"/>
      <c r="O5" s="21"/>
      <c r="P5" s="21"/>
      <c r="Q5" s="21"/>
      <c r="R5" s="32"/>
      <c r="S5" s="32"/>
      <c r="T5" s="21"/>
      <c r="U5" s="21"/>
      <c r="V5" s="21"/>
      <c r="W5" s="21"/>
      <c r="X5" s="21" t="s">
        <v>28</v>
      </c>
    </row>
    <row r="6" customFormat="false" ht="15.75" hidden="false" customHeight="false" outlineLevel="0" collapsed="false">
      <c r="A6" s="61" t="n">
        <v>6801</v>
      </c>
      <c r="B6" s="29" t="n">
        <v>44867</v>
      </c>
      <c r="C6" s="21" t="s">
        <v>2463</v>
      </c>
      <c r="D6" s="21" t="s">
        <v>24</v>
      </c>
      <c r="E6" s="21" t="s">
        <v>34</v>
      </c>
      <c r="F6" s="21" t="s">
        <v>902</v>
      </c>
      <c r="G6" s="30"/>
      <c r="H6" s="31"/>
      <c r="I6" s="21"/>
      <c r="J6" s="21"/>
      <c r="K6" s="21"/>
      <c r="L6" s="21"/>
      <c r="M6" s="21"/>
      <c r="N6" s="30"/>
      <c r="O6" s="21"/>
      <c r="P6" s="66"/>
      <c r="Q6" s="21"/>
      <c r="R6" s="32"/>
      <c r="S6" s="32"/>
      <c r="T6" s="21"/>
      <c r="U6" s="21"/>
      <c r="V6" s="21"/>
      <c r="W6" s="21"/>
      <c r="X6" s="21" t="s">
        <v>28</v>
      </c>
    </row>
    <row r="7" customFormat="false" ht="15.75" hidden="false" customHeight="false" outlineLevel="0" collapsed="false">
      <c r="A7" s="61" t="n">
        <v>6802</v>
      </c>
      <c r="B7" s="29" t="n">
        <v>44867</v>
      </c>
      <c r="C7" s="21" t="s">
        <v>2463</v>
      </c>
      <c r="D7" s="21" t="s">
        <v>24</v>
      </c>
      <c r="E7" s="21" t="s">
        <v>34</v>
      </c>
      <c r="F7" s="21" t="s">
        <v>902</v>
      </c>
      <c r="G7" s="30"/>
      <c r="H7" s="31"/>
      <c r="I7" s="21"/>
      <c r="J7" s="21"/>
      <c r="K7" s="21"/>
      <c r="L7" s="21"/>
      <c r="M7" s="21"/>
      <c r="N7" s="30"/>
      <c r="O7" s="21"/>
      <c r="P7" s="21"/>
      <c r="Q7" s="21"/>
      <c r="R7" s="32"/>
      <c r="S7" s="32"/>
      <c r="T7" s="21"/>
      <c r="U7" s="21"/>
      <c r="V7" s="21"/>
      <c r="W7" s="21"/>
      <c r="X7" s="21" t="s">
        <v>28</v>
      </c>
    </row>
    <row r="8" customFormat="false" ht="15.75" hidden="false" customHeight="false" outlineLevel="0" collapsed="false">
      <c r="A8" s="61" t="n">
        <v>6803</v>
      </c>
      <c r="B8" s="29" t="n">
        <v>44867</v>
      </c>
      <c r="C8" s="21" t="s">
        <v>2463</v>
      </c>
      <c r="D8" s="21" t="s">
        <v>24</v>
      </c>
      <c r="E8" s="21" t="s">
        <v>34</v>
      </c>
      <c r="F8" s="21" t="s">
        <v>2464</v>
      </c>
      <c r="G8" s="30"/>
      <c r="H8" s="31"/>
      <c r="I8" s="21"/>
      <c r="J8" s="21"/>
      <c r="K8" s="21"/>
      <c r="L8" s="21"/>
      <c r="M8" s="21"/>
      <c r="N8" s="30"/>
      <c r="O8" s="21"/>
      <c r="P8" s="21"/>
      <c r="Q8" s="21"/>
      <c r="R8" s="32"/>
      <c r="S8" s="32"/>
      <c r="T8" s="21"/>
      <c r="U8" s="21"/>
      <c r="V8" s="21"/>
      <c r="W8" s="21"/>
      <c r="X8" s="21" t="s">
        <v>28</v>
      </c>
    </row>
    <row r="9" customFormat="false" ht="15.75" hidden="false" customHeight="false" outlineLevel="0" collapsed="false">
      <c r="A9" s="61" t="n">
        <v>6804</v>
      </c>
      <c r="B9" s="29" t="n">
        <v>44867</v>
      </c>
      <c r="C9" s="21" t="s">
        <v>389</v>
      </c>
      <c r="D9" s="21" t="s">
        <v>24</v>
      </c>
      <c r="E9" s="21" t="s">
        <v>25</v>
      </c>
      <c r="F9" s="21" t="s">
        <v>2465</v>
      </c>
      <c r="G9" s="30"/>
      <c r="H9" s="45" t="str">
        <f aca="false">HYPERLINK("https://photos.app.goo.gl/woZ5v9iCvkhHZDSn6", "Completo")</f>
        <v>Completo</v>
      </c>
      <c r="I9" s="21" t="s">
        <v>28</v>
      </c>
      <c r="J9" s="21"/>
      <c r="K9" s="21"/>
      <c r="L9" s="21"/>
      <c r="M9" s="21"/>
      <c r="N9" s="30"/>
      <c r="O9" s="21"/>
      <c r="P9" s="21"/>
      <c r="Q9" s="21"/>
      <c r="R9" s="32"/>
      <c r="S9" s="32"/>
      <c r="T9" s="21"/>
      <c r="U9" s="21"/>
      <c r="V9" s="21"/>
      <c r="W9" s="21"/>
      <c r="X9" s="21" t="s">
        <v>28</v>
      </c>
    </row>
    <row r="10" customFormat="false" ht="15.75" hidden="false" customHeight="false" outlineLevel="0" collapsed="false">
      <c r="A10" s="61" t="n">
        <v>6805</v>
      </c>
      <c r="B10" s="29" t="n">
        <v>44868</v>
      </c>
      <c r="C10" s="21" t="s">
        <v>2466</v>
      </c>
      <c r="D10" s="21" t="s">
        <v>24</v>
      </c>
      <c r="E10" s="21" t="s">
        <v>25</v>
      </c>
      <c r="F10" s="21" t="s">
        <v>2467</v>
      </c>
      <c r="G10" s="30"/>
      <c r="H10" s="45" t="str">
        <f aca="false">HYPERLINK("https://photos.app.goo.gl/ucWpGZZ6NwDoZATv7", "Completo")</f>
        <v>Completo</v>
      </c>
      <c r="I10" s="21" t="s">
        <v>28</v>
      </c>
      <c r="J10" s="21"/>
      <c r="K10" s="21"/>
      <c r="L10" s="21"/>
      <c r="M10" s="21"/>
      <c r="N10" s="30"/>
      <c r="O10" s="21"/>
      <c r="P10" s="21"/>
      <c r="Q10" s="21"/>
      <c r="R10" s="32"/>
      <c r="S10" s="32"/>
      <c r="T10" s="21"/>
      <c r="U10" s="21"/>
      <c r="V10" s="21"/>
      <c r="W10" s="21"/>
      <c r="X10" s="21" t="s">
        <v>28</v>
      </c>
    </row>
    <row r="11" customFormat="false" ht="15.75" hidden="false" customHeight="false" outlineLevel="0" collapsed="false">
      <c r="A11" s="61" t="n">
        <v>6806</v>
      </c>
      <c r="B11" s="29" t="n">
        <v>44868</v>
      </c>
      <c r="C11" s="21" t="s">
        <v>389</v>
      </c>
      <c r="D11" s="21" t="s">
        <v>24</v>
      </c>
      <c r="E11" s="21" t="s">
        <v>25</v>
      </c>
      <c r="F11" s="21" t="s">
        <v>2468</v>
      </c>
      <c r="G11" s="30"/>
      <c r="H11" s="45" t="str">
        <f aca="false">HYPERLINK("https://photos.app.goo.gl/wcvW9L1xFt39oGNT8", "Completo")</f>
        <v>Completo</v>
      </c>
      <c r="I11" s="21" t="s">
        <v>28</v>
      </c>
      <c r="J11" s="21"/>
      <c r="K11" s="21"/>
      <c r="L11" s="21"/>
      <c r="M11" s="21"/>
      <c r="N11" s="30"/>
      <c r="O11" s="21"/>
      <c r="P11" s="66"/>
      <c r="Q11" s="21"/>
      <c r="R11" s="32"/>
      <c r="S11" s="32"/>
      <c r="T11" s="21"/>
      <c r="U11" s="21"/>
      <c r="V11" s="21"/>
      <c r="W11" s="21"/>
      <c r="X11" s="21" t="s">
        <v>28</v>
      </c>
    </row>
    <row r="12" customFormat="false" ht="15.75" hidden="false" customHeight="false" outlineLevel="0" collapsed="false">
      <c r="A12" s="61" t="n">
        <v>6807</v>
      </c>
      <c r="B12" s="29" t="n">
        <v>44869</v>
      </c>
      <c r="C12" s="21" t="s">
        <v>2469</v>
      </c>
      <c r="D12" s="21" t="s">
        <v>24</v>
      </c>
      <c r="E12" s="21" t="s">
        <v>34</v>
      </c>
      <c r="F12" s="21" t="s">
        <v>2470</v>
      </c>
      <c r="G12" s="30"/>
      <c r="H12" s="31"/>
      <c r="I12" s="21"/>
      <c r="J12" s="21"/>
      <c r="K12" s="21"/>
      <c r="L12" s="21"/>
      <c r="M12" s="21"/>
      <c r="N12" s="30"/>
      <c r="O12" s="21"/>
      <c r="P12" s="21"/>
      <c r="Q12" s="21"/>
      <c r="R12" s="32"/>
      <c r="S12" s="32"/>
      <c r="T12" s="21"/>
      <c r="U12" s="66"/>
      <c r="V12" s="66"/>
      <c r="W12" s="21"/>
      <c r="X12" s="21" t="s">
        <v>28</v>
      </c>
    </row>
    <row r="13" customFormat="false" ht="15.75" hidden="false" customHeight="false" outlineLevel="0" collapsed="false">
      <c r="A13" s="63" t="n">
        <v>1275064</v>
      </c>
      <c r="B13" s="29" t="n">
        <v>44868</v>
      </c>
      <c r="C13" s="21" t="s">
        <v>2471</v>
      </c>
      <c r="D13" s="21" t="s">
        <v>290</v>
      </c>
      <c r="E13" s="21" t="s">
        <v>25</v>
      </c>
      <c r="F13" s="21" t="s">
        <v>2472</v>
      </c>
      <c r="G13" s="30"/>
      <c r="H13" s="31" t="s">
        <v>28</v>
      </c>
      <c r="I13" s="21" t="s">
        <v>28</v>
      </c>
      <c r="J13" s="21"/>
      <c r="K13" s="21"/>
      <c r="L13" s="21"/>
      <c r="M13" s="21"/>
      <c r="N13" s="30"/>
      <c r="O13" s="21"/>
      <c r="P13" s="21"/>
      <c r="Q13" s="21"/>
      <c r="R13" s="32"/>
      <c r="S13" s="32"/>
      <c r="T13" s="21"/>
      <c r="U13" s="21"/>
      <c r="V13" s="21"/>
      <c r="W13" s="21"/>
      <c r="X13" s="21" t="s">
        <v>37</v>
      </c>
    </row>
    <row r="14" customFormat="false" ht="15.75" hidden="false" customHeight="false" outlineLevel="0" collapsed="false">
      <c r="A14" s="61" t="n">
        <v>6808</v>
      </c>
      <c r="B14" s="29" t="n">
        <v>44872</v>
      </c>
      <c r="C14" s="21" t="s">
        <v>2473</v>
      </c>
      <c r="D14" s="21" t="s">
        <v>24</v>
      </c>
      <c r="E14" s="21" t="s">
        <v>25</v>
      </c>
      <c r="F14" s="12" t="s">
        <v>2474</v>
      </c>
      <c r="G14" s="30"/>
      <c r="H14" s="45" t="str">
        <f aca="false">HYPERLINK("https://photos.app.goo.gl/GWPd2sisYZ2rqz6D7", "Completo")</f>
        <v>Completo</v>
      </c>
      <c r="I14" s="21" t="s">
        <v>28</v>
      </c>
      <c r="J14" s="21"/>
      <c r="K14" s="21"/>
      <c r="L14" s="21"/>
      <c r="M14" s="21"/>
      <c r="N14" s="30"/>
      <c r="O14" s="21" t="s">
        <v>28</v>
      </c>
      <c r="P14" s="21" t="s">
        <v>28</v>
      </c>
      <c r="Q14" s="21" t="s">
        <v>73</v>
      </c>
      <c r="R14" s="32" t="s">
        <v>74</v>
      </c>
      <c r="S14" s="32" t="s">
        <v>36</v>
      </c>
      <c r="T14" s="21" t="s">
        <v>74</v>
      </c>
      <c r="U14" s="46" t="s">
        <v>28</v>
      </c>
      <c r="V14" s="46" t="s">
        <v>28</v>
      </c>
      <c r="W14" s="21" t="s">
        <v>36</v>
      </c>
      <c r="X14" s="21" t="s">
        <v>28</v>
      </c>
    </row>
    <row r="15" customFormat="false" ht="15.75" hidden="false" customHeight="false" outlineLevel="0" collapsed="false">
      <c r="A15" s="61" t="n">
        <v>6809</v>
      </c>
      <c r="B15" s="29" t="n">
        <v>44872</v>
      </c>
      <c r="C15" s="21" t="s">
        <v>2473</v>
      </c>
      <c r="D15" s="21" t="s">
        <v>24</v>
      </c>
      <c r="E15" s="21" t="s">
        <v>25</v>
      </c>
      <c r="F15" s="21" t="s">
        <v>2475</v>
      </c>
      <c r="G15" s="30"/>
      <c r="H15" s="45" t="str">
        <f aca="false">HYPERLINK("https://photos.app.goo.gl/xnEGvNVRwgFqC2se9", "Completo")</f>
        <v>Completo</v>
      </c>
      <c r="I15" s="21" t="s">
        <v>28</v>
      </c>
      <c r="J15" s="21"/>
      <c r="K15" s="21"/>
      <c r="L15" s="21"/>
      <c r="M15" s="21"/>
      <c r="N15" s="30"/>
      <c r="O15" s="21" t="s">
        <v>28</v>
      </c>
      <c r="P15" s="66" t="s">
        <v>28</v>
      </c>
      <c r="Q15" s="21" t="s">
        <v>73</v>
      </c>
      <c r="R15" s="32" t="s">
        <v>74</v>
      </c>
      <c r="S15" s="32" t="s">
        <v>36</v>
      </c>
      <c r="T15" s="21" t="s">
        <v>74</v>
      </c>
      <c r="U15" s="46" t="s">
        <v>28</v>
      </c>
      <c r="V15" s="46" t="s">
        <v>28</v>
      </c>
      <c r="W15" s="21" t="s">
        <v>36</v>
      </c>
      <c r="X15" s="21" t="s">
        <v>28</v>
      </c>
    </row>
    <row r="16" customFormat="false" ht="15.75" hidden="false" customHeight="false" outlineLevel="0" collapsed="false">
      <c r="A16" s="61" t="n">
        <v>6810</v>
      </c>
      <c r="B16" s="29" t="n">
        <v>44872</v>
      </c>
      <c r="C16" s="21" t="s">
        <v>274</v>
      </c>
      <c r="D16" s="21" t="s">
        <v>24</v>
      </c>
      <c r="E16" s="21" t="s">
        <v>34</v>
      </c>
      <c r="F16" s="21" t="s">
        <v>2476</v>
      </c>
      <c r="G16" s="30"/>
      <c r="H16" s="31"/>
      <c r="I16" s="21"/>
      <c r="J16" s="21"/>
      <c r="K16" s="21"/>
      <c r="L16" s="21"/>
      <c r="M16" s="21"/>
      <c r="N16" s="30"/>
      <c r="O16" s="21"/>
      <c r="P16" s="66"/>
      <c r="Q16" s="21"/>
      <c r="R16" s="32"/>
      <c r="S16" s="32"/>
      <c r="T16" s="21"/>
      <c r="U16" s="21"/>
      <c r="V16" s="21"/>
      <c r="W16" s="21"/>
      <c r="X16" s="21" t="s">
        <v>28</v>
      </c>
    </row>
    <row r="17" customFormat="false" ht="15.75" hidden="false" customHeight="false" outlineLevel="0" collapsed="false">
      <c r="A17" s="61" t="n">
        <v>6811</v>
      </c>
      <c r="B17" s="29" t="n">
        <v>44873</v>
      </c>
      <c r="C17" s="21" t="s">
        <v>2477</v>
      </c>
      <c r="D17" s="21" t="s">
        <v>24</v>
      </c>
      <c r="E17" s="21" t="s">
        <v>25</v>
      </c>
      <c r="F17" s="21" t="s">
        <v>2478</v>
      </c>
      <c r="G17" s="30"/>
      <c r="H17" s="31" t="s">
        <v>28</v>
      </c>
      <c r="I17" s="21" t="s">
        <v>28</v>
      </c>
      <c r="J17" s="21"/>
      <c r="K17" s="21"/>
      <c r="L17" s="21"/>
      <c r="M17" s="21"/>
      <c r="N17" s="30"/>
      <c r="O17" s="21"/>
      <c r="P17" s="21"/>
      <c r="Q17" s="21"/>
      <c r="R17" s="32"/>
      <c r="S17" s="32"/>
      <c r="T17" s="21"/>
      <c r="U17" s="66"/>
      <c r="V17" s="66"/>
      <c r="W17" s="21"/>
      <c r="X17" s="21" t="s">
        <v>28</v>
      </c>
    </row>
    <row r="18" customFormat="false" ht="15.75" hidden="false" customHeight="false" outlineLevel="0" collapsed="false">
      <c r="A18" s="61" t="n">
        <v>6812</v>
      </c>
      <c r="B18" s="29" t="n">
        <v>44873</v>
      </c>
      <c r="C18" s="21" t="s">
        <v>2477</v>
      </c>
      <c r="D18" s="21" t="s">
        <v>24</v>
      </c>
      <c r="E18" s="21" t="s">
        <v>25</v>
      </c>
      <c r="F18" s="21" t="s">
        <v>2479</v>
      </c>
      <c r="G18" s="30"/>
      <c r="H18" s="45" t="str">
        <f aca="false">HYPERLINK("https://photos.app.goo.gl/TWGuQRgRB7ME2hxa9", "Completo")</f>
        <v>Completo</v>
      </c>
      <c r="I18" s="21" t="s">
        <v>28</v>
      </c>
      <c r="J18" s="21"/>
      <c r="K18" s="21"/>
      <c r="L18" s="21"/>
      <c r="M18" s="21"/>
      <c r="N18" s="30"/>
      <c r="O18" s="21"/>
      <c r="P18" s="21"/>
      <c r="Q18" s="21"/>
      <c r="R18" s="32"/>
      <c r="S18" s="32"/>
      <c r="T18" s="21"/>
      <c r="U18" s="21"/>
      <c r="V18" s="21"/>
      <c r="W18" s="21"/>
      <c r="X18" s="21" t="s">
        <v>28</v>
      </c>
    </row>
    <row r="19" customFormat="false" ht="21" hidden="false" customHeight="true" outlineLevel="0" collapsed="false">
      <c r="A19" s="61" t="n">
        <v>6813</v>
      </c>
      <c r="B19" s="29" t="n">
        <v>44873</v>
      </c>
      <c r="C19" s="21" t="s">
        <v>2477</v>
      </c>
      <c r="D19" s="21" t="s">
        <v>24</v>
      </c>
      <c r="E19" s="21" t="s">
        <v>25</v>
      </c>
      <c r="F19" s="21" t="s">
        <v>2479</v>
      </c>
      <c r="G19" s="30"/>
      <c r="H19" s="31" t="s">
        <v>28</v>
      </c>
      <c r="I19" s="21" t="s">
        <v>28</v>
      </c>
      <c r="J19" s="21"/>
      <c r="K19" s="21"/>
      <c r="L19" s="21"/>
      <c r="M19" s="21"/>
      <c r="N19" s="30"/>
      <c r="O19" s="21"/>
      <c r="P19" s="21"/>
      <c r="Q19" s="21"/>
      <c r="R19" s="32"/>
      <c r="S19" s="32"/>
      <c r="T19" s="21"/>
      <c r="U19" s="21"/>
      <c r="V19" s="21"/>
      <c r="W19" s="21"/>
      <c r="X19" s="21" t="s">
        <v>28</v>
      </c>
    </row>
    <row r="20" customFormat="false" ht="15.75" hidden="false" customHeight="false" outlineLevel="0" collapsed="false">
      <c r="A20" s="61" t="n">
        <v>6814</v>
      </c>
      <c r="B20" s="29" t="n">
        <v>44873</v>
      </c>
      <c r="C20" s="21" t="s">
        <v>2477</v>
      </c>
      <c r="D20" s="21" t="s">
        <v>24</v>
      </c>
      <c r="E20" s="21" t="s">
        <v>25</v>
      </c>
      <c r="F20" s="21" t="s">
        <v>2480</v>
      </c>
      <c r="G20" s="30"/>
      <c r="H20" s="31" t="s">
        <v>28</v>
      </c>
      <c r="I20" s="21" t="s">
        <v>28</v>
      </c>
      <c r="J20" s="21"/>
      <c r="K20" s="21"/>
      <c r="L20" s="21"/>
      <c r="M20" s="21"/>
      <c r="N20" s="30"/>
      <c r="O20" s="21"/>
      <c r="P20" s="21"/>
      <c r="Q20" s="21"/>
      <c r="R20" s="32"/>
      <c r="S20" s="32"/>
      <c r="T20" s="21"/>
      <c r="U20" s="21"/>
      <c r="V20" s="21"/>
      <c r="W20" s="21"/>
      <c r="X20" s="21" t="s">
        <v>28</v>
      </c>
    </row>
    <row r="21" customFormat="false" ht="15.75" hidden="false" customHeight="false" outlineLevel="0" collapsed="false">
      <c r="A21" s="61" t="n">
        <v>6815</v>
      </c>
      <c r="B21" s="29" t="n">
        <v>44874</v>
      </c>
      <c r="C21" s="21" t="s">
        <v>133</v>
      </c>
      <c r="D21" s="21" t="s">
        <v>24</v>
      </c>
      <c r="E21" s="21" t="s">
        <v>25</v>
      </c>
      <c r="F21" s="21" t="s">
        <v>2481</v>
      </c>
      <c r="G21" s="30" t="s">
        <v>2482</v>
      </c>
      <c r="H21" s="45" t="str">
        <f aca="false">HYPERLINK("https://photos.app.goo.gl/H8VyT9uC8fjWH5re6", "Completo")</f>
        <v>Completo</v>
      </c>
      <c r="I21" s="21" t="s">
        <v>28</v>
      </c>
      <c r="J21" s="21"/>
      <c r="K21" s="21"/>
      <c r="L21" s="21"/>
      <c r="M21" s="21"/>
      <c r="N21" s="30"/>
      <c r="O21" s="21"/>
      <c r="P21" s="21"/>
      <c r="Q21" s="21"/>
      <c r="R21" s="32"/>
      <c r="S21" s="32"/>
      <c r="T21" s="21" t="s">
        <v>58</v>
      </c>
      <c r="U21" s="46" t="s">
        <v>28</v>
      </c>
      <c r="V21" s="21" t="s">
        <v>28</v>
      </c>
      <c r="W21" s="21" t="s">
        <v>36</v>
      </c>
      <c r="X21" s="21" t="s">
        <v>28</v>
      </c>
    </row>
    <row r="22" customFormat="false" ht="15.75" hidden="false" customHeight="false" outlineLevel="0" collapsed="false">
      <c r="A22" s="61" t="n">
        <v>6816</v>
      </c>
      <c r="B22" s="29" t="n">
        <v>44874</v>
      </c>
      <c r="C22" s="21" t="s">
        <v>133</v>
      </c>
      <c r="D22" s="21" t="s">
        <v>24</v>
      </c>
      <c r="E22" s="21" t="s">
        <v>25</v>
      </c>
      <c r="F22" s="21" t="s">
        <v>2483</v>
      </c>
      <c r="G22" s="30" t="s">
        <v>2484</v>
      </c>
      <c r="H22" s="45" t="str">
        <f aca="false">HYPERLINK("https://photos.app.goo.gl/zqQ433cDVMcgYdQX6", "Completo")</f>
        <v>Completo</v>
      </c>
      <c r="I22" s="21" t="s">
        <v>28</v>
      </c>
      <c r="J22" s="21"/>
      <c r="K22" s="21"/>
      <c r="L22" s="21"/>
      <c r="M22" s="21"/>
      <c r="N22" s="30"/>
      <c r="O22" s="21"/>
      <c r="P22" s="21"/>
      <c r="Q22" s="21"/>
      <c r="R22" s="32"/>
      <c r="S22" s="32"/>
      <c r="T22" s="21" t="s">
        <v>74</v>
      </c>
      <c r="U22" s="46" t="s">
        <v>28</v>
      </c>
      <c r="V22" s="46" t="s">
        <v>28</v>
      </c>
      <c r="W22" s="21" t="s">
        <v>36</v>
      </c>
      <c r="X22" s="21" t="s">
        <v>28</v>
      </c>
    </row>
    <row r="23" customFormat="false" ht="15.75" hidden="false" customHeight="false" outlineLevel="0" collapsed="false">
      <c r="A23" s="61" t="n">
        <v>6817</v>
      </c>
      <c r="B23" s="29" t="n">
        <v>44874</v>
      </c>
      <c r="C23" s="21" t="s">
        <v>1328</v>
      </c>
      <c r="D23" s="21" t="s">
        <v>24</v>
      </c>
      <c r="E23" s="21" t="s">
        <v>34</v>
      </c>
      <c r="F23" s="21" t="s">
        <v>2485</v>
      </c>
      <c r="G23" s="30"/>
      <c r="H23" s="31"/>
      <c r="I23" s="21"/>
      <c r="J23" s="21"/>
      <c r="K23" s="21"/>
      <c r="L23" s="21"/>
      <c r="M23" s="21"/>
      <c r="N23" s="30"/>
      <c r="O23" s="21"/>
      <c r="P23" s="21"/>
      <c r="Q23" s="21"/>
      <c r="R23" s="32"/>
      <c r="S23" s="32"/>
      <c r="T23" s="21"/>
      <c r="U23" s="21"/>
      <c r="V23" s="21"/>
      <c r="W23" s="21"/>
      <c r="X23" s="21" t="s">
        <v>28</v>
      </c>
    </row>
    <row r="24" customFormat="false" ht="15.75" hidden="false" customHeight="false" outlineLevel="0" collapsed="false">
      <c r="A24" s="61" t="n">
        <v>6818</v>
      </c>
      <c r="B24" s="29" t="n">
        <v>44874</v>
      </c>
      <c r="C24" s="21" t="s">
        <v>389</v>
      </c>
      <c r="D24" s="21" t="s">
        <v>24</v>
      </c>
      <c r="E24" s="21" t="s">
        <v>34</v>
      </c>
      <c r="F24" s="21" t="s">
        <v>2486</v>
      </c>
      <c r="G24" s="30"/>
      <c r="H24" s="31"/>
      <c r="I24" s="21"/>
      <c r="J24" s="21"/>
      <c r="K24" s="21"/>
      <c r="L24" s="21"/>
      <c r="M24" s="21"/>
      <c r="N24" s="30"/>
      <c r="O24" s="21"/>
      <c r="P24" s="21"/>
      <c r="Q24" s="21"/>
      <c r="R24" s="32"/>
      <c r="S24" s="32"/>
      <c r="T24" s="21"/>
      <c r="U24" s="21"/>
      <c r="V24" s="21"/>
      <c r="W24" s="21"/>
      <c r="X24" s="21" t="s">
        <v>28</v>
      </c>
    </row>
    <row r="25" customFormat="false" ht="15.75" hidden="false" customHeight="false" outlineLevel="0" collapsed="false">
      <c r="A25" s="61" t="n">
        <v>6819</v>
      </c>
      <c r="B25" s="29" t="n">
        <v>44875</v>
      </c>
      <c r="C25" s="21" t="s">
        <v>389</v>
      </c>
      <c r="D25" s="21" t="s">
        <v>24</v>
      </c>
      <c r="E25" s="21" t="s">
        <v>25</v>
      </c>
      <c r="F25" s="21" t="s">
        <v>2487</v>
      </c>
      <c r="G25" s="30" t="s">
        <v>2488</v>
      </c>
      <c r="H25" s="45" t="str">
        <f aca="false">HYPERLINK("https://photos.app.goo.gl/ZVr1ubp74zQPtdwy9", "Completo")</f>
        <v>Completo</v>
      </c>
      <c r="I25" s="21" t="s">
        <v>28</v>
      </c>
      <c r="J25" s="21"/>
      <c r="K25" s="21"/>
      <c r="L25" s="21"/>
      <c r="M25" s="21"/>
      <c r="N25" s="30"/>
      <c r="O25" s="21"/>
      <c r="P25" s="21"/>
      <c r="Q25" s="21"/>
      <c r="R25" s="32"/>
      <c r="S25" s="32"/>
      <c r="T25" s="21"/>
      <c r="U25" s="21"/>
      <c r="V25" s="21"/>
      <c r="W25" s="21"/>
      <c r="X25" s="21" t="s">
        <v>28</v>
      </c>
    </row>
    <row r="26" customFormat="false" ht="15.75" hidden="false" customHeight="false" outlineLevel="0" collapsed="false">
      <c r="A26" s="61" t="n">
        <v>6820</v>
      </c>
      <c r="B26" s="29" t="n">
        <v>44875</v>
      </c>
      <c r="C26" s="21" t="s">
        <v>2489</v>
      </c>
      <c r="D26" s="21" t="s">
        <v>24</v>
      </c>
      <c r="E26" s="21" t="s">
        <v>25</v>
      </c>
      <c r="F26" s="21" t="s">
        <v>2383</v>
      </c>
      <c r="G26" s="30" t="s">
        <v>2490</v>
      </c>
      <c r="H26" s="45" t="str">
        <f aca="false">HYPERLINK("https://photos.app.goo.gl/i2LxzTvfwe7LAajz5", "Completo")</f>
        <v>Completo</v>
      </c>
      <c r="I26" s="21" t="s">
        <v>28</v>
      </c>
      <c r="J26" s="21"/>
      <c r="K26" s="21"/>
      <c r="L26" s="21"/>
      <c r="M26" s="21"/>
      <c r="N26" s="30"/>
      <c r="O26" s="21"/>
      <c r="P26" s="21"/>
      <c r="Q26" s="21"/>
      <c r="R26" s="32"/>
      <c r="S26" s="32"/>
      <c r="T26" s="21"/>
      <c r="U26" s="66"/>
      <c r="V26" s="66"/>
      <c r="W26" s="21"/>
      <c r="X26" s="21" t="s">
        <v>28</v>
      </c>
    </row>
    <row r="27" customFormat="false" ht="15.75" hidden="false" customHeight="false" outlineLevel="0" collapsed="false">
      <c r="A27" s="61" t="n">
        <v>6821</v>
      </c>
      <c r="B27" s="29" t="n">
        <v>44875</v>
      </c>
      <c r="C27" s="21" t="s">
        <v>2491</v>
      </c>
      <c r="D27" s="21" t="s">
        <v>24</v>
      </c>
      <c r="E27" s="21" t="s">
        <v>25</v>
      </c>
      <c r="F27" s="21" t="s">
        <v>2492</v>
      </c>
      <c r="G27" s="30" t="s">
        <v>2493</v>
      </c>
      <c r="H27" s="45" t="str">
        <f aca="false">HYPERLINK("https://photos.app.goo.gl/QaPZDBEXNUD1sM8a6", "Completo")</f>
        <v>Completo</v>
      </c>
      <c r="I27" s="21" t="s">
        <v>28</v>
      </c>
      <c r="J27" s="21"/>
      <c r="K27" s="21"/>
      <c r="L27" s="21"/>
      <c r="M27" s="21"/>
      <c r="N27" s="30"/>
      <c r="O27" s="21"/>
      <c r="P27" s="21"/>
      <c r="Q27" s="21"/>
      <c r="R27" s="32"/>
      <c r="S27" s="32"/>
      <c r="T27" s="21"/>
      <c r="U27" s="21"/>
      <c r="V27" s="21"/>
      <c r="W27" s="21"/>
      <c r="X27" s="21" t="s">
        <v>28</v>
      </c>
    </row>
    <row r="28" customFormat="false" ht="15.75" hidden="false" customHeight="false" outlineLevel="0" collapsed="false">
      <c r="A28" s="61" t="n">
        <v>6822</v>
      </c>
      <c r="B28" s="29" t="n">
        <v>44875</v>
      </c>
      <c r="C28" s="21" t="s">
        <v>841</v>
      </c>
      <c r="D28" s="21" t="s">
        <v>578</v>
      </c>
      <c r="E28" s="21" t="s">
        <v>25</v>
      </c>
      <c r="F28" s="21" t="s">
        <v>2494</v>
      </c>
      <c r="G28" s="30"/>
      <c r="H28" s="45" t="str">
        <f aca="false">HYPERLINK("https://photos.app.goo.gl/HSkKpGFEBG6e91Q48", "Completo")</f>
        <v>Completo</v>
      </c>
      <c r="I28" s="21" t="s">
        <v>28</v>
      </c>
      <c r="J28" s="21"/>
      <c r="K28" s="21"/>
      <c r="L28" s="21"/>
      <c r="M28" s="21"/>
      <c r="N28" s="30"/>
      <c r="O28" s="21"/>
      <c r="P28" s="21"/>
      <c r="Q28" s="21"/>
      <c r="R28" s="32"/>
      <c r="S28" s="32"/>
      <c r="T28" s="21" t="s">
        <v>74</v>
      </c>
      <c r="U28" s="46" t="s">
        <v>28</v>
      </c>
      <c r="V28" s="46" t="s">
        <v>28</v>
      </c>
      <c r="W28" s="21" t="s">
        <v>36</v>
      </c>
      <c r="X28" s="21" t="s">
        <v>28</v>
      </c>
    </row>
    <row r="29" customFormat="false" ht="15.75" hidden="false" customHeight="false" outlineLevel="0" collapsed="false">
      <c r="A29" s="61" t="n">
        <v>6823</v>
      </c>
      <c r="B29" s="29" t="n">
        <v>44875</v>
      </c>
      <c r="C29" s="21" t="s">
        <v>613</v>
      </c>
      <c r="D29" s="21" t="s">
        <v>24</v>
      </c>
      <c r="E29" s="21" t="s">
        <v>34</v>
      </c>
      <c r="F29" s="21" t="s">
        <v>2495</v>
      </c>
      <c r="G29" s="30"/>
      <c r="H29" s="31"/>
      <c r="I29" s="21"/>
      <c r="J29" s="21"/>
      <c r="K29" s="21"/>
      <c r="L29" s="21"/>
      <c r="M29" s="21"/>
      <c r="N29" s="30"/>
      <c r="O29" s="21"/>
      <c r="P29" s="21"/>
      <c r="Q29" s="21"/>
      <c r="R29" s="32"/>
      <c r="S29" s="32"/>
      <c r="T29" s="21"/>
      <c r="U29" s="21"/>
      <c r="V29" s="21"/>
      <c r="W29" s="21"/>
      <c r="X29" s="21" t="s">
        <v>28</v>
      </c>
    </row>
    <row r="30" customFormat="false" ht="15.75" hidden="false" customHeight="false" outlineLevel="0" collapsed="false">
      <c r="A30" s="61" t="n">
        <v>6824</v>
      </c>
      <c r="B30" s="29" t="n">
        <v>44876</v>
      </c>
      <c r="C30" s="21" t="s">
        <v>1290</v>
      </c>
      <c r="D30" s="21" t="s">
        <v>24</v>
      </c>
      <c r="E30" s="21" t="s">
        <v>25</v>
      </c>
      <c r="F30" s="21" t="s">
        <v>2496</v>
      </c>
      <c r="G30" s="30" t="s">
        <v>2497</v>
      </c>
      <c r="H30" s="45" t="str">
        <f aca="false">HYPERLINK("https://photos.app.goo.gl/GrBZGDyXnGkTpKW18", "Completo")</f>
        <v>Completo</v>
      </c>
      <c r="I30" s="21" t="s">
        <v>28</v>
      </c>
      <c r="J30" s="21"/>
      <c r="K30" s="21"/>
      <c r="L30" s="21"/>
      <c r="M30" s="21"/>
      <c r="N30" s="30"/>
      <c r="O30" s="21" t="s">
        <v>28</v>
      </c>
      <c r="P30" s="46" t="s">
        <v>28</v>
      </c>
      <c r="Q30" s="21" t="s">
        <v>73</v>
      </c>
      <c r="R30" s="32" t="s">
        <v>74</v>
      </c>
      <c r="S30" s="32" t="s">
        <v>36</v>
      </c>
      <c r="T30" s="21" t="s">
        <v>74</v>
      </c>
      <c r="U30" s="46" t="s">
        <v>28</v>
      </c>
      <c r="V30" s="46" t="s">
        <v>28</v>
      </c>
      <c r="W30" s="21" t="s">
        <v>36</v>
      </c>
      <c r="X30" s="21" t="s">
        <v>28</v>
      </c>
    </row>
    <row r="31" customFormat="false" ht="15.75" hidden="false" customHeight="false" outlineLevel="0" collapsed="false">
      <c r="A31" s="61" t="n">
        <v>6825</v>
      </c>
      <c r="B31" s="29" t="n">
        <v>44876</v>
      </c>
      <c r="C31" s="21" t="s">
        <v>1290</v>
      </c>
      <c r="D31" s="21" t="s">
        <v>290</v>
      </c>
      <c r="E31" s="21" t="s">
        <v>25</v>
      </c>
      <c r="F31" s="21" t="s">
        <v>2498</v>
      </c>
      <c r="G31" s="30"/>
      <c r="H31" s="45" t="str">
        <f aca="false">HYPERLINK("https://photos.app.goo.gl/ecsAE1DYtybqAQuR6", "Completo")</f>
        <v>Completo</v>
      </c>
      <c r="I31" s="21"/>
      <c r="J31" s="21"/>
      <c r="K31" s="21"/>
      <c r="L31" s="21"/>
      <c r="M31" s="21"/>
      <c r="N31" s="30"/>
      <c r="O31" s="21"/>
      <c r="P31" s="66"/>
      <c r="Q31" s="21"/>
      <c r="R31" s="32"/>
      <c r="S31" s="32"/>
      <c r="T31" s="21"/>
      <c r="U31" s="21"/>
      <c r="V31" s="21"/>
      <c r="W31" s="21"/>
      <c r="X31" s="21" t="s">
        <v>28</v>
      </c>
    </row>
    <row r="32" customFormat="false" ht="15.75" hidden="false" customHeight="false" outlineLevel="0" collapsed="false">
      <c r="A32" s="61" t="n">
        <v>6826</v>
      </c>
      <c r="B32" s="29" t="n">
        <v>44876</v>
      </c>
      <c r="C32" s="21" t="s">
        <v>893</v>
      </c>
      <c r="D32" s="21" t="s">
        <v>24</v>
      </c>
      <c r="E32" s="21" t="s">
        <v>25</v>
      </c>
      <c r="F32" s="21" t="s">
        <v>2499</v>
      </c>
      <c r="G32" s="30"/>
      <c r="H32" s="45" t="str">
        <f aca="false">HYPERLINK("https://photos.app.goo.gl/8TSLVG2xBKYdSHHAA", "Completo")</f>
        <v>Completo</v>
      </c>
      <c r="I32" s="21"/>
      <c r="J32" s="21"/>
      <c r="K32" s="21"/>
      <c r="L32" s="21"/>
      <c r="M32" s="21"/>
      <c r="N32" s="30"/>
      <c r="O32" s="21"/>
      <c r="P32" s="21"/>
      <c r="Q32" s="21"/>
      <c r="R32" s="32"/>
      <c r="S32" s="32"/>
      <c r="T32" s="21"/>
      <c r="U32" s="21"/>
      <c r="V32" s="21"/>
      <c r="W32" s="21"/>
      <c r="X32" s="21" t="s">
        <v>28</v>
      </c>
    </row>
    <row r="33" customFormat="false" ht="15.75" hidden="false" customHeight="false" outlineLevel="0" collapsed="false">
      <c r="A33" s="61" t="n">
        <v>6827</v>
      </c>
      <c r="B33" s="29" t="n">
        <v>44876</v>
      </c>
      <c r="C33" s="21" t="s">
        <v>893</v>
      </c>
      <c r="D33" s="21" t="s">
        <v>24</v>
      </c>
      <c r="E33" s="21" t="s">
        <v>25</v>
      </c>
      <c r="F33" s="21" t="s">
        <v>2500</v>
      </c>
      <c r="G33" s="30"/>
      <c r="H33" s="45" t="str">
        <f aca="false">HYPERLINK("https://photos.app.goo.gl/abN5aRFPfUWNES8C7", "Completo")</f>
        <v>Completo</v>
      </c>
      <c r="I33" s="21"/>
      <c r="J33" s="21"/>
      <c r="K33" s="21"/>
      <c r="L33" s="67"/>
      <c r="M33" s="21"/>
      <c r="N33" s="30"/>
      <c r="O33" s="21"/>
      <c r="P33" s="21"/>
      <c r="Q33" s="21"/>
      <c r="R33" s="32"/>
      <c r="S33" s="32"/>
      <c r="T33" s="21"/>
      <c r="U33" s="21"/>
      <c r="V33" s="21"/>
      <c r="W33" s="21"/>
      <c r="X33" s="21" t="s">
        <v>28</v>
      </c>
    </row>
    <row r="34" customFormat="false" ht="15.75" hidden="false" customHeight="false" outlineLevel="0" collapsed="false">
      <c r="A34" s="61" t="n">
        <v>6828</v>
      </c>
      <c r="B34" s="29" t="n">
        <v>44876</v>
      </c>
      <c r="C34" s="21" t="s">
        <v>893</v>
      </c>
      <c r="D34" s="21" t="s">
        <v>24</v>
      </c>
      <c r="E34" s="21" t="s">
        <v>25</v>
      </c>
      <c r="F34" s="21" t="s">
        <v>2501</v>
      </c>
      <c r="G34" s="30"/>
      <c r="H34" s="45" t="str">
        <f aca="false">HYPERLINK("https://photos.app.goo.gl/UobK3T2sKYiKNVfj8", "Completo")</f>
        <v>Completo</v>
      </c>
      <c r="I34" s="21"/>
      <c r="J34" s="21"/>
      <c r="K34" s="21"/>
      <c r="L34" s="21"/>
      <c r="M34" s="21"/>
      <c r="N34" s="30"/>
      <c r="O34" s="21"/>
      <c r="P34" s="21"/>
      <c r="Q34" s="21"/>
      <c r="R34" s="32"/>
      <c r="S34" s="32"/>
      <c r="T34" s="21"/>
      <c r="U34" s="21"/>
      <c r="V34" s="21"/>
      <c r="W34" s="21"/>
      <c r="X34" s="21" t="s">
        <v>28</v>
      </c>
    </row>
    <row r="35" customFormat="false" ht="15.75" hidden="false" customHeight="false" outlineLevel="0" collapsed="false">
      <c r="A35" s="61" t="n">
        <v>6829</v>
      </c>
      <c r="B35" s="29" t="n">
        <v>44876</v>
      </c>
      <c r="C35" s="21" t="s">
        <v>893</v>
      </c>
      <c r="D35" s="21" t="s">
        <v>24</v>
      </c>
      <c r="E35" s="21" t="s">
        <v>25</v>
      </c>
      <c r="F35" s="21" t="s">
        <v>2502</v>
      </c>
      <c r="G35" s="69"/>
      <c r="H35" s="31" t="s">
        <v>28</v>
      </c>
      <c r="I35" s="21"/>
      <c r="J35" s="21"/>
      <c r="K35" s="21"/>
      <c r="L35" s="21"/>
      <c r="M35" s="21"/>
      <c r="N35" s="30"/>
      <c r="O35" s="21"/>
      <c r="P35" s="21"/>
      <c r="Q35" s="21"/>
      <c r="R35" s="32"/>
      <c r="S35" s="32"/>
      <c r="T35" s="21"/>
      <c r="U35" s="21"/>
      <c r="V35" s="21"/>
      <c r="W35" s="21"/>
      <c r="X35" s="21" t="s">
        <v>28</v>
      </c>
    </row>
    <row r="36" customFormat="false" ht="15.75" hidden="false" customHeight="false" outlineLevel="0" collapsed="false">
      <c r="A36" s="61" t="n">
        <v>6830</v>
      </c>
      <c r="B36" s="29" t="n">
        <v>44876</v>
      </c>
      <c r="C36" s="21" t="s">
        <v>893</v>
      </c>
      <c r="D36" s="21" t="s">
        <v>24</v>
      </c>
      <c r="E36" s="21" t="s">
        <v>25</v>
      </c>
      <c r="F36" s="21" t="s">
        <v>2503</v>
      </c>
      <c r="G36" s="69"/>
      <c r="H36" s="45" t="str">
        <f aca="false">HYPERLINK("https://photos.app.goo.gl/kZWg2AziSdz1RAyu7", "Completo")</f>
        <v>Completo</v>
      </c>
      <c r="I36" s="21"/>
      <c r="J36" s="21"/>
      <c r="K36" s="21"/>
      <c r="L36" s="21"/>
      <c r="M36" s="21"/>
      <c r="N36" s="30"/>
      <c r="O36" s="21"/>
      <c r="P36" s="21"/>
      <c r="Q36" s="21"/>
      <c r="R36" s="32"/>
      <c r="S36" s="32"/>
      <c r="T36" s="21"/>
      <c r="U36" s="21"/>
      <c r="V36" s="21"/>
      <c r="W36" s="21"/>
      <c r="X36" s="21" t="s">
        <v>28</v>
      </c>
    </row>
    <row r="37" customFormat="false" ht="15.75" hidden="false" customHeight="false" outlineLevel="0" collapsed="false">
      <c r="A37" s="61" t="n">
        <v>6831</v>
      </c>
      <c r="B37" s="29" t="n">
        <v>44876</v>
      </c>
      <c r="C37" s="21" t="s">
        <v>893</v>
      </c>
      <c r="D37" s="21" t="s">
        <v>24</v>
      </c>
      <c r="E37" s="21" t="s">
        <v>25</v>
      </c>
      <c r="F37" s="21" t="s">
        <v>2504</v>
      </c>
      <c r="G37" s="30"/>
      <c r="H37" s="45" t="str">
        <f aca="false">HYPERLINK("https://photos.app.goo.gl/UTRUxjWKijDM4pBK6", "Completo")</f>
        <v>Completo</v>
      </c>
      <c r="I37" s="21"/>
      <c r="J37" s="21"/>
      <c r="K37" s="21"/>
      <c r="L37" s="21"/>
      <c r="M37" s="21"/>
      <c r="N37" s="30"/>
      <c r="O37" s="21"/>
      <c r="P37" s="21"/>
      <c r="Q37" s="21"/>
      <c r="R37" s="32"/>
      <c r="S37" s="32"/>
      <c r="T37" s="21"/>
      <c r="U37" s="66"/>
      <c r="V37" s="66"/>
      <c r="W37" s="21"/>
      <c r="X37" s="21" t="s">
        <v>28</v>
      </c>
    </row>
    <row r="38" customFormat="false" ht="15.75" hidden="false" customHeight="false" outlineLevel="0" collapsed="false">
      <c r="A38" s="61" t="n">
        <v>6832</v>
      </c>
      <c r="B38" s="29" t="n">
        <v>44876</v>
      </c>
      <c r="C38" s="21" t="s">
        <v>1328</v>
      </c>
      <c r="D38" s="21" t="s">
        <v>24</v>
      </c>
      <c r="E38" s="21" t="s">
        <v>34</v>
      </c>
      <c r="F38" s="21" t="s">
        <v>2505</v>
      </c>
      <c r="G38" s="30"/>
      <c r="H38" s="31"/>
      <c r="I38" s="21" t="s">
        <v>28</v>
      </c>
      <c r="J38" s="21"/>
      <c r="K38" s="21"/>
      <c r="L38" s="21"/>
      <c r="M38" s="21"/>
      <c r="N38" s="30"/>
      <c r="O38" s="21"/>
      <c r="P38" s="66"/>
      <c r="Q38" s="21"/>
      <c r="R38" s="32"/>
      <c r="S38" s="32"/>
      <c r="T38" s="21"/>
      <c r="U38" s="66"/>
      <c r="V38" s="66"/>
      <c r="W38" s="21"/>
      <c r="X38" s="21" t="s">
        <v>28</v>
      </c>
    </row>
    <row r="39" customFormat="false" ht="15" hidden="false" customHeight="true" outlineLevel="0" collapsed="false">
      <c r="A39" s="61" t="n">
        <v>6833</v>
      </c>
      <c r="B39" s="29" t="n">
        <v>44876</v>
      </c>
      <c r="C39" s="21" t="s">
        <v>1290</v>
      </c>
      <c r="D39" s="21" t="s">
        <v>290</v>
      </c>
      <c r="E39" s="21" t="s">
        <v>25</v>
      </c>
      <c r="F39" s="21" t="s">
        <v>2506</v>
      </c>
      <c r="G39" s="30"/>
      <c r="H39" s="45" t="str">
        <f aca="false">HYPERLINK("https://photos.app.goo.gl/eDq6HsLmN2hKH6Qp6", "Completo")</f>
        <v>Completo</v>
      </c>
      <c r="I39" s="21" t="s">
        <v>28</v>
      </c>
      <c r="J39" s="21"/>
      <c r="K39" s="21"/>
      <c r="L39" s="21"/>
      <c r="M39" s="21"/>
      <c r="N39" s="30"/>
      <c r="O39" s="21"/>
      <c r="P39" s="21"/>
      <c r="Q39" s="21"/>
      <c r="R39" s="32"/>
      <c r="S39" s="32"/>
      <c r="T39" s="21" t="s">
        <v>74</v>
      </c>
      <c r="U39" s="46" t="s">
        <v>28</v>
      </c>
      <c r="V39" s="46" t="s">
        <v>28</v>
      </c>
      <c r="W39" s="21" t="s">
        <v>36</v>
      </c>
      <c r="X39" s="21" t="s">
        <v>28</v>
      </c>
    </row>
    <row r="40" customFormat="false" ht="15.75" hidden="false" customHeight="false" outlineLevel="0" collapsed="false">
      <c r="A40" s="61" t="n">
        <v>6834</v>
      </c>
      <c r="B40" s="29" t="n">
        <v>44879</v>
      </c>
      <c r="C40" s="21" t="s">
        <v>2507</v>
      </c>
      <c r="D40" s="21" t="s">
        <v>24</v>
      </c>
      <c r="E40" s="21" t="s">
        <v>25</v>
      </c>
      <c r="F40" s="21" t="s">
        <v>2508</v>
      </c>
      <c r="G40" s="30"/>
      <c r="H40" s="45" t="str">
        <f aca="false">HYPERLINK("https://photos.app.goo.gl/aGQpB5HAmMFTphccA", "Completo")</f>
        <v>Completo</v>
      </c>
      <c r="I40" s="21" t="s">
        <v>28</v>
      </c>
      <c r="J40" s="21"/>
      <c r="K40" s="21"/>
      <c r="L40" s="21"/>
      <c r="M40" s="21"/>
      <c r="N40" s="30"/>
      <c r="O40" s="21"/>
      <c r="P40" s="21"/>
      <c r="Q40" s="21"/>
      <c r="R40" s="32"/>
      <c r="S40" s="32"/>
      <c r="T40" s="21"/>
      <c r="U40" s="21"/>
      <c r="V40" s="21"/>
      <c r="W40" s="21"/>
      <c r="X40" s="21" t="s">
        <v>28</v>
      </c>
    </row>
    <row r="41" customFormat="false" ht="15.75" hidden="false" customHeight="false" outlineLevel="0" collapsed="false">
      <c r="A41" s="61" t="n">
        <v>6835</v>
      </c>
      <c r="B41" s="29" t="n">
        <v>44879</v>
      </c>
      <c r="C41" s="21" t="s">
        <v>2507</v>
      </c>
      <c r="D41" s="21" t="s">
        <v>24</v>
      </c>
      <c r="E41" s="21" t="s">
        <v>25</v>
      </c>
      <c r="F41" s="21" t="s">
        <v>2509</v>
      </c>
      <c r="G41" s="30"/>
      <c r="H41" s="45" t="str">
        <f aca="false">HYPERLINK("https://photos.app.goo.gl/WFPFqg5z8sWaWd4t6", "Completo")</f>
        <v>Completo</v>
      </c>
      <c r="I41" s="21" t="s">
        <v>28</v>
      </c>
      <c r="J41" s="21"/>
      <c r="K41" s="21"/>
      <c r="L41" s="21"/>
      <c r="M41" s="21"/>
      <c r="N41" s="30"/>
      <c r="O41" s="21"/>
      <c r="P41" s="21"/>
      <c r="Q41" s="21"/>
      <c r="R41" s="32"/>
      <c r="S41" s="32"/>
      <c r="T41" s="21"/>
      <c r="U41" s="21"/>
      <c r="V41" s="21"/>
      <c r="W41" s="21"/>
      <c r="X41" s="21" t="s">
        <v>28</v>
      </c>
    </row>
    <row r="42" customFormat="false" ht="15.75" hidden="false" customHeight="false" outlineLevel="0" collapsed="false">
      <c r="A42" s="61" t="n">
        <v>6836</v>
      </c>
      <c r="B42" s="29" t="n">
        <v>44879</v>
      </c>
      <c r="C42" s="21" t="s">
        <v>2507</v>
      </c>
      <c r="D42" s="21" t="s">
        <v>24</v>
      </c>
      <c r="E42" s="21" t="s">
        <v>25</v>
      </c>
      <c r="F42" s="21" t="s">
        <v>2510</v>
      </c>
      <c r="G42" s="30"/>
      <c r="H42" s="45" t="str">
        <f aca="false">HYPERLINK("https://photos.app.goo.gl/4D4EEnghBs34h83u7", "Completo")</f>
        <v>Completo</v>
      </c>
      <c r="I42" s="21" t="s">
        <v>28</v>
      </c>
      <c r="J42" s="21"/>
      <c r="K42" s="21"/>
      <c r="L42" s="21"/>
      <c r="M42" s="21"/>
      <c r="N42" s="68"/>
      <c r="O42" s="21"/>
      <c r="P42" s="66"/>
      <c r="Q42" s="21"/>
      <c r="R42" s="32"/>
      <c r="S42" s="32"/>
      <c r="T42" s="21"/>
      <c r="U42" s="66"/>
      <c r="V42" s="66"/>
      <c r="W42" s="21"/>
      <c r="X42" s="21" t="s">
        <v>28</v>
      </c>
    </row>
    <row r="43" customFormat="false" ht="15.75" hidden="false" customHeight="false" outlineLevel="0" collapsed="false">
      <c r="A43" s="61" t="n">
        <v>6837</v>
      </c>
      <c r="B43" s="29" t="n">
        <v>44879</v>
      </c>
      <c r="C43" s="21" t="s">
        <v>2507</v>
      </c>
      <c r="D43" s="21" t="s">
        <v>24</v>
      </c>
      <c r="E43" s="21" t="s">
        <v>25</v>
      </c>
      <c r="F43" s="21" t="s">
        <v>2511</v>
      </c>
      <c r="G43" s="30"/>
      <c r="H43" s="45" t="str">
        <f aca="false">HYPERLINK("https://photos.app.goo.gl/c8k5YqeKPLVV6dTd9", "Completo")</f>
        <v>Completo</v>
      </c>
      <c r="I43" s="21" t="s">
        <v>28</v>
      </c>
      <c r="J43" s="21"/>
      <c r="K43" s="21"/>
      <c r="L43" s="21"/>
      <c r="M43" s="21"/>
      <c r="N43" s="30"/>
      <c r="O43" s="21"/>
      <c r="P43" s="21"/>
      <c r="Q43" s="21"/>
      <c r="R43" s="32"/>
      <c r="S43" s="32"/>
      <c r="T43" s="21"/>
      <c r="U43" s="21"/>
      <c r="V43" s="21"/>
      <c r="W43" s="21"/>
      <c r="X43" s="21" t="s">
        <v>28</v>
      </c>
    </row>
    <row r="44" customFormat="false" ht="15.75" hidden="false" customHeight="false" outlineLevel="0" collapsed="false">
      <c r="A44" s="61" t="n">
        <v>6838</v>
      </c>
      <c r="B44" s="29" t="n">
        <v>44879</v>
      </c>
      <c r="C44" s="21" t="s">
        <v>2507</v>
      </c>
      <c r="D44" s="21" t="s">
        <v>24</v>
      </c>
      <c r="E44" s="21" t="s">
        <v>25</v>
      </c>
      <c r="F44" s="21" t="s">
        <v>2512</v>
      </c>
      <c r="G44" s="30" t="s">
        <v>2513</v>
      </c>
      <c r="H44" s="45" t="str">
        <f aca="false">HYPERLINK("https://photos.app.goo.gl/Vz7mncgBnVUkvVxD9", "Completo")</f>
        <v>Completo</v>
      </c>
      <c r="I44" s="21" t="s">
        <v>28</v>
      </c>
      <c r="J44" s="21"/>
      <c r="K44" s="21"/>
      <c r="L44" s="21"/>
      <c r="M44" s="21"/>
      <c r="N44" s="69" t="s">
        <v>2514</v>
      </c>
      <c r="O44" s="21" t="s">
        <v>28</v>
      </c>
      <c r="P44" s="46" t="s">
        <v>28</v>
      </c>
      <c r="Q44" s="21" t="s">
        <v>2515</v>
      </c>
      <c r="R44" s="32" t="s">
        <v>74</v>
      </c>
      <c r="S44" s="32" t="s">
        <v>36</v>
      </c>
      <c r="T44" s="21" t="s">
        <v>74</v>
      </c>
      <c r="U44" s="46" t="s">
        <v>28</v>
      </c>
      <c r="V44" s="46" t="s">
        <v>28</v>
      </c>
      <c r="W44" s="21" t="s">
        <v>36</v>
      </c>
      <c r="X44" s="21" t="s">
        <v>28</v>
      </c>
    </row>
    <row r="45" customFormat="false" ht="15.75" hidden="false" customHeight="false" outlineLevel="0" collapsed="false">
      <c r="A45" s="61" t="n">
        <v>6839</v>
      </c>
      <c r="B45" s="29" t="n">
        <v>44879</v>
      </c>
      <c r="C45" s="21" t="s">
        <v>2507</v>
      </c>
      <c r="D45" s="21" t="s">
        <v>24</v>
      </c>
      <c r="E45" s="21" t="s">
        <v>25</v>
      </c>
      <c r="F45" s="21" t="s">
        <v>2512</v>
      </c>
      <c r="G45" s="30" t="s">
        <v>2513</v>
      </c>
      <c r="H45" s="45" t="str">
        <f aca="false">HYPERLINK("https://photos.app.goo.gl/oab4zvwx7QNoYpux9", "Completo")</f>
        <v>Completo</v>
      </c>
      <c r="I45" s="21" t="s">
        <v>28</v>
      </c>
      <c r="J45" s="21"/>
      <c r="K45" s="21"/>
      <c r="L45" s="21"/>
      <c r="M45" s="21"/>
      <c r="N45" s="69" t="s">
        <v>2514</v>
      </c>
      <c r="O45" s="21" t="s">
        <v>28</v>
      </c>
      <c r="P45" s="46" t="s">
        <v>28</v>
      </c>
      <c r="Q45" s="21" t="s">
        <v>2515</v>
      </c>
      <c r="R45" s="32" t="s">
        <v>74</v>
      </c>
      <c r="S45" s="32" t="s">
        <v>36</v>
      </c>
      <c r="T45" s="21" t="s">
        <v>74</v>
      </c>
      <c r="U45" s="46" t="s">
        <v>28</v>
      </c>
      <c r="V45" s="46" t="s">
        <v>28</v>
      </c>
      <c r="W45" s="21" t="s">
        <v>36</v>
      </c>
      <c r="X45" s="21" t="s">
        <v>28</v>
      </c>
    </row>
    <row r="46" customFormat="false" ht="15.75" hidden="false" customHeight="false" outlineLevel="0" collapsed="false">
      <c r="A46" s="61" t="n">
        <v>6840</v>
      </c>
      <c r="B46" s="29" t="n">
        <v>44879</v>
      </c>
      <c r="C46" s="21" t="s">
        <v>2507</v>
      </c>
      <c r="D46" s="21" t="s">
        <v>24</v>
      </c>
      <c r="E46" s="21" t="s">
        <v>25</v>
      </c>
      <c r="F46" s="21" t="s">
        <v>2512</v>
      </c>
      <c r="G46" s="30" t="s">
        <v>2513</v>
      </c>
      <c r="H46" s="45" t="str">
        <f aca="false">HYPERLINK("https://photos.app.goo.gl/3RzpR64MhS9XGndJ7", "Completo")</f>
        <v>Completo</v>
      </c>
      <c r="I46" s="21" t="s">
        <v>28</v>
      </c>
      <c r="J46" s="21"/>
      <c r="K46" s="21"/>
      <c r="L46" s="21"/>
      <c r="M46" s="21"/>
      <c r="N46" s="69" t="s">
        <v>2514</v>
      </c>
      <c r="O46" s="21" t="s">
        <v>28</v>
      </c>
      <c r="P46" s="46" t="s">
        <v>28</v>
      </c>
      <c r="Q46" s="21" t="s">
        <v>2515</v>
      </c>
      <c r="R46" s="32" t="s">
        <v>74</v>
      </c>
      <c r="S46" s="32" t="s">
        <v>36</v>
      </c>
      <c r="T46" s="21" t="s">
        <v>74</v>
      </c>
      <c r="U46" s="46" t="s">
        <v>28</v>
      </c>
      <c r="V46" s="46" t="s">
        <v>28</v>
      </c>
      <c r="W46" s="21" t="s">
        <v>36</v>
      </c>
      <c r="X46" s="21" t="s">
        <v>28</v>
      </c>
    </row>
    <row r="47" customFormat="false" ht="15.75" hidden="false" customHeight="false" outlineLevel="0" collapsed="false">
      <c r="A47" s="61" t="n">
        <v>6841</v>
      </c>
      <c r="B47" s="29" t="n">
        <v>44879</v>
      </c>
      <c r="C47" s="21" t="s">
        <v>2507</v>
      </c>
      <c r="D47" s="21" t="s">
        <v>24</v>
      </c>
      <c r="E47" s="21" t="s">
        <v>25</v>
      </c>
      <c r="F47" s="21" t="s">
        <v>2512</v>
      </c>
      <c r="G47" s="30" t="s">
        <v>2513</v>
      </c>
      <c r="H47" s="45" t="str">
        <f aca="false">HYPERLINK("https://photos.app.goo.gl/UdzJGsEDLDqunpgh6", "Completo")</f>
        <v>Completo</v>
      </c>
      <c r="I47" s="21" t="s">
        <v>28</v>
      </c>
      <c r="J47" s="21"/>
      <c r="K47" s="21"/>
      <c r="L47" s="21"/>
      <c r="M47" s="21"/>
      <c r="N47" s="69" t="s">
        <v>2514</v>
      </c>
      <c r="O47" s="21" t="s">
        <v>28</v>
      </c>
      <c r="P47" s="46" t="s">
        <v>28</v>
      </c>
      <c r="Q47" s="21" t="s">
        <v>2515</v>
      </c>
      <c r="R47" s="32" t="s">
        <v>74</v>
      </c>
      <c r="S47" s="32" t="s">
        <v>36</v>
      </c>
      <c r="T47" s="21" t="s">
        <v>74</v>
      </c>
      <c r="U47" s="46" t="s">
        <v>28</v>
      </c>
      <c r="V47" s="46" t="s">
        <v>28</v>
      </c>
      <c r="W47" s="21" t="s">
        <v>36</v>
      </c>
      <c r="X47" s="21" t="s">
        <v>28</v>
      </c>
    </row>
    <row r="48" customFormat="false" ht="15.75" hidden="false" customHeight="false" outlineLevel="0" collapsed="false">
      <c r="A48" s="61" t="n">
        <v>6842</v>
      </c>
      <c r="B48" s="29" t="n">
        <v>44879</v>
      </c>
      <c r="C48" s="21" t="s">
        <v>2507</v>
      </c>
      <c r="D48" s="21" t="s">
        <v>24</v>
      </c>
      <c r="E48" s="21" t="s">
        <v>25</v>
      </c>
      <c r="F48" s="21" t="s">
        <v>2512</v>
      </c>
      <c r="G48" s="30" t="s">
        <v>2513</v>
      </c>
      <c r="H48" s="45" t="str">
        <f aca="false">HYPERLINK("https://photos.app.goo.gl/b7v12mkCq1pebB6p7", "Completo")</f>
        <v>Completo</v>
      </c>
      <c r="I48" s="21" t="s">
        <v>28</v>
      </c>
      <c r="J48" s="21"/>
      <c r="K48" s="21"/>
      <c r="L48" s="21"/>
      <c r="M48" s="21"/>
      <c r="N48" s="69" t="s">
        <v>2514</v>
      </c>
      <c r="O48" s="21" t="s">
        <v>28</v>
      </c>
      <c r="P48" s="46" t="s">
        <v>28</v>
      </c>
      <c r="Q48" s="21" t="s">
        <v>2515</v>
      </c>
      <c r="R48" s="32" t="s">
        <v>74</v>
      </c>
      <c r="S48" s="32" t="s">
        <v>36</v>
      </c>
      <c r="T48" s="21" t="s">
        <v>74</v>
      </c>
      <c r="U48" s="46" t="s">
        <v>28</v>
      </c>
      <c r="V48" s="46" t="s">
        <v>28</v>
      </c>
      <c r="W48" s="21" t="s">
        <v>36</v>
      </c>
      <c r="X48" s="21" t="s">
        <v>28</v>
      </c>
    </row>
    <row r="49" customFormat="false" ht="15.75" hidden="false" customHeight="false" outlineLevel="0" collapsed="false">
      <c r="A49" s="61" t="n">
        <v>6843</v>
      </c>
      <c r="B49" s="29" t="n">
        <v>44879</v>
      </c>
      <c r="C49" s="21" t="s">
        <v>2516</v>
      </c>
      <c r="D49" s="21" t="s">
        <v>24</v>
      </c>
      <c r="E49" s="21" t="s">
        <v>25</v>
      </c>
      <c r="F49" s="21" t="s">
        <v>2517</v>
      </c>
      <c r="G49" s="30"/>
      <c r="H49" s="45" t="str">
        <f aca="false">HYPERLINK("https://photos.app.goo.gl/Xf3WKip8gxzXHnRG8", "Completo")</f>
        <v>Completo</v>
      </c>
      <c r="I49" s="21" t="s">
        <v>28</v>
      </c>
      <c r="J49" s="21" t="s">
        <v>2518</v>
      </c>
      <c r="K49" s="21"/>
      <c r="L49" s="21"/>
      <c r="M49" s="21"/>
      <c r="N49" s="30"/>
      <c r="O49" s="21"/>
      <c r="P49" s="21"/>
      <c r="Q49" s="21"/>
      <c r="R49" s="32"/>
      <c r="S49" s="32"/>
      <c r="T49" s="21"/>
      <c r="U49" s="21"/>
      <c r="V49" s="21"/>
      <c r="W49" s="21"/>
      <c r="X49" s="21" t="s">
        <v>28</v>
      </c>
    </row>
    <row r="50" customFormat="false" ht="15.75" hidden="false" customHeight="false" outlineLevel="0" collapsed="false">
      <c r="A50" s="61" t="n">
        <v>6844</v>
      </c>
      <c r="B50" s="29" t="n">
        <v>44879</v>
      </c>
      <c r="C50" s="21" t="s">
        <v>616</v>
      </c>
      <c r="D50" s="21" t="s">
        <v>24</v>
      </c>
      <c r="E50" s="21" t="s">
        <v>25</v>
      </c>
      <c r="F50" s="21" t="s">
        <v>2261</v>
      </c>
      <c r="G50" s="30"/>
      <c r="H50" s="45" t="str">
        <f aca="false">HYPERLINK("https://photos.app.goo.gl/WQXgtmmpaa2bEHJJ9", "Completo")</f>
        <v>Completo</v>
      </c>
      <c r="I50" s="21"/>
      <c r="J50" s="21"/>
      <c r="K50" s="21"/>
      <c r="L50" s="21"/>
      <c r="M50" s="21"/>
      <c r="N50" s="30"/>
      <c r="O50" s="21"/>
      <c r="P50" s="21"/>
      <c r="Q50" s="21"/>
      <c r="R50" s="32"/>
      <c r="S50" s="32"/>
      <c r="T50" s="21"/>
      <c r="U50" s="21"/>
      <c r="V50" s="21"/>
      <c r="W50" s="21"/>
      <c r="X50" s="21" t="s">
        <v>37</v>
      </c>
      <c r="Y50" s="12"/>
      <c r="Z50" s="12"/>
      <c r="AA50" s="12"/>
      <c r="AB50" s="12"/>
      <c r="AC50" s="12"/>
      <c r="AD50" s="12"/>
      <c r="AE50" s="12"/>
    </row>
    <row r="51" customFormat="false" ht="15.75" hidden="false" customHeight="false" outlineLevel="0" collapsed="false">
      <c r="A51" s="61" t="n">
        <v>6845</v>
      </c>
      <c r="B51" s="29" t="n">
        <v>44880</v>
      </c>
      <c r="C51" s="21" t="s">
        <v>872</v>
      </c>
      <c r="D51" s="21" t="s">
        <v>24</v>
      </c>
      <c r="E51" s="21" t="s">
        <v>34</v>
      </c>
      <c r="F51" s="21" t="s">
        <v>2519</v>
      </c>
      <c r="G51" s="30"/>
      <c r="H51" s="31"/>
      <c r="I51" s="21" t="s">
        <v>28</v>
      </c>
      <c r="J51" s="21"/>
      <c r="K51" s="21"/>
      <c r="L51" s="21"/>
      <c r="M51" s="21"/>
      <c r="N51" s="30"/>
      <c r="O51" s="21"/>
      <c r="P51" s="21"/>
      <c r="Q51" s="21"/>
      <c r="R51" s="32"/>
      <c r="S51" s="32"/>
      <c r="T51" s="21"/>
      <c r="U51" s="21"/>
      <c r="V51" s="21"/>
      <c r="W51" s="21"/>
      <c r="X51" s="21" t="s">
        <v>28</v>
      </c>
      <c r="Y51" s="12"/>
      <c r="Z51" s="12"/>
      <c r="AA51" s="12"/>
      <c r="AB51" s="12"/>
      <c r="AC51" s="12"/>
      <c r="AD51" s="12"/>
      <c r="AE51" s="12"/>
    </row>
    <row r="52" customFormat="false" ht="15.75" hidden="false" customHeight="false" outlineLevel="0" collapsed="false">
      <c r="A52" s="61" t="n">
        <v>6846</v>
      </c>
      <c r="B52" s="29" t="n">
        <v>44881</v>
      </c>
      <c r="C52" s="21" t="s">
        <v>389</v>
      </c>
      <c r="D52" s="21" t="s">
        <v>24</v>
      </c>
      <c r="E52" s="21" t="s">
        <v>25</v>
      </c>
      <c r="F52" s="21" t="s">
        <v>2520</v>
      </c>
      <c r="G52" s="30"/>
      <c r="H52" s="45" t="str">
        <f aca="false">HYPERLINK("https://photos.app.goo.gl/m5Mcuv5o8wKKouHL7", "Completo")</f>
        <v>Completo</v>
      </c>
      <c r="I52" s="21" t="s">
        <v>28</v>
      </c>
      <c r="J52" s="21"/>
      <c r="K52" s="21"/>
      <c r="L52" s="21"/>
      <c r="M52" s="21"/>
      <c r="N52" s="30"/>
      <c r="O52" s="21"/>
      <c r="P52" s="21"/>
      <c r="Q52" s="21"/>
      <c r="R52" s="32"/>
      <c r="S52" s="32"/>
      <c r="T52" s="21"/>
      <c r="U52" s="66"/>
      <c r="V52" s="66"/>
      <c r="W52" s="21"/>
      <c r="X52" s="21" t="s">
        <v>37</v>
      </c>
    </row>
    <row r="53" customFormat="false" ht="15.75" hidden="false" customHeight="false" outlineLevel="0" collapsed="false">
      <c r="A53" s="61" t="n">
        <v>6849</v>
      </c>
      <c r="B53" s="29" t="n">
        <v>44881</v>
      </c>
      <c r="C53" s="21" t="s">
        <v>1666</v>
      </c>
      <c r="D53" s="21" t="s">
        <v>24</v>
      </c>
      <c r="E53" s="21" t="s">
        <v>34</v>
      </c>
      <c r="F53" s="21" t="s">
        <v>2521</v>
      </c>
      <c r="G53" s="30"/>
      <c r="H53" s="31"/>
      <c r="I53" s="21"/>
      <c r="J53" s="21"/>
      <c r="K53" s="21"/>
      <c r="L53" s="21"/>
      <c r="M53" s="21"/>
      <c r="N53" s="30"/>
      <c r="O53" s="21"/>
      <c r="P53" s="21"/>
      <c r="Q53" s="21"/>
      <c r="R53" s="32"/>
      <c r="S53" s="32"/>
      <c r="T53" s="21"/>
      <c r="U53" s="66"/>
      <c r="V53" s="66"/>
      <c r="W53" s="21"/>
      <c r="X53" s="21" t="s">
        <v>28</v>
      </c>
    </row>
    <row r="54" customFormat="false" ht="15.75" hidden="false" customHeight="false" outlineLevel="0" collapsed="false">
      <c r="A54" s="61" t="n">
        <v>6850</v>
      </c>
      <c r="B54" s="29" t="n">
        <v>44882</v>
      </c>
      <c r="C54" s="21" t="s">
        <v>1456</v>
      </c>
      <c r="D54" s="21" t="s">
        <v>24</v>
      </c>
      <c r="E54" s="21" t="s">
        <v>34</v>
      </c>
      <c r="F54" s="21" t="s">
        <v>2522</v>
      </c>
      <c r="G54" s="30"/>
      <c r="H54" s="31"/>
      <c r="I54" s="21"/>
      <c r="J54" s="21"/>
      <c r="K54" s="21"/>
      <c r="L54" s="21"/>
      <c r="M54" s="21"/>
      <c r="N54" s="30"/>
      <c r="O54" s="21"/>
      <c r="P54" s="66"/>
      <c r="Q54" s="21"/>
      <c r="R54" s="32"/>
      <c r="S54" s="32"/>
      <c r="T54" s="21"/>
      <c r="U54" s="21"/>
      <c r="V54" s="21"/>
      <c r="W54" s="21"/>
      <c r="X54" s="21" t="s">
        <v>28</v>
      </c>
    </row>
    <row r="55" customFormat="false" ht="15.75" hidden="false" customHeight="false" outlineLevel="0" collapsed="false">
      <c r="A55" s="61" t="n">
        <v>6851</v>
      </c>
      <c r="B55" s="29" t="n">
        <v>44882</v>
      </c>
      <c r="C55" s="21" t="s">
        <v>2523</v>
      </c>
      <c r="D55" s="21" t="s">
        <v>24</v>
      </c>
      <c r="E55" s="21" t="s">
        <v>74</v>
      </c>
      <c r="F55" s="21" t="s">
        <v>2524</v>
      </c>
      <c r="G55" s="30"/>
      <c r="H55" s="45" t="str">
        <f aca="false">HYPERLINK("https://photos.app.goo.gl/iZ5ZbaL5Gde4o8896", "Completo")</f>
        <v>Completo</v>
      </c>
      <c r="I55" s="21" t="s">
        <v>37</v>
      </c>
      <c r="J55" s="21"/>
      <c r="K55" s="21"/>
      <c r="L55" s="21"/>
      <c r="M55" s="21"/>
      <c r="N55" s="30"/>
      <c r="O55" s="21"/>
      <c r="P55" s="21"/>
      <c r="Q55" s="21"/>
      <c r="R55" s="32"/>
      <c r="S55" s="32"/>
      <c r="T55" s="21"/>
      <c r="U55" s="21"/>
      <c r="V55" s="21"/>
      <c r="W55" s="21"/>
      <c r="X55" s="21"/>
    </row>
    <row r="56" customFormat="false" ht="15.75" hidden="false" customHeight="false" outlineLevel="0" collapsed="false">
      <c r="A56" s="63" t="n">
        <v>1482156</v>
      </c>
      <c r="B56" s="29" t="n">
        <v>44883</v>
      </c>
      <c r="C56" s="21" t="s">
        <v>1456</v>
      </c>
      <c r="D56" s="21" t="s">
        <v>290</v>
      </c>
      <c r="E56" s="21" t="s">
        <v>25</v>
      </c>
      <c r="F56" s="21" t="s">
        <v>2525</v>
      </c>
      <c r="G56" s="30"/>
      <c r="H56" s="45" t="str">
        <f aca="false">HYPERLINK("https://photos.app.goo.gl/7ySkxe2xFEg5gaRaA", "Completo")</f>
        <v>Completo</v>
      </c>
      <c r="I56" s="21" t="s">
        <v>28</v>
      </c>
      <c r="J56" s="21"/>
      <c r="K56" s="21"/>
      <c r="L56" s="21"/>
      <c r="M56" s="21"/>
      <c r="N56" s="30"/>
      <c r="O56" s="21"/>
      <c r="P56" s="21"/>
      <c r="Q56" s="21"/>
      <c r="R56" s="32"/>
      <c r="S56" s="32"/>
      <c r="T56" s="21" t="s">
        <v>58</v>
      </c>
      <c r="U56" s="46" t="s">
        <v>28</v>
      </c>
      <c r="V56" s="21" t="s">
        <v>28</v>
      </c>
      <c r="W56" s="21" t="s">
        <v>36</v>
      </c>
      <c r="X56" s="21" t="s">
        <v>37</v>
      </c>
    </row>
    <row r="57" customFormat="false" ht="15.75" hidden="false" customHeight="false" outlineLevel="0" collapsed="false">
      <c r="A57" s="61" t="s">
        <v>2526</v>
      </c>
      <c r="B57" s="29" t="n">
        <v>44883</v>
      </c>
      <c r="C57" s="21" t="s">
        <v>1010</v>
      </c>
      <c r="D57" s="21" t="s">
        <v>578</v>
      </c>
      <c r="E57" s="21" t="s">
        <v>25</v>
      </c>
      <c r="F57" s="21" t="s">
        <v>2527</v>
      </c>
      <c r="G57" s="30"/>
      <c r="H57" s="45" t="str">
        <f aca="false">HYPERLINK("https://photos.app.goo.gl/ArBwVHbqoKEKxSA48", "Completo")</f>
        <v>Completo</v>
      </c>
      <c r="I57" s="21" t="s">
        <v>28</v>
      </c>
      <c r="J57" s="21"/>
      <c r="K57" s="21"/>
      <c r="L57" s="21"/>
      <c r="M57" s="21"/>
      <c r="N57" s="30"/>
      <c r="O57" s="21"/>
      <c r="P57" s="21"/>
      <c r="Q57" s="21"/>
      <c r="R57" s="32"/>
      <c r="S57" s="32"/>
      <c r="T57" s="21" t="s">
        <v>74</v>
      </c>
      <c r="U57" s="46" t="s">
        <v>28</v>
      </c>
      <c r="V57" s="46" t="s">
        <v>28</v>
      </c>
      <c r="W57" s="21" t="s">
        <v>36</v>
      </c>
      <c r="X57" s="21" t="s">
        <v>37</v>
      </c>
    </row>
    <row r="58" customFormat="false" ht="15.75" hidden="false" customHeight="false" outlineLevel="0" collapsed="false">
      <c r="A58" s="61" t="s">
        <v>2528</v>
      </c>
      <c r="B58" s="29" t="n">
        <v>44883</v>
      </c>
      <c r="C58" s="21" t="s">
        <v>2529</v>
      </c>
      <c r="D58" s="21" t="s">
        <v>578</v>
      </c>
      <c r="E58" s="21" t="s">
        <v>25</v>
      </c>
      <c r="F58" s="21" t="s">
        <v>2530</v>
      </c>
      <c r="G58" s="30"/>
      <c r="H58" s="45" t="str">
        <f aca="false">HYPERLINK("https://photos.app.goo.gl/os8YwEyouno4nMye6", "Completo")</f>
        <v>Completo</v>
      </c>
      <c r="I58" s="21" t="s">
        <v>28</v>
      </c>
      <c r="J58" s="21"/>
      <c r="K58" s="21"/>
      <c r="L58" s="21"/>
      <c r="M58" s="21"/>
      <c r="N58" s="30"/>
      <c r="O58" s="21" t="s">
        <v>28</v>
      </c>
      <c r="P58" s="46" t="s">
        <v>28</v>
      </c>
      <c r="Q58" s="21" t="s">
        <v>73</v>
      </c>
      <c r="R58" s="32" t="s">
        <v>74</v>
      </c>
      <c r="S58" s="32" t="s">
        <v>36</v>
      </c>
      <c r="T58" s="21" t="s">
        <v>74</v>
      </c>
      <c r="U58" s="46" t="s">
        <v>28</v>
      </c>
      <c r="V58" s="46" t="s">
        <v>28</v>
      </c>
      <c r="W58" s="21" t="s">
        <v>36</v>
      </c>
      <c r="X58" s="21" t="s">
        <v>28</v>
      </c>
    </row>
    <row r="59" customFormat="false" ht="15.75" hidden="false" customHeight="false" outlineLevel="0" collapsed="false">
      <c r="A59" s="61" t="n">
        <v>6852</v>
      </c>
      <c r="B59" s="29" t="n">
        <v>44883</v>
      </c>
      <c r="C59" s="21" t="s">
        <v>1251</v>
      </c>
      <c r="D59" s="21" t="s">
        <v>24</v>
      </c>
      <c r="E59" s="21" t="s">
        <v>34</v>
      </c>
      <c r="F59" s="21" t="s">
        <v>902</v>
      </c>
      <c r="G59" s="30"/>
      <c r="H59" s="31"/>
      <c r="I59" s="21"/>
      <c r="J59" s="21"/>
      <c r="K59" s="21"/>
      <c r="L59" s="21"/>
      <c r="M59" s="21"/>
      <c r="N59" s="30"/>
      <c r="O59" s="21"/>
      <c r="P59" s="21"/>
      <c r="Q59" s="21"/>
      <c r="R59" s="32"/>
      <c r="S59" s="32"/>
      <c r="T59" s="21"/>
      <c r="U59" s="21"/>
      <c r="V59" s="21"/>
      <c r="W59" s="21"/>
      <c r="X59" s="21" t="s">
        <v>28</v>
      </c>
    </row>
    <row r="60" customFormat="false" ht="15.75" hidden="false" customHeight="false" outlineLevel="0" collapsed="false">
      <c r="A60" s="61" t="n">
        <v>6853</v>
      </c>
      <c r="B60" s="29" t="n">
        <v>44883</v>
      </c>
      <c r="C60" s="21" t="s">
        <v>1251</v>
      </c>
      <c r="D60" s="21" t="s">
        <v>24</v>
      </c>
      <c r="E60" s="21" t="s">
        <v>34</v>
      </c>
      <c r="F60" s="21" t="s">
        <v>903</v>
      </c>
      <c r="G60" s="30"/>
      <c r="H60" s="31"/>
      <c r="I60" s="21"/>
      <c r="J60" s="21"/>
      <c r="K60" s="21"/>
      <c r="L60" s="21"/>
      <c r="M60" s="21"/>
      <c r="N60" s="30"/>
      <c r="O60" s="21"/>
      <c r="P60" s="66"/>
      <c r="Q60" s="21"/>
      <c r="R60" s="32"/>
      <c r="S60" s="32"/>
      <c r="T60" s="21"/>
      <c r="U60" s="21"/>
      <c r="V60" s="21"/>
      <c r="W60" s="21"/>
      <c r="X60" s="21" t="s">
        <v>28</v>
      </c>
    </row>
    <row r="61" customFormat="false" ht="15.75" hidden="false" customHeight="false" outlineLevel="0" collapsed="false">
      <c r="A61" s="61" t="n">
        <v>6854</v>
      </c>
      <c r="B61" s="29" t="n">
        <v>44883</v>
      </c>
      <c r="C61" s="21" t="s">
        <v>1251</v>
      </c>
      <c r="D61" s="21" t="s">
        <v>24</v>
      </c>
      <c r="E61" s="21" t="s">
        <v>34</v>
      </c>
      <c r="F61" s="21" t="s">
        <v>903</v>
      </c>
      <c r="G61" s="30"/>
      <c r="H61" s="31"/>
      <c r="I61" s="21"/>
      <c r="J61" s="21"/>
      <c r="K61" s="21"/>
      <c r="L61" s="21"/>
      <c r="M61" s="21"/>
      <c r="N61" s="30"/>
      <c r="O61" s="21"/>
      <c r="P61" s="66"/>
      <c r="Q61" s="21"/>
      <c r="R61" s="32"/>
      <c r="S61" s="32"/>
      <c r="T61" s="21"/>
      <c r="U61" s="21"/>
      <c r="V61" s="21"/>
      <c r="W61" s="21"/>
      <c r="X61" s="21" t="s">
        <v>28</v>
      </c>
    </row>
    <row r="62" customFormat="false" ht="15.75" hidden="false" customHeight="false" outlineLevel="0" collapsed="false">
      <c r="A62" s="61" t="n">
        <v>6855</v>
      </c>
      <c r="B62" s="29" t="n">
        <v>44883</v>
      </c>
      <c r="C62" s="21" t="s">
        <v>1251</v>
      </c>
      <c r="D62" s="21" t="s">
        <v>24</v>
      </c>
      <c r="E62" s="21" t="s">
        <v>34</v>
      </c>
      <c r="F62" s="21" t="s">
        <v>2531</v>
      </c>
      <c r="G62" s="30"/>
      <c r="H62" s="31"/>
      <c r="I62" s="21"/>
      <c r="J62" s="21"/>
      <c r="K62" s="21"/>
      <c r="L62" s="21"/>
      <c r="M62" s="21"/>
      <c r="N62" s="30"/>
      <c r="O62" s="21"/>
      <c r="P62" s="66"/>
      <c r="Q62" s="21"/>
      <c r="R62" s="32"/>
      <c r="S62" s="32"/>
      <c r="T62" s="21"/>
      <c r="U62" s="21"/>
      <c r="V62" s="21"/>
      <c r="W62" s="21"/>
      <c r="X62" s="21" t="s">
        <v>28</v>
      </c>
    </row>
    <row r="63" customFormat="false" ht="15.75" hidden="false" customHeight="false" outlineLevel="0" collapsed="false">
      <c r="A63" s="61" t="n">
        <v>6856</v>
      </c>
      <c r="B63" s="29" t="n">
        <v>44883</v>
      </c>
      <c r="C63" s="21" t="s">
        <v>1666</v>
      </c>
      <c r="D63" s="21" t="s">
        <v>24</v>
      </c>
      <c r="E63" s="21" t="s">
        <v>25</v>
      </c>
      <c r="F63" s="21" t="s">
        <v>2532</v>
      </c>
      <c r="G63" s="30"/>
      <c r="H63" s="45" t="str">
        <f aca="false">HYPERLINK("https://photos.app.goo.gl/zviDKSmAM66c5bWA9", "Completo")</f>
        <v>Completo</v>
      </c>
      <c r="I63" s="21" t="s">
        <v>28</v>
      </c>
      <c r="J63" s="21"/>
      <c r="K63" s="21"/>
      <c r="L63" s="21"/>
      <c r="M63" s="21"/>
      <c r="N63" s="30"/>
      <c r="O63" s="21" t="s">
        <v>28</v>
      </c>
      <c r="P63" s="46" t="s">
        <v>28</v>
      </c>
      <c r="Q63" s="21" t="s">
        <v>73</v>
      </c>
      <c r="R63" s="32" t="s">
        <v>74</v>
      </c>
      <c r="S63" s="32" t="s">
        <v>36</v>
      </c>
      <c r="T63" s="21" t="s">
        <v>74</v>
      </c>
      <c r="U63" s="46" t="s">
        <v>28</v>
      </c>
      <c r="V63" s="46" t="s">
        <v>28</v>
      </c>
      <c r="W63" s="21" t="s">
        <v>36</v>
      </c>
      <c r="X63" s="21" t="s">
        <v>28</v>
      </c>
    </row>
    <row r="64" customFormat="false" ht="15.75" hidden="false" customHeight="false" outlineLevel="0" collapsed="false">
      <c r="A64" s="61" t="n">
        <v>6857</v>
      </c>
      <c r="B64" s="29" t="n">
        <v>44883</v>
      </c>
      <c r="C64" s="21" t="s">
        <v>1666</v>
      </c>
      <c r="D64" s="21" t="s">
        <v>24</v>
      </c>
      <c r="E64" s="21" t="s">
        <v>25</v>
      </c>
      <c r="F64" s="21" t="s">
        <v>2533</v>
      </c>
      <c r="G64" s="30"/>
      <c r="H64" s="45" t="str">
        <f aca="false">HYPERLINK("https://photos.app.goo.gl/E9VDAepqfgFkYJrd9", "Completo")</f>
        <v>Completo</v>
      </c>
      <c r="I64" s="21" t="s">
        <v>28</v>
      </c>
      <c r="J64" s="21"/>
      <c r="K64" s="21"/>
      <c r="L64" s="21"/>
      <c r="M64" s="21"/>
      <c r="N64" s="30"/>
      <c r="O64" s="21"/>
      <c r="P64" s="66"/>
      <c r="Q64" s="21"/>
      <c r="R64" s="32"/>
      <c r="S64" s="32"/>
      <c r="T64" s="21"/>
      <c r="U64" s="21"/>
      <c r="V64" s="21"/>
      <c r="W64" s="21"/>
      <c r="X64" s="21" t="s">
        <v>28</v>
      </c>
    </row>
    <row r="65" customFormat="false" ht="15.75" hidden="false" customHeight="false" outlineLevel="0" collapsed="false">
      <c r="A65" s="61" t="n">
        <v>6858</v>
      </c>
      <c r="B65" s="29" t="n">
        <v>44883</v>
      </c>
      <c r="C65" s="21" t="s">
        <v>1666</v>
      </c>
      <c r="D65" s="21" t="s">
        <v>24</v>
      </c>
      <c r="E65" s="21" t="s">
        <v>25</v>
      </c>
      <c r="F65" s="21" t="s">
        <v>2534</v>
      </c>
      <c r="G65" s="30"/>
      <c r="H65" s="45" t="str">
        <f aca="false">HYPERLINK("https://photos.app.goo.gl/LJypLKNddeeW121A8", "Completo")</f>
        <v>Completo</v>
      </c>
      <c r="I65" s="21" t="s">
        <v>28</v>
      </c>
      <c r="J65" s="21"/>
      <c r="K65" s="21"/>
      <c r="L65" s="21"/>
      <c r="M65" s="21"/>
      <c r="N65" s="30"/>
      <c r="O65" s="21"/>
      <c r="P65" s="21"/>
      <c r="Q65" s="21"/>
      <c r="R65" s="32"/>
      <c r="S65" s="32"/>
      <c r="T65" s="21"/>
      <c r="U65" s="21"/>
      <c r="V65" s="21"/>
      <c r="W65" s="21"/>
      <c r="X65" s="21" t="s">
        <v>28</v>
      </c>
    </row>
    <row r="66" customFormat="false" ht="15.75" hidden="false" customHeight="false" outlineLevel="0" collapsed="false">
      <c r="A66" s="61" t="n">
        <v>6859</v>
      </c>
      <c r="B66" s="29" t="n">
        <v>44883</v>
      </c>
      <c r="C66" s="21" t="s">
        <v>133</v>
      </c>
      <c r="D66" s="21" t="s">
        <v>24</v>
      </c>
      <c r="E66" s="21" t="s">
        <v>25</v>
      </c>
      <c r="F66" s="21" t="s">
        <v>2535</v>
      </c>
      <c r="G66" s="30" t="s">
        <v>2536</v>
      </c>
      <c r="H66" s="45" t="str">
        <f aca="false">HYPERLINK("https://photos.app.goo.gl/t2mcKp6sRxqmn3mY8", "Completo")</f>
        <v>Completo</v>
      </c>
      <c r="I66" s="21" t="s">
        <v>28</v>
      </c>
      <c r="J66" s="21"/>
      <c r="K66" s="21"/>
      <c r="L66" s="21"/>
      <c r="M66" s="21" t="s">
        <v>2537</v>
      </c>
      <c r="N66" s="30"/>
      <c r="O66" s="21"/>
      <c r="P66" s="21"/>
      <c r="Q66" s="21"/>
      <c r="R66" s="32"/>
      <c r="S66" s="32"/>
      <c r="T66" s="21" t="s">
        <v>58</v>
      </c>
      <c r="U66" s="46" t="s">
        <v>28</v>
      </c>
      <c r="V66" s="46" t="s">
        <v>28</v>
      </c>
      <c r="W66" s="21" t="s">
        <v>36</v>
      </c>
      <c r="X66" s="21" t="s">
        <v>28</v>
      </c>
    </row>
    <row r="67" customFormat="false" ht="15.75" hidden="false" customHeight="false" outlineLevel="0" collapsed="false">
      <c r="A67" s="61" t="n">
        <v>6860</v>
      </c>
      <c r="B67" s="29" t="n">
        <v>44883</v>
      </c>
      <c r="C67" s="21" t="s">
        <v>133</v>
      </c>
      <c r="D67" s="21" t="s">
        <v>24</v>
      </c>
      <c r="E67" s="21" t="s">
        <v>25</v>
      </c>
      <c r="F67" s="21" t="s">
        <v>2538</v>
      </c>
      <c r="G67" s="30" t="s">
        <v>2536</v>
      </c>
      <c r="H67" s="45" t="str">
        <f aca="false">HYPERLINK("https://photos.app.goo.gl/iMCKNWk6mQvDMCKZ9", "Completo")</f>
        <v>Completo</v>
      </c>
      <c r="I67" s="21" t="s">
        <v>28</v>
      </c>
      <c r="J67" s="21"/>
      <c r="K67" s="21"/>
      <c r="L67" s="21"/>
      <c r="M67" s="21"/>
      <c r="N67" s="30"/>
      <c r="O67" s="21"/>
      <c r="P67" s="21"/>
      <c r="Q67" s="21"/>
      <c r="R67" s="32"/>
      <c r="S67" s="32"/>
      <c r="T67" s="21" t="s">
        <v>58</v>
      </c>
      <c r="U67" s="46" t="s">
        <v>28</v>
      </c>
      <c r="V67" s="46" t="s">
        <v>28</v>
      </c>
      <c r="W67" s="21" t="s">
        <v>36</v>
      </c>
      <c r="X67" s="21" t="s">
        <v>28</v>
      </c>
    </row>
    <row r="68" customFormat="false" ht="15.75" hidden="false" customHeight="false" outlineLevel="0" collapsed="false">
      <c r="A68" s="61" t="n">
        <v>6861</v>
      </c>
      <c r="B68" s="29" t="n">
        <v>44883</v>
      </c>
      <c r="C68" s="21" t="s">
        <v>133</v>
      </c>
      <c r="D68" s="21" t="s">
        <v>24</v>
      </c>
      <c r="E68" s="21" t="s">
        <v>25</v>
      </c>
      <c r="F68" s="21" t="s">
        <v>2539</v>
      </c>
      <c r="G68" s="30" t="s">
        <v>2540</v>
      </c>
      <c r="H68" s="45" t="str">
        <f aca="false">HYPERLINK("https://photos.app.goo.gl/J3bEiiyTVMS7EpsU9", "Completo")</f>
        <v>Completo</v>
      </c>
      <c r="I68" s="21" t="s">
        <v>28</v>
      </c>
      <c r="J68" s="21"/>
      <c r="K68" s="21"/>
      <c r="L68" s="21"/>
      <c r="M68" s="21"/>
      <c r="N68" s="30"/>
      <c r="O68" s="21"/>
      <c r="P68" s="21"/>
      <c r="Q68" s="21"/>
      <c r="R68" s="32" t="s">
        <v>25</v>
      </c>
      <c r="S68" s="32"/>
      <c r="T68" s="21" t="s">
        <v>74</v>
      </c>
      <c r="U68" s="46" t="s">
        <v>28</v>
      </c>
      <c r="V68" s="46" t="s">
        <v>28</v>
      </c>
      <c r="W68" s="21" t="s">
        <v>36</v>
      </c>
      <c r="X68" s="21" t="s">
        <v>28</v>
      </c>
    </row>
    <row r="69" customFormat="false" ht="15.75" hidden="false" customHeight="false" outlineLevel="0" collapsed="false">
      <c r="A69" s="61" t="n">
        <v>6862</v>
      </c>
      <c r="B69" s="29" t="n">
        <v>44883</v>
      </c>
      <c r="C69" s="21" t="s">
        <v>841</v>
      </c>
      <c r="D69" s="21" t="s">
        <v>24</v>
      </c>
      <c r="E69" s="21" t="s">
        <v>34</v>
      </c>
      <c r="F69" s="21" t="s">
        <v>2541</v>
      </c>
      <c r="G69" s="30"/>
      <c r="H69" s="31"/>
      <c r="I69" s="21"/>
      <c r="J69" s="21"/>
      <c r="K69" s="21"/>
      <c r="L69" s="21"/>
      <c r="M69" s="21"/>
      <c r="N69" s="30"/>
      <c r="O69" s="21"/>
      <c r="P69" s="21"/>
      <c r="Q69" s="21"/>
      <c r="R69" s="32"/>
      <c r="S69" s="32"/>
      <c r="T69" s="21"/>
      <c r="U69" s="21"/>
      <c r="V69" s="21"/>
      <c r="W69" s="21"/>
      <c r="X69" s="21" t="s">
        <v>28</v>
      </c>
    </row>
    <row r="70" customFormat="false" ht="15.75" hidden="false" customHeight="false" outlineLevel="0" collapsed="false">
      <c r="A70" s="61" t="n">
        <v>6863</v>
      </c>
      <c r="B70" s="29" t="n">
        <v>44883</v>
      </c>
      <c r="C70" s="21" t="s">
        <v>1456</v>
      </c>
      <c r="D70" s="21" t="s">
        <v>24</v>
      </c>
      <c r="E70" s="21" t="s">
        <v>34</v>
      </c>
      <c r="F70" s="21" t="s">
        <v>2542</v>
      </c>
      <c r="G70" s="30"/>
      <c r="H70" s="31"/>
      <c r="I70" s="21"/>
      <c r="J70" s="21"/>
      <c r="K70" s="21"/>
      <c r="L70" s="21"/>
      <c r="M70" s="21"/>
      <c r="N70" s="30"/>
      <c r="O70" s="21"/>
      <c r="P70" s="21"/>
      <c r="Q70" s="21"/>
      <c r="R70" s="32"/>
      <c r="S70" s="32"/>
      <c r="T70" s="21"/>
      <c r="U70" s="21"/>
      <c r="V70" s="21"/>
      <c r="W70" s="21"/>
      <c r="X70" s="21" t="s">
        <v>28</v>
      </c>
    </row>
    <row r="71" customFormat="false" ht="15.75" hidden="false" customHeight="false" outlineLevel="0" collapsed="false">
      <c r="A71" s="61" t="n">
        <v>6884</v>
      </c>
      <c r="B71" s="29" t="n">
        <v>44887</v>
      </c>
      <c r="C71" s="21" t="s">
        <v>2543</v>
      </c>
      <c r="D71" s="21" t="s">
        <v>24</v>
      </c>
      <c r="E71" s="21" t="s">
        <v>34</v>
      </c>
      <c r="F71" s="21" t="s">
        <v>2544</v>
      </c>
      <c r="G71" s="30"/>
      <c r="H71" s="31"/>
      <c r="I71" s="21"/>
      <c r="J71" s="21"/>
      <c r="K71" s="21"/>
      <c r="L71" s="21"/>
      <c r="M71" s="21"/>
      <c r="N71" s="30"/>
      <c r="O71" s="21"/>
      <c r="P71" s="21"/>
      <c r="Q71" s="21"/>
      <c r="R71" s="32"/>
      <c r="S71" s="32"/>
      <c r="T71" s="21"/>
      <c r="U71" s="21"/>
      <c r="V71" s="21"/>
      <c r="W71" s="21"/>
      <c r="X71" s="21" t="s">
        <v>28</v>
      </c>
    </row>
    <row r="72" customFormat="false" ht="15.75" hidden="false" customHeight="false" outlineLevel="0" collapsed="false">
      <c r="A72" s="61" t="n">
        <v>6885</v>
      </c>
      <c r="B72" s="29" t="n">
        <v>44888</v>
      </c>
      <c r="C72" s="21" t="s">
        <v>2507</v>
      </c>
      <c r="D72" s="21" t="s">
        <v>24</v>
      </c>
      <c r="E72" s="21" t="s">
        <v>34</v>
      </c>
      <c r="F72" s="21" t="s">
        <v>2545</v>
      </c>
      <c r="G72" s="30"/>
      <c r="H72" s="31"/>
      <c r="I72" s="21"/>
      <c r="J72" s="21"/>
      <c r="K72" s="21"/>
      <c r="L72" s="21"/>
      <c r="M72" s="21"/>
      <c r="N72" s="30"/>
      <c r="O72" s="21"/>
      <c r="P72" s="21"/>
      <c r="Q72" s="21"/>
      <c r="R72" s="32"/>
      <c r="S72" s="32"/>
      <c r="T72" s="21"/>
      <c r="U72" s="21"/>
      <c r="V72" s="21"/>
      <c r="W72" s="21"/>
      <c r="X72" s="21" t="s">
        <v>28</v>
      </c>
    </row>
    <row r="73" customFormat="false" ht="15.75" hidden="false" customHeight="false" outlineLevel="0" collapsed="false">
      <c r="A73" s="61" t="n">
        <v>6886</v>
      </c>
      <c r="B73" s="29" t="n">
        <v>44888</v>
      </c>
      <c r="C73" s="21" t="s">
        <v>1567</v>
      </c>
      <c r="D73" s="21" t="s">
        <v>24</v>
      </c>
      <c r="E73" s="21" t="s">
        <v>34</v>
      </c>
      <c r="F73" s="21" t="s">
        <v>2156</v>
      </c>
      <c r="G73" s="30"/>
      <c r="H73" s="31"/>
      <c r="I73" s="21"/>
      <c r="J73" s="21"/>
      <c r="K73" s="21"/>
      <c r="L73" s="21"/>
      <c r="M73" s="21"/>
      <c r="N73" s="30"/>
      <c r="O73" s="21"/>
      <c r="P73" s="21"/>
      <c r="Q73" s="21"/>
      <c r="R73" s="32"/>
      <c r="S73" s="32"/>
      <c r="T73" s="21"/>
      <c r="U73" s="21"/>
      <c r="V73" s="21"/>
      <c r="W73" s="21"/>
      <c r="X73" s="21" t="s">
        <v>28</v>
      </c>
    </row>
    <row r="74" customFormat="false" ht="15.75" hidden="false" customHeight="false" outlineLevel="0" collapsed="false">
      <c r="A74" s="61" t="n">
        <v>6887</v>
      </c>
      <c r="B74" s="29" t="n">
        <v>44890</v>
      </c>
      <c r="C74" s="21" t="s">
        <v>593</v>
      </c>
      <c r="D74" s="21" t="s">
        <v>24</v>
      </c>
      <c r="E74" s="21" t="s">
        <v>34</v>
      </c>
      <c r="F74" s="21" t="s">
        <v>2546</v>
      </c>
      <c r="G74" s="30"/>
      <c r="H74" s="31"/>
      <c r="I74" s="21"/>
      <c r="J74" s="21"/>
      <c r="K74" s="21"/>
      <c r="L74" s="21"/>
      <c r="M74" s="21"/>
      <c r="N74" s="30"/>
      <c r="O74" s="21"/>
      <c r="P74" s="21"/>
      <c r="Q74" s="21"/>
      <c r="R74" s="32"/>
      <c r="S74" s="32"/>
      <c r="T74" s="21"/>
      <c r="U74" s="21"/>
      <c r="V74" s="21"/>
      <c r="W74" s="21"/>
      <c r="X74" s="21" t="s">
        <v>28</v>
      </c>
    </row>
    <row r="75" customFormat="false" ht="15.75" hidden="false" customHeight="false" outlineLevel="0" collapsed="false">
      <c r="A75" s="61" t="n">
        <v>6888</v>
      </c>
      <c r="B75" s="29" t="n">
        <v>44890</v>
      </c>
      <c r="C75" s="21" t="s">
        <v>2547</v>
      </c>
      <c r="D75" s="21" t="s">
        <v>24</v>
      </c>
      <c r="E75" s="21" t="s">
        <v>25</v>
      </c>
      <c r="F75" s="21" t="s">
        <v>2548</v>
      </c>
      <c r="G75" s="30" t="s">
        <v>131</v>
      </c>
      <c r="H75" s="45" t="str">
        <f aca="false">HYPERLINK("https://photos.app.goo.gl/4sqQowwvyzVP2wMg9", "Completo")</f>
        <v>Completo</v>
      </c>
      <c r="I75" s="21"/>
      <c r="J75" s="21" t="n">
        <v>3516186262</v>
      </c>
      <c r="K75" s="21"/>
      <c r="L75" s="21"/>
      <c r="M75" s="21"/>
      <c r="N75" s="30"/>
      <c r="O75" s="21"/>
      <c r="P75" s="21"/>
      <c r="Q75" s="21"/>
      <c r="R75" s="32"/>
      <c r="S75" s="32"/>
      <c r="T75" s="21"/>
      <c r="U75" s="21"/>
      <c r="V75" s="21"/>
      <c r="W75" s="21"/>
      <c r="X75" s="21" t="s">
        <v>28</v>
      </c>
    </row>
    <row r="76" customFormat="false" ht="15.75" hidden="false" customHeight="false" outlineLevel="0" collapsed="false">
      <c r="A76" s="61" t="n">
        <v>6889</v>
      </c>
      <c r="B76" s="29" t="n">
        <v>44890</v>
      </c>
      <c r="C76" s="21" t="s">
        <v>2549</v>
      </c>
      <c r="D76" s="21" t="s">
        <v>24</v>
      </c>
      <c r="E76" s="21" t="s">
        <v>74</v>
      </c>
      <c r="F76" s="21" t="s">
        <v>1475</v>
      </c>
      <c r="G76" s="30"/>
      <c r="H76" s="45" t="str">
        <f aca="false">HYPERLINK("https://photos.app.goo.gl/miVG48tFs6SSsfHR8", "Completo")</f>
        <v>Completo</v>
      </c>
      <c r="I76" s="21" t="s">
        <v>28</v>
      </c>
      <c r="J76" s="21"/>
      <c r="K76" s="21"/>
      <c r="L76" s="21"/>
      <c r="M76" s="21"/>
      <c r="N76" s="30"/>
      <c r="O76" s="21" t="s">
        <v>28</v>
      </c>
      <c r="P76" s="46" t="s">
        <v>28</v>
      </c>
      <c r="Q76" s="21" t="s">
        <v>73</v>
      </c>
      <c r="R76" s="32" t="s">
        <v>74</v>
      </c>
      <c r="S76" s="32" t="s">
        <v>36</v>
      </c>
      <c r="T76" s="21" t="s">
        <v>74</v>
      </c>
      <c r="U76" s="46" t="s">
        <v>28</v>
      </c>
      <c r="V76" s="46" t="s">
        <v>28</v>
      </c>
      <c r="W76" s="21" t="s">
        <v>36</v>
      </c>
      <c r="X76" s="21" t="s">
        <v>28</v>
      </c>
    </row>
    <row r="77" customFormat="false" ht="15.75" hidden="false" customHeight="false" outlineLevel="0" collapsed="false">
      <c r="A77" s="61" t="n">
        <v>6890</v>
      </c>
      <c r="B77" s="29" t="n">
        <v>44894</v>
      </c>
      <c r="C77" s="21" t="s">
        <v>709</v>
      </c>
      <c r="D77" s="21" t="s">
        <v>24</v>
      </c>
      <c r="E77" s="21" t="s">
        <v>34</v>
      </c>
      <c r="F77" s="21" t="s">
        <v>2550</v>
      </c>
      <c r="G77" s="30"/>
      <c r="H77" s="31"/>
      <c r="I77" s="21"/>
      <c r="J77" s="21"/>
      <c r="K77" s="21"/>
      <c r="L77" s="21"/>
      <c r="M77" s="21"/>
      <c r="N77" s="30"/>
      <c r="O77" s="21"/>
      <c r="P77" s="21"/>
      <c r="Q77" s="21"/>
      <c r="R77" s="32"/>
      <c r="S77" s="32"/>
      <c r="T77" s="21"/>
      <c r="U77" s="21"/>
      <c r="V77" s="21"/>
      <c r="W77" s="21"/>
      <c r="X77" s="21" t="s">
        <v>28</v>
      </c>
    </row>
    <row r="78" customFormat="false" ht="15.75" hidden="false" customHeight="false" outlineLevel="0" collapsed="false">
      <c r="A78" s="61" t="n">
        <v>6891</v>
      </c>
      <c r="B78" s="29" t="n">
        <v>44894</v>
      </c>
      <c r="C78" s="21" t="s">
        <v>709</v>
      </c>
      <c r="D78" s="21" t="s">
        <v>24</v>
      </c>
      <c r="E78" s="21" t="s">
        <v>34</v>
      </c>
      <c r="F78" s="21" t="s">
        <v>2551</v>
      </c>
      <c r="G78" s="30"/>
      <c r="H78" s="31"/>
      <c r="I78" s="21"/>
      <c r="J78" s="21"/>
      <c r="K78" s="21"/>
      <c r="L78" s="21"/>
      <c r="M78" s="21"/>
      <c r="N78" s="30"/>
      <c r="O78" s="21"/>
      <c r="P78" s="21"/>
      <c r="Q78" s="21"/>
      <c r="R78" s="32"/>
      <c r="S78" s="32"/>
      <c r="T78" s="21"/>
      <c r="U78" s="21"/>
      <c r="V78" s="21"/>
      <c r="W78" s="21"/>
      <c r="X78" s="21" t="s">
        <v>28</v>
      </c>
    </row>
    <row r="79" customFormat="false" ht="15.75" hidden="false" customHeight="false" outlineLevel="0" collapsed="false">
      <c r="A79" s="61" t="n">
        <v>6892</v>
      </c>
      <c r="B79" s="29" t="n">
        <v>44894</v>
      </c>
      <c r="C79" s="21" t="s">
        <v>709</v>
      </c>
      <c r="D79" s="21" t="s">
        <v>24</v>
      </c>
      <c r="E79" s="21" t="s">
        <v>34</v>
      </c>
      <c r="F79" s="21" t="s">
        <v>2552</v>
      </c>
      <c r="G79" s="30"/>
      <c r="H79" s="31"/>
      <c r="I79" s="21"/>
      <c r="J79" s="21"/>
      <c r="K79" s="21"/>
      <c r="L79" s="21"/>
      <c r="M79" s="21"/>
      <c r="N79" s="30"/>
      <c r="O79" s="21"/>
      <c r="P79" s="21"/>
      <c r="Q79" s="21"/>
      <c r="R79" s="32"/>
      <c r="S79" s="32"/>
      <c r="T79" s="21"/>
      <c r="U79" s="21"/>
      <c r="V79" s="21"/>
      <c r="W79" s="21"/>
      <c r="X79" s="21" t="s">
        <v>28</v>
      </c>
    </row>
    <row r="80" customFormat="false" ht="15.75" hidden="false" customHeight="false" outlineLevel="0" collapsed="false">
      <c r="A80" s="61" t="n">
        <v>6893</v>
      </c>
      <c r="B80" s="29" t="n">
        <v>44894</v>
      </c>
      <c r="C80" s="21" t="s">
        <v>2553</v>
      </c>
      <c r="D80" s="21" t="s">
        <v>24</v>
      </c>
      <c r="E80" s="21" t="s">
        <v>25</v>
      </c>
      <c r="F80" s="21" t="s">
        <v>2554</v>
      </c>
      <c r="G80" s="30" t="s">
        <v>2555</v>
      </c>
      <c r="H80" s="45" t="str">
        <f aca="false">HYPERLINK("https://photos.app.goo.gl/YbdBgLAoKbwQF5UG9", "Completo")</f>
        <v>Completo</v>
      </c>
      <c r="I80" s="21" t="s">
        <v>28</v>
      </c>
      <c r="J80" s="21"/>
      <c r="K80" s="21"/>
      <c r="L80" s="21"/>
      <c r="M80" s="21"/>
      <c r="N80" s="30"/>
      <c r="O80" s="21" t="s">
        <v>28</v>
      </c>
      <c r="P80" s="46" t="s">
        <v>28</v>
      </c>
      <c r="Q80" s="21" t="s">
        <v>73</v>
      </c>
      <c r="R80" s="32" t="s">
        <v>58</v>
      </c>
      <c r="S80" s="32" t="s">
        <v>36</v>
      </c>
      <c r="T80" s="21" t="s">
        <v>74</v>
      </c>
      <c r="U80" s="46" t="s">
        <v>28</v>
      </c>
      <c r="V80" s="46" t="s">
        <v>28</v>
      </c>
      <c r="W80" s="21" t="s">
        <v>36</v>
      </c>
      <c r="X80" s="21" t="s">
        <v>28</v>
      </c>
    </row>
    <row r="81" customFormat="false" ht="15.75" hidden="false" customHeight="false" outlineLevel="0" collapsed="false">
      <c r="A81" s="61" t="n">
        <v>6894</v>
      </c>
      <c r="B81" s="29" t="n">
        <v>44894</v>
      </c>
      <c r="C81" s="21" t="s">
        <v>2553</v>
      </c>
      <c r="D81" s="21" t="s">
        <v>24</v>
      </c>
      <c r="E81" s="21" t="s">
        <v>25</v>
      </c>
      <c r="F81" s="21" t="s">
        <v>2556</v>
      </c>
      <c r="G81" s="30" t="s">
        <v>2557</v>
      </c>
      <c r="H81" s="45" t="str">
        <f aca="false">HYPERLINK("https://photos.app.goo.gl/7PmMsrwQGsGW2sWE8", "Completo")</f>
        <v>Completo</v>
      </c>
      <c r="I81" s="21" t="s">
        <v>28</v>
      </c>
      <c r="J81" s="21"/>
      <c r="K81" s="21"/>
      <c r="L81" s="21"/>
      <c r="M81" s="21"/>
      <c r="N81" s="30"/>
      <c r="O81" s="21" t="s">
        <v>28</v>
      </c>
      <c r="P81" s="46" t="s">
        <v>28</v>
      </c>
      <c r="Q81" s="21" t="s">
        <v>73</v>
      </c>
      <c r="R81" s="32" t="s">
        <v>58</v>
      </c>
      <c r="S81" s="32" t="s">
        <v>36</v>
      </c>
      <c r="T81" s="21" t="s">
        <v>74</v>
      </c>
      <c r="U81" s="46" t="s">
        <v>28</v>
      </c>
      <c r="V81" s="46" t="s">
        <v>28</v>
      </c>
      <c r="W81" s="21" t="s">
        <v>36</v>
      </c>
      <c r="X81" s="21" t="s">
        <v>28</v>
      </c>
    </row>
    <row r="82" customFormat="false" ht="15.75" hidden="false" customHeight="false" outlineLevel="0" collapsed="false">
      <c r="A82" s="61" t="n">
        <v>6895</v>
      </c>
      <c r="B82" s="29" t="n">
        <v>44894</v>
      </c>
      <c r="C82" s="21" t="s">
        <v>2553</v>
      </c>
      <c r="D82" s="21" t="s">
        <v>24</v>
      </c>
      <c r="E82" s="21" t="s">
        <v>25</v>
      </c>
      <c r="F82" s="21" t="s">
        <v>2556</v>
      </c>
      <c r="G82" s="30" t="s">
        <v>2558</v>
      </c>
      <c r="H82" s="45" t="str">
        <f aca="false">HYPERLINK("https://photos.app.goo.gl/zYfKkav2vjVQiBaK7", "Completo")</f>
        <v>Completo</v>
      </c>
      <c r="I82" s="21" t="s">
        <v>28</v>
      </c>
      <c r="J82" s="21"/>
      <c r="K82" s="21"/>
      <c r="L82" s="21"/>
      <c r="M82" s="21"/>
      <c r="N82" s="30"/>
      <c r="O82" s="21" t="s">
        <v>28</v>
      </c>
      <c r="P82" s="46" t="s">
        <v>28</v>
      </c>
      <c r="Q82" s="21" t="s">
        <v>73</v>
      </c>
      <c r="R82" s="32" t="s">
        <v>58</v>
      </c>
      <c r="S82" s="32" t="s">
        <v>36</v>
      </c>
      <c r="T82" s="21" t="s">
        <v>74</v>
      </c>
      <c r="U82" s="46" t="s">
        <v>28</v>
      </c>
      <c r="V82" s="46" t="s">
        <v>28</v>
      </c>
      <c r="W82" s="21" t="s">
        <v>36</v>
      </c>
      <c r="X82" s="21" t="s">
        <v>28</v>
      </c>
    </row>
    <row r="83" customFormat="false" ht="15.75" hidden="false" customHeight="false" outlineLevel="0" collapsed="false">
      <c r="A83" s="61" t="n">
        <v>6896</v>
      </c>
      <c r="B83" s="29" t="n">
        <v>44894</v>
      </c>
      <c r="C83" s="21" t="s">
        <v>2559</v>
      </c>
      <c r="D83" s="21" t="s">
        <v>24</v>
      </c>
      <c r="E83" s="21" t="s">
        <v>25</v>
      </c>
      <c r="F83" s="21" t="s">
        <v>2556</v>
      </c>
      <c r="G83" s="30" t="s">
        <v>2560</v>
      </c>
      <c r="H83" s="45" t="str">
        <f aca="false">HYPERLINK("https://photos.app.goo.gl/CJ3QMYswuGhjk66v5", "Completo")</f>
        <v>Completo</v>
      </c>
      <c r="I83" s="21" t="s">
        <v>28</v>
      </c>
      <c r="J83" s="21"/>
      <c r="K83" s="21"/>
      <c r="L83" s="21"/>
      <c r="M83" s="21"/>
      <c r="N83" s="30"/>
      <c r="O83" s="21" t="s">
        <v>28</v>
      </c>
      <c r="P83" s="46" t="s">
        <v>28</v>
      </c>
      <c r="Q83" s="21" t="s">
        <v>73</v>
      </c>
      <c r="R83" s="32" t="s">
        <v>58</v>
      </c>
      <c r="S83" s="32" t="s">
        <v>36</v>
      </c>
      <c r="T83" s="21" t="s">
        <v>58</v>
      </c>
      <c r="U83" s="46" t="s">
        <v>28</v>
      </c>
      <c r="V83" s="46" t="s">
        <v>28</v>
      </c>
      <c r="W83" s="21" t="s">
        <v>36</v>
      </c>
      <c r="X83" s="21" t="s">
        <v>28</v>
      </c>
    </row>
    <row r="84" customFormat="false" ht="15.75" hidden="false" customHeight="false" outlineLevel="0" collapsed="false">
      <c r="A84" s="61" t="n">
        <v>6897</v>
      </c>
      <c r="B84" s="29" t="n">
        <v>44894</v>
      </c>
      <c r="C84" s="21" t="s">
        <v>2553</v>
      </c>
      <c r="D84" s="21" t="s">
        <v>24</v>
      </c>
      <c r="E84" s="21" t="s">
        <v>25</v>
      </c>
      <c r="F84" s="21" t="s">
        <v>2561</v>
      </c>
      <c r="G84" s="30" t="s">
        <v>2562</v>
      </c>
      <c r="H84" s="45" t="str">
        <f aca="false">HYPERLINK("https://photos.app.goo.gl/dBVhWH4r9oL7Dzj48", "Completo")</f>
        <v>Completo</v>
      </c>
      <c r="I84" s="21" t="s">
        <v>28</v>
      </c>
      <c r="J84" s="21"/>
      <c r="K84" s="21"/>
      <c r="L84" s="21"/>
      <c r="M84" s="21"/>
      <c r="N84" s="30"/>
      <c r="O84" s="21" t="s">
        <v>28</v>
      </c>
      <c r="P84" s="46" t="s">
        <v>28</v>
      </c>
      <c r="Q84" s="21" t="s">
        <v>73</v>
      </c>
      <c r="R84" s="32" t="s">
        <v>58</v>
      </c>
      <c r="S84" s="32" t="s">
        <v>36</v>
      </c>
      <c r="T84" s="21" t="s">
        <v>58</v>
      </c>
      <c r="U84" s="46" t="s">
        <v>28</v>
      </c>
      <c r="V84" s="46" t="s">
        <v>28</v>
      </c>
      <c r="W84" s="21" t="s">
        <v>36</v>
      </c>
      <c r="X84" s="21" t="s">
        <v>28</v>
      </c>
    </row>
    <row r="85" customFormat="false" ht="15.75" hidden="false" customHeight="false" outlineLevel="0" collapsed="false">
      <c r="A85" s="61" t="n">
        <v>6898</v>
      </c>
      <c r="B85" s="29" t="n">
        <v>44894</v>
      </c>
      <c r="C85" s="21" t="s">
        <v>2563</v>
      </c>
      <c r="D85" s="21" t="s">
        <v>24</v>
      </c>
      <c r="E85" s="21" t="s">
        <v>34</v>
      </c>
      <c r="F85" s="21" t="s">
        <v>2564</v>
      </c>
      <c r="G85" s="30"/>
      <c r="H85" s="31"/>
      <c r="I85" s="21"/>
      <c r="J85" s="21"/>
      <c r="K85" s="21"/>
      <c r="L85" s="21"/>
      <c r="M85" s="21"/>
      <c r="N85" s="30"/>
      <c r="O85" s="21"/>
      <c r="P85" s="21"/>
      <c r="Q85" s="21"/>
      <c r="R85" s="32"/>
      <c r="S85" s="32"/>
      <c r="T85" s="21"/>
      <c r="U85" s="21"/>
      <c r="V85" s="21"/>
      <c r="W85" s="21"/>
      <c r="X85" s="21" t="s">
        <v>28</v>
      </c>
    </row>
    <row r="86" customFormat="false" ht="15.75" hidden="false" customHeight="false" outlineLevel="0" collapsed="false">
      <c r="A86" s="61"/>
      <c r="B86" s="29"/>
      <c r="C86" s="21"/>
      <c r="D86" s="21"/>
      <c r="E86" s="21"/>
      <c r="F86" s="21"/>
      <c r="G86" s="30"/>
      <c r="H86" s="31"/>
      <c r="I86" s="21"/>
      <c r="J86" s="21"/>
      <c r="K86" s="21"/>
      <c r="L86" s="21"/>
      <c r="M86" s="21"/>
      <c r="N86" s="30"/>
      <c r="O86" s="21"/>
      <c r="P86" s="21"/>
      <c r="Q86" s="21"/>
      <c r="R86" s="32"/>
      <c r="S86" s="32"/>
      <c r="T86" s="21"/>
      <c r="U86" s="21"/>
      <c r="V86" s="21"/>
      <c r="W86" s="21"/>
      <c r="X86" s="21"/>
    </row>
    <row r="87" customFormat="false" ht="15.75" hidden="false" customHeight="false" outlineLevel="0" collapsed="false">
      <c r="A87" s="61"/>
      <c r="B87" s="29"/>
      <c r="C87" s="21"/>
      <c r="D87" s="21"/>
      <c r="E87" s="21"/>
      <c r="F87" s="21"/>
      <c r="G87" s="30"/>
      <c r="H87" s="31"/>
      <c r="I87" s="21"/>
      <c r="J87" s="21"/>
      <c r="K87" s="21"/>
      <c r="L87" s="21"/>
      <c r="M87" s="21"/>
      <c r="N87" s="30"/>
      <c r="O87" s="21"/>
      <c r="P87" s="21"/>
      <c r="Q87" s="21"/>
      <c r="R87" s="32"/>
      <c r="S87" s="32"/>
      <c r="T87" s="21"/>
      <c r="U87" s="21"/>
      <c r="V87" s="21"/>
      <c r="W87" s="21"/>
      <c r="X87" s="21"/>
    </row>
    <row r="88" customFormat="false" ht="15.75" hidden="false" customHeight="false" outlineLevel="0" collapsed="false">
      <c r="A88" s="61"/>
      <c r="B88" s="29"/>
      <c r="C88" s="21"/>
      <c r="D88" s="21"/>
      <c r="E88" s="21"/>
      <c r="F88" s="21"/>
      <c r="G88" s="30"/>
      <c r="H88" s="31"/>
      <c r="I88" s="21"/>
      <c r="J88" s="21"/>
      <c r="K88" s="21"/>
      <c r="L88" s="21"/>
      <c r="M88" s="21"/>
      <c r="N88" s="30"/>
      <c r="O88" s="21"/>
      <c r="P88" s="21"/>
      <c r="Q88" s="21"/>
      <c r="R88" s="32"/>
      <c r="S88" s="32"/>
      <c r="T88" s="21"/>
      <c r="U88" s="21"/>
      <c r="V88" s="21"/>
      <c r="W88" s="21"/>
      <c r="X88" s="21"/>
    </row>
    <row r="89" customFormat="false" ht="15.75" hidden="false" customHeight="false" outlineLevel="0" collapsed="false">
      <c r="A89" s="61"/>
      <c r="B89" s="29"/>
      <c r="C89" s="21"/>
      <c r="D89" s="21"/>
      <c r="E89" s="21"/>
      <c r="F89" s="21"/>
      <c r="G89" s="30"/>
      <c r="H89" s="31"/>
      <c r="I89" s="21"/>
      <c r="J89" s="21"/>
      <c r="K89" s="21"/>
      <c r="L89" s="21"/>
      <c r="M89" s="21"/>
      <c r="N89" s="30"/>
      <c r="O89" s="21"/>
      <c r="P89" s="21"/>
      <c r="Q89" s="21"/>
      <c r="R89" s="32"/>
      <c r="S89" s="32"/>
      <c r="T89" s="21"/>
      <c r="U89" s="21"/>
      <c r="V89" s="21"/>
      <c r="W89" s="21"/>
      <c r="X89" s="21"/>
    </row>
    <row r="90" customFormat="false" ht="15.75" hidden="false" customHeight="false" outlineLevel="0" collapsed="false">
      <c r="A90" s="61"/>
      <c r="B90" s="29"/>
      <c r="C90" s="21"/>
      <c r="D90" s="21"/>
      <c r="E90" s="21"/>
      <c r="F90" s="21"/>
      <c r="G90" s="30"/>
      <c r="H90" s="31"/>
      <c r="I90" s="21"/>
      <c r="J90" s="21"/>
      <c r="K90" s="21"/>
      <c r="L90" s="21"/>
      <c r="M90" s="21"/>
      <c r="N90" s="30"/>
      <c r="O90" s="21"/>
      <c r="P90" s="21"/>
      <c r="Q90" s="21"/>
      <c r="R90" s="32"/>
      <c r="S90" s="32"/>
      <c r="T90" s="21"/>
      <c r="U90" s="21"/>
      <c r="V90" s="21"/>
      <c r="W90" s="21"/>
      <c r="X90" s="21"/>
    </row>
    <row r="91" customFormat="false" ht="15.75" hidden="false" customHeight="false" outlineLevel="0" collapsed="false">
      <c r="A91" s="61"/>
      <c r="B91" s="29"/>
      <c r="C91" s="21"/>
      <c r="D91" s="21"/>
      <c r="E91" s="21"/>
      <c r="F91" s="21"/>
      <c r="G91" s="30"/>
      <c r="H91" s="31"/>
      <c r="I91" s="21"/>
      <c r="J91" s="21"/>
      <c r="K91" s="21"/>
      <c r="L91" s="21"/>
      <c r="M91" s="21"/>
      <c r="N91" s="30"/>
      <c r="O91" s="21"/>
      <c r="P91" s="21"/>
      <c r="Q91" s="21"/>
      <c r="R91" s="32"/>
      <c r="S91" s="32"/>
      <c r="T91" s="21"/>
      <c r="U91" s="21"/>
      <c r="V91" s="21"/>
      <c r="W91" s="21"/>
      <c r="X91" s="21"/>
    </row>
    <row r="92" customFormat="false" ht="15.75" hidden="false" customHeight="false" outlineLevel="0" collapsed="false">
      <c r="A92" s="61"/>
      <c r="B92" s="29"/>
      <c r="C92" s="21"/>
      <c r="D92" s="21"/>
      <c r="E92" s="21"/>
      <c r="F92" s="21"/>
      <c r="G92" s="30"/>
      <c r="H92" s="31"/>
      <c r="I92" s="21"/>
      <c r="J92" s="21"/>
      <c r="K92" s="21"/>
      <c r="L92" s="21"/>
      <c r="M92" s="21"/>
      <c r="N92" s="30"/>
      <c r="O92" s="21"/>
      <c r="P92" s="21"/>
      <c r="Q92" s="21"/>
      <c r="R92" s="32"/>
      <c r="S92" s="32"/>
      <c r="T92" s="21"/>
      <c r="U92" s="21"/>
      <c r="V92" s="21"/>
      <c r="W92" s="21"/>
      <c r="X92" s="21"/>
    </row>
    <row r="93" customFormat="false" ht="15.75" hidden="false" customHeight="false" outlineLevel="0" collapsed="false">
      <c r="A93" s="61"/>
      <c r="B93" s="29"/>
      <c r="C93" s="21"/>
      <c r="D93" s="21"/>
      <c r="E93" s="21"/>
      <c r="F93" s="21"/>
      <c r="G93" s="30"/>
      <c r="H93" s="31"/>
      <c r="I93" s="21"/>
      <c r="J93" s="21"/>
      <c r="K93" s="21"/>
      <c r="L93" s="21"/>
      <c r="M93" s="21"/>
      <c r="N93" s="30"/>
      <c r="O93" s="21"/>
      <c r="P93" s="21"/>
      <c r="Q93" s="21"/>
      <c r="R93" s="32"/>
      <c r="S93" s="32"/>
      <c r="T93" s="21"/>
      <c r="U93" s="21"/>
      <c r="V93" s="21"/>
      <c r="W93" s="21"/>
      <c r="X93" s="21"/>
    </row>
    <row r="94" customFormat="false" ht="15.75" hidden="false" customHeight="false" outlineLevel="0" collapsed="false">
      <c r="A94" s="61"/>
      <c r="B94" s="29"/>
      <c r="C94" s="21"/>
      <c r="D94" s="21"/>
      <c r="E94" s="21"/>
      <c r="F94" s="21"/>
      <c r="G94" s="30"/>
      <c r="H94" s="31"/>
      <c r="I94" s="21"/>
      <c r="J94" s="21"/>
      <c r="K94" s="21"/>
      <c r="L94" s="21"/>
      <c r="M94" s="21"/>
      <c r="N94" s="30"/>
      <c r="O94" s="21"/>
      <c r="P94" s="21"/>
      <c r="Q94" s="21"/>
      <c r="R94" s="32"/>
      <c r="S94" s="32"/>
      <c r="T94" s="21"/>
      <c r="U94" s="21"/>
      <c r="V94" s="21"/>
      <c r="W94" s="21"/>
      <c r="X94" s="21"/>
    </row>
    <row r="95" customFormat="false" ht="15.75" hidden="false" customHeight="false" outlineLevel="0" collapsed="false">
      <c r="A95" s="61"/>
      <c r="B95" s="29"/>
      <c r="C95" s="21"/>
      <c r="D95" s="21"/>
      <c r="E95" s="21"/>
      <c r="F95" s="21"/>
      <c r="G95" s="30"/>
      <c r="H95" s="31"/>
      <c r="I95" s="21"/>
      <c r="J95" s="21"/>
      <c r="K95" s="21"/>
      <c r="L95" s="21"/>
      <c r="M95" s="21"/>
      <c r="N95" s="30"/>
      <c r="O95" s="21"/>
      <c r="P95" s="21"/>
      <c r="Q95" s="21"/>
      <c r="R95" s="32"/>
      <c r="S95" s="32"/>
      <c r="T95" s="21"/>
      <c r="U95" s="21"/>
      <c r="V95" s="21"/>
      <c r="W95" s="21"/>
      <c r="X95" s="21"/>
    </row>
    <row r="96" customFormat="false" ht="15.75" hidden="false" customHeight="false" outlineLevel="0" collapsed="false">
      <c r="A96" s="61"/>
      <c r="B96" s="29"/>
      <c r="C96" s="21"/>
      <c r="D96" s="21"/>
      <c r="E96" s="21"/>
      <c r="F96" s="21"/>
      <c r="G96" s="30"/>
      <c r="H96" s="31"/>
      <c r="I96" s="21"/>
      <c r="J96" s="21"/>
      <c r="K96" s="21"/>
      <c r="L96" s="21"/>
      <c r="M96" s="21"/>
      <c r="N96" s="30"/>
      <c r="O96" s="21"/>
      <c r="P96" s="21"/>
      <c r="Q96" s="21"/>
      <c r="R96" s="32"/>
      <c r="S96" s="32"/>
      <c r="T96" s="21"/>
      <c r="U96" s="21"/>
      <c r="V96" s="21"/>
      <c r="W96" s="21"/>
      <c r="X96" s="21"/>
    </row>
    <row r="97" customFormat="false" ht="15.75" hidden="false" customHeight="false" outlineLevel="0" collapsed="false">
      <c r="A97" s="61"/>
      <c r="B97" s="29"/>
      <c r="C97" s="21"/>
      <c r="D97" s="21"/>
      <c r="E97" s="21"/>
      <c r="F97" s="21"/>
      <c r="G97" s="30"/>
      <c r="H97" s="31"/>
      <c r="I97" s="21"/>
      <c r="J97" s="21"/>
      <c r="K97" s="21"/>
      <c r="L97" s="21"/>
      <c r="M97" s="21"/>
      <c r="N97" s="30"/>
      <c r="O97" s="21"/>
      <c r="P97" s="21"/>
      <c r="Q97" s="21"/>
      <c r="R97" s="32"/>
      <c r="S97" s="32"/>
      <c r="T97" s="21"/>
      <c r="U97" s="21"/>
      <c r="V97" s="21"/>
      <c r="W97" s="21"/>
      <c r="X97" s="21"/>
    </row>
    <row r="98" customFormat="false" ht="15.75" hidden="false" customHeight="false" outlineLevel="0" collapsed="false">
      <c r="A98" s="61"/>
      <c r="B98" s="29"/>
      <c r="C98" s="21"/>
      <c r="D98" s="21"/>
      <c r="E98" s="21"/>
      <c r="F98" s="21"/>
      <c r="G98" s="30"/>
      <c r="H98" s="31"/>
      <c r="I98" s="21"/>
      <c r="J98" s="21"/>
      <c r="K98" s="21"/>
      <c r="L98" s="21"/>
      <c r="M98" s="21"/>
      <c r="N98" s="30"/>
      <c r="O98" s="21"/>
      <c r="P98" s="21"/>
      <c r="Q98" s="21"/>
      <c r="R98" s="32"/>
      <c r="S98" s="32"/>
      <c r="T98" s="21"/>
      <c r="U98" s="21"/>
      <c r="V98" s="21"/>
      <c r="W98" s="21"/>
      <c r="X98" s="21"/>
    </row>
    <row r="99" customFormat="false" ht="15.75" hidden="false" customHeight="false" outlineLevel="0" collapsed="false">
      <c r="A99" s="61"/>
      <c r="B99" s="29"/>
      <c r="C99" s="21"/>
      <c r="D99" s="21"/>
      <c r="E99" s="21"/>
      <c r="F99" s="21"/>
      <c r="G99" s="30"/>
      <c r="H99" s="31"/>
      <c r="I99" s="21"/>
      <c r="J99" s="21"/>
      <c r="K99" s="21"/>
      <c r="L99" s="21"/>
      <c r="M99" s="21"/>
      <c r="N99" s="30"/>
      <c r="O99" s="21"/>
      <c r="P99" s="21"/>
      <c r="Q99" s="21"/>
      <c r="R99" s="32"/>
      <c r="S99" s="32"/>
      <c r="T99" s="21"/>
      <c r="U99" s="21"/>
      <c r="V99" s="21"/>
      <c r="W99" s="21"/>
      <c r="X99" s="21"/>
    </row>
    <row r="100" customFormat="false" ht="15.75" hidden="false" customHeight="false" outlineLevel="0" collapsed="false">
      <c r="A100" s="61"/>
      <c r="B100" s="29"/>
      <c r="C100" s="21"/>
      <c r="D100" s="21"/>
      <c r="E100" s="21"/>
      <c r="F100" s="21"/>
      <c r="G100" s="30"/>
      <c r="H100" s="31"/>
      <c r="I100" s="21"/>
      <c r="J100" s="21"/>
      <c r="K100" s="21"/>
      <c r="L100" s="21"/>
      <c r="M100" s="21"/>
      <c r="N100" s="30"/>
      <c r="O100" s="21"/>
      <c r="P100" s="21"/>
      <c r="Q100" s="21"/>
      <c r="R100" s="32"/>
      <c r="S100" s="32"/>
      <c r="T100" s="21"/>
      <c r="U100" s="21"/>
      <c r="V100" s="21"/>
      <c r="W100" s="21"/>
      <c r="X100" s="21"/>
    </row>
    <row r="101" customFormat="false" ht="15.75" hidden="false" customHeight="false" outlineLevel="0" collapsed="false">
      <c r="A101" s="61"/>
      <c r="B101" s="29"/>
      <c r="C101" s="21"/>
      <c r="D101" s="21"/>
      <c r="E101" s="21"/>
      <c r="F101" s="21"/>
      <c r="G101" s="30"/>
      <c r="H101" s="31"/>
      <c r="I101" s="21"/>
      <c r="J101" s="21"/>
      <c r="K101" s="21"/>
      <c r="L101" s="21"/>
      <c r="M101" s="21"/>
      <c r="N101" s="30"/>
      <c r="O101" s="21"/>
      <c r="P101" s="21"/>
      <c r="Q101" s="21"/>
      <c r="R101" s="32"/>
      <c r="S101" s="32"/>
      <c r="T101" s="21"/>
      <c r="U101" s="21"/>
      <c r="V101" s="21"/>
      <c r="W101" s="21"/>
      <c r="X101" s="21"/>
    </row>
    <row r="102" customFormat="false" ht="15.75" hidden="false" customHeight="false" outlineLevel="0" collapsed="false">
      <c r="A102" s="61"/>
      <c r="B102" s="29"/>
      <c r="C102" s="21"/>
      <c r="D102" s="21"/>
      <c r="E102" s="21"/>
      <c r="F102" s="21"/>
      <c r="G102" s="30"/>
      <c r="H102" s="31"/>
      <c r="I102" s="21"/>
      <c r="J102" s="21"/>
      <c r="K102" s="21"/>
      <c r="L102" s="21"/>
      <c r="M102" s="21"/>
      <c r="N102" s="30"/>
      <c r="O102" s="21"/>
      <c r="P102" s="21"/>
      <c r="Q102" s="21"/>
      <c r="R102" s="32"/>
      <c r="S102" s="32"/>
      <c r="T102" s="21"/>
      <c r="U102" s="21"/>
      <c r="V102" s="21"/>
      <c r="W102" s="21"/>
      <c r="X102" s="21"/>
    </row>
    <row r="103" customFormat="false" ht="15.75" hidden="false" customHeight="false" outlineLevel="0" collapsed="false">
      <c r="A103" s="61"/>
      <c r="B103" s="29"/>
      <c r="C103" s="21"/>
      <c r="D103" s="21"/>
      <c r="E103" s="21"/>
      <c r="F103" s="21"/>
      <c r="G103" s="30"/>
      <c r="H103" s="31"/>
      <c r="I103" s="21"/>
      <c r="J103" s="21"/>
      <c r="K103" s="21"/>
      <c r="L103" s="21"/>
      <c r="M103" s="21"/>
      <c r="N103" s="30"/>
      <c r="O103" s="21"/>
      <c r="P103" s="21"/>
      <c r="Q103" s="21"/>
      <c r="R103" s="32"/>
      <c r="S103" s="32"/>
      <c r="T103" s="21"/>
      <c r="U103" s="21"/>
      <c r="V103" s="21"/>
      <c r="W103" s="21"/>
      <c r="X103" s="21"/>
    </row>
    <row r="104" customFormat="false" ht="15.75" hidden="false" customHeight="false" outlineLevel="0" collapsed="false">
      <c r="A104" s="61"/>
      <c r="B104" s="29"/>
      <c r="C104" s="21"/>
      <c r="D104" s="21"/>
      <c r="E104" s="21"/>
      <c r="F104" s="21"/>
      <c r="G104" s="30"/>
      <c r="H104" s="31"/>
      <c r="I104" s="21"/>
      <c r="J104" s="21"/>
      <c r="K104" s="21"/>
      <c r="L104" s="21"/>
      <c r="M104" s="21"/>
      <c r="N104" s="30"/>
      <c r="O104" s="21"/>
      <c r="P104" s="21"/>
      <c r="Q104" s="21"/>
      <c r="R104" s="32"/>
      <c r="S104" s="32"/>
      <c r="T104" s="21"/>
      <c r="U104" s="21"/>
      <c r="V104" s="21"/>
      <c r="W104" s="21"/>
      <c r="X104" s="21"/>
    </row>
    <row r="105" customFormat="false" ht="15.75" hidden="false" customHeight="false" outlineLevel="0" collapsed="false">
      <c r="A105" s="61"/>
      <c r="B105" s="29"/>
      <c r="C105" s="21"/>
      <c r="D105" s="21"/>
      <c r="E105" s="21"/>
      <c r="F105" s="21"/>
      <c r="G105" s="30"/>
      <c r="H105" s="31"/>
      <c r="I105" s="21"/>
      <c r="J105" s="21"/>
      <c r="K105" s="21"/>
      <c r="L105" s="21"/>
      <c r="M105" s="21"/>
      <c r="N105" s="30"/>
      <c r="O105" s="21"/>
      <c r="P105" s="21"/>
      <c r="Q105" s="21"/>
      <c r="R105" s="32"/>
      <c r="S105" s="32"/>
      <c r="T105" s="21"/>
      <c r="U105" s="21"/>
      <c r="V105" s="21"/>
      <c r="W105" s="21"/>
      <c r="X105" s="21"/>
    </row>
    <row r="106" customFormat="false" ht="15.75" hidden="false" customHeight="false" outlineLevel="0" collapsed="false">
      <c r="A106" s="61"/>
      <c r="B106" s="29"/>
      <c r="C106" s="21"/>
      <c r="D106" s="21"/>
      <c r="E106" s="21"/>
      <c r="F106" s="21"/>
      <c r="G106" s="30"/>
      <c r="H106" s="31"/>
      <c r="I106" s="21"/>
      <c r="J106" s="21"/>
      <c r="K106" s="21"/>
      <c r="L106" s="21"/>
      <c r="M106" s="21"/>
      <c r="N106" s="30"/>
      <c r="O106" s="21"/>
      <c r="P106" s="21"/>
      <c r="Q106" s="21"/>
      <c r="R106" s="32"/>
      <c r="S106" s="32"/>
      <c r="T106" s="21"/>
      <c r="U106" s="21"/>
      <c r="V106" s="21"/>
      <c r="W106" s="21"/>
      <c r="X106" s="21"/>
    </row>
    <row r="107" customFormat="false" ht="15.75" hidden="false" customHeight="false" outlineLevel="0" collapsed="false">
      <c r="A107" s="61"/>
      <c r="B107" s="29"/>
      <c r="C107" s="21"/>
      <c r="D107" s="21"/>
      <c r="E107" s="21"/>
      <c r="F107" s="21"/>
      <c r="G107" s="30"/>
      <c r="H107" s="31"/>
      <c r="I107" s="21"/>
      <c r="J107" s="21"/>
      <c r="K107" s="21"/>
      <c r="L107" s="21"/>
      <c r="M107" s="21"/>
      <c r="N107" s="30"/>
      <c r="O107" s="21"/>
      <c r="P107" s="21"/>
      <c r="Q107" s="21"/>
      <c r="R107" s="32"/>
      <c r="S107" s="32"/>
      <c r="T107" s="21"/>
      <c r="U107" s="21"/>
      <c r="V107" s="21"/>
      <c r="W107" s="21"/>
      <c r="X107" s="21"/>
    </row>
    <row r="108" customFormat="false" ht="15.75" hidden="false" customHeight="false" outlineLevel="0" collapsed="false">
      <c r="A108" s="61"/>
      <c r="B108" s="29"/>
      <c r="C108" s="21"/>
      <c r="D108" s="21"/>
      <c r="E108" s="21"/>
      <c r="F108" s="21"/>
      <c r="G108" s="30"/>
      <c r="H108" s="31"/>
      <c r="I108" s="21"/>
      <c r="J108" s="21"/>
      <c r="K108" s="21"/>
      <c r="L108" s="21"/>
      <c r="M108" s="21"/>
      <c r="N108" s="30"/>
      <c r="O108" s="21"/>
      <c r="P108" s="21"/>
      <c r="Q108" s="21"/>
      <c r="R108" s="32"/>
      <c r="S108" s="32"/>
      <c r="T108" s="21"/>
      <c r="U108" s="21"/>
      <c r="V108" s="21"/>
      <c r="W108" s="21"/>
      <c r="X108" s="21"/>
    </row>
    <row r="109" customFormat="false" ht="15.75" hidden="false" customHeight="false" outlineLevel="0" collapsed="false">
      <c r="A109" s="61"/>
      <c r="B109" s="29"/>
      <c r="C109" s="21"/>
      <c r="D109" s="21"/>
      <c r="E109" s="21"/>
      <c r="F109" s="21"/>
      <c r="G109" s="30"/>
      <c r="H109" s="31"/>
      <c r="I109" s="21"/>
      <c r="J109" s="21"/>
      <c r="K109" s="21"/>
      <c r="L109" s="21"/>
      <c r="M109" s="21"/>
      <c r="N109" s="30"/>
      <c r="O109" s="21"/>
      <c r="P109" s="21"/>
      <c r="Q109" s="21"/>
      <c r="R109" s="32"/>
      <c r="S109" s="32"/>
      <c r="T109" s="21"/>
      <c r="U109" s="21"/>
      <c r="V109" s="21"/>
      <c r="W109" s="21"/>
      <c r="X109" s="21"/>
    </row>
    <row r="110" customFormat="false" ht="15.75" hidden="false" customHeight="false" outlineLevel="0" collapsed="false">
      <c r="A110" s="61"/>
      <c r="B110" s="29"/>
      <c r="C110" s="21"/>
      <c r="D110" s="21"/>
      <c r="E110" s="21"/>
      <c r="F110" s="21"/>
      <c r="G110" s="30"/>
      <c r="H110" s="31"/>
      <c r="I110" s="21"/>
      <c r="J110" s="21"/>
      <c r="K110" s="21"/>
      <c r="L110" s="21"/>
      <c r="M110" s="21"/>
      <c r="N110" s="30"/>
      <c r="O110" s="21"/>
      <c r="P110" s="21"/>
      <c r="Q110" s="21"/>
      <c r="R110" s="32"/>
      <c r="S110" s="32"/>
      <c r="T110" s="21"/>
      <c r="U110" s="21"/>
      <c r="V110" s="21"/>
      <c r="W110" s="21"/>
      <c r="X110" s="21"/>
    </row>
    <row r="111" customFormat="false" ht="15.75" hidden="false" customHeight="false" outlineLevel="0" collapsed="false">
      <c r="A111" s="61"/>
      <c r="B111" s="29"/>
      <c r="C111" s="21"/>
      <c r="D111" s="21"/>
      <c r="E111" s="21"/>
      <c r="F111" s="21"/>
      <c r="G111" s="30"/>
      <c r="H111" s="31"/>
      <c r="I111" s="21"/>
      <c r="J111" s="21"/>
      <c r="K111" s="21"/>
      <c r="L111" s="21"/>
      <c r="M111" s="21"/>
      <c r="N111" s="30"/>
      <c r="O111" s="21"/>
      <c r="P111" s="21"/>
      <c r="Q111" s="21"/>
      <c r="R111" s="32"/>
      <c r="S111" s="32"/>
      <c r="T111" s="21"/>
      <c r="U111" s="21"/>
      <c r="V111" s="21"/>
      <c r="W111" s="21"/>
      <c r="X111" s="21"/>
    </row>
    <row r="112" customFormat="false" ht="15.75" hidden="false" customHeight="false" outlineLevel="0" collapsed="false">
      <c r="A112" s="61"/>
      <c r="B112" s="29"/>
      <c r="C112" s="21"/>
      <c r="D112" s="21"/>
      <c r="E112" s="21"/>
      <c r="F112" s="21"/>
      <c r="G112" s="30"/>
      <c r="H112" s="31"/>
      <c r="I112" s="21"/>
      <c r="J112" s="21"/>
      <c r="K112" s="21"/>
      <c r="L112" s="21"/>
      <c r="M112" s="21"/>
      <c r="N112" s="30"/>
      <c r="O112" s="21"/>
      <c r="P112" s="21"/>
      <c r="Q112" s="21"/>
      <c r="R112" s="32"/>
      <c r="S112" s="32"/>
      <c r="T112" s="21"/>
      <c r="U112" s="21"/>
      <c r="V112" s="21"/>
      <c r="W112" s="21"/>
      <c r="X112" s="21"/>
    </row>
    <row r="113" customFormat="false" ht="15.75" hidden="false" customHeight="false" outlineLevel="0" collapsed="false">
      <c r="A113" s="61"/>
      <c r="B113" s="29"/>
      <c r="C113" s="21"/>
      <c r="D113" s="21"/>
      <c r="E113" s="21"/>
      <c r="F113" s="21"/>
      <c r="G113" s="30"/>
      <c r="H113" s="31"/>
      <c r="I113" s="21"/>
      <c r="J113" s="21"/>
      <c r="K113" s="21"/>
      <c r="L113" s="21"/>
      <c r="M113" s="21"/>
      <c r="N113" s="30"/>
      <c r="O113" s="21"/>
      <c r="P113" s="21"/>
      <c r="Q113" s="21"/>
      <c r="R113" s="32"/>
      <c r="S113" s="32"/>
      <c r="T113" s="21"/>
      <c r="U113" s="21"/>
      <c r="V113" s="21"/>
      <c r="W113" s="21"/>
      <c r="X113" s="21"/>
    </row>
    <row r="114" customFormat="false" ht="15.75" hidden="false" customHeight="false" outlineLevel="0" collapsed="false">
      <c r="A114" s="61"/>
      <c r="B114" s="29"/>
      <c r="C114" s="21"/>
      <c r="D114" s="21"/>
      <c r="E114" s="21"/>
      <c r="F114" s="21"/>
      <c r="G114" s="30"/>
      <c r="H114" s="31"/>
      <c r="I114" s="21"/>
      <c r="J114" s="21"/>
      <c r="K114" s="21"/>
      <c r="L114" s="21"/>
      <c r="M114" s="21"/>
      <c r="N114" s="30"/>
      <c r="O114" s="21"/>
      <c r="P114" s="21"/>
      <c r="Q114" s="21"/>
      <c r="R114" s="32"/>
      <c r="S114" s="32"/>
      <c r="T114" s="21"/>
      <c r="U114" s="21"/>
      <c r="V114" s="21"/>
      <c r="W114" s="21"/>
      <c r="X114" s="21"/>
    </row>
    <row r="115" customFormat="false" ht="15.75" hidden="false" customHeight="false" outlineLevel="0" collapsed="false">
      <c r="A115" s="61"/>
      <c r="B115" s="29"/>
      <c r="C115" s="21"/>
      <c r="D115" s="21"/>
      <c r="E115" s="21"/>
      <c r="F115" s="21"/>
      <c r="G115" s="30"/>
      <c r="H115" s="31"/>
      <c r="I115" s="21"/>
      <c r="J115" s="21"/>
      <c r="K115" s="21"/>
      <c r="L115" s="21"/>
      <c r="M115" s="21"/>
      <c r="N115" s="30"/>
      <c r="O115" s="21"/>
      <c r="P115" s="21"/>
      <c r="Q115" s="21"/>
      <c r="R115" s="32"/>
      <c r="S115" s="32"/>
      <c r="T115" s="21"/>
      <c r="U115" s="21"/>
      <c r="V115" s="21"/>
      <c r="W115" s="21"/>
      <c r="X115" s="21"/>
    </row>
    <row r="116" customFormat="false" ht="15.75" hidden="false" customHeight="false" outlineLevel="0" collapsed="false">
      <c r="A116" s="12"/>
      <c r="B116" s="34"/>
      <c r="C116" s="12"/>
      <c r="D116" s="12"/>
      <c r="E116" s="12"/>
      <c r="F116" s="12"/>
      <c r="G116" s="18"/>
      <c r="H116" s="35"/>
      <c r="I116" s="12"/>
      <c r="N116" s="18"/>
      <c r="O116" s="12"/>
      <c r="P116" s="12"/>
      <c r="R116" s="36"/>
      <c r="S116" s="36"/>
      <c r="T116" s="12"/>
      <c r="U116" s="12"/>
      <c r="V116" s="12"/>
      <c r="X116" s="12"/>
    </row>
    <row r="117" customFormat="false" ht="15.75" hidden="false" customHeight="false" outlineLevel="0" collapsed="false">
      <c r="A117" s="12"/>
      <c r="B117" s="34"/>
      <c r="C117" s="12"/>
      <c r="D117" s="12"/>
      <c r="E117" s="12"/>
      <c r="F117" s="12"/>
      <c r="G117" s="18"/>
      <c r="H117" s="35"/>
      <c r="I117" s="12"/>
      <c r="N117" s="18"/>
      <c r="O117" s="12"/>
      <c r="P117" s="12"/>
      <c r="R117" s="36"/>
      <c r="S117" s="36"/>
      <c r="T117" s="12"/>
      <c r="U117" s="12"/>
      <c r="V117" s="12"/>
      <c r="X117" s="12"/>
    </row>
    <row r="118" customFormat="false" ht="15.75" hidden="false" customHeight="false" outlineLevel="0" collapsed="false">
      <c r="A118" s="12"/>
      <c r="B118" s="34"/>
      <c r="C118" s="12"/>
      <c r="D118" s="12"/>
      <c r="E118" s="12"/>
      <c r="F118" s="12"/>
      <c r="G118" s="18"/>
      <c r="H118" s="35"/>
      <c r="I118" s="12"/>
      <c r="N118" s="18"/>
      <c r="O118" s="12"/>
      <c r="P118" s="12"/>
      <c r="R118" s="36"/>
      <c r="S118" s="36"/>
      <c r="T118" s="12"/>
      <c r="U118" s="12"/>
      <c r="V118" s="12"/>
      <c r="X118" s="12"/>
    </row>
    <row r="119" customFormat="false" ht="15.75" hidden="false" customHeight="false" outlineLevel="0" collapsed="false">
      <c r="A119" s="12"/>
      <c r="B119" s="34"/>
      <c r="C119" s="12"/>
      <c r="D119" s="12"/>
      <c r="E119" s="12"/>
      <c r="F119" s="12"/>
      <c r="G119" s="18"/>
      <c r="H119" s="35"/>
      <c r="I119" s="12"/>
      <c r="M119" s="12"/>
      <c r="N119" s="18"/>
      <c r="O119" s="12"/>
      <c r="P119" s="12"/>
      <c r="Q119" s="12"/>
      <c r="R119" s="36"/>
      <c r="S119" s="36"/>
      <c r="T119" s="12"/>
      <c r="U119" s="12"/>
      <c r="V119" s="12"/>
      <c r="W119" s="12"/>
      <c r="X119" s="12"/>
    </row>
    <row r="120" customFormat="false" ht="15.75" hidden="false" customHeight="false" outlineLevel="0" collapsed="false">
      <c r="A120" s="12"/>
      <c r="B120" s="34"/>
      <c r="C120" s="12"/>
      <c r="D120" s="12"/>
      <c r="E120" s="12"/>
      <c r="F120" s="12"/>
      <c r="G120" s="18"/>
      <c r="H120" s="35"/>
      <c r="I120" s="12"/>
      <c r="M120" s="12"/>
      <c r="N120" s="18"/>
      <c r="O120" s="12"/>
      <c r="P120" s="12"/>
      <c r="Q120" s="12"/>
      <c r="R120" s="36"/>
      <c r="S120" s="36"/>
      <c r="T120" s="12"/>
      <c r="U120" s="12"/>
      <c r="V120" s="12"/>
      <c r="W120" s="12"/>
      <c r="X120" s="12"/>
    </row>
    <row r="121" customFormat="false" ht="15.75" hidden="false" customHeight="false" outlineLevel="0" collapsed="false">
      <c r="A121" s="12"/>
      <c r="B121" s="34"/>
      <c r="C121" s="12"/>
      <c r="D121" s="12"/>
      <c r="E121" s="12"/>
      <c r="F121" s="12"/>
      <c r="G121" s="18"/>
      <c r="H121" s="35"/>
      <c r="I121" s="12"/>
      <c r="M121" s="12"/>
      <c r="N121" s="18"/>
      <c r="O121" s="12"/>
      <c r="P121" s="12"/>
      <c r="Q121" s="12"/>
      <c r="R121" s="36"/>
      <c r="S121" s="36"/>
      <c r="T121" s="12"/>
      <c r="U121" s="12"/>
      <c r="V121" s="12"/>
      <c r="W121" s="12"/>
      <c r="X121" s="12"/>
    </row>
    <row r="122" customFormat="false" ht="15.75" hidden="false" customHeight="false" outlineLevel="0" collapsed="false">
      <c r="A122" s="12"/>
      <c r="B122" s="34"/>
      <c r="C122" s="12"/>
      <c r="D122" s="12"/>
      <c r="E122" s="12"/>
      <c r="F122" s="12"/>
      <c r="G122" s="18"/>
      <c r="H122" s="35"/>
      <c r="I122" s="12"/>
      <c r="M122" s="12"/>
      <c r="N122" s="18"/>
      <c r="O122" s="12"/>
      <c r="P122" s="12"/>
      <c r="Q122" s="12"/>
      <c r="R122" s="36"/>
      <c r="S122" s="36"/>
      <c r="T122" s="12"/>
      <c r="U122" s="12"/>
      <c r="V122" s="12"/>
      <c r="W122" s="12"/>
      <c r="X122" s="12"/>
    </row>
    <row r="123" customFormat="false" ht="15.75" hidden="false" customHeight="false" outlineLevel="0" collapsed="false">
      <c r="A123" s="12"/>
      <c r="B123" s="34"/>
      <c r="C123" s="12"/>
      <c r="D123" s="12"/>
      <c r="E123" s="12"/>
      <c r="F123" s="12"/>
      <c r="G123" s="18"/>
      <c r="H123" s="35"/>
      <c r="I123" s="12"/>
      <c r="M123" s="12"/>
      <c r="N123" s="18"/>
      <c r="O123" s="12"/>
      <c r="P123" s="12"/>
      <c r="Q123" s="12"/>
      <c r="R123" s="36"/>
      <c r="S123" s="36"/>
      <c r="T123" s="12"/>
      <c r="U123" s="12"/>
      <c r="V123" s="12"/>
      <c r="W123" s="12"/>
      <c r="X123" s="12"/>
    </row>
    <row r="124" customFormat="false" ht="15.75" hidden="false" customHeight="false" outlineLevel="0" collapsed="false">
      <c r="A124" s="12"/>
      <c r="B124" s="34"/>
      <c r="C124" s="12"/>
      <c r="D124" s="12"/>
      <c r="E124" s="12"/>
      <c r="F124" s="12"/>
      <c r="G124" s="18"/>
      <c r="H124" s="35"/>
      <c r="I124" s="12"/>
      <c r="M124" s="12"/>
      <c r="N124" s="18"/>
      <c r="O124" s="12"/>
      <c r="P124" s="12"/>
      <c r="Q124" s="12"/>
      <c r="R124" s="36"/>
      <c r="S124" s="36"/>
      <c r="T124" s="12"/>
      <c r="U124" s="12"/>
      <c r="V124" s="12"/>
      <c r="W124" s="12"/>
      <c r="X124" s="12"/>
    </row>
    <row r="125" customFormat="false" ht="15.75" hidden="false" customHeight="false" outlineLevel="0" collapsed="false">
      <c r="A125" s="12"/>
      <c r="B125" s="34"/>
      <c r="C125" s="12"/>
      <c r="D125" s="12"/>
      <c r="E125" s="12"/>
      <c r="F125" s="12"/>
      <c r="G125" s="18"/>
      <c r="H125" s="35"/>
      <c r="I125" s="12"/>
      <c r="M125" s="12"/>
      <c r="N125" s="18"/>
      <c r="O125" s="12"/>
      <c r="P125" s="12"/>
      <c r="Q125" s="12"/>
      <c r="R125" s="36"/>
      <c r="S125" s="36"/>
      <c r="T125" s="12"/>
      <c r="U125" s="12"/>
      <c r="V125" s="12"/>
      <c r="W125" s="12"/>
      <c r="X125" s="12"/>
    </row>
    <row r="126" customFormat="false" ht="15.75" hidden="false" customHeight="false" outlineLevel="0" collapsed="false">
      <c r="A126" s="12"/>
      <c r="B126" s="34"/>
      <c r="C126" s="12"/>
      <c r="D126" s="12"/>
      <c r="E126" s="12"/>
      <c r="F126" s="12"/>
      <c r="G126" s="18"/>
      <c r="H126" s="35"/>
      <c r="I126" s="12"/>
      <c r="M126" s="12"/>
      <c r="N126" s="18"/>
      <c r="O126" s="12"/>
      <c r="P126" s="12"/>
      <c r="Q126" s="12"/>
      <c r="R126" s="36"/>
      <c r="S126" s="36"/>
      <c r="T126" s="12"/>
      <c r="U126" s="12"/>
      <c r="V126" s="12"/>
      <c r="W126" s="12"/>
      <c r="X126" s="12"/>
    </row>
    <row r="127" customFormat="false" ht="15.75" hidden="false" customHeight="false" outlineLevel="0" collapsed="false">
      <c r="A127" s="12"/>
      <c r="B127" s="34"/>
      <c r="C127" s="12"/>
      <c r="D127" s="12"/>
      <c r="E127" s="12"/>
      <c r="F127" s="12"/>
      <c r="G127" s="18"/>
      <c r="H127" s="35"/>
      <c r="I127" s="12"/>
      <c r="M127" s="12"/>
      <c r="N127" s="18"/>
      <c r="O127" s="12"/>
      <c r="P127" s="12"/>
      <c r="Q127" s="12"/>
      <c r="R127" s="36"/>
      <c r="S127" s="36"/>
      <c r="T127" s="12"/>
      <c r="U127" s="12"/>
      <c r="V127" s="12"/>
      <c r="W127" s="12"/>
      <c r="X127" s="12"/>
    </row>
    <row r="128" customFormat="false" ht="15.75" hidden="false" customHeight="false" outlineLevel="0" collapsed="false">
      <c r="A128" s="12"/>
      <c r="B128" s="34"/>
      <c r="C128" s="12"/>
      <c r="D128" s="12"/>
      <c r="E128" s="12"/>
      <c r="F128" s="12"/>
      <c r="G128" s="18"/>
      <c r="H128" s="35"/>
      <c r="I128" s="12"/>
      <c r="M128" s="12"/>
      <c r="N128" s="18"/>
      <c r="O128" s="12"/>
      <c r="P128" s="12"/>
      <c r="Q128" s="12"/>
      <c r="R128" s="36"/>
      <c r="S128" s="36"/>
      <c r="T128" s="12"/>
      <c r="U128" s="12"/>
      <c r="V128" s="12"/>
      <c r="W128" s="12"/>
      <c r="X128" s="12"/>
    </row>
    <row r="129" customFormat="false" ht="15.75" hidden="false" customHeight="false" outlineLevel="0" collapsed="false">
      <c r="A129" s="12"/>
      <c r="B129" s="34"/>
      <c r="C129" s="12"/>
      <c r="D129" s="12"/>
      <c r="E129" s="12"/>
      <c r="F129" s="12"/>
      <c r="G129" s="18"/>
      <c r="H129" s="35"/>
      <c r="I129" s="12"/>
      <c r="M129" s="12"/>
      <c r="N129" s="18"/>
      <c r="O129" s="12"/>
      <c r="P129" s="12"/>
      <c r="Q129" s="12"/>
      <c r="R129" s="36"/>
      <c r="S129" s="36"/>
      <c r="T129" s="12"/>
      <c r="U129" s="12"/>
      <c r="V129" s="12"/>
      <c r="W129" s="12"/>
      <c r="X129" s="12"/>
    </row>
    <row r="130" customFormat="false" ht="15.75" hidden="false" customHeight="false" outlineLevel="0" collapsed="false">
      <c r="A130" s="12"/>
      <c r="B130" s="34"/>
      <c r="C130" s="12"/>
      <c r="D130" s="12"/>
      <c r="E130" s="12"/>
      <c r="F130" s="12"/>
      <c r="G130" s="18"/>
      <c r="H130" s="35"/>
      <c r="I130" s="12"/>
      <c r="M130" s="12"/>
      <c r="N130" s="18"/>
      <c r="O130" s="12"/>
      <c r="P130" s="12"/>
      <c r="Q130" s="12"/>
      <c r="R130" s="36"/>
      <c r="S130" s="36"/>
      <c r="T130" s="12"/>
      <c r="U130" s="12"/>
      <c r="V130" s="12"/>
      <c r="W130" s="12"/>
      <c r="X130" s="12"/>
    </row>
    <row r="131" customFormat="false" ht="15.75" hidden="false" customHeight="false" outlineLevel="0" collapsed="false">
      <c r="A131" s="12"/>
      <c r="B131" s="34"/>
      <c r="C131" s="12"/>
      <c r="D131" s="12"/>
      <c r="E131" s="12"/>
      <c r="F131" s="12"/>
      <c r="G131" s="18"/>
      <c r="H131" s="35"/>
      <c r="I131" s="12"/>
      <c r="M131" s="12"/>
      <c r="N131" s="18"/>
      <c r="O131" s="12"/>
      <c r="P131" s="12"/>
      <c r="Q131" s="12"/>
      <c r="R131" s="36"/>
      <c r="S131" s="36"/>
      <c r="T131" s="12"/>
      <c r="U131" s="12"/>
      <c r="V131" s="12"/>
      <c r="W131" s="12"/>
      <c r="X131" s="12"/>
    </row>
    <row r="132" customFormat="false" ht="15.75" hidden="false" customHeight="false" outlineLevel="0" collapsed="false">
      <c r="A132" s="12"/>
      <c r="B132" s="34"/>
      <c r="C132" s="12"/>
      <c r="D132" s="12"/>
      <c r="E132" s="12"/>
      <c r="F132" s="12"/>
      <c r="G132" s="18"/>
      <c r="H132" s="35"/>
      <c r="I132" s="12"/>
      <c r="M132" s="12"/>
      <c r="N132" s="18"/>
      <c r="O132" s="12"/>
      <c r="P132" s="12"/>
      <c r="Q132" s="12"/>
      <c r="R132" s="36"/>
      <c r="S132" s="36"/>
      <c r="T132" s="12"/>
      <c r="U132" s="12"/>
      <c r="V132" s="12"/>
      <c r="W132" s="12"/>
      <c r="X132" s="12"/>
    </row>
    <row r="133" customFormat="false" ht="15.75" hidden="false" customHeight="false" outlineLevel="0" collapsed="false">
      <c r="A133" s="12"/>
      <c r="B133" s="34"/>
      <c r="C133" s="12"/>
      <c r="D133" s="12"/>
      <c r="E133" s="12"/>
      <c r="F133" s="12"/>
      <c r="G133" s="18"/>
      <c r="H133" s="35"/>
      <c r="I133" s="12"/>
      <c r="M133" s="12"/>
      <c r="N133" s="18"/>
      <c r="O133" s="12"/>
      <c r="P133" s="12"/>
      <c r="Q133" s="12"/>
      <c r="R133" s="36"/>
      <c r="S133" s="36"/>
      <c r="T133" s="12"/>
      <c r="U133" s="12"/>
      <c r="V133" s="12"/>
      <c r="W133" s="12"/>
      <c r="X133" s="12"/>
    </row>
    <row r="134" customFormat="false" ht="15.75" hidden="false" customHeight="false" outlineLevel="0" collapsed="false">
      <c r="A134" s="12"/>
      <c r="B134" s="34"/>
      <c r="C134" s="12"/>
      <c r="D134" s="12"/>
      <c r="E134" s="12"/>
      <c r="F134" s="12"/>
      <c r="G134" s="18"/>
      <c r="H134" s="35"/>
      <c r="I134" s="12"/>
      <c r="M134" s="12"/>
      <c r="N134" s="18"/>
      <c r="O134" s="12"/>
      <c r="P134" s="12"/>
      <c r="Q134" s="12"/>
      <c r="R134" s="36"/>
      <c r="S134" s="36"/>
      <c r="T134" s="12"/>
      <c r="U134" s="12"/>
      <c r="V134" s="12"/>
      <c r="W134" s="12"/>
      <c r="X134" s="12"/>
    </row>
    <row r="135" customFormat="false" ht="15.75" hidden="false" customHeight="false" outlineLevel="0" collapsed="false">
      <c r="A135" s="12"/>
      <c r="B135" s="34"/>
      <c r="C135" s="12"/>
      <c r="D135" s="12"/>
      <c r="E135" s="12"/>
      <c r="F135" s="12"/>
      <c r="G135" s="18"/>
      <c r="H135" s="35"/>
      <c r="I135" s="12"/>
      <c r="M135" s="12"/>
      <c r="N135" s="18"/>
      <c r="O135" s="12"/>
      <c r="P135" s="12"/>
      <c r="Q135" s="12"/>
      <c r="R135" s="36"/>
      <c r="S135" s="36"/>
      <c r="T135" s="12"/>
      <c r="U135" s="12"/>
      <c r="V135" s="12"/>
      <c r="W135" s="12"/>
      <c r="X135" s="12"/>
    </row>
    <row r="136" customFormat="false" ht="15.75" hidden="false" customHeight="false" outlineLevel="0" collapsed="false">
      <c r="A136" s="12"/>
      <c r="B136" s="34"/>
      <c r="C136" s="12"/>
      <c r="D136" s="12"/>
      <c r="E136" s="12"/>
      <c r="F136" s="12"/>
      <c r="G136" s="18"/>
      <c r="H136" s="35"/>
      <c r="I136" s="12"/>
      <c r="M136" s="12"/>
      <c r="N136" s="18"/>
      <c r="O136" s="12"/>
      <c r="P136" s="12"/>
      <c r="Q136" s="12"/>
      <c r="R136" s="36"/>
      <c r="S136" s="36"/>
      <c r="T136" s="12"/>
      <c r="U136" s="12"/>
      <c r="V136" s="12"/>
      <c r="W136" s="12"/>
      <c r="X136" s="12"/>
    </row>
    <row r="137" customFormat="false" ht="15.75" hidden="false" customHeight="false" outlineLevel="0" collapsed="false">
      <c r="A137" s="12"/>
      <c r="B137" s="34"/>
      <c r="C137" s="12"/>
      <c r="D137" s="12"/>
      <c r="E137" s="12"/>
      <c r="F137" s="12"/>
      <c r="G137" s="18"/>
      <c r="H137" s="35"/>
      <c r="I137" s="12"/>
      <c r="M137" s="12"/>
      <c r="N137" s="18"/>
      <c r="O137" s="12"/>
      <c r="P137" s="12"/>
      <c r="Q137" s="12"/>
      <c r="R137" s="36"/>
      <c r="S137" s="36"/>
      <c r="T137" s="12"/>
      <c r="U137" s="12"/>
      <c r="V137" s="12"/>
      <c r="W137" s="12"/>
      <c r="X137" s="12"/>
    </row>
    <row r="138" customFormat="false" ht="15.75" hidden="false" customHeight="false" outlineLevel="0" collapsed="false">
      <c r="A138" s="12"/>
      <c r="B138" s="34"/>
      <c r="C138" s="12"/>
      <c r="D138" s="12"/>
      <c r="E138" s="12"/>
      <c r="F138" s="12"/>
      <c r="G138" s="18"/>
      <c r="H138" s="35"/>
      <c r="I138" s="12"/>
      <c r="M138" s="12"/>
      <c r="N138" s="18"/>
      <c r="O138" s="12"/>
      <c r="P138" s="12"/>
      <c r="Q138" s="12"/>
      <c r="R138" s="36"/>
      <c r="S138" s="36"/>
      <c r="T138" s="12"/>
      <c r="U138" s="12"/>
      <c r="V138" s="12"/>
      <c r="W138" s="12"/>
      <c r="X138" s="12"/>
    </row>
    <row r="139" customFormat="false" ht="15.75" hidden="false" customHeight="false" outlineLevel="0" collapsed="false">
      <c r="A139" s="12"/>
      <c r="B139" s="34"/>
      <c r="C139" s="12"/>
      <c r="D139" s="12"/>
      <c r="E139" s="12"/>
      <c r="F139" s="12"/>
      <c r="G139" s="18"/>
      <c r="H139" s="35"/>
      <c r="I139" s="12"/>
      <c r="M139" s="12"/>
      <c r="N139" s="18"/>
      <c r="O139" s="12"/>
      <c r="P139" s="12"/>
      <c r="Q139" s="12"/>
      <c r="R139" s="36"/>
      <c r="S139" s="36"/>
      <c r="T139" s="12"/>
      <c r="U139" s="12"/>
      <c r="V139" s="12"/>
      <c r="W139" s="12"/>
      <c r="X139" s="12"/>
    </row>
    <row r="140" customFormat="false" ht="15.75" hidden="false" customHeight="false" outlineLevel="0" collapsed="false">
      <c r="A140" s="12"/>
      <c r="B140" s="34"/>
      <c r="C140" s="12"/>
      <c r="D140" s="12"/>
      <c r="E140" s="12"/>
      <c r="F140" s="12"/>
      <c r="G140" s="18"/>
      <c r="H140" s="35"/>
      <c r="I140" s="12"/>
      <c r="M140" s="12"/>
      <c r="N140" s="18"/>
      <c r="O140" s="12"/>
      <c r="P140" s="12"/>
      <c r="Q140" s="12"/>
      <c r="R140" s="36"/>
      <c r="S140" s="36"/>
      <c r="T140" s="12"/>
      <c r="U140" s="12"/>
      <c r="V140" s="12"/>
      <c r="W140" s="12"/>
      <c r="X140" s="12"/>
    </row>
    <row r="141" customFormat="false" ht="15.75" hidden="false" customHeight="false" outlineLevel="0" collapsed="false">
      <c r="A141" s="12"/>
      <c r="B141" s="34"/>
      <c r="C141" s="12"/>
      <c r="D141" s="12"/>
      <c r="E141" s="12"/>
      <c r="F141" s="12"/>
      <c r="G141" s="18"/>
      <c r="H141" s="35"/>
      <c r="I141" s="12"/>
      <c r="M141" s="12"/>
      <c r="N141" s="18"/>
      <c r="O141" s="12"/>
      <c r="P141" s="12"/>
      <c r="Q141" s="12"/>
      <c r="R141" s="36"/>
      <c r="S141" s="36"/>
      <c r="T141" s="12"/>
      <c r="U141" s="12"/>
      <c r="V141" s="12"/>
      <c r="W141" s="12"/>
      <c r="X141" s="12"/>
    </row>
    <row r="142" customFormat="false" ht="15.75" hidden="false" customHeight="false" outlineLevel="0" collapsed="false">
      <c r="A142" s="12"/>
      <c r="B142" s="34"/>
      <c r="C142" s="12"/>
      <c r="D142" s="12"/>
      <c r="E142" s="12"/>
      <c r="F142" s="12"/>
      <c r="G142" s="18"/>
      <c r="H142" s="35"/>
      <c r="I142" s="12"/>
      <c r="M142" s="12"/>
      <c r="N142" s="18"/>
      <c r="O142" s="12"/>
      <c r="P142" s="12"/>
      <c r="Q142" s="12"/>
      <c r="R142" s="36"/>
      <c r="S142" s="36"/>
      <c r="T142" s="12"/>
      <c r="U142" s="12"/>
      <c r="V142" s="12"/>
      <c r="W142" s="12"/>
      <c r="X142" s="12"/>
    </row>
    <row r="143" customFormat="false" ht="15.75" hidden="false" customHeight="false" outlineLevel="0" collapsed="false">
      <c r="A143" s="12"/>
      <c r="B143" s="34"/>
      <c r="C143" s="12"/>
      <c r="D143" s="12"/>
      <c r="E143" s="12"/>
      <c r="F143" s="12"/>
      <c r="G143" s="18"/>
      <c r="H143" s="35"/>
      <c r="I143" s="12"/>
      <c r="M143" s="12"/>
      <c r="N143" s="18"/>
      <c r="O143" s="12"/>
      <c r="P143" s="12"/>
      <c r="Q143" s="12"/>
      <c r="R143" s="36"/>
      <c r="S143" s="36"/>
      <c r="T143" s="12"/>
      <c r="U143" s="12"/>
      <c r="V143" s="12"/>
      <c r="W143" s="12"/>
      <c r="X143" s="12"/>
    </row>
    <row r="144" customFormat="false" ht="15.75" hidden="false" customHeight="false" outlineLevel="0" collapsed="false">
      <c r="A144" s="12"/>
      <c r="B144" s="34"/>
      <c r="C144" s="12"/>
      <c r="D144" s="12"/>
      <c r="E144" s="12"/>
      <c r="F144" s="12"/>
      <c r="G144" s="18"/>
      <c r="H144" s="35"/>
      <c r="I144" s="12"/>
      <c r="M144" s="12"/>
      <c r="N144" s="18"/>
      <c r="O144" s="12"/>
      <c r="P144" s="12"/>
      <c r="Q144" s="12"/>
      <c r="R144" s="36"/>
      <c r="S144" s="36"/>
      <c r="T144" s="12"/>
      <c r="U144" s="12"/>
      <c r="V144" s="12"/>
      <c r="W144" s="12"/>
      <c r="X144" s="12"/>
    </row>
    <row r="145" customFormat="false" ht="15.75" hidden="false" customHeight="false" outlineLevel="0" collapsed="false">
      <c r="A145" s="12"/>
      <c r="B145" s="34"/>
      <c r="C145" s="12"/>
      <c r="D145" s="12"/>
      <c r="E145" s="12"/>
      <c r="F145" s="12"/>
      <c r="G145" s="18"/>
      <c r="H145" s="35"/>
      <c r="I145" s="12"/>
      <c r="M145" s="12"/>
      <c r="N145" s="18"/>
      <c r="O145" s="12"/>
      <c r="P145" s="12"/>
      <c r="Q145" s="12"/>
      <c r="R145" s="36"/>
      <c r="S145" s="36"/>
      <c r="T145" s="12"/>
      <c r="U145" s="12"/>
      <c r="V145" s="12"/>
      <c r="W145" s="12"/>
      <c r="X145" s="12"/>
    </row>
    <row r="146" customFormat="false" ht="15.75" hidden="false" customHeight="false" outlineLevel="0" collapsed="false">
      <c r="A146" s="12"/>
      <c r="B146" s="34"/>
      <c r="C146" s="12"/>
      <c r="D146" s="12"/>
      <c r="E146" s="12"/>
      <c r="F146" s="12"/>
      <c r="G146" s="18"/>
      <c r="H146" s="35"/>
      <c r="I146" s="12"/>
      <c r="M146" s="12"/>
      <c r="N146" s="18"/>
      <c r="O146" s="12"/>
      <c r="P146" s="12"/>
      <c r="Q146" s="12"/>
      <c r="R146" s="36"/>
      <c r="S146" s="36"/>
      <c r="T146" s="12"/>
      <c r="U146" s="12"/>
      <c r="V146" s="12"/>
      <c r="W146" s="12"/>
      <c r="X146" s="12"/>
    </row>
    <row r="147" customFormat="false" ht="15.75" hidden="false" customHeight="false" outlineLevel="0" collapsed="false">
      <c r="A147" s="12"/>
      <c r="B147" s="34"/>
      <c r="C147" s="12"/>
      <c r="D147" s="12"/>
      <c r="E147" s="12"/>
      <c r="F147" s="12"/>
      <c r="G147" s="18"/>
      <c r="H147" s="35"/>
      <c r="I147" s="12"/>
      <c r="M147" s="12"/>
      <c r="N147" s="18"/>
      <c r="O147" s="12"/>
      <c r="P147" s="12"/>
      <c r="Q147" s="12"/>
      <c r="R147" s="36"/>
      <c r="S147" s="36"/>
      <c r="T147" s="12"/>
      <c r="U147" s="12"/>
      <c r="V147" s="12"/>
      <c r="W147" s="12"/>
      <c r="X147" s="12"/>
    </row>
    <row r="148" customFormat="false" ht="15.75" hidden="false" customHeight="false" outlineLevel="0" collapsed="false">
      <c r="A148" s="12"/>
      <c r="B148" s="34"/>
      <c r="C148" s="12"/>
      <c r="D148" s="12"/>
      <c r="E148" s="12"/>
      <c r="F148" s="12"/>
      <c r="G148" s="18"/>
      <c r="H148" s="35"/>
      <c r="I148" s="12"/>
      <c r="M148" s="12"/>
      <c r="N148" s="18"/>
      <c r="O148" s="12"/>
      <c r="P148" s="12"/>
      <c r="Q148" s="12"/>
      <c r="R148" s="36"/>
      <c r="S148" s="36"/>
      <c r="T148" s="12"/>
      <c r="U148" s="12"/>
      <c r="V148" s="12"/>
      <c r="W148" s="12"/>
      <c r="X148" s="12"/>
    </row>
    <row r="149" customFormat="false" ht="15.75" hidden="false" customHeight="false" outlineLevel="0" collapsed="false">
      <c r="A149" s="12"/>
      <c r="B149" s="34"/>
      <c r="C149" s="12"/>
      <c r="D149" s="12"/>
      <c r="E149" s="12"/>
      <c r="F149" s="12"/>
      <c r="G149" s="18"/>
      <c r="H149" s="35"/>
      <c r="I149" s="12"/>
      <c r="M149" s="12"/>
      <c r="N149" s="18"/>
      <c r="O149" s="12"/>
      <c r="P149" s="12"/>
      <c r="Q149" s="12"/>
      <c r="R149" s="36"/>
      <c r="S149" s="36"/>
      <c r="T149" s="12"/>
      <c r="U149" s="12"/>
      <c r="V149" s="12"/>
      <c r="W149" s="12"/>
      <c r="X149" s="12"/>
    </row>
    <row r="150" customFormat="false" ht="15.75" hidden="false" customHeight="false" outlineLevel="0" collapsed="false">
      <c r="A150" s="12"/>
      <c r="B150" s="34"/>
      <c r="C150" s="12"/>
      <c r="D150" s="12"/>
      <c r="E150" s="12"/>
      <c r="F150" s="12"/>
      <c r="G150" s="18"/>
      <c r="H150" s="35"/>
      <c r="I150" s="12"/>
      <c r="M150" s="12"/>
      <c r="N150" s="18"/>
      <c r="O150" s="12"/>
      <c r="P150" s="12"/>
      <c r="Q150" s="12"/>
      <c r="R150" s="36"/>
      <c r="S150" s="36"/>
      <c r="T150" s="12"/>
      <c r="U150" s="12"/>
      <c r="V150" s="12"/>
      <c r="W150" s="12"/>
      <c r="X150" s="12"/>
    </row>
    <row r="151" customFormat="false" ht="15.75" hidden="false" customHeight="false" outlineLevel="0" collapsed="false">
      <c r="A151" s="12"/>
      <c r="B151" s="34"/>
      <c r="C151" s="12"/>
      <c r="D151" s="12"/>
      <c r="E151" s="12"/>
      <c r="F151" s="12"/>
      <c r="G151" s="18"/>
      <c r="H151" s="35"/>
      <c r="I151" s="12"/>
      <c r="M151" s="12"/>
      <c r="N151" s="18"/>
      <c r="O151" s="12"/>
      <c r="P151" s="12"/>
      <c r="Q151" s="12"/>
      <c r="R151" s="36"/>
      <c r="S151" s="36"/>
      <c r="T151" s="12"/>
      <c r="U151" s="12"/>
      <c r="V151" s="12"/>
      <c r="W151" s="12"/>
      <c r="X151" s="12"/>
    </row>
    <row r="152" customFormat="false" ht="15.75" hidden="false" customHeight="false" outlineLevel="0" collapsed="false">
      <c r="A152" s="12"/>
      <c r="B152" s="34"/>
      <c r="C152" s="12"/>
      <c r="D152" s="12"/>
      <c r="E152" s="12"/>
      <c r="F152" s="12"/>
      <c r="G152" s="18"/>
      <c r="H152" s="35"/>
      <c r="I152" s="12"/>
      <c r="M152" s="12"/>
      <c r="N152" s="18"/>
      <c r="O152" s="12"/>
      <c r="P152" s="12"/>
      <c r="Q152" s="12"/>
      <c r="R152" s="36"/>
      <c r="S152" s="36"/>
      <c r="T152" s="12"/>
      <c r="U152" s="12"/>
      <c r="V152" s="12"/>
      <c r="W152" s="12"/>
      <c r="X152" s="12"/>
    </row>
    <row r="153" customFormat="false" ht="15.75" hidden="false" customHeight="false" outlineLevel="0" collapsed="false">
      <c r="A153" s="12"/>
      <c r="B153" s="34"/>
      <c r="C153" s="12"/>
      <c r="D153" s="12"/>
      <c r="E153" s="12"/>
      <c r="F153" s="12"/>
      <c r="G153" s="18"/>
      <c r="H153" s="35"/>
      <c r="I153" s="12"/>
      <c r="M153" s="12"/>
      <c r="N153" s="18"/>
      <c r="O153" s="12"/>
      <c r="P153" s="12"/>
      <c r="Q153" s="12"/>
      <c r="R153" s="36"/>
      <c r="S153" s="36"/>
      <c r="T153" s="12"/>
      <c r="U153" s="12"/>
      <c r="V153" s="12"/>
      <c r="W153" s="12"/>
      <c r="X153" s="12"/>
    </row>
    <row r="154" customFormat="false" ht="15.75" hidden="false" customHeight="false" outlineLevel="0" collapsed="false">
      <c r="A154" s="12"/>
      <c r="B154" s="34"/>
      <c r="C154" s="12"/>
      <c r="D154" s="12"/>
      <c r="E154" s="12"/>
      <c r="F154" s="12"/>
      <c r="G154" s="18"/>
      <c r="H154" s="35"/>
      <c r="I154" s="12"/>
      <c r="M154" s="12"/>
      <c r="N154" s="18"/>
      <c r="O154" s="12"/>
      <c r="P154" s="12"/>
      <c r="Q154" s="12"/>
      <c r="R154" s="36"/>
      <c r="S154" s="36"/>
      <c r="T154" s="12"/>
      <c r="U154" s="12"/>
      <c r="V154" s="12"/>
      <c r="W154" s="12"/>
      <c r="X154" s="12"/>
    </row>
    <row r="155" customFormat="false" ht="15.75" hidden="false" customHeight="false" outlineLevel="0" collapsed="false">
      <c r="A155" s="12"/>
      <c r="B155" s="34"/>
      <c r="C155" s="12"/>
      <c r="D155" s="12"/>
      <c r="E155" s="12"/>
      <c r="F155" s="12"/>
      <c r="G155" s="18"/>
      <c r="H155" s="35"/>
      <c r="I155" s="12"/>
      <c r="M155" s="12"/>
      <c r="N155" s="18"/>
      <c r="O155" s="12"/>
      <c r="P155" s="12"/>
      <c r="Q155" s="12"/>
      <c r="R155" s="36"/>
      <c r="S155" s="36"/>
      <c r="T155" s="12"/>
      <c r="U155" s="12"/>
      <c r="V155" s="12"/>
      <c r="W155" s="12"/>
      <c r="X155" s="12"/>
    </row>
    <row r="156" customFormat="false" ht="15.75" hidden="false" customHeight="false" outlineLevel="0" collapsed="false">
      <c r="A156" s="12"/>
      <c r="B156" s="34"/>
      <c r="C156" s="12"/>
      <c r="D156" s="12"/>
      <c r="E156" s="12"/>
      <c r="F156" s="12"/>
      <c r="G156" s="18"/>
      <c r="H156" s="35"/>
      <c r="I156" s="12"/>
      <c r="M156" s="12"/>
      <c r="N156" s="18"/>
      <c r="O156" s="12"/>
      <c r="P156" s="12"/>
      <c r="Q156" s="12"/>
      <c r="R156" s="36"/>
      <c r="S156" s="36"/>
      <c r="T156" s="12"/>
      <c r="U156" s="12"/>
      <c r="V156" s="12"/>
      <c r="W156" s="12"/>
      <c r="X156" s="12"/>
    </row>
    <row r="157" customFormat="false" ht="15.75" hidden="false" customHeight="false" outlineLevel="0" collapsed="false">
      <c r="A157" s="12"/>
      <c r="B157" s="34"/>
      <c r="C157" s="12"/>
      <c r="D157" s="12"/>
      <c r="E157" s="12"/>
      <c r="F157" s="12"/>
      <c r="G157" s="18"/>
      <c r="H157" s="35"/>
      <c r="I157" s="12"/>
      <c r="M157" s="12"/>
      <c r="N157" s="18"/>
      <c r="O157" s="12"/>
      <c r="P157" s="12"/>
      <c r="Q157" s="12"/>
      <c r="R157" s="36"/>
      <c r="S157" s="36"/>
      <c r="T157" s="12"/>
      <c r="U157" s="12"/>
      <c r="V157" s="12"/>
      <c r="W157" s="12"/>
      <c r="X157" s="12"/>
    </row>
    <row r="158" customFormat="false" ht="15.75" hidden="false" customHeight="false" outlineLevel="0" collapsed="false">
      <c r="A158" s="12"/>
      <c r="B158" s="34"/>
      <c r="C158" s="12"/>
      <c r="D158" s="12"/>
      <c r="E158" s="12"/>
      <c r="F158" s="12"/>
      <c r="G158" s="18"/>
      <c r="H158" s="35"/>
      <c r="I158" s="12"/>
      <c r="M158" s="12"/>
      <c r="N158" s="18"/>
      <c r="O158" s="12"/>
      <c r="P158" s="12"/>
      <c r="Q158" s="12"/>
      <c r="R158" s="36"/>
      <c r="S158" s="36"/>
      <c r="T158" s="12"/>
      <c r="U158" s="12"/>
      <c r="V158" s="12"/>
      <c r="W158" s="12"/>
      <c r="X158" s="12"/>
    </row>
    <row r="159" customFormat="false" ht="15.75" hidden="false" customHeight="false" outlineLevel="0" collapsed="false">
      <c r="A159" s="12"/>
      <c r="B159" s="34"/>
      <c r="C159" s="12"/>
      <c r="D159" s="12"/>
      <c r="E159" s="12"/>
      <c r="F159" s="12"/>
      <c r="G159" s="18"/>
      <c r="H159" s="35"/>
      <c r="I159" s="12"/>
      <c r="M159" s="12"/>
      <c r="N159" s="18"/>
      <c r="O159" s="12"/>
      <c r="P159" s="12"/>
      <c r="Q159" s="12"/>
      <c r="R159" s="36"/>
      <c r="S159" s="36"/>
      <c r="T159" s="12"/>
      <c r="U159" s="12"/>
      <c r="V159" s="12"/>
      <c r="W159" s="12"/>
      <c r="X159" s="12"/>
    </row>
    <row r="160" customFormat="false" ht="15.75" hidden="false" customHeight="false" outlineLevel="0" collapsed="false">
      <c r="A160" s="12"/>
      <c r="B160" s="34"/>
      <c r="C160" s="12"/>
      <c r="D160" s="12"/>
      <c r="E160" s="12"/>
      <c r="F160" s="12"/>
      <c r="G160" s="18"/>
      <c r="H160" s="35"/>
      <c r="I160" s="12"/>
      <c r="M160" s="12"/>
      <c r="N160" s="18"/>
      <c r="O160" s="12"/>
      <c r="P160" s="12"/>
      <c r="Q160" s="12"/>
      <c r="R160" s="36"/>
      <c r="S160" s="36"/>
      <c r="T160" s="12"/>
      <c r="U160" s="12"/>
      <c r="V160" s="12"/>
      <c r="W160" s="12"/>
      <c r="X160" s="12"/>
    </row>
    <row r="161" customFormat="false" ht="15.75" hidden="false" customHeight="false" outlineLevel="0" collapsed="false">
      <c r="A161" s="12"/>
      <c r="B161" s="34"/>
      <c r="C161" s="12"/>
      <c r="D161" s="12"/>
      <c r="E161" s="12"/>
      <c r="F161" s="12"/>
      <c r="G161" s="18"/>
      <c r="H161" s="35"/>
      <c r="I161" s="12"/>
      <c r="M161" s="12"/>
      <c r="N161" s="18"/>
      <c r="O161" s="12"/>
      <c r="P161" s="12"/>
      <c r="Q161" s="12"/>
      <c r="R161" s="36"/>
      <c r="S161" s="36"/>
      <c r="T161" s="12"/>
      <c r="U161" s="12"/>
      <c r="V161" s="12"/>
      <c r="W161" s="12"/>
      <c r="X161" s="12"/>
    </row>
    <row r="162" customFormat="false" ht="15.75" hidden="false" customHeight="false" outlineLevel="0" collapsed="false">
      <c r="A162" s="12"/>
      <c r="B162" s="34"/>
      <c r="C162" s="12"/>
      <c r="D162" s="12"/>
      <c r="E162" s="12"/>
      <c r="F162" s="12"/>
      <c r="G162" s="18"/>
      <c r="H162" s="35"/>
      <c r="I162" s="12"/>
      <c r="M162" s="12"/>
      <c r="N162" s="18"/>
      <c r="O162" s="12"/>
      <c r="P162" s="12"/>
      <c r="Q162" s="12"/>
      <c r="R162" s="36"/>
      <c r="S162" s="36"/>
      <c r="T162" s="12"/>
      <c r="U162" s="12"/>
      <c r="V162" s="12"/>
      <c r="W162" s="12"/>
      <c r="X162" s="12"/>
    </row>
    <row r="163" customFormat="false" ht="15.75" hidden="false" customHeight="false" outlineLevel="0" collapsed="false">
      <c r="A163" s="12"/>
      <c r="B163" s="34"/>
      <c r="C163" s="12"/>
      <c r="D163" s="12"/>
      <c r="E163" s="12"/>
      <c r="F163" s="12"/>
      <c r="G163" s="18"/>
      <c r="H163" s="35"/>
      <c r="I163" s="12"/>
      <c r="M163" s="12"/>
      <c r="N163" s="18"/>
      <c r="O163" s="12"/>
      <c r="P163" s="12"/>
      <c r="Q163" s="12"/>
      <c r="R163" s="36"/>
      <c r="S163" s="36"/>
      <c r="T163" s="12"/>
      <c r="U163" s="12"/>
      <c r="V163" s="12"/>
      <c r="W163" s="12"/>
      <c r="X163" s="12"/>
    </row>
    <row r="164" customFormat="false" ht="15.75" hidden="false" customHeight="false" outlineLevel="0" collapsed="false">
      <c r="A164" s="12"/>
      <c r="B164" s="34"/>
      <c r="C164" s="12"/>
      <c r="D164" s="12"/>
      <c r="E164" s="12"/>
      <c r="F164" s="12"/>
      <c r="G164" s="18"/>
      <c r="H164" s="35"/>
      <c r="I164" s="12"/>
      <c r="M164" s="12"/>
      <c r="N164" s="18"/>
      <c r="O164" s="12"/>
      <c r="P164" s="12"/>
      <c r="Q164" s="12"/>
      <c r="R164" s="36"/>
      <c r="S164" s="36"/>
      <c r="T164" s="12"/>
      <c r="U164" s="12"/>
      <c r="V164" s="12"/>
      <c r="W164" s="12"/>
      <c r="X164" s="12"/>
    </row>
    <row r="165" customFormat="false" ht="15.75" hidden="false" customHeight="false" outlineLevel="0" collapsed="false">
      <c r="A165" s="12"/>
      <c r="B165" s="34"/>
      <c r="C165" s="12"/>
      <c r="D165" s="12"/>
      <c r="E165" s="12"/>
      <c r="F165" s="12"/>
      <c r="G165" s="18"/>
      <c r="H165" s="35"/>
      <c r="I165" s="12"/>
      <c r="M165" s="12"/>
      <c r="N165" s="18"/>
      <c r="O165" s="12"/>
      <c r="P165" s="12"/>
      <c r="Q165" s="12"/>
      <c r="R165" s="36"/>
      <c r="S165" s="36"/>
      <c r="T165" s="12"/>
      <c r="U165" s="12"/>
      <c r="V165" s="12"/>
      <c r="W165" s="12"/>
      <c r="X165" s="12"/>
    </row>
    <row r="166" customFormat="false" ht="15.75" hidden="false" customHeight="false" outlineLevel="0" collapsed="false">
      <c r="A166" s="12"/>
      <c r="B166" s="34"/>
      <c r="C166" s="12"/>
      <c r="D166" s="12"/>
      <c r="E166" s="12"/>
      <c r="F166" s="12"/>
      <c r="G166" s="18"/>
      <c r="H166" s="35"/>
      <c r="I166" s="12"/>
      <c r="M166" s="12"/>
      <c r="N166" s="18"/>
      <c r="O166" s="12"/>
      <c r="P166" s="12"/>
      <c r="Q166" s="12"/>
      <c r="R166" s="36"/>
      <c r="S166" s="36"/>
      <c r="T166" s="12"/>
      <c r="U166" s="12"/>
      <c r="V166" s="12"/>
      <c r="W166" s="12"/>
      <c r="X166" s="12"/>
    </row>
    <row r="167" customFormat="false" ht="15.75" hidden="false" customHeight="false" outlineLevel="0" collapsed="false">
      <c r="A167" s="12"/>
      <c r="B167" s="34"/>
      <c r="C167" s="12"/>
      <c r="D167" s="12"/>
      <c r="E167" s="12"/>
      <c r="F167" s="12"/>
      <c r="G167" s="18"/>
      <c r="H167" s="35"/>
      <c r="I167" s="12"/>
      <c r="M167" s="12"/>
      <c r="N167" s="18"/>
      <c r="O167" s="12"/>
      <c r="P167" s="12"/>
      <c r="Q167" s="12"/>
      <c r="R167" s="36"/>
      <c r="S167" s="36"/>
      <c r="T167" s="12"/>
      <c r="U167" s="12"/>
      <c r="V167" s="12"/>
      <c r="W167" s="12"/>
      <c r="X167" s="12"/>
    </row>
    <row r="168" customFormat="false" ht="15.75" hidden="false" customHeight="false" outlineLevel="0" collapsed="false">
      <c r="A168" s="12"/>
      <c r="B168" s="34"/>
      <c r="C168" s="12"/>
      <c r="D168" s="12"/>
      <c r="E168" s="12"/>
      <c r="F168" s="12"/>
      <c r="G168" s="18"/>
      <c r="H168" s="35"/>
      <c r="I168" s="12"/>
      <c r="M168" s="12"/>
      <c r="N168" s="18"/>
      <c r="O168" s="12"/>
      <c r="P168" s="12"/>
      <c r="Q168" s="12"/>
      <c r="R168" s="36"/>
      <c r="S168" s="36"/>
      <c r="T168" s="12"/>
      <c r="U168" s="12"/>
      <c r="V168" s="12"/>
      <c r="W168" s="12"/>
      <c r="X168" s="12"/>
    </row>
    <row r="169" customFormat="false" ht="15.75" hidden="false" customHeight="false" outlineLevel="0" collapsed="false">
      <c r="A169" s="12"/>
      <c r="B169" s="34"/>
      <c r="C169" s="12"/>
      <c r="D169" s="12"/>
      <c r="E169" s="12"/>
      <c r="F169" s="12"/>
      <c r="G169" s="18"/>
      <c r="H169" s="35"/>
      <c r="I169" s="12"/>
      <c r="M169" s="12"/>
      <c r="N169" s="18"/>
      <c r="O169" s="12"/>
      <c r="P169" s="12"/>
      <c r="Q169" s="12"/>
      <c r="R169" s="36"/>
      <c r="S169" s="36"/>
      <c r="T169" s="12"/>
      <c r="U169" s="12"/>
      <c r="V169" s="12"/>
      <c r="W169" s="12"/>
      <c r="X169" s="12"/>
    </row>
    <row r="170" customFormat="false" ht="15.75" hidden="false" customHeight="false" outlineLevel="0" collapsed="false">
      <c r="A170" s="12"/>
      <c r="B170" s="34"/>
      <c r="C170" s="12"/>
      <c r="D170" s="12"/>
      <c r="E170" s="12"/>
      <c r="F170" s="12"/>
      <c r="G170" s="18"/>
      <c r="H170" s="35"/>
      <c r="I170" s="12"/>
      <c r="M170" s="12"/>
      <c r="N170" s="18"/>
      <c r="O170" s="12"/>
      <c r="P170" s="12"/>
      <c r="Q170" s="12"/>
      <c r="R170" s="36"/>
      <c r="S170" s="36"/>
      <c r="T170" s="12"/>
      <c r="U170" s="12"/>
      <c r="V170" s="12"/>
      <c r="W170" s="12"/>
      <c r="X170" s="12"/>
    </row>
    <row r="171" customFormat="false" ht="15.75" hidden="false" customHeight="false" outlineLevel="0" collapsed="false">
      <c r="A171" s="12"/>
      <c r="B171" s="34"/>
      <c r="C171" s="12"/>
      <c r="D171" s="12"/>
      <c r="E171" s="12"/>
      <c r="F171" s="12"/>
      <c r="G171" s="18"/>
      <c r="H171" s="35"/>
      <c r="I171" s="12"/>
      <c r="M171" s="12"/>
      <c r="N171" s="18"/>
      <c r="O171" s="12"/>
      <c r="P171" s="12"/>
      <c r="Q171" s="12"/>
      <c r="R171" s="36"/>
      <c r="S171" s="36"/>
      <c r="T171" s="12"/>
      <c r="U171" s="12"/>
      <c r="V171" s="12"/>
      <c r="W171" s="12"/>
      <c r="X171" s="12"/>
    </row>
    <row r="172" customFormat="false" ht="15.75" hidden="false" customHeight="false" outlineLevel="0" collapsed="false">
      <c r="A172" s="12"/>
      <c r="B172" s="34"/>
      <c r="C172" s="12"/>
      <c r="D172" s="12"/>
      <c r="E172" s="12"/>
      <c r="F172" s="12"/>
      <c r="G172" s="18"/>
      <c r="H172" s="35"/>
      <c r="I172" s="12"/>
      <c r="M172" s="12"/>
      <c r="N172" s="18"/>
      <c r="O172" s="12"/>
      <c r="P172" s="12"/>
      <c r="Q172" s="12"/>
      <c r="R172" s="36"/>
      <c r="S172" s="36"/>
      <c r="T172" s="12"/>
      <c r="U172" s="12"/>
      <c r="V172" s="12"/>
      <c r="W172" s="12"/>
      <c r="X172" s="12"/>
    </row>
    <row r="173" customFormat="false" ht="15.75" hidden="false" customHeight="false" outlineLevel="0" collapsed="false">
      <c r="A173" s="12"/>
      <c r="B173" s="34"/>
      <c r="C173" s="12"/>
      <c r="D173" s="12"/>
      <c r="E173" s="12"/>
      <c r="F173" s="12"/>
      <c r="G173" s="18"/>
      <c r="H173" s="35"/>
      <c r="I173" s="12"/>
      <c r="M173" s="12"/>
      <c r="N173" s="18"/>
      <c r="O173" s="12"/>
      <c r="P173" s="12"/>
      <c r="Q173" s="12"/>
      <c r="R173" s="36"/>
      <c r="S173" s="36"/>
      <c r="T173" s="12"/>
      <c r="U173" s="12"/>
      <c r="V173" s="12"/>
      <c r="W173" s="12"/>
      <c r="X173" s="12"/>
    </row>
    <row r="174" customFormat="false" ht="15.75" hidden="false" customHeight="false" outlineLevel="0" collapsed="false">
      <c r="A174" s="12"/>
      <c r="B174" s="34"/>
      <c r="C174" s="12"/>
      <c r="D174" s="12"/>
      <c r="E174" s="12"/>
      <c r="F174" s="12"/>
      <c r="G174" s="18"/>
      <c r="H174" s="35"/>
      <c r="I174" s="12"/>
      <c r="M174" s="12"/>
      <c r="N174" s="18"/>
      <c r="O174" s="12"/>
      <c r="P174" s="12"/>
      <c r="Q174" s="12"/>
      <c r="R174" s="36"/>
      <c r="S174" s="36"/>
      <c r="T174" s="12"/>
      <c r="U174" s="12"/>
      <c r="V174" s="12"/>
      <c r="W174" s="12"/>
      <c r="X174" s="12"/>
    </row>
    <row r="175" customFormat="false" ht="15.75" hidden="false" customHeight="false" outlineLevel="0" collapsed="false">
      <c r="A175" s="12"/>
      <c r="B175" s="34"/>
      <c r="C175" s="12"/>
      <c r="D175" s="12"/>
      <c r="E175" s="12"/>
      <c r="F175" s="12"/>
      <c r="G175" s="18"/>
      <c r="H175" s="35"/>
      <c r="I175" s="12"/>
      <c r="M175" s="12"/>
      <c r="N175" s="18"/>
      <c r="O175" s="12"/>
      <c r="P175" s="12"/>
      <c r="Q175" s="12"/>
      <c r="R175" s="36"/>
      <c r="S175" s="36"/>
      <c r="T175" s="12"/>
      <c r="U175" s="12"/>
      <c r="V175" s="12"/>
      <c r="W175" s="12"/>
      <c r="X175" s="12"/>
    </row>
    <row r="176" customFormat="false" ht="15.75" hidden="false" customHeight="false" outlineLevel="0" collapsed="false">
      <c r="A176" s="12"/>
      <c r="B176" s="34"/>
      <c r="C176" s="12"/>
      <c r="D176" s="12"/>
      <c r="E176" s="12"/>
      <c r="F176" s="12"/>
      <c r="G176" s="18"/>
      <c r="H176" s="35"/>
      <c r="I176" s="12"/>
      <c r="M176" s="12"/>
      <c r="N176" s="18"/>
      <c r="O176" s="12"/>
      <c r="P176" s="12"/>
      <c r="Q176" s="12"/>
      <c r="R176" s="36"/>
      <c r="S176" s="36"/>
      <c r="T176" s="12"/>
      <c r="U176" s="12"/>
      <c r="V176" s="12"/>
      <c r="W176" s="12"/>
      <c r="X176" s="12"/>
    </row>
    <row r="177" customFormat="false" ht="15.75" hidden="false" customHeight="false" outlineLevel="0" collapsed="false">
      <c r="A177" s="12"/>
      <c r="B177" s="34"/>
      <c r="C177" s="12"/>
      <c r="D177" s="12"/>
      <c r="E177" s="12"/>
      <c r="F177" s="12"/>
      <c r="G177" s="18"/>
      <c r="H177" s="35"/>
      <c r="I177" s="12"/>
      <c r="M177" s="12"/>
      <c r="N177" s="18"/>
      <c r="O177" s="12"/>
      <c r="P177" s="12"/>
      <c r="Q177" s="12"/>
      <c r="R177" s="36"/>
      <c r="S177" s="36"/>
      <c r="T177" s="12"/>
      <c r="U177" s="12"/>
      <c r="V177" s="12"/>
      <c r="W177" s="12"/>
      <c r="X177" s="12"/>
    </row>
    <row r="178" customFormat="false" ht="15.75" hidden="false" customHeight="false" outlineLevel="0" collapsed="false">
      <c r="A178" s="12"/>
      <c r="B178" s="34"/>
      <c r="C178" s="12"/>
      <c r="D178" s="12"/>
      <c r="E178" s="12"/>
      <c r="F178" s="12"/>
      <c r="G178" s="18"/>
      <c r="H178" s="35"/>
      <c r="I178" s="12"/>
      <c r="M178" s="12"/>
      <c r="N178" s="18"/>
      <c r="O178" s="12"/>
      <c r="P178" s="12"/>
      <c r="Q178" s="12"/>
      <c r="R178" s="36"/>
      <c r="S178" s="36"/>
      <c r="T178" s="12"/>
      <c r="U178" s="12"/>
      <c r="V178" s="12"/>
      <c r="W178" s="12"/>
      <c r="X178" s="12"/>
    </row>
    <row r="179" customFormat="false" ht="15.75" hidden="false" customHeight="false" outlineLevel="0" collapsed="false">
      <c r="A179" s="12"/>
      <c r="B179" s="34"/>
      <c r="C179" s="12"/>
      <c r="D179" s="12"/>
      <c r="E179" s="12"/>
      <c r="F179" s="12"/>
      <c r="G179" s="18"/>
      <c r="H179" s="35"/>
      <c r="I179" s="12"/>
      <c r="M179" s="12"/>
      <c r="N179" s="18"/>
      <c r="O179" s="12"/>
      <c r="P179" s="12"/>
      <c r="Q179" s="12"/>
      <c r="R179" s="36"/>
      <c r="S179" s="36"/>
      <c r="T179" s="12"/>
      <c r="U179" s="12"/>
      <c r="V179" s="12"/>
      <c r="W179" s="12"/>
      <c r="X179" s="12"/>
    </row>
    <row r="180" customFormat="false" ht="15.75" hidden="false" customHeight="false" outlineLevel="0" collapsed="false">
      <c r="A180" s="12"/>
      <c r="B180" s="34"/>
      <c r="C180" s="12"/>
      <c r="D180" s="12"/>
      <c r="E180" s="12"/>
      <c r="F180" s="12"/>
      <c r="G180" s="18"/>
      <c r="H180" s="35"/>
      <c r="I180" s="12"/>
      <c r="M180" s="12"/>
      <c r="N180" s="18"/>
      <c r="O180" s="12"/>
      <c r="P180" s="12"/>
      <c r="Q180" s="12"/>
      <c r="R180" s="36"/>
      <c r="S180" s="36"/>
      <c r="T180" s="12"/>
      <c r="U180" s="12"/>
      <c r="V180" s="12"/>
      <c r="W180" s="12"/>
      <c r="X180" s="12"/>
    </row>
    <row r="181" customFormat="false" ht="15.75" hidden="false" customHeight="false" outlineLevel="0" collapsed="false">
      <c r="A181" s="12"/>
      <c r="B181" s="34"/>
      <c r="C181" s="12"/>
      <c r="D181" s="12"/>
      <c r="E181" s="12"/>
      <c r="F181" s="12"/>
      <c r="G181" s="18"/>
      <c r="H181" s="35"/>
      <c r="I181" s="12"/>
      <c r="M181" s="12"/>
      <c r="N181" s="18"/>
      <c r="O181" s="12"/>
      <c r="P181" s="12"/>
      <c r="Q181" s="12"/>
      <c r="R181" s="36"/>
      <c r="S181" s="36"/>
      <c r="T181" s="12"/>
      <c r="U181" s="12"/>
      <c r="V181" s="12"/>
      <c r="W181" s="12"/>
      <c r="X181" s="12"/>
    </row>
    <row r="182" customFormat="false" ht="15.75" hidden="false" customHeight="false" outlineLevel="0" collapsed="false">
      <c r="A182" s="12"/>
      <c r="B182" s="34"/>
      <c r="C182" s="12"/>
      <c r="D182" s="12"/>
      <c r="E182" s="12"/>
      <c r="F182" s="12"/>
      <c r="G182" s="18"/>
      <c r="H182" s="35"/>
      <c r="I182" s="12"/>
      <c r="M182" s="12"/>
      <c r="N182" s="18"/>
      <c r="O182" s="12"/>
      <c r="P182" s="12"/>
      <c r="Q182" s="12"/>
      <c r="R182" s="36"/>
      <c r="S182" s="36"/>
      <c r="T182" s="12"/>
      <c r="U182" s="12"/>
      <c r="V182" s="12"/>
      <c r="W182" s="12"/>
      <c r="X182" s="12"/>
    </row>
    <row r="183" customFormat="false" ht="15.75" hidden="false" customHeight="false" outlineLevel="0" collapsed="false">
      <c r="A183" s="12"/>
      <c r="B183" s="34"/>
      <c r="C183" s="12"/>
      <c r="D183" s="12"/>
      <c r="E183" s="12"/>
      <c r="F183" s="12"/>
      <c r="G183" s="18"/>
      <c r="H183" s="35"/>
      <c r="I183" s="12"/>
      <c r="M183" s="12"/>
      <c r="N183" s="18"/>
      <c r="O183" s="12"/>
      <c r="P183" s="12"/>
      <c r="Q183" s="12"/>
      <c r="R183" s="36"/>
      <c r="S183" s="36"/>
      <c r="T183" s="12"/>
      <c r="U183" s="12"/>
      <c r="V183" s="12"/>
      <c r="W183" s="12"/>
      <c r="X183" s="12"/>
    </row>
    <row r="184" customFormat="false" ht="15.75" hidden="false" customHeight="false" outlineLevel="0" collapsed="false">
      <c r="A184" s="12"/>
      <c r="B184" s="34"/>
      <c r="C184" s="12"/>
      <c r="D184" s="12"/>
      <c r="E184" s="12"/>
      <c r="F184" s="12"/>
      <c r="G184" s="18"/>
      <c r="H184" s="35"/>
      <c r="I184" s="12"/>
      <c r="M184" s="12"/>
      <c r="N184" s="18"/>
      <c r="O184" s="12"/>
      <c r="P184" s="12"/>
      <c r="Q184" s="12"/>
      <c r="R184" s="36"/>
      <c r="S184" s="36"/>
      <c r="T184" s="12"/>
      <c r="U184" s="12"/>
      <c r="V184" s="12"/>
      <c r="W184" s="12"/>
      <c r="X184" s="12"/>
    </row>
    <row r="185" customFormat="false" ht="15.75" hidden="false" customHeight="false" outlineLevel="0" collapsed="false">
      <c r="A185" s="12"/>
      <c r="B185" s="34"/>
      <c r="C185" s="12"/>
      <c r="D185" s="12"/>
      <c r="E185" s="12"/>
      <c r="F185" s="12"/>
      <c r="G185" s="18"/>
      <c r="H185" s="35"/>
      <c r="I185" s="12"/>
      <c r="M185" s="12"/>
      <c r="N185" s="18"/>
      <c r="O185" s="12"/>
      <c r="P185" s="12"/>
      <c r="Q185" s="12"/>
      <c r="R185" s="36"/>
      <c r="S185" s="36"/>
      <c r="T185" s="12"/>
      <c r="U185" s="12"/>
      <c r="V185" s="12"/>
      <c r="W185" s="12"/>
      <c r="X185" s="12"/>
    </row>
    <row r="186" customFormat="false" ht="15.75" hidden="false" customHeight="false" outlineLevel="0" collapsed="false">
      <c r="A186" s="12"/>
      <c r="B186" s="34"/>
      <c r="C186" s="12"/>
      <c r="D186" s="12"/>
      <c r="E186" s="12"/>
      <c r="F186" s="12"/>
      <c r="G186" s="18"/>
      <c r="H186" s="35"/>
      <c r="I186" s="12"/>
      <c r="M186" s="12"/>
      <c r="N186" s="18"/>
      <c r="O186" s="12"/>
      <c r="P186" s="12"/>
      <c r="Q186" s="12"/>
      <c r="R186" s="36"/>
      <c r="S186" s="36"/>
      <c r="T186" s="12"/>
      <c r="U186" s="12"/>
      <c r="V186" s="12"/>
      <c r="W186" s="12"/>
      <c r="X186" s="12"/>
    </row>
    <row r="187" customFormat="false" ht="15.75" hidden="false" customHeight="false" outlineLevel="0" collapsed="false">
      <c r="A187" s="12"/>
      <c r="B187" s="34"/>
      <c r="C187" s="12"/>
      <c r="D187" s="12"/>
      <c r="E187" s="12"/>
      <c r="F187" s="12"/>
      <c r="G187" s="18"/>
      <c r="H187" s="35"/>
      <c r="I187" s="12"/>
      <c r="M187" s="12"/>
      <c r="N187" s="18"/>
      <c r="O187" s="12"/>
      <c r="P187" s="12"/>
      <c r="Q187" s="12"/>
      <c r="R187" s="36"/>
      <c r="S187" s="36"/>
      <c r="T187" s="12"/>
      <c r="U187" s="12"/>
      <c r="V187" s="12"/>
      <c r="W187" s="12"/>
      <c r="X187" s="12"/>
    </row>
    <row r="188" customFormat="false" ht="15.75" hidden="false" customHeight="false" outlineLevel="0" collapsed="false">
      <c r="A188" s="12"/>
      <c r="B188" s="34"/>
      <c r="C188" s="12"/>
      <c r="D188" s="12"/>
      <c r="E188" s="12"/>
      <c r="F188" s="12"/>
      <c r="G188" s="18"/>
      <c r="H188" s="35"/>
      <c r="I188" s="12"/>
      <c r="M188" s="12"/>
      <c r="N188" s="18"/>
      <c r="O188" s="12"/>
      <c r="P188" s="12"/>
      <c r="Q188" s="12"/>
      <c r="R188" s="36"/>
      <c r="S188" s="36"/>
      <c r="T188" s="12"/>
      <c r="U188" s="12"/>
      <c r="V188" s="12"/>
      <c r="W188" s="12"/>
      <c r="X188" s="12"/>
    </row>
    <row r="189" customFormat="false" ht="15.75" hidden="false" customHeight="false" outlineLevel="0" collapsed="false">
      <c r="A189" s="12"/>
      <c r="B189" s="34"/>
      <c r="C189" s="12"/>
      <c r="D189" s="12"/>
      <c r="E189" s="12"/>
      <c r="F189" s="12"/>
      <c r="G189" s="18"/>
      <c r="H189" s="35"/>
      <c r="I189" s="12"/>
      <c r="M189" s="12"/>
      <c r="N189" s="18"/>
      <c r="O189" s="12"/>
      <c r="P189" s="12"/>
      <c r="Q189" s="12"/>
      <c r="R189" s="36"/>
      <c r="S189" s="36"/>
      <c r="T189" s="12"/>
      <c r="U189" s="12"/>
      <c r="V189" s="12"/>
      <c r="W189" s="12"/>
      <c r="X189" s="12"/>
    </row>
    <row r="190" customFormat="false" ht="15.75" hidden="false" customHeight="false" outlineLevel="0" collapsed="false">
      <c r="A190" s="12"/>
      <c r="B190" s="34"/>
      <c r="C190" s="12"/>
      <c r="D190" s="12"/>
      <c r="E190" s="12"/>
      <c r="F190" s="12"/>
      <c r="G190" s="18"/>
      <c r="H190" s="35"/>
      <c r="I190" s="12"/>
      <c r="M190" s="12"/>
      <c r="N190" s="18"/>
      <c r="O190" s="12"/>
      <c r="P190" s="12"/>
      <c r="Q190" s="12"/>
      <c r="R190" s="36"/>
      <c r="S190" s="36"/>
      <c r="T190" s="12"/>
      <c r="U190" s="12"/>
      <c r="V190" s="12"/>
      <c r="W190" s="12"/>
      <c r="X190" s="12"/>
    </row>
    <row r="191" customFormat="false" ht="15.75" hidden="false" customHeight="false" outlineLevel="0" collapsed="false">
      <c r="A191" s="12"/>
      <c r="B191" s="34"/>
      <c r="C191" s="12"/>
      <c r="D191" s="12"/>
      <c r="E191" s="12"/>
      <c r="F191" s="12"/>
      <c r="G191" s="18"/>
      <c r="H191" s="35"/>
      <c r="I191" s="12"/>
      <c r="M191" s="12"/>
      <c r="N191" s="18"/>
      <c r="O191" s="12"/>
      <c r="P191" s="12"/>
      <c r="Q191" s="12"/>
      <c r="R191" s="36"/>
      <c r="S191" s="36"/>
      <c r="T191" s="12"/>
      <c r="U191" s="12"/>
      <c r="V191" s="12"/>
      <c r="W191" s="12"/>
      <c r="X191" s="12"/>
    </row>
    <row r="192" customFormat="false" ht="15.75" hidden="false" customHeight="false" outlineLevel="0" collapsed="false">
      <c r="A192" s="12"/>
      <c r="B192" s="34"/>
      <c r="C192" s="12"/>
      <c r="D192" s="12"/>
      <c r="E192" s="12"/>
      <c r="F192" s="12"/>
      <c r="G192" s="18"/>
      <c r="H192" s="35"/>
      <c r="I192" s="12"/>
      <c r="M192" s="12"/>
      <c r="N192" s="18"/>
      <c r="O192" s="12"/>
      <c r="P192" s="12"/>
      <c r="Q192" s="12"/>
      <c r="R192" s="36"/>
      <c r="S192" s="36"/>
      <c r="T192" s="12"/>
      <c r="U192" s="12"/>
      <c r="V192" s="12"/>
      <c r="W192" s="12"/>
      <c r="X192" s="12"/>
    </row>
    <row r="193" customFormat="false" ht="15.75" hidden="false" customHeight="false" outlineLevel="0" collapsed="false">
      <c r="A193" s="12"/>
      <c r="B193" s="34"/>
      <c r="C193" s="12"/>
      <c r="D193" s="12"/>
      <c r="E193" s="12"/>
      <c r="F193" s="12"/>
      <c r="G193" s="18"/>
      <c r="H193" s="35"/>
      <c r="I193" s="12"/>
      <c r="M193" s="12"/>
      <c r="N193" s="18"/>
      <c r="O193" s="12"/>
      <c r="P193" s="12"/>
      <c r="Q193" s="12"/>
      <c r="R193" s="36"/>
      <c r="S193" s="36"/>
      <c r="T193" s="12"/>
      <c r="U193" s="12"/>
      <c r="V193" s="12"/>
      <c r="W193" s="12"/>
      <c r="X193" s="12"/>
    </row>
    <row r="194" customFormat="false" ht="15.75" hidden="false" customHeight="false" outlineLevel="0" collapsed="false">
      <c r="A194" s="12"/>
      <c r="B194" s="34"/>
      <c r="C194" s="12"/>
      <c r="D194" s="12"/>
      <c r="E194" s="12"/>
      <c r="F194" s="12"/>
      <c r="G194" s="18"/>
      <c r="H194" s="35"/>
      <c r="I194" s="12"/>
      <c r="M194" s="12"/>
      <c r="N194" s="18"/>
      <c r="O194" s="12"/>
      <c r="P194" s="12"/>
      <c r="Q194" s="12"/>
      <c r="R194" s="36"/>
      <c r="S194" s="36"/>
      <c r="T194" s="12"/>
      <c r="U194" s="12"/>
      <c r="V194" s="12"/>
      <c r="W194" s="12"/>
      <c r="X194" s="12"/>
    </row>
    <row r="195" customFormat="false" ht="15.75" hidden="false" customHeight="false" outlineLevel="0" collapsed="false">
      <c r="A195" s="12"/>
      <c r="B195" s="34"/>
      <c r="C195" s="12"/>
      <c r="D195" s="12"/>
      <c r="E195" s="12"/>
      <c r="F195" s="12"/>
      <c r="G195" s="18"/>
      <c r="H195" s="35"/>
      <c r="I195" s="12"/>
      <c r="M195" s="12"/>
      <c r="N195" s="18"/>
      <c r="O195" s="12"/>
      <c r="P195" s="12"/>
      <c r="Q195" s="12"/>
      <c r="R195" s="36"/>
      <c r="S195" s="36"/>
      <c r="T195" s="12"/>
      <c r="U195" s="12"/>
      <c r="V195" s="12"/>
      <c r="W195" s="12"/>
      <c r="X195" s="12"/>
    </row>
    <row r="196" customFormat="false" ht="15.75" hidden="false" customHeight="false" outlineLevel="0" collapsed="false">
      <c r="A196" s="12"/>
      <c r="B196" s="34"/>
      <c r="C196" s="12"/>
      <c r="D196" s="12"/>
      <c r="E196" s="12"/>
      <c r="F196" s="12"/>
      <c r="G196" s="18"/>
      <c r="H196" s="35"/>
      <c r="I196" s="12"/>
      <c r="M196" s="12"/>
      <c r="N196" s="18"/>
      <c r="O196" s="12"/>
      <c r="P196" s="12"/>
      <c r="Q196" s="12"/>
      <c r="R196" s="36"/>
      <c r="S196" s="36"/>
      <c r="T196" s="12"/>
      <c r="U196" s="12"/>
      <c r="V196" s="12"/>
      <c r="W196" s="12"/>
      <c r="X196" s="12"/>
    </row>
    <row r="197" customFormat="false" ht="15.75" hidden="false" customHeight="false" outlineLevel="0" collapsed="false">
      <c r="A197" s="12"/>
      <c r="B197" s="34"/>
      <c r="C197" s="12"/>
      <c r="D197" s="12"/>
      <c r="E197" s="12"/>
      <c r="F197" s="12"/>
      <c r="G197" s="18"/>
      <c r="H197" s="35"/>
      <c r="I197" s="12"/>
      <c r="M197" s="12"/>
      <c r="N197" s="18"/>
      <c r="O197" s="12"/>
      <c r="P197" s="12"/>
      <c r="Q197" s="12"/>
      <c r="R197" s="36"/>
      <c r="S197" s="36"/>
      <c r="T197" s="12"/>
      <c r="U197" s="12"/>
      <c r="V197" s="12"/>
      <c r="W197" s="12"/>
      <c r="X197" s="12"/>
    </row>
    <row r="198" customFormat="false" ht="15.75" hidden="false" customHeight="false" outlineLevel="0" collapsed="false">
      <c r="A198" s="12"/>
      <c r="B198" s="34"/>
      <c r="C198" s="12"/>
      <c r="D198" s="12"/>
      <c r="E198" s="12"/>
      <c r="F198" s="12"/>
      <c r="G198" s="18"/>
      <c r="H198" s="35"/>
      <c r="I198" s="12"/>
      <c r="M198" s="12"/>
      <c r="N198" s="18"/>
      <c r="O198" s="12"/>
      <c r="P198" s="12"/>
      <c r="Q198" s="12"/>
      <c r="R198" s="36"/>
      <c r="S198" s="36"/>
      <c r="T198" s="12"/>
      <c r="U198" s="12"/>
      <c r="V198" s="12"/>
      <c r="W198" s="12"/>
      <c r="X198" s="12"/>
    </row>
    <row r="199" customFormat="false" ht="15.75" hidden="false" customHeight="false" outlineLevel="0" collapsed="false">
      <c r="A199" s="12"/>
      <c r="B199" s="34"/>
      <c r="C199" s="12"/>
      <c r="D199" s="12"/>
      <c r="E199" s="12"/>
      <c r="F199" s="12"/>
      <c r="G199" s="18"/>
      <c r="H199" s="35"/>
      <c r="I199" s="12"/>
      <c r="M199" s="12"/>
      <c r="N199" s="18"/>
      <c r="O199" s="12"/>
      <c r="P199" s="12"/>
      <c r="Q199" s="12"/>
      <c r="R199" s="36"/>
      <c r="S199" s="36"/>
      <c r="T199" s="12"/>
      <c r="U199" s="12"/>
      <c r="V199" s="12"/>
      <c r="W199" s="12"/>
      <c r="X199" s="12"/>
    </row>
    <row r="200" customFormat="false" ht="15.75" hidden="false" customHeight="false" outlineLevel="0" collapsed="false">
      <c r="A200" s="12"/>
      <c r="B200" s="34"/>
      <c r="C200" s="12"/>
      <c r="D200" s="12"/>
      <c r="E200" s="12"/>
      <c r="F200" s="12"/>
      <c r="G200" s="18"/>
      <c r="H200" s="35"/>
      <c r="I200" s="12"/>
      <c r="M200" s="12"/>
      <c r="N200" s="18"/>
      <c r="O200" s="12"/>
      <c r="P200" s="12"/>
      <c r="Q200" s="12"/>
      <c r="R200" s="36"/>
      <c r="S200" s="36"/>
      <c r="T200" s="12"/>
      <c r="U200" s="12"/>
      <c r="V200" s="12"/>
      <c r="W200" s="12"/>
      <c r="X200" s="12"/>
    </row>
    <row r="201" customFormat="false" ht="15.75" hidden="false" customHeight="false" outlineLevel="0" collapsed="false">
      <c r="A201" s="12"/>
      <c r="B201" s="34"/>
      <c r="C201" s="12"/>
      <c r="D201" s="12"/>
      <c r="E201" s="12"/>
      <c r="F201" s="12"/>
      <c r="G201" s="18"/>
      <c r="H201" s="35"/>
      <c r="I201" s="12"/>
      <c r="M201" s="12"/>
      <c r="N201" s="18"/>
      <c r="O201" s="12"/>
      <c r="P201" s="12"/>
      <c r="Q201" s="12"/>
      <c r="R201" s="36"/>
      <c r="S201" s="36"/>
      <c r="T201" s="12"/>
      <c r="U201" s="12"/>
      <c r="V201" s="12"/>
      <c r="W201" s="12"/>
      <c r="X201" s="12"/>
    </row>
    <row r="202" customFormat="false" ht="15.75" hidden="false" customHeight="false" outlineLevel="0" collapsed="false">
      <c r="A202" s="12"/>
      <c r="B202" s="34"/>
      <c r="C202" s="12"/>
      <c r="D202" s="12"/>
      <c r="E202" s="12"/>
      <c r="F202" s="12"/>
      <c r="G202" s="18"/>
      <c r="H202" s="35"/>
      <c r="I202" s="12"/>
      <c r="M202" s="12"/>
      <c r="N202" s="18"/>
      <c r="O202" s="12"/>
      <c r="P202" s="12"/>
      <c r="Q202" s="12"/>
      <c r="R202" s="36"/>
      <c r="S202" s="36"/>
      <c r="T202" s="12"/>
      <c r="U202" s="12"/>
      <c r="V202" s="12"/>
      <c r="W202" s="12"/>
      <c r="X202" s="12"/>
    </row>
    <row r="203" customFormat="false" ht="15.75" hidden="false" customHeight="false" outlineLevel="0" collapsed="false">
      <c r="A203" s="12"/>
      <c r="B203" s="34"/>
      <c r="C203" s="12"/>
      <c r="D203" s="12"/>
      <c r="E203" s="12"/>
      <c r="F203" s="12"/>
      <c r="G203" s="18"/>
      <c r="H203" s="35"/>
      <c r="I203" s="12"/>
      <c r="M203" s="12"/>
      <c r="N203" s="18"/>
      <c r="O203" s="12"/>
      <c r="P203" s="12"/>
      <c r="Q203" s="12"/>
      <c r="R203" s="36"/>
      <c r="S203" s="36"/>
      <c r="T203" s="12"/>
      <c r="U203" s="12"/>
      <c r="V203" s="12"/>
      <c r="W203" s="12"/>
      <c r="X203" s="12"/>
    </row>
    <row r="204" customFormat="false" ht="15.75" hidden="false" customHeight="false" outlineLevel="0" collapsed="false">
      <c r="A204" s="12"/>
      <c r="B204" s="34"/>
      <c r="C204" s="12"/>
      <c r="D204" s="12"/>
      <c r="E204" s="12"/>
      <c r="F204" s="12"/>
      <c r="G204" s="18"/>
      <c r="H204" s="35"/>
      <c r="I204" s="12"/>
      <c r="M204" s="12"/>
      <c r="N204" s="18"/>
      <c r="O204" s="12"/>
      <c r="P204" s="12"/>
      <c r="Q204" s="12"/>
      <c r="R204" s="36"/>
      <c r="S204" s="36"/>
      <c r="T204" s="12"/>
      <c r="U204" s="12"/>
      <c r="V204" s="12"/>
      <c r="W204" s="12"/>
      <c r="X204" s="12"/>
    </row>
    <row r="205" customFormat="false" ht="15.75" hidden="false" customHeight="false" outlineLevel="0" collapsed="false">
      <c r="A205" s="12"/>
      <c r="B205" s="34"/>
      <c r="C205" s="12"/>
      <c r="D205" s="12"/>
      <c r="E205" s="12"/>
      <c r="F205" s="12"/>
      <c r="G205" s="18"/>
      <c r="H205" s="35"/>
      <c r="I205" s="12"/>
      <c r="M205" s="12"/>
      <c r="N205" s="18"/>
      <c r="O205" s="12"/>
      <c r="P205" s="12"/>
      <c r="Q205" s="12"/>
      <c r="R205" s="36"/>
      <c r="S205" s="36"/>
      <c r="T205" s="12"/>
      <c r="U205" s="12"/>
      <c r="V205" s="12"/>
      <c r="W205" s="12"/>
      <c r="X205" s="12"/>
    </row>
    <row r="206" customFormat="false" ht="15.75" hidden="false" customHeight="false" outlineLevel="0" collapsed="false">
      <c r="A206" s="12"/>
      <c r="B206" s="34"/>
      <c r="C206" s="12"/>
      <c r="D206" s="12"/>
      <c r="E206" s="12"/>
      <c r="F206" s="12"/>
      <c r="G206" s="18"/>
      <c r="H206" s="35"/>
      <c r="I206" s="12"/>
      <c r="M206" s="12"/>
      <c r="N206" s="18"/>
      <c r="O206" s="12"/>
      <c r="P206" s="12"/>
      <c r="Q206" s="12"/>
      <c r="R206" s="36"/>
      <c r="S206" s="36"/>
      <c r="T206" s="12"/>
      <c r="U206" s="12"/>
      <c r="V206" s="12"/>
      <c r="W206" s="12"/>
      <c r="X206" s="12"/>
    </row>
    <row r="207" customFormat="false" ht="15.75" hidden="false" customHeight="false" outlineLevel="0" collapsed="false">
      <c r="A207" s="12"/>
      <c r="B207" s="34"/>
      <c r="C207" s="12"/>
      <c r="D207" s="12"/>
      <c r="E207" s="12"/>
      <c r="F207" s="12"/>
      <c r="G207" s="18"/>
      <c r="H207" s="35"/>
      <c r="I207" s="12"/>
      <c r="M207" s="12"/>
      <c r="N207" s="18"/>
      <c r="O207" s="12"/>
      <c r="P207" s="12"/>
      <c r="Q207" s="12"/>
      <c r="R207" s="36"/>
      <c r="S207" s="36"/>
      <c r="T207" s="12"/>
      <c r="U207" s="12"/>
      <c r="V207" s="12"/>
      <c r="W207" s="12"/>
      <c r="X207" s="12"/>
    </row>
    <row r="208" customFormat="false" ht="15.75" hidden="false" customHeight="false" outlineLevel="0" collapsed="false">
      <c r="A208" s="12"/>
      <c r="B208" s="34"/>
      <c r="C208" s="12"/>
      <c r="D208" s="12"/>
      <c r="E208" s="12"/>
      <c r="F208" s="12"/>
      <c r="G208" s="18"/>
      <c r="H208" s="35"/>
      <c r="I208" s="12"/>
      <c r="M208" s="12"/>
      <c r="N208" s="18"/>
      <c r="O208" s="12"/>
      <c r="P208" s="12"/>
      <c r="Q208" s="12"/>
      <c r="R208" s="36"/>
      <c r="S208" s="36"/>
      <c r="T208" s="12"/>
      <c r="U208" s="12"/>
      <c r="V208" s="12"/>
      <c r="W208" s="12"/>
      <c r="X208" s="12"/>
    </row>
    <row r="209" customFormat="false" ht="15.75" hidden="false" customHeight="false" outlineLevel="0" collapsed="false">
      <c r="A209" s="12"/>
      <c r="B209" s="34"/>
      <c r="C209" s="12"/>
      <c r="D209" s="12"/>
      <c r="E209" s="12"/>
      <c r="F209" s="12"/>
      <c r="G209" s="18"/>
      <c r="H209" s="35"/>
      <c r="I209" s="12"/>
      <c r="M209" s="12"/>
      <c r="N209" s="18"/>
      <c r="O209" s="12"/>
      <c r="P209" s="12"/>
      <c r="Q209" s="12"/>
      <c r="R209" s="36"/>
      <c r="S209" s="36"/>
      <c r="T209" s="12"/>
      <c r="U209" s="12"/>
      <c r="V209" s="12"/>
      <c r="W209" s="12"/>
      <c r="X209" s="12"/>
    </row>
    <row r="210" customFormat="false" ht="15.75" hidden="false" customHeight="false" outlineLevel="0" collapsed="false">
      <c r="A210" s="12"/>
      <c r="B210" s="34"/>
      <c r="C210" s="12"/>
      <c r="D210" s="12"/>
      <c r="E210" s="12"/>
      <c r="F210" s="12"/>
      <c r="G210" s="18"/>
      <c r="H210" s="35"/>
      <c r="I210" s="12"/>
      <c r="M210" s="12"/>
      <c r="N210" s="18"/>
      <c r="O210" s="12"/>
      <c r="P210" s="12"/>
      <c r="Q210" s="12"/>
      <c r="R210" s="36"/>
      <c r="S210" s="36"/>
      <c r="T210" s="12"/>
      <c r="U210" s="12"/>
      <c r="V210" s="12"/>
      <c r="W210" s="12"/>
      <c r="X210" s="12"/>
    </row>
    <row r="211" customFormat="false" ht="15.75" hidden="false" customHeight="false" outlineLevel="0" collapsed="false">
      <c r="A211" s="12"/>
      <c r="B211" s="34"/>
      <c r="C211" s="12"/>
      <c r="D211" s="12"/>
      <c r="E211" s="12"/>
      <c r="F211" s="12"/>
      <c r="G211" s="18"/>
      <c r="H211" s="35"/>
      <c r="I211" s="12"/>
      <c r="M211" s="12"/>
      <c r="N211" s="18"/>
      <c r="O211" s="12"/>
      <c r="P211" s="12"/>
      <c r="Q211" s="12"/>
      <c r="R211" s="36"/>
      <c r="S211" s="36"/>
      <c r="T211" s="12"/>
      <c r="U211" s="12"/>
      <c r="V211" s="12"/>
      <c r="W211" s="12"/>
      <c r="X211" s="12"/>
    </row>
    <row r="212" customFormat="false" ht="15.75" hidden="false" customHeight="false" outlineLevel="0" collapsed="false">
      <c r="A212" s="12"/>
      <c r="B212" s="34"/>
      <c r="C212" s="12"/>
      <c r="D212" s="12"/>
      <c r="E212" s="12"/>
      <c r="F212" s="12"/>
      <c r="G212" s="18"/>
      <c r="H212" s="35"/>
      <c r="I212" s="12"/>
      <c r="M212" s="12"/>
      <c r="N212" s="18"/>
      <c r="O212" s="12"/>
      <c r="P212" s="12"/>
      <c r="Q212" s="12"/>
      <c r="R212" s="36"/>
      <c r="S212" s="36"/>
      <c r="T212" s="12"/>
      <c r="U212" s="12"/>
      <c r="V212" s="12"/>
      <c r="W212" s="12"/>
      <c r="X212" s="12"/>
    </row>
    <row r="213" customFormat="false" ht="15.75" hidden="false" customHeight="false" outlineLevel="0" collapsed="false">
      <c r="A213" s="12"/>
      <c r="B213" s="34"/>
      <c r="C213" s="12"/>
      <c r="D213" s="12"/>
      <c r="E213" s="12"/>
      <c r="F213" s="12"/>
      <c r="G213" s="18"/>
      <c r="H213" s="35"/>
      <c r="I213" s="12"/>
      <c r="M213" s="12"/>
      <c r="N213" s="18"/>
      <c r="O213" s="12"/>
      <c r="P213" s="12"/>
      <c r="Q213" s="12"/>
      <c r="R213" s="36"/>
      <c r="S213" s="36"/>
      <c r="T213" s="12"/>
      <c r="U213" s="12"/>
      <c r="V213" s="12"/>
      <c r="W213" s="12"/>
      <c r="X213" s="12"/>
    </row>
    <row r="214" customFormat="false" ht="15.75" hidden="false" customHeight="false" outlineLevel="0" collapsed="false">
      <c r="A214" s="12"/>
      <c r="B214" s="34"/>
      <c r="C214" s="12"/>
      <c r="D214" s="12"/>
      <c r="E214" s="12"/>
      <c r="F214" s="12"/>
      <c r="G214" s="18"/>
      <c r="H214" s="35"/>
      <c r="I214" s="12"/>
      <c r="M214" s="12"/>
      <c r="N214" s="18"/>
      <c r="O214" s="12"/>
      <c r="P214" s="12"/>
      <c r="Q214" s="12"/>
      <c r="R214" s="36"/>
      <c r="S214" s="36"/>
      <c r="T214" s="12"/>
      <c r="U214" s="12"/>
      <c r="V214" s="12"/>
      <c r="W214" s="12"/>
      <c r="X214" s="12"/>
    </row>
    <row r="215" customFormat="false" ht="15.75" hidden="false" customHeight="false" outlineLevel="0" collapsed="false">
      <c r="A215" s="12"/>
      <c r="B215" s="34"/>
      <c r="C215" s="12"/>
      <c r="D215" s="12"/>
      <c r="E215" s="12"/>
      <c r="F215" s="12"/>
      <c r="G215" s="18"/>
      <c r="H215" s="35"/>
      <c r="I215" s="12"/>
      <c r="M215" s="12"/>
      <c r="N215" s="18"/>
      <c r="O215" s="12"/>
      <c r="P215" s="12"/>
      <c r="Q215" s="12"/>
      <c r="R215" s="36"/>
      <c r="S215" s="36"/>
      <c r="T215" s="12"/>
      <c r="U215" s="12"/>
      <c r="V215" s="12"/>
      <c r="W215" s="12"/>
      <c r="X215" s="12"/>
    </row>
    <row r="216" customFormat="false" ht="15.75" hidden="false" customHeight="false" outlineLevel="0" collapsed="false">
      <c r="A216" s="12"/>
      <c r="B216" s="34"/>
      <c r="C216" s="12"/>
      <c r="D216" s="12"/>
      <c r="E216" s="12"/>
      <c r="F216" s="12"/>
      <c r="G216" s="18"/>
      <c r="H216" s="35"/>
      <c r="I216" s="12"/>
      <c r="M216" s="12"/>
      <c r="N216" s="18"/>
      <c r="O216" s="12"/>
      <c r="P216" s="12"/>
      <c r="Q216" s="12"/>
      <c r="R216" s="36"/>
      <c r="S216" s="36"/>
      <c r="T216" s="12"/>
      <c r="U216" s="12"/>
      <c r="V216" s="12"/>
      <c r="W216" s="12"/>
      <c r="X216" s="12"/>
    </row>
    <row r="217" customFormat="false" ht="15.75" hidden="false" customHeight="false" outlineLevel="0" collapsed="false">
      <c r="A217" s="12"/>
      <c r="B217" s="34"/>
      <c r="C217" s="12"/>
      <c r="D217" s="12"/>
      <c r="E217" s="12"/>
      <c r="F217" s="12"/>
      <c r="G217" s="18"/>
      <c r="H217" s="35"/>
      <c r="I217" s="12"/>
      <c r="M217" s="12"/>
      <c r="N217" s="18"/>
      <c r="O217" s="12"/>
      <c r="P217" s="12"/>
      <c r="Q217" s="12"/>
      <c r="R217" s="36"/>
      <c r="S217" s="36"/>
      <c r="T217" s="12"/>
      <c r="U217" s="12"/>
      <c r="V217" s="12"/>
      <c r="W217" s="12"/>
      <c r="X217" s="12"/>
    </row>
    <row r="218" customFormat="false" ht="15.75" hidden="false" customHeight="false" outlineLevel="0" collapsed="false">
      <c r="A218" s="12"/>
      <c r="B218" s="34"/>
      <c r="C218" s="12"/>
      <c r="D218" s="12"/>
      <c r="E218" s="12"/>
      <c r="F218" s="12"/>
      <c r="G218" s="18"/>
      <c r="H218" s="35"/>
      <c r="I218" s="12"/>
      <c r="M218" s="12"/>
      <c r="N218" s="18"/>
      <c r="O218" s="12"/>
      <c r="P218" s="12"/>
      <c r="Q218" s="12"/>
      <c r="R218" s="36"/>
      <c r="S218" s="36"/>
      <c r="T218" s="12"/>
      <c r="U218" s="12"/>
      <c r="V218" s="12"/>
      <c r="W218" s="12"/>
      <c r="X218" s="12"/>
    </row>
    <row r="219" customFormat="false" ht="15.75" hidden="false" customHeight="false" outlineLevel="0" collapsed="false">
      <c r="A219" s="12"/>
      <c r="B219" s="34"/>
      <c r="C219" s="12"/>
      <c r="D219" s="12"/>
      <c r="E219" s="12"/>
      <c r="F219" s="12"/>
      <c r="G219" s="18"/>
      <c r="H219" s="35"/>
      <c r="I219" s="12"/>
      <c r="M219" s="12"/>
      <c r="N219" s="18"/>
      <c r="O219" s="12"/>
      <c r="P219" s="12"/>
      <c r="Q219" s="12"/>
      <c r="R219" s="36"/>
      <c r="S219" s="36"/>
      <c r="T219" s="12"/>
      <c r="U219" s="12"/>
      <c r="V219" s="12"/>
      <c r="W219" s="12"/>
      <c r="X219" s="12"/>
    </row>
    <row r="220" customFormat="false" ht="15.75" hidden="false" customHeight="false" outlineLevel="0" collapsed="false">
      <c r="A220" s="12"/>
      <c r="B220" s="34"/>
      <c r="C220" s="12"/>
      <c r="D220" s="12"/>
      <c r="E220" s="12"/>
      <c r="F220" s="12"/>
      <c r="G220" s="18"/>
      <c r="H220" s="35"/>
      <c r="I220" s="12"/>
      <c r="M220" s="12"/>
      <c r="N220" s="18"/>
      <c r="O220" s="12"/>
      <c r="P220" s="12"/>
      <c r="Q220" s="12"/>
      <c r="R220" s="36"/>
      <c r="S220" s="36"/>
      <c r="T220" s="12"/>
      <c r="U220" s="12"/>
      <c r="V220" s="12"/>
      <c r="W220" s="12"/>
      <c r="X220" s="12"/>
    </row>
    <row r="221" customFormat="false" ht="15.75" hidden="false" customHeight="false" outlineLevel="0" collapsed="false">
      <c r="A221" s="12"/>
      <c r="B221" s="34"/>
      <c r="C221" s="12"/>
      <c r="D221" s="12"/>
      <c r="E221" s="12"/>
      <c r="F221" s="12"/>
      <c r="G221" s="18"/>
      <c r="H221" s="35"/>
      <c r="I221" s="12"/>
      <c r="M221" s="12"/>
      <c r="N221" s="18"/>
      <c r="O221" s="12"/>
      <c r="P221" s="12"/>
      <c r="Q221" s="12"/>
      <c r="R221" s="36"/>
      <c r="S221" s="36"/>
      <c r="T221" s="12"/>
      <c r="U221" s="12"/>
      <c r="V221" s="12"/>
      <c r="W221" s="12"/>
      <c r="X221" s="12"/>
    </row>
    <row r="222" customFormat="false" ht="15.75" hidden="false" customHeight="false" outlineLevel="0" collapsed="false">
      <c r="A222" s="12"/>
      <c r="B222" s="34"/>
      <c r="C222" s="12"/>
      <c r="D222" s="12"/>
      <c r="E222" s="12"/>
      <c r="F222" s="12"/>
      <c r="G222" s="18"/>
      <c r="H222" s="35"/>
      <c r="I222" s="12"/>
      <c r="M222" s="12"/>
      <c r="N222" s="18"/>
      <c r="O222" s="12"/>
      <c r="P222" s="12"/>
      <c r="Q222" s="12"/>
      <c r="R222" s="36"/>
      <c r="S222" s="36"/>
      <c r="T222" s="12"/>
      <c r="U222" s="12"/>
      <c r="V222" s="12"/>
      <c r="W222" s="12"/>
      <c r="X222" s="12"/>
    </row>
    <row r="223" customFormat="false" ht="15.75" hidden="false" customHeight="false" outlineLevel="0" collapsed="false">
      <c r="A223" s="12"/>
      <c r="B223" s="34"/>
      <c r="C223" s="12"/>
      <c r="D223" s="12"/>
      <c r="E223" s="12"/>
      <c r="F223" s="12"/>
      <c r="G223" s="18"/>
      <c r="H223" s="35"/>
      <c r="I223" s="12"/>
      <c r="M223" s="12"/>
      <c r="N223" s="18"/>
      <c r="O223" s="12"/>
      <c r="P223" s="12"/>
      <c r="Q223" s="12"/>
      <c r="R223" s="36"/>
      <c r="S223" s="36"/>
      <c r="T223" s="12"/>
      <c r="U223" s="12"/>
      <c r="V223" s="12"/>
      <c r="W223" s="12"/>
      <c r="X223" s="12"/>
    </row>
    <row r="224" customFormat="false" ht="15.75" hidden="false" customHeight="false" outlineLevel="0" collapsed="false">
      <c r="A224" s="12"/>
      <c r="B224" s="34"/>
      <c r="C224" s="12"/>
      <c r="D224" s="12"/>
      <c r="E224" s="12"/>
      <c r="F224" s="12"/>
      <c r="G224" s="18"/>
      <c r="H224" s="35"/>
      <c r="I224" s="12"/>
      <c r="M224" s="12"/>
      <c r="N224" s="18"/>
      <c r="O224" s="12"/>
      <c r="P224" s="12"/>
      <c r="Q224" s="12"/>
      <c r="R224" s="36"/>
      <c r="S224" s="36"/>
      <c r="T224" s="12"/>
      <c r="U224" s="12"/>
      <c r="V224" s="12"/>
      <c r="W224" s="12"/>
      <c r="X224" s="12"/>
    </row>
    <row r="225" customFormat="false" ht="15.75" hidden="false" customHeight="false" outlineLevel="0" collapsed="false">
      <c r="A225" s="12"/>
      <c r="B225" s="34"/>
      <c r="C225" s="12"/>
      <c r="D225" s="12"/>
      <c r="E225" s="12"/>
      <c r="F225" s="12"/>
      <c r="G225" s="18"/>
      <c r="H225" s="35"/>
      <c r="I225" s="12"/>
      <c r="M225" s="12"/>
      <c r="N225" s="18"/>
      <c r="O225" s="12"/>
      <c r="P225" s="12"/>
      <c r="Q225" s="12"/>
      <c r="R225" s="36"/>
      <c r="S225" s="36"/>
      <c r="T225" s="12"/>
      <c r="U225" s="12"/>
      <c r="V225" s="12"/>
      <c r="W225" s="12"/>
      <c r="X225" s="12"/>
    </row>
    <row r="226" customFormat="false" ht="15.75" hidden="false" customHeight="false" outlineLevel="0" collapsed="false">
      <c r="A226" s="12"/>
      <c r="B226" s="34"/>
      <c r="C226" s="12"/>
      <c r="D226" s="12"/>
      <c r="E226" s="12"/>
      <c r="F226" s="12"/>
      <c r="G226" s="18"/>
      <c r="H226" s="35"/>
      <c r="I226" s="12"/>
      <c r="M226" s="12"/>
      <c r="N226" s="18"/>
      <c r="O226" s="12"/>
      <c r="P226" s="12"/>
      <c r="Q226" s="12"/>
      <c r="R226" s="36"/>
      <c r="S226" s="36"/>
      <c r="T226" s="12"/>
      <c r="U226" s="12"/>
      <c r="V226" s="12"/>
      <c r="W226" s="12"/>
      <c r="X226" s="12"/>
    </row>
    <row r="227" customFormat="false" ht="15.75" hidden="false" customHeight="false" outlineLevel="0" collapsed="false">
      <c r="A227" s="12"/>
      <c r="B227" s="34"/>
      <c r="C227" s="12"/>
      <c r="D227" s="12"/>
      <c r="E227" s="12"/>
      <c r="F227" s="12"/>
      <c r="G227" s="18"/>
      <c r="H227" s="35"/>
      <c r="I227" s="12"/>
      <c r="M227" s="12"/>
      <c r="N227" s="18"/>
      <c r="O227" s="12"/>
      <c r="P227" s="12"/>
      <c r="Q227" s="12"/>
      <c r="R227" s="36"/>
      <c r="S227" s="36"/>
      <c r="T227" s="12"/>
      <c r="U227" s="12"/>
      <c r="V227" s="12"/>
      <c r="W227" s="12"/>
      <c r="X227" s="12"/>
    </row>
    <row r="228" customFormat="false" ht="15.75" hidden="false" customHeight="false" outlineLevel="0" collapsed="false">
      <c r="A228" s="12"/>
      <c r="B228" s="34"/>
      <c r="C228" s="12"/>
      <c r="D228" s="12"/>
      <c r="E228" s="12"/>
      <c r="F228" s="12"/>
      <c r="G228" s="18"/>
      <c r="H228" s="35"/>
      <c r="I228" s="12"/>
      <c r="M228" s="12"/>
      <c r="N228" s="18"/>
      <c r="O228" s="12"/>
      <c r="P228" s="12"/>
      <c r="Q228" s="12"/>
      <c r="R228" s="36"/>
      <c r="S228" s="36"/>
      <c r="T228" s="12"/>
      <c r="U228" s="12"/>
      <c r="V228" s="12"/>
      <c r="W228" s="12"/>
      <c r="X228" s="12"/>
    </row>
    <row r="229" customFormat="false" ht="15.75" hidden="false" customHeight="false" outlineLevel="0" collapsed="false">
      <c r="A229" s="12"/>
      <c r="B229" s="34"/>
      <c r="C229" s="12"/>
      <c r="D229" s="12"/>
      <c r="E229" s="12"/>
      <c r="F229" s="12"/>
      <c r="G229" s="18"/>
      <c r="H229" s="35"/>
      <c r="I229" s="12"/>
      <c r="M229" s="12"/>
      <c r="N229" s="18"/>
      <c r="O229" s="12"/>
      <c r="P229" s="12"/>
      <c r="Q229" s="12"/>
      <c r="R229" s="36"/>
      <c r="S229" s="36"/>
      <c r="T229" s="12"/>
      <c r="U229" s="12"/>
      <c r="V229" s="12"/>
      <c r="W229" s="12"/>
      <c r="X229" s="12"/>
    </row>
    <row r="230" customFormat="false" ht="15.75" hidden="false" customHeight="false" outlineLevel="0" collapsed="false">
      <c r="A230" s="12"/>
      <c r="B230" s="34"/>
      <c r="C230" s="12"/>
      <c r="D230" s="12"/>
      <c r="E230" s="12"/>
      <c r="F230" s="12"/>
      <c r="G230" s="18"/>
      <c r="H230" s="35"/>
      <c r="I230" s="12"/>
      <c r="M230" s="12"/>
      <c r="N230" s="18"/>
      <c r="O230" s="12"/>
      <c r="P230" s="12"/>
      <c r="Q230" s="12"/>
      <c r="R230" s="36"/>
      <c r="S230" s="36"/>
      <c r="T230" s="12"/>
      <c r="U230" s="12"/>
      <c r="V230" s="12"/>
      <c r="W230" s="12"/>
      <c r="X230" s="12"/>
    </row>
    <row r="231" customFormat="false" ht="15.75" hidden="false" customHeight="false" outlineLevel="0" collapsed="false">
      <c r="A231" s="12"/>
      <c r="B231" s="34"/>
      <c r="C231" s="12"/>
      <c r="D231" s="12"/>
      <c r="E231" s="12"/>
      <c r="F231" s="12"/>
      <c r="G231" s="18"/>
      <c r="H231" s="35"/>
      <c r="I231" s="12"/>
      <c r="M231" s="12"/>
      <c r="N231" s="18"/>
      <c r="O231" s="12"/>
      <c r="P231" s="12"/>
      <c r="Q231" s="12"/>
      <c r="R231" s="36"/>
      <c r="S231" s="36"/>
      <c r="T231" s="12"/>
      <c r="U231" s="12"/>
      <c r="V231" s="12"/>
      <c r="W231" s="12"/>
      <c r="X231" s="12"/>
    </row>
    <row r="232" customFormat="false" ht="15.75" hidden="false" customHeight="false" outlineLevel="0" collapsed="false">
      <c r="A232" s="12"/>
      <c r="B232" s="34"/>
      <c r="C232" s="12"/>
      <c r="D232" s="12"/>
      <c r="E232" s="12"/>
      <c r="F232" s="12"/>
      <c r="G232" s="18"/>
      <c r="H232" s="35"/>
      <c r="I232" s="12"/>
      <c r="M232" s="12"/>
      <c r="N232" s="18"/>
      <c r="O232" s="12"/>
      <c r="P232" s="12"/>
      <c r="Q232" s="12"/>
      <c r="R232" s="36"/>
      <c r="S232" s="36"/>
      <c r="T232" s="12"/>
      <c r="U232" s="12"/>
      <c r="V232" s="12"/>
      <c r="W232" s="12"/>
      <c r="X232" s="12"/>
    </row>
    <row r="233" customFormat="false" ht="15.75" hidden="false" customHeight="false" outlineLevel="0" collapsed="false">
      <c r="A233" s="12"/>
      <c r="B233" s="34"/>
      <c r="C233" s="12"/>
      <c r="D233" s="12"/>
      <c r="E233" s="12"/>
      <c r="F233" s="12"/>
      <c r="G233" s="18"/>
      <c r="H233" s="35"/>
      <c r="I233" s="12"/>
      <c r="M233" s="12"/>
      <c r="N233" s="18"/>
      <c r="O233" s="12"/>
      <c r="P233" s="12"/>
      <c r="Q233" s="12"/>
      <c r="R233" s="36"/>
      <c r="S233" s="36"/>
      <c r="T233" s="12"/>
      <c r="U233" s="12"/>
      <c r="V233" s="12"/>
      <c r="W233" s="12"/>
      <c r="X233" s="12"/>
    </row>
    <row r="234" customFormat="false" ht="15.75" hidden="false" customHeight="false" outlineLevel="0" collapsed="false">
      <c r="A234" s="12"/>
      <c r="B234" s="34"/>
      <c r="C234" s="12"/>
      <c r="D234" s="12"/>
      <c r="E234" s="12"/>
      <c r="F234" s="12"/>
      <c r="G234" s="18"/>
      <c r="H234" s="35"/>
      <c r="I234" s="12"/>
      <c r="M234" s="12"/>
      <c r="N234" s="18"/>
      <c r="O234" s="12"/>
      <c r="P234" s="12"/>
      <c r="Q234" s="12"/>
      <c r="R234" s="36"/>
      <c r="S234" s="36"/>
      <c r="T234" s="12"/>
      <c r="U234" s="12"/>
      <c r="V234" s="12"/>
      <c r="W234" s="12"/>
      <c r="X234" s="12"/>
    </row>
    <row r="235" customFormat="false" ht="15.75" hidden="false" customHeight="false" outlineLevel="0" collapsed="false">
      <c r="A235" s="12"/>
      <c r="B235" s="34"/>
      <c r="C235" s="12"/>
      <c r="D235" s="12"/>
      <c r="E235" s="12"/>
      <c r="F235" s="12"/>
      <c r="G235" s="18"/>
      <c r="H235" s="35"/>
      <c r="I235" s="12"/>
      <c r="M235" s="12"/>
      <c r="N235" s="18"/>
      <c r="O235" s="12"/>
      <c r="P235" s="12"/>
      <c r="Q235" s="12"/>
      <c r="R235" s="36"/>
      <c r="S235" s="36"/>
      <c r="T235" s="12"/>
      <c r="U235" s="12"/>
      <c r="V235" s="12"/>
      <c r="W235" s="12"/>
      <c r="X235" s="12"/>
    </row>
    <row r="236" customFormat="false" ht="15.75" hidden="false" customHeight="false" outlineLevel="0" collapsed="false">
      <c r="A236" s="12"/>
      <c r="B236" s="34"/>
      <c r="C236" s="12"/>
      <c r="D236" s="12"/>
      <c r="E236" s="12"/>
      <c r="F236" s="12"/>
      <c r="G236" s="18"/>
      <c r="H236" s="35"/>
      <c r="I236" s="12"/>
      <c r="M236" s="12"/>
      <c r="N236" s="18"/>
      <c r="O236" s="12"/>
      <c r="P236" s="12"/>
      <c r="Q236" s="12"/>
      <c r="R236" s="36"/>
      <c r="S236" s="36"/>
      <c r="T236" s="12"/>
      <c r="U236" s="12"/>
      <c r="V236" s="12"/>
      <c r="W236" s="12"/>
      <c r="X236" s="12"/>
    </row>
    <row r="237" customFormat="false" ht="15.75" hidden="false" customHeight="false" outlineLevel="0" collapsed="false">
      <c r="A237" s="12"/>
      <c r="B237" s="34"/>
      <c r="C237" s="12"/>
      <c r="D237" s="12"/>
      <c r="E237" s="12"/>
      <c r="F237" s="12"/>
      <c r="G237" s="18"/>
      <c r="H237" s="35"/>
      <c r="I237" s="12"/>
      <c r="M237" s="12"/>
      <c r="N237" s="18"/>
      <c r="O237" s="12"/>
      <c r="P237" s="12"/>
      <c r="Q237" s="12"/>
      <c r="R237" s="36"/>
      <c r="S237" s="36"/>
      <c r="T237" s="12"/>
      <c r="U237" s="12"/>
      <c r="V237" s="12"/>
      <c r="W237" s="12"/>
      <c r="X237" s="12"/>
    </row>
    <row r="238" customFormat="false" ht="15.75" hidden="false" customHeight="false" outlineLevel="0" collapsed="false">
      <c r="A238" s="12"/>
      <c r="B238" s="34"/>
      <c r="C238" s="12"/>
      <c r="D238" s="12"/>
      <c r="E238" s="12"/>
      <c r="F238" s="12"/>
      <c r="G238" s="18"/>
      <c r="H238" s="35"/>
      <c r="I238" s="12"/>
      <c r="M238" s="12"/>
      <c r="N238" s="18"/>
      <c r="O238" s="12"/>
      <c r="P238" s="12"/>
      <c r="Q238" s="12"/>
      <c r="R238" s="36"/>
      <c r="S238" s="36"/>
      <c r="T238" s="12"/>
      <c r="U238" s="12"/>
      <c r="V238" s="12"/>
      <c r="W238" s="12"/>
      <c r="X238" s="12"/>
    </row>
    <row r="239" customFormat="false" ht="15.75" hidden="false" customHeight="false" outlineLevel="0" collapsed="false">
      <c r="A239" s="12"/>
      <c r="B239" s="34"/>
      <c r="C239" s="12"/>
      <c r="D239" s="12"/>
      <c r="E239" s="12"/>
      <c r="F239" s="12"/>
      <c r="G239" s="18"/>
      <c r="H239" s="35"/>
      <c r="I239" s="12"/>
      <c r="M239" s="12"/>
      <c r="N239" s="18"/>
      <c r="O239" s="12"/>
      <c r="P239" s="12"/>
      <c r="Q239" s="12"/>
      <c r="R239" s="36"/>
      <c r="S239" s="36"/>
      <c r="T239" s="12"/>
      <c r="U239" s="12"/>
      <c r="V239" s="12"/>
      <c r="W239" s="12"/>
      <c r="X239" s="12"/>
    </row>
    <row r="240" customFormat="false" ht="15.75" hidden="false" customHeight="false" outlineLevel="0" collapsed="false">
      <c r="A240" s="12"/>
      <c r="B240" s="34"/>
      <c r="C240" s="12"/>
      <c r="D240" s="12"/>
      <c r="E240" s="12"/>
      <c r="F240" s="12"/>
      <c r="G240" s="18"/>
      <c r="H240" s="35"/>
      <c r="I240" s="12"/>
      <c r="M240" s="12"/>
      <c r="N240" s="18"/>
      <c r="O240" s="12"/>
      <c r="P240" s="12"/>
      <c r="Q240" s="12"/>
      <c r="R240" s="36"/>
      <c r="S240" s="36"/>
      <c r="T240" s="12"/>
      <c r="U240" s="12"/>
      <c r="V240" s="12"/>
      <c r="W240" s="12"/>
      <c r="X240" s="12"/>
    </row>
    <row r="241" customFormat="false" ht="15.75" hidden="false" customHeight="false" outlineLevel="0" collapsed="false">
      <c r="A241" s="12"/>
      <c r="B241" s="34"/>
      <c r="C241" s="12"/>
      <c r="D241" s="12"/>
      <c r="E241" s="12"/>
      <c r="F241" s="12"/>
      <c r="G241" s="18"/>
      <c r="H241" s="35"/>
      <c r="I241" s="12"/>
      <c r="M241" s="12"/>
      <c r="N241" s="18"/>
      <c r="O241" s="12"/>
      <c r="P241" s="12"/>
      <c r="Q241" s="12"/>
      <c r="R241" s="36"/>
      <c r="S241" s="36"/>
      <c r="T241" s="12"/>
      <c r="U241" s="12"/>
      <c r="V241" s="12"/>
      <c r="W241" s="12"/>
      <c r="X241" s="12"/>
    </row>
    <row r="242" customFormat="false" ht="15.75" hidden="false" customHeight="false" outlineLevel="0" collapsed="false">
      <c r="A242" s="12"/>
      <c r="B242" s="34"/>
      <c r="C242" s="12"/>
      <c r="D242" s="12"/>
      <c r="E242" s="12"/>
      <c r="F242" s="12"/>
      <c r="G242" s="18"/>
      <c r="H242" s="35"/>
      <c r="I242" s="12"/>
      <c r="M242" s="12"/>
      <c r="N242" s="18"/>
      <c r="O242" s="12"/>
      <c r="P242" s="12"/>
      <c r="Q242" s="12"/>
      <c r="R242" s="36"/>
      <c r="S242" s="36"/>
      <c r="T242" s="12"/>
      <c r="U242" s="12"/>
      <c r="V242" s="12"/>
      <c r="W242" s="12"/>
      <c r="X242" s="12"/>
    </row>
    <row r="243" customFormat="false" ht="15.75" hidden="false" customHeight="false" outlineLevel="0" collapsed="false">
      <c r="A243" s="12"/>
      <c r="B243" s="34"/>
      <c r="C243" s="12"/>
      <c r="D243" s="12"/>
      <c r="E243" s="12"/>
      <c r="F243" s="12"/>
      <c r="G243" s="18"/>
      <c r="H243" s="35"/>
      <c r="I243" s="12"/>
      <c r="M243" s="12"/>
      <c r="N243" s="18"/>
      <c r="O243" s="12"/>
      <c r="P243" s="12"/>
      <c r="Q243" s="12"/>
      <c r="R243" s="36"/>
      <c r="S243" s="36"/>
      <c r="T243" s="12"/>
      <c r="U243" s="12"/>
      <c r="V243" s="12"/>
      <c r="W243" s="12"/>
      <c r="X243" s="12"/>
    </row>
    <row r="244" customFormat="false" ht="15.75" hidden="false" customHeight="false" outlineLevel="0" collapsed="false">
      <c r="A244" s="12"/>
      <c r="B244" s="34"/>
      <c r="C244" s="12"/>
      <c r="D244" s="12"/>
      <c r="E244" s="12"/>
      <c r="F244" s="12"/>
      <c r="G244" s="18"/>
      <c r="H244" s="35"/>
      <c r="I244" s="12"/>
      <c r="M244" s="12"/>
      <c r="N244" s="18"/>
      <c r="O244" s="12"/>
      <c r="P244" s="12"/>
      <c r="Q244" s="12"/>
      <c r="R244" s="36"/>
      <c r="S244" s="36"/>
      <c r="T244" s="12"/>
      <c r="U244" s="12"/>
      <c r="V244" s="12"/>
      <c r="W244" s="12"/>
      <c r="X244" s="12"/>
    </row>
    <row r="245" customFormat="false" ht="15.75" hidden="false" customHeight="false" outlineLevel="0" collapsed="false">
      <c r="A245" s="12"/>
      <c r="B245" s="34"/>
      <c r="C245" s="12"/>
      <c r="D245" s="12"/>
      <c r="E245" s="12"/>
      <c r="F245" s="12"/>
      <c r="G245" s="18"/>
      <c r="H245" s="35"/>
      <c r="I245" s="12"/>
      <c r="M245" s="12"/>
      <c r="N245" s="18"/>
      <c r="O245" s="12"/>
      <c r="P245" s="12"/>
      <c r="Q245" s="12"/>
      <c r="R245" s="36"/>
      <c r="S245" s="36"/>
      <c r="T245" s="12"/>
      <c r="U245" s="12"/>
      <c r="V245" s="12"/>
      <c r="W245" s="12"/>
      <c r="X245" s="12"/>
    </row>
    <row r="246" customFormat="false" ht="15.75" hidden="false" customHeight="false" outlineLevel="0" collapsed="false">
      <c r="A246" s="12"/>
      <c r="B246" s="34"/>
      <c r="C246" s="12"/>
      <c r="D246" s="12"/>
      <c r="E246" s="12"/>
      <c r="F246" s="12"/>
      <c r="G246" s="18"/>
      <c r="H246" s="35"/>
      <c r="I246" s="12"/>
      <c r="M246" s="12"/>
      <c r="N246" s="18"/>
      <c r="O246" s="12"/>
      <c r="P246" s="12"/>
      <c r="Q246" s="12"/>
      <c r="R246" s="36"/>
      <c r="S246" s="36"/>
      <c r="T246" s="12"/>
      <c r="U246" s="12"/>
      <c r="V246" s="12"/>
      <c r="W246" s="12"/>
      <c r="X246" s="12"/>
    </row>
    <row r="247" customFormat="false" ht="15.75" hidden="false" customHeight="false" outlineLevel="0" collapsed="false">
      <c r="A247" s="12"/>
      <c r="B247" s="34"/>
      <c r="C247" s="12"/>
      <c r="D247" s="12"/>
      <c r="E247" s="12"/>
      <c r="F247" s="12"/>
      <c r="G247" s="18"/>
      <c r="H247" s="35"/>
      <c r="I247" s="12"/>
      <c r="M247" s="12"/>
      <c r="N247" s="18"/>
      <c r="O247" s="12"/>
      <c r="P247" s="12"/>
      <c r="Q247" s="12"/>
      <c r="R247" s="36"/>
      <c r="S247" s="36"/>
      <c r="T247" s="12"/>
      <c r="U247" s="12"/>
      <c r="V247" s="12"/>
      <c r="W247" s="12"/>
      <c r="X247" s="12"/>
    </row>
    <row r="248" customFormat="false" ht="15.75" hidden="false" customHeight="false" outlineLevel="0" collapsed="false">
      <c r="A248" s="12"/>
      <c r="B248" s="34"/>
      <c r="C248" s="12"/>
      <c r="D248" s="12"/>
      <c r="E248" s="12"/>
      <c r="F248" s="12"/>
      <c r="G248" s="18"/>
      <c r="H248" s="35"/>
      <c r="I248" s="12"/>
      <c r="M248" s="12"/>
      <c r="N248" s="18"/>
      <c r="O248" s="12"/>
      <c r="P248" s="12"/>
      <c r="Q248" s="12"/>
      <c r="R248" s="36"/>
      <c r="S248" s="36"/>
      <c r="T248" s="12"/>
      <c r="U248" s="12"/>
      <c r="V248" s="12"/>
      <c r="W248" s="12"/>
      <c r="X248" s="12"/>
    </row>
    <row r="249" customFormat="false" ht="15.75" hidden="false" customHeight="false" outlineLevel="0" collapsed="false">
      <c r="A249" s="12"/>
      <c r="B249" s="34"/>
      <c r="C249" s="12"/>
      <c r="D249" s="12"/>
      <c r="E249" s="12"/>
      <c r="F249" s="12"/>
      <c r="G249" s="18"/>
      <c r="H249" s="35"/>
      <c r="I249" s="12"/>
      <c r="M249" s="12"/>
      <c r="N249" s="18"/>
      <c r="O249" s="12"/>
      <c r="P249" s="12"/>
      <c r="Q249" s="12"/>
      <c r="R249" s="36"/>
      <c r="S249" s="36"/>
      <c r="T249" s="12"/>
      <c r="U249" s="12"/>
      <c r="V249" s="12"/>
      <c r="W249" s="12"/>
      <c r="X249" s="12"/>
    </row>
    <row r="250" customFormat="false" ht="15.75" hidden="false" customHeight="false" outlineLevel="0" collapsed="false">
      <c r="A250" s="12"/>
      <c r="B250" s="34"/>
      <c r="C250" s="12"/>
      <c r="D250" s="12"/>
      <c r="E250" s="12"/>
      <c r="F250" s="12"/>
      <c r="G250" s="18"/>
      <c r="H250" s="35"/>
      <c r="I250" s="12"/>
      <c r="M250" s="12"/>
      <c r="N250" s="18"/>
      <c r="O250" s="12"/>
      <c r="P250" s="12"/>
      <c r="Q250" s="12"/>
      <c r="R250" s="36"/>
      <c r="S250" s="36"/>
      <c r="T250" s="12"/>
      <c r="U250" s="12"/>
      <c r="V250" s="12"/>
      <c r="W250" s="12"/>
      <c r="X250" s="12"/>
    </row>
    <row r="251" customFormat="false" ht="15.75" hidden="false" customHeight="false" outlineLevel="0" collapsed="false">
      <c r="A251" s="12"/>
      <c r="B251" s="34"/>
      <c r="C251" s="12"/>
      <c r="D251" s="12"/>
      <c r="E251" s="12"/>
      <c r="F251" s="12"/>
      <c r="G251" s="18"/>
      <c r="H251" s="35"/>
      <c r="I251" s="12"/>
      <c r="M251" s="12"/>
      <c r="N251" s="18"/>
      <c r="O251" s="12"/>
      <c r="P251" s="12"/>
      <c r="Q251" s="12"/>
      <c r="R251" s="36"/>
      <c r="S251" s="36"/>
      <c r="T251" s="12"/>
      <c r="U251" s="12"/>
      <c r="V251" s="12"/>
      <c r="W251" s="12"/>
      <c r="X251" s="12"/>
    </row>
    <row r="252" customFormat="false" ht="15.75" hidden="false" customHeight="false" outlineLevel="0" collapsed="false">
      <c r="A252" s="12"/>
      <c r="B252" s="34"/>
      <c r="C252" s="12"/>
      <c r="D252" s="12"/>
      <c r="E252" s="12"/>
      <c r="F252" s="12"/>
      <c r="G252" s="18"/>
      <c r="H252" s="35"/>
      <c r="I252" s="12"/>
      <c r="M252" s="12"/>
      <c r="N252" s="18"/>
      <c r="O252" s="12"/>
      <c r="P252" s="12"/>
      <c r="Q252" s="12"/>
      <c r="R252" s="36"/>
      <c r="S252" s="36"/>
      <c r="T252" s="12"/>
      <c r="U252" s="12"/>
      <c r="V252" s="12"/>
      <c r="W252" s="12"/>
      <c r="X252" s="12"/>
    </row>
    <row r="253" customFormat="false" ht="15.75" hidden="false" customHeight="false" outlineLevel="0" collapsed="false">
      <c r="A253" s="12"/>
      <c r="B253" s="34"/>
      <c r="C253" s="12"/>
      <c r="D253" s="12"/>
      <c r="E253" s="12"/>
      <c r="F253" s="12"/>
      <c r="G253" s="18"/>
      <c r="H253" s="35"/>
      <c r="I253" s="12"/>
      <c r="M253" s="12"/>
      <c r="N253" s="18"/>
      <c r="O253" s="12"/>
      <c r="P253" s="12"/>
      <c r="Q253" s="12"/>
      <c r="R253" s="36"/>
      <c r="S253" s="36"/>
      <c r="T253" s="12"/>
      <c r="U253" s="12"/>
      <c r="V253" s="12"/>
      <c r="W253" s="12"/>
      <c r="X253" s="12"/>
    </row>
    <row r="254" customFormat="false" ht="15.75" hidden="false" customHeight="false" outlineLevel="0" collapsed="false">
      <c r="A254" s="12"/>
      <c r="B254" s="34"/>
      <c r="C254" s="12"/>
      <c r="D254" s="12"/>
      <c r="E254" s="12"/>
      <c r="F254" s="12"/>
      <c r="G254" s="18"/>
      <c r="H254" s="35"/>
      <c r="I254" s="12"/>
      <c r="M254" s="12"/>
      <c r="N254" s="18"/>
      <c r="O254" s="12"/>
      <c r="P254" s="12"/>
      <c r="Q254" s="12"/>
      <c r="R254" s="36"/>
      <c r="S254" s="36"/>
      <c r="T254" s="12"/>
      <c r="U254" s="12"/>
      <c r="V254" s="12"/>
      <c r="W254" s="12"/>
      <c r="X254" s="12"/>
    </row>
    <row r="255" customFormat="false" ht="15.75" hidden="false" customHeight="false" outlineLevel="0" collapsed="false">
      <c r="A255" s="12"/>
      <c r="B255" s="34"/>
      <c r="C255" s="12"/>
      <c r="D255" s="12"/>
      <c r="E255" s="12"/>
      <c r="F255" s="12"/>
      <c r="G255" s="18"/>
      <c r="H255" s="35"/>
      <c r="I255" s="12"/>
      <c r="M255" s="12"/>
      <c r="N255" s="18"/>
      <c r="O255" s="12"/>
      <c r="P255" s="12"/>
      <c r="Q255" s="12"/>
      <c r="R255" s="36"/>
      <c r="S255" s="36"/>
      <c r="T255" s="12"/>
      <c r="U255" s="12"/>
      <c r="V255" s="12"/>
      <c r="W255" s="12"/>
      <c r="X255" s="12"/>
    </row>
    <row r="256" customFormat="false" ht="15.75" hidden="false" customHeight="false" outlineLevel="0" collapsed="false">
      <c r="A256" s="12"/>
      <c r="B256" s="34"/>
      <c r="C256" s="12"/>
      <c r="D256" s="12"/>
      <c r="E256" s="12"/>
      <c r="F256" s="12"/>
      <c r="G256" s="18"/>
      <c r="H256" s="35"/>
      <c r="I256" s="12"/>
      <c r="M256" s="12"/>
      <c r="N256" s="18"/>
      <c r="O256" s="12"/>
      <c r="P256" s="12"/>
      <c r="Q256" s="12"/>
      <c r="R256" s="36"/>
      <c r="S256" s="36"/>
      <c r="T256" s="12"/>
      <c r="U256" s="12"/>
      <c r="V256" s="12"/>
      <c r="W256" s="12"/>
      <c r="X256" s="12"/>
    </row>
    <row r="257" customFormat="false" ht="15.75" hidden="false" customHeight="false" outlineLevel="0" collapsed="false">
      <c r="A257" s="12"/>
      <c r="B257" s="34"/>
      <c r="C257" s="12"/>
      <c r="D257" s="12"/>
      <c r="E257" s="12"/>
      <c r="F257" s="12"/>
      <c r="G257" s="18"/>
      <c r="H257" s="35"/>
      <c r="I257" s="12"/>
      <c r="M257" s="12"/>
      <c r="N257" s="18"/>
      <c r="O257" s="12"/>
      <c r="P257" s="12"/>
      <c r="Q257" s="12"/>
      <c r="R257" s="36"/>
      <c r="S257" s="36"/>
      <c r="T257" s="12"/>
      <c r="U257" s="12"/>
      <c r="V257" s="12"/>
      <c r="W257" s="12"/>
      <c r="X257" s="12"/>
    </row>
    <row r="258" customFormat="false" ht="15.75" hidden="false" customHeight="false" outlineLevel="0" collapsed="false">
      <c r="A258" s="12"/>
      <c r="B258" s="34"/>
      <c r="C258" s="12"/>
      <c r="D258" s="12"/>
      <c r="E258" s="12"/>
      <c r="F258" s="12"/>
      <c r="G258" s="18"/>
      <c r="H258" s="35"/>
      <c r="I258" s="12"/>
      <c r="M258" s="12"/>
      <c r="N258" s="18"/>
      <c r="O258" s="12"/>
      <c r="P258" s="12"/>
      <c r="Q258" s="12"/>
      <c r="R258" s="36"/>
      <c r="S258" s="36"/>
      <c r="T258" s="12"/>
      <c r="U258" s="12"/>
      <c r="V258" s="12"/>
      <c r="W258" s="12"/>
      <c r="X258" s="12"/>
    </row>
    <row r="259" customFormat="false" ht="15.75" hidden="false" customHeight="false" outlineLevel="0" collapsed="false">
      <c r="A259" s="12"/>
      <c r="B259" s="34"/>
      <c r="C259" s="12"/>
      <c r="D259" s="12"/>
      <c r="E259" s="12"/>
      <c r="F259" s="12"/>
      <c r="G259" s="18"/>
      <c r="H259" s="35"/>
      <c r="I259" s="12"/>
      <c r="M259" s="12"/>
      <c r="N259" s="18"/>
      <c r="O259" s="12"/>
      <c r="P259" s="12"/>
      <c r="Q259" s="12"/>
      <c r="R259" s="36"/>
      <c r="S259" s="36"/>
      <c r="T259" s="12"/>
      <c r="U259" s="12"/>
      <c r="V259" s="12"/>
      <c r="W259" s="12"/>
      <c r="X259" s="12"/>
    </row>
    <row r="260" customFormat="false" ht="15.75" hidden="false" customHeight="false" outlineLevel="0" collapsed="false">
      <c r="A260" s="12"/>
      <c r="B260" s="34"/>
      <c r="C260" s="12"/>
      <c r="D260" s="12"/>
      <c r="E260" s="12"/>
      <c r="F260" s="12"/>
      <c r="G260" s="18"/>
      <c r="H260" s="35"/>
      <c r="I260" s="12"/>
      <c r="M260" s="12"/>
      <c r="N260" s="18"/>
      <c r="O260" s="12"/>
      <c r="P260" s="12"/>
      <c r="Q260" s="12"/>
      <c r="R260" s="36"/>
      <c r="S260" s="36"/>
      <c r="T260" s="12"/>
      <c r="U260" s="12"/>
      <c r="V260" s="12"/>
      <c r="W260" s="12"/>
      <c r="X260" s="12"/>
    </row>
    <row r="261" customFormat="false" ht="15.75" hidden="false" customHeight="false" outlineLevel="0" collapsed="false">
      <c r="A261" s="12"/>
      <c r="B261" s="34"/>
      <c r="C261" s="12"/>
      <c r="D261" s="12"/>
      <c r="E261" s="12"/>
      <c r="F261" s="12"/>
      <c r="G261" s="18"/>
      <c r="H261" s="35"/>
      <c r="I261" s="12"/>
      <c r="M261" s="12"/>
      <c r="N261" s="18"/>
      <c r="O261" s="12"/>
      <c r="P261" s="12"/>
      <c r="Q261" s="12"/>
      <c r="R261" s="36"/>
      <c r="S261" s="36"/>
      <c r="T261" s="12"/>
      <c r="U261" s="12"/>
      <c r="V261" s="12"/>
      <c r="W261" s="12"/>
      <c r="X261" s="12"/>
    </row>
    <row r="262" customFormat="false" ht="15.75" hidden="false" customHeight="false" outlineLevel="0" collapsed="false">
      <c r="A262" s="12"/>
      <c r="B262" s="34"/>
      <c r="C262" s="12"/>
      <c r="D262" s="12"/>
      <c r="E262" s="12"/>
      <c r="F262" s="12"/>
      <c r="G262" s="18"/>
      <c r="H262" s="35"/>
      <c r="I262" s="12"/>
      <c r="M262" s="12"/>
      <c r="N262" s="18"/>
      <c r="O262" s="12"/>
      <c r="P262" s="12"/>
      <c r="Q262" s="12"/>
      <c r="R262" s="36"/>
      <c r="S262" s="36"/>
      <c r="T262" s="12"/>
      <c r="U262" s="12"/>
      <c r="V262" s="12"/>
      <c r="W262" s="12"/>
      <c r="X262" s="12"/>
    </row>
    <row r="263" customFormat="false" ht="15.75" hidden="false" customHeight="false" outlineLevel="0" collapsed="false">
      <c r="A263" s="12"/>
      <c r="B263" s="34"/>
      <c r="C263" s="12"/>
      <c r="D263" s="12"/>
      <c r="E263" s="12"/>
      <c r="F263" s="12"/>
      <c r="G263" s="18"/>
      <c r="H263" s="35"/>
      <c r="I263" s="12"/>
      <c r="M263" s="12"/>
      <c r="N263" s="18"/>
      <c r="O263" s="12"/>
      <c r="P263" s="12"/>
      <c r="Q263" s="12"/>
      <c r="R263" s="36"/>
      <c r="S263" s="36"/>
      <c r="T263" s="12"/>
      <c r="U263" s="12"/>
      <c r="V263" s="12"/>
      <c r="W263" s="12"/>
      <c r="X263" s="12"/>
    </row>
    <row r="264" customFormat="false" ht="15.75" hidden="false" customHeight="false" outlineLevel="0" collapsed="false">
      <c r="A264" s="12"/>
      <c r="B264" s="34"/>
      <c r="C264" s="12"/>
      <c r="D264" s="12"/>
      <c r="E264" s="12"/>
      <c r="F264" s="12"/>
      <c r="G264" s="18"/>
      <c r="H264" s="35"/>
      <c r="I264" s="12"/>
      <c r="M264" s="12"/>
      <c r="N264" s="18"/>
      <c r="O264" s="12"/>
      <c r="P264" s="12"/>
      <c r="Q264" s="12"/>
      <c r="R264" s="36"/>
      <c r="S264" s="36"/>
      <c r="T264" s="12"/>
      <c r="U264" s="12"/>
      <c r="V264" s="12"/>
      <c r="W264" s="12"/>
      <c r="X264" s="12"/>
    </row>
    <row r="265" customFormat="false" ht="15.75" hidden="false" customHeight="false" outlineLevel="0" collapsed="false">
      <c r="A265" s="12"/>
      <c r="B265" s="34"/>
      <c r="C265" s="12"/>
      <c r="D265" s="12"/>
      <c r="E265" s="12"/>
      <c r="F265" s="12"/>
      <c r="G265" s="18"/>
      <c r="H265" s="35"/>
      <c r="I265" s="12"/>
      <c r="M265" s="12"/>
      <c r="N265" s="18"/>
      <c r="O265" s="12"/>
      <c r="P265" s="12"/>
      <c r="Q265" s="12"/>
      <c r="R265" s="36"/>
      <c r="S265" s="36"/>
      <c r="T265" s="12"/>
      <c r="U265" s="12"/>
      <c r="V265" s="12"/>
      <c r="W265" s="12"/>
      <c r="X265" s="12"/>
    </row>
    <row r="266" customFormat="false" ht="15.75" hidden="false" customHeight="false" outlineLevel="0" collapsed="false">
      <c r="A266" s="12"/>
      <c r="B266" s="34"/>
      <c r="C266" s="12"/>
      <c r="D266" s="12"/>
      <c r="E266" s="12"/>
      <c r="F266" s="12"/>
      <c r="G266" s="18"/>
      <c r="H266" s="35"/>
      <c r="I266" s="12"/>
      <c r="M266" s="12"/>
      <c r="N266" s="18"/>
      <c r="O266" s="12"/>
      <c r="P266" s="12"/>
      <c r="Q266" s="12"/>
      <c r="R266" s="36"/>
      <c r="S266" s="36"/>
      <c r="T266" s="12"/>
      <c r="U266" s="12"/>
      <c r="V266" s="12"/>
      <c r="W266" s="12"/>
      <c r="X266" s="12"/>
    </row>
    <row r="267" customFormat="false" ht="15.75" hidden="false" customHeight="false" outlineLevel="0" collapsed="false">
      <c r="A267" s="12"/>
      <c r="B267" s="34"/>
      <c r="C267" s="12"/>
      <c r="D267" s="12"/>
      <c r="E267" s="12"/>
      <c r="F267" s="12"/>
      <c r="G267" s="18"/>
      <c r="H267" s="35"/>
      <c r="I267" s="12"/>
      <c r="M267" s="12"/>
      <c r="N267" s="18"/>
      <c r="O267" s="12"/>
      <c r="P267" s="12"/>
      <c r="Q267" s="12"/>
      <c r="R267" s="36"/>
      <c r="S267" s="36"/>
      <c r="T267" s="12"/>
      <c r="U267" s="12"/>
      <c r="V267" s="12"/>
      <c r="W267" s="12"/>
      <c r="X267" s="12"/>
    </row>
    <row r="268" customFormat="false" ht="15.75" hidden="false" customHeight="false" outlineLevel="0" collapsed="false">
      <c r="A268" s="12"/>
      <c r="B268" s="34"/>
      <c r="C268" s="12"/>
      <c r="D268" s="12"/>
      <c r="E268" s="12"/>
      <c r="F268" s="12"/>
      <c r="G268" s="18"/>
      <c r="H268" s="35"/>
      <c r="I268" s="12"/>
      <c r="M268" s="12"/>
      <c r="N268" s="18"/>
      <c r="O268" s="12"/>
      <c r="P268" s="12"/>
      <c r="Q268" s="12"/>
      <c r="R268" s="36"/>
      <c r="S268" s="36"/>
      <c r="T268" s="12"/>
      <c r="U268" s="12"/>
      <c r="V268" s="12"/>
      <c r="W268" s="12"/>
      <c r="X268" s="12"/>
    </row>
    <row r="269" customFormat="false" ht="15.75" hidden="false" customHeight="false" outlineLevel="0" collapsed="false">
      <c r="A269" s="12"/>
      <c r="B269" s="34"/>
      <c r="C269" s="12"/>
      <c r="D269" s="12"/>
      <c r="E269" s="12"/>
      <c r="F269" s="12"/>
      <c r="G269" s="18"/>
      <c r="H269" s="35"/>
      <c r="I269" s="12"/>
      <c r="M269" s="12"/>
      <c r="N269" s="18"/>
      <c r="O269" s="12"/>
      <c r="P269" s="12"/>
      <c r="Q269" s="12"/>
      <c r="R269" s="36"/>
      <c r="S269" s="36"/>
      <c r="T269" s="12"/>
      <c r="U269" s="12"/>
      <c r="V269" s="12"/>
      <c r="W269" s="12"/>
      <c r="X269" s="12"/>
    </row>
    <row r="270" customFormat="false" ht="15.75" hidden="false" customHeight="false" outlineLevel="0" collapsed="false">
      <c r="A270" s="12"/>
      <c r="B270" s="34"/>
      <c r="C270" s="12"/>
      <c r="D270" s="12"/>
      <c r="E270" s="12"/>
      <c r="F270" s="12"/>
      <c r="G270" s="18"/>
      <c r="H270" s="35"/>
      <c r="I270" s="12"/>
      <c r="M270" s="12"/>
      <c r="N270" s="18"/>
      <c r="O270" s="12"/>
      <c r="P270" s="12"/>
      <c r="Q270" s="12"/>
      <c r="R270" s="36"/>
      <c r="S270" s="36"/>
      <c r="T270" s="12"/>
      <c r="U270" s="12"/>
      <c r="V270" s="12"/>
      <c r="W270" s="12"/>
      <c r="X270" s="12"/>
    </row>
    <row r="271" customFormat="false" ht="15.75" hidden="false" customHeight="false" outlineLevel="0" collapsed="false">
      <c r="A271" s="12"/>
      <c r="B271" s="34"/>
      <c r="C271" s="12"/>
      <c r="D271" s="12"/>
      <c r="E271" s="12"/>
      <c r="F271" s="12"/>
      <c r="G271" s="18"/>
      <c r="H271" s="35"/>
      <c r="I271" s="12"/>
      <c r="M271" s="12"/>
      <c r="N271" s="18"/>
      <c r="O271" s="12"/>
      <c r="P271" s="12"/>
      <c r="Q271" s="12"/>
      <c r="R271" s="36"/>
      <c r="S271" s="36"/>
      <c r="T271" s="12"/>
      <c r="U271" s="12"/>
      <c r="V271" s="12"/>
      <c r="W271" s="12"/>
      <c r="X271" s="12"/>
    </row>
    <row r="272" customFormat="false" ht="15.75" hidden="false" customHeight="false" outlineLevel="0" collapsed="false">
      <c r="A272" s="12"/>
      <c r="B272" s="34"/>
      <c r="C272" s="12"/>
      <c r="D272" s="12"/>
      <c r="E272" s="12"/>
      <c r="F272" s="12"/>
      <c r="G272" s="18"/>
      <c r="H272" s="35"/>
      <c r="I272" s="12"/>
      <c r="M272" s="12"/>
      <c r="N272" s="18"/>
      <c r="O272" s="12"/>
      <c r="P272" s="12"/>
      <c r="Q272" s="12"/>
      <c r="R272" s="36"/>
      <c r="S272" s="36"/>
      <c r="T272" s="12"/>
      <c r="U272" s="12"/>
      <c r="V272" s="12"/>
      <c r="W272" s="12"/>
      <c r="X272" s="12"/>
    </row>
    <row r="273" customFormat="false" ht="15.75" hidden="false" customHeight="false" outlineLevel="0" collapsed="false">
      <c r="A273" s="12"/>
      <c r="B273" s="34"/>
      <c r="C273" s="12"/>
      <c r="D273" s="12"/>
      <c r="E273" s="12"/>
      <c r="F273" s="12"/>
      <c r="G273" s="18"/>
      <c r="H273" s="35"/>
      <c r="I273" s="12"/>
      <c r="M273" s="12"/>
      <c r="N273" s="18"/>
      <c r="O273" s="12"/>
      <c r="P273" s="12"/>
      <c r="Q273" s="12"/>
      <c r="R273" s="36"/>
      <c r="S273" s="36"/>
      <c r="T273" s="12"/>
      <c r="U273" s="12"/>
      <c r="V273" s="12"/>
      <c r="W273" s="12"/>
      <c r="X273" s="12"/>
    </row>
    <row r="274" customFormat="false" ht="15.75" hidden="false" customHeight="false" outlineLevel="0" collapsed="false">
      <c r="A274" s="12"/>
      <c r="B274" s="34"/>
      <c r="C274" s="12"/>
      <c r="D274" s="12"/>
      <c r="E274" s="12"/>
      <c r="F274" s="12"/>
      <c r="G274" s="18"/>
      <c r="H274" s="35"/>
      <c r="I274" s="12"/>
      <c r="M274" s="12"/>
      <c r="N274" s="18"/>
      <c r="O274" s="12"/>
      <c r="P274" s="12"/>
      <c r="Q274" s="12"/>
      <c r="R274" s="36"/>
      <c r="S274" s="36"/>
      <c r="T274" s="12"/>
      <c r="U274" s="12"/>
      <c r="V274" s="12"/>
      <c r="W274" s="12"/>
      <c r="X274" s="12"/>
    </row>
    <row r="275" customFormat="false" ht="15.75" hidden="false" customHeight="false" outlineLevel="0" collapsed="false">
      <c r="A275" s="12"/>
      <c r="B275" s="34"/>
      <c r="C275" s="12"/>
      <c r="D275" s="12"/>
      <c r="E275" s="12"/>
      <c r="F275" s="12"/>
      <c r="G275" s="18"/>
      <c r="H275" s="35"/>
      <c r="I275" s="12"/>
      <c r="M275" s="12"/>
      <c r="N275" s="18"/>
      <c r="O275" s="12"/>
      <c r="P275" s="12"/>
      <c r="Q275" s="12"/>
      <c r="R275" s="36"/>
      <c r="S275" s="36"/>
      <c r="T275" s="12"/>
      <c r="U275" s="12"/>
      <c r="V275" s="12"/>
      <c r="W275" s="12"/>
      <c r="X275" s="12"/>
    </row>
    <row r="276" customFormat="false" ht="15.75" hidden="false" customHeight="false" outlineLevel="0" collapsed="false">
      <c r="A276" s="12"/>
      <c r="B276" s="34"/>
      <c r="C276" s="12"/>
      <c r="D276" s="12"/>
      <c r="E276" s="12"/>
      <c r="F276" s="12"/>
      <c r="G276" s="18"/>
      <c r="H276" s="35"/>
      <c r="I276" s="12"/>
      <c r="M276" s="12"/>
      <c r="N276" s="18"/>
      <c r="O276" s="12"/>
      <c r="P276" s="12"/>
      <c r="Q276" s="12"/>
      <c r="R276" s="36"/>
      <c r="S276" s="36"/>
      <c r="T276" s="12"/>
      <c r="U276" s="12"/>
      <c r="V276" s="12"/>
      <c r="W276" s="12"/>
      <c r="X276" s="12"/>
    </row>
    <row r="277" customFormat="false" ht="15.75" hidden="false" customHeight="false" outlineLevel="0" collapsed="false">
      <c r="A277" s="12"/>
      <c r="B277" s="34"/>
      <c r="C277" s="12"/>
      <c r="D277" s="12"/>
      <c r="E277" s="12"/>
      <c r="F277" s="12"/>
      <c r="G277" s="18"/>
      <c r="H277" s="35"/>
      <c r="I277" s="12"/>
      <c r="M277" s="12"/>
      <c r="N277" s="18"/>
      <c r="O277" s="12"/>
      <c r="P277" s="12"/>
      <c r="Q277" s="12"/>
      <c r="R277" s="36"/>
      <c r="S277" s="36"/>
      <c r="T277" s="12"/>
      <c r="U277" s="12"/>
      <c r="V277" s="12"/>
      <c r="W277" s="12"/>
      <c r="X277" s="12"/>
    </row>
    <row r="278" customFormat="false" ht="15.75" hidden="false" customHeight="false" outlineLevel="0" collapsed="false">
      <c r="A278" s="12"/>
      <c r="B278" s="34"/>
      <c r="C278" s="12"/>
      <c r="D278" s="12"/>
      <c r="E278" s="12"/>
      <c r="F278" s="12"/>
      <c r="G278" s="18"/>
      <c r="H278" s="35"/>
      <c r="I278" s="12"/>
      <c r="M278" s="12"/>
      <c r="N278" s="18"/>
      <c r="O278" s="12"/>
      <c r="P278" s="12"/>
      <c r="Q278" s="12"/>
      <c r="R278" s="36"/>
      <c r="S278" s="36"/>
      <c r="T278" s="12"/>
      <c r="U278" s="12"/>
      <c r="V278" s="12"/>
      <c r="W278" s="12"/>
      <c r="X278" s="12"/>
    </row>
    <row r="279" customFormat="false" ht="15.75" hidden="false" customHeight="false" outlineLevel="0" collapsed="false">
      <c r="A279" s="12"/>
      <c r="B279" s="34"/>
      <c r="C279" s="12"/>
      <c r="D279" s="12"/>
      <c r="E279" s="12"/>
      <c r="F279" s="12"/>
      <c r="G279" s="18"/>
      <c r="H279" s="35"/>
      <c r="I279" s="12"/>
      <c r="M279" s="12"/>
      <c r="N279" s="18"/>
      <c r="O279" s="12"/>
      <c r="P279" s="12"/>
      <c r="Q279" s="12"/>
      <c r="R279" s="36"/>
      <c r="S279" s="36"/>
      <c r="T279" s="12"/>
      <c r="U279" s="12"/>
      <c r="V279" s="12"/>
      <c r="W279" s="12"/>
      <c r="X279" s="12"/>
    </row>
    <row r="280" customFormat="false" ht="15.75" hidden="false" customHeight="false" outlineLevel="0" collapsed="false">
      <c r="A280" s="12"/>
      <c r="B280" s="34"/>
      <c r="C280" s="12"/>
      <c r="D280" s="12"/>
      <c r="E280" s="12"/>
      <c r="F280" s="12"/>
      <c r="G280" s="18"/>
      <c r="H280" s="35"/>
      <c r="I280" s="12"/>
      <c r="M280" s="12"/>
      <c r="N280" s="18"/>
      <c r="O280" s="12"/>
      <c r="P280" s="12"/>
      <c r="Q280" s="12"/>
      <c r="R280" s="36"/>
      <c r="S280" s="36"/>
      <c r="T280" s="12"/>
      <c r="U280" s="12"/>
      <c r="V280" s="12"/>
      <c r="W280" s="12"/>
      <c r="X280" s="12"/>
    </row>
    <row r="281" customFormat="false" ht="15.75" hidden="false" customHeight="false" outlineLevel="0" collapsed="false">
      <c r="A281" s="12"/>
      <c r="B281" s="34"/>
      <c r="C281" s="12"/>
      <c r="D281" s="12"/>
      <c r="E281" s="12"/>
      <c r="F281" s="12"/>
      <c r="G281" s="18"/>
      <c r="H281" s="35"/>
      <c r="I281" s="12"/>
      <c r="M281" s="12"/>
      <c r="N281" s="18"/>
      <c r="O281" s="12"/>
      <c r="P281" s="12"/>
      <c r="Q281" s="12"/>
      <c r="R281" s="36"/>
      <c r="S281" s="36"/>
      <c r="T281" s="12"/>
      <c r="U281" s="12"/>
      <c r="V281" s="12"/>
      <c r="W281" s="12"/>
      <c r="X281" s="12"/>
    </row>
    <row r="282" customFormat="false" ht="15.75" hidden="false" customHeight="false" outlineLevel="0" collapsed="false">
      <c r="A282" s="12"/>
      <c r="B282" s="34"/>
      <c r="C282" s="12"/>
      <c r="D282" s="12"/>
      <c r="E282" s="12"/>
      <c r="F282" s="12"/>
      <c r="G282" s="18"/>
      <c r="H282" s="35"/>
      <c r="I282" s="12"/>
      <c r="M282" s="12"/>
      <c r="N282" s="18"/>
      <c r="O282" s="12"/>
      <c r="P282" s="12"/>
      <c r="Q282" s="12"/>
      <c r="R282" s="36"/>
      <c r="S282" s="36"/>
      <c r="T282" s="12"/>
      <c r="U282" s="12"/>
      <c r="V282" s="12"/>
      <c r="W282" s="12"/>
      <c r="X282" s="12"/>
    </row>
    <row r="283" customFormat="false" ht="15.75" hidden="false" customHeight="false" outlineLevel="0" collapsed="false">
      <c r="A283" s="12"/>
      <c r="B283" s="34"/>
      <c r="C283" s="12"/>
      <c r="D283" s="12"/>
      <c r="E283" s="12"/>
      <c r="F283" s="12"/>
      <c r="G283" s="18"/>
      <c r="H283" s="35"/>
      <c r="I283" s="12"/>
      <c r="M283" s="12"/>
      <c r="N283" s="18"/>
      <c r="O283" s="12"/>
      <c r="P283" s="12"/>
      <c r="Q283" s="12"/>
      <c r="R283" s="36"/>
      <c r="S283" s="36"/>
      <c r="T283" s="12"/>
      <c r="U283" s="12"/>
      <c r="V283" s="12"/>
      <c r="W283" s="12"/>
      <c r="X283" s="12"/>
    </row>
    <row r="284" customFormat="false" ht="15.75" hidden="false" customHeight="false" outlineLevel="0" collapsed="false">
      <c r="A284" s="12"/>
      <c r="B284" s="34"/>
      <c r="C284" s="12"/>
      <c r="D284" s="12"/>
      <c r="E284" s="12"/>
      <c r="F284" s="12"/>
      <c r="G284" s="18"/>
      <c r="H284" s="35"/>
      <c r="I284" s="12"/>
      <c r="M284" s="12"/>
      <c r="N284" s="18"/>
      <c r="O284" s="12"/>
      <c r="P284" s="12"/>
      <c r="Q284" s="12"/>
      <c r="R284" s="36"/>
      <c r="S284" s="36"/>
      <c r="T284" s="12"/>
      <c r="U284" s="12"/>
      <c r="V284" s="12"/>
      <c r="W284" s="12"/>
      <c r="X284" s="12"/>
    </row>
    <row r="285" customFormat="false" ht="15.75" hidden="false" customHeight="false" outlineLevel="0" collapsed="false">
      <c r="A285" s="12"/>
      <c r="B285" s="34"/>
      <c r="C285" s="12"/>
      <c r="D285" s="12"/>
      <c r="E285" s="12"/>
      <c r="F285" s="12"/>
      <c r="G285" s="18"/>
      <c r="H285" s="35"/>
      <c r="I285" s="12"/>
      <c r="M285" s="12"/>
      <c r="N285" s="18"/>
      <c r="O285" s="12"/>
      <c r="P285" s="12"/>
      <c r="Q285" s="12"/>
      <c r="R285" s="36"/>
      <c r="S285" s="36"/>
      <c r="T285" s="12"/>
      <c r="U285" s="12"/>
      <c r="V285" s="12"/>
      <c r="W285" s="12"/>
      <c r="X285" s="12"/>
    </row>
    <row r="286" customFormat="false" ht="15.75" hidden="false" customHeight="false" outlineLevel="0" collapsed="false">
      <c r="A286" s="12"/>
      <c r="B286" s="34"/>
      <c r="C286" s="12"/>
      <c r="D286" s="12"/>
      <c r="E286" s="12"/>
      <c r="F286" s="12"/>
      <c r="G286" s="18"/>
      <c r="H286" s="35"/>
      <c r="I286" s="12"/>
      <c r="M286" s="12"/>
      <c r="N286" s="18"/>
      <c r="O286" s="12"/>
      <c r="P286" s="12"/>
      <c r="Q286" s="12"/>
      <c r="R286" s="36"/>
      <c r="S286" s="36"/>
      <c r="T286" s="12"/>
      <c r="U286" s="12"/>
      <c r="V286" s="12"/>
      <c r="W286" s="12"/>
      <c r="X286" s="12"/>
    </row>
    <row r="287" customFormat="false" ht="15.75" hidden="false" customHeight="false" outlineLevel="0" collapsed="false">
      <c r="A287" s="12"/>
      <c r="B287" s="34"/>
      <c r="C287" s="12"/>
      <c r="D287" s="12"/>
      <c r="E287" s="12"/>
      <c r="F287" s="12"/>
      <c r="G287" s="18"/>
      <c r="H287" s="35"/>
      <c r="I287" s="12"/>
      <c r="M287" s="12"/>
      <c r="N287" s="18"/>
      <c r="O287" s="12"/>
      <c r="P287" s="12"/>
      <c r="Q287" s="12"/>
      <c r="R287" s="36"/>
      <c r="S287" s="36"/>
      <c r="T287" s="12"/>
      <c r="U287" s="12"/>
      <c r="V287" s="12"/>
      <c r="W287" s="12"/>
      <c r="X287" s="12"/>
    </row>
    <row r="288" customFormat="false" ht="15.75" hidden="false" customHeight="false" outlineLevel="0" collapsed="false">
      <c r="A288" s="12"/>
      <c r="B288" s="34"/>
      <c r="C288" s="12"/>
      <c r="D288" s="12"/>
      <c r="E288" s="12"/>
      <c r="F288" s="12"/>
      <c r="G288" s="18"/>
      <c r="H288" s="35"/>
      <c r="I288" s="12"/>
      <c r="M288" s="12"/>
      <c r="N288" s="18"/>
      <c r="O288" s="12"/>
      <c r="P288" s="12"/>
      <c r="Q288" s="12"/>
      <c r="R288" s="36"/>
      <c r="S288" s="36"/>
      <c r="T288" s="12"/>
      <c r="U288" s="12"/>
      <c r="V288" s="12"/>
      <c r="W288" s="12"/>
      <c r="X288" s="12"/>
    </row>
    <row r="289" customFormat="false" ht="15.75" hidden="false" customHeight="false" outlineLevel="0" collapsed="false">
      <c r="A289" s="12"/>
      <c r="B289" s="34"/>
      <c r="C289" s="12"/>
      <c r="D289" s="12"/>
      <c r="E289" s="12"/>
      <c r="F289" s="12"/>
      <c r="G289" s="18"/>
      <c r="H289" s="35"/>
      <c r="I289" s="12"/>
      <c r="M289" s="12"/>
      <c r="N289" s="18"/>
      <c r="O289" s="12"/>
      <c r="P289" s="12"/>
      <c r="Q289" s="12"/>
      <c r="R289" s="36"/>
      <c r="S289" s="36"/>
      <c r="T289" s="12"/>
      <c r="U289" s="12"/>
      <c r="V289" s="12"/>
      <c r="W289" s="12"/>
      <c r="X289" s="12"/>
    </row>
    <row r="290" customFormat="false" ht="15.75" hidden="false" customHeight="false" outlineLevel="0" collapsed="false">
      <c r="A290" s="12"/>
      <c r="B290" s="34"/>
      <c r="C290" s="12"/>
      <c r="D290" s="12"/>
      <c r="E290" s="12"/>
      <c r="F290" s="12"/>
      <c r="G290" s="18"/>
      <c r="H290" s="35"/>
      <c r="I290" s="12"/>
      <c r="M290" s="12"/>
      <c r="N290" s="18"/>
      <c r="O290" s="12"/>
      <c r="P290" s="12"/>
      <c r="Q290" s="12"/>
      <c r="R290" s="36"/>
      <c r="S290" s="36"/>
      <c r="T290" s="12"/>
      <c r="U290" s="12"/>
      <c r="V290" s="12"/>
      <c r="W290" s="12"/>
      <c r="X290" s="12"/>
    </row>
    <row r="291" customFormat="false" ht="15.75" hidden="false" customHeight="false" outlineLevel="0" collapsed="false">
      <c r="A291" s="12"/>
      <c r="B291" s="34"/>
      <c r="C291" s="12"/>
      <c r="D291" s="12"/>
      <c r="E291" s="12"/>
      <c r="F291" s="12"/>
      <c r="G291" s="18"/>
      <c r="H291" s="35"/>
      <c r="I291" s="12"/>
      <c r="M291" s="12"/>
      <c r="N291" s="18"/>
      <c r="O291" s="12"/>
      <c r="P291" s="12"/>
      <c r="Q291" s="12"/>
      <c r="R291" s="36"/>
      <c r="S291" s="36"/>
      <c r="T291" s="12"/>
      <c r="U291" s="12"/>
      <c r="V291" s="12"/>
      <c r="W291" s="12"/>
      <c r="X291" s="12"/>
    </row>
    <row r="292" customFormat="false" ht="15.75" hidden="false" customHeight="false" outlineLevel="0" collapsed="false">
      <c r="A292" s="12"/>
      <c r="B292" s="34"/>
      <c r="C292" s="12"/>
      <c r="D292" s="12"/>
      <c r="E292" s="12"/>
      <c r="F292" s="12"/>
      <c r="G292" s="18"/>
      <c r="H292" s="35"/>
      <c r="I292" s="12"/>
      <c r="M292" s="12"/>
      <c r="N292" s="18"/>
      <c r="O292" s="12"/>
      <c r="P292" s="12"/>
      <c r="Q292" s="12"/>
      <c r="R292" s="36"/>
      <c r="S292" s="36"/>
      <c r="T292" s="12"/>
      <c r="U292" s="12"/>
      <c r="V292" s="12"/>
      <c r="W292" s="12"/>
      <c r="X292" s="12"/>
    </row>
    <row r="293" customFormat="false" ht="15.75" hidden="false" customHeight="false" outlineLevel="0" collapsed="false">
      <c r="A293" s="12"/>
      <c r="B293" s="34"/>
      <c r="C293" s="12"/>
      <c r="D293" s="12"/>
      <c r="E293" s="12"/>
      <c r="F293" s="12"/>
      <c r="G293" s="18"/>
      <c r="H293" s="35"/>
      <c r="I293" s="12"/>
      <c r="M293" s="12"/>
      <c r="N293" s="18"/>
      <c r="O293" s="12"/>
      <c r="P293" s="12"/>
      <c r="Q293" s="12"/>
      <c r="R293" s="36"/>
      <c r="S293" s="36"/>
      <c r="T293" s="12"/>
      <c r="U293" s="12"/>
      <c r="V293" s="12"/>
      <c r="W293" s="12"/>
      <c r="X293" s="12"/>
    </row>
    <row r="294" customFormat="false" ht="15.75" hidden="false" customHeight="false" outlineLevel="0" collapsed="false">
      <c r="A294" s="12"/>
      <c r="B294" s="34"/>
      <c r="C294" s="12"/>
      <c r="D294" s="12"/>
      <c r="E294" s="12"/>
      <c r="F294" s="12"/>
      <c r="G294" s="18"/>
      <c r="H294" s="35"/>
      <c r="I294" s="12"/>
      <c r="M294" s="12"/>
      <c r="N294" s="18"/>
      <c r="O294" s="12"/>
      <c r="P294" s="12"/>
      <c r="Q294" s="12"/>
      <c r="R294" s="36"/>
      <c r="S294" s="36"/>
      <c r="T294" s="12"/>
      <c r="U294" s="12"/>
      <c r="V294" s="12"/>
      <c r="W294" s="12"/>
      <c r="X294" s="12"/>
    </row>
    <row r="295" customFormat="false" ht="15.75" hidden="false" customHeight="false" outlineLevel="0" collapsed="false">
      <c r="A295" s="12"/>
      <c r="B295" s="34"/>
      <c r="C295" s="12"/>
      <c r="D295" s="12"/>
      <c r="E295" s="12"/>
      <c r="F295" s="12"/>
      <c r="G295" s="18"/>
      <c r="H295" s="35"/>
      <c r="I295" s="12"/>
      <c r="M295" s="12"/>
      <c r="N295" s="18"/>
      <c r="O295" s="12"/>
      <c r="P295" s="12"/>
      <c r="Q295" s="12"/>
      <c r="R295" s="36"/>
      <c r="S295" s="36"/>
      <c r="T295" s="12"/>
      <c r="U295" s="12"/>
      <c r="V295" s="12"/>
      <c r="W295" s="12"/>
      <c r="X295" s="12"/>
    </row>
    <row r="296" customFormat="false" ht="15.75" hidden="false" customHeight="false" outlineLevel="0" collapsed="false">
      <c r="A296" s="12"/>
      <c r="B296" s="34"/>
      <c r="C296" s="12"/>
      <c r="D296" s="12"/>
      <c r="E296" s="12"/>
      <c r="F296" s="12"/>
      <c r="G296" s="18"/>
      <c r="H296" s="35"/>
      <c r="I296" s="12"/>
      <c r="M296" s="12"/>
      <c r="N296" s="18"/>
      <c r="O296" s="12"/>
      <c r="P296" s="12"/>
      <c r="Q296" s="12"/>
      <c r="R296" s="36"/>
      <c r="S296" s="36"/>
      <c r="T296" s="12"/>
      <c r="U296" s="12"/>
      <c r="V296" s="12"/>
      <c r="W296" s="12"/>
      <c r="X296" s="12"/>
    </row>
    <row r="297" customFormat="false" ht="15.75" hidden="false" customHeight="false" outlineLevel="0" collapsed="false">
      <c r="A297" s="12"/>
      <c r="B297" s="34"/>
      <c r="C297" s="12"/>
      <c r="D297" s="12"/>
      <c r="E297" s="12"/>
      <c r="F297" s="12"/>
      <c r="G297" s="18"/>
      <c r="H297" s="35"/>
      <c r="I297" s="12"/>
      <c r="M297" s="12"/>
      <c r="N297" s="18"/>
      <c r="O297" s="12"/>
      <c r="P297" s="12"/>
      <c r="Q297" s="12"/>
      <c r="R297" s="36"/>
      <c r="S297" s="36"/>
      <c r="T297" s="12"/>
      <c r="U297" s="12"/>
      <c r="V297" s="12"/>
      <c r="W297" s="12"/>
      <c r="X297" s="12"/>
    </row>
    <row r="298" customFormat="false" ht="15.75" hidden="false" customHeight="false" outlineLevel="0" collapsed="false">
      <c r="A298" s="12"/>
      <c r="B298" s="34"/>
      <c r="C298" s="12"/>
      <c r="D298" s="12"/>
      <c r="E298" s="12"/>
      <c r="F298" s="12"/>
      <c r="G298" s="18"/>
      <c r="H298" s="35"/>
      <c r="I298" s="12"/>
      <c r="M298" s="12"/>
      <c r="N298" s="18"/>
      <c r="O298" s="12"/>
      <c r="P298" s="12"/>
      <c r="Q298" s="12"/>
      <c r="R298" s="36"/>
      <c r="S298" s="36"/>
      <c r="T298" s="12"/>
      <c r="U298" s="12"/>
      <c r="V298" s="12"/>
      <c r="W298" s="12"/>
      <c r="X298" s="12"/>
    </row>
    <row r="299" customFormat="false" ht="15.75" hidden="false" customHeight="false" outlineLevel="0" collapsed="false">
      <c r="A299" s="12"/>
      <c r="B299" s="34"/>
      <c r="C299" s="12"/>
      <c r="D299" s="12"/>
      <c r="E299" s="12"/>
      <c r="F299" s="12"/>
      <c r="G299" s="18"/>
      <c r="H299" s="35"/>
      <c r="I299" s="12"/>
      <c r="M299" s="12"/>
      <c r="N299" s="18"/>
      <c r="O299" s="12"/>
      <c r="P299" s="12"/>
      <c r="Q299" s="12"/>
      <c r="R299" s="36"/>
      <c r="S299" s="36"/>
      <c r="T299" s="12"/>
      <c r="U299" s="12"/>
      <c r="V299" s="12"/>
      <c r="W299" s="12"/>
      <c r="X299" s="12"/>
    </row>
    <row r="300" customFormat="false" ht="15.75" hidden="false" customHeight="false" outlineLevel="0" collapsed="false">
      <c r="A300" s="12"/>
      <c r="B300" s="34"/>
      <c r="C300" s="12"/>
      <c r="D300" s="12"/>
      <c r="E300" s="12"/>
      <c r="F300" s="12"/>
      <c r="G300" s="18"/>
      <c r="H300" s="35"/>
      <c r="I300" s="12"/>
      <c r="M300" s="12"/>
      <c r="N300" s="18"/>
      <c r="O300" s="12"/>
      <c r="P300" s="12"/>
      <c r="Q300" s="12"/>
      <c r="R300" s="36"/>
      <c r="S300" s="36"/>
      <c r="T300" s="12"/>
      <c r="U300" s="12"/>
      <c r="V300" s="12"/>
      <c r="W300" s="12"/>
      <c r="X300" s="12"/>
    </row>
    <row r="301" customFormat="false" ht="15.75" hidden="false" customHeight="false" outlineLevel="0" collapsed="false">
      <c r="A301" s="12"/>
      <c r="B301" s="34"/>
      <c r="C301" s="12"/>
      <c r="D301" s="12"/>
      <c r="E301" s="12"/>
      <c r="F301" s="12"/>
      <c r="G301" s="18"/>
      <c r="H301" s="35"/>
      <c r="I301" s="12"/>
      <c r="M301" s="12"/>
      <c r="N301" s="18"/>
      <c r="O301" s="12"/>
      <c r="P301" s="12"/>
      <c r="Q301" s="12"/>
      <c r="R301" s="36"/>
      <c r="S301" s="36"/>
      <c r="T301" s="12"/>
      <c r="U301" s="12"/>
      <c r="V301" s="12"/>
      <c r="W301" s="12"/>
      <c r="X301" s="12"/>
    </row>
    <row r="302" customFormat="false" ht="15.75" hidden="false" customHeight="false" outlineLevel="0" collapsed="false">
      <c r="A302" s="12"/>
      <c r="B302" s="34"/>
      <c r="C302" s="12"/>
      <c r="D302" s="12"/>
      <c r="E302" s="12"/>
      <c r="F302" s="12"/>
      <c r="G302" s="18"/>
      <c r="H302" s="35"/>
      <c r="I302" s="12"/>
      <c r="M302" s="12"/>
      <c r="N302" s="18"/>
      <c r="O302" s="12"/>
      <c r="P302" s="12"/>
      <c r="Q302" s="12"/>
      <c r="R302" s="36"/>
      <c r="S302" s="36"/>
      <c r="T302" s="12"/>
      <c r="U302" s="12"/>
      <c r="V302" s="12"/>
      <c r="W302" s="12"/>
      <c r="X302" s="12"/>
    </row>
    <row r="303" customFormat="false" ht="15.75" hidden="false" customHeight="false" outlineLevel="0" collapsed="false">
      <c r="A303" s="12"/>
      <c r="B303" s="34"/>
      <c r="C303" s="12"/>
      <c r="D303" s="12"/>
      <c r="E303" s="12"/>
      <c r="F303" s="12"/>
      <c r="G303" s="18"/>
      <c r="H303" s="35"/>
      <c r="I303" s="12"/>
      <c r="M303" s="12"/>
      <c r="N303" s="18"/>
      <c r="O303" s="12"/>
      <c r="P303" s="12"/>
      <c r="Q303" s="12"/>
      <c r="R303" s="36"/>
      <c r="S303" s="36"/>
      <c r="T303" s="12"/>
      <c r="U303" s="12"/>
      <c r="V303" s="12"/>
      <c r="W303" s="12"/>
      <c r="X303" s="12"/>
    </row>
    <row r="304" customFormat="false" ht="15.75" hidden="false" customHeight="false" outlineLevel="0" collapsed="false">
      <c r="A304" s="12"/>
      <c r="B304" s="34"/>
      <c r="C304" s="12"/>
      <c r="D304" s="12"/>
      <c r="E304" s="12"/>
      <c r="F304" s="12"/>
      <c r="G304" s="18"/>
      <c r="H304" s="35"/>
      <c r="I304" s="12"/>
      <c r="M304" s="12"/>
      <c r="N304" s="18"/>
      <c r="O304" s="12"/>
      <c r="P304" s="12"/>
      <c r="Q304" s="12"/>
      <c r="R304" s="36"/>
      <c r="S304" s="36"/>
      <c r="T304" s="12"/>
      <c r="U304" s="12"/>
      <c r="V304" s="12"/>
      <c r="W304" s="12"/>
      <c r="X304" s="12"/>
    </row>
    <row r="305" customFormat="false" ht="15.75" hidden="false" customHeight="false" outlineLevel="0" collapsed="false">
      <c r="A305" s="12"/>
      <c r="B305" s="34"/>
      <c r="C305" s="12"/>
      <c r="D305" s="12"/>
      <c r="E305" s="12"/>
      <c r="F305" s="12"/>
      <c r="G305" s="18"/>
      <c r="H305" s="35"/>
      <c r="I305" s="12"/>
      <c r="M305" s="12"/>
      <c r="N305" s="18"/>
      <c r="O305" s="12"/>
      <c r="P305" s="12"/>
      <c r="Q305" s="12"/>
      <c r="R305" s="36"/>
      <c r="S305" s="36"/>
      <c r="T305" s="12"/>
      <c r="U305" s="12"/>
      <c r="V305" s="12"/>
      <c r="W305" s="12"/>
      <c r="X305" s="12"/>
    </row>
    <row r="306" customFormat="false" ht="15.75" hidden="false" customHeight="false" outlineLevel="0" collapsed="false">
      <c r="A306" s="12"/>
      <c r="B306" s="34"/>
      <c r="C306" s="12"/>
      <c r="D306" s="12"/>
      <c r="E306" s="12"/>
      <c r="F306" s="12"/>
      <c r="G306" s="18"/>
      <c r="H306" s="35"/>
      <c r="I306" s="12"/>
      <c r="M306" s="12"/>
      <c r="N306" s="18"/>
      <c r="O306" s="12"/>
      <c r="P306" s="12"/>
      <c r="Q306" s="12"/>
      <c r="R306" s="36"/>
      <c r="S306" s="36"/>
      <c r="T306" s="12"/>
      <c r="U306" s="12"/>
      <c r="V306" s="12"/>
      <c r="W306" s="12"/>
      <c r="X306" s="12"/>
    </row>
    <row r="307" customFormat="false" ht="15.75" hidden="false" customHeight="false" outlineLevel="0" collapsed="false">
      <c r="A307" s="12"/>
      <c r="B307" s="34"/>
      <c r="C307" s="12"/>
      <c r="D307" s="12"/>
      <c r="E307" s="12"/>
      <c r="F307" s="12"/>
      <c r="G307" s="18"/>
      <c r="H307" s="35"/>
      <c r="I307" s="12"/>
      <c r="M307" s="12"/>
      <c r="N307" s="18"/>
      <c r="O307" s="12"/>
      <c r="P307" s="12"/>
      <c r="Q307" s="12"/>
      <c r="R307" s="36"/>
      <c r="S307" s="36"/>
      <c r="T307" s="12"/>
      <c r="U307" s="12"/>
      <c r="V307" s="12"/>
      <c r="W307" s="12"/>
      <c r="X307" s="12"/>
    </row>
    <row r="308" customFormat="false" ht="15.75" hidden="false" customHeight="false" outlineLevel="0" collapsed="false">
      <c r="A308" s="12"/>
      <c r="B308" s="34"/>
      <c r="C308" s="12"/>
      <c r="D308" s="12"/>
      <c r="E308" s="12"/>
      <c r="F308" s="12"/>
      <c r="G308" s="18"/>
      <c r="H308" s="35"/>
      <c r="I308" s="12"/>
      <c r="M308" s="12"/>
      <c r="N308" s="18"/>
      <c r="O308" s="12"/>
      <c r="P308" s="12"/>
      <c r="Q308" s="12"/>
      <c r="R308" s="36"/>
      <c r="S308" s="36"/>
      <c r="T308" s="12"/>
      <c r="U308" s="12"/>
      <c r="V308" s="12"/>
      <c r="W308" s="12"/>
      <c r="X308" s="12"/>
    </row>
    <row r="309" customFormat="false" ht="15.75" hidden="false" customHeight="false" outlineLevel="0" collapsed="false">
      <c r="A309" s="12"/>
      <c r="B309" s="34"/>
      <c r="C309" s="12"/>
      <c r="D309" s="12"/>
      <c r="E309" s="12"/>
      <c r="F309" s="12"/>
      <c r="G309" s="18"/>
      <c r="H309" s="35"/>
      <c r="I309" s="12"/>
      <c r="M309" s="12"/>
      <c r="N309" s="18"/>
      <c r="O309" s="12"/>
      <c r="P309" s="12"/>
      <c r="Q309" s="12"/>
      <c r="R309" s="36"/>
      <c r="S309" s="36"/>
      <c r="T309" s="12"/>
      <c r="U309" s="12"/>
      <c r="V309" s="12"/>
      <c r="W309" s="12"/>
      <c r="X309" s="12"/>
    </row>
    <row r="310" customFormat="false" ht="15.75" hidden="false" customHeight="false" outlineLevel="0" collapsed="false">
      <c r="A310" s="12"/>
      <c r="B310" s="34"/>
      <c r="C310" s="12"/>
      <c r="D310" s="12"/>
      <c r="E310" s="12"/>
      <c r="F310" s="12"/>
      <c r="G310" s="18"/>
      <c r="H310" s="35"/>
      <c r="I310" s="12"/>
      <c r="M310" s="12"/>
      <c r="N310" s="18"/>
      <c r="O310" s="12"/>
      <c r="P310" s="12"/>
      <c r="Q310" s="12"/>
      <c r="R310" s="36"/>
      <c r="S310" s="36"/>
      <c r="T310" s="12"/>
      <c r="U310" s="12"/>
      <c r="V310" s="12"/>
      <c r="W310" s="12"/>
      <c r="X310" s="12"/>
    </row>
    <row r="311" customFormat="false" ht="15.75" hidden="false" customHeight="false" outlineLevel="0" collapsed="false">
      <c r="A311" s="12"/>
      <c r="B311" s="34"/>
      <c r="C311" s="12"/>
      <c r="D311" s="12"/>
      <c r="E311" s="12"/>
      <c r="F311" s="12"/>
      <c r="G311" s="18"/>
      <c r="H311" s="35"/>
      <c r="I311" s="12"/>
      <c r="M311" s="12"/>
      <c r="N311" s="18"/>
      <c r="O311" s="12"/>
      <c r="P311" s="12"/>
      <c r="Q311" s="12"/>
      <c r="R311" s="36"/>
      <c r="S311" s="36"/>
      <c r="T311" s="12"/>
      <c r="U311" s="12"/>
      <c r="V311" s="12"/>
      <c r="W311" s="12"/>
      <c r="X311" s="12"/>
    </row>
    <row r="312" customFormat="false" ht="15.75" hidden="false" customHeight="false" outlineLevel="0" collapsed="false">
      <c r="A312" s="12"/>
      <c r="B312" s="34"/>
      <c r="C312" s="12"/>
      <c r="D312" s="12"/>
      <c r="E312" s="12"/>
      <c r="F312" s="12"/>
      <c r="G312" s="18"/>
      <c r="H312" s="35"/>
      <c r="I312" s="12"/>
      <c r="M312" s="12"/>
      <c r="N312" s="18"/>
      <c r="O312" s="12"/>
      <c r="P312" s="12"/>
      <c r="Q312" s="12"/>
      <c r="R312" s="36"/>
      <c r="S312" s="36"/>
      <c r="T312" s="12"/>
      <c r="U312" s="12"/>
      <c r="V312" s="12"/>
      <c r="W312" s="12"/>
      <c r="X312" s="12"/>
    </row>
    <row r="313" customFormat="false" ht="15.75" hidden="false" customHeight="false" outlineLevel="0" collapsed="false">
      <c r="A313" s="12"/>
      <c r="B313" s="34"/>
      <c r="C313" s="12"/>
      <c r="D313" s="12"/>
      <c r="E313" s="12"/>
      <c r="F313" s="12"/>
      <c r="G313" s="18"/>
      <c r="H313" s="35"/>
      <c r="I313" s="12"/>
      <c r="M313" s="12"/>
      <c r="N313" s="18"/>
      <c r="O313" s="12"/>
      <c r="P313" s="12"/>
      <c r="Q313" s="12"/>
      <c r="R313" s="36"/>
      <c r="S313" s="36"/>
      <c r="T313" s="12"/>
      <c r="U313" s="12"/>
      <c r="V313" s="12"/>
      <c r="W313" s="12"/>
      <c r="X313" s="12"/>
    </row>
    <row r="314" customFormat="false" ht="15.75" hidden="false" customHeight="false" outlineLevel="0" collapsed="false">
      <c r="A314" s="12"/>
      <c r="B314" s="34"/>
      <c r="C314" s="12"/>
      <c r="D314" s="12"/>
      <c r="E314" s="12"/>
      <c r="F314" s="12"/>
      <c r="G314" s="18"/>
      <c r="H314" s="35"/>
      <c r="I314" s="12"/>
      <c r="M314" s="12"/>
      <c r="N314" s="18"/>
      <c r="O314" s="12"/>
      <c r="P314" s="12"/>
      <c r="Q314" s="12"/>
      <c r="R314" s="36"/>
      <c r="S314" s="36"/>
      <c r="T314" s="12"/>
      <c r="U314" s="12"/>
      <c r="V314" s="12"/>
      <c r="W314" s="12"/>
      <c r="X314" s="12"/>
    </row>
    <row r="315" customFormat="false" ht="15.75" hidden="false" customHeight="false" outlineLevel="0" collapsed="false">
      <c r="A315" s="12"/>
      <c r="B315" s="34"/>
      <c r="C315" s="12"/>
      <c r="D315" s="12"/>
      <c r="E315" s="12"/>
      <c r="F315" s="12"/>
      <c r="G315" s="18"/>
      <c r="H315" s="35"/>
      <c r="I315" s="12"/>
      <c r="M315" s="12"/>
      <c r="N315" s="18"/>
      <c r="O315" s="12"/>
      <c r="P315" s="12"/>
      <c r="Q315" s="12"/>
      <c r="R315" s="36"/>
      <c r="S315" s="36"/>
      <c r="T315" s="12"/>
      <c r="U315" s="12"/>
      <c r="V315" s="12"/>
      <c r="W315" s="12"/>
      <c r="X315" s="12"/>
    </row>
    <row r="316" customFormat="false" ht="15.75" hidden="false" customHeight="false" outlineLevel="0" collapsed="false">
      <c r="A316" s="12"/>
      <c r="B316" s="34"/>
      <c r="C316" s="12"/>
      <c r="D316" s="12"/>
      <c r="E316" s="12"/>
      <c r="F316" s="12"/>
      <c r="G316" s="18"/>
      <c r="H316" s="35"/>
      <c r="I316" s="12"/>
      <c r="M316" s="12"/>
      <c r="N316" s="18"/>
      <c r="O316" s="12"/>
      <c r="P316" s="12"/>
      <c r="Q316" s="12"/>
      <c r="R316" s="36"/>
      <c r="S316" s="36"/>
      <c r="T316" s="12"/>
      <c r="U316" s="12"/>
      <c r="V316" s="12"/>
      <c r="W316" s="12"/>
      <c r="X316" s="12"/>
    </row>
    <row r="317" customFormat="false" ht="15.75" hidden="false" customHeight="false" outlineLevel="0" collapsed="false">
      <c r="A317" s="12"/>
      <c r="B317" s="34"/>
      <c r="C317" s="12"/>
      <c r="D317" s="12"/>
      <c r="E317" s="12"/>
      <c r="F317" s="12"/>
      <c r="G317" s="18"/>
      <c r="H317" s="35"/>
      <c r="I317" s="12"/>
      <c r="M317" s="12"/>
      <c r="N317" s="18"/>
      <c r="O317" s="12"/>
      <c r="P317" s="12"/>
      <c r="Q317" s="12"/>
      <c r="R317" s="36"/>
      <c r="S317" s="36"/>
      <c r="T317" s="12"/>
      <c r="U317" s="12"/>
      <c r="V317" s="12"/>
      <c r="W317" s="12"/>
      <c r="X317" s="12"/>
    </row>
    <row r="318" customFormat="false" ht="15.75" hidden="false" customHeight="false" outlineLevel="0" collapsed="false">
      <c r="A318" s="12"/>
      <c r="B318" s="34"/>
      <c r="C318" s="12"/>
      <c r="D318" s="12"/>
      <c r="E318" s="12"/>
      <c r="F318" s="12"/>
      <c r="G318" s="18"/>
      <c r="H318" s="35"/>
      <c r="I318" s="12"/>
      <c r="M318" s="12"/>
      <c r="N318" s="18"/>
      <c r="O318" s="12"/>
      <c r="P318" s="12"/>
      <c r="Q318" s="12"/>
      <c r="R318" s="36"/>
      <c r="S318" s="36"/>
      <c r="T318" s="12"/>
      <c r="U318" s="12"/>
      <c r="V318" s="12"/>
      <c r="W318" s="12"/>
      <c r="X318" s="12"/>
    </row>
    <row r="319" customFormat="false" ht="15.75" hidden="false" customHeight="false" outlineLevel="0" collapsed="false">
      <c r="A319" s="12"/>
      <c r="B319" s="34"/>
      <c r="C319" s="12"/>
      <c r="D319" s="12"/>
      <c r="E319" s="12"/>
      <c r="F319" s="12"/>
      <c r="G319" s="18"/>
      <c r="H319" s="35"/>
      <c r="I319" s="12"/>
      <c r="M319" s="12"/>
      <c r="N319" s="18"/>
      <c r="O319" s="12"/>
      <c r="P319" s="12"/>
      <c r="Q319" s="12"/>
      <c r="R319" s="36"/>
      <c r="S319" s="36"/>
      <c r="T319" s="12"/>
      <c r="U319" s="12"/>
      <c r="V319" s="12"/>
      <c r="W319" s="12"/>
      <c r="X319" s="12"/>
    </row>
    <row r="320" customFormat="false" ht="15.75" hidden="false" customHeight="false" outlineLevel="0" collapsed="false">
      <c r="A320" s="12"/>
      <c r="B320" s="34"/>
      <c r="C320" s="12"/>
      <c r="D320" s="12"/>
      <c r="E320" s="12"/>
      <c r="F320" s="12"/>
      <c r="G320" s="18"/>
      <c r="H320" s="35"/>
      <c r="I320" s="12"/>
      <c r="M320" s="12"/>
      <c r="N320" s="18"/>
      <c r="O320" s="12"/>
      <c r="P320" s="12"/>
      <c r="Q320" s="12"/>
      <c r="R320" s="36"/>
      <c r="S320" s="36"/>
      <c r="T320" s="12"/>
      <c r="U320" s="12"/>
      <c r="V320" s="12"/>
      <c r="W320" s="12"/>
      <c r="X320" s="12"/>
    </row>
    <row r="321" customFormat="false" ht="15.75" hidden="false" customHeight="false" outlineLevel="0" collapsed="false">
      <c r="A321" s="12"/>
      <c r="B321" s="34"/>
      <c r="C321" s="12"/>
      <c r="D321" s="12"/>
      <c r="E321" s="12"/>
      <c r="F321" s="12"/>
      <c r="G321" s="18"/>
      <c r="H321" s="35"/>
      <c r="I321" s="12"/>
      <c r="M321" s="12"/>
      <c r="N321" s="18"/>
      <c r="O321" s="12"/>
      <c r="P321" s="12"/>
      <c r="Q321" s="12"/>
      <c r="R321" s="36"/>
      <c r="S321" s="36"/>
      <c r="T321" s="12"/>
      <c r="U321" s="12"/>
      <c r="V321" s="12"/>
      <c r="W321" s="12"/>
      <c r="X321" s="12"/>
    </row>
    <row r="322" customFormat="false" ht="15.75" hidden="false" customHeight="false" outlineLevel="0" collapsed="false">
      <c r="A322" s="12"/>
      <c r="B322" s="34"/>
      <c r="C322" s="12"/>
      <c r="D322" s="12"/>
      <c r="E322" s="12"/>
      <c r="F322" s="12"/>
      <c r="G322" s="18"/>
      <c r="H322" s="35"/>
      <c r="I322" s="12"/>
      <c r="M322" s="12"/>
      <c r="N322" s="18"/>
      <c r="O322" s="12"/>
      <c r="P322" s="12"/>
      <c r="Q322" s="12"/>
      <c r="R322" s="36"/>
      <c r="S322" s="36"/>
      <c r="T322" s="12"/>
      <c r="U322" s="12"/>
      <c r="V322" s="12"/>
      <c r="W322" s="12"/>
      <c r="X322" s="12"/>
    </row>
    <row r="323" customFormat="false" ht="15.75" hidden="false" customHeight="false" outlineLevel="0" collapsed="false">
      <c r="A323" s="12"/>
      <c r="B323" s="34"/>
      <c r="C323" s="12"/>
      <c r="D323" s="12"/>
      <c r="E323" s="12"/>
      <c r="F323" s="12"/>
      <c r="G323" s="18"/>
      <c r="H323" s="35"/>
      <c r="I323" s="12"/>
      <c r="M323" s="12"/>
      <c r="N323" s="18"/>
      <c r="O323" s="12"/>
      <c r="P323" s="12"/>
      <c r="Q323" s="12"/>
      <c r="R323" s="36"/>
      <c r="S323" s="36"/>
      <c r="T323" s="12"/>
      <c r="U323" s="12"/>
      <c r="V323" s="12"/>
      <c r="W323" s="12"/>
      <c r="X323" s="12"/>
    </row>
    <row r="324" customFormat="false" ht="15.75" hidden="false" customHeight="false" outlineLevel="0" collapsed="false">
      <c r="A324" s="12"/>
      <c r="B324" s="34"/>
      <c r="C324" s="12"/>
      <c r="D324" s="12"/>
      <c r="E324" s="12"/>
      <c r="F324" s="12"/>
      <c r="G324" s="18"/>
      <c r="H324" s="35"/>
      <c r="I324" s="12"/>
      <c r="M324" s="12"/>
      <c r="N324" s="18"/>
      <c r="O324" s="12"/>
      <c r="P324" s="12"/>
      <c r="Q324" s="12"/>
      <c r="R324" s="36"/>
      <c r="S324" s="36"/>
      <c r="T324" s="12"/>
      <c r="U324" s="12"/>
      <c r="V324" s="12"/>
      <c r="W324" s="12"/>
      <c r="X324" s="12"/>
    </row>
    <row r="325" customFormat="false" ht="15.75" hidden="false" customHeight="false" outlineLevel="0" collapsed="false">
      <c r="A325" s="12"/>
      <c r="B325" s="34"/>
      <c r="C325" s="12"/>
      <c r="D325" s="12"/>
      <c r="E325" s="12"/>
      <c r="F325" s="12"/>
      <c r="G325" s="18"/>
      <c r="H325" s="35"/>
      <c r="I325" s="12"/>
      <c r="M325" s="12"/>
      <c r="N325" s="18"/>
      <c r="O325" s="12"/>
      <c r="P325" s="12"/>
      <c r="Q325" s="12"/>
      <c r="R325" s="36"/>
      <c r="S325" s="36"/>
      <c r="T325" s="12"/>
      <c r="U325" s="12"/>
      <c r="V325" s="12"/>
      <c r="W325" s="12"/>
      <c r="X325" s="12"/>
    </row>
    <row r="326" customFormat="false" ht="15.75" hidden="false" customHeight="false" outlineLevel="0" collapsed="false">
      <c r="A326" s="12"/>
      <c r="B326" s="34"/>
      <c r="C326" s="12"/>
      <c r="D326" s="12"/>
      <c r="E326" s="12"/>
      <c r="F326" s="12"/>
      <c r="G326" s="18"/>
      <c r="H326" s="35"/>
      <c r="I326" s="12"/>
      <c r="M326" s="12"/>
      <c r="N326" s="18"/>
      <c r="O326" s="12"/>
      <c r="P326" s="12"/>
      <c r="Q326" s="12"/>
      <c r="R326" s="36"/>
      <c r="S326" s="36"/>
      <c r="T326" s="12"/>
      <c r="U326" s="12"/>
      <c r="V326" s="12"/>
      <c r="W326" s="12"/>
      <c r="X326" s="12"/>
    </row>
    <row r="327" customFormat="false" ht="15.75" hidden="false" customHeight="false" outlineLevel="0" collapsed="false">
      <c r="A327" s="12"/>
      <c r="B327" s="34"/>
      <c r="C327" s="12"/>
      <c r="D327" s="12"/>
      <c r="E327" s="12"/>
      <c r="F327" s="12"/>
      <c r="G327" s="18"/>
      <c r="H327" s="35"/>
      <c r="I327" s="12"/>
      <c r="M327" s="12"/>
      <c r="N327" s="18"/>
      <c r="O327" s="12"/>
      <c r="P327" s="12"/>
      <c r="Q327" s="12"/>
      <c r="R327" s="36"/>
      <c r="S327" s="36"/>
      <c r="T327" s="12"/>
      <c r="U327" s="12"/>
      <c r="V327" s="12"/>
      <c r="W327" s="12"/>
      <c r="X327" s="12"/>
    </row>
    <row r="328" customFormat="false" ht="15.75" hidden="false" customHeight="false" outlineLevel="0" collapsed="false">
      <c r="A328" s="12"/>
      <c r="B328" s="34"/>
      <c r="C328" s="12"/>
      <c r="D328" s="12"/>
      <c r="E328" s="12"/>
      <c r="F328" s="12"/>
      <c r="G328" s="18"/>
      <c r="H328" s="35"/>
      <c r="I328" s="12"/>
      <c r="M328" s="12"/>
      <c r="N328" s="18"/>
      <c r="O328" s="12"/>
      <c r="P328" s="12"/>
      <c r="Q328" s="12"/>
      <c r="R328" s="36"/>
      <c r="S328" s="36"/>
      <c r="T328" s="12"/>
      <c r="U328" s="12"/>
      <c r="V328" s="12"/>
      <c r="W328" s="12"/>
      <c r="X328" s="12"/>
    </row>
    <row r="329" customFormat="false" ht="15.75" hidden="false" customHeight="false" outlineLevel="0" collapsed="false">
      <c r="A329" s="12"/>
      <c r="B329" s="34"/>
      <c r="C329" s="12"/>
      <c r="D329" s="12"/>
      <c r="E329" s="12"/>
      <c r="F329" s="12"/>
      <c r="G329" s="18"/>
      <c r="H329" s="35"/>
      <c r="I329" s="12"/>
      <c r="M329" s="12"/>
      <c r="N329" s="18"/>
      <c r="O329" s="12"/>
      <c r="P329" s="12"/>
      <c r="Q329" s="12"/>
      <c r="R329" s="36"/>
      <c r="S329" s="36"/>
      <c r="T329" s="12"/>
      <c r="U329" s="12"/>
      <c r="V329" s="12"/>
      <c r="W329" s="12"/>
      <c r="X329" s="12"/>
    </row>
    <row r="330" customFormat="false" ht="15.75" hidden="false" customHeight="false" outlineLevel="0" collapsed="false">
      <c r="A330" s="12"/>
      <c r="B330" s="34"/>
      <c r="C330" s="12"/>
      <c r="D330" s="12"/>
      <c r="E330" s="12"/>
      <c r="F330" s="12"/>
      <c r="G330" s="18"/>
      <c r="H330" s="35"/>
      <c r="I330" s="12"/>
      <c r="M330" s="12"/>
      <c r="N330" s="18"/>
      <c r="O330" s="12"/>
      <c r="P330" s="12"/>
      <c r="Q330" s="12"/>
      <c r="R330" s="36"/>
      <c r="S330" s="36"/>
      <c r="T330" s="12"/>
      <c r="U330" s="12"/>
      <c r="V330" s="12"/>
      <c r="W330" s="12"/>
      <c r="X330" s="12"/>
    </row>
    <row r="331" customFormat="false" ht="15.75" hidden="false" customHeight="false" outlineLevel="0" collapsed="false">
      <c r="A331" s="12"/>
      <c r="B331" s="34"/>
      <c r="C331" s="12"/>
      <c r="D331" s="12"/>
      <c r="E331" s="12"/>
      <c r="F331" s="12"/>
      <c r="G331" s="18"/>
      <c r="H331" s="35"/>
      <c r="I331" s="12"/>
      <c r="M331" s="12"/>
      <c r="N331" s="18"/>
      <c r="O331" s="12"/>
      <c r="P331" s="12"/>
      <c r="Q331" s="12"/>
      <c r="R331" s="36"/>
      <c r="S331" s="36"/>
      <c r="T331" s="12"/>
      <c r="U331" s="12"/>
      <c r="V331" s="12"/>
      <c r="W331" s="12"/>
      <c r="X331" s="12"/>
    </row>
    <row r="332" customFormat="false" ht="15.75" hidden="false" customHeight="false" outlineLevel="0" collapsed="false">
      <c r="A332" s="12"/>
      <c r="B332" s="34"/>
      <c r="C332" s="12"/>
      <c r="D332" s="12"/>
      <c r="E332" s="12"/>
      <c r="F332" s="12"/>
      <c r="G332" s="18"/>
      <c r="H332" s="35"/>
      <c r="I332" s="12"/>
      <c r="M332" s="12"/>
      <c r="N332" s="18"/>
      <c r="O332" s="12"/>
      <c r="P332" s="12"/>
      <c r="Q332" s="12"/>
      <c r="R332" s="36"/>
      <c r="S332" s="36"/>
      <c r="T332" s="12"/>
      <c r="U332" s="12"/>
      <c r="V332" s="12"/>
      <c r="W332" s="12"/>
      <c r="X332" s="12"/>
    </row>
    <row r="333" customFormat="false" ht="15.75" hidden="false" customHeight="false" outlineLevel="0" collapsed="false">
      <c r="A333" s="12"/>
      <c r="B333" s="34"/>
      <c r="C333" s="12"/>
      <c r="D333" s="12"/>
      <c r="E333" s="12"/>
      <c r="F333" s="12"/>
      <c r="G333" s="18"/>
      <c r="H333" s="35"/>
      <c r="I333" s="12"/>
      <c r="M333" s="12"/>
      <c r="N333" s="18"/>
      <c r="O333" s="12"/>
      <c r="P333" s="12"/>
      <c r="Q333" s="12"/>
      <c r="R333" s="36"/>
      <c r="S333" s="36"/>
      <c r="T333" s="12"/>
      <c r="U333" s="12"/>
      <c r="V333" s="12"/>
      <c r="W333" s="12"/>
      <c r="X333" s="12"/>
    </row>
    <row r="334" customFormat="false" ht="15.75" hidden="false" customHeight="false" outlineLevel="0" collapsed="false">
      <c r="A334" s="12"/>
      <c r="B334" s="34"/>
      <c r="C334" s="12"/>
      <c r="D334" s="12"/>
      <c r="E334" s="12"/>
      <c r="F334" s="12"/>
      <c r="G334" s="18"/>
      <c r="H334" s="35"/>
      <c r="I334" s="12"/>
      <c r="M334" s="12"/>
      <c r="N334" s="18"/>
      <c r="O334" s="12"/>
      <c r="P334" s="12"/>
      <c r="Q334" s="12"/>
      <c r="R334" s="36"/>
      <c r="S334" s="36"/>
      <c r="T334" s="12"/>
      <c r="U334" s="12"/>
      <c r="V334" s="12"/>
      <c r="W334" s="12"/>
      <c r="X334" s="12"/>
    </row>
    <row r="335" customFormat="false" ht="15.75" hidden="false" customHeight="false" outlineLevel="0" collapsed="false">
      <c r="A335" s="12"/>
      <c r="B335" s="34"/>
      <c r="C335" s="12"/>
      <c r="D335" s="12"/>
      <c r="E335" s="12"/>
      <c r="F335" s="12"/>
      <c r="G335" s="18"/>
      <c r="H335" s="35"/>
      <c r="I335" s="12"/>
      <c r="M335" s="12"/>
      <c r="N335" s="18"/>
      <c r="O335" s="12"/>
      <c r="P335" s="12"/>
      <c r="Q335" s="12"/>
      <c r="R335" s="36"/>
      <c r="S335" s="36"/>
      <c r="T335" s="12"/>
      <c r="U335" s="12"/>
      <c r="V335" s="12"/>
      <c r="W335" s="12"/>
      <c r="X335" s="12"/>
    </row>
    <row r="336" customFormat="false" ht="15.75" hidden="false" customHeight="false" outlineLevel="0" collapsed="false">
      <c r="A336" s="12"/>
      <c r="B336" s="34"/>
      <c r="C336" s="12"/>
      <c r="D336" s="12"/>
      <c r="E336" s="12"/>
      <c r="F336" s="12"/>
      <c r="G336" s="18"/>
      <c r="H336" s="35"/>
      <c r="I336" s="12"/>
      <c r="M336" s="12"/>
      <c r="N336" s="18"/>
      <c r="O336" s="12"/>
      <c r="P336" s="12"/>
      <c r="Q336" s="12"/>
      <c r="R336" s="36"/>
      <c r="S336" s="36"/>
      <c r="T336" s="12"/>
      <c r="U336" s="12"/>
      <c r="V336" s="12"/>
      <c r="W336" s="12"/>
      <c r="X336" s="12"/>
    </row>
    <row r="337" customFormat="false" ht="15.75" hidden="false" customHeight="false" outlineLevel="0" collapsed="false">
      <c r="A337" s="12"/>
      <c r="B337" s="34"/>
      <c r="C337" s="12"/>
      <c r="D337" s="12"/>
      <c r="E337" s="12"/>
      <c r="F337" s="12"/>
      <c r="G337" s="18"/>
      <c r="H337" s="35"/>
      <c r="I337" s="12"/>
      <c r="M337" s="12"/>
      <c r="N337" s="18"/>
      <c r="O337" s="12"/>
      <c r="P337" s="12"/>
      <c r="Q337" s="12"/>
      <c r="R337" s="36"/>
      <c r="S337" s="36"/>
      <c r="T337" s="12"/>
      <c r="U337" s="12"/>
      <c r="V337" s="12"/>
      <c r="W337" s="12"/>
      <c r="X337" s="12"/>
    </row>
    <row r="338" customFormat="false" ht="15.75" hidden="false" customHeight="false" outlineLevel="0" collapsed="false">
      <c r="A338" s="12"/>
      <c r="B338" s="34"/>
      <c r="C338" s="12"/>
      <c r="D338" s="12"/>
      <c r="E338" s="12"/>
      <c r="F338" s="12"/>
      <c r="G338" s="18"/>
      <c r="H338" s="35"/>
      <c r="I338" s="12"/>
      <c r="M338" s="12"/>
      <c r="N338" s="18"/>
      <c r="O338" s="12"/>
      <c r="P338" s="12"/>
      <c r="Q338" s="12"/>
      <c r="R338" s="36"/>
      <c r="S338" s="36"/>
      <c r="T338" s="12"/>
      <c r="U338" s="12"/>
      <c r="V338" s="12"/>
      <c r="W338" s="12"/>
      <c r="X338" s="12"/>
    </row>
    <row r="339" customFormat="false" ht="15.75" hidden="false" customHeight="false" outlineLevel="0" collapsed="false">
      <c r="A339" s="12"/>
      <c r="B339" s="34"/>
      <c r="C339" s="12"/>
      <c r="D339" s="12"/>
      <c r="E339" s="12"/>
      <c r="F339" s="12"/>
      <c r="G339" s="18"/>
      <c r="H339" s="35"/>
      <c r="I339" s="12"/>
      <c r="M339" s="12"/>
      <c r="N339" s="18"/>
      <c r="O339" s="12"/>
      <c r="P339" s="12"/>
      <c r="Q339" s="12"/>
      <c r="R339" s="36"/>
      <c r="S339" s="36"/>
      <c r="T339" s="12"/>
      <c r="U339" s="12"/>
      <c r="V339" s="12"/>
      <c r="W339" s="12"/>
      <c r="X339" s="12"/>
    </row>
    <row r="340" customFormat="false" ht="15.75" hidden="false" customHeight="false" outlineLevel="0" collapsed="false">
      <c r="A340" s="12"/>
      <c r="B340" s="34"/>
      <c r="C340" s="12"/>
      <c r="D340" s="12"/>
      <c r="E340" s="12"/>
      <c r="F340" s="12"/>
      <c r="G340" s="18"/>
      <c r="H340" s="35"/>
      <c r="I340" s="12"/>
      <c r="M340" s="12"/>
      <c r="N340" s="18"/>
      <c r="O340" s="12"/>
      <c r="P340" s="12"/>
      <c r="Q340" s="12"/>
      <c r="R340" s="36"/>
      <c r="S340" s="36"/>
      <c r="T340" s="12"/>
      <c r="U340" s="12"/>
      <c r="V340" s="12"/>
      <c r="W340" s="12"/>
      <c r="X340" s="12"/>
    </row>
    <row r="341" customFormat="false" ht="15.75" hidden="false" customHeight="false" outlineLevel="0" collapsed="false">
      <c r="A341" s="12"/>
      <c r="B341" s="34"/>
      <c r="C341" s="12"/>
      <c r="D341" s="12"/>
      <c r="E341" s="12"/>
      <c r="F341" s="12"/>
      <c r="G341" s="18"/>
      <c r="H341" s="35"/>
      <c r="I341" s="12"/>
      <c r="M341" s="12"/>
      <c r="N341" s="18"/>
      <c r="O341" s="12"/>
      <c r="P341" s="12"/>
      <c r="Q341" s="12"/>
      <c r="R341" s="36"/>
      <c r="S341" s="36"/>
      <c r="T341" s="12"/>
      <c r="U341" s="12"/>
      <c r="V341" s="12"/>
      <c r="W341" s="12"/>
      <c r="X341" s="12"/>
    </row>
    <row r="342" customFormat="false" ht="15.75" hidden="false" customHeight="false" outlineLevel="0" collapsed="false">
      <c r="A342" s="12"/>
      <c r="B342" s="34"/>
      <c r="C342" s="12"/>
      <c r="D342" s="12"/>
      <c r="E342" s="12"/>
      <c r="F342" s="12"/>
      <c r="G342" s="18"/>
      <c r="H342" s="35"/>
      <c r="I342" s="12"/>
      <c r="M342" s="12"/>
      <c r="N342" s="18"/>
      <c r="O342" s="12"/>
      <c r="P342" s="12"/>
      <c r="Q342" s="12"/>
      <c r="R342" s="36"/>
      <c r="S342" s="36"/>
      <c r="T342" s="12"/>
      <c r="U342" s="12"/>
      <c r="V342" s="12"/>
      <c r="W342" s="12"/>
      <c r="X342" s="12"/>
    </row>
    <row r="343" customFormat="false" ht="15.75" hidden="false" customHeight="false" outlineLevel="0" collapsed="false">
      <c r="A343" s="12"/>
      <c r="B343" s="34"/>
      <c r="C343" s="12"/>
      <c r="D343" s="12"/>
      <c r="E343" s="12"/>
      <c r="F343" s="12"/>
      <c r="G343" s="18"/>
      <c r="H343" s="35"/>
      <c r="I343" s="12"/>
      <c r="M343" s="12"/>
      <c r="N343" s="18"/>
      <c r="O343" s="12"/>
      <c r="P343" s="12"/>
      <c r="Q343" s="12"/>
      <c r="R343" s="36"/>
      <c r="S343" s="36"/>
      <c r="T343" s="12"/>
      <c r="U343" s="12"/>
      <c r="V343" s="12"/>
      <c r="W343" s="12"/>
      <c r="X343" s="12"/>
    </row>
    <row r="344" customFormat="false" ht="15.75" hidden="false" customHeight="false" outlineLevel="0" collapsed="false">
      <c r="A344" s="12"/>
      <c r="B344" s="34"/>
      <c r="C344" s="12"/>
      <c r="D344" s="12"/>
      <c r="E344" s="12"/>
      <c r="F344" s="12"/>
      <c r="G344" s="18"/>
      <c r="H344" s="35"/>
      <c r="I344" s="12"/>
      <c r="M344" s="12"/>
      <c r="N344" s="18"/>
      <c r="O344" s="12"/>
      <c r="P344" s="12"/>
      <c r="Q344" s="12"/>
      <c r="R344" s="36"/>
      <c r="S344" s="36"/>
      <c r="T344" s="12"/>
      <c r="U344" s="12"/>
      <c r="V344" s="12"/>
      <c r="W344" s="12"/>
      <c r="X344" s="12"/>
    </row>
    <row r="345" customFormat="false" ht="15.75" hidden="false" customHeight="false" outlineLevel="0" collapsed="false">
      <c r="A345" s="12"/>
      <c r="B345" s="34"/>
      <c r="C345" s="12"/>
      <c r="D345" s="12"/>
      <c r="E345" s="12"/>
      <c r="F345" s="12"/>
      <c r="G345" s="18"/>
      <c r="H345" s="35"/>
      <c r="I345" s="12"/>
      <c r="M345" s="12"/>
      <c r="N345" s="18"/>
      <c r="O345" s="12"/>
      <c r="P345" s="12"/>
      <c r="Q345" s="12"/>
      <c r="R345" s="36"/>
      <c r="S345" s="36"/>
      <c r="T345" s="12"/>
      <c r="U345" s="12"/>
      <c r="V345" s="12"/>
      <c r="W345" s="12"/>
      <c r="X345" s="12"/>
    </row>
    <row r="346" customFormat="false" ht="15.75" hidden="false" customHeight="false" outlineLevel="0" collapsed="false">
      <c r="A346" s="12"/>
      <c r="B346" s="34"/>
      <c r="C346" s="12"/>
      <c r="D346" s="12"/>
      <c r="E346" s="12"/>
      <c r="F346" s="12"/>
      <c r="G346" s="18"/>
      <c r="H346" s="35"/>
      <c r="I346" s="12"/>
      <c r="M346" s="12"/>
      <c r="N346" s="18"/>
      <c r="O346" s="12"/>
      <c r="P346" s="12"/>
      <c r="Q346" s="12"/>
      <c r="R346" s="36"/>
      <c r="S346" s="36"/>
      <c r="T346" s="12"/>
      <c r="U346" s="12"/>
      <c r="V346" s="12"/>
      <c r="W346" s="12"/>
      <c r="X346" s="12"/>
    </row>
    <row r="347" customFormat="false" ht="15.75" hidden="false" customHeight="false" outlineLevel="0" collapsed="false">
      <c r="A347" s="12"/>
      <c r="B347" s="34"/>
      <c r="C347" s="12"/>
      <c r="D347" s="12"/>
      <c r="E347" s="12"/>
      <c r="F347" s="12"/>
      <c r="G347" s="18"/>
      <c r="H347" s="35"/>
      <c r="I347" s="12"/>
      <c r="M347" s="12"/>
      <c r="N347" s="18"/>
      <c r="O347" s="12"/>
      <c r="P347" s="12"/>
      <c r="Q347" s="12"/>
      <c r="R347" s="36"/>
      <c r="S347" s="36"/>
      <c r="T347" s="12"/>
      <c r="U347" s="12"/>
      <c r="V347" s="12"/>
      <c r="W347" s="12"/>
      <c r="X347" s="12"/>
    </row>
    <row r="348" customFormat="false" ht="15.75" hidden="false" customHeight="false" outlineLevel="0" collapsed="false">
      <c r="A348" s="12"/>
      <c r="B348" s="34"/>
      <c r="C348" s="12"/>
      <c r="D348" s="12"/>
      <c r="E348" s="12"/>
      <c r="F348" s="12"/>
      <c r="G348" s="18"/>
      <c r="H348" s="35"/>
      <c r="I348" s="12"/>
      <c r="M348" s="12"/>
      <c r="N348" s="18"/>
      <c r="O348" s="12"/>
      <c r="P348" s="12"/>
      <c r="Q348" s="12"/>
      <c r="R348" s="36"/>
      <c r="S348" s="36"/>
      <c r="T348" s="12"/>
      <c r="U348" s="12"/>
      <c r="V348" s="12"/>
      <c r="W348" s="12"/>
      <c r="X348" s="12"/>
    </row>
    <row r="349" customFormat="false" ht="15.75" hidden="false" customHeight="false" outlineLevel="0" collapsed="false">
      <c r="A349" s="12"/>
      <c r="B349" s="34"/>
      <c r="C349" s="12"/>
      <c r="D349" s="12"/>
      <c r="E349" s="12"/>
      <c r="F349" s="12"/>
      <c r="G349" s="18"/>
      <c r="H349" s="35"/>
      <c r="I349" s="12"/>
      <c r="M349" s="12"/>
      <c r="N349" s="18"/>
      <c r="O349" s="12"/>
      <c r="P349" s="12"/>
      <c r="Q349" s="12"/>
      <c r="R349" s="36"/>
      <c r="S349" s="36"/>
      <c r="T349" s="12"/>
      <c r="U349" s="12"/>
      <c r="V349" s="12"/>
      <c r="W349" s="12"/>
      <c r="X349" s="12"/>
    </row>
    <row r="350" customFormat="false" ht="15.75" hidden="false" customHeight="false" outlineLevel="0" collapsed="false">
      <c r="A350" s="12"/>
      <c r="B350" s="34"/>
      <c r="C350" s="12"/>
      <c r="D350" s="12"/>
      <c r="E350" s="12"/>
      <c r="F350" s="12"/>
      <c r="G350" s="18"/>
      <c r="H350" s="35"/>
      <c r="I350" s="12"/>
      <c r="M350" s="12"/>
      <c r="N350" s="18"/>
      <c r="O350" s="12"/>
      <c r="P350" s="12"/>
      <c r="Q350" s="12"/>
      <c r="R350" s="36"/>
      <c r="S350" s="36"/>
      <c r="T350" s="12"/>
      <c r="U350" s="12"/>
      <c r="V350" s="12"/>
      <c r="W350" s="12"/>
      <c r="X350" s="12"/>
    </row>
    <row r="351" customFormat="false" ht="15.75" hidden="false" customHeight="false" outlineLevel="0" collapsed="false">
      <c r="A351" s="12"/>
      <c r="B351" s="34"/>
      <c r="C351" s="12"/>
      <c r="D351" s="12"/>
      <c r="E351" s="12"/>
      <c r="F351" s="12"/>
      <c r="G351" s="18"/>
      <c r="H351" s="35"/>
      <c r="I351" s="12"/>
      <c r="M351" s="12"/>
      <c r="N351" s="18"/>
      <c r="O351" s="12"/>
      <c r="P351" s="12"/>
      <c r="Q351" s="12"/>
      <c r="R351" s="36"/>
      <c r="S351" s="36"/>
      <c r="T351" s="12"/>
      <c r="U351" s="12"/>
      <c r="V351" s="12"/>
      <c r="W351" s="12"/>
      <c r="X351" s="12"/>
    </row>
    <row r="352" customFormat="false" ht="15.75" hidden="false" customHeight="false" outlineLevel="0" collapsed="false">
      <c r="A352" s="12"/>
      <c r="B352" s="34"/>
      <c r="C352" s="12"/>
      <c r="D352" s="12"/>
      <c r="E352" s="12"/>
      <c r="F352" s="12"/>
      <c r="G352" s="18"/>
      <c r="H352" s="35"/>
      <c r="I352" s="12"/>
      <c r="M352" s="12"/>
      <c r="N352" s="18"/>
      <c r="O352" s="12"/>
      <c r="P352" s="12"/>
      <c r="Q352" s="12"/>
      <c r="R352" s="36"/>
      <c r="S352" s="36"/>
      <c r="T352" s="12"/>
      <c r="U352" s="12"/>
      <c r="V352" s="12"/>
      <c r="W352" s="12"/>
      <c r="X352" s="12"/>
    </row>
    <row r="353" customFormat="false" ht="15.75" hidden="false" customHeight="false" outlineLevel="0" collapsed="false">
      <c r="A353" s="12"/>
      <c r="B353" s="34"/>
      <c r="C353" s="12"/>
      <c r="D353" s="12"/>
      <c r="E353" s="12"/>
      <c r="F353" s="12"/>
      <c r="G353" s="18"/>
      <c r="H353" s="35"/>
      <c r="I353" s="12"/>
      <c r="M353" s="12"/>
      <c r="N353" s="18"/>
      <c r="O353" s="12"/>
      <c r="P353" s="12"/>
      <c r="Q353" s="12"/>
      <c r="R353" s="36"/>
      <c r="S353" s="36"/>
      <c r="T353" s="12"/>
      <c r="U353" s="12"/>
      <c r="V353" s="12"/>
      <c r="W353" s="12"/>
      <c r="X353" s="12"/>
    </row>
    <row r="354" customFormat="false" ht="15.75" hidden="false" customHeight="false" outlineLevel="0" collapsed="false">
      <c r="A354" s="12"/>
      <c r="B354" s="34"/>
      <c r="C354" s="12"/>
      <c r="D354" s="12"/>
      <c r="E354" s="12"/>
      <c r="F354" s="12"/>
      <c r="G354" s="18"/>
      <c r="H354" s="35"/>
      <c r="I354" s="12"/>
      <c r="M354" s="12"/>
      <c r="N354" s="18"/>
      <c r="O354" s="12"/>
      <c r="P354" s="12"/>
      <c r="Q354" s="12"/>
      <c r="R354" s="36"/>
      <c r="S354" s="36"/>
      <c r="T354" s="12"/>
      <c r="U354" s="12"/>
      <c r="V354" s="12"/>
      <c r="W354" s="12"/>
      <c r="X354" s="12"/>
    </row>
    <row r="355" customFormat="false" ht="15.75" hidden="false" customHeight="false" outlineLevel="0" collapsed="false">
      <c r="A355" s="12"/>
      <c r="B355" s="34"/>
      <c r="C355" s="12"/>
      <c r="D355" s="12"/>
      <c r="E355" s="12"/>
      <c r="F355" s="12"/>
      <c r="G355" s="18"/>
      <c r="H355" s="35"/>
      <c r="I355" s="12"/>
      <c r="M355" s="12"/>
      <c r="N355" s="18"/>
      <c r="O355" s="12"/>
      <c r="P355" s="12"/>
      <c r="Q355" s="12"/>
      <c r="R355" s="36"/>
      <c r="S355" s="36"/>
      <c r="T355" s="12"/>
      <c r="U355" s="12"/>
      <c r="V355" s="12"/>
      <c r="W355" s="12"/>
      <c r="X355" s="12"/>
    </row>
    <row r="356" customFormat="false" ht="15.75" hidden="false" customHeight="false" outlineLevel="0" collapsed="false">
      <c r="A356" s="12"/>
      <c r="B356" s="34"/>
      <c r="C356" s="12"/>
      <c r="D356" s="12"/>
      <c r="E356" s="12"/>
      <c r="F356" s="12"/>
      <c r="G356" s="18"/>
      <c r="H356" s="35"/>
      <c r="I356" s="12"/>
      <c r="M356" s="12"/>
      <c r="N356" s="18"/>
      <c r="O356" s="12"/>
      <c r="P356" s="12"/>
      <c r="Q356" s="12"/>
      <c r="R356" s="36"/>
      <c r="S356" s="36"/>
      <c r="T356" s="12"/>
      <c r="U356" s="12"/>
      <c r="V356" s="12"/>
      <c r="W356" s="12"/>
      <c r="X356" s="12"/>
    </row>
    <row r="357" customFormat="false" ht="15.75" hidden="false" customHeight="false" outlineLevel="0" collapsed="false">
      <c r="A357" s="12"/>
      <c r="B357" s="34"/>
      <c r="C357" s="12"/>
      <c r="D357" s="12"/>
      <c r="E357" s="12"/>
      <c r="F357" s="12"/>
      <c r="G357" s="18"/>
      <c r="H357" s="35"/>
      <c r="I357" s="12"/>
      <c r="M357" s="12"/>
      <c r="N357" s="18"/>
      <c r="O357" s="12"/>
      <c r="P357" s="12"/>
      <c r="Q357" s="12"/>
      <c r="R357" s="36"/>
      <c r="S357" s="36"/>
      <c r="T357" s="12"/>
      <c r="U357" s="12"/>
      <c r="V357" s="12"/>
      <c r="W357" s="12"/>
      <c r="X357" s="12"/>
    </row>
    <row r="358" customFormat="false" ht="15.75" hidden="false" customHeight="false" outlineLevel="0" collapsed="false">
      <c r="A358" s="12"/>
      <c r="B358" s="34"/>
      <c r="C358" s="12"/>
      <c r="D358" s="12"/>
      <c r="E358" s="12"/>
      <c r="F358" s="12"/>
      <c r="G358" s="18"/>
      <c r="H358" s="35"/>
      <c r="I358" s="12"/>
      <c r="M358" s="12"/>
      <c r="N358" s="18"/>
      <c r="O358" s="12"/>
      <c r="P358" s="12"/>
      <c r="Q358" s="12"/>
      <c r="R358" s="36"/>
      <c r="S358" s="36"/>
      <c r="T358" s="12"/>
      <c r="U358" s="12"/>
      <c r="V358" s="12"/>
      <c r="W358" s="12"/>
      <c r="X358" s="12"/>
    </row>
    <row r="359" customFormat="false" ht="15.75" hidden="false" customHeight="false" outlineLevel="0" collapsed="false">
      <c r="A359" s="12"/>
      <c r="B359" s="34"/>
      <c r="C359" s="12"/>
      <c r="D359" s="12"/>
      <c r="E359" s="12"/>
      <c r="F359" s="12"/>
      <c r="G359" s="18"/>
      <c r="H359" s="35"/>
      <c r="I359" s="12"/>
      <c r="M359" s="12"/>
      <c r="N359" s="18"/>
      <c r="O359" s="12"/>
      <c r="P359" s="12"/>
      <c r="Q359" s="12"/>
      <c r="R359" s="36"/>
      <c r="S359" s="36"/>
      <c r="T359" s="12"/>
      <c r="U359" s="12"/>
      <c r="V359" s="12"/>
      <c r="W359" s="12"/>
      <c r="X359" s="12"/>
    </row>
    <row r="360" customFormat="false" ht="15.75" hidden="false" customHeight="false" outlineLevel="0" collapsed="false">
      <c r="A360" s="12"/>
      <c r="B360" s="34"/>
      <c r="C360" s="12"/>
      <c r="D360" s="12"/>
      <c r="E360" s="12"/>
      <c r="F360" s="12"/>
      <c r="G360" s="18"/>
      <c r="H360" s="35"/>
      <c r="I360" s="12"/>
      <c r="M360" s="12"/>
      <c r="N360" s="18"/>
      <c r="O360" s="12"/>
      <c r="P360" s="12"/>
      <c r="Q360" s="12"/>
      <c r="R360" s="36"/>
      <c r="S360" s="36"/>
      <c r="T360" s="12"/>
      <c r="U360" s="12"/>
      <c r="V360" s="12"/>
      <c r="W360" s="12"/>
      <c r="X360" s="12"/>
    </row>
    <row r="361" customFormat="false" ht="15.75" hidden="false" customHeight="false" outlineLevel="0" collapsed="false">
      <c r="A361" s="12"/>
      <c r="B361" s="34"/>
      <c r="C361" s="12"/>
      <c r="D361" s="12"/>
      <c r="E361" s="12"/>
      <c r="F361" s="12"/>
      <c r="G361" s="18"/>
      <c r="H361" s="35"/>
      <c r="I361" s="12"/>
      <c r="M361" s="12"/>
      <c r="N361" s="18"/>
      <c r="O361" s="12"/>
      <c r="P361" s="12"/>
      <c r="Q361" s="12"/>
      <c r="R361" s="36"/>
      <c r="S361" s="36"/>
      <c r="T361" s="12"/>
      <c r="U361" s="12"/>
      <c r="V361" s="12"/>
      <c r="W361" s="12"/>
      <c r="X361" s="12"/>
    </row>
    <row r="362" customFormat="false" ht="15.75" hidden="false" customHeight="false" outlineLevel="0" collapsed="false">
      <c r="A362" s="12"/>
      <c r="B362" s="34"/>
      <c r="C362" s="12"/>
      <c r="D362" s="12"/>
      <c r="E362" s="12"/>
      <c r="F362" s="12"/>
      <c r="G362" s="18"/>
      <c r="H362" s="35"/>
      <c r="I362" s="12"/>
      <c r="M362" s="12"/>
      <c r="N362" s="18"/>
      <c r="O362" s="12"/>
      <c r="P362" s="12"/>
      <c r="Q362" s="12"/>
      <c r="R362" s="36"/>
      <c r="S362" s="36"/>
      <c r="T362" s="12"/>
      <c r="U362" s="12"/>
      <c r="V362" s="12"/>
      <c r="W362" s="12"/>
      <c r="X362" s="12"/>
    </row>
    <row r="363" customFormat="false" ht="15.75" hidden="false" customHeight="false" outlineLevel="0" collapsed="false">
      <c r="A363" s="12"/>
      <c r="B363" s="34"/>
      <c r="C363" s="12"/>
      <c r="D363" s="12"/>
      <c r="E363" s="12"/>
      <c r="F363" s="12"/>
      <c r="G363" s="18"/>
      <c r="H363" s="35"/>
      <c r="I363" s="12"/>
      <c r="M363" s="12"/>
      <c r="N363" s="18"/>
      <c r="O363" s="12"/>
      <c r="P363" s="12"/>
      <c r="Q363" s="12"/>
      <c r="R363" s="36"/>
      <c r="S363" s="36"/>
      <c r="T363" s="12"/>
      <c r="U363" s="12"/>
      <c r="V363" s="12"/>
      <c r="W363" s="12"/>
      <c r="X363" s="12"/>
    </row>
    <row r="364" customFormat="false" ht="15.75" hidden="false" customHeight="false" outlineLevel="0" collapsed="false">
      <c r="A364" s="12"/>
      <c r="B364" s="34"/>
      <c r="C364" s="12"/>
      <c r="D364" s="12"/>
      <c r="E364" s="12"/>
      <c r="F364" s="12"/>
      <c r="G364" s="18"/>
      <c r="H364" s="35"/>
      <c r="I364" s="12"/>
      <c r="M364" s="12"/>
      <c r="N364" s="18"/>
      <c r="O364" s="12"/>
      <c r="P364" s="12"/>
      <c r="Q364" s="12"/>
      <c r="R364" s="36"/>
      <c r="S364" s="36"/>
      <c r="T364" s="12"/>
      <c r="U364" s="12"/>
      <c r="V364" s="12"/>
      <c r="W364" s="12"/>
      <c r="X364" s="12"/>
    </row>
    <row r="365" customFormat="false" ht="15.75" hidden="false" customHeight="false" outlineLevel="0" collapsed="false">
      <c r="A365" s="12"/>
      <c r="B365" s="34"/>
      <c r="C365" s="12"/>
      <c r="D365" s="12"/>
      <c r="E365" s="12"/>
      <c r="F365" s="12"/>
      <c r="G365" s="18"/>
      <c r="H365" s="35"/>
      <c r="I365" s="12"/>
      <c r="M365" s="12"/>
      <c r="N365" s="18"/>
      <c r="O365" s="12"/>
      <c r="P365" s="12"/>
      <c r="Q365" s="12"/>
      <c r="R365" s="36"/>
      <c r="S365" s="36"/>
      <c r="T365" s="12"/>
      <c r="U365" s="12"/>
      <c r="V365" s="12"/>
      <c r="W365" s="12"/>
      <c r="X365" s="12"/>
    </row>
    <row r="366" customFormat="false" ht="15.75" hidden="false" customHeight="false" outlineLevel="0" collapsed="false">
      <c r="A366" s="12"/>
      <c r="B366" s="34"/>
      <c r="C366" s="12"/>
      <c r="D366" s="12"/>
      <c r="E366" s="12"/>
      <c r="F366" s="12"/>
      <c r="G366" s="18"/>
      <c r="H366" s="35"/>
      <c r="I366" s="12"/>
      <c r="M366" s="12"/>
      <c r="N366" s="18"/>
      <c r="O366" s="12"/>
      <c r="P366" s="12"/>
      <c r="Q366" s="12"/>
      <c r="R366" s="36"/>
      <c r="S366" s="36"/>
      <c r="T366" s="12"/>
      <c r="U366" s="12"/>
      <c r="V366" s="12"/>
      <c r="W366" s="12"/>
      <c r="X366" s="12"/>
    </row>
    <row r="367" customFormat="false" ht="15.75" hidden="false" customHeight="false" outlineLevel="0" collapsed="false">
      <c r="A367" s="12"/>
      <c r="B367" s="34"/>
      <c r="C367" s="12"/>
      <c r="D367" s="12"/>
      <c r="E367" s="12"/>
      <c r="F367" s="12"/>
      <c r="G367" s="18"/>
      <c r="H367" s="35"/>
      <c r="I367" s="12"/>
      <c r="M367" s="12"/>
      <c r="N367" s="18"/>
      <c r="O367" s="12"/>
      <c r="P367" s="12"/>
      <c r="Q367" s="12"/>
      <c r="R367" s="36"/>
      <c r="S367" s="36"/>
      <c r="T367" s="12"/>
      <c r="U367" s="12"/>
      <c r="V367" s="12"/>
      <c r="W367" s="12"/>
      <c r="X367" s="12"/>
    </row>
    <row r="368" customFormat="false" ht="15.75" hidden="false" customHeight="false" outlineLevel="0" collapsed="false">
      <c r="A368" s="12"/>
      <c r="B368" s="34"/>
      <c r="C368" s="12"/>
      <c r="D368" s="12"/>
      <c r="E368" s="12"/>
      <c r="F368" s="12"/>
      <c r="G368" s="18"/>
      <c r="H368" s="35"/>
      <c r="I368" s="12"/>
      <c r="M368" s="12"/>
      <c r="N368" s="18"/>
      <c r="O368" s="12"/>
      <c r="P368" s="12"/>
      <c r="Q368" s="12"/>
      <c r="R368" s="36"/>
      <c r="S368" s="36"/>
      <c r="T368" s="12"/>
      <c r="U368" s="12"/>
      <c r="V368" s="12"/>
      <c r="W368" s="12"/>
      <c r="X368" s="12"/>
    </row>
    <row r="369" customFormat="false" ht="15.75" hidden="false" customHeight="false" outlineLevel="0" collapsed="false">
      <c r="A369" s="12"/>
      <c r="B369" s="34"/>
      <c r="C369" s="12"/>
      <c r="D369" s="12"/>
      <c r="E369" s="12"/>
      <c r="F369" s="12"/>
      <c r="G369" s="18"/>
      <c r="H369" s="35"/>
      <c r="I369" s="12"/>
      <c r="M369" s="12"/>
      <c r="N369" s="18"/>
      <c r="O369" s="12"/>
      <c r="P369" s="12"/>
      <c r="Q369" s="12"/>
      <c r="R369" s="36"/>
      <c r="S369" s="36"/>
      <c r="T369" s="12"/>
      <c r="U369" s="12"/>
      <c r="V369" s="12"/>
      <c r="W369" s="12"/>
      <c r="X369" s="12"/>
    </row>
    <row r="370" customFormat="false" ht="15.75" hidden="false" customHeight="false" outlineLevel="0" collapsed="false">
      <c r="A370" s="12"/>
      <c r="B370" s="34"/>
      <c r="C370" s="12"/>
      <c r="D370" s="12"/>
      <c r="E370" s="12"/>
      <c r="F370" s="12"/>
      <c r="G370" s="18"/>
      <c r="H370" s="35"/>
      <c r="I370" s="12"/>
      <c r="M370" s="12"/>
      <c r="N370" s="18"/>
      <c r="O370" s="12"/>
      <c r="P370" s="12"/>
      <c r="Q370" s="12"/>
      <c r="R370" s="36"/>
      <c r="S370" s="36"/>
      <c r="T370" s="12"/>
      <c r="U370" s="12"/>
      <c r="V370" s="12"/>
      <c r="W370" s="12"/>
      <c r="X370" s="12"/>
    </row>
    <row r="371" customFormat="false" ht="15.75" hidden="false" customHeight="false" outlineLevel="0" collapsed="false">
      <c r="A371" s="12"/>
      <c r="B371" s="34"/>
      <c r="C371" s="12"/>
      <c r="D371" s="12"/>
      <c r="E371" s="12"/>
      <c r="F371" s="12"/>
      <c r="G371" s="18"/>
      <c r="H371" s="35"/>
      <c r="I371" s="12"/>
      <c r="M371" s="12"/>
      <c r="N371" s="18"/>
      <c r="O371" s="12"/>
      <c r="P371" s="12"/>
      <c r="Q371" s="12"/>
      <c r="R371" s="36"/>
      <c r="S371" s="36"/>
      <c r="T371" s="12"/>
      <c r="U371" s="12"/>
      <c r="V371" s="12"/>
      <c r="W371" s="12"/>
      <c r="X371" s="12"/>
    </row>
    <row r="372" customFormat="false" ht="15.75" hidden="false" customHeight="false" outlineLevel="0" collapsed="false">
      <c r="A372" s="12"/>
      <c r="B372" s="34"/>
      <c r="C372" s="12"/>
      <c r="D372" s="12"/>
      <c r="E372" s="12"/>
      <c r="F372" s="12"/>
      <c r="G372" s="18"/>
      <c r="H372" s="35"/>
      <c r="I372" s="12"/>
      <c r="M372" s="12"/>
      <c r="N372" s="18"/>
      <c r="O372" s="12"/>
      <c r="P372" s="12"/>
      <c r="Q372" s="12"/>
      <c r="R372" s="36"/>
      <c r="S372" s="36"/>
      <c r="T372" s="12"/>
      <c r="U372" s="12"/>
      <c r="V372" s="12"/>
      <c r="W372" s="12"/>
      <c r="X372" s="12"/>
    </row>
    <row r="373" customFormat="false" ht="15.75" hidden="false" customHeight="false" outlineLevel="0" collapsed="false">
      <c r="A373" s="12"/>
      <c r="B373" s="34"/>
      <c r="C373" s="12"/>
      <c r="D373" s="12"/>
      <c r="E373" s="12"/>
      <c r="F373" s="12"/>
      <c r="G373" s="18"/>
      <c r="H373" s="35"/>
      <c r="I373" s="12"/>
      <c r="M373" s="12"/>
      <c r="N373" s="18"/>
      <c r="O373" s="12"/>
      <c r="P373" s="12"/>
      <c r="Q373" s="12"/>
      <c r="R373" s="36"/>
      <c r="S373" s="36"/>
      <c r="T373" s="12"/>
      <c r="U373" s="12"/>
      <c r="V373" s="12"/>
      <c r="W373" s="12"/>
      <c r="X373" s="12"/>
    </row>
    <row r="374" customFormat="false" ht="15.75" hidden="false" customHeight="false" outlineLevel="0" collapsed="false">
      <c r="A374" s="12"/>
      <c r="B374" s="34"/>
      <c r="C374" s="12"/>
      <c r="D374" s="12"/>
      <c r="E374" s="12"/>
      <c r="F374" s="12"/>
      <c r="G374" s="18"/>
      <c r="H374" s="35"/>
      <c r="I374" s="12"/>
      <c r="M374" s="12"/>
      <c r="N374" s="18"/>
      <c r="O374" s="12"/>
      <c r="P374" s="12"/>
      <c r="Q374" s="12"/>
      <c r="R374" s="36"/>
      <c r="S374" s="36"/>
      <c r="T374" s="12"/>
      <c r="U374" s="12"/>
      <c r="V374" s="12"/>
      <c r="W374" s="12"/>
      <c r="X374" s="12"/>
    </row>
    <row r="375" customFormat="false" ht="15.75" hidden="false" customHeight="false" outlineLevel="0" collapsed="false">
      <c r="A375" s="12"/>
      <c r="B375" s="34"/>
      <c r="C375" s="12"/>
      <c r="D375" s="12"/>
      <c r="E375" s="12"/>
      <c r="F375" s="12"/>
      <c r="G375" s="18"/>
      <c r="H375" s="35"/>
      <c r="I375" s="12"/>
      <c r="M375" s="12"/>
      <c r="N375" s="18"/>
      <c r="O375" s="12"/>
      <c r="P375" s="12"/>
      <c r="Q375" s="12"/>
      <c r="R375" s="36"/>
      <c r="S375" s="36"/>
      <c r="T375" s="12"/>
      <c r="U375" s="12"/>
      <c r="V375" s="12"/>
      <c r="W375" s="12"/>
      <c r="X375" s="12"/>
    </row>
    <row r="376" customFormat="false" ht="15.75" hidden="false" customHeight="false" outlineLevel="0" collapsed="false">
      <c r="A376" s="12"/>
      <c r="B376" s="34"/>
      <c r="C376" s="12"/>
      <c r="D376" s="12"/>
      <c r="E376" s="12"/>
      <c r="F376" s="12"/>
      <c r="G376" s="18"/>
      <c r="H376" s="35"/>
      <c r="I376" s="12"/>
      <c r="M376" s="12"/>
      <c r="N376" s="18"/>
      <c r="O376" s="12"/>
      <c r="P376" s="12"/>
      <c r="Q376" s="12"/>
      <c r="R376" s="36"/>
      <c r="S376" s="36"/>
      <c r="T376" s="12"/>
      <c r="U376" s="12"/>
      <c r="V376" s="12"/>
      <c r="W376" s="12"/>
      <c r="X376" s="12"/>
    </row>
    <row r="377" customFormat="false" ht="15.75" hidden="false" customHeight="false" outlineLevel="0" collapsed="false">
      <c r="A377" s="12"/>
      <c r="B377" s="34"/>
      <c r="C377" s="12"/>
      <c r="D377" s="12"/>
      <c r="E377" s="12"/>
      <c r="F377" s="12"/>
      <c r="G377" s="18"/>
      <c r="H377" s="35"/>
      <c r="I377" s="12"/>
      <c r="M377" s="12"/>
      <c r="N377" s="18"/>
      <c r="O377" s="12"/>
      <c r="P377" s="12"/>
      <c r="Q377" s="12"/>
      <c r="R377" s="36"/>
      <c r="S377" s="36"/>
      <c r="T377" s="12"/>
      <c r="U377" s="12"/>
      <c r="V377" s="12"/>
      <c r="W377" s="12"/>
      <c r="X377" s="12"/>
    </row>
    <row r="378" customFormat="false" ht="15.75" hidden="false" customHeight="false" outlineLevel="0" collapsed="false">
      <c r="A378" s="12"/>
      <c r="B378" s="34"/>
      <c r="C378" s="12"/>
      <c r="D378" s="12"/>
      <c r="E378" s="12"/>
      <c r="F378" s="12"/>
      <c r="G378" s="18"/>
      <c r="H378" s="35"/>
      <c r="I378" s="12"/>
      <c r="M378" s="12"/>
      <c r="N378" s="18"/>
      <c r="O378" s="12"/>
      <c r="P378" s="12"/>
      <c r="Q378" s="12"/>
      <c r="R378" s="36"/>
      <c r="S378" s="36"/>
      <c r="T378" s="12"/>
      <c r="U378" s="12"/>
      <c r="V378" s="12"/>
      <c r="W378" s="12"/>
      <c r="X378" s="12"/>
    </row>
    <row r="379" customFormat="false" ht="15.75" hidden="false" customHeight="false" outlineLevel="0" collapsed="false">
      <c r="A379" s="12"/>
      <c r="B379" s="34"/>
      <c r="C379" s="12"/>
      <c r="D379" s="12"/>
      <c r="E379" s="12"/>
      <c r="F379" s="12"/>
      <c r="G379" s="18"/>
      <c r="H379" s="35"/>
      <c r="I379" s="12"/>
      <c r="M379" s="12"/>
      <c r="N379" s="18"/>
      <c r="O379" s="12"/>
      <c r="P379" s="12"/>
      <c r="Q379" s="12"/>
      <c r="R379" s="36"/>
      <c r="S379" s="36"/>
      <c r="T379" s="12"/>
      <c r="U379" s="12"/>
      <c r="V379" s="12"/>
      <c r="W379" s="12"/>
      <c r="X379" s="12"/>
    </row>
    <row r="380" customFormat="false" ht="15.75" hidden="false" customHeight="false" outlineLevel="0" collapsed="false">
      <c r="A380" s="12"/>
      <c r="B380" s="34"/>
      <c r="C380" s="12"/>
      <c r="D380" s="12"/>
      <c r="E380" s="12"/>
      <c r="F380" s="12"/>
      <c r="G380" s="18"/>
      <c r="H380" s="35"/>
      <c r="I380" s="12"/>
      <c r="M380" s="12"/>
      <c r="N380" s="18"/>
      <c r="O380" s="12"/>
      <c r="P380" s="12"/>
      <c r="Q380" s="12"/>
      <c r="R380" s="36"/>
      <c r="S380" s="36"/>
      <c r="T380" s="12"/>
      <c r="U380" s="12"/>
      <c r="V380" s="12"/>
      <c r="W380" s="12"/>
      <c r="X380" s="12"/>
    </row>
    <row r="381" customFormat="false" ht="15.75" hidden="false" customHeight="false" outlineLevel="0" collapsed="false">
      <c r="A381" s="12"/>
      <c r="B381" s="34"/>
      <c r="C381" s="12"/>
      <c r="D381" s="12"/>
      <c r="E381" s="12"/>
      <c r="F381" s="12"/>
      <c r="G381" s="18"/>
      <c r="H381" s="35"/>
      <c r="I381" s="12"/>
      <c r="M381" s="12"/>
      <c r="N381" s="18"/>
      <c r="O381" s="12"/>
      <c r="P381" s="12"/>
      <c r="Q381" s="12"/>
      <c r="R381" s="36"/>
      <c r="S381" s="36"/>
      <c r="T381" s="12"/>
      <c r="U381" s="12"/>
      <c r="V381" s="12"/>
      <c r="W381" s="12"/>
      <c r="X381" s="12"/>
    </row>
    <row r="382" customFormat="false" ht="15.75" hidden="false" customHeight="false" outlineLevel="0" collapsed="false">
      <c r="A382" s="12"/>
      <c r="B382" s="34"/>
      <c r="C382" s="12"/>
      <c r="D382" s="12"/>
      <c r="E382" s="12"/>
      <c r="F382" s="12"/>
      <c r="G382" s="18"/>
      <c r="H382" s="35"/>
      <c r="I382" s="12"/>
      <c r="M382" s="12"/>
      <c r="N382" s="18"/>
      <c r="O382" s="12"/>
      <c r="P382" s="12"/>
      <c r="Q382" s="12"/>
      <c r="R382" s="36"/>
      <c r="S382" s="36"/>
      <c r="T382" s="12"/>
      <c r="U382" s="12"/>
      <c r="V382" s="12"/>
      <c r="W382" s="12"/>
      <c r="X382" s="12"/>
    </row>
    <row r="383" customFormat="false" ht="15.75" hidden="false" customHeight="false" outlineLevel="0" collapsed="false">
      <c r="A383" s="12"/>
      <c r="B383" s="34"/>
      <c r="C383" s="12"/>
      <c r="D383" s="12"/>
      <c r="E383" s="12"/>
      <c r="F383" s="12"/>
      <c r="G383" s="18"/>
      <c r="H383" s="35"/>
      <c r="I383" s="12"/>
      <c r="M383" s="12"/>
      <c r="N383" s="18"/>
      <c r="O383" s="12"/>
      <c r="P383" s="12"/>
      <c r="Q383" s="12"/>
      <c r="R383" s="36"/>
      <c r="S383" s="36"/>
      <c r="T383" s="12"/>
      <c r="U383" s="12"/>
      <c r="V383" s="12"/>
      <c r="W383" s="12"/>
      <c r="X383" s="12"/>
    </row>
    <row r="384" customFormat="false" ht="15.75" hidden="false" customHeight="false" outlineLevel="0" collapsed="false">
      <c r="A384" s="12"/>
      <c r="B384" s="34"/>
      <c r="C384" s="12"/>
      <c r="D384" s="12"/>
      <c r="E384" s="12"/>
      <c r="F384" s="12"/>
      <c r="G384" s="18"/>
      <c r="H384" s="35"/>
      <c r="I384" s="12"/>
      <c r="M384" s="12"/>
      <c r="N384" s="18"/>
      <c r="O384" s="12"/>
      <c r="P384" s="12"/>
      <c r="Q384" s="12"/>
      <c r="R384" s="36"/>
      <c r="S384" s="36"/>
      <c r="T384" s="12"/>
      <c r="U384" s="12"/>
      <c r="V384" s="12"/>
      <c r="W384" s="12"/>
      <c r="X384" s="12"/>
    </row>
    <row r="385" customFormat="false" ht="15.75" hidden="false" customHeight="false" outlineLevel="0" collapsed="false">
      <c r="A385" s="12"/>
      <c r="B385" s="34"/>
      <c r="C385" s="12"/>
      <c r="D385" s="12"/>
      <c r="E385" s="12"/>
      <c r="F385" s="12"/>
      <c r="G385" s="18"/>
      <c r="H385" s="35"/>
      <c r="I385" s="12"/>
      <c r="M385" s="12"/>
      <c r="N385" s="18"/>
      <c r="O385" s="12"/>
      <c r="P385" s="12"/>
      <c r="Q385" s="12"/>
      <c r="R385" s="36"/>
      <c r="S385" s="36"/>
      <c r="T385" s="12"/>
      <c r="U385" s="12"/>
      <c r="V385" s="12"/>
      <c r="W385" s="12"/>
      <c r="X385" s="12"/>
    </row>
    <row r="386" customFormat="false" ht="15.75" hidden="false" customHeight="false" outlineLevel="0" collapsed="false">
      <c r="A386" s="12"/>
      <c r="B386" s="34"/>
      <c r="C386" s="12"/>
      <c r="D386" s="12"/>
      <c r="E386" s="12"/>
      <c r="F386" s="12"/>
      <c r="G386" s="18"/>
      <c r="H386" s="35"/>
      <c r="I386" s="12"/>
      <c r="M386" s="12"/>
      <c r="N386" s="18"/>
      <c r="O386" s="12"/>
      <c r="P386" s="12"/>
      <c r="Q386" s="12"/>
      <c r="R386" s="36"/>
      <c r="S386" s="36"/>
      <c r="T386" s="12"/>
      <c r="U386" s="12"/>
      <c r="V386" s="12"/>
      <c r="W386" s="12"/>
      <c r="X386" s="12"/>
    </row>
    <row r="387" customFormat="false" ht="15.75" hidden="false" customHeight="false" outlineLevel="0" collapsed="false">
      <c r="A387" s="12"/>
      <c r="B387" s="34"/>
      <c r="C387" s="12"/>
      <c r="D387" s="12"/>
      <c r="E387" s="12"/>
      <c r="F387" s="12"/>
      <c r="G387" s="18"/>
      <c r="H387" s="35"/>
      <c r="I387" s="12"/>
      <c r="M387" s="12"/>
      <c r="N387" s="18"/>
      <c r="O387" s="12"/>
      <c r="P387" s="12"/>
      <c r="Q387" s="12"/>
      <c r="R387" s="36"/>
      <c r="S387" s="36"/>
      <c r="T387" s="12"/>
      <c r="U387" s="12"/>
      <c r="V387" s="12"/>
      <c r="W387" s="12"/>
      <c r="X387" s="12"/>
    </row>
    <row r="388" customFormat="false" ht="15.75" hidden="false" customHeight="false" outlineLevel="0" collapsed="false">
      <c r="A388" s="12"/>
      <c r="B388" s="34"/>
      <c r="C388" s="12"/>
      <c r="D388" s="12"/>
      <c r="E388" s="12"/>
      <c r="F388" s="12"/>
      <c r="G388" s="18"/>
      <c r="H388" s="35"/>
      <c r="I388" s="12"/>
      <c r="M388" s="12"/>
      <c r="N388" s="18"/>
      <c r="O388" s="12"/>
      <c r="P388" s="12"/>
      <c r="Q388" s="12"/>
      <c r="R388" s="36"/>
      <c r="S388" s="36"/>
      <c r="T388" s="12"/>
      <c r="U388" s="12"/>
      <c r="V388" s="12"/>
      <c r="W388" s="12"/>
      <c r="X388" s="12"/>
    </row>
    <row r="389" customFormat="false" ht="15.75" hidden="false" customHeight="false" outlineLevel="0" collapsed="false">
      <c r="A389" s="12"/>
      <c r="B389" s="34"/>
      <c r="C389" s="12"/>
      <c r="D389" s="12"/>
      <c r="E389" s="12"/>
      <c r="F389" s="12"/>
      <c r="G389" s="18"/>
      <c r="H389" s="35"/>
      <c r="I389" s="12"/>
      <c r="M389" s="12"/>
      <c r="N389" s="18"/>
      <c r="O389" s="12"/>
      <c r="P389" s="12"/>
      <c r="Q389" s="12"/>
      <c r="R389" s="36"/>
      <c r="S389" s="36"/>
      <c r="T389" s="12"/>
      <c r="U389" s="12"/>
      <c r="V389" s="12"/>
      <c r="W389" s="12"/>
      <c r="X389" s="12"/>
    </row>
    <row r="390" customFormat="false" ht="15.75" hidden="false" customHeight="false" outlineLevel="0" collapsed="false">
      <c r="A390" s="12"/>
      <c r="B390" s="34"/>
      <c r="C390" s="12"/>
      <c r="D390" s="12"/>
      <c r="E390" s="12"/>
      <c r="F390" s="12"/>
      <c r="G390" s="18"/>
      <c r="H390" s="35"/>
      <c r="I390" s="12"/>
      <c r="M390" s="12"/>
      <c r="N390" s="18"/>
      <c r="O390" s="12"/>
      <c r="P390" s="12"/>
      <c r="Q390" s="12"/>
      <c r="R390" s="36"/>
      <c r="S390" s="36"/>
      <c r="T390" s="12"/>
      <c r="U390" s="12"/>
      <c r="V390" s="12"/>
      <c r="W390" s="12"/>
      <c r="X390" s="12"/>
    </row>
    <row r="391" customFormat="false" ht="15.75" hidden="false" customHeight="false" outlineLevel="0" collapsed="false">
      <c r="A391" s="12"/>
      <c r="B391" s="34"/>
      <c r="C391" s="12"/>
      <c r="D391" s="12"/>
      <c r="E391" s="12"/>
      <c r="F391" s="12"/>
      <c r="G391" s="18"/>
      <c r="H391" s="35"/>
      <c r="I391" s="12"/>
      <c r="M391" s="12"/>
      <c r="N391" s="18"/>
      <c r="O391" s="12"/>
      <c r="P391" s="12"/>
      <c r="Q391" s="12"/>
      <c r="R391" s="36"/>
      <c r="S391" s="36"/>
      <c r="T391" s="12"/>
      <c r="U391" s="12"/>
      <c r="V391" s="12"/>
      <c r="W391" s="12"/>
      <c r="X391" s="12"/>
    </row>
    <row r="392" customFormat="false" ht="15.75" hidden="false" customHeight="false" outlineLevel="0" collapsed="false">
      <c r="A392" s="12"/>
      <c r="B392" s="34"/>
      <c r="C392" s="12"/>
      <c r="D392" s="12"/>
      <c r="E392" s="12"/>
      <c r="F392" s="12"/>
      <c r="G392" s="18"/>
      <c r="H392" s="35"/>
      <c r="I392" s="12"/>
      <c r="M392" s="12"/>
      <c r="N392" s="18"/>
      <c r="O392" s="12"/>
      <c r="P392" s="12"/>
      <c r="Q392" s="12"/>
      <c r="R392" s="36"/>
      <c r="S392" s="36"/>
      <c r="T392" s="12"/>
      <c r="U392" s="12"/>
      <c r="V392" s="12"/>
      <c r="W392" s="12"/>
      <c r="X392" s="12"/>
    </row>
    <row r="393" customFormat="false" ht="15.75" hidden="false" customHeight="false" outlineLevel="0" collapsed="false">
      <c r="A393" s="12"/>
      <c r="B393" s="34"/>
      <c r="C393" s="12"/>
      <c r="D393" s="12"/>
      <c r="E393" s="12"/>
      <c r="F393" s="12"/>
      <c r="G393" s="18"/>
      <c r="H393" s="35"/>
      <c r="I393" s="12"/>
      <c r="M393" s="12"/>
      <c r="N393" s="18"/>
      <c r="O393" s="12"/>
      <c r="P393" s="12"/>
      <c r="Q393" s="12"/>
      <c r="R393" s="36"/>
      <c r="S393" s="36"/>
      <c r="T393" s="12"/>
      <c r="U393" s="12"/>
      <c r="V393" s="12"/>
      <c r="W393" s="12"/>
      <c r="X393" s="12"/>
    </row>
    <row r="394" customFormat="false" ht="15.75" hidden="false" customHeight="false" outlineLevel="0" collapsed="false">
      <c r="A394" s="12"/>
      <c r="B394" s="34"/>
      <c r="C394" s="12"/>
      <c r="D394" s="12"/>
      <c r="E394" s="12"/>
      <c r="F394" s="12"/>
      <c r="G394" s="18"/>
      <c r="H394" s="35"/>
      <c r="I394" s="12"/>
      <c r="M394" s="12"/>
      <c r="N394" s="18"/>
      <c r="O394" s="12"/>
      <c r="P394" s="12"/>
      <c r="Q394" s="12"/>
      <c r="R394" s="36"/>
      <c r="S394" s="36"/>
      <c r="T394" s="12"/>
      <c r="U394" s="12"/>
      <c r="V394" s="12"/>
      <c r="W394" s="12"/>
      <c r="X394" s="12"/>
    </row>
    <row r="395" customFormat="false" ht="15.75" hidden="false" customHeight="false" outlineLevel="0" collapsed="false">
      <c r="A395" s="12"/>
      <c r="B395" s="34"/>
      <c r="C395" s="12"/>
      <c r="D395" s="12"/>
      <c r="E395" s="12"/>
      <c r="F395" s="12"/>
      <c r="G395" s="18"/>
      <c r="H395" s="35"/>
      <c r="I395" s="12"/>
      <c r="M395" s="12"/>
      <c r="N395" s="18"/>
      <c r="O395" s="12"/>
      <c r="P395" s="12"/>
      <c r="Q395" s="12"/>
      <c r="R395" s="36"/>
      <c r="S395" s="36"/>
      <c r="T395" s="12"/>
      <c r="U395" s="12"/>
      <c r="V395" s="12"/>
      <c r="W395" s="12"/>
      <c r="X395" s="12"/>
    </row>
    <row r="396" customFormat="false" ht="15.75" hidden="false" customHeight="false" outlineLevel="0" collapsed="false">
      <c r="A396" s="12"/>
      <c r="B396" s="34"/>
      <c r="C396" s="12"/>
      <c r="D396" s="12"/>
      <c r="E396" s="12"/>
      <c r="F396" s="12"/>
      <c r="G396" s="18"/>
      <c r="H396" s="35"/>
      <c r="I396" s="12"/>
      <c r="M396" s="12"/>
      <c r="N396" s="18"/>
      <c r="O396" s="12"/>
      <c r="P396" s="12"/>
      <c r="Q396" s="12"/>
      <c r="R396" s="36"/>
      <c r="S396" s="36"/>
      <c r="T396" s="12"/>
      <c r="U396" s="12"/>
      <c r="V396" s="12"/>
      <c r="W396" s="12"/>
      <c r="X396" s="12"/>
    </row>
    <row r="397" customFormat="false" ht="15.75" hidden="false" customHeight="false" outlineLevel="0" collapsed="false">
      <c r="A397" s="12"/>
      <c r="B397" s="34"/>
      <c r="C397" s="12"/>
      <c r="D397" s="12"/>
      <c r="E397" s="12"/>
      <c r="F397" s="12"/>
      <c r="G397" s="18"/>
      <c r="H397" s="35"/>
      <c r="I397" s="12"/>
      <c r="M397" s="12"/>
      <c r="N397" s="18"/>
      <c r="O397" s="12"/>
      <c r="P397" s="12"/>
      <c r="Q397" s="12"/>
      <c r="R397" s="36"/>
      <c r="S397" s="36"/>
      <c r="T397" s="12"/>
      <c r="U397" s="12"/>
      <c r="V397" s="12"/>
      <c r="W397" s="12"/>
      <c r="X397" s="12"/>
    </row>
    <row r="398" customFormat="false" ht="15.75" hidden="false" customHeight="false" outlineLevel="0" collapsed="false">
      <c r="A398" s="12"/>
      <c r="B398" s="34"/>
      <c r="C398" s="12"/>
      <c r="D398" s="12"/>
      <c r="E398" s="12"/>
      <c r="F398" s="12"/>
      <c r="G398" s="18"/>
      <c r="H398" s="35"/>
      <c r="I398" s="12"/>
      <c r="M398" s="12"/>
      <c r="N398" s="18"/>
      <c r="O398" s="12"/>
      <c r="P398" s="12"/>
      <c r="Q398" s="12"/>
      <c r="R398" s="36"/>
      <c r="S398" s="36"/>
      <c r="T398" s="12"/>
      <c r="U398" s="12"/>
      <c r="V398" s="12"/>
      <c r="W398" s="12"/>
      <c r="X398" s="12"/>
    </row>
    <row r="399" customFormat="false" ht="15.75" hidden="false" customHeight="false" outlineLevel="0" collapsed="false">
      <c r="A399" s="12"/>
      <c r="B399" s="34"/>
      <c r="C399" s="12"/>
      <c r="D399" s="12"/>
      <c r="E399" s="12"/>
      <c r="F399" s="12"/>
      <c r="G399" s="18"/>
      <c r="H399" s="35"/>
      <c r="I399" s="12"/>
      <c r="M399" s="12"/>
      <c r="N399" s="18"/>
      <c r="O399" s="12"/>
      <c r="P399" s="12"/>
      <c r="Q399" s="12"/>
      <c r="R399" s="36"/>
      <c r="S399" s="36"/>
      <c r="T399" s="12"/>
      <c r="U399" s="12"/>
      <c r="V399" s="12"/>
      <c r="W399" s="12"/>
      <c r="X399" s="12"/>
    </row>
    <row r="400" customFormat="false" ht="15.75" hidden="false" customHeight="false" outlineLevel="0" collapsed="false">
      <c r="A400" s="12"/>
      <c r="B400" s="34"/>
      <c r="C400" s="12"/>
      <c r="D400" s="12"/>
      <c r="E400" s="12"/>
      <c r="F400" s="12"/>
      <c r="G400" s="18"/>
      <c r="H400" s="35"/>
      <c r="I400" s="12"/>
      <c r="M400" s="12"/>
      <c r="N400" s="18"/>
      <c r="O400" s="12"/>
      <c r="P400" s="12"/>
      <c r="Q400" s="12"/>
      <c r="R400" s="36"/>
      <c r="S400" s="36"/>
      <c r="T400" s="12"/>
      <c r="U400" s="12"/>
      <c r="V400" s="12"/>
      <c r="W400" s="12"/>
      <c r="X400" s="12"/>
    </row>
    <row r="401" customFormat="false" ht="15.75" hidden="false" customHeight="false" outlineLevel="0" collapsed="false">
      <c r="A401" s="12"/>
      <c r="B401" s="34"/>
      <c r="C401" s="12"/>
      <c r="D401" s="12"/>
      <c r="E401" s="12"/>
      <c r="F401" s="12"/>
      <c r="G401" s="18"/>
      <c r="H401" s="35"/>
      <c r="I401" s="12"/>
      <c r="M401" s="12"/>
      <c r="N401" s="18"/>
      <c r="O401" s="12"/>
      <c r="P401" s="12"/>
      <c r="Q401" s="12"/>
      <c r="R401" s="36"/>
      <c r="S401" s="36"/>
      <c r="T401" s="12"/>
      <c r="U401" s="12"/>
      <c r="V401" s="12"/>
      <c r="W401" s="12"/>
      <c r="X401" s="12"/>
    </row>
    <row r="402" customFormat="false" ht="15.75" hidden="false" customHeight="false" outlineLevel="0" collapsed="false">
      <c r="A402" s="12"/>
      <c r="B402" s="34"/>
      <c r="C402" s="12"/>
      <c r="D402" s="12"/>
      <c r="E402" s="12"/>
      <c r="F402" s="12"/>
      <c r="G402" s="18"/>
      <c r="H402" s="35"/>
      <c r="I402" s="12"/>
      <c r="M402" s="12"/>
      <c r="N402" s="18"/>
      <c r="O402" s="12"/>
      <c r="P402" s="12"/>
      <c r="Q402" s="12"/>
      <c r="R402" s="36"/>
      <c r="S402" s="36"/>
      <c r="T402" s="12"/>
      <c r="U402" s="12"/>
      <c r="V402" s="12"/>
      <c r="W402" s="12"/>
      <c r="X402" s="12"/>
    </row>
    <row r="403" customFormat="false" ht="15.75" hidden="false" customHeight="false" outlineLevel="0" collapsed="false">
      <c r="A403" s="12"/>
      <c r="B403" s="34"/>
      <c r="C403" s="12"/>
      <c r="D403" s="12"/>
      <c r="E403" s="12"/>
      <c r="F403" s="12"/>
      <c r="G403" s="18"/>
      <c r="H403" s="35"/>
      <c r="I403" s="12"/>
      <c r="M403" s="12"/>
      <c r="N403" s="18"/>
      <c r="O403" s="12"/>
      <c r="P403" s="12"/>
      <c r="Q403" s="12"/>
      <c r="R403" s="36"/>
      <c r="S403" s="36"/>
      <c r="T403" s="12"/>
      <c r="U403" s="12"/>
      <c r="V403" s="12"/>
      <c r="W403" s="12"/>
      <c r="X403" s="12"/>
    </row>
    <row r="404" customFormat="false" ht="15.75" hidden="false" customHeight="false" outlineLevel="0" collapsed="false">
      <c r="A404" s="12"/>
      <c r="B404" s="34"/>
      <c r="C404" s="12"/>
      <c r="D404" s="12"/>
      <c r="E404" s="12"/>
      <c r="F404" s="12"/>
      <c r="G404" s="18"/>
      <c r="H404" s="35"/>
      <c r="I404" s="12"/>
      <c r="M404" s="12"/>
      <c r="N404" s="18"/>
      <c r="O404" s="12"/>
      <c r="P404" s="12"/>
      <c r="Q404" s="12"/>
      <c r="R404" s="36"/>
      <c r="S404" s="36"/>
      <c r="T404" s="12"/>
      <c r="U404" s="12"/>
      <c r="V404" s="12"/>
      <c r="W404" s="12"/>
      <c r="X404" s="12"/>
    </row>
    <row r="405" customFormat="false" ht="15.75" hidden="false" customHeight="false" outlineLevel="0" collapsed="false">
      <c r="A405" s="12"/>
      <c r="B405" s="34"/>
      <c r="C405" s="12"/>
      <c r="D405" s="12"/>
      <c r="E405" s="12"/>
      <c r="F405" s="12"/>
      <c r="G405" s="18"/>
      <c r="H405" s="35"/>
      <c r="I405" s="12"/>
      <c r="M405" s="12"/>
      <c r="N405" s="18"/>
      <c r="O405" s="12"/>
      <c r="P405" s="12"/>
      <c r="Q405" s="12"/>
      <c r="R405" s="36"/>
      <c r="S405" s="36"/>
      <c r="T405" s="12"/>
      <c r="U405" s="12"/>
      <c r="V405" s="12"/>
      <c r="W405" s="12"/>
      <c r="X405" s="12"/>
    </row>
    <row r="406" customFormat="false" ht="15.75" hidden="false" customHeight="false" outlineLevel="0" collapsed="false">
      <c r="A406" s="12"/>
      <c r="B406" s="34"/>
      <c r="C406" s="12"/>
      <c r="D406" s="12"/>
      <c r="E406" s="12"/>
      <c r="F406" s="12"/>
      <c r="G406" s="18"/>
      <c r="H406" s="35"/>
      <c r="I406" s="12"/>
      <c r="M406" s="12"/>
      <c r="N406" s="18"/>
      <c r="O406" s="12"/>
      <c r="P406" s="12"/>
      <c r="Q406" s="12"/>
      <c r="R406" s="36"/>
      <c r="S406" s="36"/>
      <c r="T406" s="12"/>
      <c r="U406" s="12"/>
      <c r="V406" s="12"/>
      <c r="W406" s="12"/>
      <c r="X406" s="12"/>
    </row>
    <row r="407" customFormat="false" ht="15.75" hidden="false" customHeight="false" outlineLevel="0" collapsed="false">
      <c r="A407" s="12"/>
      <c r="B407" s="34"/>
      <c r="C407" s="12"/>
      <c r="D407" s="12"/>
      <c r="E407" s="12"/>
      <c r="F407" s="12"/>
      <c r="G407" s="18"/>
      <c r="H407" s="35"/>
      <c r="I407" s="12"/>
      <c r="M407" s="12"/>
      <c r="N407" s="18"/>
      <c r="O407" s="12"/>
      <c r="P407" s="12"/>
      <c r="Q407" s="12"/>
      <c r="R407" s="36"/>
      <c r="S407" s="36"/>
      <c r="T407" s="12"/>
      <c r="U407" s="12"/>
      <c r="V407" s="12"/>
      <c r="W407" s="12"/>
      <c r="X407" s="12"/>
    </row>
    <row r="408" customFormat="false" ht="15.75" hidden="false" customHeight="false" outlineLevel="0" collapsed="false">
      <c r="A408" s="12"/>
      <c r="B408" s="34"/>
      <c r="C408" s="12"/>
      <c r="D408" s="12"/>
      <c r="E408" s="12"/>
      <c r="F408" s="12"/>
      <c r="G408" s="18"/>
      <c r="H408" s="35"/>
      <c r="I408" s="12"/>
      <c r="M408" s="12"/>
      <c r="N408" s="18"/>
      <c r="O408" s="12"/>
      <c r="P408" s="12"/>
      <c r="Q408" s="12"/>
      <c r="R408" s="36"/>
      <c r="S408" s="36"/>
      <c r="T408" s="12"/>
      <c r="U408" s="12"/>
      <c r="V408" s="12"/>
      <c r="W408" s="12"/>
      <c r="X408" s="12"/>
    </row>
    <row r="409" customFormat="false" ht="15.75" hidden="false" customHeight="false" outlineLevel="0" collapsed="false">
      <c r="A409" s="12"/>
      <c r="B409" s="34"/>
      <c r="C409" s="12"/>
      <c r="D409" s="12"/>
      <c r="E409" s="12"/>
      <c r="F409" s="12"/>
      <c r="G409" s="18"/>
      <c r="H409" s="35"/>
      <c r="I409" s="12"/>
      <c r="M409" s="12"/>
      <c r="N409" s="18"/>
      <c r="O409" s="12"/>
      <c r="P409" s="12"/>
      <c r="Q409" s="12"/>
      <c r="R409" s="36"/>
      <c r="S409" s="36"/>
      <c r="T409" s="12"/>
      <c r="U409" s="12"/>
      <c r="V409" s="12"/>
      <c r="W409" s="12"/>
      <c r="X409" s="12"/>
    </row>
    <row r="410" customFormat="false" ht="15.75" hidden="false" customHeight="false" outlineLevel="0" collapsed="false">
      <c r="A410" s="12"/>
      <c r="B410" s="34"/>
      <c r="C410" s="12"/>
      <c r="D410" s="12"/>
      <c r="E410" s="12"/>
      <c r="F410" s="12"/>
      <c r="G410" s="18"/>
      <c r="H410" s="35"/>
      <c r="I410" s="12"/>
      <c r="M410" s="12"/>
      <c r="N410" s="18"/>
      <c r="O410" s="12"/>
      <c r="P410" s="12"/>
      <c r="Q410" s="12"/>
      <c r="R410" s="36"/>
      <c r="S410" s="36"/>
      <c r="T410" s="12"/>
      <c r="U410" s="12"/>
      <c r="V410" s="12"/>
      <c r="W410" s="12"/>
      <c r="X410" s="12"/>
    </row>
    <row r="411" customFormat="false" ht="15.75" hidden="false" customHeight="false" outlineLevel="0" collapsed="false">
      <c r="A411" s="12"/>
      <c r="B411" s="34"/>
      <c r="C411" s="12"/>
      <c r="D411" s="12"/>
      <c r="E411" s="12"/>
      <c r="F411" s="12"/>
      <c r="G411" s="18"/>
      <c r="H411" s="35"/>
      <c r="I411" s="12"/>
      <c r="M411" s="12"/>
      <c r="N411" s="18"/>
      <c r="O411" s="12"/>
      <c r="P411" s="12"/>
      <c r="Q411" s="12"/>
      <c r="R411" s="36"/>
      <c r="S411" s="36"/>
      <c r="T411" s="12"/>
      <c r="U411" s="12"/>
      <c r="V411" s="12"/>
      <c r="W411" s="12"/>
      <c r="X411" s="12"/>
    </row>
    <row r="412" customFormat="false" ht="15.75" hidden="false" customHeight="false" outlineLevel="0" collapsed="false">
      <c r="A412" s="12"/>
      <c r="B412" s="34"/>
      <c r="C412" s="12"/>
      <c r="D412" s="12"/>
      <c r="E412" s="12"/>
      <c r="F412" s="12"/>
      <c r="G412" s="18"/>
      <c r="H412" s="35"/>
      <c r="I412" s="12"/>
      <c r="M412" s="12"/>
      <c r="N412" s="18"/>
      <c r="O412" s="12"/>
      <c r="P412" s="12"/>
      <c r="Q412" s="12"/>
      <c r="R412" s="36"/>
      <c r="S412" s="36"/>
      <c r="T412" s="12"/>
      <c r="U412" s="12"/>
      <c r="V412" s="12"/>
      <c r="W412" s="12"/>
      <c r="X412" s="12"/>
    </row>
    <row r="413" customFormat="false" ht="15.75" hidden="false" customHeight="false" outlineLevel="0" collapsed="false">
      <c r="A413" s="12"/>
      <c r="B413" s="34"/>
      <c r="C413" s="12"/>
      <c r="D413" s="12"/>
      <c r="E413" s="12"/>
      <c r="F413" s="12"/>
      <c r="G413" s="18"/>
      <c r="H413" s="35"/>
      <c r="I413" s="12"/>
      <c r="M413" s="12"/>
      <c r="N413" s="18"/>
      <c r="O413" s="12"/>
      <c r="P413" s="12"/>
      <c r="Q413" s="12"/>
      <c r="R413" s="36"/>
      <c r="S413" s="36"/>
      <c r="T413" s="12"/>
      <c r="U413" s="12"/>
      <c r="V413" s="12"/>
      <c r="W413" s="12"/>
      <c r="X413" s="12"/>
    </row>
    <row r="414" customFormat="false" ht="15.75" hidden="false" customHeight="false" outlineLevel="0" collapsed="false">
      <c r="A414" s="12"/>
      <c r="B414" s="34"/>
      <c r="C414" s="12"/>
      <c r="D414" s="12"/>
      <c r="E414" s="12"/>
      <c r="F414" s="12"/>
      <c r="G414" s="18"/>
      <c r="H414" s="35"/>
      <c r="I414" s="12"/>
      <c r="M414" s="12"/>
      <c r="N414" s="18"/>
      <c r="O414" s="12"/>
      <c r="P414" s="12"/>
      <c r="Q414" s="12"/>
      <c r="R414" s="36"/>
      <c r="S414" s="36"/>
      <c r="T414" s="12"/>
      <c r="U414" s="12"/>
      <c r="V414" s="12"/>
      <c r="W414" s="12"/>
      <c r="X414" s="12"/>
    </row>
    <row r="415" customFormat="false" ht="15.75" hidden="false" customHeight="false" outlineLevel="0" collapsed="false">
      <c r="A415" s="12"/>
      <c r="B415" s="34"/>
      <c r="C415" s="12"/>
      <c r="D415" s="12"/>
      <c r="E415" s="12"/>
      <c r="F415" s="12"/>
      <c r="G415" s="18"/>
      <c r="H415" s="35"/>
      <c r="I415" s="12"/>
      <c r="M415" s="12"/>
      <c r="N415" s="18"/>
      <c r="O415" s="12"/>
      <c r="P415" s="12"/>
      <c r="Q415" s="12"/>
      <c r="R415" s="36"/>
      <c r="S415" s="36"/>
      <c r="T415" s="12"/>
      <c r="U415" s="12"/>
      <c r="V415" s="12"/>
      <c r="W415" s="12"/>
      <c r="X415" s="12"/>
    </row>
    <row r="416" customFormat="false" ht="15.75" hidden="false" customHeight="false" outlineLevel="0" collapsed="false">
      <c r="A416" s="12"/>
      <c r="B416" s="34"/>
      <c r="C416" s="12"/>
      <c r="D416" s="12"/>
      <c r="E416" s="12"/>
      <c r="F416" s="12"/>
      <c r="G416" s="18"/>
      <c r="H416" s="35"/>
      <c r="I416" s="12"/>
      <c r="M416" s="12"/>
      <c r="N416" s="18"/>
      <c r="O416" s="12"/>
      <c r="P416" s="12"/>
      <c r="Q416" s="12"/>
      <c r="R416" s="36"/>
      <c r="S416" s="36"/>
      <c r="T416" s="12"/>
      <c r="U416" s="12"/>
      <c r="V416" s="12"/>
      <c r="W416" s="12"/>
      <c r="X416" s="12"/>
    </row>
    <row r="417" customFormat="false" ht="15.75" hidden="false" customHeight="false" outlineLevel="0" collapsed="false">
      <c r="A417" s="12"/>
      <c r="B417" s="34"/>
      <c r="C417" s="12"/>
      <c r="D417" s="12"/>
      <c r="E417" s="12"/>
      <c r="F417" s="12"/>
      <c r="G417" s="18"/>
      <c r="H417" s="35"/>
      <c r="I417" s="12"/>
      <c r="M417" s="12"/>
      <c r="N417" s="18"/>
      <c r="O417" s="12"/>
      <c r="P417" s="12"/>
      <c r="Q417" s="12"/>
      <c r="R417" s="36"/>
      <c r="S417" s="36"/>
      <c r="T417" s="12"/>
      <c r="U417" s="12"/>
      <c r="V417" s="12"/>
      <c r="W417" s="12"/>
      <c r="X417" s="12"/>
    </row>
    <row r="418" customFormat="false" ht="15.75" hidden="false" customHeight="false" outlineLevel="0" collapsed="false">
      <c r="A418" s="12"/>
      <c r="B418" s="34"/>
      <c r="C418" s="12"/>
      <c r="D418" s="12"/>
      <c r="E418" s="12"/>
      <c r="F418" s="12"/>
      <c r="G418" s="18"/>
      <c r="H418" s="35"/>
      <c r="I418" s="12"/>
      <c r="M418" s="12"/>
      <c r="N418" s="18"/>
      <c r="O418" s="12"/>
      <c r="P418" s="12"/>
      <c r="Q418" s="12"/>
      <c r="R418" s="36"/>
      <c r="S418" s="36"/>
      <c r="T418" s="12"/>
      <c r="U418" s="12"/>
      <c r="V418" s="12"/>
      <c r="W418" s="12"/>
      <c r="X418" s="12"/>
    </row>
    <row r="419" customFormat="false" ht="15.75" hidden="false" customHeight="false" outlineLevel="0" collapsed="false">
      <c r="A419" s="12"/>
      <c r="B419" s="34"/>
      <c r="C419" s="12"/>
      <c r="D419" s="12"/>
      <c r="E419" s="12"/>
      <c r="F419" s="12"/>
      <c r="G419" s="18"/>
      <c r="H419" s="35"/>
      <c r="I419" s="12"/>
      <c r="M419" s="12"/>
      <c r="N419" s="18"/>
      <c r="O419" s="12"/>
      <c r="P419" s="12"/>
      <c r="Q419" s="12"/>
      <c r="R419" s="36"/>
      <c r="S419" s="36"/>
      <c r="T419" s="12"/>
      <c r="U419" s="12"/>
      <c r="V419" s="12"/>
      <c r="W419" s="12"/>
      <c r="X419" s="12"/>
    </row>
    <row r="420" customFormat="false" ht="15.75" hidden="false" customHeight="false" outlineLevel="0" collapsed="false">
      <c r="A420" s="12"/>
      <c r="B420" s="34"/>
      <c r="C420" s="12"/>
      <c r="D420" s="12"/>
      <c r="E420" s="12"/>
      <c r="F420" s="12"/>
      <c r="G420" s="18"/>
      <c r="H420" s="35"/>
      <c r="I420" s="12"/>
      <c r="M420" s="12"/>
      <c r="N420" s="18"/>
      <c r="O420" s="12"/>
      <c r="P420" s="12"/>
      <c r="Q420" s="12"/>
      <c r="R420" s="36"/>
      <c r="S420" s="36"/>
      <c r="T420" s="12"/>
      <c r="U420" s="12"/>
      <c r="V420" s="12"/>
      <c r="W420" s="12"/>
      <c r="X420" s="12"/>
    </row>
    <row r="421" customFormat="false" ht="15.75" hidden="false" customHeight="false" outlineLevel="0" collapsed="false">
      <c r="A421" s="12"/>
      <c r="B421" s="34"/>
      <c r="C421" s="12"/>
      <c r="D421" s="12"/>
      <c r="E421" s="12"/>
      <c r="F421" s="12"/>
      <c r="G421" s="18"/>
      <c r="H421" s="35"/>
      <c r="I421" s="12"/>
      <c r="M421" s="12"/>
      <c r="N421" s="18"/>
      <c r="O421" s="12"/>
      <c r="P421" s="12"/>
      <c r="Q421" s="12"/>
      <c r="R421" s="36"/>
      <c r="S421" s="36"/>
      <c r="T421" s="12"/>
      <c r="U421" s="12"/>
      <c r="V421" s="12"/>
      <c r="W421" s="12"/>
      <c r="X421" s="12"/>
    </row>
    <row r="422" customFormat="false" ht="15.75" hidden="false" customHeight="false" outlineLevel="0" collapsed="false">
      <c r="A422" s="12"/>
      <c r="B422" s="34"/>
      <c r="C422" s="12"/>
      <c r="D422" s="12"/>
      <c r="E422" s="12"/>
      <c r="F422" s="12"/>
      <c r="G422" s="18"/>
      <c r="H422" s="35"/>
      <c r="I422" s="12"/>
      <c r="M422" s="12"/>
      <c r="N422" s="18"/>
      <c r="O422" s="12"/>
      <c r="P422" s="12"/>
      <c r="Q422" s="12"/>
      <c r="R422" s="36"/>
      <c r="S422" s="36"/>
      <c r="T422" s="12"/>
      <c r="U422" s="12"/>
      <c r="V422" s="12"/>
      <c r="W422" s="12"/>
      <c r="X422" s="12"/>
    </row>
    <row r="423" customFormat="false" ht="15.75" hidden="false" customHeight="false" outlineLevel="0" collapsed="false">
      <c r="A423" s="12"/>
      <c r="B423" s="34"/>
      <c r="C423" s="12"/>
      <c r="D423" s="12"/>
      <c r="E423" s="12"/>
      <c r="F423" s="12"/>
      <c r="G423" s="18"/>
      <c r="H423" s="35"/>
      <c r="I423" s="12"/>
      <c r="M423" s="12"/>
      <c r="N423" s="18"/>
      <c r="O423" s="12"/>
      <c r="P423" s="12"/>
      <c r="Q423" s="12"/>
      <c r="R423" s="36"/>
      <c r="S423" s="36"/>
      <c r="T423" s="12"/>
      <c r="U423" s="12"/>
      <c r="V423" s="12"/>
      <c r="W423" s="12"/>
      <c r="X423" s="12"/>
    </row>
    <row r="424" customFormat="false" ht="15.75" hidden="false" customHeight="false" outlineLevel="0" collapsed="false">
      <c r="A424" s="12"/>
      <c r="B424" s="34"/>
      <c r="C424" s="12"/>
      <c r="D424" s="12"/>
      <c r="E424" s="12"/>
      <c r="F424" s="12"/>
      <c r="G424" s="18"/>
      <c r="H424" s="35"/>
      <c r="I424" s="12"/>
      <c r="M424" s="12"/>
      <c r="N424" s="18"/>
      <c r="O424" s="12"/>
      <c r="P424" s="12"/>
      <c r="Q424" s="12"/>
      <c r="R424" s="36"/>
      <c r="S424" s="36"/>
      <c r="T424" s="12"/>
      <c r="U424" s="12"/>
      <c r="V424" s="12"/>
      <c r="W424" s="12"/>
      <c r="X424" s="12"/>
    </row>
    <row r="425" customFormat="false" ht="15.75" hidden="false" customHeight="false" outlineLevel="0" collapsed="false">
      <c r="A425" s="12"/>
      <c r="B425" s="34"/>
      <c r="C425" s="12"/>
      <c r="D425" s="12"/>
      <c r="E425" s="12"/>
      <c r="F425" s="12"/>
      <c r="G425" s="18"/>
      <c r="H425" s="35"/>
      <c r="I425" s="12"/>
      <c r="M425" s="12"/>
      <c r="N425" s="18"/>
      <c r="O425" s="12"/>
      <c r="P425" s="12"/>
      <c r="Q425" s="12"/>
      <c r="R425" s="36"/>
      <c r="S425" s="36"/>
      <c r="T425" s="12"/>
      <c r="U425" s="12"/>
      <c r="V425" s="12"/>
      <c r="W425" s="12"/>
      <c r="X425" s="12"/>
    </row>
    <row r="426" customFormat="false" ht="15.75" hidden="false" customHeight="false" outlineLevel="0" collapsed="false">
      <c r="A426" s="12"/>
      <c r="B426" s="34"/>
      <c r="C426" s="12"/>
      <c r="D426" s="12"/>
      <c r="E426" s="12"/>
      <c r="F426" s="12"/>
      <c r="G426" s="18"/>
      <c r="H426" s="35"/>
      <c r="I426" s="12"/>
      <c r="M426" s="12"/>
      <c r="N426" s="18"/>
      <c r="O426" s="12"/>
      <c r="P426" s="12"/>
      <c r="Q426" s="12"/>
      <c r="R426" s="36"/>
      <c r="S426" s="36"/>
      <c r="T426" s="12"/>
      <c r="U426" s="12"/>
      <c r="V426" s="12"/>
      <c r="W426" s="12"/>
      <c r="X426" s="12"/>
    </row>
    <row r="427" customFormat="false" ht="15.75" hidden="false" customHeight="false" outlineLevel="0" collapsed="false">
      <c r="A427" s="12"/>
      <c r="B427" s="34"/>
      <c r="C427" s="12"/>
      <c r="D427" s="12"/>
      <c r="E427" s="12"/>
      <c r="F427" s="12"/>
      <c r="G427" s="18"/>
      <c r="H427" s="35"/>
      <c r="I427" s="12"/>
      <c r="M427" s="12"/>
      <c r="N427" s="18"/>
      <c r="O427" s="12"/>
      <c r="P427" s="12"/>
      <c r="Q427" s="12"/>
      <c r="R427" s="36"/>
      <c r="S427" s="36"/>
      <c r="T427" s="12"/>
      <c r="U427" s="12"/>
      <c r="V427" s="12"/>
      <c r="W427" s="12"/>
      <c r="X427" s="12"/>
    </row>
    <row r="428" customFormat="false" ht="15.75" hidden="false" customHeight="false" outlineLevel="0" collapsed="false">
      <c r="A428" s="12"/>
      <c r="B428" s="34"/>
      <c r="C428" s="12"/>
      <c r="D428" s="12"/>
      <c r="E428" s="12"/>
      <c r="F428" s="12"/>
      <c r="G428" s="18"/>
      <c r="H428" s="35"/>
      <c r="I428" s="12"/>
      <c r="M428" s="12"/>
      <c r="N428" s="18"/>
      <c r="O428" s="12"/>
      <c r="P428" s="12"/>
      <c r="Q428" s="12"/>
      <c r="R428" s="36"/>
      <c r="S428" s="36"/>
      <c r="T428" s="12"/>
      <c r="U428" s="12"/>
      <c r="V428" s="12"/>
      <c r="W428" s="12"/>
      <c r="X428" s="12"/>
    </row>
    <row r="429" customFormat="false" ht="15.75" hidden="false" customHeight="false" outlineLevel="0" collapsed="false">
      <c r="A429" s="12"/>
      <c r="B429" s="34"/>
      <c r="C429" s="12"/>
      <c r="D429" s="12"/>
      <c r="E429" s="12"/>
      <c r="F429" s="12"/>
      <c r="G429" s="18"/>
      <c r="H429" s="35"/>
      <c r="I429" s="12"/>
      <c r="M429" s="12"/>
      <c r="N429" s="18"/>
      <c r="O429" s="12"/>
      <c r="P429" s="12"/>
      <c r="Q429" s="12"/>
      <c r="R429" s="36"/>
      <c r="S429" s="36"/>
      <c r="T429" s="12"/>
      <c r="U429" s="12"/>
      <c r="V429" s="12"/>
      <c r="W429" s="12"/>
      <c r="X429" s="12"/>
    </row>
    <row r="430" customFormat="false" ht="15.75" hidden="false" customHeight="false" outlineLevel="0" collapsed="false">
      <c r="A430" s="12"/>
      <c r="B430" s="34"/>
      <c r="C430" s="12"/>
      <c r="D430" s="12"/>
      <c r="E430" s="12"/>
      <c r="F430" s="12"/>
      <c r="G430" s="18"/>
      <c r="H430" s="35"/>
      <c r="I430" s="12"/>
      <c r="M430" s="12"/>
      <c r="N430" s="18"/>
      <c r="O430" s="12"/>
      <c r="P430" s="12"/>
      <c r="Q430" s="12"/>
      <c r="R430" s="36"/>
      <c r="S430" s="36"/>
      <c r="T430" s="12"/>
      <c r="U430" s="12"/>
      <c r="V430" s="12"/>
      <c r="W430" s="12"/>
      <c r="X430" s="12"/>
    </row>
    <row r="431" customFormat="false" ht="15.75" hidden="false" customHeight="false" outlineLevel="0" collapsed="false">
      <c r="A431" s="12"/>
      <c r="B431" s="34"/>
      <c r="C431" s="12"/>
      <c r="D431" s="12"/>
      <c r="E431" s="12"/>
      <c r="F431" s="12"/>
      <c r="G431" s="18"/>
      <c r="H431" s="35"/>
      <c r="I431" s="12"/>
      <c r="M431" s="12"/>
      <c r="N431" s="18"/>
      <c r="O431" s="12"/>
      <c r="P431" s="12"/>
      <c r="Q431" s="12"/>
      <c r="R431" s="36"/>
      <c r="S431" s="36"/>
      <c r="T431" s="12"/>
      <c r="U431" s="12"/>
      <c r="V431" s="12"/>
      <c r="W431" s="12"/>
      <c r="X431" s="12"/>
    </row>
    <row r="432" customFormat="false" ht="15.75" hidden="false" customHeight="false" outlineLevel="0" collapsed="false">
      <c r="A432" s="12"/>
      <c r="B432" s="34"/>
      <c r="C432" s="12"/>
      <c r="D432" s="12"/>
      <c r="E432" s="12"/>
      <c r="F432" s="12"/>
      <c r="G432" s="18"/>
      <c r="H432" s="35"/>
      <c r="I432" s="12"/>
      <c r="M432" s="12"/>
      <c r="N432" s="18"/>
      <c r="O432" s="12"/>
      <c r="P432" s="12"/>
      <c r="Q432" s="12"/>
      <c r="R432" s="36"/>
      <c r="S432" s="36"/>
      <c r="T432" s="12"/>
      <c r="U432" s="12"/>
      <c r="V432" s="12"/>
      <c r="W432" s="12"/>
      <c r="X432" s="12"/>
    </row>
    <row r="433" customFormat="false" ht="15.75" hidden="false" customHeight="false" outlineLevel="0" collapsed="false">
      <c r="A433" s="12"/>
      <c r="B433" s="34"/>
      <c r="C433" s="12"/>
      <c r="D433" s="12"/>
      <c r="E433" s="12"/>
      <c r="F433" s="12"/>
      <c r="G433" s="18"/>
      <c r="H433" s="35"/>
      <c r="I433" s="12"/>
      <c r="M433" s="12"/>
      <c r="N433" s="18"/>
      <c r="O433" s="12"/>
      <c r="P433" s="12"/>
      <c r="Q433" s="12"/>
      <c r="R433" s="36"/>
      <c r="S433" s="36"/>
      <c r="T433" s="12"/>
      <c r="U433" s="12"/>
      <c r="V433" s="12"/>
      <c r="W433" s="12"/>
      <c r="X433" s="12"/>
    </row>
    <row r="434" customFormat="false" ht="15.75" hidden="false" customHeight="false" outlineLevel="0" collapsed="false">
      <c r="A434" s="12"/>
      <c r="B434" s="34"/>
      <c r="C434" s="12"/>
      <c r="D434" s="12"/>
      <c r="E434" s="12"/>
      <c r="F434" s="12"/>
      <c r="G434" s="18"/>
      <c r="H434" s="35"/>
      <c r="I434" s="12"/>
      <c r="M434" s="12"/>
      <c r="N434" s="18"/>
      <c r="O434" s="12"/>
      <c r="P434" s="12"/>
      <c r="Q434" s="12"/>
      <c r="R434" s="36"/>
      <c r="S434" s="36"/>
      <c r="T434" s="12"/>
      <c r="U434" s="12"/>
      <c r="V434" s="12"/>
      <c r="W434" s="12"/>
      <c r="X434" s="12"/>
    </row>
    <row r="435" customFormat="false" ht="15.75" hidden="false" customHeight="false" outlineLevel="0" collapsed="false">
      <c r="A435" s="12"/>
      <c r="B435" s="34"/>
      <c r="C435" s="12"/>
      <c r="D435" s="12"/>
      <c r="E435" s="12"/>
      <c r="F435" s="12"/>
      <c r="G435" s="18"/>
      <c r="H435" s="35"/>
      <c r="I435" s="12"/>
      <c r="M435" s="12"/>
      <c r="N435" s="18"/>
      <c r="O435" s="12"/>
      <c r="P435" s="12"/>
      <c r="Q435" s="12"/>
      <c r="R435" s="36"/>
      <c r="S435" s="36"/>
      <c r="T435" s="12"/>
      <c r="U435" s="12"/>
      <c r="V435" s="12"/>
      <c r="W435" s="12"/>
      <c r="X435" s="12"/>
    </row>
    <row r="436" customFormat="false" ht="15.75" hidden="false" customHeight="false" outlineLevel="0" collapsed="false">
      <c r="A436" s="12"/>
      <c r="B436" s="34"/>
      <c r="C436" s="12"/>
      <c r="D436" s="12"/>
      <c r="E436" s="12"/>
      <c r="F436" s="12"/>
      <c r="G436" s="18"/>
      <c r="H436" s="35"/>
      <c r="I436" s="12"/>
      <c r="M436" s="12"/>
      <c r="N436" s="18"/>
      <c r="O436" s="12"/>
      <c r="P436" s="12"/>
      <c r="Q436" s="12"/>
      <c r="R436" s="36"/>
      <c r="S436" s="36"/>
      <c r="T436" s="12"/>
      <c r="U436" s="12"/>
      <c r="V436" s="12"/>
      <c r="W436" s="12"/>
      <c r="X436" s="12"/>
    </row>
    <row r="437" customFormat="false" ht="15.75" hidden="false" customHeight="false" outlineLevel="0" collapsed="false">
      <c r="A437" s="12"/>
      <c r="B437" s="34"/>
      <c r="C437" s="12"/>
      <c r="D437" s="12"/>
      <c r="E437" s="12"/>
      <c r="F437" s="12"/>
      <c r="G437" s="18"/>
      <c r="H437" s="35"/>
      <c r="I437" s="12"/>
      <c r="M437" s="12"/>
      <c r="N437" s="18"/>
      <c r="O437" s="12"/>
      <c r="P437" s="12"/>
      <c r="Q437" s="12"/>
      <c r="R437" s="36"/>
      <c r="S437" s="36"/>
      <c r="T437" s="12"/>
      <c r="U437" s="12"/>
      <c r="V437" s="12"/>
      <c r="W437" s="12"/>
      <c r="X437" s="12"/>
    </row>
    <row r="438" customFormat="false" ht="15.75" hidden="false" customHeight="false" outlineLevel="0" collapsed="false">
      <c r="A438" s="12"/>
      <c r="B438" s="34"/>
      <c r="C438" s="12"/>
      <c r="D438" s="12"/>
      <c r="E438" s="12"/>
      <c r="F438" s="12"/>
      <c r="G438" s="18"/>
      <c r="H438" s="35"/>
      <c r="I438" s="12"/>
      <c r="M438" s="12"/>
      <c r="N438" s="18"/>
      <c r="O438" s="12"/>
      <c r="P438" s="12"/>
      <c r="Q438" s="12"/>
      <c r="R438" s="36"/>
      <c r="S438" s="36"/>
      <c r="T438" s="12"/>
      <c r="U438" s="12"/>
      <c r="V438" s="12"/>
      <c r="W438" s="12"/>
      <c r="X438" s="12"/>
    </row>
    <row r="439" customFormat="false" ht="15.75" hidden="false" customHeight="false" outlineLevel="0" collapsed="false">
      <c r="A439" s="12"/>
      <c r="B439" s="34"/>
      <c r="C439" s="12"/>
      <c r="D439" s="12"/>
      <c r="E439" s="12"/>
      <c r="F439" s="12"/>
      <c r="G439" s="18"/>
      <c r="H439" s="35"/>
      <c r="I439" s="12"/>
      <c r="M439" s="12"/>
      <c r="N439" s="18"/>
      <c r="O439" s="12"/>
      <c r="P439" s="12"/>
      <c r="Q439" s="12"/>
      <c r="R439" s="36"/>
      <c r="S439" s="36"/>
      <c r="T439" s="12"/>
      <c r="U439" s="12"/>
      <c r="V439" s="12"/>
      <c r="W439" s="12"/>
      <c r="X439" s="12"/>
    </row>
    <row r="440" customFormat="false" ht="15.75" hidden="false" customHeight="false" outlineLevel="0" collapsed="false">
      <c r="A440" s="12"/>
      <c r="B440" s="34"/>
      <c r="C440" s="12"/>
      <c r="D440" s="12"/>
      <c r="E440" s="12"/>
      <c r="F440" s="12"/>
      <c r="G440" s="18"/>
      <c r="H440" s="35"/>
      <c r="I440" s="12"/>
      <c r="M440" s="12"/>
      <c r="N440" s="18"/>
      <c r="O440" s="12"/>
      <c r="P440" s="12"/>
      <c r="Q440" s="12"/>
      <c r="R440" s="36"/>
      <c r="S440" s="36"/>
      <c r="T440" s="12"/>
      <c r="U440" s="12"/>
      <c r="V440" s="12"/>
      <c r="W440" s="12"/>
      <c r="X440" s="12"/>
    </row>
    <row r="441" customFormat="false" ht="15.75" hidden="false" customHeight="false" outlineLevel="0" collapsed="false">
      <c r="A441" s="12"/>
      <c r="B441" s="34"/>
      <c r="C441" s="12"/>
      <c r="D441" s="12"/>
      <c r="E441" s="12"/>
      <c r="F441" s="12"/>
      <c r="G441" s="18"/>
      <c r="H441" s="35"/>
      <c r="I441" s="12"/>
      <c r="M441" s="12"/>
      <c r="N441" s="18"/>
      <c r="O441" s="12"/>
      <c r="P441" s="12"/>
      <c r="Q441" s="12"/>
      <c r="R441" s="36"/>
      <c r="S441" s="36"/>
      <c r="T441" s="12"/>
      <c r="U441" s="12"/>
      <c r="V441" s="12"/>
      <c r="W441" s="12"/>
      <c r="X441" s="12"/>
    </row>
    <row r="442" customFormat="false" ht="15.75" hidden="false" customHeight="false" outlineLevel="0" collapsed="false">
      <c r="A442" s="12"/>
      <c r="B442" s="34"/>
      <c r="C442" s="12"/>
      <c r="D442" s="12"/>
      <c r="E442" s="12"/>
      <c r="F442" s="12"/>
      <c r="G442" s="18"/>
      <c r="H442" s="35"/>
      <c r="I442" s="12"/>
      <c r="M442" s="12"/>
      <c r="N442" s="18"/>
      <c r="O442" s="12"/>
      <c r="P442" s="12"/>
      <c r="Q442" s="12"/>
      <c r="R442" s="36"/>
      <c r="S442" s="36"/>
      <c r="T442" s="12"/>
      <c r="U442" s="12"/>
      <c r="V442" s="12"/>
      <c r="W442" s="12"/>
      <c r="X442" s="12"/>
    </row>
    <row r="443" customFormat="false" ht="15.75" hidden="false" customHeight="false" outlineLevel="0" collapsed="false">
      <c r="A443" s="12"/>
      <c r="B443" s="34"/>
      <c r="C443" s="12"/>
      <c r="D443" s="12"/>
      <c r="E443" s="12"/>
      <c r="F443" s="12"/>
      <c r="G443" s="18"/>
      <c r="H443" s="35"/>
      <c r="I443" s="12"/>
      <c r="M443" s="12"/>
      <c r="N443" s="18"/>
      <c r="O443" s="12"/>
      <c r="P443" s="12"/>
      <c r="Q443" s="12"/>
      <c r="R443" s="36"/>
      <c r="S443" s="36"/>
      <c r="T443" s="12"/>
      <c r="U443" s="12"/>
      <c r="V443" s="12"/>
      <c r="W443" s="12"/>
      <c r="X443" s="12"/>
    </row>
    <row r="444" customFormat="false" ht="15.75" hidden="false" customHeight="false" outlineLevel="0" collapsed="false">
      <c r="A444" s="12"/>
      <c r="B444" s="34"/>
      <c r="C444" s="12"/>
      <c r="D444" s="12"/>
      <c r="E444" s="12"/>
      <c r="F444" s="12"/>
      <c r="G444" s="18"/>
      <c r="H444" s="35"/>
      <c r="I444" s="12"/>
      <c r="M444" s="12"/>
      <c r="N444" s="18"/>
      <c r="O444" s="12"/>
      <c r="P444" s="12"/>
      <c r="Q444" s="12"/>
      <c r="R444" s="36"/>
      <c r="S444" s="36"/>
      <c r="T444" s="12"/>
      <c r="U444" s="12"/>
      <c r="V444" s="12"/>
      <c r="W444" s="12"/>
      <c r="X444" s="12"/>
    </row>
    <row r="445" customFormat="false" ht="15.75" hidden="false" customHeight="false" outlineLevel="0" collapsed="false">
      <c r="A445" s="12"/>
      <c r="B445" s="34"/>
      <c r="C445" s="12"/>
      <c r="D445" s="12"/>
      <c r="E445" s="12"/>
      <c r="F445" s="12"/>
      <c r="G445" s="18"/>
      <c r="H445" s="35"/>
      <c r="I445" s="12"/>
      <c r="M445" s="12"/>
      <c r="N445" s="18"/>
      <c r="O445" s="12"/>
      <c r="P445" s="12"/>
      <c r="Q445" s="12"/>
      <c r="R445" s="36"/>
      <c r="S445" s="36"/>
      <c r="T445" s="12"/>
      <c r="U445" s="12"/>
      <c r="V445" s="12"/>
      <c r="W445" s="12"/>
      <c r="X445" s="12"/>
    </row>
    <row r="446" customFormat="false" ht="15.75" hidden="false" customHeight="false" outlineLevel="0" collapsed="false">
      <c r="A446" s="12"/>
      <c r="B446" s="34"/>
      <c r="C446" s="12"/>
      <c r="D446" s="12"/>
      <c r="E446" s="12"/>
      <c r="F446" s="12"/>
      <c r="G446" s="18"/>
      <c r="H446" s="35"/>
      <c r="I446" s="12"/>
      <c r="M446" s="12"/>
      <c r="N446" s="18"/>
      <c r="O446" s="12"/>
      <c r="P446" s="12"/>
      <c r="Q446" s="12"/>
      <c r="R446" s="36"/>
      <c r="S446" s="36"/>
      <c r="T446" s="12"/>
      <c r="U446" s="12"/>
      <c r="V446" s="12"/>
      <c r="W446" s="12"/>
      <c r="X446" s="12"/>
    </row>
    <row r="447" customFormat="false" ht="15.75" hidden="false" customHeight="false" outlineLevel="0" collapsed="false">
      <c r="A447" s="12"/>
      <c r="B447" s="34"/>
      <c r="C447" s="12"/>
      <c r="D447" s="12"/>
      <c r="E447" s="12"/>
      <c r="F447" s="12"/>
      <c r="G447" s="18"/>
      <c r="H447" s="35"/>
      <c r="I447" s="12"/>
      <c r="M447" s="12"/>
      <c r="N447" s="18"/>
      <c r="O447" s="12"/>
      <c r="P447" s="12"/>
      <c r="Q447" s="12"/>
      <c r="R447" s="36"/>
      <c r="S447" s="36"/>
      <c r="T447" s="12"/>
      <c r="U447" s="12"/>
      <c r="V447" s="12"/>
      <c r="W447" s="12"/>
      <c r="X447" s="12"/>
    </row>
    <row r="448" customFormat="false" ht="15.75" hidden="false" customHeight="false" outlineLevel="0" collapsed="false">
      <c r="A448" s="12"/>
      <c r="B448" s="34"/>
      <c r="C448" s="12"/>
      <c r="D448" s="12"/>
      <c r="E448" s="12"/>
      <c r="F448" s="12"/>
      <c r="G448" s="18"/>
      <c r="H448" s="35"/>
      <c r="I448" s="12"/>
      <c r="M448" s="12"/>
      <c r="N448" s="18"/>
      <c r="O448" s="12"/>
      <c r="P448" s="12"/>
      <c r="Q448" s="12"/>
      <c r="R448" s="36"/>
      <c r="S448" s="36"/>
      <c r="T448" s="12"/>
      <c r="U448" s="12"/>
      <c r="V448" s="12"/>
      <c r="W448" s="12"/>
      <c r="X448" s="12"/>
    </row>
    <row r="449" customFormat="false" ht="15.75" hidden="false" customHeight="false" outlineLevel="0" collapsed="false">
      <c r="A449" s="12"/>
      <c r="B449" s="34"/>
      <c r="C449" s="12"/>
      <c r="D449" s="12"/>
      <c r="E449" s="12"/>
      <c r="F449" s="12"/>
      <c r="G449" s="18"/>
      <c r="H449" s="35"/>
      <c r="I449" s="12"/>
      <c r="M449" s="12"/>
      <c r="N449" s="18"/>
      <c r="O449" s="12"/>
      <c r="P449" s="12"/>
      <c r="Q449" s="12"/>
      <c r="R449" s="36"/>
      <c r="S449" s="36"/>
      <c r="T449" s="12"/>
      <c r="U449" s="12"/>
      <c r="V449" s="12"/>
      <c r="W449" s="12"/>
      <c r="X449" s="12"/>
    </row>
    <row r="450" customFormat="false" ht="15.75" hidden="false" customHeight="false" outlineLevel="0" collapsed="false">
      <c r="A450" s="12"/>
      <c r="B450" s="34"/>
      <c r="C450" s="12"/>
      <c r="D450" s="12"/>
      <c r="E450" s="12"/>
      <c r="F450" s="12"/>
      <c r="G450" s="18"/>
      <c r="H450" s="35"/>
      <c r="I450" s="12"/>
      <c r="M450" s="12"/>
      <c r="N450" s="18"/>
      <c r="O450" s="12"/>
      <c r="P450" s="12"/>
      <c r="Q450" s="12"/>
      <c r="R450" s="36"/>
      <c r="S450" s="36"/>
      <c r="T450" s="12"/>
      <c r="U450" s="12"/>
      <c r="V450" s="12"/>
      <c r="W450" s="12"/>
      <c r="X450" s="12"/>
    </row>
    <row r="451" customFormat="false" ht="15.75" hidden="false" customHeight="false" outlineLevel="0" collapsed="false">
      <c r="A451" s="12"/>
      <c r="B451" s="34"/>
      <c r="C451" s="12"/>
      <c r="D451" s="12"/>
      <c r="E451" s="12"/>
      <c r="F451" s="12"/>
      <c r="G451" s="18"/>
      <c r="H451" s="35"/>
      <c r="I451" s="12"/>
      <c r="M451" s="12"/>
      <c r="N451" s="18"/>
      <c r="O451" s="12"/>
      <c r="P451" s="12"/>
      <c r="Q451" s="12"/>
      <c r="R451" s="36"/>
      <c r="S451" s="36"/>
      <c r="T451" s="12"/>
      <c r="U451" s="12"/>
      <c r="V451" s="12"/>
      <c r="W451" s="12"/>
      <c r="X451" s="12"/>
    </row>
    <row r="452" customFormat="false" ht="15.75" hidden="false" customHeight="false" outlineLevel="0" collapsed="false">
      <c r="A452" s="12"/>
      <c r="B452" s="34"/>
      <c r="C452" s="12"/>
      <c r="D452" s="12"/>
      <c r="E452" s="12"/>
      <c r="F452" s="12"/>
      <c r="G452" s="18"/>
      <c r="H452" s="35"/>
      <c r="I452" s="12"/>
      <c r="M452" s="12"/>
      <c r="N452" s="18"/>
      <c r="O452" s="12"/>
      <c r="P452" s="12"/>
      <c r="Q452" s="12"/>
      <c r="R452" s="36"/>
      <c r="S452" s="36"/>
      <c r="T452" s="12"/>
      <c r="U452" s="12"/>
      <c r="V452" s="12"/>
      <c r="W452" s="12"/>
      <c r="X452" s="12"/>
    </row>
    <row r="453" customFormat="false" ht="15.75" hidden="false" customHeight="false" outlineLevel="0" collapsed="false">
      <c r="A453" s="12"/>
      <c r="B453" s="34"/>
      <c r="C453" s="12"/>
      <c r="D453" s="12"/>
      <c r="E453" s="12"/>
      <c r="F453" s="12"/>
      <c r="G453" s="18"/>
      <c r="H453" s="35"/>
      <c r="I453" s="12"/>
      <c r="M453" s="12"/>
      <c r="N453" s="18"/>
      <c r="O453" s="12"/>
      <c r="P453" s="12"/>
      <c r="Q453" s="12"/>
      <c r="R453" s="36"/>
      <c r="S453" s="36"/>
      <c r="T453" s="12"/>
      <c r="U453" s="12"/>
      <c r="V453" s="12"/>
      <c r="W453" s="12"/>
      <c r="X453" s="12"/>
    </row>
    <row r="454" customFormat="false" ht="15.75" hidden="false" customHeight="false" outlineLevel="0" collapsed="false">
      <c r="A454" s="12"/>
      <c r="B454" s="34"/>
      <c r="C454" s="12"/>
      <c r="D454" s="12"/>
      <c r="E454" s="12"/>
      <c r="F454" s="12"/>
      <c r="G454" s="18"/>
      <c r="H454" s="35"/>
      <c r="I454" s="12"/>
      <c r="M454" s="12"/>
      <c r="N454" s="18"/>
      <c r="O454" s="12"/>
      <c r="P454" s="12"/>
      <c r="Q454" s="12"/>
      <c r="R454" s="36"/>
      <c r="S454" s="36"/>
      <c r="T454" s="12"/>
      <c r="U454" s="12"/>
      <c r="V454" s="12"/>
      <c r="W454" s="12"/>
      <c r="X454" s="12"/>
    </row>
    <row r="455" customFormat="false" ht="15.75" hidden="false" customHeight="false" outlineLevel="0" collapsed="false">
      <c r="A455" s="12"/>
      <c r="B455" s="34"/>
      <c r="C455" s="12"/>
      <c r="D455" s="12"/>
      <c r="E455" s="12"/>
      <c r="F455" s="12"/>
      <c r="G455" s="18"/>
      <c r="H455" s="35"/>
      <c r="I455" s="12"/>
      <c r="M455" s="12"/>
      <c r="N455" s="18"/>
      <c r="O455" s="12"/>
      <c r="P455" s="12"/>
      <c r="Q455" s="12"/>
      <c r="R455" s="36"/>
      <c r="S455" s="36"/>
      <c r="T455" s="12"/>
      <c r="U455" s="12"/>
      <c r="V455" s="12"/>
      <c r="W455" s="12"/>
      <c r="X455" s="12"/>
    </row>
    <row r="456" customFormat="false" ht="15.75" hidden="false" customHeight="false" outlineLevel="0" collapsed="false">
      <c r="A456" s="12"/>
      <c r="B456" s="34"/>
      <c r="C456" s="12"/>
      <c r="D456" s="12"/>
      <c r="E456" s="12"/>
      <c r="F456" s="12"/>
      <c r="G456" s="18"/>
      <c r="H456" s="35"/>
      <c r="I456" s="12"/>
      <c r="M456" s="12"/>
      <c r="N456" s="18"/>
      <c r="O456" s="12"/>
      <c r="P456" s="12"/>
      <c r="Q456" s="12"/>
      <c r="R456" s="36"/>
      <c r="S456" s="36"/>
      <c r="T456" s="12"/>
      <c r="U456" s="12"/>
      <c r="V456" s="12"/>
      <c r="W456" s="12"/>
      <c r="X456" s="12"/>
    </row>
    <row r="457" customFormat="false" ht="15.75" hidden="false" customHeight="false" outlineLevel="0" collapsed="false">
      <c r="A457" s="12"/>
      <c r="B457" s="34"/>
      <c r="C457" s="12"/>
      <c r="D457" s="12"/>
      <c r="E457" s="12"/>
      <c r="F457" s="12"/>
      <c r="G457" s="18"/>
      <c r="H457" s="35"/>
      <c r="I457" s="12"/>
      <c r="M457" s="12"/>
      <c r="N457" s="18"/>
      <c r="O457" s="12"/>
      <c r="P457" s="12"/>
      <c r="Q457" s="12"/>
      <c r="R457" s="36"/>
      <c r="S457" s="36"/>
      <c r="T457" s="12"/>
      <c r="U457" s="12"/>
      <c r="V457" s="12"/>
      <c r="W457" s="12"/>
      <c r="X457" s="12"/>
    </row>
    <row r="458" customFormat="false" ht="15.75" hidden="false" customHeight="false" outlineLevel="0" collapsed="false">
      <c r="A458" s="12"/>
      <c r="B458" s="34"/>
      <c r="C458" s="12"/>
      <c r="D458" s="12"/>
      <c r="E458" s="12"/>
      <c r="F458" s="12"/>
      <c r="G458" s="18"/>
      <c r="H458" s="35"/>
      <c r="I458" s="12"/>
      <c r="M458" s="12"/>
      <c r="N458" s="18"/>
      <c r="O458" s="12"/>
      <c r="P458" s="12"/>
      <c r="Q458" s="12"/>
      <c r="R458" s="36"/>
      <c r="S458" s="36"/>
      <c r="T458" s="12"/>
      <c r="U458" s="12"/>
      <c r="V458" s="12"/>
      <c r="W458" s="12"/>
      <c r="X458" s="12"/>
    </row>
    <row r="459" customFormat="false" ht="15.75" hidden="false" customHeight="false" outlineLevel="0" collapsed="false">
      <c r="A459" s="12"/>
      <c r="B459" s="34"/>
      <c r="C459" s="12"/>
      <c r="D459" s="12"/>
      <c r="E459" s="12"/>
      <c r="F459" s="12"/>
      <c r="G459" s="18"/>
      <c r="H459" s="35"/>
      <c r="I459" s="12"/>
      <c r="M459" s="12"/>
      <c r="N459" s="18"/>
      <c r="O459" s="12"/>
      <c r="P459" s="12"/>
      <c r="Q459" s="12"/>
      <c r="R459" s="36"/>
      <c r="S459" s="36"/>
      <c r="T459" s="12"/>
      <c r="U459" s="12"/>
      <c r="V459" s="12"/>
      <c r="W459" s="12"/>
      <c r="X459" s="12"/>
    </row>
    <row r="460" customFormat="false" ht="15.75" hidden="false" customHeight="false" outlineLevel="0" collapsed="false">
      <c r="A460" s="12"/>
      <c r="B460" s="34"/>
      <c r="C460" s="12"/>
      <c r="D460" s="12"/>
      <c r="E460" s="12"/>
      <c r="F460" s="12"/>
      <c r="G460" s="18"/>
      <c r="H460" s="35"/>
      <c r="I460" s="12"/>
      <c r="M460" s="12"/>
      <c r="N460" s="18"/>
      <c r="O460" s="12"/>
      <c r="P460" s="12"/>
      <c r="Q460" s="12"/>
      <c r="R460" s="36"/>
      <c r="S460" s="36"/>
      <c r="T460" s="12"/>
      <c r="U460" s="12"/>
      <c r="V460" s="12"/>
      <c r="W460" s="12"/>
      <c r="X460" s="12"/>
    </row>
    <row r="461" customFormat="false" ht="15.75" hidden="false" customHeight="false" outlineLevel="0" collapsed="false">
      <c r="A461" s="12"/>
      <c r="B461" s="34"/>
      <c r="C461" s="12"/>
      <c r="D461" s="12"/>
      <c r="E461" s="12"/>
      <c r="F461" s="12"/>
      <c r="G461" s="18"/>
      <c r="H461" s="35"/>
      <c r="I461" s="12"/>
      <c r="M461" s="12"/>
      <c r="N461" s="18"/>
      <c r="O461" s="12"/>
      <c r="P461" s="12"/>
      <c r="Q461" s="12"/>
      <c r="R461" s="36"/>
      <c r="S461" s="36"/>
      <c r="T461" s="12"/>
      <c r="U461" s="12"/>
      <c r="V461" s="12"/>
      <c r="W461" s="12"/>
      <c r="X461" s="12"/>
    </row>
    <row r="462" customFormat="false" ht="15.75" hidden="false" customHeight="false" outlineLevel="0" collapsed="false">
      <c r="A462" s="12"/>
      <c r="B462" s="34"/>
      <c r="C462" s="12"/>
      <c r="D462" s="12"/>
      <c r="E462" s="12"/>
      <c r="F462" s="12"/>
      <c r="G462" s="18"/>
      <c r="H462" s="35"/>
      <c r="I462" s="12"/>
      <c r="M462" s="12"/>
      <c r="N462" s="18"/>
      <c r="O462" s="12"/>
      <c r="P462" s="12"/>
      <c r="Q462" s="12"/>
      <c r="R462" s="36"/>
      <c r="S462" s="36"/>
      <c r="T462" s="12"/>
      <c r="U462" s="12"/>
      <c r="V462" s="12"/>
      <c r="W462" s="12"/>
      <c r="X462" s="12"/>
    </row>
    <row r="463" customFormat="false" ht="15.75" hidden="false" customHeight="false" outlineLevel="0" collapsed="false">
      <c r="A463" s="12"/>
      <c r="B463" s="34"/>
      <c r="C463" s="12"/>
      <c r="D463" s="12"/>
      <c r="E463" s="12"/>
      <c r="F463" s="12"/>
      <c r="G463" s="18"/>
      <c r="H463" s="35"/>
      <c r="I463" s="12"/>
      <c r="M463" s="12"/>
      <c r="N463" s="18"/>
      <c r="O463" s="12"/>
      <c r="P463" s="12"/>
      <c r="Q463" s="12"/>
      <c r="R463" s="36"/>
      <c r="S463" s="36"/>
      <c r="T463" s="12"/>
      <c r="U463" s="12"/>
      <c r="V463" s="12"/>
      <c r="W463" s="12"/>
      <c r="X463" s="12"/>
    </row>
    <row r="464" customFormat="false" ht="15.75" hidden="false" customHeight="false" outlineLevel="0" collapsed="false">
      <c r="A464" s="12"/>
      <c r="B464" s="34"/>
      <c r="C464" s="12"/>
      <c r="D464" s="12"/>
      <c r="E464" s="12"/>
      <c r="F464" s="12"/>
      <c r="G464" s="18"/>
      <c r="H464" s="35"/>
      <c r="I464" s="12"/>
      <c r="M464" s="12"/>
      <c r="N464" s="18"/>
      <c r="O464" s="12"/>
      <c r="P464" s="12"/>
      <c r="Q464" s="12"/>
      <c r="R464" s="36"/>
      <c r="S464" s="36"/>
      <c r="T464" s="12"/>
      <c r="U464" s="12"/>
      <c r="V464" s="12"/>
      <c r="W464" s="12"/>
      <c r="X464" s="12"/>
    </row>
    <row r="465" customFormat="false" ht="15.75" hidden="false" customHeight="false" outlineLevel="0" collapsed="false">
      <c r="A465" s="12"/>
      <c r="B465" s="34"/>
      <c r="C465" s="12"/>
      <c r="D465" s="12"/>
      <c r="E465" s="12"/>
      <c r="F465" s="12"/>
      <c r="G465" s="18"/>
      <c r="H465" s="35"/>
      <c r="I465" s="12"/>
      <c r="M465" s="12"/>
      <c r="N465" s="18"/>
      <c r="O465" s="12"/>
      <c r="P465" s="12"/>
      <c r="Q465" s="12"/>
      <c r="R465" s="36"/>
      <c r="S465" s="36"/>
      <c r="T465" s="12"/>
      <c r="U465" s="12"/>
      <c r="V465" s="12"/>
      <c r="W465" s="12"/>
      <c r="X465" s="12"/>
    </row>
    <row r="466" customFormat="false" ht="15.75" hidden="false" customHeight="false" outlineLevel="0" collapsed="false">
      <c r="A466" s="12"/>
      <c r="B466" s="34"/>
      <c r="C466" s="12"/>
      <c r="D466" s="12"/>
      <c r="E466" s="12"/>
      <c r="F466" s="12"/>
      <c r="G466" s="18"/>
      <c r="H466" s="35"/>
      <c r="I466" s="12"/>
      <c r="M466" s="12"/>
      <c r="N466" s="18"/>
      <c r="O466" s="12"/>
      <c r="P466" s="12"/>
      <c r="Q466" s="12"/>
      <c r="R466" s="36"/>
      <c r="S466" s="36"/>
      <c r="T466" s="12"/>
      <c r="U466" s="12"/>
      <c r="V466" s="12"/>
      <c r="W466" s="12"/>
      <c r="X466" s="12"/>
    </row>
    <row r="467" customFormat="false" ht="15.75" hidden="false" customHeight="false" outlineLevel="0" collapsed="false">
      <c r="A467" s="12"/>
      <c r="B467" s="34"/>
      <c r="C467" s="12"/>
      <c r="D467" s="12"/>
      <c r="E467" s="12"/>
      <c r="F467" s="12"/>
      <c r="G467" s="18"/>
      <c r="H467" s="35"/>
      <c r="I467" s="12"/>
      <c r="M467" s="12"/>
      <c r="N467" s="18"/>
      <c r="O467" s="12"/>
      <c r="P467" s="12"/>
      <c r="Q467" s="12"/>
      <c r="R467" s="36"/>
      <c r="S467" s="36"/>
      <c r="T467" s="12"/>
      <c r="U467" s="12"/>
      <c r="V467" s="12"/>
      <c r="W467" s="12"/>
      <c r="X467" s="12"/>
    </row>
    <row r="468" customFormat="false" ht="15.75" hidden="false" customHeight="false" outlineLevel="0" collapsed="false">
      <c r="A468" s="12"/>
      <c r="B468" s="34"/>
      <c r="C468" s="12"/>
      <c r="D468" s="12"/>
      <c r="E468" s="12"/>
      <c r="F468" s="12"/>
      <c r="G468" s="18"/>
      <c r="H468" s="35"/>
      <c r="I468" s="12"/>
      <c r="M468" s="12"/>
      <c r="N468" s="18"/>
      <c r="O468" s="12"/>
      <c r="P468" s="12"/>
      <c r="Q468" s="12"/>
      <c r="R468" s="36"/>
      <c r="S468" s="36"/>
      <c r="T468" s="12"/>
      <c r="U468" s="12"/>
      <c r="V468" s="12"/>
      <c r="W468" s="12"/>
      <c r="X468" s="12"/>
    </row>
    <row r="469" customFormat="false" ht="15.75" hidden="false" customHeight="false" outlineLevel="0" collapsed="false">
      <c r="A469" s="12"/>
      <c r="B469" s="34"/>
      <c r="C469" s="12"/>
      <c r="D469" s="12"/>
      <c r="E469" s="12"/>
      <c r="F469" s="12"/>
      <c r="G469" s="18"/>
      <c r="H469" s="35"/>
      <c r="I469" s="12"/>
      <c r="M469" s="12"/>
      <c r="N469" s="18"/>
      <c r="O469" s="12"/>
      <c r="P469" s="12"/>
      <c r="Q469" s="12"/>
      <c r="R469" s="36"/>
      <c r="S469" s="36"/>
      <c r="T469" s="12"/>
      <c r="U469" s="12"/>
      <c r="V469" s="12"/>
      <c r="W469" s="12"/>
      <c r="X469" s="12"/>
    </row>
    <row r="470" customFormat="false" ht="15.75" hidden="false" customHeight="false" outlineLevel="0" collapsed="false">
      <c r="A470" s="12"/>
      <c r="B470" s="34"/>
      <c r="C470" s="12"/>
      <c r="D470" s="12"/>
      <c r="E470" s="12"/>
      <c r="F470" s="12"/>
      <c r="G470" s="18"/>
      <c r="H470" s="35"/>
      <c r="I470" s="12"/>
      <c r="M470" s="12"/>
      <c r="N470" s="18"/>
      <c r="O470" s="12"/>
      <c r="P470" s="12"/>
      <c r="Q470" s="12"/>
      <c r="R470" s="36"/>
      <c r="S470" s="36"/>
      <c r="T470" s="12"/>
      <c r="U470" s="12"/>
      <c r="V470" s="12"/>
      <c r="W470" s="12"/>
      <c r="X470" s="12"/>
    </row>
    <row r="471" customFormat="false" ht="15.75" hidden="false" customHeight="false" outlineLevel="0" collapsed="false">
      <c r="A471" s="12"/>
      <c r="B471" s="34"/>
      <c r="C471" s="12"/>
      <c r="D471" s="12"/>
      <c r="E471" s="12"/>
      <c r="F471" s="12"/>
      <c r="G471" s="18"/>
      <c r="H471" s="35"/>
      <c r="I471" s="12"/>
      <c r="M471" s="12"/>
      <c r="N471" s="18"/>
      <c r="O471" s="12"/>
      <c r="P471" s="12"/>
      <c r="Q471" s="12"/>
      <c r="R471" s="36"/>
      <c r="S471" s="36"/>
      <c r="T471" s="12"/>
      <c r="U471" s="12"/>
      <c r="V471" s="12"/>
      <c r="W471" s="12"/>
      <c r="X471" s="12"/>
    </row>
    <row r="472" customFormat="false" ht="15.75" hidden="false" customHeight="false" outlineLevel="0" collapsed="false">
      <c r="A472" s="12"/>
      <c r="B472" s="34"/>
      <c r="C472" s="12"/>
      <c r="D472" s="12"/>
      <c r="E472" s="12"/>
      <c r="F472" s="12"/>
      <c r="G472" s="18"/>
      <c r="H472" s="35"/>
      <c r="I472" s="12"/>
      <c r="M472" s="12"/>
      <c r="N472" s="18"/>
      <c r="O472" s="12"/>
      <c r="P472" s="12"/>
      <c r="Q472" s="12"/>
      <c r="R472" s="36"/>
      <c r="S472" s="36"/>
      <c r="T472" s="12"/>
      <c r="U472" s="12"/>
      <c r="V472" s="12"/>
      <c r="W472" s="12"/>
      <c r="X472" s="12"/>
    </row>
    <row r="473" customFormat="false" ht="15.75" hidden="false" customHeight="false" outlineLevel="0" collapsed="false">
      <c r="A473" s="12"/>
      <c r="B473" s="34"/>
      <c r="C473" s="12"/>
      <c r="D473" s="12"/>
      <c r="E473" s="12"/>
      <c r="F473" s="12"/>
      <c r="G473" s="18"/>
      <c r="H473" s="35"/>
      <c r="I473" s="12"/>
      <c r="M473" s="12"/>
      <c r="N473" s="18"/>
      <c r="O473" s="12"/>
      <c r="P473" s="12"/>
      <c r="Q473" s="12"/>
      <c r="R473" s="36"/>
      <c r="S473" s="36"/>
      <c r="T473" s="12"/>
      <c r="U473" s="12"/>
      <c r="V473" s="12"/>
      <c r="W473" s="12"/>
      <c r="X473" s="12"/>
    </row>
    <row r="474" customFormat="false" ht="15.75" hidden="false" customHeight="false" outlineLevel="0" collapsed="false">
      <c r="A474" s="12"/>
      <c r="B474" s="34"/>
      <c r="C474" s="12"/>
      <c r="D474" s="12"/>
      <c r="E474" s="12"/>
      <c r="F474" s="12"/>
      <c r="G474" s="18"/>
      <c r="H474" s="35"/>
      <c r="I474" s="12"/>
      <c r="M474" s="12"/>
      <c r="N474" s="18"/>
      <c r="O474" s="12"/>
      <c r="P474" s="12"/>
      <c r="Q474" s="12"/>
      <c r="R474" s="36"/>
      <c r="S474" s="36"/>
      <c r="T474" s="12"/>
      <c r="U474" s="12"/>
      <c r="V474" s="12"/>
      <c r="W474" s="12"/>
      <c r="X474" s="12"/>
    </row>
    <row r="475" customFormat="false" ht="15.75" hidden="false" customHeight="false" outlineLevel="0" collapsed="false">
      <c r="A475" s="12"/>
      <c r="B475" s="34"/>
      <c r="C475" s="12"/>
      <c r="D475" s="12"/>
      <c r="E475" s="12"/>
      <c r="F475" s="12"/>
      <c r="G475" s="18"/>
      <c r="H475" s="35"/>
      <c r="I475" s="12"/>
      <c r="M475" s="12"/>
      <c r="N475" s="18"/>
      <c r="O475" s="12"/>
      <c r="P475" s="12"/>
      <c r="Q475" s="12"/>
      <c r="R475" s="36"/>
      <c r="S475" s="36"/>
      <c r="T475" s="12"/>
      <c r="U475" s="12"/>
      <c r="V475" s="12"/>
      <c r="W475" s="12"/>
      <c r="X475" s="12"/>
    </row>
    <row r="476" customFormat="false" ht="15.75" hidden="false" customHeight="false" outlineLevel="0" collapsed="false">
      <c r="A476" s="12"/>
      <c r="B476" s="34"/>
      <c r="C476" s="12"/>
      <c r="D476" s="12"/>
      <c r="E476" s="12"/>
      <c r="F476" s="12"/>
      <c r="G476" s="18"/>
      <c r="H476" s="35"/>
      <c r="I476" s="12"/>
      <c r="M476" s="12"/>
      <c r="N476" s="18"/>
      <c r="O476" s="12"/>
      <c r="P476" s="12"/>
      <c r="Q476" s="12"/>
      <c r="R476" s="36"/>
      <c r="S476" s="36"/>
      <c r="T476" s="12"/>
      <c r="U476" s="12"/>
      <c r="V476" s="12"/>
      <c r="W476" s="12"/>
      <c r="X476" s="12"/>
    </row>
    <row r="477" customFormat="false" ht="15.75" hidden="false" customHeight="false" outlineLevel="0" collapsed="false">
      <c r="A477" s="12"/>
      <c r="B477" s="34"/>
      <c r="C477" s="12"/>
      <c r="D477" s="12"/>
      <c r="E477" s="12"/>
      <c r="F477" s="12"/>
      <c r="G477" s="18"/>
      <c r="H477" s="35"/>
      <c r="I477" s="12"/>
      <c r="M477" s="12"/>
      <c r="N477" s="18"/>
      <c r="O477" s="12"/>
      <c r="P477" s="12"/>
      <c r="Q477" s="12"/>
      <c r="R477" s="36"/>
      <c r="S477" s="36"/>
      <c r="T477" s="12"/>
      <c r="U477" s="12"/>
      <c r="V477" s="12"/>
      <c r="W477" s="12"/>
      <c r="X477" s="12"/>
    </row>
    <row r="478" customFormat="false" ht="15.75" hidden="false" customHeight="false" outlineLevel="0" collapsed="false">
      <c r="A478" s="12"/>
      <c r="B478" s="34"/>
      <c r="C478" s="12"/>
      <c r="D478" s="12"/>
      <c r="E478" s="12"/>
      <c r="F478" s="12"/>
      <c r="G478" s="18"/>
      <c r="H478" s="35"/>
      <c r="I478" s="12"/>
      <c r="M478" s="12"/>
      <c r="N478" s="18"/>
      <c r="O478" s="12"/>
      <c r="P478" s="12"/>
      <c r="Q478" s="12"/>
      <c r="R478" s="36"/>
      <c r="S478" s="36"/>
      <c r="T478" s="12"/>
      <c r="U478" s="12"/>
      <c r="V478" s="12"/>
      <c r="W478" s="12"/>
      <c r="X478" s="12"/>
    </row>
    <row r="479" customFormat="false" ht="15.75" hidden="false" customHeight="false" outlineLevel="0" collapsed="false">
      <c r="A479" s="12"/>
      <c r="B479" s="34"/>
      <c r="C479" s="12"/>
      <c r="D479" s="12"/>
      <c r="E479" s="12"/>
      <c r="F479" s="12"/>
      <c r="G479" s="18"/>
      <c r="H479" s="35"/>
      <c r="I479" s="12"/>
      <c r="M479" s="12"/>
      <c r="N479" s="18"/>
      <c r="O479" s="12"/>
      <c r="P479" s="12"/>
      <c r="Q479" s="12"/>
      <c r="R479" s="36"/>
      <c r="S479" s="36"/>
      <c r="T479" s="12"/>
      <c r="U479" s="12"/>
      <c r="V479" s="12"/>
      <c r="W479" s="12"/>
      <c r="X479" s="12"/>
    </row>
    <row r="480" customFormat="false" ht="15.75" hidden="false" customHeight="false" outlineLevel="0" collapsed="false">
      <c r="A480" s="12"/>
      <c r="B480" s="34"/>
      <c r="C480" s="12"/>
      <c r="D480" s="12"/>
      <c r="E480" s="12"/>
      <c r="F480" s="12"/>
      <c r="G480" s="18"/>
      <c r="H480" s="35"/>
      <c r="I480" s="12"/>
      <c r="M480" s="12"/>
      <c r="N480" s="18"/>
      <c r="O480" s="12"/>
      <c r="P480" s="12"/>
      <c r="Q480" s="12"/>
      <c r="R480" s="36"/>
      <c r="S480" s="36"/>
      <c r="T480" s="12"/>
      <c r="U480" s="12"/>
      <c r="V480" s="12"/>
      <c r="W480" s="12"/>
      <c r="X480" s="12"/>
    </row>
    <row r="481" customFormat="false" ht="15.75" hidden="false" customHeight="false" outlineLevel="0" collapsed="false">
      <c r="A481" s="12"/>
      <c r="B481" s="34"/>
      <c r="C481" s="12"/>
      <c r="D481" s="12"/>
      <c r="E481" s="12"/>
      <c r="F481" s="12"/>
      <c r="G481" s="18"/>
      <c r="H481" s="35"/>
      <c r="I481" s="12"/>
      <c r="M481" s="12"/>
      <c r="N481" s="18"/>
      <c r="O481" s="12"/>
      <c r="P481" s="12"/>
      <c r="Q481" s="12"/>
      <c r="R481" s="36"/>
      <c r="S481" s="36"/>
      <c r="T481" s="12"/>
      <c r="U481" s="12"/>
      <c r="V481" s="12"/>
      <c r="W481" s="12"/>
      <c r="X481" s="12"/>
    </row>
    <row r="482" customFormat="false" ht="15.75" hidden="false" customHeight="false" outlineLevel="0" collapsed="false">
      <c r="A482" s="12"/>
      <c r="B482" s="34"/>
      <c r="C482" s="12"/>
      <c r="D482" s="12"/>
      <c r="E482" s="12"/>
      <c r="F482" s="12"/>
      <c r="G482" s="18"/>
      <c r="H482" s="35"/>
      <c r="I482" s="12"/>
      <c r="M482" s="12"/>
      <c r="N482" s="18"/>
      <c r="O482" s="12"/>
      <c r="P482" s="12"/>
      <c r="Q482" s="12"/>
      <c r="R482" s="36"/>
      <c r="S482" s="36"/>
      <c r="T482" s="12"/>
      <c r="U482" s="12"/>
      <c r="V482" s="12"/>
      <c r="W482" s="12"/>
      <c r="X482" s="12"/>
    </row>
    <row r="483" customFormat="false" ht="15.75" hidden="false" customHeight="false" outlineLevel="0" collapsed="false">
      <c r="A483" s="12"/>
      <c r="B483" s="34"/>
      <c r="C483" s="12"/>
      <c r="D483" s="12"/>
      <c r="E483" s="12"/>
      <c r="F483" s="12"/>
      <c r="G483" s="18"/>
      <c r="H483" s="35"/>
      <c r="I483" s="12"/>
      <c r="M483" s="12"/>
      <c r="N483" s="18"/>
      <c r="O483" s="12"/>
      <c r="P483" s="12"/>
      <c r="Q483" s="12"/>
      <c r="R483" s="36"/>
      <c r="S483" s="36"/>
      <c r="T483" s="12"/>
      <c r="U483" s="12"/>
      <c r="V483" s="12"/>
      <c r="W483" s="12"/>
      <c r="X483" s="12"/>
    </row>
    <row r="484" customFormat="false" ht="15.75" hidden="false" customHeight="false" outlineLevel="0" collapsed="false">
      <c r="A484" s="12"/>
      <c r="B484" s="34"/>
      <c r="C484" s="12"/>
      <c r="D484" s="12"/>
      <c r="E484" s="12"/>
      <c r="F484" s="12"/>
      <c r="G484" s="18"/>
      <c r="H484" s="35"/>
      <c r="I484" s="12"/>
      <c r="M484" s="12"/>
      <c r="N484" s="18"/>
      <c r="O484" s="12"/>
      <c r="P484" s="12"/>
      <c r="Q484" s="12"/>
      <c r="R484" s="36"/>
      <c r="S484" s="36"/>
      <c r="T484" s="12"/>
      <c r="U484" s="12"/>
      <c r="V484" s="12"/>
      <c r="W484" s="12"/>
      <c r="X484" s="12"/>
    </row>
    <row r="485" customFormat="false" ht="15.75" hidden="false" customHeight="false" outlineLevel="0" collapsed="false">
      <c r="A485" s="12"/>
      <c r="B485" s="34"/>
      <c r="C485" s="12"/>
      <c r="D485" s="12"/>
      <c r="E485" s="12"/>
      <c r="F485" s="12"/>
      <c r="G485" s="18"/>
      <c r="H485" s="35"/>
      <c r="I485" s="12"/>
      <c r="M485" s="12"/>
      <c r="N485" s="18"/>
      <c r="O485" s="12"/>
      <c r="P485" s="12"/>
      <c r="Q485" s="12"/>
      <c r="R485" s="36"/>
      <c r="S485" s="36"/>
      <c r="T485" s="12"/>
      <c r="U485" s="12"/>
      <c r="V485" s="12"/>
      <c r="W485" s="12"/>
      <c r="X485" s="12"/>
    </row>
    <row r="486" customFormat="false" ht="15.75" hidden="false" customHeight="false" outlineLevel="0" collapsed="false">
      <c r="A486" s="12"/>
      <c r="B486" s="34"/>
      <c r="C486" s="12"/>
      <c r="D486" s="12"/>
      <c r="E486" s="12"/>
      <c r="F486" s="12"/>
      <c r="G486" s="18"/>
      <c r="H486" s="35"/>
      <c r="I486" s="12"/>
      <c r="M486" s="12"/>
      <c r="N486" s="18"/>
      <c r="O486" s="12"/>
      <c r="P486" s="12"/>
      <c r="Q486" s="12"/>
      <c r="R486" s="36"/>
      <c r="S486" s="36"/>
      <c r="T486" s="12"/>
      <c r="U486" s="12"/>
      <c r="V486" s="12"/>
      <c r="W486" s="12"/>
      <c r="X486" s="12"/>
    </row>
    <row r="487" customFormat="false" ht="15.75" hidden="false" customHeight="false" outlineLevel="0" collapsed="false">
      <c r="A487" s="12"/>
      <c r="B487" s="34"/>
      <c r="C487" s="12"/>
      <c r="D487" s="12"/>
      <c r="E487" s="12"/>
      <c r="F487" s="12"/>
      <c r="G487" s="18"/>
      <c r="H487" s="35"/>
      <c r="I487" s="12"/>
      <c r="M487" s="12"/>
      <c r="N487" s="18"/>
      <c r="O487" s="12"/>
      <c r="P487" s="12"/>
      <c r="Q487" s="12"/>
      <c r="R487" s="36"/>
      <c r="S487" s="36"/>
      <c r="T487" s="12"/>
      <c r="U487" s="12"/>
      <c r="V487" s="12"/>
      <c r="W487" s="12"/>
      <c r="X487" s="12"/>
    </row>
    <row r="488" customFormat="false" ht="15.75" hidden="false" customHeight="false" outlineLevel="0" collapsed="false">
      <c r="A488" s="12"/>
      <c r="B488" s="34"/>
      <c r="C488" s="12"/>
      <c r="D488" s="12"/>
      <c r="E488" s="12"/>
      <c r="F488" s="12"/>
      <c r="G488" s="18"/>
      <c r="H488" s="35"/>
      <c r="I488" s="12"/>
      <c r="M488" s="12"/>
      <c r="N488" s="18"/>
      <c r="O488" s="12"/>
      <c r="P488" s="12"/>
      <c r="Q488" s="12"/>
      <c r="R488" s="36"/>
      <c r="S488" s="36"/>
      <c r="T488" s="12"/>
      <c r="U488" s="12"/>
      <c r="V488" s="12"/>
      <c r="W488" s="12"/>
      <c r="X488" s="12"/>
    </row>
    <row r="489" customFormat="false" ht="15.75" hidden="false" customHeight="false" outlineLevel="0" collapsed="false">
      <c r="A489" s="12"/>
      <c r="B489" s="34"/>
      <c r="C489" s="12"/>
      <c r="D489" s="12"/>
      <c r="E489" s="12"/>
      <c r="F489" s="12"/>
      <c r="G489" s="18"/>
      <c r="H489" s="35"/>
      <c r="I489" s="12"/>
      <c r="M489" s="12"/>
      <c r="N489" s="18"/>
      <c r="O489" s="12"/>
      <c r="P489" s="12"/>
      <c r="Q489" s="12"/>
      <c r="R489" s="36"/>
      <c r="S489" s="36"/>
      <c r="T489" s="12"/>
      <c r="U489" s="12"/>
      <c r="V489" s="12"/>
      <c r="W489" s="12"/>
      <c r="X489" s="12"/>
    </row>
    <row r="490" customFormat="false" ht="15.75" hidden="false" customHeight="false" outlineLevel="0" collapsed="false">
      <c r="A490" s="12"/>
      <c r="B490" s="34"/>
      <c r="C490" s="12"/>
      <c r="D490" s="12"/>
      <c r="E490" s="12"/>
      <c r="F490" s="12"/>
      <c r="G490" s="18"/>
      <c r="H490" s="35"/>
      <c r="I490" s="12"/>
      <c r="M490" s="12"/>
      <c r="N490" s="18"/>
      <c r="O490" s="12"/>
      <c r="P490" s="12"/>
      <c r="Q490" s="12"/>
      <c r="R490" s="36"/>
      <c r="S490" s="36"/>
      <c r="T490" s="12"/>
      <c r="U490" s="12"/>
      <c r="V490" s="12"/>
      <c r="W490" s="12"/>
      <c r="X490" s="12"/>
    </row>
    <row r="491" customFormat="false" ht="15.75" hidden="false" customHeight="false" outlineLevel="0" collapsed="false">
      <c r="A491" s="12"/>
      <c r="B491" s="34"/>
      <c r="C491" s="12"/>
      <c r="D491" s="12"/>
      <c r="E491" s="12"/>
      <c r="F491" s="12"/>
      <c r="G491" s="18"/>
      <c r="H491" s="35"/>
      <c r="I491" s="12"/>
      <c r="M491" s="12"/>
      <c r="N491" s="18"/>
      <c r="O491" s="12"/>
      <c r="P491" s="12"/>
      <c r="Q491" s="12"/>
      <c r="R491" s="36"/>
      <c r="S491" s="36"/>
      <c r="T491" s="12"/>
      <c r="U491" s="12"/>
      <c r="V491" s="12"/>
      <c r="W491" s="12"/>
      <c r="X491" s="12"/>
    </row>
    <row r="492" customFormat="false" ht="15.75" hidden="false" customHeight="false" outlineLevel="0" collapsed="false">
      <c r="A492" s="12"/>
      <c r="B492" s="34"/>
      <c r="C492" s="12"/>
      <c r="D492" s="12"/>
      <c r="E492" s="12"/>
      <c r="F492" s="12"/>
      <c r="G492" s="18"/>
      <c r="H492" s="35"/>
      <c r="I492" s="12"/>
      <c r="M492" s="12"/>
      <c r="N492" s="18"/>
      <c r="O492" s="12"/>
      <c r="P492" s="12"/>
      <c r="Q492" s="12"/>
      <c r="R492" s="36"/>
      <c r="S492" s="36"/>
      <c r="T492" s="12"/>
      <c r="U492" s="12"/>
      <c r="V492" s="12"/>
      <c r="W492" s="12"/>
      <c r="X492" s="12"/>
    </row>
    <row r="493" customFormat="false" ht="15.75" hidden="false" customHeight="false" outlineLevel="0" collapsed="false">
      <c r="A493" s="12"/>
      <c r="B493" s="34"/>
      <c r="C493" s="12"/>
      <c r="D493" s="12"/>
      <c r="E493" s="12"/>
      <c r="F493" s="12"/>
      <c r="G493" s="18"/>
      <c r="H493" s="35"/>
      <c r="I493" s="12"/>
      <c r="M493" s="12"/>
      <c r="N493" s="18"/>
      <c r="O493" s="12"/>
      <c r="P493" s="12"/>
      <c r="Q493" s="12"/>
      <c r="R493" s="36"/>
      <c r="S493" s="36"/>
      <c r="T493" s="12"/>
      <c r="U493" s="12"/>
      <c r="V493" s="12"/>
      <c r="W493" s="12"/>
      <c r="X493" s="12"/>
    </row>
    <row r="494" customFormat="false" ht="15.75" hidden="false" customHeight="false" outlineLevel="0" collapsed="false">
      <c r="A494" s="12"/>
      <c r="B494" s="34"/>
      <c r="C494" s="12"/>
      <c r="D494" s="12"/>
      <c r="E494" s="12"/>
      <c r="F494" s="12"/>
      <c r="G494" s="18"/>
      <c r="H494" s="35"/>
      <c r="I494" s="12"/>
      <c r="M494" s="12"/>
      <c r="N494" s="18"/>
      <c r="O494" s="12"/>
      <c r="P494" s="12"/>
      <c r="Q494" s="12"/>
      <c r="R494" s="36"/>
      <c r="S494" s="36"/>
      <c r="T494" s="12"/>
      <c r="U494" s="12"/>
      <c r="V494" s="12"/>
      <c r="W494" s="12"/>
      <c r="X494" s="12"/>
    </row>
    <row r="495" customFormat="false" ht="15.75" hidden="false" customHeight="false" outlineLevel="0" collapsed="false">
      <c r="A495" s="12"/>
      <c r="B495" s="34"/>
      <c r="C495" s="12"/>
      <c r="D495" s="12"/>
      <c r="E495" s="12"/>
      <c r="F495" s="12"/>
      <c r="G495" s="18"/>
      <c r="H495" s="35"/>
      <c r="I495" s="12"/>
      <c r="M495" s="12"/>
      <c r="N495" s="18"/>
      <c r="O495" s="12"/>
      <c r="P495" s="12"/>
      <c r="Q495" s="12"/>
      <c r="R495" s="36"/>
      <c r="S495" s="36"/>
      <c r="T495" s="12"/>
      <c r="U495" s="12"/>
      <c r="V495" s="12"/>
      <c r="W495" s="12"/>
      <c r="X495" s="12"/>
    </row>
    <row r="496" customFormat="false" ht="15.75" hidden="false" customHeight="false" outlineLevel="0" collapsed="false">
      <c r="A496" s="12"/>
      <c r="B496" s="34"/>
      <c r="C496" s="12"/>
      <c r="D496" s="12"/>
      <c r="E496" s="12"/>
      <c r="F496" s="12"/>
      <c r="G496" s="18"/>
      <c r="H496" s="35"/>
      <c r="I496" s="12"/>
      <c r="M496" s="12"/>
      <c r="N496" s="18"/>
      <c r="O496" s="12"/>
      <c r="P496" s="12"/>
      <c r="Q496" s="12"/>
      <c r="R496" s="36"/>
      <c r="S496" s="36"/>
      <c r="T496" s="12"/>
      <c r="U496" s="12"/>
      <c r="V496" s="12"/>
      <c r="W496" s="12"/>
      <c r="X496" s="12"/>
    </row>
    <row r="497" customFormat="false" ht="15.75" hidden="false" customHeight="false" outlineLevel="0" collapsed="false">
      <c r="A497" s="12"/>
      <c r="B497" s="34"/>
      <c r="C497" s="12"/>
      <c r="D497" s="12"/>
      <c r="E497" s="12"/>
      <c r="F497" s="12"/>
      <c r="G497" s="18"/>
      <c r="H497" s="35"/>
      <c r="I497" s="12"/>
      <c r="M497" s="12"/>
      <c r="N497" s="18"/>
      <c r="O497" s="12"/>
      <c r="P497" s="12"/>
      <c r="Q497" s="12"/>
      <c r="R497" s="36"/>
      <c r="S497" s="36"/>
      <c r="T497" s="12"/>
      <c r="U497" s="12"/>
      <c r="V497" s="12"/>
      <c r="W497" s="12"/>
      <c r="X497" s="12"/>
    </row>
    <row r="498" customFormat="false" ht="15.75" hidden="false" customHeight="false" outlineLevel="0" collapsed="false">
      <c r="A498" s="12"/>
      <c r="B498" s="34"/>
      <c r="C498" s="12"/>
      <c r="D498" s="12"/>
      <c r="E498" s="12"/>
      <c r="F498" s="12"/>
      <c r="G498" s="18"/>
      <c r="H498" s="35"/>
      <c r="I498" s="12"/>
      <c r="M498" s="12"/>
      <c r="N498" s="18"/>
      <c r="O498" s="12"/>
      <c r="P498" s="12"/>
      <c r="Q498" s="12"/>
      <c r="R498" s="36"/>
      <c r="S498" s="36"/>
      <c r="T498" s="12"/>
      <c r="U498" s="12"/>
      <c r="V498" s="12"/>
      <c r="W498" s="12"/>
      <c r="X498" s="12"/>
    </row>
    <row r="499" customFormat="false" ht="15.75" hidden="false" customHeight="false" outlineLevel="0" collapsed="false">
      <c r="A499" s="12"/>
      <c r="B499" s="34"/>
      <c r="C499" s="12"/>
      <c r="D499" s="12"/>
      <c r="E499" s="12"/>
      <c r="F499" s="12"/>
      <c r="G499" s="18"/>
      <c r="H499" s="35"/>
      <c r="I499" s="12"/>
      <c r="M499" s="12"/>
      <c r="N499" s="18"/>
      <c r="O499" s="12"/>
      <c r="P499" s="12"/>
      <c r="Q499" s="12"/>
      <c r="R499" s="36"/>
      <c r="S499" s="36"/>
      <c r="T499" s="12"/>
      <c r="U499" s="12"/>
      <c r="V499" s="12"/>
      <c r="W499" s="12"/>
      <c r="X499" s="12"/>
    </row>
    <row r="500" customFormat="false" ht="15.75" hidden="false" customHeight="false" outlineLevel="0" collapsed="false">
      <c r="A500" s="12"/>
      <c r="B500" s="34"/>
      <c r="C500" s="12"/>
      <c r="D500" s="12"/>
      <c r="E500" s="12"/>
      <c r="F500" s="12"/>
      <c r="G500" s="18"/>
      <c r="H500" s="35"/>
      <c r="I500" s="12"/>
      <c r="M500" s="12"/>
      <c r="N500" s="18"/>
      <c r="O500" s="12"/>
      <c r="P500" s="12"/>
      <c r="Q500" s="12"/>
      <c r="R500" s="36"/>
      <c r="S500" s="36"/>
      <c r="T500" s="12"/>
      <c r="U500" s="12"/>
      <c r="V500" s="12"/>
      <c r="W500" s="12"/>
      <c r="X500" s="12"/>
    </row>
    <row r="501" customFormat="false" ht="15.75" hidden="false" customHeight="false" outlineLevel="0" collapsed="false">
      <c r="A501" s="12"/>
      <c r="B501" s="34"/>
      <c r="C501" s="12"/>
      <c r="D501" s="12"/>
      <c r="E501" s="12"/>
      <c r="F501" s="12"/>
      <c r="G501" s="18"/>
      <c r="H501" s="35"/>
      <c r="I501" s="12"/>
      <c r="M501" s="12"/>
      <c r="N501" s="18"/>
      <c r="O501" s="12"/>
      <c r="P501" s="12"/>
      <c r="Q501" s="12"/>
      <c r="R501" s="36"/>
      <c r="S501" s="36"/>
      <c r="T501" s="12"/>
      <c r="U501" s="12"/>
      <c r="V501" s="12"/>
      <c r="W501" s="12"/>
      <c r="X501" s="12"/>
    </row>
    <row r="502" customFormat="false" ht="15.75" hidden="false" customHeight="false" outlineLevel="0" collapsed="false">
      <c r="A502" s="12"/>
      <c r="B502" s="34"/>
      <c r="C502" s="12"/>
      <c r="D502" s="12"/>
      <c r="E502" s="12"/>
      <c r="F502" s="12"/>
      <c r="G502" s="18"/>
      <c r="H502" s="35"/>
      <c r="I502" s="12"/>
      <c r="M502" s="12"/>
      <c r="N502" s="18"/>
      <c r="O502" s="12"/>
      <c r="P502" s="12"/>
      <c r="Q502" s="12"/>
      <c r="R502" s="36"/>
      <c r="S502" s="36"/>
      <c r="T502" s="12"/>
      <c r="U502" s="12"/>
      <c r="V502" s="12"/>
      <c r="W502" s="12"/>
      <c r="X502" s="12"/>
    </row>
    <row r="503" customFormat="false" ht="15.75" hidden="false" customHeight="false" outlineLevel="0" collapsed="false">
      <c r="A503" s="12"/>
      <c r="B503" s="34"/>
      <c r="C503" s="12"/>
      <c r="D503" s="12"/>
      <c r="E503" s="12"/>
      <c r="F503" s="12"/>
      <c r="G503" s="18"/>
      <c r="H503" s="35"/>
      <c r="I503" s="12"/>
      <c r="M503" s="12"/>
      <c r="N503" s="18"/>
      <c r="O503" s="12"/>
      <c r="P503" s="12"/>
      <c r="Q503" s="12"/>
      <c r="R503" s="36"/>
      <c r="S503" s="36"/>
      <c r="T503" s="12"/>
      <c r="U503" s="12"/>
      <c r="V503" s="12"/>
      <c r="W503" s="12"/>
      <c r="X503" s="12"/>
    </row>
    <row r="504" customFormat="false" ht="15.75" hidden="false" customHeight="false" outlineLevel="0" collapsed="false">
      <c r="A504" s="12"/>
      <c r="B504" s="34"/>
      <c r="C504" s="12"/>
      <c r="D504" s="12"/>
      <c r="E504" s="12"/>
      <c r="F504" s="12"/>
      <c r="G504" s="18"/>
      <c r="H504" s="35"/>
      <c r="I504" s="12"/>
      <c r="M504" s="12"/>
      <c r="N504" s="18"/>
      <c r="O504" s="12"/>
      <c r="P504" s="12"/>
      <c r="Q504" s="12"/>
      <c r="R504" s="36"/>
      <c r="S504" s="36"/>
      <c r="T504" s="12"/>
      <c r="U504" s="12"/>
      <c r="V504" s="12"/>
      <c r="W504" s="12"/>
      <c r="X504" s="12"/>
    </row>
    <row r="505" customFormat="false" ht="15.75" hidden="false" customHeight="false" outlineLevel="0" collapsed="false">
      <c r="A505" s="12"/>
      <c r="B505" s="34"/>
      <c r="C505" s="12"/>
      <c r="D505" s="12"/>
      <c r="E505" s="12"/>
      <c r="F505" s="12"/>
      <c r="G505" s="18"/>
      <c r="H505" s="35"/>
      <c r="I505" s="12"/>
      <c r="M505" s="12"/>
      <c r="N505" s="18"/>
      <c r="O505" s="12"/>
      <c r="P505" s="12"/>
      <c r="Q505" s="12"/>
      <c r="R505" s="36"/>
      <c r="S505" s="36"/>
      <c r="T505" s="12"/>
      <c r="U505" s="12"/>
      <c r="V505" s="12"/>
      <c r="W505" s="12"/>
      <c r="X505" s="12"/>
    </row>
    <row r="506" customFormat="false" ht="15.75" hidden="false" customHeight="false" outlineLevel="0" collapsed="false">
      <c r="A506" s="12"/>
      <c r="B506" s="34"/>
      <c r="C506" s="12"/>
      <c r="D506" s="12"/>
      <c r="E506" s="12"/>
      <c r="F506" s="12"/>
      <c r="G506" s="18"/>
      <c r="H506" s="35"/>
      <c r="I506" s="12"/>
      <c r="M506" s="12"/>
      <c r="N506" s="18"/>
      <c r="O506" s="12"/>
      <c r="P506" s="12"/>
      <c r="Q506" s="12"/>
      <c r="R506" s="36"/>
      <c r="S506" s="36"/>
      <c r="T506" s="12"/>
      <c r="U506" s="12"/>
      <c r="V506" s="12"/>
      <c r="W506" s="12"/>
      <c r="X506" s="12"/>
    </row>
    <row r="507" customFormat="false" ht="15.75" hidden="false" customHeight="false" outlineLevel="0" collapsed="false">
      <c r="A507" s="12"/>
      <c r="B507" s="34"/>
      <c r="C507" s="12"/>
      <c r="D507" s="12"/>
      <c r="E507" s="12"/>
      <c r="F507" s="12"/>
      <c r="G507" s="18"/>
      <c r="H507" s="35"/>
      <c r="I507" s="12"/>
      <c r="M507" s="12"/>
      <c r="N507" s="18"/>
      <c r="O507" s="12"/>
      <c r="P507" s="12"/>
      <c r="Q507" s="12"/>
      <c r="R507" s="36"/>
      <c r="S507" s="36"/>
      <c r="T507" s="12"/>
      <c r="U507" s="12"/>
      <c r="V507" s="12"/>
      <c r="W507" s="12"/>
      <c r="X507" s="12"/>
    </row>
    <row r="508" customFormat="false" ht="15.75" hidden="false" customHeight="false" outlineLevel="0" collapsed="false">
      <c r="A508" s="12"/>
      <c r="B508" s="34"/>
      <c r="C508" s="12"/>
      <c r="D508" s="12"/>
      <c r="E508" s="12"/>
      <c r="F508" s="12"/>
      <c r="G508" s="18"/>
      <c r="H508" s="35"/>
      <c r="I508" s="12"/>
      <c r="M508" s="12"/>
      <c r="N508" s="18"/>
      <c r="O508" s="12"/>
      <c r="P508" s="12"/>
      <c r="Q508" s="12"/>
      <c r="R508" s="36"/>
      <c r="S508" s="36"/>
      <c r="T508" s="12"/>
      <c r="U508" s="12"/>
      <c r="V508" s="12"/>
      <c r="W508" s="12"/>
      <c r="X508" s="12"/>
    </row>
    <row r="509" customFormat="false" ht="15.75" hidden="false" customHeight="false" outlineLevel="0" collapsed="false">
      <c r="A509" s="12"/>
      <c r="B509" s="34"/>
      <c r="C509" s="12"/>
      <c r="D509" s="12"/>
      <c r="E509" s="12"/>
      <c r="F509" s="12"/>
      <c r="G509" s="18"/>
      <c r="H509" s="35"/>
      <c r="I509" s="12"/>
      <c r="M509" s="12"/>
      <c r="N509" s="18"/>
      <c r="O509" s="12"/>
      <c r="P509" s="12"/>
      <c r="Q509" s="12"/>
      <c r="R509" s="36"/>
      <c r="S509" s="36"/>
      <c r="T509" s="12"/>
      <c r="U509" s="12"/>
      <c r="V509" s="12"/>
      <c r="W509" s="12"/>
      <c r="X509" s="12"/>
    </row>
    <row r="510" customFormat="false" ht="15.75" hidden="false" customHeight="false" outlineLevel="0" collapsed="false">
      <c r="A510" s="12"/>
      <c r="B510" s="34"/>
      <c r="C510" s="12"/>
      <c r="D510" s="12"/>
      <c r="E510" s="12"/>
      <c r="F510" s="12"/>
      <c r="G510" s="18"/>
      <c r="H510" s="35"/>
      <c r="I510" s="12"/>
      <c r="M510" s="12"/>
      <c r="N510" s="18"/>
      <c r="O510" s="12"/>
      <c r="P510" s="12"/>
      <c r="Q510" s="12"/>
      <c r="R510" s="36"/>
      <c r="S510" s="36"/>
      <c r="T510" s="12"/>
      <c r="U510" s="12"/>
      <c r="V510" s="12"/>
      <c r="W510" s="12"/>
      <c r="X510" s="12"/>
    </row>
    <row r="511" customFormat="false" ht="15.75" hidden="false" customHeight="false" outlineLevel="0" collapsed="false">
      <c r="A511" s="12"/>
      <c r="B511" s="34"/>
      <c r="C511" s="12"/>
      <c r="D511" s="12"/>
      <c r="E511" s="12"/>
      <c r="F511" s="12"/>
      <c r="G511" s="18"/>
      <c r="H511" s="35"/>
      <c r="I511" s="12"/>
      <c r="M511" s="12"/>
      <c r="N511" s="18"/>
      <c r="O511" s="12"/>
      <c r="P511" s="12"/>
      <c r="Q511" s="12"/>
      <c r="R511" s="36"/>
      <c r="S511" s="36"/>
      <c r="T511" s="12"/>
      <c r="U511" s="12"/>
      <c r="V511" s="12"/>
      <c r="W511" s="12"/>
      <c r="X511" s="12"/>
    </row>
    <row r="512" customFormat="false" ht="15.75" hidden="false" customHeight="false" outlineLevel="0" collapsed="false">
      <c r="A512" s="12"/>
      <c r="B512" s="34"/>
      <c r="C512" s="12"/>
      <c r="D512" s="12"/>
      <c r="E512" s="12"/>
      <c r="F512" s="12"/>
      <c r="G512" s="18"/>
      <c r="H512" s="35"/>
      <c r="I512" s="12"/>
      <c r="M512" s="12"/>
      <c r="N512" s="18"/>
      <c r="O512" s="12"/>
      <c r="P512" s="12"/>
      <c r="Q512" s="12"/>
      <c r="R512" s="36"/>
      <c r="S512" s="36"/>
      <c r="T512" s="12"/>
      <c r="U512" s="12"/>
      <c r="V512" s="12"/>
      <c r="W512" s="12"/>
      <c r="X512" s="12"/>
    </row>
    <row r="513" customFormat="false" ht="15.75" hidden="false" customHeight="false" outlineLevel="0" collapsed="false">
      <c r="A513" s="12"/>
      <c r="B513" s="34"/>
      <c r="C513" s="12"/>
      <c r="D513" s="12"/>
      <c r="E513" s="12"/>
      <c r="F513" s="12"/>
      <c r="G513" s="18"/>
      <c r="H513" s="35"/>
      <c r="I513" s="12"/>
      <c r="M513" s="12"/>
      <c r="N513" s="18"/>
      <c r="O513" s="12"/>
      <c r="P513" s="12"/>
      <c r="Q513" s="12"/>
      <c r="R513" s="36"/>
      <c r="S513" s="36"/>
      <c r="T513" s="12"/>
      <c r="U513" s="12"/>
      <c r="V513" s="12"/>
      <c r="W513" s="12"/>
      <c r="X513" s="12"/>
    </row>
    <row r="514" customFormat="false" ht="15.75" hidden="false" customHeight="false" outlineLevel="0" collapsed="false">
      <c r="A514" s="12"/>
      <c r="B514" s="34"/>
      <c r="C514" s="12"/>
      <c r="D514" s="12"/>
      <c r="E514" s="12"/>
      <c r="F514" s="12"/>
      <c r="G514" s="18"/>
      <c r="H514" s="35"/>
      <c r="I514" s="12"/>
      <c r="M514" s="12"/>
      <c r="N514" s="18"/>
      <c r="O514" s="12"/>
      <c r="P514" s="12"/>
      <c r="Q514" s="12"/>
      <c r="R514" s="36"/>
      <c r="S514" s="36"/>
      <c r="T514" s="12"/>
      <c r="U514" s="12"/>
      <c r="V514" s="12"/>
      <c r="W514" s="12"/>
      <c r="X514" s="12"/>
    </row>
    <row r="515" customFormat="false" ht="15.75" hidden="false" customHeight="false" outlineLevel="0" collapsed="false">
      <c r="A515" s="12"/>
      <c r="B515" s="34"/>
      <c r="C515" s="12"/>
      <c r="D515" s="12"/>
      <c r="E515" s="12"/>
      <c r="F515" s="12"/>
      <c r="G515" s="18"/>
      <c r="H515" s="35"/>
      <c r="I515" s="12"/>
      <c r="M515" s="12"/>
      <c r="N515" s="18"/>
      <c r="O515" s="12"/>
      <c r="P515" s="12"/>
      <c r="Q515" s="12"/>
      <c r="R515" s="36"/>
      <c r="S515" s="36"/>
      <c r="T515" s="12"/>
      <c r="U515" s="12"/>
      <c r="V515" s="12"/>
      <c r="W515" s="12"/>
      <c r="X515" s="12"/>
    </row>
    <row r="516" customFormat="false" ht="15.75" hidden="false" customHeight="false" outlineLevel="0" collapsed="false">
      <c r="A516" s="12"/>
      <c r="B516" s="34"/>
      <c r="C516" s="12"/>
      <c r="D516" s="12"/>
      <c r="E516" s="12"/>
      <c r="F516" s="12"/>
      <c r="G516" s="18"/>
      <c r="H516" s="35"/>
      <c r="I516" s="12"/>
      <c r="M516" s="12"/>
      <c r="N516" s="18"/>
      <c r="O516" s="12"/>
      <c r="P516" s="12"/>
      <c r="Q516" s="12"/>
      <c r="R516" s="36"/>
      <c r="S516" s="36"/>
      <c r="T516" s="12"/>
      <c r="U516" s="12"/>
      <c r="V516" s="12"/>
      <c r="W516" s="12"/>
      <c r="X516" s="12"/>
    </row>
    <row r="517" customFormat="false" ht="15.75" hidden="false" customHeight="false" outlineLevel="0" collapsed="false">
      <c r="A517" s="12"/>
      <c r="B517" s="34"/>
      <c r="C517" s="12"/>
      <c r="D517" s="12"/>
      <c r="E517" s="12"/>
      <c r="F517" s="12"/>
      <c r="G517" s="18"/>
      <c r="H517" s="35"/>
      <c r="I517" s="12"/>
      <c r="M517" s="12"/>
      <c r="N517" s="18"/>
      <c r="O517" s="12"/>
      <c r="P517" s="12"/>
      <c r="Q517" s="12"/>
      <c r="R517" s="36"/>
      <c r="S517" s="36"/>
      <c r="T517" s="12"/>
      <c r="U517" s="12"/>
      <c r="V517" s="12"/>
      <c r="W517" s="12"/>
      <c r="X517" s="12"/>
    </row>
    <row r="518" customFormat="false" ht="15.75" hidden="false" customHeight="false" outlineLevel="0" collapsed="false">
      <c r="A518" s="12"/>
      <c r="B518" s="34"/>
      <c r="C518" s="12"/>
      <c r="D518" s="12"/>
      <c r="E518" s="12"/>
      <c r="F518" s="12"/>
      <c r="G518" s="18"/>
      <c r="H518" s="35"/>
      <c r="I518" s="12"/>
      <c r="M518" s="12"/>
      <c r="N518" s="18"/>
      <c r="O518" s="12"/>
      <c r="P518" s="12"/>
      <c r="Q518" s="12"/>
      <c r="R518" s="36"/>
      <c r="S518" s="36"/>
      <c r="T518" s="12"/>
      <c r="U518" s="12"/>
      <c r="V518" s="12"/>
      <c r="W518" s="12"/>
      <c r="X518" s="12"/>
    </row>
    <row r="519" customFormat="false" ht="15.75" hidden="false" customHeight="false" outlineLevel="0" collapsed="false">
      <c r="A519" s="12"/>
      <c r="B519" s="34"/>
      <c r="C519" s="12"/>
      <c r="D519" s="12"/>
      <c r="E519" s="12"/>
      <c r="F519" s="12"/>
      <c r="G519" s="18"/>
      <c r="H519" s="35"/>
      <c r="I519" s="12"/>
      <c r="M519" s="12"/>
      <c r="N519" s="18"/>
      <c r="O519" s="12"/>
      <c r="P519" s="12"/>
      <c r="Q519" s="12"/>
      <c r="R519" s="36"/>
      <c r="S519" s="36"/>
      <c r="T519" s="12"/>
      <c r="U519" s="12"/>
      <c r="V519" s="12"/>
      <c r="W519" s="12"/>
      <c r="X519" s="12"/>
    </row>
    <row r="520" customFormat="false" ht="15.75" hidden="false" customHeight="false" outlineLevel="0" collapsed="false">
      <c r="A520" s="12"/>
      <c r="B520" s="34"/>
      <c r="C520" s="12"/>
      <c r="D520" s="12"/>
      <c r="E520" s="12"/>
      <c r="F520" s="12"/>
      <c r="G520" s="18"/>
      <c r="H520" s="35"/>
      <c r="I520" s="12"/>
      <c r="M520" s="12"/>
      <c r="N520" s="18"/>
      <c r="O520" s="12"/>
      <c r="P520" s="12"/>
      <c r="Q520" s="12"/>
      <c r="R520" s="36"/>
      <c r="S520" s="36"/>
      <c r="T520" s="12"/>
      <c r="U520" s="12"/>
      <c r="V520" s="12"/>
      <c r="W520" s="12"/>
      <c r="X520" s="12"/>
    </row>
    <row r="521" customFormat="false" ht="15.75" hidden="false" customHeight="false" outlineLevel="0" collapsed="false">
      <c r="A521" s="12"/>
      <c r="B521" s="34"/>
      <c r="C521" s="12"/>
      <c r="D521" s="12"/>
      <c r="E521" s="12"/>
      <c r="F521" s="12"/>
      <c r="G521" s="18"/>
      <c r="H521" s="35"/>
      <c r="I521" s="12"/>
      <c r="M521" s="12"/>
      <c r="N521" s="18"/>
      <c r="O521" s="12"/>
      <c r="P521" s="12"/>
      <c r="Q521" s="12"/>
      <c r="R521" s="36"/>
      <c r="S521" s="36"/>
      <c r="T521" s="12"/>
      <c r="U521" s="12"/>
      <c r="V521" s="12"/>
      <c r="W521" s="12"/>
      <c r="X521" s="12"/>
    </row>
    <row r="522" customFormat="false" ht="15.75" hidden="false" customHeight="false" outlineLevel="0" collapsed="false">
      <c r="A522" s="12"/>
      <c r="B522" s="34"/>
      <c r="C522" s="12"/>
      <c r="D522" s="12"/>
      <c r="E522" s="12"/>
      <c r="F522" s="12"/>
      <c r="G522" s="18"/>
      <c r="H522" s="35"/>
      <c r="I522" s="12"/>
      <c r="M522" s="12"/>
      <c r="N522" s="18"/>
      <c r="O522" s="12"/>
      <c r="P522" s="12"/>
      <c r="Q522" s="12"/>
      <c r="R522" s="36"/>
      <c r="S522" s="36"/>
      <c r="T522" s="12"/>
      <c r="U522" s="12"/>
      <c r="V522" s="12"/>
      <c r="W522" s="12"/>
      <c r="X522" s="12"/>
    </row>
    <row r="523" customFormat="false" ht="15.75" hidden="false" customHeight="false" outlineLevel="0" collapsed="false">
      <c r="A523" s="12"/>
      <c r="B523" s="34"/>
      <c r="C523" s="12"/>
      <c r="D523" s="12"/>
      <c r="E523" s="12"/>
      <c r="F523" s="12"/>
      <c r="G523" s="18"/>
      <c r="H523" s="35"/>
      <c r="I523" s="12"/>
      <c r="M523" s="12"/>
      <c r="N523" s="18"/>
      <c r="O523" s="12"/>
      <c r="P523" s="12"/>
      <c r="Q523" s="12"/>
      <c r="R523" s="36"/>
      <c r="S523" s="36"/>
      <c r="T523" s="12"/>
      <c r="U523" s="12"/>
      <c r="V523" s="12"/>
      <c r="W523" s="12"/>
      <c r="X523" s="12"/>
    </row>
    <row r="524" customFormat="false" ht="15.75" hidden="false" customHeight="false" outlineLevel="0" collapsed="false">
      <c r="A524" s="12"/>
      <c r="B524" s="34"/>
      <c r="C524" s="12"/>
      <c r="D524" s="12"/>
      <c r="E524" s="12"/>
      <c r="F524" s="12"/>
      <c r="G524" s="18"/>
      <c r="H524" s="35"/>
      <c r="I524" s="12"/>
      <c r="M524" s="12"/>
      <c r="N524" s="18"/>
      <c r="O524" s="12"/>
      <c r="P524" s="12"/>
      <c r="Q524" s="12"/>
      <c r="R524" s="36"/>
      <c r="S524" s="36"/>
      <c r="T524" s="12"/>
      <c r="U524" s="12"/>
      <c r="V524" s="12"/>
      <c r="W524" s="12"/>
      <c r="X524" s="12"/>
    </row>
    <row r="525" customFormat="false" ht="15.75" hidden="false" customHeight="false" outlineLevel="0" collapsed="false">
      <c r="A525" s="12"/>
      <c r="B525" s="34"/>
      <c r="C525" s="12"/>
      <c r="D525" s="12"/>
      <c r="E525" s="12"/>
      <c r="F525" s="12"/>
      <c r="G525" s="18"/>
      <c r="H525" s="35"/>
      <c r="I525" s="12"/>
      <c r="M525" s="12"/>
      <c r="N525" s="18"/>
      <c r="O525" s="12"/>
      <c r="P525" s="12"/>
      <c r="Q525" s="12"/>
      <c r="R525" s="36"/>
      <c r="S525" s="36"/>
      <c r="T525" s="12"/>
      <c r="U525" s="12"/>
      <c r="V525" s="12"/>
      <c r="W525" s="12"/>
      <c r="X525" s="12"/>
    </row>
    <row r="526" customFormat="false" ht="15.75" hidden="false" customHeight="false" outlineLevel="0" collapsed="false">
      <c r="A526" s="12"/>
      <c r="B526" s="34"/>
      <c r="C526" s="12"/>
      <c r="D526" s="12"/>
      <c r="E526" s="12"/>
      <c r="F526" s="12"/>
      <c r="G526" s="18"/>
      <c r="H526" s="35"/>
      <c r="I526" s="12"/>
      <c r="M526" s="12"/>
      <c r="N526" s="18"/>
      <c r="O526" s="12"/>
      <c r="P526" s="12"/>
      <c r="Q526" s="12"/>
      <c r="R526" s="36"/>
      <c r="S526" s="36"/>
      <c r="T526" s="12"/>
      <c r="U526" s="12"/>
      <c r="V526" s="12"/>
      <c r="W526" s="12"/>
      <c r="X526" s="12"/>
    </row>
    <row r="527" customFormat="false" ht="15.75" hidden="false" customHeight="false" outlineLevel="0" collapsed="false">
      <c r="A527" s="12"/>
      <c r="B527" s="34"/>
      <c r="C527" s="12"/>
      <c r="D527" s="12"/>
      <c r="E527" s="12"/>
      <c r="F527" s="12"/>
      <c r="G527" s="18"/>
      <c r="H527" s="35"/>
      <c r="I527" s="12"/>
      <c r="M527" s="12"/>
      <c r="N527" s="18"/>
      <c r="O527" s="12"/>
      <c r="P527" s="12"/>
      <c r="Q527" s="12"/>
      <c r="R527" s="36"/>
      <c r="S527" s="36"/>
      <c r="T527" s="12"/>
      <c r="U527" s="12"/>
      <c r="V527" s="12"/>
      <c r="W527" s="12"/>
      <c r="X527" s="12"/>
    </row>
    <row r="528" customFormat="false" ht="15.75" hidden="false" customHeight="false" outlineLevel="0" collapsed="false">
      <c r="A528" s="12"/>
      <c r="B528" s="34"/>
      <c r="C528" s="12"/>
      <c r="D528" s="12"/>
      <c r="E528" s="12"/>
      <c r="F528" s="12"/>
      <c r="G528" s="18"/>
      <c r="H528" s="35"/>
      <c r="I528" s="12"/>
      <c r="M528" s="12"/>
      <c r="N528" s="18"/>
      <c r="O528" s="12"/>
      <c r="P528" s="12"/>
      <c r="Q528" s="12"/>
      <c r="R528" s="36"/>
      <c r="S528" s="36"/>
      <c r="T528" s="12"/>
      <c r="U528" s="12"/>
      <c r="V528" s="12"/>
      <c r="W528" s="12"/>
      <c r="X528" s="12"/>
    </row>
    <row r="529" customFormat="false" ht="15.75" hidden="false" customHeight="false" outlineLevel="0" collapsed="false">
      <c r="A529" s="12"/>
      <c r="B529" s="34"/>
      <c r="C529" s="12"/>
      <c r="D529" s="12"/>
      <c r="E529" s="12"/>
      <c r="F529" s="12"/>
      <c r="G529" s="18"/>
      <c r="H529" s="35"/>
      <c r="I529" s="12"/>
      <c r="M529" s="12"/>
      <c r="N529" s="18"/>
      <c r="O529" s="12"/>
      <c r="P529" s="12"/>
      <c r="Q529" s="12"/>
      <c r="R529" s="36"/>
      <c r="S529" s="36"/>
      <c r="T529" s="12"/>
      <c r="U529" s="12"/>
      <c r="V529" s="12"/>
      <c r="W529" s="12"/>
      <c r="X529" s="12"/>
    </row>
    <row r="530" customFormat="false" ht="15.75" hidden="false" customHeight="false" outlineLevel="0" collapsed="false">
      <c r="A530" s="12"/>
      <c r="B530" s="34"/>
      <c r="C530" s="12"/>
      <c r="D530" s="12"/>
      <c r="E530" s="12"/>
      <c r="F530" s="12"/>
      <c r="G530" s="18"/>
      <c r="H530" s="35"/>
      <c r="I530" s="12"/>
      <c r="M530" s="12"/>
      <c r="N530" s="18"/>
      <c r="O530" s="12"/>
      <c r="P530" s="12"/>
      <c r="Q530" s="12"/>
      <c r="R530" s="36"/>
      <c r="S530" s="36"/>
      <c r="T530" s="12"/>
      <c r="U530" s="12"/>
      <c r="V530" s="12"/>
      <c r="W530" s="12"/>
      <c r="X530" s="12"/>
    </row>
    <row r="531" customFormat="false" ht="15.75" hidden="false" customHeight="false" outlineLevel="0" collapsed="false">
      <c r="A531" s="12"/>
      <c r="B531" s="34"/>
      <c r="C531" s="12"/>
      <c r="D531" s="12"/>
      <c r="E531" s="12"/>
      <c r="F531" s="12"/>
      <c r="G531" s="18"/>
      <c r="H531" s="35"/>
      <c r="I531" s="12"/>
      <c r="M531" s="12"/>
      <c r="N531" s="18"/>
      <c r="O531" s="12"/>
      <c r="P531" s="12"/>
      <c r="Q531" s="12"/>
      <c r="R531" s="36"/>
      <c r="S531" s="36"/>
      <c r="T531" s="12"/>
      <c r="U531" s="12"/>
      <c r="V531" s="12"/>
      <c r="W531" s="12"/>
      <c r="X531" s="12"/>
    </row>
    <row r="532" customFormat="false" ht="15.75" hidden="false" customHeight="false" outlineLevel="0" collapsed="false">
      <c r="A532" s="12"/>
      <c r="B532" s="34"/>
      <c r="C532" s="12"/>
      <c r="D532" s="12"/>
      <c r="E532" s="12"/>
      <c r="F532" s="12"/>
      <c r="G532" s="18"/>
      <c r="H532" s="35"/>
      <c r="I532" s="12"/>
      <c r="M532" s="12"/>
      <c r="N532" s="18"/>
      <c r="O532" s="12"/>
      <c r="P532" s="12"/>
      <c r="Q532" s="12"/>
      <c r="R532" s="36"/>
      <c r="S532" s="36"/>
      <c r="T532" s="12"/>
      <c r="U532" s="12"/>
      <c r="V532" s="12"/>
      <c r="W532" s="12"/>
      <c r="X532" s="12"/>
    </row>
    <row r="533" customFormat="false" ht="15.75" hidden="false" customHeight="false" outlineLevel="0" collapsed="false">
      <c r="A533" s="12"/>
      <c r="B533" s="34"/>
      <c r="C533" s="12"/>
      <c r="D533" s="12"/>
      <c r="E533" s="12"/>
      <c r="F533" s="12"/>
      <c r="G533" s="18"/>
      <c r="H533" s="35"/>
      <c r="I533" s="12"/>
      <c r="M533" s="12"/>
      <c r="N533" s="18"/>
      <c r="O533" s="12"/>
      <c r="P533" s="12"/>
      <c r="Q533" s="12"/>
      <c r="R533" s="36"/>
      <c r="S533" s="36"/>
      <c r="T533" s="12"/>
      <c r="U533" s="12"/>
      <c r="V533" s="12"/>
      <c r="W533" s="12"/>
      <c r="X533" s="12"/>
    </row>
    <row r="534" customFormat="false" ht="15.75" hidden="false" customHeight="false" outlineLevel="0" collapsed="false">
      <c r="A534" s="12"/>
      <c r="B534" s="34"/>
      <c r="C534" s="12"/>
      <c r="D534" s="12"/>
      <c r="E534" s="12"/>
      <c r="F534" s="12"/>
      <c r="G534" s="18"/>
      <c r="H534" s="35"/>
      <c r="I534" s="12"/>
      <c r="M534" s="12"/>
      <c r="N534" s="18"/>
      <c r="O534" s="12"/>
      <c r="P534" s="12"/>
      <c r="Q534" s="12"/>
      <c r="R534" s="36"/>
      <c r="S534" s="36"/>
      <c r="T534" s="12"/>
      <c r="U534" s="12"/>
      <c r="V534" s="12"/>
      <c r="W534" s="12"/>
      <c r="X534" s="12"/>
    </row>
    <row r="535" customFormat="false" ht="15.75" hidden="false" customHeight="false" outlineLevel="0" collapsed="false">
      <c r="A535" s="12"/>
      <c r="B535" s="34"/>
      <c r="C535" s="12"/>
      <c r="D535" s="12"/>
      <c r="E535" s="12"/>
      <c r="F535" s="12"/>
      <c r="G535" s="18"/>
      <c r="H535" s="35"/>
      <c r="I535" s="12"/>
      <c r="M535" s="12"/>
      <c r="N535" s="18"/>
      <c r="O535" s="12"/>
      <c r="P535" s="12"/>
      <c r="Q535" s="12"/>
      <c r="R535" s="36"/>
      <c r="S535" s="36"/>
      <c r="T535" s="12"/>
      <c r="U535" s="12"/>
      <c r="V535" s="12"/>
      <c r="W535" s="12"/>
      <c r="X535" s="12"/>
    </row>
    <row r="536" customFormat="false" ht="15.75" hidden="false" customHeight="false" outlineLevel="0" collapsed="false">
      <c r="A536" s="12"/>
      <c r="B536" s="34"/>
      <c r="C536" s="12"/>
      <c r="D536" s="12"/>
      <c r="E536" s="12"/>
      <c r="F536" s="12"/>
      <c r="G536" s="18"/>
      <c r="H536" s="35"/>
      <c r="I536" s="12"/>
      <c r="M536" s="12"/>
      <c r="N536" s="18"/>
      <c r="O536" s="12"/>
      <c r="P536" s="12"/>
      <c r="Q536" s="12"/>
      <c r="R536" s="36"/>
      <c r="S536" s="36"/>
      <c r="T536" s="12"/>
      <c r="U536" s="12"/>
      <c r="V536" s="12"/>
      <c r="W536" s="12"/>
      <c r="X536" s="12"/>
    </row>
    <row r="537" customFormat="false" ht="15.75" hidden="false" customHeight="false" outlineLevel="0" collapsed="false">
      <c r="A537" s="12"/>
      <c r="B537" s="34"/>
      <c r="C537" s="12"/>
      <c r="D537" s="12"/>
      <c r="E537" s="12"/>
      <c r="F537" s="12"/>
      <c r="G537" s="18"/>
      <c r="H537" s="35"/>
      <c r="I537" s="12"/>
      <c r="M537" s="12"/>
      <c r="N537" s="18"/>
      <c r="O537" s="12"/>
      <c r="P537" s="12"/>
      <c r="Q537" s="12"/>
      <c r="R537" s="36"/>
      <c r="S537" s="36"/>
      <c r="T537" s="12"/>
      <c r="U537" s="12"/>
      <c r="V537" s="12"/>
      <c r="W537" s="12"/>
      <c r="X537" s="12"/>
    </row>
    <row r="538" customFormat="false" ht="15.75" hidden="false" customHeight="false" outlineLevel="0" collapsed="false">
      <c r="A538" s="12"/>
      <c r="B538" s="34"/>
      <c r="C538" s="12"/>
      <c r="D538" s="12"/>
      <c r="E538" s="12"/>
      <c r="F538" s="12"/>
      <c r="G538" s="18"/>
      <c r="H538" s="35"/>
      <c r="I538" s="12"/>
      <c r="M538" s="12"/>
      <c r="N538" s="18"/>
      <c r="O538" s="12"/>
      <c r="P538" s="12"/>
      <c r="Q538" s="12"/>
      <c r="R538" s="36"/>
      <c r="S538" s="36"/>
      <c r="T538" s="12"/>
      <c r="U538" s="12"/>
      <c r="V538" s="12"/>
      <c r="W538" s="12"/>
      <c r="X538" s="12"/>
    </row>
    <row r="539" customFormat="false" ht="15.75" hidden="false" customHeight="false" outlineLevel="0" collapsed="false">
      <c r="A539" s="12"/>
      <c r="B539" s="34"/>
      <c r="C539" s="12"/>
      <c r="D539" s="12"/>
      <c r="E539" s="12"/>
      <c r="F539" s="12"/>
      <c r="G539" s="18"/>
      <c r="H539" s="35"/>
      <c r="I539" s="12"/>
      <c r="M539" s="12"/>
      <c r="N539" s="18"/>
      <c r="O539" s="12"/>
      <c r="P539" s="12"/>
      <c r="Q539" s="12"/>
      <c r="R539" s="36"/>
      <c r="S539" s="36"/>
      <c r="T539" s="12"/>
      <c r="U539" s="12"/>
      <c r="V539" s="12"/>
      <c r="W539" s="12"/>
      <c r="X539" s="12"/>
    </row>
    <row r="540" customFormat="false" ht="15.75" hidden="false" customHeight="false" outlineLevel="0" collapsed="false">
      <c r="A540" s="12"/>
      <c r="B540" s="34"/>
      <c r="C540" s="12"/>
      <c r="D540" s="12"/>
      <c r="E540" s="12"/>
      <c r="F540" s="12"/>
      <c r="G540" s="18"/>
      <c r="H540" s="35"/>
      <c r="I540" s="12"/>
      <c r="M540" s="12"/>
      <c r="N540" s="18"/>
      <c r="O540" s="12"/>
      <c r="P540" s="12"/>
      <c r="Q540" s="12"/>
      <c r="R540" s="36"/>
      <c r="S540" s="36"/>
      <c r="T540" s="12"/>
      <c r="U540" s="12"/>
      <c r="V540" s="12"/>
      <c r="W540" s="12"/>
      <c r="X540" s="12"/>
    </row>
    <row r="541" customFormat="false" ht="15.75" hidden="false" customHeight="false" outlineLevel="0" collapsed="false">
      <c r="A541" s="12"/>
      <c r="B541" s="34"/>
      <c r="C541" s="12"/>
      <c r="D541" s="12"/>
      <c r="E541" s="12"/>
      <c r="F541" s="12"/>
      <c r="G541" s="18"/>
      <c r="H541" s="35"/>
      <c r="I541" s="12"/>
      <c r="M541" s="12"/>
      <c r="N541" s="18"/>
      <c r="O541" s="12"/>
      <c r="P541" s="12"/>
      <c r="Q541" s="12"/>
      <c r="R541" s="36"/>
      <c r="S541" s="36"/>
      <c r="T541" s="12"/>
      <c r="U541" s="12"/>
      <c r="V541" s="12"/>
      <c r="W541" s="12"/>
      <c r="X541" s="12"/>
    </row>
    <row r="542" customFormat="false" ht="15.75" hidden="false" customHeight="false" outlineLevel="0" collapsed="false">
      <c r="A542" s="12"/>
      <c r="B542" s="34"/>
      <c r="C542" s="12"/>
      <c r="D542" s="12"/>
      <c r="E542" s="12"/>
      <c r="F542" s="12"/>
      <c r="G542" s="18"/>
      <c r="H542" s="35"/>
      <c r="I542" s="12"/>
      <c r="M542" s="12"/>
      <c r="N542" s="18"/>
      <c r="O542" s="12"/>
      <c r="P542" s="12"/>
      <c r="Q542" s="12"/>
      <c r="R542" s="36"/>
      <c r="S542" s="36"/>
      <c r="T542" s="12"/>
      <c r="U542" s="12"/>
      <c r="V542" s="12"/>
      <c r="W542" s="12"/>
      <c r="X542" s="12"/>
    </row>
    <row r="543" customFormat="false" ht="15.75" hidden="false" customHeight="false" outlineLevel="0" collapsed="false">
      <c r="A543" s="12"/>
      <c r="B543" s="34"/>
      <c r="C543" s="12"/>
      <c r="D543" s="12"/>
      <c r="E543" s="12"/>
      <c r="F543" s="12"/>
      <c r="G543" s="18"/>
      <c r="H543" s="35"/>
      <c r="I543" s="12"/>
      <c r="M543" s="12"/>
      <c r="N543" s="18"/>
      <c r="O543" s="12"/>
      <c r="P543" s="12"/>
      <c r="Q543" s="12"/>
      <c r="R543" s="36"/>
      <c r="S543" s="36"/>
      <c r="T543" s="12"/>
      <c r="U543" s="12"/>
      <c r="V543" s="12"/>
      <c r="W543" s="12"/>
      <c r="X543" s="12"/>
    </row>
    <row r="544" customFormat="false" ht="15.75" hidden="false" customHeight="false" outlineLevel="0" collapsed="false">
      <c r="A544" s="12"/>
      <c r="B544" s="34"/>
      <c r="C544" s="12"/>
      <c r="D544" s="12"/>
      <c r="E544" s="12"/>
      <c r="F544" s="12"/>
      <c r="G544" s="18"/>
      <c r="H544" s="35"/>
      <c r="I544" s="12"/>
      <c r="M544" s="12"/>
      <c r="N544" s="18"/>
      <c r="O544" s="12"/>
      <c r="P544" s="12"/>
      <c r="Q544" s="12"/>
      <c r="R544" s="36"/>
      <c r="S544" s="36"/>
      <c r="T544" s="12"/>
      <c r="U544" s="12"/>
      <c r="V544" s="12"/>
      <c r="W544" s="12"/>
      <c r="X544" s="12"/>
    </row>
    <row r="545" customFormat="false" ht="15.75" hidden="false" customHeight="false" outlineLevel="0" collapsed="false">
      <c r="A545" s="12"/>
      <c r="B545" s="34"/>
      <c r="C545" s="12"/>
      <c r="D545" s="12"/>
      <c r="E545" s="12"/>
      <c r="F545" s="12"/>
      <c r="G545" s="18"/>
      <c r="H545" s="35"/>
      <c r="I545" s="12"/>
      <c r="M545" s="12"/>
      <c r="N545" s="18"/>
      <c r="O545" s="12"/>
      <c r="P545" s="12"/>
      <c r="Q545" s="12"/>
      <c r="R545" s="36"/>
      <c r="S545" s="36"/>
      <c r="T545" s="12"/>
      <c r="U545" s="12"/>
      <c r="V545" s="12"/>
      <c r="W545" s="12"/>
      <c r="X545" s="12"/>
    </row>
    <row r="546" customFormat="false" ht="15.75" hidden="false" customHeight="false" outlineLevel="0" collapsed="false">
      <c r="A546" s="12"/>
      <c r="B546" s="34"/>
      <c r="C546" s="12"/>
      <c r="D546" s="12"/>
      <c r="E546" s="12"/>
      <c r="F546" s="12"/>
      <c r="G546" s="18"/>
      <c r="H546" s="35"/>
      <c r="I546" s="12"/>
      <c r="M546" s="12"/>
      <c r="N546" s="18"/>
      <c r="O546" s="12"/>
      <c r="P546" s="12"/>
      <c r="Q546" s="12"/>
      <c r="R546" s="36"/>
      <c r="S546" s="36"/>
      <c r="T546" s="12"/>
      <c r="U546" s="12"/>
      <c r="V546" s="12"/>
      <c r="W546" s="12"/>
      <c r="X546" s="12"/>
    </row>
    <row r="547" customFormat="false" ht="15.75" hidden="false" customHeight="false" outlineLevel="0" collapsed="false">
      <c r="A547" s="12"/>
      <c r="B547" s="34"/>
      <c r="C547" s="12"/>
      <c r="D547" s="12"/>
      <c r="E547" s="12"/>
      <c r="F547" s="12"/>
      <c r="G547" s="18"/>
      <c r="H547" s="35"/>
      <c r="I547" s="12"/>
      <c r="M547" s="12"/>
      <c r="N547" s="18"/>
      <c r="O547" s="12"/>
      <c r="P547" s="12"/>
      <c r="Q547" s="12"/>
      <c r="R547" s="36"/>
      <c r="S547" s="36"/>
      <c r="T547" s="12"/>
      <c r="U547" s="12"/>
      <c r="V547" s="12"/>
      <c r="W547" s="12"/>
      <c r="X547" s="12"/>
    </row>
    <row r="548" customFormat="false" ht="15.75" hidden="false" customHeight="false" outlineLevel="0" collapsed="false">
      <c r="A548" s="12"/>
      <c r="B548" s="34"/>
      <c r="C548" s="12"/>
      <c r="D548" s="12"/>
      <c r="E548" s="12"/>
      <c r="F548" s="12"/>
      <c r="G548" s="18"/>
      <c r="H548" s="35"/>
      <c r="I548" s="12"/>
      <c r="M548" s="12"/>
      <c r="N548" s="18"/>
      <c r="O548" s="12"/>
      <c r="P548" s="12"/>
      <c r="Q548" s="12"/>
      <c r="R548" s="36"/>
      <c r="S548" s="36"/>
      <c r="T548" s="12"/>
      <c r="U548" s="12"/>
      <c r="V548" s="12"/>
      <c r="W548" s="12"/>
      <c r="X548" s="12"/>
    </row>
    <row r="549" customFormat="false" ht="15.75" hidden="false" customHeight="false" outlineLevel="0" collapsed="false">
      <c r="A549" s="12"/>
      <c r="B549" s="34"/>
      <c r="C549" s="12"/>
      <c r="D549" s="12"/>
      <c r="E549" s="12"/>
      <c r="F549" s="12"/>
      <c r="G549" s="18"/>
      <c r="H549" s="35"/>
      <c r="I549" s="12"/>
      <c r="M549" s="12"/>
      <c r="N549" s="18"/>
      <c r="O549" s="12"/>
      <c r="P549" s="12"/>
      <c r="Q549" s="12"/>
      <c r="R549" s="36"/>
      <c r="S549" s="36"/>
      <c r="T549" s="12"/>
      <c r="U549" s="12"/>
      <c r="V549" s="12"/>
      <c r="W549" s="12"/>
      <c r="X549" s="12"/>
    </row>
    <row r="550" customFormat="false" ht="15.75" hidden="false" customHeight="false" outlineLevel="0" collapsed="false">
      <c r="A550" s="12"/>
      <c r="B550" s="34"/>
      <c r="C550" s="12"/>
      <c r="D550" s="12"/>
      <c r="E550" s="12"/>
      <c r="F550" s="12"/>
      <c r="G550" s="18"/>
      <c r="H550" s="35"/>
      <c r="I550" s="12"/>
      <c r="M550" s="12"/>
      <c r="N550" s="18"/>
      <c r="O550" s="12"/>
      <c r="P550" s="12"/>
      <c r="Q550" s="12"/>
      <c r="R550" s="36"/>
      <c r="S550" s="36"/>
      <c r="T550" s="12"/>
      <c r="U550" s="12"/>
      <c r="V550" s="12"/>
      <c r="W550" s="12"/>
      <c r="X550" s="12"/>
    </row>
    <row r="551" customFormat="false" ht="15.75" hidden="false" customHeight="false" outlineLevel="0" collapsed="false">
      <c r="A551" s="12"/>
      <c r="B551" s="34"/>
      <c r="C551" s="12"/>
      <c r="D551" s="12"/>
      <c r="E551" s="12"/>
      <c r="F551" s="12"/>
      <c r="G551" s="18"/>
      <c r="H551" s="35"/>
      <c r="I551" s="12"/>
      <c r="M551" s="12"/>
      <c r="N551" s="18"/>
      <c r="O551" s="12"/>
      <c r="P551" s="12"/>
      <c r="Q551" s="12"/>
      <c r="R551" s="36"/>
      <c r="S551" s="36"/>
      <c r="T551" s="12"/>
      <c r="U551" s="12"/>
      <c r="V551" s="12"/>
      <c r="W551" s="12"/>
      <c r="X551" s="12"/>
    </row>
    <row r="552" customFormat="false" ht="15.75" hidden="false" customHeight="false" outlineLevel="0" collapsed="false">
      <c r="A552" s="12"/>
      <c r="B552" s="34"/>
      <c r="C552" s="12"/>
      <c r="D552" s="12"/>
      <c r="E552" s="12"/>
      <c r="F552" s="12"/>
      <c r="G552" s="18"/>
      <c r="H552" s="35"/>
      <c r="I552" s="12"/>
      <c r="M552" s="12"/>
      <c r="N552" s="18"/>
      <c r="O552" s="12"/>
      <c r="P552" s="12"/>
      <c r="Q552" s="12"/>
      <c r="R552" s="36"/>
      <c r="S552" s="36"/>
      <c r="T552" s="12"/>
      <c r="U552" s="12"/>
      <c r="V552" s="12"/>
      <c r="W552" s="12"/>
      <c r="X552" s="12"/>
    </row>
    <row r="553" customFormat="false" ht="15.75" hidden="false" customHeight="false" outlineLevel="0" collapsed="false">
      <c r="A553" s="12"/>
      <c r="B553" s="34"/>
      <c r="C553" s="12"/>
      <c r="D553" s="12"/>
      <c r="E553" s="12"/>
      <c r="F553" s="12"/>
      <c r="G553" s="18"/>
      <c r="H553" s="35"/>
      <c r="I553" s="12"/>
      <c r="M553" s="12"/>
      <c r="N553" s="18"/>
      <c r="O553" s="12"/>
      <c r="P553" s="12"/>
      <c r="Q553" s="12"/>
      <c r="R553" s="36"/>
      <c r="S553" s="36"/>
      <c r="T553" s="12"/>
      <c r="U553" s="12"/>
      <c r="V553" s="12"/>
      <c r="W553" s="12"/>
      <c r="X553" s="12"/>
    </row>
    <row r="554" customFormat="false" ht="15.75" hidden="false" customHeight="false" outlineLevel="0" collapsed="false">
      <c r="A554" s="12"/>
      <c r="B554" s="34"/>
      <c r="C554" s="12"/>
      <c r="D554" s="12"/>
      <c r="E554" s="12"/>
      <c r="F554" s="12"/>
      <c r="G554" s="18"/>
      <c r="H554" s="35"/>
      <c r="I554" s="12"/>
      <c r="M554" s="12"/>
      <c r="N554" s="18"/>
      <c r="O554" s="12"/>
      <c r="P554" s="12"/>
      <c r="Q554" s="12"/>
      <c r="R554" s="36"/>
      <c r="S554" s="36"/>
      <c r="T554" s="12"/>
      <c r="U554" s="12"/>
      <c r="V554" s="12"/>
      <c r="W554" s="12"/>
      <c r="X554" s="12"/>
    </row>
    <row r="555" customFormat="false" ht="15.75" hidden="false" customHeight="false" outlineLevel="0" collapsed="false">
      <c r="A555" s="12"/>
      <c r="B555" s="34"/>
      <c r="C555" s="12"/>
      <c r="D555" s="12"/>
      <c r="E555" s="12"/>
      <c r="F555" s="12"/>
      <c r="G555" s="18"/>
      <c r="H555" s="35"/>
      <c r="I555" s="12"/>
      <c r="M555" s="12"/>
      <c r="N555" s="18"/>
      <c r="O555" s="12"/>
      <c r="P555" s="12"/>
      <c r="Q555" s="12"/>
      <c r="R555" s="36"/>
      <c r="S555" s="36"/>
      <c r="T555" s="12"/>
      <c r="U555" s="12"/>
      <c r="V555" s="12"/>
      <c r="W555" s="12"/>
      <c r="X555" s="12"/>
    </row>
    <row r="556" customFormat="false" ht="15.75" hidden="false" customHeight="false" outlineLevel="0" collapsed="false">
      <c r="A556" s="12"/>
      <c r="B556" s="34"/>
      <c r="C556" s="12"/>
      <c r="D556" s="12"/>
      <c r="E556" s="12"/>
      <c r="F556" s="12"/>
      <c r="G556" s="18"/>
      <c r="H556" s="35"/>
      <c r="I556" s="12"/>
      <c r="M556" s="12"/>
      <c r="N556" s="18"/>
      <c r="O556" s="12"/>
      <c r="P556" s="12"/>
      <c r="Q556" s="12"/>
      <c r="R556" s="36"/>
      <c r="S556" s="36"/>
      <c r="T556" s="12"/>
      <c r="U556" s="12"/>
      <c r="V556" s="12"/>
      <c r="W556" s="12"/>
      <c r="X556" s="12"/>
    </row>
    <row r="557" customFormat="false" ht="15.75" hidden="false" customHeight="false" outlineLevel="0" collapsed="false">
      <c r="A557" s="12"/>
      <c r="B557" s="34"/>
      <c r="C557" s="12"/>
      <c r="D557" s="12"/>
      <c r="E557" s="12"/>
      <c r="F557" s="12"/>
      <c r="G557" s="18"/>
      <c r="H557" s="35"/>
      <c r="I557" s="12"/>
      <c r="M557" s="12"/>
      <c r="N557" s="18"/>
      <c r="O557" s="12"/>
      <c r="P557" s="12"/>
      <c r="Q557" s="12"/>
      <c r="R557" s="36"/>
      <c r="S557" s="36"/>
      <c r="T557" s="12"/>
      <c r="U557" s="12"/>
      <c r="V557" s="12"/>
      <c r="W557" s="12"/>
      <c r="X557" s="12"/>
    </row>
    <row r="558" customFormat="false" ht="15.75" hidden="false" customHeight="false" outlineLevel="0" collapsed="false">
      <c r="A558" s="12"/>
      <c r="B558" s="34"/>
      <c r="C558" s="12"/>
      <c r="D558" s="12"/>
      <c r="E558" s="12"/>
      <c r="F558" s="12"/>
      <c r="G558" s="18"/>
      <c r="H558" s="35"/>
      <c r="I558" s="12"/>
      <c r="M558" s="12"/>
      <c r="N558" s="18"/>
      <c r="O558" s="12"/>
      <c r="P558" s="12"/>
      <c r="Q558" s="12"/>
      <c r="R558" s="36"/>
      <c r="S558" s="36"/>
      <c r="T558" s="12"/>
      <c r="U558" s="12"/>
      <c r="V558" s="12"/>
      <c r="W558" s="12"/>
      <c r="X558" s="12"/>
    </row>
    <row r="559" customFormat="false" ht="15.75" hidden="false" customHeight="false" outlineLevel="0" collapsed="false">
      <c r="A559" s="12"/>
      <c r="B559" s="34"/>
      <c r="C559" s="12"/>
      <c r="D559" s="12"/>
      <c r="E559" s="12"/>
      <c r="F559" s="12"/>
      <c r="G559" s="18"/>
      <c r="H559" s="35"/>
      <c r="I559" s="12"/>
      <c r="M559" s="12"/>
      <c r="N559" s="18"/>
      <c r="O559" s="12"/>
      <c r="P559" s="12"/>
      <c r="Q559" s="12"/>
      <c r="R559" s="36"/>
      <c r="S559" s="36"/>
      <c r="T559" s="12"/>
      <c r="U559" s="12"/>
      <c r="V559" s="12"/>
      <c r="W559" s="12"/>
      <c r="X559" s="12"/>
    </row>
    <row r="560" customFormat="false" ht="15.75" hidden="false" customHeight="false" outlineLevel="0" collapsed="false">
      <c r="A560" s="12"/>
      <c r="B560" s="34"/>
      <c r="C560" s="12"/>
      <c r="D560" s="12"/>
      <c r="E560" s="12"/>
      <c r="F560" s="12"/>
      <c r="G560" s="18"/>
      <c r="H560" s="35"/>
      <c r="I560" s="12"/>
      <c r="M560" s="12"/>
      <c r="N560" s="18"/>
      <c r="O560" s="12"/>
      <c r="P560" s="12"/>
      <c r="Q560" s="12"/>
      <c r="R560" s="36"/>
      <c r="S560" s="36"/>
      <c r="T560" s="12"/>
      <c r="U560" s="12"/>
      <c r="V560" s="12"/>
      <c r="W560" s="12"/>
      <c r="X560" s="12"/>
    </row>
    <row r="561" customFormat="false" ht="15.75" hidden="false" customHeight="false" outlineLevel="0" collapsed="false">
      <c r="A561" s="12"/>
      <c r="B561" s="34"/>
      <c r="C561" s="12"/>
      <c r="D561" s="12"/>
      <c r="E561" s="12"/>
      <c r="F561" s="12"/>
      <c r="G561" s="18"/>
      <c r="H561" s="35"/>
      <c r="I561" s="12"/>
      <c r="M561" s="12"/>
      <c r="N561" s="18"/>
      <c r="O561" s="12"/>
      <c r="P561" s="12"/>
      <c r="Q561" s="12"/>
      <c r="R561" s="36"/>
      <c r="S561" s="36"/>
      <c r="T561" s="12"/>
      <c r="U561" s="12"/>
      <c r="V561" s="12"/>
      <c r="W561" s="12"/>
      <c r="X561" s="12"/>
    </row>
    <row r="562" customFormat="false" ht="15.75" hidden="false" customHeight="false" outlineLevel="0" collapsed="false">
      <c r="A562" s="12"/>
      <c r="B562" s="34"/>
      <c r="C562" s="12"/>
      <c r="D562" s="12"/>
      <c r="E562" s="12"/>
      <c r="F562" s="12"/>
      <c r="G562" s="18"/>
      <c r="H562" s="35"/>
      <c r="I562" s="12"/>
      <c r="M562" s="12"/>
      <c r="N562" s="18"/>
      <c r="O562" s="12"/>
      <c r="P562" s="12"/>
      <c r="Q562" s="12"/>
      <c r="R562" s="36"/>
      <c r="S562" s="36"/>
      <c r="T562" s="12"/>
      <c r="U562" s="12"/>
      <c r="V562" s="12"/>
      <c r="W562" s="12"/>
      <c r="X562" s="12"/>
    </row>
    <row r="563" customFormat="false" ht="15.75" hidden="false" customHeight="false" outlineLevel="0" collapsed="false">
      <c r="A563" s="12"/>
      <c r="B563" s="34"/>
      <c r="C563" s="12"/>
      <c r="D563" s="12"/>
      <c r="E563" s="12"/>
      <c r="F563" s="12"/>
      <c r="G563" s="18"/>
      <c r="H563" s="35"/>
      <c r="I563" s="12"/>
      <c r="M563" s="12"/>
      <c r="N563" s="18"/>
      <c r="O563" s="12"/>
      <c r="P563" s="12"/>
      <c r="Q563" s="12"/>
      <c r="R563" s="36"/>
      <c r="S563" s="36"/>
      <c r="T563" s="12"/>
      <c r="U563" s="12"/>
      <c r="V563" s="12"/>
      <c r="W563" s="12"/>
      <c r="X563" s="12"/>
    </row>
    <row r="564" customFormat="false" ht="15.75" hidden="false" customHeight="false" outlineLevel="0" collapsed="false">
      <c r="A564" s="12"/>
      <c r="B564" s="34"/>
      <c r="C564" s="12"/>
      <c r="D564" s="12"/>
      <c r="E564" s="12"/>
      <c r="F564" s="12"/>
      <c r="G564" s="18"/>
      <c r="H564" s="35"/>
      <c r="I564" s="12"/>
      <c r="M564" s="12"/>
      <c r="N564" s="18"/>
      <c r="O564" s="12"/>
      <c r="P564" s="12"/>
      <c r="Q564" s="12"/>
      <c r="R564" s="36"/>
      <c r="S564" s="36"/>
      <c r="T564" s="12"/>
      <c r="U564" s="12"/>
      <c r="V564" s="12"/>
      <c r="W564" s="12"/>
      <c r="X564" s="12"/>
    </row>
    <row r="565" customFormat="false" ht="15.75" hidden="false" customHeight="false" outlineLevel="0" collapsed="false">
      <c r="A565" s="12"/>
      <c r="B565" s="34"/>
      <c r="C565" s="12"/>
      <c r="D565" s="12"/>
      <c r="E565" s="12"/>
      <c r="F565" s="12"/>
      <c r="G565" s="18"/>
      <c r="H565" s="35"/>
      <c r="I565" s="12"/>
      <c r="M565" s="12"/>
      <c r="N565" s="18"/>
      <c r="O565" s="12"/>
      <c r="P565" s="12"/>
      <c r="Q565" s="12"/>
      <c r="R565" s="36"/>
      <c r="S565" s="36"/>
      <c r="T565" s="12"/>
      <c r="U565" s="12"/>
      <c r="V565" s="12"/>
      <c r="W565" s="12"/>
      <c r="X565" s="12"/>
    </row>
    <row r="566" customFormat="false" ht="15.75" hidden="false" customHeight="false" outlineLevel="0" collapsed="false">
      <c r="A566" s="12"/>
      <c r="B566" s="34"/>
      <c r="C566" s="12"/>
      <c r="D566" s="12"/>
      <c r="E566" s="12"/>
      <c r="F566" s="12"/>
      <c r="G566" s="18"/>
      <c r="H566" s="35"/>
      <c r="I566" s="12"/>
      <c r="M566" s="12"/>
      <c r="N566" s="18"/>
      <c r="O566" s="12"/>
      <c r="P566" s="12"/>
      <c r="Q566" s="12"/>
      <c r="R566" s="36"/>
      <c r="S566" s="36"/>
      <c r="T566" s="12"/>
      <c r="U566" s="12"/>
      <c r="V566" s="12"/>
      <c r="W566" s="12"/>
      <c r="X566" s="12"/>
    </row>
    <row r="567" customFormat="false" ht="15.75" hidden="false" customHeight="false" outlineLevel="0" collapsed="false">
      <c r="A567" s="12"/>
      <c r="B567" s="34"/>
      <c r="C567" s="12"/>
      <c r="D567" s="12"/>
      <c r="E567" s="12"/>
      <c r="F567" s="12"/>
      <c r="G567" s="18"/>
      <c r="H567" s="35"/>
      <c r="I567" s="12"/>
      <c r="M567" s="12"/>
      <c r="N567" s="18"/>
      <c r="O567" s="12"/>
      <c r="P567" s="12"/>
      <c r="Q567" s="12"/>
      <c r="R567" s="36"/>
      <c r="S567" s="36"/>
      <c r="T567" s="12"/>
      <c r="U567" s="12"/>
      <c r="V567" s="12"/>
      <c r="W567" s="12"/>
      <c r="X567" s="12"/>
    </row>
    <row r="568" customFormat="false" ht="15.75" hidden="false" customHeight="false" outlineLevel="0" collapsed="false">
      <c r="A568" s="12"/>
      <c r="B568" s="34"/>
      <c r="C568" s="12"/>
      <c r="D568" s="12"/>
      <c r="E568" s="12"/>
      <c r="F568" s="12"/>
      <c r="G568" s="18"/>
      <c r="H568" s="35"/>
      <c r="I568" s="12"/>
      <c r="M568" s="12"/>
      <c r="N568" s="18"/>
      <c r="O568" s="12"/>
      <c r="P568" s="12"/>
      <c r="Q568" s="12"/>
      <c r="R568" s="36"/>
      <c r="S568" s="36"/>
      <c r="T568" s="12"/>
      <c r="U568" s="12"/>
      <c r="V568" s="12"/>
      <c r="W568" s="12"/>
      <c r="X568" s="12"/>
    </row>
    <row r="569" customFormat="false" ht="15.75" hidden="false" customHeight="false" outlineLevel="0" collapsed="false">
      <c r="A569" s="12"/>
      <c r="B569" s="34"/>
      <c r="C569" s="12"/>
      <c r="D569" s="12"/>
      <c r="E569" s="12"/>
      <c r="F569" s="12"/>
      <c r="G569" s="18"/>
      <c r="H569" s="35"/>
      <c r="I569" s="12"/>
      <c r="M569" s="12"/>
      <c r="N569" s="18"/>
      <c r="O569" s="12"/>
      <c r="P569" s="12"/>
      <c r="Q569" s="12"/>
      <c r="R569" s="36"/>
      <c r="S569" s="36"/>
      <c r="T569" s="12"/>
      <c r="U569" s="12"/>
      <c r="V569" s="12"/>
      <c r="W569" s="12"/>
      <c r="X569" s="12"/>
    </row>
    <row r="570" customFormat="false" ht="15.75" hidden="false" customHeight="false" outlineLevel="0" collapsed="false">
      <c r="A570" s="12"/>
      <c r="B570" s="34"/>
      <c r="C570" s="12"/>
      <c r="D570" s="12"/>
      <c r="E570" s="12"/>
      <c r="F570" s="12"/>
      <c r="G570" s="18"/>
      <c r="H570" s="35"/>
      <c r="I570" s="12"/>
      <c r="M570" s="12"/>
      <c r="N570" s="18"/>
      <c r="O570" s="12"/>
      <c r="P570" s="12"/>
      <c r="Q570" s="12"/>
      <c r="R570" s="36"/>
      <c r="S570" s="36"/>
      <c r="T570" s="12"/>
      <c r="U570" s="12"/>
      <c r="V570" s="12"/>
      <c r="W570" s="12"/>
      <c r="X570" s="12"/>
    </row>
    <row r="571" customFormat="false" ht="15.75" hidden="false" customHeight="false" outlineLevel="0" collapsed="false">
      <c r="A571" s="12"/>
      <c r="B571" s="34"/>
      <c r="C571" s="12"/>
      <c r="D571" s="12"/>
      <c r="E571" s="12"/>
      <c r="F571" s="12"/>
      <c r="G571" s="18"/>
      <c r="H571" s="35"/>
      <c r="I571" s="12"/>
      <c r="M571" s="12"/>
      <c r="N571" s="18"/>
      <c r="O571" s="12"/>
      <c r="P571" s="12"/>
      <c r="Q571" s="12"/>
      <c r="R571" s="36"/>
      <c r="S571" s="36"/>
      <c r="T571" s="12"/>
      <c r="U571" s="12"/>
      <c r="V571" s="12"/>
      <c r="W571" s="12"/>
      <c r="X571" s="12"/>
    </row>
    <row r="572" customFormat="false" ht="15.75" hidden="false" customHeight="false" outlineLevel="0" collapsed="false">
      <c r="A572" s="12"/>
      <c r="B572" s="34"/>
      <c r="C572" s="12"/>
      <c r="D572" s="12"/>
      <c r="E572" s="12"/>
      <c r="F572" s="12"/>
      <c r="G572" s="18"/>
      <c r="H572" s="35"/>
      <c r="I572" s="12"/>
      <c r="M572" s="12"/>
      <c r="N572" s="18"/>
      <c r="O572" s="12"/>
      <c r="P572" s="12"/>
      <c r="Q572" s="12"/>
      <c r="R572" s="36"/>
      <c r="S572" s="36"/>
      <c r="T572" s="12"/>
      <c r="U572" s="12"/>
      <c r="V572" s="12"/>
      <c r="W572" s="12"/>
      <c r="X572" s="12"/>
    </row>
    <row r="573" customFormat="false" ht="15.75" hidden="false" customHeight="false" outlineLevel="0" collapsed="false">
      <c r="A573" s="12"/>
      <c r="B573" s="34"/>
      <c r="C573" s="12"/>
      <c r="D573" s="12"/>
      <c r="E573" s="12"/>
      <c r="F573" s="12"/>
      <c r="G573" s="18"/>
      <c r="H573" s="35"/>
      <c r="I573" s="12"/>
      <c r="M573" s="12"/>
      <c r="N573" s="18"/>
      <c r="O573" s="12"/>
      <c r="P573" s="12"/>
      <c r="Q573" s="12"/>
      <c r="R573" s="36"/>
      <c r="S573" s="36"/>
      <c r="T573" s="12"/>
      <c r="U573" s="12"/>
      <c r="V573" s="12"/>
      <c r="W573" s="12"/>
      <c r="X573" s="12"/>
    </row>
    <row r="574" customFormat="false" ht="15.75" hidden="false" customHeight="false" outlineLevel="0" collapsed="false">
      <c r="A574" s="12"/>
      <c r="B574" s="34"/>
      <c r="C574" s="12"/>
      <c r="D574" s="12"/>
      <c r="E574" s="12"/>
      <c r="F574" s="12"/>
      <c r="G574" s="18"/>
      <c r="H574" s="35"/>
      <c r="I574" s="12"/>
      <c r="M574" s="12"/>
      <c r="N574" s="18"/>
      <c r="O574" s="12"/>
      <c r="P574" s="12"/>
      <c r="Q574" s="12"/>
      <c r="R574" s="36"/>
      <c r="S574" s="36"/>
      <c r="T574" s="12"/>
      <c r="U574" s="12"/>
      <c r="V574" s="12"/>
      <c r="W574" s="12"/>
      <c r="X574" s="12"/>
    </row>
    <row r="575" customFormat="false" ht="15.75" hidden="false" customHeight="false" outlineLevel="0" collapsed="false">
      <c r="A575" s="12"/>
      <c r="B575" s="34"/>
      <c r="C575" s="12"/>
      <c r="D575" s="12"/>
      <c r="E575" s="12"/>
      <c r="F575" s="12"/>
      <c r="G575" s="18"/>
      <c r="H575" s="35"/>
      <c r="I575" s="12"/>
      <c r="M575" s="12"/>
      <c r="N575" s="18"/>
      <c r="O575" s="12"/>
      <c r="P575" s="12"/>
      <c r="Q575" s="12"/>
      <c r="R575" s="36"/>
      <c r="S575" s="36"/>
      <c r="T575" s="12"/>
      <c r="U575" s="12"/>
      <c r="V575" s="12"/>
      <c r="W575" s="12"/>
      <c r="X575" s="12"/>
    </row>
    <row r="576" customFormat="false" ht="15.75" hidden="false" customHeight="false" outlineLevel="0" collapsed="false">
      <c r="A576" s="12"/>
      <c r="B576" s="34"/>
      <c r="C576" s="12"/>
      <c r="D576" s="12"/>
      <c r="E576" s="12"/>
      <c r="F576" s="12"/>
      <c r="G576" s="18"/>
      <c r="H576" s="35"/>
      <c r="I576" s="12"/>
      <c r="M576" s="12"/>
      <c r="N576" s="18"/>
      <c r="O576" s="12"/>
      <c r="P576" s="12"/>
      <c r="Q576" s="12"/>
      <c r="R576" s="36"/>
      <c r="S576" s="36"/>
      <c r="T576" s="12"/>
      <c r="U576" s="12"/>
      <c r="V576" s="12"/>
      <c r="W576" s="12"/>
      <c r="X576" s="12"/>
    </row>
    <row r="577" customFormat="false" ht="15.75" hidden="false" customHeight="false" outlineLevel="0" collapsed="false">
      <c r="A577" s="12"/>
      <c r="B577" s="34"/>
      <c r="C577" s="12"/>
      <c r="D577" s="12"/>
      <c r="E577" s="12"/>
      <c r="F577" s="12"/>
      <c r="G577" s="18"/>
      <c r="H577" s="35"/>
      <c r="I577" s="12"/>
      <c r="M577" s="12"/>
      <c r="N577" s="18"/>
      <c r="O577" s="12"/>
      <c r="P577" s="12"/>
      <c r="Q577" s="12"/>
      <c r="R577" s="36"/>
      <c r="S577" s="36"/>
      <c r="T577" s="12"/>
      <c r="U577" s="12"/>
      <c r="V577" s="12"/>
      <c r="W577" s="12"/>
      <c r="X577" s="12"/>
    </row>
    <row r="578" customFormat="false" ht="15.75" hidden="false" customHeight="false" outlineLevel="0" collapsed="false">
      <c r="A578" s="12"/>
      <c r="B578" s="34"/>
      <c r="C578" s="12"/>
      <c r="D578" s="12"/>
      <c r="E578" s="12"/>
      <c r="F578" s="12"/>
      <c r="G578" s="18"/>
      <c r="H578" s="35"/>
      <c r="I578" s="12"/>
      <c r="M578" s="12"/>
      <c r="N578" s="18"/>
      <c r="O578" s="12"/>
      <c r="P578" s="12"/>
      <c r="Q578" s="12"/>
      <c r="R578" s="36"/>
      <c r="S578" s="36"/>
      <c r="T578" s="12"/>
      <c r="U578" s="12"/>
      <c r="V578" s="12"/>
      <c r="W578" s="12"/>
      <c r="X578" s="12"/>
    </row>
    <row r="579" customFormat="false" ht="15.75" hidden="false" customHeight="false" outlineLevel="0" collapsed="false">
      <c r="A579" s="12"/>
      <c r="B579" s="34"/>
      <c r="C579" s="12"/>
      <c r="D579" s="12"/>
      <c r="E579" s="12"/>
      <c r="F579" s="12"/>
      <c r="G579" s="18"/>
      <c r="H579" s="35"/>
      <c r="I579" s="12"/>
      <c r="M579" s="12"/>
      <c r="N579" s="18"/>
      <c r="O579" s="12"/>
      <c r="P579" s="12"/>
      <c r="Q579" s="12"/>
      <c r="R579" s="36"/>
      <c r="S579" s="36"/>
      <c r="T579" s="12"/>
      <c r="U579" s="12"/>
      <c r="V579" s="12"/>
      <c r="W579" s="12"/>
      <c r="X579" s="12"/>
    </row>
    <row r="580" customFormat="false" ht="15.75" hidden="false" customHeight="false" outlineLevel="0" collapsed="false">
      <c r="A580" s="12"/>
      <c r="B580" s="34"/>
      <c r="C580" s="12"/>
      <c r="D580" s="12"/>
      <c r="E580" s="12"/>
      <c r="F580" s="12"/>
      <c r="G580" s="18"/>
      <c r="H580" s="35"/>
      <c r="I580" s="12"/>
      <c r="M580" s="12"/>
      <c r="N580" s="18"/>
      <c r="O580" s="12"/>
      <c r="P580" s="12"/>
      <c r="Q580" s="12"/>
      <c r="R580" s="36"/>
      <c r="S580" s="36"/>
      <c r="T580" s="12"/>
      <c r="U580" s="12"/>
      <c r="V580" s="12"/>
      <c r="W580" s="12"/>
      <c r="X580" s="12"/>
    </row>
    <row r="581" customFormat="false" ht="15.75" hidden="false" customHeight="false" outlineLevel="0" collapsed="false">
      <c r="A581" s="12"/>
      <c r="B581" s="34"/>
      <c r="C581" s="12"/>
      <c r="D581" s="12"/>
      <c r="E581" s="12"/>
      <c r="F581" s="12"/>
      <c r="G581" s="18"/>
      <c r="H581" s="35"/>
      <c r="I581" s="12"/>
      <c r="M581" s="12"/>
      <c r="N581" s="18"/>
      <c r="O581" s="12"/>
      <c r="P581" s="12"/>
      <c r="Q581" s="12"/>
      <c r="R581" s="36"/>
      <c r="S581" s="36"/>
      <c r="T581" s="12"/>
      <c r="U581" s="12"/>
      <c r="V581" s="12"/>
      <c r="W581" s="12"/>
      <c r="X581" s="12"/>
    </row>
    <row r="582" customFormat="false" ht="15.75" hidden="false" customHeight="false" outlineLevel="0" collapsed="false">
      <c r="A582" s="12"/>
      <c r="B582" s="34"/>
      <c r="C582" s="12"/>
      <c r="D582" s="12"/>
      <c r="E582" s="12"/>
      <c r="F582" s="12"/>
      <c r="G582" s="18"/>
      <c r="H582" s="35"/>
      <c r="I582" s="12"/>
      <c r="M582" s="12"/>
      <c r="N582" s="18"/>
      <c r="O582" s="12"/>
      <c r="P582" s="12"/>
      <c r="Q582" s="12"/>
      <c r="R582" s="36"/>
      <c r="S582" s="36"/>
      <c r="T582" s="12"/>
      <c r="U582" s="12"/>
      <c r="V582" s="12"/>
      <c r="W582" s="12"/>
      <c r="X582" s="12"/>
    </row>
    <row r="583" customFormat="false" ht="15.75" hidden="false" customHeight="false" outlineLevel="0" collapsed="false">
      <c r="A583" s="12"/>
      <c r="B583" s="34"/>
      <c r="C583" s="12"/>
      <c r="D583" s="12"/>
      <c r="E583" s="12"/>
      <c r="F583" s="12"/>
      <c r="G583" s="18"/>
      <c r="H583" s="35"/>
      <c r="I583" s="12"/>
      <c r="M583" s="12"/>
      <c r="N583" s="18"/>
      <c r="O583" s="12"/>
      <c r="P583" s="12"/>
      <c r="Q583" s="12"/>
      <c r="R583" s="36"/>
      <c r="S583" s="36"/>
      <c r="T583" s="12"/>
      <c r="U583" s="12"/>
      <c r="V583" s="12"/>
      <c r="W583" s="12"/>
      <c r="X583" s="12"/>
    </row>
    <row r="584" customFormat="false" ht="15.75" hidden="false" customHeight="false" outlineLevel="0" collapsed="false">
      <c r="A584" s="12"/>
      <c r="B584" s="34"/>
      <c r="C584" s="12"/>
      <c r="D584" s="12"/>
      <c r="E584" s="12"/>
      <c r="F584" s="12"/>
      <c r="G584" s="18"/>
      <c r="H584" s="35"/>
      <c r="I584" s="12"/>
      <c r="M584" s="12"/>
      <c r="N584" s="18"/>
      <c r="O584" s="12"/>
      <c r="P584" s="12"/>
      <c r="Q584" s="12"/>
      <c r="R584" s="36"/>
      <c r="S584" s="36"/>
      <c r="T584" s="12"/>
      <c r="U584" s="12"/>
      <c r="V584" s="12"/>
      <c r="W584" s="12"/>
      <c r="X584" s="12"/>
    </row>
    <row r="585" customFormat="false" ht="15.75" hidden="false" customHeight="false" outlineLevel="0" collapsed="false">
      <c r="A585" s="12"/>
      <c r="B585" s="34"/>
      <c r="C585" s="12"/>
      <c r="D585" s="12"/>
      <c r="E585" s="12"/>
      <c r="F585" s="12"/>
      <c r="G585" s="18"/>
      <c r="H585" s="35"/>
      <c r="I585" s="12"/>
      <c r="M585" s="12"/>
      <c r="N585" s="18"/>
      <c r="O585" s="12"/>
      <c r="P585" s="12"/>
      <c r="Q585" s="12"/>
      <c r="R585" s="36"/>
      <c r="S585" s="36"/>
      <c r="T585" s="12"/>
      <c r="U585" s="12"/>
      <c r="V585" s="12"/>
      <c r="W585" s="12"/>
      <c r="X585" s="12"/>
    </row>
    <row r="586" customFormat="false" ht="15.75" hidden="false" customHeight="false" outlineLevel="0" collapsed="false">
      <c r="A586" s="12"/>
      <c r="B586" s="34"/>
      <c r="C586" s="12"/>
      <c r="D586" s="12"/>
      <c r="E586" s="12"/>
      <c r="F586" s="12"/>
      <c r="G586" s="18"/>
      <c r="H586" s="35"/>
      <c r="I586" s="12"/>
      <c r="M586" s="12"/>
      <c r="N586" s="18"/>
      <c r="O586" s="12"/>
      <c r="P586" s="12"/>
      <c r="Q586" s="12"/>
      <c r="R586" s="36"/>
      <c r="S586" s="36"/>
      <c r="T586" s="12"/>
      <c r="U586" s="12"/>
      <c r="V586" s="12"/>
      <c r="W586" s="12"/>
      <c r="X586" s="12"/>
    </row>
    <row r="587" customFormat="false" ht="15.75" hidden="false" customHeight="false" outlineLevel="0" collapsed="false">
      <c r="A587" s="12"/>
      <c r="B587" s="34"/>
      <c r="C587" s="12"/>
      <c r="D587" s="12"/>
      <c r="E587" s="12"/>
      <c r="F587" s="12"/>
      <c r="G587" s="18"/>
      <c r="H587" s="35"/>
      <c r="I587" s="12"/>
      <c r="M587" s="12"/>
      <c r="N587" s="18"/>
      <c r="O587" s="12"/>
      <c r="P587" s="12"/>
      <c r="Q587" s="12"/>
      <c r="R587" s="36"/>
      <c r="S587" s="36"/>
      <c r="T587" s="12"/>
      <c r="U587" s="12"/>
      <c r="V587" s="12"/>
      <c r="W587" s="12"/>
      <c r="X587" s="12"/>
    </row>
    <row r="588" customFormat="false" ht="15.75" hidden="false" customHeight="false" outlineLevel="0" collapsed="false">
      <c r="A588" s="12"/>
      <c r="B588" s="34"/>
      <c r="C588" s="12"/>
      <c r="D588" s="12"/>
      <c r="E588" s="12"/>
      <c r="F588" s="12"/>
      <c r="G588" s="18"/>
      <c r="H588" s="35"/>
      <c r="I588" s="12"/>
      <c r="M588" s="12"/>
      <c r="N588" s="18"/>
      <c r="O588" s="12"/>
      <c r="P588" s="12"/>
      <c r="Q588" s="12"/>
      <c r="R588" s="36"/>
      <c r="S588" s="36"/>
      <c r="T588" s="12"/>
      <c r="U588" s="12"/>
      <c r="V588" s="12"/>
      <c r="W588" s="12"/>
      <c r="X588" s="12"/>
    </row>
    <row r="589" customFormat="false" ht="15.75" hidden="false" customHeight="false" outlineLevel="0" collapsed="false">
      <c r="A589" s="12"/>
      <c r="B589" s="34"/>
      <c r="C589" s="12"/>
      <c r="D589" s="12"/>
      <c r="E589" s="12"/>
      <c r="F589" s="12"/>
      <c r="G589" s="18"/>
      <c r="H589" s="35"/>
      <c r="I589" s="12"/>
      <c r="M589" s="12"/>
      <c r="N589" s="18"/>
      <c r="O589" s="12"/>
      <c r="P589" s="12"/>
      <c r="Q589" s="12"/>
      <c r="R589" s="36"/>
      <c r="S589" s="36"/>
      <c r="T589" s="12"/>
      <c r="U589" s="12"/>
      <c r="V589" s="12"/>
      <c r="W589" s="12"/>
      <c r="X589" s="12"/>
    </row>
    <row r="590" customFormat="false" ht="15.75" hidden="false" customHeight="false" outlineLevel="0" collapsed="false">
      <c r="A590" s="12"/>
      <c r="B590" s="34"/>
      <c r="C590" s="12"/>
      <c r="D590" s="12"/>
      <c r="E590" s="12"/>
      <c r="F590" s="12"/>
      <c r="G590" s="18"/>
      <c r="H590" s="35"/>
      <c r="I590" s="12"/>
      <c r="M590" s="12"/>
      <c r="N590" s="18"/>
      <c r="O590" s="12"/>
      <c r="P590" s="12"/>
      <c r="Q590" s="12"/>
      <c r="R590" s="36"/>
      <c r="S590" s="36"/>
      <c r="T590" s="12"/>
      <c r="U590" s="12"/>
      <c r="V590" s="12"/>
      <c r="W590" s="12"/>
      <c r="X590" s="12"/>
    </row>
    <row r="591" customFormat="false" ht="15.75" hidden="false" customHeight="false" outlineLevel="0" collapsed="false">
      <c r="A591" s="12"/>
      <c r="B591" s="34"/>
      <c r="C591" s="12"/>
      <c r="D591" s="12"/>
      <c r="E591" s="12"/>
      <c r="F591" s="12"/>
      <c r="G591" s="18"/>
      <c r="H591" s="35"/>
      <c r="I591" s="12"/>
      <c r="M591" s="12"/>
      <c r="N591" s="18"/>
      <c r="O591" s="12"/>
      <c r="P591" s="12"/>
      <c r="Q591" s="12"/>
      <c r="R591" s="36"/>
      <c r="S591" s="36"/>
      <c r="T591" s="12"/>
      <c r="U591" s="12"/>
      <c r="V591" s="12"/>
      <c r="W591" s="12"/>
      <c r="X591" s="12"/>
    </row>
    <row r="592" customFormat="false" ht="15.75" hidden="false" customHeight="false" outlineLevel="0" collapsed="false">
      <c r="A592" s="12"/>
      <c r="B592" s="34"/>
      <c r="C592" s="12"/>
      <c r="D592" s="12"/>
      <c r="E592" s="12"/>
      <c r="F592" s="12"/>
      <c r="G592" s="18"/>
      <c r="H592" s="35"/>
      <c r="I592" s="12"/>
      <c r="M592" s="12"/>
      <c r="N592" s="18"/>
      <c r="O592" s="12"/>
      <c r="P592" s="12"/>
      <c r="Q592" s="12"/>
      <c r="R592" s="36"/>
      <c r="S592" s="36"/>
      <c r="T592" s="12"/>
      <c r="U592" s="12"/>
      <c r="V592" s="12"/>
      <c r="W592" s="12"/>
      <c r="X592" s="12"/>
    </row>
    <row r="593" customFormat="false" ht="15.75" hidden="false" customHeight="false" outlineLevel="0" collapsed="false">
      <c r="A593" s="12"/>
      <c r="B593" s="34"/>
      <c r="C593" s="12"/>
      <c r="D593" s="12"/>
      <c r="E593" s="12"/>
      <c r="F593" s="12"/>
      <c r="G593" s="18"/>
      <c r="H593" s="35"/>
      <c r="I593" s="12"/>
      <c r="M593" s="12"/>
      <c r="N593" s="18"/>
      <c r="O593" s="12"/>
      <c r="P593" s="12"/>
      <c r="Q593" s="12"/>
      <c r="R593" s="36"/>
      <c r="S593" s="36"/>
      <c r="T593" s="12"/>
      <c r="U593" s="12"/>
      <c r="V593" s="12"/>
      <c r="W593" s="12"/>
      <c r="X593" s="12"/>
    </row>
    <row r="594" customFormat="false" ht="15.75" hidden="false" customHeight="false" outlineLevel="0" collapsed="false">
      <c r="A594" s="12"/>
      <c r="B594" s="34"/>
      <c r="C594" s="12"/>
      <c r="D594" s="12"/>
      <c r="E594" s="12"/>
      <c r="F594" s="12"/>
      <c r="G594" s="18"/>
      <c r="H594" s="35"/>
      <c r="I594" s="12"/>
      <c r="M594" s="12"/>
      <c r="N594" s="18"/>
      <c r="O594" s="12"/>
      <c r="P594" s="12"/>
      <c r="Q594" s="12"/>
      <c r="R594" s="36"/>
      <c r="S594" s="36"/>
      <c r="T594" s="12"/>
      <c r="U594" s="12"/>
      <c r="V594" s="12"/>
      <c r="W594" s="12"/>
      <c r="X594" s="12"/>
    </row>
    <row r="595" customFormat="false" ht="15.75" hidden="false" customHeight="false" outlineLevel="0" collapsed="false">
      <c r="A595" s="12"/>
      <c r="B595" s="34"/>
      <c r="C595" s="12"/>
      <c r="D595" s="12"/>
      <c r="E595" s="12"/>
      <c r="F595" s="12"/>
      <c r="G595" s="18"/>
      <c r="H595" s="35"/>
      <c r="I595" s="12"/>
      <c r="M595" s="12"/>
      <c r="N595" s="18"/>
      <c r="O595" s="12"/>
      <c r="P595" s="12"/>
      <c r="Q595" s="12"/>
      <c r="R595" s="36"/>
      <c r="S595" s="36"/>
      <c r="T595" s="12"/>
      <c r="U595" s="12"/>
      <c r="V595" s="12"/>
      <c r="W595" s="12"/>
      <c r="X595" s="12"/>
    </row>
    <row r="596" customFormat="false" ht="15.75" hidden="false" customHeight="false" outlineLevel="0" collapsed="false">
      <c r="A596" s="12"/>
      <c r="B596" s="34"/>
      <c r="C596" s="12"/>
      <c r="D596" s="12"/>
      <c r="E596" s="12"/>
      <c r="F596" s="12"/>
      <c r="G596" s="18"/>
      <c r="H596" s="35"/>
      <c r="I596" s="12"/>
      <c r="M596" s="12"/>
      <c r="N596" s="18"/>
      <c r="O596" s="12"/>
      <c r="P596" s="12"/>
      <c r="Q596" s="12"/>
      <c r="R596" s="36"/>
      <c r="S596" s="36"/>
      <c r="T596" s="12"/>
      <c r="U596" s="12"/>
      <c r="V596" s="12"/>
      <c r="W596" s="12"/>
      <c r="X596" s="12"/>
    </row>
    <row r="597" customFormat="false" ht="15.75" hidden="false" customHeight="false" outlineLevel="0" collapsed="false">
      <c r="A597" s="12"/>
      <c r="B597" s="34"/>
      <c r="C597" s="12"/>
      <c r="D597" s="12"/>
      <c r="E597" s="12"/>
      <c r="F597" s="12"/>
      <c r="G597" s="18"/>
      <c r="H597" s="35"/>
      <c r="I597" s="12"/>
      <c r="M597" s="12"/>
      <c r="N597" s="18"/>
      <c r="O597" s="12"/>
      <c r="P597" s="12"/>
      <c r="Q597" s="12"/>
      <c r="R597" s="36"/>
      <c r="S597" s="36"/>
      <c r="T597" s="12"/>
      <c r="U597" s="12"/>
      <c r="V597" s="12"/>
      <c r="W597" s="12"/>
      <c r="X597" s="12"/>
    </row>
    <row r="598" customFormat="false" ht="15.75" hidden="false" customHeight="false" outlineLevel="0" collapsed="false">
      <c r="A598" s="12"/>
      <c r="B598" s="34"/>
      <c r="C598" s="12"/>
      <c r="D598" s="12"/>
      <c r="E598" s="12"/>
      <c r="F598" s="12"/>
      <c r="G598" s="18"/>
      <c r="H598" s="35"/>
      <c r="I598" s="12"/>
      <c r="M598" s="12"/>
      <c r="N598" s="18"/>
      <c r="O598" s="12"/>
      <c r="P598" s="12"/>
      <c r="Q598" s="12"/>
      <c r="R598" s="36"/>
      <c r="S598" s="36"/>
      <c r="T598" s="12"/>
      <c r="U598" s="12"/>
      <c r="V598" s="12"/>
      <c r="W598" s="12"/>
      <c r="X598" s="12"/>
    </row>
    <row r="599" customFormat="false" ht="15.75" hidden="false" customHeight="false" outlineLevel="0" collapsed="false">
      <c r="A599" s="12"/>
      <c r="B599" s="34"/>
      <c r="C599" s="12"/>
      <c r="D599" s="12"/>
      <c r="E599" s="12"/>
      <c r="F599" s="12"/>
      <c r="G599" s="18"/>
      <c r="H599" s="35"/>
      <c r="I599" s="12"/>
      <c r="M599" s="12"/>
      <c r="N599" s="18"/>
      <c r="O599" s="12"/>
      <c r="P599" s="12"/>
      <c r="Q599" s="12"/>
      <c r="R599" s="36"/>
      <c r="S599" s="36"/>
      <c r="T599" s="12"/>
      <c r="U599" s="12"/>
      <c r="V599" s="12"/>
      <c r="W599" s="12"/>
      <c r="X599" s="12"/>
    </row>
    <row r="600" customFormat="false" ht="15.75" hidden="false" customHeight="false" outlineLevel="0" collapsed="false">
      <c r="A600" s="12"/>
      <c r="B600" s="34"/>
      <c r="C600" s="12"/>
      <c r="D600" s="12"/>
      <c r="E600" s="12"/>
      <c r="F600" s="12"/>
      <c r="G600" s="18"/>
      <c r="H600" s="35"/>
      <c r="I600" s="12"/>
      <c r="M600" s="12"/>
      <c r="N600" s="18"/>
      <c r="O600" s="12"/>
      <c r="P600" s="12"/>
      <c r="Q600" s="12"/>
      <c r="R600" s="36"/>
      <c r="S600" s="36"/>
      <c r="T600" s="12"/>
      <c r="U600" s="12"/>
      <c r="V600" s="12"/>
      <c r="W600" s="12"/>
      <c r="X600" s="12"/>
    </row>
    <row r="601" customFormat="false" ht="15.75" hidden="false" customHeight="false" outlineLevel="0" collapsed="false">
      <c r="A601" s="12"/>
      <c r="B601" s="34"/>
      <c r="C601" s="12"/>
      <c r="D601" s="12"/>
      <c r="E601" s="12"/>
      <c r="F601" s="12"/>
      <c r="G601" s="18"/>
      <c r="H601" s="35"/>
      <c r="I601" s="12"/>
      <c r="M601" s="12"/>
      <c r="N601" s="18"/>
      <c r="O601" s="12"/>
      <c r="P601" s="12"/>
      <c r="Q601" s="12"/>
      <c r="R601" s="36"/>
      <c r="S601" s="36"/>
      <c r="T601" s="12"/>
      <c r="U601" s="12"/>
      <c r="V601" s="12"/>
      <c r="W601" s="12"/>
      <c r="X601" s="12"/>
    </row>
    <row r="602" customFormat="false" ht="15.75" hidden="false" customHeight="false" outlineLevel="0" collapsed="false">
      <c r="A602" s="12"/>
      <c r="B602" s="34"/>
      <c r="C602" s="12"/>
      <c r="D602" s="12"/>
      <c r="E602" s="12"/>
      <c r="F602" s="12"/>
      <c r="G602" s="18"/>
      <c r="H602" s="35"/>
      <c r="I602" s="12"/>
      <c r="M602" s="12"/>
      <c r="N602" s="18"/>
      <c r="O602" s="12"/>
      <c r="P602" s="12"/>
      <c r="Q602" s="12"/>
      <c r="R602" s="36"/>
      <c r="S602" s="36"/>
      <c r="T602" s="12"/>
      <c r="U602" s="12"/>
      <c r="V602" s="12"/>
      <c r="W602" s="12"/>
      <c r="X602" s="12"/>
    </row>
    <row r="603" customFormat="false" ht="15.75" hidden="false" customHeight="false" outlineLevel="0" collapsed="false">
      <c r="A603" s="12"/>
      <c r="B603" s="34"/>
      <c r="C603" s="12"/>
      <c r="D603" s="12"/>
      <c r="E603" s="12"/>
      <c r="F603" s="12"/>
      <c r="G603" s="18"/>
      <c r="H603" s="35"/>
      <c r="I603" s="12"/>
      <c r="M603" s="12"/>
      <c r="N603" s="18"/>
      <c r="O603" s="12"/>
      <c r="P603" s="12"/>
      <c r="Q603" s="12"/>
      <c r="R603" s="36"/>
      <c r="S603" s="36"/>
      <c r="T603" s="12"/>
      <c r="U603" s="12"/>
      <c r="V603" s="12"/>
      <c r="W603" s="12"/>
      <c r="X603" s="12"/>
    </row>
    <row r="604" customFormat="false" ht="15.75" hidden="false" customHeight="false" outlineLevel="0" collapsed="false">
      <c r="A604" s="12"/>
      <c r="B604" s="34"/>
      <c r="C604" s="12"/>
      <c r="D604" s="12"/>
      <c r="E604" s="12"/>
      <c r="F604" s="12"/>
      <c r="G604" s="18"/>
      <c r="H604" s="35"/>
      <c r="I604" s="12"/>
      <c r="M604" s="12"/>
      <c r="N604" s="18"/>
      <c r="O604" s="12"/>
      <c r="P604" s="12"/>
      <c r="Q604" s="12"/>
      <c r="R604" s="36"/>
      <c r="S604" s="36"/>
      <c r="T604" s="12"/>
      <c r="U604" s="12"/>
      <c r="V604" s="12"/>
      <c r="W604" s="12"/>
      <c r="X604" s="12"/>
    </row>
    <row r="605" customFormat="false" ht="15.75" hidden="false" customHeight="false" outlineLevel="0" collapsed="false">
      <c r="A605" s="12"/>
      <c r="B605" s="34"/>
      <c r="C605" s="12"/>
      <c r="D605" s="12"/>
      <c r="E605" s="12"/>
      <c r="F605" s="12"/>
      <c r="G605" s="18"/>
      <c r="H605" s="35"/>
      <c r="I605" s="12"/>
      <c r="M605" s="12"/>
      <c r="N605" s="18"/>
      <c r="O605" s="12"/>
      <c r="P605" s="12"/>
      <c r="Q605" s="12"/>
      <c r="R605" s="36"/>
      <c r="S605" s="36"/>
      <c r="T605" s="12"/>
      <c r="U605" s="12"/>
      <c r="V605" s="12"/>
      <c r="W605" s="12"/>
      <c r="X605" s="12"/>
    </row>
    <row r="606" customFormat="false" ht="15.75" hidden="false" customHeight="false" outlineLevel="0" collapsed="false">
      <c r="A606" s="12"/>
      <c r="B606" s="34"/>
      <c r="C606" s="12"/>
      <c r="D606" s="12"/>
      <c r="E606" s="12"/>
      <c r="F606" s="12"/>
      <c r="G606" s="18"/>
      <c r="H606" s="35"/>
      <c r="I606" s="12"/>
      <c r="M606" s="12"/>
      <c r="N606" s="18"/>
      <c r="O606" s="12"/>
      <c r="P606" s="12"/>
      <c r="Q606" s="12"/>
      <c r="R606" s="36"/>
      <c r="S606" s="36"/>
      <c r="T606" s="12"/>
      <c r="U606" s="12"/>
      <c r="V606" s="12"/>
      <c r="W606" s="12"/>
      <c r="X606" s="12"/>
    </row>
    <row r="607" customFormat="false" ht="15.75" hidden="false" customHeight="false" outlineLevel="0" collapsed="false">
      <c r="A607" s="12"/>
      <c r="B607" s="34"/>
      <c r="C607" s="12"/>
      <c r="D607" s="12"/>
      <c r="E607" s="12"/>
      <c r="F607" s="12"/>
      <c r="G607" s="18"/>
      <c r="H607" s="35"/>
      <c r="I607" s="12"/>
      <c r="M607" s="12"/>
      <c r="N607" s="18"/>
      <c r="O607" s="12"/>
      <c r="P607" s="12"/>
      <c r="Q607" s="12"/>
      <c r="R607" s="36"/>
      <c r="S607" s="36"/>
      <c r="T607" s="12"/>
      <c r="U607" s="12"/>
      <c r="V607" s="12"/>
      <c r="W607" s="12"/>
      <c r="X607" s="12"/>
    </row>
    <row r="608" customFormat="false" ht="15.75" hidden="false" customHeight="false" outlineLevel="0" collapsed="false">
      <c r="A608" s="12"/>
      <c r="B608" s="34"/>
      <c r="C608" s="12"/>
      <c r="D608" s="12"/>
      <c r="E608" s="12"/>
      <c r="F608" s="12"/>
      <c r="G608" s="18"/>
      <c r="H608" s="35"/>
      <c r="I608" s="12"/>
      <c r="M608" s="12"/>
      <c r="N608" s="18"/>
      <c r="O608" s="12"/>
      <c r="P608" s="12"/>
      <c r="Q608" s="12"/>
      <c r="R608" s="36"/>
      <c r="S608" s="36"/>
      <c r="T608" s="12"/>
      <c r="U608" s="12"/>
      <c r="V608" s="12"/>
      <c r="W608" s="12"/>
      <c r="X608" s="12"/>
    </row>
    <row r="609" customFormat="false" ht="15.75" hidden="false" customHeight="false" outlineLevel="0" collapsed="false">
      <c r="A609" s="12"/>
      <c r="B609" s="34"/>
      <c r="C609" s="12"/>
      <c r="D609" s="12"/>
      <c r="E609" s="12"/>
      <c r="F609" s="12"/>
      <c r="G609" s="18"/>
      <c r="H609" s="35"/>
      <c r="I609" s="12"/>
      <c r="M609" s="12"/>
      <c r="N609" s="18"/>
      <c r="O609" s="12"/>
      <c r="P609" s="12"/>
      <c r="Q609" s="12"/>
      <c r="R609" s="36"/>
      <c r="S609" s="36"/>
      <c r="T609" s="12"/>
      <c r="U609" s="12"/>
      <c r="V609" s="12"/>
      <c r="W609" s="12"/>
      <c r="X609" s="12"/>
    </row>
    <row r="610" customFormat="false" ht="15.75" hidden="false" customHeight="false" outlineLevel="0" collapsed="false">
      <c r="A610" s="12"/>
      <c r="B610" s="34"/>
      <c r="C610" s="12"/>
      <c r="D610" s="12"/>
      <c r="E610" s="12"/>
      <c r="F610" s="12"/>
      <c r="G610" s="18"/>
      <c r="H610" s="35"/>
      <c r="I610" s="12"/>
      <c r="M610" s="12"/>
      <c r="N610" s="18"/>
      <c r="O610" s="12"/>
      <c r="P610" s="12"/>
      <c r="Q610" s="12"/>
      <c r="R610" s="36"/>
      <c r="S610" s="36"/>
      <c r="T610" s="12"/>
      <c r="U610" s="12"/>
      <c r="V610" s="12"/>
      <c r="W610" s="12"/>
      <c r="X610" s="12"/>
    </row>
    <row r="611" customFormat="false" ht="15.75" hidden="false" customHeight="false" outlineLevel="0" collapsed="false">
      <c r="A611" s="12"/>
      <c r="B611" s="34"/>
      <c r="C611" s="12"/>
      <c r="D611" s="12"/>
      <c r="E611" s="12"/>
      <c r="F611" s="12"/>
      <c r="G611" s="18"/>
      <c r="H611" s="35"/>
      <c r="I611" s="12"/>
      <c r="M611" s="12"/>
      <c r="N611" s="18"/>
      <c r="O611" s="12"/>
      <c r="P611" s="12"/>
      <c r="Q611" s="12"/>
      <c r="R611" s="36"/>
      <c r="S611" s="36"/>
      <c r="T611" s="12"/>
      <c r="U611" s="12"/>
      <c r="V611" s="12"/>
      <c r="W611" s="12"/>
      <c r="X611" s="12"/>
    </row>
    <row r="612" customFormat="false" ht="15.75" hidden="false" customHeight="false" outlineLevel="0" collapsed="false">
      <c r="A612" s="12"/>
      <c r="B612" s="34"/>
      <c r="C612" s="12"/>
      <c r="D612" s="12"/>
      <c r="E612" s="12"/>
      <c r="F612" s="12"/>
      <c r="G612" s="18"/>
      <c r="H612" s="35"/>
      <c r="I612" s="12"/>
      <c r="M612" s="12"/>
      <c r="N612" s="18"/>
      <c r="O612" s="12"/>
      <c r="P612" s="12"/>
      <c r="Q612" s="12"/>
      <c r="R612" s="36"/>
      <c r="S612" s="36"/>
      <c r="T612" s="12"/>
      <c r="U612" s="12"/>
      <c r="V612" s="12"/>
      <c r="W612" s="12"/>
      <c r="X612" s="12"/>
    </row>
    <row r="613" customFormat="false" ht="15.75" hidden="false" customHeight="false" outlineLevel="0" collapsed="false">
      <c r="A613" s="12"/>
      <c r="B613" s="34"/>
      <c r="C613" s="12"/>
      <c r="D613" s="12"/>
      <c r="E613" s="12"/>
      <c r="F613" s="12"/>
      <c r="G613" s="18"/>
      <c r="H613" s="35"/>
      <c r="I613" s="12"/>
      <c r="M613" s="12"/>
      <c r="N613" s="18"/>
      <c r="O613" s="12"/>
      <c r="P613" s="12"/>
      <c r="Q613" s="12"/>
      <c r="R613" s="36"/>
      <c r="S613" s="36"/>
      <c r="T613" s="12"/>
      <c r="U613" s="12"/>
      <c r="V613" s="12"/>
      <c r="W613" s="12"/>
      <c r="X613" s="12"/>
    </row>
    <row r="614" customFormat="false" ht="15.75" hidden="false" customHeight="false" outlineLevel="0" collapsed="false">
      <c r="A614" s="12"/>
      <c r="B614" s="34"/>
      <c r="C614" s="12"/>
      <c r="D614" s="12"/>
      <c r="E614" s="12"/>
      <c r="F614" s="12"/>
      <c r="G614" s="18"/>
      <c r="H614" s="35"/>
      <c r="I614" s="12"/>
      <c r="M614" s="12"/>
      <c r="N614" s="18"/>
      <c r="O614" s="12"/>
      <c r="P614" s="12"/>
      <c r="Q614" s="12"/>
      <c r="R614" s="36"/>
      <c r="S614" s="36"/>
      <c r="T614" s="12"/>
      <c r="U614" s="12"/>
      <c r="V614" s="12"/>
      <c r="W614" s="12"/>
      <c r="X614" s="12"/>
    </row>
    <row r="615" customFormat="false" ht="15.75" hidden="false" customHeight="false" outlineLevel="0" collapsed="false">
      <c r="A615" s="12"/>
      <c r="B615" s="34"/>
      <c r="C615" s="12"/>
      <c r="D615" s="12"/>
      <c r="E615" s="12"/>
      <c r="F615" s="12"/>
      <c r="G615" s="18"/>
      <c r="H615" s="35"/>
      <c r="I615" s="12"/>
      <c r="M615" s="12"/>
      <c r="N615" s="18"/>
      <c r="O615" s="12"/>
      <c r="P615" s="12"/>
      <c r="Q615" s="12"/>
      <c r="R615" s="36"/>
      <c r="S615" s="36"/>
      <c r="T615" s="12"/>
      <c r="U615" s="12"/>
      <c r="V615" s="12"/>
      <c r="W615" s="12"/>
      <c r="X615" s="12"/>
    </row>
    <row r="616" customFormat="false" ht="15.75" hidden="false" customHeight="false" outlineLevel="0" collapsed="false">
      <c r="A616" s="12"/>
      <c r="B616" s="34"/>
      <c r="C616" s="12"/>
      <c r="D616" s="12"/>
      <c r="E616" s="12"/>
      <c r="F616" s="12"/>
      <c r="G616" s="18"/>
      <c r="H616" s="35"/>
      <c r="I616" s="12"/>
      <c r="M616" s="12"/>
      <c r="N616" s="18"/>
      <c r="O616" s="12"/>
      <c r="P616" s="12"/>
      <c r="Q616" s="12"/>
      <c r="R616" s="36"/>
      <c r="S616" s="36"/>
      <c r="T616" s="12"/>
      <c r="U616" s="12"/>
      <c r="V616" s="12"/>
      <c r="W616" s="12"/>
      <c r="X616" s="12"/>
    </row>
    <row r="617" customFormat="false" ht="15.75" hidden="false" customHeight="false" outlineLevel="0" collapsed="false">
      <c r="A617" s="12"/>
      <c r="B617" s="34"/>
      <c r="C617" s="12"/>
      <c r="D617" s="12"/>
      <c r="E617" s="12"/>
      <c r="F617" s="12"/>
      <c r="G617" s="18"/>
      <c r="H617" s="35"/>
      <c r="I617" s="12"/>
      <c r="M617" s="12"/>
      <c r="N617" s="18"/>
      <c r="O617" s="12"/>
      <c r="P617" s="12"/>
      <c r="Q617" s="12"/>
      <c r="R617" s="36"/>
      <c r="S617" s="36"/>
      <c r="T617" s="12"/>
      <c r="U617" s="12"/>
      <c r="V617" s="12"/>
      <c r="W617" s="12"/>
      <c r="X617" s="12"/>
    </row>
    <row r="618" customFormat="false" ht="15.75" hidden="false" customHeight="false" outlineLevel="0" collapsed="false">
      <c r="A618" s="12"/>
      <c r="B618" s="34"/>
      <c r="C618" s="12"/>
      <c r="D618" s="12"/>
      <c r="E618" s="12"/>
      <c r="F618" s="12"/>
      <c r="G618" s="18"/>
      <c r="H618" s="35"/>
      <c r="I618" s="12"/>
      <c r="M618" s="12"/>
      <c r="N618" s="18"/>
      <c r="O618" s="12"/>
      <c r="P618" s="12"/>
      <c r="Q618" s="12"/>
      <c r="R618" s="36"/>
      <c r="S618" s="36"/>
      <c r="T618" s="12"/>
      <c r="U618" s="12"/>
      <c r="V618" s="12"/>
      <c r="W618" s="12"/>
      <c r="X618" s="12"/>
    </row>
    <row r="619" customFormat="false" ht="15.75" hidden="false" customHeight="false" outlineLevel="0" collapsed="false">
      <c r="A619" s="12"/>
      <c r="B619" s="34"/>
      <c r="C619" s="12"/>
      <c r="D619" s="12"/>
      <c r="E619" s="12"/>
      <c r="F619" s="12"/>
      <c r="G619" s="18"/>
      <c r="H619" s="35"/>
      <c r="I619" s="12"/>
      <c r="M619" s="12"/>
      <c r="N619" s="18"/>
      <c r="O619" s="12"/>
      <c r="P619" s="12"/>
      <c r="Q619" s="12"/>
      <c r="R619" s="36"/>
      <c r="S619" s="36"/>
      <c r="T619" s="12"/>
      <c r="U619" s="12"/>
      <c r="V619" s="12"/>
      <c r="W619" s="12"/>
      <c r="X619" s="12"/>
    </row>
    <row r="620" customFormat="false" ht="15.75" hidden="false" customHeight="false" outlineLevel="0" collapsed="false">
      <c r="A620" s="12"/>
      <c r="B620" s="34"/>
      <c r="C620" s="12"/>
      <c r="D620" s="12"/>
      <c r="E620" s="12"/>
      <c r="F620" s="12"/>
      <c r="G620" s="18"/>
      <c r="H620" s="35"/>
      <c r="I620" s="12"/>
      <c r="M620" s="12"/>
      <c r="N620" s="18"/>
      <c r="O620" s="12"/>
      <c r="P620" s="12"/>
      <c r="Q620" s="12"/>
      <c r="R620" s="36"/>
      <c r="S620" s="36"/>
      <c r="T620" s="12"/>
      <c r="U620" s="12"/>
      <c r="V620" s="12"/>
      <c r="W620" s="12"/>
      <c r="X620" s="12"/>
    </row>
    <row r="621" customFormat="false" ht="15.75" hidden="false" customHeight="false" outlineLevel="0" collapsed="false">
      <c r="A621" s="12"/>
      <c r="B621" s="34"/>
      <c r="C621" s="12"/>
      <c r="D621" s="12"/>
      <c r="E621" s="12"/>
      <c r="F621" s="12"/>
      <c r="G621" s="18"/>
      <c r="H621" s="35"/>
      <c r="I621" s="12"/>
      <c r="M621" s="12"/>
      <c r="N621" s="18"/>
      <c r="O621" s="12"/>
      <c r="P621" s="12"/>
      <c r="Q621" s="12"/>
      <c r="R621" s="36"/>
      <c r="S621" s="36"/>
      <c r="T621" s="12"/>
      <c r="U621" s="12"/>
      <c r="V621" s="12"/>
      <c r="W621" s="12"/>
      <c r="X621" s="12"/>
    </row>
    <row r="622" customFormat="false" ht="15.75" hidden="false" customHeight="false" outlineLevel="0" collapsed="false">
      <c r="A622" s="12"/>
      <c r="B622" s="34"/>
      <c r="C622" s="12"/>
      <c r="D622" s="12"/>
      <c r="E622" s="12"/>
      <c r="F622" s="12"/>
      <c r="G622" s="18"/>
      <c r="H622" s="35"/>
      <c r="I622" s="12"/>
      <c r="M622" s="12"/>
      <c r="N622" s="18"/>
      <c r="O622" s="12"/>
      <c r="P622" s="12"/>
      <c r="Q622" s="12"/>
      <c r="R622" s="36"/>
      <c r="S622" s="36"/>
      <c r="T622" s="12"/>
      <c r="U622" s="12"/>
      <c r="V622" s="12"/>
      <c r="W622" s="12"/>
      <c r="X622" s="12"/>
    </row>
    <row r="623" customFormat="false" ht="15.75" hidden="false" customHeight="false" outlineLevel="0" collapsed="false">
      <c r="A623" s="12"/>
      <c r="B623" s="34"/>
      <c r="C623" s="12"/>
      <c r="D623" s="12"/>
      <c r="E623" s="12"/>
      <c r="F623" s="12"/>
      <c r="G623" s="18"/>
      <c r="H623" s="35"/>
      <c r="I623" s="12"/>
      <c r="M623" s="12"/>
      <c r="N623" s="18"/>
      <c r="O623" s="12"/>
      <c r="P623" s="12"/>
      <c r="Q623" s="12"/>
      <c r="R623" s="36"/>
      <c r="S623" s="36"/>
      <c r="T623" s="12"/>
      <c r="U623" s="12"/>
      <c r="V623" s="12"/>
      <c r="W623" s="12"/>
      <c r="X623" s="12"/>
    </row>
    <row r="624" customFormat="false" ht="15.75" hidden="false" customHeight="false" outlineLevel="0" collapsed="false">
      <c r="A624" s="12"/>
      <c r="B624" s="34"/>
      <c r="C624" s="12"/>
      <c r="D624" s="12"/>
      <c r="E624" s="12"/>
      <c r="F624" s="12"/>
      <c r="G624" s="18"/>
      <c r="H624" s="35"/>
      <c r="I624" s="12"/>
      <c r="M624" s="12"/>
      <c r="N624" s="18"/>
      <c r="O624" s="12"/>
      <c r="P624" s="12"/>
      <c r="Q624" s="12"/>
      <c r="R624" s="36"/>
      <c r="S624" s="36"/>
      <c r="T624" s="12"/>
      <c r="U624" s="12"/>
      <c r="V624" s="12"/>
      <c r="W624" s="12"/>
      <c r="X624" s="12"/>
    </row>
    <row r="625" customFormat="false" ht="15.75" hidden="false" customHeight="false" outlineLevel="0" collapsed="false">
      <c r="A625" s="12"/>
      <c r="B625" s="34"/>
      <c r="C625" s="12"/>
      <c r="D625" s="12"/>
      <c r="E625" s="12"/>
      <c r="F625" s="12"/>
      <c r="G625" s="18"/>
      <c r="H625" s="35"/>
      <c r="I625" s="12"/>
      <c r="M625" s="12"/>
      <c r="N625" s="18"/>
      <c r="O625" s="12"/>
      <c r="P625" s="12"/>
      <c r="Q625" s="12"/>
      <c r="R625" s="36"/>
      <c r="S625" s="36"/>
      <c r="T625" s="12"/>
      <c r="U625" s="12"/>
      <c r="V625" s="12"/>
      <c r="W625" s="12"/>
      <c r="X625" s="12"/>
    </row>
    <row r="626" customFormat="false" ht="15.75" hidden="false" customHeight="false" outlineLevel="0" collapsed="false">
      <c r="A626" s="12"/>
      <c r="B626" s="34"/>
      <c r="C626" s="12"/>
      <c r="D626" s="12"/>
      <c r="E626" s="12"/>
      <c r="F626" s="12"/>
      <c r="G626" s="18"/>
      <c r="H626" s="35"/>
      <c r="I626" s="12"/>
      <c r="M626" s="12"/>
      <c r="N626" s="18"/>
      <c r="O626" s="12"/>
      <c r="P626" s="12"/>
      <c r="Q626" s="12"/>
      <c r="R626" s="36"/>
      <c r="S626" s="36"/>
      <c r="T626" s="12"/>
      <c r="U626" s="12"/>
      <c r="V626" s="12"/>
      <c r="W626" s="12"/>
      <c r="X626" s="12"/>
    </row>
    <row r="627" customFormat="false" ht="15.75" hidden="false" customHeight="false" outlineLevel="0" collapsed="false">
      <c r="A627" s="12"/>
      <c r="B627" s="34"/>
      <c r="C627" s="12"/>
      <c r="D627" s="12"/>
      <c r="E627" s="12"/>
      <c r="F627" s="12"/>
      <c r="G627" s="18"/>
      <c r="H627" s="35"/>
      <c r="I627" s="12"/>
      <c r="M627" s="12"/>
      <c r="N627" s="18"/>
      <c r="O627" s="12"/>
      <c r="P627" s="12"/>
      <c r="Q627" s="12"/>
      <c r="R627" s="36"/>
      <c r="S627" s="36"/>
      <c r="T627" s="12"/>
      <c r="U627" s="12"/>
      <c r="V627" s="12"/>
      <c r="W627" s="12"/>
      <c r="X627" s="12"/>
    </row>
    <row r="628" customFormat="false" ht="15.75" hidden="false" customHeight="false" outlineLevel="0" collapsed="false">
      <c r="A628" s="12"/>
      <c r="B628" s="34"/>
      <c r="C628" s="12"/>
      <c r="D628" s="12"/>
      <c r="E628" s="12"/>
      <c r="F628" s="12"/>
      <c r="G628" s="18"/>
      <c r="H628" s="35"/>
      <c r="I628" s="12"/>
      <c r="M628" s="12"/>
      <c r="N628" s="18"/>
      <c r="O628" s="12"/>
      <c r="P628" s="12"/>
      <c r="Q628" s="12"/>
      <c r="R628" s="36"/>
      <c r="S628" s="36"/>
      <c r="T628" s="12"/>
      <c r="U628" s="12"/>
      <c r="V628" s="12"/>
      <c r="W628" s="12"/>
      <c r="X628" s="12"/>
    </row>
    <row r="629" customFormat="false" ht="15.75" hidden="false" customHeight="false" outlineLevel="0" collapsed="false">
      <c r="A629" s="12"/>
      <c r="B629" s="34"/>
      <c r="C629" s="12"/>
      <c r="D629" s="12"/>
      <c r="E629" s="12"/>
      <c r="F629" s="12"/>
      <c r="G629" s="18"/>
      <c r="H629" s="35"/>
      <c r="I629" s="12"/>
      <c r="M629" s="12"/>
      <c r="N629" s="18"/>
      <c r="O629" s="12"/>
      <c r="P629" s="12"/>
      <c r="Q629" s="12"/>
      <c r="R629" s="36"/>
      <c r="S629" s="36"/>
      <c r="T629" s="12"/>
      <c r="U629" s="12"/>
      <c r="V629" s="12"/>
      <c r="W629" s="12"/>
      <c r="X629" s="12"/>
    </row>
    <row r="630" customFormat="false" ht="15.75" hidden="false" customHeight="false" outlineLevel="0" collapsed="false">
      <c r="A630" s="12"/>
      <c r="B630" s="34"/>
      <c r="C630" s="12"/>
      <c r="D630" s="12"/>
      <c r="E630" s="12"/>
      <c r="F630" s="12"/>
      <c r="G630" s="18"/>
      <c r="H630" s="35"/>
      <c r="I630" s="12"/>
      <c r="M630" s="12"/>
      <c r="N630" s="18"/>
      <c r="O630" s="12"/>
      <c r="P630" s="12"/>
      <c r="Q630" s="12"/>
      <c r="R630" s="36"/>
      <c r="S630" s="36"/>
      <c r="T630" s="12"/>
      <c r="U630" s="12"/>
      <c r="V630" s="12"/>
      <c r="W630" s="12"/>
      <c r="X630" s="12"/>
    </row>
    <row r="631" customFormat="false" ht="15.75" hidden="false" customHeight="false" outlineLevel="0" collapsed="false">
      <c r="A631" s="12"/>
      <c r="B631" s="34"/>
      <c r="C631" s="12"/>
      <c r="D631" s="12"/>
      <c r="E631" s="12"/>
      <c r="F631" s="12"/>
      <c r="G631" s="18"/>
      <c r="H631" s="35"/>
      <c r="I631" s="12"/>
      <c r="M631" s="12"/>
      <c r="N631" s="18"/>
      <c r="O631" s="12"/>
      <c r="P631" s="12"/>
      <c r="Q631" s="12"/>
      <c r="R631" s="36"/>
      <c r="S631" s="36"/>
      <c r="T631" s="12"/>
      <c r="U631" s="12"/>
      <c r="V631" s="12"/>
      <c r="W631" s="12"/>
      <c r="X631" s="12"/>
    </row>
    <row r="632" customFormat="false" ht="15.75" hidden="false" customHeight="false" outlineLevel="0" collapsed="false">
      <c r="A632" s="12"/>
      <c r="B632" s="34"/>
      <c r="C632" s="12"/>
      <c r="D632" s="12"/>
      <c r="E632" s="12"/>
      <c r="F632" s="12"/>
      <c r="G632" s="18"/>
      <c r="H632" s="35"/>
      <c r="I632" s="12"/>
      <c r="M632" s="12"/>
      <c r="N632" s="18"/>
      <c r="O632" s="12"/>
      <c r="P632" s="12"/>
      <c r="Q632" s="12"/>
      <c r="R632" s="36"/>
      <c r="S632" s="36"/>
      <c r="T632" s="12"/>
      <c r="U632" s="12"/>
      <c r="V632" s="12"/>
      <c r="W632" s="12"/>
      <c r="X632" s="12"/>
    </row>
    <row r="633" customFormat="false" ht="15.75" hidden="false" customHeight="false" outlineLevel="0" collapsed="false">
      <c r="A633" s="12"/>
      <c r="B633" s="34"/>
      <c r="C633" s="12"/>
      <c r="D633" s="12"/>
      <c r="E633" s="12"/>
      <c r="F633" s="12"/>
      <c r="G633" s="18"/>
      <c r="H633" s="35"/>
      <c r="I633" s="12"/>
      <c r="M633" s="12"/>
      <c r="N633" s="18"/>
      <c r="O633" s="12"/>
      <c r="P633" s="12"/>
      <c r="Q633" s="12"/>
      <c r="R633" s="36"/>
      <c r="S633" s="36"/>
      <c r="T633" s="12"/>
      <c r="U633" s="12"/>
      <c r="V633" s="12"/>
      <c r="W633" s="12"/>
      <c r="X633" s="12"/>
    </row>
    <row r="634" customFormat="false" ht="15.75" hidden="false" customHeight="false" outlineLevel="0" collapsed="false">
      <c r="A634" s="12"/>
      <c r="B634" s="34"/>
      <c r="C634" s="12"/>
      <c r="D634" s="12"/>
      <c r="E634" s="12"/>
      <c r="F634" s="12"/>
      <c r="G634" s="18"/>
      <c r="H634" s="35"/>
      <c r="I634" s="12"/>
      <c r="M634" s="12"/>
      <c r="N634" s="18"/>
      <c r="O634" s="12"/>
      <c r="P634" s="12"/>
      <c r="Q634" s="12"/>
      <c r="R634" s="36"/>
      <c r="S634" s="36"/>
      <c r="T634" s="12"/>
      <c r="U634" s="12"/>
      <c r="V634" s="12"/>
      <c r="W634" s="12"/>
      <c r="X634" s="12"/>
    </row>
    <row r="635" customFormat="false" ht="15.75" hidden="false" customHeight="false" outlineLevel="0" collapsed="false">
      <c r="A635" s="12"/>
      <c r="B635" s="34"/>
      <c r="C635" s="12"/>
      <c r="D635" s="12"/>
      <c r="E635" s="12"/>
      <c r="F635" s="12"/>
      <c r="G635" s="18"/>
      <c r="H635" s="35"/>
      <c r="I635" s="12"/>
      <c r="M635" s="12"/>
      <c r="N635" s="18"/>
      <c r="O635" s="12"/>
      <c r="P635" s="12"/>
      <c r="Q635" s="12"/>
      <c r="R635" s="36"/>
      <c r="S635" s="36"/>
      <c r="T635" s="12"/>
      <c r="U635" s="12"/>
      <c r="V635" s="12"/>
      <c r="W635" s="12"/>
      <c r="X635" s="12"/>
    </row>
    <row r="636" customFormat="false" ht="15.75" hidden="false" customHeight="false" outlineLevel="0" collapsed="false">
      <c r="A636" s="12"/>
      <c r="B636" s="34"/>
      <c r="C636" s="12"/>
      <c r="D636" s="12"/>
      <c r="E636" s="12"/>
      <c r="F636" s="12"/>
      <c r="G636" s="18"/>
      <c r="H636" s="35"/>
      <c r="I636" s="12"/>
      <c r="M636" s="12"/>
      <c r="N636" s="18"/>
      <c r="O636" s="12"/>
      <c r="P636" s="12"/>
      <c r="Q636" s="12"/>
      <c r="R636" s="36"/>
      <c r="S636" s="36"/>
      <c r="T636" s="12"/>
      <c r="U636" s="12"/>
      <c r="V636" s="12"/>
      <c r="W636" s="12"/>
      <c r="X636" s="12"/>
    </row>
    <row r="637" customFormat="false" ht="15.75" hidden="false" customHeight="false" outlineLevel="0" collapsed="false">
      <c r="A637" s="12"/>
      <c r="B637" s="34"/>
      <c r="C637" s="12"/>
      <c r="D637" s="12"/>
      <c r="E637" s="12"/>
      <c r="F637" s="12"/>
      <c r="G637" s="18"/>
      <c r="H637" s="35"/>
      <c r="I637" s="12"/>
      <c r="M637" s="12"/>
      <c r="N637" s="18"/>
      <c r="O637" s="12"/>
      <c r="P637" s="12"/>
      <c r="Q637" s="12"/>
      <c r="R637" s="36"/>
      <c r="S637" s="36"/>
      <c r="T637" s="12"/>
      <c r="U637" s="12"/>
      <c r="V637" s="12"/>
      <c r="W637" s="12"/>
      <c r="X637" s="12"/>
    </row>
    <row r="638" customFormat="false" ht="15.75" hidden="false" customHeight="false" outlineLevel="0" collapsed="false">
      <c r="A638" s="12"/>
      <c r="B638" s="34"/>
      <c r="C638" s="12"/>
      <c r="D638" s="12"/>
      <c r="E638" s="12"/>
      <c r="F638" s="12"/>
      <c r="G638" s="18"/>
      <c r="H638" s="35"/>
      <c r="I638" s="12"/>
      <c r="M638" s="12"/>
      <c r="N638" s="18"/>
      <c r="O638" s="12"/>
      <c r="P638" s="12"/>
      <c r="Q638" s="12"/>
      <c r="R638" s="36"/>
      <c r="S638" s="36"/>
      <c r="T638" s="12"/>
      <c r="U638" s="12"/>
      <c r="V638" s="12"/>
      <c r="W638" s="12"/>
      <c r="X638" s="12"/>
    </row>
    <row r="639" customFormat="false" ht="15.75" hidden="false" customHeight="false" outlineLevel="0" collapsed="false">
      <c r="A639" s="12"/>
      <c r="B639" s="34"/>
      <c r="C639" s="12"/>
      <c r="D639" s="12"/>
      <c r="E639" s="12"/>
      <c r="F639" s="12"/>
      <c r="G639" s="18"/>
      <c r="H639" s="35"/>
      <c r="I639" s="12"/>
      <c r="M639" s="12"/>
      <c r="N639" s="18"/>
      <c r="O639" s="12"/>
      <c r="P639" s="12"/>
      <c r="Q639" s="12"/>
      <c r="R639" s="36"/>
      <c r="S639" s="36"/>
      <c r="T639" s="12"/>
      <c r="U639" s="12"/>
      <c r="V639" s="12"/>
      <c r="W639" s="12"/>
      <c r="X639" s="12"/>
    </row>
    <row r="640" customFormat="false" ht="15.75" hidden="false" customHeight="false" outlineLevel="0" collapsed="false">
      <c r="A640" s="12"/>
      <c r="B640" s="34"/>
      <c r="C640" s="12"/>
      <c r="D640" s="12"/>
      <c r="E640" s="12"/>
      <c r="F640" s="12"/>
      <c r="G640" s="18"/>
      <c r="H640" s="35"/>
      <c r="I640" s="12"/>
      <c r="M640" s="12"/>
      <c r="N640" s="18"/>
      <c r="O640" s="12"/>
      <c r="P640" s="12"/>
      <c r="Q640" s="12"/>
      <c r="R640" s="36"/>
      <c r="S640" s="36"/>
      <c r="T640" s="12"/>
      <c r="U640" s="12"/>
      <c r="V640" s="12"/>
      <c r="W640" s="12"/>
      <c r="X640" s="12"/>
    </row>
    <row r="641" customFormat="false" ht="15.75" hidden="false" customHeight="false" outlineLevel="0" collapsed="false">
      <c r="A641" s="12"/>
      <c r="B641" s="34"/>
      <c r="C641" s="12"/>
      <c r="D641" s="12"/>
      <c r="E641" s="12"/>
      <c r="F641" s="12"/>
      <c r="G641" s="18"/>
      <c r="H641" s="35"/>
      <c r="I641" s="12"/>
      <c r="M641" s="12"/>
      <c r="N641" s="18"/>
      <c r="O641" s="12"/>
      <c r="P641" s="12"/>
      <c r="Q641" s="12"/>
      <c r="R641" s="36"/>
      <c r="S641" s="36"/>
      <c r="T641" s="12"/>
      <c r="U641" s="12"/>
      <c r="V641" s="12"/>
      <c r="W641" s="12"/>
      <c r="X641" s="12"/>
    </row>
    <row r="642" customFormat="false" ht="15.75" hidden="false" customHeight="false" outlineLevel="0" collapsed="false">
      <c r="A642" s="12"/>
      <c r="B642" s="34"/>
      <c r="C642" s="12"/>
      <c r="D642" s="12"/>
      <c r="E642" s="12"/>
      <c r="F642" s="12"/>
      <c r="G642" s="18"/>
      <c r="H642" s="35"/>
      <c r="I642" s="12"/>
      <c r="M642" s="12"/>
      <c r="N642" s="18"/>
      <c r="O642" s="12"/>
      <c r="P642" s="12"/>
      <c r="Q642" s="12"/>
      <c r="R642" s="36"/>
      <c r="S642" s="36"/>
      <c r="T642" s="12"/>
      <c r="U642" s="12"/>
      <c r="V642" s="12"/>
      <c r="W642" s="12"/>
      <c r="X642" s="12"/>
    </row>
    <row r="643" customFormat="false" ht="15.75" hidden="false" customHeight="false" outlineLevel="0" collapsed="false">
      <c r="A643" s="12"/>
      <c r="B643" s="34"/>
      <c r="C643" s="12"/>
      <c r="D643" s="12"/>
      <c r="E643" s="12"/>
      <c r="F643" s="12"/>
      <c r="G643" s="18"/>
      <c r="H643" s="35"/>
      <c r="I643" s="12"/>
      <c r="M643" s="12"/>
      <c r="N643" s="18"/>
      <c r="O643" s="12"/>
      <c r="P643" s="12"/>
      <c r="Q643" s="12"/>
      <c r="R643" s="36"/>
      <c r="S643" s="36"/>
      <c r="T643" s="12"/>
      <c r="U643" s="12"/>
      <c r="V643" s="12"/>
      <c r="W643" s="12"/>
      <c r="X643" s="12"/>
    </row>
    <row r="644" customFormat="false" ht="15.75" hidden="false" customHeight="false" outlineLevel="0" collapsed="false">
      <c r="A644" s="12"/>
      <c r="B644" s="34"/>
      <c r="C644" s="12"/>
      <c r="D644" s="12"/>
      <c r="E644" s="12"/>
      <c r="F644" s="12"/>
      <c r="G644" s="18"/>
      <c r="H644" s="35"/>
      <c r="I644" s="12"/>
      <c r="M644" s="12"/>
      <c r="N644" s="18"/>
      <c r="O644" s="12"/>
      <c r="P644" s="12"/>
      <c r="Q644" s="12"/>
      <c r="R644" s="36"/>
      <c r="S644" s="36"/>
      <c r="T644" s="12"/>
      <c r="U644" s="12"/>
      <c r="V644" s="12"/>
      <c r="W644" s="12"/>
      <c r="X644" s="12"/>
    </row>
    <row r="645" customFormat="false" ht="15.75" hidden="false" customHeight="false" outlineLevel="0" collapsed="false">
      <c r="A645" s="12"/>
      <c r="B645" s="34"/>
      <c r="C645" s="12"/>
      <c r="D645" s="12"/>
      <c r="E645" s="12"/>
      <c r="F645" s="12"/>
      <c r="G645" s="18"/>
      <c r="H645" s="35"/>
      <c r="I645" s="12"/>
      <c r="M645" s="12"/>
      <c r="N645" s="18"/>
      <c r="O645" s="12"/>
      <c r="P645" s="12"/>
      <c r="Q645" s="12"/>
      <c r="R645" s="36"/>
      <c r="S645" s="36"/>
      <c r="T645" s="12"/>
      <c r="U645" s="12"/>
      <c r="V645" s="12"/>
      <c r="W645" s="12"/>
      <c r="X645" s="12"/>
    </row>
    <row r="646" customFormat="false" ht="15.75" hidden="false" customHeight="false" outlineLevel="0" collapsed="false">
      <c r="A646" s="12"/>
      <c r="B646" s="34"/>
      <c r="C646" s="12"/>
      <c r="D646" s="12"/>
      <c r="E646" s="12"/>
      <c r="F646" s="12"/>
      <c r="G646" s="18"/>
      <c r="H646" s="35"/>
      <c r="I646" s="12"/>
      <c r="M646" s="12"/>
      <c r="N646" s="18"/>
      <c r="O646" s="12"/>
      <c r="P646" s="12"/>
      <c r="Q646" s="12"/>
      <c r="R646" s="36"/>
      <c r="S646" s="36"/>
      <c r="T646" s="12"/>
      <c r="U646" s="12"/>
      <c r="V646" s="12"/>
      <c r="W646" s="12"/>
      <c r="X646" s="12"/>
    </row>
    <row r="647" customFormat="false" ht="15.75" hidden="false" customHeight="false" outlineLevel="0" collapsed="false">
      <c r="A647" s="12"/>
      <c r="B647" s="34"/>
      <c r="C647" s="12"/>
      <c r="D647" s="12"/>
      <c r="E647" s="12"/>
      <c r="F647" s="12"/>
      <c r="G647" s="18"/>
      <c r="H647" s="35"/>
      <c r="I647" s="12"/>
      <c r="M647" s="12"/>
      <c r="N647" s="18"/>
      <c r="O647" s="12"/>
      <c r="P647" s="12"/>
      <c r="Q647" s="12"/>
      <c r="R647" s="36"/>
      <c r="S647" s="36"/>
      <c r="T647" s="12"/>
      <c r="U647" s="12"/>
      <c r="V647" s="12"/>
      <c r="W647" s="12"/>
      <c r="X647" s="12"/>
    </row>
    <row r="648" customFormat="false" ht="15.75" hidden="false" customHeight="false" outlineLevel="0" collapsed="false">
      <c r="A648" s="12"/>
      <c r="B648" s="34"/>
      <c r="C648" s="12"/>
      <c r="D648" s="12"/>
      <c r="E648" s="12"/>
      <c r="F648" s="12"/>
      <c r="G648" s="18"/>
      <c r="H648" s="35"/>
      <c r="I648" s="12"/>
      <c r="M648" s="12"/>
      <c r="N648" s="18"/>
      <c r="O648" s="12"/>
      <c r="P648" s="12"/>
      <c r="Q648" s="12"/>
      <c r="R648" s="36"/>
      <c r="S648" s="36"/>
      <c r="T648" s="12"/>
      <c r="U648" s="12"/>
      <c r="V648" s="12"/>
      <c r="W648" s="12"/>
      <c r="X648" s="12"/>
    </row>
    <row r="649" customFormat="false" ht="15.75" hidden="false" customHeight="false" outlineLevel="0" collapsed="false">
      <c r="A649" s="12"/>
      <c r="B649" s="34"/>
      <c r="C649" s="12"/>
      <c r="D649" s="12"/>
      <c r="E649" s="12"/>
      <c r="F649" s="12"/>
      <c r="G649" s="18"/>
      <c r="H649" s="35"/>
      <c r="I649" s="12"/>
      <c r="M649" s="12"/>
      <c r="N649" s="18"/>
      <c r="O649" s="12"/>
      <c r="P649" s="12"/>
      <c r="Q649" s="12"/>
      <c r="R649" s="36"/>
      <c r="S649" s="36"/>
      <c r="T649" s="12"/>
      <c r="U649" s="12"/>
      <c r="V649" s="12"/>
      <c r="W649" s="12"/>
      <c r="X649" s="12"/>
    </row>
    <row r="650" customFormat="false" ht="15.75" hidden="false" customHeight="false" outlineLevel="0" collapsed="false">
      <c r="A650" s="12"/>
      <c r="B650" s="34"/>
      <c r="C650" s="12"/>
      <c r="D650" s="12"/>
      <c r="E650" s="12"/>
      <c r="F650" s="12"/>
      <c r="G650" s="18"/>
      <c r="H650" s="35"/>
      <c r="I650" s="12"/>
      <c r="M650" s="12"/>
      <c r="N650" s="18"/>
      <c r="O650" s="12"/>
      <c r="P650" s="12"/>
      <c r="Q650" s="12"/>
      <c r="R650" s="36"/>
      <c r="S650" s="36"/>
      <c r="T650" s="12"/>
      <c r="U650" s="12"/>
      <c r="V650" s="12"/>
      <c r="W650" s="12"/>
      <c r="X650" s="12"/>
    </row>
    <row r="651" customFormat="false" ht="15.75" hidden="false" customHeight="false" outlineLevel="0" collapsed="false">
      <c r="A651" s="12"/>
      <c r="B651" s="34"/>
      <c r="C651" s="12"/>
      <c r="D651" s="12"/>
      <c r="E651" s="12"/>
      <c r="F651" s="12"/>
      <c r="G651" s="18"/>
      <c r="H651" s="35"/>
      <c r="I651" s="12"/>
      <c r="M651" s="12"/>
      <c r="N651" s="18"/>
      <c r="O651" s="12"/>
      <c r="P651" s="12"/>
      <c r="Q651" s="12"/>
      <c r="R651" s="36"/>
      <c r="S651" s="36"/>
      <c r="T651" s="12"/>
      <c r="U651" s="12"/>
      <c r="V651" s="12"/>
      <c r="W651" s="12"/>
      <c r="X651" s="12"/>
    </row>
    <row r="652" customFormat="false" ht="15.75" hidden="false" customHeight="false" outlineLevel="0" collapsed="false">
      <c r="A652" s="12"/>
      <c r="B652" s="34"/>
      <c r="C652" s="12"/>
      <c r="D652" s="12"/>
      <c r="E652" s="12"/>
      <c r="F652" s="12"/>
      <c r="G652" s="18"/>
      <c r="H652" s="35"/>
      <c r="I652" s="12"/>
      <c r="M652" s="12"/>
      <c r="N652" s="18"/>
      <c r="O652" s="12"/>
      <c r="P652" s="12"/>
      <c r="Q652" s="12"/>
      <c r="R652" s="36"/>
      <c r="S652" s="36"/>
      <c r="T652" s="12"/>
      <c r="U652" s="12"/>
      <c r="V652" s="12"/>
      <c r="W652" s="12"/>
      <c r="X652" s="12"/>
    </row>
    <row r="653" customFormat="false" ht="15.75" hidden="false" customHeight="false" outlineLevel="0" collapsed="false">
      <c r="A653" s="12"/>
      <c r="B653" s="34"/>
      <c r="C653" s="12"/>
      <c r="D653" s="12"/>
      <c r="E653" s="12"/>
      <c r="F653" s="12"/>
      <c r="G653" s="18"/>
      <c r="H653" s="35"/>
      <c r="I653" s="12"/>
      <c r="M653" s="12"/>
      <c r="N653" s="18"/>
      <c r="O653" s="12"/>
      <c r="P653" s="12"/>
      <c r="Q653" s="12"/>
      <c r="R653" s="36"/>
      <c r="S653" s="36"/>
      <c r="T653" s="12"/>
      <c r="U653" s="12"/>
      <c r="V653" s="12"/>
      <c r="W653" s="12"/>
      <c r="X653" s="12"/>
    </row>
    <row r="654" customFormat="false" ht="15.75" hidden="false" customHeight="false" outlineLevel="0" collapsed="false">
      <c r="A654" s="12"/>
      <c r="B654" s="34"/>
      <c r="C654" s="12"/>
      <c r="D654" s="12"/>
      <c r="E654" s="12"/>
      <c r="F654" s="12"/>
      <c r="G654" s="18"/>
      <c r="H654" s="35"/>
      <c r="I654" s="12"/>
      <c r="M654" s="12"/>
      <c r="N654" s="18"/>
      <c r="O654" s="12"/>
      <c r="P654" s="12"/>
      <c r="Q654" s="12"/>
      <c r="R654" s="36"/>
      <c r="S654" s="36"/>
      <c r="T654" s="12"/>
      <c r="U654" s="12"/>
      <c r="V654" s="12"/>
      <c r="W654" s="12"/>
      <c r="X654" s="12"/>
    </row>
    <row r="655" customFormat="false" ht="15.75" hidden="false" customHeight="false" outlineLevel="0" collapsed="false">
      <c r="A655" s="12"/>
      <c r="B655" s="34"/>
      <c r="C655" s="12"/>
      <c r="D655" s="12"/>
      <c r="E655" s="12"/>
      <c r="F655" s="12"/>
      <c r="G655" s="18"/>
      <c r="H655" s="35"/>
      <c r="I655" s="12"/>
      <c r="M655" s="12"/>
      <c r="N655" s="18"/>
      <c r="O655" s="12"/>
      <c r="P655" s="12"/>
      <c r="Q655" s="12"/>
      <c r="R655" s="36"/>
      <c r="S655" s="36"/>
      <c r="T655" s="12"/>
      <c r="U655" s="12"/>
      <c r="V655" s="12"/>
      <c r="W655" s="12"/>
      <c r="X655" s="12"/>
    </row>
    <row r="656" customFormat="false" ht="15.75" hidden="false" customHeight="false" outlineLevel="0" collapsed="false">
      <c r="A656" s="12"/>
      <c r="B656" s="34"/>
      <c r="C656" s="12"/>
      <c r="D656" s="12"/>
      <c r="E656" s="12"/>
      <c r="F656" s="12"/>
      <c r="G656" s="18"/>
      <c r="H656" s="35"/>
      <c r="I656" s="12"/>
      <c r="M656" s="12"/>
      <c r="N656" s="18"/>
      <c r="O656" s="12"/>
      <c r="P656" s="12"/>
      <c r="Q656" s="12"/>
      <c r="R656" s="36"/>
      <c r="S656" s="36"/>
      <c r="T656" s="12"/>
      <c r="U656" s="12"/>
      <c r="V656" s="12"/>
      <c r="W656" s="12"/>
      <c r="X656" s="12"/>
    </row>
    <row r="657" customFormat="false" ht="15.75" hidden="false" customHeight="false" outlineLevel="0" collapsed="false">
      <c r="A657" s="12"/>
      <c r="B657" s="34"/>
      <c r="C657" s="12"/>
      <c r="D657" s="12"/>
      <c r="E657" s="12"/>
      <c r="F657" s="12"/>
      <c r="G657" s="18"/>
      <c r="H657" s="35"/>
      <c r="I657" s="12"/>
      <c r="M657" s="12"/>
      <c r="N657" s="18"/>
      <c r="O657" s="12"/>
      <c r="P657" s="12"/>
      <c r="Q657" s="12"/>
      <c r="R657" s="36"/>
      <c r="S657" s="36"/>
      <c r="T657" s="12"/>
      <c r="U657" s="12"/>
      <c r="V657" s="12"/>
      <c r="W657" s="12"/>
      <c r="X657" s="12"/>
    </row>
    <row r="658" customFormat="false" ht="15.75" hidden="false" customHeight="false" outlineLevel="0" collapsed="false">
      <c r="A658" s="12"/>
      <c r="B658" s="34"/>
      <c r="C658" s="12"/>
      <c r="D658" s="12"/>
      <c r="E658" s="12"/>
      <c r="F658" s="12"/>
      <c r="G658" s="18"/>
      <c r="H658" s="35"/>
      <c r="I658" s="12"/>
      <c r="M658" s="12"/>
      <c r="N658" s="18"/>
      <c r="O658" s="12"/>
      <c r="P658" s="12"/>
      <c r="Q658" s="12"/>
      <c r="R658" s="36"/>
      <c r="S658" s="36"/>
      <c r="T658" s="12"/>
      <c r="U658" s="12"/>
      <c r="V658" s="12"/>
      <c r="W658" s="12"/>
      <c r="X658" s="12"/>
    </row>
    <row r="659" customFormat="false" ht="15.75" hidden="false" customHeight="false" outlineLevel="0" collapsed="false">
      <c r="A659" s="12"/>
      <c r="B659" s="34"/>
      <c r="C659" s="12"/>
      <c r="D659" s="12"/>
      <c r="E659" s="12"/>
      <c r="F659" s="12"/>
      <c r="G659" s="18"/>
      <c r="H659" s="35"/>
      <c r="I659" s="12"/>
      <c r="M659" s="12"/>
      <c r="N659" s="18"/>
      <c r="O659" s="12"/>
      <c r="P659" s="12"/>
      <c r="Q659" s="12"/>
      <c r="R659" s="36"/>
      <c r="S659" s="36"/>
      <c r="T659" s="12"/>
      <c r="U659" s="12"/>
      <c r="V659" s="12"/>
      <c r="W659" s="12"/>
      <c r="X659" s="12"/>
    </row>
    <row r="660" customFormat="false" ht="15.75" hidden="false" customHeight="false" outlineLevel="0" collapsed="false">
      <c r="A660" s="12"/>
      <c r="B660" s="34"/>
      <c r="C660" s="12"/>
      <c r="D660" s="12"/>
      <c r="E660" s="12"/>
      <c r="F660" s="12"/>
      <c r="G660" s="18"/>
      <c r="H660" s="35"/>
      <c r="I660" s="12"/>
      <c r="M660" s="12"/>
      <c r="N660" s="18"/>
      <c r="O660" s="12"/>
      <c r="P660" s="12"/>
      <c r="Q660" s="12"/>
      <c r="R660" s="36"/>
      <c r="S660" s="36"/>
      <c r="T660" s="12"/>
      <c r="U660" s="12"/>
      <c r="V660" s="12"/>
      <c r="W660" s="12"/>
      <c r="X660" s="12"/>
    </row>
    <row r="661" customFormat="false" ht="15.75" hidden="false" customHeight="false" outlineLevel="0" collapsed="false">
      <c r="A661" s="12"/>
      <c r="B661" s="34"/>
      <c r="C661" s="12"/>
      <c r="D661" s="12"/>
      <c r="E661" s="12"/>
      <c r="F661" s="12"/>
      <c r="G661" s="18"/>
      <c r="H661" s="35"/>
      <c r="I661" s="12"/>
      <c r="M661" s="12"/>
      <c r="N661" s="18"/>
      <c r="O661" s="12"/>
      <c r="P661" s="12"/>
      <c r="Q661" s="12"/>
      <c r="R661" s="36"/>
      <c r="S661" s="36"/>
      <c r="T661" s="12"/>
      <c r="U661" s="12"/>
      <c r="V661" s="12"/>
      <c r="W661" s="12"/>
      <c r="X661" s="12"/>
    </row>
    <row r="662" customFormat="false" ht="15.75" hidden="false" customHeight="false" outlineLevel="0" collapsed="false">
      <c r="A662" s="12"/>
      <c r="B662" s="34"/>
      <c r="C662" s="12"/>
      <c r="D662" s="12"/>
      <c r="E662" s="12"/>
      <c r="F662" s="12"/>
      <c r="G662" s="18"/>
      <c r="H662" s="35"/>
      <c r="I662" s="12"/>
      <c r="M662" s="12"/>
      <c r="N662" s="18"/>
      <c r="O662" s="12"/>
      <c r="P662" s="12"/>
      <c r="Q662" s="12"/>
      <c r="R662" s="36"/>
      <c r="S662" s="36"/>
      <c r="T662" s="12"/>
      <c r="U662" s="12"/>
      <c r="V662" s="12"/>
      <c r="W662" s="12"/>
      <c r="X662" s="12"/>
    </row>
    <row r="663" customFormat="false" ht="15.75" hidden="false" customHeight="false" outlineLevel="0" collapsed="false">
      <c r="A663" s="12"/>
      <c r="B663" s="34"/>
      <c r="C663" s="12"/>
      <c r="D663" s="12"/>
      <c r="E663" s="12"/>
      <c r="F663" s="12"/>
      <c r="G663" s="18"/>
      <c r="H663" s="35"/>
      <c r="I663" s="12"/>
      <c r="M663" s="12"/>
      <c r="N663" s="18"/>
      <c r="O663" s="12"/>
      <c r="P663" s="12"/>
      <c r="Q663" s="12"/>
      <c r="R663" s="36"/>
      <c r="S663" s="36"/>
      <c r="T663" s="12"/>
      <c r="U663" s="12"/>
      <c r="V663" s="12"/>
      <c r="W663" s="12"/>
      <c r="X663" s="12"/>
    </row>
    <row r="664" customFormat="false" ht="15.75" hidden="false" customHeight="false" outlineLevel="0" collapsed="false">
      <c r="A664" s="12"/>
      <c r="B664" s="34"/>
      <c r="C664" s="12"/>
      <c r="D664" s="12"/>
      <c r="E664" s="12"/>
      <c r="F664" s="12"/>
      <c r="G664" s="18"/>
      <c r="H664" s="35"/>
      <c r="I664" s="12"/>
      <c r="M664" s="12"/>
      <c r="N664" s="18"/>
      <c r="O664" s="12"/>
      <c r="P664" s="12"/>
      <c r="Q664" s="12"/>
      <c r="R664" s="36"/>
      <c r="S664" s="36"/>
      <c r="T664" s="12"/>
      <c r="U664" s="12"/>
      <c r="V664" s="12"/>
      <c r="W664" s="12"/>
      <c r="X664" s="12"/>
    </row>
    <row r="665" customFormat="false" ht="15.75" hidden="false" customHeight="false" outlineLevel="0" collapsed="false">
      <c r="A665" s="12"/>
      <c r="B665" s="34"/>
      <c r="C665" s="12"/>
      <c r="D665" s="12"/>
      <c r="E665" s="12"/>
      <c r="F665" s="12"/>
      <c r="G665" s="18"/>
      <c r="H665" s="35"/>
      <c r="I665" s="12"/>
      <c r="M665" s="12"/>
      <c r="N665" s="18"/>
      <c r="O665" s="12"/>
      <c r="P665" s="12"/>
      <c r="Q665" s="12"/>
      <c r="R665" s="36"/>
      <c r="S665" s="36"/>
      <c r="T665" s="12"/>
      <c r="U665" s="12"/>
      <c r="V665" s="12"/>
      <c r="W665" s="12"/>
      <c r="X665" s="12"/>
    </row>
    <row r="666" customFormat="false" ht="15.75" hidden="false" customHeight="false" outlineLevel="0" collapsed="false">
      <c r="A666" s="12"/>
      <c r="B666" s="34"/>
      <c r="C666" s="12"/>
      <c r="D666" s="12"/>
      <c r="E666" s="12"/>
      <c r="F666" s="12"/>
      <c r="G666" s="18"/>
      <c r="H666" s="35"/>
      <c r="I666" s="12"/>
      <c r="M666" s="12"/>
      <c r="N666" s="18"/>
      <c r="O666" s="12"/>
      <c r="P666" s="12"/>
      <c r="Q666" s="12"/>
      <c r="R666" s="36"/>
      <c r="S666" s="36"/>
      <c r="T666" s="12"/>
      <c r="U666" s="12"/>
      <c r="V666" s="12"/>
      <c r="W666" s="12"/>
      <c r="X666" s="12"/>
    </row>
    <row r="667" customFormat="false" ht="15.75" hidden="false" customHeight="false" outlineLevel="0" collapsed="false">
      <c r="A667" s="12"/>
      <c r="B667" s="34"/>
      <c r="C667" s="12"/>
      <c r="D667" s="12"/>
      <c r="E667" s="12"/>
      <c r="F667" s="12"/>
      <c r="G667" s="18"/>
      <c r="H667" s="35"/>
      <c r="I667" s="12"/>
      <c r="M667" s="12"/>
      <c r="N667" s="18"/>
      <c r="O667" s="12"/>
      <c r="P667" s="12"/>
      <c r="Q667" s="12"/>
      <c r="R667" s="36"/>
      <c r="S667" s="36"/>
      <c r="T667" s="12"/>
      <c r="U667" s="12"/>
      <c r="V667" s="12"/>
      <c r="W667" s="12"/>
      <c r="X667" s="12"/>
    </row>
    <row r="668" customFormat="false" ht="15.75" hidden="false" customHeight="false" outlineLevel="0" collapsed="false">
      <c r="A668" s="12"/>
      <c r="B668" s="34"/>
      <c r="C668" s="12"/>
      <c r="D668" s="12"/>
      <c r="E668" s="12"/>
      <c r="F668" s="12"/>
      <c r="G668" s="18"/>
      <c r="H668" s="35"/>
      <c r="I668" s="12"/>
      <c r="M668" s="12"/>
      <c r="N668" s="18"/>
      <c r="O668" s="12"/>
      <c r="P668" s="12"/>
      <c r="Q668" s="12"/>
      <c r="R668" s="36"/>
      <c r="S668" s="36"/>
      <c r="T668" s="12"/>
      <c r="U668" s="12"/>
      <c r="V668" s="12"/>
      <c r="W668" s="12"/>
      <c r="X668" s="12"/>
    </row>
    <row r="669" customFormat="false" ht="15.75" hidden="false" customHeight="false" outlineLevel="0" collapsed="false">
      <c r="A669" s="12"/>
      <c r="B669" s="34"/>
      <c r="C669" s="12"/>
      <c r="D669" s="12"/>
      <c r="E669" s="12"/>
      <c r="F669" s="12"/>
      <c r="G669" s="18"/>
      <c r="H669" s="35"/>
      <c r="I669" s="12"/>
      <c r="M669" s="12"/>
      <c r="N669" s="18"/>
      <c r="O669" s="12"/>
      <c r="P669" s="12"/>
      <c r="Q669" s="12"/>
      <c r="R669" s="36"/>
      <c r="S669" s="36"/>
      <c r="T669" s="12"/>
      <c r="U669" s="12"/>
      <c r="V669" s="12"/>
      <c r="W669" s="12"/>
      <c r="X669" s="12"/>
    </row>
    <row r="670" customFormat="false" ht="15.75" hidden="false" customHeight="false" outlineLevel="0" collapsed="false">
      <c r="A670" s="12"/>
      <c r="B670" s="34"/>
      <c r="C670" s="12"/>
      <c r="D670" s="12"/>
      <c r="E670" s="12"/>
      <c r="F670" s="12"/>
      <c r="G670" s="18"/>
      <c r="H670" s="35"/>
      <c r="I670" s="12"/>
      <c r="M670" s="12"/>
      <c r="N670" s="18"/>
      <c r="O670" s="12"/>
      <c r="P670" s="12"/>
      <c r="Q670" s="12"/>
      <c r="R670" s="36"/>
      <c r="S670" s="36"/>
      <c r="T670" s="12"/>
      <c r="U670" s="12"/>
      <c r="V670" s="12"/>
      <c r="W670" s="12"/>
      <c r="X670" s="12"/>
    </row>
    <row r="671" customFormat="false" ht="15.75" hidden="false" customHeight="false" outlineLevel="0" collapsed="false">
      <c r="A671" s="12"/>
      <c r="B671" s="34"/>
      <c r="C671" s="12"/>
      <c r="D671" s="12"/>
      <c r="E671" s="12"/>
      <c r="F671" s="12"/>
      <c r="G671" s="18"/>
      <c r="H671" s="35"/>
      <c r="I671" s="12"/>
      <c r="M671" s="12"/>
      <c r="N671" s="18"/>
      <c r="O671" s="12"/>
      <c r="P671" s="12"/>
      <c r="Q671" s="12"/>
      <c r="R671" s="36"/>
      <c r="S671" s="36"/>
      <c r="T671" s="12"/>
      <c r="U671" s="12"/>
      <c r="V671" s="12"/>
      <c r="W671" s="12"/>
      <c r="X671" s="12"/>
    </row>
    <row r="672" customFormat="false" ht="15.75" hidden="false" customHeight="false" outlineLevel="0" collapsed="false">
      <c r="A672" s="12"/>
      <c r="B672" s="34"/>
      <c r="C672" s="12"/>
      <c r="D672" s="12"/>
      <c r="E672" s="12"/>
      <c r="F672" s="12"/>
      <c r="G672" s="18"/>
      <c r="H672" s="35"/>
      <c r="I672" s="12"/>
      <c r="M672" s="12"/>
      <c r="N672" s="18"/>
      <c r="O672" s="12"/>
      <c r="P672" s="12"/>
      <c r="Q672" s="12"/>
      <c r="R672" s="36"/>
      <c r="S672" s="36"/>
      <c r="T672" s="12"/>
      <c r="U672" s="12"/>
      <c r="V672" s="12"/>
      <c r="W672" s="12"/>
      <c r="X672" s="12"/>
    </row>
    <row r="673" customFormat="false" ht="15.75" hidden="false" customHeight="false" outlineLevel="0" collapsed="false">
      <c r="A673" s="12"/>
      <c r="B673" s="34"/>
      <c r="C673" s="12"/>
      <c r="D673" s="12"/>
      <c r="E673" s="12"/>
      <c r="F673" s="12"/>
      <c r="G673" s="18"/>
      <c r="H673" s="35"/>
      <c r="I673" s="12"/>
      <c r="M673" s="12"/>
      <c r="N673" s="18"/>
      <c r="O673" s="12"/>
      <c r="P673" s="12"/>
      <c r="Q673" s="12"/>
      <c r="R673" s="36"/>
      <c r="S673" s="36"/>
      <c r="T673" s="12"/>
      <c r="U673" s="12"/>
      <c r="V673" s="12"/>
      <c r="W673" s="12"/>
      <c r="X673" s="12"/>
    </row>
    <row r="674" customFormat="false" ht="15.75" hidden="false" customHeight="false" outlineLevel="0" collapsed="false">
      <c r="A674" s="12"/>
      <c r="B674" s="34"/>
      <c r="C674" s="12"/>
      <c r="D674" s="12"/>
      <c r="E674" s="12"/>
      <c r="F674" s="12"/>
      <c r="G674" s="18"/>
      <c r="H674" s="35"/>
      <c r="I674" s="12"/>
      <c r="M674" s="12"/>
      <c r="N674" s="18"/>
      <c r="O674" s="12"/>
      <c r="P674" s="12"/>
      <c r="Q674" s="12"/>
      <c r="R674" s="36"/>
      <c r="S674" s="36"/>
      <c r="T674" s="12"/>
      <c r="U674" s="12"/>
      <c r="V674" s="12"/>
      <c r="W674" s="12"/>
      <c r="X674" s="12"/>
    </row>
    <row r="675" customFormat="false" ht="15.75" hidden="false" customHeight="false" outlineLevel="0" collapsed="false">
      <c r="A675" s="12"/>
      <c r="B675" s="34"/>
      <c r="C675" s="12"/>
      <c r="D675" s="12"/>
      <c r="E675" s="12"/>
      <c r="F675" s="12"/>
      <c r="G675" s="18"/>
      <c r="H675" s="35"/>
      <c r="I675" s="12"/>
      <c r="M675" s="12"/>
      <c r="N675" s="18"/>
      <c r="O675" s="12"/>
      <c r="P675" s="12"/>
      <c r="Q675" s="12"/>
      <c r="R675" s="36"/>
      <c r="S675" s="36"/>
      <c r="T675" s="12"/>
      <c r="U675" s="12"/>
      <c r="V675" s="12"/>
      <c r="W675" s="12"/>
      <c r="X675" s="12"/>
    </row>
    <row r="676" customFormat="false" ht="15.75" hidden="false" customHeight="false" outlineLevel="0" collapsed="false">
      <c r="A676" s="12"/>
      <c r="B676" s="34"/>
      <c r="C676" s="12"/>
      <c r="D676" s="12"/>
      <c r="E676" s="12"/>
      <c r="F676" s="12"/>
      <c r="G676" s="18"/>
      <c r="H676" s="35"/>
      <c r="I676" s="12"/>
      <c r="M676" s="12"/>
      <c r="N676" s="18"/>
      <c r="O676" s="12"/>
      <c r="P676" s="12"/>
      <c r="Q676" s="12"/>
      <c r="R676" s="36"/>
      <c r="S676" s="36"/>
      <c r="T676" s="12"/>
      <c r="U676" s="12"/>
      <c r="V676" s="12"/>
      <c r="W676" s="12"/>
      <c r="X676" s="12"/>
    </row>
    <row r="677" customFormat="false" ht="15.75" hidden="false" customHeight="false" outlineLevel="0" collapsed="false">
      <c r="A677" s="12"/>
      <c r="B677" s="34"/>
      <c r="C677" s="12"/>
      <c r="D677" s="12"/>
      <c r="E677" s="12"/>
      <c r="F677" s="12"/>
      <c r="G677" s="18"/>
      <c r="H677" s="35"/>
      <c r="I677" s="12"/>
      <c r="M677" s="12"/>
      <c r="N677" s="18"/>
      <c r="O677" s="12"/>
      <c r="P677" s="12"/>
      <c r="Q677" s="12"/>
      <c r="R677" s="36"/>
      <c r="S677" s="36"/>
      <c r="T677" s="12"/>
      <c r="U677" s="12"/>
      <c r="V677" s="12"/>
      <c r="W677" s="12"/>
      <c r="X677" s="12"/>
    </row>
    <row r="678" customFormat="false" ht="15.75" hidden="false" customHeight="false" outlineLevel="0" collapsed="false">
      <c r="A678" s="12"/>
      <c r="B678" s="34"/>
      <c r="C678" s="12"/>
      <c r="D678" s="12"/>
      <c r="E678" s="12"/>
      <c r="F678" s="12"/>
      <c r="G678" s="18"/>
      <c r="H678" s="35"/>
      <c r="I678" s="12"/>
      <c r="M678" s="12"/>
      <c r="N678" s="18"/>
      <c r="O678" s="12"/>
      <c r="P678" s="12"/>
      <c r="Q678" s="12"/>
      <c r="R678" s="36"/>
      <c r="S678" s="36"/>
      <c r="T678" s="12"/>
      <c r="U678" s="12"/>
      <c r="V678" s="12"/>
      <c r="W678" s="12"/>
      <c r="X678" s="12"/>
    </row>
    <row r="679" customFormat="false" ht="15.75" hidden="false" customHeight="false" outlineLevel="0" collapsed="false">
      <c r="A679" s="12"/>
      <c r="B679" s="34"/>
      <c r="C679" s="12"/>
      <c r="D679" s="12"/>
      <c r="E679" s="12"/>
      <c r="F679" s="12"/>
      <c r="G679" s="18"/>
      <c r="H679" s="35"/>
      <c r="I679" s="12"/>
      <c r="M679" s="12"/>
      <c r="N679" s="18"/>
      <c r="O679" s="12"/>
      <c r="P679" s="12"/>
      <c r="Q679" s="12"/>
      <c r="R679" s="36"/>
      <c r="S679" s="36"/>
      <c r="T679" s="12"/>
      <c r="U679" s="12"/>
      <c r="V679" s="12"/>
      <c r="W679" s="12"/>
      <c r="X679" s="12"/>
    </row>
    <row r="680" customFormat="false" ht="15.75" hidden="false" customHeight="false" outlineLevel="0" collapsed="false">
      <c r="A680" s="12"/>
      <c r="B680" s="34"/>
      <c r="C680" s="12"/>
      <c r="D680" s="12"/>
      <c r="E680" s="12"/>
      <c r="F680" s="12"/>
      <c r="G680" s="18"/>
      <c r="H680" s="35"/>
      <c r="I680" s="12"/>
      <c r="M680" s="12"/>
      <c r="N680" s="18"/>
      <c r="O680" s="12"/>
      <c r="P680" s="12"/>
      <c r="Q680" s="12"/>
      <c r="R680" s="36"/>
      <c r="S680" s="36"/>
      <c r="T680" s="12"/>
      <c r="U680" s="12"/>
      <c r="V680" s="12"/>
      <c r="W680" s="12"/>
      <c r="X680" s="12"/>
    </row>
    <row r="681" customFormat="false" ht="15.75" hidden="false" customHeight="false" outlineLevel="0" collapsed="false">
      <c r="A681" s="12"/>
      <c r="B681" s="34"/>
      <c r="C681" s="12"/>
      <c r="D681" s="12"/>
      <c r="E681" s="12"/>
      <c r="F681" s="12"/>
      <c r="G681" s="18"/>
      <c r="H681" s="35"/>
      <c r="I681" s="12"/>
      <c r="M681" s="12"/>
      <c r="N681" s="18"/>
      <c r="O681" s="12"/>
      <c r="P681" s="12"/>
      <c r="Q681" s="12"/>
      <c r="R681" s="36"/>
      <c r="S681" s="36"/>
      <c r="T681" s="12"/>
      <c r="U681" s="12"/>
      <c r="V681" s="12"/>
      <c r="W681" s="12"/>
      <c r="X681" s="12"/>
    </row>
    <row r="682" customFormat="false" ht="15.75" hidden="false" customHeight="false" outlineLevel="0" collapsed="false">
      <c r="A682" s="12"/>
      <c r="B682" s="34"/>
      <c r="C682" s="12"/>
      <c r="D682" s="12"/>
      <c r="E682" s="12"/>
      <c r="F682" s="12"/>
      <c r="G682" s="18"/>
      <c r="H682" s="35"/>
      <c r="I682" s="12"/>
      <c r="M682" s="12"/>
      <c r="N682" s="18"/>
      <c r="O682" s="12"/>
      <c r="P682" s="12"/>
      <c r="Q682" s="12"/>
      <c r="R682" s="36"/>
      <c r="S682" s="36"/>
      <c r="T682" s="12"/>
      <c r="U682" s="12"/>
      <c r="V682" s="12"/>
      <c r="W682" s="12"/>
      <c r="X682" s="12"/>
    </row>
    <row r="683" customFormat="false" ht="15.75" hidden="false" customHeight="false" outlineLevel="0" collapsed="false">
      <c r="A683" s="12"/>
      <c r="B683" s="34"/>
      <c r="C683" s="12"/>
      <c r="D683" s="12"/>
      <c r="E683" s="12"/>
      <c r="F683" s="12"/>
      <c r="G683" s="18"/>
      <c r="H683" s="35"/>
      <c r="I683" s="12"/>
      <c r="M683" s="12"/>
      <c r="N683" s="18"/>
      <c r="O683" s="12"/>
      <c r="P683" s="12"/>
      <c r="Q683" s="12"/>
      <c r="R683" s="36"/>
      <c r="S683" s="36"/>
      <c r="T683" s="12"/>
      <c r="U683" s="12"/>
      <c r="V683" s="12"/>
      <c r="W683" s="12"/>
      <c r="X683" s="12"/>
    </row>
    <row r="684" customFormat="false" ht="15.75" hidden="false" customHeight="false" outlineLevel="0" collapsed="false">
      <c r="A684" s="12"/>
      <c r="B684" s="34"/>
      <c r="C684" s="12"/>
      <c r="D684" s="12"/>
      <c r="E684" s="12"/>
      <c r="F684" s="12"/>
      <c r="G684" s="18"/>
      <c r="H684" s="35"/>
      <c r="I684" s="12"/>
      <c r="M684" s="12"/>
      <c r="N684" s="18"/>
      <c r="O684" s="12"/>
      <c r="P684" s="12"/>
      <c r="Q684" s="12"/>
      <c r="R684" s="36"/>
      <c r="S684" s="36"/>
      <c r="T684" s="12"/>
      <c r="U684" s="12"/>
      <c r="V684" s="12"/>
      <c r="W684" s="12"/>
      <c r="X684" s="12"/>
    </row>
    <row r="685" customFormat="false" ht="15.75" hidden="false" customHeight="false" outlineLevel="0" collapsed="false">
      <c r="A685" s="12"/>
      <c r="B685" s="34"/>
      <c r="C685" s="12"/>
      <c r="D685" s="12"/>
      <c r="E685" s="12"/>
      <c r="F685" s="12"/>
      <c r="G685" s="18"/>
      <c r="H685" s="35"/>
      <c r="I685" s="12"/>
      <c r="M685" s="12"/>
      <c r="N685" s="18"/>
      <c r="O685" s="12"/>
      <c r="P685" s="12"/>
      <c r="Q685" s="12"/>
      <c r="R685" s="36"/>
      <c r="S685" s="36"/>
      <c r="T685" s="12"/>
      <c r="U685" s="12"/>
      <c r="V685" s="12"/>
      <c r="W685" s="12"/>
      <c r="X685" s="12"/>
    </row>
    <row r="686" customFormat="false" ht="15.75" hidden="false" customHeight="false" outlineLevel="0" collapsed="false">
      <c r="A686" s="12"/>
      <c r="B686" s="34"/>
      <c r="C686" s="12"/>
      <c r="D686" s="12"/>
      <c r="E686" s="12"/>
      <c r="F686" s="12"/>
      <c r="G686" s="18"/>
      <c r="H686" s="35"/>
      <c r="I686" s="12"/>
      <c r="M686" s="12"/>
      <c r="N686" s="18"/>
      <c r="O686" s="12"/>
      <c r="P686" s="12"/>
      <c r="Q686" s="12"/>
      <c r="R686" s="36"/>
      <c r="S686" s="36"/>
      <c r="T686" s="12"/>
      <c r="U686" s="12"/>
      <c r="V686" s="12"/>
      <c r="W686" s="12"/>
      <c r="X686" s="12"/>
    </row>
    <row r="687" customFormat="false" ht="15.75" hidden="false" customHeight="false" outlineLevel="0" collapsed="false">
      <c r="A687" s="12"/>
      <c r="B687" s="34"/>
      <c r="C687" s="12"/>
      <c r="D687" s="12"/>
      <c r="E687" s="12"/>
      <c r="F687" s="12"/>
      <c r="G687" s="18"/>
      <c r="H687" s="35"/>
      <c r="I687" s="12"/>
      <c r="M687" s="12"/>
      <c r="N687" s="18"/>
      <c r="O687" s="12"/>
      <c r="P687" s="12"/>
      <c r="Q687" s="12"/>
      <c r="R687" s="36"/>
      <c r="S687" s="36"/>
      <c r="T687" s="12"/>
      <c r="U687" s="12"/>
      <c r="V687" s="12"/>
      <c r="W687" s="12"/>
      <c r="X687" s="12"/>
    </row>
    <row r="688" customFormat="false" ht="15.75" hidden="false" customHeight="false" outlineLevel="0" collapsed="false">
      <c r="A688" s="12"/>
      <c r="B688" s="34"/>
      <c r="C688" s="12"/>
      <c r="D688" s="12"/>
      <c r="E688" s="12"/>
      <c r="F688" s="12"/>
      <c r="G688" s="18"/>
      <c r="H688" s="35"/>
      <c r="I688" s="12"/>
      <c r="M688" s="12"/>
      <c r="N688" s="18"/>
      <c r="O688" s="12"/>
      <c r="P688" s="12"/>
      <c r="Q688" s="12"/>
      <c r="R688" s="36"/>
      <c r="S688" s="36"/>
      <c r="T688" s="12"/>
      <c r="U688" s="12"/>
      <c r="V688" s="12"/>
      <c r="W688" s="12"/>
      <c r="X688" s="12"/>
    </row>
    <row r="689" customFormat="false" ht="15.75" hidden="false" customHeight="false" outlineLevel="0" collapsed="false">
      <c r="A689" s="12"/>
      <c r="B689" s="34"/>
      <c r="C689" s="12"/>
      <c r="D689" s="12"/>
      <c r="E689" s="12"/>
      <c r="F689" s="12"/>
      <c r="G689" s="18"/>
      <c r="H689" s="35"/>
      <c r="I689" s="12"/>
      <c r="M689" s="12"/>
      <c r="N689" s="18"/>
      <c r="O689" s="12"/>
      <c r="P689" s="12"/>
      <c r="Q689" s="12"/>
      <c r="R689" s="36"/>
      <c r="S689" s="36"/>
      <c r="T689" s="12"/>
      <c r="U689" s="12"/>
      <c r="V689" s="12"/>
      <c r="W689" s="12"/>
      <c r="X689" s="12"/>
    </row>
    <row r="690" customFormat="false" ht="15.75" hidden="false" customHeight="false" outlineLevel="0" collapsed="false">
      <c r="A690" s="12"/>
      <c r="B690" s="34"/>
      <c r="C690" s="12"/>
      <c r="D690" s="12"/>
      <c r="E690" s="12"/>
      <c r="F690" s="12"/>
      <c r="G690" s="18"/>
      <c r="H690" s="35"/>
      <c r="I690" s="12"/>
      <c r="M690" s="12"/>
      <c r="N690" s="18"/>
      <c r="O690" s="12"/>
      <c r="P690" s="12"/>
      <c r="Q690" s="12"/>
      <c r="R690" s="36"/>
      <c r="S690" s="36"/>
      <c r="T690" s="12"/>
      <c r="U690" s="12"/>
      <c r="V690" s="12"/>
      <c r="W690" s="12"/>
      <c r="X690" s="12"/>
    </row>
    <row r="691" customFormat="false" ht="15.75" hidden="false" customHeight="false" outlineLevel="0" collapsed="false">
      <c r="A691" s="12"/>
      <c r="B691" s="34"/>
      <c r="C691" s="12"/>
      <c r="D691" s="12"/>
      <c r="E691" s="12"/>
      <c r="F691" s="12"/>
      <c r="G691" s="18"/>
      <c r="H691" s="35"/>
      <c r="I691" s="12"/>
      <c r="M691" s="12"/>
      <c r="N691" s="18"/>
      <c r="O691" s="12"/>
      <c r="P691" s="12"/>
      <c r="Q691" s="12"/>
      <c r="R691" s="36"/>
      <c r="S691" s="36"/>
      <c r="T691" s="12"/>
      <c r="U691" s="12"/>
      <c r="V691" s="12"/>
      <c r="W691" s="12"/>
      <c r="X691" s="12"/>
    </row>
    <row r="692" customFormat="false" ht="15.75" hidden="false" customHeight="false" outlineLevel="0" collapsed="false">
      <c r="A692" s="12"/>
      <c r="B692" s="34"/>
      <c r="C692" s="12"/>
      <c r="D692" s="12"/>
      <c r="E692" s="12"/>
      <c r="F692" s="12"/>
      <c r="G692" s="18"/>
      <c r="H692" s="35"/>
      <c r="I692" s="12"/>
      <c r="M692" s="12"/>
      <c r="N692" s="18"/>
      <c r="O692" s="12"/>
      <c r="P692" s="12"/>
      <c r="Q692" s="12"/>
      <c r="R692" s="36"/>
      <c r="S692" s="36"/>
      <c r="T692" s="12"/>
      <c r="U692" s="12"/>
      <c r="V692" s="12"/>
      <c r="W692" s="12"/>
      <c r="X692" s="12"/>
    </row>
    <row r="693" customFormat="false" ht="15.75" hidden="false" customHeight="false" outlineLevel="0" collapsed="false">
      <c r="A693" s="12"/>
      <c r="B693" s="34"/>
      <c r="C693" s="12"/>
      <c r="D693" s="12"/>
      <c r="E693" s="12"/>
      <c r="F693" s="12"/>
      <c r="G693" s="18"/>
      <c r="H693" s="35"/>
      <c r="I693" s="12"/>
      <c r="M693" s="12"/>
      <c r="N693" s="18"/>
      <c r="O693" s="12"/>
      <c r="P693" s="12"/>
      <c r="Q693" s="12"/>
      <c r="R693" s="36"/>
      <c r="S693" s="36"/>
      <c r="T693" s="12"/>
      <c r="U693" s="12"/>
      <c r="V693" s="12"/>
      <c r="W693" s="12"/>
      <c r="X693" s="12"/>
    </row>
    <row r="694" customFormat="false" ht="15.75" hidden="false" customHeight="false" outlineLevel="0" collapsed="false">
      <c r="A694" s="12"/>
      <c r="B694" s="34"/>
      <c r="C694" s="12"/>
      <c r="D694" s="12"/>
      <c r="E694" s="12"/>
      <c r="F694" s="12"/>
      <c r="G694" s="18"/>
      <c r="H694" s="35"/>
      <c r="I694" s="12"/>
      <c r="M694" s="12"/>
      <c r="N694" s="18"/>
      <c r="O694" s="12"/>
      <c r="P694" s="12"/>
      <c r="Q694" s="12"/>
      <c r="R694" s="36"/>
      <c r="S694" s="36"/>
      <c r="T694" s="12"/>
      <c r="U694" s="12"/>
      <c r="V694" s="12"/>
      <c r="W694" s="12"/>
      <c r="X694" s="12"/>
    </row>
    <row r="695" customFormat="false" ht="15.75" hidden="false" customHeight="false" outlineLevel="0" collapsed="false">
      <c r="A695" s="12"/>
      <c r="B695" s="34"/>
      <c r="C695" s="12"/>
      <c r="D695" s="12"/>
      <c r="E695" s="12"/>
      <c r="F695" s="12"/>
      <c r="G695" s="18"/>
      <c r="H695" s="35"/>
      <c r="I695" s="12"/>
      <c r="M695" s="12"/>
      <c r="N695" s="18"/>
      <c r="O695" s="12"/>
      <c r="P695" s="12"/>
      <c r="Q695" s="12"/>
      <c r="R695" s="36"/>
      <c r="S695" s="36"/>
      <c r="T695" s="12"/>
      <c r="U695" s="12"/>
      <c r="V695" s="12"/>
      <c r="W695" s="12"/>
      <c r="X695" s="12"/>
    </row>
    <row r="696" customFormat="false" ht="15.75" hidden="false" customHeight="false" outlineLevel="0" collapsed="false">
      <c r="A696" s="12"/>
      <c r="B696" s="34"/>
      <c r="C696" s="12"/>
      <c r="D696" s="12"/>
      <c r="E696" s="12"/>
      <c r="F696" s="12"/>
      <c r="G696" s="18"/>
      <c r="H696" s="35"/>
      <c r="I696" s="12"/>
      <c r="M696" s="12"/>
      <c r="N696" s="18"/>
      <c r="O696" s="12"/>
      <c r="P696" s="12"/>
      <c r="Q696" s="12"/>
      <c r="R696" s="36"/>
      <c r="S696" s="36"/>
      <c r="T696" s="12"/>
      <c r="U696" s="12"/>
      <c r="V696" s="12"/>
      <c r="W696" s="12"/>
      <c r="X696" s="12"/>
    </row>
    <row r="697" customFormat="false" ht="15.75" hidden="false" customHeight="false" outlineLevel="0" collapsed="false">
      <c r="A697" s="12"/>
      <c r="B697" s="34"/>
      <c r="C697" s="12"/>
      <c r="D697" s="12"/>
      <c r="E697" s="12"/>
      <c r="F697" s="12"/>
      <c r="G697" s="18"/>
      <c r="H697" s="35"/>
      <c r="I697" s="12"/>
      <c r="M697" s="12"/>
      <c r="N697" s="18"/>
      <c r="O697" s="12"/>
      <c r="P697" s="12"/>
      <c r="Q697" s="12"/>
      <c r="R697" s="36"/>
      <c r="S697" s="36"/>
      <c r="T697" s="12"/>
      <c r="U697" s="12"/>
      <c r="V697" s="12"/>
      <c r="W697" s="12"/>
      <c r="X697" s="12"/>
    </row>
    <row r="698" customFormat="false" ht="15.75" hidden="false" customHeight="false" outlineLevel="0" collapsed="false">
      <c r="A698" s="12"/>
      <c r="B698" s="34"/>
      <c r="C698" s="12"/>
      <c r="D698" s="12"/>
      <c r="E698" s="12"/>
      <c r="F698" s="12"/>
      <c r="G698" s="18"/>
      <c r="H698" s="35"/>
      <c r="I698" s="12"/>
      <c r="M698" s="12"/>
      <c r="N698" s="18"/>
      <c r="O698" s="12"/>
      <c r="P698" s="12"/>
      <c r="Q698" s="12"/>
      <c r="R698" s="36"/>
      <c r="S698" s="36"/>
      <c r="T698" s="12"/>
      <c r="U698" s="12"/>
      <c r="V698" s="12"/>
      <c r="W698" s="12"/>
      <c r="X698" s="12"/>
    </row>
    <row r="699" customFormat="false" ht="15.75" hidden="false" customHeight="false" outlineLevel="0" collapsed="false">
      <c r="A699" s="12"/>
      <c r="B699" s="34"/>
      <c r="C699" s="12"/>
      <c r="D699" s="12"/>
      <c r="E699" s="12"/>
      <c r="F699" s="12"/>
      <c r="G699" s="18"/>
      <c r="H699" s="35"/>
      <c r="I699" s="12"/>
      <c r="M699" s="12"/>
      <c r="N699" s="18"/>
      <c r="O699" s="12"/>
      <c r="P699" s="12"/>
      <c r="Q699" s="12"/>
      <c r="R699" s="36"/>
      <c r="S699" s="36"/>
      <c r="T699" s="12"/>
      <c r="U699" s="12"/>
      <c r="V699" s="12"/>
      <c r="W699" s="12"/>
      <c r="X699" s="12"/>
    </row>
    <row r="700" customFormat="false" ht="15.75" hidden="false" customHeight="false" outlineLevel="0" collapsed="false">
      <c r="A700" s="12"/>
      <c r="B700" s="34"/>
      <c r="C700" s="12"/>
      <c r="D700" s="12"/>
      <c r="E700" s="12"/>
      <c r="F700" s="12"/>
      <c r="G700" s="18"/>
      <c r="H700" s="35"/>
      <c r="I700" s="12"/>
      <c r="M700" s="12"/>
      <c r="N700" s="18"/>
      <c r="O700" s="12"/>
      <c r="P700" s="12"/>
      <c r="Q700" s="12"/>
      <c r="R700" s="36"/>
      <c r="S700" s="36"/>
      <c r="T700" s="12"/>
      <c r="U700" s="12"/>
      <c r="V700" s="12"/>
      <c r="W700" s="12"/>
      <c r="X700" s="12"/>
    </row>
    <row r="701" customFormat="false" ht="15.75" hidden="false" customHeight="false" outlineLevel="0" collapsed="false">
      <c r="A701" s="12"/>
      <c r="B701" s="34"/>
      <c r="C701" s="12"/>
      <c r="D701" s="12"/>
      <c r="E701" s="12"/>
      <c r="F701" s="12"/>
      <c r="G701" s="18"/>
      <c r="H701" s="35"/>
      <c r="I701" s="12"/>
      <c r="M701" s="12"/>
      <c r="N701" s="18"/>
      <c r="O701" s="12"/>
      <c r="P701" s="12"/>
      <c r="Q701" s="12"/>
      <c r="R701" s="36"/>
      <c r="S701" s="36"/>
      <c r="T701" s="12"/>
      <c r="U701" s="12"/>
      <c r="V701" s="12"/>
      <c r="W701" s="12"/>
      <c r="X701" s="12"/>
    </row>
    <row r="702" customFormat="false" ht="15.75" hidden="false" customHeight="false" outlineLevel="0" collapsed="false">
      <c r="A702" s="12"/>
      <c r="B702" s="34"/>
      <c r="C702" s="12"/>
      <c r="D702" s="12"/>
      <c r="E702" s="12"/>
      <c r="F702" s="12"/>
      <c r="G702" s="18"/>
      <c r="H702" s="35"/>
      <c r="I702" s="12"/>
      <c r="M702" s="12"/>
      <c r="N702" s="18"/>
      <c r="O702" s="12"/>
      <c r="P702" s="12"/>
      <c r="Q702" s="12"/>
      <c r="R702" s="36"/>
      <c r="S702" s="36"/>
      <c r="T702" s="12"/>
      <c r="U702" s="12"/>
      <c r="V702" s="12"/>
      <c r="W702" s="12"/>
      <c r="X702" s="12"/>
    </row>
    <row r="703" customFormat="false" ht="15.75" hidden="false" customHeight="false" outlineLevel="0" collapsed="false">
      <c r="A703" s="12"/>
      <c r="B703" s="34"/>
      <c r="C703" s="12"/>
      <c r="D703" s="12"/>
      <c r="E703" s="12"/>
      <c r="F703" s="12"/>
      <c r="G703" s="18"/>
      <c r="H703" s="35"/>
      <c r="I703" s="12"/>
      <c r="M703" s="12"/>
      <c r="N703" s="18"/>
      <c r="O703" s="12"/>
      <c r="P703" s="12"/>
      <c r="Q703" s="12"/>
      <c r="R703" s="36"/>
      <c r="S703" s="36"/>
      <c r="T703" s="12"/>
      <c r="U703" s="12"/>
      <c r="V703" s="12"/>
      <c r="W703" s="12"/>
      <c r="X703" s="12"/>
    </row>
    <row r="704" customFormat="false" ht="15.75" hidden="false" customHeight="false" outlineLevel="0" collapsed="false">
      <c r="A704" s="12"/>
      <c r="B704" s="34"/>
      <c r="C704" s="12"/>
      <c r="D704" s="12"/>
      <c r="E704" s="12"/>
      <c r="F704" s="12"/>
      <c r="G704" s="18"/>
      <c r="H704" s="35"/>
      <c r="I704" s="12"/>
      <c r="M704" s="12"/>
      <c r="N704" s="18"/>
      <c r="O704" s="12"/>
      <c r="P704" s="12"/>
      <c r="Q704" s="12"/>
      <c r="R704" s="36"/>
      <c r="S704" s="36"/>
      <c r="T704" s="12"/>
      <c r="U704" s="12"/>
      <c r="V704" s="12"/>
      <c r="W704" s="12"/>
      <c r="X704" s="12"/>
    </row>
    <row r="705" customFormat="false" ht="15.75" hidden="false" customHeight="false" outlineLevel="0" collapsed="false">
      <c r="A705" s="12"/>
      <c r="B705" s="34"/>
      <c r="C705" s="12"/>
      <c r="D705" s="12"/>
      <c r="E705" s="12"/>
      <c r="F705" s="12"/>
      <c r="G705" s="18"/>
      <c r="H705" s="35"/>
      <c r="I705" s="12"/>
      <c r="M705" s="12"/>
      <c r="N705" s="18"/>
      <c r="O705" s="12"/>
      <c r="P705" s="12"/>
      <c r="Q705" s="12"/>
      <c r="R705" s="36"/>
      <c r="S705" s="36"/>
      <c r="T705" s="12"/>
      <c r="U705" s="12"/>
      <c r="V705" s="12"/>
      <c r="W705" s="12"/>
      <c r="X705" s="12"/>
    </row>
    <row r="706" customFormat="false" ht="15.75" hidden="false" customHeight="false" outlineLevel="0" collapsed="false">
      <c r="A706" s="12"/>
      <c r="B706" s="34"/>
      <c r="C706" s="12"/>
      <c r="D706" s="12"/>
      <c r="E706" s="12"/>
      <c r="F706" s="12"/>
      <c r="G706" s="18"/>
      <c r="H706" s="35"/>
      <c r="I706" s="12"/>
      <c r="M706" s="12"/>
      <c r="N706" s="18"/>
      <c r="O706" s="12"/>
      <c r="P706" s="12"/>
      <c r="Q706" s="12"/>
      <c r="R706" s="36"/>
      <c r="S706" s="36"/>
      <c r="T706" s="12"/>
      <c r="U706" s="12"/>
      <c r="V706" s="12"/>
      <c r="W706" s="12"/>
      <c r="X706" s="12"/>
    </row>
    <row r="707" customFormat="false" ht="15.75" hidden="false" customHeight="false" outlineLevel="0" collapsed="false">
      <c r="A707" s="12"/>
      <c r="B707" s="34"/>
      <c r="C707" s="12"/>
      <c r="D707" s="12"/>
      <c r="E707" s="12"/>
      <c r="F707" s="12"/>
      <c r="G707" s="18"/>
      <c r="H707" s="35"/>
      <c r="I707" s="12"/>
      <c r="M707" s="12"/>
      <c r="N707" s="18"/>
      <c r="O707" s="12"/>
      <c r="P707" s="12"/>
      <c r="Q707" s="12"/>
      <c r="R707" s="36"/>
      <c r="S707" s="36"/>
      <c r="T707" s="12"/>
      <c r="U707" s="12"/>
      <c r="V707" s="12"/>
      <c r="W707" s="12"/>
      <c r="X707" s="12"/>
    </row>
    <row r="708" customFormat="false" ht="15.75" hidden="false" customHeight="false" outlineLevel="0" collapsed="false">
      <c r="A708" s="12"/>
      <c r="B708" s="34"/>
      <c r="C708" s="12"/>
      <c r="D708" s="12"/>
      <c r="E708" s="12"/>
      <c r="F708" s="12"/>
      <c r="G708" s="18"/>
      <c r="H708" s="35"/>
      <c r="I708" s="12"/>
      <c r="M708" s="12"/>
      <c r="N708" s="18"/>
      <c r="O708" s="12"/>
      <c r="P708" s="12"/>
      <c r="Q708" s="12"/>
      <c r="R708" s="36"/>
      <c r="S708" s="36"/>
      <c r="T708" s="12"/>
      <c r="U708" s="12"/>
      <c r="V708" s="12"/>
      <c r="W708" s="12"/>
      <c r="X708" s="12"/>
    </row>
    <row r="709" customFormat="false" ht="15.75" hidden="false" customHeight="false" outlineLevel="0" collapsed="false">
      <c r="A709" s="12"/>
      <c r="B709" s="34"/>
      <c r="C709" s="12"/>
      <c r="D709" s="12"/>
      <c r="E709" s="12"/>
      <c r="F709" s="12"/>
      <c r="G709" s="18"/>
      <c r="H709" s="35"/>
      <c r="I709" s="12"/>
      <c r="M709" s="12"/>
      <c r="N709" s="18"/>
      <c r="O709" s="12"/>
      <c r="P709" s="12"/>
      <c r="Q709" s="12"/>
      <c r="R709" s="36"/>
      <c r="S709" s="36"/>
      <c r="T709" s="12"/>
      <c r="U709" s="12"/>
      <c r="V709" s="12"/>
      <c r="W709" s="12"/>
      <c r="X709" s="12"/>
    </row>
    <row r="710" customFormat="false" ht="15.75" hidden="false" customHeight="false" outlineLevel="0" collapsed="false">
      <c r="A710" s="12"/>
      <c r="B710" s="34"/>
      <c r="C710" s="12"/>
      <c r="D710" s="12"/>
      <c r="E710" s="12"/>
      <c r="F710" s="12"/>
      <c r="G710" s="18"/>
      <c r="H710" s="35"/>
      <c r="I710" s="12"/>
      <c r="M710" s="12"/>
      <c r="N710" s="18"/>
      <c r="O710" s="12"/>
      <c r="P710" s="12"/>
      <c r="Q710" s="12"/>
      <c r="R710" s="36"/>
      <c r="S710" s="36"/>
      <c r="T710" s="12"/>
      <c r="U710" s="12"/>
      <c r="V710" s="12"/>
      <c r="W710" s="12"/>
      <c r="X710" s="12"/>
    </row>
    <row r="711" customFormat="false" ht="15.75" hidden="false" customHeight="false" outlineLevel="0" collapsed="false">
      <c r="A711" s="12"/>
      <c r="B711" s="34"/>
      <c r="C711" s="12"/>
      <c r="D711" s="12"/>
      <c r="E711" s="12"/>
      <c r="F711" s="12"/>
      <c r="G711" s="18"/>
      <c r="H711" s="35"/>
      <c r="I711" s="12"/>
      <c r="M711" s="12"/>
      <c r="N711" s="18"/>
      <c r="O711" s="12"/>
      <c r="P711" s="12"/>
      <c r="Q711" s="12"/>
      <c r="R711" s="36"/>
      <c r="S711" s="36"/>
      <c r="T711" s="12"/>
      <c r="U711" s="12"/>
      <c r="V711" s="12"/>
      <c r="W711" s="12"/>
      <c r="X711" s="12"/>
    </row>
    <row r="712" customFormat="false" ht="15.75" hidden="false" customHeight="false" outlineLevel="0" collapsed="false">
      <c r="A712" s="12"/>
      <c r="B712" s="34"/>
      <c r="C712" s="12"/>
      <c r="D712" s="12"/>
      <c r="E712" s="12"/>
      <c r="F712" s="12"/>
      <c r="G712" s="18"/>
      <c r="H712" s="35"/>
      <c r="I712" s="12"/>
      <c r="M712" s="12"/>
      <c r="N712" s="18"/>
      <c r="O712" s="12"/>
      <c r="P712" s="12"/>
      <c r="Q712" s="12"/>
      <c r="R712" s="36"/>
      <c r="S712" s="36"/>
      <c r="T712" s="12"/>
      <c r="U712" s="12"/>
      <c r="V712" s="12"/>
      <c r="W712" s="12"/>
      <c r="X712" s="12"/>
    </row>
    <row r="713" customFormat="false" ht="15.75" hidden="false" customHeight="false" outlineLevel="0" collapsed="false">
      <c r="A713" s="12"/>
      <c r="B713" s="34"/>
      <c r="C713" s="12"/>
      <c r="D713" s="12"/>
      <c r="E713" s="12"/>
      <c r="F713" s="12"/>
      <c r="G713" s="18"/>
      <c r="H713" s="35"/>
      <c r="I713" s="12"/>
      <c r="M713" s="12"/>
      <c r="N713" s="18"/>
      <c r="O713" s="12"/>
      <c r="P713" s="12"/>
      <c r="Q713" s="12"/>
      <c r="R713" s="36"/>
      <c r="S713" s="36"/>
      <c r="T713" s="12"/>
      <c r="U713" s="12"/>
      <c r="V713" s="12"/>
      <c r="W713" s="12"/>
      <c r="X713" s="12"/>
    </row>
    <row r="714" customFormat="false" ht="15.75" hidden="false" customHeight="false" outlineLevel="0" collapsed="false">
      <c r="A714" s="12"/>
      <c r="B714" s="34"/>
      <c r="C714" s="12"/>
      <c r="D714" s="12"/>
      <c r="E714" s="12"/>
      <c r="F714" s="12"/>
      <c r="G714" s="18"/>
      <c r="H714" s="35"/>
      <c r="I714" s="12"/>
      <c r="M714" s="12"/>
      <c r="N714" s="18"/>
      <c r="O714" s="12"/>
      <c r="P714" s="12"/>
      <c r="Q714" s="12"/>
      <c r="R714" s="36"/>
      <c r="S714" s="36"/>
      <c r="T714" s="12"/>
      <c r="U714" s="12"/>
      <c r="V714" s="12"/>
      <c r="W714" s="12"/>
      <c r="X714" s="12"/>
    </row>
    <row r="715" customFormat="false" ht="15.75" hidden="false" customHeight="false" outlineLevel="0" collapsed="false">
      <c r="A715" s="12"/>
      <c r="B715" s="34"/>
      <c r="C715" s="12"/>
      <c r="D715" s="12"/>
      <c r="E715" s="12"/>
      <c r="F715" s="12"/>
      <c r="G715" s="18"/>
      <c r="H715" s="35"/>
      <c r="I715" s="12"/>
      <c r="M715" s="12"/>
      <c r="N715" s="18"/>
      <c r="O715" s="12"/>
      <c r="P715" s="12"/>
      <c r="Q715" s="12"/>
      <c r="R715" s="36"/>
      <c r="S715" s="36"/>
      <c r="T715" s="12"/>
      <c r="U715" s="12"/>
      <c r="V715" s="12"/>
      <c r="W715" s="12"/>
      <c r="X715" s="12"/>
    </row>
    <row r="716" customFormat="false" ht="15.75" hidden="false" customHeight="false" outlineLevel="0" collapsed="false">
      <c r="A716" s="12"/>
      <c r="B716" s="34"/>
      <c r="C716" s="12"/>
      <c r="D716" s="12"/>
      <c r="E716" s="12"/>
      <c r="F716" s="12"/>
      <c r="G716" s="18"/>
      <c r="H716" s="35"/>
      <c r="I716" s="12"/>
      <c r="M716" s="12"/>
      <c r="N716" s="18"/>
      <c r="O716" s="12"/>
      <c r="P716" s="12"/>
      <c r="Q716" s="12"/>
      <c r="R716" s="36"/>
      <c r="S716" s="36"/>
      <c r="T716" s="12"/>
      <c r="U716" s="12"/>
      <c r="V716" s="12"/>
      <c r="W716" s="12"/>
      <c r="X716" s="12"/>
    </row>
    <row r="717" customFormat="false" ht="15.75" hidden="false" customHeight="false" outlineLevel="0" collapsed="false">
      <c r="A717" s="12"/>
      <c r="B717" s="34"/>
      <c r="C717" s="12"/>
      <c r="D717" s="12"/>
      <c r="E717" s="12"/>
      <c r="F717" s="12"/>
      <c r="G717" s="18"/>
      <c r="H717" s="35"/>
      <c r="I717" s="12"/>
      <c r="M717" s="12"/>
      <c r="N717" s="18"/>
      <c r="O717" s="12"/>
      <c r="P717" s="12"/>
      <c r="Q717" s="12"/>
      <c r="R717" s="36"/>
      <c r="S717" s="36"/>
      <c r="T717" s="12"/>
      <c r="U717" s="12"/>
      <c r="V717" s="12"/>
      <c r="W717" s="12"/>
      <c r="X717" s="12"/>
    </row>
    <row r="718" customFormat="false" ht="15.75" hidden="false" customHeight="false" outlineLevel="0" collapsed="false">
      <c r="A718" s="12"/>
      <c r="B718" s="34"/>
      <c r="C718" s="12"/>
      <c r="D718" s="12"/>
      <c r="E718" s="12"/>
      <c r="F718" s="12"/>
      <c r="G718" s="18"/>
      <c r="H718" s="35"/>
      <c r="I718" s="12"/>
      <c r="M718" s="12"/>
      <c r="N718" s="18"/>
      <c r="O718" s="12"/>
      <c r="P718" s="12"/>
      <c r="Q718" s="12"/>
      <c r="R718" s="36"/>
      <c r="S718" s="36"/>
      <c r="T718" s="12"/>
      <c r="U718" s="12"/>
      <c r="V718" s="12"/>
      <c r="W718" s="12"/>
      <c r="X718" s="12"/>
    </row>
    <row r="719" customFormat="false" ht="15.75" hidden="false" customHeight="false" outlineLevel="0" collapsed="false">
      <c r="A719" s="12"/>
      <c r="B719" s="34"/>
      <c r="C719" s="12"/>
      <c r="D719" s="12"/>
      <c r="E719" s="12"/>
      <c r="F719" s="12"/>
      <c r="G719" s="18"/>
      <c r="H719" s="35"/>
      <c r="I719" s="12"/>
      <c r="M719" s="12"/>
      <c r="N719" s="18"/>
      <c r="O719" s="12"/>
      <c r="P719" s="12"/>
      <c r="Q719" s="12"/>
      <c r="R719" s="36"/>
      <c r="S719" s="36"/>
      <c r="T719" s="12"/>
      <c r="U719" s="12"/>
      <c r="V719" s="12"/>
      <c r="W719" s="12"/>
      <c r="X719" s="12"/>
    </row>
    <row r="720" customFormat="false" ht="15.75" hidden="false" customHeight="false" outlineLevel="0" collapsed="false">
      <c r="A720" s="12"/>
      <c r="B720" s="34"/>
      <c r="C720" s="12"/>
      <c r="D720" s="12"/>
      <c r="E720" s="12"/>
      <c r="F720" s="12"/>
      <c r="G720" s="18"/>
      <c r="H720" s="35"/>
      <c r="I720" s="12"/>
      <c r="M720" s="12"/>
      <c r="N720" s="18"/>
      <c r="O720" s="12"/>
      <c r="P720" s="12"/>
      <c r="Q720" s="12"/>
      <c r="R720" s="36"/>
      <c r="S720" s="36"/>
      <c r="T720" s="12"/>
      <c r="U720" s="12"/>
      <c r="V720" s="12"/>
      <c r="W720" s="12"/>
      <c r="X720" s="12"/>
    </row>
    <row r="721" customFormat="false" ht="15.75" hidden="false" customHeight="false" outlineLevel="0" collapsed="false">
      <c r="A721" s="12"/>
      <c r="B721" s="34"/>
      <c r="C721" s="12"/>
      <c r="D721" s="12"/>
      <c r="E721" s="12"/>
      <c r="F721" s="12"/>
      <c r="G721" s="18"/>
      <c r="H721" s="35"/>
      <c r="I721" s="12"/>
      <c r="M721" s="12"/>
      <c r="N721" s="18"/>
      <c r="O721" s="12"/>
      <c r="P721" s="12"/>
      <c r="Q721" s="12"/>
      <c r="R721" s="36"/>
      <c r="S721" s="36"/>
      <c r="T721" s="12"/>
      <c r="U721" s="12"/>
      <c r="V721" s="12"/>
      <c r="W721" s="12"/>
      <c r="X721" s="12"/>
    </row>
    <row r="722" customFormat="false" ht="15.75" hidden="false" customHeight="false" outlineLevel="0" collapsed="false">
      <c r="A722" s="12"/>
      <c r="B722" s="34"/>
      <c r="C722" s="12"/>
      <c r="D722" s="12"/>
      <c r="E722" s="12"/>
      <c r="F722" s="12"/>
      <c r="G722" s="18"/>
      <c r="H722" s="35"/>
      <c r="I722" s="12"/>
      <c r="M722" s="12"/>
      <c r="N722" s="18"/>
      <c r="O722" s="12"/>
      <c r="P722" s="12"/>
      <c r="Q722" s="12"/>
      <c r="R722" s="36"/>
      <c r="S722" s="36"/>
      <c r="T722" s="12"/>
      <c r="U722" s="12"/>
      <c r="V722" s="12"/>
      <c r="W722" s="12"/>
      <c r="X722" s="12"/>
    </row>
    <row r="723" customFormat="false" ht="15.75" hidden="false" customHeight="false" outlineLevel="0" collapsed="false">
      <c r="A723" s="12"/>
      <c r="B723" s="34"/>
      <c r="C723" s="12"/>
      <c r="D723" s="12"/>
      <c r="E723" s="12"/>
      <c r="F723" s="12"/>
      <c r="G723" s="18"/>
      <c r="H723" s="35"/>
      <c r="I723" s="12"/>
      <c r="M723" s="12"/>
      <c r="N723" s="18"/>
      <c r="O723" s="12"/>
      <c r="P723" s="12"/>
      <c r="Q723" s="12"/>
      <c r="R723" s="36"/>
      <c r="S723" s="36"/>
      <c r="T723" s="12"/>
      <c r="U723" s="12"/>
      <c r="V723" s="12"/>
      <c r="W723" s="12"/>
      <c r="X723" s="12"/>
    </row>
    <row r="724" customFormat="false" ht="15.75" hidden="false" customHeight="false" outlineLevel="0" collapsed="false">
      <c r="A724" s="12"/>
      <c r="B724" s="34"/>
      <c r="C724" s="12"/>
      <c r="D724" s="12"/>
      <c r="E724" s="12"/>
      <c r="F724" s="12"/>
      <c r="G724" s="18"/>
      <c r="H724" s="35"/>
      <c r="I724" s="12"/>
      <c r="M724" s="12"/>
      <c r="N724" s="18"/>
      <c r="O724" s="12"/>
      <c r="P724" s="12"/>
      <c r="Q724" s="12"/>
      <c r="R724" s="36"/>
      <c r="S724" s="36"/>
      <c r="T724" s="12"/>
      <c r="U724" s="12"/>
      <c r="V724" s="12"/>
      <c r="W724" s="12"/>
      <c r="X724" s="12"/>
    </row>
    <row r="725" customFormat="false" ht="15.75" hidden="false" customHeight="false" outlineLevel="0" collapsed="false">
      <c r="A725" s="12"/>
      <c r="B725" s="34"/>
      <c r="C725" s="12"/>
      <c r="D725" s="12"/>
      <c r="E725" s="12"/>
      <c r="F725" s="12"/>
      <c r="G725" s="18"/>
      <c r="H725" s="35"/>
      <c r="I725" s="12"/>
      <c r="M725" s="12"/>
      <c r="N725" s="18"/>
      <c r="O725" s="12"/>
      <c r="P725" s="12"/>
      <c r="Q725" s="12"/>
      <c r="R725" s="36"/>
      <c r="S725" s="36"/>
      <c r="T725" s="12"/>
      <c r="U725" s="12"/>
      <c r="V725" s="12"/>
      <c r="W725" s="12"/>
      <c r="X725" s="12"/>
    </row>
    <row r="726" customFormat="false" ht="15.75" hidden="false" customHeight="false" outlineLevel="0" collapsed="false">
      <c r="A726" s="12"/>
      <c r="B726" s="34"/>
      <c r="C726" s="12"/>
      <c r="D726" s="12"/>
      <c r="E726" s="12"/>
      <c r="F726" s="12"/>
      <c r="G726" s="18"/>
      <c r="H726" s="35"/>
      <c r="I726" s="12"/>
      <c r="M726" s="12"/>
      <c r="N726" s="18"/>
      <c r="O726" s="12"/>
      <c r="P726" s="12"/>
      <c r="Q726" s="12"/>
      <c r="R726" s="36"/>
      <c r="S726" s="36"/>
      <c r="T726" s="12"/>
      <c r="U726" s="12"/>
      <c r="V726" s="12"/>
      <c r="W726" s="12"/>
      <c r="X726" s="12"/>
    </row>
    <row r="727" customFormat="false" ht="15.75" hidden="false" customHeight="false" outlineLevel="0" collapsed="false">
      <c r="A727" s="12"/>
      <c r="B727" s="34"/>
      <c r="C727" s="12"/>
      <c r="D727" s="12"/>
      <c r="E727" s="12"/>
      <c r="F727" s="12"/>
      <c r="G727" s="18"/>
      <c r="H727" s="35"/>
      <c r="I727" s="12"/>
      <c r="M727" s="12"/>
      <c r="N727" s="18"/>
      <c r="O727" s="12"/>
      <c r="P727" s="12"/>
      <c r="Q727" s="12"/>
      <c r="R727" s="36"/>
      <c r="S727" s="36"/>
      <c r="T727" s="12"/>
      <c r="U727" s="12"/>
      <c r="V727" s="12"/>
      <c r="W727" s="12"/>
      <c r="X727" s="12"/>
    </row>
    <row r="728" customFormat="false" ht="15.75" hidden="false" customHeight="false" outlineLevel="0" collapsed="false">
      <c r="A728" s="12"/>
      <c r="B728" s="34"/>
      <c r="C728" s="12"/>
      <c r="D728" s="12"/>
      <c r="E728" s="12"/>
      <c r="F728" s="12"/>
      <c r="G728" s="18"/>
      <c r="H728" s="35"/>
      <c r="I728" s="12"/>
      <c r="M728" s="12"/>
      <c r="N728" s="18"/>
      <c r="O728" s="12"/>
      <c r="P728" s="12"/>
      <c r="Q728" s="12"/>
      <c r="R728" s="36"/>
      <c r="S728" s="36"/>
      <c r="T728" s="12"/>
      <c r="U728" s="12"/>
      <c r="V728" s="12"/>
      <c r="W728" s="12"/>
      <c r="X728" s="12"/>
    </row>
    <row r="729" customFormat="false" ht="15.75" hidden="false" customHeight="false" outlineLevel="0" collapsed="false">
      <c r="A729" s="12"/>
      <c r="B729" s="34"/>
      <c r="C729" s="12"/>
      <c r="D729" s="12"/>
      <c r="E729" s="12"/>
      <c r="F729" s="12"/>
      <c r="G729" s="18"/>
      <c r="H729" s="35"/>
      <c r="I729" s="12"/>
      <c r="M729" s="12"/>
      <c r="N729" s="18"/>
      <c r="O729" s="12"/>
      <c r="P729" s="12"/>
      <c r="Q729" s="12"/>
      <c r="R729" s="36"/>
      <c r="S729" s="36"/>
      <c r="T729" s="12"/>
      <c r="U729" s="12"/>
      <c r="V729" s="12"/>
      <c r="W729" s="12"/>
      <c r="X729" s="12"/>
    </row>
    <row r="730" customFormat="false" ht="15.75" hidden="false" customHeight="false" outlineLevel="0" collapsed="false">
      <c r="A730" s="12"/>
      <c r="B730" s="34"/>
      <c r="C730" s="12"/>
      <c r="D730" s="12"/>
      <c r="E730" s="12"/>
      <c r="F730" s="12"/>
      <c r="G730" s="18"/>
      <c r="H730" s="35"/>
      <c r="I730" s="12"/>
      <c r="M730" s="12"/>
      <c r="N730" s="18"/>
      <c r="O730" s="12"/>
      <c r="P730" s="12"/>
      <c r="Q730" s="12"/>
      <c r="R730" s="36"/>
      <c r="S730" s="36"/>
      <c r="T730" s="12"/>
      <c r="U730" s="12"/>
      <c r="V730" s="12"/>
      <c r="W730" s="12"/>
      <c r="X730" s="12"/>
    </row>
    <row r="731" customFormat="false" ht="15.75" hidden="false" customHeight="false" outlineLevel="0" collapsed="false">
      <c r="A731" s="12"/>
      <c r="B731" s="34"/>
      <c r="C731" s="12"/>
      <c r="D731" s="12"/>
      <c r="E731" s="12"/>
      <c r="F731" s="12"/>
      <c r="G731" s="18"/>
      <c r="H731" s="35"/>
      <c r="I731" s="12"/>
      <c r="M731" s="12"/>
      <c r="N731" s="18"/>
      <c r="O731" s="12"/>
      <c r="P731" s="12"/>
      <c r="Q731" s="12"/>
      <c r="R731" s="36"/>
      <c r="S731" s="36"/>
      <c r="T731" s="12"/>
      <c r="U731" s="12"/>
      <c r="V731" s="12"/>
      <c r="W731" s="12"/>
      <c r="X731" s="12"/>
    </row>
    <row r="732" customFormat="false" ht="15.75" hidden="false" customHeight="false" outlineLevel="0" collapsed="false">
      <c r="A732" s="12"/>
      <c r="B732" s="34"/>
      <c r="C732" s="12"/>
      <c r="D732" s="12"/>
      <c r="E732" s="12"/>
      <c r="F732" s="12"/>
      <c r="G732" s="18"/>
      <c r="H732" s="35"/>
      <c r="I732" s="12"/>
      <c r="M732" s="12"/>
      <c r="N732" s="18"/>
      <c r="O732" s="12"/>
      <c r="P732" s="12"/>
      <c r="Q732" s="12"/>
      <c r="R732" s="36"/>
      <c r="S732" s="36"/>
      <c r="T732" s="12"/>
      <c r="U732" s="12"/>
      <c r="V732" s="12"/>
      <c r="W732" s="12"/>
      <c r="X732" s="12"/>
    </row>
    <row r="733" customFormat="false" ht="15.75" hidden="false" customHeight="false" outlineLevel="0" collapsed="false">
      <c r="A733" s="12"/>
      <c r="B733" s="34"/>
      <c r="C733" s="12"/>
      <c r="D733" s="12"/>
      <c r="E733" s="12"/>
      <c r="F733" s="12"/>
      <c r="G733" s="18"/>
      <c r="H733" s="35"/>
      <c r="I733" s="12"/>
      <c r="M733" s="12"/>
      <c r="N733" s="18"/>
      <c r="O733" s="12"/>
      <c r="P733" s="12"/>
      <c r="Q733" s="12"/>
      <c r="R733" s="36"/>
      <c r="S733" s="36"/>
      <c r="T733" s="12"/>
      <c r="U733" s="12"/>
      <c r="V733" s="12"/>
      <c r="W733" s="12"/>
      <c r="X733" s="12"/>
    </row>
    <row r="734" customFormat="false" ht="15.75" hidden="false" customHeight="false" outlineLevel="0" collapsed="false">
      <c r="A734" s="12"/>
      <c r="B734" s="34"/>
      <c r="C734" s="12"/>
      <c r="D734" s="12"/>
      <c r="E734" s="12"/>
      <c r="F734" s="12"/>
      <c r="G734" s="18"/>
      <c r="H734" s="35"/>
      <c r="I734" s="12"/>
      <c r="M734" s="12"/>
      <c r="N734" s="18"/>
      <c r="O734" s="12"/>
      <c r="P734" s="12"/>
      <c r="Q734" s="12"/>
      <c r="R734" s="36"/>
      <c r="S734" s="36"/>
      <c r="T734" s="12"/>
      <c r="U734" s="12"/>
      <c r="V734" s="12"/>
      <c r="W734" s="12"/>
      <c r="X734" s="12"/>
    </row>
    <row r="735" customFormat="false" ht="15.75" hidden="false" customHeight="false" outlineLevel="0" collapsed="false">
      <c r="A735" s="12"/>
      <c r="B735" s="34"/>
      <c r="C735" s="12"/>
      <c r="D735" s="12"/>
      <c r="E735" s="12"/>
      <c r="F735" s="12"/>
      <c r="G735" s="18"/>
      <c r="H735" s="35"/>
      <c r="I735" s="12"/>
      <c r="M735" s="12"/>
      <c r="N735" s="18"/>
      <c r="O735" s="12"/>
      <c r="P735" s="12"/>
      <c r="Q735" s="12"/>
      <c r="R735" s="36"/>
      <c r="S735" s="36"/>
      <c r="T735" s="12"/>
      <c r="U735" s="12"/>
      <c r="V735" s="12"/>
      <c r="W735" s="12"/>
      <c r="X735" s="12"/>
    </row>
    <row r="736" customFormat="false" ht="15.75" hidden="false" customHeight="false" outlineLevel="0" collapsed="false">
      <c r="A736" s="12"/>
      <c r="B736" s="34"/>
      <c r="C736" s="12"/>
      <c r="D736" s="12"/>
      <c r="E736" s="12"/>
      <c r="F736" s="12"/>
      <c r="G736" s="18"/>
      <c r="H736" s="35"/>
      <c r="I736" s="12"/>
      <c r="M736" s="12"/>
      <c r="N736" s="18"/>
      <c r="O736" s="12"/>
      <c r="P736" s="12"/>
      <c r="Q736" s="12"/>
      <c r="R736" s="36"/>
      <c r="S736" s="36"/>
      <c r="T736" s="12"/>
      <c r="U736" s="12"/>
      <c r="V736" s="12"/>
      <c r="W736" s="12"/>
      <c r="X736" s="12"/>
    </row>
    <row r="737" customFormat="false" ht="15.75" hidden="false" customHeight="false" outlineLevel="0" collapsed="false">
      <c r="A737" s="12"/>
      <c r="B737" s="34"/>
      <c r="C737" s="12"/>
      <c r="D737" s="12"/>
      <c r="E737" s="12"/>
      <c r="F737" s="12"/>
      <c r="G737" s="18"/>
      <c r="H737" s="35"/>
      <c r="I737" s="12"/>
      <c r="M737" s="12"/>
      <c r="N737" s="18"/>
      <c r="O737" s="12"/>
      <c r="P737" s="12"/>
      <c r="Q737" s="12"/>
      <c r="R737" s="36"/>
      <c r="S737" s="36"/>
      <c r="T737" s="12"/>
      <c r="U737" s="12"/>
      <c r="V737" s="12"/>
      <c r="W737" s="12"/>
      <c r="X737" s="12"/>
    </row>
    <row r="738" customFormat="false" ht="15.75" hidden="false" customHeight="false" outlineLevel="0" collapsed="false">
      <c r="A738" s="12"/>
      <c r="B738" s="34"/>
      <c r="C738" s="12"/>
      <c r="D738" s="12"/>
      <c r="E738" s="12"/>
      <c r="F738" s="12"/>
      <c r="G738" s="18"/>
      <c r="H738" s="35"/>
      <c r="I738" s="12"/>
      <c r="M738" s="12"/>
      <c r="N738" s="18"/>
      <c r="O738" s="12"/>
      <c r="P738" s="12"/>
      <c r="Q738" s="12"/>
      <c r="R738" s="36"/>
      <c r="S738" s="36"/>
      <c r="T738" s="12"/>
      <c r="U738" s="12"/>
      <c r="V738" s="12"/>
      <c r="W738" s="12"/>
      <c r="X738" s="12"/>
    </row>
    <row r="739" customFormat="false" ht="15.75" hidden="false" customHeight="false" outlineLevel="0" collapsed="false">
      <c r="A739" s="12"/>
      <c r="B739" s="34"/>
      <c r="C739" s="12"/>
      <c r="D739" s="12"/>
      <c r="E739" s="12"/>
      <c r="F739" s="12"/>
      <c r="G739" s="18"/>
      <c r="H739" s="35"/>
      <c r="I739" s="12"/>
      <c r="M739" s="12"/>
      <c r="N739" s="18"/>
      <c r="O739" s="12"/>
      <c r="P739" s="12"/>
      <c r="Q739" s="12"/>
      <c r="R739" s="36"/>
      <c r="S739" s="36"/>
      <c r="T739" s="12"/>
      <c r="U739" s="12"/>
      <c r="V739" s="12"/>
      <c r="W739" s="12"/>
      <c r="X739" s="12"/>
    </row>
    <row r="740" customFormat="false" ht="15.75" hidden="false" customHeight="false" outlineLevel="0" collapsed="false">
      <c r="A740" s="12"/>
      <c r="B740" s="34"/>
      <c r="C740" s="12"/>
      <c r="D740" s="12"/>
      <c r="E740" s="12"/>
      <c r="F740" s="12"/>
      <c r="G740" s="18"/>
      <c r="H740" s="35"/>
      <c r="I740" s="12"/>
      <c r="M740" s="12"/>
      <c r="N740" s="18"/>
      <c r="O740" s="12"/>
      <c r="P740" s="12"/>
      <c r="Q740" s="12"/>
      <c r="R740" s="36"/>
      <c r="S740" s="36"/>
      <c r="T740" s="12"/>
      <c r="U740" s="12"/>
      <c r="V740" s="12"/>
      <c r="W740" s="12"/>
      <c r="X740" s="12"/>
    </row>
    <row r="741" customFormat="false" ht="15.75" hidden="false" customHeight="false" outlineLevel="0" collapsed="false">
      <c r="A741" s="12"/>
      <c r="B741" s="34"/>
      <c r="C741" s="12"/>
      <c r="D741" s="12"/>
      <c r="E741" s="12"/>
      <c r="F741" s="12"/>
      <c r="G741" s="18"/>
      <c r="H741" s="35"/>
      <c r="I741" s="12"/>
      <c r="M741" s="12"/>
      <c r="N741" s="18"/>
      <c r="O741" s="12"/>
      <c r="P741" s="12"/>
      <c r="Q741" s="12"/>
      <c r="R741" s="36"/>
      <c r="S741" s="36"/>
      <c r="T741" s="12"/>
      <c r="U741" s="12"/>
      <c r="V741" s="12"/>
      <c r="W741" s="12"/>
      <c r="X741" s="12"/>
    </row>
    <row r="742" customFormat="false" ht="15.75" hidden="false" customHeight="false" outlineLevel="0" collapsed="false">
      <c r="A742" s="12"/>
      <c r="B742" s="34"/>
      <c r="C742" s="12"/>
      <c r="D742" s="12"/>
      <c r="E742" s="12"/>
      <c r="F742" s="12"/>
      <c r="G742" s="18"/>
      <c r="H742" s="35"/>
      <c r="I742" s="12"/>
      <c r="M742" s="12"/>
      <c r="N742" s="18"/>
      <c r="O742" s="12"/>
      <c r="P742" s="12"/>
      <c r="Q742" s="12"/>
      <c r="R742" s="36"/>
      <c r="S742" s="36"/>
      <c r="T742" s="12"/>
      <c r="U742" s="12"/>
      <c r="V742" s="12"/>
      <c r="W742" s="12"/>
      <c r="X742" s="12"/>
    </row>
    <row r="743" customFormat="false" ht="15.75" hidden="false" customHeight="false" outlineLevel="0" collapsed="false">
      <c r="A743" s="12"/>
      <c r="B743" s="34"/>
      <c r="C743" s="12"/>
      <c r="D743" s="12"/>
      <c r="E743" s="12"/>
      <c r="F743" s="12"/>
      <c r="G743" s="18"/>
      <c r="H743" s="35"/>
      <c r="I743" s="12"/>
      <c r="M743" s="12"/>
      <c r="N743" s="18"/>
      <c r="O743" s="12"/>
      <c r="P743" s="12"/>
      <c r="Q743" s="12"/>
      <c r="R743" s="36"/>
      <c r="S743" s="36"/>
      <c r="T743" s="12"/>
      <c r="U743" s="12"/>
      <c r="V743" s="12"/>
      <c r="W743" s="12"/>
      <c r="X743" s="12"/>
    </row>
    <row r="744" customFormat="false" ht="15.75" hidden="false" customHeight="false" outlineLevel="0" collapsed="false">
      <c r="A744" s="12"/>
      <c r="B744" s="34"/>
      <c r="C744" s="12"/>
      <c r="D744" s="12"/>
      <c r="E744" s="12"/>
      <c r="F744" s="12"/>
      <c r="G744" s="18"/>
      <c r="H744" s="35"/>
      <c r="I744" s="12"/>
      <c r="M744" s="12"/>
      <c r="N744" s="18"/>
      <c r="O744" s="12"/>
      <c r="P744" s="12"/>
      <c r="Q744" s="12"/>
      <c r="R744" s="36"/>
      <c r="S744" s="36"/>
      <c r="T744" s="12"/>
      <c r="U744" s="12"/>
      <c r="V744" s="12"/>
      <c r="W744" s="12"/>
      <c r="X744" s="12"/>
    </row>
    <row r="745" customFormat="false" ht="15.75" hidden="false" customHeight="false" outlineLevel="0" collapsed="false">
      <c r="A745" s="12"/>
      <c r="B745" s="34"/>
      <c r="C745" s="12"/>
      <c r="D745" s="12"/>
      <c r="E745" s="12"/>
      <c r="F745" s="12"/>
      <c r="G745" s="18"/>
      <c r="H745" s="35"/>
      <c r="I745" s="12"/>
      <c r="M745" s="12"/>
      <c r="N745" s="18"/>
      <c r="O745" s="12"/>
      <c r="P745" s="12"/>
      <c r="Q745" s="12"/>
      <c r="R745" s="36"/>
      <c r="S745" s="36"/>
      <c r="T745" s="12"/>
      <c r="U745" s="12"/>
      <c r="V745" s="12"/>
      <c r="W745" s="12"/>
      <c r="X745" s="12"/>
    </row>
    <row r="746" customFormat="false" ht="15.75" hidden="false" customHeight="false" outlineLevel="0" collapsed="false">
      <c r="A746" s="12"/>
      <c r="B746" s="34"/>
      <c r="C746" s="12"/>
      <c r="D746" s="12"/>
      <c r="E746" s="12"/>
      <c r="F746" s="12"/>
      <c r="G746" s="18"/>
      <c r="H746" s="35"/>
      <c r="I746" s="12"/>
      <c r="M746" s="12"/>
      <c r="N746" s="18"/>
      <c r="O746" s="12"/>
      <c r="P746" s="12"/>
      <c r="Q746" s="12"/>
      <c r="R746" s="36"/>
      <c r="S746" s="36"/>
      <c r="T746" s="12"/>
      <c r="U746" s="12"/>
      <c r="V746" s="12"/>
      <c r="W746" s="12"/>
      <c r="X746" s="12"/>
    </row>
    <row r="747" customFormat="false" ht="15.75" hidden="false" customHeight="false" outlineLevel="0" collapsed="false">
      <c r="A747" s="12"/>
      <c r="B747" s="34"/>
      <c r="C747" s="12"/>
      <c r="D747" s="12"/>
      <c r="E747" s="12"/>
      <c r="F747" s="12"/>
      <c r="G747" s="18"/>
      <c r="H747" s="35"/>
      <c r="I747" s="12"/>
      <c r="M747" s="12"/>
      <c r="N747" s="18"/>
      <c r="O747" s="12"/>
      <c r="P747" s="12"/>
      <c r="Q747" s="12"/>
      <c r="R747" s="36"/>
      <c r="S747" s="36"/>
      <c r="T747" s="12"/>
      <c r="U747" s="12"/>
      <c r="V747" s="12"/>
      <c r="W747" s="12"/>
      <c r="X747" s="12"/>
    </row>
    <row r="748" customFormat="false" ht="15.75" hidden="false" customHeight="false" outlineLevel="0" collapsed="false">
      <c r="A748" s="12"/>
      <c r="B748" s="34"/>
      <c r="C748" s="12"/>
      <c r="D748" s="12"/>
      <c r="E748" s="12"/>
      <c r="F748" s="12"/>
      <c r="G748" s="18"/>
      <c r="H748" s="35"/>
      <c r="I748" s="12"/>
      <c r="M748" s="12"/>
      <c r="N748" s="18"/>
      <c r="O748" s="12"/>
      <c r="P748" s="12"/>
      <c r="Q748" s="12"/>
      <c r="R748" s="36"/>
      <c r="S748" s="36"/>
      <c r="T748" s="12"/>
      <c r="U748" s="12"/>
      <c r="V748" s="12"/>
      <c r="W748" s="12"/>
      <c r="X748" s="12"/>
    </row>
    <row r="749" customFormat="false" ht="15.75" hidden="false" customHeight="false" outlineLevel="0" collapsed="false">
      <c r="A749" s="12"/>
      <c r="B749" s="34"/>
      <c r="C749" s="12"/>
      <c r="D749" s="12"/>
      <c r="E749" s="12"/>
      <c r="F749" s="12"/>
      <c r="G749" s="18"/>
      <c r="H749" s="35"/>
      <c r="I749" s="12"/>
      <c r="M749" s="12"/>
      <c r="N749" s="18"/>
      <c r="O749" s="12"/>
      <c r="P749" s="12"/>
      <c r="Q749" s="12"/>
      <c r="R749" s="36"/>
      <c r="S749" s="36"/>
      <c r="T749" s="12"/>
      <c r="U749" s="12"/>
      <c r="V749" s="12"/>
      <c r="W749" s="12"/>
      <c r="X749" s="12"/>
    </row>
    <row r="750" customFormat="false" ht="15.75" hidden="false" customHeight="false" outlineLevel="0" collapsed="false">
      <c r="A750" s="12"/>
      <c r="B750" s="34"/>
      <c r="C750" s="12"/>
      <c r="D750" s="12"/>
      <c r="E750" s="12"/>
      <c r="F750" s="12"/>
      <c r="G750" s="18"/>
      <c r="H750" s="35"/>
      <c r="I750" s="12"/>
      <c r="M750" s="12"/>
      <c r="N750" s="18"/>
      <c r="O750" s="12"/>
      <c r="P750" s="12"/>
      <c r="Q750" s="12"/>
      <c r="R750" s="36"/>
      <c r="S750" s="36"/>
      <c r="T750" s="12"/>
      <c r="U750" s="12"/>
      <c r="V750" s="12"/>
      <c r="W750" s="12"/>
      <c r="X750" s="12"/>
    </row>
    <row r="751" customFormat="false" ht="15.75" hidden="false" customHeight="false" outlineLevel="0" collapsed="false">
      <c r="A751" s="12"/>
      <c r="B751" s="34"/>
      <c r="C751" s="12"/>
      <c r="D751" s="12"/>
      <c r="E751" s="12"/>
      <c r="F751" s="12"/>
      <c r="G751" s="18"/>
      <c r="H751" s="35"/>
      <c r="I751" s="12"/>
      <c r="M751" s="12"/>
      <c r="N751" s="18"/>
      <c r="O751" s="12"/>
      <c r="P751" s="12"/>
      <c r="Q751" s="12"/>
      <c r="R751" s="36"/>
      <c r="S751" s="36"/>
      <c r="T751" s="12"/>
      <c r="U751" s="12"/>
      <c r="V751" s="12"/>
      <c r="W751" s="12"/>
      <c r="X751" s="12"/>
    </row>
    <row r="752" customFormat="false" ht="15.75" hidden="false" customHeight="false" outlineLevel="0" collapsed="false">
      <c r="A752" s="12"/>
      <c r="B752" s="34"/>
      <c r="C752" s="12"/>
      <c r="D752" s="12"/>
      <c r="E752" s="12"/>
      <c r="F752" s="12"/>
      <c r="G752" s="18"/>
      <c r="H752" s="35"/>
      <c r="I752" s="12"/>
      <c r="M752" s="12"/>
      <c r="N752" s="18"/>
      <c r="O752" s="12"/>
      <c r="P752" s="12"/>
      <c r="Q752" s="12"/>
      <c r="R752" s="36"/>
      <c r="S752" s="36"/>
      <c r="T752" s="12"/>
      <c r="U752" s="12"/>
      <c r="V752" s="12"/>
      <c r="W752" s="12"/>
      <c r="X752" s="12"/>
    </row>
    <row r="753" customFormat="false" ht="15.75" hidden="false" customHeight="false" outlineLevel="0" collapsed="false">
      <c r="A753" s="12"/>
      <c r="B753" s="34"/>
      <c r="C753" s="12"/>
      <c r="D753" s="12"/>
      <c r="E753" s="12"/>
      <c r="F753" s="12"/>
      <c r="G753" s="18"/>
      <c r="H753" s="35"/>
      <c r="I753" s="12"/>
      <c r="M753" s="12"/>
      <c r="N753" s="18"/>
      <c r="O753" s="12"/>
      <c r="P753" s="12"/>
      <c r="Q753" s="12"/>
      <c r="R753" s="36"/>
      <c r="S753" s="36"/>
      <c r="T753" s="12"/>
      <c r="U753" s="12"/>
      <c r="V753" s="12"/>
      <c r="W753" s="12"/>
      <c r="X753" s="12"/>
    </row>
    <row r="754" customFormat="false" ht="15.75" hidden="false" customHeight="false" outlineLevel="0" collapsed="false">
      <c r="A754" s="12"/>
      <c r="B754" s="34"/>
      <c r="C754" s="12"/>
      <c r="D754" s="12"/>
      <c r="E754" s="12"/>
      <c r="F754" s="12"/>
      <c r="G754" s="18"/>
      <c r="H754" s="35"/>
      <c r="I754" s="12"/>
      <c r="M754" s="12"/>
      <c r="N754" s="18"/>
      <c r="O754" s="12"/>
      <c r="P754" s="12"/>
      <c r="Q754" s="12"/>
      <c r="R754" s="36"/>
      <c r="S754" s="36"/>
      <c r="T754" s="12"/>
      <c r="U754" s="12"/>
      <c r="V754" s="12"/>
      <c r="W754" s="12"/>
      <c r="X754" s="12"/>
    </row>
    <row r="755" customFormat="false" ht="15.75" hidden="false" customHeight="false" outlineLevel="0" collapsed="false">
      <c r="A755" s="12"/>
      <c r="B755" s="34"/>
      <c r="C755" s="12"/>
      <c r="D755" s="12"/>
      <c r="E755" s="12"/>
      <c r="F755" s="12"/>
      <c r="G755" s="18"/>
      <c r="H755" s="35"/>
      <c r="I755" s="12"/>
      <c r="M755" s="12"/>
      <c r="N755" s="18"/>
      <c r="O755" s="12"/>
      <c r="P755" s="12"/>
      <c r="Q755" s="12"/>
      <c r="R755" s="36"/>
      <c r="S755" s="36"/>
      <c r="T755" s="12"/>
      <c r="U755" s="12"/>
      <c r="V755" s="12"/>
      <c r="W755" s="12"/>
      <c r="X755" s="12"/>
    </row>
    <row r="756" customFormat="false" ht="15.75" hidden="false" customHeight="false" outlineLevel="0" collapsed="false">
      <c r="A756" s="12"/>
      <c r="B756" s="34"/>
      <c r="C756" s="12"/>
      <c r="D756" s="12"/>
      <c r="E756" s="12"/>
      <c r="F756" s="12"/>
      <c r="G756" s="18"/>
      <c r="H756" s="35"/>
      <c r="I756" s="12"/>
      <c r="M756" s="12"/>
      <c r="N756" s="18"/>
      <c r="O756" s="12"/>
      <c r="P756" s="12"/>
      <c r="Q756" s="12"/>
      <c r="R756" s="36"/>
      <c r="S756" s="36"/>
      <c r="T756" s="12"/>
      <c r="U756" s="12"/>
      <c r="V756" s="12"/>
      <c r="W756" s="12"/>
      <c r="X756" s="12"/>
    </row>
    <row r="757" customFormat="false" ht="15.75" hidden="false" customHeight="false" outlineLevel="0" collapsed="false">
      <c r="A757" s="12"/>
      <c r="B757" s="34"/>
      <c r="C757" s="12"/>
      <c r="D757" s="12"/>
      <c r="E757" s="12"/>
      <c r="F757" s="12"/>
      <c r="G757" s="18"/>
      <c r="H757" s="35"/>
      <c r="I757" s="12"/>
      <c r="M757" s="12"/>
      <c r="N757" s="18"/>
      <c r="O757" s="12"/>
      <c r="P757" s="12"/>
      <c r="Q757" s="12"/>
      <c r="R757" s="36"/>
      <c r="S757" s="36"/>
      <c r="T757" s="12"/>
      <c r="U757" s="12"/>
      <c r="V757" s="12"/>
      <c r="W757" s="12"/>
      <c r="X757" s="12"/>
    </row>
    <row r="758" customFormat="false" ht="15.75" hidden="false" customHeight="false" outlineLevel="0" collapsed="false">
      <c r="A758" s="12"/>
      <c r="B758" s="34"/>
      <c r="C758" s="12"/>
      <c r="D758" s="12"/>
      <c r="E758" s="12"/>
      <c r="F758" s="12"/>
      <c r="G758" s="18"/>
      <c r="H758" s="35"/>
      <c r="I758" s="12"/>
      <c r="M758" s="12"/>
      <c r="N758" s="18"/>
      <c r="O758" s="12"/>
      <c r="P758" s="12"/>
      <c r="Q758" s="12"/>
      <c r="R758" s="36"/>
      <c r="S758" s="36"/>
      <c r="T758" s="12"/>
      <c r="U758" s="12"/>
      <c r="V758" s="12"/>
      <c r="W758" s="12"/>
      <c r="X758" s="12"/>
    </row>
    <row r="759" customFormat="false" ht="15.75" hidden="false" customHeight="false" outlineLevel="0" collapsed="false">
      <c r="A759" s="12"/>
      <c r="B759" s="34"/>
      <c r="C759" s="12"/>
      <c r="D759" s="12"/>
      <c r="E759" s="12"/>
      <c r="F759" s="12"/>
      <c r="G759" s="18"/>
      <c r="H759" s="35"/>
      <c r="I759" s="12"/>
      <c r="M759" s="12"/>
      <c r="N759" s="18"/>
      <c r="O759" s="12"/>
      <c r="P759" s="12"/>
      <c r="Q759" s="12"/>
      <c r="R759" s="36"/>
      <c r="S759" s="36"/>
      <c r="T759" s="12"/>
      <c r="U759" s="12"/>
      <c r="V759" s="12"/>
      <c r="W759" s="12"/>
      <c r="X759" s="12"/>
    </row>
    <row r="760" customFormat="false" ht="15.75" hidden="false" customHeight="false" outlineLevel="0" collapsed="false">
      <c r="A760" s="12"/>
      <c r="B760" s="34"/>
      <c r="C760" s="12"/>
      <c r="D760" s="12"/>
      <c r="E760" s="12"/>
      <c r="F760" s="12"/>
      <c r="G760" s="18"/>
      <c r="H760" s="35"/>
      <c r="I760" s="12"/>
      <c r="M760" s="12"/>
      <c r="N760" s="18"/>
      <c r="O760" s="12"/>
      <c r="P760" s="12"/>
      <c r="Q760" s="12"/>
      <c r="R760" s="36"/>
      <c r="S760" s="36"/>
      <c r="T760" s="12"/>
      <c r="U760" s="12"/>
      <c r="V760" s="12"/>
      <c r="W760" s="12"/>
      <c r="X760" s="12"/>
    </row>
    <row r="761" customFormat="false" ht="15.75" hidden="false" customHeight="false" outlineLevel="0" collapsed="false">
      <c r="A761" s="12"/>
      <c r="B761" s="34"/>
      <c r="C761" s="12"/>
      <c r="D761" s="12"/>
      <c r="E761" s="12"/>
      <c r="F761" s="12"/>
      <c r="G761" s="18"/>
      <c r="H761" s="35"/>
      <c r="I761" s="12"/>
      <c r="M761" s="12"/>
      <c r="N761" s="18"/>
      <c r="O761" s="12"/>
      <c r="P761" s="12"/>
      <c r="Q761" s="12"/>
      <c r="R761" s="36"/>
      <c r="S761" s="36"/>
      <c r="T761" s="12"/>
      <c r="U761" s="12"/>
      <c r="V761" s="12"/>
      <c r="W761" s="12"/>
      <c r="X761" s="12"/>
    </row>
    <row r="762" customFormat="false" ht="15.75" hidden="false" customHeight="false" outlineLevel="0" collapsed="false">
      <c r="A762" s="12"/>
      <c r="B762" s="34"/>
      <c r="C762" s="12"/>
      <c r="D762" s="12"/>
      <c r="E762" s="12"/>
      <c r="F762" s="12"/>
      <c r="G762" s="18"/>
      <c r="H762" s="35"/>
      <c r="I762" s="12"/>
      <c r="M762" s="12"/>
      <c r="N762" s="18"/>
      <c r="O762" s="12"/>
      <c r="P762" s="12"/>
      <c r="Q762" s="12"/>
      <c r="R762" s="36"/>
      <c r="S762" s="36"/>
      <c r="T762" s="12"/>
      <c r="U762" s="12"/>
      <c r="V762" s="12"/>
      <c r="W762" s="12"/>
      <c r="X762" s="12"/>
    </row>
    <row r="763" customFormat="false" ht="15.75" hidden="false" customHeight="false" outlineLevel="0" collapsed="false">
      <c r="A763" s="12"/>
      <c r="B763" s="34"/>
      <c r="C763" s="12"/>
      <c r="D763" s="12"/>
      <c r="E763" s="12"/>
      <c r="F763" s="12"/>
      <c r="G763" s="18"/>
      <c r="H763" s="35"/>
      <c r="I763" s="12"/>
      <c r="M763" s="12"/>
      <c r="N763" s="18"/>
      <c r="O763" s="12"/>
      <c r="P763" s="12"/>
      <c r="Q763" s="12"/>
      <c r="R763" s="36"/>
      <c r="S763" s="36"/>
      <c r="T763" s="12"/>
      <c r="U763" s="12"/>
      <c r="V763" s="12"/>
      <c r="W763" s="12"/>
      <c r="X763" s="12"/>
    </row>
    <row r="764" customFormat="false" ht="15.75" hidden="false" customHeight="false" outlineLevel="0" collapsed="false">
      <c r="A764" s="12"/>
      <c r="B764" s="34"/>
      <c r="C764" s="12"/>
      <c r="D764" s="12"/>
      <c r="E764" s="12"/>
      <c r="F764" s="12"/>
      <c r="G764" s="18"/>
      <c r="H764" s="35"/>
      <c r="I764" s="12"/>
      <c r="M764" s="12"/>
      <c r="N764" s="18"/>
      <c r="O764" s="12"/>
      <c r="P764" s="12"/>
      <c r="Q764" s="12"/>
      <c r="R764" s="36"/>
      <c r="S764" s="36"/>
      <c r="T764" s="12"/>
      <c r="U764" s="12"/>
      <c r="V764" s="12"/>
      <c r="W764" s="12"/>
      <c r="X764" s="12"/>
    </row>
    <row r="765" customFormat="false" ht="15.75" hidden="false" customHeight="false" outlineLevel="0" collapsed="false">
      <c r="A765" s="12"/>
      <c r="B765" s="34"/>
      <c r="C765" s="12"/>
      <c r="D765" s="12"/>
      <c r="E765" s="12"/>
      <c r="F765" s="12"/>
      <c r="G765" s="18"/>
      <c r="H765" s="35"/>
      <c r="I765" s="12"/>
      <c r="M765" s="12"/>
      <c r="N765" s="18"/>
      <c r="O765" s="12"/>
      <c r="P765" s="12"/>
      <c r="Q765" s="12"/>
      <c r="R765" s="36"/>
      <c r="S765" s="36"/>
      <c r="T765" s="12"/>
      <c r="U765" s="12"/>
      <c r="V765" s="12"/>
      <c r="W765" s="12"/>
      <c r="X765" s="12"/>
    </row>
    <row r="766" customFormat="false" ht="15.75" hidden="false" customHeight="false" outlineLevel="0" collapsed="false">
      <c r="A766" s="12"/>
      <c r="B766" s="34"/>
      <c r="C766" s="12"/>
      <c r="D766" s="12"/>
      <c r="E766" s="12"/>
      <c r="F766" s="12"/>
      <c r="G766" s="18"/>
      <c r="H766" s="35"/>
      <c r="I766" s="12"/>
      <c r="M766" s="12"/>
      <c r="N766" s="18"/>
      <c r="O766" s="12"/>
      <c r="P766" s="12"/>
      <c r="Q766" s="12"/>
      <c r="R766" s="36"/>
      <c r="S766" s="36"/>
      <c r="T766" s="12"/>
      <c r="U766" s="12"/>
      <c r="V766" s="12"/>
      <c r="W766" s="12"/>
      <c r="X766" s="12"/>
    </row>
    <row r="767" customFormat="false" ht="15.75" hidden="false" customHeight="false" outlineLevel="0" collapsed="false">
      <c r="A767" s="12"/>
      <c r="B767" s="34"/>
      <c r="C767" s="12"/>
      <c r="D767" s="12"/>
      <c r="E767" s="12"/>
      <c r="F767" s="12"/>
      <c r="G767" s="18"/>
      <c r="H767" s="35"/>
      <c r="I767" s="12"/>
      <c r="M767" s="12"/>
      <c r="N767" s="18"/>
      <c r="O767" s="12"/>
      <c r="P767" s="12"/>
      <c r="Q767" s="12"/>
      <c r="R767" s="36"/>
      <c r="S767" s="36"/>
      <c r="T767" s="12"/>
      <c r="U767" s="12"/>
      <c r="V767" s="12"/>
      <c r="W767" s="12"/>
      <c r="X767" s="12"/>
    </row>
    <row r="768" customFormat="false" ht="15.75" hidden="false" customHeight="false" outlineLevel="0" collapsed="false">
      <c r="A768" s="12"/>
      <c r="B768" s="34"/>
      <c r="C768" s="12"/>
      <c r="D768" s="12"/>
      <c r="E768" s="12"/>
      <c r="F768" s="12"/>
      <c r="G768" s="18"/>
      <c r="H768" s="35"/>
      <c r="I768" s="12"/>
      <c r="M768" s="12"/>
      <c r="N768" s="18"/>
      <c r="O768" s="12"/>
      <c r="P768" s="12"/>
      <c r="Q768" s="12"/>
      <c r="R768" s="36"/>
      <c r="S768" s="36"/>
      <c r="T768" s="12"/>
      <c r="U768" s="12"/>
      <c r="V768" s="12"/>
      <c r="W768" s="12"/>
      <c r="X768" s="12"/>
    </row>
    <row r="769" customFormat="false" ht="15.75" hidden="false" customHeight="false" outlineLevel="0" collapsed="false">
      <c r="A769" s="12"/>
      <c r="B769" s="34"/>
      <c r="C769" s="12"/>
      <c r="D769" s="12"/>
      <c r="E769" s="12"/>
      <c r="F769" s="12"/>
      <c r="G769" s="18"/>
      <c r="H769" s="35"/>
      <c r="I769" s="12"/>
      <c r="M769" s="12"/>
      <c r="N769" s="18"/>
      <c r="O769" s="12"/>
      <c r="P769" s="12"/>
      <c r="Q769" s="12"/>
      <c r="R769" s="36"/>
      <c r="S769" s="36"/>
      <c r="T769" s="12"/>
      <c r="U769" s="12"/>
      <c r="V769" s="12"/>
      <c r="W769" s="12"/>
      <c r="X769" s="12"/>
    </row>
    <row r="770" customFormat="false" ht="15.75" hidden="false" customHeight="false" outlineLevel="0" collapsed="false">
      <c r="A770" s="12"/>
      <c r="B770" s="34"/>
      <c r="C770" s="12"/>
      <c r="D770" s="12"/>
      <c r="E770" s="12"/>
      <c r="F770" s="12"/>
      <c r="G770" s="18"/>
      <c r="H770" s="35"/>
      <c r="I770" s="12"/>
      <c r="M770" s="12"/>
      <c r="N770" s="18"/>
      <c r="O770" s="12"/>
      <c r="P770" s="12"/>
      <c r="Q770" s="12"/>
      <c r="R770" s="36"/>
      <c r="S770" s="36"/>
      <c r="T770" s="12"/>
      <c r="U770" s="12"/>
      <c r="V770" s="12"/>
      <c r="W770" s="12"/>
      <c r="X770" s="12"/>
    </row>
    <row r="771" customFormat="false" ht="15.75" hidden="false" customHeight="false" outlineLevel="0" collapsed="false">
      <c r="A771" s="12"/>
      <c r="B771" s="34"/>
      <c r="C771" s="12"/>
      <c r="D771" s="12"/>
      <c r="E771" s="12"/>
      <c r="F771" s="12"/>
      <c r="G771" s="18"/>
      <c r="H771" s="35"/>
      <c r="I771" s="12"/>
      <c r="M771" s="12"/>
      <c r="N771" s="18"/>
      <c r="O771" s="12"/>
      <c r="P771" s="12"/>
      <c r="Q771" s="12"/>
      <c r="R771" s="36"/>
      <c r="S771" s="36"/>
      <c r="T771" s="12"/>
      <c r="U771" s="12"/>
      <c r="V771" s="12"/>
      <c r="W771" s="12"/>
      <c r="X771" s="12"/>
    </row>
    <row r="772" customFormat="false" ht="15.75" hidden="false" customHeight="false" outlineLevel="0" collapsed="false">
      <c r="A772" s="12"/>
      <c r="B772" s="34"/>
      <c r="C772" s="12"/>
      <c r="D772" s="12"/>
      <c r="E772" s="12"/>
      <c r="F772" s="12"/>
      <c r="G772" s="18"/>
      <c r="H772" s="35"/>
      <c r="I772" s="12"/>
      <c r="M772" s="12"/>
      <c r="N772" s="18"/>
      <c r="O772" s="12"/>
      <c r="P772" s="12"/>
      <c r="Q772" s="12"/>
      <c r="R772" s="36"/>
      <c r="S772" s="36"/>
      <c r="T772" s="12"/>
      <c r="U772" s="12"/>
      <c r="V772" s="12"/>
      <c r="W772" s="12"/>
      <c r="X772" s="12"/>
    </row>
    <row r="773" customFormat="false" ht="15.75" hidden="false" customHeight="false" outlineLevel="0" collapsed="false">
      <c r="A773" s="12"/>
      <c r="B773" s="34"/>
      <c r="C773" s="12"/>
      <c r="D773" s="12"/>
      <c r="E773" s="12"/>
      <c r="F773" s="12"/>
      <c r="G773" s="18"/>
      <c r="H773" s="35"/>
      <c r="I773" s="12"/>
      <c r="M773" s="12"/>
      <c r="N773" s="18"/>
      <c r="O773" s="12"/>
      <c r="P773" s="12"/>
      <c r="Q773" s="12"/>
      <c r="R773" s="36"/>
      <c r="S773" s="36"/>
      <c r="T773" s="12"/>
      <c r="U773" s="12"/>
      <c r="V773" s="12"/>
      <c r="W773" s="12"/>
      <c r="X773" s="12"/>
    </row>
    <row r="774" customFormat="false" ht="15.75" hidden="false" customHeight="false" outlineLevel="0" collapsed="false">
      <c r="A774" s="12"/>
      <c r="B774" s="34"/>
      <c r="C774" s="12"/>
      <c r="D774" s="12"/>
      <c r="E774" s="12"/>
      <c r="F774" s="12"/>
      <c r="G774" s="18"/>
      <c r="H774" s="35"/>
      <c r="I774" s="12"/>
      <c r="M774" s="12"/>
      <c r="N774" s="18"/>
      <c r="O774" s="12"/>
      <c r="P774" s="12"/>
      <c r="Q774" s="12"/>
      <c r="R774" s="36"/>
      <c r="S774" s="36"/>
      <c r="T774" s="12"/>
      <c r="U774" s="12"/>
      <c r="V774" s="12"/>
      <c r="W774" s="12"/>
      <c r="X774" s="12"/>
    </row>
    <row r="775" customFormat="false" ht="15.75" hidden="false" customHeight="false" outlineLevel="0" collapsed="false">
      <c r="A775" s="12"/>
      <c r="B775" s="34"/>
      <c r="C775" s="12"/>
      <c r="D775" s="12"/>
      <c r="E775" s="12"/>
      <c r="F775" s="12"/>
      <c r="G775" s="18"/>
      <c r="H775" s="35"/>
      <c r="I775" s="12"/>
      <c r="M775" s="12"/>
      <c r="N775" s="18"/>
      <c r="O775" s="12"/>
      <c r="P775" s="12"/>
      <c r="Q775" s="12"/>
      <c r="R775" s="36"/>
      <c r="S775" s="36"/>
      <c r="T775" s="12"/>
      <c r="U775" s="12"/>
      <c r="V775" s="12"/>
      <c r="W775" s="12"/>
      <c r="X775" s="12"/>
    </row>
    <row r="776" customFormat="false" ht="15.75" hidden="false" customHeight="false" outlineLevel="0" collapsed="false">
      <c r="A776" s="12"/>
      <c r="B776" s="34"/>
      <c r="C776" s="12"/>
      <c r="D776" s="12"/>
      <c r="E776" s="12"/>
      <c r="F776" s="12"/>
      <c r="G776" s="18"/>
      <c r="H776" s="35"/>
      <c r="I776" s="12"/>
      <c r="M776" s="12"/>
      <c r="N776" s="18"/>
      <c r="O776" s="12"/>
      <c r="P776" s="12"/>
      <c r="Q776" s="12"/>
      <c r="R776" s="36"/>
      <c r="S776" s="36"/>
      <c r="T776" s="12"/>
      <c r="U776" s="12"/>
      <c r="V776" s="12"/>
      <c r="W776" s="12"/>
      <c r="X776" s="12"/>
    </row>
    <row r="1048575" customFormat="false" ht="12.8" hidden="false" customHeight="true" outlineLevel="0" collapsed="false"/>
    <row r="1048576" customFormat="false" ht="12.8" hidden="false" customHeight="true" outlineLevel="0" collapsed="false"/>
  </sheetData>
  <conditionalFormatting sqref="R2:S776">
    <cfRule type="expression" priority="2" aboveAverage="0" equalAverage="0" bottom="0" percent="0" rank="0" text="" dxfId="0">
      <formula>LEN(TRIM(R2))&gt;0</formula>
    </cfRule>
  </conditionalFormatting>
  <conditionalFormatting sqref="Q2:Q776">
    <cfRule type="expression" priority="3" aboveAverage="0" equalAverage="0" bottom="0" percent="0" rank="0" text="" dxfId="0">
      <formula>LEN(TRIM(Q2))&gt;0</formula>
    </cfRule>
  </conditionalFormatting>
  <conditionalFormatting sqref="G2:G776 N2:N776">
    <cfRule type="containsText" priority="4" operator="containsText" aboveAverage="0" equalAverage="0" bottom="0" percent="0" rank="0" text="x" dxfId="0">
      <formula>NOT(ISERROR(SEARCH("x",G2)))</formula>
    </cfRule>
  </conditionalFormatting>
  <conditionalFormatting sqref="T2:T776">
    <cfRule type="expression" priority="5" aboveAverage="0" equalAverage="0" bottom="0" percent="0" rank="0" text="" dxfId="0">
      <formula>LEN(TRIM(T2))&gt;0</formula>
    </cfRule>
  </conditionalFormatting>
  <conditionalFormatting sqref="W2:W776">
    <cfRule type="expression" priority="6" aboveAverage="0" equalAverage="0" bottom="0" percent="0" rank="0" text="" dxfId="0">
      <formula>LEN(TRIM(W2))&gt;0</formula>
    </cfRule>
  </conditionalFormatting>
  <conditionalFormatting sqref="X2:X776">
    <cfRule type="cellIs" priority="7" operator="equal" aboveAverage="0" equalAverage="0" bottom="0" percent="0" rank="0" text="" dxfId="0">
      <formula>"Completo"</formula>
    </cfRule>
    <cfRule type="cellIs" priority="8" operator="equal" aboveAverage="0" equalAverage="0" bottom="0" percent="0" rank="0" text="" dxfId="1">
      <formula>"No aplica"</formula>
    </cfRule>
  </conditionalFormatting>
  <conditionalFormatting sqref="G2:I776 O2:P776 U2:V776 X2:X776">
    <cfRule type="cellIs" priority="9" operator="equal" aboveAverage="0" equalAverage="0" bottom="0" percent="0" rank="0" text="" dxfId="0">
      <formula>"Completo"</formula>
    </cfRule>
    <cfRule type="cellIs" priority="10" operator="equal" aboveAverage="0" equalAverage="0" bottom="0" percent="0" rank="0" text="" dxfId="1">
      <formula>"No Aplica"</formula>
    </cfRule>
  </conditionalFormatting>
  <dataValidations count="5">
    <dataValidation allowBlank="true" errorStyle="stop" operator="between" showDropDown="false" showErrorMessage="false" showInputMessage="false" sqref="T2:T776" type="list">
      <formula1>LEYENDA!$A$23:$A$24</formula1>
      <formula2>0</formula2>
    </dataValidation>
    <dataValidation allowBlank="true" errorStyle="stop" operator="between" showDropDown="false" showErrorMessage="true" showInputMessage="false" sqref="D2:D776" type="list">
      <formula1>LEYENDA!$B$2:$D$2</formula1>
      <formula2>0</formula2>
    </dataValidation>
    <dataValidation allowBlank="true" errorStyle="stop" operator="between" showDropDown="false" showErrorMessage="false" showInputMessage="false" sqref="R2:R776" type="list">
      <formula1>LEYENDA!$A$15:$A$19</formula1>
      <formula2>0</formula2>
    </dataValidation>
    <dataValidation allowBlank="true" errorStyle="stop" operator="between" showDropDown="false" showErrorMessage="true" showInputMessage="false" sqref="H2:I776 O2:P776 U2:V776 X2:X776" type="list">
      <formula1>LEYENDA!$B$1:$C$1</formula1>
      <formula2>0</formula2>
    </dataValidation>
    <dataValidation allowBlank="true" errorStyle="stop" operator="between" showDropDown="false" showErrorMessage="false" showInputMessage="false" sqref="E2:E776" type="list">
      <formula1>LEYENDA!$A$8:$A$12</formula1>
      <formula2>0</formula2>
    </dataValidation>
  </dataValidations>
  <hyperlinks>
    <hyperlink ref="P3" r:id="rId1" display="Completo"/>
    <hyperlink ref="U3" r:id="rId2" display="Completo"/>
    <hyperlink ref="V3" r:id="rId3" display="Completo"/>
    <hyperlink ref="P4" r:id="rId4" display="Completo"/>
    <hyperlink ref="U4" r:id="rId5" display="Completo"/>
    <hyperlink ref="V4" r:id="rId6" display="Completo"/>
    <hyperlink ref="U14" r:id="rId7" display="Completo"/>
    <hyperlink ref="V14" r:id="rId8" display="Completo"/>
    <hyperlink ref="U15" r:id="rId9" display="Completo"/>
    <hyperlink ref="V15" r:id="rId10" display="Completo"/>
    <hyperlink ref="U21" r:id="rId11" display="Completo"/>
    <hyperlink ref="U22" r:id="rId12" display="Completo"/>
    <hyperlink ref="V22" r:id="rId13" display="Completo"/>
    <hyperlink ref="U28" r:id="rId14" display="Completo"/>
    <hyperlink ref="V28" r:id="rId15" display="Completo"/>
    <hyperlink ref="P30" r:id="rId16" display="Completo"/>
    <hyperlink ref="U30" r:id="rId17" display="Completo"/>
    <hyperlink ref="V30" r:id="rId18" display="Completo"/>
    <hyperlink ref="U39" r:id="rId19" display="Completo"/>
    <hyperlink ref="V39" r:id="rId20" display="Completo"/>
    <hyperlink ref="P44" r:id="rId21" display="Completo"/>
    <hyperlink ref="U44" r:id="rId22" display="Completo"/>
    <hyperlink ref="V44" r:id="rId23" display="Completo"/>
    <hyperlink ref="P45" r:id="rId24" display="Completo"/>
    <hyperlink ref="U45" r:id="rId25" display="Completo"/>
    <hyperlink ref="V45" r:id="rId26" display="Completo"/>
    <hyperlink ref="P46" r:id="rId27" display="Completo"/>
    <hyperlink ref="U46" r:id="rId28" display="Completo"/>
    <hyperlink ref="V46" r:id="rId29" display="Completo"/>
    <hyperlink ref="P47" r:id="rId30" display="Completo"/>
    <hyperlink ref="U47" r:id="rId31" display="Completo"/>
    <hyperlink ref="V47" r:id="rId32" display="Completo"/>
    <hyperlink ref="P48" r:id="rId33" display="Completo"/>
    <hyperlink ref="U48" r:id="rId34" display="Completo"/>
    <hyperlink ref="V48" r:id="rId35" display="Completo"/>
    <hyperlink ref="U56" r:id="rId36" display="Completo"/>
    <hyperlink ref="U57" r:id="rId37" display="Completo"/>
    <hyperlink ref="V57" r:id="rId38" display="Completo"/>
    <hyperlink ref="P58" r:id="rId39" display="Completo"/>
    <hyperlink ref="U58" r:id="rId40" display="Completo"/>
    <hyperlink ref="V58" r:id="rId41" display="Completo"/>
    <hyperlink ref="P63" r:id="rId42" display="Completo"/>
    <hyperlink ref="U63" r:id="rId43" display="Completo"/>
    <hyperlink ref="V63" r:id="rId44" display="Completo"/>
    <hyperlink ref="U66" r:id="rId45" display="Completo"/>
    <hyperlink ref="V66" r:id="rId46" display="Completo"/>
    <hyperlink ref="U67" r:id="rId47" display="Completo"/>
    <hyperlink ref="V67" r:id="rId48" display="Completo"/>
    <hyperlink ref="U68" r:id="rId49" display="Completo"/>
    <hyperlink ref="V68" r:id="rId50" display="Completo"/>
    <hyperlink ref="P76" r:id="rId51" display="Completo"/>
    <hyperlink ref="U76" r:id="rId52" display="Completo"/>
    <hyperlink ref="V76" r:id="rId53" display="Completo"/>
    <hyperlink ref="P80" r:id="rId54" display="Completo"/>
    <hyperlink ref="U80" r:id="rId55" display="Completo"/>
    <hyperlink ref="V80" r:id="rId56" display="Completo"/>
    <hyperlink ref="P81" r:id="rId57" display="Completo"/>
    <hyperlink ref="U81" r:id="rId58" display="Completo"/>
    <hyperlink ref="V81" r:id="rId59" display="Completo"/>
    <hyperlink ref="P82" r:id="rId60" display="Completo"/>
    <hyperlink ref="U82" r:id="rId61" display="Completo"/>
    <hyperlink ref="V82" r:id="rId62" display="Completo"/>
    <hyperlink ref="P83" r:id="rId63" display="Completo"/>
    <hyperlink ref="U83" r:id="rId64" display="Completo"/>
    <hyperlink ref="V83" r:id="rId65" display="Completo"/>
    <hyperlink ref="P84" r:id="rId66" display="Completo"/>
    <hyperlink ref="U84" r:id="rId67" display="Completo"/>
    <hyperlink ref="V84" r:id="rId68" display="Completo"/>
  </hyperlinks>
  <printOptions headings="false" gridLines="true" gridLinesSet="true" horizontalCentered="true" verticalCentered="false"/>
  <pageMargins left="0.7" right="0.7" top="0.75" bottom="0.75" header="0.511811023622047" footer="0.511811023622047"/>
  <pageSetup paperSize="9" scale="100" fitToWidth="1" fitToHeight="0" pageOrder="overThenDown" orientation="landscape" blackAndWhite="false" draft="false" cellComments="none" horizontalDpi="300" verticalDpi="300" copies="1"/>
  <headerFooter differentFirst="false" differentOddEven="false">
    <oddHeader/>
    <oddFooter/>
  </headerFooter>
  <drawing r:id="rId69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AF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6" ySplit="3" topLeftCell="G4" activePane="bottomRight" state="frozen"/>
      <selection pane="topLeft" activeCell="A1" activeCellId="0" sqref="A1"/>
      <selection pane="topRight" activeCell="G1" activeCellId="0" sqref="G1"/>
      <selection pane="bottomLeft" activeCell="A4" activeCellId="0" sqref="A4"/>
      <selection pane="bottomRight" activeCell="F13" activeCellId="0" sqref="F13"/>
    </sheetView>
  </sheetViews>
  <sheetFormatPr defaultColWidth="12.6328125" defaultRowHeight="15.75" zeroHeight="false" outlineLevelRow="0" outlineLevelCol="0"/>
  <cols>
    <col collapsed="false" customWidth="true" hidden="false" outlineLevel="0" max="1" min="1" style="1" width="10.25"/>
    <col collapsed="false" customWidth="true" hidden="false" outlineLevel="0" max="2" min="2" style="1" width="10.38"/>
    <col collapsed="false" customWidth="true" hidden="false" outlineLevel="0" max="3" min="3" style="1" width="16.89"/>
    <col collapsed="false" customWidth="true" hidden="false" outlineLevel="0" max="4" min="4" style="1" width="11.25"/>
    <col collapsed="false" customWidth="true" hidden="false" outlineLevel="0" max="5" min="5" style="1" width="17.13"/>
    <col collapsed="false" customWidth="true" hidden="false" outlineLevel="0" max="6" min="6" style="1" width="33.75"/>
    <col collapsed="false" customWidth="true" hidden="false" outlineLevel="0" max="7" min="7" style="1" width="15.88"/>
    <col collapsed="false" customWidth="true" hidden="false" outlineLevel="0" max="8" min="8" style="1" width="10.88"/>
    <col collapsed="false" customWidth="true" hidden="false" outlineLevel="0" max="9" min="9" style="1" width="12.88"/>
    <col collapsed="false" customWidth="true" hidden="false" outlineLevel="0" max="10" min="10" style="1" width="12"/>
    <col collapsed="false" customWidth="true" hidden="false" outlineLevel="0" max="11" min="11" style="1" width="10"/>
    <col collapsed="false" customWidth="true" hidden="false" outlineLevel="0" max="12" min="12" style="1" width="12.25"/>
    <col collapsed="false" customWidth="true" hidden="false" outlineLevel="0" max="13" min="13" style="1" width="26.12"/>
    <col collapsed="false" customWidth="true" hidden="false" outlineLevel="0" max="14" min="14" style="1" width="18"/>
    <col collapsed="false" customWidth="true" hidden="false" outlineLevel="0" max="16" min="15" style="1" width="10.63"/>
    <col collapsed="false" customWidth="true" hidden="false" outlineLevel="0" max="17" min="17" style="1" width="8.5"/>
    <col collapsed="false" customWidth="true" hidden="false" outlineLevel="0" max="19" min="19" style="1" width="25.38"/>
    <col collapsed="false" customWidth="true" hidden="false" outlineLevel="0" max="20" min="20" style="1" width="17.88"/>
    <col collapsed="false" customWidth="true" hidden="false" outlineLevel="0" max="21" min="21" style="1" width="10.13"/>
    <col collapsed="false" customWidth="true" hidden="false" outlineLevel="0" max="22" min="22" style="1" width="11.12"/>
    <col collapsed="false" customWidth="true" hidden="false" outlineLevel="0" max="23" min="23" style="1" width="24.88"/>
  </cols>
  <sheetData>
    <row r="1" customFormat="false" ht="68" hidden="false" customHeight="false" outlineLevel="0" collapsed="false">
      <c r="A1" s="2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/>
      <c r="J1" s="4" t="s">
        <v>8</v>
      </c>
      <c r="K1" s="2"/>
      <c r="L1" s="2" t="s">
        <v>9</v>
      </c>
      <c r="M1" s="2" t="s">
        <v>10</v>
      </c>
      <c r="N1" s="4" t="s">
        <v>11</v>
      </c>
      <c r="O1" s="3" t="s">
        <v>12</v>
      </c>
      <c r="P1" s="7" t="s">
        <v>13</v>
      </c>
      <c r="Q1" s="7" t="s">
        <v>14</v>
      </c>
      <c r="R1" s="7" t="s">
        <v>15</v>
      </c>
      <c r="S1" s="7" t="s">
        <v>16</v>
      </c>
      <c r="T1" s="7" t="s">
        <v>17</v>
      </c>
      <c r="U1" s="8" t="s">
        <v>18</v>
      </c>
      <c r="V1" s="9" t="s">
        <v>19</v>
      </c>
      <c r="W1" s="9" t="s">
        <v>20</v>
      </c>
      <c r="X1" s="10" t="s">
        <v>15</v>
      </c>
      <c r="Y1" s="11" t="s">
        <v>21</v>
      </c>
      <c r="Z1" s="11" t="s">
        <v>22</v>
      </c>
      <c r="AA1" s="12"/>
      <c r="AB1" s="12"/>
      <c r="AC1" s="12"/>
      <c r="AD1" s="12"/>
      <c r="AE1" s="12"/>
      <c r="AF1" s="12"/>
    </row>
    <row r="2" customFormat="false" ht="15.75" hidden="false" customHeight="false" outlineLevel="0" collapsed="false">
      <c r="A2" s="61" t="n">
        <v>6737</v>
      </c>
      <c r="B2" s="29" t="n">
        <v>44837</v>
      </c>
      <c r="C2" s="21" t="s">
        <v>133</v>
      </c>
      <c r="D2" s="21" t="s">
        <v>24</v>
      </c>
      <c r="E2" s="21" t="s">
        <v>25</v>
      </c>
      <c r="F2" s="21" t="s">
        <v>1554</v>
      </c>
      <c r="G2" s="30"/>
      <c r="H2" s="45" t="s">
        <v>28</v>
      </c>
      <c r="I2" s="21" t="s">
        <v>28</v>
      </c>
      <c r="J2" s="21"/>
      <c r="K2" s="21"/>
      <c r="L2" s="21"/>
      <c r="M2" s="21"/>
      <c r="N2" s="30"/>
      <c r="O2" s="21" t="s">
        <v>28</v>
      </c>
      <c r="P2" s="46" t="s">
        <v>28</v>
      </c>
      <c r="Q2" s="21" t="s">
        <v>59</v>
      </c>
      <c r="R2" s="32" t="s">
        <v>2565</v>
      </c>
      <c r="S2" s="32"/>
      <c r="T2" s="21"/>
      <c r="U2" s="21"/>
      <c r="V2" s="21"/>
      <c r="W2" s="21"/>
      <c r="X2" s="21" t="s">
        <v>28</v>
      </c>
    </row>
    <row r="3" customFormat="false" ht="15.75" hidden="false" customHeight="false" outlineLevel="0" collapsed="false">
      <c r="A3" s="61" t="n">
        <v>6738</v>
      </c>
      <c r="B3" s="29" t="n">
        <v>44837</v>
      </c>
      <c r="C3" s="21" t="s">
        <v>133</v>
      </c>
      <c r="D3" s="21" t="s">
        <v>24</v>
      </c>
      <c r="E3" s="21" t="s">
        <v>25</v>
      </c>
      <c r="F3" s="21" t="s">
        <v>1554</v>
      </c>
      <c r="G3" s="30"/>
      <c r="H3" s="45" t="s">
        <v>28</v>
      </c>
      <c r="I3" s="21" t="s">
        <v>28</v>
      </c>
      <c r="J3" s="21"/>
      <c r="K3" s="21"/>
      <c r="L3" s="21"/>
      <c r="M3" s="21"/>
      <c r="N3" s="30"/>
      <c r="O3" s="21" t="s">
        <v>28</v>
      </c>
      <c r="P3" s="46" t="s">
        <v>28</v>
      </c>
      <c r="Q3" s="21" t="s">
        <v>59</v>
      </c>
      <c r="R3" s="32" t="s">
        <v>2565</v>
      </c>
      <c r="S3" s="32"/>
      <c r="T3" s="21"/>
      <c r="U3" s="21"/>
      <c r="V3" s="21"/>
      <c r="W3" s="21"/>
      <c r="X3" s="21" t="s">
        <v>28</v>
      </c>
    </row>
    <row r="4" customFormat="false" ht="15.75" hidden="false" customHeight="false" outlineLevel="0" collapsed="false">
      <c r="A4" s="61" t="n">
        <v>6739</v>
      </c>
      <c r="B4" s="29" t="n">
        <v>44837</v>
      </c>
      <c r="C4" s="21" t="s">
        <v>112</v>
      </c>
      <c r="D4" s="21" t="s">
        <v>24</v>
      </c>
      <c r="E4" s="21" t="s">
        <v>25</v>
      </c>
      <c r="F4" s="21" t="s">
        <v>2566</v>
      </c>
      <c r="G4" s="30"/>
      <c r="H4" s="45" t="str">
        <f aca="false">HYPERLINK("https://photos.app.goo.gl/k7wwaNJKAgjeCwRa7", "Completo")</f>
        <v>Completo</v>
      </c>
      <c r="I4" s="21" t="s">
        <v>28</v>
      </c>
      <c r="J4" s="21"/>
      <c r="K4" s="21"/>
      <c r="L4" s="21"/>
      <c r="M4" s="21"/>
      <c r="N4" s="30"/>
      <c r="O4" s="21"/>
      <c r="P4" s="21"/>
      <c r="Q4" s="21"/>
      <c r="R4" s="32"/>
      <c r="S4" s="32"/>
      <c r="T4" s="21" t="s">
        <v>2567</v>
      </c>
      <c r="U4" s="46" t="s">
        <v>28</v>
      </c>
      <c r="V4" s="46" t="s">
        <v>28</v>
      </c>
      <c r="W4" s="21" t="s">
        <v>36</v>
      </c>
      <c r="X4" s="21" t="s">
        <v>28</v>
      </c>
    </row>
    <row r="5" customFormat="false" ht="15.75" hidden="false" customHeight="false" outlineLevel="0" collapsed="false">
      <c r="A5" s="61" t="n">
        <v>6740</v>
      </c>
      <c r="B5" s="29" t="n">
        <v>44837</v>
      </c>
      <c r="C5" s="21" t="s">
        <v>980</v>
      </c>
      <c r="D5" s="21" t="s">
        <v>24</v>
      </c>
      <c r="E5" s="21" t="s">
        <v>25</v>
      </c>
      <c r="F5" s="21" t="s">
        <v>2568</v>
      </c>
      <c r="G5" s="30"/>
      <c r="H5" s="45" t="str">
        <f aca="false">HYPERLINK("https://photos.app.goo.gl/6Rvpe5PYUVrzS29x8", "Completo")</f>
        <v>Completo</v>
      </c>
      <c r="I5" s="21" t="s">
        <v>28</v>
      </c>
      <c r="J5" s="21"/>
      <c r="K5" s="21"/>
      <c r="L5" s="21"/>
      <c r="M5" s="21"/>
      <c r="N5" s="30"/>
      <c r="O5" s="21"/>
      <c r="P5" s="21"/>
      <c r="Q5" s="21"/>
      <c r="R5" s="32"/>
      <c r="S5" s="32"/>
      <c r="T5" s="21" t="s">
        <v>2567</v>
      </c>
      <c r="U5" s="46" t="s">
        <v>28</v>
      </c>
      <c r="V5" s="46" t="s">
        <v>28</v>
      </c>
      <c r="W5" s="21" t="s">
        <v>36</v>
      </c>
      <c r="X5" s="21" t="s">
        <v>28</v>
      </c>
    </row>
    <row r="6" customFormat="false" ht="15.75" hidden="false" customHeight="false" outlineLevel="0" collapsed="false">
      <c r="A6" s="61" t="n">
        <v>6741</v>
      </c>
      <c r="B6" s="29" t="n">
        <v>44838</v>
      </c>
      <c r="C6" s="21" t="s">
        <v>1010</v>
      </c>
      <c r="D6" s="21" t="s">
        <v>24</v>
      </c>
      <c r="E6" s="21" t="s">
        <v>25</v>
      </c>
      <c r="F6" s="21" t="s">
        <v>2569</v>
      </c>
      <c r="G6" s="30"/>
      <c r="H6" s="45" t="str">
        <f aca="false">HYPERLINK("https://photos.app.goo.gl/Xm9pTXfmqpRwVsmy6", "Completo")</f>
        <v>Completo</v>
      </c>
      <c r="I6" s="21" t="s">
        <v>28</v>
      </c>
      <c r="J6" s="21"/>
      <c r="K6" s="21"/>
      <c r="L6" s="21"/>
      <c r="M6" s="21"/>
      <c r="N6" s="30"/>
      <c r="O6" s="21"/>
      <c r="P6" s="66"/>
      <c r="Q6" s="21"/>
      <c r="R6" s="32"/>
      <c r="S6" s="32"/>
      <c r="T6" s="21" t="s">
        <v>2570</v>
      </c>
      <c r="U6" s="46" t="s">
        <v>28</v>
      </c>
      <c r="V6" s="46" t="s">
        <v>28</v>
      </c>
      <c r="W6" s="21" t="s">
        <v>29</v>
      </c>
      <c r="X6" s="21" t="s">
        <v>28</v>
      </c>
    </row>
    <row r="7" customFormat="false" ht="15.75" hidden="false" customHeight="false" outlineLevel="0" collapsed="false">
      <c r="A7" s="61" t="n">
        <v>6742</v>
      </c>
      <c r="B7" s="29" t="n">
        <v>44838</v>
      </c>
      <c r="C7" s="21" t="s">
        <v>1010</v>
      </c>
      <c r="D7" s="21" t="s">
        <v>24</v>
      </c>
      <c r="E7" s="21" t="s">
        <v>25</v>
      </c>
      <c r="F7" s="21" t="s">
        <v>2571</v>
      </c>
      <c r="G7" s="30"/>
      <c r="H7" s="45" t="str">
        <f aca="false">HYPERLINK("https://photos.app.goo.gl/5U4sHLRafjVHeduM8", "Completo")</f>
        <v>Completo</v>
      </c>
      <c r="I7" s="21" t="s">
        <v>28</v>
      </c>
      <c r="J7" s="21"/>
      <c r="K7" s="21"/>
      <c r="L7" s="21"/>
      <c r="M7" s="21"/>
      <c r="N7" s="30"/>
      <c r="O7" s="21"/>
      <c r="P7" s="21"/>
      <c r="Q7" s="21"/>
      <c r="R7" s="32"/>
      <c r="S7" s="32"/>
      <c r="T7" s="21"/>
      <c r="U7" s="21"/>
      <c r="V7" s="21"/>
      <c r="W7" s="21"/>
      <c r="X7" s="21" t="s">
        <v>28</v>
      </c>
    </row>
    <row r="8" customFormat="false" ht="15.75" hidden="false" customHeight="false" outlineLevel="0" collapsed="false">
      <c r="A8" s="61" t="n">
        <v>6743</v>
      </c>
      <c r="B8" s="29" t="n">
        <v>44838</v>
      </c>
      <c r="C8" s="21" t="s">
        <v>84</v>
      </c>
      <c r="D8" s="21" t="s">
        <v>24</v>
      </c>
      <c r="E8" s="21" t="s">
        <v>34</v>
      </c>
      <c r="F8" s="21" t="s">
        <v>2572</v>
      </c>
      <c r="G8" s="30"/>
      <c r="H8" s="31" t="s">
        <v>28</v>
      </c>
      <c r="I8" s="21" t="s">
        <v>28</v>
      </c>
      <c r="J8" s="21"/>
      <c r="K8" s="21"/>
      <c r="L8" s="21"/>
      <c r="M8" s="21"/>
      <c r="N8" s="30"/>
      <c r="O8" s="21"/>
      <c r="P8" s="21"/>
      <c r="Q8" s="21"/>
      <c r="R8" s="32"/>
      <c r="S8" s="32"/>
      <c r="T8" s="21"/>
      <c r="U8" s="21"/>
      <c r="V8" s="21"/>
      <c r="W8" s="21"/>
      <c r="X8" s="21" t="s">
        <v>28</v>
      </c>
    </row>
    <row r="9" customFormat="false" ht="15.75" hidden="false" customHeight="false" outlineLevel="0" collapsed="false">
      <c r="A9" s="61" t="n">
        <v>6744</v>
      </c>
      <c r="B9" s="29" t="n">
        <v>44838</v>
      </c>
      <c r="C9" s="21" t="s">
        <v>84</v>
      </c>
      <c r="D9" s="21" t="s">
        <v>24</v>
      </c>
      <c r="E9" s="21" t="s">
        <v>34</v>
      </c>
      <c r="F9" s="21" t="s">
        <v>2573</v>
      </c>
      <c r="G9" s="30"/>
      <c r="H9" s="31"/>
      <c r="I9" s="21"/>
      <c r="J9" s="21"/>
      <c r="K9" s="21"/>
      <c r="L9" s="21"/>
      <c r="M9" s="21"/>
      <c r="N9" s="30"/>
      <c r="O9" s="21"/>
      <c r="P9" s="21"/>
      <c r="Q9" s="21"/>
      <c r="R9" s="32"/>
      <c r="S9" s="32"/>
      <c r="T9" s="21"/>
      <c r="U9" s="21"/>
      <c r="V9" s="21"/>
      <c r="W9" s="21"/>
      <c r="X9" s="21" t="s">
        <v>28</v>
      </c>
    </row>
    <row r="10" customFormat="false" ht="15.75" hidden="false" customHeight="false" outlineLevel="0" collapsed="false">
      <c r="A10" s="61" t="n">
        <v>6745</v>
      </c>
      <c r="B10" s="29" t="n">
        <v>44839</v>
      </c>
      <c r="C10" s="21" t="s">
        <v>616</v>
      </c>
      <c r="D10" s="21" t="s">
        <v>24</v>
      </c>
      <c r="E10" s="21" t="s">
        <v>25</v>
      </c>
      <c r="F10" s="21" t="s">
        <v>1554</v>
      </c>
      <c r="G10" s="30" t="s">
        <v>2574</v>
      </c>
      <c r="H10" s="45" t="str">
        <f aca="false">HYPERLINK("https://photos.app.goo.gl/r4jzxvqWHSnSgK4W8", "Completo")</f>
        <v>Completo</v>
      </c>
      <c r="I10" s="21" t="s">
        <v>28</v>
      </c>
      <c r="J10" s="21"/>
      <c r="K10" s="21"/>
      <c r="L10" s="21"/>
      <c r="M10" s="21"/>
      <c r="N10" s="30"/>
      <c r="O10" s="21"/>
      <c r="P10" s="21"/>
      <c r="Q10" s="21"/>
      <c r="R10" s="32"/>
      <c r="S10" s="32"/>
      <c r="T10" s="21"/>
      <c r="U10" s="21"/>
      <c r="V10" s="21"/>
      <c r="W10" s="21"/>
      <c r="X10" s="21" t="s">
        <v>37</v>
      </c>
    </row>
    <row r="11" customFormat="false" ht="15.75" hidden="false" customHeight="false" outlineLevel="0" collapsed="false">
      <c r="A11" s="61" t="n">
        <v>6746</v>
      </c>
      <c r="B11" s="29" t="n">
        <v>44839</v>
      </c>
      <c r="C11" s="21" t="s">
        <v>2575</v>
      </c>
      <c r="D11" s="21" t="s">
        <v>24</v>
      </c>
      <c r="E11" s="21" t="s">
        <v>25</v>
      </c>
      <c r="F11" s="21" t="s">
        <v>2257</v>
      </c>
      <c r="G11" s="30" t="s">
        <v>2576</v>
      </c>
      <c r="H11" s="45" t="str">
        <f aca="false">HYPERLINK("https://photos.app.goo.gl/hW39nkVyoLAAKfp3A", "Completo")</f>
        <v>Completo</v>
      </c>
      <c r="I11" s="21" t="s">
        <v>28</v>
      </c>
      <c r="J11" s="21"/>
      <c r="K11" s="21"/>
      <c r="L11" s="21"/>
      <c r="M11" s="21"/>
      <c r="N11" s="30"/>
      <c r="O11" s="21"/>
      <c r="P11" s="66"/>
      <c r="Q11" s="21"/>
      <c r="R11" s="32"/>
      <c r="S11" s="32"/>
      <c r="T11" s="21"/>
      <c r="U11" s="21"/>
      <c r="V11" s="21"/>
      <c r="W11" s="21"/>
      <c r="X11" s="21" t="s">
        <v>28</v>
      </c>
    </row>
    <row r="12" customFormat="false" ht="15.75" hidden="false" customHeight="false" outlineLevel="0" collapsed="false">
      <c r="A12" s="61" t="n">
        <v>6747</v>
      </c>
      <c r="B12" s="29" t="n">
        <v>44839</v>
      </c>
      <c r="C12" s="21" t="s">
        <v>2577</v>
      </c>
      <c r="D12" s="21" t="s">
        <v>24</v>
      </c>
      <c r="E12" s="21" t="s">
        <v>34</v>
      </c>
      <c r="F12" s="21" t="s">
        <v>2578</v>
      </c>
      <c r="G12" s="30"/>
      <c r="H12" s="31"/>
      <c r="I12" s="21"/>
      <c r="J12" s="21"/>
      <c r="K12" s="21"/>
      <c r="L12" s="21"/>
      <c r="M12" s="21"/>
      <c r="N12" s="30"/>
      <c r="O12" s="21"/>
      <c r="P12" s="21"/>
      <c r="Q12" s="21"/>
      <c r="R12" s="32"/>
      <c r="S12" s="32"/>
      <c r="T12" s="21"/>
      <c r="U12" s="66"/>
      <c r="V12" s="66"/>
      <c r="W12" s="21"/>
      <c r="X12" s="21" t="s">
        <v>28</v>
      </c>
    </row>
    <row r="13" customFormat="false" ht="15.75" hidden="false" customHeight="false" outlineLevel="0" collapsed="false">
      <c r="A13" s="63" t="n">
        <v>813063</v>
      </c>
      <c r="B13" s="29" t="n">
        <v>44839</v>
      </c>
      <c r="C13" s="21" t="s">
        <v>1484</v>
      </c>
      <c r="D13" s="21" t="s">
        <v>290</v>
      </c>
      <c r="E13" s="21" t="s">
        <v>25</v>
      </c>
      <c r="F13" s="21" t="s">
        <v>2579</v>
      </c>
      <c r="G13" s="30"/>
      <c r="H13" s="45" t="str">
        <f aca="false">HYPERLINK("https://photos.app.goo.gl/SzKKM8XkKfhWqVy16", "Completo")</f>
        <v>Completo</v>
      </c>
      <c r="I13" s="21" t="s">
        <v>28</v>
      </c>
      <c r="J13" s="21"/>
      <c r="K13" s="21"/>
      <c r="L13" s="21"/>
      <c r="M13" s="21"/>
      <c r="N13" s="30"/>
      <c r="O13" s="21" t="s">
        <v>28</v>
      </c>
      <c r="P13" s="46" t="s">
        <v>28</v>
      </c>
      <c r="Q13" s="21" t="s">
        <v>2580</v>
      </c>
      <c r="R13" s="32" t="s">
        <v>2581</v>
      </c>
      <c r="S13" s="32"/>
      <c r="T13" s="21"/>
      <c r="U13" s="21"/>
      <c r="V13" s="21"/>
      <c r="W13" s="21"/>
      <c r="X13" s="21" t="s">
        <v>28</v>
      </c>
    </row>
    <row r="14" customFormat="false" ht="15.75" hidden="false" customHeight="false" outlineLevel="0" collapsed="false">
      <c r="A14" s="61" t="n">
        <v>6748</v>
      </c>
      <c r="B14" s="29" t="n">
        <v>44839</v>
      </c>
      <c r="C14" s="21" t="s">
        <v>2582</v>
      </c>
      <c r="D14" s="21" t="s">
        <v>24</v>
      </c>
      <c r="E14" s="21" t="s">
        <v>25</v>
      </c>
      <c r="F14" s="12" t="s">
        <v>2583</v>
      </c>
      <c r="G14" s="30"/>
      <c r="H14" s="45" t="str">
        <f aca="false">HYPERLINK("https://photos.app.goo.gl/GBHMekZ7Kx7Pp77y6", "Completo")</f>
        <v>Completo</v>
      </c>
      <c r="I14" s="21" t="s">
        <v>28</v>
      </c>
      <c r="J14" s="21"/>
      <c r="K14" s="21"/>
      <c r="L14" s="21"/>
      <c r="M14" s="21"/>
      <c r="N14" s="30"/>
      <c r="O14" s="21"/>
      <c r="P14" s="21"/>
      <c r="Q14" s="21"/>
      <c r="R14" s="32"/>
      <c r="S14" s="32"/>
      <c r="T14" s="21" t="s">
        <v>58</v>
      </c>
      <c r="U14" s="46" t="s">
        <v>28</v>
      </c>
      <c r="V14" s="21" t="s">
        <v>28</v>
      </c>
      <c r="W14" s="21" t="s">
        <v>29</v>
      </c>
      <c r="X14" s="21" t="s">
        <v>28</v>
      </c>
    </row>
    <row r="15" customFormat="false" ht="15.75" hidden="false" customHeight="false" outlineLevel="0" collapsed="false">
      <c r="A15" s="61" t="n">
        <v>6749</v>
      </c>
      <c r="B15" s="29" t="n">
        <v>44840</v>
      </c>
      <c r="C15" s="21" t="s">
        <v>2584</v>
      </c>
      <c r="D15" s="21" t="s">
        <v>24</v>
      </c>
      <c r="E15" s="21" t="s">
        <v>34</v>
      </c>
      <c r="F15" s="21" t="s">
        <v>2585</v>
      </c>
      <c r="G15" s="30"/>
      <c r="H15" s="31"/>
      <c r="I15" s="21"/>
      <c r="J15" s="21"/>
      <c r="K15" s="21"/>
      <c r="L15" s="21"/>
      <c r="M15" s="21"/>
      <c r="N15" s="30"/>
      <c r="O15" s="21"/>
      <c r="P15" s="66"/>
      <c r="Q15" s="21"/>
      <c r="R15" s="32"/>
      <c r="S15" s="32"/>
      <c r="T15" s="21"/>
      <c r="U15" s="21"/>
      <c r="V15" s="21"/>
      <c r="W15" s="21"/>
      <c r="X15" s="21" t="s">
        <v>37</v>
      </c>
    </row>
    <row r="16" customFormat="false" ht="15.75" hidden="false" customHeight="false" outlineLevel="0" collapsed="false">
      <c r="A16" s="61" t="n">
        <v>6750</v>
      </c>
      <c r="B16" s="29" t="n">
        <v>44840</v>
      </c>
      <c r="C16" s="21" t="s">
        <v>2469</v>
      </c>
      <c r="D16" s="21" t="s">
        <v>24</v>
      </c>
      <c r="E16" s="21" t="s">
        <v>34</v>
      </c>
      <c r="F16" s="21" t="s">
        <v>2586</v>
      </c>
      <c r="G16" s="30"/>
      <c r="H16" s="31"/>
      <c r="I16" s="21"/>
      <c r="J16" s="21"/>
      <c r="K16" s="21"/>
      <c r="L16" s="21"/>
      <c r="M16" s="21"/>
      <c r="N16" s="30"/>
      <c r="O16" s="21"/>
      <c r="P16" s="66"/>
      <c r="Q16" s="21"/>
      <c r="R16" s="32"/>
      <c r="S16" s="32"/>
      <c r="T16" s="21"/>
      <c r="U16" s="21"/>
      <c r="V16" s="21"/>
      <c r="W16" s="21"/>
      <c r="X16" s="21" t="s">
        <v>28</v>
      </c>
    </row>
    <row r="17" customFormat="false" ht="15.75" hidden="false" customHeight="false" outlineLevel="0" collapsed="false">
      <c r="A17" s="61" t="n">
        <v>6751</v>
      </c>
      <c r="B17" s="29" t="n">
        <v>44840</v>
      </c>
      <c r="C17" s="21" t="s">
        <v>1456</v>
      </c>
      <c r="D17" s="21" t="s">
        <v>24</v>
      </c>
      <c r="E17" s="21" t="s">
        <v>25</v>
      </c>
      <c r="F17" s="21" t="s">
        <v>2587</v>
      </c>
      <c r="G17" s="30"/>
      <c r="H17" s="45" t="str">
        <f aca="false">HYPERLINK("https://photos.app.goo.gl/rSk8eUTxBRzSe1uF6", "Completo")</f>
        <v>Completo</v>
      </c>
      <c r="I17" s="21" t="s">
        <v>28</v>
      </c>
      <c r="J17" s="21"/>
      <c r="K17" s="21"/>
      <c r="L17" s="21"/>
      <c r="M17" s="21"/>
      <c r="N17" s="30"/>
      <c r="O17" s="21"/>
      <c r="P17" s="21"/>
      <c r="Q17" s="21"/>
      <c r="R17" s="32"/>
      <c r="S17" s="32"/>
      <c r="T17" s="21"/>
      <c r="U17" s="66"/>
      <c r="V17" s="66"/>
      <c r="W17" s="21"/>
      <c r="X17" s="21" t="s">
        <v>28</v>
      </c>
    </row>
    <row r="18" customFormat="false" ht="15.75" hidden="false" customHeight="false" outlineLevel="0" collapsed="false">
      <c r="A18" s="63" t="n">
        <v>299866</v>
      </c>
      <c r="B18" s="29" t="n">
        <v>44845</v>
      </c>
      <c r="C18" s="21" t="s">
        <v>2588</v>
      </c>
      <c r="D18" s="21" t="s">
        <v>290</v>
      </c>
      <c r="E18" s="21" t="s">
        <v>25</v>
      </c>
      <c r="F18" s="21" t="s">
        <v>1075</v>
      </c>
      <c r="G18" s="30"/>
      <c r="H18" s="31" t="s">
        <v>28</v>
      </c>
      <c r="I18" s="21" t="s">
        <v>28</v>
      </c>
      <c r="J18" s="21"/>
      <c r="K18" s="21"/>
      <c r="L18" s="21"/>
      <c r="M18" s="21"/>
      <c r="N18" s="30"/>
      <c r="O18" s="21"/>
      <c r="P18" s="21"/>
      <c r="Q18" s="21"/>
      <c r="R18" s="32"/>
      <c r="S18" s="32"/>
      <c r="T18" s="21"/>
      <c r="U18" s="21"/>
      <c r="V18" s="21"/>
      <c r="W18" s="21"/>
      <c r="X18" s="21" t="s">
        <v>28</v>
      </c>
    </row>
    <row r="19" customFormat="false" ht="21" hidden="false" customHeight="true" outlineLevel="0" collapsed="false">
      <c r="A19" s="63" t="n">
        <v>264803</v>
      </c>
      <c r="B19" s="29" t="n">
        <v>44845</v>
      </c>
      <c r="C19" s="21" t="s">
        <v>2588</v>
      </c>
      <c r="D19" s="21" t="s">
        <v>290</v>
      </c>
      <c r="E19" s="21" t="s">
        <v>25</v>
      </c>
      <c r="F19" s="21" t="s">
        <v>1075</v>
      </c>
      <c r="G19" s="30"/>
      <c r="H19" s="31" t="s">
        <v>28</v>
      </c>
      <c r="I19" s="21" t="s">
        <v>28</v>
      </c>
      <c r="J19" s="21"/>
      <c r="K19" s="21"/>
      <c r="L19" s="21"/>
      <c r="M19" s="21"/>
      <c r="N19" s="30"/>
      <c r="O19" s="21"/>
      <c r="P19" s="21"/>
      <c r="Q19" s="21"/>
      <c r="R19" s="32"/>
      <c r="S19" s="32"/>
      <c r="T19" s="21"/>
      <c r="U19" s="21"/>
      <c r="V19" s="21"/>
      <c r="W19" s="21"/>
      <c r="X19" s="21" t="s">
        <v>28</v>
      </c>
    </row>
    <row r="20" customFormat="false" ht="15.75" hidden="false" customHeight="false" outlineLevel="0" collapsed="false">
      <c r="A20" s="61" t="n">
        <v>6752</v>
      </c>
      <c r="B20" s="29" t="n">
        <v>44846</v>
      </c>
      <c r="C20" s="21" t="s">
        <v>394</v>
      </c>
      <c r="D20" s="21" t="s">
        <v>24</v>
      </c>
      <c r="E20" s="21" t="s">
        <v>25</v>
      </c>
      <c r="F20" s="21" t="s">
        <v>1075</v>
      </c>
      <c r="G20" s="30"/>
      <c r="H20" s="31" t="s">
        <v>28</v>
      </c>
      <c r="I20" s="21" t="s">
        <v>28</v>
      </c>
      <c r="J20" s="21"/>
      <c r="K20" s="21"/>
      <c r="L20" s="21"/>
      <c r="M20" s="21"/>
      <c r="N20" s="30"/>
      <c r="O20" s="21" t="s">
        <v>28</v>
      </c>
      <c r="P20" s="21"/>
      <c r="Q20" s="21"/>
      <c r="R20" s="32"/>
      <c r="S20" s="32"/>
      <c r="T20" s="21" t="s">
        <v>58</v>
      </c>
      <c r="U20" s="46" t="s">
        <v>28</v>
      </c>
      <c r="V20" s="46" t="s">
        <v>28</v>
      </c>
      <c r="W20" s="21" t="s">
        <v>29</v>
      </c>
      <c r="X20" s="21" t="s">
        <v>37</v>
      </c>
    </row>
    <row r="21" customFormat="false" ht="15.75" hidden="false" customHeight="false" outlineLevel="0" collapsed="false">
      <c r="A21" s="61" t="n">
        <v>6753</v>
      </c>
      <c r="B21" s="29" t="n">
        <v>44846</v>
      </c>
      <c r="C21" s="21" t="s">
        <v>1259</v>
      </c>
      <c r="D21" s="21" t="s">
        <v>24</v>
      </c>
      <c r="E21" s="21" t="s">
        <v>25</v>
      </c>
      <c r="F21" s="21" t="s">
        <v>2356</v>
      </c>
      <c r="G21" s="30"/>
      <c r="H21" s="45" t="str">
        <f aca="false">HYPERLINK("https://photos.app.goo.gl/at6XQZaSt96Z6rBk8", "Completo")</f>
        <v>Completo</v>
      </c>
      <c r="I21" s="21" t="s">
        <v>28</v>
      </c>
      <c r="J21" s="21"/>
      <c r="K21" s="21"/>
      <c r="L21" s="21"/>
      <c r="M21" s="21"/>
      <c r="N21" s="30"/>
      <c r="O21" s="21"/>
      <c r="P21" s="21"/>
      <c r="Q21" s="21"/>
      <c r="R21" s="32"/>
      <c r="S21" s="32"/>
      <c r="T21" s="21"/>
      <c r="U21" s="21"/>
      <c r="V21" s="21"/>
      <c r="W21" s="21"/>
      <c r="X21" s="21" t="s">
        <v>28</v>
      </c>
    </row>
    <row r="22" customFormat="false" ht="15.75" hidden="false" customHeight="false" outlineLevel="0" collapsed="false">
      <c r="A22" s="61" t="n">
        <v>6754</v>
      </c>
      <c r="B22" s="29" t="n">
        <v>44847</v>
      </c>
      <c r="C22" s="21" t="s">
        <v>1259</v>
      </c>
      <c r="D22" s="21" t="s">
        <v>24</v>
      </c>
      <c r="E22" s="21" t="s">
        <v>34</v>
      </c>
      <c r="F22" s="21" t="s">
        <v>2589</v>
      </c>
      <c r="G22" s="30"/>
      <c r="H22" s="31" t="s">
        <v>28</v>
      </c>
      <c r="I22" s="21"/>
      <c r="J22" s="21"/>
      <c r="K22" s="21"/>
      <c r="L22" s="21"/>
      <c r="M22" s="21"/>
      <c r="N22" s="30"/>
      <c r="O22" s="21"/>
      <c r="P22" s="21"/>
      <c r="Q22" s="21"/>
      <c r="R22" s="32"/>
      <c r="S22" s="32"/>
      <c r="T22" s="21"/>
      <c r="U22" s="21"/>
      <c r="V22" s="21"/>
      <c r="W22" s="21"/>
      <c r="X22" s="21" t="s">
        <v>28</v>
      </c>
    </row>
    <row r="23" customFormat="false" ht="15.75" hidden="false" customHeight="false" outlineLevel="0" collapsed="false">
      <c r="A23" s="61" t="n">
        <v>6755</v>
      </c>
      <c r="B23" s="29" t="n">
        <v>44847</v>
      </c>
      <c r="C23" s="21" t="s">
        <v>1259</v>
      </c>
      <c r="D23" s="21" t="s">
        <v>24</v>
      </c>
      <c r="E23" s="21" t="s">
        <v>34</v>
      </c>
      <c r="F23" s="21" t="s">
        <v>2590</v>
      </c>
      <c r="G23" s="30"/>
      <c r="H23" s="31"/>
      <c r="I23" s="21"/>
      <c r="J23" s="21"/>
      <c r="K23" s="21"/>
      <c r="L23" s="21"/>
      <c r="M23" s="21"/>
      <c r="N23" s="30"/>
      <c r="O23" s="21"/>
      <c r="P23" s="21"/>
      <c r="Q23" s="21"/>
      <c r="R23" s="32"/>
      <c r="S23" s="32"/>
      <c r="T23" s="21"/>
      <c r="U23" s="21"/>
      <c r="V23" s="21"/>
      <c r="W23" s="21"/>
      <c r="X23" s="21" t="s">
        <v>28</v>
      </c>
    </row>
    <row r="24" customFormat="false" ht="15.75" hidden="false" customHeight="false" outlineLevel="0" collapsed="false">
      <c r="A24" s="61" t="n">
        <v>6756</v>
      </c>
      <c r="B24" s="29" t="n">
        <v>44604</v>
      </c>
      <c r="C24" s="21" t="s">
        <v>2591</v>
      </c>
      <c r="D24" s="21" t="s">
        <v>24</v>
      </c>
      <c r="E24" s="21" t="s">
        <v>34</v>
      </c>
      <c r="F24" s="21" t="s">
        <v>2592</v>
      </c>
      <c r="G24" s="30"/>
      <c r="H24" s="31"/>
      <c r="I24" s="21" t="s">
        <v>28</v>
      </c>
      <c r="J24" s="21"/>
      <c r="K24" s="21"/>
      <c r="L24" s="21"/>
      <c r="M24" s="21"/>
      <c r="N24" s="30"/>
      <c r="O24" s="21"/>
      <c r="P24" s="21"/>
      <c r="Q24" s="21"/>
      <c r="R24" s="32"/>
      <c r="S24" s="32"/>
      <c r="T24" s="21"/>
      <c r="U24" s="21"/>
      <c r="V24" s="21"/>
      <c r="W24" s="21"/>
      <c r="X24" s="21" t="s">
        <v>28</v>
      </c>
    </row>
    <row r="25" customFormat="false" ht="15.75" hidden="false" customHeight="false" outlineLevel="0" collapsed="false">
      <c r="A25" s="61" t="n">
        <v>6757</v>
      </c>
      <c r="B25" s="29" t="n">
        <v>44847</v>
      </c>
      <c r="C25" s="21" t="s">
        <v>1456</v>
      </c>
      <c r="D25" s="21" t="s">
        <v>24</v>
      </c>
      <c r="E25" s="21" t="s">
        <v>25</v>
      </c>
      <c r="F25" s="21" t="s">
        <v>2593</v>
      </c>
      <c r="G25" s="30"/>
      <c r="H25" s="45" t="str">
        <f aca="false">HYPERLINK("https://photos.app.goo.gl/z995CRPncU9Chtek6", "Completo")</f>
        <v>Completo</v>
      </c>
      <c r="I25" s="21" t="s">
        <v>28</v>
      </c>
      <c r="J25" s="21"/>
      <c r="K25" s="21"/>
      <c r="L25" s="21"/>
      <c r="M25" s="21"/>
      <c r="N25" s="30"/>
      <c r="O25" s="21"/>
      <c r="P25" s="21"/>
      <c r="Q25" s="21"/>
      <c r="R25" s="32"/>
      <c r="S25" s="32"/>
      <c r="T25" s="21"/>
      <c r="U25" s="21"/>
      <c r="V25" s="21"/>
      <c r="W25" s="21"/>
      <c r="X25" s="21" t="s">
        <v>37</v>
      </c>
    </row>
    <row r="26" customFormat="false" ht="15.75" hidden="false" customHeight="false" outlineLevel="0" collapsed="false">
      <c r="A26" s="61" t="n">
        <v>6758</v>
      </c>
      <c r="B26" s="29" t="n">
        <v>44847</v>
      </c>
      <c r="C26" s="21" t="s">
        <v>2594</v>
      </c>
      <c r="D26" s="21" t="s">
        <v>24</v>
      </c>
      <c r="E26" s="21" t="s">
        <v>25</v>
      </c>
      <c r="F26" s="21" t="s">
        <v>2595</v>
      </c>
      <c r="G26" s="30"/>
      <c r="H26" s="45" t="str">
        <f aca="false">HYPERLINK("https://photos.app.goo.gl/wmxbu61vodRW1jws6", "Completo")</f>
        <v>Completo</v>
      </c>
      <c r="I26" s="21" t="s">
        <v>28</v>
      </c>
      <c r="J26" s="21"/>
      <c r="K26" s="21"/>
      <c r="L26" s="21"/>
      <c r="M26" s="21"/>
      <c r="N26" s="30"/>
      <c r="O26" s="21"/>
      <c r="P26" s="21"/>
      <c r="Q26" s="21"/>
      <c r="R26" s="32"/>
      <c r="S26" s="32"/>
      <c r="T26" s="21"/>
      <c r="U26" s="66"/>
      <c r="V26" s="66"/>
      <c r="W26" s="21"/>
      <c r="X26" s="21" t="s">
        <v>28</v>
      </c>
    </row>
    <row r="27" customFormat="false" ht="15.75" hidden="false" customHeight="false" outlineLevel="0" collapsed="false">
      <c r="A27" s="61" t="n">
        <v>6759</v>
      </c>
      <c r="B27" s="29" t="n">
        <v>44847</v>
      </c>
      <c r="C27" s="21" t="s">
        <v>389</v>
      </c>
      <c r="D27" s="21" t="s">
        <v>24</v>
      </c>
      <c r="E27" s="21" t="s">
        <v>34</v>
      </c>
      <c r="F27" s="21" t="s">
        <v>2596</v>
      </c>
      <c r="G27" s="30"/>
      <c r="H27" s="31"/>
      <c r="I27" s="21"/>
      <c r="J27" s="21"/>
      <c r="K27" s="21"/>
      <c r="L27" s="21"/>
      <c r="M27" s="21"/>
      <c r="N27" s="30"/>
      <c r="O27" s="21"/>
      <c r="P27" s="21"/>
      <c r="Q27" s="21"/>
      <c r="R27" s="32"/>
      <c r="S27" s="32"/>
      <c r="T27" s="21"/>
      <c r="U27" s="21"/>
      <c r="V27" s="21"/>
      <c r="W27" s="21"/>
      <c r="X27" s="21" t="s">
        <v>37</v>
      </c>
    </row>
    <row r="28" customFormat="false" ht="15.75" hidden="false" customHeight="false" outlineLevel="0" collapsed="false">
      <c r="A28" s="61" t="n">
        <v>6760</v>
      </c>
      <c r="B28" s="29" t="n">
        <v>44847</v>
      </c>
      <c r="C28" s="21" t="s">
        <v>140</v>
      </c>
      <c r="D28" s="21" t="s">
        <v>24</v>
      </c>
      <c r="E28" s="21" t="s">
        <v>25</v>
      </c>
      <c r="F28" s="21" t="s">
        <v>2597</v>
      </c>
      <c r="G28" s="30"/>
      <c r="H28" s="45" t="str">
        <f aca="false">HYPERLINK("https://photos.app.goo.gl/zCuqsQtYVVLNBaNc8", "Completo")</f>
        <v>Completo</v>
      </c>
      <c r="I28" s="21" t="s">
        <v>28</v>
      </c>
      <c r="J28" s="21"/>
      <c r="K28" s="21"/>
      <c r="L28" s="21"/>
      <c r="M28" s="21"/>
      <c r="N28" s="30"/>
      <c r="O28" s="21"/>
      <c r="P28" s="46" t="str">
        <f aca="false">HYPERLINK("https://photos.app.goo.gl/9QS6JumFhumx9GJq9", "Completo")</f>
        <v>Completo</v>
      </c>
      <c r="Q28" s="21"/>
      <c r="R28" s="32"/>
      <c r="S28" s="32"/>
      <c r="T28" s="21" t="s">
        <v>2461</v>
      </c>
      <c r="U28" s="46" t="s">
        <v>28</v>
      </c>
      <c r="V28" s="46" t="s">
        <v>28</v>
      </c>
      <c r="W28" s="21" t="s">
        <v>36</v>
      </c>
      <c r="X28" s="21" t="s">
        <v>28</v>
      </c>
    </row>
    <row r="29" customFormat="false" ht="15.75" hidden="false" customHeight="false" outlineLevel="0" collapsed="false">
      <c r="A29" s="61" t="n">
        <v>6761</v>
      </c>
      <c r="B29" s="29" t="n">
        <v>44847</v>
      </c>
      <c r="C29" s="21" t="s">
        <v>2598</v>
      </c>
      <c r="D29" s="21" t="s">
        <v>24</v>
      </c>
      <c r="E29" s="21" t="s">
        <v>74</v>
      </c>
      <c r="F29" s="21" t="s">
        <v>2599</v>
      </c>
      <c r="G29" s="30"/>
      <c r="H29" s="45" t="str">
        <f aca="false">HYPERLINK("https://photos.app.goo.gl/954K3wFk6RxdpCX27", "Completo")</f>
        <v>Completo</v>
      </c>
      <c r="I29" s="21" t="s">
        <v>28</v>
      </c>
      <c r="J29" s="21"/>
      <c r="K29" s="21"/>
      <c r="L29" s="21"/>
      <c r="M29" s="21"/>
      <c r="N29" s="30"/>
      <c r="O29" s="21"/>
      <c r="P29" s="21"/>
      <c r="Q29" s="21"/>
      <c r="R29" s="32"/>
      <c r="S29" s="32"/>
      <c r="T29" s="21"/>
      <c r="U29" s="21"/>
      <c r="V29" s="21"/>
      <c r="W29" s="21"/>
      <c r="X29" s="21" t="s">
        <v>28</v>
      </c>
    </row>
    <row r="30" customFormat="false" ht="15.75" hidden="false" customHeight="false" outlineLevel="0" collapsed="false">
      <c r="A30" s="61" t="n">
        <v>6762</v>
      </c>
      <c r="B30" s="29" t="n">
        <v>44848</v>
      </c>
      <c r="C30" s="21" t="s">
        <v>2600</v>
      </c>
      <c r="D30" s="21" t="s">
        <v>24</v>
      </c>
      <c r="E30" s="21" t="s">
        <v>34</v>
      </c>
      <c r="F30" s="21" t="s">
        <v>2601</v>
      </c>
      <c r="G30" s="30"/>
      <c r="H30" s="31"/>
      <c r="I30" s="21"/>
      <c r="J30" s="21"/>
      <c r="K30" s="21"/>
      <c r="L30" s="21"/>
      <c r="M30" s="21"/>
      <c r="N30" s="30"/>
      <c r="O30" s="21"/>
      <c r="P30" s="21"/>
      <c r="Q30" s="21"/>
      <c r="R30" s="32"/>
      <c r="S30" s="32"/>
      <c r="T30" s="21"/>
      <c r="U30" s="21"/>
      <c r="V30" s="21"/>
      <c r="W30" s="21"/>
      <c r="X30" s="21" t="s">
        <v>28</v>
      </c>
    </row>
    <row r="31" customFormat="false" ht="15.75" hidden="false" customHeight="false" outlineLevel="0" collapsed="false">
      <c r="A31" s="61" t="n">
        <v>6763</v>
      </c>
      <c r="B31" s="29" t="n">
        <v>44848</v>
      </c>
      <c r="C31" s="21" t="s">
        <v>112</v>
      </c>
      <c r="D31" s="21" t="s">
        <v>24</v>
      </c>
      <c r="E31" s="21" t="s">
        <v>25</v>
      </c>
      <c r="F31" s="21" t="s">
        <v>2602</v>
      </c>
      <c r="G31" s="30"/>
      <c r="H31" s="45" t="str">
        <f aca="false">HYPERLINK("https://photos.app.goo.gl/bb23UD6GvrCa7cUz8", "Completo")</f>
        <v>Completo</v>
      </c>
      <c r="I31" s="21" t="s">
        <v>28</v>
      </c>
      <c r="J31" s="21"/>
      <c r="K31" s="21"/>
      <c r="L31" s="21"/>
      <c r="M31" s="21"/>
      <c r="N31" s="30"/>
      <c r="O31" s="21"/>
      <c r="P31" s="66"/>
      <c r="Q31" s="21"/>
      <c r="R31" s="32"/>
      <c r="S31" s="32"/>
      <c r="T31" s="21" t="s">
        <v>58</v>
      </c>
      <c r="U31" s="46" t="s">
        <v>28</v>
      </c>
      <c r="V31" s="46" t="s">
        <v>28</v>
      </c>
      <c r="W31" s="21" t="s">
        <v>36</v>
      </c>
      <c r="X31" s="21" t="s">
        <v>28</v>
      </c>
    </row>
    <row r="32" customFormat="false" ht="15.75" hidden="false" customHeight="false" outlineLevel="0" collapsed="false">
      <c r="A32" s="61" t="n">
        <v>6764</v>
      </c>
      <c r="B32" s="29" t="n">
        <v>44848</v>
      </c>
      <c r="C32" s="21" t="s">
        <v>112</v>
      </c>
      <c r="D32" s="21" t="s">
        <v>24</v>
      </c>
      <c r="E32" s="21" t="s">
        <v>25</v>
      </c>
      <c r="F32" s="21" t="s">
        <v>2063</v>
      </c>
      <c r="G32" s="30"/>
      <c r="H32" s="45" t="str">
        <f aca="false">HYPERLINK("https://photos.app.goo.gl/bTbFq9peQMJYLvLz7", "Completo")</f>
        <v>Completo</v>
      </c>
      <c r="I32" s="21" t="s">
        <v>28</v>
      </c>
      <c r="J32" s="21"/>
      <c r="K32" s="21"/>
      <c r="L32" s="21"/>
      <c r="M32" s="21"/>
      <c r="N32" s="30"/>
      <c r="O32" s="21"/>
      <c r="P32" s="66"/>
      <c r="Q32" s="21"/>
      <c r="R32" s="32"/>
      <c r="S32" s="32"/>
      <c r="T32" s="21" t="s">
        <v>58</v>
      </c>
      <c r="U32" s="46" t="s">
        <v>28</v>
      </c>
      <c r="V32" s="46" t="s">
        <v>28</v>
      </c>
      <c r="W32" s="21" t="s">
        <v>36</v>
      </c>
      <c r="X32" s="21" t="s">
        <v>28</v>
      </c>
    </row>
    <row r="33" customFormat="false" ht="15.75" hidden="false" customHeight="false" outlineLevel="0" collapsed="false">
      <c r="A33" s="61" t="n">
        <v>6765</v>
      </c>
      <c r="B33" s="29" t="n">
        <v>44849</v>
      </c>
      <c r="C33" s="21" t="s">
        <v>112</v>
      </c>
      <c r="D33" s="21" t="s">
        <v>24</v>
      </c>
      <c r="E33" s="21" t="s">
        <v>25</v>
      </c>
      <c r="F33" s="21" t="s">
        <v>2603</v>
      </c>
      <c r="G33" s="30" t="s">
        <v>2604</v>
      </c>
      <c r="H33" s="45" t="str">
        <f aca="false">HYPERLINK("https://photos.app.goo.gl/AYHzWqEStznydtUx9", "Completo")</f>
        <v>Completo</v>
      </c>
      <c r="I33" s="21" t="s">
        <v>28</v>
      </c>
      <c r="J33" s="21"/>
      <c r="K33" s="21"/>
      <c r="L33" s="21"/>
      <c r="M33" s="21"/>
      <c r="N33" s="30"/>
      <c r="O33" s="21"/>
      <c r="P33" s="21"/>
      <c r="Q33" s="21"/>
      <c r="R33" s="32"/>
      <c r="S33" s="32"/>
      <c r="T33" s="21" t="s">
        <v>58</v>
      </c>
      <c r="U33" s="46" t="s">
        <v>28</v>
      </c>
      <c r="V33" s="46" t="s">
        <v>28</v>
      </c>
      <c r="W33" s="21" t="s">
        <v>36</v>
      </c>
      <c r="X33" s="21" t="s">
        <v>28</v>
      </c>
    </row>
    <row r="34" customFormat="false" ht="15.75" hidden="false" customHeight="false" outlineLevel="0" collapsed="false">
      <c r="A34" s="61" t="n">
        <v>6766</v>
      </c>
      <c r="B34" s="29" t="n">
        <v>44852</v>
      </c>
      <c r="C34" s="21" t="s">
        <v>730</v>
      </c>
      <c r="D34" s="21" t="s">
        <v>24</v>
      </c>
      <c r="E34" s="21" t="s">
        <v>25</v>
      </c>
      <c r="F34" s="21" t="s">
        <v>2261</v>
      </c>
      <c r="G34" s="30" t="s">
        <v>2605</v>
      </c>
      <c r="H34" s="45" t="str">
        <f aca="false">HYPERLINK("https://photos.app.goo.gl/8kNpebjK39pUaeD9A", "Completo")</f>
        <v>Completo</v>
      </c>
      <c r="I34" s="21" t="s">
        <v>28</v>
      </c>
      <c r="J34" s="21"/>
      <c r="K34" s="21"/>
      <c r="L34" s="67"/>
      <c r="M34" s="21"/>
      <c r="N34" s="30"/>
      <c r="O34" s="21" t="s">
        <v>28</v>
      </c>
      <c r="P34" s="46" t="s">
        <v>28</v>
      </c>
      <c r="Q34" s="21" t="s">
        <v>2580</v>
      </c>
      <c r="R34" s="32" t="s">
        <v>2606</v>
      </c>
      <c r="S34" s="32" t="s">
        <v>36</v>
      </c>
      <c r="T34" s="21"/>
      <c r="U34" s="21"/>
      <c r="V34" s="21"/>
      <c r="W34" s="21"/>
      <c r="X34" s="21" t="s">
        <v>28</v>
      </c>
    </row>
    <row r="35" customFormat="false" ht="15.75" hidden="false" customHeight="false" outlineLevel="0" collapsed="false">
      <c r="A35" s="61" t="n">
        <v>6767</v>
      </c>
      <c r="B35" s="29" t="n">
        <v>44852</v>
      </c>
      <c r="C35" s="21" t="s">
        <v>616</v>
      </c>
      <c r="D35" s="21" t="s">
        <v>24</v>
      </c>
      <c r="E35" s="21" t="s">
        <v>25</v>
      </c>
      <c r="F35" s="21" t="s">
        <v>2607</v>
      </c>
      <c r="G35" s="30" t="s">
        <v>2608</v>
      </c>
      <c r="H35" s="45" t="str">
        <f aca="false">HYPERLINK("https://photos.app.goo.gl/H8vU95JyzmjRyY7L7", "Completo")</f>
        <v>Completo</v>
      </c>
      <c r="I35" s="21" t="s">
        <v>28</v>
      </c>
      <c r="J35" s="21"/>
      <c r="K35" s="21"/>
      <c r="L35" s="21"/>
      <c r="M35" s="21"/>
      <c r="N35" s="30"/>
      <c r="O35" s="21"/>
      <c r="P35" s="21"/>
      <c r="Q35" s="21"/>
      <c r="R35" s="32"/>
      <c r="S35" s="32"/>
      <c r="T35" s="21" t="s">
        <v>2609</v>
      </c>
      <c r="U35" s="46" t="s">
        <v>28</v>
      </c>
      <c r="V35" s="46" t="s">
        <v>28</v>
      </c>
      <c r="W35" s="21" t="s">
        <v>36</v>
      </c>
      <c r="X35" s="21" t="s">
        <v>28</v>
      </c>
    </row>
    <row r="36" customFormat="false" ht="15.75" hidden="false" customHeight="false" outlineLevel="0" collapsed="false">
      <c r="A36" s="61" t="n">
        <v>6768</v>
      </c>
      <c r="B36" s="29" t="n">
        <v>44852</v>
      </c>
      <c r="C36" s="21" t="s">
        <v>1347</v>
      </c>
      <c r="D36" s="21" t="s">
        <v>24</v>
      </c>
      <c r="E36" s="21" t="s">
        <v>74</v>
      </c>
      <c r="F36" s="21" t="s">
        <v>2610</v>
      </c>
      <c r="G36" s="69" t="s">
        <v>2611</v>
      </c>
      <c r="H36" s="45" t="str">
        <f aca="false">HYPERLINK("https://photos.app.goo.gl/oHnHKyok93KQJ2tW8", "Completo")</f>
        <v>Completo</v>
      </c>
      <c r="I36" s="21" t="s">
        <v>28</v>
      </c>
      <c r="J36" s="21"/>
      <c r="K36" s="21"/>
      <c r="L36" s="21"/>
      <c r="M36" s="21"/>
      <c r="N36" s="30"/>
      <c r="O36" s="21" t="s">
        <v>28</v>
      </c>
      <c r="P36" s="21" t="s">
        <v>28</v>
      </c>
      <c r="Q36" s="21" t="s">
        <v>36</v>
      </c>
      <c r="R36" s="32" t="s">
        <v>2612</v>
      </c>
      <c r="S36" s="32" t="s">
        <v>36</v>
      </c>
      <c r="T36" s="21"/>
      <c r="U36" s="21"/>
      <c r="V36" s="21"/>
      <c r="W36" s="21"/>
      <c r="X36" s="21" t="s">
        <v>28</v>
      </c>
    </row>
    <row r="37" customFormat="false" ht="15.75" hidden="false" customHeight="false" outlineLevel="0" collapsed="false">
      <c r="A37" s="61" t="n">
        <v>6769</v>
      </c>
      <c r="B37" s="29" t="n">
        <v>44852</v>
      </c>
      <c r="C37" s="21" t="s">
        <v>1347</v>
      </c>
      <c r="D37" s="21" t="s">
        <v>24</v>
      </c>
      <c r="E37" s="21" t="s">
        <v>74</v>
      </c>
      <c r="F37" s="21" t="s">
        <v>2613</v>
      </c>
      <c r="G37" s="69" t="s">
        <v>2614</v>
      </c>
      <c r="H37" s="45" t="str">
        <f aca="false">HYPERLINK("https://photos.app.goo.gl/1Xz2W2mbNfiAteYo8", "Completo")</f>
        <v>Completo</v>
      </c>
      <c r="I37" s="21" t="s">
        <v>28</v>
      </c>
      <c r="J37" s="21"/>
      <c r="K37" s="21"/>
      <c r="L37" s="21"/>
      <c r="M37" s="21"/>
      <c r="N37" s="30"/>
      <c r="O37" s="21" t="s">
        <v>28</v>
      </c>
      <c r="P37" s="21" t="s">
        <v>28</v>
      </c>
      <c r="Q37" s="21" t="s">
        <v>2515</v>
      </c>
      <c r="R37" s="32" t="s">
        <v>2581</v>
      </c>
      <c r="S37" s="32" t="s">
        <v>36</v>
      </c>
      <c r="T37" s="21"/>
      <c r="U37" s="21"/>
      <c r="V37" s="21"/>
      <c r="W37" s="21"/>
      <c r="X37" s="21" t="s">
        <v>28</v>
      </c>
    </row>
    <row r="38" customFormat="false" ht="15.75" hidden="false" customHeight="false" outlineLevel="0" collapsed="false">
      <c r="A38" s="61" t="n">
        <v>6770</v>
      </c>
      <c r="B38" s="29" t="n">
        <v>44852</v>
      </c>
      <c r="C38" s="21" t="s">
        <v>616</v>
      </c>
      <c r="D38" s="21" t="s">
        <v>24</v>
      </c>
      <c r="E38" s="21" t="s">
        <v>34</v>
      </c>
      <c r="F38" s="21" t="s">
        <v>2615</v>
      </c>
      <c r="G38" s="30"/>
      <c r="H38" s="31"/>
      <c r="I38" s="21"/>
      <c r="J38" s="21"/>
      <c r="K38" s="21"/>
      <c r="L38" s="21"/>
      <c r="M38" s="21"/>
      <c r="N38" s="30"/>
      <c r="O38" s="21"/>
      <c r="P38" s="21"/>
      <c r="Q38" s="21"/>
      <c r="R38" s="32"/>
      <c r="S38" s="32"/>
      <c r="T38" s="21"/>
      <c r="U38" s="66"/>
      <c r="V38" s="66"/>
      <c r="W38" s="21"/>
      <c r="X38" s="21" t="s">
        <v>28</v>
      </c>
    </row>
    <row r="39" customFormat="false" ht="15.75" hidden="false" customHeight="false" outlineLevel="0" collapsed="false">
      <c r="A39" s="61" t="n">
        <v>6771</v>
      </c>
      <c r="B39" s="29" t="n">
        <v>44854</v>
      </c>
      <c r="C39" s="21" t="s">
        <v>394</v>
      </c>
      <c r="D39" s="21" t="s">
        <v>24</v>
      </c>
      <c r="E39" s="21" t="s">
        <v>34</v>
      </c>
      <c r="F39" s="21" t="s">
        <v>2616</v>
      </c>
      <c r="G39" s="30"/>
      <c r="H39" s="31"/>
      <c r="I39" s="21"/>
      <c r="J39" s="21"/>
      <c r="K39" s="21"/>
      <c r="L39" s="21"/>
      <c r="M39" s="21"/>
      <c r="N39" s="30"/>
      <c r="O39" s="21"/>
      <c r="P39" s="66"/>
      <c r="Q39" s="21"/>
      <c r="R39" s="32"/>
      <c r="S39" s="32"/>
      <c r="T39" s="21"/>
      <c r="U39" s="66"/>
      <c r="V39" s="66"/>
      <c r="W39" s="21"/>
      <c r="X39" s="21" t="s">
        <v>37</v>
      </c>
    </row>
    <row r="40" customFormat="false" ht="15" hidden="false" customHeight="true" outlineLevel="0" collapsed="false">
      <c r="A40" s="61" t="n">
        <v>6772</v>
      </c>
      <c r="B40" s="29" t="n">
        <v>44855</v>
      </c>
      <c r="C40" s="21" t="s">
        <v>1456</v>
      </c>
      <c r="D40" s="21" t="s">
        <v>24</v>
      </c>
      <c r="E40" s="21" t="s">
        <v>34</v>
      </c>
      <c r="F40" s="21" t="s">
        <v>2617</v>
      </c>
      <c r="G40" s="30"/>
      <c r="H40" s="31"/>
      <c r="I40" s="21"/>
      <c r="J40" s="21"/>
      <c r="K40" s="21"/>
      <c r="L40" s="21"/>
      <c r="M40" s="21"/>
      <c r="N40" s="30"/>
      <c r="O40" s="21"/>
      <c r="P40" s="21"/>
      <c r="Q40" s="21"/>
      <c r="R40" s="32"/>
      <c r="S40" s="32"/>
      <c r="T40" s="21"/>
      <c r="U40" s="21"/>
      <c r="V40" s="21"/>
      <c r="W40" s="21"/>
      <c r="X40" s="21" t="s">
        <v>28</v>
      </c>
    </row>
    <row r="41" customFormat="false" ht="15.75" hidden="false" customHeight="false" outlineLevel="0" collapsed="false">
      <c r="A41" s="61" t="n">
        <v>6773</v>
      </c>
      <c r="B41" s="29" t="n">
        <v>44856</v>
      </c>
      <c r="C41" s="21" t="s">
        <v>394</v>
      </c>
      <c r="D41" s="21" t="s">
        <v>24</v>
      </c>
      <c r="E41" s="21" t="s">
        <v>34</v>
      </c>
      <c r="F41" s="21" t="s">
        <v>2618</v>
      </c>
      <c r="G41" s="30"/>
      <c r="H41" s="31"/>
      <c r="I41" s="21"/>
      <c r="J41" s="21"/>
      <c r="K41" s="21"/>
      <c r="L41" s="21"/>
      <c r="M41" s="21"/>
      <c r="N41" s="30"/>
      <c r="O41" s="21"/>
      <c r="P41" s="21"/>
      <c r="Q41" s="21"/>
      <c r="R41" s="32"/>
      <c r="S41" s="32"/>
      <c r="T41" s="21"/>
      <c r="U41" s="21"/>
      <c r="V41" s="21"/>
      <c r="W41" s="21"/>
      <c r="X41" s="21" t="s">
        <v>37</v>
      </c>
    </row>
    <row r="42" customFormat="false" ht="15.75" hidden="false" customHeight="false" outlineLevel="0" collapsed="false">
      <c r="A42" s="61" t="n">
        <v>6774</v>
      </c>
      <c r="B42" s="29" t="n">
        <v>44856</v>
      </c>
      <c r="C42" s="21" t="s">
        <v>872</v>
      </c>
      <c r="D42" s="21" t="s">
        <v>24</v>
      </c>
      <c r="E42" s="21" t="s">
        <v>34</v>
      </c>
      <c r="F42" s="21" t="s">
        <v>2619</v>
      </c>
      <c r="G42" s="30"/>
      <c r="H42" s="31"/>
      <c r="I42" s="21"/>
      <c r="J42" s="21"/>
      <c r="K42" s="21"/>
      <c r="L42" s="21"/>
      <c r="M42" s="21"/>
      <c r="N42" s="30"/>
      <c r="O42" s="21"/>
      <c r="P42" s="21"/>
      <c r="Q42" s="21"/>
      <c r="R42" s="32"/>
      <c r="S42" s="32"/>
      <c r="T42" s="21"/>
      <c r="U42" s="21"/>
      <c r="V42" s="21"/>
      <c r="W42" s="21"/>
      <c r="X42" s="21" t="s">
        <v>28</v>
      </c>
    </row>
    <row r="43" customFormat="false" ht="15.75" hidden="false" customHeight="false" outlineLevel="0" collapsed="false">
      <c r="A43" s="61" t="n">
        <v>6775</v>
      </c>
      <c r="B43" s="29" t="n">
        <v>44858</v>
      </c>
      <c r="C43" s="21" t="s">
        <v>2575</v>
      </c>
      <c r="D43" s="21" t="s">
        <v>24</v>
      </c>
      <c r="E43" s="21" t="s">
        <v>74</v>
      </c>
      <c r="F43" s="21" t="s">
        <v>2620</v>
      </c>
      <c r="G43" s="30"/>
      <c r="H43" s="45" t="str">
        <f aca="false">HYPERLINK("https://photos.app.goo.gl/6DsCc4CDM7A5LUxz6", "Completo")</f>
        <v>Completo</v>
      </c>
      <c r="I43" s="21" t="s">
        <v>28</v>
      </c>
      <c r="J43" s="21"/>
      <c r="K43" s="21"/>
      <c r="L43" s="21"/>
      <c r="M43" s="21"/>
      <c r="N43" s="68"/>
      <c r="O43" s="21"/>
      <c r="P43" s="66"/>
      <c r="Q43" s="21"/>
      <c r="R43" s="32"/>
      <c r="S43" s="32"/>
      <c r="T43" s="21"/>
      <c r="U43" s="66"/>
      <c r="V43" s="66"/>
      <c r="W43" s="21"/>
      <c r="X43" s="21" t="s">
        <v>28</v>
      </c>
    </row>
    <row r="44" customFormat="false" ht="15.75" hidden="false" customHeight="false" outlineLevel="0" collapsed="false">
      <c r="A44" s="61" t="n">
        <v>6776</v>
      </c>
      <c r="B44" s="29" t="n">
        <v>44858</v>
      </c>
      <c r="C44" s="21" t="s">
        <v>2621</v>
      </c>
      <c r="D44" s="21" t="s">
        <v>24</v>
      </c>
      <c r="E44" s="21" t="s">
        <v>25</v>
      </c>
      <c r="F44" s="21" t="s">
        <v>2622</v>
      </c>
      <c r="G44" s="30"/>
      <c r="H44" s="45" t="str">
        <f aca="false">HYPERLINK("https://photos.app.goo.gl/HvZfgKVJYWTcG5CM6", "Completo")</f>
        <v>Completo</v>
      </c>
      <c r="I44" s="21" t="s">
        <v>28</v>
      </c>
      <c r="J44" s="21"/>
      <c r="K44" s="21"/>
      <c r="L44" s="21"/>
      <c r="M44" s="21"/>
      <c r="N44" s="30"/>
      <c r="O44" s="21"/>
      <c r="P44" s="21"/>
      <c r="Q44" s="21"/>
      <c r="R44" s="32"/>
      <c r="S44" s="32"/>
      <c r="T44" s="21"/>
      <c r="U44" s="21"/>
      <c r="V44" s="21"/>
      <c r="W44" s="21"/>
      <c r="X44" s="21" t="s">
        <v>28</v>
      </c>
    </row>
    <row r="45" customFormat="false" ht="15.75" hidden="false" customHeight="false" outlineLevel="0" collapsed="false">
      <c r="A45" s="61" t="n">
        <v>6777</v>
      </c>
      <c r="B45" s="29" t="n">
        <v>44858</v>
      </c>
      <c r="C45" s="21" t="s">
        <v>75</v>
      </c>
      <c r="D45" s="21" t="s">
        <v>24</v>
      </c>
      <c r="E45" s="21" t="s">
        <v>25</v>
      </c>
      <c r="F45" s="21" t="s">
        <v>2623</v>
      </c>
      <c r="G45" s="30"/>
      <c r="H45" s="45" t="str">
        <f aca="false">HYPERLINK("https://photos.app.goo.gl/efcRJcbnnSmHwky76", "Completo")</f>
        <v>Completo</v>
      </c>
      <c r="I45" s="21" t="s">
        <v>28</v>
      </c>
      <c r="J45" s="21"/>
      <c r="K45" s="21"/>
      <c r="L45" s="21"/>
      <c r="M45" s="21"/>
      <c r="N45" s="30"/>
      <c r="O45" s="21"/>
      <c r="P45" s="21"/>
      <c r="Q45" s="21"/>
      <c r="R45" s="32"/>
      <c r="S45" s="32"/>
      <c r="T45" s="21"/>
      <c r="U45" s="21"/>
      <c r="V45" s="21"/>
      <c r="W45" s="21"/>
      <c r="X45" s="21" t="s">
        <v>28</v>
      </c>
    </row>
    <row r="46" customFormat="false" ht="15.75" hidden="false" customHeight="false" outlineLevel="0" collapsed="false">
      <c r="A46" s="61" t="n">
        <v>6778</v>
      </c>
      <c r="B46" s="29" t="n">
        <v>44858</v>
      </c>
      <c r="C46" s="21" t="s">
        <v>78</v>
      </c>
      <c r="D46" s="21" t="s">
        <v>24</v>
      </c>
      <c r="E46" s="21" t="s">
        <v>25</v>
      </c>
      <c r="F46" s="21" t="s">
        <v>2623</v>
      </c>
      <c r="G46" s="30"/>
      <c r="H46" s="45" t="str">
        <f aca="false">HYPERLINK("https://photos.app.goo.gl/TzK1E34UHXPFaPeu8", "Completo")</f>
        <v>Completo</v>
      </c>
      <c r="I46" s="21" t="s">
        <v>28</v>
      </c>
      <c r="J46" s="21"/>
      <c r="K46" s="21"/>
      <c r="L46" s="21"/>
      <c r="M46" s="21"/>
      <c r="N46" s="30"/>
      <c r="O46" s="21"/>
      <c r="P46" s="21"/>
      <c r="Q46" s="21"/>
      <c r="R46" s="32"/>
      <c r="S46" s="32"/>
      <c r="T46" s="21"/>
      <c r="U46" s="21"/>
      <c r="V46" s="21"/>
      <c r="W46" s="21"/>
      <c r="X46" s="21" t="s">
        <v>28</v>
      </c>
    </row>
    <row r="47" customFormat="false" ht="15.75" hidden="false" customHeight="false" outlineLevel="0" collapsed="false">
      <c r="A47" s="61" t="n">
        <v>6779</v>
      </c>
      <c r="B47" s="29" t="n">
        <v>44859</v>
      </c>
      <c r="C47" s="21" t="s">
        <v>593</v>
      </c>
      <c r="D47" s="21" t="s">
        <v>24</v>
      </c>
      <c r="E47" s="21" t="s">
        <v>34</v>
      </c>
      <c r="F47" s="21" t="s">
        <v>2624</v>
      </c>
      <c r="G47" s="30"/>
      <c r="H47" s="31"/>
      <c r="I47" s="21"/>
      <c r="J47" s="21"/>
      <c r="K47" s="21"/>
      <c r="L47" s="21"/>
      <c r="M47" s="21"/>
      <c r="N47" s="30"/>
      <c r="O47" s="21"/>
      <c r="P47" s="21"/>
      <c r="Q47" s="21"/>
      <c r="R47" s="32"/>
      <c r="S47" s="32"/>
      <c r="T47" s="21"/>
      <c r="U47" s="21"/>
      <c r="V47" s="21"/>
      <c r="W47" s="21"/>
      <c r="X47" s="21" t="s">
        <v>28</v>
      </c>
    </row>
    <row r="48" customFormat="false" ht="15.75" hidden="false" customHeight="false" outlineLevel="0" collapsed="false">
      <c r="A48" s="61" t="n">
        <v>6780</v>
      </c>
      <c r="B48" s="29" t="n">
        <v>44859</v>
      </c>
      <c r="C48" s="21" t="s">
        <v>75</v>
      </c>
      <c r="D48" s="21" t="s">
        <v>24</v>
      </c>
      <c r="E48" s="21" t="s">
        <v>25</v>
      </c>
      <c r="F48" s="21" t="s">
        <v>2625</v>
      </c>
      <c r="G48" s="30"/>
      <c r="H48" s="45" t="str">
        <f aca="false">HYPERLINK("https://photos.app.goo.gl/bmfJHT5Ef8E93H9eA", "Completo")</f>
        <v>Completo</v>
      </c>
      <c r="I48" s="21" t="s">
        <v>28</v>
      </c>
      <c r="J48" s="21"/>
      <c r="K48" s="21" t="n">
        <v>0</v>
      </c>
      <c r="L48" s="21"/>
      <c r="M48" s="21"/>
      <c r="N48" s="30"/>
      <c r="O48" s="21"/>
      <c r="P48" s="21"/>
      <c r="Q48" s="21"/>
      <c r="R48" s="32"/>
      <c r="S48" s="32"/>
      <c r="T48" s="21"/>
      <c r="U48" s="21"/>
      <c r="V48" s="21"/>
      <c r="W48" s="21"/>
      <c r="X48" s="21" t="s">
        <v>28</v>
      </c>
    </row>
    <row r="49" customFormat="false" ht="15.75" hidden="false" customHeight="false" outlineLevel="0" collapsed="false">
      <c r="A49" s="61" t="n">
        <v>6781</v>
      </c>
      <c r="B49" s="29" t="n">
        <v>44860</v>
      </c>
      <c r="C49" s="21" t="s">
        <v>2626</v>
      </c>
      <c r="D49" s="21" t="s">
        <v>24</v>
      </c>
      <c r="E49" s="21" t="s">
        <v>74</v>
      </c>
      <c r="F49" s="21" t="s">
        <v>2627</v>
      </c>
      <c r="G49" s="30"/>
      <c r="H49" s="45" t="str">
        <f aca="false">HYPERLINK("https://photos.app.goo.gl/8etxfZ3BaAVZ9cfR7", "Completo")</f>
        <v>Completo</v>
      </c>
      <c r="I49" s="21" t="s">
        <v>28</v>
      </c>
      <c r="J49" s="21"/>
      <c r="K49" s="21"/>
      <c r="L49" s="21"/>
      <c r="M49" s="21"/>
      <c r="N49" s="30"/>
      <c r="O49" s="21" t="s">
        <v>28</v>
      </c>
      <c r="P49" s="46" t="s">
        <v>28</v>
      </c>
      <c r="Q49" s="21"/>
      <c r="R49" s="32" t="s">
        <v>58</v>
      </c>
      <c r="S49" s="32" t="s">
        <v>36</v>
      </c>
      <c r="T49" s="21"/>
      <c r="U49" s="21"/>
      <c r="V49" s="21"/>
      <c r="W49" s="21"/>
      <c r="X49" s="21"/>
    </row>
    <row r="50" customFormat="false" ht="15.75" hidden="false" customHeight="false" outlineLevel="0" collapsed="false">
      <c r="A50" s="61" t="n">
        <v>6782</v>
      </c>
      <c r="B50" s="29" t="n">
        <v>44860</v>
      </c>
      <c r="C50" s="21" t="s">
        <v>2626</v>
      </c>
      <c r="D50" s="21" t="s">
        <v>24</v>
      </c>
      <c r="E50" s="21" t="s">
        <v>74</v>
      </c>
      <c r="F50" s="21" t="s">
        <v>2627</v>
      </c>
      <c r="G50" s="30"/>
      <c r="H50" s="45" t="str">
        <f aca="false">HYPERLINK("https://photos.app.goo.gl/Mh4qjqZCVqGF5BWp9", "Completo")</f>
        <v>Completo</v>
      </c>
      <c r="I50" s="21" t="s">
        <v>28</v>
      </c>
      <c r="J50" s="21"/>
      <c r="K50" s="21"/>
      <c r="L50" s="21"/>
      <c r="M50" s="21"/>
      <c r="N50" s="30"/>
      <c r="O50" s="21"/>
      <c r="P50" s="21"/>
      <c r="Q50" s="21"/>
      <c r="R50" s="32"/>
      <c r="S50" s="32"/>
      <c r="T50" s="21"/>
      <c r="U50" s="21"/>
      <c r="V50" s="21"/>
      <c r="W50" s="21"/>
      <c r="X50" s="21"/>
    </row>
    <row r="51" customFormat="false" ht="15.75" hidden="false" customHeight="false" outlineLevel="0" collapsed="false">
      <c r="A51" s="63" t="n">
        <v>1559223</v>
      </c>
      <c r="B51" s="29" t="n">
        <v>44860</v>
      </c>
      <c r="C51" s="21" t="s">
        <v>2626</v>
      </c>
      <c r="D51" s="21" t="s">
        <v>290</v>
      </c>
      <c r="E51" s="21" t="s">
        <v>74</v>
      </c>
      <c r="F51" s="21" t="s">
        <v>2628</v>
      </c>
      <c r="G51" s="30"/>
      <c r="H51" s="45" t="str">
        <f aca="false">HYPERLINK("https://photos.app.goo.gl/51to3UzzZGAefUp88", "Completo")</f>
        <v>Completo</v>
      </c>
      <c r="I51" s="21" t="s">
        <v>28</v>
      </c>
      <c r="J51" s="21"/>
      <c r="K51" s="21"/>
      <c r="L51" s="21"/>
      <c r="M51" s="21"/>
      <c r="N51" s="30"/>
      <c r="O51" s="21"/>
      <c r="P51" s="21"/>
      <c r="Q51" s="21"/>
      <c r="R51" s="32"/>
      <c r="S51" s="32"/>
      <c r="T51" s="21" t="s">
        <v>2461</v>
      </c>
      <c r="U51" s="21" t="s">
        <v>28</v>
      </c>
      <c r="V51" s="46" t="s">
        <v>28</v>
      </c>
      <c r="W51" s="21" t="s">
        <v>2629</v>
      </c>
      <c r="X51" s="21" t="s">
        <v>28</v>
      </c>
      <c r="Y51" s="12"/>
      <c r="Z51" s="12"/>
      <c r="AA51" s="12"/>
      <c r="AB51" s="12"/>
      <c r="AC51" s="12"/>
      <c r="AD51" s="12"/>
      <c r="AE51" s="12"/>
    </row>
    <row r="52" customFormat="false" ht="15.75" hidden="false" customHeight="false" outlineLevel="0" collapsed="false">
      <c r="A52" s="61" t="n">
        <v>6783</v>
      </c>
      <c r="B52" s="29" t="n">
        <v>44861</v>
      </c>
      <c r="C52" s="21" t="s">
        <v>84</v>
      </c>
      <c r="D52" s="21" t="s">
        <v>24</v>
      </c>
      <c r="E52" s="21" t="s">
        <v>34</v>
      </c>
      <c r="F52" s="21" t="s">
        <v>2630</v>
      </c>
      <c r="G52" s="30"/>
      <c r="H52" s="31"/>
      <c r="I52" s="21"/>
      <c r="J52" s="21"/>
      <c r="K52" s="21"/>
      <c r="L52" s="21"/>
      <c r="M52" s="21"/>
      <c r="N52" s="30"/>
      <c r="O52" s="21"/>
      <c r="P52" s="21"/>
      <c r="Q52" s="21"/>
      <c r="R52" s="32"/>
      <c r="S52" s="32"/>
      <c r="T52" s="21"/>
      <c r="U52" s="21"/>
      <c r="V52" s="21"/>
      <c r="W52" s="21"/>
      <c r="X52" s="21" t="s">
        <v>28</v>
      </c>
      <c r="Y52" s="12"/>
      <c r="Z52" s="12"/>
      <c r="AA52" s="12"/>
      <c r="AB52" s="12"/>
      <c r="AC52" s="12"/>
      <c r="AD52" s="12"/>
      <c r="AE52" s="12"/>
    </row>
    <row r="53" customFormat="false" ht="15.75" hidden="false" customHeight="false" outlineLevel="0" collapsed="false">
      <c r="A53" s="61" t="n">
        <v>6784</v>
      </c>
      <c r="B53" s="29" t="n">
        <v>44861</v>
      </c>
      <c r="C53" s="21" t="s">
        <v>1567</v>
      </c>
      <c r="D53" s="21" t="s">
        <v>24</v>
      </c>
      <c r="E53" s="21" t="s">
        <v>34</v>
      </c>
      <c r="F53" s="21" t="s">
        <v>2631</v>
      </c>
      <c r="G53" s="30"/>
      <c r="H53" s="45" t="str">
        <f aca="false">HYPERLINK("https://photos.app.goo.gl/LJs64BZYo1zhgtp89", "Completo")</f>
        <v>Completo</v>
      </c>
      <c r="I53" s="21"/>
      <c r="J53" s="21"/>
      <c r="K53" s="21"/>
      <c r="L53" s="21"/>
      <c r="M53" s="21"/>
      <c r="N53" s="30"/>
      <c r="O53" s="21"/>
      <c r="P53" s="21"/>
      <c r="Q53" s="21"/>
      <c r="R53" s="32"/>
      <c r="S53" s="32"/>
      <c r="T53" s="21"/>
      <c r="U53" s="66"/>
      <c r="V53" s="66"/>
      <c r="W53" s="21"/>
      <c r="X53" s="21" t="s">
        <v>28</v>
      </c>
    </row>
    <row r="54" customFormat="false" ht="15.75" hidden="false" customHeight="false" outlineLevel="0" collapsed="false">
      <c r="A54" s="61" t="n">
        <v>6785</v>
      </c>
      <c r="B54" s="29" t="n">
        <v>44861</v>
      </c>
      <c r="C54" s="21" t="s">
        <v>133</v>
      </c>
      <c r="D54" s="21" t="s">
        <v>24</v>
      </c>
      <c r="E54" s="21" t="s">
        <v>34</v>
      </c>
      <c r="F54" s="21" t="s">
        <v>2632</v>
      </c>
      <c r="G54" s="30"/>
      <c r="H54" s="45" t="str">
        <f aca="false">HYPERLINK("https://photos.app.goo.gl/T66rGeEUv4PyviHm9", "Completo")</f>
        <v>Completo</v>
      </c>
      <c r="I54" s="21" t="s">
        <v>28</v>
      </c>
      <c r="J54" s="21"/>
      <c r="K54" s="21"/>
      <c r="L54" s="21"/>
      <c r="M54" s="21"/>
      <c r="N54" s="30"/>
      <c r="O54" s="21"/>
      <c r="P54" s="21"/>
      <c r="Q54" s="21"/>
      <c r="R54" s="32"/>
      <c r="S54" s="32"/>
      <c r="T54" s="21" t="s">
        <v>58</v>
      </c>
      <c r="U54" s="46" t="s">
        <v>28</v>
      </c>
      <c r="V54" s="46" t="s">
        <v>28</v>
      </c>
      <c r="W54" s="21" t="s">
        <v>36</v>
      </c>
      <c r="X54" s="21" t="s">
        <v>28</v>
      </c>
    </row>
    <row r="55" customFormat="false" ht="15.75" hidden="false" customHeight="false" outlineLevel="0" collapsed="false">
      <c r="A55" s="61" t="n">
        <v>6786</v>
      </c>
      <c r="B55" s="29" t="n">
        <v>44861</v>
      </c>
      <c r="C55" s="21" t="s">
        <v>133</v>
      </c>
      <c r="D55" s="21" t="s">
        <v>24</v>
      </c>
      <c r="E55" s="21" t="s">
        <v>34</v>
      </c>
      <c r="F55" s="21" t="s">
        <v>2632</v>
      </c>
      <c r="G55" s="30"/>
      <c r="H55" s="45" t="str">
        <f aca="false">HYPERLINK("https://photos.app.goo.gl/8k1UUoYusg5bLsSp7", "Completo")</f>
        <v>Completo</v>
      </c>
      <c r="I55" s="21" t="s">
        <v>28</v>
      </c>
      <c r="J55" s="21"/>
      <c r="K55" s="21"/>
      <c r="L55" s="21"/>
      <c r="M55" s="21"/>
      <c r="N55" s="30"/>
      <c r="O55" s="21"/>
      <c r="P55" s="66"/>
      <c r="Q55" s="21"/>
      <c r="R55" s="32"/>
      <c r="S55" s="32"/>
      <c r="T55" s="21" t="s">
        <v>58</v>
      </c>
      <c r="U55" s="46" t="s">
        <v>28</v>
      </c>
      <c r="V55" s="46" t="s">
        <v>28</v>
      </c>
      <c r="W55" s="21" t="s">
        <v>36</v>
      </c>
      <c r="X55" s="21" t="s">
        <v>28</v>
      </c>
    </row>
    <row r="56" customFormat="false" ht="15.75" hidden="false" customHeight="false" outlineLevel="0" collapsed="false">
      <c r="A56" s="61" t="n">
        <v>6787</v>
      </c>
      <c r="B56" s="29" t="n">
        <v>44861</v>
      </c>
      <c r="C56" s="21" t="s">
        <v>133</v>
      </c>
      <c r="D56" s="21" t="s">
        <v>24</v>
      </c>
      <c r="E56" s="21" t="s">
        <v>34</v>
      </c>
      <c r="F56" s="21" t="s">
        <v>2632</v>
      </c>
      <c r="G56" s="30"/>
      <c r="H56" s="45" t="str">
        <f aca="false">HYPERLINK("https://photos.app.goo.gl/L2Bz8NB7KNDCFbtP6", "Completo")</f>
        <v>Completo</v>
      </c>
      <c r="I56" s="21" t="s">
        <v>28</v>
      </c>
      <c r="J56" s="21"/>
      <c r="K56" s="21"/>
      <c r="L56" s="21"/>
      <c r="M56" s="21"/>
      <c r="N56" s="30"/>
      <c r="O56" s="21"/>
      <c r="P56" s="21"/>
      <c r="Q56" s="21"/>
      <c r="R56" s="32"/>
      <c r="S56" s="32"/>
      <c r="T56" s="21" t="s">
        <v>58</v>
      </c>
      <c r="U56" s="46" t="s">
        <v>28</v>
      </c>
      <c r="V56" s="46" t="s">
        <v>28</v>
      </c>
      <c r="W56" s="21" t="s">
        <v>36</v>
      </c>
      <c r="X56" s="21" t="s">
        <v>28</v>
      </c>
    </row>
    <row r="57" customFormat="false" ht="15.75" hidden="false" customHeight="false" outlineLevel="0" collapsed="false">
      <c r="A57" s="61" t="n">
        <v>6788</v>
      </c>
      <c r="B57" s="29" t="n">
        <v>44861</v>
      </c>
      <c r="C57" s="21" t="s">
        <v>133</v>
      </c>
      <c r="D57" s="21" t="s">
        <v>24</v>
      </c>
      <c r="E57" s="21" t="s">
        <v>34</v>
      </c>
      <c r="F57" s="21" t="s">
        <v>2632</v>
      </c>
      <c r="G57" s="30"/>
      <c r="H57" s="45" t="str">
        <f aca="false">HYPERLINK("https://photos.app.goo.gl/cMciDNhXFD563CH19", "Completo")</f>
        <v>Completo</v>
      </c>
      <c r="I57" s="21" t="s">
        <v>28</v>
      </c>
      <c r="J57" s="21"/>
      <c r="K57" s="21"/>
      <c r="L57" s="21"/>
      <c r="M57" s="21"/>
      <c r="N57" s="30"/>
      <c r="O57" s="21"/>
      <c r="P57" s="21"/>
      <c r="Q57" s="21"/>
      <c r="R57" s="32"/>
      <c r="S57" s="32"/>
      <c r="T57" s="21" t="s">
        <v>58</v>
      </c>
      <c r="U57" s="46" t="s">
        <v>28</v>
      </c>
      <c r="V57" s="46" t="s">
        <v>28</v>
      </c>
      <c r="W57" s="21" t="s">
        <v>36</v>
      </c>
      <c r="X57" s="21" t="s">
        <v>28</v>
      </c>
    </row>
    <row r="58" customFormat="false" ht="15.75" hidden="false" customHeight="false" outlineLevel="0" collapsed="false">
      <c r="A58" s="61" t="n">
        <v>6789</v>
      </c>
      <c r="B58" s="29" t="n">
        <v>44861</v>
      </c>
      <c r="C58" s="21" t="s">
        <v>133</v>
      </c>
      <c r="D58" s="21" t="s">
        <v>24</v>
      </c>
      <c r="E58" s="21" t="s">
        <v>34</v>
      </c>
      <c r="F58" s="21" t="s">
        <v>2632</v>
      </c>
      <c r="G58" s="30"/>
      <c r="H58" s="45" t="str">
        <f aca="false">HYPERLINK("https://photos.app.goo.gl/fF18DJquvkG87QuM9", "Completo")</f>
        <v>Completo</v>
      </c>
      <c r="I58" s="21" t="s">
        <v>28</v>
      </c>
      <c r="J58" s="21"/>
      <c r="K58" s="21"/>
      <c r="L58" s="21"/>
      <c r="M58" s="21"/>
      <c r="N58" s="30"/>
      <c r="O58" s="21"/>
      <c r="P58" s="21"/>
      <c r="Q58" s="21"/>
      <c r="R58" s="32"/>
      <c r="S58" s="32"/>
      <c r="T58" s="21" t="s">
        <v>58</v>
      </c>
      <c r="U58" s="46" t="s">
        <v>28</v>
      </c>
      <c r="V58" s="46" t="s">
        <v>28</v>
      </c>
      <c r="W58" s="21" t="s">
        <v>36</v>
      </c>
      <c r="X58" s="21" t="s">
        <v>28</v>
      </c>
    </row>
    <row r="59" customFormat="false" ht="15.75" hidden="false" customHeight="false" outlineLevel="0" collapsed="false">
      <c r="A59" s="61" t="s">
        <v>2633</v>
      </c>
      <c r="B59" s="29" t="n">
        <v>44861</v>
      </c>
      <c r="C59" s="21" t="s">
        <v>1259</v>
      </c>
      <c r="D59" s="21" t="s">
        <v>578</v>
      </c>
      <c r="E59" s="21" t="s">
        <v>34</v>
      </c>
      <c r="F59" s="21" t="s">
        <v>2634</v>
      </c>
      <c r="G59" s="30"/>
      <c r="H59" s="31"/>
      <c r="I59" s="21"/>
      <c r="J59" s="21"/>
      <c r="K59" s="21"/>
      <c r="L59" s="21"/>
      <c r="M59" s="21"/>
      <c r="N59" s="30"/>
      <c r="O59" s="21"/>
      <c r="P59" s="21"/>
      <c r="Q59" s="21"/>
      <c r="R59" s="32"/>
      <c r="S59" s="32"/>
      <c r="T59" s="21"/>
      <c r="U59" s="21"/>
      <c r="V59" s="21"/>
      <c r="W59" s="21"/>
      <c r="X59" s="21" t="s">
        <v>37</v>
      </c>
    </row>
    <row r="60" customFormat="false" ht="15.75" hidden="false" customHeight="false" outlineLevel="0" collapsed="false">
      <c r="A60" s="63" t="n">
        <v>1497131</v>
      </c>
      <c r="B60" s="29" t="n">
        <v>44861</v>
      </c>
      <c r="C60" s="21" t="s">
        <v>75</v>
      </c>
      <c r="D60" s="21" t="s">
        <v>290</v>
      </c>
      <c r="E60" s="21" t="s">
        <v>34</v>
      </c>
      <c r="F60" s="21" t="s">
        <v>2635</v>
      </c>
      <c r="G60" s="30"/>
      <c r="H60" s="31"/>
      <c r="I60" s="21"/>
      <c r="J60" s="21"/>
      <c r="K60" s="21"/>
      <c r="L60" s="21"/>
      <c r="M60" s="21"/>
      <c r="N60" s="30"/>
      <c r="O60" s="21"/>
      <c r="P60" s="21"/>
      <c r="Q60" s="21"/>
      <c r="R60" s="32"/>
      <c r="S60" s="32"/>
      <c r="T60" s="21"/>
      <c r="U60" s="21"/>
      <c r="V60" s="21"/>
      <c r="W60" s="21"/>
      <c r="X60" s="21" t="s">
        <v>28</v>
      </c>
    </row>
    <row r="61" customFormat="false" ht="15.75" hidden="false" customHeight="false" outlineLevel="0" collapsed="false">
      <c r="A61" s="63" t="n">
        <v>1496766</v>
      </c>
      <c r="B61" s="29" t="n">
        <v>44861</v>
      </c>
      <c r="C61" s="21" t="s">
        <v>75</v>
      </c>
      <c r="D61" s="21" t="s">
        <v>290</v>
      </c>
      <c r="E61" s="21" t="s">
        <v>34</v>
      </c>
      <c r="F61" s="21" t="s">
        <v>2635</v>
      </c>
      <c r="G61" s="30"/>
      <c r="H61" s="31"/>
      <c r="I61" s="21"/>
      <c r="J61" s="21"/>
      <c r="K61" s="21"/>
      <c r="L61" s="21"/>
      <c r="M61" s="21"/>
      <c r="N61" s="30"/>
      <c r="O61" s="21"/>
      <c r="P61" s="66"/>
      <c r="Q61" s="21"/>
      <c r="R61" s="32"/>
      <c r="S61" s="32"/>
      <c r="T61" s="21"/>
      <c r="U61" s="21"/>
      <c r="V61" s="21"/>
      <c r="W61" s="21"/>
      <c r="X61" s="21" t="s">
        <v>28</v>
      </c>
    </row>
    <row r="62" customFormat="false" ht="15.75" hidden="false" customHeight="false" outlineLevel="0" collapsed="false">
      <c r="A62" s="61" t="s">
        <v>2636</v>
      </c>
      <c r="B62" s="29" t="n">
        <v>44861</v>
      </c>
      <c r="C62" s="21" t="s">
        <v>1162</v>
      </c>
      <c r="D62" s="21" t="s">
        <v>578</v>
      </c>
      <c r="E62" s="21" t="s">
        <v>34</v>
      </c>
      <c r="F62" s="21" t="s">
        <v>2637</v>
      </c>
      <c r="G62" s="30"/>
      <c r="H62" s="31"/>
      <c r="I62" s="21"/>
      <c r="J62" s="21"/>
      <c r="K62" s="21"/>
      <c r="L62" s="21"/>
      <c r="M62" s="21"/>
      <c r="N62" s="30"/>
      <c r="O62" s="21"/>
      <c r="P62" s="66"/>
      <c r="Q62" s="21"/>
      <c r="R62" s="32"/>
      <c r="S62" s="32"/>
      <c r="T62" s="21" t="s">
        <v>2638</v>
      </c>
      <c r="U62" s="46" t="s">
        <v>28</v>
      </c>
      <c r="V62" s="46" t="s">
        <v>28</v>
      </c>
      <c r="W62" s="21" t="s">
        <v>36</v>
      </c>
      <c r="X62" s="21" t="s">
        <v>37</v>
      </c>
    </row>
    <row r="63" customFormat="false" ht="15.75" hidden="false" customHeight="false" outlineLevel="0" collapsed="false">
      <c r="A63" s="61" t="n">
        <v>6790</v>
      </c>
      <c r="B63" s="29" t="n">
        <v>44862</v>
      </c>
      <c r="C63" s="21" t="s">
        <v>2639</v>
      </c>
      <c r="D63" s="21" t="s">
        <v>24</v>
      </c>
      <c r="E63" s="21" t="s">
        <v>34</v>
      </c>
      <c r="F63" s="21" t="s">
        <v>2640</v>
      </c>
      <c r="G63" s="30"/>
      <c r="H63" s="31"/>
      <c r="I63" s="21"/>
      <c r="J63" s="21"/>
      <c r="K63" s="21"/>
      <c r="L63" s="21"/>
      <c r="M63" s="21"/>
      <c r="N63" s="30"/>
      <c r="O63" s="21"/>
      <c r="P63" s="66"/>
      <c r="Q63" s="21"/>
      <c r="R63" s="32"/>
      <c r="S63" s="32"/>
      <c r="T63" s="21"/>
      <c r="U63" s="21"/>
      <c r="V63" s="21"/>
      <c r="W63" s="21"/>
      <c r="X63" s="21" t="s">
        <v>37</v>
      </c>
    </row>
    <row r="64" customFormat="false" ht="15.75" hidden="false" customHeight="false" outlineLevel="0" collapsed="false">
      <c r="A64" s="61" t="n">
        <v>6791</v>
      </c>
      <c r="B64" s="29" t="n">
        <v>44865</v>
      </c>
      <c r="C64" s="21" t="s">
        <v>84</v>
      </c>
      <c r="D64" s="21" t="s">
        <v>24</v>
      </c>
      <c r="E64" s="21" t="s">
        <v>34</v>
      </c>
      <c r="F64" s="21" t="s">
        <v>2641</v>
      </c>
      <c r="G64" s="30"/>
      <c r="H64" s="31"/>
      <c r="I64" s="21"/>
      <c r="J64" s="21"/>
      <c r="K64" s="21"/>
      <c r="L64" s="21"/>
      <c r="M64" s="21"/>
      <c r="N64" s="30"/>
      <c r="O64" s="21"/>
      <c r="P64" s="66"/>
      <c r="Q64" s="21"/>
      <c r="R64" s="32"/>
      <c r="S64" s="32"/>
      <c r="T64" s="21"/>
      <c r="U64" s="21"/>
      <c r="V64" s="21"/>
      <c r="W64" s="21"/>
      <c r="X64" s="21"/>
    </row>
    <row r="65" customFormat="false" ht="15.75" hidden="false" customHeight="false" outlineLevel="0" collapsed="false">
      <c r="A65" s="61" t="n">
        <v>6792</v>
      </c>
      <c r="B65" s="29" t="n">
        <v>44865</v>
      </c>
      <c r="C65" s="21" t="s">
        <v>2642</v>
      </c>
      <c r="D65" s="21" t="s">
        <v>24</v>
      </c>
      <c r="E65" s="21" t="s">
        <v>34</v>
      </c>
      <c r="F65" s="21" t="s">
        <v>2643</v>
      </c>
      <c r="G65" s="30"/>
      <c r="H65" s="31"/>
      <c r="I65" s="21"/>
      <c r="J65" s="21" t="n">
        <v>3542461204</v>
      </c>
      <c r="K65" s="21"/>
      <c r="L65" s="21"/>
      <c r="M65" s="21"/>
      <c r="N65" s="30"/>
      <c r="O65" s="21"/>
      <c r="P65" s="66"/>
      <c r="Q65" s="21"/>
      <c r="R65" s="32"/>
      <c r="S65" s="32"/>
      <c r="T65" s="21"/>
      <c r="U65" s="21"/>
      <c r="V65" s="21"/>
      <c r="W65" s="21"/>
      <c r="X65" s="21" t="s">
        <v>37</v>
      </c>
    </row>
    <row r="66" customFormat="false" ht="15.75" hidden="false" customHeight="false" outlineLevel="0" collapsed="false">
      <c r="A66" s="61" t="n">
        <v>6793</v>
      </c>
      <c r="B66" s="29" t="n">
        <v>44865</v>
      </c>
      <c r="C66" s="21" t="s">
        <v>389</v>
      </c>
      <c r="D66" s="21" t="s">
        <v>24</v>
      </c>
      <c r="E66" s="21" t="s">
        <v>25</v>
      </c>
      <c r="F66" s="21" t="s">
        <v>2644</v>
      </c>
      <c r="G66" s="30"/>
      <c r="H66" s="45" t="str">
        <f aca="false">HYPERLINK("https://photos.app.goo.gl/wFBEsMUPexK66n5H6", "Completo")</f>
        <v>Completo</v>
      </c>
      <c r="I66" s="21"/>
      <c r="J66" s="21"/>
      <c r="K66" s="21"/>
      <c r="L66" s="21"/>
      <c r="M66" s="21"/>
      <c r="N66" s="30"/>
      <c r="O66" s="21"/>
      <c r="P66" s="21"/>
      <c r="Q66" s="21"/>
      <c r="R66" s="32"/>
      <c r="S66" s="32"/>
      <c r="T66" s="21"/>
      <c r="U66" s="21"/>
      <c r="V66" s="21"/>
      <c r="W66" s="21"/>
      <c r="X66" s="21" t="s">
        <v>28</v>
      </c>
    </row>
    <row r="67" customFormat="false" ht="15.75" hidden="false" customHeight="false" outlineLevel="0" collapsed="false">
      <c r="A67" s="61" t="n">
        <v>6794</v>
      </c>
      <c r="B67" s="29" t="n">
        <v>44865</v>
      </c>
      <c r="C67" s="21" t="s">
        <v>2645</v>
      </c>
      <c r="D67" s="21" t="s">
        <v>24</v>
      </c>
      <c r="E67" s="21" t="s">
        <v>25</v>
      </c>
      <c r="F67" s="21" t="s">
        <v>2646</v>
      </c>
      <c r="G67" s="30"/>
      <c r="H67" s="45" t="str">
        <f aca="false">HYPERLINK("https://photos.app.goo.gl/48Cwtfaqi9Yg8HTv7", "Completo")</f>
        <v>Completo</v>
      </c>
      <c r="I67" s="21" t="s">
        <v>28</v>
      </c>
      <c r="J67" s="21"/>
      <c r="K67" s="21"/>
      <c r="L67" s="21"/>
      <c r="M67" s="21"/>
      <c r="N67" s="30"/>
      <c r="O67" s="21" t="s">
        <v>28</v>
      </c>
      <c r="P67" s="21" t="s">
        <v>28</v>
      </c>
      <c r="Q67" s="21" t="s">
        <v>201</v>
      </c>
      <c r="R67" s="32" t="s">
        <v>2461</v>
      </c>
      <c r="S67" s="32" t="s">
        <v>36</v>
      </c>
      <c r="T67" s="21"/>
      <c r="U67" s="21"/>
      <c r="V67" s="21"/>
      <c r="W67" s="21"/>
      <c r="X67" s="21" t="s">
        <v>28</v>
      </c>
    </row>
    <row r="68" customFormat="false" ht="15.75" hidden="false" customHeight="false" outlineLevel="0" collapsed="false">
      <c r="A68" s="61" t="n">
        <v>6795</v>
      </c>
      <c r="B68" s="29" t="n">
        <v>44865</v>
      </c>
      <c r="C68" s="21" t="s">
        <v>1290</v>
      </c>
      <c r="D68" s="21" t="s">
        <v>24</v>
      </c>
      <c r="E68" s="21" t="s">
        <v>34</v>
      </c>
      <c r="F68" s="21" t="s">
        <v>2647</v>
      </c>
      <c r="G68" s="30"/>
      <c r="H68" s="31"/>
      <c r="I68" s="21"/>
      <c r="J68" s="21"/>
      <c r="K68" s="21"/>
      <c r="L68" s="21"/>
      <c r="M68" s="21"/>
      <c r="N68" s="30"/>
      <c r="O68" s="21"/>
      <c r="P68" s="21"/>
      <c r="Q68" s="21"/>
      <c r="R68" s="32"/>
      <c r="S68" s="32"/>
      <c r="T68" s="21"/>
      <c r="U68" s="21"/>
      <c r="V68" s="21"/>
      <c r="W68" s="21"/>
      <c r="X68" s="21" t="s">
        <v>28</v>
      </c>
    </row>
    <row r="69" customFormat="false" ht="15.75" hidden="false" customHeight="false" outlineLevel="0" collapsed="false">
      <c r="A69" s="61" t="n">
        <v>6796</v>
      </c>
      <c r="B69" s="29" t="n">
        <v>44866</v>
      </c>
      <c r="C69" s="21" t="s">
        <v>1290</v>
      </c>
      <c r="D69" s="21" t="s">
        <v>24</v>
      </c>
      <c r="E69" s="21" t="s">
        <v>25</v>
      </c>
      <c r="F69" s="21" t="s">
        <v>1554</v>
      </c>
      <c r="G69" s="30"/>
      <c r="H69" s="45" t="str">
        <f aca="false">HYPERLINK("https://photos.app.goo.gl/i6HVab6mhad3JKn3A", "Completo")</f>
        <v>Completo</v>
      </c>
      <c r="I69" s="21" t="s">
        <v>28</v>
      </c>
      <c r="J69" s="21"/>
      <c r="K69" s="21"/>
      <c r="L69" s="21"/>
      <c r="M69" s="21"/>
      <c r="N69" s="30"/>
      <c r="O69" s="21"/>
      <c r="P69" s="21"/>
      <c r="Q69" s="21"/>
      <c r="R69" s="32"/>
      <c r="S69" s="32"/>
      <c r="T69" s="21"/>
      <c r="U69" s="21"/>
      <c r="V69" s="21"/>
      <c r="W69" s="21"/>
      <c r="X69" s="21" t="s">
        <v>28</v>
      </c>
    </row>
    <row r="70" customFormat="false" ht="15.75" hidden="false" customHeight="false" outlineLevel="0" collapsed="false">
      <c r="A70" s="61"/>
      <c r="B70" s="29"/>
      <c r="C70" s="21"/>
      <c r="D70" s="21"/>
      <c r="E70" s="21"/>
      <c r="F70" s="21"/>
      <c r="G70" s="30"/>
      <c r="H70" s="31"/>
      <c r="I70" s="21"/>
      <c r="J70" s="21"/>
      <c r="K70" s="21"/>
      <c r="L70" s="21"/>
      <c r="M70" s="21"/>
      <c r="N70" s="30"/>
      <c r="O70" s="21"/>
      <c r="P70" s="21"/>
      <c r="Q70" s="21"/>
      <c r="R70" s="32"/>
      <c r="S70" s="32"/>
      <c r="T70" s="21"/>
      <c r="U70" s="21"/>
      <c r="V70" s="21"/>
      <c r="W70" s="21"/>
      <c r="X70" s="21"/>
    </row>
    <row r="71" customFormat="false" ht="15.75" hidden="false" customHeight="false" outlineLevel="0" collapsed="false">
      <c r="A71" s="61"/>
      <c r="B71" s="29"/>
      <c r="C71" s="21"/>
      <c r="D71" s="21"/>
      <c r="E71" s="21"/>
      <c r="F71" s="21"/>
      <c r="G71" s="30"/>
      <c r="H71" s="31"/>
      <c r="I71" s="21"/>
      <c r="J71" s="21"/>
      <c r="K71" s="21"/>
      <c r="L71" s="21"/>
      <c r="M71" s="21"/>
      <c r="N71" s="30"/>
      <c r="O71" s="21"/>
      <c r="P71" s="21"/>
      <c r="Q71" s="21"/>
      <c r="R71" s="32"/>
      <c r="S71" s="32"/>
      <c r="T71" s="21"/>
      <c r="U71" s="21"/>
      <c r="V71" s="21"/>
      <c r="W71" s="21"/>
      <c r="X71" s="21"/>
    </row>
    <row r="72" customFormat="false" ht="15.75" hidden="false" customHeight="false" outlineLevel="0" collapsed="false">
      <c r="A72" s="61"/>
      <c r="B72" s="29"/>
      <c r="C72" s="21"/>
      <c r="D72" s="21"/>
      <c r="E72" s="21"/>
      <c r="F72" s="21"/>
      <c r="G72" s="30"/>
      <c r="H72" s="31"/>
      <c r="I72" s="21"/>
      <c r="J72" s="21"/>
      <c r="K72" s="21"/>
      <c r="L72" s="21"/>
      <c r="M72" s="21"/>
      <c r="N72" s="30"/>
      <c r="O72" s="21"/>
      <c r="P72" s="21"/>
      <c r="Q72" s="21"/>
      <c r="R72" s="32"/>
      <c r="S72" s="32"/>
      <c r="T72" s="21"/>
      <c r="U72" s="21"/>
      <c r="V72" s="21"/>
      <c r="W72" s="21"/>
      <c r="X72" s="21"/>
    </row>
    <row r="73" customFormat="false" ht="15.75" hidden="false" customHeight="false" outlineLevel="0" collapsed="false">
      <c r="A73" s="61"/>
      <c r="B73" s="29"/>
      <c r="C73" s="21"/>
      <c r="D73" s="21"/>
      <c r="E73" s="21"/>
      <c r="F73" s="21"/>
      <c r="G73" s="30"/>
      <c r="H73" s="31"/>
      <c r="I73" s="21"/>
      <c r="J73" s="21"/>
      <c r="K73" s="21"/>
      <c r="L73" s="21"/>
      <c r="M73" s="21"/>
      <c r="N73" s="30"/>
      <c r="O73" s="21"/>
      <c r="P73" s="21"/>
      <c r="Q73" s="21"/>
      <c r="R73" s="32"/>
      <c r="S73" s="32"/>
      <c r="T73" s="21"/>
      <c r="U73" s="21"/>
      <c r="V73" s="21"/>
      <c r="W73" s="21"/>
      <c r="X73" s="21"/>
    </row>
    <row r="74" customFormat="false" ht="15.75" hidden="false" customHeight="false" outlineLevel="0" collapsed="false">
      <c r="A74" s="61"/>
      <c r="B74" s="29"/>
      <c r="C74" s="21"/>
      <c r="D74" s="21"/>
      <c r="E74" s="21"/>
      <c r="F74" s="21"/>
      <c r="G74" s="30"/>
      <c r="H74" s="31"/>
      <c r="I74" s="21"/>
      <c r="J74" s="21"/>
      <c r="K74" s="21"/>
      <c r="L74" s="21"/>
      <c r="M74" s="21"/>
      <c r="N74" s="30"/>
      <c r="O74" s="21"/>
      <c r="P74" s="21"/>
      <c r="Q74" s="21"/>
      <c r="R74" s="32"/>
      <c r="S74" s="32"/>
      <c r="T74" s="21"/>
      <c r="U74" s="21"/>
      <c r="V74" s="21"/>
      <c r="W74" s="21"/>
      <c r="X74" s="21"/>
    </row>
    <row r="75" customFormat="false" ht="15.75" hidden="false" customHeight="false" outlineLevel="0" collapsed="false">
      <c r="A75" s="61"/>
      <c r="B75" s="29"/>
      <c r="C75" s="21"/>
      <c r="D75" s="21"/>
      <c r="E75" s="21"/>
      <c r="F75" s="21"/>
      <c r="G75" s="30"/>
      <c r="H75" s="31"/>
      <c r="I75" s="21"/>
      <c r="J75" s="21"/>
      <c r="K75" s="21"/>
      <c r="L75" s="21"/>
      <c r="M75" s="21"/>
      <c r="N75" s="30"/>
      <c r="O75" s="21"/>
      <c r="P75" s="21"/>
      <c r="Q75" s="21"/>
      <c r="R75" s="32"/>
      <c r="S75" s="32"/>
      <c r="T75" s="21"/>
      <c r="U75" s="21"/>
      <c r="V75" s="21"/>
      <c r="W75" s="21"/>
      <c r="X75" s="21"/>
    </row>
    <row r="76" customFormat="false" ht="15.75" hidden="false" customHeight="false" outlineLevel="0" collapsed="false">
      <c r="A76" s="61"/>
      <c r="B76" s="29"/>
      <c r="C76" s="21"/>
      <c r="D76" s="21"/>
      <c r="E76" s="21"/>
      <c r="F76" s="21"/>
      <c r="G76" s="30"/>
      <c r="H76" s="31"/>
      <c r="I76" s="21"/>
      <c r="J76" s="21"/>
      <c r="K76" s="21"/>
      <c r="L76" s="21"/>
      <c r="M76" s="21"/>
      <c r="N76" s="30"/>
      <c r="O76" s="21"/>
      <c r="P76" s="21"/>
      <c r="Q76" s="21"/>
      <c r="R76" s="32"/>
      <c r="S76" s="32"/>
      <c r="T76" s="21"/>
      <c r="U76" s="21"/>
      <c r="V76" s="21"/>
      <c r="W76" s="21"/>
      <c r="X76" s="21"/>
    </row>
    <row r="77" customFormat="false" ht="15.75" hidden="false" customHeight="false" outlineLevel="0" collapsed="false">
      <c r="A77" s="61"/>
      <c r="B77" s="29"/>
      <c r="C77" s="21"/>
      <c r="D77" s="21"/>
      <c r="E77" s="21"/>
      <c r="F77" s="21"/>
      <c r="G77" s="30"/>
      <c r="H77" s="31"/>
      <c r="I77" s="21"/>
      <c r="J77" s="21"/>
      <c r="K77" s="21"/>
      <c r="L77" s="21"/>
      <c r="M77" s="21"/>
      <c r="N77" s="30"/>
      <c r="O77" s="21"/>
      <c r="P77" s="21"/>
      <c r="Q77" s="21"/>
      <c r="R77" s="32"/>
      <c r="S77" s="32"/>
      <c r="T77" s="21"/>
      <c r="U77" s="21"/>
      <c r="V77" s="21"/>
      <c r="W77" s="21"/>
      <c r="X77" s="21"/>
    </row>
    <row r="78" customFormat="false" ht="15.75" hidden="false" customHeight="false" outlineLevel="0" collapsed="false">
      <c r="A78" s="61"/>
      <c r="B78" s="29"/>
      <c r="C78" s="21"/>
      <c r="D78" s="21"/>
      <c r="E78" s="21"/>
      <c r="F78" s="21"/>
      <c r="G78" s="30"/>
      <c r="H78" s="31"/>
      <c r="I78" s="21"/>
      <c r="J78" s="21"/>
      <c r="K78" s="21"/>
      <c r="L78" s="21"/>
      <c r="M78" s="21"/>
      <c r="N78" s="30"/>
      <c r="O78" s="21"/>
      <c r="P78" s="21"/>
      <c r="Q78" s="21"/>
      <c r="R78" s="32"/>
      <c r="S78" s="32"/>
      <c r="T78" s="21"/>
      <c r="U78" s="21"/>
      <c r="V78" s="21"/>
      <c r="W78" s="21"/>
      <c r="X78" s="21"/>
    </row>
    <row r="79" customFormat="false" ht="15.75" hidden="false" customHeight="false" outlineLevel="0" collapsed="false">
      <c r="A79" s="61"/>
      <c r="B79" s="29"/>
      <c r="C79" s="21"/>
      <c r="D79" s="21"/>
      <c r="E79" s="21"/>
      <c r="F79" s="21"/>
      <c r="G79" s="30"/>
      <c r="H79" s="31"/>
      <c r="I79" s="21"/>
      <c r="J79" s="21"/>
      <c r="K79" s="21"/>
      <c r="L79" s="21"/>
      <c r="M79" s="21"/>
      <c r="N79" s="30"/>
      <c r="O79" s="21"/>
      <c r="P79" s="21"/>
      <c r="Q79" s="21"/>
      <c r="R79" s="32"/>
      <c r="S79" s="32"/>
      <c r="T79" s="21"/>
      <c r="U79" s="21"/>
      <c r="V79" s="21"/>
      <c r="W79" s="21"/>
      <c r="X79" s="21"/>
    </row>
    <row r="80" customFormat="false" ht="15.75" hidden="false" customHeight="false" outlineLevel="0" collapsed="false">
      <c r="A80" s="61"/>
      <c r="B80" s="29"/>
      <c r="C80" s="21"/>
      <c r="D80" s="21"/>
      <c r="E80" s="21"/>
      <c r="F80" s="21"/>
      <c r="G80" s="30"/>
      <c r="H80" s="31"/>
      <c r="I80" s="21"/>
      <c r="J80" s="21"/>
      <c r="K80" s="21"/>
      <c r="L80" s="21"/>
      <c r="M80" s="21"/>
      <c r="N80" s="30"/>
      <c r="O80" s="21"/>
      <c r="P80" s="21"/>
      <c r="Q80" s="21"/>
      <c r="R80" s="32"/>
      <c r="S80" s="32"/>
      <c r="T80" s="21"/>
      <c r="U80" s="21"/>
      <c r="V80" s="21"/>
      <c r="W80" s="21"/>
      <c r="X80" s="21"/>
    </row>
    <row r="81" customFormat="false" ht="15.75" hidden="false" customHeight="false" outlineLevel="0" collapsed="false">
      <c r="A81" s="61"/>
      <c r="B81" s="29"/>
      <c r="C81" s="21"/>
      <c r="D81" s="21"/>
      <c r="E81" s="21"/>
      <c r="F81" s="21"/>
      <c r="G81" s="30"/>
      <c r="H81" s="31"/>
      <c r="I81" s="21"/>
      <c r="J81" s="21"/>
      <c r="K81" s="21"/>
      <c r="L81" s="21"/>
      <c r="M81" s="21"/>
      <c r="N81" s="30"/>
      <c r="O81" s="21"/>
      <c r="P81" s="21"/>
      <c r="Q81" s="21"/>
      <c r="R81" s="32"/>
      <c r="S81" s="32"/>
      <c r="T81" s="21"/>
      <c r="U81" s="21"/>
      <c r="V81" s="21"/>
      <c r="W81" s="21"/>
      <c r="X81" s="21"/>
    </row>
    <row r="82" customFormat="false" ht="15.75" hidden="false" customHeight="false" outlineLevel="0" collapsed="false">
      <c r="A82" s="61"/>
      <c r="B82" s="29"/>
      <c r="C82" s="21"/>
      <c r="D82" s="21"/>
      <c r="E82" s="21"/>
      <c r="F82" s="21"/>
      <c r="G82" s="30"/>
      <c r="H82" s="31"/>
      <c r="I82" s="21"/>
      <c r="J82" s="21"/>
      <c r="K82" s="21"/>
      <c r="L82" s="21"/>
      <c r="M82" s="21"/>
      <c r="N82" s="30"/>
      <c r="O82" s="21"/>
      <c r="P82" s="21"/>
      <c r="Q82" s="21"/>
      <c r="R82" s="32"/>
      <c r="S82" s="32"/>
      <c r="T82" s="21"/>
      <c r="U82" s="21"/>
      <c r="V82" s="21"/>
      <c r="W82" s="21"/>
      <c r="X82" s="21"/>
    </row>
    <row r="83" customFormat="false" ht="15.75" hidden="false" customHeight="false" outlineLevel="0" collapsed="false">
      <c r="A83" s="61"/>
      <c r="B83" s="29"/>
      <c r="C83" s="21"/>
      <c r="D83" s="21"/>
      <c r="E83" s="21"/>
      <c r="F83" s="21"/>
      <c r="G83" s="30"/>
      <c r="H83" s="31"/>
      <c r="I83" s="21"/>
      <c r="J83" s="21"/>
      <c r="K83" s="21"/>
      <c r="L83" s="21"/>
      <c r="M83" s="21"/>
      <c r="N83" s="30"/>
      <c r="O83" s="21"/>
      <c r="P83" s="21"/>
      <c r="Q83" s="21"/>
      <c r="R83" s="32"/>
      <c r="S83" s="32"/>
      <c r="T83" s="21"/>
      <c r="U83" s="21"/>
      <c r="V83" s="21"/>
      <c r="W83" s="21"/>
      <c r="X83" s="21"/>
    </row>
    <row r="84" customFormat="false" ht="15.75" hidden="false" customHeight="false" outlineLevel="0" collapsed="false">
      <c r="A84" s="61"/>
      <c r="B84" s="29"/>
      <c r="C84" s="21"/>
      <c r="D84" s="21"/>
      <c r="E84" s="21"/>
      <c r="F84" s="21"/>
      <c r="G84" s="30"/>
      <c r="H84" s="31"/>
      <c r="I84" s="21"/>
      <c r="J84" s="21"/>
      <c r="K84" s="21"/>
      <c r="L84" s="21"/>
      <c r="M84" s="21"/>
      <c r="N84" s="30"/>
      <c r="O84" s="21"/>
      <c r="P84" s="21"/>
      <c r="Q84" s="21"/>
      <c r="R84" s="32"/>
      <c r="S84" s="32"/>
      <c r="T84" s="21"/>
      <c r="U84" s="21"/>
      <c r="V84" s="21"/>
      <c r="W84" s="21"/>
      <c r="X84" s="21"/>
    </row>
    <row r="85" customFormat="false" ht="15.75" hidden="false" customHeight="false" outlineLevel="0" collapsed="false">
      <c r="A85" s="61"/>
      <c r="B85" s="29"/>
      <c r="C85" s="21"/>
      <c r="D85" s="21"/>
      <c r="E85" s="21"/>
      <c r="F85" s="21"/>
      <c r="G85" s="30"/>
      <c r="H85" s="31"/>
      <c r="I85" s="21"/>
      <c r="J85" s="21"/>
      <c r="K85" s="21"/>
      <c r="L85" s="21"/>
      <c r="M85" s="21"/>
      <c r="N85" s="30"/>
      <c r="O85" s="21"/>
      <c r="P85" s="21"/>
      <c r="Q85" s="21"/>
      <c r="R85" s="32"/>
      <c r="S85" s="32"/>
      <c r="T85" s="21"/>
      <c r="U85" s="21"/>
      <c r="V85" s="21"/>
      <c r="W85" s="21"/>
      <c r="X85" s="21"/>
    </row>
    <row r="86" customFormat="false" ht="15.75" hidden="false" customHeight="false" outlineLevel="0" collapsed="false">
      <c r="A86" s="61"/>
      <c r="B86" s="29"/>
      <c r="C86" s="21"/>
      <c r="D86" s="21"/>
      <c r="E86" s="21"/>
      <c r="F86" s="21"/>
      <c r="G86" s="30"/>
      <c r="H86" s="31"/>
      <c r="I86" s="21"/>
      <c r="J86" s="21"/>
      <c r="K86" s="21"/>
      <c r="L86" s="21"/>
      <c r="M86" s="21"/>
      <c r="N86" s="30"/>
      <c r="O86" s="21"/>
      <c r="P86" s="21"/>
      <c r="Q86" s="21"/>
      <c r="R86" s="32"/>
      <c r="S86" s="32"/>
      <c r="T86" s="21"/>
      <c r="U86" s="21"/>
      <c r="V86" s="21"/>
      <c r="W86" s="21"/>
      <c r="X86" s="21"/>
    </row>
    <row r="87" customFormat="false" ht="15.75" hidden="false" customHeight="false" outlineLevel="0" collapsed="false">
      <c r="A87" s="61"/>
      <c r="B87" s="29"/>
      <c r="C87" s="21"/>
      <c r="D87" s="21"/>
      <c r="E87" s="21"/>
      <c r="F87" s="21"/>
      <c r="G87" s="30"/>
      <c r="H87" s="31"/>
      <c r="I87" s="21"/>
      <c r="J87" s="21"/>
      <c r="K87" s="21"/>
      <c r="L87" s="21"/>
      <c r="M87" s="21"/>
      <c r="N87" s="30"/>
      <c r="O87" s="21"/>
      <c r="P87" s="21"/>
      <c r="Q87" s="21"/>
      <c r="R87" s="32"/>
      <c r="S87" s="32"/>
      <c r="T87" s="21"/>
      <c r="U87" s="21"/>
      <c r="V87" s="21"/>
      <c r="W87" s="21"/>
      <c r="X87" s="21"/>
    </row>
    <row r="88" customFormat="false" ht="15.75" hidden="false" customHeight="false" outlineLevel="0" collapsed="false">
      <c r="A88" s="61"/>
      <c r="B88" s="29"/>
      <c r="C88" s="21"/>
      <c r="D88" s="21"/>
      <c r="E88" s="21"/>
      <c r="F88" s="21"/>
      <c r="G88" s="30"/>
      <c r="H88" s="31"/>
      <c r="I88" s="21"/>
      <c r="J88" s="21"/>
      <c r="K88" s="21"/>
      <c r="L88" s="21"/>
      <c r="M88" s="21"/>
      <c r="N88" s="30"/>
      <c r="O88" s="21"/>
      <c r="P88" s="21"/>
      <c r="Q88" s="21"/>
      <c r="R88" s="32"/>
      <c r="S88" s="32"/>
      <c r="T88" s="21"/>
      <c r="U88" s="21"/>
      <c r="V88" s="21"/>
      <c r="W88" s="21"/>
      <c r="X88" s="21"/>
    </row>
    <row r="89" customFormat="false" ht="15.75" hidden="false" customHeight="false" outlineLevel="0" collapsed="false">
      <c r="A89" s="61"/>
      <c r="B89" s="29"/>
      <c r="C89" s="21"/>
      <c r="D89" s="21"/>
      <c r="E89" s="21"/>
      <c r="F89" s="21"/>
      <c r="G89" s="30"/>
      <c r="H89" s="31"/>
      <c r="I89" s="21"/>
      <c r="J89" s="21"/>
      <c r="K89" s="21"/>
      <c r="L89" s="21"/>
      <c r="M89" s="21"/>
      <c r="N89" s="30"/>
      <c r="O89" s="21"/>
      <c r="P89" s="21"/>
      <c r="Q89" s="21"/>
      <c r="R89" s="32"/>
      <c r="S89" s="32"/>
      <c r="T89" s="21"/>
      <c r="U89" s="21"/>
      <c r="V89" s="21"/>
      <c r="W89" s="21"/>
      <c r="X89" s="21"/>
    </row>
    <row r="90" customFormat="false" ht="15.75" hidden="false" customHeight="false" outlineLevel="0" collapsed="false">
      <c r="A90" s="61"/>
      <c r="B90" s="29"/>
      <c r="C90" s="21"/>
      <c r="D90" s="21"/>
      <c r="E90" s="21"/>
      <c r="F90" s="21"/>
      <c r="G90" s="30"/>
      <c r="H90" s="31"/>
      <c r="I90" s="21"/>
      <c r="J90" s="21"/>
      <c r="K90" s="21"/>
      <c r="L90" s="21"/>
      <c r="M90" s="21"/>
      <c r="N90" s="30"/>
      <c r="O90" s="21"/>
      <c r="P90" s="21"/>
      <c r="Q90" s="21"/>
      <c r="R90" s="32"/>
      <c r="S90" s="32"/>
      <c r="T90" s="21"/>
      <c r="U90" s="21"/>
      <c r="V90" s="21"/>
      <c r="W90" s="21"/>
      <c r="X90" s="21"/>
    </row>
    <row r="91" customFormat="false" ht="15.75" hidden="false" customHeight="false" outlineLevel="0" collapsed="false">
      <c r="A91" s="61"/>
      <c r="B91" s="29"/>
      <c r="C91" s="21"/>
      <c r="D91" s="21"/>
      <c r="E91" s="21"/>
      <c r="F91" s="21"/>
      <c r="G91" s="30"/>
      <c r="H91" s="31"/>
      <c r="I91" s="21"/>
      <c r="J91" s="21"/>
      <c r="K91" s="21"/>
      <c r="L91" s="21"/>
      <c r="M91" s="21"/>
      <c r="N91" s="30"/>
      <c r="O91" s="21"/>
      <c r="P91" s="21"/>
      <c r="Q91" s="21"/>
      <c r="R91" s="32"/>
      <c r="S91" s="32"/>
      <c r="T91" s="21"/>
      <c r="U91" s="21"/>
      <c r="V91" s="21"/>
      <c r="W91" s="21"/>
      <c r="X91" s="21"/>
    </row>
    <row r="92" customFormat="false" ht="15.75" hidden="false" customHeight="false" outlineLevel="0" collapsed="false">
      <c r="A92" s="61"/>
      <c r="B92" s="29"/>
      <c r="C92" s="21"/>
      <c r="D92" s="21"/>
      <c r="E92" s="21"/>
      <c r="F92" s="21"/>
      <c r="G92" s="30"/>
      <c r="H92" s="31"/>
      <c r="I92" s="21"/>
      <c r="J92" s="21"/>
      <c r="K92" s="21"/>
      <c r="L92" s="21"/>
      <c r="M92" s="21"/>
      <c r="N92" s="30"/>
      <c r="O92" s="21"/>
      <c r="P92" s="21"/>
      <c r="Q92" s="21"/>
      <c r="R92" s="32"/>
      <c r="S92" s="32"/>
      <c r="T92" s="21"/>
      <c r="U92" s="21"/>
      <c r="V92" s="21"/>
      <c r="W92" s="21"/>
      <c r="X92" s="21"/>
    </row>
    <row r="93" customFormat="false" ht="15.75" hidden="false" customHeight="false" outlineLevel="0" collapsed="false">
      <c r="A93" s="61"/>
      <c r="B93" s="29"/>
      <c r="C93" s="21"/>
      <c r="D93" s="21"/>
      <c r="E93" s="21"/>
      <c r="F93" s="21"/>
      <c r="G93" s="30"/>
      <c r="H93" s="31"/>
      <c r="I93" s="21"/>
      <c r="J93" s="21"/>
      <c r="K93" s="21"/>
      <c r="L93" s="21"/>
      <c r="M93" s="21"/>
      <c r="N93" s="30"/>
      <c r="O93" s="21"/>
      <c r="P93" s="21"/>
      <c r="Q93" s="21"/>
      <c r="R93" s="32"/>
      <c r="S93" s="32"/>
      <c r="T93" s="21"/>
      <c r="U93" s="21"/>
      <c r="V93" s="21"/>
      <c r="W93" s="21"/>
      <c r="X93" s="21"/>
    </row>
    <row r="94" customFormat="false" ht="15.75" hidden="false" customHeight="false" outlineLevel="0" collapsed="false">
      <c r="A94" s="61"/>
      <c r="B94" s="29"/>
      <c r="C94" s="21"/>
      <c r="D94" s="21"/>
      <c r="E94" s="21"/>
      <c r="F94" s="21"/>
      <c r="G94" s="30"/>
      <c r="H94" s="31"/>
      <c r="I94" s="21"/>
      <c r="J94" s="21"/>
      <c r="K94" s="21"/>
      <c r="L94" s="21"/>
      <c r="M94" s="21"/>
      <c r="N94" s="30"/>
      <c r="O94" s="21"/>
      <c r="P94" s="21"/>
      <c r="Q94" s="21"/>
      <c r="R94" s="32"/>
      <c r="S94" s="32"/>
      <c r="T94" s="21"/>
      <c r="U94" s="21"/>
      <c r="V94" s="21"/>
      <c r="W94" s="21"/>
      <c r="X94" s="21"/>
    </row>
    <row r="95" customFormat="false" ht="15.75" hidden="false" customHeight="false" outlineLevel="0" collapsed="false">
      <c r="A95" s="61"/>
      <c r="B95" s="29"/>
      <c r="C95" s="21"/>
      <c r="D95" s="21"/>
      <c r="E95" s="21"/>
      <c r="F95" s="21"/>
      <c r="G95" s="30"/>
      <c r="H95" s="31"/>
      <c r="I95" s="21"/>
      <c r="J95" s="21"/>
      <c r="K95" s="21"/>
      <c r="L95" s="21"/>
      <c r="M95" s="21"/>
      <c r="N95" s="30"/>
      <c r="O95" s="21"/>
      <c r="P95" s="21"/>
      <c r="Q95" s="21"/>
      <c r="R95" s="32"/>
      <c r="S95" s="32"/>
      <c r="T95" s="21"/>
      <c r="U95" s="21"/>
      <c r="V95" s="21"/>
      <c r="W95" s="21"/>
      <c r="X95" s="21"/>
    </row>
    <row r="96" customFormat="false" ht="15.75" hidden="false" customHeight="false" outlineLevel="0" collapsed="false">
      <c r="A96" s="61"/>
      <c r="B96" s="29"/>
      <c r="C96" s="21"/>
      <c r="D96" s="21"/>
      <c r="E96" s="21"/>
      <c r="F96" s="21"/>
      <c r="G96" s="30"/>
      <c r="H96" s="31"/>
      <c r="I96" s="21"/>
      <c r="J96" s="21"/>
      <c r="K96" s="21"/>
      <c r="L96" s="21"/>
      <c r="M96" s="21"/>
      <c r="N96" s="30"/>
      <c r="O96" s="21"/>
      <c r="P96" s="21"/>
      <c r="Q96" s="21"/>
      <c r="R96" s="32"/>
      <c r="S96" s="32"/>
      <c r="T96" s="21"/>
      <c r="U96" s="21"/>
      <c r="V96" s="21"/>
      <c r="W96" s="21"/>
      <c r="X96" s="21"/>
    </row>
    <row r="97" customFormat="false" ht="15.75" hidden="false" customHeight="false" outlineLevel="0" collapsed="false">
      <c r="A97" s="61"/>
      <c r="B97" s="29"/>
      <c r="C97" s="21"/>
      <c r="D97" s="21"/>
      <c r="E97" s="21"/>
      <c r="F97" s="21"/>
      <c r="G97" s="30"/>
      <c r="H97" s="31"/>
      <c r="I97" s="21"/>
      <c r="J97" s="21"/>
      <c r="K97" s="21"/>
      <c r="L97" s="21"/>
      <c r="M97" s="21"/>
      <c r="N97" s="30"/>
      <c r="O97" s="21"/>
      <c r="P97" s="21"/>
      <c r="Q97" s="21"/>
      <c r="R97" s="32"/>
      <c r="S97" s="32"/>
      <c r="T97" s="21"/>
      <c r="U97" s="21"/>
      <c r="V97" s="21"/>
      <c r="W97" s="21"/>
      <c r="X97" s="21"/>
    </row>
    <row r="98" customFormat="false" ht="15.75" hidden="false" customHeight="false" outlineLevel="0" collapsed="false">
      <c r="A98" s="61"/>
      <c r="B98" s="29"/>
      <c r="C98" s="21"/>
      <c r="D98" s="21"/>
      <c r="E98" s="21"/>
      <c r="F98" s="21"/>
      <c r="G98" s="30"/>
      <c r="H98" s="31"/>
      <c r="I98" s="21"/>
      <c r="J98" s="21"/>
      <c r="K98" s="21"/>
      <c r="L98" s="21"/>
      <c r="M98" s="21"/>
      <c r="N98" s="30"/>
      <c r="O98" s="21"/>
      <c r="P98" s="21"/>
      <c r="Q98" s="21"/>
      <c r="R98" s="32"/>
      <c r="S98" s="32"/>
      <c r="T98" s="21"/>
      <c r="U98" s="21"/>
      <c r="V98" s="21"/>
      <c r="W98" s="21"/>
      <c r="X98" s="21"/>
    </row>
    <row r="99" customFormat="false" ht="15.75" hidden="false" customHeight="false" outlineLevel="0" collapsed="false">
      <c r="A99" s="61"/>
      <c r="B99" s="29"/>
      <c r="C99" s="21"/>
      <c r="D99" s="21"/>
      <c r="E99" s="21"/>
      <c r="F99" s="21"/>
      <c r="G99" s="30"/>
      <c r="H99" s="31"/>
      <c r="I99" s="21"/>
      <c r="J99" s="21"/>
      <c r="K99" s="21"/>
      <c r="L99" s="21"/>
      <c r="M99" s="21"/>
      <c r="N99" s="30"/>
      <c r="O99" s="21"/>
      <c r="P99" s="21"/>
      <c r="Q99" s="21"/>
      <c r="R99" s="32"/>
      <c r="S99" s="32"/>
      <c r="T99" s="21"/>
      <c r="U99" s="21"/>
      <c r="V99" s="21"/>
      <c r="W99" s="21"/>
      <c r="X99" s="21"/>
    </row>
    <row r="100" customFormat="false" ht="15.75" hidden="false" customHeight="false" outlineLevel="0" collapsed="false">
      <c r="A100" s="61"/>
      <c r="B100" s="29"/>
      <c r="C100" s="21"/>
      <c r="D100" s="21"/>
      <c r="E100" s="21"/>
      <c r="F100" s="21"/>
      <c r="G100" s="30"/>
      <c r="H100" s="31"/>
      <c r="I100" s="21"/>
      <c r="J100" s="21"/>
      <c r="K100" s="21"/>
      <c r="L100" s="21"/>
      <c r="M100" s="21"/>
      <c r="N100" s="30"/>
      <c r="O100" s="21"/>
      <c r="P100" s="21"/>
      <c r="Q100" s="21"/>
      <c r="R100" s="32"/>
      <c r="S100" s="32"/>
      <c r="T100" s="21"/>
      <c r="U100" s="21"/>
      <c r="V100" s="21"/>
      <c r="W100" s="21"/>
      <c r="X100" s="21"/>
    </row>
    <row r="101" customFormat="false" ht="15.75" hidden="false" customHeight="false" outlineLevel="0" collapsed="false">
      <c r="A101" s="61"/>
      <c r="B101" s="29"/>
      <c r="C101" s="21"/>
      <c r="D101" s="21"/>
      <c r="E101" s="21"/>
      <c r="F101" s="21"/>
      <c r="G101" s="30"/>
      <c r="H101" s="31"/>
      <c r="I101" s="21"/>
      <c r="J101" s="21"/>
      <c r="K101" s="21"/>
      <c r="L101" s="21"/>
      <c r="M101" s="21"/>
      <c r="N101" s="30"/>
      <c r="O101" s="21"/>
      <c r="P101" s="21"/>
      <c r="Q101" s="21"/>
      <c r="R101" s="32"/>
      <c r="S101" s="32"/>
      <c r="T101" s="21"/>
      <c r="U101" s="21"/>
      <c r="V101" s="21"/>
      <c r="W101" s="21"/>
      <c r="X101" s="21"/>
    </row>
    <row r="102" customFormat="false" ht="15.75" hidden="false" customHeight="false" outlineLevel="0" collapsed="false">
      <c r="A102" s="61"/>
      <c r="B102" s="29"/>
      <c r="C102" s="21"/>
      <c r="D102" s="21"/>
      <c r="E102" s="21"/>
      <c r="F102" s="21"/>
      <c r="G102" s="30"/>
      <c r="H102" s="31"/>
      <c r="I102" s="21"/>
      <c r="J102" s="21"/>
      <c r="K102" s="21"/>
      <c r="L102" s="21"/>
      <c r="M102" s="21"/>
      <c r="N102" s="30"/>
      <c r="O102" s="21"/>
      <c r="P102" s="21"/>
      <c r="Q102" s="21"/>
      <c r="R102" s="32"/>
      <c r="S102" s="32"/>
      <c r="T102" s="21"/>
      <c r="U102" s="21"/>
      <c r="V102" s="21"/>
      <c r="W102" s="21"/>
      <c r="X102" s="21"/>
    </row>
    <row r="103" customFormat="false" ht="15.75" hidden="false" customHeight="false" outlineLevel="0" collapsed="false">
      <c r="A103" s="61"/>
      <c r="B103" s="29"/>
      <c r="C103" s="21"/>
      <c r="D103" s="21"/>
      <c r="E103" s="21"/>
      <c r="F103" s="21"/>
      <c r="G103" s="30"/>
      <c r="H103" s="31"/>
      <c r="I103" s="21"/>
      <c r="J103" s="21"/>
      <c r="K103" s="21"/>
      <c r="L103" s="21"/>
      <c r="M103" s="21"/>
      <c r="N103" s="30"/>
      <c r="O103" s="21"/>
      <c r="P103" s="21"/>
      <c r="Q103" s="21"/>
      <c r="R103" s="32"/>
      <c r="S103" s="32"/>
      <c r="T103" s="21"/>
      <c r="U103" s="21"/>
      <c r="V103" s="21"/>
      <c r="W103" s="21"/>
      <c r="X103" s="21"/>
    </row>
    <row r="104" customFormat="false" ht="15.75" hidden="false" customHeight="false" outlineLevel="0" collapsed="false">
      <c r="A104" s="61"/>
      <c r="B104" s="29"/>
      <c r="C104" s="21"/>
      <c r="D104" s="21"/>
      <c r="E104" s="21"/>
      <c r="F104" s="21"/>
      <c r="G104" s="30"/>
      <c r="H104" s="31"/>
      <c r="I104" s="21"/>
      <c r="J104" s="21"/>
      <c r="K104" s="21"/>
      <c r="L104" s="21"/>
      <c r="M104" s="21"/>
      <c r="N104" s="30"/>
      <c r="O104" s="21"/>
      <c r="P104" s="21"/>
      <c r="Q104" s="21"/>
      <c r="R104" s="32"/>
      <c r="S104" s="32"/>
      <c r="T104" s="21"/>
      <c r="U104" s="21"/>
      <c r="V104" s="21"/>
      <c r="W104" s="21"/>
      <c r="X104" s="21"/>
    </row>
    <row r="105" customFormat="false" ht="15.75" hidden="false" customHeight="false" outlineLevel="0" collapsed="false">
      <c r="A105" s="61"/>
      <c r="B105" s="29"/>
      <c r="C105" s="21"/>
      <c r="D105" s="21"/>
      <c r="E105" s="21"/>
      <c r="F105" s="21"/>
      <c r="G105" s="30"/>
      <c r="H105" s="31"/>
      <c r="I105" s="21"/>
      <c r="J105" s="21"/>
      <c r="K105" s="21"/>
      <c r="L105" s="21"/>
      <c r="M105" s="21"/>
      <c r="N105" s="30"/>
      <c r="O105" s="21"/>
      <c r="P105" s="21"/>
      <c r="Q105" s="21"/>
      <c r="R105" s="32"/>
      <c r="S105" s="32"/>
      <c r="T105" s="21"/>
      <c r="U105" s="21"/>
      <c r="V105" s="21"/>
      <c r="W105" s="21"/>
      <c r="X105" s="21"/>
    </row>
    <row r="106" customFormat="false" ht="15.75" hidden="false" customHeight="false" outlineLevel="0" collapsed="false">
      <c r="A106" s="61"/>
      <c r="B106" s="29"/>
      <c r="C106" s="21"/>
      <c r="D106" s="21"/>
      <c r="E106" s="21"/>
      <c r="F106" s="21"/>
      <c r="G106" s="30"/>
      <c r="H106" s="31"/>
      <c r="I106" s="21"/>
      <c r="J106" s="21"/>
      <c r="K106" s="21"/>
      <c r="L106" s="21"/>
      <c r="M106" s="21"/>
      <c r="N106" s="30"/>
      <c r="O106" s="21"/>
      <c r="P106" s="21"/>
      <c r="Q106" s="21"/>
      <c r="R106" s="32"/>
      <c r="S106" s="32"/>
      <c r="T106" s="21"/>
      <c r="U106" s="21"/>
      <c r="V106" s="21"/>
      <c r="W106" s="21"/>
      <c r="X106" s="21"/>
    </row>
    <row r="107" customFormat="false" ht="15.75" hidden="false" customHeight="false" outlineLevel="0" collapsed="false">
      <c r="A107" s="61"/>
      <c r="B107" s="29"/>
      <c r="C107" s="21"/>
      <c r="D107" s="21"/>
      <c r="E107" s="21"/>
      <c r="F107" s="21"/>
      <c r="G107" s="30"/>
      <c r="H107" s="31"/>
      <c r="I107" s="21"/>
      <c r="J107" s="21"/>
      <c r="K107" s="21"/>
      <c r="L107" s="21"/>
      <c r="M107" s="21"/>
      <c r="N107" s="30"/>
      <c r="O107" s="21"/>
      <c r="P107" s="21"/>
      <c r="Q107" s="21"/>
      <c r="R107" s="32"/>
      <c r="S107" s="32"/>
      <c r="T107" s="21"/>
      <c r="U107" s="21"/>
      <c r="V107" s="21"/>
      <c r="W107" s="21"/>
      <c r="X107" s="21"/>
    </row>
    <row r="108" customFormat="false" ht="15.75" hidden="false" customHeight="false" outlineLevel="0" collapsed="false">
      <c r="A108" s="61"/>
      <c r="B108" s="29"/>
      <c r="C108" s="21"/>
      <c r="D108" s="21"/>
      <c r="E108" s="21"/>
      <c r="F108" s="21"/>
      <c r="G108" s="30"/>
      <c r="H108" s="31"/>
      <c r="I108" s="21"/>
      <c r="J108" s="21"/>
      <c r="K108" s="21"/>
      <c r="L108" s="21"/>
      <c r="M108" s="21"/>
      <c r="N108" s="30"/>
      <c r="O108" s="21"/>
      <c r="P108" s="21"/>
      <c r="Q108" s="21"/>
      <c r="R108" s="32"/>
      <c r="S108" s="32"/>
      <c r="T108" s="21"/>
      <c r="U108" s="21"/>
      <c r="V108" s="21"/>
      <c r="W108" s="21"/>
      <c r="X108" s="21"/>
    </row>
    <row r="109" customFormat="false" ht="15.75" hidden="false" customHeight="false" outlineLevel="0" collapsed="false">
      <c r="A109" s="61"/>
      <c r="B109" s="29"/>
      <c r="C109" s="21"/>
      <c r="D109" s="21"/>
      <c r="E109" s="21"/>
      <c r="F109" s="21"/>
      <c r="G109" s="30"/>
      <c r="H109" s="31"/>
      <c r="I109" s="21"/>
      <c r="J109" s="21"/>
      <c r="K109" s="21"/>
      <c r="L109" s="21"/>
      <c r="M109" s="21"/>
      <c r="N109" s="30"/>
      <c r="O109" s="21"/>
      <c r="P109" s="21"/>
      <c r="Q109" s="21"/>
      <c r="R109" s="32"/>
      <c r="S109" s="32"/>
      <c r="T109" s="21"/>
      <c r="U109" s="21"/>
      <c r="V109" s="21"/>
      <c r="W109" s="21"/>
      <c r="X109" s="21"/>
    </row>
    <row r="110" customFormat="false" ht="15.75" hidden="false" customHeight="false" outlineLevel="0" collapsed="false">
      <c r="A110" s="61"/>
      <c r="B110" s="29"/>
      <c r="C110" s="21"/>
      <c r="D110" s="21"/>
      <c r="E110" s="21"/>
      <c r="F110" s="21"/>
      <c r="G110" s="30"/>
      <c r="H110" s="31"/>
      <c r="I110" s="21"/>
      <c r="J110" s="21"/>
      <c r="K110" s="21"/>
      <c r="L110" s="21"/>
      <c r="M110" s="21"/>
      <c r="N110" s="30"/>
      <c r="O110" s="21"/>
      <c r="P110" s="21"/>
      <c r="Q110" s="21"/>
      <c r="R110" s="32"/>
      <c r="S110" s="32"/>
      <c r="T110" s="21"/>
      <c r="U110" s="21"/>
      <c r="V110" s="21"/>
      <c r="W110" s="21"/>
      <c r="X110" s="21"/>
    </row>
    <row r="111" customFormat="false" ht="15.75" hidden="false" customHeight="false" outlineLevel="0" collapsed="false">
      <c r="A111" s="61"/>
      <c r="B111" s="29"/>
      <c r="C111" s="21"/>
      <c r="D111" s="21"/>
      <c r="E111" s="21"/>
      <c r="F111" s="21"/>
      <c r="G111" s="30"/>
      <c r="H111" s="31"/>
      <c r="I111" s="21"/>
      <c r="J111" s="21"/>
      <c r="K111" s="21"/>
      <c r="L111" s="21"/>
      <c r="M111" s="21"/>
      <c r="N111" s="30"/>
      <c r="O111" s="21"/>
      <c r="P111" s="21"/>
      <c r="Q111" s="21"/>
      <c r="R111" s="32"/>
      <c r="S111" s="32"/>
      <c r="T111" s="21"/>
      <c r="U111" s="21"/>
      <c r="V111" s="21"/>
      <c r="W111" s="21"/>
      <c r="X111" s="21"/>
    </row>
    <row r="112" customFormat="false" ht="15.75" hidden="false" customHeight="false" outlineLevel="0" collapsed="false">
      <c r="A112" s="61"/>
      <c r="B112" s="29"/>
      <c r="C112" s="21"/>
      <c r="D112" s="21"/>
      <c r="E112" s="21"/>
      <c r="F112" s="21"/>
      <c r="G112" s="30"/>
      <c r="H112" s="31"/>
      <c r="I112" s="21"/>
      <c r="J112" s="21"/>
      <c r="K112" s="21"/>
      <c r="L112" s="21"/>
      <c r="M112" s="21"/>
      <c r="N112" s="30"/>
      <c r="O112" s="21"/>
      <c r="P112" s="21"/>
      <c r="Q112" s="21"/>
      <c r="R112" s="32"/>
      <c r="S112" s="32"/>
      <c r="T112" s="21"/>
      <c r="U112" s="21"/>
      <c r="V112" s="21"/>
      <c r="W112" s="21"/>
      <c r="X112" s="21"/>
    </row>
    <row r="113" customFormat="false" ht="15.75" hidden="false" customHeight="false" outlineLevel="0" collapsed="false">
      <c r="A113" s="61"/>
      <c r="B113" s="29"/>
      <c r="C113" s="21"/>
      <c r="D113" s="21"/>
      <c r="E113" s="21"/>
      <c r="F113" s="21"/>
      <c r="G113" s="30"/>
      <c r="H113" s="31"/>
      <c r="I113" s="21"/>
      <c r="J113" s="21"/>
      <c r="K113" s="21"/>
      <c r="L113" s="21"/>
      <c r="M113" s="21"/>
      <c r="N113" s="30"/>
      <c r="O113" s="21"/>
      <c r="P113" s="21"/>
      <c r="Q113" s="21"/>
      <c r="R113" s="32"/>
      <c r="S113" s="32"/>
      <c r="T113" s="21"/>
      <c r="U113" s="21"/>
      <c r="V113" s="21"/>
      <c r="W113" s="21"/>
      <c r="X113" s="21"/>
    </row>
    <row r="114" customFormat="false" ht="15.75" hidden="false" customHeight="false" outlineLevel="0" collapsed="false">
      <c r="A114" s="61"/>
      <c r="B114" s="29"/>
      <c r="C114" s="21"/>
      <c r="D114" s="21"/>
      <c r="E114" s="21"/>
      <c r="F114" s="21"/>
      <c r="G114" s="30"/>
      <c r="H114" s="31"/>
      <c r="I114" s="21"/>
      <c r="J114" s="21"/>
      <c r="K114" s="21"/>
      <c r="L114" s="21"/>
      <c r="M114" s="21"/>
      <c r="N114" s="30"/>
      <c r="O114" s="21"/>
      <c r="P114" s="21"/>
      <c r="Q114" s="21"/>
      <c r="R114" s="32"/>
      <c r="S114" s="32"/>
      <c r="T114" s="21"/>
      <c r="U114" s="21"/>
      <c r="V114" s="21"/>
      <c r="W114" s="21"/>
      <c r="X114" s="21"/>
    </row>
    <row r="115" customFormat="false" ht="15.75" hidden="false" customHeight="false" outlineLevel="0" collapsed="false">
      <c r="A115" s="61"/>
      <c r="B115" s="29"/>
      <c r="C115" s="21"/>
      <c r="D115" s="21"/>
      <c r="E115" s="21"/>
      <c r="F115" s="21"/>
      <c r="G115" s="30"/>
      <c r="H115" s="31"/>
      <c r="I115" s="21"/>
      <c r="J115" s="21"/>
      <c r="K115" s="21"/>
      <c r="L115" s="21"/>
      <c r="M115" s="21"/>
      <c r="N115" s="30"/>
      <c r="O115" s="21"/>
      <c r="P115" s="21"/>
      <c r="Q115" s="21"/>
      <c r="R115" s="32"/>
      <c r="S115" s="32"/>
      <c r="T115" s="21"/>
      <c r="U115" s="21"/>
      <c r="V115" s="21"/>
      <c r="W115" s="21"/>
      <c r="X115" s="21"/>
    </row>
    <row r="116" customFormat="false" ht="15.75" hidden="false" customHeight="false" outlineLevel="0" collapsed="false">
      <c r="A116" s="61"/>
      <c r="B116" s="29"/>
      <c r="C116" s="21"/>
      <c r="D116" s="21"/>
      <c r="E116" s="21"/>
      <c r="F116" s="21"/>
      <c r="G116" s="30"/>
      <c r="H116" s="31"/>
      <c r="I116" s="21"/>
      <c r="J116" s="21"/>
      <c r="K116" s="21"/>
      <c r="L116" s="21"/>
      <c r="M116" s="21"/>
      <c r="N116" s="30"/>
      <c r="O116" s="21"/>
      <c r="P116" s="21"/>
      <c r="Q116" s="21"/>
      <c r="R116" s="32"/>
      <c r="S116" s="32"/>
      <c r="T116" s="21"/>
      <c r="U116" s="21"/>
      <c r="V116" s="21"/>
      <c r="W116" s="21"/>
      <c r="X116" s="21"/>
    </row>
    <row r="117" customFormat="false" ht="15.75" hidden="false" customHeight="false" outlineLevel="0" collapsed="false">
      <c r="A117" s="12"/>
      <c r="B117" s="34"/>
      <c r="C117" s="12"/>
      <c r="D117" s="12"/>
      <c r="E117" s="12"/>
      <c r="F117" s="12"/>
      <c r="G117" s="18"/>
      <c r="H117" s="35"/>
      <c r="I117" s="12"/>
      <c r="N117" s="18"/>
      <c r="O117" s="12"/>
      <c r="P117" s="12"/>
      <c r="R117" s="36"/>
      <c r="S117" s="36"/>
      <c r="T117" s="12"/>
      <c r="U117" s="12"/>
      <c r="V117" s="12"/>
      <c r="X117" s="12"/>
    </row>
    <row r="118" customFormat="false" ht="15.75" hidden="false" customHeight="false" outlineLevel="0" collapsed="false">
      <c r="A118" s="12"/>
      <c r="B118" s="34"/>
      <c r="C118" s="12"/>
      <c r="D118" s="12"/>
      <c r="E118" s="12"/>
      <c r="F118" s="12"/>
      <c r="G118" s="18"/>
      <c r="H118" s="35"/>
      <c r="I118" s="12"/>
      <c r="N118" s="18"/>
      <c r="O118" s="12"/>
      <c r="P118" s="12"/>
      <c r="R118" s="36"/>
      <c r="S118" s="36"/>
      <c r="T118" s="12"/>
      <c r="U118" s="12"/>
      <c r="V118" s="12"/>
      <c r="X118" s="12"/>
    </row>
    <row r="119" customFormat="false" ht="15.75" hidden="false" customHeight="false" outlineLevel="0" collapsed="false">
      <c r="A119" s="12"/>
      <c r="B119" s="34"/>
      <c r="C119" s="12"/>
      <c r="D119" s="12"/>
      <c r="E119" s="12"/>
      <c r="F119" s="12"/>
      <c r="G119" s="18"/>
      <c r="H119" s="35"/>
      <c r="I119" s="12"/>
      <c r="N119" s="18"/>
      <c r="O119" s="12"/>
      <c r="P119" s="12"/>
      <c r="R119" s="36"/>
      <c r="S119" s="36"/>
      <c r="T119" s="12"/>
      <c r="U119" s="12"/>
      <c r="V119" s="12"/>
      <c r="X119" s="12"/>
    </row>
    <row r="120" customFormat="false" ht="15.75" hidden="false" customHeight="false" outlineLevel="0" collapsed="false">
      <c r="A120" s="12"/>
      <c r="B120" s="34"/>
      <c r="C120" s="12"/>
      <c r="D120" s="12"/>
      <c r="E120" s="12"/>
      <c r="F120" s="12"/>
      <c r="G120" s="18"/>
      <c r="H120" s="35"/>
      <c r="I120" s="12"/>
      <c r="M120" s="12"/>
      <c r="N120" s="18"/>
      <c r="O120" s="12"/>
      <c r="P120" s="12"/>
      <c r="Q120" s="12"/>
      <c r="R120" s="36"/>
      <c r="S120" s="36"/>
      <c r="T120" s="12"/>
      <c r="U120" s="12"/>
      <c r="V120" s="12"/>
      <c r="W120" s="12"/>
      <c r="X120" s="12"/>
    </row>
    <row r="121" customFormat="false" ht="15.75" hidden="false" customHeight="false" outlineLevel="0" collapsed="false">
      <c r="A121" s="12"/>
      <c r="B121" s="34"/>
      <c r="C121" s="12"/>
      <c r="D121" s="12"/>
      <c r="E121" s="12"/>
      <c r="F121" s="12"/>
      <c r="G121" s="18"/>
      <c r="H121" s="35"/>
      <c r="I121" s="12"/>
      <c r="M121" s="12"/>
      <c r="N121" s="18"/>
      <c r="O121" s="12"/>
      <c r="P121" s="12"/>
      <c r="Q121" s="12"/>
      <c r="R121" s="36"/>
      <c r="S121" s="36"/>
      <c r="T121" s="12"/>
      <c r="U121" s="12"/>
      <c r="V121" s="12"/>
      <c r="W121" s="12"/>
      <c r="X121" s="12"/>
    </row>
    <row r="122" customFormat="false" ht="15.75" hidden="false" customHeight="false" outlineLevel="0" collapsed="false">
      <c r="A122" s="12"/>
      <c r="B122" s="34"/>
      <c r="C122" s="12"/>
      <c r="D122" s="12"/>
      <c r="E122" s="12"/>
      <c r="F122" s="12"/>
      <c r="G122" s="18"/>
      <c r="H122" s="35"/>
      <c r="I122" s="12"/>
      <c r="M122" s="12"/>
      <c r="N122" s="18"/>
      <c r="O122" s="12"/>
      <c r="P122" s="12"/>
      <c r="Q122" s="12"/>
      <c r="R122" s="36"/>
      <c r="S122" s="36"/>
      <c r="T122" s="12"/>
      <c r="U122" s="12"/>
      <c r="V122" s="12"/>
      <c r="W122" s="12"/>
      <c r="X122" s="12"/>
    </row>
    <row r="123" customFormat="false" ht="15.75" hidden="false" customHeight="false" outlineLevel="0" collapsed="false">
      <c r="A123" s="12"/>
      <c r="B123" s="34"/>
      <c r="C123" s="12"/>
      <c r="D123" s="12"/>
      <c r="E123" s="12"/>
      <c r="F123" s="12"/>
      <c r="G123" s="18"/>
      <c r="H123" s="35"/>
      <c r="I123" s="12"/>
      <c r="M123" s="12"/>
      <c r="N123" s="18"/>
      <c r="O123" s="12"/>
      <c r="P123" s="12"/>
      <c r="Q123" s="12"/>
      <c r="R123" s="36"/>
      <c r="S123" s="36"/>
      <c r="T123" s="12"/>
      <c r="U123" s="12"/>
      <c r="V123" s="12"/>
      <c r="W123" s="12"/>
      <c r="X123" s="12"/>
    </row>
    <row r="124" customFormat="false" ht="15.75" hidden="false" customHeight="false" outlineLevel="0" collapsed="false">
      <c r="A124" s="12"/>
      <c r="B124" s="34"/>
      <c r="C124" s="12"/>
      <c r="D124" s="12"/>
      <c r="E124" s="12"/>
      <c r="F124" s="12"/>
      <c r="G124" s="18"/>
      <c r="H124" s="35"/>
      <c r="I124" s="12"/>
      <c r="M124" s="12"/>
      <c r="N124" s="18"/>
      <c r="O124" s="12"/>
      <c r="P124" s="12"/>
      <c r="Q124" s="12"/>
      <c r="R124" s="36"/>
      <c r="S124" s="36"/>
      <c r="T124" s="12"/>
      <c r="U124" s="12"/>
      <c r="V124" s="12"/>
      <c r="W124" s="12"/>
      <c r="X124" s="12"/>
    </row>
    <row r="125" customFormat="false" ht="15.75" hidden="false" customHeight="false" outlineLevel="0" collapsed="false">
      <c r="A125" s="12"/>
      <c r="B125" s="34"/>
      <c r="C125" s="12"/>
      <c r="D125" s="12"/>
      <c r="E125" s="12"/>
      <c r="F125" s="12"/>
      <c r="G125" s="18"/>
      <c r="H125" s="35"/>
      <c r="I125" s="12"/>
      <c r="M125" s="12"/>
      <c r="N125" s="18"/>
      <c r="O125" s="12"/>
      <c r="P125" s="12"/>
      <c r="Q125" s="12"/>
      <c r="R125" s="36"/>
      <c r="S125" s="36"/>
      <c r="T125" s="12"/>
      <c r="U125" s="12"/>
      <c r="V125" s="12"/>
      <c r="W125" s="12"/>
      <c r="X125" s="12"/>
    </row>
    <row r="126" customFormat="false" ht="15.75" hidden="false" customHeight="false" outlineLevel="0" collapsed="false">
      <c r="A126" s="12"/>
      <c r="B126" s="34"/>
      <c r="C126" s="12"/>
      <c r="D126" s="12"/>
      <c r="E126" s="12"/>
      <c r="F126" s="12"/>
      <c r="G126" s="18"/>
      <c r="H126" s="35"/>
      <c r="I126" s="12"/>
      <c r="M126" s="12"/>
      <c r="N126" s="18"/>
      <c r="O126" s="12"/>
      <c r="P126" s="12"/>
      <c r="Q126" s="12"/>
      <c r="R126" s="36"/>
      <c r="S126" s="36"/>
      <c r="T126" s="12"/>
      <c r="U126" s="12"/>
      <c r="V126" s="12"/>
      <c r="W126" s="12"/>
      <c r="X126" s="12"/>
    </row>
    <row r="127" customFormat="false" ht="15.75" hidden="false" customHeight="false" outlineLevel="0" collapsed="false">
      <c r="A127" s="12"/>
      <c r="B127" s="34"/>
      <c r="C127" s="12"/>
      <c r="D127" s="12"/>
      <c r="E127" s="12"/>
      <c r="F127" s="12"/>
      <c r="G127" s="18"/>
      <c r="H127" s="35"/>
      <c r="I127" s="12"/>
      <c r="M127" s="12"/>
      <c r="N127" s="18"/>
      <c r="O127" s="12"/>
      <c r="P127" s="12"/>
      <c r="Q127" s="12"/>
      <c r="R127" s="36"/>
      <c r="S127" s="36"/>
      <c r="T127" s="12"/>
      <c r="U127" s="12"/>
      <c r="V127" s="12"/>
      <c r="W127" s="12"/>
      <c r="X127" s="12"/>
    </row>
    <row r="128" customFormat="false" ht="15.75" hidden="false" customHeight="false" outlineLevel="0" collapsed="false">
      <c r="A128" s="12"/>
      <c r="B128" s="34"/>
      <c r="C128" s="12"/>
      <c r="D128" s="12"/>
      <c r="E128" s="12"/>
      <c r="F128" s="12"/>
      <c r="G128" s="18"/>
      <c r="H128" s="35"/>
      <c r="I128" s="12"/>
      <c r="M128" s="12"/>
      <c r="N128" s="18"/>
      <c r="O128" s="12"/>
      <c r="P128" s="12"/>
      <c r="Q128" s="12"/>
      <c r="R128" s="36"/>
      <c r="S128" s="36"/>
      <c r="T128" s="12"/>
      <c r="U128" s="12"/>
      <c r="V128" s="12"/>
      <c r="W128" s="12"/>
      <c r="X128" s="12"/>
    </row>
    <row r="129" customFormat="false" ht="15.75" hidden="false" customHeight="false" outlineLevel="0" collapsed="false">
      <c r="A129" s="12"/>
      <c r="B129" s="34"/>
      <c r="C129" s="12"/>
      <c r="D129" s="12"/>
      <c r="E129" s="12"/>
      <c r="F129" s="12"/>
      <c r="G129" s="18"/>
      <c r="H129" s="35"/>
      <c r="I129" s="12"/>
      <c r="M129" s="12"/>
      <c r="N129" s="18"/>
      <c r="O129" s="12"/>
      <c r="P129" s="12"/>
      <c r="Q129" s="12"/>
      <c r="R129" s="36"/>
      <c r="S129" s="36"/>
      <c r="T129" s="12"/>
      <c r="U129" s="12"/>
      <c r="V129" s="12"/>
      <c r="W129" s="12"/>
      <c r="X129" s="12"/>
    </row>
    <row r="130" customFormat="false" ht="15.75" hidden="false" customHeight="false" outlineLevel="0" collapsed="false">
      <c r="A130" s="12"/>
      <c r="B130" s="34"/>
      <c r="C130" s="12"/>
      <c r="D130" s="12"/>
      <c r="E130" s="12"/>
      <c r="F130" s="12"/>
      <c r="G130" s="18"/>
      <c r="H130" s="35"/>
      <c r="I130" s="12"/>
      <c r="M130" s="12"/>
      <c r="N130" s="18"/>
      <c r="O130" s="12"/>
      <c r="P130" s="12"/>
      <c r="Q130" s="12"/>
      <c r="R130" s="36"/>
      <c r="S130" s="36"/>
      <c r="T130" s="12"/>
      <c r="U130" s="12"/>
      <c r="V130" s="12"/>
      <c r="W130" s="12"/>
      <c r="X130" s="12"/>
    </row>
    <row r="131" customFormat="false" ht="15.75" hidden="false" customHeight="false" outlineLevel="0" collapsed="false">
      <c r="A131" s="12"/>
      <c r="B131" s="34"/>
      <c r="C131" s="12"/>
      <c r="D131" s="12"/>
      <c r="E131" s="12"/>
      <c r="F131" s="12"/>
      <c r="G131" s="18"/>
      <c r="H131" s="35"/>
      <c r="I131" s="12"/>
      <c r="M131" s="12"/>
      <c r="N131" s="18"/>
      <c r="O131" s="12"/>
      <c r="P131" s="12"/>
      <c r="Q131" s="12"/>
      <c r="R131" s="36"/>
      <c r="S131" s="36"/>
      <c r="T131" s="12"/>
      <c r="U131" s="12"/>
      <c r="V131" s="12"/>
      <c r="W131" s="12"/>
      <c r="X131" s="12"/>
    </row>
    <row r="132" customFormat="false" ht="15.75" hidden="false" customHeight="false" outlineLevel="0" collapsed="false">
      <c r="A132" s="12"/>
      <c r="B132" s="34"/>
      <c r="C132" s="12"/>
      <c r="D132" s="12"/>
      <c r="E132" s="12"/>
      <c r="F132" s="12"/>
      <c r="G132" s="18"/>
      <c r="H132" s="35"/>
      <c r="I132" s="12"/>
      <c r="M132" s="12"/>
      <c r="N132" s="18"/>
      <c r="O132" s="12"/>
      <c r="P132" s="12"/>
      <c r="Q132" s="12"/>
      <c r="R132" s="36"/>
      <c r="S132" s="36"/>
      <c r="T132" s="12"/>
      <c r="U132" s="12"/>
      <c r="V132" s="12"/>
      <c r="W132" s="12"/>
      <c r="X132" s="12"/>
    </row>
    <row r="133" customFormat="false" ht="15.75" hidden="false" customHeight="false" outlineLevel="0" collapsed="false">
      <c r="A133" s="12"/>
      <c r="B133" s="34"/>
      <c r="C133" s="12"/>
      <c r="D133" s="12"/>
      <c r="E133" s="12"/>
      <c r="F133" s="12"/>
      <c r="G133" s="18"/>
      <c r="H133" s="35"/>
      <c r="I133" s="12"/>
      <c r="M133" s="12"/>
      <c r="N133" s="18"/>
      <c r="O133" s="12"/>
      <c r="P133" s="12"/>
      <c r="Q133" s="12"/>
      <c r="R133" s="36"/>
      <c r="S133" s="36"/>
      <c r="T133" s="12"/>
      <c r="U133" s="12"/>
      <c r="V133" s="12"/>
      <c r="W133" s="12"/>
      <c r="X133" s="12"/>
    </row>
    <row r="134" customFormat="false" ht="15.75" hidden="false" customHeight="false" outlineLevel="0" collapsed="false">
      <c r="A134" s="12"/>
      <c r="B134" s="34"/>
      <c r="C134" s="12"/>
      <c r="D134" s="12"/>
      <c r="E134" s="12"/>
      <c r="F134" s="12"/>
      <c r="G134" s="18"/>
      <c r="H134" s="35"/>
      <c r="I134" s="12"/>
      <c r="M134" s="12"/>
      <c r="N134" s="18"/>
      <c r="O134" s="12"/>
      <c r="P134" s="12"/>
      <c r="Q134" s="12"/>
      <c r="R134" s="36"/>
      <c r="S134" s="36"/>
      <c r="T134" s="12"/>
      <c r="U134" s="12"/>
      <c r="V134" s="12"/>
      <c r="W134" s="12"/>
      <c r="X134" s="12"/>
    </row>
    <row r="135" customFormat="false" ht="15.75" hidden="false" customHeight="false" outlineLevel="0" collapsed="false">
      <c r="A135" s="12"/>
      <c r="B135" s="34"/>
      <c r="C135" s="12"/>
      <c r="D135" s="12"/>
      <c r="E135" s="12"/>
      <c r="F135" s="12"/>
      <c r="G135" s="18"/>
      <c r="H135" s="35"/>
      <c r="I135" s="12"/>
      <c r="M135" s="12"/>
      <c r="N135" s="18"/>
      <c r="O135" s="12"/>
      <c r="P135" s="12"/>
      <c r="Q135" s="12"/>
      <c r="R135" s="36"/>
      <c r="S135" s="36"/>
      <c r="T135" s="12"/>
      <c r="U135" s="12"/>
      <c r="V135" s="12"/>
      <c r="W135" s="12"/>
      <c r="X135" s="12"/>
    </row>
    <row r="136" customFormat="false" ht="15.75" hidden="false" customHeight="false" outlineLevel="0" collapsed="false">
      <c r="A136" s="12"/>
      <c r="B136" s="34"/>
      <c r="C136" s="12"/>
      <c r="D136" s="12"/>
      <c r="E136" s="12"/>
      <c r="F136" s="12"/>
      <c r="G136" s="18"/>
      <c r="H136" s="35"/>
      <c r="I136" s="12"/>
      <c r="M136" s="12"/>
      <c r="N136" s="18"/>
      <c r="O136" s="12"/>
      <c r="P136" s="12"/>
      <c r="Q136" s="12"/>
      <c r="R136" s="36"/>
      <c r="S136" s="36"/>
      <c r="T136" s="12"/>
      <c r="U136" s="12"/>
      <c r="V136" s="12"/>
      <c r="W136" s="12"/>
      <c r="X136" s="12"/>
    </row>
    <row r="137" customFormat="false" ht="15.75" hidden="false" customHeight="false" outlineLevel="0" collapsed="false">
      <c r="A137" s="12"/>
      <c r="B137" s="34"/>
      <c r="C137" s="12"/>
      <c r="D137" s="12"/>
      <c r="E137" s="12"/>
      <c r="F137" s="12"/>
      <c r="G137" s="18"/>
      <c r="H137" s="35"/>
      <c r="I137" s="12"/>
      <c r="M137" s="12"/>
      <c r="N137" s="18"/>
      <c r="O137" s="12"/>
      <c r="P137" s="12"/>
      <c r="Q137" s="12"/>
      <c r="R137" s="36"/>
      <c r="S137" s="36"/>
      <c r="T137" s="12"/>
      <c r="U137" s="12"/>
      <c r="V137" s="12"/>
      <c r="W137" s="12"/>
      <c r="X137" s="12"/>
    </row>
    <row r="138" customFormat="false" ht="15.75" hidden="false" customHeight="false" outlineLevel="0" collapsed="false">
      <c r="A138" s="12"/>
      <c r="B138" s="34"/>
      <c r="C138" s="12"/>
      <c r="D138" s="12"/>
      <c r="E138" s="12"/>
      <c r="F138" s="12"/>
      <c r="G138" s="18"/>
      <c r="H138" s="35"/>
      <c r="I138" s="12"/>
      <c r="M138" s="12"/>
      <c r="N138" s="18"/>
      <c r="O138" s="12"/>
      <c r="P138" s="12"/>
      <c r="Q138" s="12"/>
      <c r="R138" s="36"/>
      <c r="S138" s="36"/>
      <c r="T138" s="12"/>
      <c r="U138" s="12"/>
      <c r="V138" s="12"/>
      <c r="W138" s="12"/>
      <c r="X138" s="12"/>
    </row>
    <row r="139" customFormat="false" ht="15.75" hidden="false" customHeight="false" outlineLevel="0" collapsed="false">
      <c r="A139" s="12"/>
      <c r="B139" s="34"/>
      <c r="C139" s="12"/>
      <c r="D139" s="12"/>
      <c r="E139" s="12"/>
      <c r="F139" s="12"/>
      <c r="G139" s="18"/>
      <c r="H139" s="35"/>
      <c r="I139" s="12"/>
      <c r="M139" s="12"/>
      <c r="N139" s="18"/>
      <c r="O139" s="12"/>
      <c r="P139" s="12"/>
      <c r="Q139" s="12"/>
      <c r="R139" s="36"/>
      <c r="S139" s="36"/>
      <c r="T139" s="12"/>
      <c r="U139" s="12"/>
      <c r="V139" s="12"/>
      <c r="W139" s="12"/>
      <c r="X139" s="12"/>
    </row>
    <row r="140" customFormat="false" ht="15.75" hidden="false" customHeight="false" outlineLevel="0" collapsed="false">
      <c r="A140" s="12"/>
      <c r="B140" s="34"/>
      <c r="C140" s="12"/>
      <c r="D140" s="12"/>
      <c r="E140" s="12"/>
      <c r="F140" s="12"/>
      <c r="G140" s="18"/>
      <c r="H140" s="35"/>
      <c r="I140" s="12"/>
      <c r="M140" s="12"/>
      <c r="N140" s="18"/>
      <c r="O140" s="12"/>
      <c r="P140" s="12"/>
      <c r="Q140" s="12"/>
      <c r="R140" s="36"/>
      <c r="S140" s="36"/>
      <c r="T140" s="12"/>
      <c r="U140" s="12"/>
      <c r="V140" s="12"/>
      <c r="W140" s="12"/>
      <c r="X140" s="12"/>
    </row>
    <row r="141" customFormat="false" ht="15.75" hidden="false" customHeight="false" outlineLevel="0" collapsed="false">
      <c r="A141" s="12"/>
      <c r="B141" s="34"/>
      <c r="C141" s="12"/>
      <c r="D141" s="12"/>
      <c r="E141" s="12"/>
      <c r="F141" s="12"/>
      <c r="G141" s="18"/>
      <c r="H141" s="35"/>
      <c r="I141" s="12"/>
      <c r="M141" s="12"/>
      <c r="N141" s="18"/>
      <c r="O141" s="12"/>
      <c r="P141" s="12"/>
      <c r="Q141" s="12"/>
      <c r="R141" s="36"/>
      <c r="S141" s="36"/>
      <c r="T141" s="12"/>
      <c r="U141" s="12"/>
      <c r="V141" s="12"/>
      <c r="W141" s="12"/>
      <c r="X141" s="12"/>
    </row>
    <row r="142" customFormat="false" ht="15.75" hidden="false" customHeight="false" outlineLevel="0" collapsed="false">
      <c r="A142" s="12"/>
      <c r="B142" s="34"/>
      <c r="C142" s="12"/>
      <c r="D142" s="12"/>
      <c r="E142" s="12"/>
      <c r="F142" s="12"/>
      <c r="G142" s="18"/>
      <c r="H142" s="35"/>
      <c r="I142" s="12"/>
      <c r="M142" s="12"/>
      <c r="N142" s="18"/>
      <c r="O142" s="12"/>
      <c r="P142" s="12"/>
      <c r="Q142" s="12"/>
      <c r="R142" s="36"/>
      <c r="S142" s="36"/>
      <c r="T142" s="12"/>
      <c r="U142" s="12"/>
      <c r="V142" s="12"/>
      <c r="W142" s="12"/>
      <c r="X142" s="12"/>
    </row>
    <row r="143" customFormat="false" ht="15.75" hidden="false" customHeight="false" outlineLevel="0" collapsed="false">
      <c r="A143" s="12"/>
      <c r="B143" s="34"/>
      <c r="C143" s="12"/>
      <c r="D143" s="12"/>
      <c r="E143" s="12"/>
      <c r="F143" s="12"/>
      <c r="G143" s="18"/>
      <c r="H143" s="35"/>
      <c r="I143" s="12"/>
      <c r="M143" s="12"/>
      <c r="N143" s="18"/>
      <c r="O143" s="12"/>
      <c r="P143" s="12"/>
      <c r="Q143" s="12"/>
      <c r="R143" s="36"/>
      <c r="S143" s="36"/>
      <c r="T143" s="12"/>
      <c r="U143" s="12"/>
      <c r="V143" s="12"/>
      <c r="W143" s="12"/>
      <c r="X143" s="12"/>
    </row>
    <row r="144" customFormat="false" ht="15.75" hidden="false" customHeight="false" outlineLevel="0" collapsed="false">
      <c r="A144" s="12"/>
      <c r="B144" s="34"/>
      <c r="C144" s="12"/>
      <c r="D144" s="12"/>
      <c r="E144" s="12"/>
      <c r="F144" s="12"/>
      <c r="G144" s="18"/>
      <c r="H144" s="35"/>
      <c r="I144" s="12"/>
      <c r="M144" s="12"/>
      <c r="N144" s="18"/>
      <c r="O144" s="12"/>
      <c r="P144" s="12"/>
      <c r="Q144" s="12"/>
      <c r="R144" s="36"/>
      <c r="S144" s="36"/>
      <c r="T144" s="12"/>
      <c r="U144" s="12"/>
      <c r="V144" s="12"/>
      <c r="W144" s="12"/>
      <c r="X144" s="12"/>
    </row>
    <row r="145" customFormat="false" ht="15.75" hidden="false" customHeight="false" outlineLevel="0" collapsed="false">
      <c r="A145" s="12"/>
      <c r="B145" s="34"/>
      <c r="C145" s="12"/>
      <c r="D145" s="12"/>
      <c r="E145" s="12"/>
      <c r="F145" s="12"/>
      <c r="G145" s="18"/>
      <c r="H145" s="35"/>
      <c r="I145" s="12"/>
      <c r="M145" s="12"/>
      <c r="N145" s="18"/>
      <c r="O145" s="12"/>
      <c r="P145" s="12"/>
      <c r="Q145" s="12"/>
      <c r="R145" s="36"/>
      <c r="S145" s="36"/>
      <c r="T145" s="12"/>
      <c r="U145" s="12"/>
      <c r="V145" s="12"/>
      <c r="W145" s="12"/>
      <c r="X145" s="12"/>
    </row>
    <row r="146" customFormat="false" ht="15.75" hidden="false" customHeight="false" outlineLevel="0" collapsed="false">
      <c r="A146" s="12"/>
      <c r="B146" s="34"/>
      <c r="C146" s="12"/>
      <c r="D146" s="12"/>
      <c r="E146" s="12"/>
      <c r="F146" s="12"/>
      <c r="G146" s="18"/>
      <c r="H146" s="35"/>
      <c r="I146" s="12"/>
      <c r="M146" s="12"/>
      <c r="N146" s="18"/>
      <c r="O146" s="12"/>
      <c r="P146" s="12"/>
      <c r="Q146" s="12"/>
      <c r="R146" s="36"/>
      <c r="S146" s="36"/>
      <c r="T146" s="12"/>
      <c r="U146" s="12"/>
      <c r="V146" s="12"/>
      <c r="W146" s="12"/>
      <c r="X146" s="12"/>
    </row>
    <row r="147" customFormat="false" ht="15.75" hidden="false" customHeight="false" outlineLevel="0" collapsed="false">
      <c r="A147" s="12"/>
      <c r="B147" s="34"/>
      <c r="C147" s="12"/>
      <c r="D147" s="12"/>
      <c r="E147" s="12"/>
      <c r="F147" s="12"/>
      <c r="G147" s="18"/>
      <c r="H147" s="35"/>
      <c r="I147" s="12"/>
      <c r="M147" s="12"/>
      <c r="N147" s="18"/>
      <c r="O147" s="12"/>
      <c r="P147" s="12"/>
      <c r="Q147" s="12"/>
      <c r="R147" s="36"/>
      <c r="S147" s="36"/>
      <c r="T147" s="12"/>
      <c r="U147" s="12"/>
      <c r="V147" s="12"/>
      <c r="W147" s="12"/>
      <c r="X147" s="12"/>
    </row>
    <row r="148" customFormat="false" ht="15.75" hidden="false" customHeight="false" outlineLevel="0" collapsed="false">
      <c r="A148" s="12"/>
      <c r="B148" s="34"/>
      <c r="C148" s="12"/>
      <c r="D148" s="12"/>
      <c r="E148" s="12"/>
      <c r="F148" s="12"/>
      <c r="G148" s="18"/>
      <c r="H148" s="35"/>
      <c r="I148" s="12"/>
      <c r="M148" s="12"/>
      <c r="N148" s="18"/>
      <c r="O148" s="12"/>
      <c r="P148" s="12"/>
      <c r="Q148" s="12"/>
      <c r="R148" s="36"/>
      <c r="S148" s="36"/>
      <c r="T148" s="12"/>
      <c r="U148" s="12"/>
      <c r="V148" s="12"/>
      <c r="W148" s="12"/>
      <c r="X148" s="12"/>
    </row>
    <row r="149" customFormat="false" ht="15.75" hidden="false" customHeight="false" outlineLevel="0" collapsed="false">
      <c r="A149" s="12"/>
      <c r="B149" s="34"/>
      <c r="C149" s="12"/>
      <c r="D149" s="12"/>
      <c r="E149" s="12"/>
      <c r="F149" s="12"/>
      <c r="G149" s="18"/>
      <c r="H149" s="35"/>
      <c r="I149" s="12"/>
      <c r="M149" s="12"/>
      <c r="N149" s="18"/>
      <c r="O149" s="12"/>
      <c r="P149" s="12"/>
      <c r="Q149" s="12"/>
      <c r="R149" s="36"/>
      <c r="S149" s="36"/>
      <c r="T149" s="12"/>
      <c r="U149" s="12"/>
      <c r="V149" s="12"/>
      <c r="W149" s="12"/>
      <c r="X149" s="12"/>
    </row>
    <row r="150" customFormat="false" ht="15.75" hidden="false" customHeight="false" outlineLevel="0" collapsed="false">
      <c r="A150" s="12"/>
      <c r="B150" s="34"/>
      <c r="C150" s="12"/>
      <c r="D150" s="12"/>
      <c r="E150" s="12"/>
      <c r="F150" s="12"/>
      <c r="G150" s="18"/>
      <c r="H150" s="35"/>
      <c r="I150" s="12"/>
      <c r="M150" s="12"/>
      <c r="N150" s="18"/>
      <c r="O150" s="12"/>
      <c r="P150" s="12"/>
      <c r="Q150" s="12"/>
      <c r="R150" s="36"/>
      <c r="S150" s="36"/>
      <c r="T150" s="12"/>
      <c r="U150" s="12"/>
      <c r="V150" s="12"/>
      <c r="W150" s="12"/>
      <c r="X150" s="12"/>
    </row>
    <row r="151" customFormat="false" ht="15.75" hidden="false" customHeight="false" outlineLevel="0" collapsed="false">
      <c r="A151" s="12"/>
      <c r="B151" s="34"/>
      <c r="C151" s="12"/>
      <c r="D151" s="12"/>
      <c r="E151" s="12"/>
      <c r="F151" s="12"/>
      <c r="G151" s="18"/>
      <c r="H151" s="35"/>
      <c r="I151" s="12"/>
      <c r="M151" s="12"/>
      <c r="N151" s="18"/>
      <c r="O151" s="12"/>
      <c r="P151" s="12"/>
      <c r="Q151" s="12"/>
      <c r="R151" s="36"/>
      <c r="S151" s="36"/>
      <c r="T151" s="12"/>
      <c r="U151" s="12"/>
      <c r="V151" s="12"/>
      <c r="W151" s="12"/>
      <c r="X151" s="12"/>
    </row>
    <row r="152" customFormat="false" ht="15.75" hidden="false" customHeight="false" outlineLevel="0" collapsed="false">
      <c r="A152" s="12"/>
      <c r="B152" s="34"/>
      <c r="C152" s="12"/>
      <c r="D152" s="12"/>
      <c r="E152" s="12"/>
      <c r="F152" s="12"/>
      <c r="G152" s="18"/>
      <c r="H152" s="35"/>
      <c r="I152" s="12"/>
      <c r="M152" s="12"/>
      <c r="N152" s="18"/>
      <c r="O152" s="12"/>
      <c r="P152" s="12"/>
      <c r="Q152" s="12"/>
      <c r="R152" s="36"/>
      <c r="S152" s="36"/>
      <c r="T152" s="12"/>
      <c r="U152" s="12"/>
      <c r="V152" s="12"/>
      <c r="W152" s="12"/>
      <c r="X152" s="12"/>
    </row>
    <row r="153" customFormat="false" ht="15.75" hidden="false" customHeight="false" outlineLevel="0" collapsed="false">
      <c r="A153" s="12"/>
      <c r="B153" s="34"/>
      <c r="C153" s="12"/>
      <c r="D153" s="12"/>
      <c r="E153" s="12"/>
      <c r="F153" s="12"/>
      <c r="G153" s="18"/>
      <c r="H153" s="35"/>
      <c r="I153" s="12"/>
      <c r="M153" s="12"/>
      <c r="N153" s="18"/>
      <c r="O153" s="12"/>
      <c r="P153" s="12"/>
      <c r="Q153" s="12"/>
      <c r="R153" s="36"/>
      <c r="S153" s="36"/>
      <c r="T153" s="12"/>
      <c r="U153" s="12"/>
      <c r="V153" s="12"/>
      <c r="W153" s="12"/>
      <c r="X153" s="12"/>
    </row>
    <row r="154" customFormat="false" ht="15.75" hidden="false" customHeight="false" outlineLevel="0" collapsed="false">
      <c r="A154" s="12"/>
      <c r="B154" s="34"/>
      <c r="C154" s="12"/>
      <c r="D154" s="12"/>
      <c r="E154" s="12"/>
      <c r="F154" s="12"/>
      <c r="G154" s="18"/>
      <c r="H154" s="35"/>
      <c r="I154" s="12"/>
      <c r="M154" s="12"/>
      <c r="N154" s="18"/>
      <c r="O154" s="12"/>
      <c r="P154" s="12"/>
      <c r="Q154" s="12"/>
      <c r="R154" s="36"/>
      <c r="S154" s="36"/>
      <c r="T154" s="12"/>
      <c r="U154" s="12"/>
      <c r="V154" s="12"/>
      <c r="W154" s="12"/>
      <c r="X154" s="12"/>
    </row>
    <row r="155" customFormat="false" ht="15.75" hidden="false" customHeight="false" outlineLevel="0" collapsed="false">
      <c r="A155" s="12"/>
      <c r="B155" s="34"/>
      <c r="C155" s="12"/>
      <c r="D155" s="12"/>
      <c r="E155" s="12"/>
      <c r="F155" s="12"/>
      <c r="G155" s="18"/>
      <c r="H155" s="35"/>
      <c r="I155" s="12"/>
      <c r="M155" s="12"/>
      <c r="N155" s="18"/>
      <c r="O155" s="12"/>
      <c r="P155" s="12"/>
      <c r="Q155" s="12"/>
      <c r="R155" s="36"/>
      <c r="S155" s="36"/>
      <c r="T155" s="12"/>
      <c r="U155" s="12"/>
      <c r="V155" s="12"/>
      <c r="W155" s="12"/>
      <c r="X155" s="12"/>
    </row>
    <row r="156" customFormat="false" ht="15.75" hidden="false" customHeight="false" outlineLevel="0" collapsed="false">
      <c r="A156" s="12"/>
      <c r="B156" s="34"/>
      <c r="C156" s="12"/>
      <c r="D156" s="12"/>
      <c r="E156" s="12"/>
      <c r="F156" s="12"/>
      <c r="G156" s="18"/>
      <c r="H156" s="35"/>
      <c r="I156" s="12"/>
      <c r="M156" s="12"/>
      <c r="N156" s="18"/>
      <c r="O156" s="12"/>
      <c r="P156" s="12"/>
      <c r="Q156" s="12"/>
      <c r="R156" s="36"/>
      <c r="S156" s="36"/>
      <c r="T156" s="12"/>
      <c r="U156" s="12"/>
      <c r="V156" s="12"/>
      <c r="W156" s="12"/>
      <c r="X156" s="12"/>
    </row>
    <row r="157" customFormat="false" ht="15.75" hidden="false" customHeight="false" outlineLevel="0" collapsed="false">
      <c r="A157" s="12"/>
      <c r="B157" s="34"/>
      <c r="C157" s="12"/>
      <c r="D157" s="12"/>
      <c r="E157" s="12"/>
      <c r="F157" s="12"/>
      <c r="G157" s="18"/>
      <c r="H157" s="35"/>
      <c r="I157" s="12"/>
      <c r="M157" s="12"/>
      <c r="N157" s="18"/>
      <c r="O157" s="12"/>
      <c r="P157" s="12"/>
      <c r="Q157" s="12"/>
      <c r="R157" s="36"/>
      <c r="S157" s="36"/>
      <c r="T157" s="12"/>
      <c r="U157" s="12"/>
      <c r="V157" s="12"/>
      <c r="W157" s="12"/>
      <c r="X157" s="12"/>
    </row>
    <row r="158" customFormat="false" ht="15.75" hidden="false" customHeight="false" outlineLevel="0" collapsed="false">
      <c r="A158" s="12"/>
      <c r="B158" s="34"/>
      <c r="C158" s="12"/>
      <c r="D158" s="12"/>
      <c r="E158" s="12"/>
      <c r="F158" s="12"/>
      <c r="G158" s="18"/>
      <c r="H158" s="35"/>
      <c r="I158" s="12"/>
      <c r="M158" s="12"/>
      <c r="N158" s="18"/>
      <c r="O158" s="12"/>
      <c r="P158" s="12"/>
      <c r="Q158" s="12"/>
      <c r="R158" s="36"/>
      <c r="S158" s="36"/>
      <c r="T158" s="12"/>
      <c r="U158" s="12"/>
      <c r="V158" s="12"/>
      <c r="W158" s="12"/>
      <c r="X158" s="12"/>
    </row>
    <row r="159" customFormat="false" ht="15.75" hidden="false" customHeight="false" outlineLevel="0" collapsed="false">
      <c r="A159" s="12"/>
      <c r="B159" s="34"/>
      <c r="C159" s="12"/>
      <c r="D159" s="12"/>
      <c r="E159" s="12"/>
      <c r="F159" s="12"/>
      <c r="G159" s="18"/>
      <c r="H159" s="35"/>
      <c r="I159" s="12"/>
      <c r="M159" s="12"/>
      <c r="N159" s="18"/>
      <c r="O159" s="12"/>
      <c r="P159" s="12"/>
      <c r="Q159" s="12"/>
      <c r="R159" s="36"/>
      <c r="S159" s="36"/>
      <c r="T159" s="12"/>
      <c r="U159" s="12"/>
      <c r="V159" s="12"/>
      <c r="W159" s="12"/>
      <c r="X159" s="12"/>
    </row>
    <row r="160" customFormat="false" ht="15.75" hidden="false" customHeight="false" outlineLevel="0" collapsed="false">
      <c r="A160" s="12"/>
      <c r="B160" s="34"/>
      <c r="C160" s="12"/>
      <c r="D160" s="12"/>
      <c r="E160" s="12"/>
      <c r="F160" s="12"/>
      <c r="G160" s="18"/>
      <c r="H160" s="35"/>
      <c r="I160" s="12"/>
      <c r="M160" s="12"/>
      <c r="N160" s="18"/>
      <c r="O160" s="12"/>
      <c r="P160" s="12"/>
      <c r="Q160" s="12"/>
      <c r="R160" s="36"/>
      <c r="S160" s="36"/>
      <c r="T160" s="12"/>
      <c r="U160" s="12"/>
      <c r="V160" s="12"/>
      <c r="W160" s="12"/>
      <c r="X160" s="12"/>
    </row>
    <row r="161" customFormat="false" ht="15.75" hidden="false" customHeight="false" outlineLevel="0" collapsed="false">
      <c r="A161" s="12"/>
      <c r="B161" s="34"/>
      <c r="C161" s="12"/>
      <c r="D161" s="12"/>
      <c r="E161" s="12"/>
      <c r="F161" s="12"/>
      <c r="G161" s="18"/>
      <c r="H161" s="35"/>
      <c r="I161" s="12"/>
      <c r="M161" s="12"/>
      <c r="N161" s="18"/>
      <c r="O161" s="12"/>
      <c r="P161" s="12"/>
      <c r="Q161" s="12"/>
      <c r="R161" s="36"/>
      <c r="S161" s="36"/>
      <c r="T161" s="12"/>
      <c r="U161" s="12"/>
      <c r="V161" s="12"/>
      <c r="W161" s="12"/>
      <c r="X161" s="12"/>
    </row>
    <row r="162" customFormat="false" ht="15.75" hidden="false" customHeight="false" outlineLevel="0" collapsed="false">
      <c r="A162" s="12"/>
      <c r="B162" s="34"/>
      <c r="C162" s="12"/>
      <c r="D162" s="12"/>
      <c r="E162" s="12"/>
      <c r="F162" s="12"/>
      <c r="G162" s="18"/>
      <c r="H162" s="35"/>
      <c r="I162" s="12"/>
      <c r="M162" s="12"/>
      <c r="N162" s="18"/>
      <c r="O162" s="12"/>
      <c r="P162" s="12"/>
      <c r="Q162" s="12"/>
      <c r="R162" s="36"/>
      <c r="S162" s="36"/>
      <c r="T162" s="12"/>
      <c r="U162" s="12"/>
      <c r="V162" s="12"/>
      <c r="W162" s="12"/>
      <c r="X162" s="12"/>
    </row>
    <row r="163" customFormat="false" ht="15.75" hidden="false" customHeight="false" outlineLevel="0" collapsed="false">
      <c r="A163" s="12"/>
      <c r="B163" s="34"/>
      <c r="C163" s="12"/>
      <c r="D163" s="12"/>
      <c r="E163" s="12"/>
      <c r="F163" s="12"/>
      <c r="G163" s="18"/>
      <c r="H163" s="35"/>
      <c r="I163" s="12"/>
      <c r="M163" s="12"/>
      <c r="N163" s="18"/>
      <c r="O163" s="12"/>
      <c r="P163" s="12"/>
      <c r="Q163" s="12"/>
      <c r="R163" s="36"/>
      <c r="S163" s="36"/>
      <c r="T163" s="12"/>
      <c r="U163" s="12"/>
      <c r="V163" s="12"/>
      <c r="W163" s="12"/>
      <c r="X163" s="12"/>
    </row>
    <row r="164" customFormat="false" ht="15.75" hidden="false" customHeight="false" outlineLevel="0" collapsed="false">
      <c r="A164" s="12"/>
      <c r="B164" s="34"/>
      <c r="C164" s="12"/>
      <c r="D164" s="12"/>
      <c r="E164" s="12"/>
      <c r="F164" s="12"/>
      <c r="G164" s="18"/>
      <c r="H164" s="35"/>
      <c r="I164" s="12"/>
      <c r="M164" s="12"/>
      <c r="N164" s="18"/>
      <c r="O164" s="12"/>
      <c r="P164" s="12"/>
      <c r="Q164" s="12"/>
      <c r="R164" s="36"/>
      <c r="S164" s="36"/>
      <c r="T164" s="12"/>
      <c r="U164" s="12"/>
      <c r="V164" s="12"/>
      <c r="W164" s="12"/>
      <c r="X164" s="12"/>
    </row>
    <row r="165" customFormat="false" ht="15.75" hidden="false" customHeight="false" outlineLevel="0" collapsed="false">
      <c r="A165" s="12"/>
      <c r="B165" s="34"/>
      <c r="C165" s="12"/>
      <c r="D165" s="12"/>
      <c r="E165" s="12"/>
      <c r="F165" s="12"/>
      <c r="G165" s="18"/>
      <c r="H165" s="35"/>
      <c r="I165" s="12"/>
      <c r="M165" s="12"/>
      <c r="N165" s="18"/>
      <c r="O165" s="12"/>
      <c r="P165" s="12"/>
      <c r="Q165" s="12"/>
      <c r="R165" s="36"/>
      <c r="S165" s="36"/>
      <c r="T165" s="12"/>
      <c r="U165" s="12"/>
      <c r="V165" s="12"/>
      <c r="W165" s="12"/>
      <c r="X165" s="12"/>
    </row>
    <row r="166" customFormat="false" ht="15.75" hidden="false" customHeight="false" outlineLevel="0" collapsed="false">
      <c r="A166" s="12"/>
      <c r="B166" s="34"/>
      <c r="C166" s="12"/>
      <c r="D166" s="12"/>
      <c r="E166" s="12"/>
      <c r="F166" s="12"/>
      <c r="G166" s="18"/>
      <c r="H166" s="35"/>
      <c r="I166" s="12"/>
      <c r="M166" s="12"/>
      <c r="N166" s="18"/>
      <c r="O166" s="12"/>
      <c r="P166" s="12"/>
      <c r="Q166" s="12"/>
      <c r="R166" s="36"/>
      <c r="S166" s="36"/>
      <c r="T166" s="12"/>
      <c r="U166" s="12"/>
      <c r="V166" s="12"/>
      <c r="W166" s="12"/>
      <c r="X166" s="12"/>
    </row>
    <row r="167" customFormat="false" ht="15.75" hidden="false" customHeight="false" outlineLevel="0" collapsed="false">
      <c r="A167" s="12"/>
      <c r="B167" s="34"/>
      <c r="C167" s="12"/>
      <c r="D167" s="12"/>
      <c r="E167" s="12"/>
      <c r="F167" s="12"/>
      <c r="G167" s="18"/>
      <c r="H167" s="35"/>
      <c r="I167" s="12"/>
      <c r="M167" s="12"/>
      <c r="N167" s="18"/>
      <c r="O167" s="12"/>
      <c r="P167" s="12"/>
      <c r="Q167" s="12"/>
      <c r="R167" s="36"/>
      <c r="S167" s="36"/>
      <c r="T167" s="12"/>
      <c r="U167" s="12"/>
      <c r="V167" s="12"/>
      <c r="W167" s="12"/>
      <c r="X167" s="12"/>
    </row>
    <row r="168" customFormat="false" ht="15.75" hidden="false" customHeight="false" outlineLevel="0" collapsed="false">
      <c r="A168" s="12"/>
      <c r="B168" s="34"/>
      <c r="C168" s="12"/>
      <c r="D168" s="12"/>
      <c r="E168" s="12"/>
      <c r="F168" s="12"/>
      <c r="G168" s="18"/>
      <c r="H168" s="35"/>
      <c r="I168" s="12"/>
      <c r="M168" s="12"/>
      <c r="N168" s="18"/>
      <c r="O168" s="12"/>
      <c r="P168" s="12"/>
      <c r="Q168" s="12"/>
      <c r="R168" s="36"/>
      <c r="S168" s="36"/>
      <c r="T168" s="12"/>
      <c r="U168" s="12"/>
      <c r="V168" s="12"/>
      <c r="W168" s="12"/>
      <c r="X168" s="12"/>
    </row>
    <row r="169" customFormat="false" ht="15.75" hidden="false" customHeight="false" outlineLevel="0" collapsed="false">
      <c r="A169" s="12"/>
      <c r="B169" s="34"/>
      <c r="C169" s="12"/>
      <c r="D169" s="12"/>
      <c r="E169" s="12"/>
      <c r="F169" s="12"/>
      <c r="G169" s="18"/>
      <c r="H169" s="35"/>
      <c r="I169" s="12"/>
      <c r="M169" s="12"/>
      <c r="N169" s="18"/>
      <c r="O169" s="12"/>
      <c r="P169" s="12"/>
      <c r="Q169" s="12"/>
      <c r="R169" s="36"/>
      <c r="S169" s="36"/>
      <c r="T169" s="12"/>
      <c r="U169" s="12"/>
      <c r="V169" s="12"/>
      <c r="W169" s="12"/>
      <c r="X169" s="12"/>
    </row>
    <row r="170" customFormat="false" ht="15.75" hidden="false" customHeight="false" outlineLevel="0" collapsed="false">
      <c r="A170" s="12"/>
      <c r="B170" s="34"/>
      <c r="C170" s="12"/>
      <c r="D170" s="12"/>
      <c r="E170" s="12"/>
      <c r="F170" s="12"/>
      <c r="G170" s="18"/>
      <c r="H170" s="35"/>
      <c r="I170" s="12"/>
      <c r="M170" s="12"/>
      <c r="N170" s="18"/>
      <c r="O170" s="12"/>
      <c r="P170" s="12"/>
      <c r="Q170" s="12"/>
      <c r="R170" s="36"/>
      <c r="S170" s="36"/>
      <c r="T170" s="12"/>
      <c r="U170" s="12"/>
      <c r="V170" s="12"/>
      <c r="W170" s="12"/>
      <c r="X170" s="12"/>
    </row>
    <row r="171" customFormat="false" ht="15.75" hidden="false" customHeight="false" outlineLevel="0" collapsed="false">
      <c r="A171" s="12"/>
      <c r="B171" s="34"/>
      <c r="C171" s="12"/>
      <c r="D171" s="12"/>
      <c r="E171" s="12"/>
      <c r="F171" s="12"/>
      <c r="G171" s="18"/>
      <c r="H171" s="35"/>
      <c r="I171" s="12"/>
      <c r="M171" s="12"/>
      <c r="N171" s="18"/>
      <c r="O171" s="12"/>
      <c r="P171" s="12"/>
      <c r="Q171" s="12"/>
      <c r="R171" s="36"/>
      <c r="S171" s="36"/>
      <c r="T171" s="12"/>
      <c r="U171" s="12"/>
      <c r="V171" s="12"/>
      <c r="W171" s="12"/>
      <c r="X171" s="12"/>
    </row>
    <row r="172" customFormat="false" ht="15.75" hidden="false" customHeight="false" outlineLevel="0" collapsed="false">
      <c r="A172" s="12"/>
      <c r="B172" s="34"/>
      <c r="C172" s="12"/>
      <c r="D172" s="12"/>
      <c r="E172" s="12"/>
      <c r="F172" s="12"/>
      <c r="G172" s="18"/>
      <c r="H172" s="35"/>
      <c r="I172" s="12"/>
      <c r="M172" s="12"/>
      <c r="N172" s="18"/>
      <c r="O172" s="12"/>
      <c r="P172" s="12"/>
      <c r="Q172" s="12"/>
      <c r="R172" s="36"/>
      <c r="S172" s="36"/>
      <c r="T172" s="12"/>
      <c r="U172" s="12"/>
      <c r="V172" s="12"/>
      <c r="W172" s="12"/>
      <c r="X172" s="12"/>
    </row>
    <row r="173" customFormat="false" ht="15.75" hidden="false" customHeight="false" outlineLevel="0" collapsed="false">
      <c r="A173" s="12"/>
      <c r="B173" s="34"/>
      <c r="C173" s="12"/>
      <c r="D173" s="12"/>
      <c r="E173" s="12"/>
      <c r="F173" s="12"/>
      <c r="G173" s="18"/>
      <c r="H173" s="35"/>
      <c r="I173" s="12"/>
      <c r="M173" s="12"/>
      <c r="N173" s="18"/>
      <c r="O173" s="12"/>
      <c r="P173" s="12"/>
      <c r="Q173" s="12"/>
      <c r="R173" s="36"/>
      <c r="S173" s="36"/>
      <c r="T173" s="12"/>
      <c r="U173" s="12"/>
      <c r="V173" s="12"/>
      <c r="W173" s="12"/>
      <c r="X173" s="12"/>
    </row>
    <row r="174" customFormat="false" ht="15.75" hidden="false" customHeight="false" outlineLevel="0" collapsed="false">
      <c r="A174" s="12"/>
      <c r="B174" s="34"/>
      <c r="C174" s="12"/>
      <c r="D174" s="12"/>
      <c r="E174" s="12"/>
      <c r="F174" s="12"/>
      <c r="G174" s="18"/>
      <c r="H174" s="35"/>
      <c r="I174" s="12"/>
      <c r="M174" s="12"/>
      <c r="N174" s="18"/>
      <c r="O174" s="12"/>
      <c r="P174" s="12"/>
      <c r="Q174" s="12"/>
      <c r="R174" s="36"/>
      <c r="S174" s="36"/>
      <c r="T174" s="12"/>
      <c r="U174" s="12"/>
      <c r="V174" s="12"/>
      <c r="W174" s="12"/>
      <c r="X174" s="12"/>
    </row>
    <row r="175" customFormat="false" ht="15.75" hidden="false" customHeight="false" outlineLevel="0" collapsed="false">
      <c r="A175" s="12"/>
      <c r="B175" s="34"/>
      <c r="C175" s="12"/>
      <c r="D175" s="12"/>
      <c r="E175" s="12"/>
      <c r="F175" s="12"/>
      <c r="G175" s="18"/>
      <c r="H175" s="35"/>
      <c r="I175" s="12"/>
      <c r="M175" s="12"/>
      <c r="N175" s="18"/>
      <c r="O175" s="12"/>
      <c r="P175" s="12"/>
      <c r="Q175" s="12"/>
      <c r="R175" s="36"/>
      <c r="S175" s="36"/>
      <c r="T175" s="12"/>
      <c r="U175" s="12"/>
      <c r="V175" s="12"/>
      <c r="W175" s="12"/>
      <c r="X175" s="12"/>
    </row>
    <row r="176" customFormat="false" ht="15.75" hidden="false" customHeight="false" outlineLevel="0" collapsed="false">
      <c r="A176" s="12"/>
      <c r="B176" s="34"/>
      <c r="C176" s="12"/>
      <c r="D176" s="12"/>
      <c r="E176" s="12"/>
      <c r="F176" s="12"/>
      <c r="G176" s="18"/>
      <c r="H176" s="35"/>
      <c r="I176" s="12"/>
      <c r="M176" s="12"/>
      <c r="N176" s="18"/>
      <c r="O176" s="12"/>
      <c r="P176" s="12"/>
      <c r="Q176" s="12"/>
      <c r="R176" s="36"/>
      <c r="S176" s="36"/>
      <c r="T176" s="12"/>
      <c r="U176" s="12"/>
      <c r="V176" s="12"/>
      <c r="W176" s="12"/>
      <c r="X176" s="12"/>
    </row>
    <row r="177" customFormat="false" ht="15.75" hidden="false" customHeight="false" outlineLevel="0" collapsed="false">
      <c r="A177" s="12"/>
      <c r="B177" s="34"/>
      <c r="C177" s="12"/>
      <c r="D177" s="12"/>
      <c r="E177" s="12"/>
      <c r="F177" s="12"/>
      <c r="G177" s="18"/>
      <c r="H177" s="35"/>
      <c r="I177" s="12"/>
      <c r="M177" s="12"/>
      <c r="N177" s="18"/>
      <c r="O177" s="12"/>
      <c r="P177" s="12"/>
      <c r="Q177" s="12"/>
      <c r="R177" s="36"/>
      <c r="S177" s="36"/>
      <c r="T177" s="12"/>
      <c r="U177" s="12"/>
      <c r="V177" s="12"/>
      <c r="W177" s="12"/>
      <c r="X177" s="12"/>
    </row>
    <row r="178" customFormat="false" ht="15.75" hidden="false" customHeight="false" outlineLevel="0" collapsed="false">
      <c r="A178" s="12"/>
      <c r="B178" s="34"/>
      <c r="C178" s="12"/>
      <c r="D178" s="12"/>
      <c r="E178" s="12"/>
      <c r="F178" s="12"/>
      <c r="G178" s="18"/>
      <c r="H178" s="35"/>
      <c r="I178" s="12"/>
      <c r="M178" s="12"/>
      <c r="N178" s="18"/>
      <c r="O178" s="12"/>
      <c r="P178" s="12"/>
      <c r="Q178" s="12"/>
      <c r="R178" s="36"/>
      <c r="S178" s="36"/>
      <c r="T178" s="12"/>
      <c r="U178" s="12"/>
      <c r="V178" s="12"/>
      <c r="W178" s="12"/>
      <c r="X178" s="12"/>
    </row>
    <row r="179" customFormat="false" ht="15.75" hidden="false" customHeight="false" outlineLevel="0" collapsed="false">
      <c r="A179" s="12"/>
      <c r="B179" s="34"/>
      <c r="C179" s="12"/>
      <c r="D179" s="12"/>
      <c r="E179" s="12"/>
      <c r="F179" s="12"/>
      <c r="G179" s="18"/>
      <c r="H179" s="35"/>
      <c r="I179" s="12"/>
      <c r="M179" s="12"/>
      <c r="N179" s="18"/>
      <c r="O179" s="12"/>
      <c r="P179" s="12"/>
      <c r="Q179" s="12"/>
      <c r="R179" s="36"/>
      <c r="S179" s="36"/>
      <c r="T179" s="12"/>
      <c r="U179" s="12"/>
      <c r="V179" s="12"/>
      <c r="W179" s="12"/>
      <c r="X179" s="12"/>
    </row>
    <row r="180" customFormat="false" ht="15.75" hidden="false" customHeight="false" outlineLevel="0" collapsed="false">
      <c r="A180" s="12"/>
      <c r="B180" s="34"/>
      <c r="C180" s="12"/>
      <c r="D180" s="12"/>
      <c r="E180" s="12"/>
      <c r="F180" s="12"/>
      <c r="G180" s="18"/>
      <c r="H180" s="35"/>
      <c r="I180" s="12"/>
      <c r="M180" s="12"/>
      <c r="N180" s="18"/>
      <c r="O180" s="12"/>
      <c r="P180" s="12"/>
      <c r="Q180" s="12"/>
      <c r="R180" s="36"/>
      <c r="S180" s="36"/>
      <c r="T180" s="12"/>
      <c r="U180" s="12"/>
      <c r="V180" s="12"/>
      <c r="W180" s="12"/>
      <c r="X180" s="12"/>
    </row>
    <row r="181" customFormat="false" ht="15.75" hidden="false" customHeight="false" outlineLevel="0" collapsed="false">
      <c r="A181" s="12"/>
      <c r="B181" s="34"/>
      <c r="C181" s="12"/>
      <c r="D181" s="12"/>
      <c r="E181" s="12"/>
      <c r="F181" s="12"/>
      <c r="G181" s="18"/>
      <c r="H181" s="35"/>
      <c r="I181" s="12"/>
      <c r="M181" s="12"/>
      <c r="N181" s="18"/>
      <c r="O181" s="12"/>
      <c r="P181" s="12"/>
      <c r="Q181" s="12"/>
      <c r="R181" s="36"/>
      <c r="S181" s="36"/>
      <c r="T181" s="12"/>
      <c r="U181" s="12"/>
      <c r="V181" s="12"/>
      <c r="W181" s="12"/>
      <c r="X181" s="12"/>
    </row>
    <row r="182" customFormat="false" ht="15.75" hidden="false" customHeight="false" outlineLevel="0" collapsed="false">
      <c r="A182" s="12"/>
      <c r="B182" s="34"/>
      <c r="C182" s="12"/>
      <c r="D182" s="12"/>
      <c r="E182" s="12"/>
      <c r="F182" s="12"/>
      <c r="G182" s="18"/>
      <c r="H182" s="35"/>
      <c r="I182" s="12"/>
      <c r="M182" s="12"/>
      <c r="N182" s="18"/>
      <c r="O182" s="12"/>
      <c r="P182" s="12"/>
      <c r="Q182" s="12"/>
      <c r="R182" s="36"/>
      <c r="S182" s="36"/>
      <c r="T182" s="12"/>
      <c r="U182" s="12"/>
      <c r="V182" s="12"/>
      <c r="W182" s="12"/>
      <c r="X182" s="12"/>
    </row>
    <row r="183" customFormat="false" ht="15.75" hidden="false" customHeight="false" outlineLevel="0" collapsed="false">
      <c r="A183" s="12"/>
      <c r="B183" s="34"/>
      <c r="C183" s="12"/>
      <c r="D183" s="12"/>
      <c r="E183" s="12"/>
      <c r="F183" s="12"/>
      <c r="G183" s="18"/>
      <c r="H183" s="35"/>
      <c r="I183" s="12"/>
      <c r="M183" s="12"/>
      <c r="N183" s="18"/>
      <c r="O183" s="12"/>
      <c r="P183" s="12"/>
      <c r="Q183" s="12"/>
      <c r="R183" s="36"/>
      <c r="S183" s="36"/>
      <c r="T183" s="12"/>
      <c r="U183" s="12"/>
      <c r="V183" s="12"/>
      <c r="W183" s="12"/>
      <c r="X183" s="12"/>
    </row>
    <row r="184" customFormat="false" ht="15.75" hidden="false" customHeight="false" outlineLevel="0" collapsed="false">
      <c r="A184" s="12"/>
      <c r="B184" s="34"/>
      <c r="C184" s="12"/>
      <c r="D184" s="12"/>
      <c r="E184" s="12"/>
      <c r="F184" s="12"/>
      <c r="G184" s="18"/>
      <c r="H184" s="35"/>
      <c r="I184" s="12"/>
      <c r="M184" s="12"/>
      <c r="N184" s="18"/>
      <c r="O184" s="12"/>
      <c r="P184" s="12"/>
      <c r="Q184" s="12"/>
      <c r="R184" s="36"/>
      <c r="S184" s="36"/>
      <c r="T184" s="12"/>
      <c r="U184" s="12"/>
      <c r="V184" s="12"/>
      <c r="W184" s="12"/>
      <c r="X184" s="12"/>
    </row>
    <row r="185" customFormat="false" ht="15.75" hidden="false" customHeight="false" outlineLevel="0" collapsed="false">
      <c r="A185" s="12"/>
      <c r="B185" s="34"/>
      <c r="C185" s="12"/>
      <c r="D185" s="12"/>
      <c r="E185" s="12"/>
      <c r="F185" s="12"/>
      <c r="G185" s="18"/>
      <c r="H185" s="35"/>
      <c r="I185" s="12"/>
      <c r="M185" s="12"/>
      <c r="N185" s="18"/>
      <c r="O185" s="12"/>
      <c r="P185" s="12"/>
      <c r="Q185" s="12"/>
      <c r="R185" s="36"/>
      <c r="S185" s="36"/>
      <c r="T185" s="12"/>
      <c r="U185" s="12"/>
      <c r="V185" s="12"/>
      <c r="W185" s="12"/>
      <c r="X185" s="12"/>
    </row>
    <row r="186" customFormat="false" ht="15.75" hidden="false" customHeight="false" outlineLevel="0" collapsed="false">
      <c r="A186" s="12"/>
      <c r="B186" s="34"/>
      <c r="C186" s="12"/>
      <c r="D186" s="12"/>
      <c r="E186" s="12"/>
      <c r="F186" s="12"/>
      <c r="G186" s="18"/>
      <c r="H186" s="35"/>
      <c r="I186" s="12"/>
      <c r="M186" s="12"/>
      <c r="N186" s="18"/>
      <c r="O186" s="12"/>
      <c r="P186" s="12"/>
      <c r="Q186" s="12"/>
      <c r="R186" s="36"/>
      <c r="S186" s="36"/>
      <c r="T186" s="12"/>
      <c r="U186" s="12"/>
      <c r="V186" s="12"/>
      <c r="W186" s="12"/>
      <c r="X186" s="12"/>
    </row>
    <row r="187" customFormat="false" ht="15.75" hidden="false" customHeight="false" outlineLevel="0" collapsed="false">
      <c r="A187" s="12"/>
      <c r="B187" s="34"/>
      <c r="C187" s="12"/>
      <c r="D187" s="12"/>
      <c r="E187" s="12"/>
      <c r="F187" s="12"/>
      <c r="G187" s="18"/>
      <c r="H187" s="35"/>
      <c r="I187" s="12"/>
      <c r="M187" s="12"/>
      <c r="N187" s="18"/>
      <c r="O187" s="12"/>
      <c r="P187" s="12"/>
      <c r="Q187" s="12"/>
      <c r="R187" s="36"/>
      <c r="S187" s="36"/>
      <c r="T187" s="12"/>
      <c r="U187" s="12"/>
      <c r="V187" s="12"/>
      <c r="W187" s="12"/>
      <c r="X187" s="12"/>
    </row>
    <row r="188" customFormat="false" ht="15.75" hidden="false" customHeight="false" outlineLevel="0" collapsed="false">
      <c r="A188" s="12"/>
      <c r="B188" s="34"/>
      <c r="C188" s="12"/>
      <c r="D188" s="12"/>
      <c r="E188" s="12"/>
      <c r="F188" s="12"/>
      <c r="G188" s="18"/>
      <c r="H188" s="35"/>
      <c r="I188" s="12"/>
      <c r="M188" s="12"/>
      <c r="N188" s="18"/>
      <c r="O188" s="12"/>
      <c r="P188" s="12"/>
      <c r="Q188" s="12"/>
      <c r="R188" s="36"/>
      <c r="S188" s="36"/>
      <c r="T188" s="12"/>
      <c r="U188" s="12"/>
      <c r="V188" s="12"/>
      <c r="W188" s="12"/>
      <c r="X188" s="12"/>
    </row>
    <row r="189" customFormat="false" ht="15.75" hidden="false" customHeight="false" outlineLevel="0" collapsed="false">
      <c r="A189" s="12"/>
      <c r="B189" s="34"/>
      <c r="C189" s="12"/>
      <c r="D189" s="12"/>
      <c r="E189" s="12"/>
      <c r="F189" s="12"/>
      <c r="G189" s="18"/>
      <c r="H189" s="35"/>
      <c r="I189" s="12"/>
      <c r="M189" s="12"/>
      <c r="N189" s="18"/>
      <c r="O189" s="12"/>
      <c r="P189" s="12"/>
      <c r="Q189" s="12"/>
      <c r="R189" s="36"/>
      <c r="S189" s="36"/>
      <c r="T189" s="12"/>
      <c r="U189" s="12"/>
      <c r="V189" s="12"/>
      <c r="W189" s="12"/>
      <c r="X189" s="12"/>
    </row>
    <row r="190" customFormat="false" ht="15.75" hidden="false" customHeight="false" outlineLevel="0" collapsed="false">
      <c r="A190" s="12"/>
      <c r="B190" s="34"/>
      <c r="C190" s="12"/>
      <c r="D190" s="12"/>
      <c r="E190" s="12"/>
      <c r="F190" s="12"/>
      <c r="G190" s="18"/>
      <c r="H190" s="35"/>
      <c r="I190" s="12"/>
      <c r="M190" s="12"/>
      <c r="N190" s="18"/>
      <c r="O190" s="12"/>
      <c r="P190" s="12"/>
      <c r="Q190" s="12"/>
      <c r="R190" s="36"/>
      <c r="S190" s="36"/>
      <c r="T190" s="12"/>
      <c r="U190" s="12"/>
      <c r="V190" s="12"/>
      <c r="W190" s="12"/>
      <c r="X190" s="12"/>
    </row>
    <row r="191" customFormat="false" ht="15.75" hidden="false" customHeight="false" outlineLevel="0" collapsed="false">
      <c r="A191" s="12"/>
      <c r="B191" s="34"/>
      <c r="C191" s="12"/>
      <c r="D191" s="12"/>
      <c r="E191" s="12"/>
      <c r="F191" s="12"/>
      <c r="G191" s="18"/>
      <c r="H191" s="35"/>
      <c r="I191" s="12"/>
      <c r="M191" s="12"/>
      <c r="N191" s="18"/>
      <c r="O191" s="12"/>
      <c r="P191" s="12"/>
      <c r="Q191" s="12"/>
      <c r="R191" s="36"/>
      <c r="S191" s="36"/>
      <c r="T191" s="12"/>
      <c r="U191" s="12"/>
      <c r="V191" s="12"/>
      <c r="W191" s="12"/>
      <c r="X191" s="12"/>
    </row>
    <row r="192" customFormat="false" ht="15.75" hidden="false" customHeight="false" outlineLevel="0" collapsed="false">
      <c r="A192" s="12"/>
      <c r="B192" s="34"/>
      <c r="C192" s="12"/>
      <c r="D192" s="12"/>
      <c r="E192" s="12"/>
      <c r="F192" s="12"/>
      <c r="G192" s="18"/>
      <c r="H192" s="35"/>
      <c r="I192" s="12"/>
      <c r="M192" s="12"/>
      <c r="N192" s="18"/>
      <c r="O192" s="12"/>
      <c r="P192" s="12"/>
      <c r="Q192" s="12"/>
      <c r="R192" s="36"/>
      <c r="S192" s="36"/>
      <c r="T192" s="12"/>
      <c r="U192" s="12"/>
      <c r="V192" s="12"/>
      <c r="W192" s="12"/>
      <c r="X192" s="12"/>
    </row>
    <row r="193" customFormat="false" ht="15.75" hidden="false" customHeight="false" outlineLevel="0" collapsed="false">
      <c r="A193" s="12"/>
      <c r="B193" s="34"/>
      <c r="C193" s="12"/>
      <c r="D193" s="12"/>
      <c r="E193" s="12"/>
      <c r="F193" s="12"/>
      <c r="G193" s="18"/>
      <c r="H193" s="35"/>
      <c r="I193" s="12"/>
      <c r="M193" s="12"/>
      <c r="N193" s="18"/>
      <c r="O193" s="12"/>
      <c r="P193" s="12"/>
      <c r="Q193" s="12"/>
      <c r="R193" s="36"/>
      <c r="S193" s="36"/>
      <c r="T193" s="12"/>
      <c r="U193" s="12"/>
      <c r="V193" s="12"/>
      <c r="W193" s="12"/>
      <c r="X193" s="12"/>
    </row>
    <row r="194" customFormat="false" ht="15.75" hidden="false" customHeight="false" outlineLevel="0" collapsed="false">
      <c r="A194" s="12"/>
      <c r="B194" s="34"/>
      <c r="C194" s="12"/>
      <c r="D194" s="12"/>
      <c r="E194" s="12"/>
      <c r="F194" s="12"/>
      <c r="G194" s="18"/>
      <c r="H194" s="35"/>
      <c r="I194" s="12"/>
      <c r="M194" s="12"/>
      <c r="N194" s="18"/>
      <c r="O194" s="12"/>
      <c r="P194" s="12"/>
      <c r="Q194" s="12"/>
      <c r="R194" s="36"/>
      <c r="S194" s="36"/>
      <c r="T194" s="12"/>
      <c r="U194" s="12"/>
      <c r="V194" s="12"/>
      <c r="W194" s="12"/>
      <c r="X194" s="12"/>
    </row>
    <row r="195" customFormat="false" ht="15.75" hidden="false" customHeight="false" outlineLevel="0" collapsed="false">
      <c r="A195" s="12"/>
      <c r="B195" s="34"/>
      <c r="C195" s="12"/>
      <c r="D195" s="12"/>
      <c r="E195" s="12"/>
      <c r="F195" s="12"/>
      <c r="G195" s="18"/>
      <c r="H195" s="35"/>
      <c r="I195" s="12"/>
      <c r="M195" s="12"/>
      <c r="N195" s="18"/>
      <c r="O195" s="12"/>
      <c r="P195" s="12"/>
      <c r="Q195" s="12"/>
      <c r="R195" s="36"/>
      <c r="S195" s="36"/>
      <c r="T195" s="12"/>
      <c r="U195" s="12"/>
      <c r="V195" s="12"/>
      <c r="W195" s="12"/>
      <c r="X195" s="12"/>
    </row>
    <row r="196" customFormat="false" ht="15.75" hidden="false" customHeight="false" outlineLevel="0" collapsed="false">
      <c r="A196" s="12"/>
      <c r="B196" s="34"/>
      <c r="C196" s="12"/>
      <c r="D196" s="12"/>
      <c r="E196" s="12"/>
      <c r="F196" s="12"/>
      <c r="G196" s="18"/>
      <c r="H196" s="35"/>
      <c r="I196" s="12"/>
      <c r="M196" s="12"/>
      <c r="N196" s="18"/>
      <c r="O196" s="12"/>
      <c r="P196" s="12"/>
      <c r="Q196" s="12"/>
      <c r="R196" s="36"/>
      <c r="S196" s="36"/>
      <c r="T196" s="12"/>
      <c r="U196" s="12"/>
      <c r="V196" s="12"/>
      <c r="W196" s="12"/>
      <c r="X196" s="12"/>
    </row>
    <row r="197" customFormat="false" ht="15.75" hidden="false" customHeight="false" outlineLevel="0" collapsed="false">
      <c r="A197" s="12"/>
      <c r="B197" s="34"/>
      <c r="C197" s="12"/>
      <c r="D197" s="12"/>
      <c r="E197" s="12"/>
      <c r="F197" s="12"/>
      <c r="G197" s="18"/>
      <c r="H197" s="35"/>
      <c r="I197" s="12"/>
      <c r="M197" s="12"/>
      <c r="N197" s="18"/>
      <c r="O197" s="12"/>
      <c r="P197" s="12"/>
      <c r="Q197" s="12"/>
      <c r="R197" s="36"/>
      <c r="S197" s="36"/>
      <c r="T197" s="12"/>
      <c r="U197" s="12"/>
      <c r="V197" s="12"/>
      <c r="W197" s="12"/>
      <c r="X197" s="12"/>
    </row>
    <row r="198" customFormat="false" ht="15.75" hidden="false" customHeight="false" outlineLevel="0" collapsed="false">
      <c r="A198" s="12"/>
      <c r="B198" s="34"/>
      <c r="C198" s="12"/>
      <c r="D198" s="12"/>
      <c r="E198" s="12"/>
      <c r="F198" s="12"/>
      <c r="G198" s="18"/>
      <c r="H198" s="35"/>
      <c r="I198" s="12"/>
      <c r="M198" s="12"/>
      <c r="N198" s="18"/>
      <c r="O198" s="12"/>
      <c r="P198" s="12"/>
      <c r="Q198" s="12"/>
      <c r="R198" s="36"/>
      <c r="S198" s="36"/>
      <c r="T198" s="12"/>
      <c r="U198" s="12"/>
      <c r="V198" s="12"/>
      <c r="W198" s="12"/>
      <c r="X198" s="12"/>
    </row>
    <row r="199" customFormat="false" ht="15.75" hidden="false" customHeight="false" outlineLevel="0" collapsed="false">
      <c r="A199" s="12"/>
      <c r="B199" s="34"/>
      <c r="C199" s="12"/>
      <c r="D199" s="12"/>
      <c r="E199" s="12"/>
      <c r="F199" s="12"/>
      <c r="G199" s="18"/>
      <c r="H199" s="35"/>
      <c r="I199" s="12"/>
      <c r="M199" s="12"/>
      <c r="N199" s="18"/>
      <c r="O199" s="12"/>
      <c r="P199" s="12"/>
      <c r="Q199" s="12"/>
      <c r="R199" s="36"/>
      <c r="S199" s="36"/>
      <c r="T199" s="12"/>
      <c r="U199" s="12"/>
      <c r="V199" s="12"/>
      <c r="W199" s="12"/>
      <c r="X199" s="12"/>
    </row>
    <row r="200" customFormat="false" ht="15.75" hidden="false" customHeight="false" outlineLevel="0" collapsed="false">
      <c r="A200" s="12"/>
      <c r="B200" s="34"/>
      <c r="C200" s="12"/>
      <c r="D200" s="12"/>
      <c r="E200" s="12"/>
      <c r="F200" s="12"/>
      <c r="G200" s="18"/>
      <c r="H200" s="35"/>
      <c r="I200" s="12"/>
      <c r="M200" s="12"/>
      <c r="N200" s="18"/>
      <c r="O200" s="12"/>
      <c r="P200" s="12"/>
      <c r="Q200" s="12"/>
      <c r="R200" s="36"/>
      <c r="S200" s="36"/>
      <c r="T200" s="12"/>
      <c r="U200" s="12"/>
      <c r="V200" s="12"/>
      <c r="W200" s="12"/>
      <c r="X200" s="12"/>
    </row>
    <row r="201" customFormat="false" ht="15.75" hidden="false" customHeight="false" outlineLevel="0" collapsed="false">
      <c r="A201" s="12"/>
      <c r="B201" s="34"/>
      <c r="C201" s="12"/>
      <c r="D201" s="12"/>
      <c r="E201" s="12"/>
      <c r="F201" s="12"/>
      <c r="G201" s="18"/>
      <c r="H201" s="35"/>
      <c r="I201" s="12"/>
      <c r="M201" s="12"/>
      <c r="N201" s="18"/>
      <c r="O201" s="12"/>
      <c r="P201" s="12"/>
      <c r="Q201" s="12"/>
      <c r="R201" s="36"/>
      <c r="S201" s="36"/>
      <c r="T201" s="12"/>
      <c r="U201" s="12"/>
      <c r="V201" s="12"/>
      <c r="W201" s="12"/>
      <c r="X201" s="12"/>
    </row>
    <row r="202" customFormat="false" ht="15.75" hidden="false" customHeight="false" outlineLevel="0" collapsed="false">
      <c r="A202" s="12"/>
      <c r="B202" s="34"/>
      <c r="C202" s="12"/>
      <c r="D202" s="12"/>
      <c r="E202" s="12"/>
      <c r="F202" s="12"/>
      <c r="G202" s="18"/>
      <c r="H202" s="35"/>
      <c r="I202" s="12"/>
      <c r="M202" s="12"/>
      <c r="N202" s="18"/>
      <c r="O202" s="12"/>
      <c r="P202" s="12"/>
      <c r="Q202" s="12"/>
      <c r="R202" s="36"/>
      <c r="S202" s="36"/>
      <c r="T202" s="12"/>
      <c r="U202" s="12"/>
      <c r="V202" s="12"/>
      <c r="W202" s="12"/>
      <c r="X202" s="12"/>
    </row>
    <row r="203" customFormat="false" ht="15.75" hidden="false" customHeight="false" outlineLevel="0" collapsed="false">
      <c r="A203" s="12"/>
      <c r="B203" s="34"/>
      <c r="C203" s="12"/>
      <c r="D203" s="12"/>
      <c r="E203" s="12"/>
      <c r="F203" s="12"/>
      <c r="G203" s="18"/>
      <c r="H203" s="35"/>
      <c r="I203" s="12"/>
      <c r="M203" s="12"/>
      <c r="N203" s="18"/>
      <c r="O203" s="12"/>
      <c r="P203" s="12"/>
      <c r="Q203" s="12"/>
      <c r="R203" s="36"/>
      <c r="S203" s="36"/>
      <c r="T203" s="12"/>
      <c r="U203" s="12"/>
      <c r="V203" s="12"/>
      <c r="W203" s="12"/>
      <c r="X203" s="12"/>
    </row>
    <row r="204" customFormat="false" ht="15.75" hidden="false" customHeight="false" outlineLevel="0" collapsed="false">
      <c r="A204" s="12"/>
      <c r="B204" s="34"/>
      <c r="C204" s="12"/>
      <c r="D204" s="12"/>
      <c r="E204" s="12"/>
      <c r="F204" s="12"/>
      <c r="G204" s="18"/>
      <c r="H204" s="35"/>
      <c r="I204" s="12"/>
      <c r="M204" s="12"/>
      <c r="N204" s="18"/>
      <c r="O204" s="12"/>
      <c r="P204" s="12"/>
      <c r="Q204" s="12"/>
      <c r="R204" s="36"/>
      <c r="S204" s="36"/>
      <c r="T204" s="12"/>
      <c r="U204" s="12"/>
      <c r="V204" s="12"/>
      <c r="W204" s="12"/>
      <c r="X204" s="12"/>
    </row>
    <row r="205" customFormat="false" ht="15.75" hidden="false" customHeight="false" outlineLevel="0" collapsed="false">
      <c r="A205" s="12"/>
      <c r="B205" s="34"/>
      <c r="C205" s="12"/>
      <c r="D205" s="12"/>
      <c r="E205" s="12"/>
      <c r="F205" s="12"/>
      <c r="G205" s="18"/>
      <c r="H205" s="35"/>
      <c r="I205" s="12"/>
      <c r="M205" s="12"/>
      <c r="N205" s="18"/>
      <c r="O205" s="12"/>
      <c r="P205" s="12"/>
      <c r="Q205" s="12"/>
      <c r="R205" s="36"/>
      <c r="S205" s="36"/>
      <c r="T205" s="12"/>
      <c r="U205" s="12"/>
      <c r="V205" s="12"/>
      <c r="W205" s="12"/>
      <c r="X205" s="12"/>
    </row>
    <row r="206" customFormat="false" ht="15.75" hidden="false" customHeight="false" outlineLevel="0" collapsed="false">
      <c r="A206" s="12"/>
      <c r="B206" s="34"/>
      <c r="C206" s="12"/>
      <c r="D206" s="12"/>
      <c r="E206" s="12"/>
      <c r="F206" s="12"/>
      <c r="G206" s="18"/>
      <c r="H206" s="35"/>
      <c r="I206" s="12"/>
      <c r="M206" s="12"/>
      <c r="N206" s="18"/>
      <c r="O206" s="12"/>
      <c r="P206" s="12"/>
      <c r="Q206" s="12"/>
      <c r="R206" s="36"/>
      <c r="S206" s="36"/>
      <c r="T206" s="12"/>
      <c r="U206" s="12"/>
      <c r="V206" s="12"/>
      <c r="W206" s="12"/>
      <c r="X206" s="12"/>
    </row>
    <row r="207" customFormat="false" ht="15.75" hidden="false" customHeight="false" outlineLevel="0" collapsed="false">
      <c r="A207" s="12"/>
      <c r="B207" s="34"/>
      <c r="C207" s="12"/>
      <c r="D207" s="12"/>
      <c r="E207" s="12"/>
      <c r="F207" s="12"/>
      <c r="G207" s="18"/>
      <c r="H207" s="35"/>
      <c r="I207" s="12"/>
      <c r="M207" s="12"/>
      <c r="N207" s="18"/>
      <c r="O207" s="12"/>
      <c r="P207" s="12"/>
      <c r="Q207" s="12"/>
      <c r="R207" s="36"/>
      <c r="S207" s="36"/>
      <c r="T207" s="12"/>
      <c r="U207" s="12"/>
      <c r="V207" s="12"/>
      <c r="W207" s="12"/>
      <c r="X207" s="12"/>
    </row>
    <row r="208" customFormat="false" ht="15.75" hidden="false" customHeight="false" outlineLevel="0" collapsed="false">
      <c r="A208" s="12"/>
      <c r="B208" s="34"/>
      <c r="C208" s="12"/>
      <c r="D208" s="12"/>
      <c r="E208" s="12"/>
      <c r="F208" s="12"/>
      <c r="G208" s="18"/>
      <c r="H208" s="35"/>
      <c r="I208" s="12"/>
      <c r="M208" s="12"/>
      <c r="N208" s="18"/>
      <c r="O208" s="12"/>
      <c r="P208" s="12"/>
      <c r="Q208" s="12"/>
      <c r="R208" s="36"/>
      <c r="S208" s="36"/>
      <c r="T208" s="12"/>
      <c r="U208" s="12"/>
      <c r="V208" s="12"/>
      <c r="W208" s="12"/>
      <c r="X208" s="12"/>
    </row>
    <row r="209" customFormat="false" ht="15.75" hidden="false" customHeight="false" outlineLevel="0" collapsed="false">
      <c r="A209" s="12"/>
      <c r="B209" s="34"/>
      <c r="C209" s="12"/>
      <c r="D209" s="12"/>
      <c r="E209" s="12"/>
      <c r="F209" s="12"/>
      <c r="G209" s="18"/>
      <c r="H209" s="35"/>
      <c r="I209" s="12"/>
      <c r="M209" s="12"/>
      <c r="N209" s="18"/>
      <c r="O209" s="12"/>
      <c r="P209" s="12"/>
      <c r="Q209" s="12"/>
      <c r="R209" s="36"/>
      <c r="S209" s="36"/>
      <c r="T209" s="12"/>
      <c r="U209" s="12"/>
      <c r="V209" s="12"/>
      <c r="W209" s="12"/>
      <c r="X209" s="12"/>
    </row>
    <row r="210" customFormat="false" ht="15.75" hidden="false" customHeight="false" outlineLevel="0" collapsed="false">
      <c r="A210" s="12"/>
      <c r="B210" s="34"/>
      <c r="C210" s="12"/>
      <c r="D210" s="12"/>
      <c r="E210" s="12"/>
      <c r="F210" s="12"/>
      <c r="G210" s="18"/>
      <c r="H210" s="35"/>
      <c r="I210" s="12"/>
      <c r="M210" s="12"/>
      <c r="N210" s="18"/>
      <c r="O210" s="12"/>
      <c r="P210" s="12"/>
      <c r="Q210" s="12"/>
      <c r="R210" s="36"/>
      <c r="S210" s="36"/>
      <c r="T210" s="12"/>
      <c r="U210" s="12"/>
      <c r="V210" s="12"/>
      <c r="W210" s="12"/>
      <c r="X210" s="12"/>
    </row>
    <row r="211" customFormat="false" ht="15.75" hidden="false" customHeight="false" outlineLevel="0" collapsed="false">
      <c r="A211" s="12"/>
      <c r="B211" s="34"/>
      <c r="C211" s="12"/>
      <c r="D211" s="12"/>
      <c r="E211" s="12"/>
      <c r="F211" s="12"/>
      <c r="G211" s="18"/>
      <c r="H211" s="35"/>
      <c r="I211" s="12"/>
      <c r="M211" s="12"/>
      <c r="N211" s="18"/>
      <c r="O211" s="12"/>
      <c r="P211" s="12"/>
      <c r="Q211" s="12"/>
      <c r="R211" s="36"/>
      <c r="S211" s="36"/>
      <c r="T211" s="12"/>
      <c r="U211" s="12"/>
      <c r="V211" s="12"/>
      <c r="W211" s="12"/>
      <c r="X211" s="12"/>
    </row>
    <row r="212" customFormat="false" ht="15.75" hidden="false" customHeight="false" outlineLevel="0" collapsed="false">
      <c r="A212" s="12"/>
      <c r="B212" s="34"/>
      <c r="C212" s="12"/>
      <c r="D212" s="12"/>
      <c r="E212" s="12"/>
      <c r="F212" s="12"/>
      <c r="G212" s="18"/>
      <c r="H212" s="35"/>
      <c r="I212" s="12"/>
      <c r="M212" s="12"/>
      <c r="N212" s="18"/>
      <c r="O212" s="12"/>
      <c r="P212" s="12"/>
      <c r="Q212" s="12"/>
      <c r="R212" s="36"/>
      <c r="S212" s="36"/>
      <c r="T212" s="12"/>
      <c r="U212" s="12"/>
      <c r="V212" s="12"/>
      <c r="W212" s="12"/>
      <c r="X212" s="12"/>
    </row>
    <row r="213" customFormat="false" ht="15.75" hidden="false" customHeight="false" outlineLevel="0" collapsed="false">
      <c r="A213" s="12"/>
      <c r="B213" s="34"/>
      <c r="C213" s="12"/>
      <c r="D213" s="12"/>
      <c r="E213" s="12"/>
      <c r="F213" s="12"/>
      <c r="G213" s="18"/>
      <c r="H213" s="35"/>
      <c r="I213" s="12"/>
      <c r="M213" s="12"/>
      <c r="N213" s="18"/>
      <c r="O213" s="12"/>
      <c r="P213" s="12"/>
      <c r="Q213" s="12"/>
      <c r="R213" s="36"/>
      <c r="S213" s="36"/>
      <c r="T213" s="12"/>
      <c r="U213" s="12"/>
      <c r="V213" s="12"/>
      <c r="W213" s="12"/>
      <c r="X213" s="12"/>
    </row>
    <row r="214" customFormat="false" ht="15.75" hidden="false" customHeight="false" outlineLevel="0" collapsed="false">
      <c r="A214" s="12"/>
      <c r="B214" s="34"/>
      <c r="C214" s="12"/>
      <c r="D214" s="12"/>
      <c r="E214" s="12"/>
      <c r="F214" s="12"/>
      <c r="G214" s="18"/>
      <c r="H214" s="35"/>
      <c r="I214" s="12"/>
      <c r="M214" s="12"/>
      <c r="N214" s="18"/>
      <c r="O214" s="12"/>
      <c r="P214" s="12"/>
      <c r="Q214" s="12"/>
      <c r="R214" s="36"/>
      <c r="S214" s="36"/>
      <c r="T214" s="12"/>
      <c r="U214" s="12"/>
      <c r="V214" s="12"/>
      <c r="W214" s="12"/>
      <c r="X214" s="12"/>
    </row>
    <row r="215" customFormat="false" ht="15.75" hidden="false" customHeight="false" outlineLevel="0" collapsed="false">
      <c r="A215" s="12"/>
      <c r="B215" s="34"/>
      <c r="C215" s="12"/>
      <c r="D215" s="12"/>
      <c r="E215" s="12"/>
      <c r="F215" s="12"/>
      <c r="G215" s="18"/>
      <c r="H215" s="35"/>
      <c r="I215" s="12"/>
      <c r="M215" s="12"/>
      <c r="N215" s="18"/>
      <c r="O215" s="12"/>
      <c r="P215" s="12"/>
      <c r="Q215" s="12"/>
      <c r="R215" s="36"/>
      <c r="S215" s="36"/>
      <c r="T215" s="12"/>
      <c r="U215" s="12"/>
      <c r="V215" s="12"/>
      <c r="W215" s="12"/>
      <c r="X215" s="12"/>
    </row>
    <row r="216" customFormat="false" ht="15.75" hidden="false" customHeight="false" outlineLevel="0" collapsed="false">
      <c r="A216" s="12"/>
      <c r="B216" s="34"/>
      <c r="C216" s="12"/>
      <c r="D216" s="12"/>
      <c r="E216" s="12"/>
      <c r="F216" s="12"/>
      <c r="G216" s="18"/>
      <c r="H216" s="35"/>
      <c r="I216" s="12"/>
      <c r="M216" s="12"/>
      <c r="N216" s="18"/>
      <c r="O216" s="12"/>
      <c r="P216" s="12"/>
      <c r="Q216" s="12"/>
      <c r="R216" s="36"/>
      <c r="S216" s="36"/>
      <c r="T216" s="12"/>
      <c r="U216" s="12"/>
      <c r="V216" s="12"/>
      <c r="W216" s="12"/>
      <c r="X216" s="12"/>
    </row>
    <row r="217" customFormat="false" ht="15.75" hidden="false" customHeight="false" outlineLevel="0" collapsed="false">
      <c r="A217" s="12"/>
      <c r="B217" s="34"/>
      <c r="C217" s="12"/>
      <c r="D217" s="12"/>
      <c r="E217" s="12"/>
      <c r="F217" s="12"/>
      <c r="G217" s="18"/>
      <c r="H217" s="35"/>
      <c r="I217" s="12"/>
      <c r="M217" s="12"/>
      <c r="N217" s="18"/>
      <c r="O217" s="12"/>
      <c r="P217" s="12"/>
      <c r="Q217" s="12"/>
      <c r="R217" s="36"/>
      <c r="S217" s="36"/>
      <c r="T217" s="12"/>
      <c r="U217" s="12"/>
      <c r="V217" s="12"/>
      <c r="W217" s="12"/>
      <c r="X217" s="12"/>
    </row>
    <row r="218" customFormat="false" ht="15.75" hidden="false" customHeight="false" outlineLevel="0" collapsed="false">
      <c r="A218" s="12"/>
      <c r="B218" s="34"/>
      <c r="C218" s="12"/>
      <c r="D218" s="12"/>
      <c r="E218" s="12"/>
      <c r="F218" s="12"/>
      <c r="G218" s="18"/>
      <c r="H218" s="35"/>
      <c r="I218" s="12"/>
      <c r="M218" s="12"/>
      <c r="N218" s="18"/>
      <c r="O218" s="12"/>
      <c r="P218" s="12"/>
      <c r="Q218" s="12"/>
      <c r="R218" s="36"/>
      <c r="S218" s="36"/>
      <c r="T218" s="12"/>
      <c r="U218" s="12"/>
      <c r="V218" s="12"/>
      <c r="W218" s="12"/>
      <c r="X218" s="12"/>
    </row>
    <row r="219" customFormat="false" ht="15.75" hidden="false" customHeight="false" outlineLevel="0" collapsed="false">
      <c r="A219" s="12"/>
      <c r="B219" s="34"/>
      <c r="C219" s="12"/>
      <c r="D219" s="12"/>
      <c r="E219" s="12"/>
      <c r="F219" s="12"/>
      <c r="G219" s="18"/>
      <c r="H219" s="35"/>
      <c r="I219" s="12"/>
      <c r="M219" s="12"/>
      <c r="N219" s="18"/>
      <c r="O219" s="12"/>
      <c r="P219" s="12"/>
      <c r="Q219" s="12"/>
      <c r="R219" s="36"/>
      <c r="S219" s="36"/>
      <c r="T219" s="12"/>
      <c r="U219" s="12"/>
      <c r="V219" s="12"/>
      <c r="W219" s="12"/>
      <c r="X219" s="12"/>
    </row>
    <row r="220" customFormat="false" ht="15.75" hidden="false" customHeight="false" outlineLevel="0" collapsed="false">
      <c r="A220" s="12"/>
      <c r="B220" s="34"/>
      <c r="C220" s="12"/>
      <c r="D220" s="12"/>
      <c r="E220" s="12"/>
      <c r="F220" s="12"/>
      <c r="G220" s="18"/>
      <c r="H220" s="35"/>
      <c r="I220" s="12"/>
      <c r="M220" s="12"/>
      <c r="N220" s="18"/>
      <c r="O220" s="12"/>
      <c r="P220" s="12"/>
      <c r="Q220" s="12"/>
      <c r="R220" s="36"/>
      <c r="S220" s="36"/>
      <c r="T220" s="12"/>
      <c r="U220" s="12"/>
      <c r="V220" s="12"/>
      <c r="W220" s="12"/>
      <c r="X220" s="12"/>
    </row>
    <row r="221" customFormat="false" ht="15.75" hidden="false" customHeight="false" outlineLevel="0" collapsed="false">
      <c r="A221" s="12"/>
      <c r="B221" s="34"/>
      <c r="C221" s="12"/>
      <c r="D221" s="12"/>
      <c r="E221" s="12"/>
      <c r="F221" s="12"/>
      <c r="G221" s="18"/>
      <c r="H221" s="35"/>
      <c r="I221" s="12"/>
      <c r="M221" s="12"/>
      <c r="N221" s="18"/>
      <c r="O221" s="12"/>
      <c r="P221" s="12"/>
      <c r="Q221" s="12"/>
      <c r="R221" s="36"/>
      <c r="S221" s="36"/>
      <c r="T221" s="12"/>
      <c r="U221" s="12"/>
      <c r="V221" s="12"/>
      <c r="W221" s="12"/>
      <c r="X221" s="12"/>
    </row>
    <row r="222" customFormat="false" ht="15.75" hidden="false" customHeight="false" outlineLevel="0" collapsed="false">
      <c r="A222" s="12"/>
      <c r="B222" s="34"/>
      <c r="C222" s="12"/>
      <c r="D222" s="12"/>
      <c r="E222" s="12"/>
      <c r="F222" s="12"/>
      <c r="G222" s="18"/>
      <c r="H222" s="35"/>
      <c r="I222" s="12"/>
      <c r="M222" s="12"/>
      <c r="N222" s="18"/>
      <c r="O222" s="12"/>
      <c r="P222" s="12"/>
      <c r="Q222" s="12"/>
      <c r="R222" s="36"/>
      <c r="S222" s="36"/>
      <c r="T222" s="12"/>
      <c r="U222" s="12"/>
      <c r="V222" s="12"/>
      <c r="W222" s="12"/>
      <c r="X222" s="12"/>
    </row>
    <row r="223" customFormat="false" ht="15.75" hidden="false" customHeight="false" outlineLevel="0" collapsed="false">
      <c r="A223" s="12"/>
      <c r="B223" s="34"/>
      <c r="C223" s="12"/>
      <c r="D223" s="12"/>
      <c r="E223" s="12"/>
      <c r="F223" s="12"/>
      <c r="G223" s="18"/>
      <c r="H223" s="35"/>
      <c r="I223" s="12"/>
      <c r="M223" s="12"/>
      <c r="N223" s="18"/>
      <c r="O223" s="12"/>
      <c r="P223" s="12"/>
      <c r="Q223" s="12"/>
      <c r="R223" s="36"/>
      <c r="S223" s="36"/>
      <c r="T223" s="12"/>
      <c r="U223" s="12"/>
      <c r="V223" s="12"/>
      <c r="W223" s="12"/>
      <c r="X223" s="12"/>
    </row>
    <row r="224" customFormat="false" ht="15.75" hidden="false" customHeight="false" outlineLevel="0" collapsed="false">
      <c r="A224" s="12"/>
      <c r="B224" s="34"/>
      <c r="C224" s="12"/>
      <c r="D224" s="12"/>
      <c r="E224" s="12"/>
      <c r="F224" s="12"/>
      <c r="G224" s="18"/>
      <c r="H224" s="35"/>
      <c r="I224" s="12"/>
      <c r="M224" s="12"/>
      <c r="N224" s="18"/>
      <c r="O224" s="12"/>
      <c r="P224" s="12"/>
      <c r="Q224" s="12"/>
      <c r="R224" s="36"/>
      <c r="S224" s="36"/>
      <c r="T224" s="12"/>
      <c r="U224" s="12"/>
      <c r="V224" s="12"/>
      <c r="W224" s="12"/>
      <c r="X224" s="12"/>
    </row>
    <row r="225" customFormat="false" ht="15.75" hidden="false" customHeight="false" outlineLevel="0" collapsed="false">
      <c r="A225" s="12"/>
      <c r="B225" s="34"/>
      <c r="C225" s="12"/>
      <c r="D225" s="12"/>
      <c r="E225" s="12"/>
      <c r="F225" s="12"/>
      <c r="G225" s="18"/>
      <c r="H225" s="35"/>
      <c r="I225" s="12"/>
      <c r="M225" s="12"/>
      <c r="N225" s="18"/>
      <c r="O225" s="12"/>
      <c r="P225" s="12"/>
      <c r="Q225" s="12"/>
      <c r="R225" s="36"/>
      <c r="S225" s="36"/>
      <c r="T225" s="12"/>
      <c r="U225" s="12"/>
      <c r="V225" s="12"/>
      <c r="W225" s="12"/>
      <c r="X225" s="12"/>
    </row>
    <row r="226" customFormat="false" ht="15.75" hidden="false" customHeight="false" outlineLevel="0" collapsed="false">
      <c r="A226" s="12"/>
      <c r="B226" s="34"/>
      <c r="C226" s="12"/>
      <c r="D226" s="12"/>
      <c r="E226" s="12"/>
      <c r="F226" s="12"/>
      <c r="G226" s="18"/>
      <c r="H226" s="35"/>
      <c r="I226" s="12"/>
      <c r="M226" s="12"/>
      <c r="N226" s="18"/>
      <c r="O226" s="12"/>
      <c r="P226" s="12"/>
      <c r="Q226" s="12"/>
      <c r="R226" s="36"/>
      <c r="S226" s="36"/>
      <c r="T226" s="12"/>
      <c r="U226" s="12"/>
      <c r="V226" s="12"/>
      <c r="W226" s="12"/>
      <c r="X226" s="12"/>
    </row>
    <row r="227" customFormat="false" ht="15.75" hidden="false" customHeight="false" outlineLevel="0" collapsed="false">
      <c r="A227" s="12"/>
      <c r="B227" s="34"/>
      <c r="C227" s="12"/>
      <c r="D227" s="12"/>
      <c r="E227" s="12"/>
      <c r="F227" s="12"/>
      <c r="G227" s="18"/>
      <c r="H227" s="35"/>
      <c r="I227" s="12"/>
      <c r="M227" s="12"/>
      <c r="N227" s="18"/>
      <c r="O227" s="12"/>
      <c r="P227" s="12"/>
      <c r="Q227" s="12"/>
      <c r="R227" s="36"/>
      <c r="S227" s="36"/>
      <c r="T227" s="12"/>
      <c r="U227" s="12"/>
      <c r="V227" s="12"/>
      <c r="W227" s="12"/>
      <c r="X227" s="12"/>
    </row>
    <row r="228" customFormat="false" ht="15.75" hidden="false" customHeight="false" outlineLevel="0" collapsed="false">
      <c r="A228" s="12"/>
      <c r="B228" s="34"/>
      <c r="C228" s="12"/>
      <c r="D228" s="12"/>
      <c r="E228" s="12"/>
      <c r="F228" s="12"/>
      <c r="G228" s="18"/>
      <c r="H228" s="35"/>
      <c r="I228" s="12"/>
      <c r="M228" s="12"/>
      <c r="N228" s="18"/>
      <c r="O228" s="12"/>
      <c r="P228" s="12"/>
      <c r="Q228" s="12"/>
      <c r="R228" s="36"/>
      <c r="S228" s="36"/>
      <c r="T228" s="12"/>
      <c r="U228" s="12"/>
      <c r="V228" s="12"/>
      <c r="W228" s="12"/>
      <c r="X228" s="12"/>
    </row>
    <row r="229" customFormat="false" ht="15.75" hidden="false" customHeight="false" outlineLevel="0" collapsed="false">
      <c r="A229" s="12"/>
      <c r="B229" s="34"/>
      <c r="C229" s="12"/>
      <c r="D229" s="12"/>
      <c r="E229" s="12"/>
      <c r="F229" s="12"/>
      <c r="G229" s="18"/>
      <c r="H229" s="35"/>
      <c r="I229" s="12"/>
      <c r="M229" s="12"/>
      <c r="N229" s="18"/>
      <c r="O229" s="12"/>
      <c r="P229" s="12"/>
      <c r="Q229" s="12"/>
      <c r="R229" s="36"/>
      <c r="S229" s="36"/>
      <c r="T229" s="12"/>
      <c r="U229" s="12"/>
      <c r="V229" s="12"/>
      <c r="W229" s="12"/>
      <c r="X229" s="12"/>
    </row>
    <row r="230" customFormat="false" ht="15.75" hidden="false" customHeight="false" outlineLevel="0" collapsed="false">
      <c r="A230" s="12"/>
      <c r="B230" s="34"/>
      <c r="C230" s="12"/>
      <c r="D230" s="12"/>
      <c r="E230" s="12"/>
      <c r="F230" s="12"/>
      <c r="G230" s="18"/>
      <c r="H230" s="35"/>
      <c r="I230" s="12"/>
      <c r="M230" s="12"/>
      <c r="N230" s="18"/>
      <c r="O230" s="12"/>
      <c r="P230" s="12"/>
      <c r="Q230" s="12"/>
      <c r="R230" s="36"/>
      <c r="S230" s="36"/>
      <c r="T230" s="12"/>
      <c r="U230" s="12"/>
      <c r="V230" s="12"/>
      <c r="W230" s="12"/>
      <c r="X230" s="12"/>
    </row>
    <row r="231" customFormat="false" ht="15.75" hidden="false" customHeight="false" outlineLevel="0" collapsed="false">
      <c r="A231" s="12"/>
      <c r="B231" s="34"/>
      <c r="C231" s="12"/>
      <c r="D231" s="12"/>
      <c r="E231" s="12"/>
      <c r="F231" s="12"/>
      <c r="G231" s="18"/>
      <c r="H231" s="35"/>
      <c r="I231" s="12"/>
      <c r="M231" s="12"/>
      <c r="N231" s="18"/>
      <c r="O231" s="12"/>
      <c r="P231" s="12"/>
      <c r="Q231" s="12"/>
      <c r="R231" s="36"/>
      <c r="S231" s="36"/>
      <c r="T231" s="12"/>
      <c r="U231" s="12"/>
      <c r="V231" s="12"/>
      <c r="W231" s="12"/>
      <c r="X231" s="12"/>
    </row>
    <row r="232" customFormat="false" ht="15.75" hidden="false" customHeight="false" outlineLevel="0" collapsed="false">
      <c r="A232" s="12"/>
      <c r="B232" s="34"/>
      <c r="C232" s="12"/>
      <c r="D232" s="12"/>
      <c r="E232" s="12"/>
      <c r="F232" s="12"/>
      <c r="G232" s="18"/>
      <c r="H232" s="35"/>
      <c r="I232" s="12"/>
      <c r="M232" s="12"/>
      <c r="N232" s="18"/>
      <c r="O232" s="12"/>
      <c r="P232" s="12"/>
      <c r="Q232" s="12"/>
      <c r="R232" s="36"/>
      <c r="S232" s="36"/>
      <c r="T232" s="12"/>
      <c r="U232" s="12"/>
      <c r="V232" s="12"/>
      <c r="W232" s="12"/>
      <c r="X232" s="12"/>
    </row>
    <row r="233" customFormat="false" ht="15.75" hidden="false" customHeight="false" outlineLevel="0" collapsed="false">
      <c r="A233" s="12"/>
      <c r="B233" s="34"/>
      <c r="C233" s="12"/>
      <c r="D233" s="12"/>
      <c r="E233" s="12"/>
      <c r="F233" s="12"/>
      <c r="G233" s="18"/>
      <c r="H233" s="35"/>
      <c r="I233" s="12"/>
      <c r="M233" s="12"/>
      <c r="N233" s="18"/>
      <c r="O233" s="12"/>
      <c r="P233" s="12"/>
      <c r="Q233" s="12"/>
      <c r="R233" s="36"/>
      <c r="S233" s="36"/>
      <c r="T233" s="12"/>
      <c r="U233" s="12"/>
      <c r="V233" s="12"/>
      <c r="W233" s="12"/>
      <c r="X233" s="12"/>
    </row>
    <row r="234" customFormat="false" ht="15.75" hidden="false" customHeight="false" outlineLevel="0" collapsed="false">
      <c r="A234" s="12"/>
      <c r="B234" s="34"/>
      <c r="C234" s="12"/>
      <c r="D234" s="12"/>
      <c r="E234" s="12"/>
      <c r="F234" s="12"/>
      <c r="G234" s="18"/>
      <c r="H234" s="35"/>
      <c r="I234" s="12"/>
      <c r="M234" s="12"/>
      <c r="N234" s="18"/>
      <c r="O234" s="12"/>
      <c r="P234" s="12"/>
      <c r="Q234" s="12"/>
      <c r="R234" s="36"/>
      <c r="S234" s="36"/>
      <c r="T234" s="12"/>
      <c r="U234" s="12"/>
      <c r="V234" s="12"/>
      <c r="W234" s="12"/>
      <c r="X234" s="12"/>
    </row>
    <row r="235" customFormat="false" ht="15.75" hidden="false" customHeight="false" outlineLevel="0" collapsed="false">
      <c r="A235" s="12"/>
      <c r="B235" s="34"/>
      <c r="C235" s="12"/>
      <c r="D235" s="12"/>
      <c r="E235" s="12"/>
      <c r="F235" s="12"/>
      <c r="G235" s="18"/>
      <c r="H235" s="35"/>
      <c r="I235" s="12"/>
      <c r="M235" s="12"/>
      <c r="N235" s="18"/>
      <c r="O235" s="12"/>
      <c r="P235" s="12"/>
      <c r="Q235" s="12"/>
      <c r="R235" s="36"/>
      <c r="S235" s="36"/>
      <c r="T235" s="12"/>
      <c r="U235" s="12"/>
      <c r="V235" s="12"/>
      <c r="W235" s="12"/>
      <c r="X235" s="12"/>
    </row>
    <row r="236" customFormat="false" ht="15.75" hidden="false" customHeight="false" outlineLevel="0" collapsed="false">
      <c r="A236" s="12"/>
      <c r="B236" s="34"/>
      <c r="C236" s="12"/>
      <c r="D236" s="12"/>
      <c r="E236" s="12"/>
      <c r="F236" s="12"/>
      <c r="G236" s="18"/>
      <c r="H236" s="35"/>
      <c r="I236" s="12"/>
      <c r="M236" s="12"/>
      <c r="N236" s="18"/>
      <c r="O236" s="12"/>
      <c r="P236" s="12"/>
      <c r="Q236" s="12"/>
      <c r="R236" s="36"/>
      <c r="S236" s="36"/>
      <c r="T236" s="12"/>
      <c r="U236" s="12"/>
      <c r="V236" s="12"/>
      <c r="W236" s="12"/>
      <c r="X236" s="12"/>
    </row>
    <row r="237" customFormat="false" ht="15.75" hidden="false" customHeight="false" outlineLevel="0" collapsed="false">
      <c r="A237" s="12"/>
      <c r="B237" s="34"/>
      <c r="C237" s="12"/>
      <c r="D237" s="12"/>
      <c r="E237" s="12"/>
      <c r="F237" s="12"/>
      <c r="G237" s="18"/>
      <c r="H237" s="35"/>
      <c r="I237" s="12"/>
      <c r="M237" s="12"/>
      <c r="N237" s="18"/>
      <c r="O237" s="12"/>
      <c r="P237" s="12"/>
      <c r="Q237" s="12"/>
      <c r="R237" s="36"/>
      <c r="S237" s="36"/>
      <c r="T237" s="12"/>
      <c r="U237" s="12"/>
      <c r="V237" s="12"/>
      <c r="W237" s="12"/>
      <c r="X237" s="12"/>
    </row>
    <row r="238" customFormat="false" ht="15.75" hidden="false" customHeight="false" outlineLevel="0" collapsed="false">
      <c r="A238" s="12"/>
      <c r="B238" s="34"/>
      <c r="C238" s="12"/>
      <c r="D238" s="12"/>
      <c r="E238" s="12"/>
      <c r="F238" s="12"/>
      <c r="G238" s="18"/>
      <c r="H238" s="35"/>
      <c r="I238" s="12"/>
      <c r="M238" s="12"/>
      <c r="N238" s="18"/>
      <c r="O238" s="12"/>
      <c r="P238" s="12"/>
      <c r="Q238" s="12"/>
      <c r="R238" s="36"/>
      <c r="S238" s="36"/>
      <c r="T238" s="12"/>
      <c r="U238" s="12"/>
      <c r="V238" s="12"/>
      <c r="W238" s="12"/>
      <c r="X238" s="12"/>
    </row>
    <row r="239" customFormat="false" ht="15.75" hidden="false" customHeight="false" outlineLevel="0" collapsed="false">
      <c r="A239" s="12"/>
      <c r="B239" s="34"/>
      <c r="C239" s="12"/>
      <c r="D239" s="12"/>
      <c r="E239" s="12"/>
      <c r="F239" s="12"/>
      <c r="G239" s="18"/>
      <c r="H239" s="35"/>
      <c r="I239" s="12"/>
      <c r="M239" s="12"/>
      <c r="N239" s="18"/>
      <c r="O239" s="12"/>
      <c r="P239" s="12"/>
      <c r="Q239" s="12"/>
      <c r="R239" s="36"/>
      <c r="S239" s="36"/>
      <c r="T239" s="12"/>
      <c r="U239" s="12"/>
      <c r="V239" s="12"/>
      <c r="W239" s="12"/>
      <c r="X239" s="12"/>
    </row>
    <row r="240" customFormat="false" ht="15.75" hidden="false" customHeight="false" outlineLevel="0" collapsed="false">
      <c r="A240" s="12"/>
      <c r="B240" s="34"/>
      <c r="C240" s="12"/>
      <c r="D240" s="12"/>
      <c r="E240" s="12"/>
      <c r="F240" s="12"/>
      <c r="G240" s="18"/>
      <c r="H240" s="35"/>
      <c r="I240" s="12"/>
      <c r="M240" s="12"/>
      <c r="N240" s="18"/>
      <c r="O240" s="12"/>
      <c r="P240" s="12"/>
      <c r="Q240" s="12"/>
      <c r="R240" s="36"/>
      <c r="S240" s="36"/>
      <c r="T240" s="12"/>
      <c r="U240" s="12"/>
      <c r="V240" s="12"/>
      <c r="W240" s="12"/>
      <c r="X240" s="12"/>
    </row>
    <row r="241" customFormat="false" ht="15.75" hidden="false" customHeight="false" outlineLevel="0" collapsed="false">
      <c r="A241" s="12"/>
      <c r="B241" s="34"/>
      <c r="C241" s="12"/>
      <c r="D241" s="12"/>
      <c r="E241" s="12"/>
      <c r="F241" s="12"/>
      <c r="G241" s="18"/>
      <c r="H241" s="35"/>
      <c r="I241" s="12"/>
      <c r="M241" s="12"/>
      <c r="N241" s="18"/>
      <c r="O241" s="12"/>
      <c r="P241" s="12"/>
      <c r="Q241" s="12"/>
      <c r="R241" s="36"/>
      <c r="S241" s="36"/>
      <c r="T241" s="12"/>
      <c r="U241" s="12"/>
      <c r="V241" s="12"/>
      <c r="W241" s="12"/>
      <c r="X241" s="12"/>
    </row>
    <row r="242" customFormat="false" ht="15.75" hidden="false" customHeight="false" outlineLevel="0" collapsed="false">
      <c r="A242" s="12"/>
      <c r="B242" s="34"/>
      <c r="C242" s="12"/>
      <c r="D242" s="12"/>
      <c r="E242" s="12"/>
      <c r="F242" s="12"/>
      <c r="G242" s="18"/>
      <c r="H242" s="35"/>
      <c r="I242" s="12"/>
      <c r="M242" s="12"/>
      <c r="N242" s="18"/>
      <c r="O242" s="12"/>
      <c r="P242" s="12"/>
      <c r="Q242" s="12"/>
      <c r="R242" s="36"/>
      <c r="S242" s="36"/>
      <c r="T242" s="12"/>
      <c r="U242" s="12"/>
      <c r="V242" s="12"/>
      <c r="W242" s="12"/>
      <c r="X242" s="12"/>
    </row>
    <row r="243" customFormat="false" ht="15.75" hidden="false" customHeight="false" outlineLevel="0" collapsed="false">
      <c r="A243" s="12"/>
      <c r="B243" s="34"/>
      <c r="C243" s="12"/>
      <c r="D243" s="12"/>
      <c r="E243" s="12"/>
      <c r="F243" s="12"/>
      <c r="G243" s="18"/>
      <c r="H243" s="35"/>
      <c r="I243" s="12"/>
      <c r="M243" s="12"/>
      <c r="N243" s="18"/>
      <c r="O243" s="12"/>
      <c r="P243" s="12"/>
      <c r="Q243" s="12"/>
      <c r="R243" s="36"/>
      <c r="S243" s="36"/>
      <c r="T243" s="12"/>
      <c r="U243" s="12"/>
      <c r="V243" s="12"/>
      <c r="W243" s="12"/>
      <c r="X243" s="12"/>
    </row>
    <row r="244" customFormat="false" ht="15.75" hidden="false" customHeight="false" outlineLevel="0" collapsed="false">
      <c r="A244" s="12"/>
      <c r="B244" s="34"/>
      <c r="C244" s="12"/>
      <c r="D244" s="12"/>
      <c r="E244" s="12"/>
      <c r="F244" s="12"/>
      <c r="G244" s="18"/>
      <c r="H244" s="35"/>
      <c r="I244" s="12"/>
      <c r="M244" s="12"/>
      <c r="N244" s="18"/>
      <c r="O244" s="12"/>
      <c r="P244" s="12"/>
      <c r="Q244" s="12"/>
      <c r="R244" s="36"/>
      <c r="S244" s="36"/>
      <c r="T244" s="12"/>
      <c r="U244" s="12"/>
      <c r="V244" s="12"/>
      <c r="W244" s="12"/>
      <c r="X244" s="12"/>
    </row>
    <row r="245" customFormat="false" ht="15.75" hidden="false" customHeight="false" outlineLevel="0" collapsed="false">
      <c r="A245" s="12"/>
      <c r="B245" s="34"/>
      <c r="C245" s="12"/>
      <c r="D245" s="12"/>
      <c r="E245" s="12"/>
      <c r="F245" s="12"/>
      <c r="G245" s="18"/>
      <c r="H245" s="35"/>
      <c r="I245" s="12"/>
      <c r="M245" s="12"/>
      <c r="N245" s="18"/>
      <c r="O245" s="12"/>
      <c r="P245" s="12"/>
      <c r="Q245" s="12"/>
      <c r="R245" s="36"/>
      <c r="S245" s="36"/>
      <c r="T245" s="12"/>
      <c r="U245" s="12"/>
      <c r="V245" s="12"/>
      <c r="W245" s="12"/>
      <c r="X245" s="12"/>
    </row>
    <row r="246" customFormat="false" ht="15.75" hidden="false" customHeight="false" outlineLevel="0" collapsed="false">
      <c r="A246" s="12"/>
      <c r="B246" s="34"/>
      <c r="C246" s="12"/>
      <c r="D246" s="12"/>
      <c r="E246" s="12"/>
      <c r="F246" s="12"/>
      <c r="G246" s="18"/>
      <c r="H246" s="35"/>
      <c r="I246" s="12"/>
      <c r="M246" s="12"/>
      <c r="N246" s="18"/>
      <c r="O246" s="12"/>
      <c r="P246" s="12"/>
      <c r="Q246" s="12"/>
      <c r="R246" s="36"/>
      <c r="S246" s="36"/>
      <c r="T246" s="12"/>
      <c r="U246" s="12"/>
      <c r="V246" s="12"/>
      <c r="W246" s="12"/>
      <c r="X246" s="12"/>
    </row>
    <row r="247" customFormat="false" ht="15.75" hidden="false" customHeight="false" outlineLevel="0" collapsed="false">
      <c r="A247" s="12"/>
      <c r="B247" s="34"/>
      <c r="C247" s="12"/>
      <c r="D247" s="12"/>
      <c r="E247" s="12"/>
      <c r="F247" s="12"/>
      <c r="G247" s="18"/>
      <c r="H247" s="35"/>
      <c r="I247" s="12"/>
      <c r="M247" s="12"/>
      <c r="N247" s="18"/>
      <c r="O247" s="12"/>
      <c r="P247" s="12"/>
      <c r="Q247" s="12"/>
      <c r="R247" s="36"/>
      <c r="S247" s="36"/>
      <c r="T247" s="12"/>
      <c r="U247" s="12"/>
      <c r="V247" s="12"/>
      <c r="W247" s="12"/>
      <c r="X247" s="12"/>
    </row>
    <row r="248" customFormat="false" ht="15.75" hidden="false" customHeight="false" outlineLevel="0" collapsed="false">
      <c r="A248" s="12"/>
      <c r="B248" s="34"/>
      <c r="C248" s="12"/>
      <c r="D248" s="12"/>
      <c r="E248" s="12"/>
      <c r="F248" s="12"/>
      <c r="G248" s="18"/>
      <c r="H248" s="35"/>
      <c r="I248" s="12"/>
      <c r="M248" s="12"/>
      <c r="N248" s="18"/>
      <c r="O248" s="12"/>
      <c r="P248" s="12"/>
      <c r="Q248" s="12"/>
      <c r="R248" s="36"/>
      <c r="S248" s="36"/>
      <c r="T248" s="12"/>
      <c r="U248" s="12"/>
      <c r="V248" s="12"/>
      <c r="W248" s="12"/>
      <c r="X248" s="12"/>
    </row>
    <row r="249" customFormat="false" ht="15.75" hidden="false" customHeight="false" outlineLevel="0" collapsed="false">
      <c r="A249" s="12"/>
      <c r="B249" s="34"/>
      <c r="C249" s="12"/>
      <c r="D249" s="12"/>
      <c r="E249" s="12"/>
      <c r="F249" s="12"/>
      <c r="G249" s="18"/>
      <c r="H249" s="35"/>
      <c r="I249" s="12"/>
      <c r="M249" s="12"/>
      <c r="N249" s="18"/>
      <c r="O249" s="12"/>
      <c r="P249" s="12"/>
      <c r="Q249" s="12"/>
      <c r="R249" s="36"/>
      <c r="S249" s="36"/>
      <c r="T249" s="12"/>
      <c r="U249" s="12"/>
      <c r="V249" s="12"/>
      <c r="W249" s="12"/>
      <c r="X249" s="12"/>
    </row>
    <row r="250" customFormat="false" ht="15.75" hidden="false" customHeight="false" outlineLevel="0" collapsed="false">
      <c r="A250" s="12"/>
      <c r="B250" s="34"/>
      <c r="C250" s="12"/>
      <c r="D250" s="12"/>
      <c r="E250" s="12"/>
      <c r="F250" s="12"/>
      <c r="G250" s="18"/>
      <c r="H250" s="35"/>
      <c r="I250" s="12"/>
      <c r="M250" s="12"/>
      <c r="N250" s="18"/>
      <c r="O250" s="12"/>
      <c r="P250" s="12"/>
      <c r="Q250" s="12"/>
      <c r="R250" s="36"/>
      <c r="S250" s="36"/>
      <c r="T250" s="12"/>
      <c r="U250" s="12"/>
      <c r="V250" s="12"/>
      <c r="W250" s="12"/>
      <c r="X250" s="12"/>
    </row>
    <row r="251" customFormat="false" ht="15.75" hidden="false" customHeight="false" outlineLevel="0" collapsed="false">
      <c r="A251" s="12"/>
      <c r="B251" s="34"/>
      <c r="C251" s="12"/>
      <c r="D251" s="12"/>
      <c r="E251" s="12"/>
      <c r="F251" s="12"/>
      <c r="G251" s="18"/>
      <c r="H251" s="35"/>
      <c r="I251" s="12"/>
      <c r="M251" s="12"/>
      <c r="N251" s="18"/>
      <c r="O251" s="12"/>
      <c r="P251" s="12"/>
      <c r="Q251" s="12"/>
      <c r="R251" s="36"/>
      <c r="S251" s="36"/>
      <c r="T251" s="12"/>
      <c r="U251" s="12"/>
      <c r="V251" s="12"/>
      <c r="W251" s="12"/>
      <c r="X251" s="12"/>
    </row>
    <row r="252" customFormat="false" ht="15.75" hidden="false" customHeight="false" outlineLevel="0" collapsed="false">
      <c r="A252" s="12"/>
      <c r="B252" s="34"/>
      <c r="C252" s="12"/>
      <c r="D252" s="12"/>
      <c r="E252" s="12"/>
      <c r="F252" s="12"/>
      <c r="G252" s="18"/>
      <c r="H252" s="35"/>
      <c r="I252" s="12"/>
      <c r="M252" s="12"/>
      <c r="N252" s="18"/>
      <c r="O252" s="12"/>
      <c r="P252" s="12"/>
      <c r="Q252" s="12"/>
      <c r="R252" s="36"/>
      <c r="S252" s="36"/>
      <c r="T252" s="12"/>
      <c r="U252" s="12"/>
      <c r="V252" s="12"/>
      <c r="W252" s="12"/>
      <c r="X252" s="12"/>
    </row>
    <row r="253" customFormat="false" ht="15.75" hidden="false" customHeight="false" outlineLevel="0" collapsed="false">
      <c r="A253" s="12"/>
      <c r="B253" s="34"/>
      <c r="C253" s="12"/>
      <c r="D253" s="12"/>
      <c r="E253" s="12"/>
      <c r="F253" s="12"/>
      <c r="G253" s="18"/>
      <c r="H253" s="35"/>
      <c r="I253" s="12"/>
      <c r="M253" s="12"/>
      <c r="N253" s="18"/>
      <c r="O253" s="12"/>
      <c r="P253" s="12"/>
      <c r="Q253" s="12"/>
      <c r="R253" s="36"/>
      <c r="S253" s="36"/>
      <c r="T253" s="12"/>
      <c r="U253" s="12"/>
      <c r="V253" s="12"/>
      <c r="W253" s="12"/>
      <c r="X253" s="12"/>
    </row>
    <row r="254" customFormat="false" ht="15.75" hidden="false" customHeight="false" outlineLevel="0" collapsed="false">
      <c r="A254" s="12"/>
      <c r="B254" s="34"/>
      <c r="C254" s="12"/>
      <c r="D254" s="12"/>
      <c r="E254" s="12"/>
      <c r="F254" s="12"/>
      <c r="G254" s="18"/>
      <c r="H254" s="35"/>
      <c r="I254" s="12"/>
      <c r="M254" s="12"/>
      <c r="N254" s="18"/>
      <c r="O254" s="12"/>
      <c r="P254" s="12"/>
      <c r="Q254" s="12"/>
      <c r="R254" s="36"/>
      <c r="S254" s="36"/>
      <c r="T254" s="12"/>
      <c r="U254" s="12"/>
      <c r="V254" s="12"/>
      <c r="W254" s="12"/>
      <c r="X254" s="12"/>
    </row>
    <row r="255" customFormat="false" ht="15.75" hidden="false" customHeight="false" outlineLevel="0" collapsed="false">
      <c r="A255" s="12"/>
      <c r="B255" s="34"/>
      <c r="C255" s="12"/>
      <c r="D255" s="12"/>
      <c r="E255" s="12"/>
      <c r="F255" s="12"/>
      <c r="G255" s="18"/>
      <c r="H255" s="35"/>
      <c r="I255" s="12"/>
      <c r="M255" s="12"/>
      <c r="N255" s="18"/>
      <c r="O255" s="12"/>
      <c r="P255" s="12"/>
      <c r="Q255" s="12"/>
      <c r="R255" s="36"/>
      <c r="S255" s="36"/>
      <c r="T255" s="12"/>
      <c r="U255" s="12"/>
      <c r="V255" s="12"/>
      <c r="W255" s="12"/>
      <c r="X255" s="12"/>
    </row>
    <row r="256" customFormat="false" ht="15.75" hidden="false" customHeight="false" outlineLevel="0" collapsed="false">
      <c r="A256" s="12"/>
      <c r="B256" s="34"/>
      <c r="C256" s="12"/>
      <c r="D256" s="12"/>
      <c r="E256" s="12"/>
      <c r="F256" s="12"/>
      <c r="G256" s="18"/>
      <c r="H256" s="35"/>
      <c r="I256" s="12"/>
      <c r="M256" s="12"/>
      <c r="N256" s="18"/>
      <c r="O256" s="12"/>
      <c r="P256" s="12"/>
      <c r="Q256" s="12"/>
      <c r="R256" s="36"/>
      <c r="S256" s="36"/>
      <c r="T256" s="12"/>
      <c r="U256" s="12"/>
      <c r="V256" s="12"/>
      <c r="W256" s="12"/>
      <c r="X256" s="12"/>
    </row>
    <row r="257" customFormat="false" ht="15.75" hidden="false" customHeight="false" outlineLevel="0" collapsed="false">
      <c r="A257" s="12"/>
      <c r="B257" s="34"/>
      <c r="C257" s="12"/>
      <c r="D257" s="12"/>
      <c r="E257" s="12"/>
      <c r="F257" s="12"/>
      <c r="G257" s="18"/>
      <c r="H257" s="35"/>
      <c r="I257" s="12"/>
      <c r="M257" s="12"/>
      <c r="N257" s="18"/>
      <c r="O257" s="12"/>
      <c r="P257" s="12"/>
      <c r="Q257" s="12"/>
      <c r="R257" s="36"/>
      <c r="S257" s="36"/>
      <c r="T257" s="12"/>
      <c r="U257" s="12"/>
      <c r="V257" s="12"/>
      <c r="W257" s="12"/>
      <c r="X257" s="12"/>
    </row>
    <row r="258" customFormat="false" ht="15.75" hidden="false" customHeight="false" outlineLevel="0" collapsed="false">
      <c r="A258" s="12"/>
      <c r="B258" s="34"/>
      <c r="C258" s="12"/>
      <c r="D258" s="12"/>
      <c r="E258" s="12"/>
      <c r="F258" s="12"/>
      <c r="G258" s="18"/>
      <c r="H258" s="35"/>
      <c r="I258" s="12"/>
      <c r="M258" s="12"/>
      <c r="N258" s="18"/>
      <c r="O258" s="12"/>
      <c r="P258" s="12"/>
      <c r="Q258" s="12"/>
      <c r="R258" s="36"/>
      <c r="S258" s="36"/>
      <c r="T258" s="12"/>
      <c r="U258" s="12"/>
      <c r="V258" s="12"/>
      <c r="W258" s="12"/>
      <c r="X258" s="12"/>
    </row>
    <row r="259" customFormat="false" ht="15.75" hidden="false" customHeight="false" outlineLevel="0" collapsed="false">
      <c r="A259" s="12"/>
      <c r="B259" s="34"/>
      <c r="C259" s="12"/>
      <c r="D259" s="12"/>
      <c r="E259" s="12"/>
      <c r="F259" s="12"/>
      <c r="G259" s="18"/>
      <c r="H259" s="35"/>
      <c r="I259" s="12"/>
      <c r="M259" s="12"/>
      <c r="N259" s="18"/>
      <c r="O259" s="12"/>
      <c r="P259" s="12"/>
      <c r="Q259" s="12"/>
      <c r="R259" s="36"/>
      <c r="S259" s="36"/>
      <c r="T259" s="12"/>
      <c r="U259" s="12"/>
      <c r="V259" s="12"/>
      <c r="W259" s="12"/>
      <c r="X259" s="12"/>
    </row>
    <row r="260" customFormat="false" ht="15.75" hidden="false" customHeight="false" outlineLevel="0" collapsed="false">
      <c r="A260" s="12"/>
      <c r="B260" s="34"/>
      <c r="C260" s="12"/>
      <c r="D260" s="12"/>
      <c r="E260" s="12"/>
      <c r="F260" s="12"/>
      <c r="G260" s="18"/>
      <c r="H260" s="35"/>
      <c r="I260" s="12"/>
      <c r="M260" s="12"/>
      <c r="N260" s="18"/>
      <c r="O260" s="12"/>
      <c r="P260" s="12"/>
      <c r="Q260" s="12"/>
      <c r="R260" s="36"/>
      <c r="S260" s="36"/>
      <c r="T260" s="12"/>
      <c r="U260" s="12"/>
      <c r="V260" s="12"/>
      <c r="W260" s="12"/>
      <c r="X260" s="12"/>
    </row>
    <row r="261" customFormat="false" ht="15.75" hidden="false" customHeight="false" outlineLevel="0" collapsed="false">
      <c r="A261" s="12"/>
      <c r="B261" s="34"/>
      <c r="C261" s="12"/>
      <c r="D261" s="12"/>
      <c r="E261" s="12"/>
      <c r="F261" s="12"/>
      <c r="G261" s="18"/>
      <c r="H261" s="35"/>
      <c r="I261" s="12"/>
      <c r="M261" s="12"/>
      <c r="N261" s="18"/>
      <c r="O261" s="12"/>
      <c r="P261" s="12"/>
      <c r="Q261" s="12"/>
      <c r="R261" s="36"/>
      <c r="S261" s="36"/>
      <c r="T261" s="12"/>
      <c r="U261" s="12"/>
      <c r="V261" s="12"/>
      <c r="W261" s="12"/>
      <c r="X261" s="12"/>
    </row>
    <row r="262" customFormat="false" ht="15.75" hidden="false" customHeight="false" outlineLevel="0" collapsed="false">
      <c r="A262" s="12"/>
      <c r="B262" s="34"/>
      <c r="C262" s="12"/>
      <c r="D262" s="12"/>
      <c r="E262" s="12"/>
      <c r="F262" s="12"/>
      <c r="G262" s="18"/>
      <c r="H262" s="35"/>
      <c r="I262" s="12"/>
      <c r="M262" s="12"/>
      <c r="N262" s="18"/>
      <c r="O262" s="12"/>
      <c r="P262" s="12"/>
      <c r="Q262" s="12"/>
      <c r="R262" s="36"/>
      <c r="S262" s="36"/>
      <c r="T262" s="12"/>
      <c r="U262" s="12"/>
      <c r="V262" s="12"/>
      <c r="W262" s="12"/>
      <c r="X262" s="12"/>
    </row>
    <row r="263" customFormat="false" ht="15.75" hidden="false" customHeight="false" outlineLevel="0" collapsed="false">
      <c r="A263" s="12"/>
      <c r="B263" s="34"/>
      <c r="C263" s="12"/>
      <c r="D263" s="12"/>
      <c r="E263" s="12"/>
      <c r="F263" s="12"/>
      <c r="G263" s="18"/>
      <c r="H263" s="35"/>
      <c r="I263" s="12"/>
      <c r="M263" s="12"/>
      <c r="N263" s="18"/>
      <c r="O263" s="12"/>
      <c r="P263" s="12"/>
      <c r="Q263" s="12"/>
      <c r="R263" s="36"/>
      <c r="S263" s="36"/>
      <c r="T263" s="12"/>
      <c r="U263" s="12"/>
      <c r="V263" s="12"/>
      <c r="W263" s="12"/>
      <c r="X263" s="12"/>
    </row>
    <row r="264" customFormat="false" ht="15.75" hidden="false" customHeight="false" outlineLevel="0" collapsed="false">
      <c r="A264" s="12"/>
      <c r="B264" s="34"/>
      <c r="C264" s="12"/>
      <c r="D264" s="12"/>
      <c r="E264" s="12"/>
      <c r="F264" s="12"/>
      <c r="G264" s="18"/>
      <c r="H264" s="35"/>
      <c r="I264" s="12"/>
      <c r="M264" s="12"/>
      <c r="N264" s="18"/>
      <c r="O264" s="12"/>
      <c r="P264" s="12"/>
      <c r="Q264" s="12"/>
      <c r="R264" s="36"/>
      <c r="S264" s="36"/>
      <c r="T264" s="12"/>
      <c r="U264" s="12"/>
      <c r="V264" s="12"/>
      <c r="W264" s="12"/>
      <c r="X264" s="12"/>
    </row>
    <row r="265" customFormat="false" ht="15.75" hidden="false" customHeight="false" outlineLevel="0" collapsed="false">
      <c r="A265" s="12"/>
      <c r="B265" s="34"/>
      <c r="C265" s="12"/>
      <c r="D265" s="12"/>
      <c r="E265" s="12"/>
      <c r="F265" s="12"/>
      <c r="G265" s="18"/>
      <c r="H265" s="35"/>
      <c r="I265" s="12"/>
      <c r="M265" s="12"/>
      <c r="N265" s="18"/>
      <c r="O265" s="12"/>
      <c r="P265" s="12"/>
      <c r="Q265" s="12"/>
      <c r="R265" s="36"/>
      <c r="S265" s="36"/>
      <c r="T265" s="12"/>
      <c r="U265" s="12"/>
      <c r="V265" s="12"/>
      <c r="W265" s="12"/>
      <c r="X265" s="12"/>
    </row>
    <row r="266" customFormat="false" ht="15.75" hidden="false" customHeight="false" outlineLevel="0" collapsed="false">
      <c r="A266" s="12"/>
      <c r="B266" s="34"/>
      <c r="C266" s="12"/>
      <c r="D266" s="12"/>
      <c r="E266" s="12"/>
      <c r="F266" s="12"/>
      <c r="G266" s="18"/>
      <c r="H266" s="35"/>
      <c r="I266" s="12"/>
      <c r="M266" s="12"/>
      <c r="N266" s="18"/>
      <c r="O266" s="12"/>
      <c r="P266" s="12"/>
      <c r="Q266" s="12"/>
      <c r="R266" s="36"/>
      <c r="S266" s="36"/>
      <c r="T266" s="12"/>
      <c r="U266" s="12"/>
      <c r="V266" s="12"/>
      <c r="W266" s="12"/>
      <c r="X266" s="12"/>
    </row>
    <row r="267" customFormat="false" ht="15.75" hidden="false" customHeight="false" outlineLevel="0" collapsed="false">
      <c r="A267" s="12"/>
      <c r="B267" s="34"/>
      <c r="C267" s="12"/>
      <c r="D267" s="12"/>
      <c r="E267" s="12"/>
      <c r="F267" s="12"/>
      <c r="G267" s="18"/>
      <c r="H267" s="35"/>
      <c r="I267" s="12"/>
      <c r="M267" s="12"/>
      <c r="N267" s="18"/>
      <c r="O267" s="12"/>
      <c r="P267" s="12"/>
      <c r="Q267" s="12"/>
      <c r="R267" s="36"/>
      <c r="S267" s="36"/>
      <c r="T267" s="12"/>
      <c r="U267" s="12"/>
      <c r="V267" s="12"/>
      <c r="W267" s="12"/>
      <c r="X267" s="12"/>
    </row>
    <row r="268" customFormat="false" ht="15.75" hidden="false" customHeight="false" outlineLevel="0" collapsed="false">
      <c r="A268" s="12"/>
      <c r="B268" s="34"/>
      <c r="C268" s="12"/>
      <c r="D268" s="12"/>
      <c r="E268" s="12"/>
      <c r="F268" s="12"/>
      <c r="G268" s="18"/>
      <c r="H268" s="35"/>
      <c r="I268" s="12"/>
      <c r="M268" s="12"/>
      <c r="N268" s="18"/>
      <c r="O268" s="12"/>
      <c r="P268" s="12"/>
      <c r="Q268" s="12"/>
      <c r="R268" s="36"/>
      <c r="S268" s="36"/>
      <c r="T268" s="12"/>
      <c r="U268" s="12"/>
      <c r="V268" s="12"/>
      <c r="W268" s="12"/>
      <c r="X268" s="12"/>
    </row>
    <row r="269" customFormat="false" ht="15.75" hidden="false" customHeight="false" outlineLevel="0" collapsed="false">
      <c r="A269" s="12"/>
      <c r="B269" s="34"/>
      <c r="C269" s="12"/>
      <c r="D269" s="12"/>
      <c r="E269" s="12"/>
      <c r="F269" s="12"/>
      <c r="G269" s="18"/>
      <c r="H269" s="35"/>
      <c r="I269" s="12"/>
      <c r="M269" s="12"/>
      <c r="N269" s="18"/>
      <c r="O269" s="12"/>
      <c r="P269" s="12"/>
      <c r="Q269" s="12"/>
      <c r="R269" s="36"/>
      <c r="S269" s="36"/>
      <c r="T269" s="12"/>
      <c r="U269" s="12"/>
      <c r="V269" s="12"/>
      <c r="W269" s="12"/>
      <c r="X269" s="12"/>
    </row>
    <row r="270" customFormat="false" ht="15.75" hidden="false" customHeight="false" outlineLevel="0" collapsed="false">
      <c r="A270" s="12"/>
      <c r="B270" s="34"/>
      <c r="C270" s="12"/>
      <c r="D270" s="12"/>
      <c r="E270" s="12"/>
      <c r="F270" s="12"/>
      <c r="G270" s="18"/>
      <c r="H270" s="35"/>
      <c r="I270" s="12"/>
      <c r="M270" s="12"/>
      <c r="N270" s="18"/>
      <c r="O270" s="12"/>
      <c r="P270" s="12"/>
      <c r="Q270" s="12"/>
      <c r="R270" s="36"/>
      <c r="S270" s="36"/>
      <c r="T270" s="12"/>
      <c r="U270" s="12"/>
      <c r="V270" s="12"/>
      <c r="W270" s="12"/>
      <c r="X270" s="12"/>
    </row>
    <row r="271" customFormat="false" ht="15.75" hidden="false" customHeight="false" outlineLevel="0" collapsed="false">
      <c r="A271" s="12"/>
      <c r="B271" s="34"/>
      <c r="C271" s="12"/>
      <c r="D271" s="12"/>
      <c r="E271" s="12"/>
      <c r="F271" s="12"/>
      <c r="G271" s="18"/>
      <c r="H271" s="35"/>
      <c r="I271" s="12"/>
      <c r="M271" s="12"/>
      <c r="N271" s="18"/>
      <c r="O271" s="12"/>
      <c r="P271" s="12"/>
      <c r="Q271" s="12"/>
      <c r="R271" s="36"/>
      <c r="S271" s="36"/>
      <c r="T271" s="12"/>
      <c r="U271" s="12"/>
      <c r="V271" s="12"/>
      <c r="W271" s="12"/>
      <c r="X271" s="12"/>
    </row>
    <row r="272" customFormat="false" ht="15.75" hidden="false" customHeight="false" outlineLevel="0" collapsed="false">
      <c r="A272" s="12"/>
      <c r="B272" s="34"/>
      <c r="C272" s="12"/>
      <c r="D272" s="12"/>
      <c r="E272" s="12"/>
      <c r="F272" s="12"/>
      <c r="G272" s="18"/>
      <c r="H272" s="35"/>
      <c r="I272" s="12"/>
      <c r="M272" s="12"/>
      <c r="N272" s="18"/>
      <c r="O272" s="12"/>
      <c r="P272" s="12"/>
      <c r="Q272" s="12"/>
      <c r="R272" s="36"/>
      <c r="S272" s="36"/>
      <c r="T272" s="12"/>
      <c r="U272" s="12"/>
      <c r="V272" s="12"/>
      <c r="W272" s="12"/>
      <c r="X272" s="12"/>
    </row>
    <row r="273" customFormat="false" ht="15.75" hidden="false" customHeight="false" outlineLevel="0" collapsed="false">
      <c r="A273" s="12"/>
      <c r="B273" s="34"/>
      <c r="C273" s="12"/>
      <c r="D273" s="12"/>
      <c r="E273" s="12"/>
      <c r="F273" s="12"/>
      <c r="G273" s="18"/>
      <c r="H273" s="35"/>
      <c r="I273" s="12"/>
      <c r="M273" s="12"/>
      <c r="N273" s="18"/>
      <c r="O273" s="12"/>
      <c r="P273" s="12"/>
      <c r="Q273" s="12"/>
      <c r="R273" s="36"/>
      <c r="S273" s="36"/>
      <c r="T273" s="12"/>
      <c r="U273" s="12"/>
      <c r="V273" s="12"/>
      <c r="W273" s="12"/>
      <c r="X273" s="12"/>
    </row>
    <row r="274" customFormat="false" ht="15.75" hidden="false" customHeight="false" outlineLevel="0" collapsed="false">
      <c r="A274" s="12"/>
      <c r="B274" s="34"/>
      <c r="C274" s="12"/>
      <c r="D274" s="12"/>
      <c r="E274" s="12"/>
      <c r="F274" s="12"/>
      <c r="G274" s="18"/>
      <c r="H274" s="35"/>
      <c r="I274" s="12"/>
      <c r="M274" s="12"/>
      <c r="N274" s="18"/>
      <c r="O274" s="12"/>
      <c r="P274" s="12"/>
      <c r="Q274" s="12"/>
      <c r="R274" s="36"/>
      <c r="S274" s="36"/>
      <c r="T274" s="12"/>
      <c r="U274" s="12"/>
      <c r="V274" s="12"/>
      <c r="W274" s="12"/>
      <c r="X274" s="12"/>
    </row>
    <row r="275" customFormat="false" ht="15.75" hidden="false" customHeight="false" outlineLevel="0" collapsed="false">
      <c r="A275" s="12"/>
      <c r="B275" s="34"/>
      <c r="C275" s="12"/>
      <c r="D275" s="12"/>
      <c r="E275" s="12"/>
      <c r="F275" s="12"/>
      <c r="G275" s="18"/>
      <c r="H275" s="35"/>
      <c r="I275" s="12"/>
      <c r="M275" s="12"/>
      <c r="N275" s="18"/>
      <c r="O275" s="12"/>
      <c r="P275" s="12"/>
      <c r="Q275" s="12"/>
      <c r="R275" s="36"/>
      <c r="S275" s="36"/>
      <c r="T275" s="12"/>
      <c r="U275" s="12"/>
      <c r="V275" s="12"/>
      <c r="W275" s="12"/>
      <c r="X275" s="12"/>
    </row>
    <row r="276" customFormat="false" ht="15.75" hidden="false" customHeight="false" outlineLevel="0" collapsed="false">
      <c r="A276" s="12"/>
      <c r="B276" s="34"/>
      <c r="C276" s="12"/>
      <c r="D276" s="12"/>
      <c r="E276" s="12"/>
      <c r="F276" s="12"/>
      <c r="G276" s="18"/>
      <c r="H276" s="35"/>
      <c r="I276" s="12"/>
      <c r="M276" s="12"/>
      <c r="N276" s="18"/>
      <c r="O276" s="12"/>
      <c r="P276" s="12"/>
      <c r="Q276" s="12"/>
      <c r="R276" s="36"/>
      <c r="S276" s="36"/>
      <c r="T276" s="12"/>
      <c r="U276" s="12"/>
      <c r="V276" s="12"/>
      <c r="W276" s="12"/>
      <c r="X276" s="12"/>
    </row>
    <row r="277" customFormat="false" ht="15.75" hidden="false" customHeight="false" outlineLevel="0" collapsed="false">
      <c r="A277" s="12"/>
      <c r="B277" s="34"/>
      <c r="C277" s="12"/>
      <c r="D277" s="12"/>
      <c r="E277" s="12"/>
      <c r="F277" s="12"/>
      <c r="G277" s="18"/>
      <c r="H277" s="35"/>
      <c r="I277" s="12"/>
      <c r="M277" s="12"/>
      <c r="N277" s="18"/>
      <c r="O277" s="12"/>
      <c r="P277" s="12"/>
      <c r="Q277" s="12"/>
      <c r="R277" s="36"/>
      <c r="S277" s="36"/>
      <c r="T277" s="12"/>
      <c r="U277" s="12"/>
      <c r="V277" s="12"/>
      <c r="W277" s="12"/>
      <c r="X277" s="12"/>
    </row>
    <row r="278" customFormat="false" ht="15.75" hidden="false" customHeight="false" outlineLevel="0" collapsed="false">
      <c r="A278" s="12"/>
      <c r="B278" s="34"/>
      <c r="C278" s="12"/>
      <c r="D278" s="12"/>
      <c r="E278" s="12"/>
      <c r="F278" s="12"/>
      <c r="G278" s="18"/>
      <c r="H278" s="35"/>
      <c r="I278" s="12"/>
      <c r="M278" s="12"/>
      <c r="N278" s="18"/>
      <c r="O278" s="12"/>
      <c r="P278" s="12"/>
      <c r="Q278" s="12"/>
      <c r="R278" s="36"/>
      <c r="S278" s="36"/>
      <c r="T278" s="12"/>
      <c r="U278" s="12"/>
      <c r="V278" s="12"/>
      <c r="W278" s="12"/>
      <c r="X278" s="12"/>
    </row>
    <row r="279" customFormat="false" ht="15.75" hidden="false" customHeight="false" outlineLevel="0" collapsed="false">
      <c r="A279" s="12"/>
      <c r="B279" s="34"/>
      <c r="C279" s="12"/>
      <c r="D279" s="12"/>
      <c r="E279" s="12"/>
      <c r="F279" s="12"/>
      <c r="G279" s="18"/>
      <c r="H279" s="35"/>
      <c r="I279" s="12"/>
      <c r="M279" s="12"/>
      <c r="N279" s="18"/>
      <c r="O279" s="12"/>
      <c r="P279" s="12"/>
      <c r="Q279" s="12"/>
      <c r="R279" s="36"/>
      <c r="S279" s="36"/>
      <c r="T279" s="12"/>
      <c r="U279" s="12"/>
      <c r="V279" s="12"/>
      <c r="W279" s="12"/>
      <c r="X279" s="12"/>
    </row>
    <row r="280" customFormat="false" ht="15.75" hidden="false" customHeight="false" outlineLevel="0" collapsed="false">
      <c r="A280" s="12"/>
      <c r="B280" s="34"/>
      <c r="C280" s="12"/>
      <c r="D280" s="12"/>
      <c r="E280" s="12"/>
      <c r="F280" s="12"/>
      <c r="G280" s="18"/>
      <c r="H280" s="35"/>
      <c r="I280" s="12"/>
      <c r="M280" s="12"/>
      <c r="N280" s="18"/>
      <c r="O280" s="12"/>
      <c r="P280" s="12"/>
      <c r="Q280" s="12"/>
      <c r="R280" s="36"/>
      <c r="S280" s="36"/>
      <c r="T280" s="12"/>
      <c r="U280" s="12"/>
      <c r="V280" s="12"/>
      <c r="W280" s="12"/>
      <c r="X280" s="12"/>
    </row>
    <row r="281" customFormat="false" ht="15.75" hidden="false" customHeight="false" outlineLevel="0" collapsed="false">
      <c r="A281" s="12"/>
      <c r="B281" s="34"/>
      <c r="C281" s="12"/>
      <c r="D281" s="12"/>
      <c r="E281" s="12"/>
      <c r="F281" s="12"/>
      <c r="G281" s="18"/>
      <c r="H281" s="35"/>
      <c r="I281" s="12"/>
      <c r="M281" s="12"/>
      <c r="N281" s="18"/>
      <c r="O281" s="12"/>
      <c r="P281" s="12"/>
      <c r="Q281" s="12"/>
      <c r="R281" s="36"/>
      <c r="S281" s="36"/>
      <c r="T281" s="12"/>
      <c r="U281" s="12"/>
      <c r="V281" s="12"/>
      <c r="W281" s="12"/>
      <c r="X281" s="12"/>
    </row>
    <row r="282" customFormat="false" ht="15.75" hidden="false" customHeight="false" outlineLevel="0" collapsed="false">
      <c r="A282" s="12"/>
      <c r="B282" s="34"/>
      <c r="C282" s="12"/>
      <c r="D282" s="12"/>
      <c r="E282" s="12"/>
      <c r="F282" s="12"/>
      <c r="G282" s="18"/>
      <c r="H282" s="35"/>
      <c r="I282" s="12"/>
      <c r="M282" s="12"/>
      <c r="N282" s="18"/>
      <c r="O282" s="12"/>
      <c r="P282" s="12"/>
      <c r="Q282" s="12"/>
      <c r="R282" s="36"/>
      <c r="S282" s="36"/>
      <c r="T282" s="12"/>
      <c r="U282" s="12"/>
      <c r="V282" s="12"/>
      <c r="W282" s="12"/>
      <c r="X282" s="12"/>
    </row>
    <row r="283" customFormat="false" ht="15.75" hidden="false" customHeight="false" outlineLevel="0" collapsed="false">
      <c r="A283" s="12"/>
      <c r="B283" s="34"/>
      <c r="C283" s="12"/>
      <c r="D283" s="12"/>
      <c r="E283" s="12"/>
      <c r="F283" s="12"/>
      <c r="G283" s="18"/>
      <c r="H283" s="35"/>
      <c r="I283" s="12"/>
      <c r="M283" s="12"/>
      <c r="N283" s="18"/>
      <c r="O283" s="12"/>
      <c r="P283" s="12"/>
      <c r="Q283" s="12"/>
      <c r="R283" s="36"/>
      <c r="S283" s="36"/>
      <c r="T283" s="12"/>
      <c r="U283" s="12"/>
      <c r="V283" s="12"/>
      <c r="W283" s="12"/>
      <c r="X283" s="12"/>
    </row>
    <row r="284" customFormat="false" ht="15.75" hidden="false" customHeight="false" outlineLevel="0" collapsed="false">
      <c r="A284" s="12"/>
      <c r="B284" s="34"/>
      <c r="C284" s="12"/>
      <c r="D284" s="12"/>
      <c r="E284" s="12"/>
      <c r="F284" s="12"/>
      <c r="G284" s="18"/>
      <c r="H284" s="35"/>
      <c r="I284" s="12"/>
      <c r="M284" s="12"/>
      <c r="N284" s="18"/>
      <c r="O284" s="12"/>
      <c r="P284" s="12"/>
      <c r="Q284" s="12"/>
      <c r="R284" s="36"/>
      <c r="S284" s="36"/>
      <c r="T284" s="12"/>
      <c r="U284" s="12"/>
      <c r="V284" s="12"/>
      <c r="W284" s="12"/>
      <c r="X284" s="12"/>
    </row>
    <row r="285" customFormat="false" ht="15.75" hidden="false" customHeight="false" outlineLevel="0" collapsed="false">
      <c r="A285" s="12"/>
      <c r="B285" s="34"/>
      <c r="C285" s="12"/>
      <c r="D285" s="12"/>
      <c r="E285" s="12"/>
      <c r="F285" s="12"/>
      <c r="G285" s="18"/>
      <c r="H285" s="35"/>
      <c r="I285" s="12"/>
      <c r="M285" s="12"/>
      <c r="N285" s="18"/>
      <c r="O285" s="12"/>
      <c r="P285" s="12"/>
      <c r="Q285" s="12"/>
      <c r="R285" s="36"/>
      <c r="S285" s="36"/>
      <c r="T285" s="12"/>
      <c r="U285" s="12"/>
      <c r="V285" s="12"/>
      <c r="W285" s="12"/>
      <c r="X285" s="12"/>
    </row>
    <row r="286" customFormat="false" ht="15.75" hidden="false" customHeight="false" outlineLevel="0" collapsed="false">
      <c r="A286" s="12"/>
      <c r="B286" s="34"/>
      <c r="C286" s="12"/>
      <c r="D286" s="12"/>
      <c r="E286" s="12"/>
      <c r="F286" s="12"/>
      <c r="G286" s="18"/>
      <c r="H286" s="35"/>
      <c r="I286" s="12"/>
      <c r="M286" s="12"/>
      <c r="N286" s="18"/>
      <c r="O286" s="12"/>
      <c r="P286" s="12"/>
      <c r="Q286" s="12"/>
      <c r="R286" s="36"/>
      <c r="S286" s="36"/>
      <c r="T286" s="12"/>
      <c r="U286" s="12"/>
      <c r="V286" s="12"/>
      <c r="W286" s="12"/>
      <c r="X286" s="12"/>
    </row>
    <row r="287" customFormat="false" ht="15.75" hidden="false" customHeight="false" outlineLevel="0" collapsed="false">
      <c r="A287" s="12"/>
      <c r="B287" s="34"/>
      <c r="C287" s="12"/>
      <c r="D287" s="12"/>
      <c r="E287" s="12"/>
      <c r="F287" s="12"/>
      <c r="G287" s="18"/>
      <c r="H287" s="35"/>
      <c r="I287" s="12"/>
      <c r="M287" s="12"/>
      <c r="N287" s="18"/>
      <c r="O287" s="12"/>
      <c r="P287" s="12"/>
      <c r="Q287" s="12"/>
      <c r="R287" s="36"/>
      <c r="S287" s="36"/>
      <c r="T287" s="12"/>
      <c r="U287" s="12"/>
      <c r="V287" s="12"/>
      <c r="W287" s="12"/>
      <c r="X287" s="12"/>
    </row>
    <row r="288" customFormat="false" ht="15.75" hidden="false" customHeight="false" outlineLevel="0" collapsed="false">
      <c r="A288" s="12"/>
      <c r="B288" s="34"/>
      <c r="C288" s="12"/>
      <c r="D288" s="12"/>
      <c r="E288" s="12"/>
      <c r="F288" s="12"/>
      <c r="G288" s="18"/>
      <c r="H288" s="35"/>
      <c r="I288" s="12"/>
      <c r="M288" s="12"/>
      <c r="N288" s="18"/>
      <c r="O288" s="12"/>
      <c r="P288" s="12"/>
      <c r="Q288" s="12"/>
      <c r="R288" s="36"/>
      <c r="S288" s="36"/>
      <c r="T288" s="12"/>
      <c r="U288" s="12"/>
      <c r="V288" s="12"/>
      <c r="W288" s="12"/>
      <c r="X288" s="12"/>
    </row>
    <row r="289" customFormat="false" ht="15.75" hidden="false" customHeight="false" outlineLevel="0" collapsed="false">
      <c r="A289" s="12"/>
      <c r="B289" s="34"/>
      <c r="C289" s="12"/>
      <c r="D289" s="12"/>
      <c r="E289" s="12"/>
      <c r="F289" s="12"/>
      <c r="G289" s="18"/>
      <c r="H289" s="35"/>
      <c r="I289" s="12"/>
      <c r="M289" s="12"/>
      <c r="N289" s="18"/>
      <c r="O289" s="12"/>
      <c r="P289" s="12"/>
      <c r="Q289" s="12"/>
      <c r="R289" s="36"/>
      <c r="S289" s="36"/>
      <c r="T289" s="12"/>
      <c r="U289" s="12"/>
      <c r="V289" s="12"/>
      <c r="W289" s="12"/>
      <c r="X289" s="12"/>
    </row>
    <row r="290" customFormat="false" ht="15.75" hidden="false" customHeight="false" outlineLevel="0" collapsed="false">
      <c r="A290" s="12"/>
      <c r="B290" s="34"/>
      <c r="C290" s="12"/>
      <c r="D290" s="12"/>
      <c r="E290" s="12"/>
      <c r="F290" s="12"/>
      <c r="G290" s="18"/>
      <c r="H290" s="35"/>
      <c r="I290" s="12"/>
      <c r="M290" s="12"/>
      <c r="N290" s="18"/>
      <c r="O290" s="12"/>
      <c r="P290" s="12"/>
      <c r="Q290" s="12"/>
      <c r="R290" s="36"/>
      <c r="S290" s="36"/>
      <c r="T290" s="12"/>
      <c r="U290" s="12"/>
      <c r="V290" s="12"/>
      <c r="W290" s="12"/>
      <c r="X290" s="12"/>
    </row>
    <row r="291" customFormat="false" ht="15.75" hidden="false" customHeight="false" outlineLevel="0" collapsed="false">
      <c r="A291" s="12"/>
      <c r="B291" s="34"/>
      <c r="C291" s="12"/>
      <c r="D291" s="12"/>
      <c r="E291" s="12"/>
      <c r="F291" s="12"/>
      <c r="G291" s="18"/>
      <c r="H291" s="35"/>
      <c r="I291" s="12"/>
      <c r="M291" s="12"/>
      <c r="N291" s="18"/>
      <c r="O291" s="12"/>
      <c r="P291" s="12"/>
      <c r="Q291" s="12"/>
      <c r="R291" s="36"/>
      <c r="S291" s="36"/>
      <c r="T291" s="12"/>
      <c r="U291" s="12"/>
      <c r="V291" s="12"/>
      <c r="W291" s="12"/>
      <c r="X291" s="12"/>
    </row>
    <row r="292" customFormat="false" ht="15.75" hidden="false" customHeight="false" outlineLevel="0" collapsed="false">
      <c r="A292" s="12"/>
      <c r="B292" s="34"/>
      <c r="C292" s="12"/>
      <c r="D292" s="12"/>
      <c r="E292" s="12"/>
      <c r="F292" s="12"/>
      <c r="G292" s="18"/>
      <c r="H292" s="35"/>
      <c r="I292" s="12"/>
      <c r="M292" s="12"/>
      <c r="N292" s="18"/>
      <c r="O292" s="12"/>
      <c r="P292" s="12"/>
      <c r="Q292" s="12"/>
      <c r="R292" s="36"/>
      <c r="S292" s="36"/>
      <c r="T292" s="12"/>
      <c r="U292" s="12"/>
      <c r="V292" s="12"/>
      <c r="W292" s="12"/>
      <c r="X292" s="12"/>
    </row>
    <row r="293" customFormat="false" ht="15.75" hidden="false" customHeight="false" outlineLevel="0" collapsed="false">
      <c r="A293" s="12"/>
      <c r="B293" s="34"/>
      <c r="C293" s="12"/>
      <c r="D293" s="12"/>
      <c r="E293" s="12"/>
      <c r="F293" s="12"/>
      <c r="G293" s="18"/>
      <c r="H293" s="35"/>
      <c r="I293" s="12"/>
      <c r="M293" s="12"/>
      <c r="N293" s="18"/>
      <c r="O293" s="12"/>
      <c r="P293" s="12"/>
      <c r="Q293" s="12"/>
      <c r="R293" s="36"/>
      <c r="S293" s="36"/>
      <c r="T293" s="12"/>
      <c r="U293" s="12"/>
      <c r="V293" s="12"/>
      <c r="W293" s="12"/>
      <c r="X293" s="12"/>
    </row>
    <row r="294" customFormat="false" ht="15.75" hidden="false" customHeight="false" outlineLevel="0" collapsed="false">
      <c r="A294" s="12"/>
      <c r="B294" s="34"/>
      <c r="C294" s="12"/>
      <c r="D294" s="12"/>
      <c r="E294" s="12"/>
      <c r="F294" s="12"/>
      <c r="G294" s="18"/>
      <c r="H294" s="35"/>
      <c r="I294" s="12"/>
      <c r="M294" s="12"/>
      <c r="N294" s="18"/>
      <c r="O294" s="12"/>
      <c r="P294" s="12"/>
      <c r="Q294" s="12"/>
      <c r="R294" s="36"/>
      <c r="S294" s="36"/>
      <c r="T294" s="12"/>
      <c r="U294" s="12"/>
      <c r="V294" s="12"/>
      <c r="W294" s="12"/>
      <c r="X294" s="12"/>
    </row>
    <row r="295" customFormat="false" ht="15.75" hidden="false" customHeight="false" outlineLevel="0" collapsed="false">
      <c r="A295" s="12"/>
      <c r="B295" s="34"/>
      <c r="C295" s="12"/>
      <c r="D295" s="12"/>
      <c r="E295" s="12"/>
      <c r="F295" s="12"/>
      <c r="G295" s="18"/>
      <c r="H295" s="35"/>
      <c r="I295" s="12"/>
      <c r="M295" s="12"/>
      <c r="N295" s="18"/>
      <c r="O295" s="12"/>
      <c r="P295" s="12"/>
      <c r="Q295" s="12"/>
      <c r="R295" s="36"/>
      <c r="S295" s="36"/>
      <c r="T295" s="12"/>
      <c r="U295" s="12"/>
      <c r="V295" s="12"/>
      <c r="W295" s="12"/>
      <c r="X295" s="12"/>
    </row>
    <row r="296" customFormat="false" ht="15.75" hidden="false" customHeight="false" outlineLevel="0" collapsed="false">
      <c r="A296" s="12"/>
      <c r="B296" s="34"/>
      <c r="C296" s="12"/>
      <c r="D296" s="12"/>
      <c r="E296" s="12"/>
      <c r="F296" s="12"/>
      <c r="G296" s="18"/>
      <c r="H296" s="35"/>
      <c r="I296" s="12"/>
      <c r="M296" s="12"/>
      <c r="N296" s="18"/>
      <c r="O296" s="12"/>
      <c r="P296" s="12"/>
      <c r="Q296" s="12"/>
      <c r="R296" s="36"/>
      <c r="S296" s="36"/>
      <c r="T296" s="12"/>
      <c r="U296" s="12"/>
      <c r="V296" s="12"/>
      <c r="W296" s="12"/>
      <c r="X296" s="12"/>
    </row>
    <row r="297" customFormat="false" ht="15.75" hidden="false" customHeight="false" outlineLevel="0" collapsed="false">
      <c r="A297" s="12"/>
      <c r="B297" s="34"/>
      <c r="C297" s="12"/>
      <c r="D297" s="12"/>
      <c r="E297" s="12"/>
      <c r="F297" s="12"/>
      <c r="G297" s="18"/>
      <c r="H297" s="35"/>
      <c r="I297" s="12"/>
      <c r="M297" s="12"/>
      <c r="N297" s="18"/>
      <c r="O297" s="12"/>
      <c r="P297" s="12"/>
      <c r="Q297" s="12"/>
      <c r="R297" s="36"/>
      <c r="S297" s="36"/>
      <c r="T297" s="12"/>
      <c r="U297" s="12"/>
      <c r="V297" s="12"/>
      <c r="W297" s="12"/>
      <c r="X297" s="12"/>
    </row>
    <row r="298" customFormat="false" ht="15.75" hidden="false" customHeight="false" outlineLevel="0" collapsed="false">
      <c r="A298" s="12"/>
      <c r="B298" s="34"/>
      <c r="C298" s="12"/>
      <c r="D298" s="12"/>
      <c r="E298" s="12"/>
      <c r="F298" s="12"/>
      <c r="G298" s="18"/>
      <c r="H298" s="35"/>
      <c r="I298" s="12"/>
      <c r="M298" s="12"/>
      <c r="N298" s="18"/>
      <c r="O298" s="12"/>
      <c r="P298" s="12"/>
      <c r="Q298" s="12"/>
      <c r="R298" s="36"/>
      <c r="S298" s="36"/>
      <c r="T298" s="12"/>
      <c r="U298" s="12"/>
      <c r="V298" s="12"/>
      <c r="W298" s="12"/>
      <c r="X298" s="12"/>
    </row>
    <row r="299" customFormat="false" ht="15.75" hidden="false" customHeight="false" outlineLevel="0" collapsed="false">
      <c r="A299" s="12"/>
      <c r="B299" s="34"/>
      <c r="C299" s="12"/>
      <c r="D299" s="12"/>
      <c r="E299" s="12"/>
      <c r="F299" s="12"/>
      <c r="G299" s="18"/>
      <c r="H299" s="35"/>
      <c r="I299" s="12"/>
      <c r="M299" s="12"/>
      <c r="N299" s="18"/>
      <c r="O299" s="12"/>
      <c r="P299" s="12"/>
      <c r="Q299" s="12"/>
      <c r="R299" s="36"/>
      <c r="S299" s="36"/>
      <c r="T299" s="12"/>
      <c r="U299" s="12"/>
      <c r="V299" s="12"/>
      <c r="W299" s="12"/>
      <c r="X299" s="12"/>
    </row>
    <row r="300" customFormat="false" ht="15.75" hidden="false" customHeight="false" outlineLevel="0" collapsed="false">
      <c r="A300" s="12"/>
      <c r="B300" s="34"/>
      <c r="C300" s="12"/>
      <c r="D300" s="12"/>
      <c r="E300" s="12"/>
      <c r="F300" s="12"/>
      <c r="G300" s="18"/>
      <c r="H300" s="35"/>
      <c r="I300" s="12"/>
      <c r="M300" s="12"/>
      <c r="N300" s="18"/>
      <c r="O300" s="12"/>
      <c r="P300" s="12"/>
      <c r="Q300" s="12"/>
      <c r="R300" s="36"/>
      <c r="S300" s="36"/>
      <c r="T300" s="12"/>
      <c r="U300" s="12"/>
      <c r="V300" s="12"/>
      <c r="W300" s="12"/>
      <c r="X300" s="12"/>
    </row>
    <row r="301" customFormat="false" ht="15.75" hidden="false" customHeight="false" outlineLevel="0" collapsed="false">
      <c r="A301" s="12"/>
      <c r="B301" s="34"/>
      <c r="C301" s="12"/>
      <c r="D301" s="12"/>
      <c r="E301" s="12"/>
      <c r="F301" s="12"/>
      <c r="G301" s="18"/>
      <c r="H301" s="35"/>
      <c r="I301" s="12"/>
      <c r="M301" s="12"/>
      <c r="N301" s="18"/>
      <c r="O301" s="12"/>
      <c r="P301" s="12"/>
      <c r="Q301" s="12"/>
      <c r="R301" s="36"/>
      <c r="S301" s="36"/>
      <c r="T301" s="12"/>
      <c r="U301" s="12"/>
      <c r="V301" s="12"/>
      <c r="W301" s="12"/>
      <c r="X301" s="12"/>
    </row>
    <row r="302" customFormat="false" ht="15.75" hidden="false" customHeight="false" outlineLevel="0" collapsed="false">
      <c r="A302" s="12"/>
      <c r="B302" s="34"/>
      <c r="C302" s="12"/>
      <c r="D302" s="12"/>
      <c r="E302" s="12"/>
      <c r="F302" s="12"/>
      <c r="G302" s="18"/>
      <c r="H302" s="35"/>
      <c r="I302" s="12"/>
      <c r="M302" s="12"/>
      <c r="N302" s="18"/>
      <c r="O302" s="12"/>
      <c r="P302" s="12"/>
      <c r="Q302" s="12"/>
      <c r="R302" s="36"/>
      <c r="S302" s="36"/>
      <c r="T302" s="12"/>
      <c r="U302" s="12"/>
      <c r="V302" s="12"/>
      <c r="W302" s="12"/>
      <c r="X302" s="12"/>
    </row>
    <row r="303" customFormat="false" ht="15.75" hidden="false" customHeight="false" outlineLevel="0" collapsed="false">
      <c r="A303" s="12"/>
      <c r="B303" s="34"/>
      <c r="C303" s="12"/>
      <c r="D303" s="12"/>
      <c r="E303" s="12"/>
      <c r="F303" s="12"/>
      <c r="G303" s="18"/>
      <c r="H303" s="35"/>
      <c r="I303" s="12"/>
      <c r="M303" s="12"/>
      <c r="N303" s="18"/>
      <c r="O303" s="12"/>
      <c r="P303" s="12"/>
      <c r="Q303" s="12"/>
      <c r="R303" s="36"/>
      <c r="S303" s="36"/>
      <c r="T303" s="12"/>
      <c r="U303" s="12"/>
      <c r="V303" s="12"/>
      <c r="W303" s="12"/>
      <c r="X303" s="12"/>
    </row>
    <row r="304" customFormat="false" ht="15.75" hidden="false" customHeight="false" outlineLevel="0" collapsed="false">
      <c r="A304" s="12"/>
      <c r="B304" s="34"/>
      <c r="C304" s="12"/>
      <c r="D304" s="12"/>
      <c r="E304" s="12"/>
      <c r="F304" s="12"/>
      <c r="G304" s="18"/>
      <c r="H304" s="35"/>
      <c r="I304" s="12"/>
      <c r="M304" s="12"/>
      <c r="N304" s="18"/>
      <c r="O304" s="12"/>
      <c r="P304" s="12"/>
      <c r="Q304" s="12"/>
      <c r="R304" s="36"/>
      <c r="S304" s="36"/>
      <c r="T304" s="12"/>
      <c r="U304" s="12"/>
      <c r="V304" s="12"/>
      <c r="W304" s="12"/>
      <c r="X304" s="12"/>
    </row>
    <row r="305" customFormat="false" ht="15.75" hidden="false" customHeight="false" outlineLevel="0" collapsed="false">
      <c r="A305" s="12"/>
      <c r="B305" s="34"/>
      <c r="C305" s="12"/>
      <c r="D305" s="12"/>
      <c r="E305" s="12"/>
      <c r="F305" s="12"/>
      <c r="G305" s="18"/>
      <c r="H305" s="35"/>
      <c r="I305" s="12"/>
      <c r="M305" s="12"/>
      <c r="N305" s="18"/>
      <c r="O305" s="12"/>
      <c r="P305" s="12"/>
      <c r="Q305" s="12"/>
      <c r="R305" s="36"/>
      <c r="S305" s="36"/>
      <c r="T305" s="12"/>
      <c r="U305" s="12"/>
      <c r="V305" s="12"/>
      <c r="W305" s="12"/>
      <c r="X305" s="12"/>
    </row>
    <row r="306" customFormat="false" ht="15.75" hidden="false" customHeight="false" outlineLevel="0" collapsed="false">
      <c r="A306" s="12"/>
      <c r="B306" s="34"/>
      <c r="C306" s="12"/>
      <c r="D306" s="12"/>
      <c r="E306" s="12"/>
      <c r="F306" s="12"/>
      <c r="G306" s="18"/>
      <c r="H306" s="35"/>
      <c r="I306" s="12"/>
      <c r="M306" s="12"/>
      <c r="N306" s="18"/>
      <c r="O306" s="12"/>
      <c r="P306" s="12"/>
      <c r="Q306" s="12"/>
      <c r="R306" s="36"/>
      <c r="S306" s="36"/>
      <c r="T306" s="12"/>
      <c r="U306" s="12"/>
      <c r="V306" s="12"/>
      <c r="W306" s="12"/>
      <c r="X306" s="12"/>
    </row>
    <row r="307" customFormat="false" ht="15.75" hidden="false" customHeight="false" outlineLevel="0" collapsed="false">
      <c r="A307" s="12"/>
      <c r="B307" s="34"/>
      <c r="C307" s="12"/>
      <c r="D307" s="12"/>
      <c r="E307" s="12"/>
      <c r="F307" s="12"/>
      <c r="G307" s="18"/>
      <c r="H307" s="35"/>
      <c r="I307" s="12"/>
      <c r="M307" s="12"/>
      <c r="N307" s="18"/>
      <c r="O307" s="12"/>
      <c r="P307" s="12"/>
      <c r="Q307" s="12"/>
      <c r="R307" s="36"/>
      <c r="S307" s="36"/>
      <c r="T307" s="12"/>
      <c r="U307" s="12"/>
      <c r="V307" s="12"/>
      <c r="W307" s="12"/>
      <c r="X307" s="12"/>
    </row>
    <row r="308" customFormat="false" ht="15.75" hidden="false" customHeight="false" outlineLevel="0" collapsed="false">
      <c r="A308" s="12"/>
      <c r="B308" s="34"/>
      <c r="C308" s="12"/>
      <c r="D308" s="12"/>
      <c r="E308" s="12"/>
      <c r="F308" s="12"/>
      <c r="G308" s="18"/>
      <c r="H308" s="35"/>
      <c r="I308" s="12"/>
      <c r="M308" s="12"/>
      <c r="N308" s="18"/>
      <c r="O308" s="12"/>
      <c r="P308" s="12"/>
      <c r="Q308" s="12"/>
      <c r="R308" s="36"/>
      <c r="S308" s="36"/>
      <c r="T308" s="12"/>
      <c r="U308" s="12"/>
      <c r="V308" s="12"/>
      <c r="W308" s="12"/>
      <c r="X308" s="12"/>
    </row>
    <row r="309" customFormat="false" ht="15.75" hidden="false" customHeight="false" outlineLevel="0" collapsed="false">
      <c r="A309" s="12"/>
      <c r="B309" s="34"/>
      <c r="C309" s="12"/>
      <c r="D309" s="12"/>
      <c r="E309" s="12"/>
      <c r="F309" s="12"/>
      <c r="G309" s="18"/>
      <c r="H309" s="35"/>
      <c r="I309" s="12"/>
      <c r="M309" s="12"/>
      <c r="N309" s="18"/>
      <c r="O309" s="12"/>
      <c r="P309" s="12"/>
      <c r="Q309" s="12"/>
      <c r="R309" s="36"/>
      <c r="S309" s="36"/>
      <c r="T309" s="12"/>
      <c r="U309" s="12"/>
      <c r="V309" s="12"/>
      <c r="W309" s="12"/>
      <c r="X309" s="12"/>
    </row>
    <row r="310" customFormat="false" ht="15.75" hidden="false" customHeight="false" outlineLevel="0" collapsed="false">
      <c r="A310" s="12"/>
      <c r="B310" s="34"/>
      <c r="C310" s="12"/>
      <c r="D310" s="12"/>
      <c r="E310" s="12"/>
      <c r="F310" s="12"/>
      <c r="G310" s="18"/>
      <c r="H310" s="35"/>
      <c r="I310" s="12"/>
      <c r="M310" s="12"/>
      <c r="N310" s="18"/>
      <c r="O310" s="12"/>
      <c r="P310" s="12"/>
      <c r="Q310" s="12"/>
      <c r="R310" s="36"/>
      <c r="S310" s="36"/>
      <c r="T310" s="12"/>
      <c r="U310" s="12"/>
      <c r="V310" s="12"/>
      <c r="W310" s="12"/>
      <c r="X310" s="12"/>
    </row>
    <row r="311" customFormat="false" ht="15.75" hidden="false" customHeight="false" outlineLevel="0" collapsed="false">
      <c r="A311" s="12"/>
      <c r="B311" s="34"/>
      <c r="C311" s="12"/>
      <c r="D311" s="12"/>
      <c r="E311" s="12"/>
      <c r="F311" s="12"/>
      <c r="G311" s="18"/>
      <c r="H311" s="35"/>
      <c r="I311" s="12"/>
      <c r="M311" s="12"/>
      <c r="N311" s="18"/>
      <c r="O311" s="12"/>
      <c r="P311" s="12"/>
      <c r="Q311" s="12"/>
      <c r="R311" s="36"/>
      <c r="S311" s="36"/>
      <c r="T311" s="12"/>
      <c r="U311" s="12"/>
      <c r="V311" s="12"/>
      <c r="W311" s="12"/>
      <c r="X311" s="12"/>
    </row>
    <row r="312" customFormat="false" ht="15.75" hidden="false" customHeight="false" outlineLevel="0" collapsed="false">
      <c r="A312" s="12"/>
      <c r="B312" s="34"/>
      <c r="C312" s="12"/>
      <c r="D312" s="12"/>
      <c r="E312" s="12"/>
      <c r="F312" s="12"/>
      <c r="G312" s="18"/>
      <c r="H312" s="35"/>
      <c r="I312" s="12"/>
      <c r="M312" s="12"/>
      <c r="N312" s="18"/>
      <c r="O312" s="12"/>
      <c r="P312" s="12"/>
      <c r="Q312" s="12"/>
      <c r="R312" s="36"/>
      <c r="S312" s="36"/>
      <c r="T312" s="12"/>
      <c r="U312" s="12"/>
      <c r="V312" s="12"/>
      <c r="W312" s="12"/>
      <c r="X312" s="12"/>
    </row>
    <row r="313" customFormat="false" ht="15.75" hidden="false" customHeight="false" outlineLevel="0" collapsed="false">
      <c r="A313" s="12"/>
      <c r="B313" s="34"/>
      <c r="C313" s="12"/>
      <c r="D313" s="12"/>
      <c r="E313" s="12"/>
      <c r="F313" s="12"/>
      <c r="G313" s="18"/>
      <c r="H313" s="35"/>
      <c r="I313" s="12"/>
      <c r="M313" s="12"/>
      <c r="N313" s="18"/>
      <c r="O313" s="12"/>
      <c r="P313" s="12"/>
      <c r="Q313" s="12"/>
      <c r="R313" s="36"/>
      <c r="S313" s="36"/>
      <c r="T313" s="12"/>
      <c r="U313" s="12"/>
      <c r="V313" s="12"/>
      <c r="W313" s="12"/>
      <c r="X313" s="12"/>
    </row>
    <row r="314" customFormat="false" ht="15.75" hidden="false" customHeight="false" outlineLevel="0" collapsed="false">
      <c r="A314" s="12"/>
      <c r="B314" s="34"/>
      <c r="C314" s="12"/>
      <c r="D314" s="12"/>
      <c r="E314" s="12"/>
      <c r="F314" s="12"/>
      <c r="G314" s="18"/>
      <c r="H314" s="35"/>
      <c r="I314" s="12"/>
      <c r="M314" s="12"/>
      <c r="N314" s="18"/>
      <c r="O314" s="12"/>
      <c r="P314" s="12"/>
      <c r="Q314" s="12"/>
      <c r="R314" s="36"/>
      <c r="S314" s="36"/>
      <c r="T314" s="12"/>
      <c r="U314" s="12"/>
      <c r="V314" s="12"/>
      <c r="W314" s="12"/>
      <c r="X314" s="12"/>
    </row>
    <row r="315" customFormat="false" ht="15.75" hidden="false" customHeight="false" outlineLevel="0" collapsed="false">
      <c r="A315" s="12"/>
      <c r="B315" s="34"/>
      <c r="C315" s="12"/>
      <c r="D315" s="12"/>
      <c r="E315" s="12"/>
      <c r="F315" s="12"/>
      <c r="G315" s="18"/>
      <c r="H315" s="35"/>
      <c r="I315" s="12"/>
      <c r="M315" s="12"/>
      <c r="N315" s="18"/>
      <c r="O315" s="12"/>
      <c r="P315" s="12"/>
      <c r="Q315" s="12"/>
      <c r="R315" s="36"/>
      <c r="S315" s="36"/>
      <c r="T315" s="12"/>
      <c r="U315" s="12"/>
      <c r="V315" s="12"/>
      <c r="W315" s="12"/>
      <c r="X315" s="12"/>
    </row>
    <row r="316" customFormat="false" ht="15.75" hidden="false" customHeight="false" outlineLevel="0" collapsed="false">
      <c r="A316" s="12"/>
      <c r="B316" s="34"/>
      <c r="C316" s="12"/>
      <c r="D316" s="12"/>
      <c r="E316" s="12"/>
      <c r="F316" s="12"/>
      <c r="G316" s="18"/>
      <c r="H316" s="35"/>
      <c r="I316" s="12"/>
      <c r="M316" s="12"/>
      <c r="N316" s="18"/>
      <c r="O316" s="12"/>
      <c r="P316" s="12"/>
      <c r="Q316" s="12"/>
      <c r="R316" s="36"/>
      <c r="S316" s="36"/>
      <c r="T316" s="12"/>
      <c r="U316" s="12"/>
      <c r="V316" s="12"/>
      <c r="W316" s="12"/>
      <c r="X316" s="12"/>
    </row>
    <row r="317" customFormat="false" ht="15.75" hidden="false" customHeight="false" outlineLevel="0" collapsed="false">
      <c r="A317" s="12"/>
      <c r="B317" s="34"/>
      <c r="C317" s="12"/>
      <c r="D317" s="12"/>
      <c r="E317" s="12"/>
      <c r="F317" s="12"/>
      <c r="G317" s="18"/>
      <c r="H317" s="35"/>
      <c r="I317" s="12"/>
      <c r="M317" s="12"/>
      <c r="N317" s="18"/>
      <c r="O317" s="12"/>
      <c r="P317" s="12"/>
      <c r="Q317" s="12"/>
      <c r="R317" s="36"/>
      <c r="S317" s="36"/>
      <c r="T317" s="12"/>
      <c r="U317" s="12"/>
      <c r="V317" s="12"/>
      <c r="W317" s="12"/>
      <c r="X317" s="12"/>
    </row>
    <row r="318" customFormat="false" ht="15.75" hidden="false" customHeight="false" outlineLevel="0" collapsed="false">
      <c r="A318" s="12"/>
      <c r="B318" s="34"/>
      <c r="C318" s="12"/>
      <c r="D318" s="12"/>
      <c r="E318" s="12"/>
      <c r="F318" s="12"/>
      <c r="G318" s="18"/>
      <c r="H318" s="35"/>
      <c r="I318" s="12"/>
      <c r="M318" s="12"/>
      <c r="N318" s="18"/>
      <c r="O318" s="12"/>
      <c r="P318" s="12"/>
      <c r="Q318" s="12"/>
      <c r="R318" s="36"/>
      <c r="S318" s="36"/>
      <c r="T318" s="12"/>
      <c r="U318" s="12"/>
      <c r="V318" s="12"/>
      <c r="W318" s="12"/>
      <c r="X318" s="12"/>
    </row>
    <row r="319" customFormat="false" ht="15.75" hidden="false" customHeight="false" outlineLevel="0" collapsed="false">
      <c r="A319" s="12"/>
      <c r="B319" s="34"/>
      <c r="C319" s="12"/>
      <c r="D319" s="12"/>
      <c r="E319" s="12"/>
      <c r="F319" s="12"/>
      <c r="G319" s="18"/>
      <c r="H319" s="35"/>
      <c r="I319" s="12"/>
      <c r="M319" s="12"/>
      <c r="N319" s="18"/>
      <c r="O319" s="12"/>
      <c r="P319" s="12"/>
      <c r="Q319" s="12"/>
      <c r="R319" s="36"/>
      <c r="S319" s="36"/>
      <c r="T319" s="12"/>
      <c r="U319" s="12"/>
      <c r="V319" s="12"/>
      <c r="W319" s="12"/>
      <c r="X319" s="12"/>
    </row>
    <row r="320" customFormat="false" ht="15.75" hidden="false" customHeight="false" outlineLevel="0" collapsed="false">
      <c r="A320" s="12"/>
      <c r="B320" s="34"/>
      <c r="C320" s="12"/>
      <c r="D320" s="12"/>
      <c r="E320" s="12"/>
      <c r="F320" s="12"/>
      <c r="G320" s="18"/>
      <c r="H320" s="35"/>
      <c r="I320" s="12"/>
      <c r="M320" s="12"/>
      <c r="N320" s="18"/>
      <c r="O320" s="12"/>
      <c r="P320" s="12"/>
      <c r="Q320" s="12"/>
      <c r="R320" s="36"/>
      <c r="S320" s="36"/>
      <c r="T320" s="12"/>
      <c r="U320" s="12"/>
      <c r="V320" s="12"/>
      <c r="W320" s="12"/>
      <c r="X320" s="12"/>
    </row>
    <row r="321" customFormat="false" ht="15.75" hidden="false" customHeight="false" outlineLevel="0" collapsed="false">
      <c r="A321" s="12"/>
      <c r="B321" s="34"/>
      <c r="C321" s="12"/>
      <c r="D321" s="12"/>
      <c r="E321" s="12"/>
      <c r="F321" s="12"/>
      <c r="G321" s="18"/>
      <c r="H321" s="35"/>
      <c r="I321" s="12"/>
      <c r="M321" s="12"/>
      <c r="N321" s="18"/>
      <c r="O321" s="12"/>
      <c r="P321" s="12"/>
      <c r="Q321" s="12"/>
      <c r="R321" s="36"/>
      <c r="S321" s="36"/>
      <c r="T321" s="12"/>
      <c r="U321" s="12"/>
      <c r="V321" s="12"/>
      <c r="W321" s="12"/>
      <c r="X321" s="12"/>
    </row>
    <row r="322" customFormat="false" ht="15.75" hidden="false" customHeight="false" outlineLevel="0" collapsed="false">
      <c r="A322" s="12"/>
      <c r="B322" s="34"/>
      <c r="C322" s="12"/>
      <c r="D322" s="12"/>
      <c r="E322" s="12"/>
      <c r="F322" s="12"/>
      <c r="G322" s="18"/>
      <c r="H322" s="35"/>
      <c r="I322" s="12"/>
      <c r="M322" s="12"/>
      <c r="N322" s="18"/>
      <c r="O322" s="12"/>
      <c r="P322" s="12"/>
      <c r="Q322" s="12"/>
      <c r="R322" s="36"/>
      <c r="S322" s="36"/>
      <c r="T322" s="12"/>
      <c r="U322" s="12"/>
      <c r="V322" s="12"/>
      <c r="W322" s="12"/>
      <c r="X322" s="12"/>
    </row>
    <row r="323" customFormat="false" ht="15.75" hidden="false" customHeight="false" outlineLevel="0" collapsed="false">
      <c r="A323" s="12"/>
      <c r="B323" s="34"/>
      <c r="C323" s="12"/>
      <c r="D323" s="12"/>
      <c r="E323" s="12"/>
      <c r="F323" s="12"/>
      <c r="G323" s="18"/>
      <c r="H323" s="35"/>
      <c r="I323" s="12"/>
      <c r="M323" s="12"/>
      <c r="N323" s="18"/>
      <c r="O323" s="12"/>
      <c r="P323" s="12"/>
      <c r="Q323" s="12"/>
      <c r="R323" s="36"/>
      <c r="S323" s="36"/>
      <c r="T323" s="12"/>
      <c r="U323" s="12"/>
      <c r="V323" s="12"/>
      <c r="W323" s="12"/>
      <c r="X323" s="12"/>
    </row>
    <row r="324" customFormat="false" ht="15.75" hidden="false" customHeight="false" outlineLevel="0" collapsed="false">
      <c r="A324" s="12"/>
      <c r="B324" s="34"/>
      <c r="C324" s="12"/>
      <c r="D324" s="12"/>
      <c r="E324" s="12"/>
      <c r="F324" s="12"/>
      <c r="G324" s="18"/>
      <c r="H324" s="35"/>
      <c r="I324" s="12"/>
      <c r="M324" s="12"/>
      <c r="N324" s="18"/>
      <c r="O324" s="12"/>
      <c r="P324" s="12"/>
      <c r="Q324" s="12"/>
      <c r="R324" s="36"/>
      <c r="S324" s="36"/>
      <c r="T324" s="12"/>
      <c r="U324" s="12"/>
      <c r="V324" s="12"/>
      <c r="W324" s="12"/>
      <c r="X324" s="12"/>
    </row>
    <row r="325" customFormat="false" ht="15.75" hidden="false" customHeight="false" outlineLevel="0" collapsed="false">
      <c r="A325" s="12"/>
      <c r="B325" s="34"/>
      <c r="C325" s="12"/>
      <c r="D325" s="12"/>
      <c r="E325" s="12"/>
      <c r="F325" s="12"/>
      <c r="G325" s="18"/>
      <c r="H325" s="35"/>
      <c r="I325" s="12"/>
      <c r="M325" s="12"/>
      <c r="N325" s="18"/>
      <c r="O325" s="12"/>
      <c r="P325" s="12"/>
      <c r="Q325" s="12"/>
      <c r="R325" s="36"/>
      <c r="S325" s="36"/>
      <c r="T325" s="12"/>
      <c r="U325" s="12"/>
      <c r="V325" s="12"/>
      <c r="W325" s="12"/>
      <c r="X325" s="12"/>
    </row>
    <row r="326" customFormat="false" ht="15.75" hidden="false" customHeight="false" outlineLevel="0" collapsed="false">
      <c r="A326" s="12"/>
      <c r="B326" s="34"/>
      <c r="C326" s="12"/>
      <c r="D326" s="12"/>
      <c r="E326" s="12"/>
      <c r="F326" s="12"/>
      <c r="G326" s="18"/>
      <c r="H326" s="35"/>
      <c r="I326" s="12"/>
      <c r="M326" s="12"/>
      <c r="N326" s="18"/>
      <c r="O326" s="12"/>
      <c r="P326" s="12"/>
      <c r="Q326" s="12"/>
      <c r="R326" s="36"/>
      <c r="S326" s="36"/>
      <c r="T326" s="12"/>
      <c r="U326" s="12"/>
      <c r="V326" s="12"/>
      <c r="W326" s="12"/>
      <c r="X326" s="12"/>
    </row>
    <row r="327" customFormat="false" ht="15.75" hidden="false" customHeight="false" outlineLevel="0" collapsed="false">
      <c r="A327" s="12"/>
      <c r="B327" s="34"/>
      <c r="C327" s="12"/>
      <c r="D327" s="12"/>
      <c r="E327" s="12"/>
      <c r="F327" s="12"/>
      <c r="G327" s="18"/>
      <c r="H327" s="35"/>
      <c r="I327" s="12"/>
      <c r="M327" s="12"/>
      <c r="N327" s="18"/>
      <c r="O327" s="12"/>
      <c r="P327" s="12"/>
      <c r="Q327" s="12"/>
      <c r="R327" s="36"/>
      <c r="S327" s="36"/>
      <c r="T327" s="12"/>
      <c r="U327" s="12"/>
      <c r="V327" s="12"/>
      <c r="W327" s="12"/>
      <c r="X327" s="12"/>
    </row>
    <row r="328" customFormat="false" ht="15.75" hidden="false" customHeight="false" outlineLevel="0" collapsed="false">
      <c r="A328" s="12"/>
      <c r="B328" s="34"/>
      <c r="C328" s="12"/>
      <c r="D328" s="12"/>
      <c r="E328" s="12"/>
      <c r="F328" s="12"/>
      <c r="G328" s="18"/>
      <c r="H328" s="35"/>
      <c r="I328" s="12"/>
      <c r="M328" s="12"/>
      <c r="N328" s="18"/>
      <c r="O328" s="12"/>
      <c r="P328" s="12"/>
      <c r="Q328" s="12"/>
      <c r="R328" s="36"/>
      <c r="S328" s="36"/>
      <c r="T328" s="12"/>
      <c r="U328" s="12"/>
      <c r="V328" s="12"/>
      <c r="W328" s="12"/>
      <c r="X328" s="12"/>
    </row>
    <row r="329" customFormat="false" ht="15.75" hidden="false" customHeight="false" outlineLevel="0" collapsed="false">
      <c r="A329" s="12"/>
      <c r="B329" s="34"/>
      <c r="C329" s="12"/>
      <c r="D329" s="12"/>
      <c r="E329" s="12"/>
      <c r="F329" s="12"/>
      <c r="G329" s="18"/>
      <c r="H329" s="35"/>
      <c r="I329" s="12"/>
      <c r="M329" s="12"/>
      <c r="N329" s="18"/>
      <c r="O329" s="12"/>
      <c r="P329" s="12"/>
      <c r="Q329" s="12"/>
      <c r="R329" s="36"/>
      <c r="S329" s="36"/>
      <c r="T329" s="12"/>
      <c r="U329" s="12"/>
      <c r="V329" s="12"/>
      <c r="W329" s="12"/>
      <c r="X329" s="12"/>
    </row>
    <row r="330" customFormat="false" ht="15.75" hidden="false" customHeight="false" outlineLevel="0" collapsed="false">
      <c r="A330" s="12"/>
      <c r="B330" s="34"/>
      <c r="C330" s="12"/>
      <c r="D330" s="12"/>
      <c r="E330" s="12"/>
      <c r="F330" s="12"/>
      <c r="G330" s="18"/>
      <c r="H330" s="35"/>
      <c r="I330" s="12"/>
      <c r="M330" s="12"/>
      <c r="N330" s="18"/>
      <c r="O330" s="12"/>
      <c r="P330" s="12"/>
      <c r="Q330" s="12"/>
      <c r="R330" s="36"/>
      <c r="S330" s="36"/>
      <c r="T330" s="12"/>
      <c r="U330" s="12"/>
      <c r="V330" s="12"/>
      <c r="W330" s="12"/>
      <c r="X330" s="12"/>
    </row>
    <row r="331" customFormat="false" ht="15.75" hidden="false" customHeight="false" outlineLevel="0" collapsed="false">
      <c r="A331" s="12"/>
      <c r="B331" s="34"/>
      <c r="C331" s="12"/>
      <c r="D331" s="12"/>
      <c r="E331" s="12"/>
      <c r="F331" s="12"/>
      <c r="G331" s="18"/>
      <c r="H331" s="35"/>
      <c r="I331" s="12"/>
      <c r="M331" s="12"/>
      <c r="N331" s="18"/>
      <c r="O331" s="12"/>
      <c r="P331" s="12"/>
      <c r="Q331" s="12"/>
      <c r="R331" s="36"/>
      <c r="S331" s="36"/>
      <c r="T331" s="12"/>
      <c r="U331" s="12"/>
      <c r="V331" s="12"/>
      <c r="W331" s="12"/>
      <c r="X331" s="12"/>
    </row>
    <row r="332" customFormat="false" ht="15.75" hidden="false" customHeight="false" outlineLevel="0" collapsed="false">
      <c r="A332" s="12"/>
      <c r="B332" s="34"/>
      <c r="C332" s="12"/>
      <c r="D332" s="12"/>
      <c r="E332" s="12"/>
      <c r="F332" s="12"/>
      <c r="G332" s="18"/>
      <c r="H332" s="35"/>
      <c r="I332" s="12"/>
      <c r="M332" s="12"/>
      <c r="N332" s="18"/>
      <c r="O332" s="12"/>
      <c r="P332" s="12"/>
      <c r="Q332" s="12"/>
      <c r="R332" s="36"/>
      <c r="S332" s="36"/>
      <c r="T332" s="12"/>
      <c r="U332" s="12"/>
      <c r="V332" s="12"/>
      <c r="W332" s="12"/>
      <c r="X332" s="12"/>
    </row>
    <row r="333" customFormat="false" ht="15.75" hidden="false" customHeight="false" outlineLevel="0" collapsed="false">
      <c r="A333" s="12"/>
      <c r="B333" s="34"/>
      <c r="C333" s="12"/>
      <c r="D333" s="12"/>
      <c r="E333" s="12"/>
      <c r="F333" s="12"/>
      <c r="G333" s="18"/>
      <c r="H333" s="35"/>
      <c r="I333" s="12"/>
      <c r="M333" s="12"/>
      <c r="N333" s="18"/>
      <c r="O333" s="12"/>
      <c r="P333" s="12"/>
      <c r="Q333" s="12"/>
      <c r="R333" s="36"/>
      <c r="S333" s="36"/>
      <c r="T333" s="12"/>
      <c r="U333" s="12"/>
      <c r="V333" s="12"/>
      <c r="W333" s="12"/>
      <c r="X333" s="12"/>
    </row>
    <row r="334" customFormat="false" ht="15.75" hidden="false" customHeight="false" outlineLevel="0" collapsed="false">
      <c r="A334" s="12"/>
      <c r="B334" s="34"/>
      <c r="C334" s="12"/>
      <c r="D334" s="12"/>
      <c r="E334" s="12"/>
      <c r="F334" s="12"/>
      <c r="G334" s="18"/>
      <c r="H334" s="35"/>
      <c r="I334" s="12"/>
      <c r="M334" s="12"/>
      <c r="N334" s="18"/>
      <c r="O334" s="12"/>
      <c r="P334" s="12"/>
      <c r="Q334" s="12"/>
      <c r="R334" s="36"/>
      <c r="S334" s="36"/>
      <c r="T334" s="12"/>
      <c r="U334" s="12"/>
      <c r="V334" s="12"/>
      <c r="W334" s="12"/>
      <c r="X334" s="12"/>
    </row>
    <row r="335" customFormat="false" ht="15.75" hidden="false" customHeight="false" outlineLevel="0" collapsed="false">
      <c r="A335" s="12"/>
      <c r="B335" s="34"/>
      <c r="C335" s="12"/>
      <c r="D335" s="12"/>
      <c r="E335" s="12"/>
      <c r="F335" s="12"/>
      <c r="G335" s="18"/>
      <c r="H335" s="35"/>
      <c r="I335" s="12"/>
      <c r="M335" s="12"/>
      <c r="N335" s="18"/>
      <c r="O335" s="12"/>
      <c r="P335" s="12"/>
      <c r="Q335" s="12"/>
      <c r="R335" s="36"/>
      <c r="S335" s="36"/>
      <c r="T335" s="12"/>
      <c r="U335" s="12"/>
      <c r="V335" s="12"/>
      <c r="W335" s="12"/>
      <c r="X335" s="12"/>
    </row>
    <row r="336" customFormat="false" ht="15.75" hidden="false" customHeight="false" outlineLevel="0" collapsed="false">
      <c r="A336" s="12"/>
      <c r="B336" s="34"/>
      <c r="C336" s="12"/>
      <c r="D336" s="12"/>
      <c r="E336" s="12"/>
      <c r="F336" s="12"/>
      <c r="G336" s="18"/>
      <c r="H336" s="35"/>
      <c r="I336" s="12"/>
      <c r="M336" s="12"/>
      <c r="N336" s="18"/>
      <c r="O336" s="12"/>
      <c r="P336" s="12"/>
      <c r="Q336" s="12"/>
      <c r="R336" s="36"/>
      <c r="S336" s="36"/>
      <c r="T336" s="12"/>
      <c r="U336" s="12"/>
      <c r="V336" s="12"/>
      <c r="W336" s="12"/>
      <c r="X336" s="12"/>
    </row>
    <row r="337" customFormat="false" ht="15.75" hidden="false" customHeight="false" outlineLevel="0" collapsed="false">
      <c r="A337" s="12"/>
      <c r="B337" s="34"/>
      <c r="C337" s="12"/>
      <c r="D337" s="12"/>
      <c r="E337" s="12"/>
      <c r="F337" s="12"/>
      <c r="G337" s="18"/>
      <c r="H337" s="35"/>
      <c r="I337" s="12"/>
      <c r="M337" s="12"/>
      <c r="N337" s="18"/>
      <c r="O337" s="12"/>
      <c r="P337" s="12"/>
      <c r="Q337" s="12"/>
      <c r="R337" s="36"/>
      <c r="S337" s="36"/>
      <c r="T337" s="12"/>
      <c r="U337" s="12"/>
      <c r="V337" s="12"/>
      <c r="W337" s="12"/>
      <c r="X337" s="12"/>
    </row>
    <row r="338" customFormat="false" ht="15.75" hidden="false" customHeight="false" outlineLevel="0" collapsed="false">
      <c r="A338" s="12"/>
      <c r="B338" s="34"/>
      <c r="C338" s="12"/>
      <c r="D338" s="12"/>
      <c r="E338" s="12"/>
      <c r="F338" s="12"/>
      <c r="G338" s="18"/>
      <c r="H338" s="35"/>
      <c r="I338" s="12"/>
      <c r="M338" s="12"/>
      <c r="N338" s="18"/>
      <c r="O338" s="12"/>
      <c r="P338" s="12"/>
      <c r="Q338" s="12"/>
      <c r="R338" s="36"/>
      <c r="S338" s="36"/>
      <c r="T338" s="12"/>
      <c r="U338" s="12"/>
      <c r="V338" s="12"/>
      <c r="W338" s="12"/>
      <c r="X338" s="12"/>
    </row>
    <row r="339" customFormat="false" ht="15.75" hidden="false" customHeight="false" outlineLevel="0" collapsed="false">
      <c r="A339" s="12"/>
      <c r="B339" s="34"/>
      <c r="C339" s="12"/>
      <c r="D339" s="12"/>
      <c r="E339" s="12"/>
      <c r="F339" s="12"/>
      <c r="G339" s="18"/>
      <c r="H339" s="35"/>
      <c r="I339" s="12"/>
      <c r="M339" s="12"/>
      <c r="N339" s="18"/>
      <c r="O339" s="12"/>
      <c r="P339" s="12"/>
      <c r="Q339" s="12"/>
      <c r="R339" s="36"/>
      <c r="S339" s="36"/>
      <c r="T339" s="12"/>
      <c r="U339" s="12"/>
      <c r="V339" s="12"/>
      <c r="W339" s="12"/>
      <c r="X339" s="12"/>
    </row>
    <row r="340" customFormat="false" ht="15.75" hidden="false" customHeight="false" outlineLevel="0" collapsed="false">
      <c r="A340" s="12"/>
      <c r="B340" s="34"/>
      <c r="C340" s="12"/>
      <c r="D340" s="12"/>
      <c r="E340" s="12"/>
      <c r="F340" s="12"/>
      <c r="G340" s="18"/>
      <c r="H340" s="35"/>
      <c r="I340" s="12"/>
      <c r="M340" s="12"/>
      <c r="N340" s="18"/>
      <c r="O340" s="12"/>
      <c r="P340" s="12"/>
      <c r="Q340" s="12"/>
      <c r="R340" s="36"/>
      <c r="S340" s="36"/>
      <c r="T340" s="12"/>
      <c r="U340" s="12"/>
      <c r="V340" s="12"/>
      <c r="W340" s="12"/>
      <c r="X340" s="12"/>
    </row>
    <row r="341" customFormat="false" ht="15.75" hidden="false" customHeight="false" outlineLevel="0" collapsed="false">
      <c r="A341" s="12"/>
      <c r="B341" s="34"/>
      <c r="C341" s="12"/>
      <c r="D341" s="12"/>
      <c r="E341" s="12"/>
      <c r="F341" s="12"/>
      <c r="G341" s="18"/>
      <c r="H341" s="35"/>
      <c r="I341" s="12"/>
      <c r="M341" s="12"/>
      <c r="N341" s="18"/>
      <c r="O341" s="12"/>
      <c r="P341" s="12"/>
      <c r="Q341" s="12"/>
      <c r="R341" s="36"/>
      <c r="S341" s="36"/>
      <c r="T341" s="12"/>
      <c r="U341" s="12"/>
      <c r="V341" s="12"/>
      <c r="W341" s="12"/>
      <c r="X341" s="12"/>
    </row>
    <row r="342" customFormat="false" ht="15.75" hidden="false" customHeight="false" outlineLevel="0" collapsed="false">
      <c r="A342" s="12"/>
      <c r="B342" s="34"/>
      <c r="C342" s="12"/>
      <c r="D342" s="12"/>
      <c r="E342" s="12"/>
      <c r="F342" s="12"/>
      <c r="G342" s="18"/>
      <c r="H342" s="35"/>
      <c r="I342" s="12"/>
      <c r="M342" s="12"/>
      <c r="N342" s="18"/>
      <c r="O342" s="12"/>
      <c r="P342" s="12"/>
      <c r="Q342" s="12"/>
      <c r="R342" s="36"/>
      <c r="S342" s="36"/>
      <c r="T342" s="12"/>
      <c r="U342" s="12"/>
      <c r="V342" s="12"/>
      <c r="W342" s="12"/>
      <c r="X342" s="12"/>
    </row>
    <row r="343" customFormat="false" ht="15.75" hidden="false" customHeight="false" outlineLevel="0" collapsed="false">
      <c r="A343" s="12"/>
      <c r="B343" s="34"/>
      <c r="C343" s="12"/>
      <c r="D343" s="12"/>
      <c r="E343" s="12"/>
      <c r="F343" s="12"/>
      <c r="G343" s="18"/>
      <c r="H343" s="35"/>
      <c r="I343" s="12"/>
      <c r="M343" s="12"/>
      <c r="N343" s="18"/>
      <c r="O343" s="12"/>
      <c r="P343" s="12"/>
      <c r="Q343" s="12"/>
      <c r="R343" s="36"/>
      <c r="S343" s="36"/>
      <c r="T343" s="12"/>
      <c r="U343" s="12"/>
      <c r="V343" s="12"/>
      <c r="W343" s="12"/>
      <c r="X343" s="12"/>
    </row>
    <row r="344" customFormat="false" ht="15.75" hidden="false" customHeight="false" outlineLevel="0" collapsed="false">
      <c r="A344" s="12"/>
      <c r="B344" s="34"/>
      <c r="C344" s="12"/>
      <c r="D344" s="12"/>
      <c r="E344" s="12"/>
      <c r="F344" s="12"/>
      <c r="G344" s="18"/>
      <c r="H344" s="35"/>
      <c r="I344" s="12"/>
      <c r="M344" s="12"/>
      <c r="N344" s="18"/>
      <c r="O344" s="12"/>
      <c r="P344" s="12"/>
      <c r="Q344" s="12"/>
      <c r="R344" s="36"/>
      <c r="S344" s="36"/>
      <c r="T344" s="12"/>
      <c r="U344" s="12"/>
      <c r="V344" s="12"/>
      <c r="W344" s="12"/>
      <c r="X344" s="12"/>
    </row>
    <row r="345" customFormat="false" ht="15.75" hidden="false" customHeight="false" outlineLevel="0" collapsed="false">
      <c r="A345" s="12"/>
      <c r="B345" s="34"/>
      <c r="C345" s="12"/>
      <c r="D345" s="12"/>
      <c r="E345" s="12"/>
      <c r="F345" s="12"/>
      <c r="G345" s="18"/>
      <c r="H345" s="35"/>
      <c r="I345" s="12"/>
      <c r="M345" s="12"/>
      <c r="N345" s="18"/>
      <c r="O345" s="12"/>
      <c r="P345" s="12"/>
      <c r="Q345" s="12"/>
      <c r="R345" s="36"/>
      <c r="S345" s="36"/>
      <c r="T345" s="12"/>
      <c r="U345" s="12"/>
      <c r="V345" s="12"/>
      <c r="W345" s="12"/>
      <c r="X345" s="12"/>
    </row>
    <row r="346" customFormat="false" ht="15.75" hidden="false" customHeight="false" outlineLevel="0" collapsed="false">
      <c r="A346" s="12"/>
      <c r="B346" s="34"/>
      <c r="C346" s="12"/>
      <c r="D346" s="12"/>
      <c r="E346" s="12"/>
      <c r="F346" s="12"/>
      <c r="G346" s="18"/>
      <c r="H346" s="35"/>
      <c r="I346" s="12"/>
      <c r="M346" s="12"/>
      <c r="N346" s="18"/>
      <c r="O346" s="12"/>
      <c r="P346" s="12"/>
      <c r="Q346" s="12"/>
      <c r="R346" s="36"/>
      <c r="S346" s="36"/>
      <c r="T346" s="12"/>
      <c r="U346" s="12"/>
      <c r="V346" s="12"/>
      <c r="W346" s="12"/>
      <c r="X346" s="12"/>
    </row>
    <row r="347" customFormat="false" ht="15.75" hidden="false" customHeight="false" outlineLevel="0" collapsed="false">
      <c r="A347" s="12"/>
      <c r="B347" s="34"/>
      <c r="C347" s="12"/>
      <c r="D347" s="12"/>
      <c r="E347" s="12"/>
      <c r="F347" s="12"/>
      <c r="G347" s="18"/>
      <c r="H347" s="35"/>
      <c r="I347" s="12"/>
      <c r="M347" s="12"/>
      <c r="N347" s="18"/>
      <c r="O347" s="12"/>
      <c r="P347" s="12"/>
      <c r="Q347" s="12"/>
      <c r="R347" s="36"/>
      <c r="S347" s="36"/>
      <c r="T347" s="12"/>
      <c r="U347" s="12"/>
      <c r="V347" s="12"/>
      <c r="W347" s="12"/>
      <c r="X347" s="12"/>
    </row>
    <row r="348" customFormat="false" ht="15.75" hidden="false" customHeight="false" outlineLevel="0" collapsed="false">
      <c r="A348" s="12"/>
      <c r="B348" s="34"/>
      <c r="C348" s="12"/>
      <c r="D348" s="12"/>
      <c r="E348" s="12"/>
      <c r="F348" s="12"/>
      <c r="G348" s="18"/>
      <c r="H348" s="35"/>
      <c r="I348" s="12"/>
      <c r="M348" s="12"/>
      <c r="N348" s="18"/>
      <c r="O348" s="12"/>
      <c r="P348" s="12"/>
      <c r="Q348" s="12"/>
      <c r="R348" s="36"/>
      <c r="S348" s="36"/>
      <c r="T348" s="12"/>
      <c r="U348" s="12"/>
      <c r="V348" s="12"/>
      <c r="W348" s="12"/>
      <c r="X348" s="12"/>
    </row>
    <row r="349" customFormat="false" ht="15.75" hidden="false" customHeight="false" outlineLevel="0" collapsed="false">
      <c r="A349" s="12"/>
      <c r="B349" s="34"/>
      <c r="C349" s="12"/>
      <c r="D349" s="12"/>
      <c r="E349" s="12"/>
      <c r="F349" s="12"/>
      <c r="G349" s="18"/>
      <c r="H349" s="35"/>
      <c r="I349" s="12"/>
      <c r="M349" s="12"/>
      <c r="N349" s="18"/>
      <c r="O349" s="12"/>
      <c r="P349" s="12"/>
      <c r="Q349" s="12"/>
      <c r="R349" s="36"/>
      <c r="S349" s="36"/>
      <c r="T349" s="12"/>
      <c r="U349" s="12"/>
      <c r="V349" s="12"/>
      <c r="W349" s="12"/>
      <c r="X349" s="12"/>
    </row>
    <row r="350" customFormat="false" ht="15.75" hidden="false" customHeight="false" outlineLevel="0" collapsed="false">
      <c r="A350" s="12"/>
      <c r="B350" s="34"/>
      <c r="C350" s="12"/>
      <c r="D350" s="12"/>
      <c r="E350" s="12"/>
      <c r="F350" s="12"/>
      <c r="G350" s="18"/>
      <c r="H350" s="35"/>
      <c r="I350" s="12"/>
      <c r="M350" s="12"/>
      <c r="N350" s="18"/>
      <c r="O350" s="12"/>
      <c r="P350" s="12"/>
      <c r="Q350" s="12"/>
      <c r="R350" s="36"/>
      <c r="S350" s="36"/>
      <c r="T350" s="12"/>
      <c r="U350" s="12"/>
      <c r="V350" s="12"/>
      <c r="W350" s="12"/>
      <c r="X350" s="12"/>
    </row>
    <row r="351" customFormat="false" ht="15.75" hidden="false" customHeight="false" outlineLevel="0" collapsed="false">
      <c r="A351" s="12"/>
      <c r="B351" s="34"/>
      <c r="C351" s="12"/>
      <c r="D351" s="12"/>
      <c r="E351" s="12"/>
      <c r="F351" s="12"/>
      <c r="G351" s="18"/>
      <c r="H351" s="35"/>
      <c r="I351" s="12"/>
      <c r="M351" s="12"/>
      <c r="N351" s="18"/>
      <c r="O351" s="12"/>
      <c r="P351" s="12"/>
      <c r="Q351" s="12"/>
      <c r="R351" s="36"/>
      <c r="S351" s="36"/>
      <c r="T351" s="12"/>
      <c r="U351" s="12"/>
      <c r="V351" s="12"/>
      <c r="W351" s="12"/>
      <c r="X351" s="12"/>
    </row>
    <row r="352" customFormat="false" ht="15.75" hidden="false" customHeight="false" outlineLevel="0" collapsed="false">
      <c r="A352" s="12"/>
      <c r="B352" s="34"/>
      <c r="C352" s="12"/>
      <c r="D352" s="12"/>
      <c r="E352" s="12"/>
      <c r="F352" s="12"/>
      <c r="G352" s="18"/>
      <c r="H352" s="35"/>
      <c r="I352" s="12"/>
      <c r="M352" s="12"/>
      <c r="N352" s="18"/>
      <c r="O352" s="12"/>
      <c r="P352" s="12"/>
      <c r="Q352" s="12"/>
      <c r="R352" s="36"/>
      <c r="S352" s="36"/>
      <c r="T352" s="12"/>
      <c r="U352" s="12"/>
      <c r="V352" s="12"/>
      <c r="W352" s="12"/>
      <c r="X352" s="12"/>
    </row>
    <row r="353" customFormat="false" ht="15.75" hidden="false" customHeight="false" outlineLevel="0" collapsed="false">
      <c r="A353" s="12"/>
      <c r="B353" s="34"/>
      <c r="C353" s="12"/>
      <c r="D353" s="12"/>
      <c r="E353" s="12"/>
      <c r="F353" s="12"/>
      <c r="G353" s="18"/>
      <c r="H353" s="35"/>
      <c r="I353" s="12"/>
      <c r="M353" s="12"/>
      <c r="N353" s="18"/>
      <c r="O353" s="12"/>
      <c r="P353" s="12"/>
      <c r="Q353" s="12"/>
      <c r="R353" s="36"/>
      <c r="S353" s="36"/>
      <c r="T353" s="12"/>
      <c r="U353" s="12"/>
      <c r="V353" s="12"/>
      <c r="W353" s="12"/>
      <c r="X353" s="12"/>
    </row>
    <row r="354" customFormat="false" ht="15.75" hidden="false" customHeight="false" outlineLevel="0" collapsed="false">
      <c r="A354" s="12"/>
      <c r="B354" s="34"/>
      <c r="C354" s="12"/>
      <c r="D354" s="12"/>
      <c r="E354" s="12"/>
      <c r="F354" s="12"/>
      <c r="G354" s="18"/>
      <c r="H354" s="35"/>
      <c r="I354" s="12"/>
      <c r="M354" s="12"/>
      <c r="N354" s="18"/>
      <c r="O354" s="12"/>
      <c r="P354" s="12"/>
      <c r="Q354" s="12"/>
      <c r="R354" s="36"/>
      <c r="S354" s="36"/>
      <c r="T354" s="12"/>
      <c r="U354" s="12"/>
      <c r="V354" s="12"/>
      <c r="W354" s="12"/>
      <c r="X354" s="12"/>
    </row>
    <row r="355" customFormat="false" ht="15.75" hidden="false" customHeight="false" outlineLevel="0" collapsed="false">
      <c r="A355" s="12"/>
      <c r="B355" s="34"/>
      <c r="C355" s="12"/>
      <c r="D355" s="12"/>
      <c r="E355" s="12"/>
      <c r="F355" s="12"/>
      <c r="G355" s="18"/>
      <c r="H355" s="35"/>
      <c r="I355" s="12"/>
      <c r="M355" s="12"/>
      <c r="N355" s="18"/>
      <c r="O355" s="12"/>
      <c r="P355" s="12"/>
      <c r="Q355" s="12"/>
      <c r="R355" s="36"/>
      <c r="S355" s="36"/>
      <c r="T355" s="12"/>
      <c r="U355" s="12"/>
      <c r="V355" s="12"/>
      <c r="W355" s="12"/>
      <c r="X355" s="12"/>
    </row>
    <row r="356" customFormat="false" ht="15.75" hidden="false" customHeight="false" outlineLevel="0" collapsed="false">
      <c r="A356" s="12"/>
      <c r="B356" s="34"/>
      <c r="C356" s="12"/>
      <c r="D356" s="12"/>
      <c r="E356" s="12"/>
      <c r="F356" s="12"/>
      <c r="G356" s="18"/>
      <c r="H356" s="35"/>
      <c r="I356" s="12"/>
      <c r="M356" s="12"/>
      <c r="N356" s="18"/>
      <c r="O356" s="12"/>
      <c r="P356" s="12"/>
      <c r="Q356" s="12"/>
      <c r="R356" s="36"/>
      <c r="S356" s="36"/>
      <c r="T356" s="12"/>
      <c r="U356" s="12"/>
      <c r="V356" s="12"/>
      <c r="W356" s="12"/>
      <c r="X356" s="12"/>
    </row>
    <row r="357" customFormat="false" ht="15.75" hidden="false" customHeight="false" outlineLevel="0" collapsed="false">
      <c r="A357" s="12"/>
      <c r="B357" s="34"/>
      <c r="C357" s="12"/>
      <c r="D357" s="12"/>
      <c r="E357" s="12"/>
      <c r="F357" s="12"/>
      <c r="G357" s="18"/>
      <c r="H357" s="35"/>
      <c r="I357" s="12"/>
      <c r="M357" s="12"/>
      <c r="N357" s="18"/>
      <c r="O357" s="12"/>
      <c r="P357" s="12"/>
      <c r="Q357" s="12"/>
      <c r="R357" s="36"/>
      <c r="S357" s="36"/>
      <c r="T357" s="12"/>
      <c r="U357" s="12"/>
      <c r="V357" s="12"/>
      <c r="W357" s="12"/>
      <c r="X357" s="12"/>
    </row>
    <row r="358" customFormat="false" ht="15.75" hidden="false" customHeight="false" outlineLevel="0" collapsed="false">
      <c r="A358" s="12"/>
      <c r="B358" s="34"/>
      <c r="C358" s="12"/>
      <c r="D358" s="12"/>
      <c r="E358" s="12"/>
      <c r="F358" s="12"/>
      <c r="G358" s="18"/>
      <c r="H358" s="35"/>
      <c r="I358" s="12"/>
      <c r="M358" s="12"/>
      <c r="N358" s="18"/>
      <c r="O358" s="12"/>
      <c r="P358" s="12"/>
      <c r="Q358" s="12"/>
      <c r="R358" s="36"/>
      <c r="S358" s="36"/>
      <c r="T358" s="12"/>
      <c r="U358" s="12"/>
      <c r="V358" s="12"/>
      <c r="W358" s="12"/>
      <c r="X358" s="12"/>
    </row>
    <row r="359" customFormat="false" ht="15.75" hidden="false" customHeight="false" outlineLevel="0" collapsed="false">
      <c r="A359" s="12"/>
      <c r="B359" s="34"/>
      <c r="C359" s="12"/>
      <c r="D359" s="12"/>
      <c r="E359" s="12"/>
      <c r="F359" s="12"/>
      <c r="G359" s="18"/>
      <c r="H359" s="35"/>
      <c r="I359" s="12"/>
      <c r="M359" s="12"/>
      <c r="N359" s="18"/>
      <c r="O359" s="12"/>
      <c r="P359" s="12"/>
      <c r="Q359" s="12"/>
      <c r="R359" s="36"/>
      <c r="S359" s="36"/>
      <c r="T359" s="12"/>
      <c r="U359" s="12"/>
      <c r="V359" s="12"/>
      <c r="W359" s="12"/>
      <c r="X359" s="12"/>
    </row>
    <row r="360" customFormat="false" ht="15.75" hidden="false" customHeight="false" outlineLevel="0" collapsed="false">
      <c r="A360" s="12"/>
      <c r="B360" s="34"/>
      <c r="C360" s="12"/>
      <c r="D360" s="12"/>
      <c r="E360" s="12"/>
      <c r="F360" s="12"/>
      <c r="G360" s="18"/>
      <c r="H360" s="35"/>
      <c r="I360" s="12"/>
      <c r="M360" s="12"/>
      <c r="N360" s="18"/>
      <c r="O360" s="12"/>
      <c r="P360" s="12"/>
      <c r="Q360" s="12"/>
      <c r="R360" s="36"/>
      <c r="S360" s="36"/>
      <c r="T360" s="12"/>
      <c r="U360" s="12"/>
      <c r="V360" s="12"/>
      <c r="W360" s="12"/>
      <c r="X360" s="12"/>
    </row>
    <row r="361" customFormat="false" ht="15.75" hidden="false" customHeight="false" outlineLevel="0" collapsed="false">
      <c r="A361" s="12"/>
      <c r="B361" s="34"/>
      <c r="C361" s="12"/>
      <c r="D361" s="12"/>
      <c r="E361" s="12"/>
      <c r="F361" s="12"/>
      <c r="G361" s="18"/>
      <c r="H361" s="35"/>
      <c r="I361" s="12"/>
      <c r="M361" s="12"/>
      <c r="N361" s="18"/>
      <c r="O361" s="12"/>
      <c r="P361" s="12"/>
      <c r="Q361" s="12"/>
      <c r="R361" s="36"/>
      <c r="S361" s="36"/>
      <c r="T361" s="12"/>
      <c r="U361" s="12"/>
      <c r="V361" s="12"/>
      <c r="W361" s="12"/>
      <c r="X361" s="12"/>
    </row>
    <row r="362" customFormat="false" ht="15.75" hidden="false" customHeight="false" outlineLevel="0" collapsed="false">
      <c r="A362" s="12"/>
      <c r="B362" s="34"/>
      <c r="C362" s="12"/>
      <c r="D362" s="12"/>
      <c r="E362" s="12"/>
      <c r="F362" s="12"/>
      <c r="G362" s="18"/>
      <c r="H362" s="35"/>
      <c r="I362" s="12"/>
      <c r="M362" s="12"/>
      <c r="N362" s="18"/>
      <c r="O362" s="12"/>
      <c r="P362" s="12"/>
      <c r="Q362" s="12"/>
      <c r="R362" s="36"/>
      <c r="S362" s="36"/>
      <c r="T362" s="12"/>
      <c r="U362" s="12"/>
      <c r="V362" s="12"/>
      <c r="W362" s="12"/>
      <c r="X362" s="12"/>
    </row>
    <row r="363" customFormat="false" ht="15.75" hidden="false" customHeight="false" outlineLevel="0" collapsed="false">
      <c r="A363" s="12"/>
      <c r="B363" s="34"/>
      <c r="C363" s="12"/>
      <c r="D363" s="12"/>
      <c r="E363" s="12"/>
      <c r="F363" s="12"/>
      <c r="G363" s="18"/>
      <c r="H363" s="35"/>
      <c r="I363" s="12"/>
      <c r="M363" s="12"/>
      <c r="N363" s="18"/>
      <c r="O363" s="12"/>
      <c r="P363" s="12"/>
      <c r="Q363" s="12"/>
      <c r="R363" s="36"/>
      <c r="S363" s="36"/>
      <c r="T363" s="12"/>
      <c r="U363" s="12"/>
      <c r="V363" s="12"/>
      <c r="W363" s="12"/>
      <c r="X363" s="12"/>
    </row>
    <row r="364" customFormat="false" ht="15.75" hidden="false" customHeight="false" outlineLevel="0" collapsed="false">
      <c r="A364" s="12"/>
      <c r="B364" s="34"/>
      <c r="C364" s="12"/>
      <c r="D364" s="12"/>
      <c r="E364" s="12"/>
      <c r="F364" s="12"/>
      <c r="G364" s="18"/>
      <c r="H364" s="35"/>
      <c r="I364" s="12"/>
      <c r="M364" s="12"/>
      <c r="N364" s="18"/>
      <c r="O364" s="12"/>
      <c r="P364" s="12"/>
      <c r="Q364" s="12"/>
      <c r="R364" s="36"/>
      <c r="S364" s="36"/>
      <c r="T364" s="12"/>
      <c r="U364" s="12"/>
      <c r="V364" s="12"/>
      <c r="W364" s="12"/>
      <c r="X364" s="12"/>
    </row>
    <row r="365" customFormat="false" ht="15.75" hidden="false" customHeight="false" outlineLevel="0" collapsed="false">
      <c r="A365" s="12"/>
      <c r="B365" s="34"/>
      <c r="C365" s="12"/>
      <c r="D365" s="12"/>
      <c r="E365" s="12"/>
      <c r="F365" s="12"/>
      <c r="G365" s="18"/>
      <c r="H365" s="35"/>
      <c r="I365" s="12"/>
      <c r="M365" s="12"/>
      <c r="N365" s="18"/>
      <c r="O365" s="12"/>
      <c r="P365" s="12"/>
      <c r="Q365" s="12"/>
      <c r="R365" s="36"/>
      <c r="S365" s="36"/>
      <c r="T365" s="12"/>
      <c r="U365" s="12"/>
      <c r="V365" s="12"/>
      <c r="W365" s="12"/>
      <c r="X365" s="12"/>
    </row>
    <row r="366" customFormat="false" ht="15.75" hidden="false" customHeight="false" outlineLevel="0" collapsed="false">
      <c r="A366" s="12"/>
      <c r="B366" s="34"/>
      <c r="C366" s="12"/>
      <c r="D366" s="12"/>
      <c r="E366" s="12"/>
      <c r="F366" s="12"/>
      <c r="G366" s="18"/>
      <c r="H366" s="35"/>
      <c r="I366" s="12"/>
      <c r="M366" s="12"/>
      <c r="N366" s="18"/>
      <c r="O366" s="12"/>
      <c r="P366" s="12"/>
      <c r="Q366" s="12"/>
      <c r="R366" s="36"/>
      <c r="S366" s="36"/>
      <c r="T366" s="12"/>
      <c r="U366" s="12"/>
      <c r="V366" s="12"/>
      <c r="W366" s="12"/>
      <c r="X366" s="12"/>
    </row>
    <row r="367" customFormat="false" ht="15.75" hidden="false" customHeight="false" outlineLevel="0" collapsed="false">
      <c r="A367" s="12"/>
      <c r="B367" s="34"/>
      <c r="C367" s="12"/>
      <c r="D367" s="12"/>
      <c r="E367" s="12"/>
      <c r="F367" s="12"/>
      <c r="G367" s="18"/>
      <c r="H367" s="35"/>
      <c r="I367" s="12"/>
      <c r="M367" s="12"/>
      <c r="N367" s="18"/>
      <c r="O367" s="12"/>
      <c r="P367" s="12"/>
      <c r="Q367" s="12"/>
      <c r="R367" s="36"/>
      <c r="S367" s="36"/>
      <c r="T367" s="12"/>
      <c r="U367" s="12"/>
      <c r="V367" s="12"/>
      <c r="W367" s="12"/>
      <c r="X367" s="12"/>
    </row>
    <row r="368" customFormat="false" ht="15.75" hidden="false" customHeight="false" outlineLevel="0" collapsed="false">
      <c r="A368" s="12"/>
      <c r="B368" s="34"/>
      <c r="C368" s="12"/>
      <c r="D368" s="12"/>
      <c r="E368" s="12"/>
      <c r="F368" s="12"/>
      <c r="G368" s="18"/>
      <c r="H368" s="35"/>
      <c r="I368" s="12"/>
      <c r="M368" s="12"/>
      <c r="N368" s="18"/>
      <c r="O368" s="12"/>
      <c r="P368" s="12"/>
      <c r="Q368" s="12"/>
      <c r="R368" s="36"/>
      <c r="S368" s="36"/>
      <c r="T368" s="12"/>
      <c r="U368" s="12"/>
      <c r="V368" s="12"/>
      <c r="W368" s="12"/>
      <c r="X368" s="12"/>
    </row>
    <row r="369" customFormat="false" ht="15.75" hidden="false" customHeight="false" outlineLevel="0" collapsed="false">
      <c r="A369" s="12"/>
      <c r="B369" s="34"/>
      <c r="C369" s="12"/>
      <c r="D369" s="12"/>
      <c r="E369" s="12"/>
      <c r="F369" s="12"/>
      <c r="G369" s="18"/>
      <c r="H369" s="35"/>
      <c r="I369" s="12"/>
      <c r="M369" s="12"/>
      <c r="N369" s="18"/>
      <c r="O369" s="12"/>
      <c r="P369" s="12"/>
      <c r="Q369" s="12"/>
      <c r="R369" s="36"/>
      <c r="S369" s="36"/>
      <c r="T369" s="12"/>
      <c r="U369" s="12"/>
      <c r="V369" s="12"/>
      <c r="W369" s="12"/>
      <c r="X369" s="12"/>
    </row>
    <row r="370" customFormat="false" ht="15.75" hidden="false" customHeight="false" outlineLevel="0" collapsed="false">
      <c r="A370" s="12"/>
      <c r="B370" s="34"/>
      <c r="C370" s="12"/>
      <c r="D370" s="12"/>
      <c r="E370" s="12"/>
      <c r="F370" s="12"/>
      <c r="G370" s="18"/>
      <c r="H370" s="35"/>
      <c r="I370" s="12"/>
      <c r="M370" s="12"/>
      <c r="N370" s="18"/>
      <c r="O370" s="12"/>
      <c r="P370" s="12"/>
      <c r="Q370" s="12"/>
      <c r="R370" s="36"/>
      <c r="S370" s="36"/>
      <c r="T370" s="12"/>
      <c r="U370" s="12"/>
      <c r="V370" s="12"/>
      <c r="W370" s="12"/>
      <c r="X370" s="12"/>
    </row>
    <row r="371" customFormat="false" ht="15.75" hidden="false" customHeight="false" outlineLevel="0" collapsed="false">
      <c r="A371" s="12"/>
      <c r="B371" s="34"/>
      <c r="C371" s="12"/>
      <c r="D371" s="12"/>
      <c r="E371" s="12"/>
      <c r="F371" s="12"/>
      <c r="G371" s="18"/>
      <c r="H371" s="35"/>
      <c r="I371" s="12"/>
      <c r="M371" s="12"/>
      <c r="N371" s="18"/>
      <c r="O371" s="12"/>
      <c r="P371" s="12"/>
      <c r="Q371" s="12"/>
      <c r="R371" s="36"/>
      <c r="S371" s="36"/>
      <c r="T371" s="12"/>
      <c r="U371" s="12"/>
      <c r="V371" s="12"/>
      <c r="W371" s="12"/>
      <c r="X371" s="12"/>
    </row>
    <row r="372" customFormat="false" ht="15.75" hidden="false" customHeight="false" outlineLevel="0" collapsed="false">
      <c r="A372" s="12"/>
      <c r="B372" s="34"/>
      <c r="C372" s="12"/>
      <c r="D372" s="12"/>
      <c r="E372" s="12"/>
      <c r="F372" s="12"/>
      <c r="G372" s="18"/>
      <c r="H372" s="35"/>
      <c r="I372" s="12"/>
      <c r="M372" s="12"/>
      <c r="N372" s="18"/>
      <c r="O372" s="12"/>
      <c r="P372" s="12"/>
      <c r="Q372" s="12"/>
      <c r="R372" s="36"/>
      <c r="S372" s="36"/>
      <c r="T372" s="12"/>
      <c r="U372" s="12"/>
      <c r="V372" s="12"/>
      <c r="W372" s="12"/>
      <c r="X372" s="12"/>
    </row>
    <row r="373" customFormat="false" ht="15.75" hidden="false" customHeight="false" outlineLevel="0" collapsed="false">
      <c r="A373" s="12"/>
      <c r="B373" s="34"/>
      <c r="C373" s="12"/>
      <c r="D373" s="12"/>
      <c r="E373" s="12"/>
      <c r="F373" s="12"/>
      <c r="G373" s="18"/>
      <c r="H373" s="35"/>
      <c r="I373" s="12"/>
      <c r="M373" s="12"/>
      <c r="N373" s="18"/>
      <c r="O373" s="12"/>
      <c r="P373" s="12"/>
      <c r="Q373" s="12"/>
      <c r="R373" s="36"/>
      <c r="S373" s="36"/>
      <c r="T373" s="12"/>
      <c r="U373" s="12"/>
      <c r="V373" s="12"/>
      <c r="W373" s="12"/>
      <c r="X373" s="12"/>
    </row>
    <row r="374" customFormat="false" ht="15.75" hidden="false" customHeight="false" outlineLevel="0" collapsed="false">
      <c r="A374" s="12"/>
      <c r="B374" s="34"/>
      <c r="C374" s="12"/>
      <c r="D374" s="12"/>
      <c r="E374" s="12"/>
      <c r="F374" s="12"/>
      <c r="G374" s="18"/>
      <c r="H374" s="35"/>
      <c r="I374" s="12"/>
      <c r="M374" s="12"/>
      <c r="N374" s="18"/>
      <c r="O374" s="12"/>
      <c r="P374" s="12"/>
      <c r="Q374" s="12"/>
      <c r="R374" s="36"/>
      <c r="S374" s="36"/>
      <c r="T374" s="12"/>
      <c r="U374" s="12"/>
      <c r="V374" s="12"/>
      <c r="W374" s="12"/>
      <c r="X374" s="12"/>
    </row>
    <row r="375" customFormat="false" ht="15.75" hidden="false" customHeight="false" outlineLevel="0" collapsed="false">
      <c r="A375" s="12"/>
      <c r="B375" s="34"/>
      <c r="C375" s="12"/>
      <c r="D375" s="12"/>
      <c r="E375" s="12"/>
      <c r="F375" s="12"/>
      <c r="G375" s="18"/>
      <c r="H375" s="35"/>
      <c r="I375" s="12"/>
      <c r="M375" s="12"/>
      <c r="N375" s="18"/>
      <c r="O375" s="12"/>
      <c r="P375" s="12"/>
      <c r="Q375" s="12"/>
      <c r="R375" s="36"/>
      <c r="S375" s="36"/>
      <c r="T375" s="12"/>
      <c r="U375" s="12"/>
      <c r="V375" s="12"/>
      <c r="W375" s="12"/>
      <c r="X375" s="12"/>
    </row>
    <row r="376" customFormat="false" ht="15.75" hidden="false" customHeight="false" outlineLevel="0" collapsed="false">
      <c r="A376" s="12"/>
      <c r="B376" s="34"/>
      <c r="C376" s="12"/>
      <c r="D376" s="12"/>
      <c r="E376" s="12"/>
      <c r="F376" s="12"/>
      <c r="G376" s="18"/>
      <c r="H376" s="35"/>
      <c r="I376" s="12"/>
      <c r="M376" s="12"/>
      <c r="N376" s="18"/>
      <c r="O376" s="12"/>
      <c r="P376" s="12"/>
      <c r="Q376" s="12"/>
      <c r="R376" s="36"/>
      <c r="S376" s="36"/>
      <c r="T376" s="12"/>
      <c r="U376" s="12"/>
      <c r="V376" s="12"/>
      <c r="W376" s="12"/>
      <c r="X376" s="12"/>
    </row>
    <row r="377" customFormat="false" ht="15.75" hidden="false" customHeight="false" outlineLevel="0" collapsed="false">
      <c r="A377" s="12"/>
      <c r="B377" s="34"/>
      <c r="C377" s="12"/>
      <c r="D377" s="12"/>
      <c r="E377" s="12"/>
      <c r="F377" s="12"/>
      <c r="G377" s="18"/>
      <c r="H377" s="35"/>
      <c r="I377" s="12"/>
      <c r="M377" s="12"/>
      <c r="N377" s="18"/>
      <c r="O377" s="12"/>
      <c r="P377" s="12"/>
      <c r="Q377" s="12"/>
      <c r="R377" s="36"/>
      <c r="S377" s="36"/>
      <c r="T377" s="12"/>
      <c r="U377" s="12"/>
      <c r="V377" s="12"/>
      <c r="W377" s="12"/>
      <c r="X377" s="12"/>
    </row>
    <row r="378" customFormat="false" ht="15.75" hidden="false" customHeight="false" outlineLevel="0" collapsed="false">
      <c r="A378" s="12"/>
      <c r="B378" s="34"/>
      <c r="C378" s="12"/>
      <c r="D378" s="12"/>
      <c r="E378" s="12"/>
      <c r="F378" s="12"/>
      <c r="G378" s="18"/>
      <c r="H378" s="35"/>
      <c r="I378" s="12"/>
      <c r="M378" s="12"/>
      <c r="N378" s="18"/>
      <c r="O378" s="12"/>
      <c r="P378" s="12"/>
      <c r="Q378" s="12"/>
      <c r="R378" s="36"/>
      <c r="S378" s="36"/>
      <c r="T378" s="12"/>
      <c r="U378" s="12"/>
      <c r="V378" s="12"/>
      <c r="W378" s="12"/>
      <c r="X378" s="12"/>
    </row>
    <row r="379" customFormat="false" ht="15.75" hidden="false" customHeight="false" outlineLevel="0" collapsed="false">
      <c r="A379" s="12"/>
      <c r="B379" s="34"/>
      <c r="C379" s="12"/>
      <c r="D379" s="12"/>
      <c r="E379" s="12"/>
      <c r="F379" s="12"/>
      <c r="G379" s="18"/>
      <c r="H379" s="35"/>
      <c r="I379" s="12"/>
      <c r="M379" s="12"/>
      <c r="N379" s="18"/>
      <c r="O379" s="12"/>
      <c r="P379" s="12"/>
      <c r="Q379" s="12"/>
      <c r="R379" s="36"/>
      <c r="S379" s="36"/>
      <c r="T379" s="12"/>
      <c r="U379" s="12"/>
      <c r="V379" s="12"/>
      <c r="W379" s="12"/>
      <c r="X379" s="12"/>
    </row>
    <row r="380" customFormat="false" ht="15.75" hidden="false" customHeight="false" outlineLevel="0" collapsed="false">
      <c r="A380" s="12"/>
      <c r="B380" s="34"/>
      <c r="C380" s="12"/>
      <c r="D380" s="12"/>
      <c r="E380" s="12"/>
      <c r="F380" s="12"/>
      <c r="G380" s="18"/>
      <c r="H380" s="35"/>
      <c r="I380" s="12"/>
      <c r="M380" s="12"/>
      <c r="N380" s="18"/>
      <c r="O380" s="12"/>
      <c r="P380" s="12"/>
      <c r="Q380" s="12"/>
      <c r="R380" s="36"/>
      <c r="S380" s="36"/>
      <c r="T380" s="12"/>
      <c r="U380" s="12"/>
      <c r="V380" s="12"/>
      <c r="W380" s="12"/>
      <c r="X380" s="12"/>
    </row>
    <row r="381" customFormat="false" ht="15.75" hidden="false" customHeight="false" outlineLevel="0" collapsed="false">
      <c r="A381" s="12"/>
      <c r="B381" s="34"/>
      <c r="C381" s="12"/>
      <c r="D381" s="12"/>
      <c r="E381" s="12"/>
      <c r="F381" s="12"/>
      <c r="G381" s="18"/>
      <c r="H381" s="35"/>
      <c r="I381" s="12"/>
      <c r="M381" s="12"/>
      <c r="N381" s="18"/>
      <c r="O381" s="12"/>
      <c r="P381" s="12"/>
      <c r="Q381" s="12"/>
      <c r="R381" s="36"/>
      <c r="S381" s="36"/>
      <c r="T381" s="12"/>
      <c r="U381" s="12"/>
      <c r="V381" s="12"/>
      <c r="W381" s="12"/>
      <c r="X381" s="12"/>
    </row>
    <row r="382" customFormat="false" ht="15.75" hidden="false" customHeight="false" outlineLevel="0" collapsed="false">
      <c r="A382" s="12"/>
      <c r="B382" s="34"/>
      <c r="C382" s="12"/>
      <c r="D382" s="12"/>
      <c r="E382" s="12"/>
      <c r="F382" s="12"/>
      <c r="G382" s="18"/>
      <c r="H382" s="35"/>
      <c r="I382" s="12"/>
      <c r="M382" s="12"/>
      <c r="N382" s="18"/>
      <c r="O382" s="12"/>
      <c r="P382" s="12"/>
      <c r="Q382" s="12"/>
      <c r="R382" s="36"/>
      <c r="S382" s="36"/>
      <c r="T382" s="12"/>
      <c r="U382" s="12"/>
      <c r="V382" s="12"/>
      <c r="W382" s="12"/>
      <c r="X382" s="12"/>
    </row>
    <row r="383" customFormat="false" ht="15.75" hidden="false" customHeight="false" outlineLevel="0" collapsed="false">
      <c r="A383" s="12"/>
      <c r="B383" s="34"/>
      <c r="C383" s="12"/>
      <c r="D383" s="12"/>
      <c r="E383" s="12"/>
      <c r="F383" s="12"/>
      <c r="G383" s="18"/>
      <c r="H383" s="35"/>
      <c r="I383" s="12"/>
      <c r="M383" s="12"/>
      <c r="N383" s="18"/>
      <c r="O383" s="12"/>
      <c r="P383" s="12"/>
      <c r="Q383" s="12"/>
      <c r="R383" s="36"/>
      <c r="S383" s="36"/>
      <c r="T383" s="12"/>
      <c r="U383" s="12"/>
      <c r="V383" s="12"/>
      <c r="W383" s="12"/>
      <c r="X383" s="12"/>
    </row>
    <row r="384" customFormat="false" ht="15.75" hidden="false" customHeight="false" outlineLevel="0" collapsed="false">
      <c r="A384" s="12"/>
      <c r="B384" s="34"/>
      <c r="C384" s="12"/>
      <c r="D384" s="12"/>
      <c r="E384" s="12"/>
      <c r="F384" s="12"/>
      <c r="G384" s="18"/>
      <c r="H384" s="35"/>
      <c r="I384" s="12"/>
      <c r="M384" s="12"/>
      <c r="N384" s="18"/>
      <c r="O384" s="12"/>
      <c r="P384" s="12"/>
      <c r="Q384" s="12"/>
      <c r="R384" s="36"/>
      <c r="S384" s="36"/>
      <c r="T384" s="12"/>
      <c r="U384" s="12"/>
      <c r="V384" s="12"/>
      <c r="W384" s="12"/>
      <c r="X384" s="12"/>
    </row>
    <row r="385" customFormat="false" ht="15.75" hidden="false" customHeight="false" outlineLevel="0" collapsed="false">
      <c r="A385" s="12"/>
      <c r="B385" s="34"/>
      <c r="C385" s="12"/>
      <c r="D385" s="12"/>
      <c r="E385" s="12"/>
      <c r="F385" s="12"/>
      <c r="G385" s="18"/>
      <c r="H385" s="35"/>
      <c r="I385" s="12"/>
      <c r="M385" s="12"/>
      <c r="N385" s="18"/>
      <c r="O385" s="12"/>
      <c r="P385" s="12"/>
      <c r="Q385" s="12"/>
      <c r="R385" s="36"/>
      <c r="S385" s="36"/>
      <c r="T385" s="12"/>
      <c r="U385" s="12"/>
      <c r="V385" s="12"/>
      <c r="W385" s="12"/>
      <c r="X385" s="12"/>
    </row>
    <row r="386" customFormat="false" ht="15.75" hidden="false" customHeight="false" outlineLevel="0" collapsed="false">
      <c r="A386" s="12"/>
      <c r="B386" s="34"/>
      <c r="C386" s="12"/>
      <c r="D386" s="12"/>
      <c r="E386" s="12"/>
      <c r="F386" s="12"/>
      <c r="G386" s="18"/>
      <c r="H386" s="35"/>
      <c r="I386" s="12"/>
      <c r="M386" s="12"/>
      <c r="N386" s="18"/>
      <c r="O386" s="12"/>
      <c r="P386" s="12"/>
      <c r="Q386" s="12"/>
      <c r="R386" s="36"/>
      <c r="S386" s="36"/>
      <c r="T386" s="12"/>
      <c r="U386" s="12"/>
      <c r="V386" s="12"/>
      <c r="W386" s="12"/>
      <c r="X386" s="12"/>
    </row>
    <row r="387" customFormat="false" ht="15.75" hidden="false" customHeight="false" outlineLevel="0" collapsed="false">
      <c r="A387" s="12"/>
      <c r="B387" s="34"/>
      <c r="C387" s="12"/>
      <c r="D387" s="12"/>
      <c r="E387" s="12"/>
      <c r="F387" s="12"/>
      <c r="G387" s="18"/>
      <c r="H387" s="35"/>
      <c r="I387" s="12"/>
      <c r="M387" s="12"/>
      <c r="N387" s="18"/>
      <c r="O387" s="12"/>
      <c r="P387" s="12"/>
      <c r="Q387" s="12"/>
      <c r="R387" s="36"/>
      <c r="S387" s="36"/>
      <c r="T387" s="12"/>
      <c r="U387" s="12"/>
      <c r="V387" s="12"/>
      <c r="W387" s="12"/>
      <c r="X387" s="12"/>
    </row>
    <row r="388" customFormat="false" ht="15.75" hidden="false" customHeight="false" outlineLevel="0" collapsed="false">
      <c r="A388" s="12"/>
      <c r="B388" s="34"/>
      <c r="C388" s="12"/>
      <c r="D388" s="12"/>
      <c r="E388" s="12"/>
      <c r="F388" s="12"/>
      <c r="G388" s="18"/>
      <c r="H388" s="35"/>
      <c r="I388" s="12"/>
      <c r="M388" s="12"/>
      <c r="N388" s="18"/>
      <c r="O388" s="12"/>
      <c r="P388" s="12"/>
      <c r="Q388" s="12"/>
      <c r="R388" s="36"/>
      <c r="S388" s="36"/>
      <c r="T388" s="12"/>
      <c r="U388" s="12"/>
      <c r="V388" s="12"/>
      <c r="W388" s="12"/>
      <c r="X388" s="12"/>
    </row>
    <row r="389" customFormat="false" ht="15.75" hidden="false" customHeight="false" outlineLevel="0" collapsed="false">
      <c r="A389" s="12"/>
      <c r="B389" s="34"/>
      <c r="C389" s="12"/>
      <c r="D389" s="12"/>
      <c r="E389" s="12"/>
      <c r="F389" s="12"/>
      <c r="G389" s="18"/>
      <c r="H389" s="35"/>
      <c r="I389" s="12"/>
      <c r="M389" s="12"/>
      <c r="N389" s="18"/>
      <c r="O389" s="12"/>
      <c r="P389" s="12"/>
      <c r="Q389" s="12"/>
      <c r="R389" s="36"/>
      <c r="S389" s="36"/>
      <c r="T389" s="12"/>
      <c r="U389" s="12"/>
      <c r="V389" s="12"/>
      <c r="W389" s="12"/>
      <c r="X389" s="12"/>
    </row>
    <row r="390" customFormat="false" ht="15.75" hidden="false" customHeight="false" outlineLevel="0" collapsed="false">
      <c r="A390" s="12"/>
      <c r="B390" s="34"/>
      <c r="C390" s="12"/>
      <c r="D390" s="12"/>
      <c r="E390" s="12"/>
      <c r="F390" s="12"/>
      <c r="G390" s="18"/>
      <c r="H390" s="35"/>
      <c r="I390" s="12"/>
      <c r="M390" s="12"/>
      <c r="N390" s="18"/>
      <c r="O390" s="12"/>
      <c r="P390" s="12"/>
      <c r="Q390" s="12"/>
      <c r="R390" s="36"/>
      <c r="S390" s="36"/>
      <c r="T390" s="12"/>
      <c r="U390" s="12"/>
      <c r="V390" s="12"/>
      <c r="W390" s="12"/>
      <c r="X390" s="12"/>
    </row>
    <row r="391" customFormat="false" ht="15.75" hidden="false" customHeight="false" outlineLevel="0" collapsed="false">
      <c r="A391" s="12"/>
      <c r="B391" s="34"/>
      <c r="C391" s="12"/>
      <c r="D391" s="12"/>
      <c r="E391" s="12"/>
      <c r="F391" s="12"/>
      <c r="G391" s="18"/>
      <c r="H391" s="35"/>
      <c r="I391" s="12"/>
      <c r="M391" s="12"/>
      <c r="N391" s="18"/>
      <c r="O391" s="12"/>
      <c r="P391" s="12"/>
      <c r="Q391" s="12"/>
      <c r="R391" s="36"/>
      <c r="S391" s="36"/>
      <c r="T391" s="12"/>
      <c r="U391" s="12"/>
      <c r="V391" s="12"/>
      <c r="W391" s="12"/>
      <c r="X391" s="12"/>
    </row>
    <row r="392" customFormat="false" ht="15.75" hidden="false" customHeight="false" outlineLevel="0" collapsed="false">
      <c r="A392" s="12"/>
      <c r="B392" s="34"/>
      <c r="C392" s="12"/>
      <c r="D392" s="12"/>
      <c r="E392" s="12"/>
      <c r="F392" s="12"/>
      <c r="G392" s="18"/>
      <c r="H392" s="35"/>
      <c r="I392" s="12"/>
      <c r="M392" s="12"/>
      <c r="N392" s="18"/>
      <c r="O392" s="12"/>
      <c r="P392" s="12"/>
      <c r="Q392" s="12"/>
      <c r="R392" s="36"/>
      <c r="S392" s="36"/>
      <c r="T392" s="12"/>
      <c r="U392" s="12"/>
      <c r="V392" s="12"/>
      <c r="W392" s="12"/>
      <c r="X392" s="12"/>
    </row>
    <row r="393" customFormat="false" ht="15.75" hidden="false" customHeight="false" outlineLevel="0" collapsed="false">
      <c r="A393" s="12"/>
      <c r="B393" s="34"/>
      <c r="C393" s="12"/>
      <c r="D393" s="12"/>
      <c r="E393" s="12"/>
      <c r="F393" s="12"/>
      <c r="G393" s="18"/>
      <c r="H393" s="35"/>
      <c r="I393" s="12"/>
      <c r="M393" s="12"/>
      <c r="N393" s="18"/>
      <c r="O393" s="12"/>
      <c r="P393" s="12"/>
      <c r="Q393" s="12"/>
      <c r="R393" s="36"/>
      <c r="S393" s="36"/>
      <c r="T393" s="12"/>
      <c r="U393" s="12"/>
      <c r="V393" s="12"/>
      <c r="W393" s="12"/>
      <c r="X393" s="12"/>
    </row>
    <row r="394" customFormat="false" ht="15.75" hidden="false" customHeight="false" outlineLevel="0" collapsed="false">
      <c r="A394" s="12"/>
      <c r="B394" s="34"/>
      <c r="C394" s="12"/>
      <c r="D394" s="12"/>
      <c r="E394" s="12"/>
      <c r="F394" s="12"/>
      <c r="G394" s="18"/>
      <c r="H394" s="35"/>
      <c r="I394" s="12"/>
      <c r="M394" s="12"/>
      <c r="N394" s="18"/>
      <c r="O394" s="12"/>
      <c r="P394" s="12"/>
      <c r="Q394" s="12"/>
      <c r="R394" s="36"/>
      <c r="S394" s="36"/>
      <c r="T394" s="12"/>
      <c r="U394" s="12"/>
      <c r="V394" s="12"/>
      <c r="W394" s="12"/>
      <c r="X394" s="12"/>
    </row>
    <row r="395" customFormat="false" ht="15.75" hidden="false" customHeight="false" outlineLevel="0" collapsed="false">
      <c r="A395" s="12"/>
      <c r="B395" s="34"/>
      <c r="C395" s="12"/>
      <c r="D395" s="12"/>
      <c r="E395" s="12"/>
      <c r="F395" s="12"/>
      <c r="G395" s="18"/>
      <c r="H395" s="35"/>
      <c r="I395" s="12"/>
      <c r="M395" s="12"/>
      <c r="N395" s="18"/>
      <c r="O395" s="12"/>
      <c r="P395" s="12"/>
      <c r="Q395" s="12"/>
      <c r="R395" s="36"/>
      <c r="S395" s="36"/>
      <c r="T395" s="12"/>
      <c r="U395" s="12"/>
      <c r="V395" s="12"/>
      <c r="W395" s="12"/>
      <c r="X395" s="12"/>
    </row>
    <row r="396" customFormat="false" ht="15.75" hidden="false" customHeight="false" outlineLevel="0" collapsed="false">
      <c r="A396" s="12"/>
      <c r="B396" s="34"/>
      <c r="C396" s="12"/>
      <c r="D396" s="12"/>
      <c r="E396" s="12"/>
      <c r="F396" s="12"/>
      <c r="G396" s="18"/>
      <c r="H396" s="35"/>
      <c r="I396" s="12"/>
      <c r="M396" s="12"/>
      <c r="N396" s="18"/>
      <c r="O396" s="12"/>
      <c r="P396" s="12"/>
      <c r="Q396" s="12"/>
      <c r="R396" s="36"/>
      <c r="S396" s="36"/>
      <c r="T396" s="12"/>
      <c r="U396" s="12"/>
      <c r="V396" s="12"/>
      <c r="W396" s="12"/>
      <c r="X396" s="12"/>
    </row>
    <row r="397" customFormat="false" ht="15.75" hidden="false" customHeight="false" outlineLevel="0" collapsed="false">
      <c r="A397" s="12"/>
      <c r="B397" s="34"/>
      <c r="C397" s="12"/>
      <c r="D397" s="12"/>
      <c r="E397" s="12"/>
      <c r="F397" s="12"/>
      <c r="G397" s="18"/>
      <c r="H397" s="35"/>
      <c r="I397" s="12"/>
      <c r="M397" s="12"/>
      <c r="N397" s="18"/>
      <c r="O397" s="12"/>
      <c r="P397" s="12"/>
      <c r="Q397" s="12"/>
      <c r="R397" s="36"/>
      <c r="S397" s="36"/>
      <c r="T397" s="12"/>
      <c r="U397" s="12"/>
      <c r="V397" s="12"/>
      <c r="W397" s="12"/>
      <c r="X397" s="12"/>
    </row>
    <row r="398" customFormat="false" ht="15.75" hidden="false" customHeight="false" outlineLevel="0" collapsed="false">
      <c r="A398" s="12"/>
      <c r="B398" s="34"/>
      <c r="C398" s="12"/>
      <c r="D398" s="12"/>
      <c r="E398" s="12"/>
      <c r="F398" s="12"/>
      <c r="G398" s="18"/>
      <c r="H398" s="35"/>
      <c r="I398" s="12"/>
      <c r="M398" s="12"/>
      <c r="N398" s="18"/>
      <c r="O398" s="12"/>
      <c r="P398" s="12"/>
      <c r="Q398" s="12"/>
      <c r="R398" s="36"/>
      <c r="S398" s="36"/>
      <c r="T398" s="12"/>
      <c r="U398" s="12"/>
      <c r="V398" s="12"/>
      <c r="W398" s="12"/>
      <c r="X398" s="12"/>
    </row>
    <row r="399" customFormat="false" ht="15.75" hidden="false" customHeight="false" outlineLevel="0" collapsed="false">
      <c r="A399" s="12"/>
      <c r="B399" s="34"/>
      <c r="C399" s="12"/>
      <c r="D399" s="12"/>
      <c r="E399" s="12"/>
      <c r="F399" s="12"/>
      <c r="G399" s="18"/>
      <c r="H399" s="35"/>
      <c r="I399" s="12"/>
      <c r="M399" s="12"/>
      <c r="N399" s="18"/>
      <c r="O399" s="12"/>
      <c r="P399" s="12"/>
      <c r="Q399" s="12"/>
      <c r="R399" s="36"/>
      <c r="S399" s="36"/>
      <c r="T399" s="12"/>
      <c r="U399" s="12"/>
      <c r="V399" s="12"/>
      <c r="W399" s="12"/>
      <c r="X399" s="12"/>
    </row>
    <row r="400" customFormat="false" ht="15.75" hidden="false" customHeight="false" outlineLevel="0" collapsed="false">
      <c r="A400" s="12"/>
      <c r="B400" s="34"/>
      <c r="C400" s="12"/>
      <c r="D400" s="12"/>
      <c r="E400" s="12"/>
      <c r="F400" s="12"/>
      <c r="G400" s="18"/>
      <c r="H400" s="35"/>
      <c r="I400" s="12"/>
      <c r="M400" s="12"/>
      <c r="N400" s="18"/>
      <c r="O400" s="12"/>
      <c r="P400" s="12"/>
      <c r="Q400" s="12"/>
      <c r="R400" s="36"/>
      <c r="S400" s="36"/>
      <c r="T400" s="12"/>
      <c r="U400" s="12"/>
      <c r="V400" s="12"/>
      <c r="W400" s="12"/>
      <c r="X400" s="12"/>
    </row>
    <row r="401" customFormat="false" ht="15.75" hidden="false" customHeight="false" outlineLevel="0" collapsed="false">
      <c r="A401" s="12"/>
      <c r="B401" s="34"/>
      <c r="C401" s="12"/>
      <c r="D401" s="12"/>
      <c r="E401" s="12"/>
      <c r="F401" s="12"/>
      <c r="G401" s="18"/>
      <c r="H401" s="35"/>
      <c r="I401" s="12"/>
      <c r="M401" s="12"/>
      <c r="N401" s="18"/>
      <c r="O401" s="12"/>
      <c r="P401" s="12"/>
      <c r="Q401" s="12"/>
      <c r="R401" s="36"/>
      <c r="S401" s="36"/>
      <c r="T401" s="12"/>
      <c r="U401" s="12"/>
      <c r="V401" s="12"/>
      <c r="W401" s="12"/>
      <c r="X401" s="12"/>
    </row>
    <row r="402" customFormat="false" ht="15.75" hidden="false" customHeight="false" outlineLevel="0" collapsed="false">
      <c r="A402" s="12"/>
      <c r="B402" s="34"/>
      <c r="C402" s="12"/>
      <c r="D402" s="12"/>
      <c r="E402" s="12"/>
      <c r="F402" s="12"/>
      <c r="G402" s="18"/>
      <c r="H402" s="35"/>
      <c r="I402" s="12"/>
      <c r="M402" s="12"/>
      <c r="N402" s="18"/>
      <c r="O402" s="12"/>
      <c r="P402" s="12"/>
      <c r="Q402" s="12"/>
      <c r="R402" s="36"/>
      <c r="S402" s="36"/>
      <c r="T402" s="12"/>
      <c r="U402" s="12"/>
      <c r="V402" s="12"/>
      <c r="W402" s="12"/>
      <c r="X402" s="12"/>
    </row>
    <row r="403" customFormat="false" ht="15.75" hidden="false" customHeight="false" outlineLevel="0" collapsed="false">
      <c r="A403" s="12"/>
      <c r="B403" s="34"/>
      <c r="C403" s="12"/>
      <c r="D403" s="12"/>
      <c r="E403" s="12"/>
      <c r="F403" s="12"/>
      <c r="G403" s="18"/>
      <c r="H403" s="35"/>
      <c r="I403" s="12"/>
      <c r="M403" s="12"/>
      <c r="N403" s="18"/>
      <c r="O403" s="12"/>
      <c r="P403" s="12"/>
      <c r="Q403" s="12"/>
      <c r="R403" s="36"/>
      <c r="S403" s="36"/>
      <c r="T403" s="12"/>
      <c r="U403" s="12"/>
      <c r="V403" s="12"/>
      <c r="W403" s="12"/>
      <c r="X403" s="12"/>
    </row>
    <row r="404" customFormat="false" ht="15.75" hidden="false" customHeight="false" outlineLevel="0" collapsed="false">
      <c r="A404" s="12"/>
      <c r="B404" s="34"/>
      <c r="C404" s="12"/>
      <c r="D404" s="12"/>
      <c r="E404" s="12"/>
      <c r="F404" s="12"/>
      <c r="G404" s="18"/>
      <c r="H404" s="35"/>
      <c r="I404" s="12"/>
      <c r="M404" s="12"/>
      <c r="N404" s="18"/>
      <c r="O404" s="12"/>
      <c r="P404" s="12"/>
      <c r="Q404" s="12"/>
      <c r="R404" s="36"/>
      <c r="S404" s="36"/>
      <c r="T404" s="12"/>
      <c r="U404" s="12"/>
      <c r="V404" s="12"/>
      <c r="W404" s="12"/>
      <c r="X404" s="12"/>
    </row>
    <row r="405" customFormat="false" ht="15.75" hidden="false" customHeight="false" outlineLevel="0" collapsed="false">
      <c r="A405" s="12"/>
      <c r="B405" s="34"/>
      <c r="C405" s="12"/>
      <c r="D405" s="12"/>
      <c r="E405" s="12"/>
      <c r="F405" s="12"/>
      <c r="G405" s="18"/>
      <c r="H405" s="35"/>
      <c r="I405" s="12"/>
      <c r="M405" s="12"/>
      <c r="N405" s="18"/>
      <c r="O405" s="12"/>
      <c r="P405" s="12"/>
      <c r="Q405" s="12"/>
      <c r="R405" s="36"/>
      <c r="S405" s="36"/>
      <c r="T405" s="12"/>
      <c r="U405" s="12"/>
      <c r="V405" s="12"/>
      <c r="W405" s="12"/>
      <c r="X405" s="12"/>
    </row>
    <row r="406" customFormat="false" ht="15.75" hidden="false" customHeight="false" outlineLevel="0" collapsed="false">
      <c r="A406" s="12"/>
      <c r="B406" s="34"/>
      <c r="C406" s="12"/>
      <c r="D406" s="12"/>
      <c r="E406" s="12"/>
      <c r="F406" s="12"/>
      <c r="G406" s="18"/>
      <c r="H406" s="35"/>
      <c r="I406" s="12"/>
      <c r="M406" s="12"/>
      <c r="N406" s="18"/>
      <c r="O406" s="12"/>
      <c r="P406" s="12"/>
      <c r="Q406" s="12"/>
      <c r="R406" s="36"/>
      <c r="S406" s="36"/>
      <c r="T406" s="12"/>
      <c r="U406" s="12"/>
      <c r="V406" s="12"/>
      <c r="W406" s="12"/>
      <c r="X406" s="12"/>
    </row>
    <row r="407" customFormat="false" ht="15.75" hidden="false" customHeight="false" outlineLevel="0" collapsed="false">
      <c r="A407" s="12"/>
      <c r="B407" s="34"/>
      <c r="C407" s="12"/>
      <c r="D407" s="12"/>
      <c r="E407" s="12"/>
      <c r="F407" s="12"/>
      <c r="G407" s="18"/>
      <c r="H407" s="35"/>
      <c r="I407" s="12"/>
      <c r="M407" s="12"/>
      <c r="N407" s="18"/>
      <c r="O407" s="12"/>
      <c r="P407" s="12"/>
      <c r="Q407" s="12"/>
      <c r="R407" s="36"/>
      <c r="S407" s="36"/>
      <c r="T407" s="12"/>
      <c r="U407" s="12"/>
      <c r="V407" s="12"/>
      <c r="W407" s="12"/>
      <c r="X407" s="12"/>
    </row>
    <row r="408" customFormat="false" ht="15.75" hidden="false" customHeight="false" outlineLevel="0" collapsed="false">
      <c r="A408" s="12"/>
      <c r="B408" s="34"/>
      <c r="C408" s="12"/>
      <c r="D408" s="12"/>
      <c r="E408" s="12"/>
      <c r="F408" s="12"/>
      <c r="G408" s="18"/>
      <c r="H408" s="35"/>
      <c r="I408" s="12"/>
      <c r="M408" s="12"/>
      <c r="N408" s="18"/>
      <c r="O408" s="12"/>
      <c r="P408" s="12"/>
      <c r="Q408" s="12"/>
      <c r="R408" s="36"/>
      <c r="S408" s="36"/>
      <c r="T408" s="12"/>
      <c r="U408" s="12"/>
      <c r="V408" s="12"/>
      <c r="W408" s="12"/>
      <c r="X408" s="12"/>
    </row>
    <row r="409" customFormat="false" ht="15.75" hidden="false" customHeight="false" outlineLevel="0" collapsed="false">
      <c r="A409" s="12"/>
      <c r="B409" s="34"/>
      <c r="C409" s="12"/>
      <c r="D409" s="12"/>
      <c r="E409" s="12"/>
      <c r="F409" s="12"/>
      <c r="G409" s="18"/>
      <c r="H409" s="35"/>
      <c r="I409" s="12"/>
      <c r="M409" s="12"/>
      <c r="N409" s="18"/>
      <c r="O409" s="12"/>
      <c r="P409" s="12"/>
      <c r="Q409" s="12"/>
      <c r="R409" s="36"/>
      <c r="S409" s="36"/>
      <c r="T409" s="12"/>
      <c r="U409" s="12"/>
      <c r="V409" s="12"/>
      <c r="W409" s="12"/>
      <c r="X409" s="12"/>
    </row>
    <row r="410" customFormat="false" ht="15.75" hidden="false" customHeight="false" outlineLevel="0" collapsed="false">
      <c r="A410" s="12"/>
      <c r="B410" s="34"/>
      <c r="C410" s="12"/>
      <c r="D410" s="12"/>
      <c r="E410" s="12"/>
      <c r="F410" s="12"/>
      <c r="G410" s="18"/>
      <c r="H410" s="35"/>
      <c r="I410" s="12"/>
      <c r="M410" s="12"/>
      <c r="N410" s="18"/>
      <c r="O410" s="12"/>
      <c r="P410" s="12"/>
      <c r="Q410" s="12"/>
      <c r="R410" s="36"/>
      <c r="S410" s="36"/>
      <c r="T410" s="12"/>
      <c r="U410" s="12"/>
      <c r="V410" s="12"/>
      <c r="W410" s="12"/>
      <c r="X410" s="12"/>
    </row>
    <row r="411" customFormat="false" ht="15.75" hidden="false" customHeight="false" outlineLevel="0" collapsed="false">
      <c r="A411" s="12"/>
      <c r="B411" s="34"/>
      <c r="C411" s="12"/>
      <c r="D411" s="12"/>
      <c r="E411" s="12"/>
      <c r="F411" s="12"/>
      <c r="G411" s="18"/>
      <c r="H411" s="35"/>
      <c r="I411" s="12"/>
      <c r="M411" s="12"/>
      <c r="N411" s="18"/>
      <c r="O411" s="12"/>
      <c r="P411" s="12"/>
      <c r="Q411" s="12"/>
      <c r="R411" s="36"/>
      <c r="S411" s="36"/>
      <c r="T411" s="12"/>
      <c r="U411" s="12"/>
      <c r="V411" s="12"/>
      <c r="W411" s="12"/>
      <c r="X411" s="12"/>
    </row>
    <row r="412" customFormat="false" ht="15.75" hidden="false" customHeight="false" outlineLevel="0" collapsed="false">
      <c r="A412" s="12"/>
      <c r="B412" s="34"/>
      <c r="C412" s="12"/>
      <c r="D412" s="12"/>
      <c r="E412" s="12"/>
      <c r="F412" s="12"/>
      <c r="G412" s="18"/>
      <c r="H412" s="35"/>
      <c r="I412" s="12"/>
      <c r="M412" s="12"/>
      <c r="N412" s="18"/>
      <c r="O412" s="12"/>
      <c r="P412" s="12"/>
      <c r="Q412" s="12"/>
      <c r="R412" s="36"/>
      <c r="S412" s="36"/>
      <c r="T412" s="12"/>
      <c r="U412" s="12"/>
      <c r="V412" s="12"/>
      <c r="W412" s="12"/>
      <c r="X412" s="12"/>
    </row>
    <row r="413" customFormat="false" ht="15.75" hidden="false" customHeight="false" outlineLevel="0" collapsed="false">
      <c r="A413" s="12"/>
      <c r="B413" s="34"/>
      <c r="C413" s="12"/>
      <c r="D413" s="12"/>
      <c r="E413" s="12"/>
      <c r="F413" s="12"/>
      <c r="G413" s="18"/>
      <c r="H413" s="35"/>
      <c r="I413" s="12"/>
      <c r="M413" s="12"/>
      <c r="N413" s="18"/>
      <c r="O413" s="12"/>
      <c r="P413" s="12"/>
      <c r="Q413" s="12"/>
      <c r="R413" s="36"/>
      <c r="S413" s="36"/>
      <c r="T413" s="12"/>
      <c r="U413" s="12"/>
      <c r="V413" s="12"/>
      <c r="W413" s="12"/>
      <c r="X413" s="12"/>
    </row>
    <row r="414" customFormat="false" ht="15.75" hidden="false" customHeight="false" outlineLevel="0" collapsed="false">
      <c r="A414" s="12"/>
      <c r="B414" s="34"/>
      <c r="C414" s="12"/>
      <c r="D414" s="12"/>
      <c r="E414" s="12"/>
      <c r="F414" s="12"/>
      <c r="G414" s="18"/>
      <c r="H414" s="35"/>
      <c r="I414" s="12"/>
      <c r="M414" s="12"/>
      <c r="N414" s="18"/>
      <c r="O414" s="12"/>
      <c r="P414" s="12"/>
      <c r="Q414" s="12"/>
      <c r="R414" s="36"/>
      <c r="S414" s="36"/>
      <c r="T414" s="12"/>
      <c r="U414" s="12"/>
      <c r="V414" s="12"/>
      <c r="W414" s="12"/>
      <c r="X414" s="12"/>
    </row>
    <row r="415" customFormat="false" ht="15.75" hidden="false" customHeight="false" outlineLevel="0" collapsed="false">
      <c r="A415" s="12"/>
      <c r="B415" s="34"/>
      <c r="C415" s="12"/>
      <c r="D415" s="12"/>
      <c r="E415" s="12"/>
      <c r="F415" s="12"/>
      <c r="G415" s="18"/>
      <c r="H415" s="35"/>
      <c r="I415" s="12"/>
      <c r="M415" s="12"/>
      <c r="N415" s="18"/>
      <c r="O415" s="12"/>
      <c r="P415" s="12"/>
      <c r="Q415" s="12"/>
      <c r="R415" s="36"/>
      <c r="S415" s="36"/>
      <c r="T415" s="12"/>
      <c r="U415" s="12"/>
      <c r="V415" s="12"/>
      <c r="W415" s="12"/>
      <c r="X415" s="12"/>
    </row>
    <row r="416" customFormat="false" ht="15.75" hidden="false" customHeight="false" outlineLevel="0" collapsed="false">
      <c r="A416" s="12"/>
      <c r="B416" s="34"/>
      <c r="C416" s="12"/>
      <c r="D416" s="12"/>
      <c r="E416" s="12"/>
      <c r="F416" s="12"/>
      <c r="G416" s="18"/>
      <c r="H416" s="35"/>
      <c r="I416" s="12"/>
      <c r="M416" s="12"/>
      <c r="N416" s="18"/>
      <c r="O416" s="12"/>
      <c r="P416" s="12"/>
      <c r="Q416" s="12"/>
      <c r="R416" s="36"/>
      <c r="S416" s="36"/>
      <c r="T416" s="12"/>
      <c r="U416" s="12"/>
      <c r="V416" s="12"/>
      <c r="W416" s="12"/>
      <c r="X416" s="12"/>
    </row>
    <row r="417" customFormat="false" ht="15.75" hidden="false" customHeight="false" outlineLevel="0" collapsed="false">
      <c r="A417" s="12"/>
      <c r="B417" s="34"/>
      <c r="C417" s="12"/>
      <c r="D417" s="12"/>
      <c r="E417" s="12"/>
      <c r="F417" s="12"/>
      <c r="G417" s="18"/>
      <c r="H417" s="35"/>
      <c r="I417" s="12"/>
      <c r="M417" s="12"/>
      <c r="N417" s="18"/>
      <c r="O417" s="12"/>
      <c r="P417" s="12"/>
      <c r="Q417" s="12"/>
      <c r="R417" s="36"/>
      <c r="S417" s="36"/>
      <c r="T417" s="12"/>
      <c r="U417" s="12"/>
      <c r="V417" s="12"/>
      <c r="W417" s="12"/>
      <c r="X417" s="12"/>
    </row>
    <row r="418" customFormat="false" ht="15.75" hidden="false" customHeight="false" outlineLevel="0" collapsed="false">
      <c r="A418" s="12"/>
      <c r="B418" s="34"/>
      <c r="C418" s="12"/>
      <c r="D418" s="12"/>
      <c r="E418" s="12"/>
      <c r="F418" s="12"/>
      <c r="G418" s="18"/>
      <c r="H418" s="35"/>
      <c r="I418" s="12"/>
      <c r="M418" s="12"/>
      <c r="N418" s="18"/>
      <c r="O418" s="12"/>
      <c r="P418" s="12"/>
      <c r="Q418" s="12"/>
      <c r="R418" s="36"/>
      <c r="S418" s="36"/>
      <c r="T418" s="12"/>
      <c r="U418" s="12"/>
      <c r="V418" s="12"/>
      <c r="W418" s="12"/>
      <c r="X418" s="12"/>
    </row>
    <row r="419" customFormat="false" ht="15.75" hidden="false" customHeight="false" outlineLevel="0" collapsed="false">
      <c r="A419" s="12"/>
      <c r="B419" s="34"/>
      <c r="C419" s="12"/>
      <c r="D419" s="12"/>
      <c r="E419" s="12"/>
      <c r="F419" s="12"/>
      <c r="G419" s="18"/>
      <c r="H419" s="35"/>
      <c r="I419" s="12"/>
      <c r="M419" s="12"/>
      <c r="N419" s="18"/>
      <c r="O419" s="12"/>
      <c r="P419" s="12"/>
      <c r="Q419" s="12"/>
      <c r="R419" s="36"/>
      <c r="S419" s="36"/>
      <c r="T419" s="12"/>
      <c r="U419" s="12"/>
      <c r="V419" s="12"/>
      <c r="W419" s="12"/>
      <c r="X419" s="12"/>
    </row>
    <row r="420" customFormat="false" ht="15.75" hidden="false" customHeight="false" outlineLevel="0" collapsed="false">
      <c r="A420" s="12"/>
      <c r="B420" s="34"/>
      <c r="C420" s="12"/>
      <c r="D420" s="12"/>
      <c r="E420" s="12"/>
      <c r="F420" s="12"/>
      <c r="G420" s="18"/>
      <c r="H420" s="35"/>
      <c r="I420" s="12"/>
      <c r="M420" s="12"/>
      <c r="N420" s="18"/>
      <c r="O420" s="12"/>
      <c r="P420" s="12"/>
      <c r="Q420" s="12"/>
      <c r="R420" s="36"/>
      <c r="S420" s="36"/>
      <c r="T420" s="12"/>
      <c r="U420" s="12"/>
      <c r="V420" s="12"/>
      <c r="W420" s="12"/>
      <c r="X420" s="12"/>
    </row>
    <row r="421" customFormat="false" ht="15.75" hidden="false" customHeight="false" outlineLevel="0" collapsed="false">
      <c r="A421" s="12"/>
      <c r="B421" s="34"/>
      <c r="C421" s="12"/>
      <c r="D421" s="12"/>
      <c r="E421" s="12"/>
      <c r="F421" s="12"/>
      <c r="G421" s="18"/>
      <c r="H421" s="35"/>
      <c r="I421" s="12"/>
      <c r="M421" s="12"/>
      <c r="N421" s="18"/>
      <c r="O421" s="12"/>
      <c r="P421" s="12"/>
      <c r="Q421" s="12"/>
      <c r="R421" s="36"/>
      <c r="S421" s="36"/>
      <c r="T421" s="12"/>
      <c r="U421" s="12"/>
      <c r="V421" s="12"/>
      <c r="W421" s="12"/>
      <c r="X421" s="12"/>
    </row>
    <row r="422" customFormat="false" ht="15.75" hidden="false" customHeight="false" outlineLevel="0" collapsed="false">
      <c r="A422" s="12"/>
      <c r="B422" s="34"/>
      <c r="C422" s="12"/>
      <c r="D422" s="12"/>
      <c r="E422" s="12"/>
      <c r="F422" s="12"/>
      <c r="G422" s="18"/>
      <c r="H422" s="35"/>
      <c r="I422" s="12"/>
      <c r="M422" s="12"/>
      <c r="N422" s="18"/>
      <c r="O422" s="12"/>
      <c r="P422" s="12"/>
      <c r="Q422" s="12"/>
      <c r="R422" s="36"/>
      <c r="S422" s="36"/>
      <c r="T422" s="12"/>
      <c r="U422" s="12"/>
      <c r="V422" s="12"/>
      <c r="W422" s="12"/>
      <c r="X422" s="12"/>
    </row>
    <row r="423" customFormat="false" ht="15.75" hidden="false" customHeight="false" outlineLevel="0" collapsed="false">
      <c r="A423" s="12"/>
      <c r="B423" s="34"/>
      <c r="C423" s="12"/>
      <c r="D423" s="12"/>
      <c r="E423" s="12"/>
      <c r="F423" s="12"/>
      <c r="G423" s="18"/>
      <c r="H423" s="35"/>
      <c r="I423" s="12"/>
      <c r="M423" s="12"/>
      <c r="N423" s="18"/>
      <c r="O423" s="12"/>
      <c r="P423" s="12"/>
      <c r="Q423" s="12"/>
      <c r="R423" s="36"/>
      <c r="S423" s="36"/>
      <c r="T423" s="12"/>
      <c r="U423" s="12"/>
      <c r="V423" s="12"/>
      <c r="W423" s="12"/>
      <c r="X423" s="12"/>
    </row>
    <row r="424" customFormat="false" ht="15.75" hidden="false" customHeight="false" outlineLevel="0" collapsed="false">
      <c r="A424" s="12"/>
      <c r="B424" s="34"/>
      <c r="C424" s="12"/>
      <c r="D424" s="12"/>
      <c r="E424" s="12"/>
      <c r="F424" s="12"/>
      <c r="G424" s="18"/>
      <c r="H424" s="35"/>
      <c r="I424" s="12"/>
      <c r="M424" s="12"/>
      <c r="N424" s="18"/>
      <c r="O424" s="12"/>
      <c r="P424" s="12"/>
      <c r="Q424" s="12"/>
      <c r="R424" s="36"/>
      <c r="S424" s="36"/>
      <c r="T424" s="12"/>
      <c r="U424" s="12"/>
      <c r="V424" s="12"/>
      <c r="W424" s="12"/>
      <c r="X424" s="12"/>
    </row>
    <row r="425" customFormat="false" ht="15.75" hidden="false" customHeight="false" outlineLevel="0" collapsed="false">
      <c r="A425" s="12"/>
      <c r="B425" s="34"/>
      <c r="C425" s="12"/>
      <c r="D425" s="12"/>
      <c r="E425" s="12"/>
      <c r="F425" s="12"/>
      <c r="G425" s="18"/>
      <c r="H425" s="35"/>
      <c r="I425" s="12"/>
      <c r="M425" s="12"/>
      <c r="N425" s="18"/>
      <c r="O425" s="12"/>
      <c r="P425" s="12"/>
      <c r="Q425" s="12"/>
      <c r="R425" s="36"/>
      <c r="S425" s="36"/>
      <c r="T425" s="12"/>
      <c r="U425" s="12"/>
      <c r="V425" s="12"/>
      <c r="W425" s="12"/>
      <c r="X425" s="12"/>
    </row>
    <row r="426" customFormat="false" ht="15.75" hidden="false" customHeight="false" outlineLevel="0" collapsed="false">
      <c r="A426" s="12"/>
      <c r="B426" s="34"/>
      <c r="C426" s="12"/>
      <c r="D426" s="12"/>
      <c r="E426" s="12"/>
      <c r="F426" s="12"/>
      <c r="G426" s="18"/>
      <c r="H426" s="35"/>
      <c r="I426" s="12"/>
      <c r="M426" s="12"/>
      <c r="N426" s="18"/>
      <c r="O426" s="12"/>
      <c r="P426" s="12"/>
      <c r="Q426" s="12"/>
      <c r="R426" s="36"/>
      <c r="S426" s="36"/>
      <c r="T426" s="12"/>
      <c r="U426" s="12"/>
      <c r="V426" s="12"/>
      <c r="W426" s="12"/>
      <c r="X426" s="12"/>
    </row>
    <row r="427" customFormat="false" ht="15.75" hidden="false" customHeight="false" outlineLevel="0" collapsed="false">
      <c r="A427" s="12"/>
      <c r="B427" s="34"/>
      <c r="C427" s="12"/>
      <c r="D427" s="12"/>
      <c r="E427" s="12"/>
      <c r="F427" s="12"/>
      <c r="G427" s="18"/>
      <c r="H427" s="35"/>
      <c r="I427" s="12"/>
      <c r="M427" s="12"/>
      <c r="N427" s="18"/>
      <c r="O427" s="12"/>
      <c r="P427" s="12"/>
      <c r="Q427" s="12"/>
      <c r="R427" s="36"/>
      <c r="S427" s="36"/>
      <c r="T427" s="12"/>
      <c r="U427" s="12"/>
      <c r="V427" s="12"/>
      <c r="W427" s="12"/>
      <c r="X427" s="12"/>
    </row>
    <row r="428" customFormat="false" ht="15.75" hidden="false" customHeight="false" outlineLevel="0" collapsed="false">
      <c r="A428" s="12"/>
      <c r="B428" s="34"/>
      <c r="C428" s="12"/>
      <c r="D428" s="12"/>
      <c r="E428" s="12"/>
      <c r="F428" s="12"/>
      <c r="G428" s="18"/>
      <c r="H428" s="35"/>
      <c r="I428" s="12"/>
      <c r="M428" s="12"/>
      <c r="N428" s="18"/>
      <c r="O428" s="12"/>
      <c r="P428" s="12"/>
      <c r="Q428" s="12"/>
      <c r="R428" s="36"/>
      <c r="S428" s="36"/>
      <c r="T428" s="12"/>
      <c r="U428" s="12"/>
      <c r="V428" s="12"/>
      <c r="W428" s="12"/>
      <c r="X428" s="12"/>
    </row>
    <row r="429" customFormat="false" ht="15.75" hidden="false" customHeight="false" outlineLevel="0" collapsed="false">
      <c r="A429" s="12"/>
      <c r="B429" s="34"/>
      <c r="C429" s="12"/>
      <c r="D429" s="12"/>
      <c r="E429" s="12"/>
      <c r="F429" s="12"/>
      <c r="G429" s="18"/>
      <c r="H429" s="35"/>
      <c r="I429" s="12"/>
      <c r="M429" s="12"/>
      <c r="N429" s="18"/>
      <c r="O429" s="12"/>
      <c r="P429" s="12"/>
      <c r="Q429" s="12"/>
      <c r="R429" s="36"/>
      <c r="S429" s="36"/>
      <c r="T429" s="12"/>
      <c r="U429" s="12"/>
      <c r="V429" s="12"/>
      <c r="W429" s="12"/>
      <c r="X429" s="12"/>
    </row>
    <row r="430" customFormat="false" ht="15.75" hidden="false" customHeight="false" outlineLevel="0" collapsed="false">
      <c r="A430" s="12"/>
      <c r="B430" s="34"/>
      <c r="C430" s="12"/>
      <c r="D430" s="12"/>
      <c r="E430" s="12"/>
      <c r="F430" s="12"/>
      <c r="G430" s="18"/>
      <c r="H430" s="35"/>
      <c r="I430" s="12"/>
      <c r="M430" s="12"/>
      <c r="N430" s="18"/>
      <c r="O430" s="12"/>
      <c r="P430" s="12"/>
      <c r="Q430" s="12"/>
      <c r="R430" s="36"/>
      <c r="S430" s="36"/>
      <c r="T430" s="12"/>
      <c r="U430" s="12"/>
      <c r="V430" s="12"/>
      <c r="W430" s="12"/>
      <c r="X430" s="12"/>
    </row>
    <row r="431" customFormat="false" ht="15.75" hidden="false" customHeight="false" outlineLevel="0" collapsed="false">
      <c r="A431" s="12"/>
      <c r="B431" s="34"/>
      <c r="C431" s="12"/>
      <c r="D431" s="12"/>
      <c r="E431" s="12"/>
      <c r="F431" s="12"/>
      <c r="G431" s="18"/>
      <c r="H431" s="35"/>
      <c r="I431" s="12"/>
      <c r="M431" s="12"/>
      <c r="N431" s="18"/>
      <c r="O431" s="12"/>
      <c r="P431" s="12"/>
      <c r="Q431" s="12"/>
      <c r="R431" s="36"/>
      <c r="S431" s="36"/>
      <c r="T431" s="12"/>
      <c r="U431" s="12"/>
      <c r="V431" s="12"/>
      <c r="W431" s="12"/>
      <c r="X431" s="12"/>
    </row>
    <row r="432" customFormat="false" ht="15.75" hidden="false" customHeight="false" outlineLevel="0" collapsed="false">
      <c r="A432" s="12"/>
      <c r="B432" s="34"/>
      <c r="C432" s="12"/>
      <c r="D432" s="12"/>
      <c r="E432" s="12"/>
      <c r="F432" s="12"/>
      <c r="G432" s="18"/>
      <c r="H432" s="35"/>
      <c r="I432" s="12"/>
      <c r="M432" s="12"/>
      <c r="N432" s="18"/>
      <c r="O432" s="12"/>
      <c r="P432" s="12"/>
      <c r="Q432" s="12"/>
      <c r="R432" s="36"/>
      <c r="S432" s="36"/>
      <c r="T432" s="12"/>
      <c r="U432" s="12"/>
      <c r="V432" s="12"/>
      <c r="W432" s="12"/>
      <c r="X432" s="12"/>
    </row>
    <row r="433" customFormat="false" ht="15.75" hidden="false" customHeight="false" outlineLevel="0" collapsed="false">
      <c r="A433" s="12"/>
      <c r="B433" s="34"/>
      <c r="C433" s="12"/>
      <c r="D433" s="12"/>
      <c r="E433" s="12"/>
      <c r="F433" s="12"/>
      <c r="G433" s="18"/>
      <c r="H433" s="35"/>
      <c r="I433" s="12"/>
      <c r="M433" s="12"/>
      <c r="N433" s="18"/>
      <c r="O433" s="12"/>
      <c r="P433" s="12"/>
      <c r="Q433" s="12"/>
      <c r="R433" s="36"/>
      <c r="S433" s="36"/>
      <c r="T433" s="12"/>
      <c r="U433" s="12"/>
      <c r="V433" s="12"/>
      <c r="W433" s="12"/>
      <c r="X433" s="12"/>
    </row>
    <row r="434" customFormat="false" ht="15.75" hidden="false" customHeight="false" outlineLevel="0" collapsed="false">
      <c r="A434" s="12"/>
      <c r="B434" s="34"/>
      <c r="C434" s="12"/>
      <c r="D434" s="12"/>
      <c r="E434" s="12"/>
      <c r="F434" s="12"/>
      <c r="G434" s="18"/>
      <c r="H434" s="35"/>
      <c r="I434" s="12"/>
      <c r="M434" s="12"/>
      <c r="N434" s="18"/>
      <c r="O434" s="12"/>
      <c r="P434" s="12"/>
      <c r="Q434" s="12"/>
      <c r="R434" s="36"/>
      <c r="S434" s="36"/>
      <c r="T434" s="12"/>
      <c r="U434" s="12"/>
      <c r="V434" s="12"/>
      <c r="W434" s="12"/>
      <c r="X434" s="12"/>
    </row>
    <row r="435" customFormat="false" ht="15.75" hidden="false" customHeight="false" outlineLevel="0" collapsed="false">
      <c r="A435" s="12"/>
      <c r="B435" s="34"/>
      <c r="C435" s="12"/>
      <c r="D435" s="12"/>
      <c r="E435" s="12"/>
      <c r="F435" s="12"/>
      <c r="G435" s="18"/>
      <c r="H435" s="35"/>
      <c r="I435" s="12"/>
      <c r="M435" s="12"/>
      <c r="N435" s="18"/>
      <c r="O435" s="12"/>
      <c r="P435" s="12"/>
      <c r="Q435" s="12"/>
      <c r="R435" s="36"/>
      <c r="S435" s="36"/>
      <c r="T435" s="12"/>
      <c r="U435" s="12"/>
      <c r="V435" s="12"/>
      <c r="W435" s="12"/>
      <c r="X435" s="12"/>
    </row>
    <row r="436" customFormat="false" ht="15.75" hidden="false" customHeight="false" outlineLevel="0" collapsed="false">
      <c r="A436" s="12"/>
      <c r="B436" s="34"/>
      <c r="C436" s="12"/>
      <c r="D436" s="12"/>
      <c r="E436" s="12"/>
      <c r="F436" s="12"/>
      <c r="G436" s="18"/>
      <c r="H436" s="35"/>
      <c r="I436" s="12"/>
      <c r="M436" s="12"/>
      <c r="N436" s="18"/>
      <c r="O436" s="12"/>
      <c r="P436" s="12"/>
      <c r="Q436" s="12"/>
      <c r="R436" s="36"/>
      <c r="S436" s="36"/>
      <c r="T436" s="12"/>
      <c r="U436" s="12"/>
      <c r="V436" s="12"/>
      <c r="W436" s="12"/>
      <c r="X436" s="12"/>
    </row>
    <row r="437" customFormat="false" ht="15.75" hidden="false" customHeight="false" outlineLevel="0" collapsed="false">
      <c r="A437" s="12"/>
      <c r="B437" s="34"/>
      <c r="C437" s="12"/>
      <c r="D437" s="12"/>
      <c r="E437" s="12"/>
      <c r="F437" s="12"/>
      <c r="G437" s="18"/>
      <c r="H437" s="35"/>
      <c r="I437" s="12"/>
      <c r="M437" s="12"/>
      <c r="N437" s="18"/>
      <c r="O437" s="12"/>
      <c r="P437" s="12"/>
      <c r="Q437" s="12"/>
      <c r="R437" s="36"/>
      <c r="S437" s="36"/>
      <c r="T437" s="12"/>
      <c r="U437" s="12"/>
      <c r="V437" s="12"/>
      <c r="W437" s="12"/>
      <c r="X437" s="12"/>
    </row>
    <row r="438" customFormat="false" ht="15.75" hidden="false" customHeight="false" outlineLevel="0" collapsed="false">
      <c r="A438" s="12"/>
      <c r="B438" s="34"/>
      <c r="C438" s="12"/>
      <c r="D438" s="12"/>
      <c r="E438" s="12"/>
      <c r="F438" s="12"/>
      <c r="G438" s="18"/>
      <c r="H438" s="35"/>
      <c r="I438" s="12"/>
      <c r="M438" s="12"/>
      <c r="N438" s="18"/>
      <c r="O438" s="12"/>
      <c r="P438" s="12"/>
      <c r="Q438" s="12"/>
      <c r="R438" s="36"/>
      <c r="S438" s="36"/>
      <c r="T438" s="12"/>
      <c r="U438" s="12"/>
      <c r="V438" s="12"/>
      <c r="W438" s="12"/>
      <c r="X438" s="12"/>
    </row>
    <row r="439" customFormat="false" ht="15.75" hidden="false" customHeight="false" outlineLevel="0" collapsed="false">
      <c r="A439" s="12"/>
      <c r="B439" s="34"/>
      <c r="C439" s="12"/>
      <c r="D439" s="12"/>
      <c r="E439" s="12"/>
      <c r="F439" s="12"/>
      <c r="G439" s="18"/>
      <c r="H439" s="35"/>
      <c r="I439" s="12"/>
      <c r="M439" s="12"/>
      <c r="N439" s="18"/>
      <c r="O439" s="12"/>
      <c r="P439" s="12"/>
      <c r="Q439" s="12"/>
      <c r="R439" s="36"/>
      <c r="S439" s="36"/>
      <c r="T439" s="12"/>
      <c r="U439" s="12"/>
      <c r="V439" s="12"/>
      <c r="W439" s="12"/>
      <c r="X439" s="12"/>
    </row>
    <row r="440" customFormat="false" ht="15.75" hidden="false" customHeight="false" outlineLevel="0" collapsed="false">
      <c r="A440" s="12"/>
      <c r="B440" s="34"/>
      <c r="C440" s="12"/>
      <c r="D440" s="12"/>
      <c r="E440" s="12"/>
      <c r="F440" s="12"/>
      <c r="G440" s="18"/>
      <c r="H440" s="35"/>
      <c r="I440" s="12"/>
      <c r="M440" s="12"/>
      <c r="N440" s="18"/>
      <c r="O440" s="12"/>
      <c r="P440" s="12"/>
      <c r="Q440" s="12"/>
      <c r="R440" s="36"/>
      <c r="S440" s="36"/>
      <c r="T440" s="12"/>
      <c r="U440" s="12"/>
      <c r="V440" s="12"/>
      <c r="W440" s="12"/>
      <c r="X440" s="12"/>
    </row>
    <row r="441" customFormat="false" ht="15.75" hidden="false" customHeight="false" outlineLevel="0" collapsed="false">
      <c r="A441" s="12"/>
      <c r="B441" s="34"/>
      <c r="C441" s="12"/>
      <c r="D441" s="12"/>
      <c r="E441" s="12"/>
      <c r="F441" s="12"/>
      <c r="G441" s="18"/>
      <c r="H441" s="35"/>
      <c r="I441" s="12"/>
      <c r="M441" s="12"/>
      <c r="N441" s="18"/>
      <c r="O441" s="12"/>
      <c r="P441" s="12"/>
      <c r="Q441" s="12"/>
      <c r="R441" s="36"/>
      <c r="S441" s="36"/>
      <c r="T441" s="12"/>
      <c r="U441" s="12"/>
      <c r="V441" s="12"/>
      <c r="W441" s="12"/>
      <c r="X441" s="12"/>
    </row>
    <row r="442" customFormat="false" ht="15.75" hidden="false" customHeight="false" outlineLevel="0" collapsed="false">
      <c r="A442" s="12"/>
      <c r="B442" s="34"/>
      <c r="C442" s="12"/>
      <c r="D442" s="12"/>
      <c r="E442" s="12"/>
      <c r="F442" s="12"/>
      <c r="G442" s="18"/>
      <c r="H442" s="35"/>
      <c r="I442" s="12"/>
      <c r="M442" s="12"/>
      <c r="N442" s="18"/>
      <c r="O442" s="12"/>
      <c r="P442" s="12"/>
      <c r="Q442" s="12"/>
      <c r="R442" s="36"/>
      <c r="S442" s="36"/>
      <c r="T442" s="12"/>
      <c r="U442" s="12"/>
      <c r="V442" s="12"/>
      <c r="W442" s="12"/>
      <c r="X442" s="12"/>
    </row>
    <row r="443" customFormat="false" ht="15.75" hidden="false" customHeight="false" outlineLevel="0" collapsed="false">
      <c r="A443" s="12"/>
      <c r="B443" s="34"/>
      <c r="C443" s="12"/>
      <c r="D443" s="12"/>
      <c r="E443" s="12"/>
      <c r="F443" s="12"/>
      <c r="G443" s="18"/>
      <c r="H443" s="35"/>
      <c r="I443" s="12"/>
      <c r="M443" s="12"/>
      <c r="N443" s="18"/>
      <c r="O443" s="12"/>
      <c r="P443" s="12"/>
      <c r="Q443" s="12"/>
      <c r="R443" s="36"/>
      <c r="S443" s="36"/>
      <c r="T443" s="12"/>
      <c r="U443" s="12"/>
      <c r="V443" s="12"/>
      <c r="W443" s="12"/>
      <c r="X443" s="12"/>
    </row>
    <row r="444" customFormat="false" ht="15.75" hidden="false" customHeight="false" outlineLevel="0" collapsed="false">
      <c r="A444" s="12"/>
      <c r="B444" s="34"/>
      <c r="C444" s="12"/>
      <c r="D444" s="12"/>
      <c r="E444" s="12"/>
      <c r="F444" s="12"/>
      <c r="G444" s="18"/>
      <c r="H444" s="35"/>
      <c r="I444" s="12"/>
      <c r="M444" s="12"/>
      <c r="N444" s="18"/>
      <c r="O444" s="12"/>
      <c r="P444" s="12"/>
      <c r="Q444" s="12"/>
      <c r="R444" s="36"/>
      <c r="S444" s="36"/>
      <c r="T444" s="12"/>
      <c r="U444" s="12"/>
      <c r="V444" s="12"/>
      <c r="W444" s="12"/>
      <c r="X444" s="12"/>
    </row>
    <row r="445" customFormat="false" ht="15.75" hidden="false" customHeight="false" outlineLevel="0" collapsed="false">
      <c r="A445" s="12"/>
      <c r="B445" s="34"/>
      <c r="C445" s="12"/>
      <c r="D445" s="12"/>
      <c r="E445" s="12"/>
      <c r="F445" s="12"/>
      <c r="G445" s="18"/>
      <c r="H445" s="35"/>
      <c r="I445" s="12"/>
      <c r="M445" s="12"/>
      <c r="N445" s="18"/>
      <c r="O445" s="12"/>
      <c r="P445" s="12"/>
      <c r="Q445" s="12"/>
      <c r="R445" s="36"/>
      <c r="S445" s="36"/>
      <c r="T445" s="12"/>
      <c r="U445" s="12"/>
      <c r="V445" s="12"/>
      <c r="W445" s="12"/>
      <c r="X445" s="12"/>
    </row>
    <row r="446" customFormat="false" ht="15.75" hidden="false" customHeight="false" outlineLevel="0" collapsed="false">
      <c r="A446" s="12"/>
      <c r="B446" s="34"/>
      <c r="C446" s="12"/>
      <c r="D446" s="12"/>
      <c r="E446" s="12"/>
      <c r="F446" s="12"/>
      <c r="G446" s="18"/>
      <c r="H446" s="35"/>
      <c r="I446" s="12"/>
      <c r="M446" s="12"/>
      <c r="N446" s="18"/>
      <c r="O446" s="12"/>
      <c r="P446" s="12"/>
      <c r="Q446" s="12"/>
      <c r="R446" s="36"/>
      <c r="S446" s="36"/>
      <c r="T446" s="12"/>
      <c r="U446" s="12"/>
      <c r="V446" s="12"/>
      <c r="W446" s="12"/>
      <c r="X446" s="12"/>
    </row>
    <row r="447" customFormat="false" ht="15.75" hidden="false" customHeight="false" outlineLevel="0" collapsed="false">
      <c r="A447" s="12"/>
      <c r="B447" s="34"/>
      <c r="C447" s="12"/>
      <c r="D447" s="12"/>
      <c r="E447" s="12"/>
      <c r="F447" s="12"/>
      <c r="G447" s="18"/>
      <c r="H447" s="35"/>
      <c r="I447" s="12"/>
      <c r="M447" s="12"/>
      <c r="N447" s="18"/>
      <c r="O447" s="12"/>
      <c r="P447" s="12"/>
      <c r="Q447" s="12"/>
      <c r="R447" s="36"/>
      <c r="S447" s="36"/>
      <c r="T447" s="12"/>
      <c r="U447" s="12"/>
      <c r="V447" s="12"/>
      <c r="W447" s="12"/>
      <c r="X447" s="12"/>
    </row>
    <row r="448" customFormat="false" ht="15.75" hidden="false" customHeight="false" outlineLevel="0" collapsed="false">
      <c r="A448" s="12"/>
      <c r="B448" s="34"/>
      <c r="C448" s="12"/>
      <c r="D448" s="12"/>
      <c r="E448" s="12"/>
      <c r="F448" s="12"/>
      <c r="G448" s="18"/>
      <c r="H448" s="35"/>
      <c r="I448" s="12"/>
      <c r="M448" s="12"/>
      <c r="N448" s="18"/>
      <c r="O448" s="12"/>
      <c r="P448" s="12"/>
      <c r="Q448" s="12"/>
      <c r="R448" s="36"/>
      <c r="S448" s="36"/>
      <c r="T448" s="12"/>
      <c r="U448" s="12"/>
      <c r="V448" s="12"/>
      <c r="W448" s="12"/>
      <c r="X448" s="12"/>
    </row>
    <row r="449" customFormat="false" ht="15.75" hidden="false" customHeight="false" outlineLevel="0" collapsed="false">
      <c r="A449" s="12"/>
      <c r="B449" s="34"/>
      <c r="C449" s="12"/>
      <c r="D449" s="12"/>
      <c r="E449" s="12"/>
      <c r="F449" s="12"/>
      <c r="G449" s="18"/>
      <c r="H449" s="35"/>
      <c r="I449" s="12"/>
      <c r="M449" s="12"/>
      <c r="N449" s="18"/>
      <c r="O449" s="12"/>
      <c r="P449" s="12"/>
      <c r="Q449" s="12"/>
      <c r="R449" s="36"/>
      <c r="S449" s="36"/>
      <c r="T449" s="12"/>
      <c r="U449" s="12"/>
      <c r="V449" s="12"/>
      <c r="W449" s="12"/>
      <c r="X449" s="12"/>
    </row>
    <row r="450" customFormat="false" ht="15.75" hidden="false" customHeight="false" outlineLevel="0" collapsed="false">
      <c r="A450" s="12"/>
      <c r="B450" s="34"/>
      <c r="C450" s="12"/>
      <c r="D450" s="12"/>
      <c r="E450" s="12"/>
      <c r="F450" s="12"/>
      <c r="G450" s="18"/>
      <c r="H450" s="35"/>
      <c r="I450" s="12"/>
      <c r="M450" s="12"/>
      <c r="N450" s="18"/>
      <c r="O450" s="12"/>
      <c r="P450" s="12"/>
      <c r="Q450" s="12"/>
      <c r="R450" s="36"/>
      <c r="S450" s="36"/>
      <c r="T450" s="12"/>
      <c r="U450" s="12"/>
      <c r="V450" s="12"/>
      <c r="W450" s="12"/>
      <c r="X450" s="12"/>
    </row>
    <row r="451" customFormat="false" ht="15.75" hidden="false" customHeight="false" outlineLevel="0" collapsed="false">
      <c r="A451" s="12"/>
      <c r="B451" s="34"/>
      <c r="C451" s="12"/>
      <c r="D451" s="12"/>
      <c r="E451" s="12"/>
      <c r="F451" s="12"/>
      <c r="G451" s="18"/>
      <c r="H451" s="35"/>
      <c r="I451" s="12"/>
      <c r="M451" s="12"/>
      <c r="N451" s="18"/>
      <c r="O451" s="12"/>
      <c r="P451" s="12"/>
      <c r="Q451" s="12"/>
      <c r="R451" s="36"/>
      <c r="S451" s="36"/>
      <c r="T451" s="12"/>
      <c r="U451" s="12"/>
      <c r="V451" s="12"/>
      <c r="W451" s="12"/>
      <c r="X451" s="12"/>
    </row>
    <row r="452" customFormat="false" ht="15.75" hidden="false" customHeight="false" outlineLevel="0" collapsed="false">
      <c r="A452" s="12"/>
      <c r="B452" s="34"/>
      <c r="C452" s="12"/>
      <c r="D452" s="12"/>
      <c r="E452" s="12"/>
      <c r="F452" s="12"/>
      <c r="G452" s="18"/>
      <c r="H452" s="35"/>
      <c r="I452" s="12"/>
      <c r="M452" s="12"/>
      <c r="N452" s="18"/>
      <c r="O452" s="12"/>
      <c r="P452" s="12"/>
      <c r="Q452" s="12"/>
      <c r="R452" s="36"/>
      <c r="S452" s="36"/>
      <c r="T452" s="12"/>
      <c r="U452" s="12"/>
      <c r="V452" s="12"/>
      <c r="W452" s="12"/>
      <c r="X452" s="12"/>
    </row>
    <row r="453" customFormat="false" ht="15.75" hidden="false" customHeight="false" outlineLevel="0" collapsed="false">
      <c r="A453" s="12"/>
      <c r="B453" s="34"/>
      <c r="C453" s="12"/>
      <c r="D453" s="12"/>
      <c r="E453" s="12"/>
      <c r="F453" s="12"/>
      <c r="G453" s="18"/>
      <c r="H453" s="35"/>
      <c r="I453" s="12"/>
      <c r="M453" s="12"/>
      <c r="N453" s="18"/>
      <c r="O453" s="12"/>
      <c r="P453" s="12"/>
      <c r="Q453" s="12"/>
      <c r="R453" s="36"/>
      <c r="S453" s="36"/>
      <c r="T453" s="12"/>
      <c r="U453" s="12"/>
      <c r="V453" s="12"/>
      <c r="W453" s="12"/>
      <c r="X453" s="12"/>
    </row>
    <row r="454" customFormat="false" ht="15.75" hidden="false" customHeight="false" outlineLevel="0" collapsed="false">
      <c r="A454" s="12"/>
      <c r="B454" s="34"/>
      <c r="C454" s="12"/>
      <c r="D454" s="12"/>
      <c r="E454" s="12"/>
      <c r="F454" s="12"/>
      <c r="G454" s="18"/>
      <c r="H454" s="35"/>
      <c r="I454" s="12"/>
      <c r="M454" s="12"/>
      <c r="N454" s="18"/>
      <c r="O454" s="12"/>
      <c r="P454" s="12"/>
      <c r="Q454" s="12"/>
      <c r="R454" s="36"/>
      <c r="S454" s="36"/>
      <c r="T454" s="12"/>
      <c r="U454" s="12"/>
      <c r="V454" s="12"/>
      <c r="W454" s="12"/>
      <c r="X454" s="12"/>
    </row>
    <row r="455" customFormat="false" ht="15.75" hidden="false" customHeight="false" outlineLevel="0" collapsed="false">
      <c r="A455" s="12"/>
      <c r="B455" s="34"/>
      <c r="C455" s="12"/>
      <c r="D455" s="12"/>
      <c r="E455" s="12"/>
      <c r="F455" s="12"/>
      <c r="G455" s="18"/>
      <c r="H455" s="35"/>
      <c r="I455" s="12"/>
      <c r="M455" s="12"/>
      <c r="N455" s="18"/>
      <c r="O455" s="12"/>
      <c r="P455" s="12"/>
      <c r="Q455" s="12"/>
      <c r="R455" s="36"/>
      <c r="S455" s="36"/>
      <c r="T455" s="12"/>
      <c r="U455" s="12"/>
      <c r="V455" s="12"/>
      <c r="W455" s="12"/>
      <c r="X455" s="12"/>
    </row>
    <row r="456" customFormat="false" ht="15.75" hidden="false" customHeight="false" outlineLevel="0" collapsed="false">
      <c r="A456" s="12"/>
      <c r="B456" s="34"/>
      <c r="C456" s="12"/>
      <c r="D456" s="12"/>
      <c r="E456" s="12"/>
      <c r="F456" s="12"/>
      <c r="G456" s="18"/>
      <c r="H456" s="35"/>
      <c r="I456" s="12"/>
      <c r="M456" s="12"/>
      <c r="N456" s="18"/>
      <c r="O456" s="12"/>
      <c r="P456" s="12"/>
      <c r="Q456" s="12"/>
      <c r="R456" s="36"/>
      <c r="S456" s="36"/>
      <c r="T456" s="12"/>
      <c r="U456" s="12"/>
      <c r="V456" s="12"/>
      <c r="W456" s="12"/>
      <c r="X456" s="12"/>
    </row>
    <row r="457" customFormat="false" ht="15.75" hidden="false" customHeight="false" outlineLevel="0" collapsed="false">
      <c r="A457" s="12"/>
      <c r="B457" s="34"/>
      <c r="C457" s="12"/>
      <c r="D457" s="12"/>
      <c r="E457" s="12"/>
      <c r="F457" s="12"/>
      <c r="G457" s="18"/>
      <c r="H457" s="35"/>
      <c r="I457" s="12"/>
      <c r="M457" s="12"/>
      <c r="N457" s="18"/>
      <c r="O457" s="12"/>
      <c r="P457" s="12"/>
      <c r="Q457" s="12"/>
      <c r="R457" s="36"/>
      <c r="S457" s="36"/>
      <c r="T457" s="12"/>
      <c r="U457" s="12"/>
      <c r="V457" s="12"/>
      <c r="W457" s="12"/>
      <c r="X457" s="12"/>
    </row>
    <row r="458" customFormat="false" ht="15.75" hidden="false" customHeight="false" outlineLevel="0" collapsed="false">
      <c r="A458" s="12"/>
      <c r="B458" s="34"/>
      <c r="C458" s="12"/>
      <c r="D458" s="12"/>
      <c r="E458" s="12"/>
      <c r="F458" s="12"/>
      <c r="G458" s="18"/>
      <c r="H458" s="35"/>
      <c r="I458" s="12"/>
      <c r="M458" s="12"/>
      <c r="N458" s="18"/>
      <c r="O458" s="12"/>
      <c r="P458" s="12"/>
      <c r="Q458" s="12"/>
      <c r="R458" s="36"/>
      <c r="S458" s="36"/>
      <c r="T458" s="12"/>
      <c r="U458" s="12"/>
      <c r="V458" s="12"/>
      <c r="W458" s="12"/>
      <c r="X458" s="12"/>
    </row>
    <row r="459" customFormat="false" ht="15.75" hidden="false" customHeight="false" outlineLevel="0" collapsed="false">
      <c r="A459" s="12"/>
      <c r="B459" s="34"/>
      <c r="C459" s="12"/>
      <c r="D459" s="12"/>
      <c r="E459" s="12"/>
      <c r="F459" s="12"/>
      <c r="G459" s="18"/>
      <c r="H459" s="35"/>
      <c r="I459" s="12"/>
      <c r="M459" s="12"/>
      <c r="N459" s="18"/>
      <c r="O459" s="12"/>
      <c r="P459" s="12"/>
      <c r="Q459" s="12"/>
      <c r="R459" s="36"/>
      <c r="S459" s="36"/>
      <c r="T459" s="12"/>
      <c r="U459" s="12"/>
      <c r="V459" s="12"/>
      <c r="W459" s="12"/>
      <c r="X459" s="12"/>
    </row>
    <row r="460" customFormat="false" ht="15.75" hidden="false" customHeight="false" outlineLevel="0" collapsed="false">
      <c r="A460" s="12"/>
      <c r="B460" s="34"/>
      <c r="C460" s="12"/>
      <c r="D460" s="12"/>
      <c r="E460" s="12"/>
      <c r="F460" s="12"/>
      <c r="G460" s="18"/>
      <c r="H460" s="35"/>
      <c r="I460" s="12"/>
      <c r="M460" s="12"/>
      <c r="N460" s="18"/>
      <c r="O460" s="12"/>
      <c r="P460" s="12"/>
      <c r="Q460" s="12"/>
      <c r="R460" s="36"/>
      <c r="S460" s="36"/>
      <c r="T460" s="12"/>
      <c r="U460" s="12"/>
      <c r="V460" s="12"/>
      <c r="W460" s="12"/>
      <c r="X460" s="12"/>
    </row>
    <row r="461" customFormat="false" ht="15.75" hidden="false" customHeight="false" outlineLevel="0" collapsed="false">
      <c r="A461" s="12"/>
      <c r="B461" s="34"/>
      <c r="C461" s="12"/>
      <c r="D461" s="12"/>
      <c r="E461" s="12"/>
      <c r="F461" s="12"/>
      <c r="G461" s="18"/>
      <c r="H461" s="35"/>
      <c r="I461" s="12"/>
      <c r="M461" s="12"/>
      <c r="N461" s="18"/>
      <c r="O461" s="12"/>
      <c r="P461" s="12"/>
      <c r="Q461" s="12"/>
      <c r="R461" s="36"/>
      <c r="S461" s="36"/>
      <c r="T461" s="12"/>
      <c r="U461" s="12"/>
      <c r="V461" s="12"/>
      <c r="W461" s="12"/>
      <c r="X461" s="12"/>
    </row>
    <row r="462" customFormat="false" ht="15.75" hidden="false" customHeight="false" outlineLevel="0" collapsed="false">
      <c r="A462" s="12"/>
      <c r="B462" s="34"/>
      <c r="C462" s="12"/>
      <c r="D462" s="12"/>
      <c r="E462" s="12"/>
      <c r="F462" s="12"/>
      <c r="G462" s="18"/>
      <c r="H462" s="35"/>
      <c r="I462" s="12"/>
      <c r="M462" s="12"/>
      <c r="N462" s="18"/>
      <c r="O462" s="12"/>
      <c r="P462" s="12"/>
      <c r="Q462" s="12"/>
      <c r="R462" s="36"/>
      <c r="S462" s="36"/>
      <c r="T462" s="12"/>
      <c r="U462" s="12"/>
      <c r="V462" s="12"/>
      <c r="W462" s="12"/>
      <c r="X462" s="12"/>
    </row>
    <row r="463" customFormat="false" ht="15.75" hidden="false" customHeight="false" outlineLevel="0" collapsed="false">
      <c r="A463" s="12"/>
      <c r="B463" s="34"/>
      <c r="C463" s="12"/>
      <c r="D463" s="12"/>
      <c r="E463" s="12"/>
      <c r="F463" s="12"/>
      <c r="G463" s="18"/>
      <c r="H463" s="35"/>
      <c r="I463" s="12"/>
      <c r="M463" s="12"/>
      <c r="N463" s="18"/>
      <c r="O463" s="12"/>
      <c r="P463" s="12"/>
      <c r="Q463" s="12"/>
      <c r="R463" s="36"/>
      <c r="S463" s="36"/>
      <c r="T463" s="12"/>
      <c r="U463" s="12"/>
      <c r="V463" s="12"/>
      <c r="W463" s="12"/>
      <c r="X463" s="12"/>
    </row>
    <row r="464" customFormat="false" ht="15.75" hidden="false" customHeight="false" outlineLevel="0" collapsed="false">
      <c r="A464" s="12"/>
      <c r="B464" s="34"/>
      <c r="C464" s="12"/>
      <c r="D464" s="12"/>
      <c r="E464" s="12"/>
      <c r="F464" s="12"/>
      <c r="G464" s="18"/>
      <c r="H464" s="35"/>
      <c r="I464" s="12"/>
      <c r="M464" s="12"/>
      <c r="N464" s="18"/>
      <c r="O464" s="12"/>
      <c r="P464" s="12"/>
      <c r="Q464" s="12"/>
      <c r="R464" s="36"/>
      <c r="S464" s="36"/>
      <c r="T464" s="12"/>
      <c r="U464" s="12"/>
      <c r="V464" s="12"/>
      <c r="W464" s="12"/>
      <c r="X464" s="12"/>
    </row>
    <row r="465" customFormat="false" ht="15.75" hidden="false" customHeight="false" outlineLevel="0" collapsed="false">
      <c r="A465" s="12"/>
      <c r="B465" s="34"/>
      <c r="C465" s="12"/>
      <c r="D465" s="12"/>
      <c r="E465" s="12"/>
      <c r="F465" s="12"/>
      <c r="G465" s="18"/>
      <c r="H465" s="35"/>
      <c r="I465" s="12"/>
      <c r="M465" s="12"/>
      <c r="N465" s="18"/>
      <c r="O465" s="12"/>
      <c r="P465" s="12"/>
      <c r="Q465" s="12"/>
      <c r="R465" s="36"/>
      <c r="S465" s="36"/>
      <c r="T465" s="12"/>
      <c r="U465" s="12"/>
      <c r="V465" s="12"/>
      <c r="W465" s="12"/>
      <c r="X465" s="12"/>
    </row>
    <row r="466" customFormat="false" ht="15.75" hidden="false" customHeight="false" outlineLevel="0" collapsed="false">
      <c r="A466" s="12"/>
      <c r="B466" s="34"/>
      <c r="C466" s="12"/>
      <c r="D466" s="12"/>
      <c r="E466" s="12"/>
      <c r="F466" s="12"/>
      <c r="G466" s="18"/>
      <c r="H466" s="35"/>
      <c r="I466" s="12"/>
      <c r="M466" s="12"/>
      <c r="N466" s="18"/>
      <c r="O466" s="12"/>
      <c r="P466" s="12"/>
      <c r="Q466" s="12"/>
      <c r="R466" s="36"/>
      <c r="S466" s="36"/>
      <c r="T466" s="12"/>
      <c r="U466" s="12"/>
      <c r="V466" s="12"/>
      <c r="W466" s="12"/>
      <c r="X466" s="12"/>
    </row>
    <row r="467" customFormat="false" ht="15.75" hidden="false" customHeight="false" outlineLevel="0" collapsed="false">
      <c r="A467" s="12"/>
      <c r="B467" s="34"/>
      <c r="C467" s="12"/>
      <c r="D467" s="12"/>
      <c r="E467" s="12"/>
      <c r="F467" s="12"/>
      <c r="G467" s="18"/>
      <c r="H467" s="35"/>
      <c r="I467" s="12"/>
      <c r="M467" s="12"/>
      <c r="N467" s="18"/>
      <c r="O467" s="12"/>
      <c r="P467" s="12"/>
      <c r="Q467" s="12"/>
      <c r="R467" s="36"/>
      <c r="S467" s="36"/>
      <c r="T467" s="12"/>
      <c r="U467" s="12"/>
      <c r="V467" s="12"/>
      <c r="W467" s="12"/>
      <c r="X467" s="12"/>
    </row>
    <row r="468" customFormat="false" ht="15.75" hidden="false" customHeight="false" outlineLevel="0" collapsed="false">
      <c r="A468" s="12"/>
      <c r="B468" s="34"/>
      <c r="C468" s="12"/>
      <c r="D468" s="12"/>
      <c r="E468" s="12"/>
      <c r="F468" s="12"/>
      <c r="G468" s="18"/>
      <c r="H468" s="35"/>
      <c r="I468" s="12"/>
      <c r="M468" s="12"/>
      <c r="N468" s="18"/>
      <c r="O468" s="12"/>
      <c r="P468" s="12"/>
      <c r="Q468" s="12"/>
      <c r="R468" s="36"/>
      <c r="S468" s="36"/>
      <c r="T468" s="12"/>
      <c r="U468" s="12"/>
      <c r="V468" s="12"/>
      <c r="W468" s="12"/>
      <c r="X468" s="12"/>
    </row>
    <row r="469" customFormat="false" ht="15.75" hidden="false" customHeight="false" outlineLevel="0" collapsed="false">
      <c r="A469" s="12"/>
      <c r="B469" s="34"/>
      <c r="C469" s="12"/>
      <c r="D469" s="12"/>
      <c r="E469" s="12"/>
      <c r="F469" s="12"/>
      <c r="G469" s="18"/>
      <c r="H469" s="35"/>
      <c r="I469" s="12"/>
      <c r="M469" s="12"/>
      <c r="N469" s="18"/>
      <c r="O469" s="12"/>
      <c r="P469" s="12"/>
      <c r="Q469" s="12"/>
      <c r="R469" s="36"/>
      <c r="S469" s="36"/>
      <c r="T469" s="12"/>
      <c r="U469" s="12"/>
      <c r="V469" s="12"/>
      <c r="W469" s="12"/>
      <c r="X469" s="12"/>
    </row>
    <row r="470" customFormat="false" ht="15.75" hidden="false" customHeight="false" outlineLevel="0" collapsed="false">
      <c r="A470" s="12"/>
      <c r="B470" s="34"/>
      <c r="C470" s="12"/>
      <c r="D470" s="12"/>
      <c r="E470" s="12"/>
      <c r="F470" s="12"/>
      <c r="G470" s="18"/>
      <c r="H470" s="35"/>
      <c r="I470" s="12"/>
      <c r="M470" s="12"/>
      <c r="N470" s="18"/>
      <c r="O470" s="12"/>
      <c r="P470" s="12"/>
      <c r="Q470" s="12"/>
      <c r="R470" s="36"/>
      <c r="S470" s="36"/>
      <c r="T470" s="12"/>
      <c r="U470" s="12"/>
      <c r="V470" s="12"/>
      <c r="W470" s="12"/>
      <c r="X470" s="12"/>
    </row>
    <row r="471" customFormat="false" ht="15.75" hidden="false" customHeight="false" outlineLevel="0" collapsed="false">
      <c r="A471" s="12"/>
      <c r="B471" s="34"/>
      <c r="C471" s="12"/>
      <c r="D471" s="12"/>
      <c r="E471" s="12"/>
      <c r="F471" s="12"/>
      <c r="G471" s="18"/>
      <c r="H471" s="35"/>
      <c r="I471" s="12"/>
      <c r="M471" s="12"/>
      <c r="N471" s="18"/>
      <c r="O471" s="12"/>
      <c r="P471" s="12"/>
      <c r="Q471" s="12"/>
      <c r="R471" s="36"/>
      <c r="S471" s="36"/>
      <c r="T471" s="12"/>
      <c r="U471" s="12"/>
      <c r="V471" s="12"/>
      <c r="W471" s="12"/>
      <c r="X471" s="12"/>
    </row>
    <row r="472" customFormat="false" ht="15.75" hidden="false" customHeight="false" outlineLevel="0" collapsed="false">
      <c r="A472" s="12"/>
      <c r="B472" s="34"/>
      <c r="C472" s="12"/>
      <c r="D472" s="12"/>
      <c r="E472" s="12"/>
      <c r="F472" s="12"/>
      <c r="G472" s="18"/>
      <c r="H472" s="35"/>
      <c r="I472" s="12"/>
      <c r="M472" s="12"/>
      <c r="N472" s="18"/>
      <c r="O472" s="12"/>
      <c r="P472" s="12"/>
      <c r="Q472" s="12"/>
      <c r="R472" s="36"/>
      <c r="S472" s="36"/>
      <c r="T472" s="12"/>
      <c r="U472" s="12"/>
      <c r="V472" s="12"/>
      <c r="W472" s="12"/>
      <c r="X472" s="12"/>
    </row>
    <row r="473" customFormat="false" ht="15.75" hidden="false" customHeight="false" outlineLevel="0" collapsed="false">
      <c r="A473" s="12"/>
      <c r="B473" s="34"/>
      <c r="C473" s="12"/>
      <c r="D473" s="12"/>
      <c r="E473" s="12"/>
      <c r="F473" s="12"/>
      <c r="G473" s="18"/>
      <c r="H473" s="35"/>
      <c r="I473" s="12"/>
      <c r="M473" s="12"/>
      <c r="N473" s="18"/>
      <c r="O473" s="12"/>
      <c r="P473" s="12"/>
      <c r="Q473" s="12"/>
      <c r="R473" s="36"/>
      <c r="S473" s="36"/>
      <c r="T473" s="12"/>
      <c r="U473" s="12"/>
      <c r="V473" s="12"/>
      <c r="W473" s="12"/>
      <c r="X473" s="12"/>
    </row>
    <row r="474" customFormat="false" ht="15.75" hidden="false" customHeight="false" outlineLevel="0" collapsed="false">
      <c r="A474" s="12"/>
      <c r="B474" s="34"/>
      <c r="C474" s="12"/>
      <c r="D474" s="12"/>
      <c r="E474" s="12"/>
      <c r="F474" s="12"/>
      <c r="G474" s="18"/>
      <c r="H474" s="35"/>
      <c r="I474" s="12"/>
      <c r="M474" s="12"/>
      <c r="N474" s="18"/>
      <c r="O474" s="12"/>
      <c r="P474" s="12"/>
      <c r="Q474" s="12"/>
      <c r="R474" s="36"/>
      <c r="S474" s="36"/>
      <c r="T474" s="12"/>
      <c r="U474" s="12"/>
      <c r="V474" s="12"/>
      <c r="W474" s="12"/>
      <c r="X474" s="12"/>
    </row>
    <row r="475" customFormat="false" ht="15.75" hidden="false" customHeight="false" outlineLevel="0" collapsed="false">
      <c r="A475" s="12"/>
      <c r="B475" s="34"/>
      <c r="C475" s="12"/>
      <c r="D475" s="12"/>
      <c r="E475" s="12"/>
      <c r="F475" s="12"/>
      <c r="G475" s="18"/>
      <c r="H475" s="35"/>
      <c r="I475" s="12"/>
      <c r="M475" s="12"/>
      <c r="N475" s="18"/>
      <c r="O475" s="12"/>
      <c r="P475" s="12"/>
      <c r="Q475" s="12"/>
      <c r="R475" s="36"/>
      <c r="S475" s="36"/>
      <c r="T475" s="12"/>
      <c r="U475" s="12"/>
      <c r="V475" s="12"/>
      <c r="W475" s="12"/>
      <c r="X475" s="12"/>
    </row>
    <row r="476" customFormat="false" ht="15.75" hidden="false" customHeight="false" outlineLevel="0" collapsed="false">
      <c r="A476" s="12"/>
      <c r="B476" s="34"/>
      <c r="C476" s="12"/>
      <c r="D476" s="12"/>
      <c r="E476" s="12"/>
      <c r="F476" s="12"/>
      <c r="G476" s="18"/>
      <c r="H476" s="35"/>
      <c r="I476" s="12"/>
      <c r="M476" s="12"/>
      <c r="N476" s="18"/>
      <c r="O476" s="12"/>
      <c r="P476" s="12"/>
      <c r="Q476" s="12"/>
      <c r="R476" s="36"/>
      <c r="S476" s="36"/>
      <c r="T476" s="12"/>
      <c r="U476" s="12"/>
      <c r="V476" s="12"/>
      <c r="W476" s="12"/>
      <c r="X476" s="12"/>
    </row>
    <row r="477" customFormat="false" ht="15.75" hidden="false" customHeight="false" outlineLevel="0" collapsed="false">
      <c r="A477" s="12"/>
      <c r="B477" s="34"/>
      <c r="C477" s="12"/>
      <c r="D477" s="12"/>
      <c r="E477" s="12"/>
      <c r="F477" s="12"/>
      <c r="G477" s="18"/>
      <c r="H477" s="35"/>
      <c r="I477" s="12"/>
      <c r="M477" s="12"/>
      <c r="N477" s="18"/>
      <c r="O477" s="12"/>
      <c r="P477" s="12"/>
      <c r="Q477" s="12"/>
      <c r="R477" s="36"/>
      <c r="S477" s="36"/>
      <c r="T477" s="12"/>
      <c r="U477" s="12"/>
      <c r="V477" s="12"/>
      <c r="W477" s="12"/>
      <c r="X477" s="12"/>
    </row>
    <row r="478" customFormat="false" ht="15.75" hidden="false" customHeight="false" outlineLevel="0" collapsed="false">
      <c r="A478" s="12"/>
      <c r="B478" s="34"/>
      <c r="C478" s="12"/>
      <c r="D478" s="12"/>
      <c r="E478" s="12"/>
      <c r="F478" s="12"/>
      <c r="G478" s="18"/>
      <c r="H478" s="35"/>
      <c r="I478" s="12"/>
      <c r="M478" s="12"/>
      <c r="N478" s="18"/>
      <c r="O478" s="12"/>
      <c r="P478" s="12"/>
      <c r="Q478" s="12"/>
      <c r="R478" s="36"/>
      <c r="S478" s="36"/>
      <c r="T478" s="12"/>
      <c r="U478" s="12"/>
      <c r="V478" s="12"/>
      <c r="W478" s="12"/>
      <c r="X478" s="12"/>
    </row>
    <row r="479" customFormat="false" ht="15.75" hidden="false" customHeight="false" outlineLevel="0" collapsed="false">
      <c r="A479" s="12"/>
      <c r="B479" s="34"/>
      <c r="C479" s="12"/>
      <c r="D479" s="12"/>
      <c r="E479" s="12"/>
      <c r="F479" s="12"/>
      <c r="G479" s="18"/>
      <c r="H479" s="35"/>
      <c r="I479" s="12"/>
      <c r="M479" s="12"/>
      <c r="N479" s="18"/>
      <c r="O479" s="12"/>
      <c r="P479" s="12"/>
      <c r="Q479" s="12"/>
      <c r="R479" s="36"/>
      <c r="S479" s="36"/>
      <c r="T479" s="12"/>
      <c r="U479" s="12"/>
      <c r="V479" s="12"/>
      <c r="W479" s="12"/>
      <c r="X479" s="12"/>
    </row>
    <row r="480" customFormat="false" ht="15.75" hidden="false" customHeight="false" outlineLevel="0" collapsed="false">
      <c r="A480" s="12"/>
      <c r="B480" s="34"/>
      <c r="C480" s="12"/>
      <c r="D480" s="12"/>
      <c r="E480" s="12"/>
      <c r="F480" s="12"/>
      <c r="G480" s="18"/>
      <c r="H480" s="35"/>
      <c r="I480" s="12"/>
      <c r="M480" s="12"/>
      <c r="N480" s="18"/>
      <c r="O480" s="12"/>
      <c r="P480" s="12"/>
      <c r="Q480" s="12"/>
      <c r="R480" s="36"/>
      <c r="S480" s="36"/>
      <c r="T480" s="12"/>
      <c r="U480" s="12"/>
      <c r="V480" s="12"/>
      <c r="W480" s="12"/>
      <c r="X480" s="12"/>
    </row>
    <row r="481" customFormat="false" ht="15.75" hidden="false" customHeight="false" outlineLevel="0" collapsed="false">
      <c r="A481" s="12"/>
      <c r="B481" s="34"/>
      <c r="C481" s="12"/>
      <c r="D481" s="12"/>
      <c r="E481" s="12"/>
      <c r="F481" s="12"/>
      <c r="G481" s="18"/>
      <c r="H481" s="35"/>
      <c r="I481" s="12"/>
      <c r="M481" s="12"/>
      <c r="N481" s="18"/>
      <c r="O481" s="12"/>
      <c r="P481" s="12"/>
      <c r="Q481" s="12"/>
      <c r="R481" s="36"/>
      <c r="S481" s="36"/>
      <c r="T481" s="12"/>
      <c r="U481" s="12"/>
      <c r="V481" s="12"/>
      <c r="W481" s="12"/>
      <c r="X481" s="12"/>
    </row>
    <row r="482" customFormat="false" ht="15.75" hidden="false" customHeight="false" outlineLevel="0" collapsed="false">
      <c r="A482" s="12"/>
      <c r="B482" s="34"/>
      <c r="C482" s="12"/>
      <c r="D482" s="12"/>
      <c r="E482" s="12"/>
      <c r="F482" s="12"/>
      <c r="G482" s="18"/>
      <c r="H482" s="35"/>
      <c r="I482" s="12"/>
      <c r="M482" s="12"/>
      <c r="N482" s="18"/>
      <c r="O482" s="12"/>
      <c r="P482" s="12"/>
      <c r="Q482" s="12"/>
      <c r="R482" s="36"/>
      <c r="S482" s="36"/>
      <c r="T482" s="12"/>
      <c r="U482" s="12"/>
      <c r="V482" s="12"/>
      <c r="W482" s="12"/>
      <c r="X482" s="12"/>
    </row>
    <row r="483" customFormat="false" ht="15.75" hidden="false" customHeight="false" outlineLevel="0" collapsed="false">
      <c r="A483" s="12"/>
      <c r="B483" s="34"/>
      <c r="C483" s="12"/>
      <c r="D483" s="12"/>
      <c r="E483" s="12"/>
      <c r="F483" s="12"/>
      <c r="G483" s="18"/>
      <c r="H483" s="35"/>
      <c r="I483" s="12"/>
      <c r="M483" s="12"/>
      <c r="N483" s="18"/>
      <c r="O483" s="12"/>
      <c r="P483" s="12"/>
      <c r="Q483" s="12"/>
      <c r="R483" s="36"/>
      <c r="S483" s="36"/>
      <c r="T483" s="12"/>
      <c r="U483" s="12"/>
      <c r="V483" s="12"/>
      <c r="W483" s="12"/>
      <c r="X483" s="12"/>
    </row>
    <row r="484" customFormat="false" ht="15.75" hidden="false" customHeight="false" outlineLevel="0" collapsed="false">
      <c r="A484" s="12"/>
      <c r="B484" s="34"/>
      <c r="C484" s="12"/>
      <c r="D484" s="12"/>
      <c r="E484" s="12"/>
      <c r="F484" s="12"/>
      <c r="G484" s="18"/>
      <c r="H484" s="35"/>
      <c r="I484" s="12"/>
      <c r="M484" s="12"/>
      <c r="N484" s="18"/>
      <c r="O484" s="12"/>
      <c r="P484" s="12"/>
      <c r="Q484" s="12"/>
      <c r="R484" s="36"/>
      <c r="S484" s="36"/>
      <c r="T484" s="12"/>
      <c r="U484" s="12"/>
      <c r="V484" s="12"/>
      <c r="W484" s="12"/>
      <c r="X484" s="12"/>
    </row>
    <row r="485" customFormat="false" ht="15.75" hidden="false" customHeight="false" outlineLevel="0" collapsed="false">
      <c r="A485" s="12"/>
      <c r="B485" s="34"/>
      <c r="C485" s="12"/>
      <c r="D485" s="12"/>
      <c r="E485" s="12"/>
      <c r="F485" s="12"/>
      <c r="G485" s="18"/>
      <c r="H485" s="35"/>
      <c r="I485" s="12"/>
      <c r="M485" s="12"/>
      <c r="N485" s="18"/>
      <c r="O485" s="12"/>
      <c r="P485" s="12"/>
      <c r="Q485" s="12"/>
      <c r="R485" s="36"/>
      <c r="S485" s="36"/>
      <c r="T485" s="12"/>
      <c r="U485" s="12"/>
      <c r="V485" s="12"/>
      <c r="W485" s="12"/>
      <c r="X485" s="12"/>
    </row>
    <row r="486" customFormat="false" ht="15.75" hidden="false" customHeight="false" outlineLevel="0" collapsed="false">
      <c r="A486" s="12"/>
      <c r="B486" s="34"/>
      <c r="C486" s="12"/>
      <c r="D486" s="12"/>
      <c r="E486" s="12"/>
      <c r="F486" s="12"/>
      <c r="G486" s="18"/>
      <c r="H486" s="35"/>
      <c r="I486" s="12"/>
      <c r="M486" s="12"/>
      <c r="N486" s="18"/>
      <c r="O486" s="12"/>
      <c r="P486" s="12"/>
      <c r="Q486" s="12"/>
      <c r="R486" s="36"/>
      <c r="S486" s="36"/>
      <c r="T486" s="12"/>
      <c r="U486" s="12"/>
      <c r="V486" s="12"/>
      <c r="W486" s="12"/>
      <c r="X486" s="12"/>
    </row>
    <row r="487" customFormat="false" ht="15.75" hidden="false" customHeight="false" outlineLevel="0" collapsed="false">
      <c r="A487" s="12"/>
      <c r="B487" s="34"/>
      <c r="C487" s="12"/>
      <c r="D487" s="12"/>
      <c r="E487" s="12"/>
      <c r="F487" s="12"/>
      <c r="G487" s="18"/>
      <c r="H487" s="35"/>
      <c r="I487" s="12"/>
      <c r="M487" s="12"/>
      <c r="N487" s="18"/>
      <c r="O487" s="12"/>
      <c r="P487" s="12"/>
      <c r="Q487" s="12"/>
      <c r="R487" s="36"/>
      <c r="S487" s="36"/>
      <c r="T487" s="12"/>
      <c r="U487" s="12"/>
      <c r="V487" s="12"/>
      <c r="W487" s="12"/>
      <c r="X487" s="12"/>
    </row>
    <row r="488" customFormat="false" ht="15.75" hidden="false" customHeight="false" outlineLevel="0" collapsed="false">
      <c r="A488" s="12"/>
      <c r="B488" s="34"/>
      <c r="C488" s="12"/>
      <c r="D488" s="12"/>
      <c r="E488" s="12"/>
      <c r="F488" s="12"/>
      <c r="G488" s="18"/>
      <c r="H488" s="35"/>
      <c r="I488" s="12"/>
      <c r="M488" s="12"/>
      <c r="N488" s="18"/>
      <c r="O488" s="12"/>
      <c r="P488" s="12"/>
      <c r="Q488" s="12"/>
      <c r="R488" s="36"/>
      <c r="S488" s="36"/>
      <c r="T488" s="12"/>
      <c r="U488" s="12"/>
      <c r="V488" s="12"/>
      <c r="W488" s="12"/>
      <c r="X488" s="12"/>
    </row>
    <row r="489" customFormat="false" ht="15.75" hidden="false" customHeight="false" outlineLevel="0" collapsed="false">
      <c r="A489" s="12"/>
      <c r="B489" s="34"/>
      <c r="C489" s="12"/>
      <c r="D489" s="12"/>
      <c r="E489" s="12"/>
      <c r="F489" s="12"/>
      <c r="G489" s="18"/>
      <c r="H489" s="35"/>
      <c r="I489" s="12"/>
      <c r="M489" s="12"/>
      <c r="N489" s="18"/>
      <c r="O489" s="12"/>
      <c r="P489" s="12"/>
      <c r="Q489" s="12"/>
      <c r="R489" s="36"/>
      <c r="S489" s="36"/>
      <c r="T489" s="12"/>
      <c r="U489" s="12"/>
      <c r="V489" s="12"/>
      <c r="W489" s="12"/>
      <c r="X489" s="12"/>
    </row>
    <row r="490" customFormat="false" ht="15.75" hidden="false" customHeight="false" outlineLevel="0" collapsed="false">
      <c r="A490" s="12"/>
      <c r="B490" s="34"/>
      <c r="C490" s="12"/>
      <c r="D490" s="12"/>
      <c r="E490" s="12"/>
      <c r="F490" s="12"/>
      <c r="G490" s="18"/>
      <c r="H490" s="35"/>
      <c r="I490" s="12"/>
      <c r="M490" s="12"/>
      <c r="N490" s="18"/>
      <c r="O490" s="12"/>
      <c r="P490" s="12"/>
      <c r="Q490" s="12"/>
      <c r="R490" s="36"/>
      <c r="S490" s="36"/>
      <c r="T490" s="12"/>
      <c r="U490" s="12"/>
      <c r="V490" s="12"/>
      <c r="W490" s="12"/>
      <c r="X490" s="12"/>
    </row>
    <row r="491" customFormat="false" ht="15.75" hidden="false" customHeight="false" outlineLevel="0" collapsed="false">
      <c r="A491" s="12"/>
      <c r="B491" s="34"/>
      <c r="C491" s="12"/>
      <c r="D491" s="12"/>
      <c r="E491" s="12"/>
      <c r="F491" s="12"/>
      <c r="G491" s="18"/>
      <c r="H491" s="35"/>
      <c r="I491" s="12"/>
      <c r="M491" s="12"/>
      <c r="N491" s="18"/>
      <c r="O491" s="12"/>
      <c r="P491" s="12"/>
      <c r="Q491" s="12"/>
      <c r="R491" s="36"/>
      <c r="S491" s="36"/>
      <c r="T491" s="12"/>
      <c r="U491" s="12"/>
      <c r="V491" s="12"/>
      <c r="W491" s="12"/>
      <c r="X491" s="12"/>
    </row>
    <row r="492" customFormat="false" ht="15.75" hidden="false" customHeight="false" outlineLevel="0" collapsed="false">
      <c r="A492" s="12"/>
      <c r="B492" s="34"/>
      <c r="C492" s="12"/>
      <c r="D492" s="12"/>
      <c r="E492" s="12"/>
      <c r="F492" s="12"/>
      <c r="G492" s="18"/>
      <c r="H492" s="35"/>
      <c r="I492" s="12"/>
      <c r="M492" s="12"/>
      <c r="N492" s="18"/>
      <c r="O492" s="12"/>
      <c r="P492" s="12"/>
      <c r="Q492" s="12"/>
      <c r="R492" s="36"/>
      <c r="S492" s="36"/>
      <c r="T492" s="12"/>
      <c r="U492" s="12"/>
      <c r="V492" s="12"/>
      <c r="W492" s="12"/>
      <c r="X492" s="12"/>
    </row>
    <row r="493" customFormat="false" ht="15.75" hidden="false" customHeight="false" outlineLevel="0" collapsed="false">
      <c r="A493" s="12"/>
      <c r="B493" s="34"/>
      <c r="C493" s="12"/>
      <c r="D493" s="12"/>
      <c r="E493" s="12"/>
      <c r="F493" s="12"/>
      <c r="G493" s="18"/>
      <c r="H493" s="35"/>
      <c r="I493" s="12"/>
      <c r="M493" s="12"/>
      <c r="N493" s="18"/>
      <c r="O493" s="12"/>
      <c r="P493" s="12"/>
      <c r="Q493" s="12"/>
      <c r="R493" s="36"/>
      <c r="S493" s="36"/>
      <c r="T493" s="12"/>
      <c r="U493" s="12"/>
      <c r="V493" s="12"/>
      <c r="W493" s="12"/>
      <c r="X493" s="12"/>
    </row>
    <row r="494" customFormat="false" ht="15.75" hidden="false" customHeight="false" outlineLevel="0" collapsed="false">
      <c r="A494" s="12"/>
      <c r="B494" s="34"/>
      <c r="C494" s="12"/>
      <c r="D494" s="12"/>
      <c r="E494" s="12"/>
      <c r="F494" s="12"/>
      <c r="G494" s="18"/>
      <c r="H494" s="35"/>
      <c r="I494" s="12"/>
      <c r="M494" s="12"/>
      <c r="N494" s="18"/>
      <c r="O494" s="12"/>
      <c r="P494" s="12"/>
      <c r="Q494" s="12"/>
      <c r="R494" s="36"/>
      <c r="S494" s="36"/>
      <c r="T494" s="12"/>
      <c r="U494" s="12"/>
      <c r="V494" s="12"/>
      <c r="W494" s="12"/>
      <c r="X494" s="12"/>
    </row>
    <row r="495" customFormat="false" ht="15.75" hidden="false" customHeight="false" outlineLevel="0" collapsed="false">
      <c r="A495" s="12"/>
      <c r="B495" s="34"/>
      <c r="C495" s="12"/>
      <c r="D495" s="12"/>
      <c r="E495" s="12"/>
      <c r="F495" s="12"/>
      <c r="G495" s="18"/>
      <c r="H495" s="35"/>
      <c r="I495" s="12"/>
      <c r="M495" s="12"/>
      <c r="N495" s="18"/>
      <c r="O495" s="12"/>
      <c r="P495" s="12"/>
      <c r="Q495" s="12"/>
      <c r="R495" s="36"/>
      <c r="S495" s="36"/>
      <c r="T495" s="12"/>
      <c r="U495" s="12"/>
      <c r="V495" s="12"/>
      <c r="W495" s="12"/>
      <c r="X495" s="12"/>
    </row>
    <row r="496" customFormat="false" ht="15.75" hidden="false" customHeight="false" outlineLevel="0" collapsed="false">
      <c r="A496" s="12"/>
      <c r="B496" s="34"/>
      <c r="C496" s="12"/>
      <c r="D496" s="12"/>
      <c r="E496" s="12"/>
      <c r="F496" s="12"/>
      <c r="G496" s="18"/>
      <c r="H496" s="35"/>
      <c r="I496" s="12"/>
      <c r="M496" s="12"/>
      <c r="N496" s="18"/>
      <c r="O496" s="12"/>
      <c r="P496" s="12"/>
      <c r="Q496" s="12"/>
      <c r="R496" s="36"/>
      <c r="S496" s="36"/>
      <c r="T496" s="12"/>
      <c r="U496" s="12"/>
      <c r="V496" s="12"/>
      <c r="W496" s="12"/>
      <c r="X496" s="12"/>
    </row>
    <row r="497" customFormat="false" ht="15.75" hidden="false" customHeight="false" outlineLevel="0" collapsed="false">
      <c r="A497" s="12"/>
      <c r="B497" s="34"/>
      <c r="C497" s="12"/>
      <c r="D497" s="12"/>
      <c r="E497" s="12"/>
      <c r="F497" s="12"/>
      <c r="G497" s="18"/>
      <c r="H497" s="35"/>
      <c r="I497" s="12"/>
      <c r="M497" s="12"/>
      <c r="N497" s="18"/>
      <c r="O497" s="12"/>
      <c r="P497" s="12"/>
      <c r="Q497" s="12"/>
      <c r="R497" s="36"/>
      <c r="S497" s="36"/>
      <c r="T497" s="12"/>
      <c r="U497" s="12"/>
      <c r="V497" s="12"/>
      <c r="W497" s="12"/>
      <c r="X497" s="12"/>
    </row>
    <row r="498" customFormat="false" ht="15.75" hidden="false" customHeight="false" outlineLevel="0" collapsed="false">
      <c r="A498" s="12"/>
      <c r="B498" s="34"/>
      <c r="C498" s="12"/>
      <c r="D498" s="12"/>
      <c r="E498" s="12"/>
      <c r="F498" s="12"/>
      <c r="G498" s="18"/>
      <c r="H498" s="35"/>
      <c r="I498" s="12"/>
      <c r="M498" s="12"/>
      <c r="N498" s="18"/>
      <c r="O498" s="12"/>
      <c r="P498" s="12"/>
      <c r="Q498" s="12"/>
      <c r="R498" s="36"/>
      <c r="S498" s="36"/>
      <c r="T498" s="12"/>
      <c r="U498" s="12"/>
      <c r="V498" s="12"/>
      <c r="W498" s="12"/>
      <c r="X498" s="12"/>
    </row>
    <row r="499" customFormat="false" ht="15.75" hidden="false" customHeight="false" outlineLevel="0" collapsed="false">
      <c r="A499" s="12"/>
      <c r="B499" s="34"/>
      <c r="C499" s="12"/>
      <c r="D499" s="12"/>
      <c r="E499" s="12"/>
      <c r="F499" s="12"/>
      <c r="G499" s="18"/>
      <c r="H499" s="35"/>
      <c r="I499" s="12"/>
      <c r="M499" s="12"/>
      <c r="N499" s="18"/>
      <c r="O499" s="12"/>
      <c r="P499" s="12"/>
      <c r="Q499" s="12"/>
      <c r="R499" s="36"/>
      <c r="S499" s="36"/>
      <c r="T499" s="12"/>
      <c r="U499" s="12"/>
      <c r="V499" s="12"/>
      <c r="W499" s="12"/>
      <c r="X499" s="12"/>
    </row>
    <row r="500" customFormat="false" ht="15.75" hidden="false" customHeight="false" outlineLevel="0" collapsed="false">
      <c r="A500" s="12"/>
      <c r="B500" s="34"/>
      <c r="C500" s="12"/>
      <c r="D500" s="12"/>
      <c r="E500" s="12"/>
      <c r="F500" s="12"/>
      <c r="G500" s="18"/>
      <c r="H500" s="35"/>
      <c r="I500" s="12"/>
      <c r="M500" s="12"/>
      <c r="N500" s="18"/>
      <c r="O500" s="12"/>
      <c r="P500" s="12"/>
      <c r="Q500" s="12"/>
      <c r="R500" s="36"/>
      <c r="S500" s="36"/>
      <c r="T500" s="12"/>
      <c r="U500" s="12"/>
      <c r="V500" s="12"/>
      <c r="W500" s="12"/>
      <c r="X500" s="12"/>
    </row>
    <row r="501" customFormat="false" ht="15.75" hidden="false" customHeight="false" outlineLevel="0" collapsed="false">
      <c r="A501" s="12"/>
      <c r="B501" s="34"/>
      <c r="C501" s="12"/>
      <c r="D501" s="12"/>
      <c r="E501" s="12"/>
      <c r="F501" s="12"/>
      <c r="G501" s="18"/>
      <c r="H501" s="35"/>
      <c r="I501" s="12"/>
      <c r="M501" s="12"/>
      <c r="N501" s="18"/>
      <c r="O501" s="12"/>
      <c r="P501" s="12"/>
      <c r="Q501" s="12"/>
      <c r="R501" s="36"/>
      <c r="S501" s="36"/>
      <c r="T501" s="12"/>
      <c r="U501" s="12"/>
      <c r="V501" s="12"/>
      <c r="W501" s="12"/>
      <c r="X501" s="12"/>
    </row>
    <row r="502" customFormat="false" ht="15.75" hidden="false" customHeight="false" outlineLevel="0" collapsed="false">
      <c r="A502" s="12"/>
      <c r="B502" s="34"/>
      <c r="C502" s="12"/>
      <c r="D502" s="12"/>
      <c r="E502" s="12"/>
      <c r="F502" s="12"/>
      <c r="G502" s="18"/>
      <c r="H502" s="35"/>
      <c r="I502" s="12"/>
      <c r="M502" s="12"/>
      <c r="N502" s="18"/>
      <c r="O502" s="12"/>
      <c r="P502" s="12"/>
      <c r="Q502" s="12"/>
      <c r="R502" s="36"/>
      <c r="S502" s="36"/>
      <c r="T502" s="12"/>
      <c r="U502" s="12"/>
      <c r="V502" s="12"/>
      <c r="W502" s="12"/>
      <c r="X502" s="12"/>
    </row>
    <row r="503" customFormat="false" ht="15.75" hidden="false" customHeight="false" outlineLevel="0" collapsed="false">
      <c r="A503" s="12"/>
      <c r="B503" s="34"/>
      <c r="C503" s="12"/>
      <c r="D503" s="12"/>
      <c r="E503" s="12"/>
      <c r="F503" s="12"/>
      <c r="G503" s="18"/>
      <c r="H503" s="35"/>
      <c r="I503" s="12"/>
      <c r="M503" s="12"/>
      <c r="N503" s="18"/>
      <c r="O503" s="12"/>
      <c r="P503" s="12"/>
      <c r="Q503" s="12"/>
      <c r="R503" s="36"/>
      <c r="S503" s="36"/>
      <c r="T503" s="12"/>
      <c r="U503" s="12"/>
      <c r="V503" s="12"/>
      <c r="W503" s="12"/>
      <c r="X503" s="12"/>
    </row>
    <row r="504" customFormat="false" ht="15.75" hidden="false" customHeight="false" outlineLevel="0" collapsed="false">
      <c r="A504" s="12"/>
      <c r="B504" s="34"/>
      <c r="C504" s="12"/>
      <c r="D504" s="12"/>
      <c r="E504" s="12"/>
      <c r="F504" s="12"/>
      <c r="G504" s="18"/>
      <c r="H504" s="35"/>
      <c r="I504" s="12"/>
      <c r="M504" s="12"/>
      <c r="N504" s="18"/>
      <c r="O504" s="12"/>
      <c r="P504" s="12"/>
      <c r="Q504" s="12"/>
      <c r="R504" s="36"/>
      <c r="S504" s="36"/>
      <c r="T504" s="12"/>
      <c r="U504" s="12"/>
      <c r="V504" s="12"/>
      <c r="W504" s="12"/>
      <c r="X504" s="12"/>
    </row>
    <row r="505" customFormat="false" ht="15.75" hidden="false" customHeight="false" outlineLevel="0" collapsed="false">
      <c r="A505" s="12"/>
      <c r="B505" s="34"/>
      <c r="C505" s="12"/>
      <c r="D505" s="12"/>
      <c r="E505" s="12"/>
      <c r="F505" s="12"/>
      <c r="G505" s="18"/>
      <c r="H505" s="35"/>
      <c r="I505" s="12"/>
      <c r="M505" s="12"/>
      <c r="N505" s="18"/>
      <c r="O505" s="12"/>
      <c r="P505" s="12"/>
      <c r="Q505" s="12"/>
      <c r="R505" s="36"/>
      <c r="S505" s="36"/>
      <c r="T505" s="12"/>
      <c r="U505" s="12"/>
      <c r="V505" s="12"/>
      <c r="W505" s="12"/>
      <c r="X505" s="12"/>
    </row>
    <row r="506" customFormat="false" ht="15.75" hidden="false" customHeight="false" outlineLevel="0" collapsed="false">
      <c r="A506" s="12"/>
      <c r="B506" s="34"/>
      <c r="C506" s="12"/>
      <c r="D506" s="12"/>
      <c r="E506" s="12"/>
      <c r="F506" s="12"/>
      <c r="G506" s="18"/>
      <c r="H506" s="35"/>
      <c r="I506" s="12"/>
      <c r="M506" s="12"/>
      <c r="N506" s="18"/>
      <c r="O506" s="12"/>
      <c r="P506" s="12"/>
      <c r="Q506" s="12"/>
      <c r="R506" s="36"/>
      <c r="S506" s="36"/>
      <c r="T506" s="12"/>
      <c r="U506" s="12"/>
      <c r="V506" s="12"/>
      <c r="W506" s="12"/>
      <c r="X506" s="12"/>
    </row>
    <row r="507" customFormat="false" ht="15.75" hidden="false" customHeight="false" outlineLevel="0" collapsed="false">
      <c r="A507" s="12"/>
      <c r="B507" s="34"/>
      <c r="C507" s="12"/>
      <c r="D507" s="12"/>
      <c r="E507" s="12"/>
      <c r="F507" s="12"/>
      <c r="G507" s="18"/>
      <c r="H507" s="35"/>
      <c r="I507" s="12"/>
      <c r="M507" s="12"/>
      <c r="N507" s="18"/>
      <c r="O507" s="12"/>
      <c r="P507" s="12"/>
      <c r="Q507" s="12"/>
      <c r="R507" s="36"/>
      <c r="S507" s="36"/>
      <c r="T507" s="12"/>
      <c r="U507" s="12"/>
      <c r="V507" s="12"/>
      <c r="W507" s="12"/>
      <c r="X507" s="12"/>
    </row>
    <row r="508" customFormat="false" ht="15.75" hidden="false" customHeight="false" outlineLevel="0" collapsed="false">
      <c r="A508" s="12"/>
      <c r="B508" s="34"/>
      <c r="C508" s="12"/>
      <c r="D508" s="12"/>
      <c r="E508" s="12"/>
      <c r="F508" s="12"/>
      <c r="G508" s="18"/>
      <c r="H508" s="35"/>
      <c r="I508" s="12"/>
      <c r="M508" s="12"/>
      <c r="N508" s="18"/>
      <c r="O508" s="12"/>
      <c r="P508" s="12"/>
      <c r="Q508" s="12"/>
      <c r="R508" s="36"/>
      <c r="S508" s="36"/>
      <c r="T508" s="12"/>
      <c r="U508" s="12"/>
      <c r="V508" s="12"/>
      <c r="W508" s="12"/>
      <c r="X508" s="12"/>
    </row>
    <row r="509" customFormat="false" ht="15.75" hidden="false" customHeight="false" outlineLevel="0" collapsed="false">
      <c r="A509" s="12"/>
      <c r="B509" s="34"/>
      <c r="C509" s="12"/>
      <c r="D509" s="12"/>
      <c r="E509" s="12"/>
      <c r="F509" s="12"/>
      <c r="G509" s="18"/>
      <c r="H509" s="35"/>
      <c r="I509" s="12"/>
      <c r="M509" s="12"/>
      <c r="N509" s="18"/>
      <c r="O509" s="12"/>
      <c r="P509" s="12"/>
      <c r="Q509" s="12"/>
      <c r="R509" s="36"/>
      <c r="S509" s="36"/>
      <c r="T509" s="12"/>
      <c r="U509" s="12"/>
      <c r="V509" s="12"/>
      <c r="W509" s="12"/>
      <c r="X509" s="12"/>
    </row>
    <row r="510" customFormat="false" ht="15.75" hidden="false" customHeight="false" outlineLevel="0" collapsed="false">
      <c r="A510" s="12"/>
      <c r="B510" s="34"/>
      <c r="C510" s="12"/>
      <c r="D510" s="12"/>
      <c r="E510" s="12"/>
      <c r="F510" s="12"/>
      <c r="G510" s="18"/>
      <c r="H510" s="35"/>
      <c r="I510" s="12"/>
      <c r="M510" s="12"/>
      <c r="N510" s="18"/>
      <c r="O510" s="12"/>
      <c r="P510" s="12"/>
      <c r="Q510" s="12"/>
      <c r="R510" s="36"/>
      <c r="S510" s="36"/>
      <c r="T510" s="12"/>
      <c r="U510" s="12"/>
      <c r="V510" s="12"/>
      <c r="W510" s="12"/>
      <c r="X510" s="12"/>
    </row>
    <row r="511" customFormat="false" ht="15.75" hidden="false" customHeight="false" outlineLevel="0" collapsed="false">
      <c r="A511" s="12"/>
      <c r="B511" s="34"/>
      <c r="C511" s="12"/>
      <c r="D511" s="12"/>
      <c r="E511" s="12"/>
      <c r="F511" s="12"/>
      <c r="G511" s="18"/>
      <c r="H511" s="35"/>
      <c r="I511" s="12"/>
      <c r="M511" s="12"/>
      <c r="N511" s="18"/>
      <c r="O511" s="12"/>
      <c r="P511" s="12"/>
      <c r="Q511" s="12"/>
      <c r="R511" s="36"/>
      <c r="S511" s="36"/>
      <c r="T511" s="12"/>
      <c r="U511" s="12"/>
      <c r="V511" s="12"/>
      <c r="W511" s="12"/>
      <c r="X511" s="12"/>
    </row>
    <row r="512" customFormat="false" ht="15.75" hidden="false" customHeight="false" outlineLevel="0" collapsed="false">
      <c r="A512" s="12"/>
      <c r="B512" s="34"/>
      <c r="C512" s="12"/>
      <c r="D512" s="12"/>
      <c r="E512" s="12"/>
      <c r="F512" s="12"/>
      <c r="G512" s="18"/>
      <c r="H512" s="35"/>
      <c r="I512" s="12"/>
      <c r="M512" s="12"/>
      <c r="N512" s="18"/>
      <c r="O512" s="12"/>
      <c r="P512" s="12"/>
      <c r="Q512" s="12"/>
      <c r="R512" s="36"/>
      <c r="S512" s="36"/>
      <c r="T512" s="12"/>
      <c r="U512" s="12"/>
      <c r="V512" s="12"/>
      <c r="W512" s="12"/>
      <c r="X512" s="12"/>
    </row>
    <row r="513" customFormat="false" ht="15.75" hidden="false" customHeight="false" outlineLevel="0" collapsed="false">
      <c r="A513" s="12"/>
      <c r="B513" s="34"/>
      <c r="C513" s="12"/>
      <c r="D513" s="12"/>
      <c r="E513" s="12"/>
      <c r="F513" s="12"/>
      <c r="G513" s="18"/>
      <c r="H513" s="35"/>
      <c r="I513" s="12"/>
      <c r="M513" s="12"/>
      <c r="N513" s="18"/>
      <c r="O513" s="12"/>
      <c r="P513" s="12"/>
      <c r="Q513" s="12"/>
      <c r="R513" s="36"/>
      <c r="S513" s="36"/>
      <c r="T513" s="12"/>
      <c r="U513" s="12"/>
      <c r="V513" s="12"/>
      <c r="W513" s="12"/>
      <c r="X513" s="12"/>
    </row>
    <row r="514" customFormat="false" ht="15.75" hidden="false" customHeight="false" outlineLevel="0" collapsed="false">
      <c r="A514" s="12"/>
      <c r="B514" s="34"/>
      <c r="C514" s="12"/>
      <c r="D514" s="12"/>
      <c r="E514" s="12"/>
      <c r="F514" s="12"/>
      <c r="G514" s="18"/>
      <c r="H514" s="35"/>
      <c r="I514" s="12"/>
      <c r="M514" s="12"/>
      <c r="N514" s="18"/>
      <c r="O514" s="12"/>
      <c r="P514" s="12"/>
      <c r="Q514" s="12"/>
      <c r="R514" s="36"/>
      <c r="S514" s="36"/>
      <c r="T514" s="12"/>
      <c r="U514" s="12"/>
      <c r="V514" s="12"/>
      <c r="W514" s="12"/>
      <c r="X514" s="12"/>
    </row>
    <row r="515" customFormat="false" ht="15.75" hidden="false" customHeight="false" outlineLevel="0" collapsed="false">
      <c r="A515" s="12"/>
      <c r="B515" s="34"/>
      <c r="C515" s="12"/>
      <c r="D515" s="12"/>
      <c r="E515" s="12"/>
      <c r="F515" s="12"/>
      <c r="G515" s="18"/>
      <c r="H515" s="35"/>
      <c r="I515" s="12"/>
      <c r="M515" s="12"/>
      <c r="N515" s="18"/>
      <c r="O515" s="12"/>
      <c r="P515" s="12"/>
      <c r="Q515" s="12"/>
      <c r="R515" s="36"/>
      <c r="S515" s="36"/>
      <c r="T515" s="12"/>
      <c r="U515" s="12"/>
      <c r="V515" s="12"/>
      <c r="W515" s="12"/>
      <c r="X515" s="12"/>
    </row>
    <row r="516" customFormat="false" ht="15.75" hidden="false" customHeight="false" outlineLevel="0" collapsed="false">
      <c r="A516" s="12"/>
      <c r="B516" s="34"/>
      <c r="C516" s="12"/>
      <c r="D516" s="12"/>
      <c r="E516" s="12"/>
      <c r="F516" s="12"/>
      <c r="G516" s="18"/>
      <c r="H516" s="35"/>
      <c r="I516" s="12"/>
      <c r="M516" s="12"/>
      <c r="N516" s="18"/>
      <c r="O516" s="12"/>
      <c r="P516" s="12"/>
      <c r="Q516" s="12"/>
      <c r="R516" s="36"/>
      <c r="S516" s="36"/>
      <c r="T516" s="12"/>
      <c r="U516" s="12"/>
      <c r="V516" s="12"/>
      <c r="W516" s="12"/>
      <c r="X516" s="12"/>
    </row>
    <row r="517" customFormat="false" ht="15.75" hidden="false" customHeight="false" outlineLevel="0" collapsed="false">
      <c r="A517" s="12"/>
      <c r="B517" s="34"/>
      <c r="C517" s="12"/>
      <c r="D517" s="12"/>
      <c r="E517" s="12"/>
      <c r="F517" s="12"/>
      <c r="G517" s="18"/>
      <c r="H517" s="35"/>
      <c r="I517" s="12"/>
      <c r="M517" s="12"/>
      <c r="N517" s="18"/>
      <c r="O517" s="12"/>
      <c r="P517" s="12"/>
      <c r="Q517" s="12"/>
      <c r="R517" s="36"/>
      <c r="S517" s="36"/>
      <c r="T517" s="12"/>
      <c r="U517" s="12"/>
      <c r="V517" s="12"/>
      <c r="W517" s="12"/>
      <c r="X517" s="12"/>
    </row>
    <row r="518" customFormat="false" ht="15.75" hidden="false" customHeight="false" outlineLevel="0" collapsed="false">
      <c r="A518" s="12"/>
      <c r="B518" s="34"/>
      <c r="C518" s="12"/>
      <c r="D518" s="12"/>
      <c r="E518" s="12"/>
      <c r="F518" s="12"/>
      <c r="G518" s="18"/>
      <c r="H518" s="35"/>
      <c r="I518" s="12"/>
      <c r="M518" s="12"/>
      <c r="N518" s="18"/>
      <c r="O518" s="12"/>
      <c r="P518" s="12"/>
      <c r="Q518" s="12"/>
      <c r="R518" s="36"/>
      <c r="S518" s="36"/>
      <c r="T518" s="12"/>
      <c r="U518" s="12"/>
      <c r="V518" s="12"/>
      <c r="W518" s="12"/>
      <c r="X518" s="12"/>
    </row>
    <row r="519" customFormat="false" ht="15.75" hidden="false" customHeight="false" outlineLevel="0" collapsed="false">
      <c r="A519" s="12"/>
      <c r="B519" s="34"/>
      <c r="C519" s="12"/>
      <c r="D519" s="12"/>
      <c r="E519" s="12"/>
      <c r="F519" s="12"/>
      <c r="G519" s="18"/>
      <c r="H519" s="35"/>
      <c r="I519" s="12"/>
      <c r="M519" s="12"/>
      <c r="N519" s="18"/>
      <c r="O519" s="12"/>
      <c r="P519" s="12"/>
      <c r="Q519" s="12"/>
      <c r="R519" s="36"/>
      <c r="S519" s="36"/>
      <c r="T519" s="12"/>
      <c r="U519" s="12"/>
      <c r="V519" s="12"/>
      <c r="W519" s="12"/>
      <c r="X519" s="12"/>
    </row>
    <row r="520" customFormat="false" ht="15.75" hidden="false" customHeight="false" outlineLevel="0" collapsed="false">
      <c r="A520" s="12"/>
      <c r="B520" s="34"/>
      <c r="C520" s="12"/>
      <c r="D520" s="12"/>
      <c r="E520" s="12"/>
      <c r="F520" s="12"/>
      <c r="G520" s="18"/>
      <c r="H520" s="35"/>
      <c r="I520" s="12"/>
      <c r="M520" s="12"/>
      <c r="N520" s="18"/>
      <c r="O520" s="12"/>
      <c r="P520" s="12"/>
      <c r="Q520" s="12"/>
      <c r="R520" s="36"/>
      <c r="S520" s="36"/>
      <c r="T520" s="12"/>
      <c r="U520" s="12"/>
      <c r="V520" s="12"/>
      <c r="W520" s="12"/>
      <c r="X520" s="12"/>
    </row>
    <row r="521" customFormat="false" ht="15.75" hidden="false" customHeight="false" outlineLevel="0" collapsed="false">
      <c r="A521" s="12"/>
      <c r="B521" s="34"/>
      <c r="C521" s="12"/>
      <c r="D521" s="12"/>
      <c r="E521" s="12"/>
      <c r="F521" s="12"/>
      <c r="G521" s="18"/>
      <c r="H521" s="35"/>
      <c r="I521" s="12"/>
      <c r="M521" s="12"/>
      <c r="N521" s="18"/>
      <c r="O521" s="12"/>
      <c r="P521" s="12"/>
      <c r="Q521" s="12"/>
      <c r="R521" s="36"/>
      <c r="S521" s="36"/>
      <c r="T521" s="12"/>
      <c r="U521" s="12"/>
      <c r="V521" s="12"/>
      <c r="W521" s="12"/>
      <c r="X521" s="12"/>
    </row>
    <row r="522" customFormat="false" ht="15.75" hidden="false" customHeight="false" outlineLevel="0" collapsed="false">
      <c r="A522" s="12"/>
      <c r="B522" s="34"/>
      <c r="C522" s="12"/>
      <c r="D522" s="12"/>
      <c r="E522" s="12"/>
      <c r="F522" s="12"/>
      <c r="G522" s="18"/>
      <c r="H522" s="35"/>
      <c r="I522" s="12"/>
      <c r="M522" s="12"/>
      <c r="N522" s="18"/>
      <c r="O522" s="12"/>
      <c r="P522" s="12"/>
      <c r="Q522" s="12"/>
      <c r="R522" s="36"/>
      <c r="S522" s="36"/>
      <c r="T522" s="12"/>
      <c r="U522" s="12"/>
      <c r="V522" s="12"/>
      <c r="W522" s="12"/>
      <c r="X522" s="12"/>
    </row>
    <row r="523" customFormat="false" ht="15.75" hidden="false" customHeight="false" outlineLevel="0" collapsed="false">
      <c r="A523" s="12"/>
      <c r="B523" s="34"/>
      <c r="C523" s="12"/>
      <c r="D523" s="12"/>
      <c r="E523" s="12"/>
      <c r="F523" s="12"/>
      <c r="G523" s="18"/>
      <c r="H523" s="35"/>
      <c r="I523" s="12"/>
      <c r="M523" s="12"/>
      <c r="N523" s="18"/>
      <c r="O523" s="12"/>
      <c r="P523" s="12"/>
      <c r="Q523" s="12"/>
      <c r="R523" s="36"/>
      <c r="S523" s="36"/>
      <c r="T523" s="12"/>
      <c r="U523" s="12"/>
      <c r="V523" s="12"/>
      <c r="W523" s="12"/>
      <c r="X523" s="12"/>
    </row>
    <row r="524" customFormat="false" ht="15.75" hidden="false" customHeight="false" outlineLevel="0" collapsed="false">
      <c r="A524" s="12"/>
      <c r="B524" s="34"/>
      <c r="C524" s="12"/>
      <c r="D524" s="12"/>
      <c r="E524" s="12"/>
      <c r="F524" s="12"/>
      <c r="G524" s="18"/>
      <c r="H524" s="35"/>
      <c r="I524" s="12"/>
      <c r="M524" s="12"/>
      <c r="N524" s="18"/>
      <c r="O524" s="12"/>
      <c r="P524" s="12"/>
      <c r="Q524" s="12"/>
      <c r="R524" s="36"/>
      <c r="S524" s="36"/>
      <c r="T524" s="12"/>
      <c r="U524" s="12"/>
      <c r="V524" s="12"/>
      <c r="W524" s="12"/>
      <c r="X524" s="12"/>
    </row>
    <row r="525" customFormat="false" ht="15.75" hidden="false" customHeight="false" outlineLevel="0" collapsed="false">
      <c r="A525" s="12"/>
      <c r="B525" s="34"/>
      <c r="C525" s="12"/>
      <c r="D525" s="12"/>
      <c r="E525" s="12"/>
      <c r="F525" s="12"/>
      <c r="G525" s="18"/>
      <c r="H525" s="35"/>
      <c r="I525" s="12"/>
      <c r="M525" s="12"/>
      <c r="N525" s="18"/>
      <c r="O525" s="12"/>
      <c r="P525" s="12"/>
      <c r="Q525" s="12"/>
      <c r="R525" s="36"/>
      <c r="S525" s="36"/>
      <c r="T525" s="12"/>
      <c r="U525" s="12"/>
      <c r="V525" s="12"/>
      <c r="W525" s="12"/>
      <c r="X525" s="12"/>
    </row>
    <row r="526" customFormat="false" ht="15.75" hidden="false" customHeight="false" outlineLevel="0" collapsed="false">
      <c r="A526" s="12"/>
      <c r="B526" s="34"/>
      <c r="C526" s="12"/>
      <c r="D526" s="12"/>
      <c r="E526" s="12"/>
      <c r="F526" s="12"/>
      <c r="G526" s="18"/>
      <c r="H526" s="35"/>
      <c r="I526" s="12"/>
      <c r="M526" s="12"/>
      <c r="N526" s="18"/>
      <c r="O526" s="12"/>
      <c r="P526" s="12"/>
      <c r="Q526" s="12"/>
      <c r="R526" s="36"/>
      <c r="S526" s="36"/>
      <c r="T526" s="12"/>
      <c r="U526" s="12"/>
      <c r="V526" s="12"/>
      <c r="W526" s="12"/>
      <c r="X526" s="12"/>
    </row>
    <row r="527" customFormat="false" ht="15.75" hidden="false" customHeight="false" outlineLevel="0" collapsed="false">
      <c r="A527" s="12"/>
      <c r="B527" s="34"/>
      <c r="C527" s="12"/>
      <c r="D527" s="12"/>
      <c r="E527" s="12"/>
      <c r="F527" s="12"/>
      <c r="G527" s="18"/>
      <c r="H527" s="35"/>
      <c r="I527" s="12"/>
      <c r="M527" s="12"/>
      <c r="N527" s="18"/>
      <c r="O527" s="12"/>
      <c r="P527" s="12"/>
      <c r="Q527" s="12"/>
      <c r="R527" s="36"/>
      <c r="S527" s="36"/>
      <c r="T527" s="12"/>
      <c r="U527" s="12"/>
      <c r="V527" s="12"/>
      <c r="W527" s="12"/>
      <c r="X527" s="12"/>
    </row>
    <row r="528" customFormat="false" ht="15.75" hidden="false" customHeight="false" outlineLevel="0" collapsed="false">
      <c r="A528" s="12"/>
      <c r="B528" s="34"/>
      <c r="C528" s="12"/>
      <c r="D528" s="12"/>
      <c r="E528" s="12"/>
      <c r="F528" s="12"/>
      <c r="G528" s="18"/>
      <c r="H528" s="35"/>
      <c r="I528" s="12"/>
      <c r="M528" s="12"/>
      <c r="N528" s="18"/>
      <c r="O528" s="12"/>
      <c r="P528" s="12"/>
      <c r="Q528" s="12"/>
      <c r="R528" s="36"/>
      <c r="S528" s="36"/>
      <c r="T528" s="12"/>
      <c r="U528" s="12"/>
      <c r="V528" s="12"/>
      <c r="W528" s="12"/>
      <c r="X528" s="12"/>
    </row>
    <row r="529" customFormat="false" ht="15.75" hidden="false" customHeight="false" outlineLevel="0" collapsed="false">
      <c r="A529" s="12"/>
      <c r="B529" s="34"/>
      <c r="C529" s="12"/>
      <c r="D529" s="12"/>
      <c r="E529" s="12"/>
      <c r="F529" s="12"/>
      <c r="G529" s="18"/>
      <c r="H529" s="35"/>
      <c r="I529" s="12"/>
      <c r="M529" s="12"/>
      <c r="N529" s="18"/>
      <c r="O529" s="12"/>
      <c r="P529" s="12"/>
      <c r="Q529" s="12"/>
      <c r="R529" s="36"/>
      <c r="S529" s="36"/>
      <c r="T529" s="12"/>
      <c r="U529" s="12"/>
      <c r="V529" s="12"/>
      <c r="W529" s="12"/>
      <c r="X529" s="12"/>
    </row>
    <row r="530" customFormat="false" ht="15.75" hidden="false" customHeight="false" outlineLevel="0" collapsed="false">
      <c r="A530" s="12"/>
      <c r="B530" s="34"/>
      <c r="C530" s="12"/>
      <c r="D530" s="12"/>
      <c r="E530" s="12"/>
      <c r="F530" s="12"/>
      <c r="G530" s="18"/>
      <c r="H530" s="35"/>
      <c r="I530" s="12"/>
      <c r="M530" s="12"/>
      <c r="N530" s="18"/>
      <c r="O530" s="12"/>
      <c r="P530" s="12"/>
      <c r="Q530" s="12"/>
      <c r="R530" s="36"/>
      <c r="S530" s="36"/>
      <c r="T530" s="12"/>
      <c r="U530" s="12"/>
      <c r="V530" s="12"/>
      <c r="W530" s="12"/>
      <c r="X530" s="12"/>
    </row>
    <row r="531" customFormat="false" ht="15.75" hidden="false" customHeight="false" outlineLevel="0" collapsed="false">
      <c r="A531" s="12"/>
      <c r="B531" s="34"/>
      <c r="C531" s="12"/>
      <c r="D531" s="12"/>
      <c r="E531" s="12"/>
      <c r="F531" s="12"/>
      <c r="G531" s="18"/>
      <c r="H531" s="35"/>
      <c r="I531" s="12"/>
      <c r="M531" s="12"/>
      <c r="N531" s="18"/>
      <c r="O531" s="12"/>
      <c r="P531" s="12"/>
      <c r="Q531" s="12"/>
      <c r="R531" s="36"/>
      <c r="S531" s="36"/>
      <c r="T531" s="12"/>
      <c r="U531" s="12"/>
      <c r="V531" s="12"/>
      <c r="W531" s="12"/>
      <c r="X531" s="12"/>
    </row>
    <row r="532" customFormat="false" ht="15.75" hidden="false" customHeight="false" outlineLevel="0" collapsed="false">
      <c r="A532" s="12"/>
      <c r="B532" s="34"/>
      <c r="C532" s="12"/>
      <c r="D532" s="12"/>
      <c r="E532" s="12"/>
      <c r="F532" s="12"/>
      <c r="G532" s="18"/>
      <c r="H532" s="35"/>
      <c r="I532" s="12"/>
      <c r="M532" s="12"/>
      <c r="N532" s="18"/>
      <c r="O532" s="12"/>
      <c r="P532" s="12"/>
      <c r="Q532" s="12"/>
      <c r="R532" s="36"/>
      <c r="S532" s="36"/>
      <c r="T532" s="12"/>
      <c r="U532" s="12"/>
      <c r="V532" s="12"/>
      <c r="W532" s="12"/>
      <c r="X532" s="12"/>
    </row>
    <row r="533" customFormat="false" ht="15.75" hidden="false" customHeight="false" outlineLevel="0" collapsed="false">
      <c r="A533" s="12"/>
      <c r="B533" s="34"/>
      <c r="C533" s="12"/>
      <c r="D533" s="12"/>
      <c r="E533" s="12"/>
      <c r="F533" s="12"/>
      <c r="G533" s="18"/>
      <c r="H533" s="35"/>
      <c r="I533" s="12"/>
      <c r="M533" s="12"/>
      <c r="N533" s="18"/>
      <c r="O533" s="12"/>
      <c r="P533" s="12"/>
      <c r="Q533" s="12"/>
      <c r="R533" s="36"/>
      <c r="S533" s="36"/>
      <c r="T533" s="12"/>
      <c r="U533" s="12"/>
      <c r="V533" s="12"/>
      <c r="W533" s="12"/>
      <c r="X533" s="12"/>
    </row>
    <row r="534" customFormat="false" ht="15.75" hidden="false" customHeight="false" outlineLevel="0" collapsed="false">
      <c r="A534" s="12"/>
      <c r="B534" s="34"/>
      <c r="C534" s="12"/>
      <c r="D534" s="12"/>
      <c r="E534" s="12"/>
      <c r="F534" s="12"/>
      <c r="G534" s="18"/>
      <c r="H534" s="35"/>
      <c r="I534" s="12"/>
      <c r="M534" s="12"/>
      <c r="N534" s="18"/>
      <c r="O534" s="12"/>
      <c r="P534" s="12"/>
      <c r="Q534" s="12"/>
      <c r="R534" s="36"/>
      <c r="S534" s="36"/>
      <c r="T534" s="12"/>
      <c r="U534" s="12"/>
      <c r="V534" s="12"/>
      <c r="W534" s="12"/>
      <c r="X534" s="12"/>
    </row>
    <row r="535" customFormat="false" ht="15.75" hidden="false" customHeight="false" outlineLevel="0" collapsed="false">
      <c r="A535" s="12"/>
      <c r="B535" s="34"/>
      <c r="C535" s="12"/>
      <c r="D535" s="12"/>
      <c r="E535" s="12"/>
      <c r="F535" s="12"/>
      <c r="G535" s="18"/>
      <c r="H535" s="35"/>
      <c r="I535" s="12"/>
      <c r="M535" s="12"/>
      <c r="N535" s="18"/>
      <c r="O535" s="12"/>
      <c r="P535" s="12"/>
      <c r="Q535" s="12"/>
      <c r="R535" s="36"/>
      <c r="S535" s="36"/>
      <c r="T535" s="12"/>
      <c r="U535" s="12"/>
      <c r="V535" s="12"/>
      <c r="W535" s="12"/>
      <c r="X535" s="12"/>
    </row>
    <row r="536" customFormat="false" ht="15.75" hidden="false" customHeight="false" outlineLevel="0" collapsed="false">
      <c r="A536" s="12"/>
      <c r="B536" s="34"/>
      <c r="C536" s="12"/>
      <c r="D536" s="12"/>
      <c r="E536" s="12"/>
      <c r="F536" s="12"/>
      <c r="G536" s="18"/>
      <c r="H536" s="35"/>
      <c r="I536" s="12"/>
      <c r="M536" s="12"/>
      <c r="N536" s="18"/>
      <c r="O536" s="12"/>
      <c r="P536" s="12"/>
      <c r="Q536" s="12"/>
      <c r="R536" s="36"/>
      <c r="S536" s="36"/>
      <c r="T536" s="12"/>
      <c r="U536" s="12"/>
      <c r="V536" s="12"/>
      <c r="W536" s="12"/>
      <c r="X536" s="12"/>
    </row>
    <row r="537" customFormat="false" ht="15.75" hidden="false" customHeight="false" outlineLevel="0" collapsed="false">
      <c r="A537" s="12"/>
      <c r="B537" s="34"/>
      <c r="C537" s="12"/>
      <c r="D537" s="12"/>
      <c r="E537" s="12"/>
      <c r="F537" s="12"/>
      <c r="G537" s="18"/>
      <c r="H537" s="35"/>
      <c r="I537" s="12"/>
      <c r="M537" s="12"/>
      <c r="N537" s="18"/>
      <c r="O537" s="12"/>
      <c r="P537" s="12"/>
      <c r="Q537" s="12"/>
      <c r="R537" s="36"/>
      <c r="S537" s="36"/>
      <c r="T537" s="12"/>
      <c r="U537" s="12"/>
      <c r="V537" s="12"/>
      <c r="W537" s="12"/>
      <c r="X537" s="12"/>
    </row>
    <row r="538" customFormat="false" ht="15.75" hidden="false" customHeight="false" outlineLevel="0" collapsed="false">
      <c r="A538" s="12"/>
      <c r="B538" s="34"/>
      <c r="C538" s="12"/>
      <c r="D538" s="12"/>
      <c r="E538" s="12"/>
      <c r="F538" s="12"/>
      <c r="G538" s="18"/>
      <c r="H538" s="35"/>
      <c r="I538" s="12"/>
      <c r="M538" s="12"/>
      <c r="N538" s="18"/>
      <c r="O538" s="12"/>
      <c r="P538" s="12"/>
      <c r="Q538" s="12"/>
      <c r="R538" s="36"/>
      <c r="S538" s="36"/>
      <c r="T538" s="12"/>
      <c r="U538" s="12"/>
      <c r="V538" s="12"/>
      <c r="W538" s="12"/>
      <c r="X538" s="12"/>
    </row>
    <row r="539" customFormat="false" ht="15.75" hidden="false" customHeight="false" outlineLevel="0" collapsed="false">
      <c r="A539" s="12"/>
      <c r="B539" s="34"/>
      <c r="C539" s="12"/>
      <c r="D539" s="12"/>
      <c r="E539" s="12"/>
      <c r="F539" s="12"/>
      <c r="G539" s="18"/>
      <c r="H539" s="35"/>
      <c r="I539" s="12"/>
      <c r="M539" s="12"/>
      <c r="N539" s="18"/>
      <c r="O539" s="12"/>
      <c r="P539" s="12"/>
      <c r="Q539" s="12"/>
      <c r="R539" s="36"/>
      <c r="S539" s="36"/>
      <c r="T539" s="12"/>
      <c r="U539" s="12"/>
      <c r="V539" s="12"/>
      <c r="W539" s="12"/>
      <c r="X539" s="12"/>
    </row>
    <row r="540" customFormat="false" ht="15.75" hidden="false" customHeight="false" outlineLevel="0" collapsed="false">
      <c r="A540" s="12"/>
      <c r="B540" s="34"/>
      <c r="C540" s="12"/>
      <c r="D540" s="12"/>
      <c r="E540" s="12"/>
      <c r="F540" s="12"/>
      <c r="G540" s="18"/>
      <c r="H540" s="35"/>
      <c r="I540" s="12"/>
      <c r="M540" s="12"/>
      <c r="N540" s="18"/>
      <c r="O540" s="12"/>
      <c r="P540" s="12"/>
      <c r="Q540" s="12"/>
      <c r="R540" s="36"/>
      <c r="S540" s="36"/>
      <c r="T540" s="12"/>
      <c r="U540" s="12"/>
      <c r="V540" s="12"/>
      <c r="W540" s="12"/>
      <c r="X540" s="12"/>
    </row>
    <row r="541" customFormat="false" ht="15.75" hidden="false" customHeight="false" outlineLevel="0" collapsed="false">
      <c r="A541" s="12"/>
      <c r="B541" s="34"/>
      <c r="C541" s="12"/>
      <c r="D541" s="12"/>
      <c r="E541" s="12"/>
      <c r="F541" s="12"/>
      <c r="G541" s="18"/>
      <c r="H541" s="35"/>
      <c r="I541" s="12"/>
      <c r="M541" s="12"/>
      <c r="N541" s="18"/>
      <c r="O541" s="12"/>
      <c r="P541" s="12"/>
      <c r="Q541" s="12"/>
      <c r="R541" s="36"/>
      <c r="S541" s="36"/>
      <c r="T541" s="12"/>
      <c r="U541" s="12"/>
      <c r="V541" s="12"/>
      <c r="W541" s="12"/>
      <c r="X541" s="12"/>
    </row>
    <row r="542" customFormat="false" ht="15.75" hidden="false" customHeight="false" outlineLevel="0" collapsed="false">
      <c r="A542" s="12"/>
      <c r="B542" s="34"/>
      <c r="C542" s="12"/>
      <c r="D542" s="12"/>
      <c r="E542" s="12"/>
      <c r="F542" s="12"/>
      <c r="G542" s="18"/>
      <c r="H542" s="35"/>
      <c r="I542" s="12"/>
      <c r="M542" s="12"/>
      <c r="N542" s="18"/>
      <c r="O542" s="12"/>
      <c r="P542" s="12"/>
      <c r="Q542" s="12"/>
      <c r="R542" s="36"/>
      <c r="S542" s="36"/>
      <c r="T542" s="12"/>
      <c r="U542" s="12"/>
      <c r="V542" s="12"/>
      <c r="W542" s="12"/>
      <c r="X542" s="12"/>
    </row>
    <row r="543" customFormat="false" ht="15.75" hidden="false" customHeight="false" outlineLevel="0" collapsed="false">
      <c r="A543" s="12"/>
      <c r="B543" s="34"/>
      <c r="C543" s="12"/>
      <c r="D543" s="12"/>
      <c r="E543" s="12"/>
      <c r="F543" s="12"/>
      <c r="G543" s="18"/>
      <c r="H543" s="35"/>
      <c r="I543" s="12"/>
      <c r="M543" s="12"/>
      <c r="N543" s="18"/>
      <c r="O543" s="12"/>
      <c r="P543" s="12"/>
      <c r="Q543" s="12"/>
      <c r="R543" s="36"/>
      <c r="S543" s="36"/>
      <c r="T543" s="12"/>
      <c r="U543" s="12"/>
      <c r="V543" s="12"/>
      <c r="W543" s="12"/>
      <c r="X543" s="12"/>
    </row>
    <row r="544" customFormat="false" ht="15.75" hidden="false" customHeight="false" outlineLevel="0" collapsed="false">
      <c r="A544" s="12"/>
      <c r="B544" s="34"/>
      <c r="C544" s="12"/>
      <c r="D544" s="12"/>
      <c r="E544" s="12"/>
      <c r="F544" s="12"/>
      <c r="G544" s="18"/>
      <c r="H544" s="35"/>
      <c r="I544" s="12"/>
      <c r="M544" s="12"/>
      <c r="N544" s="18"/>
      <c r="O544" s="12"/>
      <c r="P544" s="12"/>
      <c r="Q544" s="12"/>
      <c r="R544" s="36"/>
      <c r="S544" s="36"/>
      <c r="T544" s="12"/>
      <c r="U544" s="12"/>
      <c r="V544" s="12"/>
      <c r="W544" s="12"/>
      <c r="X544" s="12"/>
    </row>
    <row r="545" customFormat="false" ht="15.75" hidden="false" customHeight="false" outlineLevel="0" collapsed="false">
      <c r="A545" s="12"/>
      <c r="B545" s="34"/>
      <c r="C545" s="12"/>
      <c r="D545" s="12"/>
      <c r="E545" s="12"/>
      <c r="F545" s="12"/>
      <c r="G545" s="18"/>
      <c r="H545" s="35"/>
      <c r="I545" s="12"/>
      <c r="M545" s="12"/>
      <c r="N545" s="18"/>
      <c r="O545" s="12"/>
      <c r="P545" s="12"/>
      <c r="Q545" s="12"/>
      <c r="R545" s="36"/>
      <c r="S545" s="36"/>
      <c r="T545" s="12"/>
      <c r="U545" s="12"/>
      <c r="V545" s="12"/>
      <c r="W545" s="12"/>
      <c r="X545" s="12"/>
    </row>
    <row r="546" customFormat="false" ht="15.75" hidden="false" customHeight="false" outlineLevel="0" collapsed="false">
      <c r="A546" s="12"/>
      <c r="B546" s="34"/>
      <c r="C546" s="12"/>
      <c r="D546" s="12"/>
      <c r="E546" s="12"/>
      <c r="F546" s="12"/>
      <c r="G546" s="18"/>
      <c r="H546" s="35"/>
      <c r="I546" s="12"/>
      <c r="M546" s="12"/>
      <c r="N546" s="18"/>
      <c r="O546" s="12"/>
      <c r="P546" s="12"/>
      <c r="Q546" s="12"/>
      <c r="R546" s="36"/>
      <c r="S546" s="36"/>
      <c r="T546" s="12"/>
      <c r="U546" s="12"/>
      <c r="V546" s="12"/>
      <c r="W546" s="12"/>
      <c r="X546" s="12"/>
    </row>
    <row r="547" customFormat="false" ht="15.75" hidden="false" customHeight="false" outlineLevel="0" collapsed="false">
      <c r="A547" s="12"/>
      <c r="B547" s="34"/>
      <c r="C547" s="12"/>
      <c r="D547" s="12"/>
      <c r="E547" s="12"/>
      <c r="F547" s="12"/>
      <c r="G547" s="18"/>
      <c r="H547" s="35"/>
      <c r="I547" s="12"/>
      <c r="M547" s="12"/>
      <c r="N547" s="18"/>
      <c r="O547" s="12"/>
      <c r="P547" s="12"/>
      <c r="Q547" s="12"/>
      <c r="R547" s="36"/>
      <c r="S547" s="36"/>
      <c r="T547" s="12"/>
      <c r="U547" s="12"/>
      <c r="V547" s="12"/>
      <c r="W547" s="12"/>
      <c r="X547" s="12"/>
    </row>
    <row r="548" customFormat="false" ht="15.75" hidden="false" customHeight="false" outlineLevel="0" collapsed="false">
      <c r="A548" s="12"/>
      <c r="B548" s="34"/>
      <c r="C548" s="12"/>
      <c r="D548" s="12"/>
      <c r="E548" s="12"/>
      <c r="F548" s="12"/>
      <c r="G548" s="18"/>
      <c r="H548" s="35"/>
      <c r="I548" s="12"/>
      <c r="M548" s="12"/>
      <c r="N548" s="18"/>
      <c r="O548" s="12"/>
      <c r="P548" s="12"/>
      <c r="Q548" s="12"/>
      <c r="R548" s="36"/>
      <c r="S548" s="36"/>
      <c r="T548" s="12"/>
      <c r="U548" s="12"/>
      <c r="V548" s="12"/>
      <c r="W548" s="12"/>
      <c r="X548" s="12"/>
    </row>
    <row r="549" customFormat="false" ht="15.75" hidden="false" customHeight="false" outlineLevel="0" collapsed="false">
      <c r="A549" s="12"/>
      <c r="B549" s="34"/>
      <c r="C549" s="12"/>
      <c r="D549" s="12"/>
      <c r="E549" s="12"/>
      <c r="F549" s="12"/>
      <c r="G549" s="18"/>
      <c r="H549" s="35"/>
      <c r="I549" s="12"/>
      <c r="M549" s="12"/>
      <c r="N549" s="18"/>
      <c r="O549" s="12"/>
      <c r="P549" s="12"/>
      <c r="Q549" s="12"/>
      <c r="R549" s="36"/>
      <c r="S549" s="36"/>
      <c r="T549" s="12"/>
      <c r="U549" s="12"/>
      <c r="V549" s="12"/>
      <c r="W549" s="12"/>
      <c r="X549" s="12"/>
    </row>
    <row r="550" customFormat="false" ht="15.75" hidden="false" customHeight="false" outlineLevel="0" collapsed="false">
      <c r="A550" s="12"/>
      <c r="B550" s="34"/>
      <c r="C550" s="12"/>
      <c r="D550" s="12"/>
      <c r="E550" s="12"/>
      <c r="F550" s="12"/>
      <c r="G550" s="18"/>
      <c r="H550" s="35"/>
      <c r="I550" s="12"/>
      <c r="M550" s="12"/>
      <c r="N550" s="18"/>
      <c r="O550" s="12"/>
      <c r="P550" s="12"/>
      <c r="Q550" s="12"/>
      <c r="R550" s="36"/>
      <c r="S550" s="36"/>
      <c r="T550" s="12"/>
      <c r="U550" s="12"/>
      <c r="V550" s="12"/>
      <c r="W550" s="12"/>
      <c r="X550" s="12"/>
    </row>
    <row r="551" customFormat="false" ht="15.75" hidden="false" customHeight="false" outlineLevel="0" collapsed="false">
      <c r="A551" s="12"/>
      <c r="B551" s="34"/>
      <c r="C551" s="12"/>
      <c r="D551" s="12"/>
      <c r="E551" s="12"/>
      <c r="F551" s="12"/>
      <c r="G551" s="18"/>
      <c r="H551" s="35"/>
      <c r="I551" s="12"/>
      <c r="M551" s="12"/>
      <c r="N551" s="18"/>
      <c r="O551" s="12"/>
      <c r="P551" s="12"/>
      <c r="Q551" s="12"/>
      <c r="R551" s="36"/>
      <c r="S551" s="36"/>
      <c r="T551" s="12"/>
      <c r="U551" s="12"/>
      <c r="V551" s="12"/>
      <c r="W551" s="12"/>
      <c r="X551" s="12"/>
    </row>
    <row r="552" customFormat="false" ht="15.75" hidden="false" customHeight="false" outlineLevel="0" collapsed="false">
      <c r="A552" s="12"/>
      <c r="B552" s="34"/>
      <c r="C552" s="12"/>
      <c r="D552" s="12"/>
      <c r="E552" s="12"/>
      <c r="F552" s="12"/>
      <c r="G552" s="18"/>
      <c r="H552" s="35"/>
      <c r="I552" s="12"/>
      <c r="M552" s="12"/>
      <c r="N552" s="18"/>
      <c r="O552" s="12"/>
      <c r="P552" s="12"/>
      <c r="Q552" s="12"/>
      <c r="R552" s="36"/>
      <c r="S552" s="36"/>
      <c r="T552" s="12"/>
      <c r="U552" s="12"/>
      <c r="V552" s="12"/>
      <c r="W552" s="12"/>
      <c r="X552" s="12"/>
    </row>
    <row r="553" customFormat="false" ht="15.75" hidden="false" customHeight="false" outlineLevel="0" collapsed="false">
      <c r="A553" s="12"/>
      <c r="B553" s="34"/>
      <c r="C553" s="12"/>
      <c r="D553" s="12"/>
      <c r="E553" s="12"/>
      <c r="F553" s="12"/>
      <c r="G553" s="18"/>
      <c r="H553" s="35"/>
      <c r="I553" s="12"/>
      <c r="M553" s="12"/>
      <c r="N553" s="18"/>
      <c r="O553" s="12"/>
      <c r="P553" s="12"/>
      <c r="Q553" s="12"/>
      <c r="R553" s="36"/>
      <c r="S553" s="36"/>
      <c r="T553" s="12"/>
      <c r="U553" s="12"/>
      <c r="V553" s="12"/>
      <c r="W553" s="12"/>
      <c r="X553" s="12"/>
    </row>
    <row r="554" customFormat="false" ht="15.75" hidden="false" customHeight="false" outlineLevel="0" collapsed="false">
      <c r="A554" s="12"/>
      <c r="B554" s="34"/>
      <c r="C554" s="12"/>
      <c r="D554" s="12"/>
      <c r="E554" s="12"/>
      <c r="F554" s="12"/>
      <c r="G554" s="18"/>
      <c r="H554" s="35"/>
      <c r="I554" s="12"/>
      <c r="M554" s="12"/>
      <c r="N554" s="18"/>
      <c r="O554" s="12"/>
      <c r="P554" s="12"/>
      <c r="Q554" s="12"/>
      <c r="R554" s="36"/>
      <c r="S554" s="36"/>
      <c r="T554" s="12"/>
      <c r="U554" s="12"/>
      <c r="V554" s="12"/>
      <c r="W554" s="12"/>
      <c r="X554" s="12"/>
    </row>
    <row r="555" customFormat="false" ht="15.75" hidden="false" customHeight="false" outlineLevel="0" collapsed="false">
      <c r="A555" s="12"/>
      <c r="B555" s="34"/>
      <c r="C555" s="12"/>
      <c r="D555" s="12"/>
      <c r="E555" s="12"/>
      <c r="F555" s="12"/>
      <c r="G555" s="18"/>
      <c r="H555" s="35"/>
      <c r="I555" s="12"/>
      <c r="M555" s="12"/>
      <c r="N555" s="18"/>
      <c r="O555" s="12"/>
      <c r="P555" s="12"/>
      <c r="Q555" s="12"/>
      <c r="R555" s="36"/>
      <c r="S555" s="36"/>
      <c r="T555" s="12"/>
      <c r="U555" s="12"/>
      <c r="V555" s="12"/>
      <c r="W555" s="12"/>
      <c r="X555" s="12"/>
    </row>
    <row r="556" customFormat="false" ht="15.75" hidden="false" customHeight="false" outlineLevel="0" collapsed="false">
      <c r="A556" s="12"/>
      <c r="B556" s="34"/>
      <c r="C556" s="12"/>
      <c r="D556" s="12"/>
      <c r="E556" s="12"/>
      <c r="F556" s="12"/>
      <c r="G556" s="18"/>
      <c r="H556" s="35"/>
      <c r="I556" s="12"/>
      <c r="M556" s="12"/>
      <c r="N556" s="18"/>
      <c r="O556" s="12"/>
      <c r="P556" s="12"/>
      <c r="Q556" s="12"/>
      <c r="R556" s="36"/>
      <c r="S556" s="36"/>
      <c r="T556" s="12"/>
      <c r="U556" s="12"/>
      <c r="V556" s="12"/>
      <c r="W556" s="12"/>
      <c r="X556" s="12"/>
    </row>
    <row r="557" customFormat="false" ht="15.75" hidden="false" customHeight="false" outlineLevel="0" collapsed="false">
      <c r="A557" s="12"/>
      <c r="B557" s="34"/>
      <c r="C557" s="12"/>
      <c r="D557" s="12"/>
      <c r="E557" s="12"/>
      <c r="F557" s="12"/>
      <c r="G557" s="18"/>
      <c r="H557" s="35"/>
      <c r="I557" s="12"/>
      <c r="M557" s="12"/>
      <c r="N557" s="18"/>
      <c r="O557" s="12"/>
      <c r="P557" s="12"/>
      <c r="Q557" s="12"/>
      <c r="R557" s="36"/>
      <c r="S557" s="36"/>
      <c r="T557" s="12"/>
      <c r="U557" s="12"/>
      <c r="V557" s="12"/>
      <c r="W557" s="12"/>
      <c r="X557" s="12"/>
    </row>
    <row r="558" customFormat="false" ht="15.75" hidden="false" customHeight="false" outlineLevel="0" collapsed="false">
      <c r="A558" s="12"/>
      <c r="B558" s="34"/>
      <c r="C558" s="12"/>
      <c r="D558" s="12"/>
      <c r="E558" s="12"/>
      <c r="F558" s="12"/>
      <c r="G558" s="18"/>
      <c r="H558" s="35"/>
      <c r="I558" s="12"/>
      <c r="M558" s="12"/>
      <c r="N558" s="18"/>
      <c r="O558" s="12"/>
      <c r="P558" s="12"/>
      <c r="Q558" s="12"/>
      <c r="R558" s="36"/>
      <c r="S558" s="36"/>
      <c r="T558" s="12"/>
      <c r="U558" s="12"/>
      <c r="V558" s="12"/>
      <c r="W558" s="12"/>
      <c r="X558" s="12"/>
    </row>
    <row r="559" customFormat="false" ht="15.75" hidden="false" customHeight="false" outlineLevel="0" collapsed="false">
      <c r="A559" s="12"/>
      <c r="B559" s="34"/>
      <c r="C559" s="12"/>
      <c r="D559" s="12"/>
      <c r="E559" s="12"/>
      <c r="F559" s="12"/>
      <c r="G559" s="18"/>
      <c r="H559" s="35"/>
      <c r="I559" s="12"/>
      <c r="M559" s="12"/>
      <c r="N559" s="18"/>
      <c r="O559" s="12"/>
      <c r="P559" s="12"/>
      <c r="Q559" s="12"/>
      <c r="R559" s="36"/>
      <c r="S559" s="36"/>
      <c r="T559" s="12"/>
      <c r="U559" s="12"/>
      <c r="V559" s="12"/>
      <c r="W559" s="12"/>
      <c r="X559" s="12"/>
    </row>
    <row r="560" customFormat="false" ht="15.75" hidden="false" customHeight="false" outlineLevel="0" collapsed="false">
      <c r="A560" s="12"/>
      <c r="B560" s="34"/>
      <c r="C560" s="12"/>
      <c r="D560" s="12"/>
      <c r="E560" s="12"/>
      <c r="F560" s="12"/>
      <c r="G560" s="18"/>
      <c r="H560" s="35"/>
      <c r="I560" s="12"/>
      <c r="M560" s="12"/>
      <c r="N560" s="18"/>
      <c r="O560" s="12"/>
      <c r="P560" s="12"/>
      <c r="Q560" s="12"/>
      <c r="R560" s="36"/>
      <c r="S560" s="36"/>
      <c r="T560" s="12"/>
      <c r="U560" s="12"/>
      <c r="V560" s="12"/>
      <c r="W560" s="12"/>
      <c r="X560" s="12"/>
    </row>
    <row r="561" customFormat="false" ht="15.75" hidden="false" customHeight="false" outlineLevel="0" collapsed="false">
      <c r="A561" s="12"/>
      <c r="B561" s="34"/>
      <c r="C561" s="12"/>
      <c r="D561" s="12"/>
      <c r="E561" s="12"/>
      <c r="F561" s="12"/>
      <c r="G561" s="18"/>
      <c r="H561" s="35"/>
      <c r="I561" s="12"/>
      <c r="M561" s="12"/>
      <c r="N561" s="18"/>
      <c r="O561" s="12"/>
      <c r="P561" s="12"/>
      <c r="Q561" s="12"/>
      <c r="R561" s="36"/>
      <c r="S561" s="36"/>
      <c r="T561" s="12"/>
      <c r="U561" s="12"/>
      <c r="V561" s="12"/>
      <c r="W561" s="12"/>
      <c r="X561" s="12"/>
    </row>
    <row r="562" customFormat="false" ht="15.75" hidden="false" customHeight="false" outlineLevel="0" collapsed="false">
      <c r="A562" s="12"/>
      <c r="B562" s="34"/>
      <c r="C562" s="12"/>
      <c r="D562" s="12"/>
      <c r="E562" s="12"/>
      <c r="F562" s="12"/>
      <c r="G562" s="18"/>
      <c r="H562" s="35"/>
      <c r="I562" s="12"/>
      <c r="M562" s="12"/>
      <c r="N562" s="18"/>
      <c r="O562" s="12"/>
      <c r="P562" s="12"/>
      <c r="Q562" s="12"/>
      <c r="R562" s="36"/>
      <c r="S562" s="36"/>
      <c r="T562" s="12"/>
      <c r="U562" s="12"/>
      <c r="V562" s="12"/>
      <c r="W562" s="12"/>
      <c r="X562" s="12"/>
    </row>
    <row r="563" customFormat="false" ht="15.75" hidden="false" customHeight="false" outlineLevel="0" collapsed="false">
      <c r="A563" s="12"/>
      <c r="B563" s="34"/>
      <c r="C563" s="12"/>
      <c r="D563" s="12"/>
      <c r="E563" s="12"/>
      <c r="F563" s="12"/>
      <c r="G563" s="18"/>
      <c r="H563" s="35"/>
      <c r="I563" s="12"/>
      <c r="M563" s="12"/>
      <c r="N563" s="18"/>
      <c r="O563" s="12"/>
      <c r="P563" s="12"/>
      <c r="Q563" s="12"/>
      <c r="R563" s="36"/>
      <c r="S563" s="36"/>
      <c r="T563" s="12"/>
      <c r="U563" s="12"/>
      <c r="V563" s="12"/>
      <c r="W563" s="12"/>
      <c r="X563" s="12"/>
    </row>
    <row r="564" customFormat="false" ht="15.75" hidden="false" customHeight="false" outlineLevel="0" collapsed="false">
      <c r="A564" s="12"/>
      <c r="B564" s="34"/>
      <c r="C564" s="12"/>
      <c r="D564" s="12"/>
      <c r="E564" s="12"/>
      <c r="F564" s="12"/>
      <c r="G564" s="18"/>
      <c r="H564" s="35"/>
      <c r="I564" s="12"/>
      <c r="M564" s="12"/>
      <c r="N564" s="18"/>
      <c r="O564" s="12"/>
      <c r="P564" s="12"/>
      <c r="Q564" s="12"/>
      <c r="R564" s="36"/>
      <c r="S564" s="36"/>
      <c r="T564" s="12"/>
      <c r="U564" s="12"/>
      <c r="V564" s="12"/>
      <c r="W564" s="12"/>
      <c r="X564" s="12"/>
    </row>
    <row r="565" customFormat="false" ht="15.75" hidden="false" customHeight="false" outlineLevel="0" collapsed="false">
      <c r="A565" s="12"/>
      <c r="B565" s="34"/>
      <c r="C565" s="12"/>
      <c r="D565" s="12"/>
      <c r="E565" s="12"/>
      <c r="F565" s="12"/>
      <c r="G565" s="18"/>
      <c r="H565" s="35"/>
      <c r="I565" s="12"/>
      <c r="M565" s="12"/>
      <c r="N565" s="18"/>
      <c r="O565" s="12"/>
      <c r="P565" s="12"/>
      <c r="Q565" s="12"/>
      <c r="R565" s="36"/>
      <c r="S565" s="36"/>
      <c r="T565" s="12"/>
      <c r="U565" s="12"/>
      <c r="V565" s="12"/>
      <c r="W565" s="12"/>
      <c r="X565" s="12"/>
    </row>
    <row r="566" customFormat="false" ht="15.75" hidden="false" customHeight="false" outlineLevel="0" collapsed="false">
      <c r="A566" s="12"/>
      <c r="B566" s="34"/>
      <c r="C566" s="12"/>
      <c r="D566" s="12"/>
      <c r="E566" s="12"/>
      <c r="F566" s="12"/>
      <c r="G566" s="18"/>
      <c r="H566" s="35"/>
      <c r="I566" s="12"/>
      <c r="M566" s="12"/>
      <c r="N566" s="18"/>
      <c r="O566" s="12"/>
      <c r="P566" s="12"/>
      <c r="Q566" s="12"/>
      <c r="R566" s="36"/>
      <c r="S566" s="36"/>
      <c r="T566" s="12"/>
      <c r="U566" s="12"/>
      <c r="V566" s="12"/>
      <c r="W566" s="12"/>
      <c r="X566" s="12"/>
    </row>
    <row r="567" customFormat="false" ht="15.75" hidden="false" customHeight="false" outlineLevel="0" collapsed="false">
      <c r="A567" s="12"/>
      <c r="B567" s="34"/>
      <c r="C567" s="12"/>
      <c r="D567" s="12"/>
      <c r="E567" s="12"/>
      <c r="F567" s="12"/>
      <c r="G567" s="18"/>
      <c r="H567" s="35"/>
      <c r="I567" s="12"/>
      <c r="M567" s="12"/>
      <c r="N567" s="18"/>
      <c r="O567" s="12"/>
      <c r="P567" s="12"/>
      <c r="Q567" s="12"/>
      <c r="R567" s="36"/>
      <c r="S567" s="36"/>
      <c r="T567" s="12"/>
      <c r="U567" s="12"/>
      <c r="V567" s="12"/>
      <c r="W567" s="12"/>
      <c r="X567" s="12"/>
    </row>
    <row r="568" customFormat="false" ht="15.75" hidden="false" customHeight="false" outlineLevel="0" collapsed="false">
      <c r="A568" s="12"/>
      <c r="B568" s="34"/>
      <c r="C568" s="12"/>
      <c r="D568" s="12"/>
      <c r="E568" s="12"/>
      <c r="F568" s="12"/>
      <c r="G568" s="18"/>
      <c r="H568" s="35"/>
      <c r="I568" s="12"/>
      <c r="M568" s="12"/>
      <c r="N568" s="18"/>
      <c r="O568" s="12"/>
      <c r="P568" s="12"/>
      <c r="Q568" s="12"/>
      <c r="R568" s="36"/>
      <c r="S568" s="36"/>
      <c r="T568" s="12"/>
      <c r="U568" s="12"/>
      <c r="V568" s="12"/>
      <c r="W568" s="12"/>
      <c r="X568" s="12"/>
    </row>
    <row r="569" customFormat="false" ht="15.75" hidden="false" customHeight="false" outlineLevel="0" collapsed="false">
      <c r="A569" s="12"/>
      <c r="B569" s="34"/>
      <c r="C569" s="12"/>
      <c r="D569" s="12"/>
      <c r="E569" s="12"/>
      <c r="F569" s="12"/>
      <c r="G569" s="18"/>
      <c r="H569" s="35"/>
      <c r="I569" s="12"/>
      <c r="M569" s="12"/>
      <c r="N569" s="18"/>
      <c r="O569" s="12"/>
      <c r="P569" s="12"/>
      <c r="Q569" s="12"/>
      <c r="R569" s="36"/>
      <c r="S569" s="36"/>
      <c r="T569" s="12"/>
      <c r="U569" s="12"/>
      <c r="V569" s="12"/>
      <c r="W569" s="12"/>
      <c r="X569" s="12"/>
    </row>
    <row r="570" customFormat="false" ht="15.75" hidden="false" customHeight="false" outlineLevel="0" collapsed="false">
      <c r="A570" s="12"/>
      <c r="B570" s="34"/>
      <c r="C570" s="12"/>
      <c r="D570" s="12"/>
      <c r="E570" s="12"/>
      <c r="F570" s="12"/>
      <c r="G570" s="18"/>
      <c r="H570" s="35"/>
      <c r="I570" s="12"/>
      <c r="M570" s="12"/>
      <c r="N570" s="18"/>
      <c r="O570" s="12"/>
      <c r="P570" s="12"/>
      <c r="Q570" s="12"/>
      <c r="R570" s="36"/>
      <c r="S570" s="36"/>
      <c r="T570" s="12"/>
      <c r="U570" s="12"/>
      <c r="V570" s="12"/>
      <c r="W570" s="12"/>
      <c r="X570" s="12"/>
    </row>
    <row r="571" customFormat="false" ht="15.75" hidden="false" customHeight="false" outlineLevel="0" collapsed="false">
      <c r="A571" s="12"/>
      <c r="B571" s="34"/>
      <c r="C571" s="12"/>
      <c r="D571" s="12"/>
      <c r="E571" s="12"/>
      <c r="F571" s="12"/>
      <c r="G571" s="18"/>
      <c r="H571" s="35"/>
      <c r="I571" s="12"/>
      <c r="M571" s="12"/>
      <c r="N571" s="18"/>
      <c r="O571" s="12"/>
      <c r="P571" s="12"/>
      <c r="Q571" s="12"/>
      <c r="R571" s="36"/>
      <c r="S571" s="36"/>
      <c r="T571" s="12"/>
      <c r="U571" s="12"/>
      <c r="V571" s="12"/>
      <c r="W571" s="12"/>
      <c r="X571" s="12"/>
    </row>
    <row r="572" customFormat="false" ht="15.75" hidden="false" customHeight="false" outlineLevel="0" collapsed="false">
      <c r="A572" s="12"/>
      <c r="B572" s="34"/>
      <c r="C572" s="12"/>
      <c r="D572" s="12"/>
      <c r="E572" s="12"/>
      <c r="F572" s="12"/>
      <c r="G572" s="18"/>
      <c r="H572" s="35"/>
      <c r="I572" s="12"/>
      <c r="M572" s="12"/>
      <c r="N572" s="18"/>
      <c r="O572" s="12"/>
      <c r="P572" s="12"/>
      <c r="Q572" s="12"/>
      <c r="R572" s="36"/>
      <c r="S572" s="36"/>
      <c r="T572" s="12"/>
      <c r="U572" s="12"/>
      <c r="V572" s="12"/>
      <c r="W572" s="12"/>
      <c r="X572" s="12"/>
    </row>
    <row r="573" customFormat="false" ht="15.75" hidden="false" customHeight="false" outlineLevel="0" collapsed="false">
      <c r="A573" s="12"/>
      <c r="B573" s="34"/>
      <c r="C573" s="12"/>
      <c r="D573" s="12"/>
      <c r="E573" s="12"/>
      <c r="F573" s="12"/>
      <c r="G573" s="18"/>
      <c r="H573" s="35"/>
      <c r="I573" s="12"/>
      <c r="M573" s="12"/>
      <c r="N573" s="18"/>
      <c r="O573" s="12"/>
      <c r="P573" s="12"/>
      <c r="Q573" s="12"/>
      <c r="R573" s="36"/>
      <c r="S573" s="36"/>
      <c r="T573" s="12"/>
      <c r="U573" s="12"/>
      <c r="V573" s="12"/>
      <c r="W573" s="12"/>
      <c r="X573" s="12"/>
    </row>
    <row r="574" customFormat="false" ht="15.75" hidden="false" customHeight="false" outlineLevel="0" collapsed="false">
      <c r="A574" s="12"/>
      <c r="B574" s="34"/>
      <c r="C574" s="12"/>
      <c r="D574" s="12"/>
      <c r="E574" s="12"/>
      <c r="F574" s="12"/>
      <c r="G574" s="18"/>
      <c r="H574" s="35"/>
      <c r="I574" s="12"/>
      <c r="M574" s="12"/>
      <c r="N574" s="18"/>
      <c r="O574" s="12"/>
      <c r="P574" s="12"/>
      <c r="Q574" s="12"/>
      <c r="R574" s="36"/>
      <c r="S574" s="36"/>
      <c r="T574" s="12"/>
      <c r="U574" s="12"/>
      <c r="V574" s="12"/>
      <c r="W574" s="12"/>
      <c r="X574" s="12"/>
    </row>
    <row r="575" customFormat="false" ht="15.75" hidden="false" customHeight="false" outlineLevel="0" collapsed="false">
      <c r="A575" s="12"/>
      <c r="B575" s="34"/>
      <c r="C575" s="12"/>
      <c r="D575" s="12"/>
      <c r="E575" s="12"/>
      <c r="F575" s="12"/>
      <c r="G575" s="18"/>
      <c r="H575" s="35"/>
      <c r="I575" s="12"/>
      <c r="M575" s="12"/>
      <c r="N575" s="18"/>
      <c r="O575" s="12"/>
      <c r="P575" s="12"/>
      <c r="Q575" s="12"/>
      <c r="R575" s="36"/>
      <c r="S575" s="36"/>
      <c r="T575" s="12"/>
      <c r="U575" s="12"/>
      <c r="V575" s="12"/>
      <c r="W575" s="12"/>
      <c r="X575" s="12"/>
    </row>
    <row r="576" customFormat="false" ht="15.75" hidden="false" customHeight="false" outlineLevel="0" collapsed="false">
      <c r="A576" s="12"/>
      <c r="B576" s="34"/>
      <c r="C576" s="12"/>
      <c r="D576" s="12"/>
      <c r="E576" s="12"/>
      <c r="F576" s="12"/>
      <c r="G576" s="18"/>
      <c r="H576" s="35"/>
      <c r="I576" s="12"/>
      <c r="M576" s="12"/>
      <c r="N576" s="18"/>
      <c r="O576" s="12"/>
      <c r="P576" s="12"/>
      <c r="Q576" s="12"/>
      <c r="R576" s="36"/>
      <c r="S576" s="36"/>
      <c r="T576" s="12"/>
      <c r="U576" s="12"/>
      <c r="V576" s="12"/>
      <c r="W576" s="12"/>
      <c r="X576" s="12"/>
    </row>
    <row r="577" customFormat="false" ht="15.75" hidden="false" customHeight="false" outlineLevel="0" collapsed="false">
      <c r="A577" s="12"/>
      <c r="B577" s="34"/>
      <c r="C577" s="12"/>
      <c r="D577" s="12"/>
      <c r="E577" s="12"/>
      <c r="F577" s="12"/>
      <c r="G577" s="18"/>
      <c r="H577" s="35"/>
      <c r="I577" s="12"/>
      <c r="M577" s="12"/>
      <c r="N577" s="18"/>
      <c r="O577" s="12"/>
      <c r="P577" s="12"/>
      <c r="Q577" s="12"/>
      <c r="R577" s="36"/>
      <c r="S577" s="36"/>
      <c r="T577" s="12"/>
      <c r="U577" s="12"/>
      <c r="V577" s="12"/>
      <c r="W577" s="12"/>
      <c r="X577" s="12"/>
    </row>
    <row r="578" customFormat="false" ht="15.75" hidden="false" customHeight="false" outlineLevel="0" collapsed="false">
      <c r="A578" s="12"/>
      <c r="B578" s="34"/>
      <c r="C578" s="12"/>
      <c r="D578" s="12"/>
      <c r="E578" s="12"/>
      <c r="F578" s="12"/>
      <c r="G578" s="18"/>
      <c r="H578" s="35"/>
      <c r="I578" s="12"/>
      <c r="M578" s="12"/>
      <c r="N578" s="18"/>
      <c r="O578" s="12"/>
      <c r="P578" s="12"/>
      <c r="Q578" s="12"/>
      <c r="R578" s="36"/>
      <c r="S578" s="36"/>
      <c r="T578" s="12"/>
      <c r="U578" s="12"/>
      <c r="V578" s="12"/>
      <c r="W578" s="12"/>
      <c r="X578" s="12"/>
    </row>
    <row r="579" customFormat="false" ht="15.75" hidden="false" customHeight="false" outlineLevel="0" collapsed="false">
      <c r="A579" s="12"/>
      <c r="B579" s="34"/>
      <c r="C579" s="12"/>
      <c r="D579" s="12"/>
      <c r="E579" s="12"/>
      <c r="F579" s="12"/>
      <c r="G579" s="18"/>
      <c r="H579" s="35"/>
      <c r="I579" s="12"/>
      <c r="M579" s="12"/>
      <c r="N579" s="18"/>
      <c r="O579" s="12"/>
      <c r="P579" s="12"/>
      <c r="Q579" s="12"/>
      <c r="R579" s="36"/>
      <c r="S579" s="36"/>
      <c r="T579" s="12"/>
      <c r="U579" s="12"/>
      <c r="V579" s="12"/>
      <c r="W579" s="12"/>
      <c r="X579" s="12"/>
    </row>
    <row r="580" customFormat="false" ht="15.75" hidden="false" customHeight="false" outlineLevel="0" collapsed="false">
      <c r="A580" s="12"/>
      <c r="B580" s="34"/>
      <c r="C580" s="12"/>
      <c r="D580" s="12"/>
      <c r="E580" s="12"/>
      <c r="F580" s="12"/>
      <c r="G580" s="18"/>
      <c r="H580" s="35"/>
      <c r="I580" s="12"/>
      <c r="M580" s="12"/>
      <c r="N580" s="18"/>
      <c r="O580" s="12"/>
      <c r="P580" s="12"/>
      <c r="Q580" s="12"/>
      <c r="R580" s="36"/>
      <c r="S580" s="36"/>
      <c r="T580" s="12"/>
      <c r="U580" s="12"/>
      <c r="V580" s="12"/>
      <c r="W580" s="12"/>
      <c r="X580" s="12"/>
    </row>
    <row r="581" customFormat="false" ht="15.75" hidden="false" customHeight="false" outlineLevel="0" collapsed="false">
      <c r="A581" s="12"/>
      <c r="B581" s="34"/>
      <c r="C581" s="12"/>
      <c r="D581" s="12"/>
      <c r="E581" s="12"/>
      <c r="F581" s="12"/>
      <c r="G581" s="18"/>
      <c r="H581" s="35"/>
      <c r="I581" s="12"/>
      <c r="M581" s="12"/>
      <c r="N581" s="18"/>
      <c r="O581" s="12"/>
      <c r="P581" s="12"/>
      <c r="Q581" s="12"/>
      <c r="R581" s="36"/>
      <c r="S581" s="36"/>
      <c r="T581" s="12"/>
      <c r="U581" s="12"/>
      <c r="V581" s="12"/>
      <c r="W581" s="12"/>
      <c r="X581" s="12"/>
    </row>
    <row r="582" customFormat="false" ht="15.75" hidden="false" customHeight="false" outlineLevel="0" collapsed="false">
      <c r="A582" s="12"/>
      <c r="B582" s="34"/>
      <c r="C582" s="12"/>
      <c r="D582" s="12"/>
      <c r="E582" s="12"/>
      <c r="F582" s="12"/>
      <c r="G582" s="18"/>
      <c r="H582" s="35"/>
      <c r="I582" s="12"/>
      <c r="M582" s="12"/>
      <c r="N582" s="18"/>
      <c r="O582" s="12"/>
      <c r="P582" s="12"/>
      <c r="Q582" s="12"/>
      <c r="R582" s="36"/>
      <c r="S582" s="36"/>
      <c r="T582" s="12"/>
      <c r="U582" s="12"/>
      <c r="V582" s="12"/>
      <c r="W582" s="12"/>
      <c r="X582" s="12"/>
    </row>
    <row r="583" customFormat="false" ht="15.75" hidden="false" customHeight="false" outlineLevel="0" collapsed="false">
      <c r="A583" s="12"/>
      <c r="B583" s="34"/>
      <c r="C583" s="12"/>
      <c r="D583" s="12"/>
      <c r="E583" s="12"/>
      <c r="F583" s="12"/>
      <c r="G583" s="18"/>
      <c r="H583" s="35"/>
      <c r="I583" s="12"/>
      <c r="M583" s="12"/>
      <c r="N583" s="18"/>
      <c r="O583" s="12"/>
      <c r="P583" s="12"/>
      <c r="Q583" s="12"/>
      <c r="R583" s="36"/>
      <c r="S583" s="36"/>
      <c r="T583" s="12"/>
      <c r="U583" s="12"/>
      <c r="V583" s="12"/>
      <c r="W583" s="12"/>
      <c r="X583" s="12"/>
    </row>
    <row r="584" customFormat="false" ht="15.75" hidden="false" customHeight="false" outlineLevel="0" collapsed="false">
      <c r="A584" s="12"/>
      <c r="B584" s="34"/>
      <c r="C584" s="12"/>
      <c r="D584" s="12"/>
      <c r="E584" s="12"/>
      <c r="F584" s="12"/>
      <c r="G584" s="18"/>
      <c r="H584" s="35"/>
      <c r="I584" s="12"/>
      <c r="M584" s="12"/>
      <c r="N584" s="18"/>
      <c r="O584" s="12"/>
      <c r="P584" s="12"/>
      <c r="Q584" s="12"/>
      <c r="R584" s="36"/>
      <c r="S584" s="36"/>
      <c r="T584" s="12"/>
      <c r="U584" s="12"/>
      <c r="V584" s="12"/>
      <c r="W584" s="12"/>
      <c r="X584" s="12"/>
    </row>
    <row r="585" customFormat="false" ht="15.75" hidden="false" customHeight="false" outlineLevel="0" collapsed="false">
      <c r="A585" s="12"/>
      <c r="B585" s="34"/>
      <c r="C585" s="12"/>
      <c r="D585" s="12"/>
      <c r="E585" s="12"/>
      <c r="F585" s="12"/>
      <c r="G585" s="18"/>
      <c r="H585" s="35"/>
      <c r="I585" s="12"/>
      <c r="M585" s="12"/>
      <c r="N585" s="18"/>
      <c r="O585" s="12"/>
      <c r="P585" s="12"/>
      <c r="Q585" s="12"/>
      <c r="R585" s="36"/>
      <c r="S585" s="36"/>
      <c r="T585" s="12"/>
      <c r="U585" s="12"/>
      <c r="V585" s="12"/>
      <c r="W585" s="12"/>
      <c r="X585" s="12"/>
    </row>
    <row r="586" customFormat="false" ht="15.75" hidden="false" customHeight="false" outlineLevel="0" collapsed="false">
      <c r="A586" s="12"/>
      <c r="B586" s="34"/>
      <c r="C586" s="12"/>
      <c r="D586" s="12"/>
      <c r="E586" s="12"/>
      <c r="F586" s="12"/>
      <c r="G586" s="18"/>
      <c r="H586" s="35"/>
      <c r="I586" s="12"/>
      <c r="M586" s="12"/>
      <c r="N586" s="18"/>
      <c r="O586" s="12"/>
      <c r="P586" s="12"/>
      <c r="Q586" s="12"/>
      <c r="R586" s="36"/>
      <c r="S586" s="36"/>
      <c r="T586" s="12"/>
      <c r="U586" s="12"/>
      <c r="V586" s="12"/>
      <c r="W586" s="12"/>
      <c r="X586" s="12"/>
    </row>
    <row r="587" customFormat="false" ht="15.75" hidden="false" customHeight="false" outlineLevel="0" collapsed="false">
      <c r="A587" s="12"/>
      <c r="B587" s="34"/>
      <c r="C587" s="12"/>
      <c r="D587" s="12"/>
      <c r="E587" s="12"/>
      <c r="F587" s="12"/>
      <c r="G587" s="18"/>
      <c r="H587" s="35"/>
      <c r="I587" s="12"/>
      <c r="M587" s="12"/>
      <c r="N587" s="18"/>
      <c r="O587" s="12"/>
      <c r="P587" s="12"/>
      <c r="Q587" s="12"/>
      <c r="R587" s="36"/>
      <c r="S587" s="36"/>
      <c r="T587" s="12"/>
      <c r="U587" s="12"/>
      <c r="V587" s="12"/>
      <c r="W587" s="12"/>
      <c r="X587" s="12"/>
    </row>
    <row r="588" customFormat="false" ht="15.75" hidden="false" customHeight="false" outlineLevel="0" collapsed="false">
      <c r="A588" s="12"/>
      <c r="B588" s="34"/>
      <c r="C588" s="12"/>
      <c r="D588" s="12"/>
      <c r="E588" s="12"/>
      <c r="F588" s="12"/>
      <c r="G588" s="18"/>
      <c r="H588" s="35"/>
      <c r="I588" s="12"/>
      <c r="M588" s="12"/>
      <c r="N588" s="18"/>
      <c r="O588" s="12"/>
      <c r="P588" s="12"/>
      <c r="Q588" s="12"/>
      <c r="R588" s="36"/>
      <c r="S588" s="36"/>
      <c r="T588" s="12"/>
      <c r="U588" s="12"/>
      <c r="V588" s="12"/>
      <c r="W588" s="12"/>
      <c r="X588" s="12"/>
    </row>
    <row r="589" customFormat="false" ht="15.75" hidden="false" customHeight="false" outlineLevel="0" collapsed="false">
      <c r="A589" s="12"/>
      <c r="B589" s="34"/>
      <c r="C589" s="12"/>
      <c r="D589" s="12"/>
      <c r="E589" s="12"/>
      <c r="F589" s="12"/>
      <c r="G589" s="18"/>
      <c r="H589" s="35"/>
      <c r="I589" s="12"/>
      <c r="M589" s="12"/>
      <c r="N589" s="18"/>
      <c r="O589" s="12"/>
      <c r="P589" s="12"/>
      <c r="Q589" s="12"/>
      <c r="R589" s="36"/>
      <c r="S589" s="36"/>
      <c r="T589" s="12"/>
      <c r="U589" s="12"/>
      <c r="V589" s="12"/>
      <c r="W589" s="12"/>
      <c r="X589" s="12"/>
    </row>
    <row r="590" customFormat="false" ht="15.75" hidden="false" customHeight="false" outlineLevel="0" collapsed="false">
      <c r="A590" s="12"/>
      <c r="B590" s="34"/>
      <c r="C590" s="12"/>
      <c r="D590" s="12"/>
      <c r="E590" s="12"/>
      <c r="F590" s="12"/>
      <c r="G590" s="18"/>
      <c r="H590" s="35"/>
      <c r="I590" s="12"/>
      <c r="M590" s="12"/>
      <c r="N590" s="18"/>
      <c r="O590" s="12"/>
      <c r="P590" s="12"/>
      <c r="Q590" s="12"/>
      <c r="R590" s="36"/>
      <c r="S590" s="36"/>
      <c r="T590" s="12"/>
      <c r="U590" s="12"/>
      <c r="V590" s="12"/>
      <c r="W590" s="12"/>
      <c r="X590" s="12"/>
    </row>
    <row r="591" customFormat="false" ht="15.75" hidden="false" customHeight="false" outlineLevel="0" collapsed="false">
      <c r="A591" s="12"/>
      <c r="B591" s="34"/>
      <c r="C591" s="12"/>
      <c r="D591" s="12"/>
      <c r="E591" s="12"/>
      <c r="F591" s="12"/>
      <c r="G591" s="18"/>
      <c r="H591" s="35"/>
      <c r="I591" s="12"/>
      <c r="M591" s="12"/>
      <c r="N591" s="18"/>
      <c r="O591" s="12"/>
      <c r="P591" s="12"/>
      <c r="Q591" s="12"/>
      <c r="R591" s="36"/>
      <c r="S591" s="36"/>
      <c r="T591" s="12"/>
      <c r="U591" s="12"/>
      <c r="V591" s="12"/>
      <c r="W591" s="12"/>
      <c r="X591" s="12"/>
    </row>
    <row r="592" customFormat="false" ht="15.75" hidden="false" customHeight="false" outlineLevel="0" collapsed="false">
      <c r="A592" s="12"/>
      <c r="B592" s="34"/>
      <c r="C592" s="12"/>
      <c r="D592" s="12"/>
      <c r="E592" s="12"/>
      <c r="F592" s="12"/>
      <c r="G592" s="18"/>
      <c r="H592" s="35"/>
      <c r="I592" s="12"/>
      <c r="M592" s="12"/>
      <c r="N592" s="18"/>
      <c r="O592" s="12"/>
      <c r="P592" s="12"/>
      <c r="Q592" s="12"/>
      <c r="R592" s="36"/>
      <c r="S592" s="36"/>
      <c r="T592" s="12"/>
      <c r="U592" s="12"/>
      <c r="V592" s="12"/>
      <c r="W592" s="12"/>
      <c r="X592" s="12"/>
    </row>
    <row r="593" customFormat="false" ht="15.75" hidden="false" customHeight="false" outlineLevel="0" collapsed="false">
      <c r="A593" s="12"/>
      <c r="B593" s="34"/>
      <c r="C593" s="12"/>
      <c r="D593" s="12"/>
      <c r="E593" s="12"/>
      <c r="F593" s="12"/>
      <c r="G593" s="18"/>
      <c r="H593" s="35"/>
      <c r="I593" s="12"/>
      <c r="M593" s="12"/>
      <c r="N593" s="18"/>
      <c r="O593" s="12"/>
      <c r="P593" s="12"/>
      <c r="Q593" s="12"/>
      <c r="R593" s="36"/>
      <c r="S593" s="36"/>
      <c r="T593" s="12"/>
      <c r="U593" s="12"/>
      <c r="V593" s="12"/>
      <c r="W593" s="12"/>
      <c r="X593" s="12"/>
    </row>
    <row r="594" customFormat="false" ht="15.75" hidden="false" customHeight="false" outlineLevel="0" collapsed="false">
      <c r="A594" s="12"/>
      <c r="B594" s="34"/>
      <c r="C594" s="12"/>
      <c r="D594" s="12"/>
      <c r="E594" s="12"/>
      <c r="F594" s="12"/>
      <c r="G594" s="18"/>
      <c r="H594" s="35"/>
      <c r="I594" s="12"/>
      <c r="M594" s="12"/>
      <c r="N594" s="18"/>
      <c r="O594" s="12"/>
      <c r="P594" s="12"/>
      <c r="Q594" s="12"/>
      <c r="R594" s="36"/>
      <c r="S594" s="36"/>
      <c r="T594" s="12"/>
      <c r="U594" s="12"/>
      <c r="V594" s="12"/>
      <c r="W594" s="12"/>
      <c r="X594" s="12"/>
    </row>
    <row r="595" customFormat="false" ht="15.75" hidden="false" customHeight="false" outlineLevel="0" collapsed="false">
      <c r="A595" s="12"/>
      <c r="B595" s="34"/>
      <c r="C595" s="12"/>
      <c r="D595" s="12"/>
      <c r="E595" s="12"/>
      <c r="F595" s="12"/>
      <c r="G595" s="18"/>
      <c r="H595" s="35"/>
      <c r="I595" s="12"/>
      <c r="M595" s="12"/>
      <c r="N595" s="18"/>
      <c r="O595" s="12"/>
      <c r="P595" s="12"/>
      <c r="Q595" s="12"/>
      <c r="R595" s="36"/>
      <c r="S595" s="36"/>
      <c r="T595" s="12"/>
      <c r="U595" s="12"/>
      <c r="V595" s="12"/>
      <c r="W595" s="12"/>
      <c r="X595" s="12"/>
    </row>
    <row r="596" customFormat="false" ht="15.75" hidden="false" customHeight="false" outlineLevel="0" collapsed="false">
      <c r="A596" s="12"/>
      <c r="B596" s="34"/>
      <c r="C596" s="12"/>
      <c r="D596" s="12"/>
      <c r="E596" s="12"/>
      <c r="F596" s="12"/>
      <c r="G596" s="18"/>
      <c r="H596" s="35"/>
      <c r="I596" s="12"/>
      <c r="M596" s="12"/>
      <c r="N596" s="18"/>
      <c r="O596" s="12"/>
      <c r="P596" s="12"/>
      <c r="Q596" s="12"/>
      <c r="R596" s="36"/>
      <c r="S596" s="36"/>
      <c r="T596" s="12"/>
      <c r="U596" s="12"/>
      <c r="V596" s="12"/>
      <c r="W596" s="12"/>
      <c r="X596" s="12"/>
    </row>
    <row r="597" customFormat="false" ht="15.75" hidden="false" customHeight="false" outlineLevel="0" collapsed="false">
      <c r="A597" s="12"/>
      <c r="B597" s="34"/>
      <c r="C597" s="12"/>
      <c r="D597" s="12"/>
      <c r="E597" s="12"/>
      <c r="F597" s="12"/>
      <c r="G597" s="18"/>
      <c r="H597" s="35"/>
      <c r="I597" s="12"/>
      <c r="M597" s="12"/>
      <c r="N597" s="18"/>
      <c r="O597" s="12"/>
      <c r="P597" s="12"/>
      <c r="Q597" s="12"/>
      <c r="R597" s="36"/>
      <c r="S597" s="36"/>
      <c r="T597" s="12"/>
      <c r="U597" s="12"/>
      <c r="V597" s="12"/>
      <c r="W597" s="12"/>
      <c r="X597" s="12"/>
    </row>
    <row r="598" customFormat="false" ht="15.75" hidden="false" customHeight="false" outlineLevel="0" collapsed="false">
      <c r="A598" s="12"/>
      <c r="B598" s="34"/>
      <c r="C598" s="12"/>
      <c r="D598" s="12"/>
      <c r="E598" s="12"/>
      <c r="F598" s="12"/>
      <c r="G598" s="18"/>
      <c r="H598" s="35"/>
      <c r="I598" s="12"/>
      <c r="M598" s="12"/>
      <c r="N598" s="18"/>
      <c r="O598" s="12"/>
      <c r="P598" s="12"/>
      <c r="Q598" s="12"/>
      <c r="R598" s="36"/>
      <c r="S598" s="36"/>
      <c r="T598" s="12"/>
      <c r="U598" s="12"/>
      <c r="V598" s="12"/>
      <c r="W598" s="12"/>
      <c r="X598" s="12"/>
    </row>
    <row r="599" customFormat="false" ht="15.75" hidden="false" customHeight="false" outlineLevel="0" collapsed="false">
      <c r="A599" s="12"/>
      <c r="B599" s="34"/>
      <c r="C599" s="12"/>
      <c r="D599" s="12"/>
      <c r="E599" s="12"/>
      <c r="F599" s="12"/>
      <c r="G599" s="18"/>
      <c r="H599" s="35"/>
      <c r="I599" s="12"/>
      <c r="M599" s="12"/>
      <c r="N599" s="18"/>
      <c r="O599" s="12"/>
      <c r="P599" s="12"/>
      <c r="Q599" s="12"/>
      <c r="R599" s="36"/>
      <c r="S599" s="36"/>
      <c r="T599" s="12"/>
      <c r="U599" s="12"/>
      <c r="V599" s="12"/>
      <c r="W599" s="12"/>
      <c r="X599" s="12"/>
    </row>
    <row r="600" customFormat="false" ht="15.75" hidden="false" customHeight="false" outlineLevel="0" collapsed="false">
      <c r="A600" s="12"/>
      <c r="B600" s="34"/>
      <c r="C600" s="12"/>
      <c r="D600" s="12"/>
      <c r="E600" s="12"/>
      <c r="F600" s="12"/>
      <c r="G600" s="18"/>
      <c r="H600" s="35"/>
      <c r="I600" s="12"/>
      <c r="M600" s="12"/>
      <c r="N600" s="18"/>
      <c r="O600" s="12"/>
      <c r="P600" s="12"/>
      <c r="Q600" s="12"/>
      <c r="R600" s="36"/>
      <c r="S600" s="36"/>
      <c r="T600" s="12"/>
      <c r="U600" s="12"/>
      <c r="V600" s="12"/>
      <c r="W600" s="12"/>
      <c r="X600" s="12"/>
    </row>
    <row r="601" customFormat="false" ht="15.75" hidden="false" customHeight="false" outlineLevel="0" collapsed="false">
      <c r="A601" s="12"/>
      <c r="B601" s="34"/>
      <c r="C601" s="12"/>
      <c r="D601" s="12"/>
      <c r="E601" s="12"/>
      <c r="F601" s="12"/>
      <c r="G601" s="18"/>
      <c r="H601" s="35"/>
      <c r="I601" s="12"/>
      <c r="M601" s="12"/>
      <c r="N601" s="18"/>
      <c r="O601" s="12"/>
      <c r="P601" s="12"/>
      <c r="Q601" s="12"/>
      <c r="R601" s="36"/>
      <c r="S601" s="36"/>
      <c r="T601" s="12"/>
      <c r="U601" s="12"/>
      <c r="V601" s="12"/>
      <c r="W601" s="12"/>
      <c r="X601" s="12"/>
    </row>
    <row r="602" customFormat="false" ht="15.75" hidden="false" customHeight="false" outlineLevel="0" collapsed="false">
      <c r="A602" s="12"/>
      <c r="B602" s="34"/>
      <c r="C602" s="12"/>
      <c r="D602" s="12"/>
      <c r="E602" s="12"/>
      <c r="F602" s="12"/>
      <c r="G602" s="18"/>
      <c r="H602" s="35"/>
      <c r="I602" s="12"/>
      <c r="M602" s="12"/>
      <c r="N602" s="18"/>
      <c r="O602" s="12"/>
      <c r="P602" s="12"/>
      <c r="Q602" s="12"/>
      <c r="R602" s="36"/>
      <c r="S602" s="36"/>
      <c r="T602" s="12"/>
      <c r="U602" s="12"/>
      <c r="V602" s="12"/>
      <c r="W602" s="12"/>
      <c r="X602" s="12"/>
    </row>
    <row r="603" customFormat="false" ht="15.75" hidden="false" customHeight="false" outlineLevel="0" collapsed="false">
      <c r="A603" s="12"/>
      <c r="B603" s="34"/>
      <c r="C603" s="12"/>
      <c r="D603" s="12"/>
      <c r="E603" s="12"/>
      <c r="F603" s="12"/>
      <c r="G603" s="18"/>
      <c r="H603" s="35"/>
      <c r="I603" s="12"/>
      <c r="M603" s="12"/>
      <c r="N603" s="18"/>
      <c r="O603" s="12"/>
      <c r="P603" s="12"/>
      <c r="Q603" s="12"/>
      <c r="R603" s="36"/>
      <c r="S603" s="36"/>
      <c r="T603" s="12"/>
      <c r="U603" s="12"/>
      <c r="V603" s="12"/>
      <c r="W603" s="12"/>
      <c r="X603" s="12"/>
    </row>
    <row r="604" customFormat="false" ht="15.75" hidden="false" customHeight="false" outlineLevel="0" collapsed="false">
      <c r="A604" s="12"/>
      <c r="B604" s="34"/>
      <c r="C604" s="12"/>
      <c r="D604" s="12"/>
      <c r="E604" s="12"/>
      <c r="F604" s="12"/>
      <c r="G604" s="18"/>
      <c r="H604" s="35"/>
      <c r="I604" s="12"/>
      <c r="M604" s="12"/>
      <c r="N604" s="18"/>
      <c r="O604" s="12"/>
      <c r="P604" s="12"/>
      <c r="Q604" s="12"/>
      <c r="R604" s="36"/>
      <c r="S604" s="36"/>
      <c r="T604" s="12"/>
      <c r="U604" s="12"/>
      <c r="V604" s="12"/>
      <c r="W604" s="12"/>
      <c r="X604" s="12"/>
    </row>
    <row r="605" customFormat="false" ht="15.75" hidden="false" customHeight="false" outlineLevel="0" collapsed="false">
      <c r="A605" s="12"/>
      <c r="B605" s="34"/>
      <c r="C605" s="12"/>
      <c r="D605" s="12"/>
      <c r="E605" s="12"/>
      <c r="F605" s="12"/>
      <c r="G605" s="18"/>
      <c r="H605" s="35"/>
      <c r="I605" s="12"/>
      <c r="M605" s="12"/>
      <c r="N605" s="18"/>
      <c r="O605" s="12"/>
      <c r="P605" s="12"/>
      <c r="Q605" s="12"/>
      <c r="R605" s="36"/>
      <c r="S605" s="36"/>
      <c r="T605" s="12"/>
      <c r="U605" s="12"/>
      <c r="V605" s="12"/>
      <c r="W605" s="12"/>
      <c r="X605" s="12"/>
    </row>
    <row r="606" customFormat="false" ht="15.75" hidden="false" customHeight="false" outlineLevel="0" collapsed="false">
      <c r="A606" s="12"/>
      <c r="B606" s="34"/>
      <c r="C606" s="12"/>
      <c r="D606" s="12"/>
      <c r="E606" s="12"/>
      <c r="F606" s="12"/>
      <c r="G606" s="18"/>
      <c r="H606" s="35"/>
      <c r="I606" s="12"/>
      <c r="M606" s="12"/>
      <c r="N606" s="18"/>
      <c r="O606" s="12"/>
      <c r="P606" s="12"/>
      <c r="Q606" s="12"/>
      <c r="R606" s="36"/>
      <c r="S606" s="36"/>
      <c r="T606" s="12"/>
      <c r="U606" s="12"/>
      <c r="V606" s="12"/>
      <c r="W606" s="12"/>
      <c r="X606" s="12"/>
    </row>
    <row r="607" customFormat="false" ht="15.75" hidden="false" customHeight="false" outlineLevel="0" collapsed="false">
      <c r="A607" s="12"/>
      <c r="B607" s="34"/>
      <c r="C607" s="12"/>
      <c r="D607" s="12"/>
      <c r="E607" s="12"/>
      <c r="F607" s="12"/>
      <c r="G607" s="18"/>
      <c r="H607" s="35"/>
      <c r="I607" s="12"/>
      <c r="M607" s="12"/>
      <c r="N607" s="18"/>
      <c r="O607" s="12"/>
      <c r="P607" s="12"/>
      <c r="Q607" s="12"/>
      <c r="R607" s="36"/>
      <c r="S607" s="36"/>
      <c r="T607" s="12"/>
      <c r="U607" s="12"/>
      <c r="V607" s="12"/>
      <c r="W607" s="12"/>
      <c r="X607" s="12"/>
    </row>
    <row r="608" customFormat="false" ht="15.75" hidden="false" customHeight="false" outlineLevel="0" collapsed="false">
      <c r="A608" s="12"/>
      <c r="B608" s="34"/>
      <c r="C608" s="12"/>
      <c r="D608" s="12"/>
      <c r="E608" s="12"/>
      <c r="F608" s="12"/>
      <c r="G608" s="18"/>
      <c r="H608" s="35"/>
      <c r="I608" s="12"/>
      <c r="M608" s="12"/>
      <c r="N608" s="18"/>
      <c r="O608" s="12"/>
      <c r="P608" s="12"/>
      <c r="Q608" s="12"/>
      <c r="R608" s="36"/>
      <c r="S608" s="36"/>
      <c r="T608" s="12"/>
      <c r="U608" s="12"/>
      <c r="V608" s="12"/>
      <c r="W608" s="12"/>
      <c r="X608" s="12"/>
    </row>
    <row r="609" customFormat="false" ht="15.75" hidden="false" customHeight="false" outlineLevel="0" collapsed="false">
      <c r="A609" s="12"/>
      <c r="B609" s="34"/>
      <c r="C609" s="12"/>
      <c r="D609" s="12"/>
      <c r="E609" s="12"/>
      <c r="F609" s="12"/>
      <c r="G609" s="18"/>
      <c r="H609" s="35"/>
      <c r="I609" s="12"/>
      <c r="M609" s="12"/>
      <c r="N609" s="18"/>
      <c r="O609" s="12"/>
      <c r="P609" s="12"/>
      <c r="Q609" s="12"/>
      <c r="R609" s="36"/>
      <c r="S609" s="36"/>
      <c r="T609" s="12"/>
      <c r="U609" s="12"/>
      <c r="V609" s="12"/>
      <c r="W609" s="12"/>
      <c r="X609" s="12"/>
    </row>
    <row r="610" customFormat="false" ht="15.75" hidden="false" customHeight="false" outlineLevel="0" collapsed="false">
      <c r="A610" s="12"/>
      <c r="B610" s="34"/>
      <c r="C610" s="12"/>
      <c r="D610" s="12"/>
      <c r="E610" s="12"/>
      <c r="F610" s="12"/>
      <c r="G610" s="18"/>
      <c r="H610" s="35"/>
      <c r="I610" s="12"/>
      <c r="M610" s="12"/>
      <c r="N610" s="18"/>
      <c r="O610" s="12"/>
      <c r="P610" s="12"/>
      <c r="Q610" s="12"/>
      <c r="R610" s="36"/>
      <c r="S610" s="36"/>
      <c r="T610" s="12"/>
      <c r="U610" s="12"/>
      <c r="V610" s="12"/>
      <c r="W610" s="12"/>
      <c r="X610" s="12"/>
    </row>
    <row r="611" customFormat="false" ht="15.75" hidden="false" customHeight="false" outlineLevel="0" collapsed="false">
      <c r="A611" s="12"/>
      <c r="B611" s="34"/>
      <c r="C611" s="12"/>
      <c r="D611" s="12"/>
      <c r="E611" s="12"/>
      <c r="F611" s="12"/>
      <c r="G611" s="18"/>
      <c r="H611" s="35"/>
      <c r="I611" s="12"/>
      <c r="M611" s="12"/>
      <c r="N611" s="18"/>
      <c r="O611" s="12"/>
      <c r="P611" s="12"/>
      <c r="Q611" s="12"/>
      <c r="R611" s="36"/>
      <c r="S611" s="36"/>
      <c r="T611" s="12"/>
      <c r="U611" s="12"/>
      <c r="V611" s="12"/>
      <c r="W611" s="12"/>
      <c r="X611" s="12"/>
    </row>
    <row r="612" customFormat="false" ht="15.75" hidden="false" customHeight="false" outlineLevel="0" collapsed="false">
      <c r="A612" s="12"/>
      <c r="B612" s="34"/>
      <c r="C612" s="12"/>
      <c r="D612" s="12"/>
      <c r="E612" s="12"/>
      <c r="F612" s="12"/>
      <c r="G612" s="18"/>
      <c r="H612" s="35"/>
      <c r="I612" s="12"/>
      <c r="M612" s="12"/>
      <c r="N612" s="18"/>
      <c r="O612" s="12"/>
      <c r="P612" s="12"/>
      <c r="Q612" s="12"/>
      <c r="R612" s="36"/>
      <c r="S612" s="36"/>
      <c r="T612" s="12"/>
      <c r="U612" s="12"/>
      <c r="V612" s="12"/>
      <c r="W612" s="12"/>
      <c r="X612" s="12"/>
    </row>
    <row r="613" customFormat="false" ht="15.75" hidden="false" customHeight="false" outlineLevel="0" collapsed="false">
      <c r="A613" s="12"/>
      <c r="B613" s="34"/>
      <c r="C613" s="12"/>
      <c r="D613" s="12"/>
      <c r="E613" s="12"/>
      <c r="F613" s="12"/>
      <c r="G613" s="18"/>
      <c r="H613" s="35"/>
      <c r="I613" s="12"/>
      <c r="M613" s="12"/>
      <c r="N613" s="18"/>
      <c r="O613" s="12"/>
      <c r="P613" s="12"/>
      <c r="Q613" s="12"/>
      <c r="R613" s="36"/>
      <c r="S613" s="36"/>
      <c r="T613" s="12"/>
      <c r="U613" s="12"/>
      <c r="V613" s="12"/>
      <c r="W613" s="12"/>
      <c r="X613" s="12"/>
    </row>
    <row r="614" customFormat="false" ht="15.75" hidden="false" customHeight="false" outlineLevel="0" collapsed="false">
      <c r="A614" s="12"/>
      <c r="B614" s="34"/>
      <c r="C614" s="12"/>
      <c r="D614" s="12"/>
      <c r="E614" s="12"/>
      <c r="F614" s="12"/>
      <c r="G614" s="18"/>
      <c r="H614" s="35"/>
      <c r="I614" s="12"/>
      <c r="M614" s="12"/>
      <c r="N614" s="18"/>
      <c r="O614" s="12"/>
      <c r="P614" s="12"/>
      <c r="Q614" s="12"/>
      <c r="R614" s="36"/>
      <c r="S614" s="36"/>
      <c r="T614" s="12"/>
      <c r="U614" s="12"/>
      <c r="V614" s="12"/>
      <c r="W614" s="12"/>
      <c r="X614" s="12"/>
    </row>
    <row r="615" customFormat="false" ht="15.75" hidden="false" customHeight="false" outlineLevel="0" collapsed="false">
      <c r="A615" s="12"/>
      <c r="B615" s="34"/>
      <c r="C615" s="12"/>
      <c r="D615" s="12"/>
      <c r="E615" s="12"/>
      <c r="F615" s="12"/>
      <c r="G615" s="18"/>
      <c r="H615" s="35"/>
      <c r="I615" s="12"/>
      <c r="M615" s="12"/>
      <c r="N615" s="18"/>
      <c r="O615" s="12"/>
      <c r="P615" s="12"/>
      <c r="Q615" s="12"/>
      <c r="R615" s="36"/>
      <c r="S615" s="36"/>
      <c r="T615" s="12"/>
      <c r="U615" s="12"/>
      <c r="V615" s="12"/>
      <c r="W615" s="12"/>
      <c r="X615" s="12"/>
    </row>
    <row r="616" customFormat="false" ht="15.75" hidden="false" customHeight="false" outlineLevel="0" collapsed="false">
      <c r="A616" s="12"/>
      <c r="B616" s="34"/>
      <c r="C616" s="12"/>
      <c r="D616" s="12"/>
      <c r="E616" s="12"/>
      <c r="F616" s="12"/>
      <c r="G616" s="18"/>
      <c r="H616" s="35"/>
      <c r="I616" s="12"/>
      <c r="M616" s="12"/>
      <c r="N616" s="18"/>
      <c r="O616" s="12"/>
      <c r="P616" s="12"/>
      <c r="Q616" s="12"/>
      <c r="R616" s="36"/>
      <c r="S616" s="36"/>
      <c r="T616" s="12"/>
      <c r="U616" s="12"/>
      <c r="V616" s="12"/>
      <c r="W616" s="12"/>
      <c r="X616" s="12"/>
    </row>
    <row r="617" customFormat="false" ht="15.75" hidden="false" customHeight="false" outlineLevel="0" collapsed="false">
      <c r="A617" s="12"/>
      <c r="B617" s="34"/>
      <c r="C617" s="12"/>
      <c r="D617" s="12"/>
      <c r="E617" s="12"/>
      <c r="F617" s="12"/>
      <c r="G617" s="18"/>
      <c r="H617" s="35"/>
      <c r="I617" s="12"/>
      <c r="M617" s="12"/>
      <c r="N617" s="18"/>
      <c r="O617" s="12"/>
      <c r="P617" s="12"/>
      <c r="Q617" s="12"/>
      <c r="R617" s="36"/>
      <c r="S617" s="36"/>
      <c r="T617" s="12"/>
      <c r="U617" s="12"/>
      <c r="V617" s="12"/>
      <c r="W617" s="12"/>
      <c r="X617" s="12"/>
    </row>
    <row r="618" customFormat="false" ht="15.75" hidden="false" customHeight="false" outlineLevel="0" collapsed="false">
      <c r="A618" s="12"/>
      <c r="B618" s="34"/>
      <c r="C618" s="12"/>
      <c r="D618" s="12"/>
      <c r="E618" s="12"/>
      <c r="F618" s="12"/>
      <c r="G618" s="18"/>
      <c r="H618" s="35"/>
      <c r="I618" s="12"/>
      <c r="M618" s="12"/>
      <c r="N618" s="18"/>
      <c r="O618" s="12"/>
      <c r="P618" s="12"/>
      <c r="Q618" s="12"/>
      <c r="R618" s="36"/>
      <c r="S618" s="36"/>
      <c r="T618" s="12"/>
      <c r="U618" s="12"/>
      <c r="V618" s="12"/>
      <c r="W618" s="12"/>
      <c r="X618" s="12"/>
    </row>
    <row r="619" customFormat="false" ht="15.75" hidden="false" customHeight="false" outlineLevel="0" collapsed="false">
      <c r="A619" s="12"/>
      <c r="B619" s="34"/>
      <c r="C619" s="12"/>
      <c r="D619" s="12"/>
      <c r="E619" s="12"/>
      <c r="F619" s="12"/>
      <c r="G619" s="18"/>
      <c r="H619" s="35"/>
      <c r="I619" s="12"/>
      <c r="M619" s="12"/>
      <c r="N619" s="18"/>
      <c r="O619" s="12"/>
      <c r="P619" s="12"/>
      <c r="Q619" s="12"/>
      <c r="R619" s="36"/>
      <c r="S619" s="36"/>
      <c r="T619" s="12"/>
      <c r="U619" s="12"/>
      <c r="V619" s="12"/>
      <c r="W619" s="12"/>
      <c r="X619" s="12"/>
    </row>
    <row r="620" customFormat="false" ht="15.75" hidden="false" customHeight="false" outlineLevel="0" collapsed="false">
      <c r="A620" s="12"/>
      <c r="B620" s="34"/>
      <c r="C620" s="12"/>
      <c r="D620" s="12"/>
      <c r="E620" s="12"/>
      <c r="F620" s="12"/>
      <c r="G620" s="18"/>
      <c r="H620" s="35"/>
      <c r="I620" s="12"/>
      <c r="M620" s="12"/>
      <c r="N620" s="18"/>
      <c r="O620" s="12"/>
      <c r="P620" s="12"/>
      <c r="Q620" s="12"/>
      <c r="R620" s="36"/>
      <c r="S620" s="36"/>
      <c r="T620" s="12"/>
      <c r="U620" s="12"/>
      <c r="V620" s="12"/>
      <c r="W620" s="12"/>
      <c r="X620" s="12"/>
    </row>
    <row r="621" customFormat="false" ht="15.75" hidden="false" customHeight="false" outlineLevel="0" collapsed="false">
      <c r="A621" s="12"/>
      <c r="B621" s="34"/>
      <c r="C621" s="12"/>
      <c r="D621" s="12"/>
      <c r="E621" s="12"/>
      <c r="F621" s="12"/>
      <c r="G621" s="18"/>
      <c r="H621" s="35"/>
      <c r="I621" s="12"/>
      <c r="M621" s="12"/>
      <c r="N621" s="18"/>
      <c r="O621" s="12"/>
      <c r="P621" s="12"/>
      <c r="Q621" s="12"/>
      <c r="R621" s="36"/>
      <c r="S621" s="36"/>
      <c r="T621" s="12"/>
      <c r="U621" s="12"/>
      <c r="V621" s="12"/>
      <c r="W621" s="12"/>
      <c r="X621" s="12"/>
    </row>
    <row r="622" customFormat="false" ht="15.75" hidden="false" customHeight="false" outlineLevel="0" collapsed="false">
      <c r="A622" s="12"/>
      <c r="B622" s="34"/>
      <c r="C622" s="12"/>
      <c r="D622" s="12"/>
      <c r="E622" s="12"/>
      <c r="F622" s="12"/>
      <c r="G622" s="18"/>
      <c r="H622" s="35"/>
      <c r="I622" s="12"/>
      <c r="M622" s="12"/>
      <c r="N622" s="18"/>
      <c r="O622" s="12"/>
      <c r="P622" s="12"/>
      <c r="Q622" s="12"/>
      <c r="R622" s="36"/>
      <c r="S622" s="36"/>
      <c r="T622" s="12"/>
      <c r="U622" s="12"/>
      <c r="V622" s="12"/>
      <c r="W622" s="12"/>
      <c r="X622" s="12"/>
    </row>
    <row r="623" customFormat="false" ht="15.75" hidden="false" customHeight="false" outlineLevel="0" collapsed="false">
      <c r="A623" s="12"/>
      <c r="B623" s="34"/>
      <c r="C623" s="12"/>
      <c r="D623" s="12"/>
      <c r="E623" s="12"/>
      <c r="F623" s="12"/>
      <c r="G623" s="18"/>
      <c r="H623" s="35"/>
      <c r="I623" s="12"/>
      <c r="M623" s="12"/>
      <c r="N623" s="18"/>
      <c r="O623" s="12"/>
      <c r="P623" s="12"/>
      <c r="Q623" s="12"/>
      <c r="R623" s="36"/>
      <c r="S623" s="36"/>
      <c r="T623" s="12"/>
      <c r="U623" s="12"/>
      <c r="V623" s="12"/>
      <c r="W623" s="12"/>
      <c r="X623" s="12"/>
    </row>
    <row r="624" customFormat="false" ht="15.75" hidden="false" customHeight="false" outlineLevel="0" collapsed="false">
      <c r="A624" s="12"/>
      <c r="B624" s="34"/>
      <c r="C624" s="12"/>
      <c r="D624" s="12"/>
      <c r="E624" s="12"/>
      <c r="F624" s="12"/>
      <c r="G624" s="18"/>
      <c r="H624" s="35"/>
      <c r="I624" s="12"/>
      <c r="M624" s="12"/>
      <c r="N624" s="18"/>
      <c r="O624" s="12"/>
      <c r="P624" s="12"/>
      <c r="Q624" s="12"/>
      <c r="R624" s="36"/>
      <c r="S624" s="36"/>
      <c r="T624" s="12"/>
      <c r="U624" s="12"/>
      <c r="V624" s="12"/>
      <c r="W624" s="12"/>
      <c r="X624" s="12"/>
    </row>
    <row r="625" customFormat="false" ht="15.75" hidden="false" customHeight="false" outlineLevel="0" collapsed="false">
      <c r="A625" s="12"/>
      <c r="B625" s="34"/>
      <c r="C625" s="12"/>
      <c r="D625" s="12"/>
      <c r="E625" s="12"/>
      <c r="F625" s="12"/>
      <c r="G625" s="18"/>
      <c r="H625" s="35"/>
      <c r="I625" s="12"/>
      <c r="M625" s="12"/>
      <c r="N625" s="18"/>
      <c r="O625" s="12"/>
      <c r="P625" s="12"/>
      <c r="Q625" s="12"/>
      <c r="R625" s="36"/>
      <c r="S625" s="36"/>
      <c r="T625" s="12"/>
      <c r="U625" s="12"/>
      <c r="V625" s="12"/>
      <c r="W625" s="12"/>
      <c r="X625" s="12"/>
    </row>
    <row r="626" customFormat="false" ht="15.75" hidden="false" customHeight="false" outlineLevel="0" collapsed="false">
      <c r="A626" s="12"/>
      <c r="B626" s="34"/>
      <c r="C626" s="12"/>
      <c r="D626" s="12"/>
      <c r="E626" s="12"/>
      <c r="F626" s="12"/>
      <c r="G626" s="18"/>
      <c r="H626" s="35"/>
      <c r="I626" s="12"/>
      <c r="M626" s="12"/>
      <c r="N626" s="18"/>
      <c r="O626" s="12"/>
      <c r="P626" s="12"/>
      <c r="Q626" s="12"/>
      <c r="R626" s="36"/>
      <c r="S626" s="36"/>
      <c r="T626" s="12"/>
      <c r="U626" s="12"/>
      <c r="V626" s="12"/>
      <c r="W626" s="12"/>
      <c r="X626" s="12"/>
    </row>
    <row r="627" customFormat="false" ht="15.75" hidden="false" customHeight="false" outlineLevel="0" collapsed="false">
      <c r="A627" s="12"/>
      <c r="B627" s="34"/>
      <c r="C627" s="12"/>
      <c r="D627" s="12"/>
      <c r="E627" s="12"/>
      <c r="F627" s="12"/>
      <c r="G627" s="18"/>
      <c r="H627" s="35"/>
      <c r="I627" s="12"/>
      <c r="M627" s="12"/>
      <c r="N627" s="18"/>
      <c r="O627" s="12"/>
      <c r="P627" s="12"/>
      <c r="Q627" s="12"/>
      <c r="R627" s="36"/>
      <c r="S627" s="36"/>
      <c r="T627" s="12"/>
      <c r="U627" s="12"/>
      <c r="V627" s="12"/>
      <c r="W627" s="12"/>
      <c r="X627" s="12"/>
    </row>
    <row r="628" customFormat="false" ht="15.75" hidden="false" customHeight="false" outlineLevel="0" collapsed="false">
      <c r="A628" s="12"/>
      <c r="B628" s="34"/>
      <c r="C628" s="12"/>
      <c r="D628" s="12"/>
      <c r="E628" s="12"/>
      <c r="F628" s="12"/>
      <c r="G628" s="18"/>
      <c r="H628" s="35"/>
      <c r="I628" s="12"/>
      <c r="M628" s="12"/>
      <c r="N628" s="18"/>
      <c r="O628" s="12"/>
      <c r="P628" s="12"/>
      <c r="Q628" s="12"/>
      <c r="R628" s="36"/>
      <c r="S628" s="36"/>
      <c r="T628" s="12"/>
      <c r="U628" s="12"/>
      <c r="V628" s="12"/>
      <c r="W628" s="12"/>
      <c r="X628" s="12"/>
    </row>
    <row r="629" customFormat="false" ht="15.75" hidden="false" customHeight="false" outlineLevel="0" collapsed="false">
      <c r="A629" s="12"/>
      <c r="B629" s="34"/>
      <c r="C629" s="12"/>
      <c r="D629" s="12"/>
      <c r="E629" s="12"/>
      <c r="F629" s="12"/>
      <c r="G629" s="18"/>
      <c r="H629" s="35"/>
      <c r="I629" s="12"/>
      <c r="M629" s="12"/>
      <c r="N629" s="18"/>
      <c r="O629" s="12"/>
      <c r="P629" s="12"/>
      <c r="Q629" s="12"/>
      <c r="R629" s="36"/>
      <c r="S629" s="36"/>
      <c r="T629" s="12"/>
      <c r="U629" s="12"/>
      <c r="V629" s="12"/>
      <c r="W629" s="12"/>
      <c r="X629" s="12"/>
    </row>
    <row r="630" customFormat="false" ht="15.75" hidden="false" customHeight="false" outlineLevel="0" collapsed="false">
      <c r="A630" s="12"/>
      <c r="B630" s="34"/>
      <c r="C630" s="12"/>
      <c r="D630" s="12"/>
      <c r="E630" s="12"/>
      <c r="F630" s="12"/>
      <c r="G630" s="18"/>
      <c r="H630" s="35"/>
      <c r="I630" s="12"/>
      <c r="M630" s="12"/>
      <c r="N630" s="18"/>
      <c r="O630" s="12"/>
      <c r="P630" s="12"/>
      <c r="Q630" s="12"/>
      <c r="R630" s="36"/>
      <c r="S630" s="36"/>
      <c r="T630" s="12"/>
      <c r="U630" s="12"/>
      <c r="V630" s="12"/>
      <c r="W630" s="12"/>
      <c r="X630" s="12"/>
    </row>
    <row r="631" customFormat="false" ht="15.75" hidden="false" customHeight="false" outlineLevel="0" collapsed="false">
      <c r="A631" s="12"/>
      <c r="B631" s="34"/>
      <c r="C631" s="12"/>
      <c r="D631" s="12"/>
      <c r="E631" s="12"/>
      <c r="F631" s="12"/>
      <c r="G631" s="18"/>
      <c r="H631" s="35"/>
      <c r="I631" s="12"/>
      <c r="M631" s="12"/>
      <c r="N631" s="18"/>
      <c r="O631" s="12"/>
      <c r="P631" s="12"/>
      <c r="Q631" s="12"/>
      <c r="R631" s="36"/>
      <c r="S631" s="36"/>
      <c r="T631" s="12"/>
      <c r="U631" s="12"/>
      <c r="V631" s="12"/>
      <c r="W631" s="12"/>
      <c r="X631" s="12"/>
    </row>
    <row r="632" customFormat="false" ht="15.75" hidden="false" customHeight="false" outlineLevel="0" collapsed="false">
      <c r="A632" s="12"/>
      <c r="B632" s="34"/>
      <c r="C632" s="12"/>
      <c r="D632" s="12"/>
      <c r="E632" s="12"/>
      <c r="F632" s="12"/>
      <c r="G632" s="18"/>
      <c r="H632" s="35"/>
      <c r="I632" s="12"/>
      <c r="M632" s="12"/>
      <c r="N632" s="18"/>
      <c r="O632" s="12"/>
      <c r="P632" s="12"/>
      <c r="Q632" s="12"/>
      <c r="R632" s="36"/>
      <c r="S632" s="36"/>
      <c r="T632" s="12"/>
      <c r="U632" s="12"/>
      <c r="V632" s="12"/>
      <c r="W632" s="12"/>
      <c r="X632" s="12"/>
    </row>
    <row r="633" customFormat="false" ht="15.75" hidden="false" customHeight="false" outlineLevel="0" collapsed="false">
      <c r="A633" s="12"/>
      <c r="B633" s="34"/>
      <c r="C633" s="12"/>
      <c r="D633" s="12"/>
      <c r="E633" s="12"/>
      <c r="F633" s="12"/>
      <c r="G633" s="18"/>
      <c r="H633" s="35"/>
      <c r="I633" s="12"/>
      <c r="M633" s="12"/>
      <c r="N633" s="18"/>
      <c r="O633" s="12"/>
      <c r="P633" s="12"/>
      <c r="Q633" s="12"/>
      <c r="R633" s="36"/>
      <c r="S633" s="36"/>
      <c r="T633" s="12"/>
      <c r="U633" s="12"/>
      <c r="V633" s="12"/>
      <c r="W633" s="12"/>
      <c r="X633" s="12"/>
    </row>
    <row r="634" customFormat="false" ht="15.75" hidden="false" customHeight="false" outlineLevel="0" collapsed="false">
      <c r="A634" s="12"/>
      <c r="B634" s="34"/>
      <c r="C634" s="12"/>
      <c r="D634" s="12"/>
      <c r="E634" s="12"/>
      <c r="F634" s="12"/>
      <c r="G634" s="18"/>
      <c r="H634" s="35"/>
      <c r="I634" s="12"/>
      <c r="M634" s="12"/>
      <c r="N634" s="18"/>
      <c r="O634" s="12"/>
      <c r="P634" s="12"/>
      <c r="Q634" s="12"/>
      <c r="R634" s="36"/>
      <c r="S634" s="36"/>
      <c r="T634" s="12"/>
      <c r="U634" s="12"/>
      <c r="V634" s="12"/>
      <c r="W634" s="12"/>
      <c r="X634" s="12"/>
    </row>
    <row r="635" customFormat="false" ht="15.75" hidden="false" customHeight="false" outlineLevel="0" collapsed="false">
      <c r="A635" s="12"/>
      <c r="B635" s="34"/>
      <c r="C635" s="12"/>
      <c r="D635" s="12"/>
      <c r="E635" s="12"/>
      <c r="F635" s="12"/>
      <c r="G635" s="18"/>
      <c r="H635" s="35"/>
      <c r="I635" s="12"/>
      <c r="M635" s="12"/>
      <c r="N635" s="18"/>
      <c r="O635" s="12"/>
      <c r="P635" s="12"/>
      <c r="Q635" s="12"/>
      <c r="R635" s="36"/>
      <c r="S635" s="36"/>
      <c r="T635" s="12"/>
      <c r="U635" s="12"/>
      <c r="V635" s="12"/>
      <c r="W635" s="12"/>
      <c r="X635" s="12"/>
    </row>
    <row r="636" customFormat="false" ht="15.75" hidden="false" customHeight="false" outlineLevel="0" collapsed="false">
      <c r="A636" s="12"/>
      <c r="B636" s="34"/>
      <c r="C636" s="12"/>
      <c r="D636" s="12"/>
      <c r="E636" s="12"/>
      <c r="F636" s="12"/>
      <c r="G636" s="18"/>
      <c r="H636" s="35"/>
      <c r="I636" s="12"/>
      <c r="M636" s="12"/>
      <c r="N636" s="18"/>
      <c r="O636" s="12"/>
      <c r="P636" s="12"/>
      <c r="Q636" s="12"/>
      <c r="R636" s="36"/>
      <c r="S636" s="36"/>
      <c r="T636" s="12"/>
      <c r="U636" s="12"/>
      <c r="V636" s="12"/>
      <c r="W636" s="12"/>
      <c r="X636" s="12"/>
    </row>
    <row r="637" customFormat="false" ht="15.75" hidden="false" customHeight="false" outlineLevel="0" collapsed="false">
      <c r="A637" s="12"/>
      <c r="B637" s="34"/>
      <c r="C637" s="12"/>
      <c r="D637" s="12"/>
      <c r="E637" s="12"/>
      <c r="F637" s="12"/>
      <c r="G637" s="18"/>
      <c r="H637" s="35"/>
      <c r="I637" s="12"/>
      <c r="M637" s="12"/>
      <c r="N637" s="18"/>
      <c r="O637" s="12"/>
      <c r="P637" s="12"/>
      <c r="Q637" s="12"/>
      <c r="R637" s="36"/>
      <c r="S637" s="36"/>
      <c r="T637" s="12"/>
      <c r="U637" s="12"/>
      <c r="V637" s="12"/>
      <c r="W637" s="12"/>
      <c r="X637" s="12"/>
    </row>
    <row r="638" customFormat="false" ht="15.75" hidden="false" customHeight="false" outlineLevel="0" collapsed="false">
      <c r="A638" s="12"/>
      <c r="B638" s="34"/>
      <c r="C638" s="12"/>
      <c r="D638" s="12"/>
      <c r="E638" s="12"/>
      <c r="F638" s="12"/>
      <c r="G638" s="18"/>
      <c r="H638" s="35"/>
      <c r="I638" s="12"/>
      <c r="M638" s="12"/>
      <c r="N638" s="18"/>
      <c r="O638" s="12"/>
      <c r="P638" s="12"/>
      <c r="Q638" s="12"/>
      <c r="R638" s="36"/>
      <c r="S638" s="36"/>
      <c r="T638" s="12"/>
      <c r="U638" s="12"/>
      <c r="V638" s="12"/>
      <c r="W638" s="12"/>
      <c r="X638" s="12"/>
    </row>
    <row r="639" customFormat="false" ht="15.75" hidden="false" customHeight="false" outlineLevel="0" collapsed="false">
      <c r="A639" s="12"/>
      <c r="B639" s="34"/>
      <c r="C639" s="12"/>
      <c r="D639" s="12"/>
      <c r="E639" s="12"/>
      <c r="F639" s="12"/>
      <c r="G639" s="18"/>
      <c r="H639" s="35"/>
      <c r="I639" s="12"/>
      <c r="M639" s="12"/>
      <c r="N639" s="18"/>
      <c r="O639" s="12"/>
      <c r="P639" s="12"/>
      <c r="Q639" s="12"/>
      <c r="R639" s="36"/>
      <c r="S639" s="36"/>
      <c r="T639" s="12"/>
      <c r="U639" s="12"/>
      <c r="V639" s="12"/>
      <c r="W639" s="12"/>
      <c r="X639" s="12"/>
    </row>
    <row r="640" customFormat="false" ht="15.75" hidden="false" customHeight="false" outlineLevel="0" collapsed="false">
      <c r="A640" s="12"/>
      <c r="B640" s="34"/>
      <c r="C640" s="12"/>
      <c r="D640" s="12"/>
      <c r="E640" s="12"/>
      <c r="F640" s="12"/>
      <c r="G640" s="18"/>
      <c r="H640" s="35"/>
      <c r="I640" s="12"/>
      <c r="M640" s="12"/>
      <c r="N640" s="18"/>
      <c r="O640" s="12"/>
      <c r="P640" s="12"/>
      <c r="Q640" s="12"/>
      <c r="R640" s="36"/>
      <c r="S640" s="36"/>
      <c r="T640" s="12"/>
      <c r="U640" s="12"/>
      <c r="V640" s="12"/>
      <c r="W640" s="12"/>
      <c r="X640" s="12"/>
    </row>
    <row r="641" customFormat="false" ht="15.75" hidden="false" customHeight="false" outlineLevel="0" collapsed="false">
      <c r="A641" s="12"/>
      <c r="B641" s="34"/>
      <c r="C641" s="12"/>
      <c r="D641" s="12"/>
      <c r="E641" s="12"/>
      <c r="F641" s="12"/>
      <c r="G641" s="18"/>
      <c r="H641" s="35"/>
      <c r="I641" s="12"/>
      <c r="M641" s="12"/>
      <c r="N641" s="18"/>
      <c r="O641" s="12"/>
      <c r="P641" s="12"/>
      <c r="Q641" s="12"/>
      <c r="R641" s="36"/>
      <c r="S641" s="36"/>
      <c r="T641" s="12"/>
      <c r="U641" s="12"/>
      <c r="V641" s="12"/>
      <c r="W641" s="12"/>
      <c r="X641" s="12"/>
    </row>
    <row r="642" customFormat="false" ht="15.75" hidden="false" customHeight="false" outlineLevel="0" collapsed="false">
      <c r="A642" s="12"/>
      <c r="B642" s="34"/>
      <c r="C642" s="12"/>
      <c r="D642" s="12"/>
      <c r="E642" s="12"/>
      <c r="F642" s="12"/>
      <c r="G642" s="18"/>
      <c r="H642" s="35"/>
      <c r="I642" s="12"/>
      <c r="M642" s="12"/>
      <c r="N642" s="18"/>
      <c r="O642" s="12"/>
      <c r="P642" s="12"/>
      <c r="Q642" s="12"/>
      <c r="R642" s="36"/>
      <c r="S642" s="36"/>
      <c r="T642" s="12"/>
      <c r="U642" s="12"/>
      <c r="V642" s="12"/>
      <c r="W642" s="12"/>
      <c r="X642" s="12"/>
    </row>
    <row r="643" customFormat="false" ht="15.75" hidden="false" customHeight="false" outlineLevel="0" collapsed="false">
      <c r="A643" s="12"/>
      <c r="B643" s="34"/>
      <c r="C643" s="12"/>
      <c r="D643" s="12"/>
      <c r="E643" s="12"/>
      <c r="F643" s="12"/>
      <c r="G643" s="18"/>
      <c r="H643" s="35"/>
      <c r="I643" s="12"/>
      <c r="M643" s="12"/>
      <c r="N643" s="18"/>
      <c r="O643" s="12"/>
      <c r="P643" s="12"/>
      <c r="Q643" s="12"/>
      <c r="R643" s="36"/>
      <c r="S643" s="36"/>
      <c r="T643" s="12"/>
      <c r="U643" s="12"/>
      <c r="V643" s="12"/>
      <c r="W643" s="12"/>
      <c r="X643" s="12"/>
    </row>
    <row r="644" customFormat="false" ht="15.75" hidden="false" customHeight="false" outlineLevel="0" collapsed="false">
      <c r="A644" s="12"/>
      <c r="B644" s="34"/>
      <c r="C644" s="12"/>
      <c r="D644" s="12"/>
      <c r="E644" s="12"/>
      <c r="F644" s="12"/>
      <c r="G644" s="18"/>
      <c r="H644" s="35"/>
      <c r="I644" s="12"/>
      <c r="M644" s="12"/>
      <c r="N644" s="18"/>
      <c r="O644" s="12"/>
      <c r="P644" s="12"/>
      <c r="Q644" s="12"/>
      <c r="R644" s="36"/>
      <c r="S644" s="36"/>
      <c r="T644" s="12"/>
      <c r="U644" s="12"/>
      <c r="V644" s="12"/>
      <c r="W644" s="12"/>
      <c r="X644" s="12"/>
    </row>
    <row r="645" customFormat="false" ht="15.75" hidden="false" customHeight="false" outlineLevel="0" collapsed="false">
      <c r="A645" s="12"/>
      <c r="B645" s="34"/>
      <c r="C645" s="12"/>
      <c r="D645" s="12"/>
      <c r="E645" s="12"/>
      <c r="F645" s="12"/>
      <c r="G645" s="18"/>
      <c r="H645" s="35"/>
      <c r="I645" s="12"/>
      <c r="M645" s="12"/>
      <c r="N645" s="18"/>
      <c r="O645" s="12"/>
      <c r="P645" s="12"/>
      <c r="Q645" s="12"/>
      <c r="R645" s="36"/>
      <c r="S645" s="36"/>
      <c r="T645" s="12"/>
      <c r="U645" s="12"/>
      <c r="V645" s="12"/>
      <c r="W645" s="12"/>
      <c r="X645" s="12"/>
    </row>
    <row r="646" customFormat="false" ht="15.75" hidden="false" customHeight="false" outlineLevel="0" collapsed="false">
      <c r="A646" s="12"/>
      <c r="B646" s="34"/>
      <c r="C646" s="12"/>
      <c r="D646" s="12"/>
      <c r="E646" s="12"/>
      <c r="F646" s="12"/>
      <c r="G646" s="18"/>
      <c r="H646" s="35"/>
      <c r="I646" s="12"/>
      <c r="M646" s="12"/>
      <c r="N646" s="18"/>
      <c r="O646" s="12"/>
      <c r="P646" s="12"/>
      <c r="Q646" s="12"/>
      <c r="R646" s="36"/>
      <c r="S646" s="36"/>
      <c r="T646" s="12"/>
      <c r="U646" s="12"/>
      <c r="V646" s="12"/>
      <c r="W646" s="12"/>
      <c r="X646" s="12"/>
    </row>
    <row r="647" customFormat="false" ht="15.75" hidden="false" customHeight="false" outlineLevel="0" collapsed="false">
      <c r="A647" s="12"/>
      <c r="B647" s="34"/>
      <c r="C647" s="12"/>
      <c r="D647" s="12"/>
      <c r="E647" s="12"/>
      <c r="F647" s="12"/>
      <c r="G647" s="18"/>
      <c r="H647" s="35"/>
      <c r="I647" s="12"/>
      <c r="M647" s="12"/>
      <c r="N647" s="18"/>
      <c r="O647" s="12"/>
      <c r="P647" s="12"/>
      <c r="Q647" s="12"/>
      <c r="R647" s="36"/>
      <c r="S647" s="36"/>
      <c r="T647" s="12"/>
      <c r="U647" s="12"/>
      <c r="V647" s="12"/>
      <c r="W647" s="12"/>
      <c r="X647" s="12"/>
    </row>
    <row r="648" customFormat="false" ht="15.75" hidden="false" customHeight="false" outlineLevel="0" collapsed="false">
      <c r="A648" s="12"/>
      <c r="B648" s="34"/>
      <c r="C648" s="12"/>
      <c r="D648" s="12"/>
      <c r="E648" s="12"/>
      <c r="F648" s="12"/>
      <c r="G648" s="18"/>
      <c r="H648" s="35"/>
      <c r="I648" s="12"/>
      <c r="M648" s="12"/>
      <c r="N648" s="18"/>
      <c r="O648" s="12"/>
      <c r="P648" s="12"/>
      <c r="Q648" s="12"/>
      <c r="R648" s="36"/>
      <c r="S648" s="36"/>
      <c r="T648" s="12"/>
      <c r="U648" s="12"/>
      <c r="V648" s="12"/>
      <c r="W648" s="12"/>
      <c r="X648" s="12"/>
    </row>
    <row r="649" customFormat="false" ht="15.75" hidden="false" customHeight="false" outlineLevel="0" collapsed="false">
      <c r="A649" s="12"/>
      <c r="B649" s="34"/>
      <c r="C649" s="12"/>
      <c r="D649" s="12"/>
      <c r="E649" s="12"/>
      <c r="F649" s="12"/>
      <c r="G649" s="18"/>
      <c r="H649" s="35"/>
      <c r="I649" s="12"/>
      <c r="M649" s="12"/>
      <c r="N649" s="18"/>
      <c r="O649" s="12"/>
      <c r="P649" s="12"/>
      <c r="Q649" s="12"/>
      <c r="R649" s="36"/>
      <c r="S649" s="36"/>
      <c r="T649" s="12"/>
      <c r="U649" s="12"/>
      <c r="V649" s="12"/>
      <c r="W649" s="12"/>
      <c r="X649" s="12"/>
    </row>
    <row r="650" customFormat="false" ht="15.75" hidden="false" customHeight="false" outlineLevel="0" collapsed="false">
      <c r="A650" s="12"/>
      <c r="B650" s="34"/>
      <c r="C650" s="12"/>
      <c r="D650" s="12"/>
      <c r="E650" s="12"/>
      <c r="F650" s="12"/>
      <c r="G650" s="18"/>
      <c r="H650" s="35"/>
      <c r="I650" s="12"/>
      <c r="M650" s="12"/>
      <c r="N650" s="18"/>
      <c r="O650" s="12"/>
      <c r="P650" s="12"/>
      <c r="Q650" s="12"/>
      <c r="R650" s="36"/>
      <c r="S650" s="36"/>
      <c r="T650" s="12"/>
      <c r="U650" s="12"/>
      <c r="V650" s="12"/>
      <c r="W650" s="12"/>
      <c r="X650" s="12"/>
    </row>
    <row r="651" customFormat="false" ht="15.75" hidden="false" customHeight="false" outlineLevel="0" collapsed="false">
      <c r="A651" s="12"/>
      <c r="B651" s="34"/>
      <c r="C651" s="12"/>
      <c r="D651" s="12"/>
      <c r="E651" s="12"/>
      <c r="F651" s="12"/>
      <c r="G651" s="18"/>
      <c r="H651" s="35"/>
      <c r="I651" s="12"/>
      <c r="M651" s="12"/>
      <c r="N651" s="18"/>
      <c r="O651" s="12"/>
      <c r="P651" s="12"/>
      <c r="Q651" s="12"/>
      <c r="R651" s="36"/>
      <c r="S651" s="36"/>
      <c r="T651" s="12"/>
      <c r="U651" s="12"/>
      <c r="V651" s="12"/>
      <c r="W651" s="12"/>
      <c r="X651" s="12"/>
    </row>
    <row r="652" customFormat="false" ht="15.75" hidden="false" customHeight="false" outlineLevel="0" collapsed="false">
      <c r="A652" s="12"/>
      <c r="B652" s="34"/>
      <c r="C652" s="12"/>
      <c r="D652" s="12"/>
      <c r="E652" s="12"/>
      <c r="F652" s="12"/>
      <c r="G652" s="18"/>
      <c r="H652" s="35"/>
      <c r="I652" s="12"/>
      <c r="M652" s="12"/>
      <c r="N652" s="18"/>
      <c r="O652" s="12"/>
      <c r="P652" s="12"/>
      <c r="Q652" s="12"/>
      <c r="R652" s="36"/>
      <c r="S652" s="36"/>
      <c r="T652" s="12"/>
      <c r="U652" s="12"/>
      <c r="V652" s="12"/>
      <c r="W652" s="12"/>
      <c r="X652" s="12"/>
    </row>
    <row r="653" customFormat="false" ht="15.75" hidden="false" customHeight="false" outlineLevel="0" collapsed="false">
      <c r="A653" s="12"/>
      <c r="B653" s="34"/>
      <c r="C653" s="12"/>
      <c r="D653" s="12"/>
      <c r="E653" s="12"/>
      <c r="F653" s="12"/>
      <c r="G653" s="18"/>
      <c r="H653" s="35"/>
      <c r="I653" s="12"/>
      <c r="M653" s="12"/>
      <c r="N653" s="18"/>
      <c r="O653" s="12"/>
      <c r="P653" s="12"/>
      <c r="Q653" s="12"/>
      <c r="R653" s="36"/>
      <c r="S653" s="36"/>
      <c r="T653" s="12"/>
      <c r="U653" s="12"/>
      <c r="V653" s="12"/>
      <c r="W653" s="12"/>
      <c r="X653" s="12"/>
    </row>
    <row r="654" customFormat="false" ht="15.75" hidden="false" customHeight="false" outlineLevel="0" collapsed="false">
      <c r="A654" s="12"/>
      <c r="B654" s="34"/>
      <c r="C654" s="12"/>
      <c r="D654" s="12"/>
      <c r="E654" s="12"/>
      <c r="F654" s="12"/>
      <c r="G654" s="18"/>
      <c r="H654" s="35"/>
      <c r="I654" s="12"/>
      <c r="M654" s="12"/>
      <c r="N654" s="18"/>
      <c r="O654" s="12"/>
      <c r="P654" s="12"/>
      <c r="Q654" s="12"/>
      <c r="R654" s="36"/>
      <c r="S654" s="36"/>
      <c r="T654" s="12"/>
      <c r="U654" s="12"/>
      <c r="V654" s="12"/>
      <c r="W654" s="12"/>
      <c r="X654" s="12"/>
    </row>
    <row r="655" customFormat="false" ht="15.75" hidden="false" customHeight="false" outlineLevel="0" collapsed="false">
      <c r="A655" s="12"/>
      <c r="B655" s="34"/>
      <c r="C655" s="12"/>
      <c r="D655" s="12"/>
      <c r="E655" s="12"/>
      <c r="F655" s="12"/>
      <c r="G655" s="18"/>
      <c r="H655" s="35"/>
      <c r="I655" s="12"/>
      <c r="M655" s="12"/>
      <c r="N655" s="18"/>
      <c r="O655" s="12"/>
      <c r="P655" s="12"/>
      <c r="Q655" s="12"/>
      <c r="R655" s="36"/>
      <c r="S655" s="36"/>
      <c r="T655" s="12"/>
      <c r="U655" s="12"/>
      <c r="V655" s="12"/>
      <c r="W655" s="12"/>
      <c r="X655" s="12"/>
    </row>
    <row r="656" customFormat="false" ht="15.75" hidden="false" customHeight="false" outlineLevel="0" collapsed="false">
      <c r="A656" s="12"/>
      <c r="B656" s="34"/>
      <c r="C656" s="12"/>
      <c r="D656" s="12"/>
      <c r="E656" s="12"/>
      <c r="F656" s="12"/>
      <c r="G656" s="18"/>
      <c r="H656" s="35"/>
      <c r="I656" s="12"/>
      <c r="M656" s="12"/>
      <c r="N656" s="18"/>
      <c r="O656" s="12"/>
      <c r="P656" s="12"/>
      <c r="Q656" s="12"/>
      <c r="R656" s="36"/>
      <c r="S656" s="36"/>
      <c r="T656" s="12"/>
      <c r="U656" s="12"/>
      <c r="V656" s="12"/>
      <c r="W656" s="12"/>
      <c r="X656" s="12"/>
    </row>
    <row r="657" customFormat="false" ht="15.75" hidden="false" customHeight="false" outlineLevel="0" collapsed="false">
      <c r="A657" s="12"/>
      <c r="B657" s="34"/>
      <c r="C657" s="12"/>
      <c r="D657" s="12"/>
      <c r="E657" s="12"/>
      <c r="F657" s="12"/>
      <c r="G657" s="18"/>
      <c r="H657" s="35"/>
      <c r="I657" s="12"/>
      <c r="M657" s="12"/>
      <c r="N657" s="18"/>
      <c r="O657" s="12"/>
      <c r="P657" s="12"/>
      <c r="Q657" s="12"/>
      <c r="R657" s="36"/>
      <c r="S657" s="36"/>
      <c r="T657" s="12"/>
      <c r="U657" s="12"/>
      <c r="V657" s="12"/>
      <c r="W657" s="12"/>
      <c r="X657" s="12"/>
    </row>
    <row r="658" customFormat="false" ht="15.75" hidden="false" customHeight="false" outlineLevel="0" collapsed="false">
      <c r="A658" s="12"/>
      <c r="B658" s="34"/>
      <c r="C658" s="12"/>
      <c r="D658" s="12"/>
      <c r="E658" s="12"/>
      <c r="F658" s="12"/>
      <c r="G658" s="18"/>
      <c r="H658" s="35"/>
      <c r="I658" s="12"/>
      <c r="M658" s="12"/>
      <c r="N658" s="18"/>
      <c r="O658" s="12"/>
      <c r="P658" s="12"/>
      <c r="Q658" s="12"/>
      <c r="R658" s="36"/>
      <c r="S658" s="36"/>
      <c r="T658" s="12"/>
      <c r="U658" s="12"/>
      <c r="V658" s="12"/>
      <c r="W658" s="12"/>
      <c r="X658" s="12"/>
    </row>
    <row r="659" customFormat="false" ht="15.75" hidden="false" customHeight="false" outlineLevel="0" collapsed="false">
      <c r="A659" s="12"/>
      <c r="B659" s="34"/>
      <c r="C659" s="12"/>
      <c r="D659" s="12"/>
      <c r="E659" s="12"/>
      <c r="F659" s="12"/>
      <c r="G659" s="18"/>
      <c r="H659" s="35"/>
      <c r="I659" s="12"/>
      <c r="M659" s="12"/>
      <c r="N659" s="18"/>
      <c r="O659" s="12"/>
      <c r="P659" s="12"/>
      <c r="Q659" s="12"/>
      <c r="R659" s="36"/>
      <c r="S659" s="36"/>
      <c r="T659" s="12"/>
      <c r="U659" s="12"/>
      <c r="V659" s="12"/>
      <c r="W659" s="12"/>
      <c r="X659" s="12"/>
    </row>
    <row r="660" customFormat="false" ht="15.75" hidden="false" customHeight="false" outlineLevel="0" collapsed="false">
      <c r="A660" s="12"/>
      <c r="B660" s="34"/>
      <c r="C660" s="12"/>
      <c r="D660" s="12"/>
      <c r="E660" s="12"/>
      <c r="F660" s="12"/>
      <c r="G660" s="18"/>
      <c r="H660" s="35"/>
      <c r="I660" s="12"/>
      <c r="M660" s="12"/>
      <c r="N660" s="18"/>
      <c r="O660" s="12"/>
      <c r="P660" s="12"/>
      <c r="Q660" s="12"/>
      <c r="R660" s="36"/>
      <c r="S660" s="36"/>
      <c r="T660" s="12"/>
      <c r="U660" s="12"/>
      <c r="V660" s="12"/>
      <c r="W660" s="12"/>
      <c r="X660" s="12"/>
    </row>
    <row r="661" customFormat="false" ht="15.75" hidden="false" customHeight="false" outlineLevel="0" collapsed="false">
      <c r="A661" s="12"/>
      <c r="B661" s="34"/>
      <c r="C661" s="12"/>
      <c r="D661" s="12"/>
      <c r="E661" s="12"/>
      <c r="F661" s="12"/>
      <c r="G661" s="18"/>
      <c r="H661" s="35"/>
      <c r="I661" s="12"/>
      <c r="M661" s="12"/>
      <c r="N661" s="18"/>
      <c r="O661" s="12"/>
      <c r="P661" s="12"/>
      <c r="Q661" s="12"/>
      <c r="R661" s="36"/>
      <c r="S661" s="36"/>
      <c r="T661" s="12"/>
      <c r="U661" s="12"/>
      <c r="V661" s="12"/>
      <c r="W661" s="12"/>
      <c r="X661" s="12"/>
    </row>
    <row r="662" customFormat="false" ht="15.75" hidden="false" customHeight="false" outlineLevel="0" collapsed="false">
      <c r="A662" s="12"/>
      <c r="B662" s="34"/>
      <c r="C662" s="12"/>
      <c r="D662" s="12"/>
      <c r="E662" s="12"/>
      <c r="F662" s="12"/>
      <c r="G662" s="18"/>
      <c r="H662" s="35"/>
      <c r="I662" s="12"/>
      <c r="M662" s="12"/>
      <c r="N662" s="18"/>
      <c r="O662" s="12"/>
      <c r="P662" s="12"/>
      <c r="Q662" s="12"/>
      <c r="R662" s="36"/>
      <c r="S662" s="36"/>
      <c r="T662" s="12"/>
      <c r="U662" s="12"/>
      <c r="V662" s="12"/>
      <c r="W662" s="12"/>
      <c r="X662" s="12"/>
    </row>
    <row r="663" customFormat="false" ht="15.75" hidden="false" customHeight="false" outlineLevel="0" collapsed="false">
      <c r="A663" s="12"/>
      <c r="B663" s="34"/>
      <c r="C663" s="12"/>
      <c r="D663" s="12"/>
      <c r="E663" s="12"/>
      <c r="F663" s="12"/>
      <c r="G663" s="18"/>
      <c r="H663" s="35"/>
      <c r="I663" s="12"/>
      <c r="M663" s="12"/>
      <c r="N663" s="18"/>
      <c r="O663" s="12"/>
      <c r="P663" s="12"/>
      <c r="Q663" s="12"/>
      <c r="R663" s="36"/>
      <c r="S663" s="36"/>
      <c r="T663" s="12"/>
      <c r="U663" s="12"/>
      <c r="V663" s="12"/>
      <c r="W663" s="12"/>
      <c r="X663" s="12"/>
    </row>
    <row r="664" customFormat="false" ht="15.75" hidden="false" customHeight="false" outlineLevel="0" collapsed="false">
      <c r="A664" s="12"/>
      <c r="B664" s="34"/>
      <c r="C664" s="12"/>
      <c r="D664" s="12"/>
      <c r="E664" s="12"/>
      <c r="F664" s="12"/>
      <c r="G664" s="18"/>
      <c r="H664" s="35"/>
      <c r="I664" s="12"/>
      <c r="M664" s="12"/>
      <c r="N664" s="18"/>
      <c r="O664" s="12"/>
      <c r="P664" s="12"/>
      <c r="Q664" s="12"/>
      <c r="R664" s="36"/>
      <c r="S664" s="36"/>
      <c r="T664" s="12"/>
      <c r="U664" s="12"/>
      <c r="V664" s="12"/>
      <c r="W664" s="12"/>
      <c r="X664" s="12"/>
    </row>
    <row r="665" customFormat="false" ht="15.75" hidden="false" customHeight="false" outlineLevel="0" collapsed="false">
      <c r="A665" s="12"/>
      <c r="B665" s="34"/>
      <c r="C665" s="12"/>
      <c r="D665" s="12"/>
      <c r="E665" s="12"/>
      <c r="F665" s="12"/>
      <c r="G665" s="18"/>
      <c r="H665" s="35"/>
      <c r="I665" s="12"/>
      <c r="M665" s="12"/>
      <c r="N665" s="18"/>
      <c r="O665" s="12"/>
      <c r="P665" s="12"/>
      <c r="Q665" s="12"/>
      <c r="R665" s="36"/>
      <c r="S665" s="36"/>
      <c r="T665" s="12"/>
      <c r="U665" s="12"/>
      <c r="V665" s="12"/>
      <c r="W665" s="12"/>
      <c r="X665" s="12"/>
    </row>
    <row r="666" customFormat="false" ht="15.75" hidden="false" customHeight="false" outlineLevel="0" collapsed="false">
      <c r="A666" s="12"/>
      <c r="B666" s="34"/>
      <c r="C666" s="12"/>
      <c r="D666" s="12"/>
      <c r="E666" s="12"/>
      <c r="F666" s="12"/>
      <c r="G666" s="18"/>
      <c r="H666" s="35"/>
      <c r="I666" s="12"/>
      <c r="M666" s="12"/>
      <c r="N666" s="18"/>
      <c r="O666" s="12"/>
      <c r="P666" s="12"/>
      <c r="Q666" s="12"/>
      <c r="R666" s="36"/>
      <c r="S666" s="36"/>
      <c r="T666" s="12"/>
      <c r="U666" s="12"/>
      <c r="V666" s="12"/>
      <c r="W666" s="12"/>
      <c r="X666" s="12"/>
    </row>
    <row r="667" customFormat="false" ht="15.75" hidden="false" customHeight="false" outlineLevel="0" collapsed="false">
      <c r="A667" s="12"/>
      <c r="B667" s="34"/>
      <c r="C667" s="12"/>
      <c r="D667" s="12"/>
      <c r="E667" s="12"/>
      <c r="F667" s="12"/>
      <c r="G667" s="18"/>
      <c r="H667" s="35"/>
      <c r="I667" s="12"/>
      <c r="M667" s="12"/>
      <c r="N667" s="18"/>
      <c r="O667" s="12"/>
      <c r="P667" s="12"/>
      <c r="Q667" s="12"/>
      <c r="R667" s="36"/>
      <c r="S667" s="36"/>
      <c r="T667" s="12"/>
      <c r="U667" s="12"/>
      <c r="V667" s="12"/>
      <c r="W667" s="12"/>
      <c r="X667" s="12"/>
    </row>
    <row r="668" customFormat="false" ht="15.75" hidden="false" customHeight="false" outlineLevel="0" collapsed="false">
      <c r="A668" s="12"/>
      <c r="B668" s="34"/>
      <c r="C668" s="12"/>
      <c r="D668" s="12"/>
      <c r="E668" s="12"/>
      <c r="F668" s="12"/>
      <c r="G668" s="18"/>
      <c r="H668" s="35"/>
      <c r="I668" s="12"/>
      <c r="M668" s="12"/>
      <c r="N668" s="18"/>
      <c r="O668" s="12"/>
      <c r="P668" s="12"/>
      <c r="Q668" s="12"/>
      <c r="R668" s="36"/>
      <c r="S668" s="36"/>
      <c r="T668" s="12"/>
      <c r="U668" s="12"/>
      <c r="V668" s="12"/>
      <c r="W668" s="12"/>
      <c r="X668" s="12"/>
    </row>
    <row r="669" customFormat="false" ht="15.75" hidden="false" customHeight="false" outlineLevel="0" collapsed="false">
      <c r="A669" s="12"/>
      <c r="B669" s="34"/>
      <c r="C669" s="12"/>
      <c r="D669" s="12"/>
      <c r="E669" s="12"/>
      <c r="F669" s="12"/>
      <c r="G669" s="18"/>
      <c r="H669" s="35"/>
      <c r="I669" s="12"/>
      <c r="M669" s="12"/>
      <c r="N669" s="18"/>
      <c r="O669" s="12"/>
      <c r="P669" s="12"/>
      <c r="Q669" s="12"/>
      <c r="R669" s="36"/>
      <c r="S669" s="36"/>
      <c r="T669" s="12"/>
      <c r="U669" s="12"/>
      <c r="V669" s="12"/>
      <c r="W669" s="12"/>
      <c r="X669" s="12"/>
    </row>
    <row r="670" customFormat="false" ht="15.75" hidden="false" customHeight="false" outlineLevel="0" collapsed="false">
      <c r="A670" s="12"/>
      <c r="B670" s="34"/>
      <c r="C670" s="12"/>
      <c r="D670" s="12"/>
      <c r="E670" s="12"/>
      <c r="F670" s="12"/>
      <c r="G670" s="18"/>
      <c r="H670" s="35"/>
      <c r="I670" s="12"/>
      <c r="M670" s="12"/>
      <c r="N670" s="18"/>
      <c r="O670" s="12"/>
      <c r="P670" s="12"/>
      <c r="Q670" s="12"/>
      <c r="R670" s="36"/>
      <c r="S670" s="36"/>
      <c r="T670" s="12"/>
      <c r="U670" s="12"/>
      <c r="V670" s="12"/>
      <c r="W670" s="12"/>
      <c r="X670" s="12"/>
    </row>
    <row r="671" customFormat="false" ht="15.75" hidden="false" customHeight="false" outlineLevel="0" collapsed="false">
      <c r="A671" s="12"/>
      <c r="B671" s="34"/>
      <c r="C671" s="12"/>
      <c r="D671" s="12"/>
      <c r="E671" s="12"/>
      <c r="F671" s="12"/>
      <c r="G671" s="18"/>
      <c r="H671" s="35"/>
      <c r="I671" s="12"/>
      <c r="M671" s="12"/>
      <c r="N671" s="18"/>
      <c r="O671" s="12"/>
      <c r="P671" s="12"/>
      <c r="Q671" s="12"/>
      <c r="R671" s="36"/>
      <c r="S671" s="36"/>
      <c r="T671" s="12"/>
      <c r="U671" s="12"/>
      <c r="V671" s="12"/>
      <c r="W671" s="12"/>
      <c r="X671" s="12"/>
    </row>
    <row r="672" customFormat="false" ht="15.75" hidden="false" customHeight="false" outlineLevel="0" collapsed="false">
      <c r="A672" s="12"/>
      <c r="B672" s="34"/>
      <c r="C672" s="12"/>
      <c r="D672" s="12"/>
      <c r="E672" s="12"/>
      <c r="F672" s="12"/>
      <c r="G672" s="18"/>
      <c r="H672" s="35"/>
      <c r="I672" s="12"/>
      <c r="M672" s="12"/>
      <c r="N672" s="18"/>
      <c r="O672" s="12"/>
      <c r="P672" s="12"/>
      <c r="Q672" s="12"/>
      <c r="R672" s="36"/>
      <c r="S672" s="36"/>
      <c r="T672" s="12"/>
      <c r="U672" s="12"/>
      <c r="V672" s="12"/>
      <c r="W672" s="12"/>
      <c r="X672" s="12"/>
    </row>
    <row r="673" customFormat="false" ht="15.75" hidden="false" customHeight="false" outlineLevel="0" collapsed="false">
      <c r="A673" s="12"/>
      <c r="B673" s="34"/>
      <c r="C673" s="12"/>
      <c r="D673" s="12"/>
      <c r="E673" s="12"/>
      <c r="F673" s="12"/>
      <c r="G673" s="18"/>
      <c r="H673" s="35"/>
      <c r="I673" s="12"/>
      <c r="M673" s="12"/>
      <c r="N673" s="18"/>
      <c r="O673" s="12"/>
      <c r="P673" s="12"/>
      <c r="Q673" s="12"/>
      <c r="R673" s="36"/>
      <c r="S673" s="36"/>
      <c r="T673" s="12"/>
      <c r="U673" s="12"/>
      <c r="V673" s="12"/>
      <c r="W673" s="12"/>
      <c r="X673" s="12"/>
    </row>
    <row r="674" customFormat="false" ht="15.75" hidden="false" customHeight="false" outlineLevel="0" collapsed="false">
      <c r="A674" s="12"/>
      <c r="B674" s="34"/>
      <c r="C674" s="12"/>
      <c r="D674" s="12"/>
      <c r="E674" s="12"/>
      <c r="F674" s="12"/>
      <c r="G674" s="18"/>
      <c r="H674" s="35"/>
      <c r="I674" s="12"/>
      <c r="M674" s="12"/>
      <c r="N674" s="18"/>
      <c r="O674" s="12"/>
      <c r="P674" s="12"/>
      <c r="Q674" s="12"/>
      <c r="R674" s="36"/>
      <c r="S674" s="36"/>
      <c r="T674" s="12"/>
      <c r="U674" s="12"/>
      <c r="V674" s="12"/>
      <c r="W674" s="12"/>
      <c r="X674" s="12"/>
    </row>
    <row r="675" customFormat="false" ht="15.75" hidden="false" customHeight="false" outlineLevel="0" collapsed="false">
      <c r="A675" s="12"/>
      <c r="B675" s="34"/>
      <c r="C675" s="12"/>
      <c r="D675" s="12"/>
      <c r="E675" s="12"/>
      <c r="F675" s="12"/>
      <c r="G675" s="18"/>
      <c r="H675" s="35"/>
      <c r="I675" s="12"/>
      <c r="M675" s="12"/>
      <c r="N675" s="18"/>
      <c r="O675" s="12"/>
      <c r="P675" s="12"/>
      <c r="Q675" s="12"/>
      <c r="R675" s="36"/>
      <c r="S675" s="36"/>
      <c r="T675" s="12"/>
      <c r="U675" s="12"/>
      <c r="V675" s="12"/>
      <c r="W675" s="12"/>
      <c r="X675" s="12"/>
    </row>
    <row r="676" customFormat="false" ht="15.75" hidden="false" customHeight="false" outlineLevel="0" collapsed="false">
      <c r="A676" s="12"/>
      <c r="B676" s="34"/>
      <c r="C676" s="12"/>
      <c r="D676" s="12"/>
      <c r="E676" s="12"/>
      <c r="F676" s="12"/>
      <c r="G676" s="18"/>
      <c r="H676" s="35"/>
      <c r="I676" s="12"/>
      <c r="M676" s="12"/>
      <c r="N676" s="18"/>
      <c r="O676" s="12"/>
      <c r="P676" s="12"/>
      <c r="Q676" s="12"/>
      <c r="R676" s="36"/>
      <c r="S676" s="36"/>
      <c r="T676" s="12"/>
      <c r="U676" s="12"/>
      <c r="V676" s="12"/>
      <c r="W676" s="12"/>
      <c r="X676" s="12"/>
    </row>
    <row r="677" customFormat="false" ht="15.75" hidden="false" customHeight="false" outlineLevel="0" collapsed="false">
      <c r="A677" s="12"/>
      <c r="B677" s="34"/>
      <c r="C677" s="12"/>
      <c r="D677" s="12"/>
      <c r="E677" s="12"/>
      <c r="F677" s="12"/>
      <c r="G677" s="18"/>
      <c r="H677" s="35"/>
      <c r="I677" s="12"/>
      <c r="M677" s="12"/>
      <c r="N677" s="18"/>
      <c r="O677" s="12"/>
      <c r="P677" s="12"/>
      <c r="Q677" s="12"/>
      <c r="R677" s="36"/>
      <c r="S677" s="36"/>
      <c r="T677" s="12"/>
      <c r="U677" s="12"/>
      <c r="V677" s="12"/>
      <c r="W677" s="12"/>
      <c r="X677" s="12"/>
    </row>
    <row r="678" customFormat="false" ht="15.75" hidden="false" customHeight="false" outlineLevel="0" collapsed="false">
      <c r="A678" s="12"/>
      <c r="B678" s="34"/>
      <c r="C678" s="12"/>
      <c r="D678" s="12"/>
      <c r="E678" s="12"/>
      <c r="F678" s="12"/>
      <c r="G678" s="18"/>
      <c r="H678" s="35"/>
      <c r="I678" s="12"/>
      <c r="M678" s="12"/>
      <c r="N678" s="18"/>
      <c r="O678" s="12"/>
      <c r="P678" s="12"/>
      <c r="Q678" s="12"/>
      <c r="R678" s="36"/>
      <c r="S678" s="36"/>
      <c r="T678" s="12"/>
      <c r="U678" s="12"/>
      <c r="V678" s="12"/>
      <c r="W678" s="12"/>
      <c r="X678" s="12"/>
    </row>
    <row r="679" customFormat="false" ht="15.75" hidden="false" customHeight="false" outlineLevel="0" collapsed="false">
      <c r="A679" s="12"/>
      <c r="B679" s="34"/>
      <c r="C679" s="12"/>
      <c r="D679" s="12"/>
      <c r="E679" s="12"/>
      <c r="F679" s="12"/>
      <c r="G679" s="18"/>
      <c r="H679" s="35"/>
      <c r="I679" s="12"/>
      <c r="M679" s="12"/>
      <c r="N679" s="18"/>
      <c r="O679" s="12"/>
      <c r="P679" s="12"/>
      <c r="Q679" s="12"/>
      <c r="R679" s="36"/>
      <c r="S679" s="36"/>
      <c r="T679" s="12"/>
      <c r="U679" s="12"/>
      <c r="V679" s="12"/>
      <c r="W679" s="12"/>
      <c r="X679" s="12"/>
    </row>
    <row r="680" customFormat="false" ht="15.75" hidden="false" customHeight="false" outlineLevel="0" collapsed="false">
      <c r="A680" s="12"/>
      <c r="B680" s="34"/>
      <c r="C680" s="12"/>
      <c r="D680" s="12"/>
      <c r="E680" s="12"/>
      <c r="F680" s="12"/>
      <c r="G680" s="18"/>
      <c r="H680" s="35"/>
      <c r="I680" s="12"/>
      <c r="M680" s="12"/>
      <c r="N680" s="18"/>
      <c r="O680" s="12"/>
      <c r="P680" s="12"/>
      <c r="Q680" s="12"/>
      <c r="R680" s="36"/>
      <c r="S680" s="36"/>
      <c r="T680" s="12"/>
      <c r="U680" s="12"/>
      <c r="V680" s="12"/>
      <c r="W680" s="12"/>
      <c r="X680" s="12"/>
    </row>
    <row r="681" customFormat="false" ht="15.75" hidden="false" customHeight="false" outlineLevel="0" collapsed="false">
      <c r="A681" s="12"/>
      <c r="B681" s="34"/>
      <c r="C681" s="12"/>
      <c r="D681" s="12"/>
      <c r="E681" s="12"/>
      <c r="F681" s="12"/>
      <c r="G681" s="18"/>
      <c r="H681" s="35"/>
      <c r="I681" s="12"/>
      <c r="M681" s="12"/>
      <c r="N681" s="18"/>
      <c r="O681" s="12"/>
      <c r="P681" s="12"/>
      <c r="Q681" s="12"/>
      <c r="R681" s="36"/>
      <c r="S681" s="36"/>
      <c r="T681" s="12"/>
      <c r="U681" s="12"/>
      <c r="V681" s="12"/>
      <c r="W681" s="12"/>
      <c r="X681" s="12"/>
    </row>
    <row r="682" customFormat="false" ht="15.75" hidden="false" customHeight="false" outlineLevel="0" collapsed="false">
      <c r="A682" s="12"/>
      <c r="B682" s="34"/>
      <c r="C682" s="12"/>
      <c r="D682" s="12"/>
      <c r="E682" s="12"/>
      <c r="F682" s="12"/>
      <c r="G682" s="18"/>
      <c r="H682" s="35"/>
      <c r="I682" s="12"/>
      <c r="M682" s="12"/>
      <c r="N682" s="18"/>
      <c r="O682" s="12"/>
      <c r="P682" s="12"/>
      <c r="Q682" s="12"/>
      <c r="R682" s="36"/>
      <c r="S682" s="36"/>
      <c r="T682" s="12"/>
      <c r="U682" s="12"/>
      <c r="V682" s="12"/>
      <c r="W682" s="12"/>
      <c r="X682" s="12"/>
    </row>
    <row r="683" customFormat="false" ht="15.75" hidden="false" customHeight="false" outlineLevel="0" collapsed="false">
      <c r="A683" s="12"/>
      <c r="B683" s="34"/>
      <c r="C683" s="12"/>
      <c r="D683" s="12"/>
      <c r="E683" s="12"/>
      <c r="F683" s="12"/>
      <c r="G683" s="18"/>
      <c r="H683" s="35"/>
      <c r="I683" s="12"/>
      <c r="M683" s="12"/>
      <c r="N683" s="18"/>
      <c r="O683" s="12"/>
      <c r="P683" s="12"/>
      <c r="Q683" s="12"/>
      <c r="R683" s="36"/>
      <c r="S683" s="36"/>
      <c r="T683" s="12"/>
      <c r="U683" s="12"/>
      <c r="V683" s="12"/>
      <c r="W683" s="12"/>
      <c r="X683" s="12"/>
    </row>
    <row r="684" customFormat="false" ht="15.75" hidden="false" customHeight="false" outlineLevel="0" collapsed="false">
      <c r="A684" s="12"/>
      <c r="B684" s="34"/>
      <c r="C684" s="12"/>
      <c r="D684" s="12"/>
      <c r="E684" s="12"/>
      <c r="F684" s="12"/>
      <c r="G684" s="18"/>
      <c r="H684" s="35"/>
      <c r="I684" s="12"/>
      <c r="M684" s="12"/>
      <c r="N684" s="18"/>
      <c r="O684" s="12"/>
      <c r="P684" s="12"/>
      <c r="Q684" s="12"/>
      <c r="R684" s="36"/>
      <c r="S684" s="36"/>
      <c r="T684" s="12"/>
      <c r="U684" s="12"/>
      <c r="V684" s="12"/>
      <c r="W684" s="12"/>
      <c r="X684" s="12"/>
    </row>
    <row r="685" customFormat="false" ht="15.75" hidden="false" customHeight="false" outlineLevel="0" collapsed="false">
      <c r="A685" s="12"/>
      <c r="B685" s="34"/>
      <c r="C685" s="12"/>
      <c r="D685" s="12"/>
      <c r="E685" s="12"/>
      <c r="F685" s="12"/>
      <c r="G685" s="18"/>
      <c r="H685" s="35"/>
      <c r="I685" s="12"/>
      <c r="M685" s="12"/>
      <c r="N685" s="18"/>
      <c r="O685" s="12"/>
      <c r="P685" s="12"/>
      <c r="Q685" s="12"/>
      <c r="R685" s="36"/>
      <c r="S685" s="36"/>
      <c r="T685" s="12"/>
      <c r="U685" s="12"/>
      <c r="V685" s="12"/>
      <c r="W685" s="12"/>
      <c r="X685" s="12"/>
    </row>
    <row r="686" customFormat="false" ht="15.75" hidden="false" customHeight="false" outlineLevel="0" collapsed="false">
      <c r="A686" s="12"/>
      <c r="B686" s="34"/>
      <c r="C686" s="12"/>
      <c r="D686" s="12"/>
      <c r="E686" s="12"/>
      <c r="F686" s="12"/>
      <c r="G686" s="18"/>
      <c r="H686" s="35"/>
      <c r="I686" s="12"/>
      <c r="M686" s="12"/>
      <c r="N686" s="18"/>
      <c r="O686" s="12"/>
      <c r="P686" s="12"/>
      <c r="Q686" s="12"/>
      <c r="R686" s="36"/>
      <c r="S686" s="36"/>
      <c r="T686" s="12"/>
      <c r="U686" s="12"/>
      <c r="V686" s="12"/>
      <c r="W686" s="12"/>
      <c r="X686" s="12"/>
    </row>
    <row r="687" customFormat="false" ht="15.75" hidden="false" customHeight="false" outlineLevel="0" collapsed="false">
      <c r="A687" s="12"/>
      <c r="B687" s="34"/>
      <c r="C687" s="12"/>
      <c r="D687" s="12"/>
      <c r="E687" s="12"/>
      <c r="F687" s="12"/>
      <c r="G687" s="18"/>
      <c r="H687" s="35"/>
      <c r="I687" s="12"/>
      <c r="M687" s="12"/>
      <c r="N687" s="18"/>
      <c r="O687" s="12"/>
      <c r="P687" s="12"/>
      <c r="Q687" s="12"/>
      <c r="R687" s="36"/>
      <c r="S687" s="36"/>
      <c r="T687" s="12"/>
      <c r="U687" s="12"/>
      <c r="V687" s="12"/>
      <c r="W687" s="12"/>
      <c r="X687" s="12"/>
    </row>
    <row r="688" customFormat="false" ht="15.75" hidden="false" customHeight="false" outlineLevel="0" collapsed="false">
      <c r="A688" s="12"/>
      <c r="B688" s="34"/>
      <c r="C688" s="12"/>
      <c r="D688" s="12"/>
      <c r="E688" s="12"/>
      <c r="F688" s="12"/>
      <c r="G688" s="18"/>
      <c r="H688" s="35"/>
      <c r="I688" s="12"/>
      <c r="M688" s="12"/>
      <c r="N688" s="18"/>
      <c r="O688" s="12"/>
      <c r="P688" s="12"/>
      <c r="Q688" s="12"/>
      <c r="R688" s="36"/>
      <c r="S688" s="36"/>
      <c r="T688" s="12"/>
      <c r="U688" s="12"/>
      <c r="V688" s="12"/>
      <c r="W688" s="12"/>
      <c r="X688" s="12"/>
    </row>
    <row r="689" customFormat="false" ht="15.75" hidden="false" customHeight="false" outlineLevel="0" collapsed="false">
      <c r="A689" s="12"/>
      <c r="B689" s="34"/>
      <c r="C689" s="12"/>
      <c r="D689" s="12"/>
      <c r="E689" s="12"/>
      <c r="F689" s="12"/>
      <c r="G689" s="18"/>
      <c r="H689" s="35"/>
      <c r="I689" s="12"/>
      <c r="M689" s="12"/>
      <c r="N689" s="18"/>
      <c r="O689" s="12"/>
      <c r="P689" s="12"/>
      <c r="Q689" s="12"/>
      <c r="R689" s="36"/>
      <c r="S689" s="36"/>
      <c r="T689" s="12"/>
      <c r="U689" s="12"/>
      <c r="V689" s="12"/>
      <c r="W689" s="12"/>
      <c r="X689" s="12"/>
    </row>
    <row r="690" customFormat="false" ht="15.75" hidden="false" customHeight="false" outlineLevel="0" collapsed="false">
      <c r="A690" s="12"/>
      <c r="B690" s="34"/>
      <c r="C690" s="12"/>
      <c r="D690" s="12"/>
      <c r="E690" s="12"/>
      <c r="F690" s="12"/>
      <c r="G690" s="18"/>
      <c r="H690" s="35"/>
      <c r="I690" s="12"/>
      <c r="M690" s="12"/>
      <c r="N690" s="18"/>
      <c r="O690" s="12"/>
      <c r="P690" s="12"/>
      <c r="Q690" s="12"/>
      <c r="R690" s="36"/>
      <c r="S690" s="36"/>
      <c r="T690" s="12"/>
      <c r="U690" s="12"/>
      <c r="V690" s="12"/>
      <c r="W690" s="12"/>
      <c r="X690" s="12"/>
    </row>
    <row r="691" customFormat="false" ht="15.75" hidden="false" customHeight="false" outlineLevel="0" collapsed="false">
      <c r="A691" s="12"/>
      <c r="B691" s="34"/>
      <c r="C691" s="12"/>
      <c r="D691" s="12"/>
      <c r="E691" s="12"/>
      <c r="F691" s="12"/>
      <c r="G691" s="18"/>
      <c r="H691" s="35"/>
      <c r="I691" s="12"/>
      <c r="M691" s="12"/>
      <c r="N691" s="18"/>
      <c r="O691" s="12"/>
      <c r="P691" s="12"/>
      <c r="Q691" s="12"/>
      <c r="R691" s="36"/>
      <c r="S691" s="36"/>
      <c r="T691" s="12"/>
      <c r="U691" s="12"/>
      <c r="V691" s="12"/>
      <c r="W691" s="12"/>
      <c r="X691" s="12"/>
    </row>
    <row r="692" customFormat="false" ht="15.75" hidden="false" customHeight="false" outlineLevel="0" collapsed="false">
      <c r="A692" s="12"/>
      <c r="B692" s="34"/>
      <c r="C692" s="12"/>
      <c r="D692" s="12"/>
      <c r="E692" s="12"/>
      <c r="F692" s="12"/>
      <c r="G692" s="18"/>
      <c r="H692" s="35"/>
      <c r="I692" s="12"/>
      <c r="M692" s="12"/>
      <c r="N692" s="18"/>
      <c r="O692" s="12"/>
      <c r="P692" s="12"/>
      <c r="Q692" s="12"/>
      <c r="R692" s="36"/>
      <c r="S692" s="36"/>
      <c r="T692" s="12"/>
      <c r="U692" s="12"/>
      <c r="V692" s="12"/>
      <c r="W692" s="12"/>
      <c r="X692" s="12"/>
    </row>
    <row r="693" customFormat="false" ht="15.75" hidden="false" customHeight="false" outlineLevel="0" collapsed="false">
      <c r="A693" s="12"/>
      <c r="B693" s="34"/>
      <c r="C693" s="12"/>
      <c r="D693" s="12"/>
      <c r="E693" s="12"/>
      <c r="F693" s="12"/>
      <c r="G693" s="18"/>
      <c r="H693" s="35"/>
      <c r="I693" s="12"/>
      <c r="M693" s="12"/>
      <c r="N693" s="18"/>
      <c r="O693" s="12"/>
      <c r="P693" s="12"/>
      <c r="Q693" s="12"/>
      <c r="R693" s="36"/>
      <c r="S693" s="36"/>
      <c r="T693" s="12"/>
      <c r="U693" s="12"/>
      <c r="V693" s="12"/>
      <c r="W693" s="12"/>
      <c r="X693" s="12"/>
    </row>
    <row r="694" customFormat="false" ht="15.75" hidden="false" customHeight="false" outlineLevel="0" collapsed="false">
      <c r="A694" s="12"/>
      <c r="B694" s="34"/>
      <c r="C694" s="12"/>
      <c r="D694" s="12"/>
      <c r="E694" s="12"/>
      <c r="F694" s="12"/>
      <c r="G694" s="18"/>
      <c r="H694" s="35"/>
      <c r="I694" s="12"/>
      <c r="M694" s="12"/>
      <c r="N694" s="18"/>
      <c r="O694" s="12"/>
      <c r="P694" s="12"/>
      <c r="Q694" s="12"/>
      <c r="R694" s="36"/>
      <c r="S694" s="36"/>
      <c r="T694" s="12"/>
      <c r="U694" s="12"/>
      <c r="V694" s="12"/>
      <c r="W694" s="12"/>
      <c r="X694" s="12"/>
    </row>
    <row r="695" customFormat="false" ht="15.75" hidden="false" customHeight="false" outlineLevel="0" collapsed="false">
      <c r="A695" s="12"/>
      <c r="B695" s="34"/>
      <c r="C695" s="12"/>
      <c r="D695" s="12"/>
      <c r="E695" s="12"/>
      <c r="F695" s="12"/>
      <c r="G695" s="18"/>
      <c r="H695" s="35"/>
      <c r="I695" s="12"/>
      <c r="M695" s="12"/>
      <c r="N695" s="18"/>
      <c r="O695" s="12"/>
      <c r="P695" s="12"/>
      <c r="Q695" s="12"/>
      <c r="R695" s="36"/>
      <c r="S695" s="36"/>
      <c r="T695" s="12"/>
      <c r="U695" s="12"/>
      <c r="V695" s="12"/>
      <c r="W695" s="12"/>
      <c r="X695" s="12"/>
    </row>
    <row r="696" customFormat="false" ht="15.75" hidden="false" customHeight="false" outlineLevel="0" collapsed="false">
      <c r="A696" s="12"/>
      <c r="B696" s="34"/>
      <c r="C696" s="12"/>
      <c r="D696" s="12"/>
      <c r="E696" s="12"/>
      <c r="F696" s="12"/>
      <c r="G696" s="18"/>
      <c r="H696" s="35"/>
      <c r="I696" s="12"/>
      <c r="M696" s="12"/>
      <c r="N696" s="18"/>
      <c r="O696" s="12"/>
      <c r="P696" s="12"/>
      <c r="Q696" s="12"/>
      <c r="R696" s="36"/>
      <c r="S696" s="36"/>
      <c r="T696" s="12"/>
      <c r="U696" s="12"/>
      <c r="V696" s="12"/>
      <c r="W696" s="12"/>
      <c r="X696" s="12"/>
    </row>
    <row r="697" customFormat="false" ht="15.75" hidden="false" customHeight="false" outlineLevel="0" collapsed="false">
      <c r="A697" s="12"/>
      <c r="B697" s="34"/>
      <c r="C697" s="12"/>
      <c r="D697" s="12"/>
      <c r="E697" s="12"/>
      <c r="F697" s="12"/>
      <c r="G697" s="18"/>
      <c r="H697" s="35"/>
      <c r="I697" s="12"/>
      <c r="M697" s="12"/>
      <c r="N697" s="18"/>
      <c r="O697" s="12"/>
      <c r="P697" s="12"/>
      <c r="Q697" s="12"/>
      <c r="R697" s="36"/>
      <c r="S697" s="36"/>
      <c r="T697" s="12"/>
      <c r="U697" s="12"/>
      <c r="V697" s="12"/>
      <c r="W697" s="12"/>
      <c r="X697" s="12"/>
    </row>
    <row r="698" customFormat="false" ht="15.75" hidden="false" customHeight="false" outlineLevel="0" collapsed="false">
      <c r="A698" s="12"/>
      <c r="B698" s="34"/>
      <c r="C698" s="12"/>
      <c r="D698" s="12"/>
      <c r="E698" s="12"/>
      <c r="F698" s="12"/>
      <c r="G698" s="18"/>
      <c r="H698" s="35"/>
      <c r="I698" s="12"/>
      <c r="M698" s="12"/>
      <c r="N698" s="18"/>
      <c r="O698" s="12"/>
      <c r="P698" s="12"/>
      <c r="Q698" s="12"/>
      <c r="R698" s="36"/>
      <c r="S698" s="36"/>
      <c r="T698" s="12"/>
      <c r="U698" s="12"/>
      <c r="V698" s="12"/>
      <c r="W698" s="12"/>
      <c r="X698" s="12"/>
    </row>
    <row r="699" customFormat="false" ht="15.75" hidden="false" customHeight="false" outlineLevel="0" collapsed="false">
      <c r="A699" s="12"/>
      <c r="B699" s="34"/>
      <c r="C699" s="12"/>
      <c r="D699" s="12"/>
      <c r="E699" s="12"/>
      <c r="F699" s="12"/>
      <c r="G699" s="18"/>
      <c r="H699" s="35"/>
      <c r="I699" s="12"/>
      <c r="M699" s="12"/>
      <c r="N699" s="18"/>
      <c r="O699" s="12"/>
      <c r="P699" s="12"/>
      <c r="Q699" s="12"/>
      <c r="R699" s="36"/>
      <c r="S699" s="36"/>
      <c r="T699" s="12"/>
      <c r="U699" s="12"/>
      <c r="V699" s="12"/>
      <c r="W699" s="12"/>
      <c r="X699" s="12"/>
    </row>
    <row r="700" customFormat="false" ht="15.75" hidden="false" customHeight="false" outlineLevel="0" collapsed="false">
      <c r="A700" s="12"/>
      <c r="B700" s="34"/>
      <c r="C700" s="12"/>
      <c r="D700" s="12"/>
      <c r="E700" s="12"/>
      <c r="F700" s="12"/>
      <c r="G700" s="18"/>
      <c r="H700" s="35"/>
      <c r="I700" s="12"/>
      <c r="M700" s="12"/>
      <c r="N700" s="18"/>
      <c r="O700" s="12"/>
      <c r="P700" s="12"/>
      <c r="Q700" s="12"/>
      <c r="R700" s="36"/>
      <c r="S700" s="36"/>
      <c r="T700" s="12"/>
      <c r="U700" s="12"/>
      <c r="V700" s="12"/>
      <c r="W700" s="12"/>
      <c r="X700" s="12"/>
    </row>
    <row r="701" customFormat="false" ht="15.75" hidden="false" customHeight="false" outlineLevel="0" collapsed="false">
      <c r="A701" s="12"/>
      <c r="B701" s="34"/>
      <c r="C701" s="12"/>
      <c r="D701" s="12"/>
      <c r="E701" s="12"/>
      <c r="F701" s="12"/>
      <c r="G701" s="18"/>
      <c r="H701" s="35"/>
      <c r="I701" s="12"/>
      <c r="M701" s="12"/>
      <c r="N701" s="18"/>
      <c r="O701" s="12"/>
      <c r="P701" s="12"/>
      <c r="Q701" s="12"/>
      <c r="R701" s="36"/>
      <c r="S701" s="36"/>
      <c r="T701" s="12"/>
      <c r="U701" s="12"/>
      <c r="V701" s="12"/>
      <c r="W701" s="12"/>
      <c r="X701" s="12"/>
    </row>
    <row r="702" customFormat="false" ht="15.75" hidden="false" customHeight="false" outlineLevel="0" collapsed="false">
      <c r="A702" s="12"/>
      <c r="B702" s="34"/>
      <c r="C702" s="12"/>
      <c r="D702" s="12"/>
      <c r="E702" s="12"/>
      <c r="F702" s="12"/>
      <c r="G702" s="18"/>
      <c r="H702" s="35"/>
      <c r="I702" s="12"/>
      <c r="M702" s="12"/>
      <c r="N702" s="18"/>
      <c r="O702" s="12"/>
      <c r="P702" s="12"/>
      <c r="Q702" s="12"/>
      <c r="R702" s="36"/>
      <c r="S702" s="36"/>
      <c r="T702" s="12"/>
      <c r="U702" s="12"/>
      <c r="V702" s="12"/>
      <c r="W702" s="12"/>
      <c r="X702" s="12"/>
    </row>
    <row r="703" customFormat="false" ht="15.75" hidden="false" customHeight="false" outlineLevel="0" collapsed="false">
      <c r="A703" s="12"/>
      <c r="B703" s="34"/>
      <c r="C703" s="12"/>
      <c r="D703" s="12"/>
      <c r="E703" s="12"/>
      <c r="F703" s="12"/>
      <c r="G703" s="18"/>
      <c r="H703" s="35"/>
      <c r="I703" s="12"/>
      <c r="M703" s="12"/>
      <c r="N703" s="18"/>
      <c r="O703" s="12"/>
      <c r="P703" s="12"/>
      <c r="Q703" s="12"/>
      <c r="R703" s="36"/>
      <c r="S703" s="36"/>
      <c r="T703" s="12"/>
      <c r="U703" s="12"/>
      <c r="V703" s="12"/>
      <c r="W703" s="12"/>
      <c r="X703" s="12"/>
    </row>
    <row r="704" customFormat="false" ht="15.75" hidden="false" customHeight="false" outlineLevel="0" collapsed="false">
      <c r="A704" s="12"/>
      <c r="B704" s="34"/>
      <c r="C704" s="12"/>
      <c r="D704" s="12"/>
      <c r="E704" s="12"/>
      <c r="F704" s="12"/>
      <c r="G704" s="18"/>
      <c r="H704" s="35"/>
      <c r="I704" s="12"/>
      <c r="M704" s="12"/>
      <c r="N704" s="18"/>
      <c r="O704" s="12"/>
      <c r="P704" s="12"/>
      <c r="Q704" s="12"/>
      <c r="R704" s="36"/>
      <c r="S704" s="36"/>
      <c r="T704" s="12"/>
      <c r="U704" s="12"/>
      <c r="V704" s="12"/>
      <c r="W704" s="12"/>
      <c r="X704" s="12"/>
    </row>
    <row r="705" customFormat="false" ht="15.75" hidden="false" customHeight="false" outlineLevel="0" collapsed="false">
      <c r="A705" s="12"/>
      <c r="B705" s="34"/>
      <c r="C705" s="12"/>
      <c r="D705" s="12"/>
      <c r="E705" s="12"/>
      <c r="F705" s="12"/>
      <c r="G705" s="18"/>
      <c r="H705" s="35"/>
      <c r="I705" s="12"/>
      <c r="M705" s="12"/>
      <c r="N705" s="18"/>
      <c r="O705" s="12"/>
      <c r="P705" s="12"/>
      <c r="Q705" s="12"/>
      <c r="R705" s="36"/>
      <c r="S705" s="36"/>
      <c r="T705" s="12"/>
      <c r="U705" s="12"/>
      <c r="V705" s="12"/>
      <c r="W705" s="12"/>
      <c r="X705" s="12"/>
    </row>
    <row r="706" customFormat="false" ht="15.75" hidden="false" customHeight="false" outlineLevel="0" collapsed="false">
      <c r="A706" s="12"/>
      <c r="B706" s="34"/>
      <c r="C706" s="12"/>
      <c r="D706" s="12"/>
      <c r="E706" s="12"/>
      <c r="F706" s="12"/>
      <c r="G706" s="18"/>
      <c r="H706" s="35"/>
      <c r="I706" s="12"/>
      <c r="M706" s="12"/>
      <c r="N706" s="18"/>
      <c r="O706" s="12"/>
      <c r="P706" s="12"/>
      <c r="Q706" s="12"/>
      <c r="R706" s="36"/>
      <c r="S706" s="36"/>
      <c r="T706" s="12"/>
      <c r="U706" s="12"/>
      <c r="V706" s="12"/>
      <c r="W706" s="12"/>
      <c r="X706" s="12"/>
    </row>
    <row r="707" customFormat="false" ht="15.75" hidden="false" customHeight="false" outlineLevel="0" collapsed="false">
      <c r="A707" s="12"/>
      <c r="B707" s="34"/>
      <c r="C707" s="12"/>
      <c r="D707" s="12"/>
      <c r="E707" s="12"/>
      <c r="F707" s="12"/>
      <c r="G707" s="18"/>
      <c r="H707" s="35"/>
      <c r="I707" s="12"/>
      <c r="M707" s="12"/>
      <c r="N707" s="18"/>
      <c r="O707" s="12"/>
      <c r="P707" s="12"/>
      <c r="Q707" s="12"/>
      <c r="R707" s="36"/>
      <c r="S707" s="36"/>
      <c r="T707" s="12"/>
      <c r="U707" s="12"/>
      <c r="V707" s="12"/>
      <c r="W707" s="12"/>
      <c r="X707" s="12"/>
    </row>
    <row r="708" customFormat="false" ht="15.75" hidden="false" customHeight="false" outlineLevel="0" collapsed="false">
      <c r="A708" s="12"/>
      <c r="B708" s="34"/>
      <c r="C708" s="12"/>
      <c r="D708" s="12"/>
      <c r="E708" s="12"/>
      <c r="F708" s="12"/>
      <c r="G708" s="18"/>
      <c r="H708" s="35"/>
      <c r="I708" s="12"/>
      <c r="M708" s="12"/>
      <c r="N708" s="18"/>
      <c r="O708" s="12"/>
      <c r="P708" s="12"/>
      <c r="Q708" s="12"/>
      <c r="R708" s="36"/>
      <c r="S708" s="36"/>
      <c r="T708" s="12"/>
      <c r="U708" s="12"/>
      <c r="V708" s="12"/>
      <c r="W708" s="12"/>
      <c r="X708" s="12"/>
    </row>
    <row r="709" customFormat="false" ht="15.75" hidden="false" customHeight="false" outlineLevel="0" collapsed="false">
      <c r="A709" s="12"/>
      <c r="B709" s="34"/>
      <c r="C709" s="12"/>
      <c r="D709" s="12"/>
      <c r="E709" s="12"/>
      <c r="F709" s="12"/>
      <c r="G709" s="18"/>
      <c r="H709" s="35"/>
      <c r="I709" s="12"/>
      <c r="M709" s="12"/>
      <c r="N709" s="18"/>
      <c r="O709" s="12"/>
      <c r="P709" s="12"/>
      <c r="Q709" s="12"/>
      <c r="R709" s="36"/>
      <c r="S709" s="36"/>
      <c r="T709" s="12"/>
      <c r="U709" s="12"/>
      <c r="V709" s="12"/>
      <c r="W709" s="12"/>
      <c r="X709" s="12"/>
    </row>
    <row r="710" customFormat="false" ht="15.75" hidden="false" customHeight="false" outlineLevel="0" collapsed="false">
      <c r="A710" s="12"/>
      <c r="B710" s="34"/>
      <c r="C710" s="12"/>
      <c r="D710" s="12"/>
      <c r="E710" s="12"/>
      <c r="F710" s="12"/>
      <c r="G710" s="18"/>
      <c r="H710" s="35"/>
      <c r="I710" s="12"/>
      <c r="M710" s="12"/>
      <c r="N710" s="18"/>
      <c r="O710" s="12"/>
      <c r="P710" s="12"/>
      <c r="Q710" s="12"/>
      <c r="R710" s="36"/>
      <c r="S710" s="36"/>
      <c r="T710" s="12"/>
      <c r="U710" s="12"/>
      <c r="V710" s="12"/>
      <c r="W710" s="12"/>
      <c r="X710" s="12"/>
    </row>
    <row r="711" customFormat="false" ht="15.75" hidden="false" customHeight="false" outlineLevel="0" collapsed="false">
      <c r="A711" s="12"/>
      <c r="B711" s="34"/>
      <c r="C711" s="12"/>
      <c r="D711" s="12"/>
      <c r="E711" s="12"/>
      <c r="F711" s="12"/>
      <c r="G711" s="18"/>
      <c r="H711" s="35"/>
      <c r="I711" s="12"/>
      <c r="M711" s="12"/>
      <c r="N711" s="18"/>
      <c r="O711" s="12"/>
      <c r="P711" s="12"/>
      <c r="Q711" s="12"/>
      <c r="R711" s="36"/>
      <c r="S711" s="36"/>
      <c r="T711" s="12"/>
      <c r="U711" s="12"/>
      <c r="V711" s="12"/>
      <c r="W711" s="12"/>
      <c r="X711" s="12"/>
    </row>
    <row r="712" customFormat="false" ht="15.75" hidden="false" customHeight="false" outlineLevel="0" collapsed="false">
      <c r="A712" s="12"/>
      <c r="B712" s="34"/>
      <c r="C712" s="12"/>
      <c r="D712" s="12"/>
      <c r="E712" s="12"/>
      <c r="F712" s="12"/>
      <c r="G712" s="18"/>
      <c r="H712" s="35"/>
      <c r="I712" s="12"/>
      <c r="M712" s="12"/>
      <c r="N712" s="18"/>
      <c r="O712" s="12"/>
      <c r="P712" s="12"/>
      <c r="Q712" s="12"/>
      <c r="R712" s="36"/>
      <c r="S712" s="36"/>
      <c r="T712" s="12"/>
      <c r="U712" s="12"/>
      <c r="V712" s="12"/>
      <c r="W712" s="12"/>
      <c r="X712" s="12"/>
    </row>
    <row r="713" customFormat="false" ht="15.75" hidden="false" customHeight="false" outlineLevel="0" collapsed="false">
      <c r="A713" s="12"/>
      <c r="B713" s="34"/>
      <c r="C713" s="12"/>
      <c r="D713" s="12"/>
      <c r="E713" s="12"/>
      <c r="F713" s="12"/>
      <c r="G713" s="18"/>
      <c r="H713" s="35"/>
      <c r="I713" s="12"/>
      <c r="M713" s="12"/>
      <c r="N713" s="18"/>
      <c r="O713" s="12"/>
      <c r="P713" s="12"/>
      <c r="Q713" s="12"/>
      <c r="R713" s="36"/>
      <c r="S713" s="36"/>
      <c r="T713" s="12"/>
      <c r="U713" s="12"/>
      <c r="V713" s="12"/>
      <c r="W713" s="12"/>
      <c r="X713" s="12"/>
    </row>
    <row r="714" customFormat="false" ht="15.75" hidden="false" customHeight="false" outlineLevel="0" collapsed="false">
      <c r="A714" s="12"/>
      <c r="B714" s="34"/>
      <c r="C714" s="12"/>
      <c r="D714" s="12"/>
      <c r="E714" s="12"/>
      <c r="F714" s="12"/>
      <c r="G714" s="18"/>
      <c r="H714" s="35"/>
      <c r="I714" s="12"/>
      <c r="M714" s="12"/>
      <c r="N714" s="18"/>
      <c r="O714" s="12"/>
      <c r="P714" s="12"/>
      <c r="Q714" s="12"/>
      <c r="R714" s="36"/>
      <c r="S714" s="36"/>
      <c r="T714" s="12"/>
      <c r="U714" s="12"/>
      <c r="V714" s="12"/>
      <c r="W714" s="12"/>
      <c r="X714" s="12"/>
    </row>
    <row r="715" customFormat="false" ht="15.75" hidden="false" customHeight="false" outlineLevel="0" collapsed="false">
      <c r="A715" s="12"/>
      <c r="B715" s="34"/>
      <c r="C715" s="12"/>
      <c r="D715" s="12"/>
      <c r="E715" s="12"/>
      <c r="F715" s="12"/>
      <c r="G715" s="18"/>
      <c r="H715" s="35"/>
      <c r="I715" s="12"/>
      <c r="M715" s="12"/>
      <c r="N715" s="18"/>
      <c r="O715" s="12"/>
      <c r="P715" s="12"/>
      <c r="Q715" s="12"/>
      <c r="R715" s="36"/>
      <c r="S715" s="36"/>
      <c r="T715" s="12"/>
      <c r="U715" s="12"/>
      <c r="V715" s="12"/>
      <c r="W715" s="12"/>
      <c r="X715" s="12"/>
    </row>
    <row r="716" customFormat="false" ht="15.75" hidden="false" customHeight="false" outlineLevel="0" collapsed="false">
      <c r="A716" s="12"/>
      <c r="B716" s="34"/>
      <c r="C716" s="12"/>
      <c r="D716" s="12"/>
      <c r="E716" s="12"/>
      <c r="F716" s="12"/>
      <c r="G716" s="18"/>
      <c r="H716" s="35"/>
      <c r="I716" s="12"/>
      <c r="M716" s="12"/>
      <c r="N716" s="18"/>
      <c r="O716" s="12"/>
      <c r="P716" s="12"/>
      <c r="Q716" s="12"/>
      <c r="R716" s="36"/>
      <c r="S716" s="36"/>
      <c r="T716" s="12"/>
      <c r="U716" s="12"/>
      <c r="V716" s="12"/>
      <c r="W716" s="12"/>
      <c r="X716" s="12"/>
    </row>
    <row r="717" customFormat="false" ht="15.75" hidden="false" customHeight="false" outlineLevel="0" collapsed="false">
      <c r="A717" s="12"/>
      <c r="B717" s="34"/>
      <c r="C717" s="12"/>
      <c r="D717" s="12"/>
      <c r="E717" s="12"/>
      <c r="F717" s="12"/>
      <c r="G717" s="18"/>
      <c r="H717" s="35"/>
      <c r="I717" s="12"/>
      <c r="M717" s="12"/>
      <c r="N717" s="18"/>
      <c r="O717" s="12"/>
      <c r="P717" s="12"/>
      <c r="Q717" s="12"/>
      <c r="R717" s="36"/>
      <c r="S717" s="36"/>
      <c r="T717" s="12"/>
      <c r="U717" s="12"/>
      <c r="V717" s="12"/>
      <c r="W717" s="12"/>
      <c r="X717" s="12"/>
    </row>
    <row r="718" customFormat="false" ht="15.75" hidden="false" customHeight="false" outlineLevel="0" collapsed="false">
      <c r="A718" s="12"/>
      <c r="B718" s="34"/>
      <c r="C718" s="12"/>
      <c r="D718" s="12"/>
      <c r="E718" s="12"/>
      <c r="F718" s="12"/>
      <c r="G718" s="18"/>
      <c r="H718" s="35"/>
      <c r="I718" s="12"/>
      <c r="M718" s="12"/>
      <c r="N718" s="18"/>
      <c r="O718" s="12"/>
      <c r="P718" s="12"/>
      <c r="Q718" s="12"/>
      <c r="R718" s="36"/>
      <c r="S718" s="36"/>
      <c r="T718" s="12"/>
      <c r="U718" s="12"/>
      <c r="V718" s="12"/>
      <c r="W718" s="12"/>
      <c r="X718" s="12"/>
    </row>
    <row r="719" customFormat="false" ht="15.75" hidden="false" customHeight="false" outlineLevel="0" collapsed="false">
      <c r="A719" s="12"/>
      <c r="B719" s="34"/>
      <c r="C719" s="12"/>
      <c r="D719" s="12"/>
      <c r="E719" s="12"/>
      <c r="F719" s="12"/>
      <c r="G719" s="18"/>
      <c r="H719" s="35"/>
      <c r="I719" s="12"/>
      <c r="M719" s="12"/>
      <c r="N719" s="18"/>
      <c r="O719" s="12"/>
      <c r="P719" s="12"/>
      <c r="Q719" s="12"/>
      <c r="R719" s="36"/>
      <c r="S719" s="36"/>
      <c r="T719" s="12"/>
      <c r="U719" s="12"/>
      <c r="V719" s="12"/>
      <c r="W719" s="12"/>
      <c r="X719" s="12"/>
    </row>
    <row r="720" customFormat="false" ht="15.75" hidden="false" customHeight="false" outlineLevel="0" collapsed="false">
      <c r="A720" s="12"/>
      <c r="B720" s="34"/>
      <c r="C720" s="12"/>
      <c r="D720" s="12"/>
      <c r="E720" s="12"/>
      <c r="F720" s="12"/>
      <c r="G720" s="18"/>
      <c r="H720" s="35"/>
      <c r="I720" s="12"/>
      <c r="M720" s="12"/>
      <c r="N720" s="18"/>
      <c r="O720" s="12"/>
      <c r="P720" s="12"/>
      <c r="Q720" s="12"/>
      <c r="R720" s="36"/>
      <c r="S720" s="36"/>
      <c r="T720" s="12"/>
      <c r="U720" s="12"/>
      <c r="V720" s="12"/>
      <c r="W720" s="12"/>
      <c r="X720" s="12"/>
    </row>
    <row r="721" customFormat="false" ht="15.75" hidden="false" customHeight="false" outlineLevel="0" collapsed="false">
      <c r="A721" s="12"/>
      <c r="B721" s="34"/>
      <c r="C721" s="12"/>
      <c r="D721" s="12"/>
      <c r="E721" s="12"/>
      <c r="F721" s="12"/>
      <c r="G721" s="18"/>
      <c r="H721" s="35"/>
      <c r="I721" s="12"/>
      <c r="M721" s="12"/>
      <c r="N721" s="18"/>
      <c r="O721" s="12"/>
      <c r="P721" s="12"/>
      <c r="Q721" s="12"/>
      <c r="R721" s="36"/>
      <c r="S721" s="36"/>
      <c r="T721" s="12"/>
      <c r="U721" s="12"/>
      <c r="V721" s="12"/>
      <c r="W721" s="12"/>
      <c r="X721" s="12"/>
    </row>
    <row r="722" customFormat="false" ht="15.75" hidden="false" customHeight="false" outlineLevel="0" collapsed="false">
      <c r="A722" s="12"/>
      <c r="B722" s="34"/>
      <c r="C722" s="12"/>
      <c r="D722" s="12"/>
      <c r="E722" s="12"/>
      <c r="F722" s="12"/>
      <c r="G722" s="18"/>
      <c r="H722" s="35"/>
      <c r="I722" s="12"/>
      <c r="M722" s="12"/>
      <c r="N722" s="18"/>
      <c r="O722" s="12"/>
      <c r="P722" s="12"/>
      <c r="Q722" s="12"/>
      <c r="R722" s="36"/>
      <c r="S722" s="36"/>
      <c r="T722" s="12"/>
      <c r="U722" s="12"/>
      <c r="V722" s="12"/>
      <c r="W722" s="12"/>
      <c r="X722" s="12"/>
    </row>
    <row r="723" customFormat="false" ht="15.75" hidden="false" customHeight="false" outlineLevel="0" collapsed="false">
      <c r="A723" s="12"/>
      <c r="B723" s="34"/>
      <c r="C723" s="12"/>
      <c r="D723" s="12"/>
      <c r="E723" s="12"/>
      <c r="F723" s="12"/>
      <c r="G723" s="18"/>
      <c r="H723" s="35"/>
      <c r="I723" s="12"/>
      <c r="M723" s="12"/>
      <c r="N723" s="18"/>
      <c r="O723" s="12"/>
      <c r="P723" s="12"/>
      <c r="Q723" s="12"/>
      <c r="R723" s="36"/>
      <c r="S723" s="36"/>
      <c r="T723" s="12"/>
      <c r="U723" s="12"/>
      <c r="V723" s="12"/>
      <c r="W723" s="12"/>
      <c r="X723" s="12"/>
    </row>
    <row r="724" customFormat="false" ht="15.75" hidden="false" customHeight="false" outlineLevel="0" collapsed="false">
      <c r="A724" s="12"/>
      <c r="B724" s="34"/>
      <c r="C724" s="12"/>
      <c r="D724" s="12"/>
      <c r="E724" s="12"/>
      <c r="F724" s="12"/>
      <c r="G724" s="18"/>
      <c r="H724" s="35"/>
      <c r="I724" s="12"/>
      <c r="M724" s="12"/>
      <c r="N724" s="18"/>
      <c r="O724" s="12"/>
      <c r="P724" s="12"/>
      <c r="Q724" s="12"/>
      <c r="R724" s="36"/>
      <c r="S724" s="36"/>
      <c r="T724" s="12"/>
      <c r="U724" s="12"/>
      <c r="V724" s="12"/>
      <c r="W724" s="12"/>
      <c r="X724" s="12"/>
    </row>
    <row r="725" customFormat="false" ht="15.75" hidden="false" customHeight="false" outlineLevel="0" collapsed="false">
      <c r="A725" s="12"/>
      <c r="B725" s="34"/>
      <c r="C725" s="12"/>
      <c r="D725" s="12"/>
      <c r="E725" s="12"/>
      <c r="F725" s="12"/>
      <c r="G725" s="18"/>
      <c r="H725" s="35"/>
      <c r="I725" s="12"/>
      <c r="M725" s="12"/>
      <c r="N725" s="18"/>
      <c r="O725" s="12"/>
      <c r="P725" s="12"/>
      <c r="Q725" s="12"/>
      <c r="R725" s="36"/>
      <c r="S725" s="36"/>
      <c r="T725" s="12"/>
      <c r="U725" s="12"/>
      <c r="V725" s="12"/>
      <c r="W725" s="12"/>
      <c r="X725" s="12"/>
    </row>
    <row r="726" customFormat="false" ht="15.75" hidden="false" customHeight="false" outlineLevel="0" collapsed="false">
      <c r="A726" s="12"/>
      <c r="B726" s="34"/>
      <c r="C726" s="12"/>
      <c r="D726" s="12"/>
      <c r="E726" s="12"/>
      <c r="F726" s="12"/>
      <c r="G726" s="18"/>
      <c r="H726" s="35"/>
      <c r="I726" s="12"/>
      <c r="M726" s="12"/>
      <c r="N726" s="18"/>
      <c r="O726" s="12"/>
      <c r="P726" s="12"/>
      <c r="Q726" s="12"/>
      <c r="R726" s="36"/>
      <c r="S726" s="36"/>
      <c r="T726" s="12"/>
      <c r="U726" s="12"/>
      <c r="V726" s="12"/>
      <c r="W726" s="12"/>
      <c r="X726" s="12"/>
    </row>
    <row r="727" customFormat="false" ht="15.75" hidden="false" customHeight="false" outlineLevel="0" collapsed="false">
      <c r="A727" s="12"/>
      <c r="B727" s="34"/>
      <c r="C727" s="12"/>
      <c r="D727" s="12"/>
      <c r="E727" s="12"/>
      <c r="F727" s="12"/>
      <c r="G727" s="18"/>
      <c r="H727" s="35"/>
      <c r="I727" s="12"/>
      <c r="M727" s="12"/>
      <c r="N727" s="18"/>
      <c r="O727" s="12"/>
      <c r="P727" s="12"/>
      <c r="Q727" s="12"/>
      <c r="R727" s="36"/>
      <c r="S727" s="36"/>
      <c r="T727" s="12"/>
      <c r="U727" s="12"/>
      <c r="V727" s="12"/>
      <c r="W727" s="12"/>
      <c r="X727" s="12"/>
    </row>
    <row r="728" customFormat="false" ht="15.75" hidden="false" customHeight="false" outlineLevel="0" collapsed="false">
      <c r="A728" s="12"/>
      <c r="B728" s="34"/>
      <c r="C728" s="12"/>
      <c r="D728" s="12"/>
      <c r="E728" s="12"/>
      <c r="F728" s="12"/>
      <c r="G728" s="18"/>
      <c r="H728" s="35"/>
      <c r="I728" s="12"/>
      <c r="M728" s="12"/>
      <c r="N728" s="18"/>
      <c r="O728" s="12"/>
      <c r="P728" s="12"/>
      <c r="Q728" s="12"/>
      <c r="R728" s="36"/>
      <c r="S728" s="36"/>
      <c r="T728" s="12"/>
      <c r="U728" s="12"/>
      <c r="V728" s="12"/>
      <c r="W728" s="12"/>
      <c r="X728" s="12"/>
    </row>
    <row r="729" customFormat="false" ht="15.75" hidden="false" customHeight="false" outlineLevel="0" collapsed="false">
      <c r="A729" s="12"/>
      <c r="B729" s="34"/>
      <c r="C729" s="12"/>
      <c r="D729" s="12"/>
      <c r="E729" s="12"/>
      <c r="F729" s="12"/>
      <c r="G729" s="18"/>
      <c r="H729" s="35"/>
      <c r="I729" s="12"/>
      <c r="M729" s="12"/>
      <c r="N729" s="18"/>
      <c r="O729" s="12"/>
      <c r="P729" s="12"/>
      <c r="Q729" s="12"/>
      <c r="R729" s="36"/>
      <c r="S729" s="36"/>
      <c r="T729" s="12"/>
      <c r="U729" s="12"/>
      <c r="V729" s="12"/>
      <c r="W729" s="12"/>
      <c r="X729" s="12"/>
    </row>
    <row r="730" customFormat="false" ht="15.75" hidden="false" customHeight="false" outlineLevel="0" collapsed="false">
      <c r="A730" s="12"/>
      <c r="B730" s="34"/>
      <c r="C730" s="12"/>
      <c r="D730" s="12"/>
      <c r="E730" s="12"/>
      <c r="F730" s="12"/>
      <c r="G730" s="18"/>
      <c r="H730" s="35"/>
      <c r="I730" s="12"/>
      <c r="M730" s="12"/>
      <c r="N730" s="18"/>
      <c r="O730" s="12"/>
      <c r="P730" s="12"/>
      <c r="Q730" s="12"/>
      <c r="R730" s="36"/>
      <c r="S730" s="36"/>
      <c r="T730" s="12"/>
      <c r="U730" s="12"/>
      <c r="V730" s="12"/>
      <c r="W730" s="12"/>
      <c r="X730" s="12"/>
    </row>
    <row r="731" customFormat="false" ht="15.75" hidden="false" customHeight="false" outlineLevel="0" collapsed="false">
      <c r="A731" s="12"/>
      <c r="B731" s="34"/>
      <c r="C731" s="12"/>
      <c r="D731" s="12"/>
      <c r="E731" s="12"/>
      <c r="F731" s="12"/>
      <c r="G731" s="18"/>
      <c r="H731" s="35"/>
      <c r="I731" s="12"/>
      <c r="M731" s="12"/>
      <c r="N731" s="18"/>
      <c r="O731" s="12"/>
      <c r="P731" s="12"/>
      <c r="Q731" s="12"/>
      <c r="R731" s="36"/>
      <c r="S731" s="36"/>
      <c r="T731" s="12"/>
      <c r="U731" s="12"/>
      <c r="V731" s="12"/>
      <c r="W731" s="12"/>
      <c r="X731" s="12"/>
    </row>
    <row r="732" customFormat="false" ht="15.75" hidden="false" customHeight="false" outlineLevel="0" collapsed="false">
      <c r="A732" s="12"/>
      <c r="B732" s="34"/>
      <c r="C732" s="12"/>
      <c r="D732" s="12"/>
      <c r="E732" s="12"/>
      <c r="F732" s="12"/>
      <c r="G732" s="18"/>
      <c r="H732" s="35"/>
      <c r="I732" s="12"/>
      <c r="M732" s="12"/>
      <c r="N732" s="18"/>
      <c r="O732" s="12"/>
      <c r="P732" s="12"/>
      <c r="Q732" s="12"/>
      <c r="R732" s="36"/>
      <c r="S732" s="36"/>
      <c r="T732" s="12"/>
      <c r="U732" s="12"/>
      <c r="V732" s="12"/>
      <c r="W732" s="12"/>
      <c r="X732" s="12"/>
    </row>
    <row r="733" customFormat="false" ht="15.75" hidden="false" customHeight="false" outlineLevel="0" collapsed="false">
      <c r="A733" s="12"/>
      <c r="B733" s="34"/>
      <c r="C733" s="12"/>
      <c r="D733" s="12"/>
      <c r="E733" s="12"/>
      <c r="F733" s="12"/>
      <c r="G733" s="18"/>
      <c r="H733" s="35"/>
      <c r="I733" s="12"/>
      <c r="M733" s="12"/>
      <c r="N733" s="18"/>
      <c r="O733" s="12"/>
      <c r="P733" s="12"/>
      <c r="Q733" s="12"/>
      <c r="R733" s="36"/>
      <c r="S733" s="36"/>
      <c r="T733" s="12"/>
      <c r="U733" s="12"/>
      <c r="V733" s="12"/>
      <c r="W733" s="12"/>
      <c r="X733" s="12"/>
    </row>
    <row r="734" customFormat="false" ht="15.75" hidden="false" customHeight="false" outlineLevel="0" collapsed="false">
      <c r="A734" s="12"/>
      <c r="B734" s="34"/>
      <c r="C734" s="12"/>
      <c r="D734" s="12"/>
      <c r="E734" s="12"/>
      <c r="F734" s="12"/>
      <c r="G734" s="18"/>
      <c r="H734" s="35"/>
      <c r="I734" s="12"/>
      <c r="M734" s="12"/>
      <c r="N734" s="18"/>
      <c r="O734" s="12"/>
      <c r="P734" s="12"/>
      <c r="Q734" s="12"/>
      <c r="R734" s="36"/>
      <c r="S734" s="36"/>
      <c r="T734" s="12"/>
      <c r="U734" s="12"/>
      <c r="V734" s="12"/>
      <c r="W734" s="12"/>
      <c r="X734" s="12"/>
    </row>
    <row r="735" customFormat="false" ht="15.75" hidden="false" customHeight="false" outlineLevel="0" collapsed="false">
      <c r="A735" s="12"/>
      <c r="B735" s="34"/>
      <c r="C735" s="12"/>
      <c r="D735" s="12"/>
      <c r="E735" s="12"/>
      <c r="F735" s="12"/>
      <c r="G735" s="18"/>
      <c r="H735" s="35"/>
      <c r="I735" s="12"/>
      <c r="M735" s="12"/>
      <c r="N735" s="18"/>
      <c r="O735" s="12"/>
      <c r="P735" s="12"/>
      <c r="Q735" s="12"/>
      <c r="R735" s="36"/>
      <c r="S735" s="36"/>
      <c r="T735" s="12"/>
      <c r="U735" s="12"/>
      <c r="V735" s="12"/>
      <c r="W735" s="12"/>
      <c r="X735" s="12"/>
    </row>
    <row r="736" customFormat="false" ht="15.75" hidden="false" customHeight="false" outlineLevel="0" collapsed="false">
      <c r="A736" s="12"/>
      <c r="B736" s="34"/>
      <c r="C736" s="12"/>
      <c r="D736" s="12"/>
      <c r="E736" s="12"/>
      <c r="F736" s="12"/>
      <c r="G736" s="18"/>
      <c r="H736" s="35"/>
      <c r="I736" s="12"/>
      <c r="M736" s="12"/>
      <c r="N736" s="18"/>
      <c r="O736" s="12"/>
      <c r="P736" s="12"/>
      <c r="Q736" s="12"/>
      <c r="R736" s="36"/>
      <c r="S736" s="36"/>
      <c r="T736" s="12"/>
      <c r="U736" s="12"/>
      <c r="V736" s="12"/>
      <c r="W736" s="12"/>
      <c r="X736" s="12"/>
    </row>
    <row r="737" customFormat="false" ht="15.75" hidden="false" customHeight="false" outlineLevel="0" collapsed="false">
      <c r="A737" s="12"/>
      <c r="B737" s="34"/>
      <c r="C737" s="12"/>
      <c r="D737" s="12"/>
      <c r="E737" s="12"/>
      <c r="F737" s="12"/>
      <c r="G737" s="18"/>
      <c r="H737" s="35"/>
      <c r="I737" s="12"/>
      <c r="M737" s="12"/>
      <c r="N737" s="18"/>
      <c r="O737" s="12"/>
      <c r="P737" s="12"/>
      <c r="Q737" s="12"/>
      <c r="R737" s="36"/>
      <c r="S737" s="36"/>
      <c r="T737" s="12"/>
      <c r="U737" s="12"/>
      <c r="V737" s="12"/>
      <c r="W737" s="12"/>
      <c r="X737" s="12"/>
    </row>
    <row r="738" customFormat="false" ht="15.75" hidden="false" customHeight="false" outlineLevel="0" collapsed="false">
      <c r="A738" s="12"/>
      <c r="B738" s="34"/>
      <c r="C738" s="12"/>
      <c r="D738" s="12"/>
      <c r="E738" s="12"/>
      <c r="F738" s="12"/>
      <c r="G738" s="18"/>
      <c r="H738" s="35"/>
      <c r="I738" s="12"/>
      <c r="M738" s="12"/>
      <c r="N738" s="18"/>
      <c r="O738" s="12"/>
      <c r="P738" s="12"/>
      <c r="Q738" s="12"/>
      <c r="R738" s="36"/>
      <c r="S738" s="36"/>
      <c r="T738" s="12"/>
      <c r="U738" s="12"/>
      <c r="V738" s="12"/>
      <c r="W738" s="12"/>
      <c r="X738" s="12"/>
    </row>
    <row r="739" customFormat="false" ht="15.75" hidden="false" customHeight="false" outlineLevel="0" collapsed="false">
      <c r="A739" s="12"/>
      <c r="B739" s="34"/>
      <c r="C739" s="12"/>
      <c r="D739" s="12"/>
      <c r="E739" s="12"/>
      <c r="F739" s="12"/>
      <c r="G739" s="18"/>
      <c r="H739" s="35"/>
      <c r="I739" s="12"/>
      <c r="M739" s="12"/>
      <c r="N739" s="18"/>
      <c r="O739" s="12"/>
      <c r="P739" s="12"/>
      <c r="Q739" s="12"/>
      <c r="R739" s="36"/>
      <c r="S739" s="36"/>
      <c r="T739" s="12"/>
      <c r="U739" s="12"/>
      <c r="V739" s="12"/>
      <c r="W739" s="12"/>
      <c r="X739" s="12"/>
    </row>
    <row r="740" customFormat="false" ht="15.75" hidden="false" customHeight="false" outlineLevel="0" collapsed="false">
      <c r="A740" s="12"/>
      <c r="B740" s="34"/>
      <c r="C740" s="12"/>
      <c r="D740" s="12"/>
      <c r="E740" s="12"/>
      <c r="F740" s="12"/>
      <c r="G740" s="18"/>
      <c r="H740" s="35"/>
      <c r="I740" s="12"/>
      <c r="M740" s="12"/>
      <c r="N740" s="18"/>
      <c r="O740" s="12"/>
      <c r="P740" s="12"/>
      <c r="Q740" s="12"/>
      <c r="R740" s="36"/>
      <c r="S740" s="36"/>
      <c r="T740" s="12"/>
      <c r="U740" s="12"/>
      <c r="V740" s="12"/>
      <c r="W740" s="12"/>
      <c r="X740" s="12"/>
    </row>
    <row r="741" customFormat="false" ht="15.75" hidden="false" customHeight="false" outlineLevel="0" collapsed="false">
      <c r="A741" s="12"/>
      <c r="B741" s="34"/>
      <c r="C741" s="12"/>
      <c r="D741" s="12"/>
      <c r="E741" s="12"/>
      <c r="F741" s="12"/>
      <c r="G741" s="18"/>
      <c r="H741" s="35"/>
      <c r="I741" s="12"/>
      <c r="M741" s="12"/>
      <c r="N741" s="18"/>
      <c r="O741" s="12"/>
      <c r="P741" s="12"/>
      <c r="Q741" s="12"/>
      <c r="R741" s="36"/>
      <c r="S741" s="36"/>
      <c r="T741" s="12"/>
      <c r="U741" s="12"/>
      <c r="V741" s="12"/>
      <c r="W741" s="12"/>
      <c r="X741" s="12"/>
    </row>
    <row r="742" customFormat="false" ht="15.75" hidden="false" customHeight="false" outlineLevel="0" collapsed="false">
      <c r="A742" s="12"/>
      <c r="B742" s="34"/>
      <c r="C742" s="12"/>
      <c r="D742" s="12"/>
      <c r="E742" s="12"/>
      <c r="F742" s="12"/>
      <c r="G742" s="18"/>
      <c r="H742" s="35"/>
      <c r="I742" s="12"/>
      <c r="M742" s="12"/>
      <c r="N742" s="18"/>
      <c r="O742" s="12"/>
      <c r="P742" s="12"/>
      <c r="Q742" s="12"/>
      <c r="R742" s="36"/>
      <c r="S742" s="36"/>
      <c r="T742" s="12"/>
      <c r="U742" s="12"/>
      <c r="V742" s="12"/>
      <c r="W742" s="12"/>
      <c r="X742" s="12"/>
    </row>
    <row r="743" customFormat="false" ht="15.75" hidden="false" customHeight="false" outlineLevel="0" collapsed="false">
      <c r="A743" s="12"/>
      <c r="B743" s="34"/>
      <c r="C743" s="12"/>
      <c r="D743" s="12"/>
      <c r="E743" s="12"/>
      <c r="F743" s="12"/>
      <c r="G743" s="18"/>
      <c r="H743" s="35"/>
      <c r="I743" s="12"/>
      <c r="M743" s="12"/>
      <c r="N743" s="18"/>
      <c r="O743" s="12"/>
      <c r="P743" s="12"/>
      <c r="Q743" s="12"/>
      <c r="R743" s="36"/>
      <c r="S743" s="36"/>
      <c r="T743" s="12"/>
      <c r="U743" s="12"/>
      <c r="V743" s="12"/>
      <c r="W743" s="12"/>
      <c r="X743" s="12"/>
    </row>
    <row r="744" customFormat="false" ht="15.75" hidden="false" customHeight="false" outlineLevel="0" collapsed="false">
      <c r="A744" s="12"/>
      <c r="B744" s="34"/>
      <c r="C744" s="12"/>
      <c r="D744" s="12"/>
      <c r="E744" s="12"/>
      <c r="F744" s="12"/>
      <c r="G744" s="18"/>
      <c r="H744" s="35"/>
      <c r="I744" s="12"/>
      <c r="M744" s="12"/>
      <c r="N744" s="18"/>
      <c r="O744" s="12"/>
      <c r="P744" s="12"/>
      <c r="Q744" s="12"/>
      <c r="R744" s="36"/>
      <c r="S744" s="36"/>
      <c r="T744" s="12"/>
      <c r="U744" s="12"/>
      <c r="V744" s="12"/>
      <c r="W744" s="12"/>
      <c r="X744" s="12"/>
    </row>
    <row r="745" customFormat="false" ht="15.75" hidden="false" customHeight="false" outlineLevel="0" collapsed="false">
      <c r="A745" s="12"/>
      <c r="B745" s="34"/>
      <c r="C745" s="12"/>
      <c r="D745" s="12"/>
      <c r="E745" s="12"/>
      <c r="F745" s="12"/>
      <c r="G745" s="18"/>
      <c r="H745" s="35"/>
      <c r="I745" s="12"/>
      <c r="M745" s="12"/>
      <c r="N745" s="18"/>
      <c r="O745" s="12"/>
      <c r="P745" s="12"/>
      <c r="Q745" s="12"/>
      <c r="R745" s="36"/>
      <c r="S745" s="36"/>
      <c r="T745" s="12"/>
      <c r="U745" s="12"/>
      <c r="V745" s="12"/>
      <c r="W745" s="12"/>
      <c r="X745" s="12"/>
    </row>
    <row r="746" customFormat="false" ht="15.75" hidden="false" customHeight="false" outlineLevel="0" collapsed="false">
      <c r="A746" s="12"/>
      <c r="B746" s="34"/>
      <c r="C746" s="12"/>
      <c r="D746" s="12"/>
      <c r="E746" s="12"/>
      <c r="F746" s="12"/>
      <c r="G746" s="18"/>
      <c r="H746" s="35"/>
      <c r="I746" s="12"/>
      <c r="M746" s="12"/>
      <c r="N746" s="18"/>
      <c r="O746" s="12"/>
      <c r="P746" s="12"/>
      <c r="Q746" s="12"/>
      <c r="R746" s="36"/>
      <c r="S746" s="36"/>
      <c r="T746" s="12"/>
      <c r="U746" s="12"/>
      <c r="V746" s="12"/>
      <c r="W746" s="12"/>
      <c r="X746" s="12"/>
    </row>
    <row r="747" customFormat="false" ht="15.75" hidden="false" customHeight="false" outlineLevel="0" collapsed="false">
      <c r="A747" s="12"/>
      <c r="B747" s="34"/>
      <c r="C747" s="12"/>
      <c r="D747" s="12"/>
      <c r="E747" s="12"/>
      <c r="F747" s="12"/>
      <c r="G747" s="18"/>
      <c r="H747" s="35"/>
      <c r="I747" s="12"/>
      <c r="M747" s="12"/>
      <c r="N747" s="18"/>
      <c r="O747" s="12"/>
      <c r="P747" s="12"/>
      <c r="Q747" s="12"/>
      <c r="R747" s="36"/>
      <c r="S747" s="36"/>
      <c r="T747" s="12"/>
      <c r="U747" s="12"/>
      <c r="V747" s="12"/>
      <c r="W747" s="12"/>
      <c r="X747" s="12"/>
    </row>
    <row r="748" customFormat="false" ht="15.75" hidden="false" customHeight="false" outlineLevel="0" collapsed="false">
      <c r="A748" s="12"/>
      <c r="B748" s="34"/>
      <c r="C748" s="12"/>
      <c r="D748" s="12"/>
      <c r="E748" s="12"/>
      <c r="F748" s="12"/>
      <c r="G748" s="18"/>
      <c r="H748" s="35"/>
      <c r="I748" s="12"/>
      <c r="M748" s="12"/>
      <c r="N748" s="18"/>
      <c r="O748" s="12"/>
      <c r="P748" s="12"/>
      <c r="Q748" s="12"/>
      <c r="R748" s="36"/>
      <c r="S748" s="36"/>
      <c r="T748" s="12"/>
      <c r="U748" s="12"/>
      <c r="V748" s="12"/>
      <c r="W748" s="12"/>
      <c r="X748" s="12"/>
    </row>
    <row r="749" customFormat="false" ht="15.75" hidden="false" customHeight="false" outlineLevel="0" collapsed="false">
      <c r="A749" s="12"/>
      <c r="B749" s="34"/>
      <c r="C749" s="12"/>
      <c r="D749" s="12"/>
      <c r="E749" s="12"/>
      <c r="F749" s="12"/>
      <c r="G749" s="18"/>
      <c r="H749" s="35"/>
      <c r="I749" s="12"/>
      <c r="M749" s="12"/>
      <c r="N749" s="18"/>
      <c r="O749" s="12"/>
      <c r="P749" s="12"/>
      <c r="Q749" s="12"/>
      <c r="R749" s="36"/>
      <c r="S749" s="36"/>
      <c r="T749" s="12"/>
      <c r="U749" s="12"/>
      <c r="V749" s="12"/>
      <c r="W749" s="12"/>
      <c r="X749" s="12"/>
    </row>
    <row r="750" customFormat="false" ht="15.75" hidden="false" customHeight="false" outlineLevel="0" collapsed="false">
      <c r="A750" s="12"/>
      <c r="B750" s="34"/>
      <c r="C750" s="12"/>
      <c r="D750" s="12"/>
      <c r="E750" s="12"/>
      <c r="F750" s="12"/>
      <c r="G750" s="18"/>
      <c r="H750" s="35"/>
      <c r="I750" s="12"/>
      <c r="M750" s="12"/>
      <c r="N750" s="18"/>
      <c r="O750" s="12"/>
      <c r="P750" s="12"/>
      <c r="Q750" s="12"/>
      <c r="R750" s="36"/>
      <c r="S750" s="36"/>
      <c r="T750" s="12"/>
      <c r="U750" s="12"/>
      <c r="V750" s="12"/>
      <c r="W750" s="12"/>
      <c r="X750" s="12"/>
    </row>
    <row r="751" customFormat="false" ht="15.75" hidden="false" customHeight="false" outlineLevel="0" collapsed="false">
      <c r="A751" s="12"/>
      <c r="B751" s="34"/>
      <c r="C751" s="12"/>
      <c r="D751" s="12"/>
      <c r="E751" s="12"/>
      <c r="F751" s="12"/>
      <c r="G751" s="18"/>
      <c r="H751" s="35"/>
      <c r="I751" s="12"/>
      <c r="M751" s="12"/>
      <c r="N751" s="18"/>
      <c r="O751" s="12"/>
      <c r="P751" s="12"/>
      <c r="Q751" s="12"/>
      <c r="R751" s="36"/>
      <c r="S751" s="36"/>
      <c r="T751" s="12"/>
      <c r="U751" s="12"/>
      <c r="V751" s="12"/>
      <c r="W751" s="12"/>
      <c r="X751" s="12"/>
    </row>
    <row r="752" customFormat="false" ht="15.75" hidden="false" customHeight="false" outlineLevel="0" collapsed="false">
      <c r="A752" s="12"/>
      <c r="B752" s="34"/>
      <c r="C752" s="12"/>
      <c r="D752" s="12"/>
      <c r="E752" s="12"/>
      <c r="F752" s="12"/>
      <c r="G752" s="18"/>
      <c r="H752" s="35"/>
      <c r="I752" s="12"/>
      <c r="M752" s="12"/>
      <c r="N752" s="18"/>
      <c r="O752" s="12"/>
      <c r="P752" s="12"/>
      <c r="Q752" s="12"/>
      <c r="R752" s="36"/>
      <c r="S752" s="36"/>
      <c r="T752" s="12"/>
      <c r="U752" s="12"/>
      <c r="V752" s="12"/>
      <c r="W752" s="12"/>
      <c r="X752" s="12"/>
    </row>
    <row r="753" customFormat="false" ht="15.75" hidden="false" customHeight="false" outlineLevel="0" collapsed="false">
      <c r="A753" s="12"/>
      <c r="B753" s="34"/>
      <c r="C753" s="12"/>
      <c r="D753" s="12"/>
      <c r="E753" s="12"/>
      <c r="F753" s="12"/>
      <c r="G753" s="18"/>
      <c r="H753" s="35"/>
      <c r="I753" s="12"/>
      <c r="M753" s="12"/>
      <c r="N753" s="18"/>
      <c r="O753" s="12"/>
      <c r="P753" s="12"/>
      <c r="Q753" s="12"/>
      <c r="R753" s="36"/>
      <c r="S753" s="36"/>
      <c r="T753" s="12"/>
      <c r="U753" s="12"/>
      <c r="V753" s="12"/>
      <c r="W753" s="12"/>
      <c r="X753" s="12"/>
    </row>
    <row r="754" customFormat="false" ht="15.75" hidden="false" customHeight="false" outlineLevel="0" collapsed="false">
      <c r="A754" s="12"/>
      <c r="B754" s="34"/>
      <c r="C754" s="12"/>
      <c r="D754" s="12"/>
      <c r="E754" s="12"/>
      <c r="F754" s="12"/>
      <c r="G754" s="18"/>
      <c r="H754" s="35"/>
      <c r="I754" s="12"/>
      <c r="M754" s="12"/>
      <c r="N754" s="18"/>
      <c r="O754" s="12"/>
      <c r="P754" s="12"/>
      <c r="Q754" s="12"/>
      <c r="R754" s="36"/>
      <c r="S754" s="36"/>
      <c r="T754" s="12"/>
      <c r="U754" s="12"/>
      <c r="V754" s="12"/>
      <c r="W754" s="12"/>
      <c r="X754" s="12"/>
    </row>
    <row r="755" customFormat="false" ht="15.75" hidden="false" customHeight="false" outlineLevel="0" collapsed="false">
      <c r="A755" s="12"/>
      <c r="B755" s="34"/>
      <c r="C755" s="12"/>
      <c r="D755" s="12"/>
      <c r="E755" s="12"/>
      <c r="F755" s="12"/>
      <c r="G755" s="18"/>
      <c r="H755" s="35"/>
      <c r="I755" s="12"/>
      <c r="M755" s="12"/>
      <c r="N755" s="18"/>
      <c r="O755" s="12"/>
      <c r="P755" s="12"/>
      <c r="Q755" s="12"/>
      <c r="R755" s="36"/>
      <c r="S755" s="36"/>
      <c r="T755" s="12"/>
      <c r="U755" s="12"/>
      <c r="V755" s="12"/>
      <c r="W755" s="12"/>
      <c r="X755" s="12"/>
    </row>
    <row r="756" customFormat="false" ht="15.75" hidden="false" customHeight="false" outlineLevel="0" collapsed="false">
      <c r="A756" s="12"/>
      <c r="B756" s="34"/>
      <c r="C756" s="12"/>
      <c r="D756" s="12"/>
      <c r="E756" s="12"/>
      <c r="F756" s="12"/>
      <c r="G756" s="18"/>
      <c r="H756" s="35"/>
      <c r="I756" s="12"/>
      <c r="M756" s="12"/>
      <c r="N756" s="18"/>
      <c r="O756" s="12"/>
      <c r="P756" s="12"/>
      <c r="Q756" s="12"/>
      <c r="R756" s="36"/>
      <c r="S756" s="36"/>
      <c r="T756" s="12"/>
      <c r="U756" s="12"/>
      <c r="V756" s="12"/>
      <c r="W756" s="12"/>
      <c r="X756" s="12"/>
    </row>
    <row r="757" customFormat="false" ht="15.75" hidden="false" customHeight="false" outlineLevel="0" collapsed="false">
      <c r="A757" s="12"/>
      <c r="B757" s="34"/>
      <c r="C757" s="12"/>
      <c r="D757" s="12"/>
      <c r="E757" s="12"/>
      <c r="F757" s="12"/>
      <c r="G757" s="18"/>
      <c r="H757" s="35"/>
      <c r="I757" s="12"/>
      <c r="M757" s="12"/>
      <c r="N757" s="18"/>
      <c r="O757" s="12"/>
      <c r="P757" s="12"/>
      <c r="Q757" s="12"/>
      <c r="R757" s="36"/>
      <c r="S757" s="36"/>
      <c r="T757" s="12"/>
      <c r="U757" s="12"/>
      <c r="V757" s="12"/>
      <c r="W757" s="12"/>
      <c r="X757" s="12"/>
    </row>
    <row r="758" customFormat="false" ht="15.75" hidden="false" customHeight="false" outlineLevel="0" collapsed="false">
      <c r="A758" s="12"/>
      <c r="B758" s="34"/>
      <c r="C758" s="12"/>
      <c r="D758" s="12"/>
      <c r="E758" s="12"/>
      <c r="F758" s="12"/>
      <c r="G758" s="18"/>
      <c r="H758" s="35"/>
      <c r="I758" s="12"/>
      <c r="M758" s="12"/>
      <c r="N758" s="18"/>
      <c r="O758" s="12"/>
      <c r="P758" s="12"/>
      <c r="Q758" s="12"/>
      <c r="R758" s="36"/>
      <c r="S758" s="36"/>
      <c r="T758" s="12"/>
      <c r="U758" s="12"/>
      <c r="V758" s="12"/>
      <c r="W758" s="12"/>
      <c r="X758" s="12"/>
    </row>
    <row r="759" customFormat="false" ht="15.75" hidden="false" customHeight="false" outlineLevel="0" collapsed="false">
      <c r="A759" s="12"/>
      <c r="B759" s="34"/>
      <c r="C759" s="12"/>
      <c r="D759" s="12"/>
      <c r="E759" s="12"/>
      <c r="F759" s="12"/>
      <c r="G759" s="18"/>
      <c r="H759" s="35"/>
      <c r="I759" s="12"/>
      <c r="M759" s="12"/>
      <c r="N759" s="18"/>
      <c r="O759" s="12"/>
      <c r="P759" s="12"/>
      <c r="Q759" s="12"/>
      <c r="R759" s="36"/>
      <c r="S759" s="36"/>
      <c r="T759" s="12"/>
      <c r="U759" s="12"/>
      <c r="V759" s="12"/>
      <c r="W759" s="12"/>
      <c r="X759" s="12"/>
    </row>
    <row r="760" customFormat="false" ht="15.75" hidden="false" customHeight="false" outlineLevel="0" collapsed="false">
      <c r="A760" s="12"/>
      <c r="B760" s="34"/>
      <c r="C760" s="12"/>
      <c r="D760" s="12"/>
      <c r="E760" s="12"/>
      <c r="F760" s="12"/>
      <c r="G760" s="18"/>
      <c r="H760" s="35"/>
      <c r="I760" s="12"/>
      <c r="M760" s="12"/>
      <c r="N760" s="18"/>
      <c r="O760" s="12"/>
      <c r="P760" s="12"/>
      <c r="Q760" s="12"/>
      <c r="R760" s="36"/>
      <c r="S760" s="36"/>
      <c r="T760" s="12"/>
      <c r="U760" s="12"/>
      <c r="V760" s="12"/>
      <c r="W760" s="12"/>
      <c r="X760" s="12"/>
    </row>
    <row r="761" customFormat="false" ht="15.75" hidden="false" customHeight="false" outlineLevel="0" collapsed="false">
      <c r="A761" s="12"/>
      <c r="B761" s="34"/>
      <c r="C761" s="12"/>
      <c r="D761" s="12"/>
      <c r="E761" s="12"/>
      <c r="F761" s="12"/>
      <c r="G761" s="18"/>
      <c r="H761" s="35"/>
      <c r="I761" s="12"/>
      <c r="M761" s="12"/>
      <c r="N761" s="18"/>
      <c r="O761" s="12"/>
      <c r="P761" s="12"/>
      <c r="Q761" s="12"/>
      <c r="R761" s="36"/>
      <c r="S761" s="36"/>
      <c r="T761" s="12"/>
      <c r="U761" s="12"/>
      <c r="V761" s="12"/>
      <c r="W761" s="12"/>
      <c r="X761" s="12"/>
    </row>
    <row r="762" customFormat="false" ht="15.75" hidden="false" customHeight="false" outlineLevel="0" collapsed="false">
      <c r="A762" s="12"/>
      <c r="B762" s="34"/>
      <c r="C762" s="12"/>
      <c r="D762" s="12"/>
      <c r="E762" s="12"/>
      <c r="F762" s="12"/>
      <c r="G762" s="18"/>
      <c r="H762" s="35"/>
      <c r="I762" s="12"/>
      <c r="M762" s="12"/>
      <c r="N762" s="18"/>
      <c r="O762" s="12"/>
      <c r="P762" s="12"/>
      <c r="Q762" s="12"/>
      <c r="R762" s="36"/>
      <c r="S762" s="36"/>
      <c r="T762" s="12"/>
      <c r="U762" s="12"/>
      <c r="V762" s="12"/>
      <c r="W762" s="12"/>
      <c r="X762" s="12"/>
    </row>
    <row r="763" customFormat="false" ht="15.75" hidden="false" customHeight="false" outlineLevel="0" collapsed="false">
      <c r="A763" s="12"/>
      <c r="B763" s="34"/>
      <c r="C763" s="12"/>
      <c r="D763" s="12"/>
      <c r="E763" s="12"/>
      <c r="F763" s="12"/>
      <c r="G763" s="18"/>
      <c r="H763" s="35"/>
      <c r="I763" s="12"/>
      <c r="M763" s="12"/>
      <c r="N763" s="18"/>
      <c r="O763" s="12"/>
      <c r="P763" s="12"/>
      <c r="Q763" s="12"/>
      <c r="R763" s="36"/>
      <c r="S763" s="36"/>
      <c r="T763" s="12"/>
      <c r="U763" s="12"/>
      <c r="V763" s="12"/>
      <c r="W763" s="12"/>
      <c r="X763" s="12"/>
    </row>
    <row r="764" customFormat="false" ht="15.75" hidden="false" customHeight="false" outlineLevel="0" collapsed="false">
      <c r="A764" s="12"/>
      <c r="B764" s="34"/>
      <c r="C764" s="12"/>
      <c r="D764" s="12"/>
      <c r="E764" s="12"/>
      <c r="F764" s="12"/>
      <c r="G764" s="18"/>
      <c r="H764" s="35"/>
      <c r="I764" s="12"/>
      <c r="M764" s="12"/>
      <c r="N764" s="18"/>
      <c r="O764" s="12"/>
      <c r="P764" s="12"/>
      <c r="Q764" s="12"/>
      <c r="R764" s="36"/>
      <c r="S764" s="36"/>
      <c r="T764" s="12"/>
      <c r="U764" s="12"/>
      <c r="V764" s="12"/>
      <c r="W764" s="12"/>
      <c r="X764" s="12"/>
    </row>
    <row r="765" customFormat="false" ht="15.75" hidden="false" customHeight="false" outlineLevel="0" collapsed="false">
      <c r="A765" s="12"/>
      <c r="B765" s="34"/>
      <c r="C765" s="12"/>
      <c r="D765" s="12"/>
      <c r="E765" s="12"/>
      <c r="F765" s="12"/>
      <c r="G765" s="18"/>
      <c r="H765" s="35"/>
      <c r="I765" s="12"/>
      <c r="M765" s="12"/>
      <c r="N765" s="18"/>
      <c r="O765" s="12"/>
      <c r="P765" s="12"/>
      <c r="Q765" s="12"/>
      <c r="R765" s="36"/>
      <c r="S765" s="36"/>
      <c r="T765" s="12"/>
      <c r="U765" s="12"/>
      <c r="V765" s="12"/>
      <c r="W765" s="12"/>
      <c r="X765" s="12"/>
    </row>
    <row r="766" customFormat="false" ht="15.75" hidden="false" customHeight="false" outlineLevel="0" collapsed="false">
      <c r="A766" s="12"/>
      <c r="B766" s="34"/>
      <c r="C766" s="12"/>
      <c r="D766" s="12"/>
      <c r="E766" s="12"/>
      <c r="F766" s="12"/>
      <c r="G766" s="18"/>
      <c r="H766" s="35"/>
      <c r="I766" s="12"/>
      <c r="M766" s="12"/>
      <c r="N766" s="18"/>
      <c r="O766" s="12"/>
      <c r="P766" s="12"/>
      <c r="Q766" s="12"/>
      <c r="R766" s="36"/>
      <c r="S766" s="36"/>
      <c r="T766" s="12"/>
      <c r="U766" s="12"/>
      <c r="V766" s="12"/>
      <c r="W766" s="12"/>
      <c r="X766" s="12"/>
    </row>
    <row r="767" customFormat="false" ht="15.75" hidden="false" customHeight="false" outlineLevel="0" collapsed="false">
      <c r="A767" s="12"/>
      <c r="B767" s="34"/>
      <c r="C767" s="12"/>
      <c r="D767" s="12"/>
      <c r="E767" s="12"/>
      <c r="F767" s="12"/>
      <c r="G767" s="18"/>
      <c r="H767" s="35"/>
      <c r="I767" s="12"/>
      <c r="M767" s="12"/>
      <c r="N767" s="18"/>
      <c r="O767" s="12"/>
      <c r="P767" s="12"/>
      <c r="Q767" s="12"/>
      <c r="R767" s="36"/>
      <c r="S767" s="36"/>
      <c r="T767" s="12"/>
      <c r="U767" s="12"/>
      <c r="V767" s="12"/>
      <c r="W767" s="12"/>
      <c r="X767" s="12"/>
    </row>
    <row r="768" customFormat="false" ht="15.75" hidden="false" customHeight="false" outlineLevel="0" collapsed="false">
      <c r="A768" s="12"/>
      <c r="B768" s="34"/>
      <c r="C768" s="12"/>
      <c r="D768" s="12"/>
      <c r="E768" s="12"/>
      <c r="F768" s="12"/>
      <c r="G768" s="18"/>
      <c r="H768" s="35"/>
      <c r="I768" s="12"/>
      <c r="M768" s="12"/>
      <c r="N768" s="18"/>
      <c r="O768" s="12"/>
      <c r="P768" s="12"/>
      <c r="Q768" s="12"/>
      <c r="R768" s="36"/>
      <c r="S768" s="36"/>
      <c r="T768" s="12"/>
      <c r="U768" s="12"/>
      <c r="V768" s="12"/>
      <c r="W768" s="12"/>
      <c r="X768" s="12"/>
    </row>
    <row r="769" customFormat="false" ht="15.75" hidden="false" customHeight="false" outlineLevel="0" collapsed="false">
      <c r="A769" s="12"/>
      <c r="B769" s="34"/>
      <c r="C769" s="12"/>
      <c r="D769" s="12"/>
      <c r="E769" s="12"/>
      <c r="F769" s="12"/>
      <c r="G769" s="18"/>
      <c r="H769" s="35"/>
      <c r="I769" s="12"/>
      <c r="M769" s="12"/>
      <c r="N769" s="18"/>
      <c r="O769" s="12"/>
      <c r="P769" s="12"/>
      <c r="Q769" s="12"/>
      <c r="R769" s="36"/>
      <c r="S769" s="36"/>
      <c r="T769" s="12"/>
      <c r="U769" s="12"/>
      <c r="V769" s="12"/>
      <c r="W769" s="12"/>
      <c r="X769" s="12"/>
    </row>
    <row r="770" customFormat="false" ht="15.75" hidden="false" customHeight="false" outlineLevel="0" collapsed="false">
      <c r="A770" s="12"/>
      <c r="B770" s="34"/>
      <c r="C770" s="12"/>
      <c r="D770" s="12"/>
      <c r="E770" s="12"/>
      <c r="F770" s="12"/>
      <c r="G770" s="18"/>
      <c r="H770" s="35"/>
      <c r="I770" s="12"/>
      <c r="M770" s="12"/>
      <c r="N770" s="18"/>
      <c r="O770" s="12"/>
      <c r="P770" s="12"/>
      <c r="Q770" s="12"/>
      <c r="R770" s="36"/>
      <c r="S770" s="36"/>
      <c r="T770" s="12"/>
      <c r="U770" s="12"/>
      <c r="V770" s="12"/>
      <c r="W770" s="12"/>
      <c r="X770" s="12"/>
    </row>
    <row r="771" customFormat="false" ht="15.75" hidden="false" customHeight="false" outlineLevel="0" collapsed="false">
      <c r="A771" s="12"/>
      <c r="B771" s="34"/>
      <c r="C771" s="12"/>
      <c r="D771" s="12"/>
      <c r="E771" s="12"/>
      <c r="F771" s="12"/>
      <c r="G771" s="18"/>
      <c r="H771" s="35"/>
      <c r="I771" s="12"/>
      <c r="M771" s="12"/>
      <c r="N771" s="18"/>
      <c r="O771" s="12"/>
      <c r="P771" s="12"/>
      <c r="Q771" s="12"/>
      <c r="R771" s="36"/>
      <c r="S771" s="36"/>
      <c r="T771" s="12"/>
      <c r="U771" s="12"/>
      <c r="V771" s="12"/>
      <c r="W771" s="12"/>
      <c r="X771" s="12"/>
    </row>
    <row r="772" customFormat="false" ht="15.75" hidden="false" customHeight="false" outlineLevel="0" collapsed="false">
      <c r="A772" s="12"/>
      <c r="B772" s="34"/>
      <c r="C772" s="12"/>
      <c r="D772" s="12"/>
      <c r="E772" s="12"/>
      <c r="F772" s="12"/>
      <c r="G772" s="18"/>
      <c r="H772" s="35"/>
      <c r="I772" s="12"/>
      <c r="M772" s="12"/>
      <c r="N772" s="18"/>
      <c r="O772" s="12"/>
      <c r="P772" s="12"/>
      <c r="Q772" s="12"/>
      <c r="R772" s="36"/>
      <c r="S772" s="36"/>
      <c r="T772" s="12"/>
      <c r="U772" s="12"/>
      <c r="V772" s="12"/>
      <c r="W772" s="12"/>
      <c r="X772" s="12"/>
    </row>
    <row r="773" customFormat="false" ht="15.75" hidden="false" customHeight="false" outlineLevel="0" collapsed="false">
      <c r="A773" s="12"/>
      <c r="B773" s="34"/>
      <c r="C773" s="12"/>
      <c r="D773" s="12"/>
      <c r="E773" s="12"/>
      <c r="F773" s="12"/>
      <c r="G773" s="18"/>
      <c r="H773" s="35"/>
      <c r="I773" s="12"/>
      <c r="M773" s="12"/>
      <c r="N773" s="18"/>
      <c r="O773" s="12"/>
      <c r="P773" s="12"/>
      <c r="Q773" s="12"/>
      <c r="R773" s="36"/>
      <c r="S773" s="36"/>
      <c r="T773" s="12"/>
      <c r="U773" s="12"/>
      <c r="V773" s="12"/>
      <c r="W773" s="12"/>
      <c r="X773" s="12"/>
    </row>
    <row r="774" customFormat="false" ht="15.75" hidden="false" customHeight="false" outlineLevel="0" collapsed="false">
      <c r="A774" s="12"/>
      <c r="B774" s="34"/>
      <c r="C774" s="12"/>
      <c r="D774" s="12"/>
      <c r="E774" s="12"/>
      <c r="F774" s="12"/>
      <c r="G774" s="18"/>
      <c r="H774" s="35"/>
      <c r="I774" s="12"/>
      <c r="M774" s="12"/>
      <c r="N774" s="18"/>
      <c r="O774" s="12"/>
      <c r="P774" s="12"/>
      <c r="Q774" s="12"/>
      <c r="R774" s="36"/>
      <c r="S774" s="36"/>
      <c r="T774" s="12"/>
      <c r="U774" s="12"/>
      <c r="V774" s="12"/>
      <c r="W774" s="12"/>
      <c r="X774" s="12"/>
    </row>
    <row r="775" customFormat="false" ht="15.75" hidden="false" customHeight="false" outlineLevel="0" collapsed="false">
      <c r="A775" s="12"/>
      <c r="B775" s="34"/>
      <c r="C775" s="12"/>
      <c r="D775" s="12"/>
      <c r="E775" s="12"/>
      <c r="F775" s="12"/>
      <c r="G775" s="18"/>
      <c r="H775" s="35"/>
      <c r="I775" s="12"/>
      <c r="M775" s="12"/>
      <c r="N775" s="18"/>
      <c r="O775" s="12"/>
      <c r="P775" s="12"/>
      <c r="Q775" s="12"/>
      <c r="R775" s="36"/>
      <c r="S775" s="36"/>
      <c r="T775" s="12"/>
      <c r="U775" s="12"/>
      <c r="V775" s="12"/>
      <c r="W775" s="12"/>
      <c r="X775" s="12"/>
    </row>
    <row r="776" customFormat="false" ht="15.75" hidden="false" customHeight="false" outlineLevel="0" collapsed="false">
      <c r="A776" s="12"/>
      <c r="B776" s="34"/>
      <c r="C776" s="12"/>
      <c r="D776" s="12"/>
      <c r="E776" s="12"/>
      <c r="F776" s="12"/>
      <c r="G776" s="18"/>
      <c r="H776" s="35"/>
      <c r="I776" s="12"/>
      <c r="M776" s="12"/>
      <c r="N776" s="18"/>
      <c r="O776" s="12"/>
      <c r="P776" s="12"/>
      <c r="Q776" s="12"/>
      <c r="R776" s="36"/>
      <c r="S776" s="36"/>
      <c r="T776" s="12"/>
      <c r="U776" s="12"/>
      <c r="V776" s="12"/>
      <c r="W776" s="12"/>
      <c r="X776" s="12"/>
    </row>
    <row r="777" customFormat="false" ht="15.75" hidden="false" customHeight="false" outlineLevel="0" collapsed="false">
      <c r="A777" s="12"/>
      <c r="B777" s="34"/>
      <c r="C777" s="12"/>
      <c r="D777" s="12"/>
      <c r="E777" s="12"/>
      <c r="F777" s="12"/>
      <c r="G777" s="18"/>
      <c r="H777" s="35"/>
      <c r="I777" s="12"/>
      <c r="M777" s="12"/>
      <c r="N777" s="18"/>
      <c r="O777" s="12"/>
      <c r="P777" s="12"/>
      <c r="Q777" s="12"/>
      <c r="R777" s="36"/>
      <c r="S777" s="36"/>
      <c r="T777" s="12"/>
      <c r="U777" s="12"/>
      <c r="V777" s="12"/>
      <c r="W777" s="12"/>
      <c r="X777" s="12"/>
    </row>
    <row r="1048575" customFormat="false" ht="12.8" hidden="false" customHeight="true" outlineLevel="0" collapsed="false"/>
    <row r="1048576" customFormat="false" ht="12.8" hidden="false" customHeight="true" outlineLevel="0" collapsed="false"/>
  </sheetData>
  <conditionalFormatting sqref="R2:S777">
    <cfRule type="expression" priority="2" aboveAverage="0" equalAverage="0" bottom="0" percent="0" rank="0" text="" dxfId="0">
      <formula>LEN(TRIM(R2))&gt;0</formula>
    </cfRule>
  </conditionalFormatting>
  <conditionalFormatting sqref="Q2:Q777">
    <cfRule type="expression" priority="3" aboveAverage="0" equalAverage="0" bottom="0" percent="0" rank="0" text="" dxfId="0">
      <formula>LEN(TRIM(Q2))&gt;0</formula>
    </cfRule>
  </conditionalFormatting>
  <conditionalFormatting sqref="G2:G777 N2:N777">
    <cfRule type="containsText" priority="4" operator="containsText" aboveAverage="0" equalAverage="0" bottom="0" percent="0" rank="0" text="x" dxfId="0">
      <formula>NOT(ISERROR(SEARCH("x",G2)))</formula>
    </cfRule>
  </conditionalFormatting>
  <conditionalFormatting sqref="T2:T777">
    <cfRule type="expression" priority="5" aboveAverage="0" equalAverage="0" bottom="0" percent="0" rank="0" text="" dxfId="0">
      <formula>LEN(TRIM(T2))&gt;0</formula>
    </cfRule>
  </conditionalFormatting>
  <conditionalFormatting sqref="W2:W777">
    <cfRule type="expression" priority="6" aboveAverage="0" equalAverage="0" bottom="0" percent="0" rank="0" text="" dxfId="0">
      <formula>LEN(TRIM(W2))&gt;0</formula>
    </cfRule>
  </conditionalFormatting>
  <conditionalFormatting sqref="X2:X777">
    <cfRule type="cellIs" priority="7" operator="equal" aboveAverage="0" equalAverage="0" bottom="0" percent="0" rank="0" text="" dxfId="0">
      <formula>"Completo"</formula>
    </cfRule>
    <cfRule type="cellIs" priority="8" operator="equal" aboveAverage="0" equalAverage="0" bottom="0" percent="0" rank="0" text="" dxfId="1">
      <formula>"No aplica"</formula>
    </cfRule>
  </conditionalFormatting>
  <conditionalFormatting sqref="G2:I777 O2:P777 U2:V777 X2:X777">
    <cfRule type="cellIs" priority="9" operator="equal" aboveAverage="0" equalAverage="0" bottom="0" percent="0" rank="0" text="" dxfId="0">
      <formula>"Completo"</formula>
    </cfRule>
    <cfRule type="cellIs" priority="10" operator="equal" aboveAverage="0" equalAverage="0" bottom="0" percent="0" rank="0" text="" dxfId="1">
      <formula>"No Aplica"</formula>
    </cfRule>
  </conditionalFormatting>
  <dataValidations count="5">
    <dataValidation allowBlank="true" errorStyle="stop" operator="between" showDropDown="false" showErrorMessage="false" showInputMessage="false" sqref="T2:T777" type="list">
      <formula1>LEYENDA!$A$23:$A$24</formula1>
      <formula2>0</formula2>
    </dataValidation>
    <dataValidation allowBlank="true" errorStyle="stop" operator="between" showDropDown="false" showErrorMessage="true" showInputMessage="false" sqref="D2:D777" type="list">
      <formula1>LEYENDA!$B$2:$D$2</formula1>
      <formula2>0</formula2>
    </dataValidation>
    <dataValidation allowBlank="true" errorStyle="stop" operator="between" showDropDown="false" showErrorMessage="false" showInputMessage="false" sqref="R2:R777" type="list">
      <formula1>LEYENDA!$A$15:$A$19</formula1>
      <formula2>0</formula2>
    </dataValidation>
    <dataValidation allowBlank="true" errorStyle="stop" operator="between" showDropDown="false" showErrorMessage="true" showInputMessage="false" sqref="H2:I777 O2:P777 U2:V777 X2:X777" type="list">
      <formula1>LEYENDA!$B$1:$C$1</formula1>
      <formula2>0</formula2>
    </dataValidation>
    <dataValidation allowBlank="true" errorStyle="stop" operator="between" showDropDown="false" showErrorMessage="false" showInputMessage="false" sqref="E2:E777" type="list">
      <formula1>LEYENDA!$A$8:$A$12</formula1>
      <formula2>0</formula2>
    </dataValidation>
  </dataValidations>
  <hyperlinks>
    <hyperlink ref="H2" r:id="rId1" display="Completo"/>
    <hyperlink ref="P2" r:id="rId2" display="Completo"/>
    <hyperlink ref="H3" r:id="rId3" display="Completo"/>
    <hyperlink ref="P3" r:id="rId4" display="Completo"/>
    <hyperlink ref="U4" r:id="rId5" display="Completo"/>
    <hyperlink ref="V4" r:id="rId6" display="Completo"/>
    <hyperlink ref="U5" r:id="rId7" display="Completo"/>
    <hyperlink ref="V5" r:id="rId8" display="Completo"/>
    <hyperlink ref="U6" r:id="rId9" display="Completo"/>
    <hyperlink ref="V6" r:id="rId10" display="Completo"/>
    <hyperlink ref="P13" r:id="rId11" display="Completo"/>
    <hyperlink ref="U14" r:id="rId12" display="Completo"/>
    <hyperlink ref="U20" r:id="rId13" display="Completo"/>
    <hyperlink ref="V20" r:id="rId14" display="Completo"/>
    <hyperlink ref="U28" r:id="rId15" display="Completo"/>
    <hyperlink ref="V28" r:id="rId16" display="Completo"/>
    <hyperlink ref="U31" r:id="rId17" display="Completo"/>
    <hyperlink ref="V31" r:id="rId18" display="Completo"/>
    <hyperlink ref="U32" r:id="rId19" display="Completo"/>
    <hyperlink ref="V32" r:id="rId20" display="Completo"/>
    <hyperlink ref="U33" r:id="rId21" display="Completo"/>
    <hyperlink ref="V33" r:id="rId22" display="Completo"/>
    <hyperlink ref="P34" r:id="rId23" display="Completo"/>
    <hyperlink ref="U35" r:id="rId24" display="Completo"/>
    <hyperlink ref="V35" r:id="rId25" display="Completo"/>
    <hyperlink ref="P49" r:id="rId26" display="Completo"/>
    <hyperlink ref="V51" r:id="rId27" display="Completo"/>
    <hyperlink ref="U54" r:id="rId28" display="Completo"/>
    <hyperlink ref="V54" r:id="rId29" display="Completo"/>
    <hyperlink ref="U55" r:id="rId30" display="Completo"/>
    <hyperlink ref="V55" r:id="rId31" display="Completo"/>
    <hyperlink ref="U56" r:id="rId32" display="Completo"/>
    <hyperlink ref="V56" r:id="rId33" display="Completo"/>
    <hyperlink ref="U57" r:id="rId34" display="Completo"/>
    <hyperlink ref="V57" r:id="rId35" display="Completo"/>
    <hyperlink ref="U58" r:id="rId36" display="Completo"/>
    <hyperlink ref="V58" r:id="rId37" display="Completo"/>
    <hyperlink ref="U62" r:id="rId38" display="Completo"/>
    <hyperlink ref="V62" r:id="rId39" display="Completo"/>
  </hyperlinks>
  <printOptions headings="false" gridLines="true" gridLinesSet="true" horizontalCentered="true" verticalCentered="false"/>
  <pageMargins left="0.7" right="0.7" top="0.75" bottom="0.75" header="0.511811023622047" footer="0.511811023622047"/>
  <pageSetup paperSize="9" scale="100" fitToWidth="1" fitToHeight="0" pageOrder="overThenDown" orientation="landscape" blackAndWhite="false" draft="false" cellComments="none" horizontalDpi="300" verticalDpi="300" copies="1"/>
  <headerFooter differentFirst="false" differentOddEven="false">
    <oddHeader/>
    <oddFooter/>
  </headerFooter>
  <drawing r:id="rId40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AF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6" ySplit="3" topLeftCell="G4" activePane="bottomRight" state="frozen"/>
      <selection pane="topLeft" activeCell="A1" activeCellId="0" sqref="A1"/>
      <selection pane="topRight" activeCell="G1" activeCellId="0" sqref="G1"/>
      <selection pane="bottomLeft" activeCell="A4" activeCellId="0" sqref="A4"/>
      <selection pane="bottomRight" activeCell="F11" activeCellId="0" sqref="F11"/>
    </sheetView>
  </sheetViews>
  <sheetFormatPr defaultColWidth="12.6328125" defaultRowHeight="15.75" zeroHeight="false" outlineLevelRow="0" outlineLevelCol="0"/>
  <cols>
    <col collapsed="false" customWidth="true" hidden="false" outlineLevel="0" max="1" min="1" style="1" width="10.25"/>
    <col collapsed="false" customWidth="true" hidden="false" outlineLevel="0" max="2" min="2" style="1" width="10.38"/>
    <col collapsed="false" customWidth="true" hidden="false" outlineLevel="0" max="3" min="3" style="1" width="16.89"/>
    <col collapsed="false" customWidth="true" hidden="false" outlineLevel="0" max="4" min="4" style="1" width="11.25"/>
    <col collapsed="false" customWidth="true" hidden="false" outlineLevel="0" max="5" min="5" style="1" width="17.13"/>
    <col collapsed="false" customWidth="true" hidden="false" outlineLevel="0" max="6" min="6" style="1" width="33.75"/>
    <col collapsed="false" customWidth="true" hidden="false" outlineLevel="0" max="7" min="7" style="1" width="15.88"/>
    <col collapsed="false" customWidth="true" hidden="false" outlineLevel="0" max="8" min="8" style="1" width="10.88"/>
    <col collapsed="false" customWidth="true" hidden="false" outlineLevel="0" max="9" min="9" style="1" width="12.88"/>
    <col collapsed="false" customWidth="true" hidden="false" outlineLevel="0" max="10" min="10" style="1" width="12"/>
    <col collapsed="false" customWidth="true" hidden="false" outlineLevel="0" max="11" min="11" style="1" width="10"/>
    <col collapsed="false" customWidth="true" hidden="false" outlineLevel="0" max="12" min="12" style="1" width="12.25"/>
    <col collapsed="false" customWidth="true" hidden="false" outlineLevel="0" max="13" min="13" style="1" width="26.12"/>
    <col collapsed="false" customWidth="true" hidden="false" outlineLevel="0" max="14" min="14" style="1" width="18"/>
    <col collapsed="false" customWidth="true" hidden="false" outlineLevel="0" max="16" min="15" style="1" width="10.63"/>
    <col collapsed="false" customWidth="true" hidden="false" outlineLevel="0" max="17" min="17" style="1" width="8.5"/>
    <col collapsed="false" customWidth="true" hidden="false" outlineLevel="0" max="19" min="19" style="1" width="25.38"/>
    <col collapsed="false" customWidth="true" hidden="false" outlineLevel="0" max="20" min="20" style="1" width="17.88"/>
    <col collapsed="false" customWidth="true" hidden="false" outlineLevel="0" max="21" min="21" style="1" width="10.13"/>
    <col collapsed="false" customWidth="true" hidden="false" outlineLevel="0" max="22" min="22" style="1" width="11.12"/>
    <col collapsed="false" customWidth="true" hidden="false" outlineLevel="0" max="23" min="23" style="1" width="24.88"/>
  </cols>
  <sheetData>
    <row r="1" customFormat="false" ht="68" hidden="false" customHeight="false" outlineLevel="0" collapsed="false">
      <c r="A1" s="2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/>
      <c r="J1" s="4" t="s">
        <v>8</v>
      </c>
      <c r="K1" s="2"/>
      <c r="L1" s="2" t="s">
        <v>9</v>
      </c>
      <c r="M1" s="2" t="s">
        <v>10</v>
      </c>
      <c r="N1" s="4" t="s">
        <v>11</v>
      </c>
      <c r="O1" s="3" t="s">
        <v>12</v>
      </c>
      <c r="P1" s="7" t="s">
        <v>13</v>
      </c>
      <c r="Q1" s="7" t="s">
        <v>14</v>
      </c>
      <c r="R1" s="7" t="s">
        <v>15</v>
      </c>
      <c r="S1" s="7" t="s">
        <v>16</v>
      </c>
      <c r="T1" s="7" t="s">
        <v>17</v>
      </c>
      <c r="U1" s="8" t="s">
        <v>18</v>
      </c>
      <c r="V1" s="9" t="s">
        <v>19</v>
      </c>
      <c r="W1" s="9" t="s">
        <v>20</v>
      </c>
      <c r="X1" s="10" t="s">
        <v>15</v>
      </c>
      <c r="Y1" s="11" t="s">
        <v>21</v>
      </c>
      <c r="Z1" s="11" t="s">
        <v>22</v>
      </c>
      <c r="AA1" s="12"/>
      <c r="AB1" s="12"/>
      <c r="AC1" s="12"/>
      <c r="AD1" s="12"/>
      <c r="AE1" s="12"/>
      <c r="AF1" s="12"/>
    </row>
    <row r="2" customFormat="false" ht="15.75" hidden="false" customHeight="false" outlineLevel="0" collapsed="false">
      <c r="A2" s="61" t="n">
        <v>6662</v>
      </c>
      <c r="B2" s="29" t="n">
        <v>44805</v>
      </c>
      <c r="C2" s="21" t="s">
        <v>2648</v>
      </c>
      <c r="D2" s="21" t="s">
        <v>24</v>
      </c>
      <c r="E2" s="21" t="s">
        <v>34</v>
      </c>
      <c r="F2" s="21" t="s">
        <v>2649</v>
      </c>
      <c r="G2" s="30"/>
      <c r="H2" s="31"/>
      <c r="I2" s="21"/>
      <c r="J2" s="21"/>
      <c r="K2" s="21"/>
      <c r="L2" s="21"/>
      <c r="M2" s="21"/>
      <c r="N2" s="30"/>
      <c r="O2" s="21"/>
      <c r="P2" s="21"/>
      <c r="Q2" s="21"/>
      <c r="R2" s="32"/>
      <c r="S2" s="32"/>
      <c r="T2" s="21"/>
      <c r="U2" s="21"/>
      <c r="V2" s="21"/>
      <c r="W2" s="21"/>
      <c r="X2" s="21" t="s">
        <v>28</v>
      </c>
    </row>
    <row r="3" customFormat="false" ht="15.75" hidden="false" customHeight="false" outlineLevel="0" collapsed="false">
      <c r="A3" s="61" t="n">
        <v>6661</v>
      </c>
      <c r="B3" s="29" t="n">
        <v>44805</v>
      </c>
      <c r="C3" s="21" t="s">
        <v>2650</v>
      </c>
      <c r="D3" s="21" t="s">
        <v>24</v>
      </c>
      <c r="E3" s="21" t="s">
        <v>25</v>
      </c>
      <c r="F3" s="21" t="s">
        <v>2651</v>
      </c>
      <c r="G3" s="30" t="s">
        <v>2652</v>
      </c>
      <c r="H3" s="45" t="str">
        <f aca="false">HYPERLINK("https://photos.app.goo.gl/DCAy7ScxAMMrvwKCA", "Completo")</f>
        <v>Completo</v>
      </c>
      <c r="I3" s="21" t="s">
        <v>28</v>
      </c>
      <c r="J3" s="21" t="s">
        <v>2653</v>
      </c>
      <c r="K3" s="21"/>
      <c r="L3" s="21"/>
      <c r="M3" s="21"/>
      <c r="N3" s="30"/>
      <c r="O3" s="21" t="s">
        <v>28</v>
      </c>
      <c r="P3" s="46" t="s">
        <v>28</v>
      </c>
      <c r="Q3" s="21" t="s">
        <v>59</v>
      </c>
      <c r="R3" s="32" t="s">
        <v>2565</v>
      </c>
      <c r="S3" s="32" t="s">
        <v>36</v>
      </c>
      <c r="T3" s="21" t="s">
        <v>2654</v>
      </c>
      <c r="U3" s="46" t="s">
        <v>28</v>
      </c>
      <c r="V3" s="46" t="s">
        <v>28</v>
      </c>
      <c r="W3" s="21" t="s">
        <v>36</v>
      </c>
      <c r="X3" s="21" t="s">
        <v>28</v>
      </c>
    </row>
    <row r="4" customFormat="false" ht="15.75" hidden="false" customHeight="false" outlineLevel="0" collapsed="false">
      <c r="A4" s="61" t="n">
        <v>6663</v>
      </c>
      <c r="B4" s="29" t="n">
        <v>44805</v>
      </c>
      <c r="C4" s="21" t="s">
        <v>1259</v>
      </c>
      <c r="D4" s="21" t="s">
        <v>24</v>
      </c>
      <c r="E4" s="21" t="s">
        <v>25</v>
      </c>
      <c r="F4" s="21" t="s">
        <v>2655</v>
      </c>
      <c r="G4" s="30"/>
      <c r="H4" s="45" t="str">
        <f aca="false">HYPERLINK("https://photos.app.goo.gl/tiHZG94bn3CiPL117", "Completo")</f>
        <v>Completo</v>
      </c>
      <c r="I4" s="21" t="s">
        <v>28</v>
      </c>
      <c r="J4" s="21"/>
      <c r="K4" s="21"/>
      <c r="L4" s="21"/>
      <c r="M4" s="21"/>
      <c r="N4" s="30"/>
      <c r="O4" s="21"/>
      <c r="P4" s="21"/>
      <c r="Q4" s="21"/>
      <c r="R4" s="32"/>
      <c r="S4" s="32"/>
      <c r="T4" s="21"/>
      <c r="U4" s="21"/>
      <c r="V4" s="21"/>
      <c r="W4" s="21"/>
      <c r="X4" s="21" t="s">
        <v>28</v>
      </c>
    </row>
    <row r="5" customFormat="false" ht="15.75" hidden="false" customHeight="false" outlineLevel="0" collapsed="false">
      <c r="A5" s="61" t="n">
        <v>6664</v>
      </c>
      <c r="B5" s="29" t="n">
        <v>44805</v>
      </c>
      <c r="C5" s="21" t="s">
        <v>412</v>
      </c>
      <c r="D5" s="21" t="s">
        <v>24</v>
      </c>
      <c r="E5" s="21" t="s">
        <v>25</v>
      </c>
      <c r="F5" s="21" t="s">
        <v>2656</v>
      </c>
      <c r="G5" s="30"/>
      <c r="H5" s="45" t="str">
        <f aca="false">HYPERLINK("https://photos.app.goo.gl/HQ3FRPQt2pRoW62n6", "Completo")</f>
        <v>Completo</v>
      </c>
      <c r="I5" s="21" t="s">
        <v>28</v>
      </c>
      <c r="J5" s="21"/>
      <c r="K5" s="21"/>
      <c r="L5" s="21"/>
      <c r="M5" s="21"/>
      <c r="N5" s="30"/>
      <c r="O5" s="21"/>
      <c r="P5" s="21"/>
      <c r="Q5" s="21"/>
      <c r="R5" s="32"/>
      <c r="S5" s="32"/>
      <c r="T5" s="21"/>
      <c r="U5" s="66"/>
      <c r="V5" s="66"/>
      <c r="W5" s="21"/>
      <c r="X5" s="21" t="s">
        <v>28</v>
      </c>
    </row>
    <row r="6" customFormat="false" ht="15.75" hidden="false" customHeight="false" outlineLevel="0" collapsed="false">
      <c r="A6" s="61" t="n">
        <v>6665</v>
      </c>
      <c r="B6" s="29" t="n">
        <v>44806</v>
      </c>
      <c r="C6" s="21" t="s">
        <v>389</v>
      </c>
      <c r="D6" s="21" t="s">
        <v>24</v>
      </c>
      <c r="E6" s="21" t="s">
        <v>34</v>
      </c>
      <c r="F6" s="21" t="s">
        <v>2657</v>
      </c>
      <c r="G6" s="30"/>
      <c r="H6" s="31"/>
      <c r="I6" s="21"/>
      <c r="J6" s="21"/>
      <c r="K6" s="21"/>
      <c r="L6" s="21"/>
      <c r="M6" s="21"/>
      <c r="N6" s="30"/>
      <c r="O6" s="21"/>
      <c r="P6" s="66"/>
      <c r="Q6" s="21"/>
      <c r="R6" s="32"/>
      <c r="S6" s="32"/>
      <c r="T6" s="21"/>
      <c r="U6" s="21"/>
      <c r="V6" s="21"/>
      <c r="W6" s="21"/>
      <c r="X6" s="21" t="s">
        <v>28</v>
      </c>
    </row>
    <row r="7" customFormat="false" ht="15.75" hidden="false" customHeight="false" outlineLevel="0" collapsed="false">
      <c r="A7" s="61" t="n">
        <v>6666</v>
      </c>
      <c r="B7" s="29" t="n">
        <v>44807</v>
      </c>
      <c r="C7" s="21" t="s">
        <v>2658</v>
      </c>
      <c r="D7" s="21"/>
      <c r="E7" s="21" t="s">
        <v>25</v>
      </c>
      <c r="F7" s="21" t="s">
        <v>2659</v>
      </c>
      <c r="G7" s="30"/>
      <c r="H7" s="45" t="str">
        <f aca="false">HYPERLINK("https://photos.app.goo.gl/DZKBdn1Yg41Mzoas5", "Completo")</f>
        <v>Completo</v>
      </c>
      <c r="I7" s="21" t="s">
        <v>28</v>
      </c>
      <c r="J7" s="21" t="n">
        <v>3513910795</v>
      </c>
      <c r="K7" s="21"/>
      <c r="L7" s="21"/>
      <c r="M7" s="21"/>
      <c r="N7" s="30"/>
      <c r="O7" s="21" t="s">
        <v>28</v>
      </c>
      <c r="P7" s="46" t="s">
        <v>28</v>
      </c>
      <c r="Q7" s="21" t="s">
        <v>2660</v>
      </c>
      <c r="R7" s="32" t="s">
        <v>2565</v>
      </c>
      <c r="S7" s="32"/>
      <c r="T7" s="21"/>
      <c r="U7" s="21"/>
      <c r="V7" s="21"/>
      <c r="W7" s="21"/>
      <c r="X7" s="21" t="s">
        <v>28</v>
      </c>
    </row>
    <row r="8" customFormat="false" ht="15.75" hidden="false" customHeight="false" outlineLevel="0" collapsed="false">
      <c r="A8" s="61" t="n">
        <v>6667</v>
      </c>
      <c r="B8" s="29" t="n">
        <v>44810</v>
      </c>
      <c r="C8" s="21" t="s">
        <v>613</v>
      </c>
      <c r="D8" s="21" t="s">
        <v>24</v>
      </c>
      <c r="E8" s="21" t="s">
        <v>74</v>
      </c>
      <c r="F8" s="21" t="s">
        <v>2661</v>
      </c>
      <c r="G8" s="30"/>
      <c r="H8" s="45" t="str">
        <f aca="false">HYPERLINK("https://photos.app.goo.gl/WuE1RQnNQWCmcQse7", "Completo")</f>
        <v>Completo</v>
      </c>
      <c r="I8" s="21" t="s">
        <v>28</v>
      </c>
      <c r="J8" s="21"/>
      <c r="K8" s="21"/>
      <c r="L8" s="21"/>
      <c r="M8" s="21"/>
      <c r="N8" s="30"/>
      <c r="O8" s="21"/>
      <c r="P8" s="21"/>
      <c r="Q8" s="21"/>
      <c r="R8" s="32"/>
      <c r="S8" s="32"/>
      <c r="T8" s="21"/>
      <c r="U8" s="21"/>
      <c r="V8" s="21"/>
      <c r="W8" s="21"/>
      <c r="X8" s="21" t="s">
        <v>37</v>
      </c>
    </row>
    <row r="9" customFormat="false" ht="15.75" hidden="false" customHeight="false" outlineLevel="0" collapsed="false">
      <c r="A9" s="61" t="n">
        <v>6668</v>
      </c>
      <c r="B9" s="29" t="n">
        <v>44811</v>
      </c>
      <c r="C9" s="21" t="s">
        <v>274</v>
      </c>
      <c r="D9" s="21" t="s">
        <v>24</v>
      </c>
      <c r="E9" s="21" t="s">
        <v>34</v>
      </c>
      <c r="F9" s="21" t="s">
        <v>2662</v>
      </c>
      <c r="G9" s="30"/>
      <c r="H9" s="31"/>
      <c r="I9" s="21"/>
      <c r="J9" s="21"/>
      <c r="K9" s="21"/>
      <c r="L9" s="21"/>
      <c r="M9" s="21"/>
      <c r="N9" s="30"/>
      <c r="O9" s="21"/>
      <c r="P9" s="21"/>
      <c r="Q9" s="21"/>
      <c r="R9" s="32"/>
      <c r="S9" s="32"/>
      <c r="T9" s="21"/>
      <c r="U9" s="21"/>
      <c r="V9" s="21"/>
      <c r="W9" s="21"/>
      <c r="X9" s="21" t="s">
        <v>28</v>
      </c>
    </row>
    <row r="10" customFormat="false" ht="15.75" hidden="false" customHeight="false" outlineLevel="0" collapsed="false">
      <c r="A10" s="61" t="n">
        <v>6669</v>
      </c>
      <c r="B10" s="29" t="n">
        <v>44811</v>
      </c>
      <c r="C10" s="21" t="s">
        <v>2582</v>
      </c>
      <c r="D10" s="21" t="s">
        <v>24</v>
      </c>
      <c r="E10" s="21" t="s">
        <v>34</v>
      </c>
      <c r="F10" s="21" t="s">
        <v>2663</v>
      </c>
      <c r="G10" s="30"/>
      <c r="H10" s="31"/>
      <c r="I10" s="21"/>
      <c r="J10" s="21"/>
      <c r="K10" s="21"/>
      <c r="L10" s="21"/>
      <c r="M10" s="21"/>
      <c r="N10" s="30"/>
      <c r="O10" s="21"/>
      <c r="P10" s="21"/>
      <c r="Q10" s="21"/>
      <c r="R10" s="32"/>
      <c r="S10" s="32"/>
      <c r="T10" s="21"/>
      <c r="U10" s="21"/>
      <c r="V10" s="21"/>
      <c r="W10" s="21"/>
      <c r="X10" s="21" t="s">
        <v>28</v>
      </c>
    </row>
    <row r="11" customFormat="false" ht="15.75" hidden="false" customHeight="false" outlineLevel="0" collapsed="false">
      <c r="A11" s="61" t="n">
        <v>6670</v>
      </c>
      <c r="B11" s="29" t="n">
        <v>44811</v>
      </c>
      <c r="C11" s="21" t="s">
        <v>2664</v>
      </c>
      <c r="D11" s="21" t="s">
        <v>24</v>
      </c>
      <c r="E11" s="21" t="s">
        <v>25</v>
      </c>
      <c r="F11" s="21" t="s">
        <v>2665</v>
      </c>
      <c r="G11" s="30"/>
      <c r="H11" s="45" t="str">
        <f aca="false">HYPERLINK("https://photos.app.goo.gl/wRKTxNhUhYNGSPmv7", "Completo")</f>
        <v>Completo</v>
      </c>
      <c r="I11" s="21" t="s">
        <v>28</v>
      </c>
      <c r="J11" s="21" t="n">
        <v>1140663478</v>
      </c>
      <c r="K11" s="21" t="s">
        <v>2666</v>
      </c>
      <c r="L11" s="21"/>
      <c r="M11" s="21"/>
      <c r="N11" s="30"/>
      <c r="O11" s="21"/>
      <c r="P11" s="66"/>
      <c r="Q11" s="21"/>
      <c r="R11" s="32"/>
      <c r="S11" s="32"/>
      <c r="T11" s="21"/>
      <c r="U11" s="21"/>
      <c r="V11" s="21"/>
      <c r="W11" s="21"/>
      <c r="X11" s="21" t="s">
        <v>28</v>
      </c>
    </row>
    <row r="12" customFormat="false" ht="15.75" hidden="false" customHeight="false" outlineLevel="0" collapsed="false">
      <c r="A12" s="61" t="n">
        <v>6671</v>
      </c>
      <c r="B12" s="29" t="n">
        <v>44812</v>
      </c>
      <c r="C12" s="21" t="s">
        <v>2667</v>
      </c>
      <c r="D12" s="21" t="s">
        <v>24</v>
      </c>
      <c r="E12" s="21" t="s">
        <v>25</v>
      </c>
      <c r="F12" s="21" t="s">
        <v>2668</v>
      </c>
      <c r="G12" s="30"/>
      <c r="H12" s="45" t="str">
        <f aca="false">HYPERLINK("https://photos.app.goo.gl/uxMsAYTwW9vmZinj9", "Completo")</f>
        <v>Completo</v>
      </c>
      <c r="I12" s="21" t="s">
        <v>28</v>
      </c>
      <c r="J12" s="21"/>
      <c r="K12" s="21"/>
      <c r="L12" s="21"/>
      <c r="M12" s="21"/>
      <c r="N12" s="30"/>
      <c r="O12" s="21"/>
      <c r="P12" s="21"/>
      <c r="Q12" s="21"/>
      <c r="R12" s="32"/>
      <c r="S12" s="32"/>
      <c r="T12" s="21"/>
      <c r="U12" s="66"/>
      <c r="V12" s="66"/>
      <c r="W12" s="21"/>
      <c r="X12" s="21" t="s">
        <v>28</v>
      </c>
    </row>
    <row r="13" customFormat="false" ht="15.75" hidden="false" customHeight="false" outlineLevel="0" collapsed="false">
      <c r="A13" s="61" t="n">
        <v>6672</v>
      </c>
      <c r="B13" s="29" t="n">
        <v>44812</v>
      </c>
      <c r="C13" s="21" t="s">
        <v>2648</v>
      </c>
      <c r="D13" s="21" t="s">
        <v>24</v>
      </c>
      <c r="E13" s="21" t="s">
        <v>34</v>
      </c>
      <c r="F13" s="21" t="s">
        <v>2669</v>
      </c>
      <c r="G13" s="30"/>
      <c r="H13" s="31"/>
      <c r="I13" s="21"/>
      <c r="J13" s="21"/>
      <c r="K13" s="21"/>
      <c r="L13" s="21"/>
      <c r="M13" s="21"/>
      <c r="N13" s="30"/>
      <c r="O13" s="21"/>
      <c r="P13" s="21"/>
      <c r="Q13" s="21"/>
      <c r="R13" s="32"/>
      <c r="S13" s="32"/>
      <c r="T13" s="21"/>
      <c r="U13" s="21"/>
      <c r="V13" s="21"/>
      <c r="W13" s="21"/>
      <c r="X13" s="21" t="s">
        <v>28</v>
      </c>
    </row>
    <row r="14" customFormat="false" ht="15.75" hidden="false" customHeight="false" outlineLevel="0" collapsed="false">
      <c r="A14" s="61" t="n">
        <v>6673</v>
      </c>
      <c r="B14" s="29" t="n">
        <v>44812</v>
      </c>
      <c r="C14" s="21" t="s">
        <v>2648</v>
      </c>
      <c r="D14" s="21" t="s">
        <v>24</v>
      </c>
      <c r="E14" s="21" t="s">
        <v>34</v>
      </c>
      <c r="F14" s="12" t="s">
        <v>2669</v>
      </c>
      <c r="G14" s="30"/>
      <c r="H14" s="31"/>
      <c r="I14" s="21"/>
      <c r="J14" s="21"/>
      <c r="K14" s="21"/>
      <c r="L14" s="21"/>
      <c r="M14" s="21"/>
      <c r="N14" s="30"/>
      <c r="O14" s="21"/>
      <c r="P14" s="21"/>
      <c r="Q14" s="21"/>
      <c r="R14" s="32"/>
      <c r="S14" s="32"/>
      <c r="T14" s="21"/>
      <c r="U14" s="21"/>
      <c r="V14" s="21"/>
      <c r="W14" s="21"/>
      <c r="X14" s="21" t="s">
        <v>28</v>
      </c>
    </row>
    <row r="15" customFormat="false" ht="15.75" hidden="false" customHeight="false" outlineLevel="0" collapsed="false">
      <c r="A15" s="61" t="n">
        <v>6674</v>
      </c>
      <c r="B15" s="29" t="n">
        <v>44812</v>
      </c>
      <c r="C15" s="21" t="s">
        <v>2648</v>
      </c>
      <c r="D15" s="21" t="s">
        <v>24</v>
      </c>
      <c r="E15" s="21" t="s">
        <v>34</v>
      </c>
      <c r="F15" s="21" t="s">
        <v>2670</v>
      </c>
      <c r="G15" s="30"/>
      <c r="H15" s="31"/>
      <c r="I15" s="21"/>
      <c r="J15" s="21"/>
      <c r="K15" s="21"/>
      <c r="L15" s="21"/>
      <c r="M15" s="21"/>
      <c r="N15" s="30"/>
      <c r="O15" s="21"/>
      <c r="P15" s="66"/>
      <c r="Q15" s="21"/>
      <c r="R15" s="32"/>
      <c r="S15" s="32"/>
      <c r="T15" s="21"/>
      <c r="U15" s="21"/>
      <c r="V15" s="21"/>
      <c r="W15" s="21"/>
      <c r="X15" s="21" t="s">
        <v>28</v>
      </c>
    </row>
    <row r="16" customFormat="false" ht="15.75" hidden="false" customHeight="false" outlineLevel="0" collapsed="false">
      <c r="A16" s="61" t="n">
        <v>6675</v>
      </c>
      <c r="B16" s="29" t="n">
        <v>44813</v>
      </c>
      <c r="C16" s="21" t="s">
        <v>389</v>
      </c>
      <c r="D16" s="21" t="s">
        <v>24</v>
      </c>
      <c r="E16" s="21" t="s">
        <v>25</v>
      </c>
      <c r="F16" s="21" t="s">
        <v>2671</v>
      </c>
      <c r="G16" s="30" t="s">
        <v>2672</v>
      </c>
      <c r="H16" s="45" t="str">
        <f aca="false">HYPERLINK("https://photos.app.goo.gl/386YW5sx3AwiqVUv6", "Completo")</f>
        <v>Completo</v>
      </c>
      <c r="I16" s="21" t="s">
        <v>28</v>
      </c>
      <c r="J16" s="21"/>
      <c r="K16" s="21"/>
      <c r="L16" s="21"/>
      <c r="M16" s="21"/>
      <c r="N16" s="30"/>
      <c r="O16" s="21"/>
      <c r="P16" s="66"/>
      <c r="Q16" s="21"/>
      <c r="R16" s="32"/>
      <c r="S16" s="32"/>
      <c r="T16" s="21"/>
      <c r="U16" s="21"/>
      <c r="V16" s="21"/>
      <c r="W16" s="21"/>
      <c r="X16" s="21" t="s">
        <v>28</v>
      </c>
    </row>
    <row r="17" customFormat="false" ht="15.75" hidden="false" customHeight="false" outlineLevel="0" collapsed="false">
      <c r="A17" s="61" t="n">
        <v>6676</v>
      </c>
      <c r="B17" s="29" t="n">
        <v>44813</v>
      </c>
      <c r="C17" s="21" t="s">
        <v>2575</v>
      </c>
      <c r="D17" s="21" t="s">
        <v>24</v>
      </c>
      <c r="E17" s="21" t="s">
        <v>25</v>
      </c>
      <c r="F17" s="21" t="s">
        <v>2673</v>
      </c>
      <c r="G17" s="30"/>
      <c r="H17" s="45" t="str">
        <f aca="false">HYPERLINK("https://photos.app.goo.gl/996yR4PyEEB1ttoX8", "Completo")</f>
        <v>Completo</v>
      </c>
      <c r="I17" s="21" t="s">
        <v>28</v>
      </c>
      <c r="J17" s="21"/>
      <c r="K17" s="21"/>
      <c r="L17" s="21"/>
      <c r="M17" s="21"/>
      <c r="N17" s="30"/>
      <c r="O17" s="21"/>
      <c r="P17" s="21"/>
      <c r="Q17" s="21"/>
      <c r="R17" s="32"/>
      <c r="S17" s="32"/>
      <c r="T17" s="21"/>
      <c r="U17" s="66"/>
      <c r="V17" s="66"/>
      <c r="W17" s="21"/>
      <c r="X17" s="21" t="s">
        <v>28</v>
      </c>
    </row>
    <row r="18" customFormat="false" ht="15.75" hidden="false" customHeight="false" outlineLevel="0" collapsed="false">
      <c r="A18" s="61" t="n">
        <v>6678</v>
      </c>
      <c r="B18" s="29" t="n">
        <v>44813</v>
      </c>
      <c r="C18" s="21" t="s">
        <v>2674</v>
      </c>
      <c r="D18" s="21" t="s">
        <v>24</v>
      </c>
      <c r="E18" s="21" t="s">
        <v>34</v>
      </c>
      <c r="F18" s="21" t="s">
        <v>1668</v>
      </c>
      <c r="G18" s="30"/>
      <c r="H18" s="31"/>
      <c r="I18" s="21"/>
      <c r="J18" s="21"/>
      <c r="K18" s="21"/>
      <c r="L18" s="21"/>
      <c r="M18" s="21"/>
      <c r="N18" s="30"/>
      <c r="O18" s="21"/>
      <c r="P18" s="21"/>
      <c r="Q18" s="21"/>
      <c r="R18" s="32"/>
      <c r="S18" s="32"/>
      <c r="T18" s="21"/>
      <c r="U18" s="21"/>
      <c r="V18" s="21"/>
      <c r="W18" s="21"/>
      <c r="X18" s="21" t="s">
        <v>28</v>
      </c>
    </row>
    <row r="19" customFormat="false" ht="29.25" hidden="false" customHeight="true" outlineLevel="0" collapsed="false">
      <c r="A19" s="61" t="n">
        <v>6679</v>
      </c>
      <c r="B19" s="29" t="n">
        <v>44813</v>
      </c>
      <c r="C19" s="21" t="s">
        <v>1259</v>
      </c>
      <c r="D19" s="21" t="s">
        <v>24</v>
      </c>
      <c r="E19" s="21" t="s">
        <v>34</v>
      </c>
      <c r="F19" s="21" t="s">
        <v>2675</v>
      </c>
      <c r="G19" s="30"/>
      <c r="H19" s="31"/>
      <c r="I19" s="21"/>
      <c r="J19" s="21"/>
      <c r="K19" s="21"/>
      <c r="L19" s="21"/>
      <c r="M19" s="21"/>
      <c r="N19" s="30"/>
      <c r="O19" s="21"/>
      <c r="P19" s="21"/>
      <c r="Q19" s="21"/>
      <c r="R19" s="32"/>
      <c r="S19" s="32"/>
      <c r="T19" s="21"/>
      <c r="U19" s="21"/>
      <c r="V19" s="21"/>
      <c r="W19" s="21"/>
      <c r="X19" s="21" t="s">
        <v>28</v>
      </c>
    </row>
    <row r="20" customFormat="false" ht="15.75" hidden="false" customHeight="false" outlineLevel="0" collapsed="false">
      <c r="A20" s="61" t="n">
        <v>6680</v>
      </c>
      <c r="B20" s="29" t="n">
        <v>44814</v>
      </c>
      <c r="C20" s="21" t="s">
        <v>2648</v>
      </c>
      <c r="D20" s="21" t="s">
        <v>24</v>
      </c>
      <c r="E20" s="21" t="s">
        <v>34</v>
      </c>
      <c r="F20" s="21" t="s">
        <v>2676</v>
      </c>
      <c r="G20" s="30"/>
      <c r="H20" s="31"/>
      <c r="I20" s="21"/>
      <c r="J20" s="21"/>
      <c r="K20" s="21"/>
      <c r="L20" s="21"/>
      <c r="M20" s="21"/>
      <c r="N20" s="30"/>
      <c r="O20" s="21"/>
      <c r="P20" s="21"/>
      <c r="Q20" s="21"/>
      <c r="R20" s="32"/>
      <c r="S20" s="32"/>
      <c r="T20" s="21"/>
      <c r="U20" s="21"/>
      <c r="V20" s="21"/>
      <c r="W20" s="21"/>
      <c r="X20" s="21" t="s">
        <v>28</v>
      </c>
    </row>
    <row r="21" customFormat="false" ht="15.75" hidden="false" customHeight="false" outlineLevel="0" collapsed="false">
      <c r="A21" s="61" t="n">
        <v>6681</v>
      </c>
      <c r="B21" s="29" t="n">
        <v>44813</v>
      </c>
      <c r="C21" s="21" t="s">
        <v>2648</v>
      </c>
      <c r="D21" s="21" t="s">
        <v>24</v>
      </c>
      <c r="E21" s="21" t="s">
        <v>34</v>
      </c>
      <c r="F21" s="21" t="s">
        <v>2677</v>
      </c>
      <c r="G21" s="30"/>
      <c r="H21" s="31"/>
      <c r="I21" s="21"/>
      <c r="J21" s="21"/>
      <c r="K21" s="21"/>
      <c r="L21" s="21"/>
      <c r="M21" s="21"/>
      <c r="N21" s="30"/>
      <c r="O21" s="21"/>
      <c r="P21" s="21"/>
      <c r="Q21" s="21"/>
      <c r="R21" s="32"/>
      <c r="S21" s="32"/>
      <c r="T21" s="21"/>
      <c r="U21" s="21"/>
      <c r="V21" s="21"/>
      <c r="W21" s="21"/>
      <c r="X21" s="21" t="s">
        <v>28</v>
      </c>
    </row>
    <row r="22" customFormat="false" ht="15.75" hidden="false" customHeight="false" outlineLevel="0" collapsed="false">
      <c r="A22" s="61" t="n">
        <v>6682</v>
      </c>
      <c r="B22" s="29" t="n">
        <v>44813</v>
      </c>
      <c r="C22" s="21" t="s">
        <v>2648</v>
      </c>
      <c r="D22" s="21" t="s">
        <v>24</v>
      </c>
      <c r="E22" s="21" t="s">
        <v>34</v>
      </c>
      <c r="F22" s="21" t="s">
        <v>2677</v>
      </c>
      <c r="G22" s="30"/>
      <c r="H22" s="31"/>
      <c r="I22" s="21"/>
      <c r="J22" s="21"/>
      <c r="K22" s="21"/>
      <c r="L22" s="21"/>
      <c r="M22" s="21"/>
      <c r="N22" s="30"/>
      <c r="O22" s="21"/>
      <c r="P22" s="21"/>
      <c r="Q22" s="21"/>
      <c r="R22" s="32"/>
      <c r="S22" s="32"/>
      <c r="T22" s="21"/>
      <c r="U22" s="21"/>
      <c r="V22" s="21"/>
      <c r="W22" s="21"/>
      <c r="X22" s="21" t="s">
        <v>28</v>
      </c>
    </row>
    <row r="23" customFormat="false" ht="15.75" hidden="false" customHeight="false" outlineLevel="0" collapsed="false">
      <c r="A23" s="61" t="n">
        <v>6683</v>
      </c>
      <c r="B23" s="29" t="n">
        <v>44814</v>
      </c>
      <c r="C23" s="21" t="s">
        <v>2678</v>
      </c>
      <c r="D23" s="21" t="s">
        <v>24</v>
      </c>
      <c r="E23" s="21" t="s">
        <v>34</v>
      </c>
      <c r="F23" s="21" t="s">
        <v>2679</v>
      </c>
      <c r="G23" s="30" t="s">
        <v>2680</v>
      </c>
      <c r="H23" s="45" t="str">
        <f aca="false">HYPERLINK("https://photos.app.goo.gl/PcHhYfLCEo8c1aNv8", "Completo")</f>
        <v>Completo</v>
      </c>
      <c r="I23" s="21" t="s">
        <v>28</v>
      </c>
      <c r="J23" s="21" t="n">
        <v>3548437703</v>
      </c>
      <c r="K23" s="21" t="s">
        <v>2681</v>
      </c>
      <c r="L23" s="21"/>
      <c r="M23" s="21"/>
      <c r="N23" s="30"/>
      <c r="O23" s="21" t="s">
        <v>28</v>
      </c>
      <c r="P23" s="46" t="s">
        <v>28</v>
      </c>
      <c r="Q23" s="21" t="s">
        <v>2682</v>
      </c>
      <c r="R23" s="32" t="s">
        <v>2683</v>
      </c>
      <c r="S23" s="32" t="s">
        <v>36</v>
      </c>
      <c r="T23" s="21"/>
      <c r="U23" s="21"/>
      <c r="V23" s="21"/>
      <c r="W23" s="21"/>
      <c r="X23" s="21" t="s">
        <v>28</v>
      </c>
    </row>
    <row r="24" customFormat="false" ht="15.75" hidden="false" customHeight="false" outlineLevel="0" collapsed="false">
      <c r="A24" s="61" t="n">
        <v>6684</v>
      </c>
      <c r="B24" s="29" t="n">
        <v>44814</v>
      </c>
      <c r="C24" s="21" t="s">
        <v>2678</v>
      </c>
      <c r="D24" s="21" t="s">
        <v>24</v>
      </c>
      <c r="E24" s="21" t="s">
        <v>34</v>
      </c>
      <c r="F24" s="21" t="s">
        <v>2679</v>
      </c>
      <c r="G24" s="30" t="s">
        <v>2680</v>
      </c>
      <c r="H24" s="45" t="str">
        <f aca="false">HYPERLINK("https://photos.app.goo.gl/igucxukz38zPwfCu9", "Completo")</f>
        <v>Completo</v>
      </c>
      <c r="I24" s="21" t="s">
        <v>28</v>
      </c>
      <c r="J24" s="21" t="n">
        <v>3548437703</v>
      </c>
      <c r="K24" s="21" t="s">
        <v>2681</v>
      </c>
      <c r="L24" s="21"/>
      <c r="M24" s="21"/>
      <c r="N24" s="30"/>
      <c r="O24" s="21" t="s">
        <v>28</v>
      </c>
      <c r="P24" s="46" t="s">
        <v>28</v>
      </c>
      <c r="Q24" s="21" t="s">
        <v>2682</v>
      </c>
      <c r="R24" s="32" t="s">
        <v>2683</v>
      </c>
      <c r="S24" s="32" t="s">
        <v>36</v>
      </c>
      <c r="T24" s="21"/>
      <c r="U24" s="21"/>
      <c r="V24" s="21"/>
      <c r="W24" s="21"/>
      <c r="X24" s="21" t="s">
        <v>28</v>
      </c>
    </row>
    <row r="25" customFormat="false" ht="15.75" hidden="false" customHeight="false" outlineLevel="0" collapsed="false">
      <c r="A25" s="61" t="n">
        <v>6685</v>
      </c>
      <c r="B25" s="29" t="n">
        <v>44816</v>
      </c>
      <c r="C25" s="21" t="s">
        <v>2684</v>
      </c>
      <c r="D25" s="21" t="s">
        <v>24</v>
      </c>
      <c r="E25" s="21" t="s">
        <v>25</v>
      </c>
      <c r="F25" s="21" t="s">
        <v>1903</v>
      </c>
      <c r="G25" s="30" t="s">
        <v>2685</v>
      </c>
      <c r="H25" s="45" t="str">
        <f aca="false">HYPERLINK("https://photos.app.goo.gl/Uhth1K9kxs8BAAx67", "Completo")</f>
        <v>Completo</v>
      </c>
      <c r="I25" s="21" t="s">
        <v>28</v>
      </c>
      <c r="J25" s="21"/>
      <c r="K25" s="21"/>
      <c r="L25" s="21"/>
      <c r="M25" s="21"/>
      <c r="N25" s="30"/>
      <c r="O25" s="21"/>
      <c r="P25" s="21"/>
      <c r="Q25" s="21"/>
      <c r="R25" s="32"/>
      <c r="S25" s="32"/>
      <c r="T25" s="21"/>
      <c r="U25" s="21"/>
      <c r="V25" s="21"/>
      <c r="W25" s="21"/>
      <c r="X25" s="21" t="s">
        <v>28</v>
      </c>
    </row>
    <row r="26" customFormat="false" ht="15.75" hidden="false" customHeight="false" outlineLevel="0" collapsed="false">
      <c r="A26" s="61" t="n">
        <v>6686</v>
      </c>
      <c r="B26" s="29" t="n">
        <v>44816</v>
      </c>
      <c r="C26" s="21" t="s">
        <v>872</v>
      </c>
      <c r="D26" s="21" t="s">
        <v>24</v>
      </c>
      <c r="E26" s="21" t="s">
        <v>25</v>
      </c>
      <c r="F26" s="21" t="s">
        <v>2686</v>
      </c>
      <c r="G26" s="30"/>
      <c r="H26" s="45" t="str">
        <f aca="false">HYPERLINK("https://photos.app.goo.gl/8JfZHx5AEdLppGgFA", "Completo")</f>
        <v>Completo</v>
      </c>
      <c r="I26" s="21" t="s">
        <v>28</v>
      </c>
      <c r="J26" s="21"/>
      <c r="K26" s="21"/>
      <c r="L26" s="21"/>
      <c r="M26" s="21"/>
      <c r="N26" s="30"/>
      <c r="O26" s="21"/>
      <c r="P26" s="21"/>
      <c r="Q26" s="21"/>
      <c r="R26" s="32"/>
      <c r="S26" s="32"/>
      <c r="T26" s="21"/>
      <c r="U26" s="66"/>
      <c r="V26" s="66"/>
      <c r="W26" s="21"/>
      <c r="X26" s="21" t="s">
        <v>28</v>
      </c>
    </row>
    <row r="27" customFormat="false" ht="15.75" hidden="false" customHeight="false" outlineLevel="0" collapsed="false">
      <c r="A27" s="61" t="n">
        <v>6687</v>
      </c>
      <c r="B27" s="29" t="n">
        <v>44817</v>
      </c>
      <c r="C27" s="21" t="s">
        <v>2648</v>
      </c>
      <c r="D27" s="21" t="s">
        <v>24</v>
      </c>
      <c r="E27" s="21" t="s">
        <v>34</v>
      </c>
      <c r="F27" s="21" t="s">
        <v>2687</v>
      </c>
      <c r="G27" s="30"/>
      <c r="H27" s="31"/>
      <c r="I27" s="21"/>
      <c r="J27" s="21"/>
      <c r="K27" s="21"/>
      <c r="L27" s="21"/>
      <c r="M27" s="21"/>
      <c r="N27" s="30"/>
      <c r="O27" s="21"/>
      <c r="P27" s="21"/>
      <c r="Q27" s="21"/>
      <c r="R27" s="32"/>
      <c r="S27" s="32"/>
      <c r="T27" s="21"/>
      <c r="U27" s="21"/>
      <c r="V27" s="21"/>
      <c r="W27" s="21"/>
      <c r="X27" s="21" t="s">
        <v>28</v>
      </c>
    </row>
    <row r="28" customFormat="false" ht="15.75" hidden="false" customHeight="false" outlineLevel="0" collapsed="false">
      <c r="A28" s="61" t="n">
        <v>6688</v>
      </c>
      <c r="B28" s="29" t="n">
        <v>44818</v>
      </c>
      <c r="C28" s="21" t="s">
        <v>2688</v>
      </c>
      <c r="D28" s="21" t="s">
        <v>24</v>
      </c>
      <c r="E28" s="21" t="s">
        <v>74</v>
      </c>
      <c r="F28" s="21" t="s">
        <v>2689</v>
      </c>
      <c r="G28" s="30"/>
      <c r="H28" s="45" t="str">
        <f aca="false">HYPERLINK("https://photos.app.goo.gl/Xk47tTEuTe7YZkRq5", "Completo")</f>
        <v>Completo</v>
      </c>
      <c r="I28" s="21" t="s">
        <v>28</v>
      </c>
      <c r="J28" s="21"/>
      <c r="K28" s="21"/>
      <c r="L28" s="21"/>
      <c r="M28" s="21"/>
      <c r="N28" s="30"/>
      <c r="O28" s="21"/>
      <c r="P28" s="21"/>
      <c r="Q28" s="21"/>
      <c r="R28" s="32"/>
      <c r="S28" s="32"/>
      <c r="T28" s="21"/>
      <c r="U28" s="21"/>
      <c r="V28" s="21"/>
      <c r="W28" s="21"/>
      <c r="X28" s="21" t="s">
        <v>28</v>
      </c>
    </row>
    <row r="29" customFormat="false" ht="15.75" hidden="false" customHeight="false" outlineLevel="0" collapsed="false">
      <c r="A29" s="61" t="n">
        <v>6689</v>
      </c>
      <c r="B29" s="29" t="n">
        <v>44818</v>
      </c>
      <c r="C29" s="21" t="s">
        <v>2688</v>
      </c>
      <c r="D29" s="21" t="s">
        <v>24</v>
      </c>
      <c r="E29" s="21" t="s">
        <v>74</v>
      </c>
      <c r="F29" s="21" t="s">
        <v>2689</v>
      </c>
      <c r="G29" s="30"/>
      <c r="H29" s="45" t="str">
        <f aca="false">HYPERLINK("https://photos.app.goo.gl/HZE9ABaCCYe8tDiW7", "Completo")</f>
        <v>Completo</v>
      </c>
      <c r="I29" s="21" t="s">
        <v>28</v>
      </c>
      <c r="J29" s="21"/>
      <c r="K29" s="21"/>
      <c r="L29" s="21"/>
      <c r="M29" s="21"/>
      <c r="N29" s="30"/>
      <c r="O29" s="21"/>
      <c r="P29" s="21"/>
      <c r="Q29" s="21"/>
      <c r="R29" s="32"/>
      <c r="S29" s="32"/>
      <c r="T29" s="21"/>
      <c r="U29" s="21"/>
      <c r="V29" s="21"/>
      <c r="W29" s="21"/>
      <c r="X29" s="21" t="s">
        <v>28</v>
      </c>
    </row>
    <row r="30" customFormat="false" ht="15.75" hidden="false" customHeight="false" outlineLevel="0" collapsed="false">
      <c r="A30" s="61" t="n">
        <v>6690</v>
      </c>
      <c r="B30" s="29" t="n">
        <v>44819</v>
      </c>
      <c r="C30" s="21" t="s">
        <v>613</v>
      </c>
      <c r="D30" s="21" t="s">
        <v>24</v>
      </c>
      <c r="E30" s="21" t="s">
        <v>25</v>
      </c>
      <c r="F30" s="21" t="s">
        <v>1554</v>
      </c>
      <c r="G30" s="30" t="s">
        <v>2690</v>
      </c>
      <c r="H30" s="45" t="str">
        <f aca="false">HYPERLINK("https://photos.app.goo.gl/ee8GoKAavEktsEvTA", "Completo")</f>
        <v>Completo</v>
      </c>
      <c r="I30" s="21" t="s">
        <v>28</v>
      </c>
      <c r="J30" s="21"/>
      <c r="K30" s="21"/>
      <c r="L30" s="21"/>
      <c r="M30" s="21"/>
      <c r="N30" s="30"/>
      <c r="O30" s="21" t="s">
        <v>28</v>
      </c>
      <c r="P30" s="46" t="s">
        <v>28</v>
      </c>
      <c r="Q30" s="21" t="s">
        <v>2515</v>
      </c>
      <c r="R30" s="32" t="s">
        <v>2683</v>
      </c>
      <c r="S30" s="32" t="s">
        <v>36</v>
      </c>
      <c r="T30" s="21"/>
      <c r="U30" s="21"/>
      <c r="V30" s="21"/>
      <c r="W30" s="21"/>
      <c r="X30" s="21" t="s">
        <v>28</v>
      </c>
    </row>
    <row r="31" customFormat="false" ht="15.75" hidden="false" customHeight="false" outlineLevel="0" collapsed="false">
      <c r="A31" s="63" t="n">
        <v>520897</v>
      </c>
      <c r="B31" s="29" t="n">
        <v>44819</v>
      </c>
      <c r="C31" s="21" t="s">
        <v>2688</v>
      </c>
      <c r="D31" s="21" t="s">
        <v>290</v>
      </c>
      <c r="E31" s="21" t="s">
        <v>25</v>
      </c>
      <c r="F31" s="21" t="s">
        <v>2691</v>
      </c>
      <c r="G31" s="30"/>
      <c r="H31" s="31"/>
      <c r="I31" s="21"/>
      <c r="J31" s="21"/>
      <c r="K31" s="21"/>
      <c r="L31" s="21"/>
      <c r="M31" s="21"/>
      <c r="N31" s="30"/>
      <c r="O31" s="21"/>
      <c r="P31" s="66"/>
      <c r="Q31" s="21"/>
      <c r="R31" s="32"/>
      <c r="S31" s="32"/>
      <c r="T31" s="21"/>
      <c r="U31" s="21"/>
      <c r="V31" s="21"/>
      <c r="W31" s="21"/>
      <c r="X31" s="21" t="s">
        <v>28</v>
      </c>
    </row>
    <row r="32" customFormat="false" ht="15.75" hidden="false" customHeight="false" outlineLevel="0" collapsed="false">
      <c r="A32" s="61" t="n">
        <v>6691</v>
      </c>
      <c r="B32" s="29" t="n">
        <v>44820</v>
      </c>
      <c r="C32" s="21" t="s">
        <v>2033</v>
      </c>
      <c r="D32" s="21" t="s">
        <v>24</v>
      </c>
      <c r="E32" s="21" t="s">
        <v>25</v>
      </c>
      <c r="F32" s="21" t="s">
        <v>2692</v>
      </c>
      <c r="G32" s="30"/>
      <c r="H32" s="45" t="str">
        <f aca="false">HYPERLINK("https://photos.app.goo.gl/QLENjJNFA3GoEjhZA", "Completo")</f>
        <v>Completo</v>
      </c>
      <c r="I32" s="21" t="s">
        <v>28</v>
      </c>
      <c r="J32" s="21"/>
      <c r="K32" s="21"/>
      <c r="L32" s="21"/>
      <c r="M32" s="21"/>
      <c r="N32" s="30"/>
      <c r="O32" s="21"/>
      <c r="P32" s="66"/>
      <c r="Q32" s="21"/>
      <c r="R32" s="32"/>
      <c r="S32" s="32"/>
      <c r="T32" s="21"/>
      <c r="U32" s="21"/>
      <c r="V32" s="21"/>
      <c r="W32" s="21"/>
      <c r="X32" s="21" t="s">
        <v>28</v>
      </c>
    </row>
    <row r="33" customFormat="false" ht="15.75" hidden="false" customHeight="false" outlineLevel="0" collapsed="false">
      <c r="A33" s="61" t="n">
        <v>6692</v>
      </c>
      <c r="B33" s="29" t="n">
        <v>44820</v>
      </c>
      <c r="C33" s="21" t="s">
        <v>2033</v>
      </c>
      <c r="D33" s="21" t="s">
        <v>24</v>
      </c>
      <c r="E33" s="21" t="s">
        <v>25</v>
      </c>
      <c r="F33" s="21" t="s">
        <v>2693</v>
      </c>
      <c r="G33" s="30" t="s">
        <v>2694</v>
      </c>
      <c r="H33" s="45" t="str">
        <f aca="false">HYPERLINK("https://photos.app.goo.gl/HVw2fm6QhPrpu4hy7", "Completo")</f>
        <v>Completo</v>
      </c>
      <c r="I33" s="21" t="s">
        <v>28</v>
      </c>
      <c r="J33" s="21"/>
      <c r="K33" s="21"/>
      <c r="L33" s="21"/>
      <c r="M33" s="21"/>
      <c r="N33" s="30"/>
      <c r="O33" s="21"/>
      <c r="P33" s="21"/>
      <c r="Q33" s="21"/>
      <c r="R33" s="32"/>
      <c r="S33" s="32"/>
      <c r="T33" s="21" t="s">
        <v>2570</v>
      </c>
      <c r="U33" s="46" t="s">
        <v>28</v>
      </c>
      <c r="V33" s="46" t="s">
        <v>28</v>
      </c>
      <c r="W33" s="21" t="s">
        <v>29</v>
      </c>
      <c r="X33" s="21" t="s">
        <v>28</v>
      </c>
    </row>
    <row r="34" customFormat="false" ht="15.75" hidden="false" customHeight="false" outlineLevel="0" collapsed="false">
      <c r="A34" s="61" t="n">
        <v>6693</v>
      </c>
      <c r="B34" s="29" t="n">
        <v>44820</v>
      </c>
      <c r="C34" s="21" t="s">
        <v>2033</v>
      </c>
      <c r="D34" s="21" t="s">
        <v>24</v>
      </c>
      <c r="E34" s="21" t="s">
        <v>25</v>
      </c>
      <c r="F34" s="21" t="s">
        <v>2695</v>
      </c>
      <c r="G34" s="30" t="s">
        <v>2694</v>
      </c>
      <c r="H34" s="45" t="str">
        <f aca="false">HYPERLINK("https://photos.app.goo.gl/P5paWu1wdNCZsYcd8", "Completo")</f>
        <v>Completo</v>
      </c>
      <c r="I34" s="21" t="s">
        <v>28</v>
      </c>
      <c r="J34" s="21"/>
      <c r="K34" s="21"/>
      <c r="L34" s="67"/>
      <c r="M34" s="21"/>
      <c r="N34" s="30"/>
      <c r="O34" s="21"/>
      <c r="P34" s="21"/>
      <c r="Q34" s="21"/>
      <c r="R34" s="32"/>
      <c r="S34" s="32"/>
      <c r="T34" s="21" t="s">
        <v>2570</v>
      </c>
      <c r="U34" s="46" t="s">
        <v>28</v>
      </c>
      <c r="V34" s="46" t="s">
        <v>28</v>
      </c>
      <c r="W34" s="21" t="s">
        <v>29</v>
      </c>
      <c r="X34" s="21" t="s">
        <v>28</v>
      </c>
    </row>
    <row r="35" customFormat="false" ht="15.75" hidden="false" customHeight="false" outlineLevel="0" collapsed="false">
      <c r="A35" s="61" t="n">
        <v>6694</v>
      </c>
      <c r="B35" s="29" t="n">
        <v>44820</v>
      </c>
      <c r="C35" s="21" t="s">
        <v>2033</v>
      </c>
      <c r="D35" s="21" t="s">
        <v>24</v>
      </c>
      <c r="E35" s="21" t="s">
        <v>25</v>
      </c>
      <c r="F35" s="21" t="s">
        <v>2696</v>
      </c>
      <c r="G35" s="30"/>
      <c r="H35" s="45" t="str">
        <f aca="false">HYPERLINK("https://photos.app.goo.gl/ttyXZeHjtxy8y9T39", "Completo")</f>
        <v>Completo</v>
      </c>
      <c r="I35" s="21" t="s">
        <v>28</v>
      </c>
      <c r="J35" s="21"/>
      <c r="K35" s="21"/>
      <c r="L35" s="21"/>
      <c r="M35" s="21"/>
      <c r="N35" s="30"/>
      <c r="O35" s="21"/>
      <c r="P35" s="21"/>
      <c r="Q35" s="21"/>
      <c r="R35" s="32"/>
      <c r="S35" s="32"/>
      <c r="T35" s="21"/>
      <c r="U35" s="21"/>
      <c r="V35" s="21"/>
      <c r="W35" s="21"/>
      <c r="X35" s="21" t="s">
        <v>28</v>
      </c>
    </row>
    <row r="36" customFormat="false" ht="15.75" hidden="false" customHeight="false" outlineLevel="0" collapsed="false">
      <c r="A36" s="61" t="n">
        <v>6695</v>
      </c>
      <c r="B36" s="29" t="n">
        <v>44820</v>
      </c>
      <c r="C36" s="21" t="s">
        <v>2033</v>
      </c>
      <c r="D36" s="21" t="s">
        <v>24</v>
      </c>
      <c r="E36" s="21" t="s">
        <v>25</v>
      </c>
      <c r="F36" s="21" t="s">
        <v>2697</v>
      </c>
      <c r="G36" s="30"/>
      <c r="H36" s="31" t="s">
        <v>28</v>
      </c>
      <c r="I36" s="21" t="s">
        <v>28</v>
      </c>
      <c r="J36" s="21"/>
      <c r="K36" s="21"/>
      <c r="L36" s="21"/>
      <c r="M36" s="21"/>
      <c r="N36" s="30"/>
      <c r="O36" s="21"/>
      <c r="P36" s="21"/>
      <c r="Q36" s="21"/>
      <c r="R36" s="32"/>
      <c r="S36" s="32"/>
      <c r="T36" s="21"/>
      <c r="U36" s="21"/>
      <c r="V36" s="21"/>
      <c r="W36" s="21"/>
      <c r="X36" s="21" t="s">
        <v>28</v>
      </c>
    </row>
    <row r="37" customFormat="false" ht="15.75" hidden="false" customHeight="false" outlineLevel="0" collapsed="false">
      <c r="A37" s="61" t="n">
        <v>6696</v>
      </c>
      <c r="B37" s="29" t="n">
        <v>44820</v>
      </c>
      <c r="C37" s="21" t="s">
        <v>2033</v>
      </c>
      <c r="D37" s="21" t="s">
        <v>24</v>
      </c>
      <c r="E37" s="21" t="s">
        <v>25</v>
      </c>
      <c r="F37" s="21" t="s">
        <v>2698</v>
      </c>
      <c r="G37" s="30"/>
      <c r="H37" s="31" t="s">
        <v>28</v>
      </c>
      <c r="I37" s="21" t="s">
        <v>28</v>
      </c>
      <c r="J37" s="21"/>
      <c r="K37" s="21"/>
      <c r="L37" s="21"/>
      <c r="M37" s="21"/>
      <c r="N37" s="30"/>
      <c r="O37" s="21"/>
      <c r="P37" s="21"/>
      <c r="Q37" s="21"/>
      <c r="R37" s="32"/>
      <c r="S37" s="32"/>
      <c r="T37" s="21"/>
      <c r="U37" s="21"/>
      <c r="V37" s="21"/>
      <c r="W37" s="21"/>
      <c r="X37" s="21" t="s">
        <v>28</v>
      </c>
    </row>
    <row r="38" customFormat="false" ht="15.75" hidden="false" customHeight="false" outlineLevel="0" collapsed="false">
      <c r="A38" s="61" t="n">
        <v>6697</v>
      </c>
      <c r="B38" s="29" t="n">
        <v>44820</v>
      </c>
      <c r="C38" s="21" t="s">
        <v>357</v>
      </c>
      <c r="D38" s="21" t="s">
        <v>24</v>
      </c>
      <c r="E38" s="21" t="s">
        <v>25</v>
      </c>
      <c r="F38" s="21" t="s">
        <v>2699</v>
      </c>
      <c r="G38" s="30"/>
      <c r="H38" s="45" t="str">
        <f aca="false">HYPERLINK("https://photos.app.goo.gl/SW1cG9HQeNQSgGou8", "Completo")</f>
        <v>Completo</v>
      </c>
      <c r="I38" s="21" t="s">
        <v>28</v>
      </c>
      <c r="J38" s="21"/>
      <c r="K38" s="21"/>
      <c r="L38" s="21"/>
      <c r="M38" s="21"/>
      <c r="N38" s="30"/>
      <c r="O38" s="21" t="s">
        <v>28</v>
      </c>
      <c r="P38" s="46" t="s">
        <v>28</v>
      </c>
      <c r="Q38" s="21" t="s">
        <v>2700</v>
      </c>
      <c r="R38" s="32" t="s">
        <v>74</v>
      </c>
      <c r="S38" s="32" t="s">
        <v>36</v>
      </c>
      <c r="T38" s="21"/>
      <c r="U38" s="66"/>
      <c r="V38" s="66"/>
      <c r="W38" s="21"/>
      <c r="X38" s="21" t="s">
        <v>28</v>
      </c>
    </row>
    <row r="39" customFormat="false" ht="15.75" hidden="false" customHeight="false" outlineLevel="0" collapsed="false">
      <c r="A39" s="61" t="n">
        <v>6698</v>
      </c>
      <c r="B39" s="29" t="n">
        <v>44820</v>
      </c>
      <c r="C39" s="21" t="s">
        <v>2701</v>
      </c>
      <c r="D39" s="21" t="s">
        <v>24</v>
      </c>
      <c r="E39" s="21" t="s">
        <v>25</v>
      </c>
      <c r="F39" s="21" t="s">
        <v>2702</v>
      </c>
      <c r="G39" s="30"/>
      <c r="H39" s="45" t="str">
        <f aca="false">HYPERLINK("https://photos.app.goo.gl/XWKhdtkBZtnqnRiMA", "Completo")</f>
        <v>Completo</v>
      </c>
      <c r="I39" s="21"/>
      <c r="J39" s="21"/>
      <c r="K39" s="21"/>
      <c r="L39" s="21"/>
      <c r="M39" s="21"/>
      <c r="N39" s="30"/>
      <c r="O39" s="21"/>
      <c r="P39" s="66"/>
      <c r="Q39" s="21"/>
      <c r="R39" s="32"/>
      <c r="S39" s="32"/>
      <c r="T39" s="21"/>
      <c r="U39" s="66"/>
      <c r="V39" s="66"/>
      <c r="W39" s="21"/>
      <c r="X39" s="21" t="s">
        <v>28</v>
      </c>
    </row>
    <row r="40" customFormat="false" ht="15.75" hidden="false" customHeight="false" outlineLevel="0" collapsed="false">
      <c r="A40" s="61" t="n">
        <v>6699</v>
      </c>
      <c r="B40" s="29" t="n">
        <v>44820</v>
      </c>
      <c r="C40" s="21" t="s">
        <v>357</v>
      </c>
      <c r="D40" s="21" t="s">
        <v>24</v>
      </c>
      <c r="E40" s="21" t="s">
        <v>25</v>
      </c>
      <c r="F40" s="21" t="s">
        <v>2699</v>
      </c>
      <c r="G40" s="30"/>
      <c r="H40" s="31" t="s">
        <v>28</v>
      </c>
      <c r="I40" s="21"/>
      <c r="J40" s="21"/>
      <c r="K40" s="21"/>
      <c r="L40" s="21"/>
      <c r="M40" s="21"/>
      <c r="N40" s="30"/>
      <c r="O40" s="21"/>
      <c r="P40" s="21"/>
      <c r="Q40" s="21"/>
      <c r="R40" s="32"/>
      <c r="S40" s="32"/>
      <c r="T40" s="21"/>
      <c r="U40" s="21"/>
      <c r="V40" s="21"/>
      <c r="W40" s="21"/>
      <c r="X40" s="21" t="s">
        <v>28</v>
      </c>
    </row>
    <row r="41" customFormat="false" ht="15.75" hidden="false" customHeight="false" outlineLevel="0" collapsed="false">
      <c r="A41" s="61" t="n">
        <v>6700</v>
      </c>
      <c r="B41" s="29" t="n">
        <v>44821</v>
      </c>
      <c r="C41" s="21" t="s">
        <v>2591</v>
      </c>
      <c r="D41" s="21" t="s">
        <v>24</v>
      </c>
      <c r="E41" s="21" t="s">
        <v>34</v>
      </c>
      <c r="F41" s="21" t="s">
        <v>2703</v>
      </c>
      <c r="G41" s="30"/>
      <c r="H41" s="31" t="s">
        <v>28</v>
      </c>
      <c r="I41" s="21" t="s">
        <v>28</v>
      </c>
      <c r="J41" s="21"/>
      <c r="K41" s="21"/>
      <c r="L41" s="21"/>
      <c r="M41" s="21"/>
      <c r="N41" s="30"/>
      <c r="O41" s="21"/>
      <c r="P41" s="21"/>
      <c r="Q41" s="21"/>
      <c r="R41" s="32"/>
      <c r="S41" s="32"/>
      <c r="T41" s="21"/>
      <c r="U41" s="21"/>
      <c r="V41" s="21"/>
      <c r="W41" s="21"/>
      <c r="X41" s="21" t="s">
        <v>28</v>
      </c>
    </row>
    <row r="42" customFormat="false" ht="15.75" hidden="false" customHeight="false" outlineLevel="0" collapsed="false">
      <c r="A42" s="61" t="n">
        <v>6701</v>
      </c>
      <c r="B42" s="29" t="n">
        <v>44823</v>
      </c>
      <c r="C42" s="21" t="s">
        <v>1259</v>
      </c>
      <c r="D42" s="21" t="s">
        <v>24</v>
      </c>
      <c r="E42" s="21" t="s">
        <v>25</v>
      </c>
      <c r="F42" s="21" t="s">
        <v>2704</v>
      </c>
      <c r="G42" s="30"/>
      <c r="H42" s="45" t="str">
        <f aca="false">HYPERLINK("https://photos.app.goo.gl/e9UqNSUxJpKwRF3H9", "Completo")</f>
        <v>Completo</v>
      </c>
      <c r="I42" s="21" t="s">
        <v>28</v>
      </c>
      <c r="J42" s="21"/>
      <c r="K42" s="21"/>
      <c r="L42" s="21"/>
      <c r="M42" s="21"/>
      <c r="N42" s="30"/>
      <c r="O42" s="21"/>
      <c r="P42" s="46" t="s">
        <v>28</v>
      </c>
      <c r="Q42" s="21" t="s">
        <v>73</v>
      </c>
      <c r="R42" s="32" t="s">
        <v>2567</v>
      </c>
      <c r="S42" s="32"/>
      <c r="T42" s="21" t="s">
        <v>58</v>
      </c>
      <c r="U42" s="46" t="s">
        <v>28</v>
      </c>
      <c r="V42" s="46" t="s">
        <v>28</v>
      </c>
      <c r="W42" s="21" t="s">
        <v>36</v>
      </c>
      <c r="X42" s="21" t="s">
        <v>28</v>
      </c>
    </row>
    <row r="43" customFormat="false" ht="15.75" hidden="false" customHeight="false" outlineLevel="0" collapsed="false">
      <c r="A43" s="61" t="n">
        <v>6702</v>
      </c>
      <c r="B43" s="29" t="n">
        <v>44823</v>
      </c>
      <c r="C43" s="21" t="s">
        <v>1259</v>
      </c>
      <c r="D43" s="21" t="s">
        <v>24</v>
      </c>
      <c r="E43" s="21" t="s">
        <v>25</v>
      </c>
      <c r="F43" s="21" t="s">
        <v>2705</v>
      </c>
      <c r="G43" s="30"/>
      <c r="H43" s="45" t="str">
        <f aca="false">HYPERLINK("https://photos.app.goo.gl/jigyn13E5B7LXuzK7", "Completo")</f>
        <v>Completo</v>
      </c>
      <c r="I43" s="21" t="s">
        <v>28</v>
      </c>
      <c r="J43" s="21"/>
      <c r="K43" s="21"/>
      <c r="L43" s="21"/>
      <c r="M43" s="21"/>
      <c r="N43" s="68"/>
      <c r="O43" s="21"/>
      <c r="P43" s="66"/>
      <c r="Q43" s="21"/>
      <c r="R43" s="32"/>
      <c r="S43" s="32"/>
      <c r="T43" s="21" t="s">
        <v>58</v>
      </c>
      <c r="U43" s="46" t="s">
        <v>28</v>
      </c>
      <c r="V43" s="46" t="s">
        <v>28</v>
      </c>
      <c r="W43" s="21" t="s">
        <v>36</v>
      </c>
      <c r="X43" s="21" t="s">
        <v>28</v>
      </c>
    </row>
    <row r="44" customFormat="false" ht="15.75" hidden="false" customHeight="false" outlineLevel="0" collapsed="false">
      <c r="A44" s="61" t="n">
        <v>6703</v>
      </c>
      <c r="B44" s="29" t="n">
        <v>44823</v>
      </c>
      <c r="C44" s="21" t="s">
        <v>1259</v>
      </c>
      <c r="D44" s="21" t="s">
        <v>24</v>
      </c>
      <c r="E44" s="21" t="s">
        <v>25</v>
      </c>
      <c r="F44" s="21" t="s">
        <v>2706</v>
      </c>
      <c r="G44" s="30"/>
      <c r="H44" s="45" t="str">
        <f aca="false">HYPERLINK("https://photos.app.goo.gl/xTZPksCkEvmFx3fZ6", "Completo")</f>
        <v>Completo</v>
      </c>
      <c r="I44" s="21" t="s">
        <v>28</v>
      </c>
      <c r="J44" s="21"/>
      <c r="K44" s="21"/>
      <c r="L44" s="21"/>
      <c r="M44" s="21"/>
      <c r="N44" s="30"/>
      <c r="O44" s="21"/>
      <c r="P44" s="21"/>
      <c r="Q44" s="21"/>
      <c r="R44" s="32"/>
      <c r="S44" s="32"/>
      <c r="T44" s="21"/>
      <c r="U44" s="21"/>
      <c r="V44" s="21"/>
      <c r="W44" s="21"/>
      <c r="X44" s="21" t="s">
        <v>37</v>
      </c>
    </row>
    <row r="45" customFormat="false" ht="15.75" hidden="false" customHeight="false" outlineLevel="0" collapsed="false">
      <c r="A45" s="61" t="n">
        <v>6704</v>
      </c>
      <c r="B45" s="29" t="n">
        <v>44823</v>
      </c>
      <c r="C45" s="21" t="s">
        <v>1259</v>
      </c>
      <c r="D45" s="21" t="s">
        <v>24</v>
      </c>
      <c r="E45" s="21" t="s">
        <v>25</v>
      </c>
      <c r="F45" s="21" t="s">
        <v>2707</v>
      </c>
      <c r="G45" s="30"/>
      <c r="H45" s="31" t="s">
        <v>28</v>
      </c>
      <c r="I45" s="21" t="s">
        <v>28</v>
      </c>
      <c r="J45" s="21"/>
      <c r="K45" s="21"/>
      <c r="L45" s="21"/>
      <c r="M45" s="21"/>
      <c r="N45" s="30"/>
      <c r="O45" s="21"/>
      <c r="P45" s="21"/>
      <c r="Q45" s="21"/>
      <c r="R45" s="32"/>
      <c r="S45" s="32"/>
      <c r="T45" s="21"/>
      <c r="U45" s="21"/>
      <c r="V45" s="21"/>
      <c r="W45" s="21"/>
      <c r="X45" s="21" t="s">
        <v>37</v>
      </c>
    </row>
    <row r="46" customFormat="false" ht="15.75" hidden="false" customHeight="false" outlineLevel="0" collapsed="false">
      <c r="A46" s="61" t="n">
        <v>6705</v>
      </c>
      <c r="B46" s="29" t="n">
        <v>44823</v>
      </c>
      <c r="C46" s="21" t="s">
        <v>1259</v>
      </c>
      <c r="D46" s="21" t="s">
        <v>24</v>
      </c>
      <c r="E46" s="21" t="s">
        <v>25</v>
      </c>
      <c r="F46" s="21" t="s">
        <v>2708</v>
      </c>
      <c r="G46" s="30"/>
      <c r="H46" s="45" t="str">
        <f aca="false">HYPERLINK("https://photos.app.goo.gl/9YUXr2dUDMWBNxJD6", "Completo")</f>
        <v>Completo</v>
      </c>
      <c r="I46" s="21" t="s">
        <v>28</v>
      </c>
      <c r="J46" s="21"/>
      <c r="K46" s="21"/>
      <c r="L46" s="21"/>
      <c r="M46" s="21"/>
      <c r="N46" s="30"/>
      <c r="O46" s="21"/>
      <c r="P46" s="21"/>
      <c r="Q46" s="21"/>
      <c r="R46" s="32"/>
      <c r="S46" s="32"/>
      <c r="T46" s="21" t="s">
        <v>2565</v>
      </c>
      <c r="U46" s="46" t="s">
        <v>28</v>
      </c>
      <c r="V46" s="46" t="s">
        <v>28</v>
      </c>
      <c r="W46" s="21" t="s">
        <v>2709</v>
      </c>
      <c r="X46" s="21" t="s">
        <v>28</v>
      </c>
    </row>
    <row r="47" customFormat="false" ht="15.75" hidden="false" customHeight="false" outlineLevel="0" collapsed="false">
      <c r="A47" s="61" t="n">
        <v>6706</v>
      </c>
      <c r="B47" s="29" t="n">
        <v>44823</v>
      </c>
      <c r="C47" s="21" t="s">
        <v>2337</v>
      </c>
      <c r="D47" s="21" t="s">
        <v>24</v>
      </c>
      <c r="E47" s="21" t="s">
        <v>74</v>
      </c>
      <c r="F47" s="21" t="s">
        <v>2710</v>
      </c>
      <c r="G47" s="30" t="s">
        <v>2711</v>
      </c>
      <c r="H47" s="45" t="str">
        <f aca="false">HYPERLINK("https://photos.app.goo.gl/wfATuMGZzYw2a9xC7", "Completo")</f>
        <v>Completo</v>
      </c>
      <c r="I47" s="21" t="s">
        <v>28</v>
      </c>
      <c r="J47" s="21"/>
      <c r="K47" s="21"/>
      <c r="L47" s="21"/>
      <c r="M47" s="21"/>
      <c r="N47" s="30"/>
      <c r="O47" s="21"/>
      <c r="P47" s="21"/>
      <c r="Q47" s="21"/>
      <c r="R47" s="32"/>
      <c r="S47" s="32"/>
      <c r="T47" s="21"/>
      <c r="U47" s="21"/>
      <c r="V47" s="21"/>
      <c r="W47" s="21"/>
      <c r="X47" s="21" t="s">
        <v>28</v>
      </c>
    </row>
    <row r="48" customFormat="false" ht="15.75" hidden="false" customHeight="false" outlineLevel="0" collapsed="false">
      <c r="A48" s="61" t="s">
        <v>2712</v>
      </c>
      <c r="B48" s="29" t="n">
        <v>44823</v>
      </c>
      <c r="C48" s="21" t="s">
        <v>2713</v>
      </c>
      <c r="D48" s="21" t="s">
        <v>578</v>
      </c>
      <c r="E48" s="21" t="s">
        <v>74</v>
      </c>
      <c r="F48" s="21" t="s">
        <v>2714</v>
      </c>
      <c r="G48" s="30" t="s">
        <v>2715</v>
      </c>
      <c r="H48" s="45" t="str">
        <f aca="false">HYPERLINK("https://photos.app.goo.gl/fbY5ns6SPp3zfcEDA", "Completo")</f>
        <v>Completo</v>
      </c>
      <c r="I48" s="21" t="s">
        <v>28</v>
      </c>
      <c r="J48" s="21"/>
      <c r="K48" s="21"/>
      <c r="L48" s="21"/>
      <c r="M48" s="21"/>
      <c r="N48" s="30"/>
      <c r="O48" s="21"/>
      <c r="P48" s="21"/>
      <c r="Q48" s="21"/>
      <c r="R48" s="32"/>
      <c r="S48" s="32"/>
      <c r="T48" s="21"/>
      <c r="U48" s="21"/>
      <c r="V48" s="21"/>
      <c r="W48" s="21"/>
      <c r="X48" s="21" t="s">
        <v>37</v>
      </c>
    </row>
    <row r="49" customFormat="false" ht="15.75" hidden="false" customHeight="false" outlineLevel="0" collapsed="false">
      <c r="A49" s="61" t="n">
        <v>6707</v>
      </c>
      <c r="B49" s="29" t="n">
        <v>44823</v>
      </c>
      <c r="C49" s="21" t="s">
        <v>730</v>
      </c>
      <c r="D49" s="21" t="s">
        <v>24</v>
      </c>
      <c r="E49" s="21" t="s">
        <v>25</v>
      </c>
      <c r="F49" s="21" t="s">
        <v>2716</v>
      </c>
      <c r="G49" s="30"/>
      <c r="H49" s="45" t="str">
        <f aca="false">HYPERLINK("https://photos.app.goo.gl/2JzfFhdKyWcsZEiR9", "Completo")</f>
        <v>Completo</v>
      </c>
      <c r="I49" s="21" t="s">
        <v>28</v>
      </c>
      <c r="J49" s="21"/>
      <c r="K49" s="21"/>
      <c r="L49" s="21"/>
      <c r="M49" s="21"/>
      <c r="N49" s="30"/>
      <c r="O49" s="21"/>
      <c r="P49" s="21"/>
      <c r="Q49" s="21"/>
      <c r="R49" s="32"/>
      <c r="S49" s="32"/>
      <c r="T49" s="21"/>
      <c r="U49" s="21"/>
      <c r="V49" s="21"/>
      <c r="W49" s="21"/>
      <c r="X49" s="21" t="s">
        <v>28</v>
      </c>
    </row>
    <row r="50" customFormat="false" ht="15.75" hidden="false" customHeight="false" outlineLevel="0" collapsed="false">
      <c r="A50" s="61" t="n">
        <v>6708</v>
      </c>
      <c r="B50" s="29" t="n">
        <v>44824</v>
      </c>
      <c r="C50" s="21" t="s">
        <v>2648</v>
      </c>
      <c r="D50" s="21" t="s">
        <v>24</v>
      </c>
      <c r="E50" s="21" t="s">
        <v>34</v>
      </c>
      <c r="F50" s="21" t="s">
        <v>2669</v>
      </c>
      <c r="G50" s="30"/>
      <c r="H50" s="31"/>
      <c r="I50" s="21"/>
      <c r="J50" s="21"/>
      <c r="K50" s="21"/>
      <c r="L50" s="21"/>
      <c r="M50" s="21"/>
      <c r="N50" s="30"/>
      <c r="O50" s="21"/>
      <c r="P50" s="21"/>
      <c r="Q50" s="21"/>
      <c r="R50" s="32"/>
      <c r="S50" s="32"/>
      <c r="T50" s="21"/>
      <c r="U50" s="21"/>
      <c r="V50" s="21"/>
      <c r="W50" s="21"/>
      <c r="X50" s="21" t="s">
        <v>28</v>
      </c>
    </row>
    <row r="51" customFormat="false" ht="15.75" hidden="false" customHeight="false" outlineLevel="0" collapsed="false">
      <c r="A51" s="61" t="n">
        <v>6709</v>
      </c>
      <c r="B51" s="29" t="n">
        <v>44824</v>
      </c>
      <c r="C51" s="21" t="s">
        <v>1666</v>
      </c>
      <c r="D51" s="21" t="s">
        <v>24</v>
      </c>
      <c r="E51" s="21" t="s">
        <v>34</v>
      </c>
      <c r="F51" s="21" t="s">
        <v>2717</v>
      </c>
      <c r="G51" s="30"/>
      <c r="H51" s="31"/>
      <c r="I51" s="21"/>
      <c r="J51" s="21"/>
      <c r="K51" s="21"/>
      <c r="L51" s="21"/>
      <c r="M51" s="21"/>
      <c r="N51" s="30"/>
      <c r="O51" s="21"/>
      <c r="P51" s="21"/>
      <c r="Q51" s="21"/>
      <c r="R51" s="32"/>
      <c r="S51" s="32"/>
      <c r="T51" s="21"/>
      <c r="U51" s="21"/>
      <c r="V51" s="21"/>
      <c r="W51" s="21"/>
      <c r="X51" s="21" t="s">
        <v>28</v>
      </c>
      <c r="Y51" s="12"/>
      <c r="Z51" s="12"/>
      <c r="AA51" s="12"/>
      <c r="AB51" s="12"/>
      <c r="AC51" s="12"/>
      <c r="AD51" s="12"/>
      <c r="AE51" s="12"/>
    </row>
    <row r="52" customFormat="false" ht="15.75" hidden="false" customHeight="false" outlineLevel="0" collapsed="false">
      <c r="A52" s="61" t="n">
        <v>6710</v>
      </c>
      <c r="B52" s="29" t="n">
        <v>44824</v>
      </c>
      <c r="C52" s="21" t="s">
        <v>389</v>
      </c>
      <c r="D52" s="21" t="s">
        <v>24</v>
      </c>
      <c r="E52" s="21" t="s">
        <v>34</v>
      </c>
      <c r="F52" s="21" t="s">
        <v>2718</v>
      </c>
      <c r="G52" s="30"/>
      <c r="H52" s="31"/>
      <c r="I52" s="21"/>
      <c r="J52" s="21"/>
      <c r="K52" s="21"/>
      <c r="L52" s="21"/>
      <c r="M52" s="21"/>
      <c r="N52" s="30"/>
      <c r="O52" s="21"/>
      <c r="P52" s="21"/>
      <c r="Q52" s="21"/>
      <c r="R52" s="32"/>
      <c r="S52" s="32"/>
      <c r="T52" s="21"/>
      <c r="U52" s="21"/>
      <c r="V52" s="21"/>
      <c r="W52" s="21"/>
      <c r="X52" s="21" t="s">
        <v>28</v>
      </c>
      <c r="Y52" s="12"/>
      <c r="Z52" s="12"/>
      <c r="AA52" s="12"/>
      <c r="AB52" s="12"/>
      <c r="AC52" s="12"/>
      <c r="AD52" s="12"/>
      <c r="AE52" s="12"/>
    </row>
    <row r="53" customFormat="false" ht="15.75" hidden="false" customHeight="false" outlineLevel="0" collapsed="false">
      <c r="A53" s="61" t="n">
        <v>6711</v>
      </c>
      <c r="B53" s="29" t="n">
        <v>44825</v>
      </c>
      <c r="C53" s="21" t="s">
        <v>2719</v>
      </c>
      <c r="D53" s="21" t="s">
        <v>24</v>
      </c>
      <c r="E53" s="21" t="s">
        <v>25</v>
      </c>
      <c r="F53" s="21" t="s">
        <v>1833</v>
      </c>
      <c r="G53" s="30" t="s">
        <v>2720</v>
      </c>
      <c r="H53" s="45" t="str">
        <f aca="false">HYPERLINK("https://photos.app.goo.gl/xRNXFS5CyGGVuFrHA", "Completo")</f>
        <v>Completo</v>
      </c>
      <c r="I53" s="21" t="s">
        <v>28</v>
      </c>
      <c r="J53" s="21" t="n">
        <v>3536572538</v>
      </c>
      <c r="K53" s="21" t="s">
        <v>2721</v>
      </c>
      <c r="L53" s="21"/>
      <c r="M53" s="21" t="s">
        <v>2722</v>
      </c>
      <c r="N53" s="30"/>
      <c r="O53" s="21" t="s">
        <v>28</v>
      </c>
      <c r="P53" s="46" t="s">
        <v>28</v>
      </c>
      <c r="Q53" s="21" t="s">
        <v>214</v>
      </c>
      <c r="R53" s="32" t="s">
        <v>2683</v>
      </c>
      <c r="S53" s="32"/>
      <c r="T53" s="21"/>
      <c r="U53" s="66"/>
      <c r="V53" s="66"/>
      <c r="W53" s="21"/>
      <c r="X53" s="21" t="s">
        <v>28</v>
      </c>
    </row>
    <row r="54" customFormat="false" ht="15.75" hidden="false" customHeight="false" outlineLevel="0" collapsed="false">
      <c r="A54" s="61" t="n">
        <v>6712</v>
      </c>
      <c r="B54" s="29" t="n">
        <v>44825</v>
      </c>
      <c r="C54" s="21" t="s">
        <v>2723</v>
      </c>
      <c r="D54" s="21" t="s">
        <v>24</v>
      </c>
      <c r="E54" s="21" t="s">
        <v>25</v>
      </c>
      <c r="F54" s="21" t="s">
        <v>1698</v>
      </c>
      <c r="G54" s="30"/>
      <c r="H54" s="45" t="str">
        <f aca="false">HYPERLINK("https://photos.app.goo.gl/vSjguPPBknhqxVLm6", "Completo")</f>
        <v>Completo</v>
      </c>
      <c r="I54" s="21" t="s">
        <v>28</v>
      </c>
      <c r="J54" s="21" t="n">
        <v>3515146558</v>
      </c>
      <c r="K54" s="21" t="s">
        <v>2724</v>
      </c>
      <c r="L54" s="21" t="s">
        <v>2725</v>
      </c>
      <c r="M54" s="21" t="s">
        <v>2726</v>
      </c>
      <c r="N54" s="30"/>
      <c r="O54" s="21"/>
      <c r="P54" s="21"/>
      <c r="Q54" s="21"/>
      <c r="R54" s="32"/>
      <c r="S54" s="32"/>
      <c r="T54" s="21"/>
      <c r="U54" s="66"/>
      <c r="V54" s="66"/>
      <c r="W54" s="21"/>
      <c r="X54" s="21" t="s">
        <v>28</v>
      </c>
    </row>
    <row r="55" customFormat="false" ht="15.75" hidden="false" customHeight="false" outlineLevel="0" collapsed="false">
      <c r="A55" s="63" t="n">
        <v>1617295</v>
      </c>
      <c r="B55" s="29" t="n">
        <v>44825</v>
      </c>
      <c r="C55" s="21" t="s">
        <v>872</v>
      </c>
      <c r="D55" s="21" t="s">
        <v>290</v>
      </c>
      <c r="E55" s="21" t="s">
        <v>25</v>
      </c>
      <c r="F55" s="21" t="s">
        <v>2727</v>
      </c>
      <c r="G55" s="30"/>
      <c r="H55" s="45" t="str">
        <f aca="false">HYPERLINK("https://photos.app.goo.gl/kHR77P3euCQdN7ev9", "Completo")</f>
        <v>Completo</v>
      </c>
      <c r="I55" s="21" t="s">
        <v>28</v>
      </c>
      <c r="J55" s="21"/>
      <c r="K55" s="21"/>
      <c r="L55" s="21"/>
      <c r="M55" s="21"/>
      <c r="N55" s="30"/>
      <c r="O55" s="21"/>
      <c r="P55" s="66"/>
      <c r="Q55" s="21"/>
      <c r="R55" s="32"/>
      <c r="S55" s="32"/>
      <c r="T55" s="21"/>
      <c r="U55" s="21"/>
      <c r="V55" s="21"/>
      <c r="W55" s="21"/>
      <c r="X55" s="21" t="s">
        <v>28</v>
      </c>
    </row>
    <row r="56" customFormat="false" ht="15.75" hidden="false" customHeight="false" outlineLevel="0" collapsed="false">
      <c r="A56" s="61" t="n">
        <v>6713</v>
      </c>
      <c r="B56" s="29" t="n">
        <v>44825</v>
      </c>
      <c r="C56" s="21" t="s">
        <v>872</v>
      </c>
      <c r="D56" s="21" t="s">
        <v>24</v>
      </c>
      <c r="E56" s="21" t="s">
        <v>25</v>
      </c>
      <c r="F56" s="21" t="s">
        <v>2728</v>
      </c>
      <c r="G56" s="30"/>
      <c r="H56" s="45" t="str">
        <f aca="false">HYPERLINK("https://photos.app.goo.gl/1t8UfjWxNX3ygPk69", "Completo")</f>
        <v>Completo</v>
      </c>
      <c r="I56" s="21" t="s">
        <v>28</v>
      </c>
      <c r="J56" s="21"/>
      <c r="K56" s="21"/>
      <c r="L56" s="21"/>
      <c r="M56" s="21"/>
      <c r="N56" s="30"/>
      <c r="O56" s="21"/>
      <c r="P56" s="21"/>
      <c r="Q56" s="21"/>
      <c r="R56" s="32"/>
      <c r="S56" s="32"/>
      <c r="T56" s="21"/>
      <c r="U56" s="21"/>
      <c r="V56" s="21"/>
      <c r="W56" s="21"/>
      <c r="X56" s="21" t="s">
        <v>28</v>
      </c>
    </row>
    <row r="57" customFormat="false" ht="15.75" hidden="false" customHeight="false" outlineLevel="0" collapsed="false">
      <c r="A57" s="61" t="n">
        <v>6714</v>
      </c>
      <c r="B57" s="29" t="n">
        <v>44825</v>
      </c>
      <c r="C57" s="21" t="s">
        <v>67</v>
      </c>
      <c r="D57" s="21" t="s">
        <v>24</v>
      </c>
      <c r="E57" s="21" t="s">
        <v>34</v>
      </c>
      <c r="F57" s="21" t="s">
        <v>2729</v>
      </c>
      <c r="G57" s="30"/>
      <c r="H57" s="31" t="s">
        <v>28</v>
      </c>
      <c r="I57" s="21"/>
      <c r="J57" s="21"/>
      <c r="K57" s="21"/>
      <c r="L57" s="21"/>
      <c r="M57" s="21"/>
      <c r="N57" s="30"/>
      <c r="O57" s="21"/>
      <c r="P57" s="21"/>
      <c r="Q57" s="21"/>
      <c r="R57" s="32"/>
      <c r="S57" s="32"/>
      <c r="T57" s="21"/>
      <c r="U57" s="21"/>
      <c r="V57" s="21"/>
      <c r="W57" s="21"/>
      <c r="X57" s="21" t="s">
        <v>28</v>
      </c>
    </row>
    <row r="58" customFormat="false" ht="15.75" hidden="false" customHeight="false" outlineLevel="0" collapsed="false">
      <c r="A58" s="61" t="n">
        <v>6715</v>
      </c>
      <c r="B58" s="29" t="n">
        <v>44827</v>
      </c>
      <c r="C58" s="21" t="s">
        <v>675</v>
      </c>
      <c r="D58" s="21" t="s">
        <v>24</v>
      </c>
      <c r="E58" s="21" t="s">
        <v>25</v>
      </c>
      <c r="F58" s="21" t="s">
        <v>2730</v>
      </c>
      <c r="G58" s="30"/>
      <c r="H58" s="45" t="str">
        <f aca="false">HYPERLINK("https://photos.app.goo.gl/DZwvxsSVeR5GpCnS9", "Completo")</f>
        <v>Completo</v>
      </c>
      <c r="I58" s="21" t="s">
        <v>28</v>
      </c>
      <c r="J58" s="21" t="s">
        <v>2731</v>
      </c>
      <c r="K58" s="21"/>
      <c r="L58" s="21"/>
      <c r="M58" s="21" t="s">
        <v>2732</v>
      </c>
      <c r="N58" s="30"/>
      <c r="O58" s="21"/>
      <c r="P58" s="21"/>
      <c r="Q58" s="21"/>
      <c r="R58" s="32"/>
      <c r="S58" s="32"/>
      <c r="T58" s="21"/>
      <c r="U58" s="21"/>
      <c r="V58" s="21"/>
      <c r="W58" s="21"/>
      <c r="X58" s="21" t="s">
        <v>28</v>
      </c>
    </row>
    <row r="59" customFormat="false" ht="15.75" hidden="false" customHeight="false" outlineLevel="0" collapsed="false">
      <c r="A59" s="61" t="n">
        <v>6716</v>
      </c>
      <c r="B59" s="29" t="n">
        <v>44827</v>
      </c>
      <c r="C59" s="21" t="s">
        <v>944</v>
      </c>
      <c r="D59" s="21" t="s">
        <v>24</v>
      </c>
      <c r="E59" s="21" t="s">
        <v>25</v>
      </c>
      <c r="F59" s="21" t="s">
        <v>2733</v>
      </c>
      <c r="G59" s="30"/>
      <c r="H59" s="45" t="str">
        <f aca="false">HYPERLINK("https://photos.app.goo.gl/AnAw67dSfYkaEz5p8", "Completo")</f>
        <v>Completo</v>
      </c>
      <c r="I59" s="21" t="s">
        <v>28</v>
      </c>
      <c r="J59" s="21"/>
      <c r="K59" s="21"/>
      <c r="L59" s="21"/>
      <c r="M59" s="21"/>
      <c r="N59" s="30"/>
      <c r="O59" s="21"/>
      <c r="P59" s="21"/>
      <c r="Q59" s="21"/>
      <c r="R59" s="32"/>
      <c r="S59" s="32"/>
      <c r="T59" s="21"/>
      <c r="U59" s="21"/>
      <c r="V59" s="21"/>
      <c r="W59" s="21"/>
      <c r="X59" s="21" t="s">
        <v>37</v>
      </c>
    </row>
    <row r="60" customFormat="false" ht="15.75" hidden="false" customHeight="false" outlineLevel="0" collapsed="false">
      <c r="A60" s="61" t="n">
        <v>6717</v>
      </c>
      <c r="B60" s="29" t="n">
        <v>44827</v>
      </c>
      <c r="C60" s="21" t="s">
        <v>2734</v>
      </c>
      <c r="D60" s="21" t="s">
        <v>24</v>
      </c>
      <c r="E60" s="21" t="s">
        <v>25</v>
      </c>
      <c r="F60" s="21" t="s">
        <v>2735</v>
      </c>
      <c r="G60" s="30"/>
      <c r="H60" s="45" t="str">
        <f aca="false">HYPERLINK("https://photos.app.goo.gl/Swt2c1BrRw8uKgsq7", "Completo")</f>
        <v>Completo</v>
      </c>
      <c r="I60" s="21" t="s">
        <v>28</v>
      </c>
      <c r="J60" s="21"/>
      <c r="K60" s="21"/>
      <c r="L60" s="21"/>
      <c r="M60" s="21"/>
      <c r="N60" s="30"/>
      <c r="O60" s="21"/>
      <c r="P60" s="21"/>
      <c r="Q60" s="21"/>
      <c r="R60" s="32"/>
      <c r="S60" s="32"/>
      <c r="T60" s="21" t="s">
        <v>2570</v>
      </c>
      <c r="U60" s="46" t="s">
        <v>28</v>
      </c>
      <c r="V60" s="46" t="s">
        <v>28</v>
      </c>
      <c r="W60" s="21" t="s">
        <v>29</v>
      </c>
      <c r="X60" s="21" t="s">
        <v>28</v>
      </c>
    </row>
    <row r="61" customFormat="false" ht="15.75" hidden="false" customHeight="false" outlineLevel="0" collapsed="false">
      <c r="A61" s="61" t="n">
        <v>6718</v>
      </c>
      <c r="B61" s="29" t="n">
        <v>44827</v>
      </c>
      <c r="C61" s="21" t="s">
        <v>1666</v>
      </c>
      <c r="D61" s="21" t="s">
        <v>24</v>
      </c>
      <c r="E61" s="21" t="s">
        <v>34</v>
      </c>
      <c r="F61" s="21" t="s">
        <v>2736</v>
      </c>
      <c r="G61" s="30"/>
      <c r="H61" s="31"/>
      <c r="I61" s="21"/>
      <c r="J61" s="21"/>
      <c r="K61" s="21"/>
      <c r="L61" s="21"/>
      <c r="M61" s="21"/>
      <c r="N61" s="30"/>
      <c r="O61" s="21"/>
      <c r="P61" s="66"/>
      <c r="Q61" s="21"/>
      <c r="R61" s="32"/>
      <c r="S61" s="32"/>
      <c r="T61" s="21"/>
      <c r="U61" s="21"/>
      <c r="V61" s="21"/>
      <c r="W61" s="21"/>
      <c r="X61" s="21" t="s">
        <v>28</v>
      </c>
    </row>
    <row r="62" customFormat="false" ht="15.75" hidden="false" customHeight="false" outlineLevel="0" collapsed="false">
      <c r="A62" s="61" t="n">
        <v>6719</v>
      </c>
      <c r="B62" s="29" t="n">
        <v>44830</v>
      </c>
      <c r="C62" s="21" t="s">
        <v>2737</v>
      </c>
      <c r="D62" s="21" t="s">
        <v>24</v>
      </c>
      <c r="E62" s="21" t="s">
        <v>25</v>
      </c>
      <c r="F62" s="21" t="s">
        <v>2738</v>
      </c>
      <c r="G62" s="30" t="s">
        <v>2560</v>
      </c>
      <c r="H62" s="45" t="str">
        <f aca="false">HYPERLINK("https://photos.app.goo.gl/B1otB9jcWd8zdxYP7", "Completo")</f>
        <v>Completo</v>
      </c>
      <c r="I62" s="21" t="s">
        <v>28</v>
      </c>
      <c r="J62" s="21"/>
      <c r="K62" s="21"/>
      <c r="L62" s="21"/>
      <c r="M62" s="21"/>
      <c r="N62" s="30"/>
      <c r="O62" s="21"/>
      <c r="P62" s="66"/>
      <c r="Q62" s="21"/>
      <c r="R62" s="32"/>
      <c r="S62" s="32"/>
      <c r="T62" s="21"/>
      <c r="U62" s="21"/>
      <c r="V62" s="21"/>
      <c r="W62" s="21"/>
      <c r="X62" s="21" t="s">
        <v>28</v>
      </c>
    </row>
    <row r="63" customFormat="false" ht="15.75" hidden="false" customHeight="false" outlineLevel="0" collapsed="false">
      <c r="A63" s="61" t="n">
        <v>6720</v>
      </c>
      <c r="B63" s="29" t="n">
        <v>44830</v>
      </c>
      <c r="C63" s="21" t="s">
        <v>2739</v>
      </c>
      <c r="D63" s="21" t="s">
        <v>24</v>
      </c>
      <c r="E63" s="21" t="s">
        <v>25</v>
      </c>
      <c r="F63" s="21" t="s">
        <v>2740</v>
      </c>
      <c r="G63" s="30" t="s">
        <v>2560</v>
      </c>
      <c r="H63" s="73" t="str">
        <f aca="false">HYPERLINK("https://photos.app.goo.gl/3TkGhhjs1TMHPWAw5", "Completo")</f>
        <v>Completo</v>
      </c>
      <c r="I63" s="21" t="s">
        <v>28</v>
      </c>
      <c r="J63" s="21"/>
      <c r="K63" s="21"/>
      <c r="L63" s="21"/>
      <c r="M63" s="21"/>
      <c r="N63" s="30"/>
      <c r="O63" s="21"/>
      <c r="P63" s="66"/>
      <c r="Q63" s="21"/>
      <c r="R63" s="32"/>
      <c r="S63" s="32"/>
      <c r="T63" s="21"/>
      <c r="U63" s="21"/>
      <c r="V63" s="21"/>
      <c r="W63" s="21"/>
      <c r="X63" s="21" t="s">
        <v>28</v>
      </c>
    </row>
    <row r="64" customFormat="false" ht="15.75" hidden="false" customHeight="false" outlineLevel="0" collapsed="false">
      <c r="A64" s="61" t="n">
        <v>6721</v>
      </c>
      <c r="B64" s="29" t="n">
        <v>44830</v>
      </c>
      <c r="C64" s="21" t="s">
        <v>2741</v>
      </c>
      <c r="D64" s="21" t="s">
        <v>24</v>
      </c>
      <c r="E64" s="21" t="s">
        <v>25</v>
      </c>
      <c r="F64" s="21" t="s">
        <v>2742</v>
      </c>
      <c r="G64" s="30" t="s">
        <v>2743</v>
      </c>
      <c r="H64" s="45" t="str">
        <f aca="false">HYPERLINK("https://photos.app.goo.gl/Hgo34yfeCRatYB2fA", "Completo")</f>
        <v>Completo</v>
      </c>
      <c r="I64" s="21" t="s">
        <v>28</v>
      </c>
      <c r="J64" s="21"/>
      <c r="K64" s="21"/>
      <c r="L64" s="21"/>
      <c r="M64" s="21"/>
      <c r="N64" s="30"/>
      <c r="O64" s="21"/>
      <c r="P64" s="66"/>
      <c r="Q64" s="21"/>
      <c r="R64" s="32"/>
      <c r="S64" s="32"/>
      <c r="T64" s="21"/>
      <c r="U64" s="21"/>
      <c r="V64" s="21"/>
      <c r="W64" s="21"/>
      <c r="X64" s="21" t="s">
        <v>28</v>
      </c>
    </row>
    <row r="65" customFormat="false" ht="15.75" hidden="false" customHeight="false" outlineLevel="0" collapsed="false">
      <c r="A65" s="61" t="n">
        <v>6722</v>
      </c>
      <c r="B65" s="29" t="n">
        <v>44827</v>
      </c>
      <c r="C65" s="21" t="s">
        <v>1666</v>
      </c>
      <c r="D65" s="21" t="s">
        <v>24</v>
      </c>
      <c r="E65" s="21" t="s">
        <v>25</v>
      </c>
      <c r="F65" s="21" t="s">
        <v>2744</v>
      </c>
      <c r="G65" s="30"/>
      <c r="H65" s="31" t="s">
        <v>28</v>
      </c>
      <c r="I65" s="21"/>
      <c r="J65" s="21"/>
      <c r="K65" s="21"/>
      <c r="L65" s="21"/>
      <c r="M65" s="21"/>
      <c r="N65" s="30"/>
      <c r="O65" s="21"/>
      <c r="P65" s="66"/>
      <c r="Q65" s="21"/>
      <c r="R65" s="32"/>
      <c r="S65" s="32"/>
      <c r="T65" s="21"/>
      <c r="U65" s="21"/>
      <c r="V65" s="21"/>
      <c r="W65" s="21"/>
      <c r="X65" s="21" t="s">
        <v>28</v>
      </c>
    </row>
    <row r="66" customFormat="false" ht="15.75" hidden="false" customHeight="false" outlineLevel="0" collapsed="false">
      <c r="A66" s="61" t="n">
        <v>6723</v>
      </c>
      <c r="B66" s="29" t="n">
        <v>44827</v>
      </c>
      <c r="C66" s="21" t="s">
        <v>1666</v>
      </c>
      <c r="D66" s="21" t="s">
        <v>24</v>
      </c>
      <c r="E66" s="21" t="s">
        <v>25</v>
      </c>
      <c r="F66" s="21" t="s">
        <v>2745</v>
      </c>
      <c r="G66" s="30"/>
      <c r="H66" s="31" t="s">
        <v>28</v>
      </c>
      <c r="I66" s="21"/>
      <c r="J66" s="21"/>
      <c r="K66" s="21"/>
      <c r="L66" s="21"/>
      <c r="M66" s="21"/>
      <c r="N66" s="30"/>
      <c r="O66" s="21"/>
      <c r="P66" s="66"/>
      <c r="Q66" s="21"/>
      <c r="R66" s="32"/>
      <c r="S66" s="32"/>
      <c r="T66" s="21"/>
      <c r="U66" s="21"/>
      <c r="V66" s="21"/>
      <c r="W66" s="21"/>
      <c r="X66" s="21" t="s">
        <v>28</v>
      </c>
    </row>
    <row r="67" customFormat="false" ht="15.75" hidden="false" customHeight="false" outlineLevel="0" collapsed="false">
      <c r="A67" s="63" t="n">
        <v>905073</v>
      </c>
      <c r="B67" s="29" t="n">
        <v>44830</v>
      </c>
      <c r="C67" s="21" t="s">
        <v>1010</v>
      </c>
      <c r="D67" s="21" t="s">
        <v>24</v>
      </c>
      <c r="E67" s="21" t="s">
        <v>25</v>
      </c>
      <c r="F67" s="21" t="s">
        <v>2746</v>
      </c>
      <c r="G67" s="30" t="s">
        <v>2747</v>
      </c>
      <c r="H67" s="45" t="str">
        <f aca="false">HYPERLINK("https://photos.app.goo.gl/a8RsGYtvRawztdgcA", "Completo")</f>
        <v>Completo</v>
      </c>
      <c r="I67" s="21" t="s">
        <v>28</v>
      </c>
      <c r="J67" s="21"/>
      <c r="K67" s="21"/>
      <c r="L67" s="21"/>
      <c r="M67" s="21"/>
      <c r="N67" s="30"/>
      <c r="O67" s="21"/>
      <c r="P67" s="21"/>
      <c r="Q67" s="21"/>
      <c r="R67" s="32"/>
      <c r="S67" s="32"/>
      <c r="T67" s="21"/>
      <c r="U67" s="21"/>
      <c r="V67" s="21"/>
      <c r="W67" s="21"/>
      <c r="X67" s="21" t="s">
        <v>28</v>
      </c>
    </row>
    <row r="68" customFormat="false" ht="15.75" hidden="false" customHeight="false" outlineLevel="0" collapsed="false">
      <c r="A68" s="63" t="n">
        <v>907630</v>
      </c>
      <c r="B68" s="29" t="n">
        <v>44830</v>
      </c>
      <c r="C68" s="21" t="s">
        <v>1010</v>
      </c>
      <c r="D68" s="21" t="s">
        <v>24</v>
      </c>
      <c r="E68" s="21" t="s">
        <v>25</v>
      </c>
      <c r="F68" s="21" t="s">
        <v>2746</v>
      </c>
      <c r="G68" s="30" t="s">
        <v>2747</v>
      </c>
      <c r="H68" s="45" t="str">
        <f aca="false">HYPERLINK("https://photos.app.goo.gl/152vkf75AgdT43cHA", "Completo")</f>
        <v>Completo</v>
      </c>
      <c r="I68" s="21" t="s">
        <v>28</v>
      </c>
      <c r="J68" s="21"/>
      <c r="K68" s="21"/>
      <c r="L68" s="21"/>
      <c r="M68" s="21"/>
      <c r="N68" s="30"/>
      <c r="O68" s="21"/>
      <c r="P68" s="21"/>
      <c r="Q68" s="21"/>
      <c r="R68" s="32"/>
      <c r="S68" s="32"/>
      <c r="T68" s="21"/>
      <c r="U68" s="21"/>
      <c r="V68" s="21"/>
      <c r="W68" s="21"/>
      <c r="X68" s="21" t="s">
        <v>28</v>
      </c>
    </row>
    <row r="69" customFormat="false" ht="15.75" hidden="false" customHeight="false" outlineLevel="0" collapsed="false">
      <c r="A69" s="61" t="n">
        <v>6723</v>
      </c>
      <c r="B69" s="29" t="n">
        <v>44830</v>
      </c>
      <c r="C69" s="21" t="s">
        <v>1010</v>
      </c>
      <c r="D69" s="21"/>
      <c r="E69" s="21"/>
      <c r="F69" s="21" t="s">
        <v>2746</v>
      </c>
      <c r="G69" s="30" t="s">
        <v>2747</v>
      </c>
      <c r="H69" s="45" t="str">
        <f aca="false">HYPERLINK("https://photos.app.goo.gl/gggakd3vruTGF73p6", "Completo")</f>
        <v>Completo</v>
      </c>
      <c r="I69" s="21" t="s">
        <v>28</v>
      </c>
      <c r="J69" s="21"/>
      <c r="K69" s="21"/>
      <c r="L69" s="21"/>
      <c r="M69" s="21"/>
      <c r="N69" s="30"/>
      <c r="O69" s="21"/>
      <c r="P69" s="21"/>
      <c r="Q69" s="21"/>
      <c r="R69" s="32"/>
      <c r="S69" s="32"/>
      <c r="T69" s="21"/>
      <c r="U69" s="21"/>
      <c r="V69" s="21"/>
      <c r="W69" s="21"/>
      <c r="X69" s="21" t="s">
        <v>28</v>
      </c>
    </row>
    <row r="70" customFormat="false" ht="15.75" hidden="false" customHeight="false" outlineLevel="0" collapsed="false">
      <c r="A70" s="61" t="n">
        <v>6724</v>
      </c>
      <c r="B70" s="29" t="n">
        <v>44830</v>
      </c>
      <c r="C70" s="21" t="s">
        <v>1010</v>
      </c>
      <c r="D70" s="21"/>
      <c r="E70" s="21"/>
      <c r="F70" s="21" t="s">
        <v>2746</v>
      </c>
      <c r="G70" s="30" t="s">
        <v>2747</v>
      </c>
      <c r="H70" s="45" t="str">
        <f aca="false">HYPERLINK("https://photos.app.goo.gl/pWoDVWk2rQ5G7ZcUA", "Completo")</f>
        <v>Completo</v>
      </c>
      <c r="I70" s="21" t="s">
        <v>28</v>
      </c>
      <c r="J70" s="21"/>
      <c r="K70" s="21"/>
      <c r="L70" s="21"/>
      <c r="M70" s="21"/>
      <c r="N70" s="30"/>
      <c r="O70" s="21"/>
      <c r="P70" s="21"/>
      <c r="Q70" s="21"/>
      <c r="R70" s="32"/>
      <c r="S70" s="32"/>
      <c r="T70" s="21"/>
      <c r="U70" s="21"/>
      <c r="V70" s="21"/>
      <c r="W70" s="21"/>
      <c r="X70" s="21" t="s">
        <v>28</v>
      </c>
    </row>
    <row r="71" customFormat="false" ht="15.75" hidden="false" customHeight="false" outlineLevel="0" collapsed="false">
      <c r="A71" s="61" t="n">
        <v>6725</v>
      </c>
      <c r="B71" s="29" t="n">
        <v>44830</v>
      </c>
      <c r="C71" s="21" t="s">
        <v>1010</v>
      </c>
      <c r="D71" s="21"/>
      <c r="E71" s="21"/>
      <c r="F71" s="21" t="s">
        <v>2746</v>
      </c>
      <c r="G71" s="30" t="s">
        <v>2747</v>
      </c>
      <c r="H71" s="45" t="str">
        <f aca="false">HYPERLINK("https://photos.app.goo.gl/ozUneaVseJQvbJ79A", "Completo")</f>
        <v>Completo</v>
      </c>
      <c r="I71" s="21" t="s">
        <v>28</v>
      </c>
      <c r="J71" s="21"/>
      <c r="K71" s="21"/>
      <c r="L71" s="21"/>
      <c r="M71" s="21"/>
      <c r="N71" s="30"/>
      <c r="O71" s="21"/>
      <c r="P71" s="21"/>
      <c r="Q71" s="21"/>
      <c r="R71" s="32"/>
      <c r="S71" s="32"/>
      <c r="T71" s="21"/>
      <c r="U71" s="21"/>
      <c r="V71" s="21"/>
      <c r="W71" s="21"/>
      <c r="X71" s="21" t="s">
        <v>28</v>
      </c>
    </row>
    <row r="72" customFormat="false" ht="15.75" hidden="false" customHeight="false" outlineLevel="0" collapsed="false">
      <c r="A72" s="61" t="n">
        <v>6726</v>
      </c>
      <c r="B72" s="29" t="n">
        <v>44831</v>
      </c>
      <c r="C72" s="21" t="s">
        <v>2748</v>
      </c>
      <c r="D72" s="21" t="s">
        <v>24</v>
      </c>
      <c r="E72" s="21" t="s">
        <v>25</v>
      </c>
      <c r="F72" s="21" t="s">
        <v>2749</v>
      </c>
      <c r="G72" s="30"/>
      <c r="H72" s="45" t="str">
        <f aca="false">HYPERLINK("https://photos.app.goo.gl/MvVmA4DQmVHF8Hd2A", "Completo")</f>
        <v>Completo</v>
      </c>
      <c r="I72" s="21" t="s">
        <v>28</v>
      </c>
      <c r="J72" s="21"/>
      <c r="K72" s="21"/>
      <c r="L72" s="21"/>
      <c r="M72" s="21"/>
      <c r="N72" s="30"/>
      <c r="O72" s="21"/>
      <c r="P72" s="21"/>
      <c r="Q72" s="21"/>
      <c r="R72" s="32"/>
      <c r="S72" s="32"/>
      <c r="T72" s="21" t="s">
        <v>2567</v>
      </c>
      <c r="U72" s="46" t="s">
        <v>28</v>
      </c>
      <c r="V72" s="46" t="s">
        <v>28</v>
      </c>
      <c r="W72" s="21" t="s">
        <v>36</v>
      </c>
      <c r="X72" s="21" t="s">
        <v>28</v>
      </c>
    </row>
    <row r="73" customFormat="false" ht="15.75" hidden="false" customHeight="false" outlineLevel="0" collapsed="false">
      <c r="A73" s="61" t="n">
        <v>6728</v>
      </c>
      <c r="B73" s="29" t="n">
        <v>44831</v>
      </c>
      <c r="C73" s="21" t="s">
        <v>616</v>
      </c>
      <c r="D73" s="21" t="s">
        <v>24</v>
      </c>
      <c r="E73" s="21" t="s">
        <v>34</v>
      </c>
      <c r="F73" s="21" t="s">
        <v>2750</v>
      </c>
      <c r="G73" s="30"/>
      <c r="H73" s="31"/>
      <c r="I73" s="21"/>
      <c r="J73" s="21"/>
      <c r="K73" s="21"/>
      <c r="L73" s="21"/>
      <c r="M73" s="21"/>
      <c r="N73" s="30"/>
      <c r="O73" s="21"/>
      <c r="P73" s="21"/>
      <c r="Q73" s="21"/>
      <c r="R73" s="32"/>
      <c r="S73" s="32"/>
      <c r="T73" s="21"/>
      <c r="U73" s="21"/>
      <c r="V73" s="21"/>
      <c r="W73" s="21"/>
      <c r="X73" s="21" t="s">
        <v>28</v>
      </c>
    </row>
    <row r="74" customFormat="false" ht="15.75" hidden="false" customHeight="false" outlineLevel="0" collapsed="false">
      <c r="A74" s="61" t="n">
        <v>6729</v>
      </c>
      <c r="B74" s="29" t="n">
        <v>44832</v>
      </c>
      <c r="C74" s="21" t="s">
        <v>2751</v>
      </c>
      <c r="D74" s="21" t="s">
        <v>24</v>
      </c>
      <c r="E74" s="21" t="s">
        <v>74</v>
      </c>
      <c r="F74" s="21" t="s">
        <v>2752</v>
      </c>
      <c r="G74" s="30"/>
      <c r="H74" s="45" t="str">
        <f aca="false">HYPERLINK("https://photos.app.goo.gl/vx2h2hGKr1yKHni58", "Completo")</f>
        <v>Completo</v>
      </c>
      <c r="I74" s="21" t="s">
        <v>28</v>
      </c>
      <c r="J74" s="21" t="n">
        <v>3513430050</v>
      </c>
      <c r="K74" s="21"/>
      <c r="L74" s="21"/>
      <c r="M74" s="21"/>
      <c r="N74" s="30"/>
      <c r="O74" s="21"/>
      <c r="P74" s="21"/>
      <c r="Q74" s="21"/>
      <c r="R74" s="32"/>
      <c r="S74" s="32"/>
      <c r="T74" s="21"/>
      <c r="U74" s="21"/>
      <c r="V74" s="21"/>
      <c r="W74" s="21"/>
      <c r="X74" s="21" t="s">
        <v>37</v>
      </c>
    </row>
    <row r="75" customFormat="false" ht="15.75" hidden="false" customHeight="false" outlineLevel="0" collapsed="false">
      <c r="A75" s="61" t="n">
        <v>6730</v>
      </c>
      <c r="B75" s="29" t="n">
        <v>44832</v>
      </c>
      <c r="C75" s="21" t="s">
        <v>2753</v>
      </c>
      <c r="D75" s="21" t="s">
        <v>24</v>
      </c>
      <c r="E75" s="21" t="s">
        <v>25</v>
      </c>
      <c r="F75" s="21" t="s">
        <v>2754</v>
      </c>
      <c r="G75" s="30"/>
      <c r="H75" s="45" t="str">
        <f aca="false">HYPERLINK("https://photos.app.goo.gl/FiK1HGCNeZk1DkE79", "Completo")</f>
        <v>Completo</v>
      </c>
      <c r="I75" s="21" t="s">
        <v>28</v>
      </c>
      <c r="J75" s="21"/>
      <c r="K75" s="21"/>
      <c r="L75" s="21"/>
      <c r="M75" s="21" t="s">
        <v>2755</v>
      </c>
      <c r="N75" s="30"/>
      <c r="O75" s="21"/>
      <c r="P75" s="21"/>
      <c r="Q75" s="21"/>
      <c r="R75" s="32"/>
      <c r="S75" s="32"/>
      <c r="T75" s="21"/>
      <c r="U75" s="21"/>
      <c r="V75" s="21"/>
      <c r="W75" s="21"/>
      <c r="X75" s="21" t="s">
        <v>28</v>
      </c>
    </row>
    <row r="76" customFormat="false" ht="15.75" hidden="false" customHeight="false" outlineLevel="0" collapsed="false">
      <c r="A76" s="61" t="n">
        <v>6731</v>
      </c>
      <c r="B76" s="29" t="n">
        <v>44832</v>
      </c>
      <c r="C76" s="21" t="s">
        <v>2753</v>
      </c>
      <c r="D76" s="21" t="s">
        <v>24</v>
      </c>
      <c r="E76" s="21" t="s">
        <v>25</v>
      </c>
      <c r="F76" s="21" t="s">
        <v>2756</v>
      </c>
      <c r="G76" s="30"/>
      <c r="H76" s="45" t="str">
        <f aca="false">HYPERLINK("https://photos.app.goo.gl/GeoHex9CoragBThd7", "Completo")</f>
        <v>Completo</v>
      </c>
      <c r="I76" s="21" t="s">
        <v>28</v>
      </c>
      <c r="J76" s="21"/>
      <c r="K76" s="21"/>
      <c r="L76" s="21"/>
      <c r="M76" s="21"/>
      <c r="N76" s="30"/>
      <c r="O76" s="21" t="s">
        <v>28</v>
      </c>
      <c r="P76" s="46" t="s">
        <v>28</v>
      </c>
      <c r="Q76" s="21" t="s">
        <v>2757</v>
      </c>
      <c r="R76" s="32" t="s">
        <v>2570</v>
      </c>
      <c r="S76" s="32" t="s">
        <v>36</v>
      </c>
      <c r="T76" s="21"/>
      <c r="U76" s="21"/>
      <c r="V76" s="21"/>
      <c r="W76" s="21"/>
      <c r="X76" s="21" t="s">
        <v>28</v>
      </c>
    </row>
    <row r="77" customFormat="false" ht="15.75" hidden="false" customHeight="false" outlineLevel="0" collapsed="false">
      <c r="A77" s="61" t="n">
        <v>6732</v>
      </c>
      <c r="B77" s="29" t="n">
        <v>44827</v>
      </c>
      <c r="C77" s="21" t="s">
        <v>389</v>
      </c>
      <c r="D77" s="21" t="s">
        <v>24</v>
      </c>
      <c r="E77" s="21" t="s">
        <v>25</v>
      </c>
      <c r="F77" s="21" t="s">
        <v>2758</v>
      </c>
      <c r="G77" s="30"/>
      <c r="H77" s="45" t="str">
        <f aca="false">HYPERLINK("https://photos.app.goo.gl/Jx7semaAb3EpWX6w5", "Completo")</f>
        <v>Completo</v>
      </c>
      <c r="I77" s="21" t="s">
        <v>28</v>
      </c>
      <c r="J77" s="21"/>
      <c r="K77" s="21"/>
      <c r="L77" s="21"/>
      <c r="M77" s="21"/>
      <c r="N77" s="30"/>
      <c r="O77" s="21"/>
      <c r="P77" s="21"/>
      <c r="Q77" s="21"/>
      <c r="R77" s="32"/>
      <c r="S77" s="32"/>
      <c r="T77" s="21"/>
      <c r="U77" s="21"/>
      <c r="V77" s="21"/>
      <c r="W77" s="21"/>
      <c r="X77" s="21" t="s">
        <v>37</v>
      </c>
    </row>
    <row r="78" customFormat="false" ht="15.75" hidden="false" customHeight="false" outlineLevel="0" collapsed="false">
      <c r="A78" s="61" t="n">
        <v>6733</v>
      </c>
      <c r="B78" s="29" t="n">
        <v>44832</v>
      </c>
      <c r="C78" s="21" t="s">
        <v>23</v>
      </c>
      <c r="D78" s="21" t="s">
        <v>24</v>
      </c>
      <c r="E78" s="21" t="s">
        <v>25</v>
      </c>
      <c r="F78" s="21" t="s">
        <v>1551</v>
      </c>
      <c r="G78" s="30"/>
      <c r="H78" s="45" t="str">
        <f aca="false">HYPERLINK("https://photos.app.goo.gl/f2RMgKEbKC76zQfF6", "Completo")</f>
        <v>Completo</v>
      </c>
      <c r="I78" s="21" t="s">
        <v>28</v>
      </c>
      <c r="J78" s="21"/>
      <c r="K78" s="21"/>
      <c r="L78" s="21"/>
      <c r="M78" s="21"/>
      <c r="N78" s="30"/>
      <c r="O78" s="21"/>
      <c r="P78" s="21"/>
      <c r="Q78" s="21"/>
      <c r="R78" s="32"/>
      <c r="S78" s="32"/>
      <c r="T78" s="21"/>
      <c r="U78" s="21"/>
      <c r="V78" s="21"/>
      <c r="W78" s="21"/>
      <c r="X78" s="21"/>
    </row>
    <row r="79" customFormat="false" ht="15.75" hidden="false" customHeight="false" outlineLevel="0" collapsed="false">
      <c r="A79" s="61" t="n">
        <v>6734</v>
      </c>
      <c r="B79" s="29" t="n">
        <v>44832</v>
      </c>
      <c r="C79" s="21" t="s">
        <v>893</v>
      </c>
      <c r="D79" s="21" t="s">
        <v>24</v>
      </c>
      <c r="E79" s="21" t="s">
        <v>34</v>
      </c>
      <c r="F79" s="21" t="s">
        <v>2759</v>
      </c>
      <c r="G79" s="30"/>
      <c r="H79" s="31"/>
      <c r="I79" s="21"/>
      <c r="J79" s="21"/>
      <c r="K79" s="21"/>
      <c r="L79" s="21"/>
      <c r="M79" s="21"/>
      <c r="N79" s="30"/>
      <c r="O79" s="21"/>
      <c r="P79" s="21"/>
      <c r="Q79" s="21"/>
      <c r="R79" s="32"/>
      <c r="S79" s="32"/>
      <c r="T79" s="21"/>
      <c r="U79" s="21"/>
      <c r="V79" s="21"/>
      <c r="W79" s="21"/>
      <c r="X79" s="21" t="s">
        <v>28</v>
      </c>
    </row>
    <row r="80" customFormat="false" ht="15.75" hidden="false" customHeight="false" outlineLevel="0" collapsed="false">
      <c r="A80" s="61" t="n">
        <v>6735</v>
      </c>
      <c r="B80" s="29" t="n">
        <v>44833</v>
      </c>
      <c r="C80" s="21" t="s">
        <v>1227</v>
      </c>
      <c r="D80" s="21" t="s">
        <v>24</v>
      </c>
      <c r="E80" s="21" t="s">
        <v>74</v>
      </c>
      <c r="F80" s="21" t="s">
        <v>2760</v>
      </c>
      <c r="G80" s="30"/>
      <c r="H80" s="45" t="str">
        <f aca="false">HYPERLINK("https://photos.app.goo.gl/8mtt2c75kzTUvxsQA", "Completo")</f>
        <v>Completo</v>
      </c>
      <c r="I80" s="21" t="s">
        <v>28</v>
      </c>
      <c r="J80" s="21"/>
      <c r="K80" s="21"/>
      <c r="L80" s="21"/>
      <c r="M80" s="21"/>
      <c r="N80" s="30"/>
      <c r="O80" s="21"/>
      <c r="P80" s="21"/>
      <c r="Q80" s="21"/>
      <c r="R80" s="32"/>
      <c r="S80" s="32"/>
      <c r="T80" s="21"/>
      <c r="U80" s="21"/>
      <c r="V80" s="21"/>
      <c r="W80" s="21"/>
      <c r="X80" s="21" t="s">
        <v>28</v>
      </c>
    </row>
    <row r="81" customFormat="false" ht="15.75" hidden="false" customHeight="false" outlineLevel="0" collapsed="false">
      <c r="A81" s="61" t="n">
        <v>6736</v>
      </c>
      <c r="B81" s="29" t="n">
        <v>44834</v>
      </c>
      <c r="C81" s="21" t="s">
        <v>2761</v>
      </c>
      <c r="D81" s="21" t="s">
        <v>24</v>
      </c>
      <c r="E81" s="21" t="s">
        <v>74</v>
      </c>
      <c r="F81" s="21" t="s">
        <v>2762</v>
      </c>
      <c r="G81" s="30"/>
      <c r="H81" s="45" t="str">
        <f aca="false">HYPERLINK("https://photos.app.goo.gl/nkuRyPPSTn1EgMxU8", "Completo")</f>
        <v>Completo</v>
      </c>
      <c r="I81" s="21" t="s">
        <v>28</v>
      </c>
      <c r="J81" s="21" t="n">
        <v>3834686298</v>
      </c>
      <c r="K81" s="21"/>
      <c r="L81" s="21"/>
      <c r="M81" s="21" t="s">
        <v>2763</v>
      </c>
      <c r="N81" s="30"/>
      <c r="O81" s="21"/>
      <c r="P81" s="21"/>
      <c r="Q81" s="21"/>
      <c r="R81" s="32"/>
      <c r="S81" s="32"/>
      <c r="T81" s="21"/>
      <c r="U81" s="21"/>
      <c r="V81" s="21"/>
      <c r="W81" s="21"/>
      <c r="X81" s="21" t="s">
        <v>37</v>
      </c>
    </row>
    <row r="82" customFormat="false" ht="15.75" hidden="false" customHeight="false" outlineLevel="0" collapsed="false">
      <c r="A82" s="61"/>
      <c r="B82" s="29"/>
      <c r="C82" s="21"/>
      <c r="D82" s="21"/>
      <c r="E82" s="21"/>
      <c r="F82" s="21"/>
      <c r="G82" s="30"/>
      <c r="H82" s="31"/>
      <c r="I82" s="21"/>
      <c r="J82" s="21"/>
      <c r="K82" s="21"/>
      <c r="L82" s="21"/>
      <c r="M82" s="21"/>
      <c r="N82" s="30"/>
      <c r="O82" s="21"/>
      <c r="P82" s="21"/>
      <c r="Q82" s="21"/>
      <c r="R82" s="32"/>
      <c r="S82" s="32"/>
      <c r="T82" s="21"/>
      <c r="U82" s="21"/>
      <c r="V82" s="21"/>
      <c r="W82" s="21"/>
      <c r="X82" s="21"/>
    </row>
    <row r="83" customFormat="false" ht="15.75" hidden="false" customHeight="false" outlineLevel="0" collapsed="false">
      <c r="A83" s="61"/>
      <c r="B83" s="29"/>
      <c r="C83" s="21"/>
      <c r="D83" s="21"/>
      <c r="E83" s="21"/>
      <c r="F83" s="21"/>
      <c r="G83" s="30"/>
      <c r="H83" s="31"/>
      <c r="I83" s="21"/>
      <c r="J83" s="21"/>
      <c r="K83" s="21"/>
      <c r="L83" s="21"/>
      <c r="M83" s="21"/>
      <c r="N83" s="30"/>
      <c r="O83" s="21"/>
      <c r="P83" s="21"/>
      <c r="Q83" s="21"/>
      <c r="R83" s="32"/>
      <c r="S83" s="32"/>
      <c r="T83" s="21"/>
      <c r="U83" s="21"/>
      <c r="V83" s="21"/>
      <c r="W83" s="21"/>
      <c r="X83" s="21"/>
    </row>
    <row r="84" customFormat="false" ht="15.75" hidden="false" customHeight="false" outlineLevel="0" collapsed="false">
      <c r="A84" s="61"/>
      <c r="B84" s="29"/>
      <c r="C84" s="21"/>
      <c r="D84" s="21"/>
      <c r="E84" s="21"/>
      <c r="F84" s="21"/>
      <c r="G84" s="30"/>
      <c r="H84" s="31"/>
      <c r="I84" s="21"/>
      <c r="J84" s="21"/>
      <c r="K84" s="21"/>
      <c r="L84" s="21"/>
      <c r="M84" s="21"/>
      <c r="N84" s="30"/>
      <c r="O84" s="21"/>
      <c r="P84" s="21"/>
      <c r="Q84" s="21"/>
      <c r="R84" s="32"/>
      <c r="S84" s="32"/>
      <c r="T84" s="21"/>
      <c r="U84" s="21"/>
      <c r="V84" s="21"/>
      <c r="W84" s="21"/>
      <c r="X84" s="21"/>
    </row>
    <row r="85" customFormat="false" ht="15.75" hidden="false" customHeight="false" outlineLevel="0" collapsed="false">
      <c r="A85" s="61"/>
      <c r="B85" s="29"/>
      <c r="C85" s="21"/>
      <c r="D85" s="21"/>
      <c r="E85" s="21"/>
      <c r="F85" s="21"/>
      <c r="G85" s="30"/>
      <c r="H85" s="31"/>
      <c r="I85" s="21"/>
      <c r="J85" s="21"/>
      <c r="K85" s="21"/>
      <c r="L85" s="21"/>
      <c r="M85" s="21"/>
      <c r="N85" s="30"/>
      <c r="O85" s="21"/>
      <c r="P85" s="21"/>
      <c r="Q85" s="21"/>
      <c r="R85" s="32"/>
      <c r="S85" s="32"/>
      <c r="T85" s="21"/>
      <c r="U85" s="21"/>
      <c r="V85" s="21"/>
      <c r="W85" s="21"/>
      <c r="X85" s="21"/>
    </row>
    <row r="86" customFormat="false" ht="15.75" hidden="false" customHeight="false" outlineLevel="0" collapsed="false">
      <c r="A86" s="61"/>
      <c r="B86" s="29"/>
      <c r="C86" s="21"/>
      <c r="D86" s="21"/>
      <c r="E86" s="21"/>
      <c r="F86" s="21"/>
      <c r="G86" s="30"/>
      <c r="H86" s="31"/>
      <c r="I86" s="21"/>
      <c r="J86" s="21"/>
      <c r="K86" s="21"/>
      <c r="L86" s="21"/>
      <c r="M86" s="21"/>
      <c r="N86" s="30"/>
      <c r="O86" s="21"/>
      <c r="P86" s="21"/>
      <c r="Q86" s="21"/>
      <c r="R86" s="32"/>
      <c r="S86" s="32"/>
      <c r="T86" s="21"/>
      <c r="U86" s="21"/>
      <c r="V86" s="21"/>
      <c r="W86" s="21"/>
      <c r="X86" s="21"/>
    </row>
    <row r="87" customFormat="false" ht="15.75" hidden="false" customHeight="false" outlineLevel="0" collapsed="false">
      <c r="A87" s="61"/>
      <c r="B87" s="29"/>
      <c r="C87" s="21"/>
      <c r="D87" s="21"/>
      <c r="E87" s="21"/>
      <c r="F87" s="21"/>
      <c r="G87" s="30"/>
      <c r="H87" s="31"/>
      <c r="I87" s="21"/>
      <c r="J87" s="21"/>
      <c r="K87" s="21"/>
      <c r="L87" s="21"/>
      <c r="M87" s="21"/>
      <c r="N87" s="30"/>
      <c r="O87" s="21"/>
      <c r="P87" s="21"/>
      <c r="Q87" s="21"/>
      <c r="R87" s="32"/>
      <c r="S87" s="32"/>
      <c r="T87" s="21"/>
      <c r="U87" s="21"/>
      <c r="V87" s="21"/>
      <c r="W87" s="21"/>
      <c r="X87" s="21"/>
    </row>
    <row r="88" customFormat="false" ht="15.75" hidden="false" customHeight="false" outlineLevel="0" collapsed="false">
      <c r="A88" s="61"/>
      <c r="B88" s="29"/>
      <c r="C88" s="21"/>
      <c r="D88" s="21"/>
      <c r="E88" s="21"/>
      <c r="F88" s="21"/>
      <c r="G88" s="30"/>
      <c r="H88" s="31"/>
      <c r="I88" s="21"/>
      <c r="J88" s="21"/>
      <c r="K88" s="21"/>
      <c r="L88" s="21"/>
      <c r="M88" s="21"/>
      <c r="N88" s="30"/>
      <c r="O88" s="21"/>
      <c r="P88" s="21"/>
      <c r="Q88" s="21"/>
      <c r="R88" s="32"/>
      <c r="S88" s="32"/>
      <c r="T88" s="21"/>
      <c r="U88" s="21"/>
      <c r="V88" s="21"/>
      <c r="W88" s="21"/>
      <c r="X88" s="21"/>
    </row>
    <row r="89" customFormat="false" ht="15.75" hidden="false" customHeight="false" outlineLevel="0" collapsed="false">
      <c r="A89" s="61"/>
      <c r="B89" s="29"/>
      <c r="C89" s="21"/>
      <c r="D89" s="21"/>
      <c r="E89" s="21"/>
      <c r="F89" s="21"/>
      <c r="G89" s="30"/>
      <c r="H89" s="31"/>
      <c r="I89" s="21"/>
      <c r="J89" s="21"/>
      <c r="K89" s="21"/>
      <c r="L89" s="21"/>
      <c r="M89" s="21"/>
      <c r="N89" s="30"/>
      <c r="O89" s="21"/>
      <c r="P89" s="21"/>
      <c r="Q89" s="21"/>
      <c r="R89" s="32"/>
      <c r="S89" s="32"/>
      <c r="T89" s="21"/>
      <c r="U89" s="21"/>
      <c r="V89" s="21"/>
      <c r="W89" s="21"/>
      <c r="X89" s="21"/>
    </row>
    <row r="90" customFormat="false" ht="15.75" hidden="false" customHeight="false" outlineLevel="0" collapsed="false">
      <c r="A90" s="61"/>
      <c r="B90" s="29"/>
      <c r="C90" s="21"/>
      <c r="D90" s="21"/>
      <c r="E90" s="21"/>
      <c r="F90" s="21"/>
      <c r="G90" s="30"/>
      <c r="H90" s="31"/>
      <c r="I90" s="21"/>
      <c r="J90" s="21"/>
      <c r="K90" s="21"/>
      <c r="L90" s="21"/>
      <c r="M90" s="21"/>
      <c r="N90" s="30"/>
      <c r="O90" s="21"/>
      <c r="P90" s="21"/>
      <c r="Q90" s="21"/>
      <c r="R90" s="32"/>
      <c r="S90" s="32"/>
      <c r="T90" s="21"/>
      <c r="U90" s="21"/>
      <c r="V90" s="21"/>
      <c r="W90" s="21"/>
      <c r="X90" s="21"/>
    </row>
    <row r="91" customFormat="false" ht="15.75" hidden="false" customHeight="false" outlineLevel="0" collapsed="false">
      <c r="A91" s="61"/>
      <c r="B91" s="29"/>
      <c r="C91" s="21"/>
      <c r="D91" s="21"/>
      <c r="E91" s="21"/>
      <c r="F91" s="21"/>
      <c r="G91" s="30"/>
      <c r="H91" s="31"/>
      <c r="I91" s="21"/>
      <c r="J91" s="21"/>
      <c r="K91" s="21"/>
      <c r="L91" s="21"/>
      <c r="M91" s="21"/>
      <c r="N91" s="30"/>
      <c r="O91" s="21"/>
      <c r="P91" s="21"/>
      <c r="Q91" s="21"/>
      <c r="R91" s="32"/>
      <c r="S91" s="32"/>
      <c r="T91" s="21"/>
      <c r="U91" s="21"/>
      <c r="V91" s="21"/>
      <c r="W91" s="21"/>
      <c r="X91" s="21"/>
    </row>
    <row r="92" customFormat="false" ht="15.75" hidden="false" customHeight="false" outlineLevel="0" collapsed="false">
      <c r="A92" s="61"/>
      <c r="B92" s="29"/>
      <c r="C92" s="21"/>
      <c r="D92" s="21"/>
      <c r="E92" s="21"/>
      <c r="F92" s="21"/>
      <c r="G92" s="30"/>
      <c r="H92" s="31"/>
      <c r="I92" s="21"/>
      <c r="J92" s="21"/>
      <c r="K92" s="21"/>
      <c r="L92" s="21"/>
      <c r="M92" s="21"/>
      <c r="N92" s="30"/>
      <c r="O92" s="21"/>
      <c r="P92" s="21"/>
      <c r="Q92" s="21"/>
      <c r="R92" s="32"/>
      <c r="S92" s="32"/>
      <c r="T92" s="21"/>
      <c r="U92" s="21"/>
      <c r="V92" s="21"/>
      <c r="W92" s="21"/>
      <c r="X92" s="21"/>
    </row>
    <row r="93" customFormat="false" ht="15.75" hidden="false" customHeight="false" outlineLevel="0" collapsed="false">
      <c r="A93" s="61"/>
      <c r="B93" s="29"/>
      <c r="C93" s="21"/>
      <c r="D93" s="21"/>
      <c r="E93" s="21"/>
      <c r="F93" s="21"/>
      <c r="G93" s="30"/>
      <c r="H93" s="31"/>
      <c r="I93" s="21"/>
      <c r="J93" s="21"/>
      <c r="K93" s="21"/>
      <c r="L93" s="21"/>
      <c r="M93" s="21"/>
      <c r="N93" s="30"/>
      <c r="O93" s="21"/>
      <c r="P93" s="21"/>
      <c r="Q93" s="21"/>
      <c r="R93" s="32"/>
      <c r="S93" s="32"/>
      <c r="T93" s="21"/>
      <c r="U93" s="21"/>
      <c r="V93" s="21"/>
      <c r="W93" s="21"/>
      <c r="X93" s="21"/>
    </row>
    <row r="94" customFormat="false" ht="15.75" hidden="false" customHeight="false" outlineLevel="0" collapsed="false">
      <c r="A94" s="61"/>
      <c r="B94" s="29"/>
      <c r="C94" s="21"/>
      <c r="D94" s="21"/>
      <c r="E94" s="21"/>
      <c r="F94" s="21"/>
      <c r="G94" s="30"/>
      <c r="H94" s="31"/>
      <c r="I94" s="21"/>
      <c r="J94" s="21"/>
      <c r="K94" s="21"/>
      <c r="L94" s="21"/>
      <c r="M94" s="21"/>
      <c r="N94" s="30"/>
      <c r="O94" s="21"/>
      <c r="P94" s="21"/>
      <c r="Q94" s="21"/>
      <c r="R94" s="32"/>
      <c r="S94" s="32"/>
      <c r="T94" s="21"/>
      <c r="U94" s="21"/>
      <c r="V94" s="21"/>
      <c r="W94" s="21"/>
      <c r="X94" s="21"/>
    </row>
    <row r="95" customFormat="false" ht="15.75" hidden="false" customHeight="false" outlineLevel="0" collapsed="false">
      <c r="A95" s="61"/>
      <c r="B95" s="29"/>
      <c r="C95" s="21"/>
      <c r="D95" s="21"/>
      <c r="E95" s="21"/>
      <c r="F95" s="21"/>
      <c r="G95" s="30"/>
      <c r="H95" s="31"/>
      <c r="I95" s="21"/>
      <c r="J95" s="21"/>
      <c r="K95" s="21"/>
      <c r="L95" s="21"/>
      <c r="M95" s="21"/>
      <c r="N95" s="30"/>
      <c r="O95" s="21"/>
      <c r="P95" s="21"/>
      <c r="Q95" s="21"/>
      <c r="R95" s="32"/>
      <c r="S95" s="32"/>
      <c r="T95" s="21"/>
      <c r="U95" s="21"/>
      <c r="V95" s="21"/>
      <c r="W95" s="21"/>
      <c r="X95" s="21"/>
    </row>
    <row r="96" customFormat="false" ht="15.75" hidden="false" customHeight="false" outlineLevel="0" collapsed="false">
      <c r="A96" s="61"/>
      <c r="B96" s="29"/>
      <c r="C96" s="21"/>
      <c r="D96" s="21"/>
      <c r="E96" s="21"/>
      <c r="F96" s="21"/>
      <c r="G96" s="30"/>
      <c r="H96" s="31"/>
      <c r="I96" s="21"/>
      <c r="J96" s="21"/>
      <c r="K96" s="21"/>
      <c r="L96" s="21"/>
      <c r="M96" s="21"/>
      <c r="N96" s="30"/>
      <c r="O96" s="21"/>
      <c r="P96" s="21"/>
      <c r="Q96" s="21"/>
      <c r="R96" s="32"/>
      <c r="S96" s="32"/>
      <c r="T96" s="21"/>
      <c r="U96" s="21"/>
      <c r="V96" s="21"/>
      <c r="W96" s="21"/>
      <c r="X96" s="21"/>
    </row>
    <row r="97" customFormat="false" ht="15.75" hidden="false" customHeight="false" outlineLevel="0" collapsed="false">
      <c r="A97" s="61"/>
      <c r="B97" s="29"/>
      <c r="C97" s="21"/>
      <c r="D97" s="21"/>
      <c r="E97" s="21"/>
      <c r="F97" s="21"/>
      <c r="G97" s="30"/>
      <c r="H97" s="31"/>
      <c r="I97" s="21"/>
      <c r="J97" s="21"/>
      <c r="K97" s="21"/>
      <c r="L97" s="21"/>
      <c r="M97" s="21"/>
      <c r="N97" s="30"/>
      <c r="O97" s="21"/>
      <c r="P97" s="21"/>
      <c r="Q97" s="21"/>
      <c r="R97" s="32"/>
      <c r="S97" s="32"/>
      <c r="T97" s="21"/>
      <c r="U97" s="21"/>
      <c r="V97" s="21"/>
      <c r="W97" s="21"/>
      <c r="X97" s="21"/>
    </row>
    <row r="98" customFormat="false" ht="15.75" hidden="false" customHeight="false" outlineLevel="0" collapsed="false">
      <c r="A98" s="61"/>
      <c r="B98" s="29"/>
      <c r="C98" s="21"/>
      <c r="D98" s="21"/>
      <c r="E98" s="21"/>
      <c r="F98" s="21"/>
      <c r="G98" s="30"/>
      <c r="H98" s="31"/>
      <c r="I98" s="21"/>
      <c r="J98" s="21"/>
      <c r="K98" s="21"/>
      <c r="L98" s="21"/>
      <c r="M98" s="21"/>
      <c r="N98" s="30"/>
      <c r="O98" s="21"/>
      <c r="P98" s="21"/>
      <c r="Q98" s="21"/>
      <c r="R98" s="32"/>
      <c r="S98" s="32"/>
      <c r="T98" s="21"/>
      <c r="U98" s="21"/>
      <c r="V98" s="21"/>
      <c r="W98" s="21"/>
      <c r="X98" s="21"/>
    </row>
    <row r="99" customFormat="false" ht="15.75" hidden="false" customHeight="false" outlineLevel="0" collapsed="false">
      <c r="A99" s="61"/>
      <c r="B99" s="29"/>
      <c r="C99" s="21"/>
      <c r="D99" s="21"/>
      <c r="E99" s="21"/>
      <c r="F99" s="21"/>
      <c r="G99" s="30"/>
      <c r="H99" s="31"/>
      <c r="I99" s="21"/>
      <c r="J99" s="21"/>
      <c r="K99" s="21"/>
      <c r="L99" s="21"/>
      <c r="M99" s="21"/>
      <c r="N99" s="30"/>
      <c r="O99" s="21"/>
      <c r="P99" s="21"/>
      <c r="Q99" s="21"/>
      <c r="R99" s="32"/>
      <c r="S99" s="32"/>
      <c r="T99" s="21"/>
      <c r="U99" s="21"/>
      <c r="V99" s="21"/>
      <c r="W99" s="21"/>
      <c r="X99" s="21"/>
    </row>
    <row r="100" customFormat="false" ht="15.75" hidden="false" customHeight="false" outlineLevel="0" collapsed="false">
      <c r="A100" s="61"/>
      <c r="B100" s="29"/>
      <c r="C100" s="21"/>
      <c r="D100" s="21"/>
      <c r="E100" s="21"/>
      <c r="F100" s="21"/>
      <c r="G100" s="30"/>
      <c r="H100" s="31"/>
      <c r="I100" s="21"/>
      <c r="J100" s="21"/>
      <c r="K100" s="21"/>
      <c r="L100" s="21"/>
      <c r="M100" s="21"/>
      <c r="N100" s="30"/>
      <c r="O100" s="21"/>
      <c r="P100" s="21"/>
      <c r="Q100" s="21"/>
      <c r="R100" s="32"/>
      <c r="S100" s="32"/>
      <c r="T100" s="21"/>
      <c r="U100" s="21"/>
      <c r="V100" s="21"/>
      <c r="W100" s="21"/>
      <c r="X100" s="21"/>
    </row>
    <row r="101" customFormat="false" ht="15.75" hidden="false" customHeight="false" outlineLevel="0" collapsed="false">
      <c r="A101" s="61"/>
      <c r="B101" s="29"/>
      <c r="C101" s="21"/>
      <c r="D101" s="21"/>
      <c r="E101" s="21"/>
      <c r="F101" s="21"/>
      <c r="G101" s="30"/>
      <c r="H101" s="31"/>
      <c r="I101" s="21"/>
      <c r="J101" s="21"/>
      <c r="K101" s="21"/>
      <c r="L101" s="21"/>
      <c r="M101" s="21"/>
      <c r="N101" s="30"/>
      <c r="O101" s="21"/>
      <c r="P101" s="21"/>
      <c r="Q101" s="21"/>
      <c r="R101" s="32"/>
      <c r="S101" s="32"/>
      <c r="T101" s="21"/>
      <c r="U101" s="21"/>
      <c r="V101" s="21"/>
      <c r="W101" s="21"/>
      <c r="X101" s="21"/>
    </row>
    <row r="102" customFormat="false" ht="15.75" hidden="false" customHeight="false" outlineLevel="0" collapsed="false">
      <c r="A102" s="61"/>
      <c r="B102" s="29"/>
      <c r="C102" s="21"/>
      <c r="D102" s="21"/>
      <c r="E102" s="21"/>
      <c r="F102" s="21"/>
      <c r="G102" s="30"/>
      <c r="H102" s="31"/>
      <c r="I102" s="21"/>
      <c r="J102" s="21"/>
      <c r="K102" s="21"/>
      <c r="L102" s="21"/>
      <c r="M102" s="21"/>
      <c r="N102" s="30"/>
      <c r="O102" s="21"/>
      <c r="P102" s="21"/>
      <c r="Q102" s="21"/>
      <c r="R102" s="32"/>
      <c r="S102" s="32"/>
      <c r="T102" s="21"/>
      <c r="U102" s="21"/>
      <c r="V102" s="21"/>
      <c r="W102" s="21"/>
      <c r="X102" s="21"/>
    </row>
    <row r="103" customFormat="false" ht="15.75" hidden="false" customHeight="false" outlineLevel="0" collapsed="false">
      <c r="A103" s="61"/>
      <c r="B103" s="29"/>
      <c r="C103" s="21"/>
      <c r="D103" s="21"/>
      <c r="E103" s="21"/>
      <c r="F103" s="21"/>
      <c r="G103" s="30"/>
      <c r="H103" s="31"/>
      <c r="I103" s="21"/>
      <c r="J103" s="21"/>
      <c r="K103" s="21"/>
      <c r="L103" s="21"/>
      <c r="M103" s="21"/>
      <c r="N103" s="30"/>
      <c r="O103" s="21"/>
      <c r="P103" s="21"/>
      <c r="Q103" s="21"/>
      <c r="R103" s="32"/>
      <c r="S103" s="32"/>
      <c r="T103" s="21"/>
      <c r="U103" s="21"/>
      <c r="V103" s="21"/>
      <c r="W103" s="21"/>
      <c r="X103" s="21"/>
    </row>
    <row r="104" customFormat="false" ht="15.75" hidden="false" customHeight="false" outlineLevel="0" collapsed="false">
      <c r="A104" s="61"/>
      <c r="B104" s="29"/>
      <c r="C104" s="21"/>
      <c r="D104" s="21"/>
      <c r="E104" s="21"/>
      <c r="F104" s="21"/>
      <c r="G104" s="30"/>
      <c r="H104" s="31"/>
      <c r="I104" s="21"/>
      <c r="J104" s="21"/>
      <c r="K104" s="21"/>
      <c r="L104" s="21"/>
      <c r="M104" s="21"/>
      <c r="N104" s="30"/>
      <c r="O104" s="21"/>
      <c r="P104" s="21"/>
      <c r="Q104" s="21"/>
      <c r="R104" s="32"/>
      <c r="S104" s="32"/>
      <c r="T104" s="21"/>
      <c r="U104" s="21"/>
      <c r="V104" s="21"/>
      <c r="W104" s="21"/>
      <c r="X104" s="21"/>
    </row>
    <row r="105" customFormat="false" ht="15.75" hidden="false" customHeight="false" outlineLevel="0" collapsed="false">
      <c r="A105" s="61"/>
      <c r="B105" s="29"/>
      <c r="C105" s="21"/>
      <c r="D105" s="21"/>
      <c r="E105" s="21"/>
      <c r="F105" s="21"/>
      <c r="G105" s="30"/>
      <c r="H105" s="31"/>
      <c r="I105" s="21"/>
      <c r="J105" s="21"/>
      <c r="K105" s="21"/>
      <c r="L105" s="21"/>
      <c r="M105" s="21"/>
      <c r="N105" s="30"/>
      <c r="O105" s="21"/>
      <c r="P105" s="21"/>
      <c r="Q105" s="21"/>
      <c r="R105" s="32"/>
      <c r="S105" s="32"/>
      <c r="T105" s="21"/>
      <c r="U105" s="21"/>
      <c r="V105" s="21"/>
      <c r="W105" s="21"/>
      <c r="X105" s="21"/>
    </row>
    <row r="106" customFormat="false" ht="15.75" hidden="false" customHeight="false" outlineLevel="0" collapsed="false">
      <c r="A106" s="61"/>
      <c r="B106" s="29"/>
      <c r="C106" s="21"/>
      <c r="D106" s="21"/>
      <c r="E106" s="21"/>
      <c r="F106" s="21"/>
      <c r="G106" s="30"/>
      <c r="H106" s="31"/>
      <c r="I106" s="21"/>
      <c r="J106" s="21"/>
      <c r="K106" s="21"/>
      <c r="L106" s="21"/>
      <c r="M106" s="21"/>
      <c r="N106" s="30"/>
      <c r="O106" s="21"/>
      <c r="P106" s="21"/>
      <c r="Q106" s="21"/>
      <c r="R106" s="32"/>
      <c r="S106" s="32"/>
      <c r="T106" s="21"/>
      <c r="U106" s="21"/>
      <c r="V106" s="21"/>
      <c r="W106" s="21"/>
      <c r="X106" s="21"/>
    </row>
    <row r="107" customFormat="false" ht="15.75" hidden="false" customHeight="false" outlineLevel="0" collapsed="false">
      <c r="A107" s="61"/>
      <c r="B107" s="29"/>
      <c r="C107" s="21"/>
      <c r="D107" s="21"/>
      <c r="E107" s="21"/>
      <c r="F107" s="21"/>
      <c r="G107" s="30"/>
      <c r="H107" s="31"/>
      <c r="I107" s="21"/>
      <c r="J107" s="21"/>
      <c r="K107" s="21"/>
      <c r="L107" s="21"/>
      <c r="M107" s="21"/>
      <c r="N107" s="30"/>
      <c r="O107" s="21"/>
      <c r="P107" s="21"/>
      <c r="Q107" s="21"/>
      <c r="R107" s="32"/>
      <c r="S107" s="32"/>
      <c r="T107" s="21"/>
      <c r="U107" s="21"/>
      <c r="V107" s="21"/>
      <c r="W107" s="21"/>
      <c r="X107" s="21"/>
    </row>
    <row r="108" customFormat="false" ht="15.75" hidden="false" customHeight="false" outlineLevel="0" collapsed="false">
      <c r="A108" s="61"/>
      <c r="B108" s="29"/>
      <c r="C108" s="21"/>
      <c r="D108" s="21"/>
      <c r="E108" s="21"/>
      <c r="F108" s="21"/>
      <c r="G108" s="30"/>
      <c r="H108" s="31"/>
      <c r="I108" s="21"/>
      <c r="J108" s="21"/>
      <c r="K108" s="21"/>
      <c r="L108" s="21"/>
      <c r="M108" s="21"/>
      <c r="N108" s="30"/>
      <c r="O108" s="21"/>
      <c r="P108" s="21"/>
      <c r="Q108" s="21"/>
      <c r="R108" s="32"/>
      <c r="S108" s="32"/>
      <c r="T108" s="21"/>
      <c r="U108" s="21"/>
      <c r="V108" s="21"/>
      <c r="W108" s="21"/>
      <c r="X108" s="21"/>
    </row>
    <row r="109" customFormat="false" ht="15.75" hidden="false" customHeight="false" outlineLevel="0" collapsed="false">
      <c r="A109" s="61"/>
      <c r="B109" s="29"/>
      <c r="C109" s="21"/>
      <c r="D109" s="21"/>
      <c r="E109" s="21"/>
      <c r="F109" s="21"/>
      <c r="G109" s="30"/>
      <c r="H109" s="31"/>
      <c r="I109" s="21"/>
      <c r="J109" s="21"/>
      <c r="K109" s="21"/>
      <c r="L109" s="21"/>
      <c r="M109" s="21"/>
      <c r="N109" s="30"/>
      <c r="O109" s="21"/>
      <c r="P109" s="21"/>
      <c r="Q109" s="21"/>
      <c r="R109" s="32"/>
      <c r="S109" s="32"/>
      <c r="T109" s="21"/>
      <c r="U109" s="21"/>
      <c r="V109" s="21"/>
      <c r="W109" s="21"/>
      <c r="X109" s="21"/>
    </row>
    <row r="110" customFormat="false" ht="15.75" hidden="false" customHeight="false" outlineLevel="0" collapsed="false">
      <c r="A110" s="61"/>
      <c r="B110" s="29"/>
      <c r="C110" s="21"/>
      <c r="D110" s="21"/>
      <c r="E110" s="21"/>
      <c r="F110" s="21"/>
      <c r="G110" s="30"/>
      <c r="H110" s="31"/>
      <c r="I110" s="21"/>
      <c r="J110" s="21"/>
      <c r="K110" s="21"/>
      <c r="L110" s="21"/>
      <c r="M110" s="21"/>
      <c r="N110" s="30"/>
      <c r="O110" s="21"/>
      <c r="P110" s="21"/>
      <c r="Q110" s="21"/>
      <c r="R110" s="32"/>
      <c r="S110" s="32"/>
      <c r="T110" s="21"/>
      <c r="U110" s="21"/>
      <c r="V110" s="21"/>
      <c r="W110" s="21"/>
      <c r="X110" s="21"/>
    </row>
    <row r="111" customFormat="false" ht="15.75" hidden="false" customHeight="false" outlineLevel="0" collapsed="false">
      <c r="A111" s="61"/>
      <c r="B111" s="29"/>
      <c r="C111" s="21"/>
      <c r="D111" s="21"/>
      <c r="E111" s="21"/>
      <c r="F111" s="21"/>
      <c r="G111" s="30"/>
      <c r="H111" s="31"/>
      <c r="I111" s="21"/>
      <c r="J111" s="21"/>
      <c r="K111" s="21"/>
      <c r="L111" s="21"/>
      <c r="M111" s="21"/>
      <c r="N111" s="30"/>
      <c r="O111" s="21"/>
      <c r="P111" s="21"/>
      <c r="Q111" s="21"/>
      <c r="R111" s="32"/>
      <c r="S111" s="32"/>
      <c r="T111" s="21"/>
      <c r="U111" s="21"/>
      <c r="V111" s="21"/>
      <c r="W111" s="21"/>
      <c r="X111" s="21"/>
    </row>
    <row r="112" customFormat="false" ht="15.75" hidden="false" customHeight="false" outlineLevel="0" collapsed="false">
      <c r="A112" s="61"/>
      <c r="B112" s="29"/>
      <c r="C112" s="21"/>
      <c r="D112" s="21"/>
      <c r="E112" s="21"/>
      <c r="F112" s="21"/>
      <c r="G112" s="30"/>
      <c r="H112" s="31"/>
      <c r="I112" s="21"/>
      <c r="J112" s="21"/>
      <c r="K112" s="21"/>
      <c r="L112" s="21"/>
      <c r="M112" s="21"/>
      <c r="N112" s="30"/>
      <c r="O112" s="21"/>
      <c r="P112" s="21"/>
      <c r="Q112" s="21"/>
      <c r="R112" s="32"/>
      <c r="S112" s="32"/>
      <c r="T112" s="21"/>
      <c r="U112" s="21"/>
      <c r="V112" s="21"/>
      <c r="W112" s="21"/>
      <c r="X112" s="21"/>
    </row>
    <row r="113" customFormat="false" ht="15.75" hidden="false" customHeight="false" outlineLevel="0" collapsed="false">
      <c r="A113" s="61"/>
      <c r="B113" s="29"/>
      <c r="C113" s="21"/>
      <c r="D113" s="21"/>
      <c r="E113" s="21"/>
      <c r="F113" s="21"/>
      <c r="G113" s="30"/>
      <c r="H113" s="31"/>
      <c r="I113" s="21"/>
      <c r="J113" s="21"/>
      <c r="K113" s="21"/>
      <c r="L113" s="21"/>
      <c r="M113" s="21"/>
      <c r="N113" s="30"/>
      <c r="O113" s="21"/>
      <c r="P113" s="21"/>
      <c r="Q113" s="21"/>
      <c r="R113" s="32"/>
      <c r="S113" s="32"/>
      <c r="T113" s="21"/>
      <c r="U113" s="21"/>
      <c r="V113" s="21"/>
      <c r="W113" s="21"/>
      <c r="X113" s="21"/>
    </row>
    <row r="114" customFormat="false" ht="15.75" hidden="false" customHeight="false" outlineLevel="0" collapsed="false">
      <c r="A114" s="61"/>
      <c r="B114" s="29"/>
      <c r="C114" s="21"/>
      <c r="D114" s="21"/>
      <c r="E114" s="21"/>
      <c r="F114" s="21"/>
      <c r="G114" s="30"/>
      <c r="H114" s="31"/>
      <c r="I114" s="21"/>
      <c r="J114" s="21"/>
      <c r="K114" s="21"/>
      <c r="L114" s="21"/>
      <c r="M114" s="21"/>
      <c r="N114" s="30"/>
      <c r="O114" s="21"/>
      <c r="P114" s="21"/>
      <c r="Q114" s="21"/>
      <c r="R114" s="32"/>
      <c r="S114" s="32"/>
      <c r="T114" s="21"/>
      <c r="U114" s="21"/>
      <c r="V114" s="21"/>
      <c r="W114" s="21"/>
      <c r="X114" s="21"/>
    </row>
    <row r="115" customFormat="false" ht="15.75" hidden="false" customHeight="false" outlineLevel="0" collapsed="false">
      <c r="A115" s="61"/>
      <c r="B115" s="29"/>
      <c r="C115" s="21"/>
      <c r="D115" s="21"/>
      <c r="E115" s="21"/>
      <c r="F115" s="21"/>
      <c r="G115" s="30"/>
      <c r="H115" s="31"/>
      <c r="I115" s="21"/>
      <c r="J115" s="21"/>
      <c r="K115" s="21"/>
      <c r="L115" s="21"/>
      <c r="M115" s="21"/>
      <c r="N115" s="30"/>
      <c r="O115" s="21"/>
      <c r="P115" s="21"/>
      <c r="Q115" s="21"/>
      <c r="R115" s="32"/>
      <c r="S115" s="32"/>
      <c r="T115" s="21"/>
      <c r="U115" s="21"/>
      <c r="V115" s="21"/>
      <c r="W115" s="21"/>
      <c r="X115" s="21"/>
    </row>
    <row r="116" customFormat="false" ht="15.75" hidden="false" customHeight="false" outlineLevel="0" collapsed="false">
      <c r="A116" s="61"/>
      <c r="B116" s="29"/>
      <c r="C116" s="21"/>
      <c r="D116" s="21"/>
      <c r="E116" s="21"/>
      <c r="F116" s="21"/>
      <c r="G116" s="30"/>
      <c r="H116" s="31"/>
      <c r="I116" s="21"/>
      <c r="J116" s="21"/>
      <c r="K116" s="21"/>
      <c r="L116" s="21"/>
      <c r="M116" s="21"/>
      <c r="N116" s="30"/>
      <c r="O116" s="21"/>
      <c r="P116" s="21"/>
      <c r="Q116" s="21"/>
      <c r="R116" s="32"/>
      <c r="S116" s="32"/>
      <c r="T116" s="21"/>
      <c r="U116" s="21"/>
      <c r="V116" s="21"/>
      <c r="W116" s="21"/>
      <c r="X116" s="21"/>
    </row>
    <row r="117" customFormat="false" ht="15.75" hidden="false" customHeight="false" outlineLevel="0" collapsed="false">
      <c r="A117" s="61"/>
      <c r="B117" s="29"/>
      <c r="C117" s="21"/>
      <c r="D117" s="21"/>
      <c r="E117" s="21"/>
      <c r="F117" s="21"/>
      <c r="G117" s="30"/>
      <c r="H117" s="31"/>
      <c r="I117" s="21"/>
      <c r="J117" s="21"/>
      <c r="K117" s="21"/>
      <c r="L117" s="21"/>
      <c r="M117" s="21"/>
      <c r="N117" s="30"/>
      <c r="O117" s="21"/>
      <c r="P117" s="21"/>
      <c r="Q117" s="21"/>
      <c r="R117" s="32"/>
      <c r="S117" s="32"/>
      <c r="T117" s="21"/>
      <c r="U117" s="21"/>
      <c r="V117" s="21"/>
      <c r="W117" s="21"/>
      <c r="X117" s="21"/>
    </row>
    <row r="118" customFormat="false" ht="15.75" hidden="false" customHeight="false" outlineLevel="0" collapsed="false">
      <c r="A118" s="12"/>
      <c r="B118" s="34"/>
      <c r="C118" s="12"/>
      <c r="D118" s="12"/>
      <c r="E118" s="12"/>
      <c r="F118" s="12"/>
      <c r="G118" s="18"/>
      <c r="H118" s="35"/>
      <c r="I118" s="12"/>
      <c r="N118" s="18"/>
      <c r="O118" s="12"/>
      <c r="P118" s="12"/>
      <c r="R118" s="36"/>
      <c r="S118" s="36"/>
      <c r="T118" s="12"/>
      <c r="U118" s="12"/>
      <c r="V118" s="12"/>
      <c r="X118" s="12"/>
    </row>
    <row r="119" customFormat="false" ht="15.75" hidden="false" customHeight="false" outlineLevel="0" collapsed="false">
      <c r="A119" s="12"/>
      <c r="B119" s="34"/>
      <c r="C119" s="12"/>
      <c r="D119" s="12"/>
      <c r="E119" s="12"/>
      <c r="F119" s="12"/>
      <c r="G119" s="18"/>
      <c r="H119" s="35"/>
      <c r="I119" s="12"/>
      <c r="N119" s="18"/>
      <c r="O119" s="12"/>
      <c r="P119" s="12"/>
      <c r="R119" s="36"/>
      <c r="S119" s="36"/>
      <c r="T119" s="12"/>
      <c r="U119" s="12"/>
      <c r="V119" s="12"/>
      <c r="X119" s="12"/>
    </row>
    <row r="120" customFormat="false" ht="15.75" hidden="false" customHeight="false" outlineLevel="0" collapsed="false">
      <c r="A120" s="12"/>
      <c r="B120" s="34"/>
      <c r="C120" s="12"/>
      <c r="D120" s="12"/>
      <c r="E120" s="12"/>
      <c r="F120" s="12"/>
      <c r="G120" s="18"/>
      <c r="H120" s="35"/>
      <c r="I120" s="12"/>
      <c r="N120" s="18"/>
      <c r="O120" s="12"/>
      <c r="P120" s="12"/>
      <c r="R120" s="36"/>
      <c r="S120" s="36"/>
      <c r="T120" s="12"/>
      <c r="U120" s="12"/>
      <c r="V120" s="12"/>
      <c r="X120" s="12"/>
    </row>
    <row r="121" customFormat="false" ht="15.75" hidden="false" customHeight="false" outlineLevel="0" collapsed="false">
      <c r="A121" s="12"/>
      <c r="B121" s="34"/>
      <c r="C121" s="12"/>
      <c r="D121" s="12"/>
      <c r="E121" s="12"/>
      <c r="F121" s="12"/>
      <c r="G121" s="18"/>
      <c r="H121" s="35"/>
      <c r="I121" s="12"/>
      <c r="M121" s="12"/>
      <c r="N121" s="18"/>
      <c r="O121" s="12"/>
      <c r="P121" s="12"/>
      <c r="Q121" s="12"/>
      <c r="R121" s="36"/>
      <c r="S121" s="36"/>
      <c r="T121" s="12"/>
      <c r="U121" s="12"/>
      <c r="V121" s="12"/>
      <c r="W121" s="12"/>
      <c r="X121" s="12"/>
    </row>
    <row r="122" customFormat="false" ht="15.75" hidden="false" customHeight="false" outlineLevel="0" collapsed="false">
      <c r="A122" s="12"/>
      <c r="B122" s="34"/>
      <c r="C122" s="12"/>
      <c r="D122" s="12"/>
      <c r="E122" s="12"/>
      <c r="F122" s="12"/>
      <c r="G122" s="18"/>
      <c r="H122" s="35"/>
      <c r="I122" s="12"/>
      <c r="M122" s="12"/>
      <c r="N122" s="18"/>
      <c r="O122" s="12"/>
      <c r="P122" s="12"/>
      <c r="Q122" s="12"/>
      <c r="R122" s="36"/>
      <c r="S122" s="36"/>
      <c r="T122" s="12"/>
      <c r="U122" s="12"/>
      <c r="V122" s="12"/>
      <c r="W122" s="12"/>
      <c r="X122" s="12"/>
    </row>
    <row r="123" customFormat="false" ht="15.75" hidden="false" customHeight="false" outlineLevel="0" collapsed="false">
      <c r="A123" s="12"/>
      <c r="B123" s="34"/>
      <c r="C123" s="12"/>
      <c r="D123" s="12"/>
      <c r="E123" s="12"/>
      <c r="F123" s="12"/>
      <c r="G123" s="18"/>
      <c r="H123" s="35"/>
      <c r="I123" s="12"/>
      <c r="M123" s="12"/>
      <c r="N123" s="18"/>
      <c r="O123" s="12"/>
      <c r="P123" s="12"/>
      <c r="Q123" s="12"/>
      <c r="R123" s="36"/>
      <c r="S123" s="36"/>
      <c r="T123" s="12"/>
      <c r="U123" s="12"/>
      <c r="V123" s="12"/>
      <c r="W123" s="12"/>
      <c r="X123" s="12"/>
    </row>
    <row r="124" customFormat="false" ht="15.75" hidden="false" customHeight="false" outlineLevel="0" collapsed="false">
      <c r="A124" s="12"/>
      <c r="B124" s="34"/>
      <c r="C124" s="12"/>
      <c r="D124" s="12"/>
      <c r="E124" s="12"/>
      <c r="F124" s="12"/>
      <c r="G124" s="18"/>
      <c r="H124" s="35"/>
      <c r="I124" s="12"/>
      <c r="M124" s="12"/>
      <c r="N124" s="18"/>
      <c r="O124" s="12"/>
      <c r="P124" s="12"/>
      <c r="Q124" s="12"/>
      <c r="R124" s="36"/>
      <c r="S124" s="36"/>
      <c r="T124" s="12"/>
      <c r="U124" s="12"/>
      <c r="V124" s="12"/>
      <c r="W124" s="12"/>
      <c r="X124" s="12"/>
    </row>
    <row r="125" customFormat="false" ht="15.75" hidden="false" customHeight="false" outlineLevel="0" collapsed="false">
      <c r="A125" s="12"/>
      <c r="B125" s="34"/>
      <c r="C125" s="12"/>
      <c r="D125" s="12"/>
      <c r="E125" s="12"/>
      <c r="F125" s="12"/>
      <c r="G125" s="18"/>
      <c r="H125" s="35"/>
      <c r="I125" s="12"/>
      <c r="M125" s="12"/>
      <c r="N125" s="18"/>
      <c r="O125" s="12"/>
      <c r="P125" s="12"/>
      <c r="Q125" s="12"/>
      <c r="R125" s="36"/>
      <c r="S125" s="36"/>
      <c r="T125" s="12"/>
      <c r="U125" s="12"/>
      <c r="V125" s="12"/>
      <c r="W125" s="12"/>
      <c r="X125" s="12"/>
    </row>
    <row r="126" customFormat="false" ht="15.75" hidden="false" customHeight="false" outlineLevel="0" collapsed="false">
      <c r="A126" s="12"/>
      <c r="B126" s="34"/>
      <c r="C126" s="12"/>
      <c r="D126" s="12"/>
      <c r="E126" s="12"/>
      <c r="F126" s="12"/>
      <c r="G126" s="18"/>
      <c r="H126" s="35"/>
      <c r="I126" s="12"/>
      <c r="M126" s="12"/>
      <c r="N126" s="18"/>
      <c r="O126" s="12"/>
      <c r="P126" s="12"/>
      <c r="Q126" s="12"/>
      <c r="R126" s="36"/>
      <c r="S126" s="36"/>
      <c r="T126" s="12"/>
      <c r="U126" s="12"/>
      <c r="V126" s="12"/>
      <c r="W126" s="12"/>
      <c r="X126" s="12"/>
    </row>
    <row r="127" customFormat="false" ht="15.75" hidden="false" customHeight="false" outlineLevel="0" collapsed="false">
      <c r="A127" s="12"/>
      <c r="B127" s="34"/>
      <c r="C127" s="12"/>
      <c r="D127" s="12"/>
      <c r="E127" s="12"/>
      <c r="F127" s="12"/>
      <c r="G127" s="18"/>
      <c r="H127" s="35"/>
      <c r="I127" s="12"/>
      <c r="M127" s="12"/>
      <c r="N127" s="18"/>
      <c r="O127" s="12"/>
      <c r="P127" s="12"/>
      <c r="Q127" s="12"/>
      <c r="R127" s="36"/>
      <c r="S127" s="36"/>
      <c r="T127" s="12"/>
      <c r="U127" s="12"/>
      <c r="V127" s="12"/>
      <c r="W127" s="12"/>
      <c r="X127" s="12"/>
    </row>
    <row r="128" customFormat="false" ht="15.75" hidden="false" customHeight="false" outlineLevel="0" collapsed="false">
      <c r="A128" s="12"/>
      <c r="B128" s="34"/>
      <c r="C128" s="12"/>
      <c r="D128" s="12"/>
      <c r="E128" s="12"/>
      <c r="F128" s="12"/>
      <c r="G128" s="18"/>
      <c r="H128" s="35"/>
      <c r="I128" s="12"/>
      <c r="M128" s="12"/>
      <c r="N128" s="18"/>
      <c r="O128" s="12"/>
      <c r="P128" s="12"/>
      <c r="Q128" s="12"/>
      <c r="R128" s="36"/>
      <c r="S128" s="36"/>
      <c r="T128" s="12"/>
      <c r="U128" s="12"/>
      <c r="V128" s="12"/>
      <c r="W128" s="12"/>
      <c r="X128" s="12"/>
    </row>
    <row r="129" customFormat="false" ht="15.75" hidden="false" customHeight="false" outlineLevel="0" collapsed="false">
      <c r="A129" s="12"/>
      <c r="B129" s="34"/>
      <c r="C129" s="12"/>
      <c r="D129" s="12"/>
      <c r="E129" s="12"/>
      <c r="F129" s="12"/>
      <c r="G129" s="18"/>
      <c r="H129" s="35"/>
      <c r="I129" s="12"/>
      <c r="M129" s="12"/>
      <c r="N129" s="18"/>
      <c r="O129" s="12"/>
      <c r="P129" s="12"/>
      <c r="Q129" s="12"/>
      <c r="R129" s="36"/>
      <c r="S129" s="36"/>
      <c r="T129" s="12"/>
      <c r="U129" s="12"/>
      <c r="V129" s="12"/>
      <c r="W129" s="12"/>
      <c r="X129" s="12"/>
    </row>
    <row r="130" customFormat="false" ht="15.75" hidden="false" customHeight="false" outlineLevel="0" collapsed="false">
      <c r="A130" s="12"/>
      <c r="B130" s="34"/>
      <c r="C130" s="12"/>
      <c r="D130" s="12"/>
      <c r="E130" s="12"/>
      <c r="F130" s="12"/>
      <c r="G130" s="18"/>
      <c r="H130" s="35"/>
      <c r="I130" s="12"/>
      <c r="M130" s="12"/>
      <c r="N130" s="18"/>
      <c r="O130" s="12"/>
      <c r="P130" s="12"/>
      <c r="Q130" s="12"/>
      <c r="R130" s="36"/>
      <c r="S130" s="36"/>
      <c r="T130" s="12"/>
      <c r="U130" s="12"/>
      <c r="V130" s="12"/>
      <c r="W130" s="12"/>
      <c r="X130" s="12"/>
    </row>
    <row r="131" customFormat="false" ht="15.75" hidden="false" customHeight="false" outlineLevel="0" collapsed="false">
      <c r="A131" s="12"/>
      <c r="B131" s="34"/>
      <c r="C131" s="12"/>
      <c r="D131" s="12"/>
      <c r="E131" s="12"/>
      <c r="F131" s="12"/>
      <c r="G131" s="18"/>
      <c r="H131" s="35"/>
      <c r="I131" s="12"/>
      <c r="M131" s="12"/>
      <c r="N131" s="18"/>
      <c r="O131" s="12"/>
      <c r="P131" s="12"/>
      <c r="Q131" s="12"/>
      <c r="R131" s="36"/>
      <c r="S131" s="36"/>
      <c r="T131" s="12"/>
      <c r="U131" s="12"/>
      <c r="V131" s="12"/>
      <c r="W131" s="12"/>
      <c r="X131" s="12"/>
    </row>
    <row r="132" customFormat="false" ht="15.75" hidden="false" customHeight="false" outlineLevel="0" collapsed="false">
      <c r="A132" s="12"/>
      <c r="B132" s="34"/>
      <c r="C132" s="12"/>
      <c r="D132" s="12"/>
      <c r="E132" s="12"/>
      <c r="F132" s="12"/>
      <c r="G132" s="18"/>
      <c r="H132" s="35"/>
      <c r="I132" s="12"/>
      <c r="M132" s="12"/>
      <c r="N132" s="18"/>
      <c r="O132" s="12"/>
      <c r="P132" s="12"/>
      <c r="Q132" s="12"/>
      <c r="R132" s="36"/>
      <c r="S132" s="36"/>
      <c r="T132" s="12"/>
      <c r="U132" s="12"/>
      <c r="V132" s="12"/>
      <c r="W132" s="12"/>
      <c r="X132" s="12"/>
    </row>
    <row r="133" customFormat="false" ht="15.75" hidden="false" customHeight="false" outlineLevel="0" collapsed="false">
      <c r="A133" s="12"/>
      <c r="B133" s="34"/>
      <c r="C133" s="12"/>
      <c r="D133" s="12"/>
      <c r="E133" s="12"/>
      <c r="F133" s="12"/>
      <c r="G133" s="18"/>
      <c r="H133" s="35"/>
      <c r="I133" s="12"/>
      <c r="M133" s="12"/>
      <c r="N133" s="18"/>
      <c r="O133" s="12"/>
      <c r="P133" s="12"/>
      <c r="Q133" s="12"/>
      <c r="R133" s="36"/>
      <c r="S133" s="36"/>
      <c r="T133" s="12"/>
      <c r="U133" s="12"/>
      <c r="V133" s="12"/>
      <c r="W133" s="12"/>
      <c r="X133" s="12"/>
    </row>
    <row r="134" customFormat="false" ht="15.75" hidden="false" customHeight="false" outlineLevel="0" collapsed="false">
      <c r="A134" s="12"/>
      <c r="B134" s="34"/>
      <c r="C134" s="12"/>
      <c r="D134" s="12"/>
      <c r="E134" s="12"/>
      <c r="F134" s="12"/>
      <c r="G134" s="18"/>
      <c r="H134" s="35"/>
      <c r="I134" s="12"/>
      <c r="M134" s="12"/>
      <c r="N134" s="18"/>
      <c r="O134" s="12"/>
      <c r="P134" s="12"/>
      <c r="Q134" s="12"/>
      <c r="R134" s="36"/>
      <c r="S134" s="36"/>
      <c r="T134" s="12"/>
      <c r="U134" s="12"/>
      <c r="V134" s="12"/>
      <c r="W134" s="12"/>
      <c r="X134" s="12"/>
    </row>
    <row r="135" customFormat="false" ht="15.75" hidden="false" customHeight="false" outlineLevel="0" collapsed="false">
      <c r="A135" s="12"/>
      <c r="B135" s="34"/>
      <c r="C135" s="12"/>
      <c r="D135" s="12"/>
      <c r="E135" s="12"/>
      <c r="F135" s="12"/>
      <c r="G135" s="18"/>
      <c r="H135" s="35"/>
      <c r="I135" s="12"/>
      <c r="M135" s="12"/>
      <c r="N135" s="18"/>
      <c r="O135" s="12"/>
      <c r="P135" s="12"/>
      <c r="Q135" s="12"/>
      <c r="R135" s="36"/>
      <c r="S135" s="36"/>
      <c r="T135" s="12"/>
      <c r="U135" s="12"/>
      <c r="V135" s="12"/>
      <c r="W135" s="12"/>
      <c r="X135" s="12"/>
    </row>
    <row r="136" customFormat="false" ht="15.75" hidden="false" customHeight="false" outlineLevel="0" collapsed="false">
      <c r="A136" s="12"/>
      <c r="B136" s="34"/>
      <c r="C136" s="12"/>
      <c r="D136" s="12"/>
      <c r="E136" s="12"/>
      <c r="F136" s="12"/>
      <c r="G136" s="18"/>
      <c r="H136" s="35"/>
      <c r="I136" s="12"/>
      <c r="M136" s="12"/>
      <c r="N136" s="18"/>
      <c r="O136" s="12"/>
      <c r="P136" s="12"/>
      <c r="Q136" s="12"/>
      <c r="R136" s="36"/>
      <c r="S136" s="36"/>
      <c r="T136" s="12"/>
      <c r="U136" s="12"/>
      <c r="V136" s="12"/>
      <c r="W136" s="12"/>
      <c r="X136" s="12"/>
    </row>
    <row r="137" customFormat="false" ht="15.75" hidden="false" customHeight="false" outlineLevel="0" collapsed="false">
      <c r="A137" s="12"/>
      <c r="B137" s="34"/>
      <c r="C137" s="12"/>
      <c r="D137" s="12"/>
      <c r="E137" s="12"/>
      <c r="F137" s="12"/>
      <c r="G137" s="18"/>
      <c r="H137" s="35"/>
      <c r="I137" s="12"/>
      <c r="M137" s="12"/>
      <c r="N137" s="18"/>
      <c r="O137" s="12"/>
      <c r="P137" s="12"/>
      <c r="Q137" s="12"/>
      <c r="R137" s="36"/>
      <c r="S137" s="36"/>
      <c r="T137" s="12"/>
      <c r="U137" s="12"/>
      <c r="V137" s="12"/>
      <c r="W137" s="12"/>
      <c r="X137" s="12"/>
    </row>
    <row r="138" customFormat="false" ht="15.75" hidden="false" customHeight="false" outlineLevel="0" collapsed="false">
      <c r="A138" s="12"/>
      <c r="B138" s="34"/>
      <c r="C138" s="12"/>
      <c r="D138" s="12"/>
      <c r="E138" s="12"/>
      <c r="F138" s="12"/>
      <c r="G138" s="18"/>
      <c r="H138" s="35"/>
      <c r="I138" s="12"/>
      <c r="M138" s="12"/>
      <c r="N138" s="18"/>
      <c r="O138" s="12"/>
      <c r="P138" s="12"/>
      <c r="Q138" s="12"/>
      <c r="R138" s="36"/>
      <c r="S138" s="36"/>
      <c r="T138" s="12"/>
      <c r="U138" s="12"/>
      <c r="V138" s="12"/>
      <c r="W138" s="12"/>
      <c r="X138" s="12"/>
    </row>
    <row r="139" customFormat="false" ht="15.75" hidden="false" customHeight="false" outlineLevel="0" collapsed="false">
      <c r="A139" s="12"/>
      <c r="B139" s="34"/>
      <c r="C139" s="12"/>
      <c r="D139" s="12"/>
      <c r="E139" s="12"/>
      <c r="F139" s="12"/>
      <c r="G139" s="18"/>
      <c r="H139" s="35"/>
      <c r="I139" s="12"/>
      <c r="M139" s="12"/>
      <c r="N139" s="18"/>
      <c r="O139" s="12"/>
      <c r="P139" s="12"/>
      <c r="Q139" s="12"/>
      <c r="R139" s="36"/>
      <c r="S139" s="36"/>
      <c r="T139" s="12"/>
      <c r="U139" s="12"/>
      <c r="V139" s="12"/>
      <c r="W139" s="12"/>
      <c r="X139" s="12"/>
    </row>
    <row r="140" customFormat="false" ht="15.75" hidden="false" customHeight="false" outlineLevel="0" collapsed="false">
      <c r="A140" s="12"/>
      <c r="B140" s="34"/>
      <c r="C140" s="12"/>
      <c r="D140" s="12"/>
      <c r="E140" s="12"/>
      <c r="F140" s="12"/>
      <c r="G140" s="18"/>
      <c r="H140" s="35"/>
      <c r="I140" s="12"/>
      <c r="M140" s="12"/>
      <c r="N140" s="18"/>
      <c r="O140" s="12"/>
      <c r="P140" s="12"/>
      <c r="Q140" s="12"/>
      <c r="R140" s="36"/>
      <c r="S140" s="36"/>
      <c r="T140" s="12"/>
      <c r="U140" s="12"/>
      <c r="V140" s="12"/>
      <c r="W140" s="12"/>
      <c r="X140" s="12"/>
    </row>
    <row r="141" customFormat="false" ht="15.75" hidden="false" customHeight="false" outlineLevel="0" collapsed="false">
      <c r="A141" s="12"/>
      <c r="B141" s="34"/>
      <c r="C141" s="12"/>
      <c r="D141" s="12"/>
      <c r="E141" s="12"/>
      <c r="F141" s="12"/>
      <c r="G141" s="18"/>
      <c r="H141" s="35"/>
      <c r="I141" s="12"/>
      <c r="M141" s="12"/>
      <c r="N141" s="18"/>
      <c r="O141" s="12"/>
      <c r="P141" s="12"/>
      <c r="Q141" s="12"/>
      <c r="R141" s="36"/>
      <c r="S141" s="36"/>
      <c r="T141" s="12"/>
      <c r="U141" s="12"/>
      <c r="V141" s="12"/>
      <c r="W141" s="12"/>
      <c r="X141" s="12"/>
    </row>
    <row r="142" customFormat="false" ht="15.75" hidden="false" customHeight="false" outlineLevel="0" collapsed="false">
      <c r="A142" s="12"/>
      <c r="B142" s="34"/>
      <c r="C142" s="12"/>
      <c r="D142" s="12"/>
      <c r="E142" s="12"/>
      <c r="F142" s="12"/>
      <c r="G142" s="18"/>
      <c r="H142" s="35"/>
      <c r="I142" s="12"/>
      <c r="M142" s="12"/>
      <c r="N142" s="18"/>
      <c r="O142" s="12"/>
      <c r="P142" s="12"/>
      <c r="Q142" s="12"/>
      <c r="R142" s="36"/>
      <c r="S142" s="36"/>
      <c r="T142" s="12"/>
      <c r="U142" s="12"/>
      <c r="V142" s="12"/>
      <c r="W142" s="12"/>
      <c r="X142" s="12"/>
    </row>
    <row r="143" customFormat="false" ht="15.75" hidden="false" customHeight="false" outlineLevel="0" collapsed="false">
      <c r="A143" s="12"/>
      <c r="B143" s="34"/>
      <c r="C143" s="12"/>
      <c r="D143" s="12"/>
      <c r="E143" s="12"/>
      <c r="F143" s="12"/>
      <c r="G143" s="18"/>
      <c r="H143" s="35"/>
      <c r="I143" s="12"/>
      <c r="M143" s="12"/>
      <c r="N143" s="18"/>
      <c r="O143" s="12"/>
      <c r="P143" s="12"/>
      <c r="Q143" s="12"/>
      <c r="R143" s="36"/>
      <c r="S143" s="36"/>
      <c r="T143" s="12"/>
      <c r="U143" s="12"/>
      <c r="V143" s="12"/>
      <c r="W143" s="12"/>
      <c r="X143" s="12"/>
    </row>
    <row r="144" customFormat="false" ht="15.75" hidden="false" customHeight="false" outlineLevel="0" collapsed="false">
      <c r="A144" s="12"/>
      <c r="B144" s="34"/>
      <c r="C144" s="12"/>
      <c r="D144" s="12"/>
      <c r="E144" s="12"/>
      <c r="F144" s="12"/>
      <c r="G144" s="18"/>
      <c r="H144" s="35"/>
      <c r="I144" s="12"/>
      <c r="M144" s="12"/>
      <c r="N144" s="18"/>
      <c r="O144" s="12"/>
      <c r="P144" s="12"/>
      <c r="Q144" s="12"/>
      <c r="R144" s="36"/>
      <c r="S144" s="36"/>
      <c r="T144" s="12"/>
      <c r="U144" s="12"/>
      <c r="V144" s="12"/>
      <c r="W144" s="12"/>
      <c r="X144" s="12"/>
    </row>
    <row r="145" customFormat="false" ht="15.75" hidden="false" customHeight="false" outlineLevel="0" collapsed="false">
      <c r="A145" s="12"/>
      <c r="B145" s="34"/>
      <c r="C145" s="12"/>
      <c r="D145" s="12"/>
      <c r="E145" s="12"/>
      <c r="F145" s="12"/>
      <c r="G145" s="18"/>
      <c r="H145" s="35"/>
      <c r="I145" s="12"/>
      <c r="M145" s="12"/>
      <c r="N145" s="18"/>
      <c r="O145" s="12"/>
      <c r="P145" s="12"/>
      <c r="Q145" s="12"/>
      <c r="R145" s="36"/>
      <c r="S145" s="36"/>
      <c r="T145" s="12"/>
      <c r="U145" s="12"/>
      <c r="V145" s="12"/>
      <c r="W145" s="12"/>
      <c r="X145" s="12"/>
    </row>
    <row r="146" customFormat="false" ht="15.75" hidden="false" customHeight="false" outlineLevel="0" collapsed="false">
      <c r="A146" s="12"/>
      <c r="B146" s="34"/>
      <c r="C146" s="12"/>
      <c r="D146" s="12"/>
      <c r="E146" s="12"/>
      <c r="F146" s="12"/>
      <c r="G146" s="18"/>
      <c r="H146" s="35"/>
      <c r="I146" s="12"/>
      <c r="M146" s="12"/>
      <c r="N146" s="18"/>
      <c r="O146" s="12"/>
      <c r="P146" s="12"/>
      <c r="Q146" s="12"/>
      <c r="R146" s="36"/>
      <c r="S146" s="36"/>
      <c r="T146" s="12"/>
      <c r="U146" s="12"/>
      <c r="V146" s="12"/>
      <c r="W146" s="12"/>
      <c r="X146" s="12"/>
    </row>
    <row r="147" customFormat="false" ht="15.75" hidden="false" customHeight="false" outlineLevel="0" collapsed="false">
      <c r="A147" s="12"/>
      <c r="B147" s="34"/>
      <c r="C147" s="12"/>
      <c r="D147" s="12"/>
      <c r="E147" s="12"/>
      <c r="F147" s="12"/>
      <c r="G147" s="18"/>
      <c r="H147" s="35"/>
      <c r="I147" s="12"/>
      <c r="M147" s="12"/>
      <c r="N147" s="18"/>
      <c r="O147" s="12"/>
      <c r="P147" s="12"/>
      <c r="Q147" s="12"/>
      <c r="R147" s="36"/>
      <c r="S147" s="36"/>
      <c r="T147" s="12"/>
      <c r="U147" s="12"/>
      <c r="V147" s="12"/>
      <c r="W147" s="12"/>
      <c r="X147" s="12"/>
    </row>
    <row r="148" customFormat="false" ht="15.75" hidden="false" customHeight="false" outlineLevel="0" collapsed="false">
      <c r="A148" s="12"/>
      <c r="B148" s="34"/>
      <c r="C148" s="12"/>
      <c r="D148" s="12"/>
      <c r="E148" s="12"/>
      <c r="F148" s="12"/>
      <c r="G148" s="18"/>
      <c r="H148" s="35"/>
      <c r="I148" s="12"/>
      <c r="M148" s="12"/>
      <c r="N148" s="18"/>
      <c r="O148" s="12"/>
      <c r="P148" s="12"/>
      <c r="Q148" s="12"/>
      <c r="R148" s="36"/>
      <c r="S148" s="36"/>
      <c r="T148" s="12"/>
      <c r="U148" s="12"/>
      <c r="V148" s="12"/>
      <c r="W148" s="12"/>
      <c r="X148" s="12"/>
    </row>
    <row r="149" customFormat="false" ht="15.75" hidden="false" customHeight="false" outlineLevel="0" collapsed="false">
      <c r="A149" s="12"/>
      <c r="B149" s="34"/>
      <c r="C149" s="12"/>
      <c r="D149" s="12"/>
      <c r="E149" s="12"/>
      <c r="F149" s="12"/>
      <c r="G149" s="18"/>
      <c r="H149" s="35"/>
      <c r="I149" s="12"/>
      <c r="M149" s="12"/>
      <c r="N149" s="18"/>
      <c r="O149" s="12"/>
      <c r="P149" s="12"/>
      <c r="Q149" s="12"/>
      <c r="R149" s="36"/>
      <c r="S149" s="36"/>
      <c r="T149" s="12"/>
      <c r="U149" s="12"/>
      <c r="V149" s="12"/>
      <c r="W149" s="12"/>
      <c r="X149" s="12"/>
    </row>
    <row r="150" customFormat="false" ht="15.75" hidden="false" customHeight="false" outlineLevel="0" collapsed="false">
      <c r="A150" s="12"/>
      <c r="B150" s="34"/>
      <c r="C150" s="12"/>
      <c r="D150" s="12"/>
      <c r="E150" s="12"/>
      <c r="F150" s="12"/>
      <c r="G150" s="18"/>
      <c r="H150" s="35"/>
      <c r="I150" s="12"/>
      <c r="M150" s="12"/>
      <c r="N150" s="18"/>
      <c r="O150" s="12"/>
      <c r="P150" s="12"/>
      <c r="Q150" s="12"/>
      <c r="R150" s="36"/>
      <c r="S150" s="36"/>
      <c r="T150" s="12"/>
      <c r="U150" s="12"/>
      <c r="V150" s="12"/>
      <c r="W150" s="12"/>
      <c r="X150" s="12"/>
    </row>
    <row r="151" customFormat="false" ht="15.75" hidden="false" customHeight="false" outlineLevel="0" collapsed="false">
      <c r="A151" s="12"/>
      <c r="B151" s="34"/>
      <c r="C151" s="12"/>
      <c r="D151" s="12"/>
      <c r="E151" s="12"/>
      <c r="F151" s="12"/>
      <c r="G151" s="18"/>
      <c r="H151" s="35"/>
      <c r="I151" s="12"/>
      <c r="M151" s="12"/>
      <c r="N151" s="18"/>
      <c r="O151" s="12"/>
      <c r="P151" s="12"/>
      <c r="Q151" s="12"/>
      <c r="R151" s="36"/>
      <c r="S151" s="36"/>
      <c r="T151" s="12"/>
      <c r="U151" s="12"/>
      <c r="V151" s="12"/>
      <c r="W151" s="12"/>
      <c r="X151" s="12"/>
    </row>
    <row r="152" customFormat="false" ht="15.75" hidden="false" customHeight="false" outlineLevel="0" collapsed="false">
      <c r="A152" s="12"/>
      <c r="B152" s="34"/>
      <c r="C152" s="12"/>
      <c r="D152" s="12"/>
      <c r="E152" s="12"/>
      <c r="F152" s="12"/>
      <c r="G152" s="18"/>
      <c r="H152" s="35"/>
      <c r="I152" s="12"/>
      <c r="M152" s="12"/>
      <c r="N152" s="18"/>
      <c r="O152" s="12"/>
      <c r="P152" s="12"/>
      <c r="Q152" s="12"/>
      <c r="R152" s="36"/>
      <c r="S152" s="36"/>
      <c r="T152" s="12"/>
      <c r="U152" s="12"/>
      <c r="V152" s="12"/>
      <c r="W152" s="12"/>
      <c r="X152" s="12"/>
    </row>
    <row r="153" customFormat="false" ht="15.75" hidden="false" customHeight="false" outlineLevel="0" collapsed="false">
      <c r="A153" s="12"/>
      <c r="B153" s="34"/>
      <c r="C153" s="12"/>
      <c r="D153" s="12"/>
      <c r="E153" s="12"/>
      <c r="F153" s="12"/>
      <c r="G153" s="18"/>
      <c r="H153" s="35"/>
      <c r="I153" s="12"/>
      <c r="M153" s="12"/>
      <c r="N153" s="18"/>
      <c r="O153" s="12"/>
      <c r="P153" s="12"/>
      <c r="Q153" s="12"/>
      <c r="R153" s="36"/>
      <c r="S153" s="36"/>
      <c r="T153" s="12"/>
      <c r="U153" s="12"/>
      <c r="V153" s="12"/>
      <c r="W153" s="12"/>
      <c r="X153" s="12"/>
    </row>
    <row r="154" customFormat="false" ht="15.75" hidden="false" customHeight="false" outlineLevel="0" collapsed="false">
      <c r="A154" s="12"/>
      <c r="B154" s="34"/>
      <c r="C154" s="12"/>
      <c r="D154" s="12"/>
      <c r="E154" s="12"/>
      <c r="F154" s="12"/>
      <c r="G154" s="18"/>
      <c r="H154" s="35"/>
      <c r="I154" s="12"/>
      <c r="M154" s="12"/>
      <c r="N154" s="18"/>
      <c r="O154" s="12"/>
      <c r="P154" s="12"/>
      <c r="Q154" s="12"/>
      <c r="R154" s="36"/>
      <c r="S154" s="36"/>
      <c r="T154" s="12"/>
      <c r="U154" s="12"/>
      <c r="V154" s="12"/>
      <c r="W154" s="12"/>
      <c r="X154" s="12"/>
    </row>
    <row r="155" customFormat="false" ht="15.75" hidden="false" customHeight="false" outlineLevel="0" collapsed="false">
      <c r="A155" s="12"/>
      <c r="B155" s="34"/>
      <c r="C155" s="12"/>
      <c r="D155" s="12"/>
      <c r="E155" s="12"/>
      <c r="F155" s="12"/>
      <c r="G155" s="18"/>
      <c r="H155" s="35"/>
      <c r="I155" s="12"/>
      <c r="M155" s="12"/>
      <c r="N155" s="18"/>
      <c r="O155" s="12"/>
      <c r="P155" s="12"/>
      <c r="Q155" s="12"/>
      <c r="R155" s="36"/>
      <c r="S155" s="36"/>
      <c r="T155" s="12"/>
      <c r="U155" s="12"/>
      <c r="V155" s="12"/>
      <c r="W155" s="12"/>
      <c r="X155" s="12"/>
    </row>
    <row r="156" customFormat="false" ht="15.75" hidden="false" customHeight="false" outlineLevel="0" collapsed="false">
      <c r="A156" s="12"/>
      <c r="B156" s="34"/>
      <c r="C156" s="12"/>
      <c r="D156" s="12"/>
      <c r="E156" s="12"/>
      <c r="F156" s="12"/>
      <c r="G156" s="18"/>
      <c r="H156" s="35"/>
      <c r="I156" s="12"/>
      <c r="M156" s="12"/>
      <c r="N156" s="18"/>
      <c r="O156" s="12"/>
      <c r="P156" s="12"/>
      <c r="Q156" s="12"/>
      <c r="R156" s="36"/>
      <c r="S156" s="36"/>
      <c r="T156" s="12"/>
      <c r="U156" s="12"/>
      <c r="V156" s="12"/>
      <c r="W156" s="12"/>
      <c r="X156" s="12"/>
    </row>
    <row r="157" customFormat="false" ht="15.75" hidden="false" customHeight="false" outlineLevel="0" collapsed="false">
      <c r="A157" s="12"/>
      <c r="B157" s="34"/>
      <c r="C157" s="12"/>
      <c r="D157" s="12"/>
      <c r="E157" s="12"/>
      <c r="F157" s="12"/>
      <c r="G157" s="18"/>
      <c r="H157" s="35"/>
      <c r="I157" s="12"/>
      <c r="M157" s="12"/>
      <c r="N157" s="18"/>
      <c r="O157" s="12"/>
      <c r="P157" s="12"/>
      <c r="Q157" s="12"/>
      <c r="R157" s="36"/>
      <c r="S157" s="36"/>
      <c r="T157" s="12"/>
      <c r="U157" s="12"/>
      <c r="V157" s="12"/>
      <c r="W157" s="12"/>
      <c r="X157" s="12"/>
    </row>
    <row r="158" customFormat="false" ht="15.75" hidden="false" customHeight="false" outlineLevel="0" collapsed="false">
      <c r="A158" s="12"/>
      <c r="B158" s="34"/>
      <c r="C158" s="12"/>
      <c r="D158" s="12"/>
      <c r="E158" s="12"/>
      <c r="F158" s="12"/>
      <c r="G158" s="18"/>
      <c r="H158" s="35"/>
      <c r="I158" s="12"/>
      <c r="M158" s="12"/>
      <c r="N158" s="18"/>
      <c r="O158" s="12"/>
      <c r="P158" s="12"/>
      <c r="Q158" s="12"/>
      <c r="R158" s="36"/>
      <c r="S158" s="36"/>
      <c r="T158" s="12"/>
      <c r="U158" s="12"/>
      <c r="V158" s="12"/>
      <c r="W158" s="12"/>
      <c r="X158" s="12"/>
    </row>
    <row r="159" customFormat="false" ht="15.75" hidden="false" customHeight="false" outlineLevel="0" collapsed="false">
      <c r="A159" s="12"/>
      <c r="B159" s="34"/>
      <c r="C159" s="12"/>
      <c r="D159" s="12"/>
      <c r="E159" s="12"/>
      <c r="F159" s="12"/>
      <c r="G159" s="18"/>
      <c r="H159" s="35"/>
      <c r="I159" s="12"/>
      <c r="M159" s="12"/>
      <c r="N159" s="18"/>
      <c r="O159" s="12"/>
      <c r="P159" s="12"/>
      <c r="Q159" s="12"/>
      <c r="R159" s="36"/>
      <c r="S159" s="36"/>
      <c r="T159" s="12"/>
      <c r="U159" s="12"/>
      <c r="V159" s="12"/>
      <c r="W159" s="12"/>
      <c r="X159" s="12"/>
    </row>
    <row r="160" customFormat="false" ht="15.75" hidden="false" customHeight="false" outlineLevel="0" collapsed="false">
      <c r="A160" s="12"/>
      <c r="B160" s="34"/>
      <c r="C160" s="12"/>
      <c r="D160" s="12"/>
      <c r="E160" s="12"/>
      <c r="F160" s="12"/>
      <c r="G160" s="18"/>
      <c r="H160" s="35"/>
      <c r="I160" s="12"/>
      <c r="M160" s="12"/>
      <c r="N160" s="18"/>
      <c r="O160" s="12"/>
      <c r="P160" s="12"/>
      <c r="Q160" s="12"/>
      <c r="R160" s="36"/>
      <c r="S160" s="36"/>
      <c r="T160" s="12"/>
      <c r="U160" s="12"/>
      <c r="V160" s="12"/>
      <c r="W160" s="12"/>
      <c r="X160" s="12"/>
    </row>
    <row r="161" customFormat="false" ht="15.75" hidden="false" customHeight="false" outlineLevel="0" collapsed="false">
      <c r="A161" s="12"/>
      <c r="B161" s="34"/>
      <c r="C161" s="12"/>
      <c r="D161" s="12"/>
      <c r="E161" s="12"/>
      <c r="F161" s="12"/>
      <c r="G161" s="18"/>
      <c r="H161" s="35"/>
      <c r="I161" s="12"/>
      <c r="M161" s="12"/>
      <c r="N161" s="18"/>
      <c r="O161" s="12"/>
      <c r="P161" s="12"/>
      <c r="Q161" s="12"/>
      <c r="R161" s="36"/>
      <c r="S161" s="36"/>
      <c r="T161" s="12"/>
      <c r="U161" s="12"/>
      <c r="V161" s="12"/>
      <c r="W161" s="12"/>
      <c r="X161" s="12"/>
    </row>
    <row r="162" customFormat="false" ht="15.75" hidden="false" customHeight="false" outlineLevel="0" collapsed="false">
      <c r="A162" s="12"/>
      <c r="B162" s="34"/>
      <c r="C162" s="12"/>
      <c r="D162" s="12"/>
      <c r="E162" s="12"/>
      <c r="F162" s="12"/>
      <c r="G162" s="18"/>
      <c r="H162" s="35"/>
      <c r="I162" s="12"/>
      <c r="M162" s="12"/>
      <c r="N162" s="18"/>
      <c r="O162" s="12"/>
      <c r="P162" s="12"/>
      <c r="Q162" s="12"/>
      <c r="R162" s="36"/>
      <c r="S162" s="36"/>
      <c r="T162" s="12"/>
      <c r="U162" s="12"/>
      <c r="V162" s="12"/>
      <c r="W162" s="12"/>
      <c r="X162" s="12"/>
    </row>
    <row r="163" customFormat="false" ht="15.75" hidden="false" customHeight="false" outlineLevel="0" collapsed="false">
      <c r="A163" s="12"/>
      <c r="B163" s="34"/>
      <c r="C163" s="12"/>
      <c r="D163" s="12"/>
      <c r="E163" s="12"/>
      <c r="F163" s="12"/>
      <c r="G163" s="18"/>
      <c r="H163" s="35"/>
      <c r="I163" s="12"/>
      <c r="M163" s="12"/>
      <c r="N163" s="18"/>
      <c r="O163" s="12"/>
      <c r="P163" s="12"/>
      <c r="Q163" s="12"/>
      <c r="R163" s="36"/>
      <c r="S163" s="36"/>
      <c r="T163" s="12"/>
      <c r="U163" s="12"/>
      <c r="V163" s="12"/>
      <c r="W163" s="12"/>
      <c r="X163" s="12"/>
    </row>
    <row r="164" customFormat="false" ht="15.75" hidden="false" customHeight="false" outlineLevel="0" collapsed="false">
      <c r="A164" s="12"/>
      <c r="B164" s="34"/>
      <c r="C164" s="12"/>
      <c r="D164" s="12"/>
      <c r="E164" s="12"/>
      <c r="F164" s="12"/>
      <c r="G164" s="18"/>
      <c r="H164" s="35"/>
      <c r="I164" s="12"/>
      <c r="M164" s="12"/>
      <c r="N164" s="18"/>
      <c r="O164" s="12"/>
      <c r="P164" s="12"/>
      <c r="Q164" s="12"/>
      <c r="R164" s="36"/>
      <c r="S164" s="36"/>
      <c r="T164" s="12"/>
      <c r="U164" s="12"/>
      <c r="V164" s="12"/>
      <c r="W164" s="12"/>
      <c r="X164" s="12"/>
    </row>
    <row r="165" customFormat="false" ht="15.75" hidden="false" customHeight="false" outlineLevel="0" collapsed="false">
      <c r="A165" s="12"/>
      <c r="B165" s="34"/>
      <c r="C165" s="12"/>
      <c r="D165" s="12"/>
      <c r="E165" s="12"/>
      <c r="F165" s="12"/>
      <c r="G165" s="18"/>
      <c r="H165" s="35"/>
      <c r="I165" s="12"/>
      <c r="M165" s="12"/>
      <c r="N165" s="18"/>
      <c r="O165" s="12"/>
      <c r="P165" s="12"/>
      <c r="Q165" s="12"/>
      <c r="R165" s="36"/>
      <c r="S165" s="36"/>
      <c r="T165" s="12"/>
      <c r="U165" s="12"/>
      <c r="V165" s="12"/>
      <c r="W165" s="12"/>
      <c r="X165" s="12"/>
    </row>
    <row r="166" customFormat="false" ht="15.75" hidden="false" customHeight="false" outlineLevel="0" collapsed="false">
      <c r="A166" s="12"/>
      <c r="B166" s="34"/>
      <c r="C166" s="12"/>
      <c r="D166" s="12"/>
      <c r="E166" s="12"/>
      <c r="F166" s="12"/>
      <c r="G166" s="18"/>
      <c r="H166" s="35"/>
      <c r="I166" s="12"/>
      <c r="M166" s="12"/>
      <c r="N166" s="18"/>
      <c r="O166" s="12"/>
      <c r="P166" s="12"/>
      <c r="Q166" s="12"/>
      <c r="R166" s="36"/>
      <c r="S166" s="36"/>
      <c r="T166" s="12"/>
      <c r="U166" s="12"/>
      <c r="V166" s="12"/>
      <c r="W166" s="12"/>
      <c r="X166" s="12"/>
    </row>
    <row r="167" customFormat="false" ht="15.75" hidden="false" customHeight="false" outlineLevel="0" collapsed="false">
      <c r="A167" s="12"/>
      <c r="B167" s="34"/>
      <c r="C167" s="12"/>
      <c r="D167" s="12"/>
      <c r="E167" s="12"/>
      <c r="F167" s="12"/>
      <c r="G167" s="18"/>
      <c r="H167" s="35"/>
      <c r="I167" s="12"/>
      <c r="M167" s="12"/>
      <c r="N167" s="18"/>
      <c r="O167" s="12"/>
      <c r="P167" s="12"/>
      <c r="Q167" s="12"/>
      <c r="R167" s="36"/>
      <c r="S167" s="36"/>
      <c r="T167" s="12"/>
      <c r="U167" s="12"/>
      <c r="V167" s="12"/>
      <c r="W167" s="12"/>
      <c r="X167" s="12"/>
    </row>
    <row r="168" customFormat="false" ht="15.75" hidden="false" customHeight="false" outlineLevel="0" collapsed="false">
      <c r="A168" s="12"/>
      <c r="B168" s="34"/>
      <c r="C168" s="12"/>
      <c r="D168" s="12"/>
      <c r="E168" s="12"/>
      <c r="F168" s="12"/>
      <c r="G168" s="18"/>
      <c r="H168" s="35"/>
      <c r="I168" s="12"/>
      <c r="M168" s="12"/>
      <c r="N168" s="18"/>
      <c r="O168" s="12"/>
      <c r="P168" s="12"/>
      <c r="Q168" s="12"/>
      <c r="R168" s="36"/>
      <c r="S168" s="36"/>
      <c r="T168" s="12"/>
      <c r="U168" s="12"/>
      <c r="V168" s="12"/>
      <c r="W168" s="12"/>
      <c r="X168" s="12"/>
    </row>
    <row r="169" customFormat="false" ht="15.75" hidden="false" customHeight="false" outlineLevel="0" collapsed="false">
      <c r="A169" s="12"/>
      <c r="B169" s="34"/>
      <c r="C169" s="12"/>
      <c r="D169" s="12"/>
      <c r="E169" s="12"/>
      <c r="F169" s="12"/>
      <c r="G169" s="18"/>
      <c r="H169" s="35"/>
      <c r="I169" s="12"/>
      <c r="M169" s="12"/>
      <c r="N169" s="18"/>
      <c r="O169" s="12"/>
      <c r="P169" s="12"/>
      <c r="Q169" s="12"/>
      <c r="R169" s="36"/>
      <c r="S169" s="36"/>
      <c r="T169" s="12"/>
      <c r="U169" s="12"/>
      <c r="V169" s="12"/>
      <c r="W169" s="12"/>
      <c r="X169" s="12"/>
    </row>
    <row r="170" customFormat="false" ht="15.75" hidden="false" customHeight="false" outlineLevel="0" collapsed="false">
      <c r="A170" s="12"/>
      <c r="B170" s="34"/>
      <c r="C170" s="12"/>
      <c r="D170" s="12"/>
      <c r="E170" s="12"/>
      <c r="F170" s="12"/>
      <c r="G170" s="18"/>
      <c r="H170" s="35"/>
      <c r="I170" s="12"/>
      <c r="M170" s="12"/>
      <c r="N170" s="18"/>
      <c r="O170" s="12"/>
      <c r="P170" s="12"/>
      <c r="Q170" s="12"/>
      <c r="R170" s="36"/>
      <c r="S170" s="36"/>
      <c r="T170" s="12"/>
      <c r="U170" s="12"/>
      <c r="V170" s="12"/>
      <c r="W170" s="12"/>
      <c r="X170" s="12"/>
    </row>
    <row r="171" customFormat="false" ht="15.75" hidden="false" customHeight="false" outlineLevel="0" collapsed="false">
      <c r="A171" s="12"/>
      <c r="B171" s="34"/>
      <c r="C171" s="12"/>
      <c r="D171" s="12"/>
      <c r="E171" s="12"/>
      <c r="F171" s="12"/>
      <c r="G171" s="18"/>
      <c r="H171" s="35"/>
      <c r="I171" s="12"/>
      <c r="M171" s="12"/>
      <c r="N171" s="18"/>
      <c r="O171" s="12"/>
      <c r="P171" s="12"/>
      <c r="Q171" s="12"/>
      <c r="R171" s="36"/>
      <c r="S171" s="36"/>
      <c r="T171" s="12"/>
      <c r="U171" s="12"/>
      <c r="V171" s="12"/>
      <c r="W171" s="12"/>
      <c r="X171" s="12"/>
    </row>
    <row r="172" customFormat="false" ht="15.75" hidden="false" customHeight="false" outlineLevel="0" collapsed="false">
      <c r="A172" s="12"/>
      <c r="B172" s="34"/>
      <c r="C172" s="12"/>
      <c r="D172" s="12"/>
      <c r="E172" s="12"/>
      <c r="F172" s="12"/>
      <c r="G172" s="18"/>
      <c r="H172" s="35"/>
      <c r="I172" s="12"/>
      <c r="M172" s="12"/>
      <c r="N172" s="18"/>
      <c r="O172" s="12"/>
      <c r="P172" s="12"/>
      <c r="Q172" s="12"/>
      <c r="R172" s="36"/>
      <c r="S172" s="36"/>
      <c r="T172" s="12"/>
      <c r="U172" s="12"/>
      <c r="V172" s="12"/>
      <c r="W172" s="12"/>
      <c r="X172" s="12"/>
    </row>
    <row r="173" customFormat="false" ht="15.75" hidden="false" customHeight="false" outlineLevel="0" collapsed="false">
      <c r="A173" s="12"/>
      <c r="B173" s="34"/>
      <c r="C173" s="12"/>
      <c r="D173" s="12"/>
      <c r="E173" s="12"/>
      <c r="F173" s="12"/>
      <c r="G173" s="18"/>
      <c r="H173" s="35"/>
      <c r="I173" s="12"/>
      <c r="M173" s="12"/>
      <c r="N173" s="18"/>
      <c r="O173" s="12"/>
      <c r="P173" s="12"/>
      <c r="Q173" s="12"/>
      <c r="R173" s="36"/>
      <c r="S173" s="36"/>
      <c r="T173" s="12"/>
      <c r="U173" s="12"/>
      <c r="V173" s="12"/>
      <c r="W173" s="12"/>
      <c r="X173" s="12"/>
    </row>
    <row r="174" customFormat="false" ht="15.75" hidden="false" customHeight="false" outlineLevel="0" collapsed="false">
      <c r="A174" s="12"/>
      <c r="B174" s="34"/>
      <c r="C174" s="12"/>
      <c r="D174" s="12"/>
      <c r="E174" s="12"/>
      <c r="F174" s="12"/>
      <c r="G174" s="18"/>
      <c r="H174" s="35"/>
      <c r="I174" s="12"/>
      <c r="M174" s="12"/>
      <c r="N174" s="18"/>
      <c r="O174" s="12"/>
      <c r="P174" s="12"/>
      <c r="Q174" s="12"/>
      <c r="R174" s="36"/>
      <c r="S174" s="36"/>
      <c r="T174" s="12"/>
      <c r="U174" s="12"/>
      <c r="V174" s="12"/>
      <c r="W174" s="12"/>
      <c r="X174" s="12"/>
    </row>
    <row r="175" customFormat="false" ht="15.75" hidden="false" customHeight="false" outlineLevel="0" collapsed="false">
      <c r="A175" s="12"/>
      <c r="B175" s="34"/>
      <c r="C175" s="12"/>
      <c r="D175" s="12"/>
      <c r="E175" s="12"/>
      <c r="F175" s="12"/>
      <c r="G175" s="18"/>
      <c r="H175" s="35"/>
      <c r="I175" s="12"/>
      <c r="M175" s="12"/>
      <c r="N175" s="18"/>
      <c r="O175" s="12"/>
      <c r="P175" s="12"/>
      <c r="Q175" s="12"/>
      <c r="R175" s="36"/>
      <c r="S175" s="36"/>
      <c r="T175" s="12"/>
      <c r="U175" s="12"/>
      <c r="V175" s="12"/>
      <c r="W175" s="12"/>
      <c r="X175" s="12"/>
    </row>
    <row r="176" customFormat="false" ht="15.75" hidden="false" customHeight="false" outlineLevel="0" collapsed="false">
      <c r="A176" s="12"/>
      <c r="B176" s="34"/>
      <c r="C176" s="12"/>
      <c r="D176" s="12"/>
      <c r="E176" s="12"/>
      <c r="F176" s="12"/>
      <c r="G176" s="18"/>
      <c r="H176" s="35"/>
      <c r="I176" s="12"/>
      <c r="M176" s="12"/>
      <c r="N176" s="18"/>
      <c r="O176" s="12"/>
      <c r="P176" s="12"/>
      <c r="Q176" s="12"/>
      <c r="R176" s="36"/>
      <c r="S176" s="36"/>
      <c r="T176" s="12"/>
      <c r="U176" s="12"/>
      <c r="V176" s="12"/>
      <c r="W176" s="12"/>
      <c r="X176" s="12"/>
    </row>
    <row r="177" customFormat="false" ht="15.75" hidden="false" customHeight="false" outlineLevel="0" collapsed="false">
      <c r="A177" s="12"/>
      <c r="B177" s="34"/>
      <c r="C177" s="12"/>
      <c r="D177" s="12"/>
      <c r="E177" s="12"/>
      <c r="F177" s="12"/>
      <c r="G177" s="18"/>
      <c r="H177" s="35"/>
      <c r="I177" s="12"/>
      <c r="M177" s="12"/>
      <c r="N177" s="18"/>
      <c r="O177" s="12"/>
      <c r="P177" s="12"/>
      <c r="Q177" s="12"/>
      <c r="R177" s="36"/>
      <c r="S177" s="36"/>
      <c r="T177" s="12"/>
      <c r="U177" s="12"/>
      <c r="V177" s="12"/>
      <c r="W177" s="12"/>
      <c r="X177" s="12"/>
    </row>
    <row r="178" customFormat="false" ht="15.75" hidden="false" customHeight="false" outlineLevel="0" collapsed="false">
      <c r="A178" s="12"/>
      <c r="B178" s="34"/>
      <c r="C178" s="12"/>
      <c r="D178" s="12"/>
      <c r="E178" s="12"/>
      <c r="F178" s="12"/>
      <c r="G178" s="18"/>
      <c r="H178" s="35"/>
      <c r="I178" s="12"/>
      <c r="M178" s="12"/>
      <c r="N178" s="18"/>
      <c r="O178" s="12"/>
      <c r="P178" s="12"/>
      <c r="Q178" s="12"/>
      <c r="R178" s="36"/>
      <c r="S178" s="36"/>
      <c r="T178" s="12"/>
      <c r="U178" s="12"/>
      <c r="V178" s="12"/>
      <c r="W178" s="12"/>
      <c r="X178" s="12"/>
    </row>
    <row r="179" customFormat="false" ht="15.75" hidden="false" customHeight="false" outlineLevel="0" collapsed="false">
      <c r="A179" s="12"/>
      <c r="B179" s="34"/>
      <c r="C179" s="12"/>
      <c r="D179" s="12"/>
      <c r="E179" s="12"/>
      <c r="F179" s="12"/>
      <c r="G179" s="18"/>
      <c r="H179" s="35"/>
      <c r="I179" s="12"/>
      <c r="M179" s="12"/>
      <c r="N179" s="18"/>
      <c r="O179" s="12"/>
      <c r="P179" s="12"/>
      <c r="Q179" s="12"/>
      <c r="R179" s="36"/>
      <c r="S179" s="36"/>
      <c r="T179" s="12"/>
      <c r="U179" s="12"/>
      <c r="V179" s="12"/>
      <c r="W179" s="12"/>
      <c r="X179" s="12"/>
    </row>
    <row r="180" customFormat="false" ht="15.75" hidden="false" customHeight="false" outlineLevel="0" collapsed="false">
      <c r="A180" s="12"/>
      <c r="B180" s="34"/>
      <c r="C180" s="12"/>
      <c r="D180" s="12"/>
      <c r="E180" s="12"/>
      <c r="F180" s="12"/>
      <c r="G180" s="18"/>
      <c r="H180" s="35"/>
      <c r="I180" s="12"/>
      <c r="M180" s="12"/>
      <c r="N180" s="18"/>
      <c r="O180" s="12"/>
      <c r="P180" s="12"/>
      <c r="Q180" s="12"/>
      <c r="R180" s="36"/>
      <c r="S180" s="36"/>
      <c r="T180" s="12"/>
      <c r="U180" s="12"/>
      <c r="V180" s="12"/>
      <c r="W180" s="12"/>
      <c r="X180" s="12"/>
    </row>
    <row r="181" customFormat="false" ht="15.75" hidden="false" customHeight="false" outlineLevel="0" collapsed="false">
      <c r="A181" s="12"/>
      <c r="B181" s="34"/>
      <c r="C181" s="12"/>
      <c r="D181" s="12"/>
      <c r="E181" s="12"/>
      <c r="F181" s="12"/>
      <c r="G181" s="18"/>
      <c r="H181" s="35"/>
      <c r="I181" s="12"/>
      <c r="M181" s="12"/>
      <c r="N181" s="18"/>
      <c r="O181" s="12"/>
      <c r="P181" s="12"/>
      <c r="Q181" s="12"/>
      <c r="R181" s="36"/>
      <c r="S181" s="36"/>
      <c r="T181" s="12"/>
      <c r="U181" s="12"/>
      <c r="V181" s="12"/>
      <c r="W181" s="12"/>
      <c r="X181" s="12"/>
    </row>
    <row r="182" customFormat="false" ht="15.75" hidden="false" customHeight="false" outlineLevel="0" collapsed="false">
      <c r="A182" s="12"/>
      <c r="B182" s="34"/>
      <c r="C182" s="12"/>
      <c r="D182" s="12"/>
      <c r="E182" s="12"/>
      <c r="F182" s="12"/>
      <c r="G182" s="18"/>
      <c r="H182" s="35"/>
      <c r="I182" s="12"/>
      <c r="M182" s="12"/>
      <c r="N182" s="18"/>
      <c r="O182" s="12"/>
      <c r="P182" s="12"/>
      <c r="Q182" s="12"/>
      <c r="R182" s="36"/>
      <c r="S182" s="36"/>
      <c r="T182" s="12"/>
      <c r="U182" s="12"/>
      <c r="V182" s="12"/>
      <c r="W182" s="12"/>
      <c r="X182" s="12"/>
    </row>
    <row r="183" customFormat="false" ht="15.75" hidden="false" customHeight="false" outlineLevel="0" collapsed="false">
      <c r="A183" s="12"/>
      <c r="B183" s="34"/>
      <c r="C183" s="12"/>
      <c r="D183" s="12"/>
      <c r="E183" s="12"/>
      <c r="F183" s="12"/>
      <c r="G183" s="18"/>
      <c r="H183" s="35"/>
      <c r="I183" s="12"/>
      <c r="M183" s="12"/>
      <c r="N183" s="18"/>
      <c r="O183" s="12"/>
      <c r="P183" s="12"/>
      <c r="Q183" s="12"/>
      <c r="R183" s="36"/>
      <c r="S183" s="36"/>
      <c r="T183" s="12"/>
      <c r="U183" s="12"/>
      <c r="V183" s="12"/>
      <c r="W183" s="12"/>
      <c r="X183" s="12"/>
    </row>
    <row r="184" customFormat="false" ht="15.75" hidden="false" customHeight="false" outlineLevel="0" collapsed="false">
      <c r="A184" s="12"/>
      <c r="B184" s="34"/>
      <c r="C184" s="12"/>
      <c r="D184" s="12"/>
      <c r="E184" s="12"/>
      <c r="F184" s="12"/>
      <c r="G184" s="18"/>
      <c r="H184" s="35"/>
      <c r="I184" s="12"/>
      <c r="M184" s="12"/>
      <c r="N184" s="18"/>
      <c r="O184" s="12"/>
      <c r="P184" s="12"/>
      <c r="Q184" s="12"/>
      <c r="R184" s="36"/>
      <c r="S184" s="36"/>
      <c r="T184" s="12"/>
      <c r="U184" s="12"/>
      <c r="V184" s="12"/>
      <c r="W184" s="12"/>
      <c r="X184" s="12"/>
    </row>
    <row r="185" customFormat="false" ht="15.75" hidden="false" customHeight="false" outlineLevel="0" collapsed="false">
      <c r="A185" s="12"/>
      <c r="B185" s="34"/>
      <c r="C185" s="12"/>
      <c r="D185" s="12"/>
      <c r="E185" s="12"/>
      <c r="F185" s="12"/>
      <c r="G185" s="18"/>
      <c r="H185" s="35"/>
      <c r="I185" s="12"/>
      <c r="M185" s="12"/>
      <c r="N185" s="18"/>
      <c r="O185" s="12"/>
      <c r="P185" s="12"/>
      <c r="Q185" s="12"/>
      <c r="R185" s="36"/>
      <c r="S185" s="36"/>
      <c r="T185" s="12"/>
      <c r="U185" s="12"/>
      <c r="V185" s="12"/>
      <c r="W185" s="12"/>
      <c r="X185" s="12"/>
    </row>
    <row r="186" customFormat="false" ht="15.75" hidden="false" customHeight="false" outlineLevel="0" collapsed="false">
      <c r="A186" s="12"/>
      <c r="B186" s="34"/>
      <c r="C186" s="12"/>
      <c r="D186" s="12"/>
      <c r="E186" s="12"/>
      <c r="F186" s="12"/>
      <c r="G186" s="18"/>
      <c r="H186" s="35"/>
      <c r="I186" s="12"/>
      <c r="M186" s="12"/>
      <c r="N186" s="18"/>
      <c r="O186" s="12"/>
      <c r="P186" s="12"/>
      <c r="Q186" s="12"/>
      <c r="R186" s="36"/>
      <c r="S186" s="36"/>
      <c r="T186" s="12"/>
      <c r="U186" s="12"/>
      <c r="V186" s="12"/>
      <c r="W186" s="12"/>
      <c r="X186" s="12"/>
    </row>
    <row r="187" customFormat="false" ht="15.75" hidden="false" customHeight="false" outlineLevel="0" collapsed="false">
      <c r="A187" s="12"/>
      <c r="B187" s="34"/>
      <c r="C187" s="12"/>
      <c r="D187" s="12"/>
      <c r="E187" s="12"/>
      <c r="F187" s="12"/>
      <c r="G187" s="18"/>
      <c r="H187" s="35"/>
      <c r="I187" s="12"/>
      <c r="M187" s="12"/>
      <c r="N187" s="18"/>
      <c r="O187" s="12"/>
      <c r="P187" s="12"/>
      <c r="Q187" s="12"/>
      <c r="R187" s="36"/>
      <c r="S187" s="36"/>
      <c r="T187" s="12"/>
      <c r="U187" s="12"/>
      <c r="V187" s="12"/>
      <c r="W187" s="12"/>
      <c r="X187" s="12"/>
    </row>
    <row r="188" customFormat="false" ht="15.75" hidden="false" customHeight="false" outlineLevel="0" collapsed="false">
      <c r="A188" s="12"/>
      <c r="B188" s="34"/>
      <c r="C188" s="12"/>
      <c r="D188" s="12"/>
      <c r="E188" s="12"/>
      <c r="F188" s="12"/>
      <c r="G188" s="18"/>
      <c r="H188" s="35"/>
      <c r="I188" s="12"/>
      <c r="M188" s="12"/>
      <c r="N188" s="18"/>
      <c r="O188" s="12"/>
      <c r="P188" s="12"/>
      <c r="Q188" s="12"/>
      <c r="R188" s="36"/>
      <c r="S188" s="36"/>
      <c r="T188" s="12"/>
      <c r="U188" s="12"/>
      <c r="V188" s="12"/>
      <c r="W188" s="12"/>
      <c r="X188" s="12"/>
    </row>
    <row r="189" customFormat="false" ht="15.75" hidden="false" customHeight="false" outlineLevel="0" collapsed="false">
      <c r="A189" s="12"/>
      <c r="B189" s="34"/>
      <c r="C189" s="12"/>
      <c r="D189" s="12"/>
      <c r="E189" s="12"/>
      <c r="F189" s="12"/>
      <c r="G189" s="18"/>
      <c r="H189" s="35"/>
      <c r="I189" s="12"/>
      <c r="M189" s="12"/>
      <c r="N189" s="18"/>
      <c r="O189" s="12"/>
      <c r="P189" s="12"/>
      <c r="Q189" s="12"/>
      <c r="R189" s="36"/>
      <c r="S189" s="36"/>
      <c r="T189" s="12"/>
      <c r="U189" s="12"/>
      <c r="V189" s="12"/>
      <c r="W189" s="12"/>
      <c r="X189" s="12"/>
    </row>
    <row r="190" customFormat="false" ht="15.75" hidden="false" customHeight="false" outlineLevel="0" collapsed="false">
      <c r="A190" s="12"/>
      <c r="B190" s="34"/>
      <c r="C190" s="12"/>
      <c r="D190" s="12"/>
      <c r="E190" s="12"/>
      <c r="F190" s="12"/>
      <c r="G190" s="18"/>
      <c r="H190" s="35"/>
      <c r="I190" s="12"/>
      <c r="M190" s="12"/>
      <c r="N190" s="18"/>
      <c r="O190" s="12"/>
      <c r="P190" s="12"/>
      <c r="Q190" s="12"/>
      <c r="R190" s="36"/>
      <c r="S190" s="36"/>
      <c r="T190" s="12"/>
      <c r="U190" s="12"/>
      <c r="V190" s="12"/>
      <c r="W190" s="12"/>
      <c r="X190" s="12"/>
    </row>
    <row r="191" customFormat="false" ht="15.75" hidden="false" customHeight="false" outlineLevel="0" collapsed="false">
      <c r="A191" s="12"/>
      <c r="B191" s="34"/>
      <c r="C191" s="12"/>
      <c r="D191" s="12"/>
      <c r="E191" s="12"/>
      <c r="F191" s="12"/>
      <c r="G191" s="18"/>
      <c r="H191" s="35"/>
      <c r="I191" s="12"/>
      <c r="M191" s="12"/>
      <c r="N191" s="18"/>
      <c r="O191" s="12"/>
      <c r="P191" s="12"/>
      <c r="Q191" s="12"/>
      <c r="R191" s="36"/>
      <c r="S191" s="36"/>
      <c r="T191" s="12"/>
      <c r="U191" s="12"/>
      <c r="V191" s="12"/>
      <c r="W191" s="12"/>
      <c r="X191" s="12"/>
    </row>
    <row r="192" customFormat="false" ht="15.75" hidden="false" customHeight="false" outlineLevel="0" collapsed="false">
      <c r="A192" s="12"/>
      <c r="B192" s="34"/>
      <c r="C192" s="12"/>
      <c r="D192" s="12"/>
      <c r="E192" s="12"/>
      <c r="F192" s="12"/>
      <c r="G192" s="18"/>
      <c r="H192" s="35"/>
      <c r="I192" s="12"/>
      <c r="M192" s="12"/>
      <c r="N192" s="18"/>
      <c r="O192" s="12"/>
      <c r="P192" s="12"/>
      <c r="Q192" s="12"/>
      <c r="R192" s="36"/>
      <c r="S192" s="36"/>
      <c r="T192" s="12"/>
      <c r="U192" s="12"/>
      <c r="V192" s="12"/>
      <c r="W192" s="12"/>
      <c r="X192" s="12"/>
    </row>
    <row r="193" customFormat="false" ht="15.75" hidden="false" customHeight="false" outlineLevel="0" collapsed="false">
      <c r="A193" s="12"/>
      <c r="B193" s="34"/>
      <c r="C193" s="12"/>
      <c r="D193" s="12"/>
      <c r="E193" s="12"/>
      <c r="F193" s="12"/>
      <c r="G193" s="18"/>
      <c r="H193" s="35"/>
      <c r="I193" s="12"/>
      <c r="M193" s="12"/>
      <c r="N193" s="18"/>
      <c r="O193" s="12"/>
      <c r="P193" s="12"/>
      <c r="Q193" s="12"/>
      <c r="R193" s="36"/>
      <c r="S193" s="36"/>
      <c r="T193" s="12"/>
      <c r="U193" s="12"/>
      <c r="V193" s="12"/>
      <c r="W193" s="12"/>
      <c r="X193" s="12"/>
    </row>
    <row r="194" customFormat="false" ht="15.75" hidden="false" customHeight="false" outlineLevel="0" collapsed="false">
      <c r="A194" s="12"/>
      <c r="B194" s="34"/>
      <c r="C194" s="12"/>
      <c r="D194" s="12"/>
      <c r="E194" s="12"/>
      <c r="F194" s="12"/>
      <c r="G194" s="18"/>
      <c r="H194" s="35"/>
      <c r="I194" s="12"/>
      <c r="M194" s="12"/>
      <c r="N194" s="18"/>
      <c r="O194" s="12"/>
      <c r="P194" s="12"/>
      <c r="Q194" s="12"/>
      <c r="R194" s="36"/>
      <c r="S194" s="36"/>
      <c r="T194" s="12"/>
      <c r="U194" s="12"/>
      <c r="V194" s="12"/>
      <c r="W194" s="12"/>
      <c r="X194" s="12"/>
    </row>
    <row r="195" customFormat="false" ht="15.75" hidden="false" customHeight="false" outlineLevel="0" collapsed="false">
      <c r="A195" s="12"/>
      <c r="B195" s="34"/>
      <c r="C195" s="12"/>
      <c r="D195" s="12"/>
      <c r="E195" s="12"/>
      <c r="F195" s="12"/>
      <c r="G195" s="18"/>
      <c r="H195" s="35"/>
      <c r="I195" s="12"/>
      <c r="M195" s="12"/>
      <c r="N195" s="18"/>
      <c r="O195" s="12"/>
      <c r="P195" s="12"/>
      <c r="Q195" s="12"/>
      <c r="R195" s="36"/>
      <c r="S195" s="36"/>
      <c r="T195" s="12"/>
      <c r="U195" s="12"/>
      <c r="V195" s="12"/>
      <c r="W195" s="12"/>
      <c r="X195" s="12"/>
    </row>
    <row r="196" customFormat="false" ht="15.75" hidden="false" customHeight="false" outlineLevel="0" collapsed="false">
      <c r="A196" s="12"/>
      <c r="B196" s="34"/>
      <c r="C196" s="12"/>
      <c r="D196" s="12"/>
      <c r="E196" s="12"/>
      <c r="F196" s="12"/>
      <c r="G196" s="18"/>
      <c r="H196" s="35"/>
      <c r="I196" s="12"/>
      <c r="M196" s="12"/>
      <c r="N196" s="18"/>
      <c r="O196" s="12"/>
      <c r="P196" s="12"/>
      <c r="Q196" s="12"/>
      <c r="R196" s="36"/>
      <c r="S196" s="36"/>
      <c r="T196" s="12"/>
      <c r="U196" s="12"/>
      <c r="V196" s="12"/>
      <c r="W196" s="12"/>
      <c r="X196" s="12"/>
    </row>
    <row r="197" customFormat="false" ht="15.75" hidden="false" customHeight="false" outlineLevel="0" collapsed="false">
      <c r="A197" s="12"/>
      <c r="B197" s="34"/>
      <c r="C197" s="12"/>
      <c r="D197" s="12"/>
      <c r="E197" s="12"/>
      <c r="F197" s="12"/>
      <c r="G197" s="18"/>
      <c r="H197" s="35"/>
      <c r="I197" s="12"/>
      <c r="M197" s="12"/>
      <c r="N197" s="18"/>
      <c r="O197" s="12"/>
      <c r="P197" s="12"/>
      <c r="Q197" s="12"/>
      <c r="R197" s="36"/>
      <c r="S197" s="36"/>
      <c r="T197" s="12"/>
      <c r="U197" s="12"/>
      <c r="V197" s="12"/>
      <c r="W197" s="12"/>
      <c r="X197" s="12"/>
    </row>
    <row r="198" customFormat="false" ht="15.75" hidden="false" customHeight="false" outlineLevel="0" collapsed="false">
      <c r="A198" s="12"/>
      <c r="B198" s="34"/>
      <c r="C198" s="12"/>
      <c r="D198" s="12"/>
      <c r="E198" s="12"/>
      <c r="F198" s="12"/>
      <c r="G198" s="18"/>
      <c r="H198" s="35"/>
      <c r="I198" s="12"/>
      <c r="M198" s="12"/>
      <c r="N198" s="18"/>
      <c r="O198" s="12"/>
      <c r="P198" s="12"/>
      <c r="Q198" s="12"/>
      <c r="R198" s="36"/>
      <c r="S198" s="36"/>
      <c r="T198" s="12"/>
      <c r="U198" s="12"/>
      <c r="V198" s="12"/>
      <c r="W198" s="12"/>
      <c r="X198" s="12"/>
    </row>
    <row r="199" customFormat="false" ht="15.75" hidden="false" customHeight="false" outlineLevel="0" collapsed="false">
      <c r="A199" s="12"/>
      <c r="B199" s="34"/>
      <c r="C199" s="12"/>
      <c r="D199" s="12"/>
      <c r="E199" s="12"/>
      <c r="F199" s="12"/>
      <c r="G199" s="18"/>
      <c r="H199" s="35"/>
      <c r="I199" s="12"/>
      <c r="M199" s="12"/>
      <c r="N199" s="18"/>
      <c r="O199" s="12"/>
      <c r="P199" s="12"/>
      <c r="Q199" s="12"/>
      <c r="R199" s="36"/>
      <c r="S199" s="36"/>
      <c r="T199" s="12"/>
      <c r="U199" s="12"/>
      <c r="V199" s="12"/>
      <c r="W199" s="12"/>
      <c r="X199" s="12"/>
    </row>
    <row r="200" customFormat="false" ht="15.75" hidden="false" customHeight="false" outlineLevel="0" collapsed="false">
      <c r="A200" s="12"/>
      <c r="B200" s="34"/>
      <c r="C200" s="12"/>
      <c r="D200" s="12"/>
      <c r="E200" s="12"/>
      <c r="F200" s="12"/>
      <c r="G200" s="18"/>
      <c r="H200" s="35"/>
      <c r="I200" s="12"/>
      <c r="M200" s="12"/>
      <c r="N200" s="18"/>
      <c r="O200" s="12"/>
      <c r="P200" s="12"/>
      <c r="Q200" s="12"/>
      <c r="R200" s="36"/>
      <c r="S200" s="36"/>
      <c r="T200" s="12"/>
      <c r="U200" s="12"/>
      <c r="V200" s="12"/>
      <c r="W200" s="12"/>
      <c r="X200" s="12"/>
    </row>
    <row r="201" customFormat="false" ht="15.75" hidden="false" customHeight="false" outlineLevel="0" collapsed="false">
      <c r="A201" s="12"/>
      <c r="B201" s="34"/>
      <c r="C201" s="12"/>
      <c r="D201" s="12"/>
      <c r="E201" s="12"/>
      <c r="F201" s="12"/>
      <c r="G201" s="18"/>
      <c r="H201" s="35"/>
      <c r="I201" s="12"/>
      <c r="M201" s="12"/>
      <c r="N201" s="18"/>
      <c r="O201" s="12"/>
      <c r="P201" s="12"/>
      <c r="Q201" s="12"/>
      <c r="R201" s="36"/>
      <c r="S201" s="36"/>
      <c r="T201" s="12"/>
      <c r="U201" s="12"/>
      <c r="V201" s="12"/>
      <c r="W201" s="12"/>
      <c r="X201" s="12"/>
    </row>
    <row r="202" customFormat="false" ht="15.75" hidden="false" customHeight="false" outlineLevel="0" collapsed="false">
      <c r="A202" s="12"/>
      <c r="B202" s="34"/>
      <c r="C202" s="12"/>
      <c r="D202" s="12"/>
      <c r="E202" s="12"/>
      <c r="F202" s="12"/>
      <c r="G202" s="18"/>
      <c r="H202" s="35"/>
      <c r="I202" s="12"/>
      <c r="M202" s="12"/>
      <c r="N202" s="18"/>
      <c r="O202" s="12"/>
      <c r="P202" s="12"/>
      <c r="Q202" s="12"/>
      <c r="R202" s="36"/>
      <c r="S202" s="36"/>
      <c r="T202" s="12"/>
      <c r="U202" s="12"/>
      <c r="V202" s="12"/>
      <c r="W202" s="12"/>
      <c r="X202" s="12"/>
    </row>
    <row r="203" customFormat="false" ht="15.75" hidden="false" customHeight="false" outlineLevel="0" collapsed="false">
      <c r="A203" s="12"/>
      <c r="B203" s="34"/>
      <c r="C203" s="12"/>
      <c r="D203" s="12"/>
      <c r="E203" s="12"/>
      <c r="F203" s="12"/>
      <c r="G203" s="18"/>
      <c r="H203" s="35"/>
      <c r="I203" s="12"/>
      <c r="M203" s="12"/>
      <c r="N203" s="18"/>
      <c r="O203" s="12"/>
      <c r="P203" s="12"/>
      <c r="Q203" s="12"/>
      <c r="R203" s="36"/>
      <c r="S203" s="36"/>
      <c r="T203" s="12"/>
      <c r="U203" s="12"/>
      <c r="V203" s="12"/>
      <c r="W203" s="12"/>
      <c r="X203" s="12"/>
    </row>
    <row r="204" customFormat="false" ht="15.75" hidden="false" customHeight="false" outlineLevel="0" collapsed="false">
      <c r="A204" s="12"/>
      <c r="B204" s="34"/>
      <c r="C204" s="12"/>
      <c r="D204" s="12"/>
      <c r="E204" s="12"/>
      <c r="F204" s="12"/>
      <c r="G204" s="18"/>
      <c r="H204" s="35"/>
      <c r="I204" s="12"/>
      <c r="M204" s="12"/>
      <c r="N204" s="18"/>
      <c r="O204" s="12"/>
      <c r="P204" s="12"/>
      <c r="Q204" s="12"/>
      <c r="R204" s="36"/>
      <c r="S204" s="36"/>
      <c r="T204" s="12"/>
      <c r="U204" s="12"/>
      <c r="V204" s="12"/>
      <c r="W204" s="12"/>
      <c r="X204" s="12"/>
    </row>
    <row r="205" customFormat="false" ht="15.75" hidden="false" customHeight="false" outlineLevel="0" collapsed="false">
      <c r="A205" s="12"/>
      <c r="B205" s="34"/>
      <c r="C205" s="12"/>
      <c r="D205" s="12"/>
      <c r="E205" s="12"/>
      <c r="F205" s="12"/>
      <c r="G205" s="18"/>
      <c r="H205" s="35"/>
      <c r="I205" s="12"/>
      <c r="M205" s="12"/>
      <c r="N205" s="18"/>
      <c r="O205" s="12"/>
      <c r="P205" s="12"/>
      <c r="Q205" s="12"/>
      <c r="R205" s="36"/>
      <c r="S205" s="36"/>
      <c r="T205" s="12"/>
      <c r="U205" s="12"/>
      <c r="V205" s="12"/>
      <c r="W205" s="12"/>
      <c r="X205" s="12"/>
    </row>
    <row r="206" customFormat="false" ht="15.75" hidden="false" customHeight="false" outlineLevel="0" collapsed="false">
      <c r="A206" s="12"/>
      <c r="B206" s="34"/>
      <c r="C206" s="12"/>
      <c r="D206" s="12"/>
      <c r="E206" s="12"/>
      <c r="F206" s="12"/>
      <c r="G206" s="18"/>
      <c r="H206" s="35"/>
      <c r="I206" s="12"/>
      <c r="M206" s="12"/>
      <c r="N206" s="18"/>
      <c r="O206" s="12"/>
      <c r="P206" s="12"/>
      <c r="Q206" s="12"/>
      <c r="R206" s="36"/>
      <c r="S206" s="36"/>
      <c r="T206" s="12"/>
      <c r="U206" s="12"/>
      <c r="V206" s="12"/>
      <c r="W206" s="12"/>
      <c r="X206" s="12"/>
    </row>
    <row r="207" customFormat="false" ht="15.75" hidden="false" customHeight="false" outlineLevel="0" collapsed="false">
      <c r="A207" s="12"/>
      <c r="B207" s="34"/>
      <c r="C207" s="12"/>
      <c r="D207" s="12"/>
      <c r="E207" s="12"/>
      <c r="F207" s="12"/>
      <c r="G207" s="18"/>
      <c r="H207" s="35"/>
      <c r="I207" s="12"/>
      <c r="M207" s="12"/>
      <c r="N207" s="18"/>
      <c r="O207" s="12"/>
      <c r="P207" s="12"/>
      <c r="Q207" s="12"/>
      <c r="R207" s="36"/>
      <c r="S207" s="36"/>
      <c r="T207" s="12"/>
      <c r="U207" s="12"/>
      <c r="V207" s="12"/>
      <c r="W207" s="12"/>
      <c r="X207" s="12"/>
    </row>
    <row r="208" customFormat="false" ht="15.75" hidden="false" customHeight="false" outlineLevel="0" collapsed="false">
      <c r="A208" s="12"/>
      <c r="B208" s="34"/>
      <c r="C208" s="12"/>
      <c r="D208" s="12"/>
      <c r="E208" s="12"/>
      <c r="F208" s="12"/>
      <c r="G208" s="18"/>
      <c r="H208" s="35"/>
      <c r="I208" s="12"/>
      <c r="M208" s="12"/>
      <c r="N208" s="18"/>
      <c r="O208" s="12"/>
      <c r="P208" s="12"/>
      <c r="Q208" s="12"/>
      <c r="R208" s="36"/>
      <c r="S208" s="36"/>
      <c r="T208" s="12"/>
      <c r="U208" s="12"/>
      <c r="V208" s="12"/>
      <c r="W208" s="12"/>
      <c r="X208" s="12"/>
    </row>
    <row r="209" customFormat="false" ht="15.75" hidden="false" customHeight="false" outlineLevel="0" collapsed="false">
      <c r="A209" s="12"/>
      <c r="B209" s="34"/>
      <c r="C209" s="12"/>
      <c r="D209" s="12"/>
      <c r="E209" s="12"/>
      <c r="F209" s="12"/>
      <c r="G209" s="18"/>
      <c r="H209" s="35"/>
      <c r="I209" s="12"/>
      <c r="M209" s="12"/>
      <c r="N209" s="18"/>
      <c r="O209" s="12"/>
      <c r="P209" s="12"/>
      <c r="Q209" s="12"/>
      <c r="R209" s="36"/>
      <c r="S209" s="36"/>
      <c r="T209" s="12"/>
      <c r="U209" s="12"/>
      <c r="V209" s="12"/>
      <c r="W209" s="12"/>
      <c r="X209" s="12"/>
    </row>
    <row r="210" customFormat="false" ht="15.75" hidden="false" customHeight="false" outlineLevel="0" collapsed="false">
      <c r="A210" s="12"/>
      <c r="B210" s="34"/>
      <c r="C210" s="12"/>
      <c r="D210" s="12"/>
      <c r="E210" s="12"/>
      <c r="F210" s="12"/>
      <c r="G210" s="18"/>
      <c r="H210" s="35"/>
      <c r="I210" s="12"/>
      <c r="M210" s="12"/>
      <c r="N210" s="18"/>
      <c r="O210" s="12"/>
      <c r="P210" s="12"/>
      <c r="Q210" s="12"/>
      <c r="R210" s="36"/>
      <c r="S210" s="36"/>
      <c r="T210" s="12"/>
      <c r="U210" s="12"/>
      <c r="V210" s="12"/>
      <c r="W210" s="12"/>
      <c r="X210" s="12"/>
    </row>
    <row r="211" customFormat="false" ht="15.75" hidden="false" customHeight="false" outlineLevel="0" collapsed="false">
      <c r="A211" s="12"/>
      <c r="B211" s="34"/>
      <c r="C211" s="12"/>
      <c r="D211" s="12"/>
      <c r="E211" s="12"/>
      <c r="F211" s="12"/>
      <c r="G211" s="18"/>
      <c r="H211" s="35"/>
      <c r="I211" s="12"/>
      <c r="M211" s="12"/>
      <c r="N211" s="18"/>
      <c r="O211" s="12"/>
      <c r="P211" s="12"/>
      <c r="Q211" s="12"/>
      <c r="R211" s="36"/>
      <c r="S211" s="36"/>
      <c r="T211" s="12"/>
      <c r="U211" s="12"/>
      <c r="V211" s="12"/>
      <c r="W211" s="12"/>
      <c r="X211" s="12"/>
    </row>
    <row r="212" customFormat="false" ht="15.75" hidden="false" customHeight="false" outlineLevel="0" collapsed="false">
      <c r="A212" s="12"/>
      <c r="B212" s="34"/>
      <c r="C212" s="12"/>
      <c r="D212" s="12"/>
      <c r="E212" s="12"/>
      <c r="F212" s="12"/>
      <c r="G212" s="18"/>
      <c r="H212" s="35"/>
      <c r="I212" s="12"/>
      <c r="M212" s="12"/>
      <c r="N212" s="18"/>
      <c r="O212" s="12"/>
      <c r="P212" s="12"/>
      <c r="Q212" s="12"/>
      <c r="R212" s="36"/>
      <c r="S212" s="36"/>
      <c r="T212" s="12"/>
      <c r="U212" s="12"/>
      <c r="V212" s="12"/>
      <c r="W212" s="12"/>
      <c r="X212" s="12"/>
    </row>
    <row r="213" customFormat="false" ht="15.75" hidden="false" customHeight="false" outlineLevel="0" collapsed="false">
      <c r="A213" s="12"/>
      <c r="B213" s="34"/>
      <c r="C213" s="12"/>
      <c r="D213" s="12"/>
      <c r="E213" s="12"/>
      <c r="F213" s="12"/>
      <c r="G213" s="18"/>
      <c r="H213" s="35"/>
      <c r="I213" s="12"/>
      <c r="M213" s="12"/>
      <c r="N213" s="18"/>
      <c r="O213" s="12"/>
      <c r="P213" s="12"/>
      <c r="Q213" s="12"/>
      <c r="R213" s="36"/>
      <c r="S213" s="36"/>
      <c r="T213" s="12"/>
      <c r="U213" s="12"/>
      <c r="V213" s="12"/>
      <c r="W213" s="12"/>
      <c r="X213" s="12"/>
    </row>
    <row r="214" customFormat="false" ht="15.75" hidden="false" customHeight="false" outlineLevel="0" collapsed="false">
      <c r="A214" s="12"/>
      <c r="B214" s="34"/>
      <c r="C214" s="12"/>
      <c r="D214" s="12"/>
      <c r="E214" s="12"/>
      <c r="F214" s="12"/>
      <c r="G214" s="18"/>
      <c r="H214" s="35"/>
      <c r="I214" s="12"/>
      <c r="M214" s="12"/>
      <c r="N214" s="18"/>
      <c r="O214" s="12"/>
      <c r="P214" s="12"/>
      <c r="Q214" s="12"/>
      <c r="R214" s="36"/>
      <c r="S214" s="36"/>
      <c r="T214" s="12"/>
      <c r="U214" s="12"/>
      <c r="V214" s="12"/>
      <c r="W214" s="12"/>
      <c r="X214" s="12"/>
    </row>
    <row r="215" customFormat="false" ht="15.75" hidden="false" customHeight="false" outlineLevel="0" collapsed="false">
      <c r="A215" s="12"/>
      <c r="B215" s="34"/>
      <c r="C215" s="12"/>
      <c r="D215" s="12"/>
      <c r="E215" s="12"/>
      <c r="F215" s="12"/>
      <c r="G215" s="18"/>
      <c r="H215" s="35"/>
      <c r="I215" s="12"/>
      <c r="M215" s="12"/>
      <c r="N215" s="18"/>
      <c r="O215" s="12"/>
      <c r="P215" s="12"/>
      <c r="Q215" s="12"/>
      <c r="R215" s="36"/>
      <c r="S215" s="36"/>
      <c r="T215" s="12"/>
      <c r="U215" s="12"/>
      <c r="V215" s="12"/>
      <c r="W215" s="12"/>
      <c r="X215" s="12"/>
    </row>
    <row r="216" customFormat="false" ht="15.75" hidden="false" customHeight="false" outlineLevel="0" collapsed="false">
      <c r="A216" s="12"/>
      <c r="B216" s="34"/>
      <c r="C216" s="12"/>
      <c r="D216" s="12"/>
      <c r="E216" s="12"/>
      <c r="F216" s="12"/>
      <c r="G216" s="18"/>
      <c r="H216" s="35"/>
      <c r="I216" s="12"/>
      <c r="M216" s="12"/>
      <c r="N216" s="18"/>
      <c r="O216" s="12"/>
      <c r="P216" s="12"/>
      <c r="Q216" s="12"/>
      <c r="R216" s="36"/>
      <c r="S216" s="36"/>
      <c r="T216" s="12"/>
      <c r="U216" s="12"/>
      <c r="V216" s="12"/>
      <c r="W216" s="12"/>
      <c r="X216" s="12"/>
    </row>
    <row r="217" customFormat="false" ht="15.75" hidden="false" customHeight="false" outlineLevel="0" collapsed="false">
      <c r="A217" s="12"/>
      <c r="B217" s="34"/>
      <c r="C217" s="12"/>
      <c r="D217" s="12"/>
      <c r="E217" s="12"/>
      <c r="F217" s="12"/>
      <c r="G217" s="18"/>
      <c r="H217" s="35"/>
      <c r="I217" s="12"/>
      <c r="M217" s="12"/>
      <c r="N217" s="18"/>
      <c r="O217" s="12"/>
      <c r="P217" s="12"/>
      <c r="Q217" s="12"/>
      <c r="R217" s="36"/>
      <c r="S217" s="36"/>
      <c r="T217" s="12"/>
      <c r="U217" s="12"/>
      <c r="V217" s="12"/>
      <c r="W217" s="12"/>
      <c r="X217" s="12"/>
    </row>
    <row r="218" customFormat="false" ht="15.75" hidden="false" customHeight="false" outlineLevel="0" collapsed="false">
      <c r="A218" s="12"/>
      <c r="B218" s="34"/>
      <c r="C218" s="12"/>
      <c r="D218" s="12"/>
      <c r="E218" s="12"/>
      <c r="F218" s="12"/>
      <c r="G218" s="18"/>
      <c r="H218" s="35"/>
      <c r="I218" s="12"/>
      <c r="M218" s="12"/>
      <c r="N218" s="18"/>
      <c r="O218" s="12"/>
      <c r="P218" s="12"/>
      <c r="Q218" s="12"/>
      <c r="R218" s="36"/>
      <c r="S218" s="36"/>
      <c r="T218" s="12"/>
      <c r="U218" s="12"/>
      <c r="V218" s="12"/>
      <c r="W218" s="12"/>
      <c r="X218" s="12"/>
    </row>
    <row r="219" customFormat="false" ht="15.75" hidden="false" customHeight="false" outlineLevel="0" collapsed="false">
      <c r="A219" s="12"/>
      <c r="B219" s="34"/>
      <c r="C219" s="12"/>
      <c r="D219" s="12"/>
      <c r="E219" s="12"/>
      <c r="F219" s="12"/>
      <c r="G219" s="18"/>
      <c r="H219" s="35"/>
      <c r="I219" s="12"/>
      <c r="M219" s="12"/>
      <c r="N219" s="18"/>
      <c r="O219" s="12"/>
      <c r="P219" s="12"/>
      <c r="Q219" s="12"/>
      <c r="R219" s="36"/>
      <c r="S219" s="36"/>
      <c r="T219" s="12"/>
      <c r="U219" s="12"/>
      <c r="V219" s="12"/>
      <c r="W219" s="12"/>
      <c r="X219" s="12"/>
    </row>
    <row r="220" customFormat="false" ht="15.75" hidden="false" customHeight="false" outlineLevel="0" collapsed="false">
      <c r="A220" s="12"/>
      <c r="B220" s="34"/>
      <c r="C220" s="12"/>
      <c r="D220" s="12"/>
      <c r="E220" s="12"/>
      <c r="F220" s="12"/>
      <c r="G220" s="18"/>
      <c r="H220" s="35"/>
      <c r="I220" s="12"/>
      <c r="M220" s="12"/>
      <c r="N220" s="18"/>
      <c r="O220" s="12"/>
      <c r="P220" s="12"/>
      <c r="Q220" s="12"/>
      <c r="R220" s="36"/>
      <c r="S220" s="36"/>
      <c r="T220" s="12"/>
      <c r="U220" s="12"/>
      <c r="V220" s="12"/>
      <c r="W220" s="12"/>
      <c r="X220" s="12"/>
    </row>
    <row r="221" customFormat="false" ht="15.75" hidden="false" customHeight="false" outlineLevel="0" collapsed="false">
      <c r="A221" s="12"/>
      <c r="B221" s="34"/>
      <c r="C221" s="12"/>
      <c r="D221" s="12"/>
      <c r="E221" s="12"/>
      <c r="F221" s="12"/>
      <c r="G221" s="18"/>
      <c r="H221" s="35"/>
      <c r="I221" s="12"/>
      <c r="M221" s="12"/>
      <c r="N221" s="18"/>
      <c r="O221" s="12"/>
      <c r="P221" s="12"/>
      <c r="Q221" s="12"/>
      <c r="R221" s="36"/>
      <c r="S221" s="36"/>
      <c r="T221" s="12"/>
      <c r="U221" s="12"/>
      <c r="V221" s="12"/>
      <c r="W221" s="12"/>
      <c r="X221" s="12"/>
    </row>
    <row r="222" customFormat="false" ht="15.75" hidden="false" customHeight="false" outlineLevel="0" collapsed="false">
      <c r="A222" s="12"/>
      <c r="B222" s="34"/>
      <c r="C222" s="12"/>
      <c r="D222" s="12"/>
      <c r="E222" s="12"/>
      <c r="F222" s="12"/>
      <c r="G222" s="18"/>
      <c r="H222" s="35"/>
      <c r="I222" s="12"/>
      <c r="M222" s="12"/>
      <c r="N222" s="18"/>
      <c r="O222" s="12"/>
      <c r="P222" s="12"/>
      <c r="Q222" s="12"/>
      <c r="R222" s="36"/>
      <c r="S222" s="36"/>
      <c r="T222" s="12"/>
      <c r="U222" s="12"/>
      <c r="V222" s="12"/>
      <c r="W222" s="12"/>
      <c r="X222" s="12"/>
    </row>
    <row r="223" customFormat="false" ht="15.75" hidden="false" customHeight="false" outlineLevel="0" collapsed="false">
      <c r="A223" s="12"/>
      <c r="B223" s="34"/>
      <c r="C223" s="12"/>
      <c r="D223" s="12"/>
      <c r="E223" s="12"/>
      <c r="F223" s="12"/>
      <c r="G223" s="18"/>
      <c r="H223" s="35"/>
      <c r="I223" s="12"/>
      <c r="M223" s="12"/>
      <c r="N223" s="18"/>
      <c r="O223" s="12"/>
      <c r="P223" s="12"/>
      <c r="Q223" s="12"/>
      <c r="R223" s="36"/>
      <c r="S223" s="36"/>
      <c r="T223" s="12"/>
      <c r="U223" s="12"/>
      <c r="V223" s="12"/>
      <c r="W223" s="12"/>
      <c r="X223" s="12"/>
    </row>
    <row r="224" customFormat="false" ht="15.75" hidden="false" customHeight="false" outlineLevel="0" collapsed="false">
      <c r="A224" s="12"/>
      <c r="B224" s="34"/>
      <c r="C224" s="12"/>
      <c r="D224" s="12"/>
      <c r="E224" s="12"/>
      <c r="F224" s="12"/>
      <c r="G224" s="18"/>
      <c r="H224" s="35"/>
      <c r="I224" s="12"/>
      <c r="M224" s="12"/>
      <c r="N224" s="18"/>
      <c r="O224" s="12"/>
      <c r="P224" s="12"/>
      <c r="Q224" s="12"/>
      <c r="R224" s="36"/>
      <c r="S224" s="36"/>
      <c r="T224" s="12"/>
      <c r="U224" s="12"/>
      <c r="V224" s="12"/>
      <c r="W224" s="12"/>
      <c r="X224" s="12"/>
    </row>
    <row r="225" customFormat="false" ht="15.75" hidden="false" customHeight="false" outlineLevel="0" collapsed="false">
      <c r="A225" s="12"/>
      <c r="B225" s="34"/>
      <c r="C225" s="12"/>
      <c r="D225" s="12"/>
      <c r="E225" s="12"/>
      <c r="F225" s="12"/>
      <c r="G225" s="18"/>
      <c r="H225" s="35"/>
      <c r="I225" s="12"/>
      <c r="M225" s="12"/>
      <c r="N225" s="18"/>
      <c r="O225" s="12"/>
      <c r="P225" s="12"/>
      <c r="Q225" s="12"/>
      <c r="R225" s="36"/>
      <c r="S225" s="36"/>
      <c r="T225" s="12"/>
      <c r="U225" s="12"/>
      <c r="V225" s="12"/>
      <c r="W225" s="12"/>
      <c r="X225" s="12"/>
    </row>
    <row r="226" customFormat="false" ht="15.75" hidden="false" customHeight="false" outlineLevel="0" collapsed="false">
      <c r="A226" s="12"/>
      <c r="B226" s="34"/>
      <c r="C226" s="12"/>
      <c r="D226" s="12"/>
      <c r="E226" s="12"/>
      <c r="F226" s="12"/>
      <c r="G226" s="18"/>
      <c r="H226" s="35"/>
      <c r="I226" s="12"/>
      <c r="M226" s="12"/>
      <c r="N226" s="18"/>
      <c r="O226" s="12"/>
      <c r="P226" s="12"/>
      <c r="Q226" s="12"/>
      <c r="R226" s="36"/>
      <c r="S226" s="36"/>
      <c r="T226" s="12"/>
      <c r="U226" s="12"/>
      <c r="V226" s="12"/>
      <c r="W226" s="12"/>
      <c r="X226" s="12"/>
    </row>
    <row r="227" customFormat="false" ht="15.75" hidden="false" customHeight="false" outlineLevel="0" collapsed="false">
      <c r="A227" s="12"/>
      <c r="B227" s="34"/>
      <c r="C227" s="12"/>
      <c r="D227" s="12"/>
      <c r="E227" s="12"/>
      <c r="F227" s="12"/>
      <c r="G227" s="18"/>
      <c r="H227" s="35"/>
      <c r="I227" s="12"/>
      <c r="M227" s="12"/>
      <c r="N227" s="18"/>
      <c r="O227" s="12"/>
      <c r="P227" s="12"/>
      <c r="Q227" s="12"/>
      <c r="R227" s="36"/>
      <c r="S227" s="36"/>
      <c r="T227" s="12"/>
      <c r="U227" s="12"/>
      <c r="V227" s="12"/>
      <c r="W227" s="12"/>
      <c r="X227" s="12"/>
    </row>
    <row r="228" customFormat="false" ht="15.75" hidden="false" customHeight="false" outlineLevel="0" collapsed="false">
      <c r="A228" s="12"/>
      <c r="B228" s="34"/>
      <c r="C228" s="12"/>
      <c r="D228" s="12"/>
      <c r="E228" s="12"/>
      <c r="F228" s="12"/>
      <c r="G228" s="18"/>
      <c r="H228" s="35"/>
      <c r="I228" s="12"/>
      <c r="M228" s="12"/>
      <c r="N228" s="18"/>
      <c r="O228" s="12"/>
      <c r="P228" s="12"/>
      <c r="Q228" s="12"/>
      <c r="R228" s="36"/>
      <c r="S228" s="36"/>
      <c r="T228" s="12"/>
      <c r="U228" s="12"/>
      <c r="V228" s="12"/>
      <c r="W228" s="12"/>
      <c r="X228" s="12"/>
    </row>
    <row r="229" customFormat="false" ht="15.75" hidden="false" customHeight="false" outlineLevel="0" collapsed="false">
      <c r="A229" s="12"/>
      <c r="B229" s="34"/>
      <c r="C229" s="12"/>
      <c r="D229" s="12"/>
      <c r="E229" s="12"/>
      <c r="F229" s="12"/>
      <c r="G229" s="18"/>
      <c r="H229" s="35"/>
      <c r="I229" s="12"/>
      <c r="M229" s="12"/>
      <c r="N229" s="18"/>
      <c r="O229" s="12"/>
      <c r="P229" s="12"/>
      <c r="Q229" s="12"/>
      <c r="R229" s="36"/>
      <c r="S229" s="36"/>
      <c r="T229" s="12"/>
      <c r="U229" s="12"/>
      <c r="V229" s="12"/>
      <c r="W229" s="12"/>
      <c r="X229" s="12"/>
    </row>
    <row r="230" customFormat="false" ht="15.75" hidden="false" customHeight="false" outlineLevel="0" collapsed="false">
      <c r="A230" s="12"/>
      <c r="B230" s="34"/>
      <c r="C230" s="12"/>
      <c r="D230" s="12"/>
      <c r="E230" s="12"/>
      <c r="F230" s="12"/>
      <c r="G230" s="18"/>
      <c r="H230" s="35"/>
      <c r="I230" s="12"/>
      <c r="M230" s="12"/>
      <c r="N230" s="18"/>
      <c r="O230" s="12"/>
      <c r="P230" s="12"/>
      <c r="Q230" s="12"/>
      <c r="R230" s="36"/>
      <c r="S230" s="36"/>
      <c r="T230" s="12"/>
      <c r="U230" s="12"/>
      <c r="V230" s="12"/>
      <c r="W230" s="12"/>
      <c r="X230" s="12"/>
    </row>
    <row r="231" customFormat="false" ht="15.75" hidden="false" customHeight="false" outlineLevel="0" collapsed="false">
      <c r="A231" s="12"/>
      <c r="B231" s="34"/>
      <c r="C231" s="12"/>
      <c r="D231" s="12"/>
      <c r="E231" s="12"/>
      <c r="F231" s="12"/>
      <c r="G231" s="18"/>
      <c r="H231" s="35"/>
      <c r="I231" s="12"/>
      <c r="M231" s="12"/>
      <c r="N231" s="18"/>
      <c r="O231" s="12"/>
      <c r="P231" s="12"/>
      <c r="Q231" s="12"/>
      <c r="R231" s="36"/>
      <c r="S231" s="36"/>
      <c r="T231" s="12"/>
      <c r="U231" s="12"/>
      <c r="V231" s="12"/>
      <c r="W231" s="12"/>
      <c r="X231" s="12"/>
    </row>
    <row r="232" customFormat="false" ht="15.75" hidden="false" customHeight="false" outlineLevel="0" collapsed="false">
      <c r="A232" s="12"/>
      <c r="B232" s="34"/>
      <c r="C232" s="12"/>
      <c r="D232" s="12"/>
      <c r="E232" s="12"/>
      <c r="F232" s="12"/>
      <c r="G232" s="18"/>
      <c r="H232" s="35"/>
      <c r="I232" s="12"/>
      <c r="M232" s="12"/>
      <c r="N232" s="18"/>
      <c r="O232" s="12"/>
      <c r="P232" s="12"/>
      <c r="Q232" s="12"/>
      <c r="R232" s="36"/>
      <c r="S232" s="36"/>
      <c r="T232" s="12"/>
      <c r="U232" s="12"/>
      <c r="V232" s="12"/>
      <c r="W232" s="12"/>
      <c r="X232" s="12"/>
    </row>
    <row r="233" customFormat="false" ht="15.75" hidden="false" customHeight="false" outlineLevel="0" collapsed="false">
      <c r="A233" s="12"/>
      <c r="B233" s="34"/>
      <c r="C233" s="12"/>
      <c r="D233" s="12"/>
      <c r="E233" s="12"/>
      <c r="F233" s="12"/>
      <c r="G233" s="18"/>
      <c r="H233" s="35"/>
      <c r="I233" s="12"/>
      <c r="M233" s="12"/>
      <c r="N233" s="18"/>
      <c r="O233" s="12"/>
      <c r="P233" s="12"/>
      <c r="Q233" s="12"/>
      <c r="R233" s="36"/>
      <c r="S233" s="36"/>
      <c r="T233" s="12"/>
      <c r="U233" s="12"/>
      <c r="V233" s="12"/>
      <c r="W233" s="12"/>
      <c r="X233" s="12"/>
    </row>
    <row r="234" customFormat="false" ht="15.75" hidden="false" customHeight="false" outlineLevel="0" collapsed="false">
      <c r="A234" s="12"/>
      <c r="B234" s="34"/>
      <c r="C234" s="12"/>
      <c r="D234" s="12"/>
      <c r="E234" s="12"/>
      <c r="F234" s="12"/>
      <c r="G234" s="18"/>
      <c r="H234" s="35"/>
      <c r="I234" s="12"/>
      <c r="M234" s="12"/>
      <c r="N234" s="18"/>
      <c r="O234" s="12"/>
      <c r="P234" s="12"/>
      <c r="Q234" s="12"/>
      <c r="R234" s="36"/>
      <c r="S234" s="36"/>
      <c r="T234" s="12"/>
      <c r="U234" s="12"/>
      <c r="V234" s="12"/>
      <c r="W234" s="12"/>
      <c r="X234" s="12"/>
    </row>
    <row r="235" customFormat="false" ht="15.75" hidden="false" customHeight="false" outlineLevel="0" collapsed="false">
      <c r="A235" s="12"/>
      <c r="B235" s="34"/>
      <c r="C235" s="12"/>
      <c r="D235" s="12"/>
      <c r="E235" s="12"/>
      <c r="F235" s="12"/>
      <c r="G235" s="18"/>
      <c r="H235" s="35"/>
      <c r="I235" s="12"/>
      <c r="M235" s="12"/>
      <c r="N235" s="18"/>
      <c r="O235" s="12"/>
      <c r="P235" s="12"/>
      <c r="Q235" s="12"/>
      <c r="R235" s="36"/>
      <c r="S235" s="36"/>
      <c r="T235" s="12"/>
      <c r="U235" s="12"/>
      <c r="V235" s="12"/>
      <c r="W235" s="12"/>
      <c r="X235" s="12"/>
    </row>
    <row r="236" customFormat="false" ht="15.75" hidden="false" customHeight="false" outlineLevel="0" collapsed="false">
      <c r="A236" s="12"/>
      <c r="B236" s="34"/>
      <c r="C236" s="12"/>
      <c r="D236" s="12"/>
      <c r="E236" s="12"/>
      <c r="F236" s="12"/>
      <c r="G236" s="18"/>
      <c r="H236" s="35"/>
      <c r="I236" s="12"/>
      <c r="M236" s="12"/>
      <c r="N236" s="18"/>
      <c r="O236" s="12"/>
      <c r="P236" s="12"/>
      <c r="Q236" s="12"/>
      <c r="R236" s="36"/>
      <c r="S236" s="36"/>
      <c r="T236" s="12"/>
      <c r="U236" s="12"/>
      <c r="V236" s="12"/>
      <c r="W236" s="12"/>
      <c r="X236" s="12"/>
    </row>
    <row r="237" customFormat="false" ht="15.75" hidden="false" customHeight="false" outlineLevel="0" collapsed="false">
      <c r="A237" s="12"/>
      <c r="B237" s="34"/>
      <c r="C237" s="12"/>
      <c r="D237" s="12"/>
      <c r="E237" s="12"/>
      <c r="F237" s="12"/>
      <c r="G237" s="18"/>
      <c r="H237" s="35"/>
      <c r="I237" s="12"/>
      <c r="M237" s="12"/>
      <c r="N237" s="18"/>
      <c r="O237" s="12"/>
      <c r="P237" s="12"/>
      <c r="Q237" s="12"/>
      <c r="R237" s="36"/>
      <c r="S237" s="36"/>
      <c r="T237" s="12"/>
      <c r="U237" s="12"/>
      <c r="V237" s="12"/>
      <c r="W237" s="12"/>
      <c r="X237" s="12"/>
    </row>
    <row r="238" customFormat="false" ht="15.75" hidden="false" customHeight="false" outlineLevel="0" collapsed="false">
      <c r="A238" s="12"/>
      <c r="B238" s="34"/>
      <c r="C238" s="12"/>
      <c r="D238" s="12"/>
      <c r="E238" s="12"/>
      <c r="F238" s="12"/>
      <c r="G238" s="18"/>
      <c r="H238" s="35"/>
      <c r="I238" s="12"/>
      <c r="M238" s="12"/>
      <c r="N238" s="18"/>
      <c r="O238" s="12"/>
      <c r="P238" s="12"/>
      <c r="Q238" s="12"/>
      <c r="R238" s="36"/>
      <c r="S238" s="36"/>
      <c r="T238" s="12"/>
      <c r="U238" s="12"/>
      <c r="V238" s="12"/>
      <c r="W238" s="12"/>
      <c r="X238" s="12"/>
    </row>
    <row r="239" customFormat="false" ht="15.75" hidden="false" customHeight="false" outlineLevel="0" collapsed="false">
      <c r="A239" s="12"/>
      <c r="B239" s="34"/>
      <c r="C239" s="12"/>
      <c r="D239" s="12"/>
      <c r="E239" s="12"/>
      <c r="F239" s="12"/>
      <c r="G239" s="18"/>
      <c r="H239" s="35"/>
      <c r="I239" s="12"/>
      <c r="M239" s="12"/>
      <c r="N239" s="18"/>
      <c r="O239" s="12"/>
      <c r="P239" s="12"/>
      <c r="Q239" s="12"/>
      <c r="R239" s="36"/>
      <c r="S239" s="36"/>
      <c r="T239" s="12"/>
      <c r="U239" s="12"/>
      <c r="V239" s="12"/>
      <c r="W239" s="12"/>
      <c r="X239" s="12"/>
    </row>
    <row r="240" customFormat="false" ht="15.75" hidden="false" customHeight="false" outlineLevel="0" collapsed="false">
      <c r="A240" s="12"/>
      <c r="B240" s="34"/>
      <c r="C240" s="12"/>
      <c r="D240" s="12"/>
      <c r="E240" s="12"/>
      <c r="F240" s="12"/>
      <c r="G240" s="18"/>
      <c r="H240" s="35"/>
      <c r="I240" s="12"/>
      <c r="M240" s="12"/>
      <c r="N240" s="18"/>
      <c r="O240" s="12"/>
      <c r="P240" s="12"/>
      <c r="Q240" s="12"/>
      <c r="R240" s="36"/>
      <c r="S240" s="36"/>
      <c r="T240" s="12"/>
      <c r="U240" s="12"/>
      <c r="V240" s="12"/>
      <c r="W240" s="12"/>
      <c r="X240" s="12"/>
    </row>
    <row r="241" customFormat="false" ht="15.75" hidden="false" customHeight="false" outlineLevel="0" collapsed="false">
      <c r="A241" s="12"/>
      <c r="B241" s="34"/>
      <c r="C241" s="12"/>
      <c r="D241" s="12"/>
      <c r="E241" s="12"/>
      <c r="F241" s="12"/>
      <c r="G241" s="18"/>
      <c r="H241" s="35"/>
      <c r="I241" s="12"/>
      <c r="M241" s="12"/>
      <c r="N241" s="18"/>
      <c r="O241" s="12"/>
      <c r="P241" s="12"/>
      <c r="Q241" s="12"/>
      <c r="R241" s="36"/>
      <c r="S241" s="36"/>
      <c r="T241" s="12"/>
      <c r="U241" s="12"/>
      <c r="V241" s="12"/>
      <c r="W241" s="12"/>
      <c r="X241" s="12"/>
    </row>
    <row r="242" customFormat="false" ht="15.75" hidden="false" customHeight="false" outlineLevel="0" collapsed="false">
      <c r="A242" s="12"/>
      <c r="B242" s="34"/>
      <c r="C242" s="12"/>
      <c r="D242" s="12"/>
      <c r="E242" s="12"/>
      <c r="F242" s="12"/>
      <c r="G242" s="18"/>
      <c r="H242" s="35"/>
      <c r="I242" s="12"/>
      <c r="M242" s="12"/>
      <c r="N242" s="18"/>
      <c r="O242" s="12"/>
      <c r="P242" s="12"/>
      <c r="Q242" s="12"/>
      <c r="R242" s="36"/>
      <c r="S242" s="36"/>
      <c r="T242" s="12"/>
      <c r="U242" s="12"/>
      <c r="V242" s="12"/>
      <c r="W242" s="12"/>
      <c r="X242" s="12"/>
    </row>
    <row r="243" customFormat="false" ht="15.75" hidden="false" customHeight="false" outlineLevel="0" collapsed="false">
      <c r="A243" s="12"/>
      <c r="B243" s="34"/>
      <c r="C243" s="12"/>
      <c r="D243" s="12"/>
      <c r="E243" s="12"/>
      <c r="F243" s="12"/>
      <c r="G243" s="18"/>
      <c r="H243" s="35"/>
      <c r="I243" s="12"/>
      <c r="M243" s="12"/>
      <c r="N243" s="18"/>
      <c r="O243" s="12"/>
      <c r="P243" s="12"/>
      <c r="Q243" s="12"/>
      <c r="R243" s="36"/>
      <c r="S243" s="36"/>
      <c r="T243" s="12"/>
      <c r="U243" s="12"/>
      <c r="V243" s="12"/>
      <c r="W243" s="12"/>
      <c r="X243" s="12"/>
    </row>
    <row r="244" customFormat="false" ht="15.75" hidden="false" customHeight="false" outlineLevel="0" collapsed="false">
      <c r="A244" s="12"/>
      <c r="B244" s="34"/>
      <c r="C244" s="12"/>
      <c r="D244" s="12"/>
      <c r="E244" s="12"/>
      <c r="F244" s="12"/>
      <c r="G244" s="18"/>
      <c r="H244" s="35"/>
      <c r="I244" s="12"/>
      <c r="M244" s="12"/>
      <c r="N244" s="18"/>
      <c r="O244" s="12"/>
      <c r="P244" s="12"/>
      <c r="Q244" s="12"/>
      <c r="R244" s="36"/>
      <c r="S244" s="36"/>
      <c r="T244" s="12"/>
      <c r="U244" s="12"/>
      <c r="V244" s="12"/>
      <c r="W244" s="12"/>
      <c r="X244" s="12"/>
    </row>
    <row r="245" customFormat="false" ht="15.75" hidden="false" customHeight="false" outlineLevel="0" collapsed="false">
      <c r="A245" s="12"/>
      <c r="B245" s="34"/>
      <c r="C245" s="12"/>
      <c r="D245" s="12"/>
      <c r="E245" s="12"/>
      <c r="F245" s="12"/>
      <c r="G245" s="18"/>
      <c r="H245" s="35"/>
      <c r="I245" s="12"/>
      <c r="M245" s="12"/>
      <c r="N245" s="18"/>
      <c r="O245" s="12"/>
      <c r="P245" s="12"/>
      <c r="Q245" s="12"/>
      <c r="R245" s="36"/>
      <c r="S245" s="36"/>
      <c r="T245" s="12"/>
      <c r="U245" s="12"/>
      <c r="V245" s="12"/>
      <c r="W245" s="12"/>
      <c r="X245" s="12"/>
    </row>
    <row r="246" customFormat="false" ht="15.75" hidden="false" customHeight="false" outlineLevel="0" collapsed="false">
      <c r="A246" s="12"/>
      <c r="B246" s="34"/>
      <c r="C246" s="12"/>
      <c r="D246" s="12"/>
      <c r="E246" s="12"/>
      <c r="F246" s="12"/>
      <c r="G246" s="18"/>
      <c r="H246" s="35"/>
      <c r="I246" s="12"/>
      <c r="M246" s="12"/>
      <c r="N246" s="18"/>
      <c r="O246" s="12"/>
      <c r="P246" s="12"/>
      <c r="Q246" s="12"/>
      <c r="R246" s="36"/>
      <c r="S246" s="36"/>
      <c r="T246" s="12"/>
      <c r="U246" s="12"/>
      <c r="V246" s="12"/>
      <c r="W246" s="12"/>
      <c r="X246" s="12"/>
    </row>
    <row r="247" customFormat="false" ht="15.75" hidden="false" customHeight="false" outlineLevel="0" collapsed="false">
      <c r="A247" s="12"/>
      <c r="B247" s="34"/>
      <c r="C247" s="12"/>
      <c r="D247" s="12"/>
      <c r="E247" s="12"/>
      <c r="F247" s="12"/>
      <c r="G247" s="18"/>
      <c r="H247" s="35"/>
      <c r="I247" s="12"/>
      <c r="M247" s="12"/>
      <c r="N247" s="18"/>
      <c r="O247" s="12"/>
      <c r="P247" s="12"/>
      <c r="Q247" s="12"/>
      <c r="R247" s="36"/>
      <c r="S247" s="36"/>
      <c r="T247" s="12"/>
      <c r="U247" s="12"/>
      <c r="V247" s="12"/>
      <c r="W247" s="12"/>
      <c r="X247" s="12"/>
    </row>
    <row r="248" customFormat="false" ht="15.75" hidden="false" customHeight="false" outlineLevel="0" collapsed="false">
      <c r="A248" s="12"/>
      <c r="B248" s="34"/>
      <c r="C248" s="12"/>
      <c r="D248" s="12"/>
      <c r="E248" s="12"/>
      <c r="F248" s="12"/>
      <c r="G248" s="18"/>
      <c r="H248" s="35"/>
      <c r="I248" s="12"/>
      <c r="M248" s="12"/>
      <c r="N248" s="18"/>
      <c r="O248" s="12"/>
      <c r="P248" s="12"/>
      <c r="Q248" s="12"/>
      <c r="R248" s="36"/>
      <c r="S248" s="36"/>
      <c r="T248" s="12"/>
      <c r="U248" s="12"/>
      <c r="V248" s="12"/>
      <c r="W248" s="12"/>
      <c r="X248" s="12"/>
    </row>
    <row r="249" customFormat="false" ht="15.75" hidden="false" customHeight="false" outlineLevel="0" collapsed="false">
      <c r="A249" s="12"/>
      <c r="B249" s="34"/>
      <c r="C249" s="12"/>
      <c r="D249" s="12"/>
      <c r="E249" s="12"/>
      <c r="F249" s="12"/>
      <c r="G249" s="18"/>
      <c r="H249" s="35"/>
      <c r="I249" s="12"/>
      <c r="M249" s="12"/>
      <c r="N249" s="18"/>
      <c r="O249" s="12"/>
      <c r="P249" s="12"/>
      <c r="Q249" s="12"/>
      <c r="R249" s="36"/>
      <c r="S249" s="36"/>
      <c r="T249" s="12"/>
      <c r="U249" s="12"/>
      <c r="V249" s="12"/>
      <c r="W249" s="12"/>
      <c r="X249" s="12"/>
    </row>
    <row r="250" customFormat="false" ht="15.75" hidden="false" customHeight="false" outlineLevel="0" collapsed="false">
      <c r="A250" s="12"/>
      <c r="B250" s="34"/>
      <c r="C250" s="12"/>
      <c r="D250" s="12"/>
      <c r="E250" s="12"/>
      <c r="F250" s="12"/>
      <c r="G250" s="18"/>
      <c r="H250" s="35"/>
      <c r="I250" s="12"/>
      <c r="M250" s="12"/>
      <c r="N250" s="18"/>
      <c r="O250" s="12"/>
      <c r="P250" s="12"/>
      <c r="Q250" s="12"/>
      <c r="R250" s="36"/>
      <c r="S250" s="36"/>
      <c r="T250" s="12"/>
      <c r="U250" s="12"/>
      <c r="V250" s="12"/>
      <c r="W250" s="12"/>
      <c r="X250" s="12"/>
    </row>
    <row r="251" customFormat="false" ht="15.75" hidden="false" customHeight="false" outlineLevel="0" collapsed="false">
      <c r="A251" s="12"/>
      <c r="B251" s="34"/>
      <c r="C251" s="12"/>
      <c r="D251" s="12"/>
      <c r="E251" s="12"/>
      <c r="F251" s="12"/>
      <c r="G251" s="18"/>
      <c r="H251" s="35"/>
      <c r="I251" s="12"/>
      <c r="M251" s="12"/>
      <c r="N251" s="18"/>
      <c r="O251" s="12"/>
      <c r="P251" s="12"/>
      <c r="Q251" s="12"/>
      <c r="R251" s="36"/>
      <c r="S251" s="36"/>
      <c r="T251" s="12"/>
      <c r="U251" s="12"/>
      <c r="V251" s="12"/>
      <c r="W251" s="12"/>
      <c r="X251" s="12"/>
    </row>
    <row r="252" customFormat="false" ht="15.75" hidden="false" customHeight="false" outlineLevel="0" collapsed="false">
      <c r="A252" s="12"/>
      <c r="B252" s="34"/>
      <c r="C252" s="12"/>
      <c r="D252" s="12"/>
      <c r="E252" s="12"/>
      <c r="F252" s="12"/>
      <c r="G252" s="18"/>
      <c r="H252" s="35"/>
      <c r="I252" s="12"/>
      <c r="M252" s="12"/>
      <c r="N252" s="18"/>
      <c r="O252" s="12"/>
      <c r="P252" s="12"/>
      <c r="Q252" s="12"/>
      <c r="R252" s="36"/>
      <c r="S252" s="36"/>
      <c r="T252" s="12"/>
      <c r="U252" s="12"/>
      <c r="V252" s="12"/>
      <c r="W252" s="12"/>
      <c r="X252" s="12"/>
    </row>
    <row r="253" customFormat="false" ht="15.75" hidden="false" customHeight="false" outlineLevel="0" collapsed="false">
      <c r="A253" s="12"/>
      <c r="B253" s="34"/>
      <c r="C253" s="12"/>
      <c r="D253" s="12"/>
      <c r="E253" s="12"/>
      <c r="F253" s="12"/>
      <c r="G253" s="18"/>
      <c r="H253" s="35"/>
      <c r="I253" s="12"/>
      <c r="M253" s="12"/>
      <c r="N253" s="18"/>
      <c r="O253" s="12"/>
      <c r="P253" s="12"/>
      <c r="Q253" s="12"/>
      <c r="R253" s="36"/>
      <c r="S253" s="36"/>
      <c r="T253" s="12"/>
      <c r="U253" s="12"/>
      <c r="V253" s="12"/>
      <c r="W253" s="12"/>
      <c r="X253" s="12"/>
    </row>
    <row r="254" customFormat="false" ht="15.75" hidden="false" customHeight="false" outlineLevel="0" collapsed="false">
      <c r="A254" s="12"/>
      <c r="B254" s="34"/>
      <c r="C254" s="12"/>
      <c r="D254" s="12"/>
      <c r="E254" s="12"/>
      <c r="F254" s="12"/>
      <c r="G254" s="18"/>
      <c r="H254" s="35"/>
      <c r="I254" s="12"/>
      <c r="M254" s="12"/>
      <c r="N254" s="18"/>
      <c r="O254" s="12"/>
      <c r="P254" s="12"/>
      <c r="Q254" s="12"/>
      <c r="R254" s="36"/>
      <c r="S254" s="36"/>
      <c r="T254" s="12"/>
      <c r="U254" s="12"/>
      <c r="V254" s="12"/>
      <c r="W254" s="12"/>
      <c r="X254" s="12"/>
    </row>
    <row r="255" customFormat="false" ht="15.75" hidden="false" customHeight="false" outlineLevel="0" collapsed="false">
      <c r="A255" s="12"/>
      <c r="B255" s="34"/>
      <c r="C255" s="12"/>
      <c r="D255" s="12"/>
      <c r="E255" s="12"/>
      <c r="F255" s="12"/>
      <c r="G255" s="18"/>
      <c r="H255" s="35"/>
      <c r="I255" s="12"/>
      <c r="M255" s="12"/>
      <c r="N255" s="18"/>
      <c r="O255" s="12"/>
      <c r="P255" s="12"/>
      <c r="Q255" s="12"/>
      <c r="R255" s="36"/>
      <c r="S255" s="36"/>
      <c r="T255" s="12"/>
      <c r="U255" s="12"/>
      <c r="V255" s="12"/>
      <c r="W255" s="12"/>
      <c r="X255" s="12"/>
    </row>
    <row r="256" customFormat="false" ht="15.75" hidden="false" customHeight="false" outlineLevel="0" collapsed="false">
      <c r="A256" s="12"/>
      <c r="B256" s="34"/>
      <c r="C256" s="12"/>
      <c r="D256" s="12"/>
      <c r="E256" s="12"/>
      <c r="F256" s="12"/>
      <c r="G256" s="18"/>
      <c r="H256" s="35"/>
      <c r="I256" s="12"/>
      <c r="M256" s="12"/>
      <c r="N256" s="18"/>
      <c r="O256" s="12"/>
      <c r="P256" s="12"/>
      <c r="Q256" s="12"/>
      <c r="R256" s="36"/>
      <c r="S256" s="36"/>
      <c r="T256" s="12"/>
      <c r="U256" s="12"/>
      <c r="V256" s="12"/>
      <c r="W256" s="12"/>
      <c r="X256" s="12"/>
    </row>
    <row r="257" customFormat="false" ht="15.75" hidden="false" customHeight="false" outlineLevel="0" collapsed="false">
      <c r="A257" s="12"/>
      <c r="B257" s="34"/>
      <c r="C257" s="12"/>
      <c r="D257" s="12"/>
      <c r="E257" s="12"/>
      <c r="F257" s="12"/>
      <c r="G257" s="18"/>
      <c r="H257" s="35"/>
      <c r="I257" s="12"/>
      <c r="M257" s="12"/>
      <c r="N257" s="18"/>
      <c r="O257" s="12"/>
      <c r="P257" s="12"/>
      <c r="Q257" s="12"/>
      <c r="R257" s="36"/>
      <c r="S257" s="36"/>
      <c r="T257" s="12"/>
      <c r="U257" s="12"/>
      <c r="V257" s="12"/>
      <c r="W257" s="12"/>
      <c r="X257" s="12"/>
    </row>
    <row r="258" customFormat="false" ht="15.75" hidden="false" customHeight="false" outlineLevel="0" collapsed="false">
      <c r="A258" s="12"/>
      <c r="B258" s="34"/>
      <c r="C258" s="12"/>
      <c r="D258" s="12"/>
      <c r="E258" s="12"/>
      <c r="F258" s="12"/>
      <c r="G258" s="18"/>
      <c r="H258" s="35"/>
      <c r="I258" s="12"/>
      <c r="M258" s="12"/>
      <c r="N258" s="18"/>
      <c r="O258" s="12"/>
      <c r="P258" s="12"/>
      <c r="Q258" s="12"/>
      <c r="R258" s="36"/>
      <c r="S258" s="36"/>
      <c r="T258" s="12"/>
      <c r="U258" s="12"/>
      <c r="V258" s="12"/>
      <c r="W258" s="12"/>
      <c r="X258" s="12"/>
    </row>
    <row r="259" customFormat="false" ht="15.75" hidden="false" customHeight="false" outlineLevel="0" collapsed="false">
      <c r="A259" s="12"/>
      <c r="B259" s="34"/>
      <c r="C259" s="12"/>
      <c r="D259" s="12"/>
      <c r="E259" s="12"/>
      <c r="F259" s="12"/>
      <c r="G259" s="18"/>
      <c r="H259" s="35"/>
      <c r="I259" s="12"/>
      <c r="M259" s="12"/>
      <c r="N259" s="18"/>
      <c r="O259" s="12"/>
      <c r="P259" s="12"/>
      <c r="Q259" s="12"/>
      <c r="R259" s="36"/>
      <c r="S259" s="36"/>
      <c r="T259" s="12"/>
      <c r="U259" s="12"/>
      <c r="V259" s="12"/>
      <c r="W259" s="12"/>
      <c r="X259" s="12"/>
    </row>
    <row r="260" customFormat="false" ht="15.75" hidden="false" customHeight="false" outlineLevel="0" collapsed="false">
      <c r="A260" s="12"/>
      <c r="B260" s="34"/>
      <c r="C260" s="12"/>
      <c r="D260" s="12"/>
      <c r="E260" s="12"/>
      <c r="F260" s="12"/>
      <c r="G260" s="18"/>
      <c r="H260" s="35"/>
      <c r="I260" s="12"/>
      <c r="M260" s="12"/>
      <c r="N260" s="18"/>
      <c r="O260" s="12"/>
      <c r="P260" s="12"/>
      <c r="Q260" s="12"/>
      <c r="R260" s="36"/>
      <c r="S260" s="36"/>
      <c r="T260" s="12"/>
      <c r="U260" s="12"/>
      <c r="V260" s="12"/>
      <c r="W260" s="12"/>
      <c r="X260" s="12"/>
    </row>
    <row r="261" customFormat="false" ht="15.75" hidden="false" customHeight="false" outlineLevel="0" collapsed="false">
      <c r="A261" s="12"/>
      <c r="B261" s="34"/>
      <c r="C261" s="12"/>
      <c r="D261" s="12"/>
      <c r="E261" s="12"/>
      <c r="F261" s="12"/>
      <c r="G261" s="18"/>
      <c r="H261" s="35"/>
      <c r="I261" s="12"/>
      <c r="M261" s="12"/>
      <c r="N261" s="18"/>
      <c r="O261" s="12"/>
      <c r="P261" s="12"/>
      <c r="Q261" s="12"/>
      <c r="R261" s="36"/>
      <c r="S261" s="36"/>
      <c r="T261" s="12"/>
      <c r="U261" s="12"/>
      <c r="V261" s="12"/>
      <c r="W261" s="12"/>
      <c r="X261" s="12"/>
    </row>
    <row r="262" customFormat="false" ht="15.75" hidden="false" customHeight="false" outlineLevel="0" collapsed="false">
      <c r="A262" s="12"/>
      <c r="B262" s="34"/>
      <c r="C262" s="12"/>
      <c r="D262" s="12"/>
      <c r="E262" s="12"/>
      <c r="F262" s="12"/>
      <c r="G262" s="18"/>
      <c r="H262" s="35"/>
      <c r="I262" s="12"/>
      <c r="M262" s="12"/>
      <c r="N262" s="18"/>
      <c r="O262" s="12"/>
      <c r="P262" s="12"/>
      <c r="Q262" s="12"/>
      <c r="R262" s="36"/>
      <c r="S262" s="36"/>
      <c r="T262" s="12"/>
      <c r="U262" s="12"/>
      <c r="V262" s="12"/>
      <c r="W262" s="12"/>
      <c r="X262" s="12"/>
    </row>
    <row r="263" customFormat="false" ht="15.75" hidden="false" customHeight="false" outlineLevel="0" collapsed="false">
      <c r="A263" s="12"/>
      <c r="B263" s="34"/>
      <c r="C263" s="12"/>
      <c r="D263" s="12"/>
      <c r="E263" s="12"/>
      <c r="F263" s="12"/>
      <c r="G263" s="18"/>
      <c r="H263" s="35"/>
      <c r="I263" s="12"/>
      <c r="M263" s="12"/>
      <c r="N263" s="18"/>
      <c r="O263" s="12"/>
      <c r="P263" s="12"/>
      <c r="Q263" s="12"/>
      <c r="R263" s="36"/>
      <c r="S263" s="36"/>
      <c r="T263" s="12"/>
      <c r="U263" s="12"/>
      <c r="V263" s="12"/>
      <c r="W263" s="12"/>
      <c r="X263" s="12"/>
    </row>
    <row r="264" customFormat="false" ht="15.75" hidden="false" customHeight="false" outlineLevel="0" collapsed="false">
      <c r="A264" s="12"/>
      <c r="B264" s="34"/>
      <c r="C264" s="12"/>
      <c r="D264" s="12"/>
      <c r="E264" s="12"/>
      <c r="F264" s="12"/>
      <c r="G264" s="18"/>
      <c r="H264" s="35"/>
      <c r="I264" s="12"/>
      <c r="M264" s="12"/>
      <c r="N264" s="18"/>
      <c r="O264" s="12"/>
      <c r="P264" s="12"/>
      <c r="Q264" s="12"/>
      <c r="R264" s="36"/>
      <c r="S264" s="36"/>
      <c r="T264" s="12"/>
      <c r="U264" s="12"/>
      <c r="V264" s="12"/>
      <c r="W264" s="12"/>
      <c r="X264" s="12"/>
    </row>
    <row r="265" customFormat="false" ht="15.75" hidden="false" customHeight="false" outlineLevel="0" collapsed="false">
      <c r="A265" s="12"/>
      <c r="B265" s="34"/>
      <c r="C265" s="12"/>
      <c r="D265" s="12"/>
      <c r="E265" s="12"/>
      <c r="F265" s="12"/>
      <c r="G265" s="18"/>
      <c r="H265" s="35"/>
      <c r="I265" s="12"/>
      <c r="M265" s="12"/>
      <c r="N265" s="18"/>
      <c r="O265" s="12"/>
      <c r="P265" s="12"/>
      <c r="Q265" s="12"/>
      <c r="R265" s="36"/>
      <c r="S265" s="36"/>
      <c r="T265" s="12"/>
      <c r="U265" s="12"/>
      <c r="V265" s="12"/>
      <c r="W265" s="12"/>
      <c r="X265" s="12"/>
    </row>
    <row r="266" customFormat="false" ht="15.75" hidden="false" customHeight="false" outlineLevel="0" collapsed="false">
      <c r="A266" s="12"/>
      <c r="B266" s="34"/>
      <c r="C266" s="12"/>
      <c r="D266" s="12"/>
      <c r="E266" s="12"/>
      <c r="F266" s="12"/>
      <c r="G266" s="18"/>
      <c r="H266" s="35"/>
      <c r="I266" s="12"/>
      <c r="M266" s="12"/>
      <c r="N266" s="18"/>
      <c r="O266" s="12"/>
      <c r="P266" s="12"/>
      <c r="Q266" s="12"/>
      <c r="R266" s="36"/>
      <c r="S266" s="36"/>
      <c r="T266" s="12"/>
      <c r="U266" s="12"/>
      <c r="V266" s="12"/>
      <c r="W266" s="12"/>
      <c r="X266" s="12"/>
    </row>
    <row r="267" customFormat="false" ht="15.75" hidden="false" customHeight="false" outlineLevel="0" collapsed="false">
      <c r="A267" s="12"/>
      <c r="B267" s="34"/>
      <c r="C267" s="12"/>
      <c r="D267" s="12"/>
      <c r="E267" s="12"/>
      <c r="F267" s="12"/>
      <c r="G267" s="18"/>
      <c r="H267" s="35"/>
      <c r="I267" s="12"/>
      <c r="M267" s="12"/>
      <c r="N267" s="18"/>
      <c r="O267" s="12"/>
      <c r="P267" s="12"/>
      <c r="Q267" s="12"/>
      <c r="R267" s="36"/>
      <c r="S267" s="36"/>
      <c r="T267" s="12"/>
      <c r="U267" s="12"/>
      <c r="V267" s="12"/>
      <c r="W267" s="12"/>
      <c r="X267" s="12"/>
    </row>
    <row r="268" customFormat="false" ht="15.75" hidden="false" customHeight="false" outlineLevel="0" collapsed="false">
      <c r="A268" s="12"/>
      <c r="B268" s="34"/>
      <c r="C268" s="12"/>
      <c r="D268" s="12"/>
      <c r="E268" s="12"/>
      <c r="F268" s="12"/>
      <c r="G268" s="18"/>
      <c r="H268" s="35"/>
      <c r="I268" s="12"/>
      <c r="M268" s="12"/>
      <c r="N268" s="18"/>
      <c r="O268" s="12"/>
      <c r="P268" s="12"/>
      <c r="Q268" s="12"/>
      <c r="R268" s="36"/>
      <c r="S268" s="36"/>
      <c r="T268" s="12"/>
      <c r="U268" s="12"/>
      <c r="V268" s="12"/>
      <c r="W268" s="12"/>
      <c r="X268" s="12"/>
    </row>
    <row r="269" customFormat="false" ht="15.75" hidden="false" customHeight="false" outlineLevel="0" collapsed="false">
      <c r="A269" s="12"/>
      <c r="B269" s="34"/>
      <c r="C269" s="12"/>
      <c r="D269" s="12"/>
      <c r="E269" s="12"/>
      <c r="F269" s="12"/>
      <c r="G269" s="18"/>
      <c r="H269" s="35"/>
      <c r="I269" s="12"/>
      <c r="M269" s="12"/>
      <c r="N269" s="18"/>
      <c r="O269" s="12"/>
      <c r="P269" s="12"/>
      <c r="Q269" s="12"/>
      <c r="R269" s="36"/>
      <c r="S269" s="36"/>
      <c r="T269" s="12"/>
      <c r="U269" s="12"/>
      <c r="V269" s="12"/>
      <c r="W269" s="12"/>
      <c r="X269" s="12"/>
    </row>
    <row r="270" customFormat="false" ht="15.75" hidden="false" customHeight="false" outlineLevel="0" collapsed="false">
      <c r="A270" s="12"/>
      <c r="B270" s="34"/>
      <c r="C270" s="12"/>
      <c r="D270" s="12"/>
      <c r="E270" s="12"/>
      <c r="F270" s="12"/>
      <c r="G270" s="18"/>
      <c r="H270" s="35"/>
      <c r="I270" s="12"/>
      <c r="M270" s="12"/>
      <c r="N270" s="18"/>
      <c r="O270" s="12"/>
      <c r="P270" s="12"/>
      <c r="Q270" s="12"/>
      <c r="R270" s="36"/>
      <c r="S270" s="36"/>
      <c r="T270" s="12"/>
      <c r="U270" s="12"/>
      <c r="V270" s="12"/>
      <c r="W270" s="12"/>
      <c r="X270" s="12"/>
    </row>
    <row r="271" customFormat="false" ht="15.75" hidden="false" customHeight="false" outlineLevel="0" collapsed="false">
      <c r="A271" s="12"/>
      <c r="B271" s="34"/>
      <c r="C271" s="12"/>
      <c r="D271" s="12"/>
      <c r="E271" s="12"/>
      <c r="F271" s="12"/>
      <c r="G271" s="18"/>
      <c r="H271" s="35"/>
      <c r="I271" s="12"/>
      <c r="M271" s="12"/>
      <c r="N271" s="18"/>
      <c r="O271" s="12"/>
      <c r="P271" s="12"/>
      <c r="Q271" s="12"/>
      <c r="R271" s="36"/>
      <c r="S271" s="36"/>
      <c r="T271" s="12"/>
      <c r="U271" s="12"/>
      <c r="V271" s="12"/>
      <c r="W271" s="12"/>
      <c r="X271" s="12"/>
    </row>
    <row r="272" customFormat="false" ht="15.75" hidden="false" customHeight="false" outlineLevel="0" collapsed="false">
      <c r="A272" s="12"/>
      <c r="B272" s="34"/>
      <c r="C272" s="12"/>
      <c r="D272" s="12"/>
      <c r="E272" s="12"/>
      <c r="F272" s="12"/>
      <c r="G272" s="18"/>
      <c r="H272" s="35"/>
      <c r="I272" s="12"/>
      <c r="M272" s="12"/>
      <c r="N272" s="18"/>
      <c r="O272" s="12"/>
      <c r="P272" s="12"/>
      <c r="Q272" s="12"/>
      <c r="R272" s="36"/>
      <c r="S272" s="36"/>
      <c r="T272" s="12"/>
      <c r="U272" s="12"/>
      <c r="V272" s="12"/>
      <c r="W272" s="12"/>
      <c r="X272" s="12"/>
    </row>
    <row r="273" customFormat="false" ht="15.75" hidden="false" customHeight="false" outlineLevel="0" collapsed="false">
      <c r="A273" s="12"/>
      <c r="B273" s="34"/>
      <c r="C273" s="12"/>
      <c r="D273" s="12"/>
      <c r="E273" s="12"/>
      <c r="F273" s="12"/>
      <c r="G273" s="18"/>
      <c r="H273" s="35"/>
      <c r="I273" s="12"/>
      <c r="M273" s="12"/>
      <c r="N273" s="18"/>
      <c r="O273" s="12"/>
      <c r="P273" s="12"/>
      <c r="Q273" s="12"/>
      <c r="R273" s="36"/>
      <c r="S273" s="36"/>
      <c r="T273" s="12"/>
      <c r="U273" s="12"/>
      <c r="V273" s="12"/>
      <c r="W273" s="12"/>
      <c r="X273" s="12"/>
    </row>
    <row r="274" customFormat="false" ht="15.75" hidden="false" customHeight="false" outlineLevel="0" collapsed="false">
      <c r="A274" s="12"/>
      <c r="B274" s="34"/>
      <c r="C274" s="12"/>
      <c r="D274" s="12"/>
      <c r="E274" s="12"/>
      <c r="F274" s="12"/>
      <c r="G274" s="18"/>
      <c r="H274" s="35"/>
      <c r="I274" s="12"/>
      <c r="M274" s="12"/>
      <c r="N274" s="18"/>
      <c r="O274" s="12"/>
      <c r="P274" s="12"/>
      <c r="Q274" s="12"/>
      <c r="R274" s="36"/>
      <c r="S274" s="36"/>
      <c r="T274" s="12"/>
      <c r="U274" s="12"/>
      <c r="V274" s="12"/>
      <c r="W274" s="12"/>
      <c r="X274" s="12"/>
    </row>
    <row r="275" customFormat="false" ht="15.75" hidden="false" customHeight="false" outlineLevel="0" collapsed="false">
      <c r="A275" s="12"/>
      <c r="B275" s="34"/>
      <c r="C275" s="12"/>
      <c r="D275" s="12"/>
      <c r="E275" s="12"/>
      <c r="F275" s="12"/>
      <c r="G275" s="18"/>
      <c r="H275" s="35"/>
      <c r="I275" s="12"/>
      <c r="M275" s="12"/>
      <c r="N275" s="18"/>
      <c r="O275" s="12"/>
      <c r="P275" s="12"/>
      <c r="Q275" s="12"/>
      <c r="R275" s="36"/>
      <c r="S275" s="36"/>
      <c r="T275" s="12"/>
      <c r="U275" s="12"/>
      <c r="V275" s="12"/>
      <c r="W275" s="12"/>
      <c r="X275" s="12"/>
    </row>
    <row r="276" customFormat="false" ht="15.75" hidden="false" customHeight="false" outlineLevel="0" collapsed="false">
      <c r="A276" s="12"/>
      <c r="B276" s="34"/>
      <c r="C276" s="12"/>
      <c r="D276" s="12"/>
      <c r="E276" s="12"/>
      <c r="F276" s="12"/>
      <c r="G276" s="18"/>
      <c r="H276" s="35"/>
      <c r="I276" s="12"/>
      <c r="M276" s="12"/>
      <c r="N276" s="18"/>
      <c r="O276" s="12"/>
      <c r="P276" s="12"/>
      <c r="Q276" s="12"/>
      <c r="R276" s="36"/>
      <c r="S276" s="36"/>
      <c r="T276" s="12"/>
      <c r="U276" s="12"/>
      <c r="V276" s="12"/>
      <c r="W276" s="12"/>
      <c r="X276" s="12"/>
    </row>
    <row r="277" customFormat="false" ht="15.75" hidden="false" customHeight="false" outlineLevel="0" collapsed="false">
      <c r="A277" s="12"/>
      <c r="B277" s="34"/>
      <c r="C277" s="12"/>
      <c r="D277" s="12"/>
      <c r="E277" s="12"/>
      <c r="F277" s="12"/>
      <c r="G277" s="18"/>
      <c r="H277" s="35"/>
      <c r="I277" s="12"/>
      <c r="M277" s="12"/>
      <c r="N277" s="18"/>
      <c r="O277" s="12"/>
      <c r="P277" s="12"/>
      <c r="Q277" s="12"/>
      <c r="R277" s="36"/>
      <c r="S277" s="36"/>
      <c r="T277" s="12"/>
      <c r="U277" s="12"/>
      <c r="V277" s="12"/>
      <c r="W277" s="12"/>
      <c r="X277" s="12"/>
    </row>
    <row r="278" customFormat="false" ht="15.75" hidden="false" customHeight="false" outlineLevel="0" collapsed="false">
      <c r="A278" s="12"/>
      <c r="B278" s="34"/>
      <c r="C278" s="12"/>
      <c r="D278" s="12"/>
      <c r="E278" s="12"/>
      <c r="F278" s="12"/>
      <c r="G278" s="18"/>
      <c r="H278" s="35"/>
      <c r="I278" s="12"/>
      <c r="M278" s="12"/>
      <c r="N278" s="18"/>
      <c r="O278" s="12"/>
      <c r="P278" s="12"/>
      <c r="Q278" s="12"/>
      <c r="R278" s="36"/>
      <c r="S278" s="36"/>
      <c r="T278" s="12"/>
      <c r="U278" s="12"/>
      <c r="V278" s="12"/>
      <c r="W278" s="12"/>
      <c r="X278" s="12"/>
    </row>
    <row r="279" customFormat="false" ht="15.75" hidden="false" customHeight="false" outlineLevel="0" collapsed="false">
      <c r="A279" s="12"/>
      <c r="B279" s="34"/>
      <c r="C279" s="12"/>
      <c r="D279" s="12"/>
      <c r="E279" s="12"/>
      <c r="F279" s="12"/>
      <c r="G279" s="18"/>
      <c r="H279" s="35"/>
      <c r="I279" s="12"/>
      <c r="M279" s="12"/>
      <c r="N279" s="18"/>
      <c r="O279" s="12"/>
      <c r="P279" s="12"/>
      <c r="Q279" s="12"/>
      <c r="R279" s="36"/>
      <c r="S279" s="36"/>
      <c r="T279" s="12"/>
      <c r="U279" s="12"/>
      <c r="V279" s="12"/>
      <c r="W279" s="12"/>
      <c r="X279" s="12"/>
    </row>
    <row r="280" customFormat="false" ht="15.75" hidden="false" customHeight="false" outlineLevel="0" collapsed="false">
      <c r="A280" s="12"/>
      <c r="B280" s="34"/>
      <c r="C280" s="12"/>
      <c r="D280" s="12"/>
      <c r="E280" s="12"/>
      <c r="F280" s="12"/>
      <c r="G280" s="18"/>
      <c r="H280" s="35"/>
      <c r="I280" s="12"/>
      <c r="M280" s="12"/>
      <c r="N280" s="18"/>
      <c r="O280" s="12"/>
      <c r="P280" s="12"/>
      <c r="Q280" s="12"/>
      <c r="R280" s="36"/>
      <c r="S280" s="36"/>
      <c r="T280" s="12"/>
      <c r="U280" s="12"/>
      <c r="V280" s="12"/>
      <c r="W280" s="12"/>
      <c r="X280" s="12"/>
    </row>
    <row r="281" customFormat="false" ht="15.75" hidden="false" customHeight="false" outlineLevel="0" collapsed="false">
      <c r="A281" s="12"/>
      <c r="B281" s="34"/>
      <c r="C281" s="12"/>
      <c r="D281" s="12"/>
      <c r="E281" s="12"/>
      <c r="F281" s="12"/>
      <c r="G281" s="18"/>
      <c r="H281" s="35"/>
      <c r="I281" s="12"/>
      <c r="M281" s="12"/>
      <c r="N281" s="18"/>
      <c r="O281" s="12"/>
      <c r="P281" s="12"/>
      <c r="Q281" s="12"/>
      <c r="R281" s="36"/>
      <c r="S281" s="36"/>
      <c r="T281" s="12"/>
      <c r="U281" s="12"/>
      <c r="V281" s="12"/>
      <c r="W281" s="12"/>
      <c r="X281" s="12"/>
    </row>
    <row r="282" customFormat="false" ht="15.75" hidden="false" customHeight="false" outlineLevel="0" collapsed="false">
      <c r="A282" s="12"/>
      <c r="B282" s="34"/>
      <c r="C282" s="12"/>
      <c r="D282" s="12"/>
      <c r="E282" s="12"/>
      <c r="F282" s="12"/>
      <c r="G282" s="18"/>
      <c r="H282" s="35"/>
      <c r="I282" s="12"/>
      <c r="M282" s="12"/>
      <c r="N282" s="18"/>
      <c r="O282" s="12"/>
      <c r="P282" s="12"/>
      <c r="Q282" s="12"/>
      <c r="R282" s="36"/>
      <c r="S282" s="36"/>
      <c r="T282" s="12"/>
      <c r="U282" s="12"/>
      <c r="V282" s="12"/>
      <c r="W282" s="12"/>
      <c r="X282" s="12"/>
    </row>
    <row r="283" customFormat="false" ht="15.75" hidden="false" customHeight="false" outlineLevel="0" collapsed="false">
      <c r="A283" s="12"/>
      <c r="B283" s="34"/>
      <c r="C283" s="12"/>
      <c r="D283" s="12"/>
      <c r="E283" s="12"/>
      <c r="F283" s="12"/>
      <c r="G283" s="18"/>
      <c r="H283" s="35"/>
      <c r="I283" s="12"/>
      <c r="M283" s="12"/>
      <c r="N283" s="18"/>
      <c r="O283" s="12"/>
      <c r="P283" s="12"/>
      <c r="Q283" s="12"/>
      <c r="R283" s="36"/>
      <c r="S283" s="36"/>
      <c r="T283" s="12"/>
      <c r="U283" s="12"/>
      <c r="V283" s="12"/>
      <c r="W283" s="12"/>
      <c r="X283" s="12"/>
    </row>
    <row r="284" customFormat="false" ht="15.75" hidden="false" customHeight="false" outlineLevel="0" collapsed="false">
      <c r="A284" s="12"/>
      <c r="B284" s="34"/>
      <c r="C284" s="12"/>
      <c r="D284" s="12"/>
      <c r="E284" s="12"/>
      <c r="F284" s="12"/>
      <c r="G284" s="18"/>
      <c r="H284" s="35"/>
      <c r="I284" s="12"/>
      <c r="M284" s="12"/>
      <c r="N284" s="18"/>
      <c r="O284" s="12"/>
      <c r="P284" s="12"/>
      <c r="Q284" s="12"/>
      <c r="R284" s="36"/>
      <c r="S284" s="36"/>
      <c r="T284" s="12"/>
      <c r="U284" s="12"/>
      <c r="V284" s="12"/>
      <c r="W284" s="12"/>
      <c r="X284" s="12"/>
    </row>
    <row r="285" customFormat="false" ht="15.75" hidden="false" customHeight="false" outlineLevel="0" collapsed="false">
      <c r="A285" s="12"/>
      <c r="B285" s="34"/>
      <c r="C285" s="12"/>
      <c r="D285" s="12"/>
      <c r="E285" s="12"/>
      <c r="F285" s="12"/>
      <c r="G285" s="18"/>
      <c r="H285" s="35"/>
      <c r="I285" s="12"/>
      <c r="M285" s="12"/>
      <c r="N285" s="18"/>
      <c r="O285" s="12"/>
      <c r="P285" s="12"/>
      <c r="Q285" s="12"/>
      <c r="R285" s="36"/>
      <c r="S285" s="36"/>
      <c r="T285" s="12"/>
      <c r="U285" s="12"/>
      <c r="V285" s="12"/>
      <c r="W285" s="12"/>
      <c r="X285" s="12"/>
    </row>
    <row r="286" customFormat="false" ht="15.75" hidden="false" customHeight="false" outlineLevel="0" collapsed="false">
      <c r="A286" s="12"/>
      <c r="B286" s="34"/>
      <c r="C286" s="12"/>
      <c r="D286" s="12"/>
      <c r="E286" s="12"/>
      <c r="F286" s="12"/>
      <c r="G286" s="18"/>
      <c r="H286" s="35"/>
      <c r="I286" s="12"/>
      <c r="M286" s="12"/>
      <c r="N286" s="18"/>
      <c r="O286" s="12"/>
      <c r="P286" s="12"/>
      <c r="Q286" s="12"/>
      <c r="R286" s="36"/>
      <c r="S286" s="36"/>
      <c r="T286" s="12"/>
      <c r="U286" s="12"/>
      <c r="V286" s="12"/>
      <c r="W286" s="12"/>
      <c r="X286" s="12"/>
    </row>
    <row r="287" customFormat="false" ht="15.75" hidden="false" customHeight="false" outlineLevel="0" collapsed="false">
      <c r="A287" s="12"/>
      <c r="B287" s="34"/>
      <c r="C287" s="12"/>
      <c r="D287" s="12"/>
      <c r="E287" s="12"/>
      <c r="F287" s="12"/>
      <c r="G287" s="18"/>
      <c r="H287" s="35"/>
      <c r="I287" s="12"/>
      <c r="M287" s="12"/>
      <c r="N287" s="18"/>
      <c r="O287" s="12"/>
      <c r="P287" s="12"/>
      <c r="Q287" s="12"/>
      <c r="R287" s="36"/>
      <c r="S287" s="36"/>
      <c r="T287" s="12"/>
      <c r="U287" s="12"/>
      <c r="V287" s="12"/>
      <c r="W287" s="12"/>
      <c r="X287" s="12"/>
    </row>
    <row r="288" customFormat="false" ht="15.75" hidden="false" customHeight="false" outlineLevel="0" collapsed="false">
      <c r="A288" s="12"/>
      <c r="B288" s="34"/>
      <c r="C288" s="12"/>
      <c r="D288" s="12"/>
      <c r="E288" s="12"/>
      <c r="F288" s="12"/>
      <c r="G288" s="18"/>
      <c r="H288" s="35"/>
      <c r="I288" s="12"/>
      <c r="M288" s="12"/>
      <c r="N288" s="18"/>
      <c r="O288" s="12"/>
      <c r="P288" s="12"/>
      <c r="Q288" s="12"/>
      <c r="R288" s="36"/>
      <c r="S288" s="36"/>
      <c r="T288" s="12"/>
      <c r="U288" s="12"/>
      <c r="V288" s="12"/>
      <c r="W288" s="12"/>
      <c r="X288" s="12"/>
    </row>
    <row r="289" customFormat="false" ht="15.75" hidden="false" customHeight="false" outlineLevel="0" collapsed="false">
      <c r="A289" s="12"/>
      <c r="B289" s="34"/>
      <c r="C289" s="12"/>
      <c r="D289" s="12"/>
      <c r="E289" s="12"/>
      <c r="F289" s="12"/>
      <c r="G289" s="18"/>
      <c r="H289" s="35"/>
      <c r="I289" s="12"/>
      <c r="M289" s="12"/>
      <c r="N289" s="18"/>
      <c r="O289" s="12"/>
      <c r="P289" s="12"/>
      <c r="Q289" s="12"/>
      <c r="R289" s="36"/>
      <c r="S289" s="36"/>
      <c r="T289" s="12"/>
      <c r="U289" s="12"/>
      <c r="V289" s="12"/>
      <c r="W289" s="12"/>
      <c r="X289" s="12"/>
    </row>
    <row r="290" customFormat="false" ht="15.75" hidden="false" customHeight="false" outlineLevel="0" collapsed="false">
      <c r="A290" s="12"/>
      <c r="B290" s="34"/>
      <c r="C290" s="12"/>
      <c r="D290" s="12"/>
      <c r="E290" s="12"/>
      <c r="F290" s="12"/>
      <c r="G290" s="18"/>
      <c r="H290" s="35"/>
      <c r="I290" s="12"/>
      <c r="M290" s="12"/>
      <c r="N290" s="18"/>
      <c r="O290" s="12"/>
      <c r="P290" s="12"/>
      <c r="Q290" s="12"/>
      <c r="R290" s="36"/>
      <c r="S290" s="36"/>
      <c r="T290" s="12"/>
      <c r="U290" s="12"/>
      <c r="V290" s="12"/>
      <c r="W290" s="12"/>
      <c r="X290" s="12"/>
    </row>
    <row r="291" customFormat="false" ht="15.75" hidden="false" customHeight="false" outlineLevel="0" collapsed="false">
      <c r="A291" s="12"/>
      <c r="B291" s="34"/>
      <c r="C291" s="12"/>
      <c r="D291" s="12"/>
      <c r="E291" s="12"/>
      <c r="F291" s="12"/>
      <c r="G291" s="18"/>
      <c r="H291" s="35"/>
      <c r="I291" s="12"/>
      <c r="M291" s="12"/>
      <c r="N291" s="18"/>
      <c r="O291" s="12"/>
      <c r="P291" s="12"/>
      <c r="Q291" s="12"/>
      <c r="R291" s="36"/>
      <c r="S291" s="36"/>
      <c r="T291" s="12"/>
      <c r="U291" s="12"/>
      <c r="V291" s="12"/>
      <c r="W291" s="12"/>
      <c r="X291" s="12"/>
    </row>
    <row r="292" customFormat="false" ht="15.75" hidden="false" customHeight="false" outlineLevel="0" collapsed="false">
      <c r="A292" s="12"/>
      <c r="B292" s="34"/>
      <c r="C292" s="12"/>
      <c r="D292" s="12"/>
      <c r="E292" s="12"/>
      <c r="F292" s="12"/>
      <c r="G292" s="18"/>
      <c r="H292" s="35"/>
      <c r="I292" s="12"/>
      <c r="M292" s="12"/>
      <c r="N292" s="18"/>
      <c r="O292" s="12"/>
      <c r="P292" s="12"/>
      <c r="Q292" s="12"/>
      <c r="R292" s="36"/>
      <c r="S292" s="36"/>
      <c r="T292" s="12"/>
      <c r="U292" s="12"/>
      <c r="V292" s="12"/>
      <c r="W292" s="12"/>
      <c r="X292" s="12"/>
    </row>
    <row r="293" customFormat="false" ht="15.75" hidden="false" customHeight="false" outlineLevel="0" collapsed="false">
      <c r="A293" s="12"/>
      <c r="B293" s="34"/>
      <c r="C293" s="12"/>
      <c r="D293" s="12"/>
      <c r="E293" s="12"/>
      <c r="F293" s="12"/>
      <c r="G293" s="18"/>
      <c r="H293" s="35"/>
      <c r="I293" s="12"/>
      <c r="M293" s="12"/>
      <c r="N293" s="18"/>
      <c r="O293" s="12"/>
      <c r="P293" s="12"/>
      <c r="Q293" s="12"/>
      <c r="R293" s="36"/>
      <c r="S293" s="36"/>
      <c r="T293" s="12"/>
      <c r="U293" s="12"/>
      <c r="V293" s="12"/>
      <c r="W293" s="12"/>
      <c r="X293" s="12"/>
    </row>
    <row r="294" customFormat="false" ht="15.75" hidden="false" customHeight="false" outlineLevel="0" collapsed="false">
      <c r="A294" s="12"/>
      <c r="B294" s="34"/>
      <c r="C294" s="12"/>
      <c r="D294" s="12"/>
      <c r="E294" s="12"/>
      <c r="F294" s="12"/>
      <c r="G294" s="18"/>
      <c r="H294" s="35"/>
      <c r="I294" s="12"/>
      <c r="M294" s="12"/>
      <c r="N294" s="18"/>
      <c r="O294" s="12"/>
      <c r="P294" s="12"/>
      <c r="Q294" s="12"/>
      <c r="R294" s="36"/>
      <c r="S294" s="36"/>
      <c r="T294" s="12"/>
      <c r="U294" s="12"/>
      <c r="V294" s="12"/>
      <c r="W294" s="12"/>
      <c r="X294" s="12"/>
    </row>
    <row r="295" customFormat="false" ht="15.75" hidden="false" customHeight="false" outlineLevel="0" collapsed="false">
      <c r="A295" s="12"/>
      <c r="B295" s="34"/>
      <c r="C295" s="12"/>
      <c r="D295" s="12"/>
      <c r="E295" s="12"/>
      <c r="F295" s="12"/>
      <c r="G295" s="18"/>
      <c r="H295" s="35"/>
      <c r="I295" s="12"/>
      <c r="M295" s="12"/>
      <c r="N295" s="18"/>
      <c r="O295" s="12"/>
      <c r="P295" s="12"/>
      <c r="Q295" s="12"/>
      <c r="R295" s="36"/>
      <c r="S295" s="36"/>
      <c r="T295" s="12"/>
      <c r="U295" s="12"/>
      <c r="V295" s="12"/>
      <c r="W295" s="12"/>
      <c r="X295" s="12"/>
    </row>
    <row r="296" customFormat="false" ht="15.75" hidden="false" customHeight="false" outlineLevel="0" collapsed="false">
      <c r="A296" s="12"/>
      <c r="B296" s="34"/>
      <c r="C296" s="12"/>
      <c r="D296" s="12"/>
      <c r="E296" s="12"/>
      <c r="F296" s="12"/>
      <c r="G296" s="18"/>
      <c r="H296" s="35"/>
      <c r="I296" s="12"/>
      <c r="M296" s="12"/>
      <c r="N296" s="18"/>
      <c r="O296" s="12"/>
      <c r="P296" s="12"/>
      <c r="Q296" s="12"/>
      <c r="R296" s="36"/>
      <c r="S296" s="36"/>
      <c r="T296" s="12"/>
      <c r="U296" s="12"/>
      <c r="V296" s="12"/>
      <c r="W296" s="12"/>
      <c r="X296" s="12"/>
    </row>
    <row r="297" customFormat="false" ht="15.75" hidden="false" customHeight="false" outlineLevel="0" collapsed="false">
      <c r="A297" s="12"/>
      <c r="B297" s="34"/>
      <c r="C297" s="12"/>
      <c r="D297" s="12"/>
      <c r="E297" s="12"/>
      <c r="F297" s="12"/>
      <c r="G297" s="18"/>
      <c r="H297" s="35"/>
      <c r="I297" s="12"/>
      <c r="M297" s="12"/>
      <c r="N297" s="18"/>
      <c r="O297" s="12"/>
      <c r="P297" s="12"/>
      <c r="Q297" s="12"/>
      <c r="R297" s="36"/>
      <c r="S297" s="36"/>
      <c r="T297" s="12"/>
      <c r="U297" s="12"/>
      <c r="V297" s="12"/>
      <c r="W297" s="12"/>
      <c r="X297" s="12"/>
    </row>
    <row r="298" customFormat="false" ht="15.75" hidden="false" customHeight="false" outlineLevel="0" collapsed="false">
      <c r="A298" s="12"/>
      <c r="B298" s="34"/>
      <c r="C298" s="12"/>
      <c r="D298" s="12"/>
      <c r="E298" s="12"/>
      <c r="F298" s="12"/>
      <c r="G298" s="18"/>
      <c r="H298" s="35"/>
      <c r="I298" s="12"/>
      <c r="M298" s="12"/>
      <c r="N298" s="18"/>
      <c r="O298" s="12"/>
      <c r="P298" s="12"/>
      <c r="Q298" s="12"/>
      <c r="R298" s="36"/>
      <c r="S298" s="36"/>
      <c r="T298" s="12"/>
      <c r="U298" s="12"/>
      <c r="V298" s="12"/>
      <c r="W298" s="12"/>
      <c r="X298" s="12"/>
    </row>
    <row r="299" customFormat="false" ht="15.75" hidden="false" customHeight="false" outlineLevel="0" collapsed="false">
      <c r="A299" s="12"/>
      <c r="B299" s="34"/>
      <c r="C299" s="12"/>
      <c r="D299" s="12"/>
      <c r="E299" s="12"/>
      <c r="F299" s="12"/>
      <c r="G299" s="18"/>
      <c r="H299" s="35"/>
      <c r="I299" s="12"/>
      <c r="M299" s="12"/>
      <c r="N299" s="18"/>
      <c r="O299" s="12"/>
      <c r="P299" s="12"/>
      <c r="Q299" s="12"/>
      <c r="R299" s="36"/>
      <c r="S299" s="36"/>
      <c r="T299" s="12"/>
      <c r="U299" s="12"/>
      <c r="V299" s="12"/>
      <c r="W299" s="12"/>
      <c r="X299" s="12"/>
    </row>
    <row r="300" customFormat="false" ht="15.75" hidden="false" customHeight="false" outlineLevel="0" collapsed="false">
      <c r="A300" s="12"/>
      <c r="B300" s="34"/>
      <c r="C300" s="12"/>
      <c r="D300" s="12"/>
      <c r="E300" s="12"/>
      <c r="F300" s="12"/>
      <c r="G300" s="18"/>
      <c r="H300" s="35"/>
      <c r="I300" s="12"/>
      <c r="M300" s="12"/>
      <c r="N300" s="18"/>
      <c r="O300" s="12"/>
      <c r="P300" s="12"/>
      <c r="Q300" s="12"/>
      <c r="R300" s="36"/>
      <c r="S300" s="36"/>
      <c r="T300" s="12"/>
      <c r="U300" s="12"/>
      <c r="V300" s="12"/>
      <c r="W300" s="12"/>
      <c r="X300" s="12"/>
    </row>
    <row r="301" customFormat="false" ht="15.75" hidden="false" customHeight="false" outlineLevel="0" collapsed="false">
      <c r="A301" s="12"/>
      <c r="B301" s="34"/>
      <c r="C301" s="12"/>
      <c r="D301" s="12"/>
      <c r="E301" s="12"/>
      <c r="F301" s="12"/>
      <c r="G301" s="18"/>
      <c r="H301" s="35"/>
      <c r="I301" s="12"/>
      <c r="M301" s="12"/>
      <c r="N301" s="18"/>
      <c r="O301" s="12"/>
      <c r="P301" s="12"/>
      <c r="Q301" s="12"/>
      <c r="R301" s="36"/>
      <c r="S301" s="36"/>
      <c r="T301" s="12"/>
      <c r="U301" s="12"/>
      <c r="V301" s="12"/>
      <c r="W301" s="12"/>
      <c r="X301" s="12"/>
    </row>
    <row r="302" customFormat="false" ht="15.75" hidden="false" customHeight="false" outlineLevel="0" collapsed="false">
      <c r="A302" s="12"/>
      <c r="B302" s="34"/>
      <c r="C302" s="12"/>
      <c r="D302" s="12"/>
      <c r="E302" s="12"/>
      <c r="F302" s="12"/>
      <c r="G302" s="18"/>
      <c r="H302" s="35"/>
      <c r="I302" s="12"/>
      <c r="M302" s="12"/>
      <c r="N302" s="18"/>
      <c r="O302" s="12"/>
      <c r="P302" s="12"/>
      <c r="Q302" s="12"/>
      <c r="R302" s="36"/>
      <c r="S302" s="36"/>
      <c r="T302" s="12"/>
      <c r="U302" s="12"/>
      <c r="V302" s="12"/>
      <c r="W302" s="12"/>
      <c r="X302" s="12"/>
    </row>
    <row r="303" customFormat="false" ht="15.75" hidden="false" customHeight="false" outlineLevel="0" collapsed="false">
      <c r="A303" s="12"/>
      <c r="B303" s="34"/>
      <c r="C303" s="12"/>
      <c r="D303" s="12"/>
      <c r="E303" s="12"/>
      <c r="F303" s="12"/>
      <c r="G303" s="18"/>
      <c r="H303" s="35"/>
      <c r="I303" s="12"/>
      <c r="M303" s="12"/>
      <c r="N303" s="18"/>
      <c r="O303" s="12"/>
      <c r="P303" s="12"/>
      <c r="Q303" s="12"/>
      <c r="R303" s="36"/>
      <c r="S303" s="36"/>
      <c r="T303" s="12"/>
      <c r="U303" s="12"/>
      <c r="V303" s="12"/>
      <c r="W303" s="12"/>
      <c r="X303" s="12"/>
    </row>
    <row r="304" customFormat="false" ht="15.75" hidden="false" customHeight="false" outlineLevel="0" collapsed="false">
      <c r="A304" s="12"/>
      <c r="B304" s="34"/>
      <c r="C304" s="12"/>
      <c r="D304" s="12"/>
      <c r="E304" s="12"/>
      <c r="F304" s="12"/>
      <c r="G304" s="18"/>
      <c r="H304" s="35"/>
      <c r="I304" s="12"/>
      <c r="M304" s="12"/>
      <c r="N304" s="18"/>
      <c r="O304" s="12"/>
      <c r="P304" s="12"/>
      <c r="Q304" s="12"/>
      <c r="R304" s="36"/>
      <c r="S304" s="36"/>
      <c r="T304" s="12"/>
      <c r="U304" s="12"/>
      <c r="V304" s="12"/>
      <c r="W304" s="12"/>
      <c r="X304" s="12"/>
    </row>
    <row r="305" customFormat="false" ht="15.75" hidden="false" customHeight="false" outlineLevel="0" collapsed="false">
      <c r="A305" s="12"/>
      <c r="B305" s="34"/>
      <c r="C305" s="12"/>
      <c r="D305" s="12"/>
      <c r="E305" s="12"/>
      <c r="F305" s="12"/>
      <c r="G305" s="18"/>
      <c r="H305" s="35"/>
      <c r="I305" s="12"/>
      <c r="M305" s="12"/>
      <c r="N305" s="18"/>
      <c r="O305" s="12"/>
      <c r="P305" s="12"/>
      <c r="Q305" s="12"/>
      <c r="R305" s="36"/>
      <c r="S305" s="36"/>
      <c r="T305" s="12"/>
      <c r="U305" s="12"/>
      <c r="V305" s="12"/>
      <c r="W305" s="12"/>
      <c r="X305" s="12"/>
    </row>
    <row r="306" customFormat="false" ht="15.75" hidden="false" customHeight="false" outlineLevel="0" collapsed="false">
      <c r="A306" s="12"/>
      <c r="B306" s="34"/>
      <c r="C306" s="12"/>
      <c r="D306" s="12"/>
      <c r="E306" s="12"/>
      <c r="F306" s="12"/>
      <c r="G306" s="18"/>
      <c r="H306" s="35"/>
      <c r="I306" s="12"/>
      <c r="M306" s="12"/>
      <c r="N306" s="18"/>
      <c r="O306" s="12"/>
      <c r="P306" s="12"/>
      <c r="Q306" s="12"/>
      <c r="R306" s="36"/>
      <c r="S306" s="36"/>
      <c r="T306" s="12"/>
      <c r="U306" s="12"/>
      <c r="V306" s="12"/>
      <c r="W306" s="12"/>
      <c r="X306" s="12"/>
    </row>
    <row r="307" customFormat="false" ht="15.75" hidden="false" customHeight="false" outlineLevel="0" collapsed="false">
      <c r="A307" s="12"/>
      <c r="B307" s="34"/>
      <c r="C307" s="12"/>
      <c r="D307" s="12"/>
      <c r="E307" s="12"/>
      <c r="F307" s="12"/>
      <c r="G307" s="18"/>
      <c r="H307" s="35"/>
      <c r="I307" s="12"/>
      <c r="M307" s="12"/>
      <c r="N307" s="18"/>
      <c r="O307" s="12"/>
      <c r="P307" s="12"/>
      <c r="Q307" s="12"/>
      <c r="R307" s="36"/>
      <c r="S307" s="36"/>
      <c r="T307" s="12"/>
      <c r="U307" s="12"/>
      <c r="V307" s="12"/>
      <c r="W307" s="12"/>
      <c r="X307" s="12"/>
    </row>
    <row r="308" customFormat="false" ht="15.75" hidden="false" customHeight="false" outlineLevel="0" collapsed="false">
      <c r="A308" s="12"/>
      <c r="B308" s="34"/>
      <c r="C308" s="12"/>
      <c r="D308" s="12"/>
      <c r="E308" s="12"/>
      <c r="F308" s="12"/>
      <c r="G308" s="18"/>
      <c r="H308" s="35"/>
      <c r="I308" s="12"/>
      <c r="M308" s="12"/>
      <c r="N308" s="18"/>
      <c r="O308" s="12"/>
      <c r="P308" s="12"/>
      <c r="Q308" s="12"/>
      <c r="R308" s="36"/>
      <c r="S308" s="36"/>
      <c r="T308" s="12"/>
      <c r="U308" s="12"/>
      <c r="V308" s="12"/>
      <c r="W308" s="12"/>
      <c r="X308" s="12"/>
    </row>
    <row r="309" customFormat="false" ht="15.75" hidden="false" customHeight="false" outlineLevel="0" collapsed="false">
      <c r="A309" s="12"/>
      <c r="B309" s="34"/>
      <c r="C309" s="12"/>
      <c r="D309" s="12"/>
      <c r="E309" s="12"/>
      <c r="F309" s="12"/>
      <c r="G309" s="18"/>
      <c r="H309" s="35"/>
      <c r="I309" s="12"/>
      <c r="M309" s="12"/>
      <c r="N309" s="18"/>
      <c r="O309" s="12"/>
      <c r="P309" s="12"/>
      <c r="Q309" s="12"/>
      <c r="R309" s="36"/>
      <c r="S309" s="36"/>
      <c r="T309" s="12"/>
      <c r="U309" s="12"/>
      <c r="V309" s="12"/>
      <c r="W309" s="12"/>
      <c r="X309" s="12"/>
    </row>
    <row r="310" customFormat="false" ht="15.75" hidden="false" customHeight="false" outlineLevel="0" collapsed="false">
      <c r="A310" s="12"/>
      <c r="B310" s="34"/>
      <c r="C310" s="12"/>
      <c r="D310" s="12"/>
      <c r="E310" s="12"/>
      <c r="F310" s="12"/>
      <c r="G310" s="18"/>
      <c r="H310" s="35"/>
      <c r="I310" s="12"/>
      <c r="M310" s="12"/>
      <c r="N310" s="18"/>
      <c r="O310" s="12"/>
      <c r="P310" s="12"/>
      <c r="Q310" s="12"/>
      <c r="R310" s="36"/>
      <c r="S310" s="36"/>
      <c r="T310" s="12"/>
      <c r="U310" s="12"/>
      <c r="V310" s="12"/>
      <c r="W310" s="12"/>
      <c r="X310" s="12"/>
    </row>
    <row r="311" customFormat="false" ht="15.75" hidden="false" customHeight="false" outlineLevel="0" collapsed="false">
      <c r="A311" s="12"/>
      <c r="B311" s="34"/>
      <c r="C311" s="12"/>
      <c r="D311" s="12"/>
      <c r="E311" s="12"/>
      <c r="F311" s="12"/>
      <c r="G311" s="18"/>
      <c r="H311" s="35"/>
      <c r="I311" s="12"/>
      <c r="M311" s="12"/>
      <c r="N311" s="18"/>
      <c r="O311" s="12"/>
      <c r="P311" s="12"/>
      <c r="Q311" s="12"/>
      <c r="R311" s="36"/>
      <c r="S311" s="36"/>
      <c r="T311" s="12"/>
      <c r="U311" s="12"/>
      <c r="V311" s="12"/>
      <c r="W311" s="12"/>
      <c r="X311" s="12"/>
    </row>
    <row r="312" customFormat="false" ht="15.75" hidden="false" customHeight="false" outlineLevel="0" collapsed="false">
      <c r="A312" s="12"/>
      <c r="B312" s="34"/>
      <c r="C312" s="12"/>
      <c r="D312" s="12"/>
      <c r="E312" s="12"/>
      <c r="F312" s="12"/>
      <c r="G312" s="18"/>
      <c r="H312" s="35"/>
      <c r="I312" s="12"/>
      <c r="M312" s="12"/>
      <c r="N312" s="18"/>
      <c r="O312" s="12"/>
      <c r="P312" s="12"/>
      <c r="Q312" s="12"/>
      <c r="R312" s="36"/>
      <c r="S312" s="36"/>
      <c r="T312" s="12"/>
      <c r="U312" s="12"/>
      <c r="V312" s="12"/>
      <c r="W312" s="12"/>
      <c r="X312" s="12"/>
    </row>
    <row r="313" customFormat="false" ht="15.75" hidden="false" customHeight="false" outlineLevel="0" collapsed="false">
      <c r="A313" s="12"/>
      <c r="B313" s="34"/>
      <c r="C313" s="12"/>
      <c r="D313" s="12"/>
      <c r="E313" s="12"/>
      <c r="F313" s="12"/>
      <c r="G313" s="18"/>
      <c r="H313" s="35"/>
      <c r="I313" s="12"/>
      <c r="M313" s="12"/>
      <c r="N313" s="18"/>
      <c r="O313" s="12"/>
      <c r="P313" s="12"/>
      <c r="Q313" s="12"/>
      <c r="R313" s="36"/>
      <c r="S313" s="36"/>
      <c r="T313" s="12"/>
      <c r="U313" s="12"/>
      <c r="V313" s="12"/>
      <c r="W313" s="12"/>
      <c r="X313" s="12"/>
    </row>
    <row r="314" customFormat="false" ht="15.75" hidden="false" customHeight="false" outlineLevel="0" collapsed="false">
      <c r="A314" s="12"/>
      <c r="B314" s="34"/>
      <c r="C314" s="12"/>
      <c r="D314" s="12"/>
      <c r="E314" s="12"/>
      <c r="F314" s="12"/>
      <c r="G314" s="18"/>
      <c r="H314" s="35"/>
      <c r="I314" s="12"/>
      <c r="M314" s="12"/>
      <c r="N314" s="18"/>
      <c r="O314" s="12"/>
      <c r="P314" s="12"/>
      <c r="Q314" s="12"/>
      <c r="R314" s="36"/>
      <c r="S314" s="36"/>
      <c r="T314" s="12"/>
      <c r="U314" s="12"/>
      <c r="V314" s="12"/>
      <c r="W314" s="12"/>
      <c r="X314" s="12"/>
    </row>
    <row r="315" customFormat="false" ht="15.75" hidden="false" customHeight="false" outlineLevel="0" collapsed="false">
      <c r="A315" s="12"/>
      <c r="B315" s="34"/>
      <c r="C315" s="12"/>
      <c r="D315" s="12"/>
      <c r="E315" s="12"/>
      <c r="F315" s="12"/>
      <c r="G315" s="18"/>
      <c r="H315" s="35"/>
      <c r="I315" s="12"/>
      <c r="M315" s="12"/>
      <c r="N315" s="18"/>
      <c r="O315" s="12"/>
      <c r="P315" s="12"/>
      <c r="Q315" s="12"/>
      <c r="R315" s="36"/>
      <c r="S315" s="36"/>
      <c r="T315" s="12"/>
      <c r="U315" s="12"/>
      <c r="V315" s="12"/>
      <c r="W315" s="12"/>
      <c r="X315" s="12"/>
    </row>
    <row r="316" customFormat="false" ht="15.75" hidden="false" customHeight="false" outlineLevel="0" collapsed="false">
      <c r="A316" s="12"/>
      <c r="B316" s="34"/>
      <c r="C316" s="12"/>
      <c r="D316" s="12"/>
      <c r="E316" s="12"/>
      <c r="F316" s="12"/>
      <c r="G316" s="18"/>
      <c r="H316" s="35"/>
      <c r="I316" s="12"/>
      <c r="M316" s="12"/>
      <c r="N316" s="18"/>
      <c r="O316" s="12"/>
      <c r="P316" s="12"/>
      <c r="Q316" s="12"/>
      <c r="R316" s="36"/>
      <c r="S316" s="36"/>
      <c r="T316" s="12"/>
      <c r="U316" s="12"/>
      <c r="V316" s="12"/>
      <c r="W316" s="12"/>
      <c r="X316" s="12"/>
    </row>
    <row r="317" customFormat="false" ht="15.75" hidden="false" customHeight="false" outlineLevel="0" collapsed="false">
      <c r="A317" s="12"/>
      <c r="B317" s="34"/>
      <c r="C317" s="12"/>
      <c r="D317" s="12"/>
      <c r="E317" s="12"/>
      <c r="F317" s="12"/>
      <c r="G317" s="18"/>
      <c r="H317" s="35"/>
      <c r="I317" s="12"/>
      <c r="M317" s="12"/>
      <c r="N317" s="18"/>
      <c r="O317" s="12"/>
      <c r="P317" s="12"/>
      <c r="Q317" s="12"/>
      <c r="R317" s="36"/>
      <c r="S317" s="36"/>
      <c r="T317" s="12"/>
      <c r="U317" s="12"/>
      <c r="V317" s="12"/>
      <c r="W317" s="12"/>
      <c r="X317" s="12"/>
    </row>
    <row r="318" customFormat="false" ht="15.75" hidden="false" customHeight="false" outlineLevel="0" collapsed="false">
      <c r="A318" s="12"/>
      <c r="B318" s="34"/>
      <c r="C318" s="12"/>
      <c r="D318" s="12"/>
      <c r="E318" s="12"/>
      <c r="F318" s="12"/>
      <c r="G318" s="18"/>
      <c r="H318" s="35"/>
      <c r="I318" s="12"/>
      <c r="M318" s="12"/>
      <c r="N318" s="18"/>
      <c r="O318" s="12"/>
      <c r="P318" s="12"/>
      <c r="Q318" s="12"/>
      <c r="R318" s="36"/>
      <c r="S318" s="36"/>
      <c r="T318" s="12"/>
      <c r="U318" s="12"/>
      <c r="V318" s="12"/>
      <c r="W318" s="12"/>
      <c r="X318" s="12"/>
    </row>
    <row r="319" customFormat="false" ht="15.75" hidden="false" customHeight="false" outlineLevel="0" collapsed="false">
      <c r="A319" s="12"/>
      <c r="B319" s="34"/>
      <c r="C319" s="12"/>
      <c r="D319" s="12"/>
      <c r="E319" s="12"/>
      <c r="F319" s="12"/>
      <c r="G319" s="18"/>
      <c r="H319" s="35"/>
      <c r="I319" s="12"/>
      <c r="M319" s="12"/>
      <c r="N319" s="18"/>
      <c r="O319" s="12"/>
      <c r="P319" s="12"/>
      <c r="Q319" s="12"/>
      <c r="R319" s="36"/>
      <c r="S319" s="36"/>
      <c r="T319" s="12"/>
      <c r="U319" s="12"/>
      <c r="V319" s="12"/>
      <c r="W319" s="12"/>
      <c r="X319" s="12"/>
    </row>
    <row r="320" customFormat="false" ht="15.75" hidden="false" customHeight="false" outlineLevel="0" collapsed="false">
      <c r="A320" s="12"/>
      <c r="B320" s="34"/>
      <c r="C320" s="12"/>
      <c r="D320" s="12"/>
      <c r="E320" s="12"/>
      <c r="F320" s="12"/>
      <c r="G320" s="18"/>
      <c r="H320" s="35"/>
      <c r="I320" s="12"/>
      <c r="M320" s="12"/>
      <c r="N320" s="18"/>
      <c r="O320" s="12"/>
      <c r="P320" s="12"/>
      <c r="Q320" s="12"/>
      <c r="R320" s="36"/>
      <c r="S320" s="36"/>
      <c r="T320" s="12"/>
      <c r="U320" s="12"/>
      <c r="V320" s="12"/>
      <c r="W320" s="12"/>
      <c r="X320" s="12"/>
    </row>
    <row r="321" customFormat="false" ht="15.75" hidden="false" customHeight="false" outlineLevel="0" collapsed="false">
      <c r="A321" s="12"/>
      <c r="B321" s="34"/>
      <c r="C321" s="12"/>
      <c r="D321" s="12"/>
      <c r="E321" s="12"/>
      <c r="F321" s="12"/>
      <c r="G321" s="18"/>
      <c r="H321" s="35"/>
      <c r="I321" s="12"/>
      <c r="M321" s="12"/>
      <c r="N321" s="18"/>
      <c r="O321" s="12"/>
      <c r="P321" s="12"/>
      <c r="Q321" s="12"/>
      <c r="R321" s="36"/>
      <c r="S321" s="36"/>
      <c r="T321" s="12"/>
      <c r="U321" s="12"/>
      <c r="V321" s="12"/>
      <c r="W321" s="12"/>
      <c r="X321" s="12"/>
    </row>
    <row r="322" customFormat="false" ht="15.75" hidden="false" customHeight="false" outlineLevel="0" collapsed="false">
      <c r="A322" s="12"/>
      <c r="B322" s="34"/>
      <c r="C322" s="12"/>
      <c r="D322" s="12"/>
      <c r="E322" s="12"/>
      <c r="F322" s="12"/>
      <c r="G322" s="18"/>
      <c r="H322" s="35"/>
      <c r="I322" s="12"/>
      <c r="M322" s="12"/>
      <c r="N322" s="18"/>
      <c r="O322" s="12"/>
      <c r="P322" s="12"/>
      <c r="Q322" s="12"/>
      <c r="R322" s="36"/>
      <c r="S322" s="36"/>
      <c r="T322" s="12"/>
      <c r="U322" s="12"/>
      <c r="V322" s="12"/>
      <c r="W322" s="12"/>
      <c r="X322" s="12"/>
    </row>
    <row r="323" customFormat="false" ht="15.75" hidden="false" customHeight="false" outlineLevel="0" collapsed="false">
      <c r="A323" s="12"/>
      <c r="B323" s="34"/>
      <c r="C323" s="12"/>
      <c r="D323" s="12"/>
      <c r="E323" s="12"/>
      <c r="F323" s="12"/>
      <c r="G323" s="18"/>
      <c r="H323" s="35"/>
      <c r="I323" s="12"/>
      <c r="M323" s="12"/>
      <c r="N323" s="18"/>
      <c r="O323" s="12"/>
      <c r="P323" s="12"/>
      <c r="Q323" s="12"/>
      <c r="R323" s="36"/>
      <c r="S323" s="36"/>
      <c r="T323" s="12"/>
      <c r="U323" s="12"/>
      <c r="V323" s="12"/>
      <c r="W323" s="12"/>
      <c r="X323" s="12"/>
    </row>
    <row r="324" customFormat="false" ht="15.75" hidden="false" customHeight="false" outlineLevel="0" collapsed="false">
      <c r="A324" s="12"/>
      <c r="B324" s="34"/>
      <c r="C324" s="12"/>
      <c r="D324" s="12"/>
      <c r="E324" s="12"/>
      <c r="F324" s="12"/>
      <c r="G324" s="18"/>
      <c r="H324" s="35"/>
      <c r="I324" s="12"/>
      <c r="M324" s="12"/>
      <c r="N324" s="18"/>
      <c r="O324" s="12"/>
      <c r="P324" s="12"/>
      <c r="Q324" s="12"/>
      <c r="R324" s="36"/>
      <c r="S324" s="36"/>
      <c r="T324" s="12"/>
      <c r="U324" s="12"/>
      <c r="V324" s="12"/>
      <c r="W324" s="12"/>
      <c r="X324" s="12"/>
    </row>
    <row r="325" customFormat="false" ht="15.75" hidden="false" customHeight="false" outlineLevel="0" collapsed="false">
      <c r="A325" s="12"/>
      <c r="B325" s="34"/>
      <c r="C325" s="12"/>
      <c r="D325" s="12"/>
      <c r="E325" s="12"/>
      <c r="F325" s="12"/>
      <c r="G325" s="18"/>
      <c r="H325" s="35"/>
      <c r="I325" s="12"/>
      <c r="M325" s="12"/>
      <c r="N325" s="18"/>
      <c r="O325" s="12"/>
      <c r="P325" s="12"/>
      <c r="Q325" s="12"/>
      <c r="R325" s="36"/>
      <c r="S325" s="36"/>
      <c r="T325" s="12"/>
      <c r="U325" s="12"/>
      <c r="V325" s="12"/>
      <c r="W325" s="12"/>
      <c r="X325" s="12"/>
    </row>
    <row r="326" customFormat="false" ht="15.75" hidden="false" customHeight="false" outlineLevel="0" collapsed="false">
      <c r="A326" s="12"/>
      <c r="B326" s="34"/>
      <c r="C326" s="12"/>
      <c r="D326" s="12"/>
      <c r="E326" s="12"/>
      <c r="F326" s="12"/>
      <c r="G326" s="18"/>
      <c r="H326" s="35"/>
      <c r="I326" s="12"/>
      <c r="M326" s="12"/>
      <c r="N326" s="18"/>
      <c r="O326" s="12"/>
      <c r="P326" s="12"/>
      <c r="Q326" s="12"/>
      <c r="R326" s="36"/>
      <c r="S326" s="36"/>
      <c r="T326" s="12"/>
      <c r="U326" s="12"/>
      <c r="V326" s="12"/>
      <c r="W326" s="12"/>
      <c r="X326" s="12"/>
    </row>
    <row r="327" customFormat="false" ht="15.75" hidden="false" customHeight="false" outlineLevel="0" collapsed="false">
      <c r="A327" s="12"/>
      <c r="B327" s="34"/>
      <c r="C327" s="12"/>
      <c r="D327" s="12"/>
      <c r="E327" s="12"/>
      <c r="F327" s="12"/>
      <c r="G327" s="18"/>
      <c r="H327" s="35"/>
      <c r="I327" s="12"/>
      <c r="M327" s="12"/>
      <c r="N327" s="18"/>
      <c r="O327" s="12"/>
      <c r="P327" s="12"/>
      <c r="Q327" s="12"/>
      <c r="R327" s="36"/>
      <c r="S327" s="36"/>
      <c r="T327" s="12"/>
      <c r="U327" s="12"/>
      <c r="V327" s="12"/>
      <c r="W327" s="12"/>
      <c r="X327" s="12"/>
    </row>
    <row r="328" customFormat="false" ht="15.75" hidden="false" customHeight="false" outlineLevel="0" collapsed="false">
      <c r="A328" s="12"/>
      <c r="B328" s="34"/>
      <c r="C328" s="12"/>
      <c r="D328" s="12"/>
      <c r="E328" s="12"/>
      <c r="F328" s="12"/>
      <c r="G328" s="18"/>
      <c r="H328" s="35"/>
      <c r="I328" s="12"/>
      <c r="M328" s="12"/>
      <c r="N328" s="18"/>
      <c r="O328" s="12"/>
      <c r="P328" s="12"/>
      <c r="Q328" s="12"/>
      <c r="R328" s="36"/>
      <c r="S328" s="36"/>
      <c r="T328" s="12"/>
      <c r="U328" s="12"/>
      <c r="V328" s="12"/>
      <c r="W328" s="12"/>
      <c r="X328" s="12"/>
    </row>
    <row r="329" customFormat="false" ht="15.75" hidden="false" customHeight="false" outlineLevel="0" collapsed="false">
      <c r="A329" s="12"/>
      <c r="B329" s="34"/>
      <c r="C329" s="12"/>
      <c r="D329" s="12"/>
      <c r="E329" s="12"/>
      <c r="F329" s="12"/>
      <c r="G329" s="18"/>
      <c r="H329" s="35"/>
      <c r="I329" s="12"/>
      <c r="M329" s="12"/>
      <c r="N329" s="18"/>
      <c r="O329" s="12"/>
      <c r="P329" s="12"/>
      <c r="Q329" s="12"/>
      <c r="R329" s="36"/>
      <c r="S329" s="36"/>
      <c r="T329" s="12"/>
      <c r="U329" s="12"/>
      <c r="V329" s="12"/>
      <c r="W329" s="12"/>
      <c r="X329" s="12"/>
    </row>
    <row r="330" customFormat="false" ht="15.75" hidden="false" customHeight="false" outlineLevel="0" collapsed="false">
      <c r="A330" s="12"/>
      <c r="B330" s="34"/>
      <c r="C330" s="12"/>
      <c r="D330" s="12"/>
      <c r="E330" s="12"/>
      <c r="F330" s="12"/>
      <c r="G330" s="18"/>
      <c r="H330" s="35"/>
      <c r="I330" s="12"/>
      <c r="M330" s="12"/>
      <c r="N330" s="18"/>
      <c r="O330" s="12"/>
      <c r="P330" s="12"/>
      <c r="Q330" s="12"/>
      <c r="R330" s="36"/>
      <c r="S330" s="36"/>
      <c r="T330" s="12"/>
      <c r="U330" s="12"/>
      <c r="V330" s="12"/>
      <c r="W330" s="12"/>
      <c r="X330" s="12"/>
    </row>
    <row r="331" customFormat="false" ht="15.75" hidden="false" customHeight="false" outlineLevel="0" collapsed="false">
      <c r="A331" s="12"/>
      <c r="B331" s="34"/>
      <c r="C331" s="12"/>
      <c r="D331" s="12"/>
      <c r="E331" s="12"/>
      <c r="F331" s="12"/>
      <c r="G331" s="18"/>
      <c r="H331" s="35"/>
      <c r="I331" s="12"/>
      <c r="M331" s="12"/>
      <c r="N331" s="18"/>
      <c r="O331" s="12"/>
      <c r="P331" s="12"/>
      <c r="Q331" s="12"/>
      <c r="R331" s="36"/>
      <c r="S331" s="36"/>
      <c r="T331" s="12"/>
      <c r="U331" s="12"/>
      <c r="V331" s="12"/>
      <c r="W331" s="12"/>
      <c r="X331" s="12"/>
    </row>
    <row r="332" customFormat="false" ht="15.75" hidden="false" customHeight="false" outlineLevel="0" collapsed="false">
      <c r="A332" s="12"/>
      <c r="B332" s="34"/>
      <c r="C332" s="12"/>
      <c r="D332" s="12"/>
      <c r="E332" s="12"/>
      <c r="F332" s="12"/>
      <c r="G332" s="18"/>
      <c r="H332" s="35"/>
      <c r="I332" s="12"/>
      <c r="M332" s="12"/>
      <c r="N332" s="18"/>
      <c r="O332" s="12"/>
      <c r="P332" s="12"/>
      <c r="Q332" s="12"/>
      <c r="R332" s="36"/>
      <c r="S332" s="36"/>
      <c r="T332" s="12"/>
      <c r="U332" s="12"/>
      <c r="V332" s="12"/>
      <c r="W332" s="12"/>
      <c r="X332" s="12"/>
    </row>
    <row r="333" customFormat="false" ht="15.75" hidden="false" customHeight="false" outlineLevel="0" collapsed="false">
      <c r="A333" s="12"/>
      <c r="B333" s="34"/>
      <c r="C333" s="12"/>
      <c r="D333" s="12"/>
      <c r="E333" s="12"/>
      <c r="F333" s="12"/>
      <c r="G333" s="18"/>
      <c r="H333" s="35"/>
      <c r="I333" s="12"/>
      <c r="M333" s="12"/>
      <c r="N333" s="18"/>
      <c r="O333" s="12"/>
      <c r="P333" s="12"/>
      <c r="Q333" s="12"/>
      <c r="R333" s="36"/>
      <c r="S333" s="36"/>
      <c r="T333" s="12"/>
      <c r="U333" s="12"/>
      <c r="V333" s="12"/>
      <c r="W333" s="12"/>
      <c r="X333" s="12"/>
    </row>
    <row r="334" customFormat="false" ht="15.75" hidden="false" customHeight="false" outlineLevel="0" collapsed="false">
      <c r="A334" s="12"/>
      <c r="B334" s="34"/>
      <c r="C334" s="12"/>
      <c r="D334" s="12"/>
      <c r="E334" s="12"/>
      <c r="F334" s="12"/>
      <c r="G334" s="18"/>
      <c r="H334" s="35"/>
      <c r="I334" s="12"/>
      <c r="M334" s="12"/>
      <c r="N334" s="18"/>
      <c r="O334" s="12"/>
      <c r="P334" s="12"/>
      <c r="Q334" s="12"/>
      <c r="R334" s="36"/>
      <c r="S334" s="36"/>
      <c r="T334" s="12"/>
      <c r="U334" s="12"/>
      <c r="V334" s="12"/>
      <c r="W334" s="12"/>
      <c r="X334" s="12"/>
    </row>
    <row r="335" customFormat="false" ht="15.75" hidden="false" customHeight="false" outlineLevel="0" collapsed="false">
      <c r="A335" s="12"/>
      <c r="B335" s="34"/>
      <c r="C335" s="12"/>
      <c r="D335" s="12"/>
      <c r="E335" s="12"/>
      <c r="F335" s="12"/>
      <c r="G335" s="18"/>
      <c r="H335" s="35"/>
      <c r="I335" s="12"/>
      <c r="M335" s="12"/>
      <c r="N335" s="18"/>
      <c r="O335" s="12"/>
      <c r="P335" s="12"/>
      <c r="Q335" s="12"/>
      <c r="R335" s="36"/>
      <c r="S335" s="36"/>
      <c r="T335" s="12"/>
      <c r="U335" s="12"/>
      <c r="V335" s="12"/>
      <c r="W335" s="12"/>
      <c r="X335" s="12"/>
    </row>
    <row r="336" customFormat="false" ht="15.75" hidden="false" customHeight="false" outlineLevel="0" collapsed="false">
      <c r="A336" s="12"/>
      <c r="B336" s="34"/>
      <c r="C336" s="12"/>
      <c r="D336" s="12"/>
      <c r="E336" s="12"/>
      <c r="F336" s="12"/>
      <c r="G336" s="18"/>
      <c r="H336" s="35"/>
      <c r="I336" s="12"/>
      <c r="M336" s="12"/>
      <c r="N336" s="18"/>
      <c r="O336" s="12"/>
      <c r="P336" s="12"/>
      <c r="Q336" s="12"/>
      <c r="R336" s="36"/>
      <c r="S336" s="36"/>
      <c r="T336" s="12"/>
      <c r="U336" s="12"/>
      <c r="V336" s="12"/>
      <c r="W336" s="12"/>
      <c r="X336" s="12"/>
    </row>
    <row r="337" customFormat="false" ht="15.75" hidden="false" customHeight="false" outlineLevel="0" collapsed="false">
      <c r="A337" s="12"/>
      <c r="B337" s="34"/>
      <c r="C337" s="12"/>
      <c r="D337" s="12"/>
      <c r="E337" s="12"/>
      <c r="F337" s="12"/>
      <c r="G337" s="18"/>
      <c r="H337" s="35"/>
      <c r="I337" s="12"/>
      <c r="M337" s="12"/>
      <c r="N337" s="18"/>
      <c r="O337" s="12"/>
      <c r="P337" s="12"/>
      <c r="Q337" s="12"/>
      <c r="R337" s="36"/>
      <c r="S337" s="36"/>
      <c r="T337" s="12"/>
      <c r="U337" s="12"/>
      <c r="V337" s="12"/>
      <c r="W337" s="12"/>
      <c r="X337" s="12"/>
    </row>
    <row r="338" customFormat="false" ht="15.75" hidden="false" customHeight="false" outlineLevel="0" collapsed="false">
      <c r="A338" s="12"/>
      <c r="B338" s="34"/>
      <c r="C338" s="12"/>
      <c r="D338" s="12"/>
      <c r="E338" s="12"/>
      <c r="F338" s="12"/>
      <c r="G338" s="18"/>
      <c r="H338" s="35"/>
      <c r="I338" s="12"/>
      <c r="M338" s="12"/>
      <c r="N338" s="18"/>
      <c r="O338" s="12"/>
      <c r="P338" s="12"/>
      <c r="Q338" s="12"/>
      <c r="R338" s="36"/>
      <c r="S338" s="36"/>
      <c r="T338" s="12"/>
      <c r="U338" s="12"/>
      <c r="V338" s="12"/>
      <c r="W338" s="12"/>
      <c r="X338" s="12"/>
    </row>
    <row r="339" customFormat="false" ht="15.75" hidden="false" customHeight="false" outlineLevel="0" collapsed="false">
      <c r="A339" s="12"/>
      <c r="B339" s="34"/>
      <c r="C339" s="12"/>
      <c r="D339" s="12"/>
      <c r="E339" s="12"/>
      <c r="F339" s="12"/>
      <c r="G339" s="18"/>
      <c r="H339" s="35"/>
      <c r="I339" s="12"/>
      <c r="M339" s="12"/>
      <c r="N339" s="18"/>
      <c r="O339" s="12"/>
      <c r="P339" s="12"/>
      <c r="Q339" s="12"/>
      <c r="R339" s="36"/>
      <c r="S339" s="36"/>
      <c r="T339" s="12"/>
      <c r="U339" s="12"/>
      <c r="V339" s="12"/>
      <c r="W339" s="12"/>
      <c r="X339" s="12"/>
    </row>
    <row r="340" customFormat="false" ht="15.75" hidden="false" customHeight="false" outlineLevel="0" collapsed="false">
      <c r="A340" s="12"/>
      <c r="B340" s="34"/>
      <c r="C340" s="12"/>
      <c r="D340" s="12"/>
      <c r="E340" s="12"/>
      <c r="F340" s="12"/>
      <c r="G340" s="18"/>
      <c r="H340" s="35"/>
      <c r="I340" s="12"/>
      <c r="M340" s="12"/>
      <c r="N340" s="18"/>
      <c r="O340" s="12"/>
      <c r="P340" s="12"/>
      <c r="Q340" s="12"/>
      <c r="R340" s="36"/>
      <c r="S340" s="36"/>
      <c r="T340" s="12"/>
      <c r="U340" s="12"/>
      <c r="V340" s="12"/>
      <c r="W340" s="12"/>
      <c r="X340" s="12"/>
    </row>
    <row r="341" customFormat="false" ht="15.75" hidden="false" customHeight="false" outlineLevel="0" collapsed="false">
      <c r="A341" s="12"/>
      <c r="B341" s="34"/>
      <c r="C341" s="12"/>
      <c r="D341" s="12"/>
      <c r="E341" s="12"/>
      <c r="F341" s="12"/>
      <c r="G341" s="18"/>
      <c r="H341" s="35"/>
      <c r="I341" s="12"/>
      <c r="M341" s="12"/>
      <c r="N341" s="18"/>
      <c r="O341" s="12"/>
      <c r="P341" s="12"/>
      <c r="Q341" s="12"/>
      <c r="R341" s="36"/>
      <c r="S341" s="36"/>
      <c r="T341" s="12"/>
      <c r="U341" s="12"/>
      <c r="V341" s="12"/>
      <c r="W341" s="12"/>
      <c r="X341" s="12"/>
    </row>
    <row r="342" customFormat="false" ht="15.75" hidden="false" customHeight="false" outlineLevel="0" collapsed="false">
      <c r="A342" s="12"/>
      <c r="B342" s="34"/>
      <c r="C342" s="12"/>
      <c r="D342" s="12"/>
      <c r="E342" s="12"/>
      <c r="F342" s="12"/>
      <c r="G342" s="18"/>
      <c r="H342" s="35"/>
      <c r="I342" s="12"/>
      <c r="M342" s="12"/>
      <c r="N342" s="18"/>
      <c r="O342" s="12"/>
      <c r="P342" s="12"/>
      <c r="Q342" s="12"/>
      <c r="R342" s="36"/>
      <c r="S342" s="36"/>
      <c r="T342" s="12"/>
      <c r="U342" s="12"/>
      <c r="V342" s="12"/>
      <c r="W342" s="12"/>
      <c r="X342" s="12"/>
    </row>
    <row r="343" customFormat="false" ht="15.75" hidden="false" customHeight="false" outlineLevel="0" collapsed="false">
      <c r="A343" s="12"/>
      <c r="B343" s="34"/>
      <c r="C343" s="12"/>
      <c r="D343" s="12"/>
      <c r="E343" s="12"/>
      <c r="F343" s="12"/>
      <c r="G343" s="18"/>
      <c r="H343" s="35"/>
      <c r="I343" s="12"/>
      <c r="M343" s="12"/>
      <c r="N343" s="18"/>
      <c r="O343" s="12"/>
      <c r="P343" s="12"/>
      <c r="Q343" s="12"/>
      <c r="R343" s="36"/>
      <c r="S343" s="36"/>
      <c r="T343" s="12"/>
      <c r="U343" s="12"/>
      <c r="V343" s="12"/>
      <c r="W343" s="12"/>
      <c r="X343" s="12"/>
    </row>
    <row r="344" customFormat="false" ht="15.75" hidden="false" customHeight="false" outlineLevel="0" collapsed="false">
      <c r="A344" s="12"/>
      <c r="B344" s="34"/>
      <c r="C344" s="12"/>
      <c r="D344" s="12"/>
      <c r="E344" s="12"/>
      <c r="F344" s="12"/>
      <c r="G344" s="18"/>
      <c r="H344" s="35"/>
      <c r="I344" s="12"/>
      <c r="M344" s="12"/>
      <c r="N344" s="18"/>
      <c r="O344" s="12"/>
      <c r="P344" s="12"/>
      <c r="Q344" s="12"/>
      <c r="R344" s="36"/>
      <c r="S344" s="36"/>
      <c r="T344" s="12"/>
      <c r="U344" s="12"/>
      <c r="V344" s="12"/>
      <c r="W344" s="12"/>
      <c r="X344" s="12"/>
    </row>
    <row r="345" customFormat="false" ht="15.75" hidden="false" customHeight="false" outlineLevel="0" collapsed="false">
      <c r="A345" s="12"/>
      <c r="B345" s="34"/>
      <c r="C345" s="12"/>
      <c r="D345" s="12"/>
      <c r="E345" s="12"/>
      <c r="F345" s="12"/>
      <c r="G345" s="18"/>
      <c r="H345" s="35"/>
      <c r="I345" s="12"/>
      <c r="M345" s="12"/>
      <c r="N345" s="18"/>
      <c r="O345" s="12"/>
      <c r="P345" s="12"/>
      <c r="Q345" s="12"/>
      <c r="R345" s="36"/>
      <c r="S345" s="36"/>
      <c r="T345" s="12"/>
      <c r="U345" s="12"/>
      <c r="V345" s="12"/>
      <c r="W345" s="12"/>
      <c r="X345" s="12"/>
    </row>
    <row r="346" customFormat="false" ht="15.75" hidden="false" customHeight="false" outlineLevel="0" collapsed="false">
      <c r="A346" s="12"/>
      <c r="B346" s="34"/>
      <c r="C346" s="12"/>
      <c r="D346" s="12"/>
      <c r="E346" s="12"/>
      <c r="F346" s="12"/>
      <c r="G346" s="18"/>
      <c r="H346" s="35"/>
      <c r="I346" s="12"/>
      <c r="M346" s="12"/>
      <c r="N346" s="18"/>
      <c r="O346" s="12"/>
      <c r="P346" s="12"/>
      <c r="Q346" s="12"/>
      <c r="R346" s="36"/>
      <c r="S346" s="36"/>
      <c r="T346" s="12"/>
      <c r="U346" s="12"/>
      <c r="V346" s="12"/>
      <c r="W346" s="12"/>
      <c r="X346" s="12"/>
    </row>
    <row r="347" customFormat="false" ht="15.75" hidden="false" customHeight="false" outlineLevel="0" collapsed="false">
      <c r="A347" s="12"/>
      <c r="B347" s="34"/>
      <c r="C347" s="12"/>
      <c r="D347" s="12"/>
      <c r="E347" s="12"/>
      <c r="F347" s="12"/>
      <c r="G347" s="18"/>
      <c r="H347" s="35"/>
      <c r="I347" s="12"/>
      <c r="M347" s="12"/>
      <c r="N347" s="18"/>
      <c r="O347" s="12"/>
      <c r="P347" s="12"/>
      <c r="Q347" s="12"/>
      <c r="R347" s="36"/>
      <c r="S347" s="36"/>
      <c r="T347" s="12"/>
      <c r="U347" s="12"/>
      <c r="V347" s="12"/>
      <c r="W347" s="12"/>
      <c r="X347" s="12"/>
    </row>
    <row r="348" customFormat="false" ht="15.75" hidden="false" customHeight="false" outlineLevel="0" collapsed="false">
      <c r="A348" s="12"/>
      <c r="B348" s="34"/>
      <c r="C348" s="12"/>
      <c r="D348" s="12"/>
      <c r="E348" s="12"/>
      <c r="F348" s="12"/>
      <c r="G348" s="18"/>
      <c r="H348" s="35"/>
      <c r="I348" s="12"/>
      <c r="M348" s="12"/>
      <c r="N348" s="18"/>
      <c r="O348" s="12"/>
      <c r="P348" s="12"/>
      <c r="Q348" s="12"/>
      <c r="R348" s="36"/>
      <c r="S348" s="36"/>
      <c r="T348" s="12"/>
      <c r="U348" s="12"/>
      <c r="V348" s="12"/>
      <c r="W348" s="12"/>
      <c r="X348" s="12"/>
    </row>
    <row r="349" customFormat="false" ht="15.75" hidden="false" customHeight="false" outlineLevel="0" collapsed="false">
      <c r="A349" s="12"/>
      <c r="B349" s="34"/>
      <c r="C349" s="12"/>
      <c r="D349" s="12"/>
      <c r="E349" s="12"/>
      <c r="F349" s="12"/>
      <c r="G349" s="18"/>
      <c r="H349" s="35"/>
      <c r="I349" s="12"/>
      <c r="M349" s="12"/>
      <c r="N349" s="18"/>
      <c r="O349" s="12"/>
      <c r="P349" s="12"/>
      <c r="Q349" s="12"/>
      <c r="R349" s="36"/>
      <c r="S349" s="36"/>
      <c r="T349" s="12"/>
      <c r="U349" s="12"/>
      <c r="V349" s="12"/>
      <c r="W349" s="12"/>
      <c r="X349" s="12"/>
    </row>
    <row r="350" customFormat="false" ht="15.75" hidden="false" customHeight="false" outlineLevel="0" collapsed="false">
      <c r="A350" s="12"/>
      <c r="B350" s="34"/>
      <c r="C350" s="12"/>
      <c r="D350" s="12"/>
      <c r="E350" s="12"/>
      <c r="F350" s="12"/>
      <c r="G350" s="18"/>
      <c r="H350" s="35"/>
      <c r="I350" s="12"/>
      <c r="M350" s="12"/>
      <c r="N350" s="18"/>
      <c r="O350" s="12"/>
      <c r="P350" s="12"/>
      <c r="Q350" s="12"/>
      <c r="R350" s="36"/>
      <c r="S350" s="36"/>
      <c r="T350" s="12"/>
      <c r="U350" s="12"/>
      <c r="V350" s="12"/>
      <c r="W350" s="12"/>
      <c r="X350" s="12"/>
    </row>
    <row r="351" customFormat="false" ht="15.75" hidden="false" customHeight="false" outlineLevel="0" collapsed="false">
      <c r="A351" s="12"/>
      <c r="B351" s="34"/>
      <c r="C351" s="12"/>
      <c r="D351" s="12"/>
      <c r="E351" s="12"/>
      <c r="F351" s="12"/>
      <c r="G351" s="18"/>
      <c r="H351" s="35"/>
      <c r="I351" s="12"/>
      <c r="M351" s="12"/>
      <c r="N351" s="18"/>
      <c r="O351" s="12"/>
      <c r="P351" s="12"/>
      <c r="Q351" s="12"/>
      <c r="R351" s="36"/>
      <c r="S351" s="36"/>
      <c r="T351" s="12"/>
      <c r="U351" s="12"/>
      <c r="V351" s="12"/>
      <c r="W351" s="12"/>
      <c r="X351" s="12"/>
    </row>
    <row r="352" customFormat="false" ht="15.75" hidden="false" customHeight="false" outlineLevel="0" collapsed="false">
      <c r="A352" s="12"/>
      <c r="B352" s="34"/>
      <c r="C352" s="12"/>
      <c r="D352" s="12"/>
      <c r="E352" s="12"/>
      <c r="F352" s="12"/>
      <c r="G352" s="18"/>
      <c r="H352" s="35"/>
      <c r="I352" s="12"/>
      <c r="M352" s="12"/>
      <c r="N352" s="18"/>
      <c r="O352" s="12"/>
      <c r="P352" s="12"/>
      <c r="Q352" s="12"/>
      <c r="R352" s="36"/>
      <c r="S352" s="36"/>
      <c r="T352" s="12"/>
      <c r="U352" s="12"/>
      <c r="V352" s="12"/>
      <c r="W352" s="12"/>
      <c r="X352" s="12"/>
    </row>
    <row r="353" customFormat="false" ht="15.75" hidden="false" customHeight="false" outlineLevel="0" collapsed="false">
      <c r="A353" s="12"/>
      <c r="B353" s="34"/>
      <c r="C353" s="12"/>
      <c r="D353" s="12"/>
      <c r="E353" s="12"/>
      <c r="F353" s="12"/>
      <c r="G353" s="18"/>
      <c r="H353" s="35"/>
      <c r="I353" s="12"/>
      <c r="M353" s="12"/>
      <c r="N353" s="18"/>
      <c r="O353" s="12"/>
      <c r="P353" s="12"/>
      <c r="Q353" s="12"/>
      <c r="R353" s="36"/>
      <c r="S353" s="36"/>
      <c r="T353" s="12"/>
      <c r="U353" s="12"/>
      <c r="V353" s="12"/>
      <c r="W353" s="12"/>
      <c r="X353" s="12"/>
    </row>
    <row r="354" customFormat="false" ht="15.75" hidden="false" customHeight="false" outlineLevel="0" collapsed="false">
      <c r="A354" s="12"/>
      <c r="B354" s="34"/>
      <c r="C354" s="12"/>
      <c r="D354" s="12"/>
      <c r="E354" s="12"/>
      <c r="F354" s="12"/>
      <c r="G354" s="18"/>
      <c r="H354" s="35"/>
      <c r="I354" s="12"/>
      <c r="M354" s="12"/>
      <c r="N354" s="18"/>
      <c r="O354" s="12"/>
      <c r="P354" s="12"/>
      <c r="Q354" s="12"/>
      <c r="R354" s="36"/>
      <c r="S354" s="36"/>
      <c r="T354" s="12"/>
      <c r="U354" s="12"/>
      <c r="V354" s="12"/>
      <c r="W354" s="12"/>
      <c r="X354" s="12"/>
    </row>
    <row r="355" customFormat="false" ht="15.75" hidden="false" customHeight="false" outlineLevel="0" collapsed="false">
      <c r="A355" s="12"/>
      <c r="B355" s="34"/>
      <c r="C355" s="12"/>
      <c r="D355" s="12"/>
      <c r="E355" s="12"/>
      <c r="F355" s="12"/>
      <c r="G355" s="18"/>
      <c r="H355" s="35"/>
      <c r="I355" s="12"/>
      <c r="M355" s="12"/>
      <c r="N355" s="18"/>
      <c r="O355" s="12"/>
      <c r="P355" s="12"/>
      <c r="Q355" s="12"/>
      <c r="R355" s="36"/>
      <c r="S355" s="36"/>
      <c r="T355" s="12"/>
      <c r="U355" s="12"/>
      <c r="V355" s="12"/>
      <c r="W355" s="12"/>
      <c r="X355" s="12"/>
    </row>
    <row r="356" customFormat="false" ht="15.75" hidden="false" customHeight="false" outlineLevel="0" collapsed="false">
      <c r="A356" s="12"/>
      <c r="B356" s="34"/>
      <c r="C356" s="12"/>
      <c r="D356" s="12"/>
      <c r="E356" s="12"/>
      <c r="F356" s="12"/>
      <c r="G356" s="18"/>
      <c r="H356" s="35"/>
      <c r="I356" s="12"/>
      <c r="M356" s="12"/>
      <c r="N356" s="18"/>
      <c r="O356" s="12"/>
      <c r="P356" s="12"/>
      <c r="Q356" s="12"/>
      <c r="R356" s="36"/>
      <c r="S356" s="36"/>
      <c r="T356" s="12"/>
      <c r="U356" s="12"/>
      <c r="V356" s="12"/>
      <c r="W356" s="12"/>
      <c r="X356" s="12"/>
    </row>
    <row r="357" customFormat="false" ht="15.75" hidden="false" customHeight="false" outlineLevel="0" collapsed="false">
      <c r="A357" s="12"/>
      <c r="B357" s="34"/>
      <c r="C357" s="12"/>
      <c r="D357" s="12"/>
      <c r="E357" s="12"/>
      <c r="F357" s="12"/>
      <c r="G357" s="18"/>
      <c r="H357" s="35"/>
      <c r="I357" s="12"/>
      <c r="M357" s="12"/>
      <c r="N357" s="18"/>
      <c r="O357" s="12"/>
      <c r="P357" s="12"/>
      <c r="Q357" s="12"/>
      <c r="R357" s="36"/>
      <c r="S357" s="36"/>
      <c r="T357" s="12"/>
      <c r="U357" s="12"/>
      <c r="V357" s="12"/>
      <c r="W357" s="12"/>
      <c r="X357" s="12"/>
    </row>
    <row r="358" customFormat="false" ht="15.75" hidden="false" customHeight="false" outlineLevel="0" collapsed="false">
      <c r="A358" s="12"/>
      <c r="B358" s="34"/>
      <c r="C358" s="12"/>
      <c r="D358" s="12"/>
      <c r="E358" s="12"/>
      <c r="F358" s="12"/>
      <c r="G358" s="18"/>
      <c r="H358" s="35"/>
      <c r="I358" s="12"/>
      <c r="M358" s="12"/>
      <c r="N358" s="18"/>
      <c r="O358" s="12"/>
      <c r="P358" s="12"/>
      <c r="Q358" s="12"/>
      <c r="R358" s="36"/>
      <c r="S358" s="36"/>
      <c r="T358" s="12"/>
      <c r="U358" s="12"/>
      <c r="V358" s="12"/>
      <c r="W358" s="12"/>
      <c r="X358" s="12"/>
    </row>
    <row r="359" customFormat="false" ht="15.75" hidden="false" customHeight="false" outlineLevel="0" collapsed="false">
      <c r="A359" s="12"/>
      <c r="B359" s="34"/>
      <c r="C359" s="12"/>
      <c r="D359" s="12"/>
      <c r="E359" s="12"/>
      <c r="F359" s="12"/>
      <c r="G359" s="18"/>
      <c r="H359" s="35"/>
      <c r="I359" s="12"/>
      <c r="M359" s="12"/>
      <c r="N359" s="18"/>
      <c r="O359" s="12"/>
      <c r="P359" s="12"/>
      <c r="Q359" s="12"/>
      <c r="R359" s="36"/>
      <c r="S359" s="36"/>
      <c r="T359" s="12"/>
      <c r="U359" s="12"/>
      <c r="V359" s="12"/>
      <c r="W359" s="12"/>
      <c r="X359" s="12"/>
    </row>
    <row r="360" customFormat="false" ht="15.75" hidden="false" customHeight="false" outlineLevel="0" collapsed="false">
      <c r="A360" s="12"/>
      <c r="B360" s="34"/>
      <c r="C360" s="12"/>
      <c r="D360" s="12"/>
      <c r="E360" s="12"/>
      <c r="F360" s="12"/>
      <c r="G360" s="18"/>
      <c r="H360" s="35"/>
      <c r="I360" s="12"/>
      <c r="M360" s="12"/>
      <c r="N360" s="18"/>
      <c r="O360" s="12"/>
      <c r="P360" s="12"/>
      <c r="Q360" s="12"/>
      <c r="R360" s="36"/>
      <c r="S360" s="36"/>
      <c r="T360" s="12"/>
      <c r="U360" s="12"/>
      <c r="V360" s="12"/>
      <c r="W360" s="12"/>
      <c r="X360" s="12"/>
    </row>
    <row r="361" customFormat="false" ht="15.75" hidden="false" customHeight="false" outlineLevel="0" collapsed="false">
      <c r="A361" s="12"/>
      <c r="B361" s="34"/>
      <c r="C361" s="12"/>
      <c r="D361" s="12"/>
      <c r="E361" s="12"/>
      <c r="F361" s="12"/>
      <c r="G361" s="18"/>
      <c r="H361" s="35"/>
      <c r="I361" s="12"/>
      <c r="M361" s="12"/>
      <c r="N361" s="18"/>
      <c r="O361" s="12"/>
      <c r="P361" s="12"/>
      <c r="Q361" s="12"/>
      <c r="R361" s="36"/>
      <c r="S361" s="36"/>
      <c r="T361" s="12"/>
      <c r="U361" s="12"/>
      <c r="V361" s="12"/>
      <c r="W361" s="12"/>
      <c r="X361" s="12"/>
    </row>
    <row r="362" customFormat="false" ht="15.75" hidden="false" customHeight="false" outlineLevel="0" collapsed="false">
      <c r="A362" s="12"/>
      <c r="B362" s="34"/>
      <c r="C362" s="12"/>
      <c r="D362" s="12"/>
      <c r="E362" s="12"/>
      <c r="F362" s="12"/>
      <c r="G362" s="18"/>
      <c r="H362" s="35"/>
      <c r="I362" s="12"/>
      <c r="M362" s="12"/>
      <c r="N362" s="18"/>
      <c r="O362" s="12"/>
      <c r="P362" s="12"/>
      <c r="Q362" s="12"/>
      <c r="R362" s="36"/>
      <c r="S362" s="36"/>
      <c r="T362" s="12"/>
      <c r="U362" s="12"/>
      <c r="V362" s="12"/>
      <c r="W362" s="12"/>
      <c r="X362" s="12"/>
    </row>
    <row r="363" customFormat="false" ht="15.75" hidden="false" customHeight="false" outlineLevel="0" collapsed="false">
      <c r="A363" s="12"/>
      <c r="B363" s="34"/>
      <c r="C363" s="12"/>
      <c r="D363" s="12"/>
      <c r="E363" s="12"/>
      <c r="F363" s="12"/>
      <c r="G363" s="18"/>
      <c r="H363" s="35"/>
      <c r="I363" s="12"/>
      <c r="M363" s="12"/>
      <c r="N363" s="18"/>
      <c r="O363" s="12"/>
      <c r="P363" s="12"/>
      <c r="Q363" s="12"/>
      <c r="R363" s="36"/>
      <c r="S363" s="36"/>
      <c r="T363" s="12"/>
      <c r="U363" s="12"/>
      <c r="V363" s="12"/>
      <c r="W363" s="12"/>
      <c r="X363" s="12"/>
    </row>
    <row r="364" customFormat="false" ht="15.75" hidden="false" customHeight="false" outlineLevel="0" collapsed="false">
      <c r="A364" s="12"/>
      <c r="B364" s="34"/>
      <c r="C364" s="12"/>
      <c r="D364" s="12"/>
      <c r="E364" s="12"/>
      <c r="F364" s="12"/>
      <c r="G364" s="18"/>
      <c r="H364" s="35"/>
      <c r="I364" s="12"/>
      <c r="M364" s="12"/>
      <c r="N364" s="18"/>
      <c r="O364" s="12"/>
      <c r="P364" s="12"/>
      <c r="Q364" s="12"/>
      <c r="R364" s="36"/>
      <c r="S364" s="36"/>
      <c r="T364" s="12"/>
      <c r="U364" s="12"/>
      <c r="V364" s="12"/>
      <c r="W364" s="12"/>
      <c r="X364" s="12"/>
    </row>
    <row r="365" customFormat="false" ht="15.75" hidden="false" customHeight="false" outlineLevel="0" collapsed="false">
      <c r="A365" s="12"/>
      <c r="B365" s="34"/>
      <c r="C365" s="12"/>
      <c r="D365" s="12"/>
      <c r="E365" s="12"/>
      <c r="F365" s="12"/>
      <c r="G365" s="18"/>
      <c r="H365" s="35"/>
      <c r="I365" s="12"/>
      <c r="M365" s="12"/>
      <c r="N365" s="18"/>
      <c r="O365" s="12"/>
      <c r="P365" s="12"/>
      <c r="Q365" s="12"/>
      <c r="R365" s="36"/>
      <c r="S365" s="36"/>
      <c r="T365" s="12"/>
      <c r="U365" s="12"/>
      <c r="V365" s="12"/>
      <c r="W365" s="12"/>
      <c r="X365" s="12"/>
    </row>
    <row r="366" customFormat="false" ht="15.75" hidden="false" customHeight="false" outlineLevel="0" collapsed="false">
      <c r="A366" s="12"/>
      <c r="B366" s="34"/>
      <c r="C366" s="12"/>
      <c r="D366" s="12"/>
      <c r="E366" s="12"/>
      <c r="F366" s="12"/>
      <c r="G366" s="18"/>
      <c r="H366" s="35"/>
      <c r="I366" s="12"/>
      <c r="M366" s="12"/>
      <c r="N366" s="18"/>
      <c r="O366" s="12"/>
      <c r="P366" s="12"/>
      <c r="Q366" s="12"/>
      <c r="R366" s="36"/>
      <c r="S366" s="36"/>
      <c r="T366" s="12"/>
      <c r="U366" s="12"/>
      <c r="V366" s="12"/>
      <c r="W366" s="12"/>
      <c r="X366" s="12"/>
    </row>
    <row r="367" customFormat="false" ht="15.75" hidden="false" customHeight="false" outlineLevel="0" collapsed="false">
      <c r="A367" s="12"/>
      <c r="B367" s="34"/>
      <c r="C367" s="12"/>
      <c r="D367" s="12"/>
      <c r="E367" s="12"/>
      <c r="F367" s="12"/>
      <c r="G367" s="18"/>
      <c r="H367" s="35"/>
      <c r="I367" s="12"/>
      <c r="M367" s="12"/>
      <c r="N367" s="18"/>
      <c r="O367" s="12"/>
      <c r="P367" s="12"/>
      <c r="Q367" s="12"/>
      <c r="R367" s="36"/>
      <c r="S367" s="36"/>
      <c r="T367" s="12"/>
      <c r="U367" s="12"/>
      <c r="V367" s="12"/>
      <c r="W367" s="12"/>
      <c r="X367" s="12"/>
    </row>
    <row r="368" customFormat="false" ht="15.75" hidden="false" customHeight="false" outlineLevel="0" collapsed="false">
      <c r="A368" s="12"/>
      <c r="B368" s="34"/>
      <c r="C368" s="12"/>
      <c r="D368" s="12"/>
      <c r="E368" s="12"/>
      <c r="F368" s="12"/>
      <c r="G368" s="18"/>
      <c r="H368" s="35"/>
      <c r="I368" s="12"/>
      <c r="M368" s="12"/>
      <c r="N368" s="18"/>
      <c r="O368" s="12"/>
      <c r="P368" s="12"/>
      <c r="Q368" s="12"/>
      <c r="R368" s="36"/>
      <c r="S368" s="36"/>
      <c r="T368" s="12"/>
      <c r="U368" s="12"/>
      <c r="V368" s="12"/>
      <c r="W368" s="12"/>
      <c r="X368" s="12"/>
    </row>
    <row r="369" customFormat="false" ht="15.75" hidden="false" customHeight="false" outlineLevel="0" collapsed="false">
      <c r="A369" s="12"/>
      <c r="B369" s="34"/>
      <c r="C369" s="12"/>
      <c r="D369" s="12"/>
      <c r="E369" s="12"/>
      <c r="F369" s="12"/>
      <c r="G369" s="18"/>
      <c r="H369" s="35"/>
      <c r="I369" s="12"/>
      <c r="M369" s="12"/>
      <c r="N369" s="18"/>
      <c r="O369" s="12"/>
      <c r="P369" s="12"/>
      <c r="Q369" s="12"/>
      <c r="R369" s="36"/>
      <c r="S369" s="36"/>
      <c r="T369" s="12"/>
      <c r="U369" s="12"/>
      <c r="V369" s="12"/>
      <c r="W369" s="12"/>
      <c r="X369" s="12"/>
    </row>
    <row r="370" customFormat="false" ht="15.75" hidden="false" customHeight="false" outlineLevel="0" collapsed="false">
      <c r="A370" s="12"/>
      <c r="B370" s="34"/>
      <c r="C370" s="12"/>
      <c r="D370" s="12"/>
      <c r="E370" s="12"/>
      <c r="F370" s="12"/>
      <c r="G370" s="18"/>
      <c r="H370" s="35"/>
      <c r="I370" s="12"/>
      <c r="M370" s="12"/>
      <c r="N370" s="18"/>
      <c r="O370" s="12"/>
      <c r="P370" s="12"/>
      <c r="Q370" s="12"/>
      <c r="R370" s="36"/>
      <c r="S370" s="36"/>
      <c r="T370" s="12"/>
      <c r="U370" s="12"/>
      <c r="V370" s="12"/>
      <c r="W370" s="12"/>
      <c r="X370" s="12"/>
    </row>
    <row r="371" customFormat="false" ht="15.75" hidden="false" customHeight="false" outlineLevel="0" collapsed="false">
      <c r="A371" s="12"/>
      <c r="B371" s="34"/>
      <c r="C371" s="12"/>
      <c r="D371" s="12"/>
      <c r="E371" s="12"/>
      <c r="F371" s="12"/>
      <c r="G371" s="18"/>
      <c r="H371" s="35"/>
      <c r="I371" s="12"/>
      <c r="M371" s="12"/>
      <c r="N371" s="18"/>
      <c r="O371" s="12"/>
      <c r="P371" s="12"/>
      <c r="Q371" s="12"/>
      <c r="R371" s="36"/>
      <c r="S371" s="36"/>
      <c r="T371" s="12"/>
      <c r="U371" s="12"/>
      <c r="V371" s="12"/>
      <c r="W371" s="12"/>
      <c r="X371" s="12"/>
    </row>
    <row r="372" customFormat="false" ht="15.75" hidden="false" customHeight="false" outlineLevel="0" collapsed="false">
      <c r="A372" s="12"/>
      <c r="B372" s="34"/>
      <c r="C372" s="12"/>
      <c r="D372" s="12"/>
      <c r="E372" s="12"/>
      <c r="F372" s="12"/>
      <c r="G372" s="18"/>
      <c r="H372" s="35"/>
      <c r="I372" s="12"/>
      <c r="M372" s="12"/>
      <c r="N372" s="18"/>
      <c r="O372" s="12"/>
      <c r="P372" s="12"/>
      <c r="Q372" s="12"/>
      <c r="R372" s="36"/>
      <c r="S372" s="36"/>
      <c r="T372" s="12"/>
      <c r="U372" s="12"/>
      <c r="V372" s="12"/>
      <c r="W372" s="12"/>
      <c r="X372" s="12"/>
    </row>
    <row r="373" customFormat="false" ht="15.75" hidden="false" customHeight="false" outlineLevel="0" collapsed="false">
      <c r="A373" s="12"/>
      <c r="B373" s="34"/>
      <c r="C373" s="12"/>
      <c r="D373" s="12"/>
      <c r="E373" s="12"/>
      <c r="F373" s="12"/>
      <c r="G373" s="18"/>
      <c r="H373" s="35"/>
      <c r="I373" s="12"/>
      <c r="M373" s="12"/>
      <c r="N373" s="18"/>
      <c r="O373" s="12"/>
      <c r="P373" s="12"/>
      <c r="Q373" s="12"/>
      <c r="R373" s="36"/>
      <c r="S373" s="36"/>
      <c r="T373" s="12"/>
      <c r="U373" s="12"/>
      <c r="V373" s="12"/>
      <c r="W373" s="12"/>
      <c r="X373" s="12"/>
    </row>
    <row r="374" customFormat="false" ht="15.75" hidden="false" customHeight="false" outlineLevel="0" collapsed="false">
      <c r="A374" s="12"/>
      <c r="B374" s="34"/>
      <c r="C374" s="12"/>
      <c r="D374" s="12"/>
      <c r="E374" s="12"/>
      <c r="F374" s="12"/>
      <c r="G374" s="18"/>
      <c r="H374" s="35"/>
      <c r="I374" s="12"/>
      <c r="M374" s="12"/>
      <c r="N374" s="18"/>
      <c r="O374" s="12"/>
      <c r="P374" s="12"/>
      <c r="Q374" s="12"/>
      <c r="R374" s="36"/>
      <c r="S374" s="36"/>
      <c r="T374" s="12"/>
      <c r="U374" s="12"/>
      <c r="V374" s="12"/>
      <c r="W374" s="12"/>
      <c r="X374" s="12"/>
    </row>
    <row r="375" customFormat="false" ht="15.75" hidden="false" customHeight="false" outlineLevel="0" collapsed="false">
      <c r="A375" s="12"/>
      <c r="B375" s="34"/>
      <c r="C375" s="12"/>
      <c r="D375" s="12"/>
      <c r="E375" s="12"/>
      <c r="F375" s="12"/>
      <c r="G375" s="18"/>
      <c r="H375" s="35"/>
      <c r="I375" s="12"/>
      <c r="M375" s="12"/>
      <c r="N375" s="18"/>
      <c r="O375" s="12"/>
      <c r="P375" s="12"/>
      <c r="Q375" s="12"/>
      <c r="R375" s="36"/>
      <c r="S375" s="36"/>
      <c r="T375" s="12"/>
      <c r="U375" s="12"/>
      <c r="V375" s="12"/>
      <c r="W375" s="12"/>
      <c r="X375" s="12"/>
    </row>
    <row r="376" customFormat="false" ht="15.75" hidden="false" customHeight="false" outlineLevel="0" collapsed="false">
      <c r="A376" s="12"/>
      <c r="B376" s="34"/>
      <c r="C376" s="12"/>
      <c r="D376" s="12"/>
      <c r="E376" s="12"/>
      <c r="F376" s="12"/>
      <c r="G376" s="18"/>
      <c r="H376" s="35"/>
      <c r="I376" s="12"/>
      <c r="M376" s="12"/>
      <c r="N376" s="18"/>
      <c r="O376" s="12"/>
      <c r="P376" s="12"/>
      <c r="Q376" s="12"/>
      <c r="R376" s="36"/>
      <c r="S376" s="36"/>
      <c r="T376" s="12"/>
      <c r="U376" s="12"/>
      <c r="V376" s="12"/>
      <c r="W376" s="12"/>
      <c r="X376" s="12"/>
    </row>
    <row r="377" customFormat="false" ht="15.75" hidden="false" customHeight="false" outlineLevel="0" collapsed="false">
      <c r="A377" s="12"/>
      <c r="B377" s="34"/>
      <c r="C377" s="12"/>
      <c r="D377" s="12"/>
      <c r="E377" s="12"/>
      <c r="F377" s="12"/>
      <c r="G377" s="18"/>
      <c r="H377" s="35"/>
      <c r="I377" s="12"/>
      <c r="M377" s="12"/>
      <c r="N377" s="18"/>
      <c r="O377" s="12"/>
      <c r="P377" s="12"/>
      <c r="Q377" s="12"/>
      <c r="R377" s="36"/>
      <c r="S377" s="36"/>
      <c r="T377" s="12"/>
      <c r="U377" s="12"/>
      <c r="V377" s="12"/>
      <c r="W377" s="12"/>
      <c r="X377" s="12"/>
    </row>
    <row r="378" customFormat="false" ht="15.75" hidden="false" customHeight="false" outlineLevel="0" collapsed="false">
      <c r="A378" s="12"/>
      <c r="B378" s="34"/>
      <c r="C378" s="12"/>
      <c r="D378" s="12"/>
      <c r="E378" s="12"/>
      <c r="F378" s="12"/>
      <c r="G378" s="18"/>
      <c r="H378" s="35"/>
      <c r="I378" s="12"/>
      <c r="M378" s="12"/>
      <c r="N378" s="18"/>
      <c r="O378" s="12"/>
      <c r="P378" s="12"/>
      <c r="Q378" s="12"/>
      <c r="R378" s="36"/>
      <c r="S378" s="36"/>
      <c r="T378" s="12"/>
      <c r="U378" s="12"/>
      <c r="V378" s="12"/>
      <c r="W378" s="12"/>
      <c r="X378" s="12"/>
    </row>
    <row r="379" customFormat="false" ht="15.75" hidden="false" customHeight="false" outlineLevel="0" collapsed="false">
      <c r="A379" s="12"/>
      <c r="B379" s="34"/>
      <c r="C379" s="12"/>
      <c r="D379" s="12"/>
      <c r="E379" s="12"/>
      <c r="F379" s="12"/>
      <c r="G379" s="18"/>
      <c r="H379" s="35"/>
      <c r="I379" s="12"/>
      <c r="M379" s="12"/>
      <c r="N379" s="18"/>
      <c r="O379" s="12"/>
      <c r="P379" s="12"/>
      <c r="Q379" s="12"/>
      <c r="R379" s="36"/>
      <c r="S379" s="36"/>
      <c r="T379" s="12"/>
      <c r="U379" s="12"/>
      <c r="V379" s="12"/>
      <c r="W379" s="12"/>
      <c r="X379" s="12"/>
    </row>
    <row r="380" customFormat="false" ht="15.75" hidden="false" customHeight="false" outlineLevel="0" collapsed="false">
      <c r="A380" s="12"/>
      <c r="B380" s="34"/>
      <c r="C380" s="12"/>
      <c r="D380" s="12"/>
      <c r="E380" s="12"/>
      <c r="F380" s="12"/>
      <c r="G380" s="18"/>
      <c r="H380" s="35"/>
      <c r="I380" s="12"/>
      <c r="M380" s="12"/>
      <c r="N380" s="18"/>
      <c r="O380" s="12"/>
      <c r="P380" s="12"/>
      <c r="Q380" s="12"/>
      <c r="R380" s="36"/>
      <c r="S380" s="36"/>
      <c r="T380" s="12"/>
      <c r="U380" s="12"/>
      <c r="V380" s="12"/>
      <c r="W380" s="12"/>
      <c r="X380" s="12"/>
    </row>
    <row r="381" customFormat="false" ht="15.75" hidden="false" customHeight="false" outlineLevel="0" collapsed="false">
      <c r="A381" s="12"/>
      <c r="B381" s="34"/>
      <c r="C381" s="12"/>
      <c r="D381" s="12"/>
      <c r="E381" s="12"/>
      <c r="F381" s="12"/>
      <c r="G381" s="18"/>
      <c r="H381" s="35"/>
      <c r="I381" s="12"/>
      <c r="M381" s="12"/>
      <c r="N381" s="18"/>
      <c r="O381" s="12"/>
      <c r="P381" s="12"/>
      <c r="Q381" s="12"/>
      <c r="R381" s="36"/>
      <c r="S381" s="36"/>
      <c r="T381" s="12"/>
      <c r="U381" s="12"/>
      <c r="V381" s="12"/>
      <c r="W381" s="12"/>
      <c r="X381" s="12"/>
    </row>
    <row r="382" customFormat="false" ht="15.75" hidden="false" customHeight="false" outlineLevel="0" collapsed="false">
      <c r="A382" s="12"/>
      <c r="B382" s="34"/>
      <c r="C382" s="12"/>
      <c r="D382" s="12"/>
      <c r="E382" s="12"/>
      <c r="F382" s="12"/>
      <c r="G382" s="18"/>
      <c r="H382" s="35"/>
      <c r="I382" s="12"/>
      <c r="M382" s="12"/>
      <c r="N382" s="18"/>
      <c r="O382" s="12"/>
      <c r="P382" s="12"/>
      <c r="Q382" s="12"/>
      <c r="R382" s="36"/>
      <c r="S382" s="36"/>
      <c r="T382" s="12"/>
      <c r="U382" s="12"/>
      <c r="V382" s="12"/>
      <c r="W382" s="12"/>
      <c r="X382" s="12"/>
    </row>
    <row r="383" customFormat="false" ht="15.75" hidden="false" customHeight="false" outlineLevel="0" collapsed="false">
      <c r="A383" s="12"/>
      <c r="B383" s="34"/>
      <c r="C383" s="12"/>
      <c r="D383" s="12"/>
      <c r="E383" s="12"/>
      <c r="F383" s="12"/>
      <c r="G383" s="18"/>
      <c r="H383" s="35"/>
      <c r="I383" s="12"/>
      <c r="M383" s="12"/>
      <c r="N383" s="18"/>
      <c r="O383" s="12"/>
      <c r="P383" s="12"/>
      <c r="Q383" s="12"/>
      <c r="R383" s="36"/>
      <c r="S383" s="36"/>
      <c r="T383" s="12"/>
      <c r="U383" s="12"/>
      <c r="V383" s="12"/>
      <c r="W383" s="12"/>
      <c r="X383" s="12"/>
    </row>
    <row r="384" customFormat="false" ht="15.75" hidden="false" customHeight="false" outlineLevel="0" collapsed="false">
      <c r="A384" s="12"/>
      <c r="B384" s="34"/>
      <c r="C384" s="12"/>
      <c r="D384" s="12"/>
      <c r="E384" s="12"/>
      <c r="F384" s="12"/>
      <c r="G384" s="18"/>
      <c r="H384" s="35"/>
      <c r="I384" s="12"/>
      <c r="M384" s="12"/>
      <c r="N384" s="18"/>
      <c r="O384" s="12"/>
      <c r="P384" s="12"/>
      <c r="Q384" s="12"/>
      <c r="R384" s="36"/>
      <c r="S384" s="36"/>
      <c r="T384" s="12"/>
      <c r="U384" s="12"/>
      <c r="V384" s="12"/>
      <c r="W384" s="12"/>
      <c r="X384" s="12"/>
    </row>
    <row r="385" customFormat="false" ht="15.75" hidden="false" customHeight="false" outlineLevel="0" collapsed="false">
      <c r="A385" s="12"/>
      <c r="B385" s="34"/>
      <c r="C385" s="12"/>
      <c r="D385" s="12"/>
      <c r="E385" s="12"/>
      <c r="F385" s="12"/>
      <c r="G385" s="18"/>
      <c r="H385" s="35"/>
      <c r="I385" s="12"/>
      <c r="M385" s="12"/>
      <c r="N385" s="18"/>
      <c r="O385" s="12"/>
      <c r="P385" s="12"/>
      <c r="Q385" s="12"/>
      <c r="R385" s="36"/>
      <c r="S385" s="36"/>
      <c r="T385" s="12"/>
      <c r="U385" s="12"/>
      <c r="V385" s="12"/>
      <c r="W385" s="12"/>
      <c r="X385" s="12"/>
    </row>
    <row r="386" customFormat="false" ht="15.75" hidden="false" customHeight="false" outlineLevel="0" collapsed="false">
      <c r="A386" s="12"/>
      <c r="B386" s="34"/>
      <c r="C386" s="12"/>
      <c r="D386" s="12"/>
      <c r="E386" s="12"/>
      <c r="F386" s="12"/>
      <c r="G386" s="18"/>
      <c r="H386" s="35"/>
      <c r="I386" s="12"/>
      <c r="M386" s="12"/>
      <c r="N386" s="18"/>
      <c r="O386" s="12"/>
      <c r="P386" s="12"/>
      <c r="Q386" s="12"/>
      <c r="R386" s="36"/>
      <c r="S386" s="36"/>
      <c r="T386" s="12"/>
      <c r="U386" s="12"/>
      <c r="V386" s="12"/>
      <c r="W386" s="12"/>
      <c r="X386" s="12"/>
    </row>
    <row r="387" customFormat="false" ht="15.75" hidden="false" customHeight="false" outlineLevel="0" collapsed="false">
      <c r="A387" s="12"/>
      <c r="B387" s="34"/>
      <c r="C387" s="12"/>
      <c r="D387" s="12"/>
      <c r="E387" s="12"/>
      <c r="F387" s="12"/>
      <c r="G387" s="18"/>
      <c r="H387" s="35"/>
      <c r="I387" s="12"/>
      <c r="M387" s="12"/>
      <c r="N387" s="18"/>
      <c r="O387" s="12"/>
      <c r="P387" s="12"/>
      <c r="Q387" s="12"/>
      <c r="R387" s="36"/>
      <c r="S387" s="36"/>
      <c r="T387" s="12"/>
      <c r="U387" s="12"/>
      <c r="V387" s="12"/>
      <c r="W387" s="12"/>
      <c r="X387" s="12"/>
    </row>
    <row r="388" customFormat="false" ht="15.75" hidden="false" customHeight="false" outlineLevel="0" collapsed="false">
      <c r="A388" s="12"/>
      <c r="B388" s="34"/>
      <c r="C388" s="12"/>
      <c r="D388" s="12"/>
      <c r="E388" s="12"/>
      <c r="F388" s="12"/>
      <c r="G388" s="18"/>
      <c r="H388" s="35"/>
      <c r="I388" s="12"/>
      <c r="M388" s="12"/>
      <c r="N388" s="18"/>
      <c r="O388" s="12"/>
      <c r="P388" s="12"/>
      <c r="Q388" s="12"/>
      <c r="R388" s="36"/>
      <c r="S388" s="36"/>
      <c r="T388" s="12"/>
      <c r="U388" s="12"/>
      <c r="V388" s="12"/>
      <c r="W388" s="12"/>
      <c r="X388" s="12"/>
    </row>
    <row r="389" customFormat="false" ht="15.75" hidden="false" customHeight="false" outlineLevel="0" collapsed="false">
      <c r="A389" s="12"/>
      <c r="B389" s="34"/>
      <c r="C389" s="12"/>
      <c r="D389" s="12"/>
      <c r="E389" s="12"/>
      <c r="F389" s="12"/>
      <c r="G389" s="18"/>
      <c r="H389" s="35"/>
      <c r="I389" s="12"/>
      <c r="M389" s="12"/>
      <c r="N389" s="18"/>
      <c r="O389" s="12"/>
      <c r="P389" s="12"/>
      <c r="Q389" s="12"/>
      <c r="R389" s="36"/>
      <c r="S389" s="36"/>
      <c r="T389" s="12"/>
      <c r="U389" s="12"/>
      <c r="V389" s="12"/>
      <c r="W389" s="12"/>
      <c r="X389" s="12"/>
    </row>
    <row r="390" customFormat="false" ht="15.75" hidden="false" customHeight="false" outlineLevel="0" collapsed="false">
      <c r="A390" s="12"/>
      <c r="B390" s="34"/>
      <c r="C390" s="12"/>
      <c r="D390" s="12"/>
      <c r="E390" s="12"/>
      <c r="F390" s="12"/>
      <c r="G390" s="18"/>
      <c r="H390" s="35"/>
      <c r="I390" s="12"/>
      <c r="M390" s="12"/>
      <c r="N390" s="18"/>
      <c r="O390" s="12"/>
      <c r="P390" s="12"/>
      <c r="Q390" s="12"/>
      <c r="R390" s="36"/>
      <c r="S390" s="36"/>
      <c r="T390" s="12"/>
      <c r="U390" s="12"/>
      <c r="V390" s="12"/>
      <c r="W390" s="12"/>
      <c r="X390" s="12"/>
    </row>
    <row r="391" customFormat="false" ht="15.75" hidden="false" customHeight="false" outlineLevel="0" collapsed="false">
      <c r="A391" s="12"/>
      <c r="B391" s="34"/>
      <c r="C391" s="12"/>
      <c r="D391" s="12"/>
      <c r="E391" s="12"/>
      <c r="F391" s="12"/>
      <c r="G391" s="18"/>
      <c r="H391" s="35"/>
      <c r="I391" s="12"/>
      <c r="M391" s="12"/>
      <c r="N391" s="18"/>
      <c r="O391" s="12"/>
      <c r="P391" s="12"/>
      <c r="Q391" s="12"/>
      <c r="R391" s="36"/>
      <c r="S391" s="36"/>
      <c r="T391" s="12"/>
      <c r="U391" s="12"/>
      <c r="V391" s="12"/>
      <c r="W391" s="12"/>
      <c r="X391" s="12"/>
    </row>
    <row r="392" customFormat="false" ht="15.75" hidden="false" customHeight="false" outlineLevel="0" collapsed="false">
      <c r="A392" s="12"/>
      <c r="B392" s="34"/>
      <c r="C392" s="12"/>
      <c r="D392" s="12"/>
      <c r="E392" s="12"/>
      <c r="F392" s="12"/>
      <c r="G392" s="18"/>
      <c r="H392" s="35"/>
      <c r="I392" s="12"/>
      <c r="M392" s="12"/>
      <c r="N392" s="18"/>
      <c r="O392" s="12"/>
      <c r="P392" s="12"/>
      <c r="Q392" s="12"/>
      <c r="R392" s="36"/>
      <c r="S392" s="36"/>
      <c r="T392" s="12"/>
      <c r="U392" s="12"/>
      <c r="V392" s="12"/>
      <c r="W392" s="12"/>
      <c r="X392" s="12"/>
    </row>
    <row r="393" customFormat="false" ht="15.75" hidden="false" customHeight="false" outlineLevel="0" collapsed="false">
      <c r="A393" s="12"/>
      <c r="B393" s="34"/>
      <c r="C393" s="12"/>
      <c r="D393" s="12"/>
      <c r="E393" s="12"/>
      <c r="F393" s="12"/>
      <c r="G393" s="18"/>
      <c r="H393" s="35"/>
      <c r="I393" s="12"/>
      <c r="M393" s="12"/>
      <c r="N393" s="18"/>
      <c r="O393" s="12"/>
      <c r="P393" s="12"/>
      <c r="Q393" s="12"/>
      <c r="R393" s="36"/>
      <c r="S393" s="36"/>
      <c r="T393" s="12"/>
      <c r="U393" s="12"/>
      <c r="V393" s="12"/>
      <c r="W393" s="12"/>
      <c r="X393" s="12"/>
    </row>
    <row r="394" customFormat="false" ht="15.75" hidden="false" customHeight="false" outlineLevel="0" collapsed="false">
      <c r="A394" s="12"/>
      <c r="B394" s="34"/>
      <c r="C394" s="12"/>
      <c r="D394" s="12"/>
      <c r="E394" s="12"/>
      <c r="F394" s="12"/>
      <c r="G394" s="18"/>
      <c r="H394" s="35"/>
      <c r="I394" s="12"/>
      <c r="M394" s="12"/>
      <c r="N394" s="18"/>
      <c r="O394" s="12"/>
      <c r="P394" s="12"/>
      <c r="Q394" s="12"/>
      <c r="R394" s="36"/>
      <c r="S394" s="36"/>
      <c r="T394" s="12"/>
      <c r="U394" s="12"/>
      <c r="V394" s="12"/>
      <c r="W394" s="12"/>
      <c r="X394" s="12"/>
    </row>
    <row r="395" customFormat="false" ht="15.75" hidden="false" customHeight="false" outlineLevel="0" collapsed="false">
      <c r="A395" s="12"/>
      <c r="B395" s="34"/>
      <c r="C395" s="12"/>
      <c r="D395" s="12"/>
      <c r="E395" s="12"/>
      <c r="F395" s="12"/>
      <c r="G395" s="18"/>
      <c r="H395" s="35"/>
      <c r="I395" s="12"/>
      <c r="M395" s="12"/>
      <c r="N395" s="18"/>
      <c r="O395" s="12"/>
      <c r="P395" s="12"/>
      <c r="Q395" s="12"/>
      <c r="R395" s="36"/>
      <c r="S395" s="36"/>
      <c r="T395" s="12"/>
      <c r="U395" s="12"/>
      <c r="V395" s="12"/>
      <c r="W395" s="12"/>
      <c r="X395" s="12"/>
    </row>
    <row r="396" customFormat="false" ht="15.75" hidden="false" customHeight="false" outlineLevel="0" collapsed="false">
      <c r="A396" s="12"/>
      <c r="B396" s="34"/>
      <c r="C396" s="12"/>
      <c r="D396" s="12"/>
      <c r="E396" s="12"/>
      <c r="F396" s="12"/>
      <c r="G396" s="18"/>
      <c r="H396" s="35"/>
      <c r="I396" s="12"/>
      <c r="M396" s="12"/>
      <c r="N396" s="18"/>
      <c r="O396" s="12"/>
      <c r="P396" s="12"/>
      <c r="Q396" s="12"/>
      <c r="R396" s="36"/>
      <c r="S396" s="36"/>
      <c r="T396" s="12"/>
      <c r="U396" s="12"/>
      <c r="V396" s="12"/>
      <c r="W396" s="12"/>
      <c r="X396" s="12"/>
    </row>
    <row r="397" customFormat="false" ht="15.75" hidden="false" customHeight="false" outlineLevel="0" collapsed="false">
      <c r="A397" s="12"/>
      <c r="B397" s="34"/>
      <c r="C397" s="12"/>
      <c r="D397" s="12"/>
      <c r="E397" s="12"/>
      <c r="F397" s="12"/>
      <c r="G397" s="18"/>
      <c r="H397" s="35"/>
      <c r="I397" s="12"/>
      <c r="M397" s="12"/>
      <c r="N397" s="18"/>
      <c r="O397" s="12"/>
      <c r="P397" s="12"/>
      <c r="Q397" s="12"/>
      <c r="R397" s="36"/>
      <c r="S397" s="36"/>
      <c r="T397" s="12"/>
      <c r="U397" s="12"/>
      <c r="V397" s="12"/>
      <c r="W397" s="12"/>
      <c r="X397" s="12"/>
    </row>
    <row r="398" customFormat="false" ht="15.75" hidden="false" customHeight="false" outlineLevel="0" collapsed="false">
      <c r="A398" s="12"/>
      <c r="B398" s="34"/>
      <c r="C398" s="12"/>
      <c r="D398" s="12"/>
      <c r="E398" s="12"/>
      <c r="F398" s="12"/>
      <c r="G398" s="18"/>
      <c r="H398" s="35"/>
      <c r="I398" s="12"/>
      <c r="M398" s="12"/>
      <c r="N398" s="18"/>
      <c r="O398" s="12"/>
      <c r="P398" s="12"/>
      <c r="Q398" s="12"/>
      <c r="R398" s="36"/>
      <c r="S398" s="36"/>
      <c r="T398" s="12"/>
      <c r="U398" s="12"/>
      <c r="V398" s="12"/>
      <c r="W398" s="12"/>
      <c r="X398" s="12"/>
    </row>
    <row r="399" customFormat="false" ht="15.75" hidden="false" customHeight="false" outlineLevel="0" collapsed="false">
      <c r="A399" s="12"/>
      <c r="B399" s="34"/>
      <c r="C399" s="12"/>
      <c r="D399" s="12"/>
      <c r="E399" s="12"/>
      <c r="F399" s="12"/>
      <c r="G399" s="18"/>
      <c r="H399" s="35"/>
      <c r="I399" s="12"/>
      <c r="M399" s="12"/>
      <c r="N399" s="18"/>
      <c r="O399" s="12"/>
      <c r="P399" s="12"/>
      <c r="Q399" s="12"/>
      <c r="R399" s="36"/>
      <c r="S399" s="36"/>
      <c r="T399" s="12"/>
      <c r="U399" s="12"/>
      <c r="V399" s="12"/>
      <c r="W399" s="12"/>
      <c r="X399" s="12"/>
    </row>
    <row r="400" customFormat="false" ht="15.75" hidden="false" customHeight="false" outlineLevel="0" collapsed="false">
      <c r="A400" s="12"/>
      <c r="B400" s="34"/>
      <c r="C400" s="12"/>
      <c r="D400" s="12"/>
      <c r="E400" s="12"/>
      <c r="F400" s="12"/>
      <c r="G400" s="18"/>
      <c r="H400" s="35"/>
      <c r="I400" s="12"/>
      <c r="M400" s="12"/>
      <c r="N400" s="18"/>
      <c r="O400" s="12"/>
      <c r="P400" s="12"/>
      <c r="Q400" s="12"/>
      <c r="R400" s="36"/>
      <c r="S400" s="36"/>
      <c r="T400" s="12"/>
      <c r="U400" s="12"/>
      <c r="V400" s="12"/>
      <c r="W400" s="12"/>
      <c r="X400" s="12"/>
    </row>
    <row r="401" customFormat="false" ht="15.75" hidden="false" customHeight="false" outlineLevel="0" collapsed="false">
      <c r="A401" s="12"/>
      <c r="B401" s="34"/>
      <c r="C401" s="12"/>
      <c r="D401" s="12"/>
      <c r="E401" s="12"/>
      <c r="F401" s="12"/>
      <c r="G401" s="18"/>
      <c r="H401" s="35"/>
      <c r="I401" s="12"/>
      <c r="M401" s="12"/>
      <c r="N401" s="18"/>
      <c r="O401" s="12"/>
      <c r="P401" s="12"/>
      <c r="Q401" s="12"/>
      <c r="R401" s="36"/>
      <c r="S401" s="36"/>
      <c r="T401" s="12"/>
      <c r="U401" s="12"/>
      <c r="V401" s="12"/>
      <c r="W401" s="12"/>
      <c r="X401" s="12"/>
    </row>
    <row r="402" customFormat="false" ht="15.75" hidden="false" customHeight="false" outlineLevel="0" collapsed="false">
      <c r="A402" s="12"/>
      <c r="B402" s="34"/>
      <c r="C402" s="12"/>
      <c r="D402" s="12"/>
      <c r="E402" s="12"/>
      <c r="F402" s="12"/>
      <c r="G402" s="18"/>
      <c r="H402" s="35"/>
      <c r="I402" s="12"/>
      <c r="M402" s="12"/>
      <c r="N402" s="18"/>
      <c r="O402" s="12"/>
      <c r="P402" s="12"/>
      <c r="Q402" s="12"/>
      <c r="R402" s="36"/>
      <c r="S402" s="36"/>
      <c r="T402" s="12"/>
      <c r="U402" s="12"/>
      <c r="V402" s="12"/>
      <c r="W402" s="12"/>
      <c r="X402" s="12"/>
    </row>
    <row r="403" customFormat="false" ht="15.75" hidden="false" customHeight="false" outlineLevel="0" collapsed="false">
      <c r="A403" s="12"/>
      <c r="B403" s="34"/>
      <c r="C403" s="12"/>
      <c r="D403" s="12"/>
      <c r="E403" s="12"/>
      <c r="F403" s="12"/>
      <c r="G403" s="18"/>
      <c r="H403" s="35"/>
      <c r="I403" s="12"/>
      <c r="M403" s="12"/>
      <c r="N403" s="18"/>
      <c r="O403" s="12"/>
      <c r="P403" s="12"/>
      <c r="Q403" s="12"/>
      <c r="R403" s="36"/>
      <c r="S403" s="36"/>
      <c r="T403" s="12"/>
      <c r="U403" s="12"/>
      <c r="V403" s="12"/>
      <c r="W403" s="12"/>
      <c r="X403" s="12"/>
    </row>
    <row r="404" customFormat="false" ht="15.75" hidden="false" customHeight="false" outlineLevel="0" collapsed="false">
      <c r="A404" s="12"/>
      <c r="B404" s="34"/>
      <c r="C404" s="12"/>
      <c r="D404" s="12"/>
      <c r="E404" s="12"/>
      <c r="F404" s="12"/>
      <c r="G404" s="18"/>
      <c r="H404" s="35"/>
      <c r="I404" s="12"/>
      <c r="M404" s="12"/>
      <c r="N404" s="18"/>
      <c r="O404" s="12"/>
      <c r="P404" s="12"/>
      <c r="Q404" s="12"/>
      <c r="R404" s="36"/>
      <c r="S404" s="36"/>
      <c r="T404" s="12"/>
      <c r="U404" s="12"/>
      <c r="V404" s="12"/>
      <c r="W404" s="12"/>
      <c r="X404" s="12"/>
    </row>
    <row r="405" customFormat="false" ht="15.75" hidden="false" customHeight="false" outlineLevel="0" collapsed="false">
      <c r="A405" s="12"/>
      <c r="B405" s="34"/>
      <c r="C405" s="12"/>
      <c r="D405" s="12"/>
      <c r="E405" s="12"/>
      <c r="F405" s="12"/>
      <c r="G405" s="18"/>
      <c r="H405" s="35"/>
      <c r="I405" s="12"/>
      <c r="M405" s="12"/>
      <c r="N405" s="18"/>
      <c r="O405" s="12"/>
      <c r="P405" s="12"/>
      <c r="Q405" s="12"/>
      <c r="R405" s="36"/>
      <c r="S405" s="36"/>
      <c r="T405" s="12"/>
      <c r="U405" s="12"/>
      <c r="V405" s="12"/>
      <c r="W405" s="12"/>
      <c r="X405" s="12"/>
    </row>
    <row r="406" customFormat="false" ht="15.75" hidden="false" customHeight="false" outlineLevel="0" collapsed="false">
      <c r="A406" s="12"/>
      <c r="B406" s="34"/>
      <c r="C406" s="12"/>
      <c r="D406" s="12"/>
      <c r="E406" s="12"/>
      <c r="F406" s="12"/>
      <c r="G406" s="18"/>
      <c r="H406" s="35"/>
      <c r="I406" s="12"/>
      <c r="M406" s="12"/>
      <c r="N406" s="18"/>
      <c r="O406" s="12"/>
      <c r="P406" s="12"/>
      <c r="Q406" s="12"/>
      <c r="R406" s="36"/>
      <c r="S406" s="36"/>
      <c r="T406" s="12"/>
      <c r="U406" s="12"/>
      <c r="V406" s="12"/>
      <c r="W406" s="12"/>
      <c r="X406" s="12"/>
    </row>
    <row r="407" customFormat="false" ht="15.75" hidden="false" customHeight="false" outlineLevel="0" collapsed="false">
      <c r="A407" s="12"/>
      <c r="B407" s="34"/>
      <c r="C407" s="12"/>
      <c r="D407" s="12"/>
      <c r="E407" s="12"/>
      <c r="F407" s="12"/>
      <c r="G407" s="18"/>
      <c r="H407" s="35"/>
      <c r="I407" s="12"/>
      <c r="M407" s="12"/>
      <c r="N407" s="18"/>
      <c r="O407" s="12"/>
      <c r="P407" s="12"/>
      <c r="Q407" s="12"/>
      <c r="R407" s="36"/>
      <c r="S407" s="36"/>
      <c r="T407" s="12"/>
      <c r="U407" s="12"/>
      <c r="V407" s="12"/>
      <c r="W407" s="12"/>
      <c r="X407" s="12"/>
    </row>
    <row r="408" customFormat="false" ht="15.75" hidden="false" customHeight="false" outlineLevel="0" collapsed="false">
      <c r="A408" s="12"/>
      <c r="B408" s="34"/>
      <c r="C408" s="12"/>
      <c r="D408" s="12"/>
      <c r="E408" s="12"/>
      <c r="F408" s="12"/>
      <c r="G408" s="18"/>
      <c r="H408" s="35"/>
      <c r="I408" s="12"/>
      <c r="M408" s="12"/>
      <c r="N408" s="18"/>
      <c r="O408" s="12"/>
      <c r="P408" s="12"/>
      <c r="Q408" s="12"/>
      <c r="R408" s="36"/>
      <c r="S408" s="36"/>
      <c r="T408" s="12"/>
      <c r="U408" s="12"/>
      <c r="V408" s="12"/>
      <c r="W408" s="12"/>
      <c r="X408" s="12"/>
    </row>
    <row r="409" customFormat="false" ht="15.75" hidden="false" customHeight="false" outlineLevel="0" collapsed="false">
      <c r="A409" s="12"/>
      <c r="B409" s="34"/>
      <c r="C409" s="12"/>
      <c r="D409" s="12"/>
      <c r="E409" s="12"/>
      <c r="F409" s="12"/>
      <c r="G409" s="18"/>
      <c r="H409" s="35"/>
      <c r="I409" s="12"/>
      <c r="M409" s="12"/>
      <c r="N409" s="18"/>
      <c r="O409" s="12"/>
      <c r="P409" s="12"/>
      <c r="Q409" s="12"/>
      <c r="R409" s="36"/>
      <c r="S409" s="36"/>
      <c r="T409" s="12"/>
      <c r="U409" s="12"/>
      <c r="V409" s="12"/>
      <c r="W409" s="12"/>
      <c r="X409" s="12"/>
    </row>
    <row r="410" customFormat="false" ht="15.75" hidden="false" customHeight="false" outlineLevel="0" collapsed="false">
      <c r="A410" s="12"/>
      <c r="B410" s="34"/>
      <c r="C410" s="12"/>
      <c r="D410" s="12"/>
      <c r="E410" s="12"/>
      <c r="F410" s="12"/>
      <c r="G410" s="18"/>
      <c r="H410" s="35"/>
      <c r="I410" s="12"/>
      <c r="M410" s="12"/>
      <c r="N410" s="18"/>
      <c r="O410" s="12"/>
      <c r="P410" s="12"/>
      <c r="Q410" s="12"/>
      <c r="R410" s="36"/>
      <c r="S410" s="36"/>
      <c r="T410" s="12"/>
      <c r="U410" s="12"/>
      <c r="V410" s="12"/>
      <c r="W410" s="12"/>
      <c r="X410" s="12"/>
    </row>
    <row r="411" customFormat="false" ht="15.75" hidden="false" customHeight="false" outlineLevel="0" collapsed="false">
      <c r="A411" s="12"/>
      <c r="B411" s="34"/>
      <c r="C411" s="12"/>
      <c r="D411" s="12"/>
      <c r="E411" s="12"/>
      <c r="F411" s="12"/>
      <c r="G411" s="18"/>
      <c r="H411" s="35"/>
      <c r="I411" s="12"/>
      <c r="M411" s="12"/>
      <c r="N411" s="18"/>
      <c r="O411" s="12"/>
      <c r="P411" s="12"/>
      <c r="Q411" s="12"/>
      <c r="R411" s="36"/>
      <c r="S411" s="36"/>
      <c r="T411" s="12"/>
      <c r="U411" s="12"/>
      <c r="V411" s="12"/>
      <c r="W411" s="12"/>
      <c r="X411" s="12"/>
    </row>
    <row r="412" customFormat="false" ht="15.75" hidden="false" customHeight="false" outlineLevel="0" collapsed="false">
      <c r="A412" s="12"/>
      <c r="B412" s="34"/>
      <c r="C412" s="12"/>
      <c r="D412" s="12"/>
      <c r="E412" s="12"/>
      <c r="F412" s="12"/>
      <c r="G412" s="18"/>
      <c r="H412" s="35"/>
      <c r="I412" s="12"/>
      <c r="M412" s="12"/>
      <c r="N412" s="18"/>
      <c r="O412" s="12"/>
      <c r="P412" s="12"/>
      <c r="Q412" s="12"/>
      <c r="R412" s="36"/>
      <c r="S412" s="36"/>
      <c r="T412" s="12"/>
      <c r="U412" s="12"/>
      <c r="V412" s="12"/>
      <c r="W412" s="12"/>
      <c r="X412" s="12"/>
    </row>
    <row r="413" customFormat="false" ht="15.75" hidden="false" customHeight="false" outlineLevel="0" collapsed="false">
      <c r="A413" s="12"/>
      <c r="B413" s="34"/>
      <c r="C413" s="12"/>
      <c r="D413" s="12"/>
      <c r="E413" s="12"/>
      <c r="F413" s="12"/>
      <c r="G413" s="18"/>
      <c r="H413" s="35"/>
      <c r="I413" s="12"/>
      <c r="M413" s="12"/>
      <c r="N413" s="18"/>
      <c r="O413" s="12"/>
      <c r="P413" s="12"/>
      <c r="Q413" s="12"/>
      <c r="R413" s="36"/>
      <c r="S413" s="36"/>
      <c r="T413" s="12"/>
      <c r="U413" s="12"/>
      <c r="V413" s="12"/>
      <c r="W413" s="12"/>
      <c r="X413" s="12"/>
    </row>
    <row r="414" customFormat="false" ht="15.75" hidden="false" customHeight="false" outlineLevel="0" collapsed="false">
      <c r="A414" s="12"/>
      <c r="B414" s="34"/>
      <c r="C414" s="12"/>
      <c r="D414" s="12"/>
      <c r="E414" s="12"/>
      <c r="F414" s="12"/>
      <c r="G414" s="18"/>
      <c r="H414" s="35"/>
      <c r="I414" s="12"/>
      <c r="M414" s="12"/>
      <c r="N414" s="18"/>
      <c r="O414" s="12"/>
      <c r="P414" s="12"/>
      <c r="Q414" s="12"/>
      <c r="R414" s="36"/>
      <c r="S414" s="36"/>
      <c r="T414" s="12"/>
      <c r="U414" s="12"/>
      <c r="V414" s="12"/>
      <c r="W414" s="12"/>
      <c r="X414" s="12"/>
    </row>
    <row r="415" customFormat="false" ht="15.75" hidden="false" customHeight="false" outlineLevel="0" collapsed="false">
      <c r="A415" s="12"/>
      <c r="B415" s="34"/>
      <c r="C415" s="12"/>
      <c r="D415" s="12"/>
      <c r="E415" s="12"/>
      <c r="F415" s="12"/>
      <c r="G415" s="18"/>
      <c r="H415" s="35"/>
      <c r="I415" s="12"/>
      <c r="M415" s="12"/>
      <c r="N415" s="18"/>
      <c r="O415" s="12"/>
      <c r="P415" s="12"/>
      <c r="Q415" s="12"/>
      <c r="R415" s="36"/>
      <c r="S415" s="36"/>
      <c r="T415" s="12"/>
      <c r="U415" s="12"/>
      <c r="V415" s="12"/>
      <c r="W415" s="12"/>
      <c r="X415" s="12"/>
    </row>
    <row r="416" customFormat="false" ht="15.75" hidden="false" customHeight="false" outlineLevel="0" collapsed="false">
      <c r="A416" s="12"/>
      <c r="B416" s="34"/>
      <c r="C416" s="12"/>
      <c r="D416" s="12"/>
      <c r="E416" s="12"/>
      <c r="F416" s="12"/>
      <c r="G416" s="18"/>
      <c r="H416" s="35"/>
      <c r="I416" s="12"/>
      <c r="M416" s="12"/>
      <c r="N416" s="18"/>
      <c r="O416" s="12"/>
      <c r="P416" s="12"/>
      <c r="Q416" s="12"/>
      <c r="R416" s="36"/>
      <c r="S416" s="36"/>
      <c r="T416" s="12"/>
      <c r="U416" s="12"/>
      <c r="V416" s="12"/>
      <c r="W416" s="12"/>
      <c r="X416" s="12"/>
    </row>
    <row r="417" customFormat="false" ht="15.75" hidden="false" customHeight="false" outlineLevel="0" collapsed="false">
      <c r="A417" s="12"/>
      <c r="B417" s="34"/>
      <c r="C417" s="12"/>
      <c r="D417" s="12"/>
      <c r="E417" s="12"/>
      <c r="F417" s="12"/>
      <c r="G417" s="18"/>
      <c r="H417" s="35"/>
      <c r="I417" s="12"/>
      <c r="M417" s="12"/>
      <c r="N417" s="18"/>
      <c r="O417" s="12"/>
      <c r="P417" s="12"/>
      <c r="Q417" s="12"/>
      <c r="R417" s="36"/>
      <c r="S417" s="36"/>
      <c r="T417" s="12"/>
      <c r="U417" s="12"/>
      <c r="V417" s="12"/>
      <c r="W417" s="12"/>
      <c r="X417" s="12"/>
    </row>
    <row r="418" customFormat="false" ht="15.75" hidden="false" customHeight="false" outlineLevel="0" collapsed="false">
      <c r="A418" s="12"/>
      <c r="B418" s="34"/>
      <c r="C418" s="12"/>
      <c r="D418" s="12"/>
      <c r="E418" s="12"/>
      <c r="F418" s="12"/>
      <c r="G418" s="18"/>
      <c r="H418" s="35"/>
      <c r="I418" s="12"/>
      <c r="M418" s="12"/>
      <c r="N418" s="18"/>
      <c r="O418" s="12"/>
      <c r="P418" s="12"/>
      <c r="Q418" s="12"/>
      <c r="R418" s="36"/>
      <c r="S418" s="36"/>
      <c r="T418" s="12"/>
      <c r="U418" s="12"/>
      <c r="V418" s="12"/>
      <c r="W418" s="12"/>
      <c r="X418" s="12"/>
    </row>
    <row r="419" customFormat="false" ht="15.75" hidden="false" customHeight="false" outlineLevel="0" collapsed="false">
      <c r="A419" s="12"/>
      <c r="B419" s="34"/>
      <c r="C419" s="12"/>
      <c r="D419" s="12"/>
      <c r="E419" s="12"/>
      <c r="F419" s="12"/>
      <c r="G419" s="18"/>
      <c r="H419" s="35"/>
      <c r="I419" s="12"/>
      <c r="M419" s="12"/>
      <c r="N419" s="18"/>
      <c r="O419" s="12"/>
      <c r="P419" s="12"/>
      <c r="Q419" s="12"/>
      <c r="R419" s="36"/>
      <c r="S419" s="36"/>
      <c r="T419" s="12"/>
      <c r="U419" s="12"/>
      <c r="V419" s="12"/>
      <c r="W419" s="12"/>
      <c r="X419" s="12"/>
    </row>
    <row r="420" customFormat="false" ht="15.75" hidden="false" customHeight="false" outlineLevel="0" collapsed="false">
      <c r="A420" s="12"/>
      <c r="B420" s="34"/>
      <c r="C420" s="12"/>
      <c r="D420" s="12"/>
      <c r="E420" s="12"/>
      <c r="F420" s="12"/>
      <c r="G420" s="18"/>
      <c r="H420" s="35"/>
      <c r="I420" s="12"/>
      <c r="M420" s="12"/>
      <c r="N420" s="18"/>
      <c r="O420" s="12"/>
      <c r="P420" s="12"/>
      <c r="Q420" s="12"/>
      <c r="R420" s="36"/>
      <c r="S420" s="36"/>
      <c r="T420" s="12"/>
      <c r="U420" s="12"/>
      <c r="V420" s="12"/>
      <c r="W420" s="12"/>
      <c r="X420" s="12"/>
    </row>
    <row r="421" customFormat="false" ht="15.75" hidden="false" customHeight="false" outlineLevel="0" collapsed="false">
      <c r="A421" s="12"/>
      <c r="B421" s="34"/>
      <c r="C421" s="12"/>
      <c r="D421" s="12"/>
      <c r="E421" s="12"/>
      <c r="F421" s="12"/>
      <c r="G421" s="18"/>
      <c r="H421" s="35"/>
      <c r="I421" s="12"/>
      <c r="M421" s="12"/>
      <c r="N421" s="18"/>
      <c r="O421" s="12"/>
      <c r="P421" s="12"/>
      <c r="Q421" s="12"/>
      <c r="R421" s="36"/>
      <c r="S421" s="36"/>
      <c r="T421" s="12"/>
      <c r="U421" s="12"/>
      <c r="V421" s="12"/>
      <c r="W421" s="12"/>
      <c r="X421" s="12"/>
    </row>
    <row r="422" customFormat="false" ht="15.75" hidden="false" customHeight="false" outlineLevel="0" collapsed="false">
      <c r="A422" s="12"/>
      <c r="B422" s="34"/>
      <c r="C422" s="12"/>
      <c r="D422" s="12"/>
      <c r="E422" s="12"/>
      <c r="F422" s="12"/>
      <c r="G422" s="18"/>
      <c r="H422" s="35"/>
      <c r="I422" s="12"/>
      <c r="M422" s="12"/>
      <c r="N422" s="18"/>
      <c r="O422" s="12"/>
      <c r="P422" s="12"/>
      <c r="Q422" s="12"/>
      <c r="R422" s="36"/>
      <c r="S422" s="36"/>
      <c r="T422" s="12"/>
      <c r="U422" s="12"/>
      <c r="V422" s="12"/>
      <c r="W422" s="12"/>
      <c r="X422" s="12"/>
    </row>
    <row r="423" customFormat="false" ht="15.75" hidden="false" customHeight="false" outlineLevel="0" collapsed="false">
      <c r="A423" s="12"/>
      <c r="B423" s="34"/>
      <c r="C423" s="12"/>
      <c r="D423" s="12"/>
      <c r="E423" s="12"/>
      <c r="F423" s="12"/>
      <c r="G423" s="18"/>
      <c r="H423" s="35"/>
      <c r="I423" s="12"/>
      <c r="M423" s="12"/>
      <c r="N423" s="18"/>
      <c r="O423" s="12"/>
      <c r="P423" s="12"/>
      <c r="Q423" s="12"/>
      <c r="R423" s="36"/>
      <c r="S423" s="36"/>
      <c r="T423" s="12"/>
      <c r="U423" s="12"/>
      <c r="V423" s="12"/>
      <c r="W423" s="12"/>
      <c r="X423" s="12"/>
    </row>
    <row r="424" customFormat="false" ht="15.75" hidden="false" customHeight="false" outlineLevel="0" collapsed="false">
      <c r="A424" s="12"/>
      <c r="B424" s="34"/>
      <c r="C424" s="12"/>
      <c r="D424" s="12"/>
      <c r="E424" s="12"/>
      <c r="F424" s="12"/>
      <c r="G424" s="18"/>
      <c r="H424" s="35"/>
      <c r="I424" s="12"/>
      <c r="M424" s="12"/>
      <c r="N424" s="18"/>
      <c r="O424" s="12"/>
      <c r="P424" s="12"/>
      <c r="Q424" s="12"/>
      <c r="R424" s="36"/>
      <c r="S424" s="36"/>
      <c r="T424" s="12"/>
      <c r="U424" s="12"/>
      <c r="V424" s="12"/>
      <c r="W424" s="12"/>
      <c r="X424" s="12"/>
    </row>
    <row r="425" customFormat="false" ht="15.75" hidden="false" customHeight="false" outlineLevel="0" collapsed="false">
      <c r="A425" s="12"/>
      <c r="B425" s="34"/>
      <c r="C425" s="12"/>
      <c r="D425" s="12"/>
      <c r="E425" s="12"/>
      <c r="F425" s="12"/>
      <c r="G425" s="18"/>
      <c r="H425" s="35"/>
      <c r="I425" s="12"/>
      <c r="M425" s="12"/>
      <c r="N425" s="18"/>
      <c r="O425" s="12"/>
      <c r="P425" s="12"/>
      <c r="Q425" s="12"/>
      <c r="R425" s="36"/>
      <c r="S425" s="36"/>
      <c r="T425" s="12"/>
      <c r="U425" s="12"/>
      <c r="V425" s="12"/>
      <c r="W425" s="12"/>
      <c r="X425" s="12"/>
    </row>
    <row r="426" customFormat="false" ht="15.75" hidden="false" customHeight="false" outlineLevel="0" collapsed="false">
      <c r="A426" s="12"/>
      <c r="B426" s="34"/>
      <c r="C426" s="12"/>
      <c r="D426" s="12"/>
      <c r="E426" s="12"/>
      <c r="F426" s="12"/>
      <c r="G426" s="18"/>
      <c r="H426" s="35"/>
      <c r="I426" s="12"/>
      <c r="M426" s="12"/>
      <c r="N426" s="18"/>
      <c r="O426" s="12"/>
      <c r="P426" s="12"/>
      <c r="Q426" s="12"/>
      <c r="R426" s="36"/>
      <c r="S426" s="36"/>
      <c r="T426" s="12"/>
      <c r="U426" s="12"/>
      <c r="V426" s="12"/>
      <c r="W426" s="12"/>
      <c r="X426" s="12"/>
    </row>
    <row r="427" customFormat="false" ht="15.75" hidden="false" customHeight="false" outlineLevel="0" collapsed="false">
      <c r="A427" s="12"/>
      <c r="B427" s="34"/>
      <c r="C427" s="12"/>
      <c r="D427" s="12"/>
      <c r="E427" s="12"/>
      <c r="F427" s="12"/>
      <c r="G427" s="18"/>
      <c r="H427" s="35"/>
      <c r="I427" s="12"/>
      <c r="M427" s="12"/>
      <c r="N427" s="18"/>
      <c r="O427" s="12"/>
      <c r="P427" s="12"/>
      <c r="Q427" s="12"/>
      <c r="R427" s="36"/>
      <c r="S427" s="36"/>
      <c r="T427" s="12"/>
      <c r="U427" s="12"/>
      <c r="V427" s="12"/>
      <c r="W427" s="12"/>
      <c r="X427" s="12"/>
    </row>
    <row r="428" customFormat="false" ht="15.75" hidden="false" customHeight="false" outlineLevel="0" collapsed="false">
      <c r="A428" s="12"/>
      <c r="B428" s="34"/>
      <c r="C428" s="12"/>
      <c r="D428" s="12"/>
      <c r="E428" s="12"/>
      <c r="F428" s="12"/>
      <c r="G428" s="18"/>
      <c r="H428" s="35"/>
      <c r="I428" s="12"/>
      <c r="M428" s="12"/>
      <c r="N428" s="18"/>
      <c r="O428" s="12"/>
      <c r="P428" s="12"/>
      <c r="Q428" s="12"/>
      <c r="R428" s="36"/>
      <c r="S428" s="36"/>
      <c r="T428" s="12"/>
      <c r="U428" s="12"/>
      <c r="V428" s="12"/>
      <c r="W428" s="12"/>
      <c r="X428" s="12"/>
    </row>
    <row r="429" customFormat="false" ht="15.75" hidden="false" customHeight="false" outlineLevel="0" collapsed="false">
      <c r="A429" s="12"/>
      <c r="B429" s="34"/>
      <c r="C429" s="12"/>
      <c r="D429" s="12"/>
      <c r="E429" s="12"/>
      <c r="F429" s="12"/>
      <c r="G429" s="18"/>
      <c r="H429" s="35"/>
      <c r="I429" s="12"/>
      <c r="M429" s="12"/>
      <c r="N429" s="18"/>
      <c r="O429" s="12"/>
      <c r="P429" s="12"/>
      <c r="Q429" s="12"/>
      <c r="R429" s="36"/>
      <c r="S429" s="36"/>
      <c r="T429" s="12"/>
      <c r="U429" s="12"/>
      <c r="V429" s="12"/>
      <c r="W429" s="12"/>
      <c r="X429" s="12"/>
    </row>
    <row r="430" customFormat="false" ht="15.75" hidden="false" customHeight="false" outlineLevel="0" collapsed="false">
      <c r="A430" s="12"/>
      <c r="B430" s="34"/>
      <c r="C430" s="12"/>
      <c r="D430" s="12"/>
      <c r="E430" s="12"/>
      <c r="F430" s="12"/>
      <c r="G430" s="18"/>
      <c r="H430" s="35"/>
      <c r="I430" s="12"/>
      <c r="M430" s="12"/>
      <c r="N430" s="18"/>
      <c r="O430" s="12"/>
      <c r="P430" s="12"/>
      <c r="Q430" s="12"/>
      <c r="R430" s="36"/>
      <c r="S430" s="36"/>
      <c r="T430" s="12"/>
      <c r="U430" s="12"/>
      <c r="V430" s="12"/>
      <c r="W430" s="12"/>
      <c r="X430" s="12"/>
    </row>
    <row r="431" customFormat="false" ht="15.75" hidden="false" customHeight="false" outlineLevel="0" collapsed="false">
      <c r="A431" s="12"/>
      <c r="B431" s="34"/>
      <c r="C431" s="12"/>
      <c r="D431" s="12"/>
      <c r="E431" s="12"/>
      <c r="F431" s="12"/>
      <c r="G431" s="18"/>
      <c r="H431" s="35"/>
      <c r="I431" s="12"/>
      <c r="M431" s="12"/>
      <c r="N431" s="18"/>
      <c r="O431" s="12"/>
      <c r="P431" s="12"/>
      <c r="Q431" s="12"/>
      <c r="R431" s="36"/>
      <c r="S431" s="36"/>
      <c r="T431" s="12"/>
      <c r="U431" s="12"/>
      <c r="V431" s="12"/>
      <c r="W431" s="12"/>
      <c r="X431" s="12"/>
    </row>
    <row r="432" customFormat="false" ht="15.75" hidden="false" customHeight="false" outlineLevel="0" collapsed="false">
      <c r="A432" s="12"/>
      <c r="B432" s="34"/>
      <c r="C432" s="12"/>
      <c r="D432" s="12"/>
      <c r="E432" s="12"/>
      <c r="F432" s="12"/>
      <c r="G432" s="18"/>
      <c r="H432" s="35"/>
      <c r="I432" s="12"/>
      <c r="M432" s="12"/>
      <c r="N432" s="18"/>
      <c r="O432" s="12"/>
      <c r="P432" s="12"/>
      <c r="Q432" s="12"/>
      <c r="R432" s="36"/>
      <c r="S432" s="36"/>
      <c r="T432" s="12"/>
      <c r="U432" s="12"/>
      <c r="V432" s="12"/>
      <c r="W432" s="12"/>
      <c r="X432" s="12"/>
    </row>
    <row r="433" customFormat="false" ht="15.75" hidden="false" customHeight="false" outlineLevel="0" collapsed="false">
      <c r="A433" s="12"/>
      <c r="B433" s="34"/>
      <c r="C433" s="12"/>
      <c r="D433" s="12"/>
      <c r="E433" s="12"/>
      <c r="F433" s="12"/>
      <c r="G433" s="18"/>
      <c r="H433" s="35"/>
      <c r="I433" s="12"/>
      <c r="M433" s="12"/>
      <c r="N433" s="18"/>
      <c r="O433" s="12"/>
      <c r="P433" s="12"/>
      <c r="Q433" s="12"/>
      <c r="R433" s="36"/>
      <c r="S433" s="36"/>
      <c r="T433" s="12"/>
      <c r="U433" s="12"/>
      <c r="V433" s="12"/>
      <c r="W433" s="12"/>
      <c r="X433" s="12"/>
    </row>
    <row r="434" customFormat="false" ht="15.75" hidden="false" customHeight="false" outlineLevel="0" collapsed="false">
      <c r="A434" s="12"/>
      <c r="B434" s="34"/>
      <c r="C434" s="12"/>
      <c r="D434" s="12"/>
      <c r="E434" s="12"/>
      <c r="F434" s="12"/>
      <c r="G434" s="18"/>
      <c r="H434" s="35"/>
      <c r="I434" s="12"/>
      <c r="M434" s="12"/>
      <c r="N434" s="18"/>
      <c r="O434" s="12"/>
      <c r="P434" s="12"/>
      <c r="Q434" s="12"/>
      <c r="R434" s="36"/>
      <c r="S434" s="36"/>
      <c r="T434" s="12"/>
      <c r="U434" s="12"/>
      <c r="V434" s="12"/>
      <c r="W434" s="12"/>
      <c r="X434" s="12"/>
    </row>
    <row r="435" customFormat="false" ht="15.75" hidden="false" customHeight="false" outlineLevel="0" collapsed="false">
      <c r="A435" s="12"/>
      <c r="B435" s="34"/>
      <c r="C435" s="12"/>
      <c r="D435" s="12"/>
      <c r="E435" s="12"/>
      <c r="F435" s="12"/>
      <c r="G435" s="18"/>
      <c r="H435" s="35"/>
      <c r="I435" s="12"/>
      <c r="M435" s="12"/>
      <c r="N435" s="18"/>
      <c r="O435" s="12"/>
      <c r="P435" s="12"/>
      <c r="Q435" s="12"/>
      <c r="R435" s="36"/>
      <c r="S435" s="36"/>
      <c r="T435" s="12"/>
      <c r="U435" s="12"/>
      <c r="V435" s="12"/>
      <c r="W435" s="12"/>
      <c r="X435" s="12"/>
    </row>
    <row r="436" customFormat="false" ht="15.75" hidden="false" customHeight="false" outlineLevel="0" collapsed="false">
      <c r="A436" s="12"/>
      <c r="B436" s="34"/>
      <c r="C436" s="12"/>
      <c r="D436" s="12"/>
      <c r="E436" s="12"/>
      <c r="F436" s="12"/>
      <c r="G436" s="18"/>
      <c r="H436" s="35"/>
      <c r="I436" s="12"/>
      <c r="M436" s="12"/>
      <c r="N436" s="18"/>
      <c r="O436" s="12"/>
      <c r="P436" s="12"/>
      <c r="Q436" s="12"/>
      <c r="R436" s="36"/>
      <c r="S436" s="36"/>
      <c r="T436" s="12"/>
      <c r="U436" s="12"/>
      <c r="V436" s="12"/>
      <c r="W436" s="12"/>
      <c r="X436" s="12"/>
    </row>
    <row r="437" customFormat="false" ht="15.75" hidden="false" customHeight="false" outlineLevel="0" collapsed="false">
      <c r="A437" s="12"/>
      <c r="B437" s="34"/>
      <c r="C437" s="12"/>
      <c r="D437" s="12"/>
      <c r="E437" s="12"/>
      <c r="F437" s="12"/>
      <c r="G437" s="18"/>
      <c r="H437" s="35"/>
      <c r="I437" s="12"/>
      <c r="M437" s="12"/>
      <c r="N437" s="18"/>
      <c r="O437" s="12"/>
      <c r="P437" s="12"/>
      <c r="Q437" s="12"/>
      <c r="R437" s="36"/>
      <c r="S437" s="36"/>
      <c r="T437" s="12"/>
      <c r="U437" s="12"/>
      <c r="V437" s="12"/>
      <c r="W437" s="12"/>
      <c r="X437" s="12"/>
    </row>
    <row r="438" customFormat="false" ht="15.75" hidden="false" customHeight="false" outlineLevel="0" collapsed="false">
      <c r="A438" s="12"/>
      <c r="B438" s="34"/>
      <c r="C438" s="12"/>
      <c r="D438" s="12"/>
      <c r="E438" s="12"/>
      <c r="F438" s="12"/>
      <c r="G438" s="18"/>
      <c r="H438" s="35"/>
      <c r="I438" s="12"/>
      <c r="M438" s="12"/>
      <c r="N438" s="18"/>
      <c r="O438" s="12"/>
      <c r="P438" s="12"/>
      <c r="Q438" s="12"/>
      <c r="R438" s="36"/>
      <c r="S438" s="36"/>
      <c r="T438" s="12"/>
      <c r="U438" s="12"/>
      <c r="V438" s="12"/>
      <c r="W438" s="12"/>
      <c r="X438" s="12"/>
    </row>
    <row r="439" customFormat="false" ht="15.75" hidden="false" customHeight="false" outlineLevel="0" collapsed="false">
      <c r="A439" s="12"/>
      <c r="B439" s="34"/>
      <c r="C439" s="12"/>
      <c r="D439" s="12"/>
      <c r="E439" s="12"/>
      <c r="F439" s="12"/>
      <c r="G439" s="18"/>
      <c r="H439" s="35"/>
      <c r="I439" s="12"/>
      <c r="M439" s="12"/>
      <c r="N439" s="18"/>
      <c r="O439" s="12"/>
      <c r="P439" s="12"/>
      <c r="Q439" s="12"/>
      <c r="R439" s="36"/>
      <c r="S439" s="36"/>
      <c r="T439" s="12"/>
      <c r="U439" s="12"/>
      <c r="V439" s="12"/>
      <c r="W439" s="12"/>
      <c r="X439" s="12"/>
    </row>
    <row r="440" customFormat="false" ht="15.75" hidden="false" customHeight="false" outlineLevel="0" collapsed="false">
      <c r="A440" s="12"/>
      <c r="B440" s="34"/>
      <c r="C440" s="12"/>
      <c r="D440" s="12"/>
      <c r="E440" s="12"/>
      <c r="F440" s="12"/>
      <c r="G440" s="18"/>
      <c r="H440" s="35"/>
      <c r="I440" s="12"/>
      <c r="M440" s="12"/>
      <c r="N440" s="18"/>
      <c r="O440" s="12"/>
      <c r="P440" s="12"/>
      <c r="Q440" s="12"/>
      <c r="R440" s="36"/>
      <c r="S440" s="36"/>
      <c r="T440" s="12"/>
      <c r="U440" s="12"/>
      <c r="V440" s="12"/>
      <c r="W440" s="12"/>
      <c r="X440" s="12"/>
    </row>
    <row r="441" customFormat="false" ht="15.75" hidden="false" customHeight="false" outlineLevel="0" collapsed="false">
      <c r="A441" s="12"/>
      <c r="B441" s="34"/>
      <c r="C441" s="12"/>
      <c r="D441" s="12"/>
      <c r="E441" s="12"/>
      <c r="F441" s="12"/>
      <c r="G441" s="18"/>
      <c r="H441" s="35"/>
      <c r="I441" s="12"/>
      <c r="M441" s="12"/>
      <c r="N441" s="18"/>
      <c r="O441" s="12"/>
      <c r="P441" s="12"/>
      <c r="Q441" s="12"/>
      <c r="R441" s="36"/>
      <c r="S441" s="36"/>
      <c r="T441" s="12"/>
      <c r="U441" s="12"/>
      <c r="V441" s="12"/>
      <c r="W441" s="12"/>
      <c r="X441" s="12"/>
    </row>
    <row r="442" customFormat="false" ht="15.75" hidden="false" customHeight="false" outlineLevel="0" collapsed="false">
      <c r="A442" s="12"/>
      <c r="B442" s="34"/>
      <c r="C442" s="12"/>
      <c r="D442" s="12"/>
      <c r="E442" s="12"/>
      <c r="F442" s="12"/>
      <c r="G442" s="18"/>
      <c r="H442" s="35"/>
      <c r="I442" s="12"/>
      <c r="M442" s="12"/>
      <c r="N442" s="18"/>
      <c r="O442" s="12"/>
      <c r="P442" s="12"/>
      <c r="Q442" s="12"/>
      <c r="R442" s="36"/>
      <c r="S442" s="36"/>
      <c r="T442" s="12"/>
      <c r="U442" s="12"/>
      <c r="V442" s="12"/>
      <c r="W442" s="12"/>
      <c r="X442" s="12"/>
    </row>
    <row r="443" customFormat="false" ht="15.75" hidden="false" customHeight="false" outlineLevel="0" collapsed="false">
      <c r="A443" s="12"/>
      <c r="B443" s="34"/>
      <c r="C443" s="12"/>
      <c r="D443" s="12"/>
      <c r="E443" s="12"/>
      <c r="F443" s="12"/>
      <c r="G443" s="18"/>
      <c r="H443" s="35"/>
      <c r="I443" s="12"/>
      <c r="M443" s="12"/>
      <c r="N443" s="18"/>
      <c r="O443" s="12"/>
      <c r="P443" s="12"/>
      <c r="Q443" s="12"/>
      <c r="R443" s="36"/>
      <c r="S443" s="36"/>
      <c r="T443" s="12"/>
      <c r="U443" s="12"/>
      <c r="V443" s="12"/>
      <c r="W443" s="12"/>
      <c r="X443" s="12"/>
    </row>
    <row r="444" customFormat="false" ht="15.75" hidden="false" customHeight="false" outlineLevel="0" collapsed="false">
      <c r="A444" s="12"/>
      <c r="B444" s="34"/>
      <c r="C444" s="12"/>
      <c r="D444" s="12"/>
      <c r="E444" s="12"/>
      <c r="F444" s="12"/>
      <c r="G444" s="18"/>
      <c r="H444" s="35"/>
      <c r="I444" s="12"/>
      <c r="M444" s="12"/>
      <c r="N444" s="18"/>
      <c r="O444" s="12"/>
      <c r="P444" s="12"/>
      <c r="Q444" s="12"/>
      <c r="R444" s="36"/>
      <c r="S444" s="36"/>
      <c r="T444" s="12"/>
      <c r="U444" s="12"/>
      <c r="V444" s="12"/>
      <c r="W444" s="12"/>
      <c r="X444" s="12"/>
    </row>
    <row r="445" customFormat="false" ht="15.75" hidden="false" customHeight="false" outlineLevel="0" collapsed="false">
      <c r="A445" s="12"/>
      <c r="B445" s="34"/>
      <c r="C445" s="12"/>
      <c r="D445" s="12"/>
      <c r="E445" s="12"/>
      <c r="F445" s="12"/>
      <c r="G445" s="18"/>
      <c r="H445" s="35"/>
      <c r="I445" s="12"/>
      <c r="M445" s="12"/>
      <c r="N445" s="18"/>
      <c r="O445" s="12"/>
      <c r="P445" s="12"/>
      <c r="Q445" s="12"/>
      <c r="R445" s="36"/>
      <c r="S445" s="36"/>
      <c r="T445" s="12"/>
      <c r="U445" s="12"/>
      <c r="V445" s="12"/>
      <c r="W445" s="12"/>
      <c r="X445" s="12"/>
    </row>
    <row r="446" customFormat="false" ht="15.75" hidden="false" customHeight="false" outlineLevel="0" collapsed="false">
      <c r="A446" s="12"/>
      <c r="B446" s="34"/>
      <c r="C446" s="12"/>
      <c r="D446" s="12"/>
      <c r="E446" s="12"/>
      <c r="F446" s="12"/>
      <c r="G446" s="18"/>
      <c r="H446" s="35"/>
      <c r="I446" s="12"/>
      <c r="M446" s="12"/>
      <c r="N446" s="18"/>
      <c r="O446" s="12"/>
      <c r="P446" s="12"/>
      <c r="Q446" s="12"/>
      <c r="R446" s="36"/>
      <c r="S446" s="36"/>
      <c r="T446" s="12"/>
      <c r="U446" s="12"/>
      <c r="V446" s="12"/>
      <c r="W446" s="12"/>
      <c r="X446" s="12"/>
    </row>
    <row r="447" customFormat="false" ht="15.75" hidden="false" customHeight="false" outlineLevel="0" collapsed="false">
      <c r="A447" s="12"/>
      <c r="B447" s="34"/>
      <c r="C447" s="12"/>
      <c r="D447" s="12"/>
      <c r="E447" s="12"/>
      <c r="F447" s="12"/>
      <c r="G447" s="18"/>
      <c r="H447" s="35"/>
      <c r="I447" s="12"/>
      <c r="M447" s="12"/>
      <c r="N447" s="18"/>
      <c r="O447" s="12"/>
      <c r="P447" s="12"/>
      <c r="Q447" s="12"/>
      <c r="R447" s="36"/>
      <c r="S447" s="36"/>
      <c r="T447" s="12"/>
      <c r="U447" s="12"/>
      <c r="V447" s="12"/>
      <c r="W447" s="12"/>
      <c r="X447" s="12"/>
    </row>
    <row r="448" customFormat="false" ht="15.75" hidden="false" customHeight="false" outlineLevel="0" collapsed="false">
      <c r="A448" s="12"/>
      <c r="B448" s="34"/>
      <c r="C448" s="12"/>
      <c r="D448" s="12"/>
      <c r="E448" s="12"/>
      <c r="F448" s="12"/>
      <c r="G448" s="18"/>
      <c r="H448" s="35"/>
      <c r="I448" s="12"/>
      <c r="M448" s="12"/>
      <c r="N448" s="18"/>
      <c r="O448" s="12"/>
      <c r="P448" s="12"/>
      <c r="Q448" s="12"/>
      <c r="R448" s="36"/>
      <c r="S448" s="36"/>
      <c r="T448" s="12"/>
      <c r="U448" s="12"/>
      <c r="V448" s="12"/>
      <c r="W448" s="12"/>
      <c r="X448" s="12"/>
    </row>
    <row r="449" customFormat="false" ht="15.75" hidden="false" customHeight="false" outlineLevel="0" collapsed="false">
      <c r="A449" s="12"/>
      <c r="B449" s="34"/>
      <c r="C449" s="12"/>
      <c r="D449" s="12"/>
      <c r="E449" s="12"/>
      <c r="F449" s="12"/>
      <c r="G449" s="18"/>
      <c r="H449" s="35"/>
      <c r="I449" s="12"/>
      <c r="M449" s="12"/>
      <c r="N449" s="18"/>
      <c r="O449" s="12"/>
      <c r="P449" s="12"/>
      <c r="Q449" s="12"/>
      <c r="R449" s="36"/>
      <c r="S449" s="36"/>
      <c r="T449" s="12"/>
      <c r="U449" s="12"/>
      <c r="V449" s="12"/>
      <c r="W449" s="12"/>
      <c r="X449" s="12"/>
    </row>
    <row r="450" customFormat="false" ht="15.75" hidden="false" customHeight="false" outlineLevel="0" collapsed="false">
      <c r="A450" s="12"/>
      <c r="B450" s="34"/>
      <c r="C450" s="12"/>
      <c r="D450" s="12"/>
      <c r="E450" s="12"/>
      <c r="F450" s="12"/>
      <c r="G450" s="18"/>
      <c r="H450" s="35"/>
      <c r="I450" s="12"/>
      <c r="M450" s="12"/>
      <c r="N450" s="18"/>
      <c r="O450" s="12"/>
      <c r="P450" s="12"/>
      <c r="Q450" s="12"/>
      <c r="R450" s="36"/>
      <c r="S450" s="36"/>
      <c r="T450" s="12"/>
      <c r="U450" s="12"/>
      <c r="V450" s="12"/>
      <c r="W450" s="12"/>
      <c r="X450" s="12"/>
    </row>
    <row r="451" customFormat="false" ht="15.75" hidden="false" customHeight="false" outlineLevel="0" collapsed="false">
      <c r="A451" s="12"/>
      <c r="B451" s="34"/>
      <c r="C451" s="12"/>
      <c r="D451" s="12"/>
      <c r="E451" s="12"/>
      <c r="F451" s="12"/>
      <c r="G451" s="18"/>
      <c r="H451" s="35"/>
      <c r="I451" s="12"/>
      <c r="M451" s="12"/>
      <c r="N451" s="18"/>
      <c r="O451" s="12"/>
      <c r="P451" s="12"/>
      <c r="Q451" s="12"/>
      <c r="R451" s="36"/>
      <c r="S451" s="36"/>
      <c r="T451" s="12"/>
      <c r="U451" s="12"/>
      <c r="V451" s="12"/>
      <c r="W451" s="12"/>
      <c r="X451" s="12"/>
    </row>
    <row r="452" customFormat="false" ht="15.75" hidden="false" customHeight="false" outlineLevel="0" collapsed="false">
      <c r="A452" s="12"/>
      <c r="B452" s="34"/>
      <c r="C452" s="12"/>
      <c r="D452" s="12"/>
      <c r="E452" s="12"/>
      <c r="F452" s="12"/>
      <c r="G452" s="18"/>
      <c r="H452" s="35"/>
      <c r="I452" s="12"/>
      <c r="M452" s="12"/>
      <c r="N452" s="18"/>
      <c r="O452" s="12"/>
      <c r="P452" s="12"/>
      <c r="Q452" s="12"/>
      <c r="R452" s="36"/>
      <c r="S452" s="36"/>
      <c r="T452" s="12"/>
      <c r="U452" s="12"/>
      <c r="V452" s="12"/>
      <c r="W452" s="12"/>
      <c r="X452" s="12"/>
    </row>
    <row r="453" customFormat="false" ht="15.75" hidden="false" customHeight="false" outlineLevel="0" collapsed="false">
      <c r="A453" s="12"/>
      <c r="B453" s="34"/>
      <c r="C453" s="12"/>
      <c r="D453" s="12"/>
      <c r="E453" s="12"/>
      <c r="F453" s="12"/>
      <c r="G453" s="18"/>
      <c r="H453" s="35"/>
      <c r="I453" s="12"/>
      <c r="M453" s="12"/>
      <c r="N453" s="18"/>
      <c r="O453" s="12"/>
      <c r="P453" s="12"/>
      <c r="Q453" s="12"/>
      <c r="R453" s="36"/>
      <c r="S453" s="36"/>
      <c r="T453" s="12"/>
      <c r="U453" s="12"/>
      <c r="V453" s="12"/>
      <c r="W453" s="12"/>
      <c r="X453" s="12"/>
    </row>
    <row r="454" customFormat="false" ht="15.75" hidden="false" customHeight="false" outlineLevel="0" collapsed="false">
      <c r="A454" s="12"/>
      <c r="B454" s="34"/>
      <c r="C454" s="12"/>
      <c r="D454" s="12"/>
      <c r="E454" s="12"/>
      <c r="F454" s="12"/>
      <c r="G454" s="18"/>
      <c r="H454" s="35"/>
      <c r="I454" s="12"/>
      <c r="M454" s="12"/>
      <c r="N454" s="18"/>
      <c r="O454" s="12"/>
      <c r="P454" s="12"/>
      <c r="Q454" s="12"/>
      <c r="R454" s="36"/>
      <c r="S454" s="36"/>
      <c r="T454" s="12"/>
      <c r="U454" s="12"/>
      <c r="V454" s="12"/>
      <c r="W454" s="12"/>
      <c r="X454" s="12"/>
    </row>
    <row r="455" customFormat="false" ht="15.75" hidden="false" customHeight="false" outlineLevel="0" collapsed="false">
      <c r="A455" s="12"/>
      <c r="B455" s="34"/>
      <c r="C455" s="12"/>
      <c r="D455" s="12"/>
      <c r="E455" s="12"/>
      <c r="F455" s="12"/>
      <c r="G455" s="18"/>
      <c r="H455" s="35"/>
      <c r="I455" s="12"/>
      <c r="M455" s="12"/>
      <c r="N455" s="18"/>
      <c r="O455" s="12"/>
      <c r="P455" s="12"/>
      <c r="Q455" s="12"/>
      <c r="R455" s="36"/>
      <c r="S455" s="36"/>
      <c r="T455" s="12"/>
      <c r="U455" s="12"/>
      <c r="V455" s="12"/>
      <c r="W455" s="12"/>
      <c r="X455" s="12"/>
    </row>
    <row r="456" customFormat="false" ht="15.75" hidden="false" customHeight="false" outlineLevel="0" collapsed="false">
      <c r="A456" s="12"/>
      <c r="B456" s="34"/>
      <c r="C456" s="12"/>
      <c r="D456" s="12"/>
      <c r="E456" s="12"/>
      <c r="F456" s="12"/>
      <c r="G456" s="18"/>
      <c r="H456" s="35"/>
      <c r="I456" s="12"/>
      <c r="M456" s="12"/>
      <c r="N456" s="18"/>
      <c r="O456" s="12"/>
      <c r="P456" s="12"/>
      <c r="Q456" s="12"/>
      <c r="R456" s="36"/>
      <c r="S456" s="36"/>
      <c r="T456" s="12"/>
      <c r="U456" s="12"/>
      <c r="V456" s="12"/>
      <c r="W456" s="12"/>
      <c r="X456" s="12"/>
    </row>
    <row r="457" customFormat="false" ht="15.75" hidden="false" customHeight="false" outlineLevel="0" collapsed="false">
      <c r="A457" s="12"/>
      <c r="B457" s="34"/>
      <c r="C457" s="12"/>
      <c r="D457" s="12"/>
      <c r="E457" s="12"/>
      <c r="F457" s="12"/>
      <c r="G457" s="18"/>
      <c r="H457" s="35"/>
      <c r="I457" s="12"/>
      <c r="M457" s="12"/>
      <c r="N457" s="18"/>
      <c r="O457" s="12"/>
      <c r="P457" s="12"/>
      <c r="Q457" s="12"/>
      <c r="R457" s="36"/>
      <c r="S457" s="36"/>
      <c r="T457" s="12"/>
      <c r="U457" s="12"/>
      <c r="V457" s="12"/>
      <c r="W457" s="12"/>
      <c r="X457" s="12"/>
    </row>
    <row r="458" customFormat="false" ht="15.75" hidden="false" customHeight="false" outlineLevel="0" collapsed="false">
      <c r="A458" s="12"/>
      <c r="B458" s="34"/>
      <c r="C458" s="12"/>
      <c r="D458" s="12"/>
      <c r="E458" s="12"/>
      <c r="F458" s="12"/>
      <c r="G458" s="18"/>
      <c r="H458" s="35"/>
      <c r="I458" s="12"/>
      <c r="M458" s="12"/>
      <c r="N458" s="18"/>
      <c r="O458" s="12"/>
      <c r="P458" s="12"/>
      <c r="Q458" s="12"/>
      <c r="R458" s="36"/>
      <c r="S458" s="36"/>
      <c r="T458" s="12"/>
      <c r="U458" s="12"/>
      <c r="V458" s="12"/>
      <c r="W458" s="12"/>
      <c r="X458" s="12"/>
    </row>
    <row r="459" customFormat="false" ht="15.75" hidden="false" customHeight="false" outlineLevel="0" collapsed="false">
      <c r="A459" s="12"/>
      <c r="B459" s="34"/>
      <c r="C459" s="12"/>
      <c r="D459" s="12"/>
      <c r="E459" s="12"/>
      <c r="F459" s="12"/>
      <c r="G459" s="18"/>
      <c r="H459" s="35"/>
      <c r="I459" s="12"/>
      <c r="M459" s="12"/>
      <c r="N459" s="18"/>
      <c r="O459" s="12"/>
      <c r="P459" s="12"/>
      <c r="Q459" s="12"/>
      <c r="R459" s="36"/>
      <c r="S459" s="36"/>
      <c r="T459" s="12"/>
      <c r="U459" s="12"/>
      <c r="V459" s="12"/>
      <c r="W459" s="12"/>
      <c r="X459" s="12"/>
    </row>
    <row r="460" customFormat="false" ht="15.75" hidden="false" customHeight="false" outlineLevel="0" collapsed="false">
      <c r="A460" s="12"/>
      <c r="B460" s="34"/>
      <c r="C460" s="12"/>
      <c r="D460" s="12"/>
      <c r="E460" s="12"/>
      <c r="F460" s="12"/>
      <c r="G460" s="18"/>
      <c r="H460" s="35"/>
      <c r="I460" s="12"/>
      <c r="M460" s="12"/>
      <c r="N460" s="18"/>
      <c r="O460" s="12"/>
      <c r="P460" s="12"/>
      <c r="Q460" s="12"/>
      <c r="R460" s="36"/>
      <c r="S460" s="36"/>
      <c r="T460" s="12"/>
      <c r="U460" s="12"/>
      <c r="V460" s="12"/>
      <c r="W460" s="12"/>
      <c r="X460" s="12"/>
    </row>
    <row r="461" customFormat="false" ht="15.75" hidden="false" customHeight="false" outlineLevel="0" collapsed="false">
      <c r="A461" s="12"/>
      <c r="B461" s="34"/>
      <c r="C461" s="12"/>
      <c r="D461" s="12"/>
      <c r="E461" s="12"/>
      <c r="F461" s="12"/>
      <c r="G461" s="18"/>
      <c r="H461" s="35"/>
      <c r="I461" s="12"/>
      <c r="M461" s="12"/>
      <c r="N461" s="18"/>
      <c r="O461" s="12"/>
      <c r="P461" s="12"/>
      <c r="Q461" s="12"/>
      <c r="R461" s="36"/>
      <c r="S461" s="36"/>
      <c r="T461" s="12"/>
      <c r="U461" s="12"/>
      <c r="V461" s="12"/>
      <c r="W461" s="12"/>
      <c r="X461" s="12"/>
    </row>
    <row r="462" customFormat="false" ht="15.75" hidden="false" customHeight="false" outlineLevel="0" collapsed="false">
      <c r="A462" s="12"/>
      <c r="B462" s="34"/>
      <c r="C462" s="12"/>
      <c r="D462" s="12"/>
      <c r="E462" s="12"/>
      <c r="F462" s="12"/>
      <c r="G462" s="18"/>
      <c r="H462" s="35"/>
      <c r="I462" s="12"/>
      <c r="M462" s="12"/>
      <c r="N462" s="18"/>
      <c r="O462" s="12"/>
      <c r="P462" s="12"/>
      <c r="Q462" s="12"/>
      <c r="R462" s="36"/>
      <c r="S462" s="36"/>
      <c r="T462" s="12"/>
      <c r="U462" s="12"/>
      <c r="V462" s="12"/>
      <c r="W462" s="12"/>
      <c r="X462" s="12"/>
    </row>
    <row r="463" customFormat="false" ht="15.75" hidden="false" customHeight="false" outlineLevel="0" collapsed="false">
      <c r="A463" s="12"/>
      <c r="B463" s="34"/>
      <c r="C463" s="12"/>
      <c r="D463" s="12"/>
      <c r="E463" s="12"/>
      <c r="F463" s="12"/>
      <c r="G463" s="18"/>
      <c r="H463" s="35"/>
      <c r="I463" s="12"/>
      <c r="M463" s="12"/>
      <c r="N463" s="18"/>
      <c r="O463" s="12"/>
      <c r="P463" s="12"/>
      <c r="Q463" s="12"/>
      <c r="R463" s="36"/>
      <c r="S463" s="36"/>
      <c r="T463" s="12"/>
      <c r="U463" s="12"/>
      <c r="V463" s="12"/>
      <c r="W463" s="12"/>
      <c r="X463" s="12"/>
    </row>
    <row r="464" customFormat="false" ht="15.75" hidden="false" customHeight="false" outlineLevel="0" collapsed="false">
      <c r="A464" s="12"/>
      <c r="B464" s="34"/>
      <c r="C464" s="12"/>
      <c r="D464" s="12"/>
      <c r="E464" s="12"/>
      <c r="F464" s="12"/>
      <c r="G464" s="18"/>
      <c r="H464" s="35"/>
      <c r="I464" s="12"/>
      <c r="M464" s="12"/>
      <c r="N464" s="18"/>
      <c r="O464" s="12"/>
      <c r="P464" s="12"/>
      <c r="Q464" s="12"/>
      <c r="R464" s="36"/>
      <c r="S464" s="36"/>
      <c r="T464" s="12"/>
      <c r="U464" s="12"/>
      <c r="V464" s="12"/>
      <c r="W464" s="12"/>
      <c r="X464" s="12"/>
    </row>
    <row r="465" customFormat="false" ht="15.75" hidden="false" customHeight="false" outlineLevel="0" collapsed="false">
      <c r="A465" s="12"/>
      <c r="B465" s="34"/>
      <c r="C465" s="12"/>
      <c r="D465" s="12"/>
      <c r="E465" s="12"/>
      <c r="F465" s="12"/>
      <c r="G465" s="18"/>
      <c r="H465" s="35"/>
      <c r="I465" s="12"/>
      <c r="M465" s="12"/>
      <c r="N465" s="18"/>
      <c r="O465" s="12"/>
      <c r="P465" s="12"/>
      <c r="Q465" s="12"/>
      <c r="R465" s="36"/>
      <c r="S465" s="36"/>
      <c r="T465" s="12"/>
      <c r="U465" s="12"/>
      <c r="V465" s="12"/>
      <c r="W465" s="12"/>
      <c r="X465" s="12"/>
    </row>
    <row r="466" customFormat="false" ht="15.75" hidden="false" customHeight="false" outlineLevel="0" collapsed="false">
      <c r="A466" s="12"/>
      <c r="B466" s="34"/>
      <c r="C466" s="12"/>
      <c r="D466" s="12"/>
      <c r="E466" s="12"/>
      <c r="F466" s="12"/>
      <c r="G466" s="18"/>
      <c r="H466" s="35"/>
      <c r="I466" s="12"/>
      <c r="M466" s="12"/>
      <c r="N466" s="18"/>
      <c r="O466" s="12"/>
      <c r="P466" s="12"/>
      <c r="Q466" s="12"/>
      <c r="R466" s="36"/>
      <c r="S466" s="36"/>
      <c r="T466" s="12"/>
      <c r="U466" s="12"/>
      <c r="V466" s="12"/>
      <c r="W466" s="12"/>
      <c r="X466" s="12"/>
    </row>
    <row r="467" customFormat="false" ht="15.75" hidden="false" customHeight="false" outlineLevel="0" collapsed="false">
      <c r="A467" s="12"/>
      <c r="B467" s="34"/>
      <c r="C467" s="12"/>
      <c r="D467" s="12"/>
      <c r="E467" s="12"/>
      <c r="F467" s="12"/>
      <c r="G467" s="18"/>
      <c r="H467" s="35"/>
      <c r="I467" s="12"/>
      <c r="M467" s="12"/>
      <c r="N467" s="18"/>
      <c r="O467" s="12"/>
      <c r="P467" s="12"/>
      <c r="Q467" s="12"/>
      <c r="R467" s="36"/>
      <c r="S467" s="36"/>
      <c r="T467" s="12"/>
      <c r="U467" s="12"/>
      <c r="V467" s="12"/>
      <c r="W467" s="12"/>
      <c r="X467" s="12"/>
    </row>
    <row r="468" customFormat="false" ht="15.75" hidden="false" customHeight="false" outlineLevel="0" collapsed="false">
      <c r="A468" s="12"/>
      <c r="B468" s="34"/>
      <c r="C468" s="12"/>
      <c r="D468" s="12"/>
      <c r="E468" s="12"/>
      <c r="F468" s="12"/>
      <c r="G468" s="18"/>
      <c r="H468" s="35"/>
      <c r="I468" s="12"/>
      <c r="M468" s="12"/>
      <c r="N468" s="18"/>
      <c r="O468" s="12"/>
      <c r="P468" s="12"/>
      <c r="Q468" s="12"/>
      <c r="R468" s="36"/>
      <c r="S468" s="36"/>
      <c r="T468" s="12"/>
      <c r="U468" s="12"/>
      <c r="V468" s="12"/>
      <c r="W468" s="12"/>
      <c r="X468" s="12"/>
    </row>
    <row r="469" customFormat="false" ht="15.75" hidden="false" customHeight="false" outlineLevel="0" collapsed="false">
      <c r="A469" s="12"/>
      <c r="B469" s="34"/>
      <c r="C469" s="12"/>
      <c r="D469" s="12"/>
      <c r="E469" s="12"/>
      <c r="F469" s="12"/>
      <c r="G469" s="18"/>
      <c r="H469" s="35"/>
      <c r="I469" s="12"/>
      <c r="M469" s="12"/>
      <c r="N469" s="18"/>
      <c r="O469" s="12"/>
      <c r="P469" s="12"/>
      <c r="Q469" s="12"/>
      <c r="R469" s="36"/>
      <c r="S469" s="36"/>
      <c r="T469" s="12"/>
      <c r="U469" s="12"/>
      <c r="V469" s="12"/>
      <c r="W469" s="12"/>
      <c r="X469" s="12"/>
    </row>
    <row r="470" customFormat="false" ht="15.75" hidden="false" customHeight="false" outlineLevel="0" collapsed="false">
      <c r="A470" s="12"/>
      <c r="B470" s="34"/>
      <c r="C470" s="12"/>
      <c r="D470" s="12"/>
      <c r="E470" s="12"/>
      <c r="F470" s="12"/>
      <c r="G470" s="18"/>
      <c r="H470" s="35"/>
      <c r="I470" s="12"/>
      <c r="M470" s="12"/>
      <c r="N470" s="18"/>
      <c r="O470" s="12"/>
      <c r="P470" s="12"/>
      <c r="Q470" s="12"/>
      <c r="R470" s="36"/>
      <c r="S470" s="36"/>
      <c r="T470" s="12"/>
      <c r="U470" s="12"/>
      <c r="V470" s="12"/>
      <c r="W470" s="12"/>
      <c r="X470" s="12"/>
    </row>
    <row r="471" customFormat="false" ht="15.75" hidden="false" customHeight="false" outlineLevel="0" collapsed="false">
      <c r="A471" s="12"/>
      <c r="B471" s="34"/>
      <c r="C471" s="12"/>
      <c r="D471" s="12"/>
      <c r="E471" s="12"/>
      <c r="F471" s="12"/>
      <c r="G471" s="18"/>
      <c r="H471" s="35"/>
      <c r="I471" s="12"/>
      <c r="M471" s="12"/>
      <c r="N471" s="18"/>
      <c r="O471" s="12"/>
      <c r="P471" s="12"/>
      <c r="Q471" s="12"/>
      <c r="R471" s="36"/>
      <c r="S471" s="36"/>
      <c r="T471" s="12"/>
      <c r="U471" s="12"/>
      <c r="V471" s="12"/>
      <c r="W471" s="12"/>
      <c r="X471" s="12"/>
    </row>
    <row r="472" customFormat="false" ht="15.75" hidden="false" customHeight="false" outlineLevel="0" collapsed="false">
      <c r="A472" s="12"/>
      <c r="B472" s="34"/>
      <c r="C472" s="12"/>
      <c r="D472" s="12"/>
      <c r="E472" s="12"/>
      <c r="F472" s="12"/>
      <c r="G472" s="18"/>
      <c r="H472" s="35"/>
      <c r="I472" s="12"/>
      <c r="M472" s="12"/>
      <c r="N472" s="18"/>
      <c r="O472" s="12"/>
      <c r="P472" s="12"/>
      <c r="Q472" s="12"/>
      <c r="R472" s="36"/>
      <c r="S472" s="36"/>
      <c r="T472" s="12"/>
      <c r="U472" s="12"/>
      <c r="V472" s="12"/>
      <c r="W472" s="12"/>
      <c r="X472" s="12"/>
    </row>
    <row r="473" customFormat="false" ht="15.75" hidden="false" customHeight="false" outlineLevel="0" collapsed="false">
      <c r="A473" s="12"/>
      <c r="B473" s="34"/>
      <c r="C473" s="12"/>
      <c r="D473" s="12"/>
      <c r="E473" s="12"/>
      <c r="F473" s="12"/>
      <c r="G473" s="18"/>
      <c r="H473" s="35"/>
      <c r="I473" s="12"/>
      <c r="M473" s="12"/>
      <c r="N473" s="18"/>
      <c r="O473" s="12"/>
      <c r="P473" s="12"/>
      <c r="Q473" s="12"/>
      <c r="R473" s="36"/>
      <c r="S473" s="36"/>
      <c r="T473" s="12"/>
      <c r="U473" s="12"/>
      <c r="V473" s="12"/>
      <c r="W473" s="12"/>
      <c r="X473" s="12"/>
    </row>
    <row r="474" customFormat="false" ht="15.75" hidden="false" customHeight="false" outlineLevel="0" collapsed="false">
      <c r="A474" s="12"/>
      <c r="B474" s="34"/>
      <c r="C474" s="12"/>
      <c r="D474" s="12"/>
      <c r="E474" s="12"/>
      <c r="F474" s="12"/>
      <c r="G474" s="18"/>
      <c r="H474" s="35"/>
      <c r="I474" s="12"/>
      <c r="M474" s="12"/>
      <c r="N474" s="18"/>
      <c r="O474" s="12"/>
      <c r="P474" s="12"/>
      <c r="Q474" s="12"/>
      <c r="R474" s="36"/>
      <c r="S474" s="36"/>
      <c r="T474" s="12"/>
      <c r="U474" s="12"/>
      <c r="V474" s="12"/>
      <c r="W474" s="12"/>
      <c r="X474" s="12"/>
    </row>
    <row r="475" customFormat="false" ht="15.75" hidden="false" customHeight="false" outlineLevel="0" collapsed="false">
      <c r="A475" s="12"/>
      <c r="B475" s="34"/>
      <c r="C475" s="12"/>
      <c r="D475" s="12"/>
      <c r="E475" s="12"/>
      <c r="F475" s="12"/>
      <c r="G475" s="18"/>
      <c r="H475" s="35"/>
      <c r="I475" s="12"/>
      <c r="M475" s="12"/>
      <c r="N475" s="18"/>
      <c r="O475" s="12"/>
      <c r="P475" s="12"/>
      <c r="Q475" s="12"/>
      <c r="R475" s="36"/>
      <c r="S475" s="36"/>
      <c r="T475" s="12"/>
      <c r="U475" s="12"/>
      <c r="V475" s="12"/>
      <c r="W475" s="12"/>
      <c r="X475" s="12"/>
    </row>
    <row r="476" customFormat="false" ht="15.75" hidden="false" customHeight="false" outlineLevel="0" collapsed="false">
      <c r="A476" s="12"/>
      <c r="B476" s="34"/>
      <c r="C476" s="12"/>
      <c r="D476" s="12"/>
      <c r="E476" s="12"/>
      <c r="F476" s="12"/>
      <c r="G476" s="18"/>
      <c r="H476" s="35"/>
      <c r="I476" s="12"/>
      <c r="M476" s="12"/>
      <c r="N476" s="18"/>
      <c r="O476" s="12"/>
      <c r="P476" s="12"/>
      <c r="Q476" s="12"/>
      <c r="R476" s="36"/>
      <c r="S476" s="36"/>
      <c r="T476" s="12"/>
      <c r="U476" s="12"/>
      <c r="V476" s="12"/>
      <c r="W476" s="12"/>
      <c r="X476" s="12"/>
    </row>
    <row r="477" customFormat="false" ht="15.75" hidden="false" customHeight="false" outlineLevel="0" collapsed="false">
      <c r="A477" s="12"/>
      <c r="B477" s="34"/>
      <c r="C477" s="12"/>
      <c r="D477" s="12"/>
      <c r="E477" s="12"/>
      <c r="F477" s="12"/>
      <c r="G477" s="18"/>
      <c r="H477" s="35"/>
      <c r="I477" s="12"/>
      <c r="M477" s="12"/>
      <c r="N477" s="18"/>
      <c r="O477" s="12"/>
      <c r="P477" s="12"/>
      <c r="Q477" s="12"/>
      <c r="R477" s="36"/>
      <c r="S477" s="36"/>
      <c r="T477" s="12"/>
      <c r="U477" s="12"/>
      <c r="V477" s="12"/>
      <c r="W477" s="12"/>
      <c r="X477" s="12"/>
    </row>
    <row r="478" customFormat="false" ht="15.75" hidden="false" customHeight="false" outlineLevel="0" collapsed="false">
      <c r="A478" s="12"/>
      <c r="B478" s="34"/>
      <c r="C478" s="12"/>
      <c r="D478" s="12"/>
      <c r="E478" s="12"/>
      <c r="F478" s="12"/>
      <c r="G478" s="18"/>
      <c r="H478" s="35"/>
      <c r="I478" s="12"/>
      <c r="M478" s="12"/>
      <c r="N478" s="18"/>
      <c r="O478" s="12"/>
      <c r="P478" s="12"/>
      <c r="Q478" s="12"/>
      <c r="R478" s="36"/>
      <c r="S478" s="36"/>
      <c r="T478" s="12"/>
      <c r="U478" s="12"/>
      <c r="V478" s="12"/>
      <c r="W478" s="12"/>
      <c r="X478" s="12"/>
    </row>
    <row r="479" customFormat="false" ht="15.75" hidden="false" customHeight="false" outlineLevel="0" collapsed="false">
      <c r="A479" s="12"/>
      <c r="B479" s="34"/>
      <c r="C479" s="12"/>
      <c r="D479" s="12"/>
      <c r="E479" s="12"/>
      <c r="F479" s="12"/>
      <c r="G479" s="18"/>
      <c r="H479" s="35"/>
      <c r="I479" s="12"/>
      <c r="M479" s="12"/>
      <c r="N479" s="18"/>
      <c r="O479" s="12"/>
      <c r="P479" s="12"/>
      <c r="Q479" s="12"/>
      <c r="R479" s="36"/>
      <c r="S479" s="36"/>
      <c r="T479" s="12"/>
      <c r="U479" s="12"/>
      <c r="V479" s="12"/>
      <c r="W479" s="12"/>
      <c r="X479" s="12"/>
    </row>
    <row r="480" customFormat="false" ht="15.75" hidden="false" customHeight="false" outlineLevel="0" collapsed="false">
      <c r="A480" s="12"/>
      <c r="B480" s="34"/>
      <c r="C480" s="12"/>
      <c r="D480" s="12"/>
      <c r="E480" s="12"/>
      <c r="F480" s="12"/>
      <c r="G480" s="18"/>
      <c r="H480" s="35"/>
      <c r="I480" s="12"/>
      <c r="M480" s="12"/>
      <c r="N480" s="18"/>
      <c r="O480" s="12"/>
      <c r="P480" s="12"/>
      <c r="Q480" s="12"/>
      <c r="R480" s="36"/>
      <c r="S480" s="36"/>
      <c r="T480" s="12"/>
      <c r="U480" s="12"/>
      <c r="V480" s="12"/>
      <c r="W480" s="12"/>
      <c r="X480" s="12"/>
    </row>
    <row r="481" customFormat="false" ht="15.75" hidden="false" customHeight="false" outlineLevel="0" collapsed="false">
      <c r="A481" s="12"/>
      <c r="B481" s="34"/>
      <c r="C481" s="12"/>
      <c r="D481" s="12"/>
      <c r="E481" s="12"/>
      <c r="F481" s="12"/>
      <c r="G481" s="18"/>
      <c r="H481" s="35"/>
      <c r="I481" s="12"/>
      <c r="M481" s="12"/>
      <c r="N481" s="18"/>
      <c r="O481" s="12"/>
      <c r="P481" s="12"/>
      <c r="Q481" s="12"/>
      <c r="R481" s="36"/>
      <c r="S481" s="36"/>
      <c r="T481" s="12"/>
      <c r="U481" s="12"/>
      <c r="V481" s="12"/>
      <c r="W481" s="12"/>
      <c r="X481" s="12"/>
    </row>
    <row r="482" customFormat="false" ht="15.75" hidden="false" customHeight="false" outlineLevel="0" collapsed="false">
      <c r="A482" s="12"/>
      <c r="B482" s="34"/>
      <c r="C482" s="12"/>
      <c r="D482" s="12"/>
      <c r="E482" s="12"/>
      <c r="F482" s="12"/>
      <c r="G482" s="18"/>
      <c r="H482" s="35"/>
      <c r="I482" s="12"/>
      <c r="M482" s="12"/>
      <c r="N482" s="18"/>
      <c r="O482" s="12"/>
      <c r="P482" s="12"/>
      <c r="Q482" s="12"/>
      <c r="R482" s="36"/>
      <c r="S482" s="36"/>
      <c r="T482" s="12"/>
      <c r="U482" s="12"/>
      <c r="V482" s="12"/>
      <c r="W482" s="12"/>
      <c r="X482" s="12"/>
    </row>
    <row r="483" customFormat="false" ht="15.75" hidden="false" customHeight="false" outlineLevel="0" collapsed="false">
      <c r="A483" s="12"/>
      <c r="B483" s="34"/>
      <c r="C483" s="12"/>
      <c r="D483" s="12"/>
      <c r="E483" s="12"/>
      <c r="F483" s="12"/>
      <c r="G483" s="18"/>
      <c r="H483" s="35"/>
      <c r="I483" s="12"/>
      <c r="M483" s="12"/>
      <c r="N483" s="18"/>
      <c r="O483" s="12"/>
      <c r="P483" s="12"/>
      <c r="Q483" s="12"/>
      <c r="R483" s="36"/>
      <c r="S483" s="36"/>
      <c r="T483" s="12"/>
      <c r="U483" s="12"/>
      <c r="V483" s="12"/>
      <c r="W483" s="12"/>
      <c r="X483" s="12"/>
    </row>
    <row r="484" customFormat="false" ht="15.75" hidden="false" customHeight="false" outlineLevel="0" collapsed="false">
      <c r="A484" s="12"/>
      <c r="B484" s="34"/>
      <c r="C484" s="12"/>
      <c r="D484" s="12"/>
      <c r="E484" s="12"/>
      <c r="F484" s="12"/>
      <c r="G484" s="18"/>
      <c r="H484" s="35"/>
      <c r="I484" s="12"/>
      <c r="M484" s="12"/>
      <c r="N484" s="18"/>
      <c r="O484" s="12"/>
      <c r="P484" s="12"/>
      <c r="Q484" s="12"/>
      <c r="R484" s="36"/>
      <c r="S484" s="36"/>
      <c r="T484" s="12"/>
      <c r="U484" s="12"/>
      <c r="V484" s="12"/>
      <c r="W484" s="12"/>
      <c r="X484" s="12"/>
    </row>
    <row r="485" customFormat="false" ht="15.75" hidden="false" customHeight="false" outlineLevel="0" collapsed="false">
      <c r="A485" s="12"/>
      <c r="B485" s="34"/>
      <c r="C485" s="12"/>
      <c r="D485" s="12"/>
      <c r="E485" s="12"/>
      <c r="F485" s="12"/>
      <c r="G485" s="18"/>
      <c r="H485" s="35"/>
      <c r="I485" s="12"/>
      <c r="M485" s="12"/>
      <c r="N485" s="18"/>
      <c r="O485" s="12"/>
      <c r="P485" s="12"/>
      <c r="Q485" s="12"/>
      <c r="R485" s="36"/>
      <c r="S485" s="36"/>
      <c r="T485" s="12"/>
      <c r="U485" s="12"/>
      <c r="V485" s="12"/>
      <c r="W485" s="12"/>
      <c r="X485" s="12"/>
    </row>
    <row r="486" customFormat="false" ht="15.75" hidden="false" customHeight="false" outlineLevel="0" collapsed="false">
      <c r="A486" s="12"/>
      <c r="B486" s="34"/>
      <c r="C486" s="12"/>
      <c r="D486" s="12"/>
      <c r="E486" s="12"/>
      <c r="F486" s="12"/>
      <c r="G486" s="18"/>
      <c r="H486" s="35"/>
      <c r="I486" s="12"/>
      <c r="M486" s="12"/>
      <c r="N486" s="18"/>
      <c r="O486" s="12"/>
      <c r="P486" s="12"/>
      <c r="Q486" s="12"/>
      <c r="R486" s="36"/>
      <c r="S486" s="36"/>
      <c r="T486" s="12"/>
      <c r="U486" s="12"/>
      <c r="V486" s="12"/>
      <c r="W486" s="12"/>
      <c r="X486" s="12"/>
    </row>
    <row r="487" customFormat="false" ht="15.75" hidden="false" customHeight="false" outlineLevel="0" collapsed="false">
      <c r="A487" s="12"/>
      <c r="B487" s="34"/>
      <c r="C487" s="12"/>
      <c r="D487" s="12"/>
      <c r="E487" s="12"/>
      <c r="F487" s="12"/>
      <c r="G487" s="18"/>
      <c r="H487" s="35"/>
      <c r="I487" s="12"/>
      <c r="M487" s="12"/>
      <c r="N487" s="18"/>
      <c r="O487" s="12"/>
      <c r="P487" s="12"/>
      <c r="Q487" s="12"/>
      <c r="R487" s="36"/>
      <c r="S487" s="36"/>
      <c r="T487" s="12"/>
      <c r="U487" s="12"/>
      <c r="V487" s="12"/>
      <c r="W487" s="12"/>
      <c r="X487" s="12"/>
    </row>
    <row r="488" customFormat="false" ht="15.75" hidden="false" customHeight="false" outlineLevel="0" collapsed="false">
      <c r="A488" s="12"/>
      <c r="B488" s="34"/>
      <c r="C488" s="12"/>
      <c r="D488" s="12"/>
      <c r="E488" s="12"/>
      <c r="F488" s="12"/>
      <c r="G488" s="18"/>
      <c r="H488" s="35"/>
      <c r="I488" s="12"/>
      <c r="M488" s="12"/>
      <c r="N488" s="18"/>
      <c r="O488" s="12"/>
      <c r="P488" s="12"/>
      <c r="Q488" s="12"/>
      <c r="R488" s="36"/>
      <c r="S488" s="36"/>
      <c r="T488" s="12"/>
      <c r="U488" s="12"/>
      <c r="V488" s="12"/>
      <c r="W488" s="12"/>
      <c r="X488" s="12"/>
    </row>
    <row r="489" customFormat="false" ht="15.75" hidden="false" customHeight="false" outlineLevel="0" collapsed="false">
      <c r="A489" s="12"/>
      <c r="B489" s="34"/>
      <c r="C489" s="12"/>
      <c r="D489" s="12"/>
      <c r="E489" s="12"/>
      <c r="F489" s="12"/>
      <c r="G489" s="18"/>
      <c r="H489" s="35"/>
      <c r="I489" s="12"/>
      <c r="M489" s="12"/>
      <c r="N489" s="18"/>
      <c r="O489" s="12"/>
      <c r="P489" s="12"/>
      <c r="Q489" s="12"/>
      <c r="R489" s="36"/>
      <c r="S489" s="36"/>
      <c r="T489" s="12"/>
      <c r="U489" s="12"/>
      <c r="V489" s="12"/>
      <c r="W489" s="12"/>
      <c r="X489" s="12"/>
    </row>
    <row r="490" customFormat="false" ht="15.75" hidden="false" customHeight="false" outlineLevel="0" collapsed="false">
      <c r="A490" s="12"/>
      <c r="B490" s="34"/>
      <c r="C490" s="12"/>
      <c r="D490" s="12"/>
      <c r="E490" s="12"/>
      <c r="F490" s="12"/>
      <c r="G490" s="18"/>
      <c r="H490" s="35"/>
      <c r="I490" s="12"/>
      <c r="M490" s="12"/>
      <c r="N490" s="18"/>
      <c r="O490" s="12"/>
      <c r="P490" s="12"/>
      <c r="Q490" s="12"/>
      <c r="R490" s="36"/>
      <c r="S490" s="36"/>
      <c r="T490" s="12"/>
      <c r="U490" s="12"/>
      <c r="V490" s="12"/>
      <c r="W490" s="12"/>
      <c r="X490" s="12"/>
    </row>
    <row r="491" customFormat="false" ht="15.75" hidden="false" customHeight="false" outlineLevel="0" collapsed="false">
      <c r="A491" s="12"/>
      <c r="B491" s="34"/>
      <c r="C491" s="12"/>
      <c r="D491" s="12"/>
      <c r="E491" s="12"/>
      <c r="F491" s="12"/>
      <c r="G491" s="18"/>
      <c r="H491" s="35"/>
      <c r="I491" s="12"/>
      <c r="M491" s="12"/>
      <c r="N491" s="18"/>
      <c r="O491" s="12"/>
      <c r="P491" s="12"/>
      <c r="Q491" s="12"/>
      <c r="R491" s="36"/>
      <c r="S491" s="36"/>
      <c r="T491" s="12"/>
      <c r="U491" s="12"/>
      <c r="V491" s="12"/>
      <c r="W491" s="12"/>
      <c r="X491" s="12"/>
    </row>
    <row r="492" customFormat="false" ht="15.75" hidden="false" customHeight="false" outlineLevel="0" collapsed="false">
      <c r="A492" s="12"/>
      <c r="B492" s="34"/>
      <c r="C492" s="12"/>
      <c r="D492" s="12"/>
      <c r="E492" s="12"/>
      <c r="F492" s="12"/>
      <c r="G492" s="18"/>
      <c r="H492" s="35"/>
      <c r="I492" s="12"/>
      <c r="M492" s="12"/>
      <c r="N492" s="18"/>
      <c r="O492" s="12"/>
      <c r="P492" s="12"/>
      <c r="Q492" s="12"/>
      <c r="R492" s="36"/>
      <c r="S492" s="36"/>
      <c r="T492" s="12"/>
      <c r="U492" s="12"/>
      <c r="V492" s="12"/>
      <c r="W492" s="12"/>
      <c r="X492" s="12"/>
    </row>
    <row r="493" customFormat="false" ht="15.75" hidden="false" customHeight="false" outlineLevel="0" collapsed="false">
      <c r="A493" s="12"/>
      <c r="B493" s="34"/>
      <c r="C493" s="12"/>
      <c r="D493" s="12"/>
      <c r="E493" s="12"/>
      <c r="F493" s="12"/>
      <c r="G493" s="18"/>
      <c r="H493" s="35"/>
      <c r="I493" s="12"/>
      <c r="M493" s="12"/>
      <c r="N493" s="18"/>
      <c r="O493" s="12"/>
      <c r="P493" s="12"/>
      <c r="Q493" s="12"/>
      <c r="R493" s="36"/>
      <c r="S493" s="36"/>
      <c r="T493" s="12"/>
      <c r="U493" s="12"/>
      <c r="V493" s="12"/>
      <c r="W493" s="12"/>
      <c r="X493" s="12"/>
    </row>
    <row r="494" customFormat="false" ht="15.75" hidden="false" customHeight="false" outlineLevel="0" collapsed="false">
      <c r="A494" s="12"/>
      <c r="B494" s="34"/>
      <c r="C494" s="12"/>
      <c r="D494" s="12"/>
      <c r="E494" s="12"/>
      <c r="F494" s="12"/>
      <c r="G494" s="18"/>
      <c r="H494" s="35"/>
      <c r="I494" s="12"/>
      <c r="M494" s="12"/>
      <c r="N494" s="18"/>
      <c r="O494" s="12"/>
      <c r="P494" s="12"/>
      <c r="Q494" s="12"/>
      <c r="R494" s="36"/>
      <c r="S494" s="36"/>
      <c r="T494" s="12"/>
      <c r="U494" s="12"/>
      <c r="V494" s="12"/>
      <c r="W494" s="12"/>
      <c r="X494" s="12"/>
    </row>
    <row r="495" customFormat="false" ht="15.75" hidden="false" customHeight="false" outlineLevel="0" collapsed="false">
      <c r="A495" s="12"/>
      <c r="B495" s="34"/>
      <c r="C495" s="12"/>
      <c r="D495" s="12"/>
      <c r="E495" s="12"/>
      <c r="F495" s="12"/>
      <c r="G495" s="18"/>
      <c r="H495" s="35"/>
      <c r="I495" s="12"/>
      <c r="M495" s="12"/>
      <c r="N495" s="18"/>
      <c r="O495" s="12"/>
      <c r="P495" s="12"/>
      <c r="Q495" s="12"/>
      <c r="R495" s="36"/>
      <c r="S495" s="36"/>
      <c r="T495" s="12"/>
      <c r="U495" s="12"/>
      <c r="V495" s="12"/>
      <c r="W495" s="12"/>
      <c r="X495" s="12"/>
    </row>
    <row r="496" customFormat="false" ht="15.75" hidden="false" customHeight="false" outlineLevel="0" collapsed="false">
      <c r="A496" s="12"/>
      <c r="B496" s="34"/>
      <c r="C496" s="12"/>
      <c r="D496" s="12"/>
      <c r="E496" s="12"/>
      <c r="F496" s="12"/>
      <c r="G496" s="18"/>
      <c r="H496" s="35"/>
      <c r="I496" s="12"/>
      <c r="M496" s="12"/>
      <c r="N496" s="18"/>
      <c r="O496" s="12"/>
      <c r="P496" s="12"/>
      <c r="Q496" s="12"/>
      <c r="R496" s="36"/>
      <c r="S496" s="36"/>
      <c r="T496" s="12"/>
      <c r="U496" s="12"/>
      <c r="V496" s="12"/>
      <c r="W496" s="12"/>
      <c r="X496" s="12"/>
    </row>
    <row r="497" customFormat="false" ht="15.75" hidden="false" customHeight="false" outlineLevel="0" collapsed="false">
      <c r="A497" s="12"/>
      <c r="B497" s="34"/>
      <c r="C497" s="12"/>
      <c r="D497" s="12"/>
      <c r="E497" s="12"/>
      <c r="F497" s="12"/>
      <c r="G497" s="18"/>
      <c r="H497" s="35"/>
      <c r="I497" s="12"/>
      <c r="M497" s="12"/>
      <c r="N497" s="18"/>
      <c r="O497" s="12"/>
      <c r="P497" s="12"/>
      <c r="Q497" s="12"/>
      <c r="R497" s="36"/>
      <c r="S497" s="36"/>
      <c r="T497" s="12"/>
      <c r="U497" s="12"/>
      <c r="V497" s="12"/>
      <c r="W497" s="12"/>
      <c r="X497" s="12"/>
    </row>
    <row r="498" customFormat="false" ht="15.75" hidden="false" customHeight="false" outlineLevel="0" collapsed="false">
      <c r="A498" s="12"/>
      <c r="B498" s="34"/>
      <c r="C498" s="12"/>
      <c r="D498" s="12"/>
      <c r="E498" s="12"/>
      <c r="F498" s="12"/>
      <c r="G498" s="18"/>
      <c r="H498" s="35"/>
      <c r="I498" s="12"/>
      <c r="M498" s="12"/>
      <c r="N498" s="18"/>
      <c r="O498" s="12"/>
      <c r="P498" s="12"/>
      <c r="Q498" s="12"/>
      <c r="R498" s="36"/>
      <c r="S498" s="36"/>
      <c r="T498" s="12"/>
      <c r="U498" s="12"/>
      <c r="V498" s="12"/>
      <c r="W498" s="12"/>
      <c r="X498" s="12"/>
    </row>
    <row r="499" customFormat="false" ht="15.75" hidden="false" customHeight="false" outlineLevel="0" collapsed="false">
      <c r="A499" s="12"/>
      <c r="B499" s="34"/>
      <c r="C499" s="12"/>
      <c r="D499" s="12"/>
      <c r="E499" s="12"/>
      <c r="F499" s="12"/>
      <c r="G499" s="18"/>
      <c r="H499" s="35"/>
      <c r="I499" s="12"/>
      <c r="M499" s="12"/>
      <c r="N499" s="18"/>
      <c r="O499" s="12"/>
      <c r="P499" s="12"/>
      <c r="Q499" s="12"/>
      <c r="R499" s="36"/>
      <c r="S499" s="36"/>
      <c r="T499" s="12"/>
      <c r="U499" s="12"/>
      <c r="V499" s="12"/>
      <c r="W499" s="12"/>
      <c r="X499" s="12"/>
    </row>
    <row r="500" customFormat="false" ht="15.75" hidden="false" customHeight="false" outlineLevel="0" collapsed="false">
      <c r="A500" s="12"/>
      <c r="B500" s="34"/>
      <c r="C500" s="12"/>
      <c r="D500" s="12"/>
      <c r="E500" s="12"/>
      <c r="F500" s="12"/>
      <c r="G500" s="18"/>
      <c r="H500" s="35"/>
      <c r="I500" s="12"/>
      <c r="M500" s="12"/>
      <c r="N500" s="18"/>
      <c r="O500" s="12"/>
      <c r="P500" s="12"/>
      <c r="Q500" s="12"/>
      <c r="R500" s="36"/>
      <c r="S500" s="36"/>
      <c r="T500" s="12"/>
      <c r="U500" s="12"/>
      <c r="V500" s="12"/>
      <c r="W500" s="12"/>
      <c r="X500" s="12"/>
    </row>
    <row r="501" customFormat="false" ht="15.75" hidden="false" customHeight="false" outlineLevel="0" collapsed="false">
      <c r="A501" s="12"/>
      <c r="B501" s="34"/>
      <c r="C501" s="12"/>
      <c r="D501" s="12"/>
      <c r="E501" s="12"/>
      <c r="F501" s="12"/>
      <c r="G501" s="18"/>
      <c r="H501" s="35"/>
      <c r="I501" s="12"/>
      <c r="M501" s="12"/>
      <c r="N501" s="18"/>
      <c r="O501" s="12"/>
      <c r="P501" s="12"/>
      <c r="Q501" s="12"/>
      <c r="R501" s="36"/>
      <c r="S501" s="36"/>
      <c r="T501" s="12"/>
      <c r="U501" s="12"/>
      <c r="V501" s="12"/>
      <c r="W501" s="12"/>
      <c r="X501" s="12"/>
    </row>
    <row r="502" customFormat="false" ht="15.75" hidden="false" customHeight="false" outlineLevel="0" collapsed="false">
      <c r="A502" s="12"/>
      <c r="B502" s="34"/>
      <c r="C502" s="12"/>
      <c r="D502" s="12"/>
      <c r="E502" s="12"/>
      <c r="F502" s="12"/>
      <c r="G502" s="18"/>
      <c r="H502" s="35"/>
      <c r="I502" s="12"/>
      <c r="M502" s="12"/>
      <c r="N502" s="18"/>
      <c r="O502" s="12"/>
      <c r="P502" s="12"/>
      <c r="Q502" s="12"/>
      <c r="R502" s="36"/>
      <c r="S502" s="36"/>
      <c r="T502" s="12"/>
      <c r="U502" s="12"/>
      <c r="V502" s="12"/>
      <c r="W502" s="12"/>
      <c r="X502" s="12"/>
    </row>
    <row r="503" customFormat="false" ht="15.75" hidden="false" customHeight="false" outlineLevel="0" collapsed="false">
      <c r="A503" s="12"/>
      <c r="B503" s="34"/>
      <c r="C503" s="12"/>
      <c r="D503" s="12"/>
      <c r="E503" s="12"/>
      <c r="F503" s="12"/>
      <c r="G503" s="18"/>
      <c r="H503" s="35"/>
      <c r="I503" s="12"/>
      <c r="M503" s="12"/>
      <c r="N503" s="18"/>
      <c r="O503" s="12"/>
      <c r="P503" s="12"/>
      <c r="Q503" s="12"/>
      <c r="R503" s="36"/>
      <c r="S503" s="36"/>
      <c r="T503" s="12"/>
      <c r="U503" s="12"/>
      <c r="V503" s="12"/>
      <c r="W503" s="12"/>
      <c r="X503" s="12"/>
    </row>
    <row r="504" customFormat="false" ht="15.75" hidden="false" customHeight="false" outlineLevel="0" collapsed="false">
      <c r="A504" s="12"/>
      <c r="B504" s="34"/>
      <c r="C504" s="12"/>
      <c r="D504" s="12"/>
      <c r="E504" s="12"/>
      <c r="F504" s="12"/>
      <c r="G504" s="18"/>
      <c r="H504" s="35"/>
      <c r="I504" s="12"/>
      <c r="M504" s="12"/>
      <c r="N504" s="18"/>
      <c r="O504" s="12"/>
      <c r="P504" s="12"/>
      <c r="Q504" s="12"/>
      <c r="R504" s="36"/>
      <c r="S504" s="36"/>
      <c r="T504" s="12"/>
      <c r="U504" s="12"/>
      <c r="V504" s="12"/>
      <c r="W504" s="12"/>
      <c r="X504" s="12"/>
    </row>
    <row r="505" customFormat="false" ht="15.75" hidden="false" customHeight="false" outlineLevel="0" collapsed="false">
      <c r="A505" s="12"/>
      <c r="B505" s="34"/>
      <c r="C505" s="12"/>
      <c r="D505" s="12"/>
      <c r="E505" s="12"/>
      <c r="F505" s="12"/>
      <c r="G505" s="18"/>
      <c r="H505" s="35"/>
      <c r="I505" s="12"/>
      <c r="M505" s="12"/>
      <c r="N505" s="18"/>
      <c r="O505" s="12"/>
      <c r="P505" s="12"/>
      <c r="Q505" s="12"/>
      <c r="R505" s="36"/>
      <c r="S505" s="36"/>
      <c r="T505" s="12"/>
      <c r="U505" s="12"/>
      <c r="V505" s="12"/>
      <c r="W505" s="12"/>
      <c r="X505" s="12"/>
    </row>
    <row r="506" customFormat="false" ht="15.75" hidden="false" customHeight="false" outlineLevel="0" collapsed="false">
      <c r="A506" s="12"/>
      <c r="B506" s="34"/>
      <c r="C506" s="12"/>
      <c r="D506" s="12"/>
      <c r="E506" s="12"/>
      <c r="F506" s="12"/>
      <c r="G506" s="18"/>
      <c r="H506" s="35"/>
      <c r="I506" s="12"/>
      <c r="M506" s="12"/>
      <c r="N506" s="18"/>
      <c r="O506" s="12"/>
      <c r="P506" s="12"/>
      <c r="Q506" s="12"/>
      <c r="R506" s="36"/>
      <c r="S506" s="36"/>
      <c r="T506" s="12"/>
      <c r="U506" s="12"/>
      <c r="V506" s="12"/>
      <c r="W506" s="12"/>
      <c r="X506" s="12"/>
    </row>
    <row r="507" customFormat="false" ht="15.75" hidden="false" customHeight="false" outlineLevel="0" collapsed="false">
      <c r="A507" s="12"/>
      <c r="B507" s="34"/>
      <c r="C507" s="12"/>
      <c r="D507" s="12"/>
      <c r="E507" s="12"/>
      <c r="F507" s="12"/>
      <c r="G507" s="18"/>
      <c r="H507" s="35"/>
      <c r="I507" s="12"/>
      <c r="M507" s="12"/>
      <c r="N507" s="18"/>
      <c r="O507" s="12"/>
      <c r="P507" s="12"/>
      <c r="Q507" s="12"/>
      <c r="R507" s="36"/>
      <c r="S507" s="36"/>
      <c r="T507" s="12"/>
      <c r="U507" s="12"/>
      <c r="V507" s="12"/>
      <c r="W507" s="12"/>
      <c r="X507" s="12"/>
    </row>
    <row r="508" customFormat="false" ht="15.75" hidden="false" customHeight="false" outlineLevel="0" collapsed="false">
      <c r="A508" s="12"/>
      <c r="B508" s="34"/>
      <c r="C508" s="12"/>
      <c r="D508" s="12"/>
      <c r="E508" s="12"/>
      <c r="F508" s="12"/>
      <c r="G508" s="18"/>
      <c r="H508" s="35"/>
      <c r="I508" s="12"/>
      <c r="M508" s="12"/>
      <c r="N508" s="18"/>
      <c r="O508" s="12"/>
      <c r="P508" s="12"/>
      <c r="Q508" s="12"/>
      <c r="R508" s="36"/>
      <c r="S508" s="36"/>
      <c r="T508" s="12"/>
      <c r="U508" s="12"/>
      <c r="V508" s="12"/>
      <c r="W508" s="12"/>
      <c r="X508" s="12"/>
    </row>
    <row r="509" customFormat="false" ht="15.75" hidden="false" customHeight="false" outlineLevel="0" collapsed="false">
      <c r="A509" s="12"/>
      <c r="B509" s="34"/>
      <c r="C509" s="12"/>
      <c r="D509" s="12"/>
      <c r="E509" s="12"/>
      <c r="F509" s="12"/>
      <c r="G509" s="18"/>
      <c r="H509" s="35"/>
      <c r="I509" s="12"/>
      <c r="M509" s="12"/>
      <c r="N509" s="18"/>
      <c r="O509" s="12"/>
      <c r="P509" s="12"/>
      <c r="Q509" s="12"/>
      <c r="R509" s="36"/>
      <c r="S509" s="36"/>
      <c r="T509" s="12"/>
      <c r="U509" s="12"/>
      <c r="V509" s="12"/>
      <c r="W509" s="12"/>
      <c r="X509" s="12"/>
    </row>
    <row r="510" customFormat="false" ht="15.75" hidden="false" customHeight="false" outlineLevel="0" collapsed="false">
      <c r="A510" s="12"/>
      <c r="B510" s="34"/>
      <c r="C510" s="12"/>
      <c r="D510" s="12"/>
      <c r="E510" s="12"/>
      <c r="F510" s="12"/>
      <c r="G510" s="18"/>
      <c r="H510" s="35"/>
      <c r="I510" s="12"/>
      <c r="M510" s="12"/>
      <c r="N510" s="18"/>
      <c r="O510" s="12"/>
      <c r="P510" s="12"/>
      <c r="Q510" s="12"/>
      <c r="R510" s="36"/>
      <c r="S510" s="36"/>
      <c r="T510" s="12"/>
      <c r="U510" s="12"/>
      <c r="V510" s="12"/>
      <c r="W510" s="12"/>
      <c r="X510" s="12"/>
    </row>
    <row r="511" customFormat="false" ht="15.75" hidden="false" customHeight="false" outlineLevel="0" collapsed="false">
      <c r="A511" s="12"/>
      <c r="B511" s="34"/>
      <c r="C511" s="12"/>
      <c r="D511" s="12"/>
      <c r="E511" s="12"/>
      <c r="F511" s="12"/>
      <c r="G511" s="18"/>
      <c r="H511" s="35"/>
      <c r="I511" s="12"/>
      <c r="M511" s="12"/>
      <c r="N511" s="18"/>
      <c r="O511" s="12"/>
      <c r="P511" s="12"/>
      <c r="Q511" s="12"/>
      <c r="R511" s="36"/>
      <c r="S511" s="36"/>
      <c r="T511" s="12"/>
      <c r="U511" s="12"/>
      <c r="V511" s="12"/>
      <c r="W511" s="12"/>
      <c r="X511" s="12"/>
    </row>
    <row r="512" customFormat="false" ht="15.75" hidden="false" customHeight="false" outlineLevel="0" collapsed="false">
      <c r="A512" s="12"/>
      <c r="B512" s="34"/>
      <c r="C512" s="12"/>
      <c r="D512" s="12"/>
      <c r="E512" s="12"/>
      <c r="F512" s="12"/>
      <c r="G512" s="18"/>
      <c r="H512" s="35"/>
      <c r="I512" s="12"/>
      <c r="M512" s="12"/>
      <c r="N512" s="18"/>
      <c r="O512" s="12"/>
      <c r="P512" s="12"/>
      <c r="Q512" s="12"/>
      <c r="R512" s="36"/>
      <c r="S512" s="36"/>
      <c r="T512" s="12"/>
      <c r="U512" s="12"/>
      <c r="V512" s="12"/>
      <c r="W512" s="12"/>
      <c r="X512" s="12"/>
    </row>
    <row r="513" customFormat="false" ht="15.75" hidden="false" customHeight="false" outlineLevel="0" collapsed="false">
      <c r="A513" s="12"/>
      <c r="B513" s="34"/>
      <c r="C513" s="12"/>
      <c r="D513" s="12"/>
      <c r="E513" s="12"/>
      <c r="F513" s="12"/>
      <c r="G513" s="18"/>
      <c r="H513" s="35"/>
      <c r="I513" s="12"/>
      <c r="M513" s="12"/>
      <c r="N513" s="18"/>
      <c r="O513" s="12"/>
      <c r="P513" s="12"/>
      <c r="Q513" s="12"/>
      <c r="R513" s="36"/>
      <c r="S513" s="36"/>
      <c r="T513" s="12"/>
      <c r="U513" s="12"/>
      <c r="V513" s="12"/>
      <c r="W513" s="12"/>
      <c r="X513" s="12"/>
    </row>
    <row r="514" customFormat="false" ht="15.75" hidden="false" customHeight="false" outlineLevel="0" collapsed="false">
      <c r="A514" s="12"/>
      <c r="B514" s="34"/>
      <c r="C514" s="12"/>
      <c r="D514" s="12"/>
      <c r="E514" s="12"/>
      <c r="F514" s="12"/>
      <c r="G514" s="18"/>
      <c r="H514" s="35"/>
      <c r="I514" s="12"/>
      <c r="M514" s="12"/>
      <c r="N514" s="18"/>
      <c r="O514" s="12"/>
      <c r="P514" s="12"/>
      <c r="Q514" s="12"/>
      <c r="R514" s="36"/>
      <c r="S514" s="36"/>
      <c r="T514" s="12"/>
      <c r="U514" s="12"/>
      <c r="V514" s="12"/>
      <c r="W514" s="12"/>
      <c r="X514" s="12"/>
    </row>
    <row r="515" customFormat="false" ht="15.75" hidden="false" customHeight="false" outlineLevel="0" collapsed="false">
      <c r="A515" s="12"/>
      <c r="B515" s="34"/>
      <c r="C515" s="12"/>
      <c r="D515" s="12"/>
      <c r="E515" s="12"/>
      <c r="F515" s="12"/>
      <c r="G515" s="18"/>
      <c r="H515" s="35"/>
      <c r="I515" s="12"/>
      <c r="M515" s="12"/>
      <c r="N515" s="18"/>
      <c r="O515" s="12"/>
      <c r="P515" s="12"/>
      <c r="Q515" s="12"/>
      <c r="R515" s="36"/>
      <c r="S515" s="36"/>
      <c r="T515" s="12"/>
      <c r="U515" s="12"/>
      <c r="V515" s="12"/>
      <c r="W515" s="12"/>
      <c r="X515" s="12"/>
    </row>
    <row r="516" customFormat="false" ht="15.75" hidden="false" customHeight="false" outlineLevel="0" collapsed="false">
      <c r="A516" s="12"/>
      <c r="B516" s="34"/>
      <c r="C516" s="12"/>
      <c r="D516" s="12"/>
      <c r="E516" s="12"/>
      <c r="F516" s="12"/>
      <c r="G516" s="18"/>
      <c r="H516" s="35"/>
      <c r="I516" s="12"/>
      <c r="M516" s="12"/>
      <c r="N516" s="18"/>
      <c r="O516" s="12"/>
      <c r="P516" s="12"/>
      <c r="Q516" s="12"/>
      <c r="R516" s="36"/>
      <c r="S516" s="36"/>
      <c r="T516" s="12"/>
      <c r="U516" s="12"/>
      <c r="V516" s="12"/>
      <c r="W516" s="12"/>
      <c r="X516" s="12"/>
    </row>
    <row r="517" customFormat="false" ht="15.75" hidden="false" customHeight="false" outlineLevel="0" collapsed="false">
      <c r="A517" s="12"/>
      <c r="B517" s="34"/>
      <c r="C517" s="12"/>
      <c r="D517" s="12"/>
      <c r="E517" s="12"/>
      <c r="F517" s="12"/>
      <c r="G517" s="18"/>
      <c r="H517" s="35"/>
      <c r="I517" s="12"/>
      <c r="M517" s="12"/>
      <c r="N517" s="18"/>
      <c r="O517" s="12"/>
      <c r="P517" s="12"/>
      <c r="Q517" s="12"/>
      <c r="R517" s="36"/>
      <c r="S517" s="36"/>
      <c r="T517" s="12"/>
      <c r="U517" s="12"/>
      <c r="V517" s="12"/>
      <c r="W517" s="12"/>
      <c r="X517" s="12"/>
    </row>
    <row r="518" customFormat="false" ht="15.75" hidden="false" customHeight="false" outlineLevel="0" collapsed="false">
      <c r="A518" s="12"/>
      <c r="B518" s="34"/>
      <c r="C518" s="12"/>
      <c r="D518" s="12"/>
      <c r="E518" s="12"/>
      <c r="F518" s="12"/>
      <c r="G518" s="18"/>
      <c r="H518" s="35"/>
      <c r="I518" s="12"/>
      <c r="M518" s="12"/>
      <c r="N518" s="18"/>
      <c r="O518" s="12"/>
      <c r="P518" s="12"/>
      <c r="Q518" s="12"/>
      <c r="R518" s="36"/>
      <c r="S518" s="36"/>
      <c r="T518" s="12"/>
      <c r="U518" s="12"/>
      <c r="V518" s="12"/>
      <c r="W518" s="12"/>
      <c r="X518" s="12"/>
    </row>
    <row r="519" customFormat="false" ht="15.75" hidden="false" customHeight="false" outlineLevel="0" collapsed="false">
      <c r="A519" s="12"/>
      <c r="B519" s="34"/>
      <c r="C519" s="12"/>
      <c r="D519" s="12"/>
      <c r="E519" s="12"/>
      <c r="F519" s="12"/>
      <c r="G519" s="18"/>
      <c r="H519" s="35"/>
      <c r="I519" s="12"/>
      <c r="M519" s="12"/>
      <c r="N519" s="18"/>
      <c r="O519" s="12"/>
      <c r="P519" s="12"/>
      <c r="Q519" s="12"/>
      <c r="R519" s="36"/>
      <c r="S519" s="36"/>
      <c r="T519" s="12"/>
      <c r="U519" s="12"/>
      <c r="V519" s="12"/>
      <c r="W519" s="12"/>
      <c r="X519" s="12"/>
    </row>
    <row r="520" customFormat="false" ht="15.75" hidden="false" customHeight="false" outlineLevel="0" collapsed="false">
      <c r="A520" s="12"/>
      <c r="B520" s="34"/>
      <c r="C520" s="12"/>
      <c r="D520" s="12"/>
      <c r="E520" s="12"/>
      <c r="F520" s="12"/>
      <c r="G520" s="18"/>
      <c r="H520" s="35"/>
      <c r="I520" s="12"/>
      <c r="M520" s="12"/>
      <c r="N520" s="18"/>
      <c r="O520" s="12"/>
      <c r="P520" s="12"/>
      <c r="Q520" s="12"/>
      <c r="R520" s="36"/>
      <c r="S520" s="36"/>
      <c r="T520" s="12"/>
      <c r="U520" s="12"/>
      <c r="V520" s="12"/>
      <c r="W520" s="12"/>
      <c r="X520" s="12"/>
    </row>
    <row r="521" customFormat="false" ht="15.75" hidden="false" customHeight="false" outlineLevel="0" collapsed="false">
      <c r="A521" s="12"/>
      <c r="B521" s="34"/>
      <c r="C521" s="12"/>
      <c r="D521" s="12"/>
      <c r="E521" s="12"/>
      <c r="F521" s="12"/>
      <c r="G521" s="18"/>
      <c r="H521" s="35"/>
      <c r="I521" s="12"/>
      <c r="M521" s="12"/>
      <c r="N521" s="18"/>
      <c r="O521" s="12"/>
      <c r="P521" s="12"/>
      <c r="Q521" s="12"/>
      <c r="R521" s="36"/>
      <c r="S521" s="36"/>
      <c r="T521" s="12"/>
      <c r="U521" s="12"/>
      <c r="V521" s="12"/>
      <c r="W521" s="12"/>
      <c r="X521" s="12"/>
    </row>
    <row r="522" customFormat="false" ht="15.75" hidden="false" customHeight="false" outlineLevel="0" collapsed="false">
      <c r="A522" s="12"/>
      <c r="B522" s="34"/>
      <c r="C522" s="12"/>
      <c r="D522" s="12"/>
      <c r="E522" s="12"/>
      <c r="F522" s="12"/>
      <c r="G522" s="18"/>
      <c r="H522" s="35"/>
      <c r="I522" s="12"/>
      <c r="M522" s="12"/>
      <c r="N522" s="18"/>
      <c r="O522" s="12"/>
      <c r="P522" s="12"/>
      <c r="Q522" s="12"/>
      <c r="R522" s="36"/>
      <c r="S522" s="36"/>
      <c r="T522" s="12"/>
      <c r="U522" s="12"/>
      <c r="V522" s="12"/>
      <c r="W522" s="12"/>
      <c r="X522" s="12"/>
    </row>
    <row r="523" customFormat="false" ht="15.75" hidden="false" customHeight="false" outlineLevel="0" collapsed="false">
      <c r="A523" s="12"/>
      <c r="B523" s="34"/>
      <c r="C523" s="12"/>
      <c r="D523" s="12"/>
      <c r="E523" s="12"/>
      <c r="F523" s="12"/>
      <c r="G523" s="18"/>
      <c r="H523" s="35"/>
      <c r="I523" s="12"/>
      <c r="M523" s="12"/>
      <c r="N523" s="18"/>
      <c r="O523" s="12"/>
      <c r="P523" s="12"/>
      <c r="Q523" s="12"/>
      <c r="R523" s="36"/>
      <c r="S523" s="36"/>
      <c r="T523" s="12"/>
      <c r="U523" s="12"/>
      <c r="V523" s="12"/>
      <c r="W523" s="12"/>
      <c r="X523" s="12"/>
    </row>
    <row r="524" customFormat="false" ht="15.75" hidden="false" customHeight="false" outlineLevel="0" collapsed="false">
      <c r="A524" s="12"/>
      <c r="B524" s="34"/>
      <c r="C524" s="12"/>
      <c r="D524" s="12"/>
      <c r="E524" s="12"/>
      <c r="F524" s="12"/>
      <c r="G524" s="18"/>
      <c r="H524" s="35"/>
      <c r="I524" s="12"/>
      <c r="M524" s="12"/>
      <c r="N524" s="18"/>
      <c r="O524" s="12"/>
      <c r="P524" s="12"/>
      <c r="Q524" s="12"/>
      <c r="R524" s="36"/>
      <c r="S524" s="36"/>
      <c r="T524" s="12"/>
      <c r="U524" s="12"/>
      <c r="V524" s="12"/>
      <c r="W524" s="12"/>
      <c r="X524" s="12"/>
    </row>
    <row r="525" customFormat="false" ht="15.75" hidden="false" customHeight="false" outlineLevel="0" collapsed="false">
      <c r="A525" s="12"/>
      <c r="B525" s="34"/>
      <c r="C525" s="12"/>
      <c r="D525" s="12"/>
      <c r="E525" s="12"/>
      <c r="F525" s="12"/>
      <c r="G525" s="18"/>
      <c r="H525" s="35"/>
      <c r="I525" s="12"/>
      <c r="M525" s="12"/>
      <c r="N525" s="18"/>
      <c r="O525" s="12"/>
      <c r="P525" s="12"/>
      <c r="Q525" s="12"/>
      <c r="R525" s="36"/>
      <c r="S525" s="36"/>
      <c r="T525" s="12"/>
      <c r="U525" s="12"/>
      <c r="V525" s="12"/>
      <c r="W525" s="12"/>
      <c r="X525" s="12"/>
    </row>
    <row r="526" customFormat="false" ht="15.75" hidden="false" customHeight="false" outlineLevel="0" collapsed="false">
      <c r="A526" s="12"/>
      <c r="B526" s="34"/>
      <c r="C526" s="12"/>
      <c r="D526" s="12"/>
      <c r="E526" s="12"/>
      <c r="F526" s="12"/>
      <c r="G526" s="18"/>
      <c r="H526" s="35"/>
      <c r="I526" s="12"/>
      <c r="M526" s="12"/>
      <c r="N526" s="18"/>
      <c r="O526" s="12"/>
      <c r="P526" s="12"/>
      <c r="Q526" s="12"/>
      <c r="R526" s="36"/>
      <c r="S526" s="36"/>
      <c r="T526" s="12"/>
      <c r="U526" s="12"/>
      <c r="V526" s="12"/>
      <c r="W526" s="12"/>
      <c r="X526" s="12"/>
    </row>
    <row r="527" customFormat="false" ht="15.75" hidden="false" customHeight="false" outlineLevel="0" collapsed="false">
      <c r="A527" s="12"/>
      <c r="B527" s="34"/>
      <c r="C527" s="12"/>
      <c r="D527" s="12"/>
      <c r="E527" s="12"/>
      <c r="F527" s="12"/>
      <c r="G527" s="18"/>
      <c r="H527" s="35"/>
      <c r="I527" s="12"/>
      <c r="M527" s="12"/>
      <c r="N527" s="18"/>
      <c r="O527" s="12"/>
      <c r="P527" s="12"/>
      <c r="Q527" s="12"/>
      <c r="R527" s="36"/>
      <c r="S527" s="36"/>
      <c r="T527" s="12"/>
      <c r="U527" s="12"/>
      <c r="V527" s="12"/>
      <c r="W527" s="12"/>
      <c r="X527" s="12"/>
    </row>
    <row r="528" customFormat="false" ht="15.75" hidden="false" customHeight="false" outlineLevel="0" collapsed="false">
      <c r="A528" s="12"/>
      <c r="B528" s="34"/>
      <c r="C528" s="12"/>
      <c r="D528" s="12"/>
      <c r="E528" s="12"/>
      <c r="F528" s="12"/>
      <c r="G528" s="18"/>
      <c r="H528" s="35"/>
      <c r="I528" s="12"/>
      <c r="M528" s="12"/>
      <c r="N528" s="18"/>
      <c r="O528" s="12"/>
      <c r="P528" s="12"/>
      <c r="Q528" s="12"/>
      <c r="R528" s="36"/>
      <c r="S528" s="36"/>
      <c r="T528" s="12"/>
      <c r="U528" s="12"/>
      <c r="V528" s="12"/>
      <c r="W528" s="12"/>
      <c r="X528" s="12"/>
    </row>
    <row r="529" customFormat="false" ht="15.75" hidden="false" customHeight="false" outlineLevel="0" collapsed="false">
      <c r="A529" s="12"/>
      <c r="B529" s="34"/>
      <c r="C529" s="12"/>
      <c r="D529" s="12"/>
      <c r="E529" s="12"/>
      <c r="F529" s="12"/>
      <c r="G529" s="18"/>
      <c r="H529" s="35"/>
      <c r="I529" s="12"/>
      <c r="M529" s="12"/>
      <c r="N529" s="18"/>
      <c r="O529" s="12"/>
      <c r="P529" s="12"/>
      <c r="Q529" s="12"/>
      <c r="R529" s="36"/>
      <c r="S529" s="36"/>
      <c r="T529" s="12"/>
      <c r="U529" s="12"/>
      <c r="V529" s="12"/>
      <c r="W529" s="12"/>
      <c r="X529" s="12"/>
    </row>
    <row r="530" customFormat="false" ht="15.75" hidden="false" customHeight="false" outlineLevel="0" collapsed="false">
      <c r="A530" s="12"/>
      <c r="B530" s="34"/>
      <c r="C530" s="12"/>
      <c r="D530" s="12"/>
      <c r="E530" s="12"/>
      <c r="F530" s="12"/>
      <c r="G530" s="18"/>
      <c r="H530" s="35"/>
      <c r="I530" s="12"/>
      <c r="M530" s="12"/>
      <c r="N530" s="18"/>
      <c r="O530" s="12"/>
      <c r="P530" s="12"/>
      <c r="Q530" s="12"/>
      <c r="R530" s="36"/>
      <c r="S530" s="36"/>
      <c r="T530" s="12"/>
      <c r="U530" s="12"/>
      <c r="V530" s="12"/>
      <c r="W530" s="12"/>
      <c r="X530" s="12"/>
    </row>
    <row r="531" customFormat="false" ht="15.75" hidden="false" customHeight="false" outlineLevel="0" collapsed="false">
      <c r="A531" s="12"/>
      <c r="B531" s="34"/>
      <c r="C531" s="12"/>
      <c r="D531" s="12"/>
      <c r="E531" s="12"/>
      <c r="F531" s="12"/>
      <c r="G531" s="18"/>
      <c r="H531" s="35"/>
      <c r="I531" s="12"/>
      <c r="M531" s="12"/>
      <c r="N531" s="18"/>
      <c r="O531" s="12"/>
      <c r="P531" s="12"/>
      <c r="Q531" s="12"/>
      <c r="R531" s="36"/>
      <c r="S531" s="36"/>
      <c r="T531" s="12"/>
      <c r="U531" s="12"/>
      <c r="V531" s="12"/>
      <c r="W531" s="12"/>
      <c r="X531" s="12"/>
    </row>
    <row r="532" customFormat="false" ht="15.75" hidden="false" customHeight="false" outlineLevel="0" collapsed="false">
      <c r="A532" s="12"/>
      <c r="B532" s="34"/>
      <c r="C532" s="12"/>
      <c r="D532" s="12"/>
      <c r="E532" s="12"/>
      <c r="F532" s="12"/>
      <c r="G532" s="18"/>
      <c r="H532" s="35"/>
      <c r="I532" s="12"/>
      <c r="M532" s="12"/>
      <c r="N532" s="18"/>
      <c r="O532" s="12"/>
      <c r="P532" s="12"/>
      <c r="Q532" s="12"/>
      <c r="R532" s="36"/>
      <c r="S532" s="36"/>
      <c r="T532" s="12"/>
      <c r="U532" s="12"/>
      <c r="V532" s="12"/>
      <c r="W532" s="12"/>
      <c r="X532" s="12"/>
    </row>
    <row r="533" customFormat="false" ht="15.75" hidden="false" customHeight="false" outlineLevel="0" collapsed="false">
      <c r="A533" s="12"/>
      <c r="B533" s="34"/>
      <c r="C533" s="12"/>
      <c r="D533" s="12"/>
      <c r="E533" s="12"/>
      <c r="F533" s="12"/>
      <c r="G533" s="18"/>
      <c r="H533" s="35"/>
      <c r="I533" s="12"/>
      <c r="M533" s="12"/>
      <c r="N533" s="18"/>
      <c r="O533" s="12"/>
      <c r="P533" s="12"/>
      <c r="Q533" s="12"/>
      <c r="R533" s="36"/>
      <c r="S533" s="36"/>
      <c r="T533" s="12"/>
      <c r="U533" s="12"/>
      <c r="V533" s="12"/>
      <c r="W533" s="12"/>
      <c r="X533" s="12"/>
    </row>
    <row r="534" customFormat="false" ht="15.75" hidden="false" customHeight="false" outlineLevel="0" collapsed="false">
      <c r="A534" s="12"/>
      <c r="B534" s="34"/>
      <c r="C534" s="12"/>
      <c r="D534" s="12"/>
      <c r="E534" s="12"/>
      <c r="F534" s="12"/>
      <c r="G534" s="18"/>
      <c r="H534" s="35"/>
      <c r="I534" s="12"/>
      <c r="M534" s="12"/>
      <c r="N534" s="18"/>
      <c r="O534" s="12"/>
      <c r="P534" s="12"/>
      <c r="Q534" s="12"/>
      <c r="R534" s="36"/>
      <c r="S534" s="36"/>
      <c r="T534" s="12"/>
      <c r="U534" s="12"/>
      <c r="V534" s="12"/>
      <c r="W534" s="12"/>
      <c r="X534" s="12"/>
    </row>
    <row r="535" customFormat="false" ht="15.75" hidden="false" customHeight="false" outlineLevel="0" collapsed="false">
      <c r="A535" s="12"/>
      <c r="B535" s="34"/>
      <c r="C535" s="12"/>
      <c r="D535" s="12"/>
      <c r="E535" s="12"/>
      <c r="F535" s="12"/>
      <c r="G535" s="18"/>
      <c r="H535" s="35"/>
      <c r="I535" s="12"/>
      <c r="M535" s="12"/>
      <c r="N535" s="18"/>
      <c r="O535" s="12"/>
      <c r="P535" s="12"/>
      <c r="Q535" s="12"/>
      <c r="R535" s="36"/>
      <c r="S535" s="36"/>
      <c r="T535" s="12"/>
      <c r="U535" s="12"/>
      <c r="V535" s="12"/>
      <c r="W535" s="12"/>
      <c r="X535" s="12"/>
    </row>
    <row r="536" customFormat="false" ht="15.75" hidden="false" customHeight="false" outlineLevel="0" collapsed="false">
      <c r="A536" s="12"/>
      <c r="B536" s="34"/>
      <c r="C536" s="12"/>
      <c r="D536" s="12"/>
      <c r="E536" s="12"/>
      <c r="F536" s="12"/>
      <c r="G536" s="18"/>
      <c r="H536" s="35"/>
      <c r="I536" s="12"/>
      <c r="M536" s="12"/>
      <c r="N536" s="18"/>
      <c r="O536" s="12"/>
      <c r="P536" s="12"/>
      <c r="Q536" s="12"/>
      <c r="R536" s="36"/>
      <c r="S536" s="36"/>
      <c r="T536" s="12"/>
      <c r="U536" s="12"/>
      <c r="V536" s="12"/>
      <c r="W536" s="12"/>
      <c r="X536" s="12"/>
    </row>
    <row r="537" customFormat="false" ht="15.75" hidden="false" customHeight="false" outlineLevel="0" collapsed="false">
      <c r="A537" s="12"/>
      <c r="B537" s="34"/>
      <c r="C537" s="12"/>
      <c r="D537" s="12"/>
      <c r="E537" s="12"/>
      <c r="F537" s="12"/>
      <c r="G537" s="18"/>
      <c r="H537" s="35"/>
      <c r="I537" s="12"/>
      <c r="M537" s="12"/>
      <c r="N537" s="18"/>
      <c r="O537" s="12"/>
      <c r="P537" s="12"/>
      <c r="Q537" s="12"/>
      <c r="R537" s="36"/>
      <c r="S537" s="36"/>
      <c r="T537" s="12"/>
      <c r="U537" s="12"/>
      <c r="V537" s="12"/>
      <c r="W537" s="12"/>
      <c r="X537" s="12"/>
    </row>
    <row r="538" customFormat="false" ht="15.75" hidden="false" customHeight="false" outlineLevel="0" collapsed="false">
      <c r="A538" s="12"/>
      <c r="B538" s="34"/>
      <c r="C538" s="12"/>
      <c r="D538" s="12"/>
      <c r="E538" s="12"/>
      <c r="F538" s="12"/>
      <c r="G538" s="18"/>
      <c r="H538" s="35"/>
      <c r="I538" s="12"/>
      <c r="M538" s="12"/>
      <c r="N538" s="18"/>
      <c r="O538" s="12"/>
      <c r="P538" s="12"/>
      <c r="Q538" s="12"/>
      <c r="R538" s="36"/>
      <c r="S538" s="36"/>
      <c r="T538" s="12"/>
      <c r="U538" s="12"/>
      <c r="V538" s="12"/>
      <c r="W538" s="12"/>
      <c r="X538" s="12"/>
    </row>
    <row r="539" customFormat="false" ht="15.75" hidden="false" customHeight="false" outlineLevel="0" collapsed="false">
      <c r="A539" s="12"/>
      <c r="B539" s="34"/>
      <c r="C539" s="12"/>
      <c r="D539" s="12"/>
      <c r="E539" s="12"/>
      <c r="F539" s="12"/>
      <c r="G539" s="18"/>
      <c r="H539" s="35"/>
      <c r="I539" s="12"/>
      <c r="M539" s="12"/>
      <c r="N539" s="18"/>
      <c r="O539" s="12"/>
      <c r="P539" s="12"/>
      <c r="Q539" s="12"/>
      <c r="R539" s="36"/>
      <c r="S539" s="36"/>
      <c r="T539" s="12"/>
      <c r="U539" s="12"/>
      <c r="V539" s="12"/>
      <c r="W539" s="12"/>
      <c r="X539" s="12"/>
    </row>
    <row r="540" customFormat="false" ht="15.75" hidden="false" customHeight="false" outlineLevel="0" collapsed="false">
      <c r="A540" s="12"/>
      <c r="B540" s="34"/>
      <c r="C540" s="12"/>
      <c r="D540" s="12"/>
      <c r="E540" s="12"/>
      <c r="F540" s="12"/>
      <c r="G540" s="18"/>
      <c r="H540" s="35"/>
      <c r="I540" s="12"/>
      <c r="M540" s="12"/>
      <c r="N540" s="18"/>
      <c r="O540" s="12"/>
      <c r="P540" s="12"/>
      <c r="Q540" s="12"/>
      <c r="R540" s="36"/>
      <c r="S540" s="36"/>
      <c r="T540" s="12"/>
      <c r="U540" s="12"/>
      <c r="V540" s="12"/>
      <c r="W540" s="12"/>
      <c r="X540" s="12"/>
    </row>
    <row r="541" customFormat="false" ht="15.75" hidden="false" customHeight="false" outlineLevel="0" collapsed="false">
      <c r="A541" s="12"/>
      <c r="B541" s="34"/>
      <c r="C541" s="12"/>
      <c r="D541" s="12"/>
      <c r="E541" s="12"/>
      <c r="F541" s="12"/>
      <c r="G541" s="18"/>
      <c r="H541" s="35"/>
      <c r="I541" s="12"/>
      <c r="M541" s="12"/>
      <c r="N541" s="18"/>
      <c r="O541" s="12"/>
      <c r="P541" s="12"/>
      <c r="Q541" s="12"/>
      <c r="R541" s="36"/>
      <c r="S541" s="36"/>
      <c r="T541" s="12"/>
      <c r="U541" s="12"/>
      <c r="V541" s="12"/>
      <c r="W541" s="12"/>
      <c r="X541" s="12"/>
    </row>
    <row r="542" customFormat="false" ht="15.75" hidden="false" customHeight="false" outlineLevel="0" collapsed="false">
      <c r="A542" s="12"/>
      <c r="B542" s="34"/>
      <c r="C542" s="12"/>
      <c r="D542" s="12"/>
      <c r="E542" s="12"/>
      <c r="F542" s="12"/>
      <c r="G542" s="18"/>
      <c r="H542" s="35"/>
      <c r="I542" s="12"/>
      <c r="M542" s="12"/>
      <c r="N542" s="18"/>
      <c r="O542" s="12"/>
      <c r="P542" s="12"/>
      <c r="Q542" s="12"/>
      <c r="R542" s="36"/>
      <c r="S542" s="36"/>
      <c r="T542" s="12"/>
      <c r="U542" s="12"/>
      <c r="V542" s="12"/>
      <c r="W542" s="12"/>
      <c r="X542" s="12"/>
    </row>
    <row r="543" customFormat="false" ht="15.75" hidden="false" customHeight="false" outlineLevel="0" collapsed="false">
      <c r="A543" s="12"/>
      <c r="B543" s="34"/>
      <c r="C543" s="12"/>
      <c r="D543" s="12"/>
      <c r="E543" s="12"/>
      <c r="F543" s="12"/>
      <c r="G543" s="18"/>
      <c r="H543" s="35"/>
      <c r="I543" s="12"/>
      <c r="M543" s="12"/>
      <c r="N543" s="18"/>
      <c r="O543" s="12"/>
      <c r="P543" s="12"/>
      <c r="Q543" s="12"/>
      <c r="R543" s="36"/>
      <c r="S543" s="36"/>
      <c r="T543" s="12"/>
      <c r="U543" s="12"/>
      <c r="V543" s="12"/>
      <c r="W543" s="12"/>
      <c r="X543" s="12"/>
    </row>
    <row r="544" customFormat="false" ht="15.75" hidden="false" customHeight="false" outlineLevel="0" collapsed="false">
      <c r="A544" s="12"/>
      <c r="B544" s="34"/>
      <c r="C544" s="12"/>
      <c r="D544" s="12"/>
      <c r="E544" s="12"/>
      <c r="F544" s="12"/>
      <c r="G544" s="18"/>
      <c r="H544" s="35"/>
      <c r="I544" s="12"/>
      <c r="M544" s="12"/>
      <c r="N544" s="18"/>
      <c r="O544" s="12"/>
      <c r="P544" s="12"/>
      <c r="Q544" s="12"/>
      <c r="R544" s="36"/>
      <c r="S544" s="36"/>
      <c r="T544" s="12"/>
      <c r="U544" s="12"/>
      <c r="V544" s="12"/>
      <c r="W544" s="12"/>
      <c r="X544" s="12"/>
    </row>
    <row r="545" customFormat="false" ht="15.75" hidden="false" customHeight="false" outlineLevel="0" collapsed="false">
      <c r="A545" s="12"/>
      <c r="B545" s="34"/>
      <c r="C545" s="12"/>
      <c r="D545" s="12"/>
      <c r="E545" s="12"/>
      <c r="F545" s="12"/>
      <c r="G545" s="18"/>
      <c r="H545" s="35"/>
      <c r="I545" s="12"/>
      <c r="M545" s="12"/>
      <c r="N545" s="18"/>
      <c r="O545" s="12"/>
      <c r="P545" s="12"/>
      <c r="Q545" s="12"/>
      <c r="R545" s="36"/>
      <c r="S545" s="36"/>
      <c r="T545" s="12"/>
      <c r="U545" s="12"/>
      <c r="V545" s="12"/>
      <c r="W545" s="12"/>
      <c r="X545" s="12"/>
    </row>
    <row r="546" customFormat="false" ht="15.75" hidden="false" customHeight="false" outlineLevel="0" collapsed="false">
      <c r="A546" s="12"/>
      <c r="B546" s="34"/>
      <c r="C546" s="12"/>
      <c r="D546" s="12"/>
      <c r="E546" s="12"/>
      <c r="F546" s="12"/>
      <c r="G546" s="18"/>
      <c r="H546" s="35"/>
      <c r="I546" s="12"/>
      <c r="M546" s="12"/>
      <c r="N546" s="18"/>
      <c r="O546" s="12"/>
      <c r="P546" s="12"/>
      <c r="Q546" s="12"/>
      <c r="R546" s="36"/>
      <c r="S546" s="36"/>
      <c r="T546" s="12"/>
      <c r="U546" s="12"/>
      <c r="V546" s="12"/>
      <c r="W546" s="12"/>
      <c r="X546" s="12"/>
    </row>
    <row r="547" customFormat="false" ht="15.75" hidden="false" customHeight="false" outlineLevel="0" collapsed="false">
      <c r="A547" s="12"/>
      <c r="B547" s="34"/>
      <c r="C547" s="12"/>
      <c r="D547" s="12"/>
      <c r="E547" s="12"/>
      <c r="F547" s="12"/>
      <c r="G547" s="18"/>
      <c r="H547" s="35"/>
      <c r="I547" s="12"/>
      <c r="M547" s="12"/>
      <c r="N547" s="18"/>
      <c r="O547" s="12"/>
      <c r="P547" s="12"/>
      <c r="Q547" s="12"/>
      <c r="R547" s="36"/>
      <c r="S547" s="36"/>
      <c r="T547" s="12"/>
      <c r="U547" s="12"/>
      <c r="V547" s="12"/>
      <c r="W547" s="12"/>
      <c r="X547" s="12"/>
    </row>
    <row r="548" customFormat="false" ht="15.75" hidden="false" customHeight="false" outlineLevel="0" collapsed="false">
      <c r="A548" s="12"/>
      <c r="B548" s="34"/>
      <c r="C548" s="12"/>
      <c r="D548" s="12"/>
      <c r="E548" s="12"/>
      <c r="F548" s="12"/>
      <c r="G548" s="18"/>
      <c r="H548" s="35"/>
      <c r="I548" s="12"/>
      <c r="M548" s="12"/>
      <c r="N548" s="18"/>
      <c r="O548" s="12"/>
      <c r="P548" s="12"/>
      <c r="Q548" s="12"/>
      <c r="R548" s="36"/>
      <c r="S548" s="36"/>
      <c r="T548" s="12"/>
      <c r="U548" s="12"/>
      <c r="V548" s="12"/>
      <c r="W548" s="12"/>
      <c r="X548" s="12"/>
    </row>
    <row r="549" customFormat="false" ht="15.75" hidden="false" customHeight="false" outlineLevel="0" collapsed="false">
      <c r="A549" s="12"/>
      <c r="B549" s="34"/>
      <c r="C549" s="12"/>
      <c r="D549" s="12"/>
      <c r="E549" s="12"/>
      <c r="F549" s="12"/>
      <c r="G549" s="18"/>
      <c r="H549" s="35"/>
      <c r="I549" s="12"/>
      <c r="M549" s="12"/>
      <c r="N549" s="18"/>
      <c r="O549" s="12"/>
      <c r="P549" s="12"/>
      <c r="Q549" s="12"/>
      <c r="R549" s="36"/>
      <c r="S549" s="36"/>
      <c r="T549" s="12"/>
      <c r="U549" s="12"/>
      <c r="V549" s="12"/>
      <c r="W549" s="12"/>
      <c r="X549" s="12"/>
    </row>
    <row r="550" customFormat="false" ht="15.75" hidden="false" customHeight="false" outlineLevel="0" collapsed="false">
      <c r="A550" s="12"/>
      <c r="B550" s="34"/>
      <c r="C550" s="12"/>
      <c r="D550" s="12"/>
      <c r="E550" s="12"/>
      <c r="F550" s="12"/>
      <c r="G550" s="18"/>
      <c r="H550" s="35"/>
      <c r="I550" s="12"/>
      <c r="M550" s="12"/>
      <c r="N550" s="18"/>
      <c r="O550" s="12"/>
      <c r="P550" s="12"/>
      <c r="Q550" s="12"/>
      <c r="R550" s="36"/>
      <c r="S550" s="36"/>
      <c r="T550" s="12"/>
      <c r="U550" s="12"/>
      <c r="V550" s="12"/>
      <c r="W550" s="12"/>
      <c r="X550" s="12"/>
    </row>
    <row r="551" customFormat="false" ht="15.75" hidden="false" customHeight="false" outlineLevel="0" collapsed="false">
      <c r="A551" s="12"/>
      <c r="B551" s="34"/>
      <c r="C551" s="12"/>
      <c r="D551" s="12"/>
      <c r="E551" s="12"/>
      <c r="F551" s="12"/>
      <c r="G551" s="18"/>
      <c r="H551" s="35"/>
      <c r="I551" s="12"/>
      <c r="M551" s="12"/>
      <c r="N551" s="18"/>
      <c r="O551" s="12"/>
      <c r="P551" s="12"/>
      <c r="Q551" s="12"/>
      <c r="R551" s="36"/>
      <c r="S551" s="36"/>
      <c r="T551" s="12"/>
      <c r="U551" s="12"/>
      <c r="V551" s="12"/>
      <c r="W551" s="12"/>
      <c r="X551" s="12"/>
    </row>
    <row r="552" customFormat="false" ht="15.75" hidden="false" customHeight="false" outlineLevel="0" collapsed="false">
      <c r="A552" s="12"/>
      <c r="B552" s="34"/>
      <c r="C552" s="12"/>
      <c r="D552" s="12"/>
      <c r="E552" s="12"/>
      <c r="F552" s="12"/>
      <c r="G552" s="18"/>
      <c r="H552" s="35"/>
      <c r="I552" s="12"/>
      <c r="M552" s="12"/>
      <c r="N552" s="18"/>
      <c r="O552" s="12"/>
      <c r="P552" s="12"/>
      <c r="Q552" s="12"/>
      <c r="R552" s="36"/>
      <c r="S552" s="36"/>
      <c r="T552" s="12"/>
      <c r="U552" s="12"/>
      <c r="V552" s="12"/>
      <c r="W552" s="12"/>
      <c r="X552" s="12"/>
    </row>
    <row r="553" customFormat="false" ht="15.75" hidden="false" customHeight="false" outlineLevel="0" collapsed="false">
      <c r="A553" s="12"/>
      <c r="B553" s="34"/>
      <c r="C553" s="12"/>
      <c r="D553" s="12"/>
      <c r="E553" s="12"/>
      <c r="F553" s="12"/>
      <c r="G553" s="18"/>
      <c r="H553" s="35"/>
      <c r="I553" s="12"/>
      <c r="M553" s="12"/>
      <c r="N553" s="18"/>
      <c r="O553" s="12"/>
      <c r="P553" s="12"/>
      <c r="Q553" s="12"/>
      <c r="R553" s="36"/>
      <c r="S553" s="36"/>
      <c r="T553" s="12"/>
      <c r="U553" s="12"/>
      <c r="V553" s="12"/>
      <c r="W553" s="12"/>
      <c r="X553" s="12"/>
    </row>
    <row r="554" customFormat="false" ht="15.75" hidden="false" customHeight="false" outlineLevel="0" collapsed="false">
      <c r="A554" s="12"/>
      <c r="B554" s="34"/>
      <c r="C554" s="12"/>
      <c r="D554" s="12"/>
      <c r="E554" s="12"/>
      <c r="F554" s="12"/>
      <c r="G554" s="18"/>
      <c r="H554" s="35"/>
      <c r="I554" s="12"/>
      <c r="M554" s="12"/>
      <c r="N554" s="18"/>
      <c r="O554" s="12"/>
      <c r="P554" s="12"/>
      <c r="Q554" s="12"/>
      <c r="R554" s="36"/>
      <c r="S554" s="36"/>
      <c r="T554" s="12"/>
      <c r="U554" s="12"/>
      <c r="V554" s="12"/>
      <c r="W554" s="12"/>
      <c r="X554" s="12"/>
    </row>
    <row r="555" customFormat="false" ht="15.75" hidden="false" customHeight="false" outlineLevel="0" collapsed="false">
      <c r="A555" s="12"/>
      <c r="B555" s="34"/>
      <c r="C555" s="12"/>
      <c r="D555" s="12"/>
      <c r="E555" s="12"/>
      <c r="F555" s="12"/>
      <c r="G555" s="18"/>
      <c r="H555" s="35"/>
      <c r="I555" s="12"/>
      <c r="M555" s="12"/>
      <c r="N555" s="18"/>
      <c r="O555" s="12"/>
      <c r="P555" s="12"/>
      <c r="Q555" s="12"/>
      <c r="R555" s="36"/>
      <c r="S555" s="36"/>
      <c r="T555" s="12"/>
      <c r="U555" s="12"/>
      <c r="V555" s="12"/>
      <c r="W555" s="12"/>
      <c r="X555" s="12"/>
    </row>
    <row r="556" customFormat="false" ht="15.75" hidden="false" customHeight="false" outlineLevel="0" collapsed="false">
      <c r="A556" s="12"/>
      <c r="B556" s="34"/>
      <c r="C556" s="12"/>
      <c r="D556" s="12"/>
      <c r="E556" s="12"/>
      <c r="F556" s="12"/>
      <c r="G556" s="18"/>
      <c r="H556" s="35"/>
      <c r="I556" s="12"/>
      <c r="M556" s="12"/>
      <c r="N556" s="18"/>
      <c r="O556" s="12"/>
      <c r="P556" s="12"/>
      <c r="Q556" s="12"/>
      <c r="R556" s="36"/>
      <c r="S556" s="36"/>
      <c r="T556" s="12"/>
      <c r="U556" s="12"/>
      <c r="V556" s="12"/>
      <c r="W556" s="12"/>
      <c r="X556" s="12"/>
    </row>
    <row r="557" customFormat="false" ht="15.75" hidden="false" customHeight="false" outlineLevel="0" collapsed="false">
      <c r="A557" s="12"/>
      <c r="B557" s="34"/>
      <c r="C557" s="12"/>
      <c r="D557" s="12"/>
      <c r="E557" s="12"/>
      <c r="F557" s="12"/>
      <c r="G557" s="18"/>
      <c r="H557" s="35"/>
      <c r="I557" s="12"/>
      <c r="M557" s="12"/>
      <c r="N557" s="18"/>
      <c r="O557" s="12"/>
      <c r="P557" s="12"/>
      <c r="Q557" s="12"/>
      <c r="R557" s="36"/>
      <c r="S557" s="36"/>
      <c r="T557" s="12"/>
      <c r="U557" s="12"/>
      <c r="V557" s="12"/>
      <c r="W557" s="12"/>
      <c r="X557" s="12"/>
    </row>
    <row r="558" customFormat="false" ht="15.75" hidden="false" customHeight="false" outlineLevel="0" collapsed="false">
      <c r="A558" s="12"/>
      <c r="B558" s="34"/>
      <c r="C558" s="12"/>
      <c r="D558" s="12"/>
      <c r="E558" s="12"/>
      <c r="F558" s="12"/>
      <c r="G558" s="18"/>
      <c r="H558" s="35"/>
      <c r="I558" s="12"/>
      <c r="M558" s="12"/>
      <c r="N558" s="18"/>
      <c r="O558" s="12"/>
      <c r="P558" s="12"/>
      <c r="Q558" s="12"/>
      <c r="R558" s="36"/>
      <c r="S558" s="36"/>
      <c r="T558" s="12"/>
      <c r="U558" s="12"/>
      <c r="V558" s="12"/>
      <c r="W558" s="12"/>
      <c r="X558" s="12"/>
    </row>
    <row r="559" customFormat="false" ht="15.75" hidden="false" customHeight="false" outlineLevel="0" collapsed="false">
      <c r="A559" s="12"/>
      <c r="B559" s="34"/>
      <c r="C559" s="12"/>
      <c r="D559" s="12"/>
      <c r="E559" s="12"/>
      <c r="F559" s="12"/>
      <c r="G559" s="18"/>
      <c r="H559" s="35"/>
      <c r="I559" s="12"/>
      <c r="M559" s="12"/>
      <c r="N559" s="18"/>
      <c r="O559" s="12"/>
      <c r="P559" s="12"/>
      <c r="Q559" s="12"/>
      <c r="R559" s="36"/>
      <c r="S559" s="36"/>
      <c r="T559" s="12"/>
      <c r="U559" s="12"/>
      <c r="V559" s="12"/>
      <c r="W559" s="12"/>
      <c r="X559" s="12"/>
    </row>
    <row r="560" customFormat="false" ht="15.75" hidden="false" customHeight="false" outlineLevel="0" collapsed="false">
      <c r="A560" s="12"/>
      <c r="B560" s="34"/>
      <c r="C560" s="12"/>
      <c r="D560" s="12"/>
      <c r="E560" s="12"/>
      <c r="F560" s="12"/>
      <c r="G560" s="18"/>
      <c r="H560" s="35"/>
      <c r="I560" s="12"/>
      <c r="M560" s="12"/>
      <c r="N560" s="18"/>
      <c r="O560" s="12"/>
      <c r="P560" s="12"/>
      <c r="Q560" s="12"/>
      <c r="R560" s="36"/>
      <c r="S560" s="36"/>
      <c r="T560" s="12"/>
      <c r="U560" s="12"/>
      <c r="V560" s="12"/>
      <c r="W560" s="12"/>
      <c r="X560" s="12"/>
    </row>
    <row r="561" customFormat="false" ht="15.75" hidden="false" customHeight="false" outlineLevel="0" collapsed="false">
      <c r="A561" s="12"/>
      <c r="B561" s="34"/>
      <c r="C561" s="12"/>
      <c r="D561" s="12"/>
      <c r="E561" s="12"/>
      <c r="F561" s="12"/>
      <c r="G561" s="18"/>
      <c r="H561" s="35"/>
      <c r="I561" s="12"/>
      <c r="M561" s="12"/>
      <c r="N561" s="18"/>
      <c r="O561" s="12"/>
      <c r="P561" s="12"/>
      <c r="Q561" s="12"/>
      <c r="R561" s="36"/>
      <c r="S561" s="36"/>
      <c r="T561" s="12"/>
      <c r="U561" s="12"/>
      <c r="V561" s="12"/>
      <c r="W561" s="12"/>
      <c r="X561" s="12"/>
    </row>
    <row r="562" customFormat="false" ht="15.75" hidden="false" customHeight="false" outlineLevel="0" collapsed="false">
      <c r="A562" s="12"/>
      <c r="B562" s="34"/>
      <c r="C562" s="12"/>
      <c r="D562" s="12"/>
      <c r="E562" s="12"/>
      <c r="F562" s="12"/>
      <c r="G562" s="18"/>
      <c r="H562" s="35"/>
      <c r="I562" s="12"/>
      <c r="M562" s="12"/>
      <c r="N562" s="18"/>
      <c r="O562" s="12"/>
      <c r="P562" s="12"/>
      <c r="Q562" s="12"/>
      <c r="R562" s="36"/>
      <c r="S562" s="36"/>
      <c r="T562" s="12"/>
      <c r="U562" s="12"/>
      <c r="V562" s="12"/>
      <c r="W562" s="12"/>
      <c r="X562" s="12"/>
    </row>
    <row r="563" customFormat="false" ht="15.75" hidden="false" customHeight="false" outlineLevel="0" collapsed="false">
      <c r="A563" s="12"/>
      <c r="B563" s="34"/>
      <c r="C563" s="12"/>
      <c r="D563" s="12"/>
      <c r="E563" s="12"/>
      <c r="F563" s="12"/>
      <c r="G563" s="18"/>
      <c r="H563" s="35"/>
      <c r="I563" s="12"/>
      <c r="M563" s="12"/>
      <c r="N563" s="18"/>
      <c r="O563" s="12"/>
      <c r="P563" s="12"/>
      <c r="Q563" s="12"/>
      <c r="R563" s="36"/>
      <c r="S563" s="36"/>
      <c r="T563" s="12"/>
      <c r="U563" s="12"/>
      <c r="V563" s="12"/>
      <c r="W563" s="12"/>
      <c r="X563" s="12"/>
    </row>
    <row r="564" customFormat="false" ht="15.75" hidden="false" customHeight="false" outlineLevel="0" collapsed="false">
      <c r="A564" s="12"/>
      <c r="B564" s="34"/>
      <c r="C564" s="12"/>
      <c r="D564" s="12"/>
      <c r="E564" s="12"/>
      <c r="F564" s="12"/>
      <c r="G564" s="18"/>
      <c r="H564" s="35"/>
      <c r="I564" s="12"/>
      <c r="M564" s="12"/>
      <c r="N564" s="18"/>
      <c r="O564" s="12"/>
      <c r="P564" s="12"/>
      <c r="Q564" s="12"/>
      <c r="R564" s="36"/>
      <c r="S564" s="36"/>
      <c r="T564" s="12"/>
      <c r="U564" s="12"/>
      <c r="V564" s="12"/>
      <c r="W564" s="12"/>
      <c r="X564" s="12"/>
    </row>
    <row r="565" customFormat="false" ht="15.75" hidden="false" customHeight="false" outlineLevel="0" collapsed="false">
      <c r="A565" s="12"/>
      <c r="B565" s="34"/>
      <c r="C565" s="12"/>
      <c r="D565" s="12"/>
      <c r="E565" s="12"/>
      <c r="F565" s="12"/>
      <c r="G565" s="18"/>
      <c r="H565" s="35"/>
      <c r="I565" s="12"/>
      <c r="M565" s="12"/>
      <c r="N565" s="18"/>
      <c r="O565" s="12"/>
      <c r="P565" s="12"/>
      <c r="Q565" s="12"/>
      <c r="R565" s="36"/>
      <c r="S565" s="36"/>
      <c r="T565" s="12"/>
      <c r="U565" s="12"/>
      <c r="V565" s="12"/>
      <c r="W565" s="12"/>
      <c r="X565" s="12"/>
    </row>
    <row r="566" customFormat="false" ht="15.75" hidden="false" customHeight="false" outlineLevel="0" collapsed="false">
      <c r="A566" s="12"/>
      <c r="B566" s="34"/>
      <c r="C566" s="12"/>
      <c r="D566" s="12"/>
      <c r="E566" s="12"/>
      <c r="F566" s="12"/>
      <c r="G566" s="18"/>
      <c r="H566" s="35"/>
      <c r="I566" s="12"/>
      <c r="M566" s="12"/>
      <c r="N566" s="18"/>
      <c r="O566" s="12"/>
      <c r="P566" s="12"/>
      <c r="Q566" s="12"/>
      <c r="R566" s="36"/>
      <c r="S566" s="36"/>
      <c r="T566" s="12"/>
      <c r="U566" s="12"/>
      <c r="V566" s="12"/>
      <c r="W566" s="12"/>
      <c r="X566" s="12"/>
    </row>
    <row r="567" customFormat="false" ht="15.75" hidden="false" customHeight="false" outlineLevel="0" collapsed="false">
      <c r="A567" s="12"/>
      <c r="B567" s="34"/>
      <c r="C567" s="12"/>
      <c r="D567" s="12"/>
      <c r="E567" s="12"/>
      <c r="F567" s="12"/>
      <c r="G567" s="18"/>
      <c r="H567" s="35"/>
      <c r="I567" s="12"/>
      <c r="M567" s="12"/>
      <c r="N567" s="18"/>
      <c r="O567" s="12"/>
      <c r="P567" s="12"/>
      <c r="Q567" s="12"/>
      <c r="R567" s="36"/>
      <c r="S567" s="36"/>
      <c r="T567" s="12"/>
      <c r="U567" s="12"/>
      <c r="V567" s="12"/>
      <c r="W567" s="12"/>
      <c r="X567" s="12"/>
    </row>
    <row r="568" customFormat="false" ht="15.75" hidden="false" customHeight="false" outlineLevel="0" collapsed="false">
      <c r="A568" s="12"/>
      <c r="B568" s="34"/>
      <c r="C568" s="12"/>
      <c r="D568" s="12"/>
      <c r="E568" s="12"/>
      <c r="F568" s="12"/>
      <c r="G568" s="18"/>
      <c r="H568" s="35"/>
      <c r="I568" s="12"/>
      <c r="M568" s="12"/>
      <c r="N568" s="18"/>
      <c r="O568" s="12"/>
      <c r="P568" s="12"/>
      <c r="Q568" s="12"/>
      <c r="R568" s="36"/>
      <c r="S568" s="36"/>
      <c r="T568" s="12"/>
      <c r="U568" s="12"/>
      <c r="V568" s="12"/>
      <c r="W568" s="12"/>
      <c r="X568" s="12"/>
    </row>
    <row r="569" customFormat="false" ht="15.75" hidden="false" customHeight="false" outlineLevel="0" collapsed="false">
      <c r="A569" s="12"/>
      <c r="B569" s="34"/>
      <c r="C569" s="12"/>
      <c r="D569" s="12"/>
      <c r="E569" s="12"/>
      <c r="F569" s="12"/>
      <c r="G569" s="18"/>
      <c r="H569" s="35"/>
      <c r="I569" s="12"/>
      <c r="M569" s="12"/>
      <c r="N569" s="18"/>
      <c r="O569" s="12"/>
      <c r="P569" s="12"/>
      <c r="Q569" s="12"/>
      <c r="R569" s="36"/>
      <c r="S569" s="36"/>
      <c r="T569" s="12"/>
      <c r="U569" s="12"/>
      <c r="V569" s="12"/>
      <c r="W569" s="12"/>
      <c r="X569" s="12"/>
    </row>
    <row r="570" customFormat="false" ht="15.75" hidden="false" customHeight="false" outlineLevel="0" collapsed="false">
      <c r="A570" s="12"/>
      <c r="B570" s="34"/>
      <c r="C570" s="12"/>
      <c r="D570" s="12"/>
      <c r="E570" s="12"/>
      <c r="F570" s="12"/>
      <c r="G570" s="18"/>
      <c r="H570" s="35"/>
      <c r="I570" s="12"/>
      <c r="M570" s="12"/>
      <c r="N570" s="18"/>
      <c r="O570" s="12"/>
      <c r="P570" s="12"/>
      <c r="Q570" s="12"/>
      <c r="R570" s="36"/>
      <c r="S570" s="36"/>
      <c r="T570" s="12"/>
      <c r="U570" s="12"/>
      <c r="V570" s="12"/>
      <c r="W570" s="12"/>
      <c r="X570" s="12"/>
    </row>
    <row r="571" customFormat="false" ht="15.75" hidden="false" customHeight="false" outlineLevel="0" collapsed="false">
      <c r="A571" s="12"/>
      <c r="B571" s="34"/>
      <c r="C571" s="12"/>
      <c r="D571" s="12"/>
      <c r="E571" s="12"/>
      <c r="F571" s="12"/>
      <c r="G571" s="18"/>
      <c r="H571" s="35"/>
      <c r="I571" s="12"/>
      <c r="M571" s="12"/>
      <c r="N571" s="18"/>
      <c r="O571" s="12"/>
      <c r="P571" s="12"/>
      <c r="Q571" s="12"/>
      <c r="R571" s="36"/>
      <c r="S571" s="36"/>
      <c r="T571" s="12"/>
      <c r="U571" s="12"/>
      <c r="V571" s="12"/>
      <c r="W571" s="12"/>
      <c r="X571" s="12"/>
    </row>
    <row r="572" customFormat="false" ht="15.75" hidden="false" customHeight="false" outlineLevel="0" collapsed="false">
      <c r="A572" s="12"/>
      <c r="B572" s="34"/>
      <c r="C572" s="12"/>
      <c r="D572" s="12"/>
      <c r="E572" s="12"/>
      <c r="F572" s="12"/>
      <c r="G572" s="18"/>
      <c r="H572" s="35"/>
      <c r="I572" s="12"/>
      <c r="M572" s="12"/>
      <c r="N572" s="18"/>
      <c r="O572" s="12"/>
      <c r="P572" s="12"/>
      <c r="Q572" s="12"/>
      <c r="R572" s="36"/>
      <c r="S572" s="36"/>
      <c r="T572" s="12"/>
      <c r="U572" s="12"/>
      <c r="V572" s="12"/>
      <c r="W572" s="12"/>
      <c r="X572" s="12"/>
    </row>
    <row r="573" customFormat="false" ht="15.75" hidden="false" customHeight="false" outlineLevel="0" collapsed="false">
      <c r="A573" s="12"/>
      <c r="B573" s="34"/>
      <c r="C573" s="12"/>
      <c r="D573" s="12"/>
      <c r="E573" s="12"/>
      <c r="F573" s="12"/>
      <c r="G573" s="18"/>
      <c r="H573" s="35"/>
      <c r="I573" s="12"/>
      <c r="M573" s="12"/>
      <c r="N573" s="18"/>
      <c r="O573" s="12"/>
      <c r="P573" s="12"/>
      <c r="Q573" s="12"/>
      <c r="R573" s="36"/>
      <c r="S573" s="36"/>
      <c r="T573" s="12"/>
      <c r="U573" s="12"/>
      <c r="V573" s="12"/>
      <c r="W573" s="12"/>
      <c r="X573" s="12"/>
    </row>
    <row r="574" customFormat="false" ht="15.75" hidden="false" customHeight="false" outlineLevel="0" collapsed="false">
      <c r="A574" s="12"/>
      <c r="B574" s="34"/>
      <c r="C574" s="12"/>
      <c r="D574" s="12"/>
      <c r="E574" s="12"/>
      <c r="F574" s="12"/>
      <c r="G574" s="18"/>
      <c r="H574" s="35"/>
      <c r="I574" s="12"/>
      <c r="M574" s="12"/>
      <c r="N574" s="18"/>
      <c r="O574" s="12"/>
      <c r="P574" s="12"/>
      <c r="Q574" s="12"/>
      <c r="R574" s="36"/>
      <c r="S574" s="36"/>
      <c r="T574" s="12"/>
      <c r="U574" s="12"/>
      <c r="V574" s="12"/>
      <c r="W574" s="12"/>
      <c r="X574" s="12"/>
    </row>
    <row r="575" customFormat="false" ht="15.75" hidden="false" customHeight="false" outlineLevel="0" collapsed="false">
      <c r="A575" s="12"/>
      <c r="B575" s="34"/>
      <c r="C575" s="12"/>
      <c r="D575" s="12"/>
      <c r="E575" s="12"/>
      <c r="F575" s="12"/>
      <c r="G575" s="18"/>
      <c r="H575" s="35"/>
      <c r="I575" s="12"/>
      <c r="M575" s="12"/>
      <c r="N575" s="18"/>
      <c r="O575" s="12"/>
      <c r="P575" s="12"/>
      <c r="Q575" s="12"/>
      <c r="R575" s="36"/>
      <c r="S575" s="36"/>
      <c r="T575" s="12"/>
      <c r="U575" s="12"/>
      <c r="V575" s="12"/>
      <c r="W575" s="12"/>
      <c r="X575" s="12"/>
    </row>
    <row r="576" customFormat="false" ht="15.75" hidden="false" customHeight="false" outlineLevel="0" collapsed="false">
      <c r="A576" s="12"/>
      <c r="B576" s="34"/>
      <c r="C576" s="12"/>
      <c r="D576" s="12"/>
      <c r="E576" s="12"/>
      <c r="F576" s="12"/>
      <c r="G576" s="18"/>
      <c r="H576" s="35"/>
      <c r="I576" s="12"/>
      <c r="M576" s="12"/>
      <c r="N576" s="18"/>
      <c r="O576" s="12"/>
      <c r="P576" s="12"/>
      <c r="Q576" s="12"/>
      <c r="R576" s="36"/>
      <c r="S576" s="36"/>
      <c r="T576" s="12"/>
      <c r="U576" s="12"/>
      <c r="V576" s="12"/>
      <c r="W576" s="12"/>
      <c r="X576" s="12"/>
    </row>
    <row r="577" customFormat="false" ht="15.75" hidden="false" customHeight="false" outlineLevel="0" collapsed="false">
      <c r="A577" s="12"/>
      <c r="B577" s="34"/>
      <c r="C577" s="12"/>
      <c r="D577" s="12"/>
      <c r="E577" s="12"/>
      <c r="F577" s="12"/>
      <c r="G577" s="18"/>
      <c r="H577" s="35"/>
      <c r="I577" s="12"/>
      <c r="M577" s="12"/>
      <c r="N577" s="18"/>
      <c r="O577" s="12"/>
      <c r="P577" s="12"/>
      <c r="Q577" s="12"/>
      <c r="R577" s="36"/>
      <c r="S577" s="36"/>
      <c r="T577" s="12"/>
      <c r="U577" s="12"/>
      <c r="V577" s="12"/>
      <c r="W577" s="12"/>
      <c r="X577" s="12"/>
    </row>
    <row r="578" customFormat="false" ht="15.75" hidden="false" customHeight="false" outlineLevel="0" collapsed="false">
      <c r="A578" s="12"/>
      <c r="B578" s="34"/>
      <c r="C578" s="12"/>
      <c r="D578" s="12"/>
      <c r="E578" s="12"/>
      <c r="F578" s="12"/>
      <c r="G578" s="18"/>
      <c r="H578" s="35"/>
      <c r="I578" s="12"/>
      <c r="M578" s="12"/>
      <c r="N578" s="18"/>
      <c r="O578" s="12"/>
      <c r="P578" s="12"/>
      <c r="Q578" s="12"/>
      <c r="R578" s="36"/>
      <c r="S578" s="36"/>
      <c r="T578" s="12"/>
      <c r="U578" s="12"/>
      <c r="V578" s="12"/>
      <c r="W578" s="12"/>
      <c r="X578" s="12"/>
    </row>
    <row r="579" customFormat="false" ht="15.75" hidden="false" customHeight="false" outlineLevel="0" collapsed="false">
      <c r="A579" s="12"/>
      <c r="B579" s="34"/>
      <c r="C579" s="12"/>
      <c r="D579" s="12"/>
      <c r="E579" s="12"/>
      <c r="F579" s="12"/>
      <c r="G579" s="18"/>
      <c r="H579" s="35"/>
      <c r="I579" s="12"/>
      <c r="M579" s="12"/>
      <c r="N579" s="18"/>
      <c r="O579" s="12"/>
      <c r="P579" s="12"/>
      <c r="Q579" s="12"/>
      <c r="R579" s="36"/>
      <c r="S579" s="36"/>
      <c r="T579" s="12"/>
      <c r="U579" s="12"/>
      <c r="V579" s="12"/>
      <c r="W579" s="12"/>
      <c r="X579" s="12"/>
    </row>
    <row r="580" customFormat="false" ht="15.75" hidden="false" customHeight="false" outlineLevel="0" collapsed="false">
      <c r="A580" s="12"/>
      <c r="B580" s="34"/>
      <c r="C580" s="12"/>
      <c r="D580" s="12"/>
      <c r="E580" s="12"/>
      <c r="F580" s="12"/>
      <c r="G580" s="18"/>
      <c r="H580" s="35"/>
      <c r="I580" s="12"/>
      <c r="M580" s="12"/>
      <c r="N580" s="18"/>
      <c r="O580" s="12"/>
      <c r="P580" s="12"/>
      <c r="Q580" s="12"/>
      <c r="R580" s="36"/>
      <c r="S580" s="36"/>
      <c r="T580" s="12"/>
      <c r="U580" s="12"/>
      <c r="V580" s="12"/>
      <c r="W580" s="12"/>
      <c r="X580" s="12"/>
    </row>
    <row r="581" customFormat="false" ht="15.75" hidden="false" customHeight="false" outlineLevel="0" collapsed="false">
      <c r="A581" s="12"/>
      <c r="B581" s="34"/>
      <c r="C581" s="12"/>
      <c r="D581" s="12"/>
      <c r="E581" s="12"/>
      <c r="F581" s="12"/>
      <c r="G581" s="18"/>
      <c r="H581" s="35"/>
      <c r="I581" s="12"/>
      <c r="M581" s="12"/>
      <c r="N581" s="18"/>
      <c r="O581" s="12"/>
      <c r="P581" s="12"/>
      <c r="Q581" s="12"/>
      <c r="R581" s="36"/>
      <c r="S581" s="36"/>
      <c r="T581" s="12"/>
      <c r="U581" s="12"/>
      <c r="V581" s="12"/>
      <c r="W581" s="12"/>
      <c r="X581" s="12"/>
    </row>
    <row r="582" customFormat="false" ht="15.75" hidden="false" customHeight="false" outlineLevel="0" collapsed="false">
      <c r="A582" s="12"/>
      <c r="B582" s="34"/>
      <c r="C582" s="12"/>
      <c r="D582" s="12"/>
      <c r="E582" s="12"/>
      <c r="F582" s="12"/>
      <c r="G582" s="18"/>
      <c r="H582" s="35"/>
      <c r="I582" s="12"/>
      <c r="M582" s="12"/>
      <c r="N582" s="18"/>
      <c r="O582" s="12"/>
      <c r="P582" s="12"/>
      <c r="Q582" s="12"/>
      <c r="R582" s="36"/>
      <c r="S582" s="36"/>
      <c r="T582" s="12"/>
      <c r="U582" s="12"/>
      <c r="V582" s="12"/>
      <c r="W582" s="12"/>
      <c r="X582" s="12"/>
    </row>
    <row r="583" customFormat="false" ht="15.75" hidden="false" customHeight="false" outlineLevel="0" collapsed="false">
      <c r="A583" s="12"/>
      <c r="B583" s="34"/>
      <c r="C583" s="12"/>
      <c r="D583" s="12"/>
      <c r="E583" s="12"/>
      <c r="F583" s="12"/>
      <c r="G583" s="18"/>
      <c r="H583" s="35"/>
      <c r="I583" s="12"/>
      <c r="M583" s="12"/>
      <c r="N583" s="18"/>
      <c r="O583" s="12"/>
      <c r="P583" s="12"/>
      <c r="Q583" s="12"/>
      <c r="R583" s="36"/>
      <c r="S583" s="36"/>
      <c r="T583" s="12"/>
      <c r="U583" s="12"/>
      <c r="V583" s="12"/>
      <c r="W583" s="12"/>
      <c r="X583" s="12"/>
    </row>
    <row r="584" customFormat="false" ht="15.75" hidden="false" customHeight="false" outlineLevel="0" collapsed="false">
      <c r="A584" s="12"/>
      <c r="B584" s="34"/>
      <c r="C584" s="12"/>
      <c r="D584" s="12"/>
      <c r="E584" s="12"/>
      <c r="F584" s="12"/>
      <c r="G584" s="18"/>
      <c r="H584" s="35"/>
      <c r="I584" s="12"/>
      <c r="M584" s="12"/>
      <c r="N584" s="18"/>
      <c r="O584" s="12"/>
      <c r="P584" s="12"/>
      <c r="Q584" s="12"/>
      <c r="R584" s="36"/>
      <c r="S584" s="36"/>
      <c r="T584" s="12"/>
      <c r="U584" s="12"/>
      <c r="V584" s="12"/>
      <c r="W584" s="12"/>
      <c r="X584" s="12"/>
    </row>
    <row r="585" customFormat="false" ht="15.75" hidden="false" customHeight="false" outlineLevel="0" collapsed="false">
      <c r="A585" s="12"/>
      <c r="B585" s="34"/>
      <c r="C585" s="12"/>
      <c r="D585" s="12"/>
      <c r="E585" s="12"/>
      <c r="F585" s="12"/>
      <c r="G585" s="18"/>
      <c r="H585" s="35"/>
      <c r="I585" s="12"/>
      <c r="M585" s="12"/>
      <c r="N585" s="18"/>
      <c r="O585" s="12"/>
      <c r="P585" s="12"/>
      <c r="Q585" s="12"/>
      <c r="R585" s="36"/>
      <c r="S585" s="36"/>
      <c r="T585" s="12"/>
      <c r="U585" s="12"/>
      <c r="V585" s="12"/>
      <c r="W585" s="12"/>
      <c r="X585" s="12"/>
    </row>
    <row r="586" customFormat="false" ht="15.75" hidden="false" customHeight="false" outlineLevel="0" collapsed="false">
      <c r="A586" s="12"/>
      <c r="B586" s="34"/>
      <c r="C586" s="12"/>
      <c r="D586" s="12"/>
      <c r="E586" s="12"/>
      <c r="F586" s="12"/>
      <c r="G586" s="18"/>
      <c r="H586" s="35"/>
      <c r="I586" s="12"/>
      <c r="M586" s="12"/>
      <c r="N586" s="18"/>
      <c r="O586" s="12"/>
      <c r="P586" s="12"/>
      <c r="Q586" s="12"/>
      <c r="R586" s="36"/>
      <c r="S586" s="36"/>
      <c r="T586" s="12"/>
      <c r="U586" s="12"/>
      <c r="V586" s="12"/>
      <c r="W586" s="12"/>
      <c r="X586" s="12"/>
    </row>
    <row r="587" customFormat="false" ht="15.75" hidden="false" customHeight="false" outlineLevel="0" collapsed="false">
      <c r="A587" s="12"/>
      <c r="B587" s="34"/>
      <c r="C587" s="12"/>
      <c r="D587" s="12"/>
      <c r="E587" s="12"/>
      <c r="F587" s="12"/>
      <c r="G587" s="18"/>
      <c r="H587" s="35"/>
      <c r="I587" s="12"/>
      <c r="M587" s="12"/>
      <c r="N587" s="18"/>
      <c r="O587" s="12"/>
      <c r="P587" s="12"/>
      <c r="Q587" s="12"/>
      <c r="R587" s="36"/>
      <c r="S587" s="36"/>
      <c r="T587" s="12"/>
      <c r="U587" s="12"/>
      <c r="V587" s="12"/>
      <c r="W587" s="12"/>
      <c r="X587" s="12"/>
    </row>
    <row r="588" customFormat="false" ht="15.75" hidden="false" customHeight="false" outlineLevel="0" collapsed="false">
      <c r="A588" s="12"/>
      <c r="B588" s="34"/>
      <c r="C588" s="12"/>
      <c r="D588" s="12"/>
      <c r="E588" s="12"/>
      <c r="F588" s="12"/>
      <c r="G588" s="18"/>
      <c r="H588" s="35"/>
      <c r="I588" s="12"/>
      <c r="M588" s="12"/>
      <c r="N588" s="18"/>
      <c r="O588" s="12"/>
      <c r="P588" s="12"/>
      <c r="Q588" s="12"/>
      <c r="R588" s="36"/>
      <c r="S588" s="36"/>
      <c r="T588" s="12"/>
      <c r="U588" s="12"/>
      <c r="V588" s="12"/>
      <c r="W588" s="12"/>
      <c r="X588" s="12"/>
    </row>
    <row r="589" customFormat="false" ht="15.75" hidden="false" customHeight="false" outlineLevel="0" collapsed="false">
      <c r="A589" s="12"/>
      <c r="B589" s="34"/>
      <c r="C589" s="12"/>
      <c r="D589" s="12"/>
      <c r="E589" s="12"/>
      <c r="F589" s="12"/>
      <c r="G589" s="18"/>
      <c r="H589" s="35"/>
      <c r="I589" s="12"/>
      <c r="M589" s="12"/>
      <c r="N589" s="18"/>
      <c r="O589" s="12"/>
      <c r="P589" s="12"/>
      <c r="Q589" s="12"/>
      <c r="R589" s="36"/>
      <c r="S589" s="36"/>
      <c r="T589" s="12"/>
      <c r="U589" s="12"/>
      <c r="V589" s="12"/>
      <c r="W589" s="12"/>
      <c r="X589" s="12"/>
    </row>
    <row r="590" customFormat="false" ht="15.75" hidden="false" customHeight="false" outlineLevel="0" collapsed="false">
      <c r="A590" s="12"/>
      <c r="B590" s="34"/>
      <c r="C590" s="12"/>
      <c r="D590" s="12"/>
      <c r="E590" s="12"/>
      <c r="F590" s="12"/>
      <c r="G590" s="18"/>
      <c r="H590" s="35"/>
      <c r="I590" s="12"/>
      <c r="M590" s="12"/>
      <c r="N590" s="18"/>
      <c r="O590" s="12"/>
      <c r="P590" s="12"/>
      <c r="Q590" s="12"/>
      <c r="R590" s="36"/>
      <c r="S590" s="36"/>
      <c r="T590" s="12"/>
      <c r="U590" s="12"/>
      <c r="V590" s="12"/>
      <c r="W590" s="12"/>
      <c r="X590" s="12"/>
    </row>
    <row r="591" customFormat="false" ht="15.75" hidden="false" customHeight="false" outlineLevel="0" collapsed="false">
      <c r="A591" s="12"/>
      <c r="B591" s="34"/>
      <c r="C591" s="12"/>
      <c r="D591" s="12"/>
      <c r="E591" s="12"/>
      <c r="F591" s="12"/>
      <c r="G591" s="18"/>
      <c r="H591" s="35"/>
      <c r="I591" s="12"/>
      <c r="M591" s="12"/>
      <c r="N591" s="18"/>
      <c r="O591" s="12"/>
      <c r="P591" s="12"/>
      <c r="Q591" s="12"/>
      <c r="R591" s="36"/>
      <c r="S591" s="36"/>
      <c r="T591" s="12"/>
      <c r="U591" s="12"/>
      <c r="V591" s="12"/>
      <c r="W591" s="12"/>
      <c r="X591" s="12"/>
    </row>
    <row r="592" customFormat="false" ht="15.75" hidden="false" customHeight="false" outlineLevel="0" collapsed="false">
      <c r="A592" s="12"/>
      <c r="B592" s="34"/>
      <c r="C592" s="12"/>
      <c r="D592" s="12"/>
      <c r="E592" s="12"/>
      <c r="F592" s="12"/>
      <c r="G592" s="18"/>
      <c r="H592" s="35"/>
      <c r="I592" s="12"/>
      <c r="M592" s="12"/>
      <c r="N592" s="18"/>
      <c r="O592" s="12"/>
      <c r="P592" s="12"/>
      <c r="Q592" s="12"/>
      <c r="R592" s="36"/>
      <c r="S592" s="36"/>
      <c r="T592" s="12"/>
      <c r="U592" s="12"/>
      <c r="V592" s="12"/>
      <c r="W592" s="12"/>
      <c r="X592" s="12"/>
    </row>
    <row r="593" customFormat="false" ht="15.75" hidden="false" customHeight="false" outlineLevel="0" collapsed="false">
      <c r="A593" s="12"/>
      <c r="B593" s="34"/>
      <c r="C593" s="12"/>
      <c r="D593" s="12"/>
      <c r="E593" s="12"/>
      <c r="F593" s="12"/>
      <c r="G593" s="18"/>
      <c r="H593" s="35"/>
      <c r="I593" s="12"/>
      <c r="M593" s="12"/>
      <c r="N593" s="18"/>
      <c r="O593" s="12"/>
      <c r="P593" s="12"/>
      <c r="Q593" s="12"/>
      <c r="R593" s="36"/>
      <c r="S593" s="36"/>
      <c r="T593" s="12"/>
      <c r="U593" s="12"/>
      <c r="V593" s="12"/>
      <c r="W593" s="12"/>
      <c r="X593" s="12"/>
    </row>
    <row r="594" customFormat="false" ht="15.75" hidden="false" customHeight="false" outlineLevel="0" collapsed="false">
      <c r="A594" s="12"/>
      <c r="B594" s="34"/>
      <c r="C594" s="12"/>
      <c r="D594" s="12"/>
      <c r="E594" s="12"/>
      <c r="F594" s="12"/>
      <c r="G594" s="18"/>
      <c r="H594" s="35"/>
      <c r="I594" s="12"/>
      <c r="M594" s="12"/>
      <c r="N594" s="18"/>
      <c r="O594" s="12"/>
      <c r="P594" s="12"/>
      <c r="Q594" s="12"/>
      <c r="R594" s="36"/>
      <c r="S594" s="36"/>
      <c r="T594" s="12"/>
      <c r="U594" s="12"/>
      <c r="V594" s="12"/>
      <c r="W594" s="12"/>
      <c r="X594" s="12"/>
    </row>
    <row r="595" customFormat="false" ht="15.75" hidden="false" customHeight="false" outlineLevel="0" collapsed="false">
      <c r="A595" s="12"/>
      <c r="B595" s="34"/>
      <c r="C595" s="12"/>
      <c r="D595" s="12"/>
      <c r="E595" s="12"/>
      <c r="F595" s="12"/>
      <c r="G595" s="18"/>
      <c r="H595" s="35"/>
      <c r="I595" s="12"/>
      <c r="M595" s="12"/>
      <c r="N595" s="18"/>
      <c r="O595" s="12"/>
      <c r="P595" s="12"/>
      <c r="Q595" s="12"/>
      <c r="R595" s="36"/>
      <c r="S595" s="36"/>
      <c r="T595" s="12"/>
      <c r="U595" s="12"/>
      <c r="V595" s="12"/>
      <c r="W595" s="12"/>
      <c r="X595" s="12"/>
    </row>
    <row r="596" customFormat="false" ht="15.75" hidden="false" customHeight="false" outlineLevel="0" collapsed="false">
      <c r="A596" s="12"/>
      <c r="B596" s="34"/>
      <c r="C596" s="12"/>
      <c r="D596" s="12"/>
      <c r="E596" s="12"/>
      <c r="F596" s="12"/>
      <c r="G596" s="18"/>
      <c r="H596" s="35"/>
      <c r="I596" s="12"/>
      <c r="M596" s="12"/>
      <c r="N596" s="18"/>
      <c r="O596" s="12"/>
      <c r="P596" s="12"/>
      <c r="Q596" s="12"/>
      <c r="R596" s="36"/>
      <c r="S596" s="36"/>
      <c r="T596" s="12"/>
      <c r="U596" s="12"/>
      <c r="V596" s="12"/>
      <c r="W596" s="12"/>
      <c r="X596" s="12"/>
    </row>
    <row r="597" customFormat="false" ht="15.75" hidden="false" customHeight="false" outlineLevel="0" collapsed="false">
      <c r="A597" s="12"/>
      <c r="B597" s="34"/>
      <c r="C597" s="12"/>
      <c r="D597" s="12"/>
      <c r="E597" s="12"/>
      <c r="F597" s="12"/>
      <c r="G597" s="18"/>
      <c r="H597" s="35"/>
      <c r="I597" s="12"/>
      <c r="M597" s="12"/>
      <c r="N597" s="18"/>
      <c r="O597" s="12"/>
      <c r="P597" s="12"/>
      <c r="Q597" s="12"/>
      <c r="R597" s="36"/>
      <c r="S597" s="36"/>
      <c r="T597" s="12"/>
      <c r="U597" s="12"/>
      <c r="V597" s="12"/>
      <c r="W597" s="12"/>
      <c r="X597" s="12"/>
    </row>
    <row r="598" customFormat="false" ht="15.75" hidden="false" customHeight="false" outlineLevel="0" collapsed="false">
      <c r="A598" s="12"/>
      <c r="B598" s="34"/>
      <c r="C598" s="12"/>
      <c r="D598" s="12"/>
      <c r="E598" s="12"/>
      <c r="F598" s="12"/>
      <c r="G598" s="18"/>
      <c r="H598" s="35"/>
      <c r="I598" s="12"/>
      <c r="M598" s="12"/>
      <c r="N598" s="18"/>
      <c r="O598" s="12"/>
      <c r="P598" s="12"/>
      <c r="Q598" s="12"/>
      <c r="R598" s="36"/>
      <c r="S598" s="36"/>
      <c r="T598" s="12"/>
      <c r="U598" s="12"/>
      <c r="V598" s="12"/>
      <c r="W598" s="12"/>
      <c r="X598" s="12"/>
    </row>
    <row r="599" customFormat="false" ht="15.75" hidden="false" customHeight="false" outlineLevel="0" collapsed="false">
      <c r="A599" s="12"/>
      <c r="B599" s="34"/>
      <c r="C599" s="12"/>
      <c r="D599" s="12"/>
      <c r="E599" s="12"/>
      <c r="F599" s="12"/>
      <c r="G599" s="18"/>
      <c r="H599" s="35"/>
      <c r="I599" s="12"/>
      <c r="M599" s="12"/>
      <c r="N599" s="18"/>
      <c r="O599" s="12"/>
      <c r="P599" s="12"/>
      <c r="Q599" s="12"/>
      <c r="R599" s="36"/>
      <c r="S599" s="36"/>
      <c r="T599" s="12"/>
      <c r="U599" s="12"/>
      <c r="V599" s="12"/>
      <c r="W599" s="12"/>
      <c r="X599" s="12"/>
    </row>
    <row r="600" customFormat="false" ht="15.75" hidden="false" customHeight="false" outlineLevel="0" collapsed="false">
      <c r="A600" s="12"/>
      <c r="B600" s="34"/>
      <c r="C600" s="12"/>
      <c r="D600" s="12"/>
      <c r="E600" s="12"/>
      <c r="F600" s="12"/>
      <c r="G600" s="18"/>
      <c r="H600" s="35"/>
      <c r="I600" s="12"/>
      <c r="M600" s="12"/>
      <c r="N600" s="18"/>
      <c r="O600" s="12"/>
      <c r="P600" s="12"/>
      <c r="Q600" s="12"/>
      <c r="R600" s="36"/>
      <c r="S600" s="36"/>
      <c r="T600" s="12"/>
      <c r="U600" s="12"/>
      <c r="V600" s="12"/>
      <c r="W600" s="12"/>
      <c r="X600" s="12"/>
    </row>
    <row r="601" customFormat="false" ht="15.75" hidden="false" customHeight="false" outlineLevel="0" collapsed="false">
      <c r="A601" s="12"/>
      <c r="B601" s="34"/>
      <c r="C601" s="12"/>
      <c r="D601" s="12"/>
      <c r="E601" s="12"/>
      <c r="F601" s="12"/>
      <c r="G601" s="18"/>
      <c r="H601" s="35"/>
      <c r="I601" s="12"/>
      <c r="M601" s="12"/>
      <c r="N601" s="18"/>
      <c r="O601" s="12"/>
      <c r="P601" s="12"/>
      <c r="Q601" s="12"/>
      <c r="R601" s="36"/>
      <c r="S601" s="36"/>
      <c r="T601" s="12"/>
      <c r="U601" s="12"/>
      <c r="V601" s="12"/>
      <c r="W601" s="12"/>
      <c r="X601" s="12"/>
    </row>
    <row r="602" customFormat="false" ht="15.75" hidden="false" customHeight="false" outlineLevel="0" collapsed="false">
      <c r="A602" s="12"/>
      <c r="B602" s="34"/>
      <c r="C602" s="12"/>
      <c r="D602" s="12"/>
      <c r="E602" s="12"/>
      <c r="F602" s="12"/>
      <c r="G602" s="18"/>
      <c r="H602" s="35"/>
      <c r="I602" s="12"/>
      <c r="M602" s="12"/>
      <c r="N602" s="18"/>
      <c r="O602" s="12"/>
      <c r="P602" s="12"/>
      <c r="Q602" s="12"/>
      <c r="R602" s="36"/>
      <c r="S602" s="36"/>
      <c r="T602" s="12"/>
      <c r="U602" s="12"/>
      <c r="V602" s="12"/>
      <c r="W602" s="12"/>
      <c r="X602" s="12"/>
    </row>
    <row r="603" customFormat="false" ht="15.75" hidden="false" customHeight="false" outlineLevel="0" collapsed="false">
      <c r="A603" s="12"/>
      <c r="B603" s="34"/>
      <c r="C603" s="12"/>
      <c r="D603" s="12"/>
      <c r="E603" s="12"/>
      <c r="F603" s="12"/>
      <c r="G603" s="18"/>
      <c r="H603" s="35"/>
      <c r="I603" s="12"/>
      <c r="M603" s="12"/>
      <c r="N603" s="18"/>
      <c r="O603" s="12"/>
      <c r="P603" s="12"/>
      <c r="Q603" s="12"/>
      <c r="R603" s="36"/>
      <c r="S603" s="36"/>
      <c r="T603" s="12"/>
      <c r="U603" s="12"/>
      <c r="V603" s="12"/>
      <c r="W603" s="12"/>
      <c r="X603" s="12"/>
    </row>
    <row r="604" customFormat="false" ht="15.75" hidden="false" customHeight="false" outlineLevel="0" collapsed="false">
      <c r="A604" s="12"/>
      <c r="B604" s="34"/>
      <c r="C604" s="12"/>
      <c r="D604" s="12"/>
      <c r="E604" s="12"/>
      <c r="F604" s="12"/>
      <c r="G604" s="18"/>
      <c r="H604" s="35"/>
      <c r="I604" s="12"/>
      <c r="M604" s="12"/>
      <c r="N604" s="18"/>
      <c r="O604" s="12"/>
      <c r="P604" s="12"/>
      <c r="Q604" s="12"/>
      <c r="R604" s="36"/>
      <c r="S604" s="36"/>
      <c r="T604" s="12"/>
      <c r="U604" s="12"/>
      <c r="V604" s="12"/>
      <c r="W604" s="12"/>
      <c r="X604" s="12"/>
    </row>
    <row r="605" customFormat="false" ht="15.75" hidden="false" customHeight="false" outlineLevel="0" collapsed="false">
      <c r="A605" s="12"/>
      <c r="B605" s="34"/>
      <c r="C605" s="12"/>
      <c r="D605" s="12"/>
      <c r="E605" s="12"/>
      <c r="F605" s="12"/>
      <c r="G605" s="18"/>
      <c r="H605" s="35"/>
      <c r="I605" s="12"/>
      <c r="M605" s="12"/>
      <c r="N605" s="18"/>
      <c r="O605" s="12"/>
      <c r="P605" s="12"/>
      <c r="Q605" s="12"/>
      <c r="R605" s="36"/>
      <c r="S605" s="36"/>
      <c r="T605" s="12"/>
      <c r="U605" s="12"/>
      <c r="V605" s="12"/>
      <c r="W605" s="12"/>
      <c r="X605" s="12"/>
    </row>
    <row r="606" customFormat="false" ht="15.75" hidden="false" customHeight="false" outlineLevel="0" collapsed="false">
      <c r="A606" s="12"/>
      <c r="B606" s="34"/>
      <c r="C606" s="12"/>
      <c r="D606" s="12"/>
      <c r="E606" s="12"/>
      <c r="F606" s="12"/>
      <c r="G606" s="18"/>
      <c r="H606" s="35"/>
      <c r="I606" s="12"/>
      <c r="M606" s="12"/>
      <c r="N606" s="18"/>
      <c r="O606" s="12"/>
      <c r="P606" s="12"/>
      <c r="Q606" s="12"/>
      <c r="R606" s="36"/>
      <c r="S606" s="36"/>
      <c r="T606" s="12"/>
      <c r="U606" s="12"/>
      <c r="V606" s="12"/>
      <c r="W606" s="12"/>
      <c r="X606" s="12"/>
    </row>
    <row r="607" customFormat="false" ht="15.75" hidden="false" customHeight="false" outlineLevel="0" collapsed="false">
      <c r="A607" s="12"/>
      <c r="B607" s="34"/>
      <c r="C607" s="12"/>
      <c r="D607" s="12"/>
      <c r="E607" s="12"/>
      <c r="F607" s="12"/>
      <c r="G607" s="18"/>
      <c r="H607" s="35"/>
      <c r="I607" s="12"/>
      <c r="M607" s="12"/>
      <c r="N607" s="18"/>
      <c r="O607" s="12"/>
      <c r="P607" s="12"/>
      <c r="Q607" s="12"/>
      <c r="R607" s="36"/>
      <c r="S607" s="36"/>
      <c r="T607" s="12"/>
      <c r="U607" s="12"/>
      <c r="V607" s="12"/>
      <c r="W607" s="12"/>
      <c r="X607" s="12"/>
    </row>
    <row r="608" customFormat="false" ht="15.75" hidden="false" customHeight="false" outlineLevel="0" collapsed="false">
      <c r="A608" s="12"/>
      <c r="B608" s="34"/>
      <c r="C608" s="12"/>
      <c r="D608" s="12"/>
      <c r="E608" s="12"/>
      <c r="F608" s="12"/>
      <c r="G608" s="18"/>
      <c r="H608" s="35"/>
      <c r="I608" s="12"/>
      <c r="M608" s="12"/>
      <c r="N608" s="18"/>
      <c r="O608" s="12"/>
      <c r="P608" s="12"/>
      <c r="Q608" s="12"/>
      <c r="R608" s="36"/>
      <c r="S608" s="36"/>
      <c r="T608" s="12"/>
      <c r="U608" s="12"/>
      <c r="V608" s="12"/>
      <c r="W608" s="12"/>
      <c r="X608" s="12"/>
    </row>
    <row r="609" customFormat="false" ht="15.75" hidden="false" customHeight="false" outlineLevel="0" collapsed="false">
      <c r="A609" s="12"/>
      <c r="B609" s="34"/>
      <c r="C609" s="12"/>
      <c r="D609" s="12"/>
      <c r="E609" s="12"/>
      <c r="F609" s="12"/>
      <c r="G609" s="18"/>
      <c r="H609" s="35"/>
      <c r="I609" s="12"/>
      <c r="M609" s="12"/>
      <c r="N609" s="18"/>
      <c r="O609" s="12"/>
      <c r="P609" s="12"/>
      <c r="Q609" s="12"/>
      <c r="R609" s="36"/>
      <c r="S609" s="36"/>
      <c r="T609" s="12"/>
      <c r="U609" s="12"/>
      <c r="V609" s="12"/>
      <c r="W609" s="12"/>
      <c r="X609" s="12"/>
    </row>
    <row r="610" customFormat="false" ht="15.75" hidden="false" customHeight="false" outlineLevel="0" collapsed="false">
      <c r="A610" s="12"/>
      <c r="B610" s="34"/>
      <c r="C610" s="12"/>
      <c r="D610" s="12"/>
      <c r="E610" s="12"/>
      <c r="F610" s="12"/>
      <c r="G610" s="18"/>
      <c r="H610" s="35"/>
      <c r="I610" s="12"/>
      <c r="M610" s="12"/>
      <c r="N610" s="18"/>
      <c r="O610" s="12"/>
      <c r="P610" s="12"/>
      <c r="Q610" s="12"/>
      <c r="R610" s="36"/>
      <c r="S610" s="36"/>
      <c r="T610" s="12"/>
      <c r="U610" s="12"/>
      <c r="V610" s="12"/>
      <c r="W610" s="12"/>
      <c r="X610" s="12"/>
    </row>
    <row r="611" customFormat="false" ht="15.75" hidden="false" customHeight="false" outlineLevel="0" collapsed="false">
      <c r="A611" s="12"/>
      <c r="B611" s="34"/>
      <c r="C611" s="12"/>
      <c r="D611" s="12"/>
      <c r="E611" s="12"/>
      <c r="F611" s="12"/>
      <c r="G611" s="18"/>
      <c r="H611" s="35"/>
      <c r="I611" s="12"/>
      <c r="M611" s="12"/>
      <c r="N611" s="18"/>
      <c r="O611" s="12"/>
      <c r="P611" s="12"/>
      <c r="Q611" s="12"/>
      <c r="R611" s="36"/>
      <c r="S611" s="36"/>
      <c r="T611" s="12"/>
      <c r="U611" s="12"/>
      <c r="V611" s="12"/>
      <c r="W611" s="12"/>
      <c r="X611" s="12"/>
    </row>
    <row r="612" customFormat="false" ht="15.75" hidden="false" customHeight="false" outlineLevel="0" collapsed="false">
      <c r="A612" s="12"/>
      <c r="B612" s="34"/>
      <c r="C612" s="12"/>
      <c r="D612" s="12"/>
      <c r="E612" s="12"/>
      <c r="F612" s="12"/>
      <c r="G612" s="18"/>
      <c r="H612" s="35"/>
      <c r="I612" s="12"/>
      <c r="M612" s="12"/>
      <c r="N612" s="18"/>
      <c r="O612" s="12"/>
      <c r="P612" s="12"/>
      <c r="Q612" s="12"/>
      <c r="R612" s="36"/>
      <c r="S612" s="36"/>
      <c r="T612" s="12"/>
      <c r="U612" s="12"/>
      <c r="V612" s="12"/>
      <c r="W612" s="12"/>
      <c r="X612" s="12"/>
    </row>
    <row r="613" customFormat="false" ht="15.75" hidden="false" customHeight="false" outlineLevel="0" collapsed="false">
      <c r="A613" s="12"/>
      <c r="B613" s="34"/>
      <c r="C613" s="12"/>
      <c r="D613" s="12"/>
      <c r="E613" s="12"/>
      <c r="F613" s="12"/>
      <c r="G613" s="18"/>
      <c r="H613" s="35"/>
      <c r="I613" s="12"/>
      <c r="M613" s="12"/>
      <c r="N613" s="18"/>
      <c r="O613" s="12"/>
      <c r="P613" s="12"/>
      <c r="Q613" s="12"/>
      <c r="R613" s="36"/>
      <c r="S613" s="36"/>
      <c r="T613" s="12"/>
      <c r="U613" s="12"/>
      <c r="V613" s="12"/>
      <c r="W613" s="12"/>
      <c r="X613" s="12"/>
    </row>
    <row r="614" customFormat="false" ht="15.75" hidden="false" customHeight="false" outlineLevel="0" collapsed="false">
      <c r="A614" s="12"/>
      <c r="B614" s="34"/>
      <c r="C614" s="12"/>
      <c r="D614" s="12"/>
      <c r="E614" s="12"/>
      <c r="F614" s="12"/>
      <c r="G614" s="18"/>
      <c r="H614" s="35"/>
      <c r="I614" s="12"/>
      <c r="M614" s="12"/>
      <c r="N614" s="18"/>
      <c r="O614" s="12"/>
      <c r="P614" s="12"/>
      <c r="Q614" s="12"/>
      <c r="R614" s="36"/>
      <c r="S614" s="36"/>
      <c r="T614" s="12"/>
      <c r="U614" s="12"/>
      <c r="V614" s="12"/>
      <c r="W614" s="12"/>
      <c r="X614" s="12"/>
    </row>
    <row r="615" customFormat="false" ht="15.75" hidden="false" customHeight="false" outlineLevel="0" collapsed="false">
      <c r="A615" s="12"/>
      <c r="B615" s="34"/>
      <c r="C615" s="12"/>
      <c r="D615" s="12"/>
      <c r="E615" s="12"/>
      <c r="F615" s="12"/>
      <c r="G615" s="18"/>
      <c r="H615" s="35"/>
      <c r="I615" s="12"/>
      <c r="M615" s="12"/>
      <c r="N615" s="18"/>
      <c r="O615" s="12"/>
      <c r="P615" s="12"/>
      <c r="Q615" s="12"/>
      <c r="R615" s="36"/>
      <c r="S615" s="36"/>
      <c r="T615" s="12"/>
      <c r="U615" s="12"/>
      <c r="V615" s="12"/>
      <c r="W615" s="12"/>
      <c r="X615" s="12"/>
    </row>
    <row r="616" customFormat="false" ht="15.75" hidden="false" customHeight="false" outlineLevel="0" collapsed="false">
      <c r="A616" s="12"/>
      <c r="B616" s="34"/>
      <c r="C616" s="12"/>
      <c r="D616" s="12"/>
      <c r="E616" s="12"/>
      <c r="F616" s="12"/>
      <c r="G616" s="18"/>
      <c r="H616" s="35"/>
      <c r="I616" s="12"/>
      <c r="M616" s="12"/>
      <c r="N616" s="18"/>
      <c r="O616" s="12"/>
      <c r="P616" s="12"/>
      <c r="Q616" s="12"/>
      <c r="R616" s="36"/>
      <c r="S616" s="36"/>
      <c r="T616" s="12"/>
      <c r="U616" s="12"/>
      <c r="V616" s="12"/>
      <c r="W616" s="12"/>
      <c r="X616" s="12"/>
    </row>
    <row r="617" customFormat="false" ht="15.75" hidden="false" customHeight="false" outlineLevel="0" collapsed="false">
      <c r="A617" s="12"/>
      <c r="B617" s="34"/>
      <c r="C617" s="12"/>
      <c r="D617" s="12"/>
      <c r="E617" s="12"/>
      <c r="F617" s="12"/>
      <c r="G617" s="18"/>
      <c r="H617" s="35"/>
      <c r="I617" s="12"/>
      <c r="M617" s="12"/>
      <c r="N617" s="18"/>
      <c r="O617" s="12"/>
      <c r="P617" s="12"/>
      <c r="Q617" s="12"/>
      <c r="R617" s="36"/>
      <c r="S617" s="36"/>
      <c r="T617" s="12"/>
      <c r="U617" s="12"/>
      <c r="V617" s="12"/>
      <c r="W617" s="12"/>
      <c r="X617" s="12"/>
    </row>
    <row r="618" customFormat="false" ht="15.75" hidden="false" customHeight="false" outlineLevel="0" collapsed="false">
      <c r="A618" s="12"/>
      <c r="B618" s="34"/>
      <c r="C618" s="12"/>
      <c r="D618" s="12"/>
      <c r="E618" s="12"/>
      <c r="F618" s="12"/>
      <c r="G618" s="18"/>
      <c r="H618" s="35"/>
      <c r="I618" s="12"/>
      <c r="M618" s="12"/>
      <c r="N618" s="18"/>
      <c r="O618" s="12"/>
      <c r="P618" s="12"/>
      <c r="Q618" s="12"/>
      <c r="R618" s="36"/>
      <c r="S618" s="36"/>
      <c r="T618" s="12"/>
      <c r="U618" s="12"/>
      <c r="V618" s="12"/>
      <c r="W618" s="12"/>
      <c r="X618" s="12"/>
    </row>
    <row r="619" customFormat="false" ht="15.75" hidden="false" customHeight="false" outlineLevel="0" collapsed="false">
      <c r="A619" s="12"/>
      <c r="B619" s="34"/>
      <c r="C619" s="12"/>
      <c r="D619" s="12"/>
      <c r="E619" s="12"/>
      <c r="F619" s="12"/>
      <c r="G619" s="18"/>
      <c r="H619" s="35"/>
      <c r="I619" s="12"/>
      <c r="M619" s="12"/>
      <c r="N619" s="18"/>
      <c r="O619" s="12"/>
      <c r="P619" s="12"/>
      <c r="Q619" s="12"/>
      <c r="R619" s="36"/>
      <c r="S619" s="36"/>
      <c r="T619" s="12"/>
      <c r="U619" s="12"/>
      <c r="V619" s="12"/>
      <c r="W619" s="12"/>
      <c r="X619" s="12"/>
    </row>
    <row r="620" customFormat="false" ht="15.75" hidden="false" customHeight="false" outlineLevel="0" collapsed="false">
      <c r="A620" s="12"/>
      <c r="B620" s="34"/>
      <c r="C620" s="12"/>
      <c r="D620" s="12"/>
      <c r="E620" s="12"/>
      <c r="F620" s="12"/>
      <c r="G620" s="18"/>
      <c r="H620" s="35"/>
      <c r="I620" s="12"/>
      <c r="M620" s="12"/>
      <c r="N620" s="18"/>
      <c r="O620" s="12"/>
      <c r="P620" s="12"/>
      <c r="Q620" s="12"/>
      <c r="R620" s="36"/>
      <c r="S620" s="36"/>
      <c r="T620" s="12"/>
      <c r="U620" s="12"/>
      <c r="V620" s="12"/>
      <c r="W620" s="12"/>
      <c r="X620" s="12"/>
    </row>
    <row r="621" customFormat="false" ht="15.75" hidden="false" customHeight="false" outlineLevel="0" collapsed="false">
      <c r="A621" s="12"/>
      <c r="B621" s="34"/>
      <c r="C621" s="12"/>
      <c r="D621" s="12"/>
      <c r="E621" s="12"/>
      <c r="F621" s="12"/>
      <c r="G621" s="18"/>
      <c r="H621" s="35"/>
      <c r="I621" s="12"/>
      <c r="M621" s="12"/>
      <c r="N621" s="18"/>
      <c r="O621" s="12"/>
      <c r="P621" s="12"/>
      <c r="Q621" s="12"/>
      <c r="R621" s="36"/>
      <c r="S621" s="36"/>
      <c r="T621" s="12"/>
      <c r="U621" s="12"/>
      <c r="V621" s="12"/>
      <c r="W621" s="12"/>
      <c r="X621" s="12"/>
    </row>
    <row r="622" customFormat="false" ht="15.75" hidden="false" customHeight="false" outlineLevel="0" collapsed="false">
      <c r="A622" s="12"/>
      <c r="B622" s="34"/>
      <c r="C622" s="12"/>
      <c r="D622" s="12"/>
      <c r="E622" s="12"/>
      <c r="F622" s="12"/>
      <c r="G622" s="18"/>
      <c r="H622" s="35"/>
      <c r="I622" s="12"/>
      <c r="M622" s="12"/>
      <c r="N622" s="18"/>
      <c r="O622" s="12"/>
      <c r="P622" s="12"/>
      <c r="Q622" s="12"/>
      <c r="R622" s="36"/>
      <c r="S622" s="36"/>
      <c r="T622" s="12"/>
      <c r="U622" s="12"/>
      <c r="V622" s="12"/>
      <c r="W622" s="12"/>
      <c r="X622" s="12"/>
    </row>
    <row r="623" customFormat="false" ht="15.75" hidden="false" customHeight="false" outlineLevel="0" collapsed="false">
      <c r="A623" s="12"/>
      <c r="B623" s="34"/>
      <c r="C623" s="12"/>
      <c r="D623" s="12"/>
      <c r="E623" s="12"/>
      <c r="F623" s="12"/>
      <c r="G623" s="18"/>
      <c r="H623" s="35"/>
      <c r="I623" s="12"/>
      <c r="M623" s="12"/>
      <c r="N623" s="18"/>
      <c r="O623" s="12"/>
      <c r="P623" s="12"/>
      <c r="Q623" s="12"/>
      <c r="R623" s="36"/>
      <c r="S623" s="36"/>
      <c r="T623" s="12"/>
      <c r="U623" s="12"/>
      <c r="V623" s="12"/>
      <c r="W623" s="12"/>
      <c r="X623" s="12"/>
    </row>
    <row r="624" customFormat="false" ht="15.75" hidden="false" customHeight="false" outlineLevel="0" collapsed="false">
      <c r="A624" s="12"/>
      <c r="B624" s="34"/>
      <c r="C624" s="12"/>
      <c r="D624" s="12"/>
      <c r="E624" s="12"/>
      <c r="F624" s="12"/>
      <c r="G624" s="18"/>
      <c r="H624" s="35"/>
      <c r="I624" s="12"/>
      <c r="M624" s="12"/>
      <c r="N624" s="18"/>
      <c r="O624" s="12"/>
      <c r="P624" s="12"/>
      <c r="Q624" s="12"/>
      <c r="R624" s="36"/>
      <c r="S624" s="36"/>
      <c r="T624" s="12"/>
      <c r="U624" s="12"/>
      <c r="V624" s="12"/>
      <c r="W624" s="12"/>
      <c r="X624" s="12"/>
    </row>
    <row r="625" customFormat="false" ht="15.75" hidden="false" customHeight="false" outlineLevel="0" collapsed="false">
      <c r="A625" s="12"/>
      <c r="B625" s="34"/>
      <c r="C625" s="12"/>
      <c r="D625" s="12"/>
      <c r="E625" s="12"/>
      <c r="F625" s="12"/>
      <c r="G625" s="18"/>
      <c r="H625" s="35"/>
      <c r="I625" s="12"/>
      <c r="M625" s="12"/>
      <c r="N625" s="18"/>
      <c r="O625" s="12"/>
      <c r="P625" s="12"/>
      <c r="Q625" s="12"/>
      <c r="R625" s="36"/>
      <c r="S625" s="36"/>
      <c r="T625" s="12"/>
      <c r="U625" s="12"/>
      <c r="V625" s="12"/>
      <c r="W625" s="12"/>
      <c r="X625" s="12"/>
    </row>
    <row r="626" customFormat="false" ht="15.75" hidden="false" customHeight="false" outlineLevel="0" collapsed="false">
      <c r="A626" s="12"/>
      <c r="B626" s="34"/>
      <c r="C626" s="12"/>
      <c r="D626" s="12"/>
      <c r="E626" s="12"/>
      <c r="F626" s="12"/>
      <c r="G626" s="18"/>
      <c r="H626" s="35"/>
      <c r="I626" s="12"/>
      <c r="M626" s="12"/>
      <c r="N626" s="18"/>
      <c r="O626" s="12"/>
      <c r="P626" s="12"/>
      <c r="Q626" s="12"/>
      <c r="R626" s="36"/>
      <c r="S626" s="36"/>
      <c r="T626" s="12"/>
      <c r="U626" s="12"/>
      <c r="V626" s="12"/>
      <c r="W626" s="12"/>
      <c r="X626" s="12"/>
    </row>
    <row r="627" customFormat="false" ht="15.75" hidden="false" customHeight="false" outlineLevel="0" collapsed="false">
      <c r="A627" s="12"/>
      <c r="B627" s="34"/>
      <c r="C627" s="12"/>
      <c r="D627" s="12"/>
      <c r="E627" s="12"/>
      <c r="F627" s="12"/>
      <c r="G627" s="18"/>
      <c r="H627" s="35"/>
      <c r="I627" s="12"/>
      <c r="M627" s="12"/>
      <c r="N627" s="18"/>
      <c r="O627" s="12"/>
      <c r="P627" s="12"/>
      <c r="Q627" s="12"/>
      <c r="R627" s="36"/>
      <c r="S627" s="36"/>
      <c r="T627" s="12"/>
      <c r="U627" s="12"/>
      <c r="V627" s="12"/>
      <c r="W627" s="12"/>
      <c r="X627" s="12"/>
    </row>
    <row r="628" customFormat="false" ht="15.75" hidden="false" customHeight="false" outlineLevel="0" collapsed="false">
      <c r="A628" s="12"/>
      <c r="B628" s="34"/>
      <c r="C628" s="12"/>
      <c r="D628" s="12"/>
      <c r="E628" s="12"/>
      <c r="F628" s="12"/>
      <c r="G628" s="18"/>
      <c r="H628" s="35"/>
      <c r="I628" s="12"/>
      <c r="M628" s="12"/>
      <c r="N628" s="18"/>
      <c r="O628" s="12"/>
      <c r="P628" s="12"/>
      <c r="Q628" s="12"/>
      <c r="R628" s="36"/>
      <c r="S628" s="36"/>
      <c r="T628" s="12"/>
      <c r="U628" s="12"/>
      <c r="V628" s="12"/>
      <c r="W628" s="12"/>
      <c r="X628" s="12"/>
    </row>
    <row r="629" customFormat="false" ht="15.75" hidden="false" customHeight="false" outlineLevel="0" collapsed="false">
      <c r="A629" s="12"/>
      <c r="B629" s="34"/>
      <c r="C629" s="12"/>
      <c r="D629" s="12"/>
      <c r="E629" s="12"/>
      <c r="F629" s="12"/>
      <c r="G629" s="18"/>
      <c r="H629" s="35"/>
      <c r="I629" s="12"/>
      <c r="M629" s="12"/>
      <c r="N629" s="18"/>
      <c r="O629" s="12"/>
      <c r="P629" s="12"/>
      <c r="Q629" s="12"/>
      <c r="R629" s="36"/>
      <c r="S629" s="36"/>
      <c r="T629" s="12"/>
      <c r="U629" s="12"/>
      <c r="V629" s="12"/>
      <c r="W629" s="12"/>
      <c r="X629" s="12"/>
    </row>
    <row r="630" customFormat="false" ht="15.75" hidden="false" customHeight="false" outlineLevel="0" collapsed="false">
      <c r="A630" s="12"/>
      <c r="B630" s="34"/>
      <c r="C630" s="12"/>
      <c r="D630" s="12"/>
      <c r="E630" s="12"/>
      <c r="F630" s="12"/>
      <c r="G630" s="18"/>
      <c r="H630" s="35"/>
      <c r="I630" s="12"/>
      <c r="M630" s="12"/>
      <c r="N630" s="18"/>
      <c r="O630" s="12"/>
      <c r="P630" s="12"/>
      <c r="Q630" s="12"/>
      <c r="R630" s="36"/>
      <c r="S630" s="36"/>
      <c r="T630" s="12"/>
      <c r="U630" s="12"/>
      <c r="V630" s="12"/>
      <c r="W630" s="12"/>
      <c r="X630" s="12"/>
    </row>
    <row r="631" customFormat="false" ht="15.75" hidden="false" customHeight="false" outlineLevel="0" collapsed="false">
      <c r="A631" s="12"/>
      <c r="B631" s="34"/>
      <c r="C631" s="12"/>
      <c r="D631" s="12"/>
      <c r="E631" s="12"/>
      <c r="F631" s="12"/>
      <c r="G631" s="18"/>
      <c r="H631" s="35"/>
      <c r="I631" s="12"/>
      <c r="M631" s="12"/>
      <c r="N631" s="18"/>
      <c r="O631" s="12"/>
      <c r="P631" s="12"/>
      <c r="Q631" s="12"/>
      <c r="R631" s="36"/>
      <c r="S631" s="36"/>
      <c r="T631" s="12"/>
      <c r="U631" s="12"/>
      <c r="V631" s="12"/>
      <c r="W631" s="12"/>
      <c r="X631" s="12"/>
    </row>
    <row r="632" customFormat="false" ht="15.75" hidden="false" customHeight="false" outlineLevel="0" collapsed="false">
      <c r="A632" s="12"/>
      <c r="B632" s="34"/>
      <c r="C632" s="12"/>
      <c r="D632" s="12"/>
      <c r="E632" s="12"/>
      <c r="F632" s="12"/>
      <c r="G632" s="18"/>
      <c r="H632" s="35"/>
      <c r="I632" s="12"/>
      <c r="M632" s="12"/>
      <c r="N632" s="18"/>
      <c r="O632" s="12"/>
      <c r="P632" s="12"/>
      <c r="Q632" s="12"/>
      <c r="R632" s="36"/>
      <c r="S632" s="36"/>
      <c r="T632" s="12"/>
      <c r="U632" s="12"/>
      <c r="V632" s="12"/>
      <c r="W632" s="12"/>
      <c r="X632" s="12"/>
    </row>
    <row r="633" customFormat="false" ht="15.75" hidden="false" customHeight="false" outlineLevel="0" collapsed="false">
      <c r="A633" s="12"/>
      <c r="B633" s="34"/>
      <c r="C633" s="12"/>
      <c r="D633" s="12"/>
      <c r="E633" s="12"/>
      <c r="F633" s="12"/>
      <c r="G633" s="18"/>
      <c r="H633" s="35"/>
      <c r="I633" s="12"/>
      <c r="M633" s="12"/>
      <c r="N633" s="18"/>
      <c r="O633" s="12"/>
      <c r="P633" s="12"/>
      <c r="Q633" s="12"/>
      <c r="R633" s="36"/>
      <c r="S633" s="36"/>
      <c r="T633" s="12"/>
      <c r="U633" s="12"/>
      <c r="V633" s="12"/>
      <c r="W633" s="12"/>
      <c r="X633" s="12"/>
    </row>
    <row r="634" customFormat="false" ht="15.75" hidden="false" customHeight="false" outlineLevel="0" collapsed="false">
      <c r="A634" s="12"/>
      <c r="B634" s="34"/>
      <c r="C634" s="12"/>
      <c r="D634" s="12"/>
      <c r="E634" s="12"/>
      <c r="F634" s="12"/>
      <c r="G634" s="18"/>
      <c r="H634" s="35"/>
      <c r="I634" s="12"/>
      <c r="M634" s="12"/>
      <c r="N634" s="18"/>
      <c r="O634" s="12"/>
      <c r="P634" s="12"/>
      <c r="Q634" s="12"/>
      <c r="R634" s="36"/>
      <c r="S634" s="36"/>
      <c r="T634" s="12"/>
      <c r="U634" s="12"/>
      <c r="V634" s="12"/>
      <c r="W634" s="12"/>
      <c r="X634" s="12"/>
    </row>
    <row r="635" customFormat="false" ht="15.75" hidden="false" customHeight="false" outlineLevel="0" collapsed="false">
      <c r="A635" s="12"/>
      <c r="B635" s="34"/>
      <c r="C635" s="12"/>
      <c r="D635" s="12"/>
      <c r="E635" s="12"/>
      <c r="F635" s="12"/>
      <c r="G635" s="18"/>
      <c r="H635" s="35"/>
      <c r="I635" s="12"/>
      <c r="M635" s="12"/>
      <c r="N635" s="18"/>
      <c r="O635" s="12"/>
      <c r="P635" s="12"/>
      <c r="Q635" s="12"/>
      <c r="R635" s="36"/>
      <c r="S635" s="36"/>
      <c r="T635" s="12"/>
      <c r="U635" s="12"/>
      <c r="V635" s="12"/>
      <c r="W635" s="12"/>
      <c r="X635" s="12"/>
    </row>
    <row r="636" customFormat="false" ht="15.75" hidden="false" customHeight="false" outlineLevel="0" collapsed="false">
      <c r="A636" s="12"/>
      <c r="B636" s="34"/>
      <c r="C636" s="12"/>
      <c r="D636" s="12"/>
      <c r="E636" s="12"/>
      <c r="F636" s="12"/>
      <c r="G636" s="18"/>
      <c r="H636" s="35"/>
      <c r="I636" s="12"/>
      <c r="M636" s="12"/>
      <c r="N636" s="18"/>
      <c r="O636" s="12"/>
      <c r="P636" s="12"/>
      <c r="Q636" s="12"/>
      <c r="R636" s="36"/>
      <c r="S636" s="36"/>
      <c r="T636" s="12"/>
      <c r="U636" s="12"/>
      <c r="V636" s="12"/>
      <c r="W636" s="12"/>
      <c r="X636" s="12"/>
    </row>
    <row r="637" customFormat="false" ht="15.75" hidden="false" customHeight="false" outlineLevel="0" collapsed="false">
      <c r="A637" s="12"/>
      <c r="B637" s="34"/>
      <c r="C637" s="12"/>
      <c r="D637" s="12"/>
      <c r="E637" s="12"/>
      <c r="F637" s="12"/>
      <c r="G637" s="18"/>
      <c r="H637" s="35"/>
      <c r="I637" s="12"/>
      <c r="M637" s="12"/>
      <c r="N637" s="18"/>
      <c r="O637" s="12"/>
      <c r="P637" s="12"/>
      <c r="Q637" s="12"/>
      <c r="R637" s="36"/>
      <c r="S637" s="36"/>
      <c r="T637" s="12"/>
      <c r="U637" s="12"/>
      <c r="V637" s="12"/>
      <c r="W637" s="12"/>
      <c r="X637" s="12"/>
    </row>
    <row r="638" customFormat="false" ht="15.75" hidden="false" customHeight="false" outlineLevel="0" collapsed="false">
      <c r="A638" s="12"/>
      <c r="B638" s="34"/>
      <c r="C638" s="12"/>
      <c r="D638" s="12"/>
      <c r="E638" s="12"/>
      <c r="F638" s="12"/>
      <c r="G638" s="18"/>
      <c r="H638" s="35"/>
      <c r="I638" s="12"/>
      <c r="M638" s="12"/>
      <c r="N638" s="18"/>
      <c r="O638" s="12"/>
      <c r="P638" s="12"/>
      <c r="Q638" s="12"/>
      <c r="R638" s="36"/>
      <c r="S638" s="36"/>
      <c r="T638" s="12"/>
      <c r="U638" s="12"/>
      <c r="V638" s="12"/>
      <c r="W638" s="12"/>
      <c r="X638" s="12"/>
    </row>
    <row r="639" customFormat="false" ht="15.75" hidden="false" customHeight="false" outlineLevel="0" collapsed="false">
      <c r="A639" s="12"/>
      <c r="B639" s="34"/>
      <c r="C639" s="12"/>
      <c r="D639" s="12"/>
      <c r="E639" s="12"/>
      <c r="F639" s="12"/>
      <c r="G639" s="18"/>
      <c r="H639" s="35"/>
      <c r="I639" s="12"/>
      <c r="M639" s="12"/>
      <c r="N639" s="18"/>
      <c r="O639" s="12"/>
      <c r="P639" s="12"/>
      <c r="Q639" s="12"/>
      <c r="R639" s="36"/>
      <c r="S639" s="36"/>
      <c r="T639" s="12"/>
      <c r="U639" s="12"/>
      <c r="V639" s="12"/>
      <c r="W639" s="12"/>
      <c r="X639" s="12"/>
    </row>
    <row r="640" customFormat="false" ht="15.75" hidden="false" customHeight="false" outlineLevel="0" collapsed="false">
      <c r="A640" s="12"/>
      <c r="B640" s="34"/>
      <c r="C640" s="12"/>
      <c r="D640" s="12"/>
      <c r="E640" s="12"/>
      <c r="F640" s="12"/>
      <c r="G640" s="18"/>
      <c r="H640" s="35"/>
      <c r="I640" s="12"/>
      <c r="M640" s="12"/>
      <c r="N640" s="18"/>
      <c r="O640" s="12"/>
      <c r="P640" s="12"/>
      <c r="Q640" s="12"/>
      <c r="R640" s="36"/>
      <c r="S640" s="36"/>
      <c r="T640" s="12"/>
      <c r="U640" s="12"/>
      <c r="V640" s="12"/>
      <c r="W640" s="12"/>
      <c r="X640" s="12"/>
    </row>
    <row r="641" customFormat="false" ht="15.75" hidden="false" customHeight="false" outlineLevel="0" collapsed="false">
      <c r="A641" s="12"/>
      <c r="B641" s="34"/>
      <c r="C641" s="12"/>
      <c r="D641" s="12"/>
      <c r="E641" s="12"/>
      <c r="F641" s="12"/>
      <c r="G641" s="18"/>
      <c r="H641" s="35"/>
      <c r="I641" s="12"/>
      <c r="M641" s="12"/>
      <c r="N641" s="18"/>
      <c r="O641" s="12"/>
      <c r="P641" s="12"/>
      <c r="Q641" s="12"/>
      <c r="R641" s="36"/>
      <c r="S641" s="36"/>
      <c r="T641" s="12"/>
      <c r="U641" s="12"/>
      <c r="V641" s="12"/>
      <c r="W641" s="12"/>
      <c r="X641" s="12"/>
    </row>
    <row r="642" customFormat="false" ht="15.75" hidden="false" customHeight="false" outlineLevel="0" collapsed="false">
      <c r="A642" s="12"/>
      <c r="B642" s="34"/>
      <c r="C642" s="12"/>
      <c r="D642" s="12"/>
      <c r="E642" s="12"/>
      <c r="F642" s="12"/>
      <c r="G642" s="18"/>
      <c r="H642" s="35"/>
      <c r="I642" s="12"/>
      <c r="M642" s="12"/>
      <c r="N642" s="18"/>
      <c r="O642" s="12"/>
      <c r="P642" s="12"/>
      <c r="Q642" s="12"/>
      <c r="R642" s="36"/>
      <c r="S642" s="36"/>
      <c r="T642" s="12"/>
      <c r="U642" s="12"/>
      <c r="V642" s="12"/>
      <c r="W642" s="12"/>
      <c r="X642" s="12"/>
    </row>
    <row r="643" customFormat="false" ht="15.75" hidden="false" customHeight="false" outlineLevel="0" collapsed="false">
      <c r="A643" s="12"/>
      <c r="B643" s="34"/>
      <c r="C643" s="12"/>
      <c r="D643" s="12"/>
      <c r="E643" s="12"/>
      <c r="F643" s="12"/>
      <c r="G643" s="18"/>
      <c r="H643" s="35"/>
      <c r="I643" s="12"/>
      <c r="M643" s="12"/>
      <c r="N643" s="18"/>
      <c r="O643" s="12"/>
      <c r="P643" s="12"/>
      <c r="Q643" s="12"/>
      <c r="R643" s="36"/>
      <c r="S643" s="36"/>
      <c r="T643" s="12"/>
      <c r="U643" s="12"/>
      <c r="V643" s="12"/>
      <c r="W643" s="12"/>
      <c r="X643" s="12"/>
    </row>
    <row r="644" customFormat="false" ht="15.75" hidden="false" customHeight="false" outlineLevel="0" collapsed="false">
      <c r="A644" s="12"/>
      <c r="B644" s="34"/>
      <c r="C644" s="12"/>
      <c r="D644" s="12"/>
      <c r="E644" s="12"/>
      <c r="F644" s="12"/>
      <c r="G644" s="18"/>
      <c r="H644" s="35"/>
      <c r="I644" s="12"/>
      <c r="M644" s="12"/>
      <c r="N644" s="18"/>
      <c r="O644" s="12"/>
      <c r="P644" s="12"/>
      <c r="Q644" s="12"/>
      <c r="R644" s="36"/>
      <c r="S644" s="36"/>
      <c r="T644" s="12"/>
      <c r="U644" s="12"/>
      <c r="V644" s="12"/>
      <c r="W644" s="12"/>
      <c r="X644" s="12"/>
    </row>
    <row r="645" customFormat="false" ht="15.75" hidden="false" customHeight="false" outlineLevel="0" collapsed="false">
      <c r="A645" s="12"/>
      <c r="B645" s="34"/>
      <c r="C645" s="12"/>
      <c r="D645" s="12"/>
      <c r="E645" s="12"/>
      <c r="F645" s="12"/>
      <c r="G645" s="18"/>
      <c r="H645" s="35"/>
      <c r="I645" s="12"/>
      <c r="M645" s="12"/>
      <c r="N645" s="18"/>
      <c r="O645" s="12"/>
      <c r="P645" s="12"/>
      <c r="Q645" s="12"/>
      <c r="R645" s="36"/>
      <c r="S645" s="36"/>
      <c r="T645" s="12"/>
      <c r="U645" s="12"/>
      <c r="V645" s="12"/>
      <c r="W645" s="12"/>
      <c r="X645" s="12"/>
    </row>
    <row r="646" customFormat="false" ht="15.75" hidden="false" customHeight="false" outlineLevel="0" collapsed="false">
      <c r="A646" s="12"/>
      <c r="B646" s="34"/>
      <c r="C646" s="12"/>
      <c r="D646" s="12"/>
      <c r="E646" s="12"/>
      <c r="F646" s="12"/>
      <c r="G646" s="18"/>
      <c r="H646" s="35"/>
      <c r="I646" s="12"/>
      <c r="M646" s="12"/>
      <c r="N646" s="18"/>
      <c r="O646" s="12"/>
      <c r="P646" s="12"/>
      <c r="Q646" s="12"/>
      <c r="R646" s="36"/>
      <c r="S646" s="36"/>
      <c r="T646" s="12"/>
      <c r="U646" s="12"/>
      <c r="V646" s="12"/>
      <c r="W646" s="12"/>
      <c r="X646" s="12"/>
    </row>
    <row r="647" customFormat="false" ht="15.75" hidden="false" customHeight="false" outlineLevel="0" collapsed="false">
      <c r="A647" s="12"/>
      <c r="B647" s="34"/>
      <c r="C647" s="12"/>
      <c r="D647" s="12"/>
      <c r="E647" s="12"/>
      <c r="F647" s="12"/>
      <c r="G647" s="18"/>
      <c r="H647" s="35"/>
      <c r="I647" s="12"/>
      <c r="M647" s="12"/>
      <c r="N647" s="18"/>
      <c r="O647" s="12"/>
      <c r="P647" s="12"/>
      <c r="Q647" s="12"/>
      <c r="R647" s="36"/>
      <c r="S647" s="36"/>
      <c r="T647" s="12"/>
      <c r="U647" s="12"/>
      <c r="V647" s="12"/>
      <c r="W647" s="12"/>
      <c r="X647" s="12"/>
    </row>
    <row r="648" customFormat="false" ht="15.75" hidden="false" customHeight="false" outlineLevel="0" collapsed="false">
      <c r="A648" s="12"/>
      <c r="B648" s="34"/>
      <c r="C648" s="12"/>
      <c r="D648" s="12"/>
      <c r="E648" s="12"/>
      <c r="F648" s="12"/>
      <c r="G648" s="18"/>
      <c r="H648" s="35"/>
      <c r="I648" s="12"/>
      <c r="M648" s="12"/>
      <c r="N648" s="18"/>
      <c r="O648" s="12"/>
      <c r="P648" s="12"/>
      <c r="Q648" s="12"/>
      <c r="R648" s="36"/>
      <c r="S648" s="36"/>
      <c r="T648" s="12"/>
      <c r="U648" s="12"/>
      <c r="V648" s="12"/>
      <c r="W648" s="12"/>
      <c r="X648" s="12"/>
    </row>
    <row r="649" customFormat="false" ht="15.75" hidden="false" customHeight="false" outlineLevel="0" collapsed="false">
      <c r="A649" s="12"/>
      <c r="B649" s="34"/>
      <c r="C649" s="12"/>
      <c r="D649" s="12"/>
      <c r="E649" s="12"/>
      <c r="F649" s="12"/>
      <c r="G649" s="18"/>
      <c r="H649" s="35"/>
      <c r="I649" s="12"/>
      <c r="M649" s="12"/>
      <c r="N649" s="18"/>
      <c r="O649" s="12"/>
      <c r="P649" s="12"/>
      <c r="Q649" s="12"/>
      <c r="R649" s="36"/>
      <c r="S649" s="36"/>
      <c r="T649" s="12"/>
      <c r="U649" s="12"/>
      <c r="V649" s="12"/>
      <c r="W649" s="12"/>
      <c r="X649" s="12"/>
    </row>
    <row r="650" customFormat="false" ht="15.75" hidden="false" customHeight="false" outlineLevel="0" collapsed="false">
      <c r="A650" s="12"/>
      <c r="B650" s="34"/>
      <c r="C650" s="12"/>
      <c r="D650" s="12"/>
      <c r="E650" s="12"/>
      <c r="F650" s="12"/>
      <c r="G650" s="18"/>
      <c r="H650" s="35"/>
      <c r="I650" s="12"/>
      <c r="M650" s="12"/>
      <c r="N650" s="18"/>
      <c r="O650" s="12"/>
      <c r="P650" s="12"/>
      <c r="Q650" s="12"/>
      <c r="R650" s="36"/>
      <c r="S650" s="36"/>
      <c r="T650" s="12"/>
      <c r="U650" s="12"/>
      <c r="V650" s="12"/>
      <c r="W650" s="12"/>
      <c r="X650" s="12"/>
    </row>
    <row r="651" customFormat="false" ht="15.75" hidden="false" customHeight="false" outlineLevel="0" collapsed="false">
      <c r="A651" s="12"/>
      <c r="B651" s="34"/>
      <c r="C651" s="12"/>
      <c r="D651" s="12"/>
      <c r="E651" s="12"/>
      <c r="F651" s="12"/>
      <c r="G651" s="18"/>
      <c r="H651" s="35"/>
      <c r="I651" s="12"/>
      <c r="M651" s="12"/>
      <c r="N651" s="18"/>
      <c r="O651" s="12"/>
      <c r="P651" s="12"/>
      <c r="Q651" s="12"/>
      <c r="R651" s="36"/>
      <c r="S651" s="36"/>
      <c r="T651" s="12"/>
      <c r="U651" s="12"/>
      <c r="V651" s="12"/>
      <c r="W651" s="12"/>
      <c r="X651" s="12"/>
    </row>
    <row r="652" customFormat="false" ht="15.75" hidden="false" customHeight="false" outlineLevel="0" collapsed="false">
      <c r="A652" s="12"/>
      <c r="B652" s="34"/>
      <c r="C652" s="12"/>
      <c r="D652" s="12"/>
      <c r="E652" s="12"/>
      <c r="F652" s="12"/>
      <c r="G652" s="18"/>
      <c r="H652" s="35"/>
      <c r="I652" s="12"/>
      <c r="M652" s="12"/>
      <c r="N652" s="18"/>
      <c r="O652" s="12"/>
      <c r="P652" s="12"/>
      <c r="Q652" s="12"/>
      <c r="R652" s="36"/>
      <c r="S652" s="36"/>
      <c r="T652" s="12"/>
      <c r="U652" s="12"/>
      <c r="V652" s="12"/>
      <c r="W652" s="12"/>
      <c r="X652" s="12"/>
    </row>
    <row r="653" customFormat="false" ht="15.75" hidden="false" customHeight="false" outlineLevel="0" collapsed="false">
      <c r="A653" s="12"/>
      <c r="B653" s="34"/>
      <c r="C653" s="12"/>
      <c r="D653" s="12"/>
      <c r="E653" s="12"/>
      <c r="F653" s="12"/>
      <c r="G653" s="18"/>
      <c r="H653" s="35"/>
      <c r="I653" s="12"/>
      <c r="M653" s="12"/>
      <c r="N653" s="18"/>
      <c r="O653" s="12"/>
      <c r="P653" s="12"/>
      <c r="Q653" s="12"/>
      <c r="R653" s="36"/>
      <c r="S653" s="36"/>
      <c r="T653" s="12"/>
      <c r="U653" s="12"/>
      <c r="V653" s="12"/>
      <c r="W653" s="12"/>
      <c r="X653" s="12"/>
    </row>
    <row r="654" customFormat="false" ht="15.75" hidden="false" customHeight="false" outlineLevel="0" collapsed="false">
      <c r="A654" s="12"/>
      <c r="B654" s="34"/>
      <c r="C654" s="12"/>
      <c r="D654" s="12"/>
      <c r="E654" s="12"/>
      <c r="F654" s="12"/>
      <c r="G654" s="18"/>
      <c r="H654" s="35"/>
      <c r="I654" s="12"/>
      <c r="M654" s="12"/>
      <c r="N654" s="18"/>
      <c r="O654" s="12"/>
      <c r="P654" s="12"/>
      <c r="Q654" s="12"/>
      <c r="R654" s="36"/>
      <c r="S654" s="36"/>
      <c r="T654" s="12"/>
      <c r="U654" s="12"/>
      <c r="V654" s="12"/>
      <c r="W654" s="12"/>
      <c r="X654" s="12"/>
    </row>
    <row r="655" customFormat="false" ht="15.75" hidden="false" customHeight="false" outlineLevel="0" collapsed="false">
      <c r="A655" s="12"/>
      <c r="B655" s="34"/>
      <c r="C655" s="12"/>
      <c r="D655" s="12"/>
      <c r="E655" s="12"/>
      <c r="F655" s="12"/>
      <c r="G655" s="18"/>
      <c r="H655" s="35"/>
      <c r="I655" s="12"/>
      <c r="M655" s="12"/>
      <c r="N655" s="18"/>
      <c r="O655" s="12"/>
      <c r="P655" s="12"/>
      <c r="Q655" s="12"/>
      <c r="R655" s="36"/>
      <c r="S655" s="36"/>
      <c r="T655" s="12"/>
      <c r="U655" s="12"/>
      <c r="V655" s="12"/>
      <c r="W655" s="12"/>
      <c r="X655" s="12"/>
    </row>
    <row r="656" customFormat="false" ht="15.75" hidden="false" customHeight="false" outlineLevel="0" collapsed="false">
      <c r="A656" s="12"/>
      <c r="B656" s="34"/>
      <c r="C656" s="12"/>
      <c r="D656" s="12"/>
      <c r="E656" s="12"/>
      <c r="F656" s="12"/>
      <c r="G656" s="18"/>
      <c r="H656" s="35"/>
      <c r="I656" s="12"/>
      <c r="M656" s="12"/>
      <c r="N656" s="18"/>
      <c r="O656" s="12"/>
      <c r="P656" s="12"/>
      <c r="Q656" s="12"/>
      <c r="R656" s="36"/>
      <c r="S656" s="36"/>
      <c r="T656" s="12"/>
      <c r="U656" s="12"/>
      <c r="V656" s="12"/>
      <c r="W656" s="12"/>
      <c r="X656" s="12"/>
    </row>
    <row r="657" customFormat="false" ht="15.75" hidden="false" customHeight="false" outlineLevel="0" collapsed="false">
      <c r="A657" s="12"/>
      <c r="B657" s="34"/>
      <c r="C657" s="12"/>
      <c r="D657" s="12"/>
      <c r="E657" s="12"/>
      <c r="F657" s="12"/>
      <c r="G657" s="18"/>
      <c r="H657" s="35"/>
      <c r="I657" s="12"/>
      <c r="M657" s="12"/>
      <c r="N657" s="18"/>
      <c r="O657" s="12"/>
      <c r="P657" s="12"/>
      <c r="Q657" s="12"/>
      <c r="R657" s="36"/>
      <c r="S657" s="36"/>
      <c r="T657" s="12"/>
      <c r="U657" s="12"/>
      <c r="V657" s="12"/>
      <c r="W657" s="12"/>
      <c r="X657" s="12"/>
    </row>
    <row r="658" customFormat="false" ht="15.75" hidden="false" customHeight="false" outlineLevel="0" collapsed="false">
      <c r="A658" s="12"/>
      <c r="B658" s="34"/>
      <c r="C658" s="12"/>
      <c r="D658" s="12"/>
      <c r="E658" s="12"/>
      <c r="F658" s="12"/>
      <c r="G658" s="18"/>
      <c r="H658" s="35"/>
      <c r="I658" s="12"/>
      <c r="M658" s="12"/>
      <c r="N658" s="18"/>
      <c r="O658" s="12"/>
      <c r="P658" s="12"/>
      <c r="Q658" s="12"/>
      <c r="R658" s="36"/>
      <c r="S658" s="36"/>
      <c r="T658" s="12"/>
      <c r="U658" s="12"/>
      <c r="V658" s="12"/>
      <c r="W658" s="12"/>
      <c r="X658" s="12"/>
    </row>
    <row r="659" customFormat="false" ht="15.75" hidden="false" customHeight="false" outlineLevel="0" collapsed="false">
      <c r="A659" s="12"/>
      <c r="B659" s="34"/>
      <c r="C659" s="12"/>
      <c r="D659" s="12"/>
      <c r="E659" s="12"/>
      <c r="F659" s="12"/>
      <c r="G659" s="18"/>
      <c r="H659" s="35"/>
      <c r="I659" s="12"/>
      <c r="M659" s="12"/>
      <c r="N659" s="18"/>
      <c r="O659" s="12"/>
      <c r="P659" s="12"/>
      <c r="Q659" s="12"/>
      <c r="R659" s="36"/>
      <c r="S659" s="36"/>
      <c r="T659" s="12"/>
      <c r="U659" s="12"/>
      <c r="V659" s="12"/>
      <c r="W659" s="12"/>
      <c r="X659" s="12"/>
    </row>
    <row r="660" customFormat="false" ht="15.75" hidden="false" customHeight="false" outlineLevel="0" collapsed="false">
      <c r="A660" s="12"/>
      <c r="B660" s="34"/>
      <c r="C660" s="12"/>
      <c r="D660" s="12"/>
      <c r="E660" s="12"/>
      <c r="F660" s="12"/>
      <c r="G660" s="18"/>
      <c r="H660" s="35"/>
      <c r="I660" s="12"/>
      <c r="M660" s="12"/>
      <c r="N660" s="18"/>
      <c r="O660" s="12"/>
      <c r="P660" s="12"/>
      <c r="Q660" s="12"/>
      <c r="R660" s="36"/>
      <c r="S660" s="36"/>
      <c r="T660" s="12"/>
      <c r="U660" s="12"/>
      <c r="V660" s="12"/>
      <c r="W660" s="12"/>
      <c r="X660" s="12"/>
    </row>
    <row r="661" customFormat="false" ht="15.75" hidden="false" customHeight="false" outlineLevel="0" collapsed="false">
      <c r="A661" s="12"/>
      <c r="B661" s="34"/>
      <c r="C661" s="12"/>
      <c r="D661" s="12"/>
      <c r="E661" s="12"/>
      <c r="F661" s="12"/>
      <c r="G661" s="18"/>
      <c r="H661" s="35"/>
      <c r="I661" s="12"/>
      <c r="M661" s="12"/>
      <c r="N661" s="18"/>
      <c r="O661" s="12"/>
      <c r="P661" s="12"/>
      <c r="Q661" s="12"/>
      <c r="R661" s="36"/>
      <c r="S661" s="36"/>
      <c r="T661" s="12"/>
      <c r="U661" s="12"/>
      <c r="V661" s="12"/>
      <c r="W661" s="12"/>
      <c r="X661" s="12"/>
    </row>
    <row r="662" customFormat="false" ht="15.75" hidden="false" customHeight="false" outlineLevel="0" collapsed="false">
      <c r="A662" s="12"/>
      <c r="B662" s="34"/>
      <c r="C662" s="12"/>
      <c r="D662" s="12"/>
      <c r="E662" s="12"/>
      <c r="F662" s="12"/>
      <c r="G662" s="18"/>
      <c r="H662" s="35"/>
      <c r="I662" s="12"/>
      <c r="M662" s="12"/>
      <c r="N662" s="18"/>
      <c r="O662" s="12"/>
      <c r="P662" s="12"/>
      <c r="Q662" s="12"/>
      <c r="R662" s="36"/>
      <c r="S662" s="36"/>
      <c r="T662" s="12"/>
      <c r="U662" s="12"/>
      <c r="V662" s="12"/>
      <c r="W662" s="12"/>
      <c r="X662" s="12"/>
    </row>
    <row r="663" customFormat="false" ht="15.75" hidden="false" customHeight="false" outlineLevel="0" collapsed="false">
      <c r="A663" s="12"/>
      <c r="B663" s="34"/>
      <c r="C663" s="12"/>
      <c r="D663" s="12"/>
      <c r="E663" s="12"/>
      <c r="F663" s="12"/>
      <c r="G663" s="18"/>
      <c r="H663" s="35"/>
      <c r="I663" s="12"/>
      <c r="M663" s="12"/>
      <c r="N663" s="18"/>
      <c r="O663" s="12"/>
      <c r="P663" s="12"/>
      <c r="Q663" s="12"/>
      <c r="R663" s="36"/>
      <c r="S663" s="36"/>
      <c r="T663" s="12"/>
      <c r="U663" s="12"/>
      <c r="V663" s="12"/>
      <c r="W663" s="12"/>
      <c r="X663" s="12"/>
    </row>
    <row r="664" customFormat="false" ht="15.75" hidden="false" customHeight="false" outlineLevel="0" collapsed="false">
      <c r="A664" s="12"/>
      <c r="B664" s="34"/>
      <c r="C664" s="12"/>
      <c r="D664" s="12"/>
      <c r="E664" s="12"/>
      <c r="F664" s="12"/>
      <c r="G664" s="18"/>
      <c r="H664" s="35"/>
      <c r="I664" s="12"/>
      <c r="M664" s="12"/>
      <c r="N664" s="18"/>
      <c r="O664" s="12"/>
      <c r="P664" s="12"/>
      <c r="Q664" s="12"/>
      <c r="R664" s="36"/>
      <c r="S664" s="36"/>
      <c r="T664" s="12"/>
      <c r="U664" s="12"/>
      <c r="V664" s="12"/>
      <c r="W664" s="12"/>
      <c r="X664" s="12"/>
    </row>
    <row r="665" customFormat="false" ht="15.75" hidden="false" customHeight="false" outlineLevel="0" collapsed="false">
      <c r="A665" s="12"/>
      <c r="B665" s="34"/>
      <c r="C665" s="12"/>
      <c r="D665" s="12"/>
      <c r="E665" s="12"/>
      <c r="F665" s="12"/>
      <c r="G665" s="18"/>
      <c r="H665" s="35"/>
      <c r="I665" s="12"/>
      <c r="M665" s="12"/>
      <c r="N665" s="18"/>
      <c r="O665" s="12"/>
      <c r="P665" s="12"/>
      <c r="Q665" s="12"/>
      <c r="R665" s="36"/>
      <c r="S665" s="36"/>
      <c r="T665" s="12"/>
      <c r="U665" s="12"/>
      <c r="V665" s="12"/>
      <c r="W665" s="12"/>
      <c r="X665" s="12"/>
    </row>
    <row r="666" customFormat="false" ht="15.75" hidden="false" customHeight="false" outlineLevel="0" collapsed="false">
      <c r="A666" s="12"/>
      <c r="B666" s="34"/>
      <c r="C666" s="12"/>
      <c r="D666" s="12"/>
      <c r="E666" s="12"/>
      <c r="F666" s="12"/>
      <c r="G666" s="18"/>
      <c r="H666" s="35"/>
      <c r="I666" s="12"/>
      <c r="M666" s="12"/>
      <c r="N666" s="18"/>
      <c r="O666" s="12"/>
      <c r="P666" s="12"/>
      <c r="Q666" s="12"/>
      <c r="R666" s="36"/>
      <c r="S666" s="36"/>
      <c r="T666" s="12"/>
      <c r="U666" s="12"/>
      <c r="V666" s="12"/>
      <c r="W666" s="12"/>
      <c r="X666" s="12"/>
    </row>
    <row r="667" customFormat="false" ht="15.75" hidden="false" customHeight="false" outlineLevel="0" collapsed="false">
      <c r="A667" s="12"/>
      <c r="B667" s="34"/>
      <c r="C667" s="12"/>
      <c r="D667" s="12"/>
      <c r="E667" s="12"/>
      <c r="F667" s="12"/>
      <c r="G667" s="18"/>
      <c r="H667" s="35"/>
      <c r="I667" s="12"/>
      <c r="M667" s="12"/>
      <c r="N667" s="18"/>
      <c r="O667" s="12"/>
      <c r="P667" s="12"/>
      <c r="Q667" s="12"/>
      <c r="R667" s="36"/>
      <c r="S667" s="36"/>
      <c r="T667" s="12"/>
      <c r="U667" s="12"/>
      <c r="V667" s="12"/>
      <c r="W667" s="12"/>
      <c r="X667" s="12"/>
    </row>
    <row r="668" customFormat="false" ht="15.75" hidden="false" customHeight="false" outlineLevel="0" collapsed="false">
      <c r="A668" s="12"/>
      <c r="B668" s="34"/>
      <c r="C668" s="12"/>
      <c r="D668" s="12"/>
      <c r="E668" s="12"/>
      <c r="F668" s="12"/>
      <c r="G668" s="18"/>
      <c r="H668" s="35"/>
      <c r="I668" s="12"/>
      <c r="M668" s="12"/>
      <c r="N668" s="18"/>
      <c r="O668" s="12"/>
      <c r="P668" s="12"/>
      <c r="Q668" s="12"/>
      <c r="R668" s="36"/>
      <c r="S668" s="36"/>
      <c r="T668" s="12"/>
      <c r="U668" s="12"/>
      <c r="V668" s="12"/>
      <c r="W668" s="12"/>
      <c r="X668" s="12"/>
    </row>
    <row r="669" customFormat="false" ht="15.75" hidden="false" customHeight="false" outlineLevel="0" collapsed="false">
      <c r="A669" s="12"/>
      <c r="B669" s="34"/>
      <c r="C669" s="12"/>
      <c r="D669" s="12"/>
      <c r="E669" s="12"/>
      <c r="F669" s="12"/>
      <c r="G669" s="18"/>
      <c r="H669" s="35"/>
      <c r="I669" s="12"/>
      <c r="M669" s="12"/>
      <c r="N669" s="18"/>
      <c r="O669" s="12"/>
      <c r="P669" s="12"/>
      <c r="Q669" s="12"/>
      <c r="R669" s="36"/>
      <c r="S669" s="36"/>
      <c r="T669" s="12"/>
      <c r="U669" s="12"/>
      <c r="V669" s="12"/>
      <c r="W669" s="12"/>
      <c r="X669" s="12"/>
    </row>
    <row r="670" customFormat="false" ht="15.75" hidden="false" customHeight="false" outlineLevel="0" collapsed="false">
      <c r="A670" s="12"/>
      <c r="B670" s="34"/>
      <c r="C670" s="12"/>
      <c r="D670" s="12"/>
      <c r="E670" s="12"/>
      <c r="F670" s="12"/>
      <c r="G670" s="18"/>
      <c r="H670" s="35"/>
      <c r="I670" s="12"/>
      <c r="M670" s="12"/>
      <c r="N670" s="18"/>
      <c r="O670" s="12"/>
      <c r="P670" s="12"/>
      <c r="Q670" s="12"/>
      <c r="R670" s="36"/>
      <c r="S670" s="36"/>
      <c r="T670" s="12"/>
      <c r="U670" s="12"/>
      <c r="V670" s="12"/>
      <c r="W670" s="12"/>
      <c r="X670" s="12"/>
    </row>
    <row r="671" customFormat="false" ht="15.75" hidden="false" customHeight="false" outlineLevel="0" collapsed="false">
      <c r="A671" s="12"/>
      <c r="B671" s="34"/>
      <c r="C671" s="12"/>
      <c r="D671" s="12"/>
      <c r="E671" s="12"/>
      <c r="F671" s="12"/>
      <c r="G671" s="18"/>
      <c r="H671" s="35"/>
      <c r="I671" s="12"/>
      <c r="M671" s="12"/>
      <c r="N671" s="18"/>
      <c r="O671" s="12"/>
      <c r="P671" s="12"/>
      <c r="Q671" s="12"/>
      <c r="R671" s="36"/>
      <c r="S671" s="36"/>
      <c r="T671" s="12"/>
      <c r="U671" s="12"/>
      <c r="V671" s="12"/>
      <c r="W671" s="12"/>
      <c r="X671" s="12"/>
    </row>
    <row r="672" customFormat="false" ht="15.75" hidden="false" customHeight="false" outlineLevel="0" collapsed="false">
      <c r="A672" s="12"/>
      <c r="B672" s="34"/>
      <c r="C672" s="12"/>
      <c r="D672" s="12"/>
      <c r="E672" s="12"/>
      <c r="F672" s="12"/>
      <c r="G672" s="18"/>
      <c r="H672" s="35"/>
      <c r="I672" s="12"/>
      <c r="M672" s="12"/>
      <c r="N672" s="18"/>
      <c r="O672" s="12"/>
      <c r="P672" s="12"/>
      <c r="Q672" s="12"/>
      <c r="R672" s="36"/>
      <c r="S672" s="36"/>
      <c r="T672" s="12"/>
      <c r="U672" s="12"/>
      <c r="V672" s="12"/>
      <c r="W672" s="12"/>
      <c r="X672" s="12"/>
    </row>
    <row r="673" customFormat="false" ht="15.75" hidden="false" customHeight="false" outlineLevel="0" collapsed="false">
      <c r="A673" s="12"/>
      <c r="B673" s="34"/>
      <c r="C673" s="12"/>
      <c r="D673" s="12"/>
      <c r="E673" s="12"/>
      <c r="F673" s="12"/>
      <c r="G673" s="18"/>
      <c r="H673" s="35"/>
      <c r="I673" s="12"/>
      <c r="M673" s="12"/>
      <c r="N673" s="18"/>
      <c r="O673" s="12"/>
      <c r="P673" s="12"/>
      <c r="Q673" s="12"/>
      <c r="R673" s="36"/>
      <c r="S673" s="36"/>
      <c r="T673" s="12"/>
      <c r="U673" s="12"/>
      <c r="V673" s="12"/>
      <c r="W673" s="12"/>
      <c r="X673" s="12"/>
    </row>
    <row r="674" customFormat="false" ht="15.75" hidden="false" customHeight="false" outlineLevel="0" collapsed="false">
      <c r="A674" s="12"/>
      <c r="B674" s="34"/>
      <c r="C674" s="12"/>
      <c r="D674" s="12"/>
      <c r="E674" s="12"/>
      <c r="F674" s="12"/>
      <c r="G674" s="18"/>
      <c r="H674" s="35"/>
      <c r="I674" s="12"/>
      <c r="M674" s="12"/>
      <c r="N674" s="18"/>
      <c r="O674" s="12"/>
      <c r="P674" s="12"/>
      <c r="Q674" s="12"/>
      <c r="R674" s="36"/>
      <c r="S674" s="36"/>
      <c r="T674" s="12"/>
      <c r="U674" s="12"/>
      <c r="V674" s="12"/>
      <c r="W674" s="12"/>
      <c r="X674" s="12"/>
    </row>
    <row r="675" customFormat="false" ht="15.75" hidden="false" customHeight="false" outlineLevel="0" collapsed="false">
      <c r="A675" s="12"/>
      <c r="B675" s="34"/>
      <c r="C675" s="12"/>
      <c r="D675" s="12"/>
      <c r="E675" s="12"/>
      <c r="F675" s="12"/>
      <c r="G675" s="18"/>
      <c r="H675" s="35"/>
      <c r="I675" s="12"/>
      <c r="M675" s="12"/>
      <c r="N675" s="18"/>
      <c r="O675" s="12"/>
      <c r="P675" s="12"/>
      <c r="Q675" s="12"/>
      <c r="R675" s="36"/>
      <c r="S675" s="36"/>
      <c r="T675" s="12"/>
      <c r="U675" s="12"/>
      <c r="V675" s="12"/>
      <c r="W675" s="12"/>
      <c r="X675" s="12"/>
    </row>
    <row r="676" customFormat="false" ht="15.75" hidden="false" customHeight="false" outlineLevel="0" collapsed="false">
      <c r="A676" s="12"/>
      <c r="B676" s="34"/>
      <c r="C676" s="12"/>
      <c r="D676" s="12"/>
      <c r="E676" s="12"/>
      <c r="F676" s="12"/>
      <c r="G676" s="18"/>
      <c r="H676" s="35"/>
      <c r="I676" s="12"/>
      <c r="M676" s="12"/>
      <c r="N676" s="18"/>
      <c r="O676" s="12"/>
      <c r="P676" s="12"/>
      <c r="Q676" s="12"/>
      <c r="R676" s="36"/>
      <c r="S676" s="36"/>
      <c r="T676" s="12"/>
      <c r="U676" s="12"/>
      <c r="V676" s="12"/>
      <c r="W676" s="12"/>
      <c r="X676" s="12"/>
    </row>
    <row r="677" customFormat="false" ht="15.75" hidden="false" customHeight="false" outlineLevel="0" collapsed="false">
      <c r="A677" s="12"/>
      <c r="B677" s="34"/>
      <c r="C677" s="12"/>
      <c r="D677" s="12"/>
      <c r="E677" s="12"/>
      <c r="F677" s="12"/>
      <c r="G677" s="18"/>
      <c r="H677" s="35"/>
      <c r="I677" s="12"/>
      <c r="M677" s="12"/>
      <c r="N677" s="18"/>
      <c r="O677" s="12"/>
      <c r="P677" s="12"/>
      <c r="Q677" s="12"/>
      <c r="R677" s="36"/>
      <c r="S677" s="36"/>
      <c r="T677" s="12"/>
      <c r="U677" s="12"/>
      <c r="V677" s="12"/>
      <c r="W677" s="12"/>
      <c r="X677" s="12"/>
    </row>
    <row r="678" customFormat="false" ht="15.75" hidden="false" customHeight="false" outlineLevel="0" collapsed="false">
      <c r="A678" s="12"/>
      <c r="B678" s="34"/>
      <c r="C678" s="12"/>
      <c r="D678" s="12"/>
      <c r="E678" s="12"/>
      <c r="F678" s="12"/>
      <c r="G678" s="18"/>
      <c r="H678" s="35"/>
      <c r="I678" s="12"/>
      <c r="M678" s="12"/>
      <c r="N678" s="18"/>
      <c r="O678" s="12"/>
      <c r="P678" s="12"/>
      <c r="Q678" s="12"/>
      <c r="R678" s="36"/>
      <c r="S678" s="36"/>
      <c r="T678" s="12"/>
      <c r="U678" s="12"/>
      <c r="V678" s="12"/>
      <c r="W678" s="12"/>
      <c r="X678" s="12"/>
    </row>
    <row r="679" customFormat="false" ht="15.75" hidden="false" customHeight="false" outlineLevel="0" collapsed="false">
      <c r="A679" s="12"/>
      <c r="B679" s="34"/>
      <c r="C679" s="12"/>
      <c r="D679" s="12"/>
      <c r="E679" s="12"/>
      <c r="F679" s="12"/>
      <c r="G679" s="18"/>
      <c r="H679" s="35"/>
      <c r="I679" s="12"/>
      <c r="M679" s="12"/>
      <c r="N679" s="18"/>
      <c r="O679" s="12"/>
      <c r="P679" s="12"/>
      <c r="Q679" s="12"/>
      <c r="R679" s="36"/>
      <c r="S679" s="36"/>
      <c r="T679" s="12"/>
      <c r="U679" s="12"/>
      <c r="V679" s="12"/>
      <c r="W679" s="12"/>
      <c r="X679" s="12"/>
    </row>
    <row r="680" customFormat="false" ht="15.75" hidden="false" customHeight="false" outlineLevel="0" collapsed="false">
      <c r="A680" s="12"/>
      <c r="B680" s="34"/>
      <c r="C680" s="12"/>
      <c r="D680" s="12"/>
      <c r="E680" s="12"/>
      <c r="F680" s="12"/>
      <c r="G680" s="18"/>
      <c r="H680" s="35"/>
      <c r="I680" s="12"/>
      <c r="M680" s="12"/>
      <c r="N680" s="18"/>
      <c r="O680" s="12"/>
      <c r="P680" s="12"/>
      <c r="Q680" s="12"/>
      <c r="R680" s="36"/>
      <c r="S680" s="36"/>
      <c r="T680" s="12"/>
      <c r="U680" s="12"/>
      <c r="V680" s="12"/>
      <c r="W680" s="12"/>
      <c r="X680" s="12"/>
    </row>
    <row r="681" customFormat="false" ht="15.75" hidden="false" customHeight="false" outlineLevel="0" collapsed="false">
      <c r="A681" s="12"/>
      <c r="B681" s="34"/>
      <c r="C681" s="12"/>
      <c r="D681" s="12"/>
      <c r="E681" s="12"/>
      <c r="F681" s="12"/>
      <c r="G681" s="18"/>
      <c r="H681" s="35"/>
      <c r="I681" s="12"/>
      <c r="M681" s="12"/>
      <c r="N681" s="18"/>
      <c r="O681" s="12"/>
      <c r="P681" s="12"/>
      <c r="Q681" s="12"/>
      <c r="R681" s="36"/>
      <c r="S681" s="36"/>
      <c r="T681" s="12"/>
      <c r="U681" s="12"/>
      <c r="V681" s="12"/>
      <c r="W681" s="12"/>
      <c r="X681" s="12"/>
    </row>
    <row r="682" customFormat="false" ht="15.75" hidden="false" customHeight="false" outlineLevel="0" collapsed="false">
      <c r="A682" s="12"/>
      <c r="B682" s="34"/>
      <c r="C682" s="12"/>
      <c r="D682" s="12"/>
      <c r="E682" s="12"/>
      <c r="F682" s="12"/>
      <c r="G682" s="18"/>
      <c r="H682" s="35"/>
      <c r="I682" s="12"/>
      <c r="M682" s="12"/>
      <c r="N682" s="18"/>
      <c r="O682" s="12"/>
      <c r="P682" s="12"/>
      <c r="Q682" s="12"/>
      <c r="R682" s="36"/>
      <c r="S682" s="36"/>
      <c r="T682" s="12"/>
      <c r="U682" s="12"/>
      <c r="V682" s="12"/>
      <c r="W682" s="12"/>
      <c r="X682" s="12"/>
    </row>
    <row r="683" customFormat="false" ht="15.75" hidden="false" customHeight="false" outlineLevel="0" collapsed="false">
      <c r="A683" s="12"/>
      <c r="B683" s="34"/>
      <c r="C683" s="12"/>
      <c r="D683" s="12"/>
      <c r="E683" s="12"/>
      <c r="F683" s="12"/>
      <c r="G683" s="18"/>
      <c r="H683" s="35"/>
      <c r="I683" s="12"/>
      <c r="M683" s="12"/>
      <c r="N683" s="18"/>
      <c r="O683" s="12"/>
      <c r="P683" s="12"/>
      <c r="Q683" s="12"/>
      <c r="R683" s="36"/>
      <c r="S683" s="36"/>
      <c r="T683" s="12"/>
      <c r="U683" s="12"/>
      <c r="V683" s="12"/>
      <c r="W683" s="12"/>
      <c r="X683" s="12"/>
    </row>
    <row r="684" customFormat="false" ht="15.75" hidden="false" customHeight="false" outlineLevel="0" collapsed="false">
      <c r="A684" s="12"/>
      <c r="B684" s="34"/>
      <c r="C684" s="12"/>
      <c r="D684" s="12"/>
      <c r="E684" s="12"/>
      <c r="F684" s="12"/>
      <c r="G684" s="18"/>
      <c r="H684" s="35"/>
      <c r="I684" s="12"/>
      <c r="M684" s="12"/>
      <c r="N684" s="18"/>
      <c r="O684" s="12"/>
      <c r="P684" s="12"/>
      <c r="Q684" s="12"/>
      <c r="R684" s="36"/>
      <c r="S684" s="36"/>
      <c r="T684" s="12"/>
      <c r="U684" s="12"/>
      <c r="V684" s="12"/>
      <c r="W684" s="12"/>
      <c r="X684" s="12"/>
    </row>
    <row r="685" customFormat="false" ht="15.75" hidden="false" customHeight="false" outlineLevel="0" collapsed="false">
      <c r="A685" s="12"/>
      <c r="B685" s="34"/>
      <c r="C685" s="12"/>
      <c r="D685" s="12"/>
      <c r="E685" s="12"/>
      <c r="F685" s="12"/>
      <c r="G685" s="18"/>
      <c r="H685" s="35"/>
      <c r="I685" s="12"/>
      <c r="M685" s="12"/>
      <c r="N685" s="18"/>
      <c r="O685" s="12"/>
      <c r="P685" s="12"/>
      <c r="Q685" s="12"/>
      <c r="R685" s="36"/>
      <c r="S685" s="36"/>
      <c r="T685" s="12"/>
      <c r="U685" s="12"/>
      <c r="V685" s="12"/>
      <c r="W685" s="12"/>
      <c r="X685" s="12"/>
    </row>
    <row r="686" customFormat="false" ht="15.75" hidden="false" customHeight="false" outlineLevel="0" collapsed="false">
      <c r="A686" s="12"/>
      <c r="B686" s="34"/>
      <c r="C686" s="12"/>
      <c r="D686" s="12"/>
      <c r="E686" s="12"/>
      <c r="F686" s="12"/>
      <c r="G686" s="18"/>
      <c r="H686" s="35"/>
      <c r="I686" s="12"/>
      <c r="M686" s="12"/>
      <c r="N686" s="18"/>
      <c r="O686" s="12"/>
      <c r="P686" s="12"/>
      <c r="Q686" s="12"/>
      <c r="R686" s="36"/>
      <c r="S686" s="36"/>
      <c r="T686" s="12"/>
      <c r="U686" s="12"/>
      <c r="V686" s="12"/>
      <c r="W686" s="12"/>
      <c r="X686" s="12"/>
    </row>
    <row r="687" customFormat="false" ht="15.75" hidden="false" customHeight="false" outlineLevel="0" collapsed="false">
      <c r="A687" s="12"/>
      <c r="B687" s="34"/>
      <c r="C687" s="12"/>
      <c r="D687" s="12"/>
      <c r="E687" s="12"/>
      <c r="F687" s="12"/>
      <c r="G687" s="18"/>
      <c r="H687" s="35"/>
      <c r="I687" s="12"/>
      <c r="M687" s="12"/>
      <c r="N687" s="18"/>
      <c r="O687" s="12"/>
      <c r="P687" s="12"/>
      <c r="Q687" s="12"/>
      <c r="R687" s="36"/>
      <c r="S687" s="36"/>
      <c r="T687" s="12"/>
      <c r="U687" s="12"/>
      <c r="V687" s="12"/>
      <c r="W687" s="12"/>
      <c r="X687" s="12"/>
    </row>
    <row r="688" customFormat="false" ht="15.75" hidden="false" customHeight="false" outlineLevel="0" collapsed="false">
      <c r="A688" s="12"/>
      <c r="B688" s="34"/>
      <c r="C688" s="12"/>
      <c r="D688" s="12"/>
      <c r="E688" s="12"/>
      <c r="F688" s="12"/>
      <c r="G688" s="18"/>
      <c r="H688" s="35"/>
      <c r="I688" s="12"/>
      <c r="M688" s="12"/>
      <c r="N688" s="18"/>
      <c r="O688" s="12"/>
      <c r="P688" s="12"/>
      <c r="Q688" s="12"/>
      <c r="R688" s="36"/>
      <c r="S688" s="36"/>
      <c r="T688" s="12"/>
      <c r="U688" s="12"/>
      <c r="V688" s="12"/>
      <c r="W688" s="12"/>
      <c r="X688" s="12"/>
    </row>
    <row r="689" customFormat="false" ht="15.75" hidden="false" customHeight="false" outlineLevel="0" collapsed="false">
      <c r="A689" s="12"/>
      <c r="B689" s="34"/>
      <c r="C689" s="12"/>
      <c r="D689" s="12"/>
      <c r="E689" s="12"/>
      <c r="F689" s="12"/>
      <c r="G689" s="18"/>
      <c r="H689" s="35"/>
      <c r="I689" s="12"/>
      <c r="M689" s="12"/>
      <c r="N689" s="18"/>
      <c r="O689" s="12"/>
      <c r="P689" s="12"/>
      <c r="Q689" s="12"/>
      <c r="R689" s="36"/>
      <c r="S689" s="36"/>
      <c r="T689" s="12"/>
      <c r="U689" s="12"/>
      <c r="V689" s="12"/>
      <c r="W689" s="12"/>
      <c r="X689" s="12"/>
    </row>
    <row r="690" customFormat="false" ht="15.75" hidden="false" customHeight="false" outlineLevel="0" collapsed="false">
      <c r="A690" s="12"/>
      <c r="B690" s="34"/>
      <c r="C690" s="12"/>
      <c r="D690" s="12"/>
      <c r="E690" s="12"/>
      <c r="F690" s="12"/>
      <c r="G690" s="18"/>
      <c r="H690" s="35"/>
      <c r="I690" s="12"/>
      <c r="M690" s="12"/>
      <c r="N690" s="18"/>
      <c r="O690" s="12"/>
      <c r="P690" s="12"/>
      <c r="Q690" s="12"/>
      <c r="R690" s="36"/>
      <c r="S690" s="36"/>
      <c r="T690" s="12"/>
      <c r="U690" s="12"/>
      <c r="V690" s="12"/>
      <c r="W690" s="12"/>
      <c r="X690" s="12"/>
    </row>
    <row r="691" customFormat="false" ht="15.75" hidden="false" customHeight="false" outlineLevel="0" collapsed="false">
      <c r="A691" s="12"/>
      <c r="B691" s="34"/>
      <c r="C691" s="12"/>
      <c r="D691" s="12"/>
      <c r="E691" s="12"/>
      <c r="F691" s="12"/>
      <c r="G691" s="18"/>
      <c r="H691" s="35"/>
      <c r="I691" s="12"/>
      <c r="M691" s="12"/>
      <c r="N691" s="18"/>
      <c r="O691" s="12"/>
      <c r="P691" s="12"/>
      <c r="Q691" s="12"/>
      <c r="R691" s="36"/>
      <c r="S691" s="36"/>
      <c r="T691" s="12"/>
      <c r="U691" s="12"/>
      <c r="V691" s="12"/>
      <c r="W691" s="12"/>
      <c r="X691" s="12"/>
    </row>
    <row r="692" customFormat="false" ht="15.75" hidden="false" customHeight="false" outlineLevel="0" collapsed="false">
      <c r="A692" s="12"/>
      <c r="B692" s="34"/>
      <c r="C692" s="12"/>
      <c r="D692" s="12"/>
      <c r="E692" s="12"/>
      <c r="F692" s="12"/>
      <c r="G692" s="18"/>
      <c r="H692" s="35"/>
      <c r="I692" s="12"/>
      <c r="M692" s="12"/>
      <c r="N692" s="18"/>
      <c r="O692" s="12"/>
      <c r="P692" s="12"/>
      <c r="Q692" s="12"/>
      <c r="R692" s="36"/>
      <c r="S692" s="36"/>
      <c r="T692" s="12"/>
      <c r="U692" s="12"/>
      <c r="V692" s="12"/>
      <c r="W692" s="12"/>
      <c r="X692" s="12"/>
    </row>
    <row r="693" customFormat="false" ht="15.75" hidden="false" customHeight="false" outlineLevel="0" collapsed="false">
      <c r="A693" s="12"/>
      <c r="B693" s="34"/>
      <c r="C693" s="12"/>
      <c r="D693" s="12"/>
      <c r="E693" s="12"/>
      <c r="F693" s="12"/>
      <c r="G693" s="18"/>
      <c r="H693" s="35"/>
      <c r="I693" s="12"/>
      <c r="M693" s="12"/>
      <c r="N693" s="18"/>
      <c r="O693" s="12"/>
      <c r="P693" s="12"/>
      <c r="Q693" s="12"/>
      <c r="R693" s="36"/>
      <c r="S693" s="36"/>
      <c r="T693" s="12"/>
      <c r="U693" s="12"/>
      <c r="V693" s="12"/>
      <c r="W693" s="12"/>
      <c r="X693" s="12"/>
    </row>
    <row r="694" customFormat="false" ht="15.75" hidden="false" customHeight="false" outlineLevel="0" collapsed="false">
      <c r="A694" s="12"/>
      <c r="B694" s="34"/>
      <c r="C694" s="12"/>
      <c r="D694" s="12"/>
      <c r="E694" s="12"/>
      <c r="F694" s="12"/>
      <c r="G694" s="18"/>
      <c r="H694" s="35"/>
      <c r="I694" s="12"/>
      <c r="M694" s="12"/>
      <c r="N694" s="18"/>
      <c r="O694" s="12"/>
      <c r="P694" s="12"/>
      <c r="Q694" s="12"/>
      <c r="R694" s="36"/>
      <c r="S694" s="36"/>
      <c r="T694" s="12"/>
      <c r="U694" s="12"/>
      <c r="V694" s="12"/>
      <c r="W694" s="12"/>
      <c r="X694" s="12"/>
    </row>
    <row r="695" customFormat="false" ht="15.75" hidden="false" customHeight="false" outlineLevel="0" collapsed="false">
      <c r="A695" s="12"/>
      <c r="B695" s="34"/>
      <c r="C695" s="12"/>
      <c r="D695" s="12"/>
      <c r="E695" s="12"/>
      <c r="F695" s="12"/>
      <c r="G695" s="18"/>
      <c r="H695" s="35"/>
      <c r="I695" s="12"/>
      <c r="M695" s="12"/>
      <c r="N695" s="18"/>
      <c r="O695" s="12"/>
      <c r="P695" s="12"/>
      <c r="Q695" s="12"/>
      <c r="R695" s="36"/>
      <c r="S695" s="36"/>
      <c r="T695" s="12"/>
      <c r="U695" s="12"/>
      <c r="V695" s="12"/>
      <c r="W695" s="12"/>
      <c r="X695" s="12"/>
    </row>
    <row r="696" customFormat="false" ht="15.75" hidden="false" customHeight="false" outlineLevel="0" collapsed="false">
      <c r="A696" s="12"/>
      <c r="B696" s="34"/>
      <c r="C696" s="12"/>
      <c r="D696" s="12"/>
      <c r="E696" s="12"/>
      <c r="F696" s="12"/>
      <c r="G696" s="18"/>
      <c r="H696" s="35"/>
      <c r="I696" s="12"/>
      <c r="M696" s="12"/>
      <c r="N696" s="18"/>
      <c r="O696" s="12"/>
      <c r="P696" s="12"/>
      <c r="Q696" s="12"/>
      <c r="R696" s="36"/>
      <c r="S696" s="36"/>
      <c r="T696" s="12"/>
      <c r="U696" s="12"/>
      <c r="V696" s="12"/>
      <c r="W696" s="12"/>
      <c r="X696" s="12"/>
    </row>
    <row r="697" customFormat="false" ht="15.75" hidden="false" customHeight="false" outlineLevel="0" collapsed="false">
      <c r="A697" s="12"/>
      <c r="B697" s="34"/>
      <c r="C697" s="12"/>
      <c r="D697" s="12"/>
      <c r="E697" s="12"/>
      <c r="F697" s="12"/>
      <c r="G697" s="18"/>
      <c r="H697" s="35"/>
      <c r="I697" s="12"/>
      <c r="M697" s="12"/>
      <c r="N697" s="18"/>
      <c r="O697" s="12"/>
      <c r="P697" s="12"/>
      <c r="Q697" s="12"/>
      <c r="R697" s="36"/>
      <c r="S697" s="36"/>
      <c r="T697" s="12"/>
      <c r="U697" s="12"/>
      <c r="V697" s="12"/>
      <c r="W697" s="12"/>
      <c r="X697" s="12"/>
    </row>
    <row r="698" customFormat="false" ht="15.75" hidden="false" customHeight="false" outlineLevel="0" collapsed="false">
      <c r="A698" s="12"/>
      <c r="B698" s="34"/>
      <c r="C698" s="12"/>
      <c r="D698" s="12"/>
      <c r="E698" s="12"/>
      <c r="F698" s="12"/>
      <c r="G698" s="18"/>
      <c r="H698" s="35"/>
      <c r="I698" s="12"/>
      <c r="M698" s="12"/>
      <c r="N698" s="18"/>
      <c r="O698" s="12"/>
      <c r="P698" s="12"/>
      <c r="Q698" s="12"/>
      <c r="R698" s="36"/>
      <c r="S698" s="36"/>
      <c r="T698" s="12"/>
      <c r="U698" s="12"/>
      <c r="V698" s="12"/>
      <c r="W698" s="12"/>
      <c r="X698" s="12"/>
    </row>
    <row r="699" customFormat="false" ht="15.75" hidden="false" customHeight="false" outlineLevel="0" collapsed="false">
      <c r="A699" s="12"/>
      <c r="B699" s="34"/>
      <c r="C699" s="12"/>
      <c r="D699" s="12"/>
      <c r="E699" s="12"/>
      <c r="F699" s="12"/>
      <c r="G699" s="18"/>
      <c r="H699" s="35"/>
      <c r="I699" s="12"/>
      <c r="M699" s="12"/>
      <c r="N699" s="18"/>
      <c r="O699" s="12"/>
      <c r="P699" s="12"/>
      <c r="Q699" s="12"/>
      <c r="R699" s="36"/>
      <c r="S699" s="36"/>
      <c r="T699" s="12"/>
      <c r="U699" s="12"/>
      <c r="V699" s="12"/>
      <c r="W699" s="12"/>
      <c r="X699" s="12"/>
    </row>
    <row r="700" customFormat="false" ht="15.75" hidden="false" customHeight="false" outlineLevel="0" collapsed="false">
      <c r="A700" s="12"/>
      <c r="B700" s="34"/>
      <c r="C700" s="12"/>
      <c r="D700" s="12"/>
      <c r="E700" s="12"/>
      <c r="F700" s="12"/>
      <c r="G700" s="18"/>
      <c r="H700" s="35"/>
      <c r="I700" s="12"/>
      <c r="M700" s="12"/>
      <c r="N700" s="18"/>
      <c r="O700" s="12"/>
      <c r="P700" s="12"/>
      <c r="Q700" s="12"/>
      <c r="R700" s="36"/>
      <c r="S700" s="36"/>
      <c r="T700" s="12"/>
      <c r="U700" s="12"/>
      <c r="V700" s="12"/>
      <c r="W700" s="12"/>
      <c r="X700" s="12"/>
    </row>
    <row r="701" customFormat="false" ht="15.75" hidden="false" customHeight="false" outlineLevel="0" collapsed="false">
      <c r="A701" s="12"/>
      <c r="B701" s="34"/>
      <c r="C701" s="12"/>
      <c r="D701" s="12"/>
      <c r="E701" s="12"/>
      <c r="F701" s="12"/>
      <c r="G701" s="18"/>
      <c r="H701" s="35"/>
      <c r="I701" s="12"/>
      <c r="M701" s="12"/>
      <c r="N701" s="18"/>
      <c r="O701" s="12"/>
      <c r="P701" s="12"/>
      <c r="Q701" s="12"/>
      <c r="R701" s="36"/>
      <c r="S701" s="36"/>
      <c r="T701" s="12"/>
      <c r="U701" s="12"/>
      <c r="V701" s="12"/>
      <c r="W701" s="12"/>
      <c r="X701" s="12"/>
    </row>
    <row r="702" customFormat="false" ht="15.75" hidden="false" customHeight="false" outlineLevel="0" collapsed="false">
      <c r="A702" s="12"/>
      <c r="B702" s="34"/>
      <c r="C702" s="12"/>
      <c r="D702" s="12"/>
      <c r="E702" s="12"/>
      <c r="F702" s="12"/>
      <c r="G702" s="18"/>
      <c r="H702" s="35"/>
      <c r="I702" s="12"/>
      <c r="M702" s="12"/>
      <c r="N702" s="18"/>
      <c r="O702" s="12"/>
      <c r="P702" s="12"/>
      <c r="Q702" s="12"/>
      <c r="R702" s="36"/>
      <c r="S702" s="36"/>
      <c r="T702" s="12"/>
      <c r="U702" s="12"/>
      <c r="V702" s="12"/>
      <c r="W702" s="12"/>
      <c r="X702" s="12"/>
    </row>
    <row r="703" customFormat="false" ht="15.75" hidden="false" customHeight="false" outlineLevel="0" collapsed="false">
      <c r="A703" s="12"/>
      <c r="B703" s="34"/>
      <c r="C703" s="12"/>
      <c r="D703" s="12"/>
      <c r="E703" s="12"/>
      <c r="F703" s="12"/>
      <c r="G703" s="18"/>
      <c r="H703" s="35"/>
      <c r="I703" s="12"/>
      <c r="M703" s="12"/>
      <c r="N703" s="18"/>
      <c r="O703" s="12"/>
      <c r="P703" s="12"/>
      <c r="Q703" s="12"/>
      <c r="R703" s="36"/>
      <c r="S703" s="36"/>
      <c r="T703" s="12"/>
      <c r="U703" s="12"/>
      <c r="V703" s="12"/>
      <c r="W703" s="12"/>
      <c r="X703" s="12"/>
    </row>
    <row r="704" customFormat="false" ht="15.75" hidden="false" customHeight="false" outlineLevel="0" collapsed="false">
      <c r="A704" s="12"/>
      <c r="B704" s="34"/>
      <c r="C704" s="12"/>
      <c r="D704" s="12"/>
      <c r="E704" s="12"/>
      <c r="F704" s="12"/>
      <c r="G704" s="18"/>
      <c r="H704" s="35"/>
      <c r="I704" s="12"/>
      <c r="M704" s="12"/>
      <c r="N704" s="18"/>
      <c r="O704" s="12"/>
      <c r="P704" s="12"/>
      <c r="Q704" s="12"/>
      <c r="R704" s="36"/>
      <c r="S704" s="36"/>
      <c r="T704" s="12"/>
      <c r="U704" s="12"/>
      <c r="V704" s="12"/>
      <c r="W704" s="12"/>
      <c r="X704" s="12"/>
    </row>
    <row r="705" customFormat="false" ht="15.75" hidden="false" customHeight="false" outlineLevel="0" collapsed="false">
      <c r="A705" s="12"/>
      <c r="B705" s="34"/>
      <c r="C705" s="12"/>
      <c r="D705" s="12"/>
      <c r="E705" s="12"/>
      <c r="F705" s="12"/>
      <c r="G705" s="18"/>
      <c r="H705" s="35"/>
      <c r="I705" s="12"/>
      <c r="M705" s="12"/>
      <c r="N705" s="18"/>
      <c r="O705" s="12"/>
      <c r="P705" s="12"/>
      <c r="Q705" s="12"/>
      <c r="R705" s="36"/>
      <c r="S705" s="36"/>
      <c r="T705" s="12"/>
      <c r="U705" s="12"/>
      <c r="V705" s="12"/>
      <c r="W705" s="12"/>
      <c r="X705" s="12"/>
    </row>
    <row r="706" customFormat="false" ht="15.75" hidden="false" customHeight="false" outlineLevel="0" collapsed="false">
      <c r="A706" s="12"/>
      <c r="B706" s="34"/>
      <c r="C706" s="12"/>
      <c r="D706" s="12"/>
      <c r="E706" s="12"/>
      <c r="F706" s="12"/>
      <c r="G706" s="18"/>
      <c r="H706" s="35"/>
      <c r="I706" s="12"/>
      <c r="M706" s="12"/>
      <c r="N706" s="18"/>
      <c r="O706" s="12"/>
      <c r="P706" s="12"/>
      <c r="Q706" s="12"/>
      <c r="R706" s="36"/>
      <c r="S706" s="36"/>
      <c r="T706" s="12"/>
      <c r="U706" s="12"/>
      <c r="V706" s="12"/>
      <c r="W706" s="12"/>
      <c r="X706" s="12"/>
    </row>
    <row r="707" customFormat="false" ht="15.75" hidden="false" customHeight="false" outlineLevel="0" collapsed="false">
      <c r="A707" s="12"/>
      <c r="B707" s="34"/>
      <c r="C707" s="12"/>
      <c r="D707" s="12"/>
      <c r="E707" s="12"/>
      <c r="F707" s="12"/>
      <c r="G707" s="18"/>
      <c r="H707" s="35"/>
      <c r="I707" s="12"/>
      <c r="M707" s="12"/>
      <c r="N707" s="18"/>
      <c r="O707" s="12"/>
      <c r="P707" s="12"/>
      <c r="Q707" s="12"/>
      <c r="R707" s="36"/>
      <c r="S707" s="36"/>
      <c r="T707" s="12"/>
      <c r="U707" s="12"/>
      <c r="V707" s="12"/>
      <c r="W707" s="12"/>
      <c r="X707" s="12"/>
    </row>
    <row r="708" customFormat="false" ht="15.75" hidden="false" customHeight="false" outlineLevel="0" collapsed="false">
      <c r="A708" s="12"/>
      <c r="B708" s="34"/>
      <c r="C708" s="12"/>
      <c r="D708" s="12"/>
      <c r="E708" s="12"/>
      <c r="F708" s="12"/>
      <c r="G708" s="18"/>
      <c r="H708" s="35"/>
      <c r="I708" s="12"/>
      <c r="M708" s="12"/>
      <c r="N708" s="18"/>
      <c r="O708" s="12"/>
      <c r="P708" s="12"/>
      <c r="Q708" s="12"/>
      <c r="R708" s="36"/>
      <c r="S708" s="36"/>
      <c r="T708" s="12"/>
      <c r="U708" s="12"/>
      <c r="V708" s="12"/>
      <c r="W708" s="12"/>
      <c r="X708" s="12"/>
    </row>
    <row r="709" customFormat="false" ht="15.75" hidden="false" customHeight="false" outlineLevel="0" collapsed="false">
      <c r="A709" s="12"/>
      <c r="B709" s="34"/>
      <c r="C709" s="12"/>
      <c r="D709" s="12"/>
      <c r="E709" s="12"/>
      <c r="F709" s="12"/>
      <c r="G709" s="18"/>
      <c r="H709" s="35"/>
      <c r="I709" s="12"/>
      <c r="M709" s="12"/>
      <c r="N709" s="18"/>
      <c r="O709" s="12"/>
      <c r="P709" s="12"/>
      <c r="Q709" s="12"/>
      <c r="R709" s="36"/>
      <c r="S709" s="36"/>
      <c r="T709" s="12"/>
      <c r="U709" s="12"/>
      <c r="V709" s="12"/>
      <c r="W709" s="12"/>
      <c r="X709" s="12"/>
    </row>
    <row r="710" customFormat="false" ht="15.75" hidden="false" customHeight="false" outlineLevel="0" collapsed="false">
      <c r="A710" s="12"/>
      <c r="B710" s="34"/>
      <c r="C710" s="12"/>
      <c r="D710" s="12"/>
      <c r="E710" s="12"/>
      <c r="F710" s="12"/>
      <c r="G710" s="18"/>
      <c r="H710" s="35"/>
      <c r="I710" s="12"/>
      <c r="M710" s="12"/>
      <c r="N710" s="18"/>
      <c r="O710" s="12"/>
      <c r="P710" s="12"/>
      <c r="Q710" s="12"/>
      <c r="R710" s="36"/>
      <c r="S710" s="36"/>
      <c r="T710" s="12"/>
      <c r="U710" s="12"/>
      <c r="V710" s="12"/>
      <c r="W710" s="12"/>
      <c r="X710" s="12"/>
    </row>
    <row r="711" customFormat="false" ht="15.75" hidden="false" customHeight="false" outlineLevel="0" collapsed="false">
      <c r="A711" s="12"/>
      <c r="B711" s="34"/>
      <c r="C711" s="12"/>
      <c r="D711" s="12"/>
      <c r="E711" s="12"/>
      <c r="F711" s="12"/>
      <c r="G711" s="18"/>
      <c r="H711" s="35"/>
      <c r="I711" s="12"/>
      <c r="M711" s="12"/>
      <c r="N711" s="18"/>
      <c r="O711" s="12"/>
      <c r="P711" s="12"/>
      <c r="Q711" s="12"/>
      <c r="R711" s="36"/>
      <c r="S711" s="36"/>
      <c r="T711" s="12"/>
      <c r="U711" s="12"/>
      <c r="V711" s="12"/>
      <c r="W711" s="12"/>
      <c r="X711" s="12"/>
    </row>
    <row r="712" customFormat="false" ht="15.75" hidden="false" customHeight="false" outlineLevel="0" collapsed="false">
      <c r="A712" s="12"/>
      <c r="B712" s="34"/>
      <c r="C712" s="12"/>
      <c r="D712" s="12"/>
      <c r="E712" s="12"/>
      <c r="F712" s="12"/>
      <c r="G712" s="18"/>
      <c r="H712" s="35"/>
      <c r="I712" s="12"/>
      <c r="M712" s="12"/>
      <c r="N712" s="18"/>
      <c r="O712" s="12"/>
      <c r="P712" s="12"/>
      <c r="Q712" s="12"/>
      <c r="R712" s="36"/>
      <c r="S712" s="36"/>
      <c r="T712" s="12"/>
      <c r="U712" s="12"/>
      <c r="V712" s="12"/>
      <c r="W712" s="12"/>
      <c r="X712" s="12"/>
    </row>
    <row r="713" customFormat="false" ht="15.75" hidden="false" customHeight="false" outlineLevel="0" collapsed="false">
      <c r="A713" s="12"/>
      <c r="B713" s="34"/>
      <c r="C713" s="12"/>
      <c r="D713" s="12"/>
      <c r="E713" s="12"/>
      <c r="F713" s="12"/>
      <c r="G713" s="18"/>
      <c r="H713" s="35"/>
      <c r="I713" s="12"/>
      <c r="M713" s="12"/>
      <c r="N713" s="18"/>
      <c r="O713" s="12"/>
      <c r="P713" s="12"/>
      <c r="Q713" s="12"/>
      <c r="R713" s="36"/>
      <c r="S713" s="36"/>
      <c r="T713" s="12"/>
      <c r="U713" s="12"/>
      <c r="V713" s="12"/>
      <c r="W713" s="12"/>
      <c r="X713" s="12"/>
    </row>
    <row r="714" customFormat="false" ht="15.75" hidden="false" customHeight="false" outlineLevel="0" collapsed="false">
      <c r="A714" s="12"/>
      <c r="B714" s="34"/>
      <c r="C714" s="12"/>
      <c r="D714" s="12"/>
      <c r="E714" s="12"/>
      <c r="F714" s="12"/>
      <c r="G714" s="18"/>
      <c r="H714" s="35"/>
      <c r="I714" s="12"/>
      <c r="M714" s="12"/>
      <c r="N714" s="18"/>
      <c r="O714" s="12"/>
      <c r="P714" s="12"/>
      <c r="Q714" s="12"/>
      <c r="R714" s="36"/>
      <c r="S714" s="36"/>
      <c r="T714" s="12"/>
      <c r="U714" s="12"/>
      <c r="V714" s="12"/>
      <c r="W714" s="12"/>
      <c r="X714" s="12"/>
    </row>
    <row r="715" customFormat="false" ht="15.75" hidden="false" customHeight="false" outlineLevel="0" collapsed="false">
      <c r="A715" s="12"/>
      <c r="B715" s="34"/>
      <c r="C715" s="12"/>
      <c r="D715" s="12"/>
      <c r="E715" s="12"/>
      <c r="F715" s="12"/>
      <c r="G715" s="18"/>
      <c r="H715" s="35"/>
      <c r="I715" s="12"/>
      <c r="M715" s="12"/>
      <c r="N715" s="18"/>
      <c r="O715" s="12"/>
      <c r="P715" s="12"/>
      <c r="Q715" s="12"/>
      <c r="R715" s="36"/>
      <c r="S715" s="36"/>
      <c r="T715" s="12"/>
      <c r="U715" s="12"/>
      <c r="V715" s="12"/>
      <c r="W715" s="12"/>
      <c r="X715" s="12"/>
    </row>
    <row r="716" customFormat="false" ht="15.75" hidden="false" customHeight="false" outlineLevel="0" collapsed="false">
      <c r="A716" s="12"/>
      <c r="B716" s="34"/>
      <c r="C716" s="12"/>
      <c r="D716" s="12"/>
      <c r="E716" s="12"/>
      <c r="F716" s="12"/>
      <c r="G716" s="18"/>
      <c r="H716" s="35"/>
      <c r="I716" s="12"/>
      <c r="M716" s="12"/>
      <c r="N716" s="18"/>
      <c r="O716" s="12"/>
      <c r="P716" s="12"/>
      <c r="Q716" s="12"/>
      <c r="R716" s="36"/>
      <c r="S716" s="36"/>
      <c r="T716" s="12"/>
      <c r="U716" s="12"/>
      <c r="V716" s="12"/>
      <c r="W716" s="12"/>
      <c r="X716" s="12"/>
    </row>
    <row r="717" customFormat="false" ht="15.75" hidden="false" customHeight="false" outlineLevel="0" collapsed="false">
      <c r="A717" s="12"/>
      <c r="B717" s="34"/>
      <c r="C717" s="12"/>
      <c r="D717" s="12"/>
      <c r="E717" s="12"/>
      <c r="F717" s="12"/>
      <c r="G717" s="18"/>
      <c r="H717" s="35"/>
      <c r="I717" s="12"/>
      <c r="M717" s="12"/>
      <c r="N717" s="18"/>
      <c r="O717" s="12"/>
      <c r="P717" s="12"/>
      <c r="Q717" s="12"/>
      <c r="R717" s="36"/>
      <c r="S717" s="36"/>
      <c r="T717" s="12"/>
      <c r="U717" s="12"/>
      <c r="V717" s="12"/>
      <c r="W717" s="12"/>
      <c r="X717" s="12"/>
    </row>
    <row r="718" customFormat="false" ht="15.75" hidden="false" customHeight="false" outlineLevel="0" collapsed="false">
      <c r="A718" s="12"/>
      <c r="B718" s="34"/>
      <c r="C718" s="12"/>
      <c r="D718" s="12"/>
      <c r="E718" s="12"/>
      <c r="F718" s="12"/>
      <c r="G718" s="18"/>
      <c r="H718" s="35"/>
      <c r="I718" s="12"/>
      <c r="M718" s="12"/>
      <c r="N718" s="18"/>
      <c r="O718" s="12"/>
      <c r="P718" s="12"/>
      <c r="Q718" s="12"/>
      <c r="R718" s="36"/>
      <c r="S718" s="36"/>
      <c r="T718" s="12"/>
      <c r="U718" s="12"/>
      <c r="V718" s="12"/>
      <c r="W718" s="12"/>
      <c r="X718" s="12"/>
    </row>
    <row r="719" customFormat="false" ht="15.75" hidden="false" customHeight="false" outlineLevel="0" collapsed="false">
      <c r="A719" s="12"/>
      <c r="B719" s="34"/>
      <c r="C719" s="12"/>
      <c r="D719" s="12"/>
      <c r="E719" s="12"/>
      <c r="F719" s="12"/>
      <c r="G719" s="18"/>
      <c r="H719" s="35"/>
      <c r="I719" s="12"/>
      <c r="M719" s="12"/>
      <c r="N719" s="18"/>
      <c r="O719" s="12"/>
      <c r="P719" s="12"/>
      <c r="Q719" s="12"/>
      <c r="R719" s="36"/>
      <c r="S719" s="36"/>
      <c r="T719" s="12"/>
      <c r="U719" s="12"/>
      <c r="V719" s="12"/>
      <c r="W719" s="12"/>
      <c r="X719" s="12"/>
    </row>
    <row r="720" customFormat="false" ht="15.75" hidden="false" customHeight="false" outlineLevel="0" collapsed="false">
      <c r="A720" s="12"/>
      <c r="B720" s="34"/>
      <c r="C720" s="12"/>
      <c r="D720" s="12"/>
      <c r="E720" s="12"/>
      <c r="F720" s="12"/>
      <c r="G720" s="18"/>
      <c r="H720" s="35"/>
      <c r="I720" s="12"/>
      <c r="M720" s="12"/>
      <c r="N720" s="18"/>
      <c r="O720" s="12"/>
      <c r="P720" s="12"/>
      <c r="Q720" s="12"/>
      <c r="R720" s="36"/>
      <c r="S720" s="36"/>
      <c r="T720" s="12"/>
      <c r="U720" s="12"/>
      <c r="V720" s="12"/>
      <c r="W720" s="12"/>
      <c r="X720" s="12"/>
    </row>
    <row r="721" customFormat="false" ht="15.75" hidden="false" customHeight="false" outlineLevel="0" collapsed="false">
      <c r="A721" s="12"/>
      <c r="B721" s="34"/>
      <c r="C721" s="12"/>
      <c r="D721" s="12"/>
      <c r="E721" s="12"/>
      <c r="F721" s="12"/>
      <c r="G721" s="18"/>
      <c r="H721" s="35"/>
      <c r="I721" s="12"/>
      <c r="M721" s="12"/>
      <c r="N721" s="18"/>
      <c r="O721" s="12"/>
      <c r="P721" s="12"/>
      <c r="Q721" s="12"/>
      <c r="R721" s="36"/>
      <c r="S721" s="36"/>
      <c r="T721" s="12"/>
      <c r="U721" s="12"/>
      <c r="V721" s="12"/>
      <c r="W721" s="12"/>
      <c r="X721" s="12"/>
    </row>
    <row r="722" customFormat="false" ht="15.75" hidden="false" customHeight="false" outlineLevel="0" collapsed="false">
      <c r="A722" s="12"/>
      <c r="B722" s="34"/>
      <c r="C722" s="12"/>
      <c r="D722" s="12"/>
      <c r="E722" s="12"/>
      <c r="F722" s="12"/>
      <c r="G722" s="18"/>
      <c r="H722" s="35"/>
      <c r="I722" s="12"/>
      <c r="M722" s="12"/>
      <c r="N722" s="18"/>
      <c r="O722" s="12"/>
      <c r="P722" s="12"/>
      <c r="Q722" s="12"/>
      <c r="R722" s="36"/>
      <c r="S722" s="36"/>
      <c r="T722" s="12"/>
      <c r="U722" s="12"/>
      <c r="V722" s="12"/>
      <c r="W722" s="12"/>
      <c r="X722" s="12"/>
    </row>
    <row r="723" customFormat="false" ht="15.75" hidden="false" customHeight="false" outlineLevel="0" collapsed="false">
      <c r="A723" s="12"/>
      <c r="B723" s="34"/>
      <c r="C723" s="12"/>
      <c r="D723" s="12"/>
      <c r="E723" s="12"/>
      <c r="F723" s="12"/>
      <c r="G723" s="18"/>
      <c r="H723" s="35"/>
      <c r="I723" s="12"/>
      <c r="M723" s="12"/>
      <c r="N723" s="18"/>
      <c r="O723" s="12"/>
      <c r="P723" s="12"/>
      <c r="Q723" s="12"/>
      <c r="R723" s="36"/>
      <c r="S723" s="36"/>
      <c r="T723" s="12"/>
      <c r="U723" s="12"/>
      <c r="V723" s="12"/>
      <c r="W723" s="12"/>
      <c r="X723" s="12"/>
    </row>
    <row r="724" customFormat="false" ht="15.75" hidden="false" customHeight="false" outlineLevel="0" collapsed="false">
      <c r="A724" s="12"/>
      <c r="B724" s="34"/>
      <c r="C724" s="12"/>
      <c r="D724" s="12"/>
      <c r="E724" s="12"/>
      <c r="F724" s="12"/>
      <c r="G724" s="18"/>
      <c r="H724" s="35"/>
      <c r="I724" s="12"/>
      <c r="M724" s="12"/>
      <c r="N724" s="18"/>
      <c r="O724" s="12"/>
      <c r="P724" s="12"/>
      <c r="Q724" s="12"/>
      <c r="R724" s="36"/>
      <c r="S724" s="36"/>
      <c r="T724" s="12"/>
      <c r="U724" s="12"/>
      <c r="V724" s="12"/>
      <c r="W724" s="12"/>
      <c r="X724" s="12"/>
    </row>
    <row r="725" customFormat="false" ht="15.75" hidden="false" customHeight="false" outlineLevel="0" collapsed="false">
      <c r="A725" s="12"/>
      <c r="B725" s="34"/>
      <c r="C725" s="12"/>
      <c r="D725" s="12"/>
      <c r="E725" s="12"/>
      <c r="F725" s="12"/>
      <c r="G725" s="18"/>
      <c r="H725" s="35"/>
      <c r="I725" s="12"/>
      <c r="M725" s="12"/>
      <c r="N725" s="18"/>
      <c r="O725" s="12"/>
      <c r="P725" s="12"/>
      <c r="Q725" s="12"/>
      <c r="R725" s="36"/>
      <c r="S725" s="36"/>
      <c r="T725" s="12"/>
      <c r="U725" s="12"/>
      <c r="V725" s="12"/>
      <c r="W725" s="12"/>
      <c r="X725" s="12"/>
    </row>
    <row r="726" customFormat="false" ht="15.75" hidden="false" customHeight="false" outlineLevel="0" collapsed="false">
      <c r="A726" s="12"/>
      <c r="B726" s="34"/>
      <c r="C726" s="12"/>
      <c r="D726" s="12"/>
      <c r="E726" s="12"/>
      <c r="F726" s="12"/>
      <c r="G726" s="18"/>
      <c r="H726" s="35"/>
      <c r="I726" s="12"/>
      <c r="M726" s="12"/>
      <c r="N726" s="18"/>
      <c r="O726" s="12"/>
      <c r="P726" s="12"/>
      <c r="Q726" s="12"/>
      <c r="R726" s="36"/>
      <c r="S726" s="36"/>
      <c r="T726" s="12"/>
      <c r="U726" s="12"/>
      <c r="V726" s="12"/>
      <c r="W726" s="12"/>
      <c r="X726" s="12"/>
    </row>
    <row r="727" customFormat="false" ht="15.75" hidden="false" customHeight="false" outlineLevel="0" collapsed="false">
      <c r="A727" s="12"/>
      <c r="B727" s="34"/>
      <c r="C727" s="12"/>
      <c r="D727" s="12"/>
      <c r="E727" s="12"/>
      <c r="F727" s="12"/>
      <c r="G727" s="18"/>
      <c r="H727" s="35"/>
      <c r="I727" s="12"/>
      <c r="M727" s="12"/>
      <c r="N727" s="18"/>
      <c r="O727" s="12"/>
      <c r="P727" s="12"/>
      <c r="Q727" s="12"/>
      <c r="R727" s="36"/>
      <c r="S727" s="36"/>
      <c r="T727" s="12"/>
      <c r="U727" s="12"/>
      <c r="V727" s="12"/>
      <c r="W727" s="12"/>
      <c r="X727" s="12"/>
    </row>
    <row r="728" customFormat="false" ht="15.75" hidden="false" customHeight="false" outlineLevel="0" collapsed="false">
      <c r="A728" s="12"/>
      <c r="B728" s="34"/>
      <c r="C728" s="12"/>
      <c r="D728" s="12"/>
      <c r="E728" s="12"/>
      <c r="F728" s="12"/>
      <c r="G728" s="18"/>
      <c r="H728" s="35"/>
      <c r="I728" s="12"/>
      <c r="M728" s="12"/>
      <c r="N728" s="18"/>
      <c r="O728" s="12"/>
      <c r="P728" s="12"/>
      <c r="Q728" s="12"/>
      <c r="R728" s="36"/>
      <c r="S728" s="36"/>
      <c r="T728" s="12"/>
      <c r="U728" s="12"/>
      <c r="V728" s="12"/>
      <c r="W728" s="12"/>
      <c r="X728" s="12"/>
    </row>
    <row r="729" customFormat="false" ht="15.75" hidden="false" customHeight="false" outlineLevel="0" collapsed="false">
      <c r="A729" s="12"/>
      <c r="B729" s="34"/>
      <c r="C729" s="12"/>
      <c r="D729" s="12"/>
      <c r="E729" s="12"/>
      <c r="F729" s="12"/>
      <c r="G729" s="18"/>
      <c r="H729" s="35"/>
      <c r="I729" s="12"/>
      <c r="M729" s="12"/>
      <c r="N729" s="18"/>
      <c r="O729" s="12"/>
      <c r="P729" s="12"/>
      <c r="Q729" s="12"/>
      <c r="R729" s="36"/>
      <c r="S729" s="36"/>
      <c r="T729" s="12"/>
      <c r="U729" s="12"/>
      <c r="V729" s="12"/>
      <c r="W729" s="12"/>
      <c r="X729" s="12"/>
    </row>
    <row r="730" customFormat="false" ht="15.75" hidden="false" customHeight="false" outlineLevel="0" collapsed="false">
      <c r="A730" s="12"/>
      <c r="B730" s="34"/>
      <c r="C730" s="12"/>
      <c r="D730" s="12"/>
      <c r="E730" s="12"/>
      <c r="F730" s="12"/>
      <c r="G730" s="18"/>
      <c r="H730" s="35"/>
      <c r="I730" s="12"/>
      <c r="M730" s="12"/>
      <c r="N730" s="18"/>
      <c r="O730" s="12"/>
      <c r="P730" s="12"/>
      <c r="Q730" s="12"/>
      <c r="R730" s="36"/>
      <c r="S730" s="36"/>
      <c r="T730" s="12"/>
      <c r="U730" s="12"/>
      <c r="V730" s="12"/>
      <c r="W730" s="12"/>
      <c r="X730" s="12"/>
    </row>
    <row r="731" customFormat="false" ht="15.75" hidden="false" customHeight="false" outlineLevel="0" collapsed="false">
      <c r="A731" s="12"/>
      <c r="B731" s="34"/>
      <c r="C731" s="12"/>
      <c r="D731" s="12"/>
      <c r="E731" s="12"/>
      <c r="F731" s="12"/>
      <c r="G731" s="18"/>
      <c r="H731" s="35"/>
      <c r="I731" s="12"/>
      <c r="M731" s="12"/>
      <c r="N731" s="18"/>
      <c r="O731" s="12"/>
      <c r="P731" s="12"/>
      <c r="Q731" s="12"/>
      <c r="R731" s="36"/>
      <c r="S731" s="36"/>
      <c r="T731" s="12"/>
      <c r="U731" s="12"/>
      <c r="V731" s="12"/>
      <c r="W731" s="12"/>
      <c r="X731" s="12"/>
    </row>
    <row r="732" customFormat="false" ht="15.75" hidden="false" customHeight="false" outlineLevel="0" collapsed="false">
      <c r="A732" s="12"/>
      <c r="B732" s="34"/>
      <c r="C732" s="12"/>
      <c r="D732" s="12"/>
      <c r="E732" s="12"/>
      <c r="F732" s="12"/>
      <c r="G732" s="18"/>
      <c r="H732" s="35"/>
      <c r="I732" s="12"/>
      <c r="M732" s="12"/>
      <c r="N732" s="18"/>
      <c r="O732" s="12"/>
      <c r="P732" s="12"/>
      <c r="Q732" s="12"/>
      <c r="R732" s="36"/>
      <c r="S732" s="36"/>
      <c r="T732" s="12"/>
      <c r="U732" s="12"/>
      <c r="V732" s="12"/>
      <c r="W732" s="12"/>
      <c r="X732" s="12"/>
    </row>
    <row r="733" customFormat="false" ht="15.75" hidden="false" customHeight="false" outlineLevel="0" collapsed="false">
      <c r="A733" s="12"/>
      <c r="B733" s="34"/>
      <c r="C733" s="12"/>
      <c r="D733" s="12"/>
      <c r="E733" s="12"/>
      <c r="F733" s="12"/>
      <c r="G733" s="18"/>
      <c r="H733" s="35"/>
      <c r="I733" s="12"/>
      <c r="M733" s="12"/>
      <c r="N733" s="18"/>
      <c r="O733" s="12"/>
      <c r="P733" s="12"/>
      <c r="Q733" s="12"/>
      <c r="R733" s="36"/>
      <c r="S733" s="36"/>
      <c r="T733" s="12"/>
      <c r="U733" s="12"/>
      <c r="V733" s="12"/>
      <c r="W733" s="12"/>
      <c r="X733" s="12"/>
    </row>
    <row r="734" customFormat="false" ht="15.75" hidden="false" customHeight="false" outlineLevel="0" collapsed="false">
      <c r="A734" s="12"/>
      <c r="B734" s="34"/>
      <c r="C734" s="12"/>
      <c r="D734" s="12"/>
      <c r="E734" s="12"/>
      <c r="F734" s="12"/>
      <c r="G734" s="18"/>
      <c r="H734" s="35"/>
      <c r="I734" s="12"/>
      <c r="M734" s="12"/>
      <c r="N734" s="18"/>
      <c r="O734" s="12"/>
      <c r="P734" s="12"/>
      <c r="Q734" s="12"/>
      <c r="R734" s="36"/>
      <c r="S734" s="36"/>
      <c r="T734" s="12"/>
      <c r="U734" s="12"/>
      <c r="V734" s="12"/>
      <c r="W734" s="12"/>
      <c r="X734" s="12"/>
    </row>
    <row r="735" customFormat="false" ht="15.75" hidden="false" customHeight="false" outlineLevel="0" collapsed="false">
      <c r="A735" s="12"/>
      <c r="B735" s="34"/>
      <c r="C735" s="12"/>
      <c r="D735" s="12"/>
      <c r="E735" s="12"/>
      <c r="F735" s="12"/>
      <c r="G735" s="18"/>
      <c r="H735" s="35"/>
      <c r="I735" s="12"/>
      <c r="M735" s="12"/>
      <c r="N735" s="18"/>
      <c r="O735" s="12"/>
      <c r="P735" s="12"/>
      <c r="Q735" s="12"/>
      <c r="R735" s="36"/>
      <c r="S735" s="36"/>
      <c r="T735" s="12"/>
      <c r="U735" s="12"/>
      <c r="V735" s="12"/>
      <c r="W735" s="12"/>
      <c r="X735" s="12"/>
    </row>
    <row r="736" customFormat="false" ht="15.75" hidden="false" customHeight="false" outlineLevel="0" collapsed="false">
      <c r="A736" s="12"/>
      <c r="B736" s="34"/>
      <c r="C736" s="12"/>
      <c r="D736" s="12"/>
      <c r="E736" s="12"/>
      <c r="F736" s="12"/>
      <c r="G736" s="18"/>
      <c r="H736" s="35"/>
      <c r="I736" s="12"/>
      <c r="M736" s="12"/>
      <c r="N736" s="18"/>
      <c r="O736" s="12"/>
      <c r="P736" s="12"/>
      <c r="Q736" s="12"/>
      <c r="R736" s="36"/>
      <c r="S736" s="36"/>
      <c r="T736" s="12"/>
      <c r="U736" s="12"/>
      <c r="V736" s="12"/>
      <c r="W736" s="12"/>
      <c r="X736" s="12"/>
    </row>
    <row r="737" customFormat="false" ht="15.75" hidden="false" customHeight="false" outlineLevel="0" collapsed="false">
      <c r="A737" s="12"/>
      <c r="B737" s="34"/>
      <c r="C737" s="12"/>
      <c r="D737" s="12"/>
      <c r="E737" s="12"/>
      <c r="F737" s="12"/>
      <c r="G737" s="18"/>
      <c r="H737" s="35"/>
      <c r="I737" s="12"/>
      <c r="M737" s="12"/>
      <c r="N737" s="18"/>
      <c r="O737" s="12"/>
      <c r="P737" s="12"/>
      <c r="Q737" s="12"/>
      <c r="R737" s="36"/>
      <c r="S737" s="36"/>
      <c r="T737" s="12"/>
      <c r="U737" s="12"/>
      <c r="V737" s="12"/>
      <c r="W737" s="12"/>
      <c r="X737" s="12"/>
    </row>
    <row r="738" customFormat="false" ht="15.75" hidden="false" customHeight="false" outlineLevel="0" collapsed="false">
      <c r="A738" s="12"/>
      <c r="B738" s="34"/>
      <c r="C738" s="12"/>
      <c r="D738" s="12"/>
      <c r="E738" s="12"/>
      <c r="F738" s="12"/>
      <c r="G738" s="18"/>
      <c r="H738" s="35"/>
      <c r="I738" s="12"/>
      <c r="M738" s="12"/>
      <c r="N738" s="18"/>
      <c r="O738" s="12"/>
      <c r="P738" s="12"/>
      <c r="Q738" s="12"/>
      <c r="R738" s="36"/>
      <c r="S738" s="36"/>
      <c r="T738" s="12"/>
      <c r="U738" s="12"/>
      <c r="V738" s="12"/>
      <c r="W738" s="12"/>
      <c r="X738" s="12"/>
    </row>
    <row r="739" customFormat="false" ht="15.75" hidden="false" customHeight="false" outlineLevel="0" collapsed="false">
      <c r="A739" s="12"/>
      <c r="B739" s="34"/>
      <c r="C739" s="12"/>
      <c r="D739" s="12"/>
      <c r="E739" s="12"/>
      <c r="F739" s="12"/>
      <c r="G739" s="18"/>
      <c r="H739" s="35"/>
      <c r="I739" s="12"/>
      <c r="M739" s="12"/>
      <c r="N739" s="18"/>
      <c r="O739" s="12"/>
      <c r="P739" s="12"/>
      <c r="Q739" s="12"/>
      <c r="R739" s="36"/>
      <c r="S739" s="36"/>
      <c r="T739" s="12"/>
      <c r="U739" s="12"/>
      <c r="V739" s="12"/>
      <c r="W739" s="12"/>
      <c r="X739" s="12"/>
    </row>
    <row r="740" customFormat="false" ht="15.75" hidden="false" customHeight="false" outlineLevel="0" collapsed="false">
      <c r="A740" s="12"/>
      <c r="B740" s="34"/>
      <c r="C740" s="12"/>
      <c r="D740" s="12"/>
      <c r="E740" s="12"/>
      <c r="F740" s="12"/>
      <c r="G740" s="18"/>
      <c r="H740" s="35"/>
      <c r="I740" s="12"/>
      <c r="M740" s="12"/>
      <c r="N740" s="18"/>
      <c r="O740" s="12"/>
      <c r="P740" s="12"/>
      <c r="Q740" s="12"/>
      <c r="R740" s="36"/>
      <c r="S740" s="36"/>
      <c r="T740" s="12"/>
      <c r="U740" s="12"/>
      <c r="V740" s="12"/>
      <c r="W740" s="12"/>
      <c r="X740" s="12"/>
    </row>
    <row r="741" customFormat="false" ht="15.75" hidden="false" customHeight="false" outlineLevel="0" collapsed="false">
      <c r="A741" s="12"/>
      <c r="B741" s="34"/>
      <c r="C741" s="12"/>
      <c r="D741" s="12"/>
      <c r="E741" s="12"/>
      <c r="F741" s="12"/>
      <c r="G741" s="18"/>
      <c r="H741" s="35"/>
      <c r="I741" s="12"/>
      <c r="M741" s="12"/>
      <c r="N741" s="18"/>
      <c r="O741" s="12"/>
      <c r="P741" s="12"/>
      <c r="Q741" s="12"/>
      <c r="R741" s="36"/>
      <c r="S741" s="36"/>
      <c r="T741" s="12"/>
      <c r="U741" s="12"/>
      <c r="V741" s="12"/>
      <c r="W741" s="12"/>
      <c r="X741" s="12"/>
    </row>
    <row r="742" customFormat="false" ht="15.75" hidden="false" customHeight="false" outlineLevel="0" collapsed="false">
      <c r="A742" s="12"/>
      <c r="B742" s="34"/>
      <c r="C742" s="12"/>
      <c r="D742" s="12"/>
      <c r="E742" s="12"/>
      <c r="F742" s="12"/>
      <c r="G742" s="18"/>
      <c r="H742" s="35"/>
      <c r="I742" s="12"/>
      <c r="M742" s="12"/>
      <c r="N742" s="18"/>
      <c r="O742" s="12"/>
      <c r="P742" s="12"/>
      <c r="Q742" s="12"/>
      <c r="R742" s="36"/>
      <c r="S742" s="36"/>
      <c r="T742" s="12"/>
      <c r="U742" s="12"/>
      <c r="V742" s="12"/>
      <c r="W742" s="12"/>
      <c r="X742" s="12"/>
    </row>
    <row r="743" customFormat="false" ht="15.75" hidden="false" customHeight="false" outlineLevel="0" collapsed="false">
      <c r="A743" s="12"/>
      <c r="B743" s="34"/>
      <c r="C743" s="12"/>
      <c r="D743" s="12"/>
      <c r="E743" s="12"/>
      <c r="F743" s="12"/>
      <c r="G743" s="18"/>
      <c r="H743" s="35"/>
      <c r="I743" s="12"/>
      <c r="M743" s="12"/>
      <c r="N743" s="18"/>
      <c r="O743" s="12"/>
      <c r="P743" s="12"/>
      <c r="Q743" s="12"/>
      <c r="R743" s="36"/>
      <c r="S743" s="36"/>
      <c r="T743" s="12"/>
      <c r="U743" s="12"/>
      <c r="V743" s="12"/>
      <c r="W743" s="12"/>
      <c r="X743" s="12"/>
    </row>
    <row r="744" customFormat="false" ht="15.75" hidden="false" customHeight="false" outlineLevel="0" collapsed="false">
      <c r="A744" s="12"/>
      <c r="B744" s="34"/>
      <c r="C744" s="12"/>
      <c r="D744" s="12"/>
      <c r="E744" s="12"/>
      <c r="F744" s="12"/>
      <c r="G744" s="18"/>
      <c r="H744" s="35"/>
      <c r="I744" s="12"/>
      <c r="M744" s="12"/>
      <c r="N744" s="18"/>
      <c r="O744" s="12"/>
      <c r="P744" s="12"/>
      <c r="Q744" s="12"/>
      <c r="R744" s="36"/>
      <c r="S744" s="36"/>
      <c r="T744" s="12"/>
      <c r="U744" s="12"/>
      <c r="V744" s="12"/>
      <c r="W744" s="12"/>
      <c r="X744" s="12"/>
    </row>
    <row r="745" customFormat="false" ht="15.75" hidden="false" customHeight="false" outlineLevel="0" collapsed="false">
      <c r="A745" s="12"/>
      <c r="B745" s="34"/>
      <c r="C745" s="12"/>
      <c r="D745" s="12"/>
      <c r="E745" s="12"/>
      <c r="F745" s="12"/>
      <c r="G745" s="18"/>
      <c r="H745" s="35"/>
      <c r="I745" s="12"/>
      <c r="M745" s="12"/>
      <c r="N745" s="18"/>
      <c r="O745" s="12"/>
      <c r="P745" s="12"/>
      <c r="Q745" s="12"/>
      <c r="R745" s="36"/>
      <c r="S745" s="36"/>
      <c r="T745" s="12"/>
      <c r="U745" s="12"/>
      <c r="V745" s="12"/>
      <c r="W745" s="12"/>
      <c r="X745" s="12"/>
    </row>
    <row r="746" customFormat="false" ht="15.75" hidden="false" customHeight="false" outlineLevel="0" collapsed="false">
      <c r="A746" s="12"/>
      <c r="B746" s="34"/>
      <c r="C746" s="12"/>
      <c r="D746" s="12"/>
      <c r="E746" s="12"/>
      <c r="F746" s="12"/>
      <c r="G746" s="18"/>
      <c r="H746" s="35"/>
      <c r="I746" s="12"/>
      <c r="M746" s="12"/>
      <c r="N746" s="18"/>
      <c r="O746" s="12"/>
      <c r="P746" s="12"/>
      <c r="Q746" s="12"/>
      <c r="R746" s="36"/>
      <c r="S746" s="36"/>
      <c r="T746" s="12"/>
      <c r="U746" s="12"/>
      <c r="V746" s="12"/>
      <c r="W746" s="12"/>
      <c r="X746" s="12"/>
    </row>
    <row r="747" customFormat="false" ht="15.75" hidden="false" customHeight="false" outlineLevel="0" collapsed="false">
      <c r="A747" s="12"/>
      <c r="B747" s="34"/>
      <c r="C747" s="12"/>
      <c r="D747" s="12"/>
      <c r="E747" s="12"/>
      <c r="F747" s="12"/>
      <c r="G747" s="18"/>
      <c r="H747" s="35"/>
      <c r="I747" s="12"/>
      <c r="M747" s="12"/>
      <c r="N747" s="18"/>
      <c r="O747" s="12"/>
      <c r="P747" s="12"/>
      <c r="Q747" s="12"/>
      <c r="R747" s="36"/>
      <c r="S747" s="36"/>
      <c r="T747" s="12"/>
      <c r="U747" s="12"/>
      <c r="V747" s="12"/>
      <c r="W747" s="12"/>
      <c r="X747" s="12"/>
    </row>
    <row r="748" customFormat="false" ht="15.75" hidden="false" customHeight="false" outlineLevel="0" collapsed="false">
      <c r="A748" s="12"/>
      <c r="B748" s="34"/>
      <c r="C748" s="12"/>
      <c r="D748" s="12"/>
      <c r="E748" s="12"/>
      <c r="F748" s="12"/>
      <c r="G748" s="18"/>
      <c r="H748" s="35"/>
      <c r="I748" s="12"/>
      <c r="M748" s="12"/>
      <c r="N748" s="18"/>
      <c r="O748" s="12"/>
      <c r="P748" s="12"/>
      <c r="Q748" s="12"/>
      <c r="R748" s="36"/>
      <c r="S748" s="36"/>
      <c r="T748" s="12"/>
      <c r="U748" s="12"/>
      <c r="V748" s="12"/>
      <c r="W748" s="12"/>
      <c r="X748" s="12"/>
    </row>
    <row r="749" customFormat="false" ht="15.75" hidden="false" customHeight="false" outlineLevel="0" collapsed="false">
      <c r="A749" s="12"/>
      <c r="B749" s="34"/>
      <c r="C749" s="12"/>
      <c r="D749" s="12"/>
      <c r="E749" s="12"/>
      <c r="F749" s="12"/>
      <c r="G749" s="18"/>
      <c r="H749" s="35"/>
      <c r="I749" s="12"/>
      <c r="M749" s="12"/>
      <c r="N749" s="18"/>
      <c r="O749" s="12"/>
      <c r="P749" s="12"/>
      <c r="Q749" s="12"/>
      <c r="R749" s="36"/>
      <c r="S749" s="36"/>
      <c r="T749" s="12"/>
      <c r="U749" s="12"/>
      <c r="V749" s="12"/>
      <c r="W749" s="12"/>
      <c r="X749" s="12"/>
    </row>
    <row r="750" customFormat="false" ht="15.75" hidden="false" customHeight="false" outlineLevel="0" collapsed="false">
      <c r="A750" s="12"/>
      <c r="B750" s="34"/>
      <c r="C750" s="12"/>
      <c r="D750" s="12"/>
      <c r="E750" s="12"/>
      <c r="F750" s="12"/>
      <c r="G750" s="18"/>
      <c r="H750" s="35"/>
      <c r="I750" s="12"/>
      <c r="M750" s="12"/>
      <c r="N750" s="18"/>
      <c r="O750" s="12"/>
      <c r="P750" s="12"/>
      <c r="Q750" s="12"/>
      <c r="R750" s="36"/>
      <c r="S750" s="36"/>
      <c r="T750" s="12"/>
      <c r="U750" s="12"/>
      <c r="V750" s="12"/>
      <c r="W750" s="12"/>
      <c r="X750" s="12"/>
    </row>
    <row r="751" customFormat="false" ht="15.75" hidden="false" customHeight="false" outlineLevel="0" collapsed="false">
      <c r="A751" s="12"/>
      <c r="B751" s="34"/>
      <c r="C751" s="12"/>
      <c r="D751" s="12"/>
      <c r="E751" s="12"/>
      <c r="F751" s="12"/>
      <c r="G751" s="18"/>
      <c r="H751" s="35"/>
      <c r="I751" s="12"/>
      <c r="M751" s="12"/>
      <c r="N751" s="18"/>
      <c r="O751" s="12"/>
      <c r="P751" s="12"/>
      <c r="Q751" s="12"/>
      <c r="R751" s="36"/>
      <c r="S751" s="36"/>
      <c r="T751" s="12"/>
      <c r="U751" s="12"/>
      <c r="V751" s="12"/>
      <c r="W751" s="12"/>
      <c r="X751" s="12"/>
    </row>
    <row r="752" customFormat="false" ht="15.75" hidden="false" customHeight="false" outlineLevel="0" collapsed="false">
      <c r="A752" s="12"/>
      <c r="B752" s="34"/>
      <c r="C752" s="12"/>
      <c r="D752" s="12"/>
      <c r="E752" s="12"/>
      <c r="F752" s="12"/>
      <c r="G752" s="18"/>
      <c r="H752" s="35"/>
      <c r="I752" s="12"/>
      <c r="M752" s="12"/>
      <c r="N752" s="18"/>
      <c r="O752" s="12"/>
      <c r="P752" s="12"/>
      <c r="Q752" s="12"/>
      <c r="R752" s="36"/>
      <c r="S752" s="36"/>
      <c r="T752" s="12"/>
      <c r="U752" s="12"/>
      <c r="V752" s="12"/>
      <c r="W752" s="12"/>
      <c r="X752" s="12"/>
    </row>
    <row r="753" customFormat="false" ht="15.75" hidden="false" customHeight="false" outlineLevel="0" collapsed="false">
      <c r="A753" s="12"/>
      <c r="B753" s="34"/>
      <c r="C753" s="12"/>
      <c r="D753" s="12"/>
      <c r="E753" s="12"/>
      <c r="F753" s="12"/>
      <c r="G753" s="18"/>
      <c r="H753" s="35"/>
      <c r="I753" s="12"/>
      <c r="M753" s="12"/>
      <c r="N753" s="18"/>
      <c r="O753" s="12"/>
      <c r="P753" s="12"/>
      <c r="Q753" s="12"/>
      <c r="R753" s="36"/>
      <c r="S753" s="36"/>
      <c r="T753" s="12"/>
      <c r="U753" s="12"/>
      <c r="V753" s="12"/>
      <c r="W753" s="12"/>
      <c r="X753" s="12"/>
    </row>
    <row r="754" customFormat="false" ht="15.75" hidden="false" customHeight="false" outlineLevel="0" collapsed="false">
      <c r="A754" s="12"/>
      <c r="B754" s="34"/>
      <c r="C754" s="12"/>
      <c r="D754" s="12"/>
      <c r="E754" s="12"/>
      <c r="F754" s="12"/>
      <c r="G754" s="18"/>
      <c r="H754" s="35"/>
      <c r="I754" s="12"/>
      <c r="M754" s="12"/>
      <c r="N754" s="18"/>
      <c r="O754" s="12"/>
      <c r="P754" s="12"/>
      <c r="Q754" s="12"/>
      <c r="R754" s="36"/>
      <c r="S754" s="36"/>
      <c r="T754" s="12"/>
      <c r="U754" s="12"/>
      <c r="V754" s="12"/>
      <c r="W754" s="12"/>
      <c r="X754" s="12"/>
    </row>
    <row r="755" customFormat="false" ht="15.75" hidden="false" customHeight="false" outlineLevel="0" collapsed="false">
      <c r="A755" s="12"/>
      <c r="B755" s="34"/>
      <c r="C755" s="12"/>
      <c r="D755" s="12"/>
      <c r="E755" s="12"/>
      <c r="F755" s="12"/>
      <c r="G755" s="18"/>
      <c r="H755" s="35"/>
      <c r="I755" s="12"/>
      <c r="M755" s="12"/>
      <c r="N755" s="18"/>
      <c r="O755" s="12"/>
      <c r="P755" s="12"/>
      <c r="Q755" s="12"/>
      <c r="R755" s="36"/>
      <c r="S755" s="36"/>
      <c r="T755" s="12"/>
      <c r="U755" s="12"/>
      <c r="V755" s="12"/>
      <c r="W755" s="12"/>
      <c r="X755" s="12"/>
    </row>
    <row r="756" customFormat="false" ht="15.75" hidden="false" customHeight="false" outlineLevel="0" collapsed="false">
      <c r="A756" s="12"/>
      <c r="B756" s="34"/>
      <c r="C756" s="12"/>
      <c r="D756" s="12"/>
      <c r="E756" s="12"/>
      <c r="F756" s="12"/>
      <c r="G756" s="18"/>
      <c r="H756" s="35"/>
      <c r="I756" s="12"/>
      <c r="M756" s="12"/>
      <c r="N756" s="18"/>
      <c r="O756" s="12"/>
      <c r="P756" s="12"/>
      <c r="Q756" s="12"/>
      <c r="R756" s="36"/>
      <c r="S756" s="36"/>
      <c r="T756" s="12"/>
      <c r="U756" s="12"/>
      <c r="V756" s="12"/>
      <c r="W756" s="12"/>
      <c r="X756" s="12"/>
    </row>
    <row r="757" customFormat="false" ht="15.75" hidden="false" customHeight="false" outlineLevel="0" collapsed="false">
      <c r="A757" s="12"/>
      <c r="B757" s="34"/>
      <c r="C757" s="12"/>
      <c r="D757" s="12"/>
      <c r="E757" s="12"/>
      <c r="F757" s="12"/>
      <c r="G757" s="18"/>
      <c r="H757" s="35"/>
      <c r="I757" s="12"/>
      <c r="M757" s="12"/>
      <c r="N757" s="18"/>
      <c r="O757" s="12"/>
      <c r="P757" s="12"/>
      <c r="Q757" s="12"/>
      <c r="R757" s="36"/>
      <c r="S757" s="36"/>
      <c r="T757" s="12"/>
      <c r="U757" s="12"/>
      <c r="V757" s="12"/>
      <c r="W757" s="12"/>
      <c r="X757" s="12"/>
    </row>
    <row r="758" customFormat="false" ht="15.75" hidden="false" customHeight="false" outlineLevel="0" collapsed="false">
      <c r="A758" s="12"/>
      <c r="B758" s="34"/>
      <c r="C758" s="12"/>
      <c r="D758" s="12"/>
      <c r="E758" s="12"/>
      <c r="F758" s="12"/>
      <c r="G758" s="18"/>
      <c r="H758" s="35"/>
      <c r="I758" s="12"/>
      <c r="M758" s="12"/>
      <c r="N758" s="18"/>
      <c r="O758" s="12"/>
      <c r="P758" s="12"/>
      <c r="Q758" s="12"/>
      <c r="R758" s="36"/>
      <c r="S758" s="36"/>
      <c r="T758" s="12"/>
      <c r="U758" s="12"/>
      <c r="V758" s="12"/>
      <c r="W758" s="12"/>
      <c r="X758" s="12"/>
    </row>
    <row r="759" customFormat="false" ht="15.75" hidden="false" customHeight="false" outlineLevel="0" collapsed="false">
      <c r="A759" s="12"/>
      <c r="B759" s="34"/>
      <c r="C759" s="12"/>
      <c r="D759" s="12"/>
      <c r="E759" s="12"/>
      <c r="F759" s="12"/>
      <c r="G759" s="18"/>
      <c r="H759" s="35"/>
      <c r="I759" s="12"/>
      <c r="M759" s="12"/>
      <c r="N759" s="18"/>
      <c r="O759" s="12"/>
      <c r="P759" s="12"/>
      <c r="Q759" s="12"/>
      <c r="R759" s="36"/>
      <c r="S759" s="36"/>
      <c r="T759" s="12"/>
      <c r="U759" s="12"/>
      <c r="V759" s="12"/>
      <c r="W759" s="12"/>
      <c r="X759" s="12"/>
    </row>
    <row r="760" customFormat="false" ht="15.75" hidden="false" customHeight="false" outlineLevel="0" collapsed="false">
      <c r="A760" s="12"/>
      <c r="B760" s="34"/>
      <c r="C760" s="12"/>
      <c r="D760" s="12"/>
      <c r="E760" s="12"/>
      <c r="F760" s="12"/>
      <c r="G760" s="18"/>
      <c r="H760" s="35"/>
      <c r="I760" s="12"/>
      <c r="M760" s="12"/>
      <c r="N760" s="18"/>
      <c r="O760" s="12"/>
      <c r="P760" s="12"/>
      <c r="Q760" s="12"/>
      <c r="R760" s="36"/>
      <c r="S760" s="36"/>
      <c r="T760" s="12"/>
      <c r="U760" s="12"/>
      <c r="V760" s="12"/>
      <c r="W760" s="12"/>
      <c r="X760" s="12"/>
    </row>
    <row r="761" customFormat="false" ht="15.75" hidden="false" customHeight="false" outlineLevel="0" collapsed="false">
      <c r="A761" s="12"/>
      <c r="B761" s="34"/>
      <c r="C761" s="12"/>
      <c r="D761" s="12"/>
      <c r="E761" s="12"/>
      <c r="F761" s="12"/>
      <c r="G761" s="18"/>
      <c r="H761" s="35"/>
      <c r="I761" s="12"/>
      <c r="M761" s="12"/>
      <c r="N761" s="18"/>
      <c r="O761" s="12"/>
      <c r="P761" s="12"/>
      <c r="Q761" s="12"/>
      <c r="R761" s="36"/>
      <c r="S761" s="36"/>
      <c r="T761" s="12"/>
      <c r="U761" s="12"/>
      <c r="V761" s="12"/>
      <c r="W761" s="12"/>
      <c r="X761" s="12"/>
    </row>
    <row r="762" customFormat="false" ht="15.75" hidden="false" customHeight="false" outlineLevel="0" collapsed="false">
      <c r="A762" s="12"/>
      <c r="B762" s="34"/>
      <c r="C762" s="12"/>
      <c r="D762" s="12"/>
      <c r="E762" s="12"/>
      <c r="F762" s="12"/>
      <c r="G762" s="18"/>
      <c r="H762" s="35"/>
      <c r="I762" s="12"/>
      <c r="M762" s="12"/>
      <c r="N762" s="18"/>
      <c r="O762" s="12"/>
      <c r="P762" s="12"/>
      <c r="Q762" s="12"/>
      <c r="R762" s="36"/>
      <c r="S762" s="36"/>
      <c r="T762" s="12"/>
      <c r="U762" s="12"/>
      <c r="V762" s="12"/>
      <c r="W762" s="12"/>
      <c r="X762" s="12"/>
    </row>
    <row r="763" customFormat="false" ht="15.75" hidden="false" customHeight="false" outlineLevel="0" collapsed="false">
      <c r="A763" s="12"/>
      <c r="B763" s="34"/>
      <c r="C763" s="12"/>
      <c r="D763" s="12"/>
      <c r="E763" s="12"/>
      <c r="F763" s="12"/>
      <c r="G763" s="18"/>
      <c r="H763" s="35"/>
      <c r="I763" s="12"/>
      <c r="M763" s="12"/>
      <c r="N763" s="18"/>
      <c r="O763" s="12"/>
      <c r="P763" s="12"/>
      <c r="Q763" s="12"/>
      <c r="R763" s="36"/>
      <c r="S763" s="36"/>
      <c r="T763" s="12"/>
      <c r="U763" s="12"/>
      <c r="V763" s="12"/>
      <c r="W763" s="12"/>
      <c r="X763" s="12"/>
    </row>
    <row r="764" customFormat="false" ht="15.75" hidden="false" customHeight="false" outlineLevel="0" collapsed="false">
      <c r="A764" s="12"/>
      <c r="B764" s="34"/>
      <c r="C764" s="12"/>
      <c r="D764" s="12"/>
      <c r="E764" s="12"/>
      <c r="F764" s="12"/>
      <c r="G764" s="18"/>
      <c r="H764" s="35"/>
      <c r="I764" s="12"/>
      <c r="M764" s="12"/>
      <c r="N764" s="18"/>
      <c r="O764" s="12"/>
      <c r="P764" s="12"/>
      <c r="Q764" s="12"/>
      <c r="R764" s="36"/>
      <c r="S764" s="36"/>
      <c r="T764" s="12"/>
      <c r="U764" s="12"/>
      <c r="V764" s="12"/>
      <c r="W764" s="12"/>
      <c r="X764" s="12"/>
    </row>
    <row r="765" customFormat="false" ht="15.75" hidden="false" customHeight="false" outlineLevel="0" collapsed="false">
      <c r="A765" s="12"/>
      <c r="B765" s="34"/>
      <c r="C765" s="12"/>
      <c r="D765" s="12"/>
      <c r="E765" s="12"/>
      <c r="F765" s="12"/>
      <c r="G765" s="18"/>
      <c r="H765" s="35"/>
      <c r="I765" s="12"/>
      <c r="M765" s="12"/>
      <c r="N765" s="18"/>
      <c r="O765" s="12"/>
      <c r="P765" s="12"/>
      <c r="Q765" s="12"/>
      <c r="R765" s="36"/>
      <c r="S765" s="36"/>
      <c r="T765" s="12"/>
      <c r="U765" s="12"/>
      <c r="V765" s="12"/>
      <c r="W765" s="12"/>
      <c r="X765" s="12"/>
    </row>
    <row r="766" customFormat="false" ht="15.75" hidden="false" customHeight="false" outlineLevel="0" collapsed="false">
      <c r="A766" s="12"/>
      <c r="B766" s="34"/>
      <c r="C766" s="12"/>
      <c r="D766" s="12"/>
      <c r="E766" s="12"/>
      <c r="F766" s="12"/>
      <c r="G766" s="18"/>
      <c r="H766" s="35"/>
      <c r="I766" s="12"/>
      <c r="M766" s="12"/>
      <c r="N766" s="18"/>
      <c r="O766" s="12"/>
      <c r="P766" s="12"/>
      <c r="Q766" s="12"/>
      <c r="R766" s="36"/>
      <c r="S766" s="36"/>
      <c r="T766" s="12"/>
      <c r="U766" s="12"/>
      <c r="V766" s="12"/>
      <c r="W766" s="12"/>
      <c r="X766" s="12"/>
    </row>
    <row r="767" customFormat="false" ht="15.75" hidden="false" customHeight="false" outlineLevel="0" collapsed="false">
      <c r="A767" s="12"/>
      <c r="B767" s="34"/>
      <c r="C767" s="12"/>
      <c r="D767" s="12"/>
      <c r="E767" s="12"/>
      <c r="F767" s="12"/>
      <c r="G767" s="18"/>
      <c r="H767" s="35"/>
      <c r="I767" s="12"/>
      <c r="M767" s="12"/>
      <c r="N767" s="18"/>
      <c r="O767" s="12"/>
      <c r="P767" s="12"/>
      <c r="Q767" s="12"/>
      <c r="R767" s="36"/>
      <c r="S767" s="36"/>
      <c r="T767" s="12"/>
      <c r="U767" s="12"/>
      <c r="V767" s="12"/>
      <c r="W767" s="12"/>
      <c r="X767" s="12"/>
    </row>
    <row r="768" customFormat="false" ht="15.75" hidden="false" customHeight="false" outlineLevel="0" collapsed="false">
      <c r="A768" s="12"/>
      <c r="B768" s="34"/>
      <c r="C768" s="12"/>
      <c r="D768" s="12"/>
      <c r="E768" s="12"/>
      <c r="F768" s="12"/>
      <c r="G768" s="18"/>
      <c r="H768" s="35"/>
      <c r="I768" s="12"/>
      <c r="M768" s="12"/>
      <c r="N768" s="18"/>
      <c r="O768" s="12"/>
      <c r="P768" s="12"/>
      <c r="Q768" s="12"/>
      <c r="R768" s="36"/>
      <c r="S768" s="36"/>
      <c r="T768" s="12"/>
      <c r="U768" s="12"/>
      <c r="V768" s="12"/>
      <c r="W768" s="12"/>
      <c r="X768" s="12"/>
    </row>
    <row r="769" customFormat="false" ht="15.75" hidden="false" customHeight="false" outlineLevel="0" collapsed="false">
      <c r="A769" s="12"/>
      <c r="B769" s="34"/>
      <c r="C769" s="12"/>
      <c r="D769" s="12"/>
      <c r="E769" s="12"/>
      <c r="F769" s="12"/>
      <c r="G769" s="18"/>
      <c r="H769" s="35"/>
      <c r="I769" s="12"/>
      <c r="M769" s="12"/>
      <c r="N769" s="18"/>
      <c r="O769" s="12"/>
      <c r="P769" s="12"/>
      <c r="Q769" s="12"/>
      <c r="R769" s="36"/>
      <c r="S769" s="36"/>
      <c r="T769" s="12"/>
      <c r="U769" s="12"/>
      <c r="V769" s="12"/>
      <c r="W769" s="12"/>
      <c r="X769" s="12"/>
    </row>
    <row r="770" customFormat="false" ht="15.75" hidden="false" customHeight="false" outlineLevel="0" collapsed="false">
      <c r="A770" s="12"/>
      <c r="B770" s="34"/>
      <c r="C770" s="12"/>
      <c r="D770" s="12"/>
      <c r="E770" s="12"/>
      <c r="F770" s="12"/>
      <c r="G770" s="18"/>
      <c r="H770" s="35"/>
      <c r="I770" s="12"/>
      <c r="M770" s="12"/>
      <c r="N770" s="18"/>
      <c r="O770" s="12"/>
      <c r="P770" s="12"/>
      <c r="Q770" s="12"/>
      <c r="R770" s="36"/>
      <c r="S770" s="36"/>
      <c r="T770" s="12"/>
      <c r="U770" s="12"/>
      <c r="V770" s="12"/>
      <c r="W770" s="12"/>
      <c r="X770" s="12"/>
    </row>
    <row r="771" customFormat="false" ht="15.75" hidden="false" customHeight="false" outlineLevel="0" collapsed="false">
      <c r="A771" s="12"/>
      <c r="B771" s="34"/>
      <c r="C771" s="12"/>
      <c r="D771" s="12"/>
      <c r="E771" s="12"/>
      <c r="F771" s="12"/>
      <c r="G771" s="18"/>
      <c r="H771" s="35"/>
      <c r="I771" s="12"/>
      <c r="M771" s="12"/>
      <c r="N771" s="18"/>
      <c r="O771" s="12"/>
      <c r="P771" s="12"/>
      <c r="Q771" s="12"/>
      <c r="R771" s="36"/>
      <c r="S771" s="36"/>
      <c r="T771" s="12"/>
      <c r="U771" s="12"/>
      <c r="V771" s="12"/>
      <c r="W771" s="12"/>
      <c r="X771" s="12"/>
    </row>
    <row r="772" customFormat="false" ht="15.75" hidden="false" customHeight="false" outlineLevel="0" collapsed="false">
      <c r="A772" s="12"/>
      <c r="B772" s="34"/>
      <c r="C772" s="12"/>
      <c r="D772" s="12"/>
      <c r="E772" s="12"/>
      <c r="F772" s="12"/>
      <c r="G772" s="18"/>
      <c r="H772" s="35"/>
      <c r="I772" s="12"/>
      <c r="M772" s="12"/>
      <c r="N772" s="18"/>
      <c r="O772" s="12"/>
      <c r="P772" s="12"/>
      <c r="Q772" s="12"/>
      <c r="R772" s="36"/>
      <c r="S772" s="36"/>
      <c r="T772" s="12"/>
      <c r="U772" s="12"/>
      <c r="V772" s="12"/>
      <c r="W772" s="12"/>
      <c r="X772" s="12"/>
    </row>
    <row r="773" customFormat="false" ht="15.75" hidden="false" customHeight="false" outlineLevel="0" collapsed="false">
      <c r="A773" s="12"/>
      <c r="B773" s="34"/>
      <c r="C773" s="12"/>
      <c r="D773" s="12"/>
      <c r="E773" s="12"/>
      <c r="F773" s="12"/>
      <c r="G773" s="18"/>
      <c r="H773" s="35"/>
      <c r="I773" s="12"/>
      <c r="M773" s="12"/>
      <c r="N773" s="18"/>
      <c r="O773" s="12"/>
      <c r="P773" s="12"/>
      <c r="Q773" s="12"/>
      <c r="R773" s="36"/>
      <c r="S773" s="36"/>
      <c r="T773" s="12"/>
      <c r="U773" s="12"/>
      <c r="V773" s="12"/>
      <c r="W773" s="12"/>
      <c r="X773" s="12"/>
    </row>
    <row r="774" customFormat="false" ht="15.75" hidden="false" customHeight="false" outlineLevel="0" collapsed="false">
      <c r="A774" s="12"/>
      <c r="B774" s="34"/>
      <c r="C774" s="12"/>
      <c r="D774" s="12"/>
      <c r="E774" s="12"/>
      <c r="F774" s="12"/>
      <c r="G774" s="18"/>
      <c r="H774" s="35"/>
      <c r="I774" s="12"/>
      <c r="M774" s="12"/>
      <c r="N774" s="18"/>
      <c r="O774" s="12"/>
      <c r="P774" s="12"/>
      <c r="Q774" s="12"/>
      <c r="R774" s="36"/>
      <c r="S774" s="36"/>
      <c r="T774" s="12"/>
      <c r="U774" s="12"/>
      <c r="V774" s="12"/>
      <c r="W774" s="12"/>
      <c r="X774" s="12"/>
    </row>
    <row r="775" customFormat="false" ht="15.75" hidden="false" customHeight="false" outlineLevel="0" collapsed="false">
      <c r="A775" s="12"/>
      <c r="B775" s="34"/>
      <c r="C775" s="12"/>
      <c r="D775" s="12"/>
      <c r="E775" s="12"/>
      <c r="F775" s="12"/>
      <c r="G775" s="18"/>
      <c r="H775" s="35"/>
      <c r="I775" s="12"/>
      <c r="M775" s="12"/>
      <c r="N775" s="18"/>
      <c r="O775" s="12"/>
      <c r="P775" s="12"/>
      <c r="Q775" s="12"/>
      <c r="R775" s="36"/>
      <c r="S775" s="36"/>
      <c r="T775" s="12"/>
      <c r="U775" s="12"/>
      <c r="V775" s="12"/>
      <c r="W775" s="12"/>
      <c r="X775" s="12"/>
    </row>
    <row r="776" customFormat="false" ht="15.75" hidden="false" customHeight="false" outlineLevel="0" collapsed="false">
      <c r="A776" s="12"/>
      <c r="B776" s="34"/>
      <c r="C776" s="12"/>
      <c r="D776" s="12"/>
      <c r="E776" s="12"/>
      <c r="F776" s="12"/>
      <c r="G776" s="18"/>
      <c r="H776" s="35"/>
      <c r="I776" s="12"/>
      <c r="M776" s="12"/>
      <c r="N776" s="18"/>
      <c r="O776" s="12"/>
      <c r="P776" s="12"/>
      <c r="Q776" s="12"/>
      <c r="R776" s="36"/>
      <c r="S776" s="36"/>
      <c r="T776" s="12"/>
      <c r="U776" s="12"/>
      <c r="V776" s="12"/>
      <c r="W776" s="12"/>
      <c r="X776" s="12"/>
    </row>
    <row r="777" customFormat="false" ht="15.75" hidden="false" customHeight="false" outlineLevel="0" collapsed="false">
      <c r="A777" s="12"/>
      <c r="B777" s="34"/>
      <c r="C777" s="12"/>
      <c r="D777" s="12"/>
      <c r="E777" s="12"/>
      <c r="F777" s="12"/>
      <c r="G777" s="18"/>
      <c r="H777" s="35"/>
      <c r="I777" s="12"/>
      <c r="M777" s="12"/>
      <c r="N777" s="18"/>
      <c r="O777" s="12"/>
      <c r="P777" s="12"/>
      <c r="Q777" s="12"/>
      <c r="R777" s="36"/>
      <c r="S777" s="36"/>
      <c r="T777" s="12"/>
      <c r="U777" s="12"/>
      <c r="V777" s="12"/>
      <c r="W777" s="12"/>
      <c r="X777" s="12"/>
    </row>
    <row r="778" customFormat="false" ht="15.75" hidden="false" customHeight="false" outlineLevel="0" collapsed="false">
      <c r="A778" s="12"/>
      <c r="B778" s="34"/>
      <c r="C778" s="12"/>
      <c r="D778" s="12"/>
      <c r="E778" s="12"/>
      <c r="F778" s="12"/>
      <c r="G778" s="18"/>
      <c r="H778" s="35"/>
      <c r="I778" s="12"/>
      <c r="M778" s="12"/>
      <c r="N778" s="18"/>
      <c r="O778" s="12"/>
      <c r="P778" s="12"/>
      <c r="Q778" s="12"/>
      <c r="R778" s="36"/>
      <c r="S778" s="36"/>
      <c r="T778" s="12"/>
      <c r="U778" s="12"/>
      <c r="V778" s="12"/>
      <c r="W778" s="12"/>
      <c r="X778" s="12"/>
    </row>
    <row r="1048575" customFormat="false" ht="12.8" hidden="false" customHeight="true" outlineLevel="0" collapsed="false"/>
    <row r="1048576" customFormat="false" ht="12.8" hidden="false" customHeight="true" outlineLevel="0" collapsed="false"/>
  </sheetData>
  <conditionalFormatting sqref="R2:S778">
    <cfRule type="expression" priority="2" aboveAverage="0" equalAverage="0" bottom="0" percent="0" rank="0" text="" dxfId="0">
      <formula>LEN(TRIM(R2))&gt;0</formula>
    </cfRule>
  </conditionalFormatting>
  <conditionalFormatting sqref="Q2:Q778">
    <cfRule type="expression" priority="3" aboveAverage="0" equalAverage="0" bottom="0" percent="0" rank="0" text="" dxfId="0">
      <formula>LEN(TRIM(Q2))&gt;0</formula>
    </cfRule>
  </conditionalFormatting>
  <conditionalFormatting sqref="G2:G778 N2:N778">
    <cfRule type="containsText" priority="4" operator="containsText" aboveAverage="0" equalAverage="0" bottom="0" percent="0" rank="0" text="x" dxfId="0">
      <formula>NOT(ISERROR(SEARCH("x",G2)))</formula>
    </cfRule>
  </conditionalFormatting>
  <conditionalFormatting sqref="T2:T778">
    <cfRule type="expression" priority="5" aboveAverage="0" equalAverage="0" bottom="0" percent="0" rank="0" text="" dxfId="0">
      <formula>LEN(TRIM(T2))&gt;0</formula>
    </cfRule>
  </conditionalFormatting>
  <conditionalFormatting sqref="W2:W778">
    <cfRule type="expression" priority="6" aboveAverage="0" equalAverage="0" bottom="0" percent="0" rank="0" text="" dxfId="0">
      <formula>LEN(TRIM(W2))&gt;0</formula>
    </cfRule>
  </conditionalFormatting>
  <conditionalFormatting sqref="X2:X778">
    <cfRule type="cellIs" priority="7" operator="equal" aboveAverage="0" equalAverage="0" bottom="0" percent="0" rank="0" text="" dxfId="0">
      <formula>"Completo"</formula>
    </cfRule>
    <cfRule type="cellIs" priority="8" operator="equal" aboveAverage="0" equalAverage="0" bottom="0" percent="0" rank="0" text="" dxfId="1">
      <formula>"No aplica"</formula>
    </cfRule>
  </conditionalFormatting>
  <conditionalFormatting sqref="G2:I778 O2:P778 U2:V778 X2:X778">
    <cfRule type="cellIs" priority="9" operator="equal" aboveAverage="0" equalAverage="0" bottom="0" percent="0" rank="0" text="" dxfId="0">
      <formula>"Completo"</formula>
    </cfRule>
    <cfRule type="cellIs" priority="10" operator="equal" aboveAverage="0" equalAverage="0" bottom="0" percent="0" rank="0" text="" dxfId="1">
      <formula>"No Aplica"</formula>
    </cfRule>
  </conditionalFormatting>
  <dataValidations count="5">
    <dataValidation allowBlank="true" errorStyle="stop" operator="between" showDropDown="false" showErrorMessage="false" showInputMessage="false" sqref="T2:T778" type="list">
      <formula1>LEYENDA!$A$23:$A$24</formula1>
      <formula2>0</formula2>
    </dataValidation>
    <dataValidation allowBlank="true" errorStyle="stop" operator="between" showDropDown="false" showErrorMessage="true" showInputMessage="false" sqref="D2:D778" type="list">
      <formula1>LEYENDA!$B$2:$D$2</formula1>
      <formula2>0</formula2>
    </dataValidation>
    <dataValidation allowBlank="true" errorStyle="stop" operator="between" showDropDown="false" showErrorMessage="false" showInputMessage="false" sqref="R2:R778" type="list">
      <formula1>LEYENDA!$A$15:$A$19</formula1>
      <formula2>0</formula2>
    </dataValidation>
    <dataValidation allowBlank="true" errorStyle="stop" operator="between" showDropDown="false" showErrorMessage="true" showInputMessage="false" sqref="H2:I778 O2:P778 U2:V778 X2:X778" type="list">
      <formula1>LEYENDA!$B$1:$C$1</formula1>
      <formula2>0</formula2>
    </dataValidation>
    <dataValidation allowBlank="true" errorStyle="stop" operator="between" showDropDown="false" showErrorMessage="false" showInputMessage="false" sqref="E2:E778" type="list">
      <formula1>LEYENDA!$A$8:$A$12</formula1>
      <formula2>0</formula2>
    </dataValidation>
  </dataValidations>
  <hyperlinks>
    <hyperlink ref="P3" r:id="rId1" display="Completo"/>
    <hyperlink ref="U3" r:id="rId2" display="Completo"/>
    <hyperlink ref="V3" r:id="rId3" display="Completo"/>
    <hyperlink ref="P7" r:id="rId4" display="Completo"/>
    <hyperlink ref="P23" r:id="rId5" display="Completo"/>
    <hyperlink ref="P24" r:id="rId6" display="Completo"/>
    <hyperlink ref="P30" r:id="rId7" display="Completo"/>
    <hyperlink ref="U33" r:id="rId8" display="Completo"/>
    <hyperlink ref="V33" r:id="rId9" display="Completo"/>
    <hyperlink ref="U34" r:id="rId10" display="Completo"/>
    <hyperlink ref="V34" r:id="rId11" display="Completo"/>
    <hyperlink ref="P38" r:id="rId12" display="Completo"/>
    <hyperlink ref="P42" r:id="rId13" display="Completo"/>
    <hyperlink ref="U42" r:id="rId14" display="Completo"/>
    <hyperlink ref="V42" r:id="rId15" display="Completo"/>
    <hyperlink ref="U43" r:id="rId16" display="Completo"/>
    <hyperlink ref="V43" r:id="rId17" display="Completo"/>
    <hyperlink ref="U46" r:id="rId18" display="Completo"/>
    <hyperlink ref="V46" r:id="rId19" display="Completo"/>
    <hyperlink ref="P53" r:id="rId20" display="Completo"/>
    <hyperlink ref="U60" r:id="rId21" display="Completo"/>
    <hyperlink ref="V60" r:id="rId22" display="Completo"/>
    <hyperlink ref="U72" r:id="rId23" display="Completo"/>
    <hyperlink ref="V72" r:id="rId24" display="Completo"/>
    <hyperlink ref="P76" r:id="rId25" display="Completo"/>
  </hyperlinks>
  <printOptions headings="false" gridLines="true" gridLinesSet="true" horizontalCentered="true" verticalCentered="false"/>
  <pageMargins left="0.7" right="0.7" top="0.75" bottom="0.75" header="0.511811023622047" footer="0.511811023622047"/>
  <pageSetup paperSize="9" scale="100" fitToWidth="1" fitToHeight="0" pageOrder="overThenDown" orientation="landscape" blackAndWhite="false" draft="false" cellComments="none" horizontalDpi="300" verticalDpi="300" copies="1"/>
  <headerFooter differentFirst="false" differentOddEven="false">
    <oddHeader/>
    <oddFooter/>
  </headerFooter>
  <drawing r:id="rId26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AF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6" ySplit="3" topLeftCell="G4" activePane="bottomRight" state="frozen"/>
      <selection pane="topLeft" activeCell="A1" activeCellId="0" sqref="A1"/>
      <selection pane="topRight" activeCell="G1" activeCellId="0" sqref="G1"/>
      <selection pane="bottomLeft" activeCell="A4" activeCellId="0" sqref="A4"/>
      <selection pane="bottomRight" activeCell="G1" activeCellId="0" sqref="G1"/>
    </sheetView>
  </sheetViews>
  <sheetFormatPr defaultColWidth="12.6328125" defaultRowHeight="15.75" zeroHeight="false" outlineLevelRow="0" outlineLevelCol="0"/>
  <cols>
    <col collapsed="false" customWidth="true" hidden="false" outlineLevel="0" max="1" min="1" style="1" width="10.25"/>
    <col collapsed="false" customWidth="true" hidden="false" outlineLevel="0" max="2" min="2" style="1" width="10.38"/>
    <col collapsed="false" customWidth="true" hidden="false" outlineLevel="0" max="3" min="3" style="1" width="16.89"/>
    <col collapsed="false" customWidth="true" hidden="false" outlineLevel="0" max="4" min="4" style="1" width="11.25"/>
    <col collapsed="false" customWidth="true" hidden="false" outlineLevel="0" max="5" min="5" style="1" width="17.13"/>
    <col collapsed="false" customWidth="true" hidden="false" outlineLevel="0" max="6" min="6" style="1" width="31.25"/>
    <col collapsed="false" customWidth="true" hidden="false" outlineLevel="0" max="7" min="7" style="1" width="15.88"/>
    <col collapsed="false" customWidth="true" hidden="false" outlineLevel="0" max="8" min="8" style="1" width="10.88"/>
    <col collapsed="false" customWidth="true" hidden="false" outlineLevel="0" max="9" min="9" style="1" width="12.88"/>
    <col collapsed="false" customWidth="true" hidden="false" outlineLevel="0" max="10" min="10" style="1" width="12"/>
    <col collapsed="false" customWidth="true" hidden="false" outlineLevel="0" max="11" min="11" style="1" width="10"/>
    <col collapsed="false" customWidth="true" hidden="false" outlineLevel="0" max="12" min="12" style="1" width="12.25"/>
    <col collapsed="false" customWidth="true" hidden="false" outlineLevel="0" max="13" min="13" style="1" width="26.12"/>
    <col collapsed="false" customWidth="true" hidden="false" outlineLevel="0" max="14" min="14" style="1" width="18"/>
    <col collapsed="false" customWidth="true" hidden="false" outlineLevel="0" max="16" min="15" style="1" width="10.63"/>
    <col collapsed="false" customWidth="true" hidden="false" outlineLevel="0" max="17" min="17" style="1" width="8.5"/>
    <col collapsed="false" customWidth="true" hidden="false" outlineLevel="0" max="19" min="19" style="1" width="25.38"/>
    <col collapsed="false" customWidth="true" hidden="false" outlineLevel="0" max="20" min="20" style="1" width="17.88"/>
    <col collapsed="false" customWidth="true" hidden="false" outlineLevel="0" max="21" min="21" style="1" width="10.13"/>
    <col collapsed="false" customWidth="true" hidden="false" outlineLevel="0" max="22" min="22" style="1" width="11.12"/>
    <col collapsed="false" customWidth="true" hidden="false" outlineLevel="0" max="23" min="23" style="1" width="24.88"/>
  </cols>
  <sheetData>
    <row r="1" customFormat="false" ht="68" hidden="false" customHeight="false" outlineLevel="0" collapsed="false">
      <c r="A1" s="2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/>
      <c r="J1" s="4" t="s">
        <v>8</v>
      </c>
      <c r="K1" s="2"/>
      <c r="L1" s="2" t="s">
        <v>9</v>
      </c>
      <c r="M1" s="2" t="s">
        <v>10</v>
      </c>
      <c r="N1" s="4" t="s">
        <v>11</v>
      </c>
      <c r="O1" s="3" t="s">
        <v>12</v>
      </c>
      <c r="P1" s="7" t="s">
        <v>13</v>
      </c>
      <c r="Q1" s="7" t="s">
        <v>14</v>
      </c>
      <c r="R1" s="7" t="s">
        <v>15</v>
      </c>
      <c r="S1" s="7" t="s">
        <v>16</v>
      </c>
      <c r="T1" s="7" t="s">
        <v>17</v>
      </c>
      <c r="U1" s="8" t="s">
        <v>18</v>
      </c>
      <c r="V1" s="9" t="s">
        <v>19</v>
      </c>
      <c r="W1" s="9" t="s">
        <v>20</v>
      </c>
      <c r="X1" s="10" t="s">
        <v>15</v>
      </c>
      <c r="Y1" s="11" t="s">
        <v>21</v>
      </c>
      <c r="Z1" s="11" t="s">
        <v>22</v>
      </c>
      <c r="AA1" s="12"/>
      <c r="AB1" s="12"/>
      <c r="AC1" s="12"/>
      <c r="AD1" s="12"/>
      <c r="AE1" s="12"/>
      <c r="AF1" s="12"/>
    </row>
    <row r="2" customFormat="false" ht="15.75" hidden="false" customHeight="false" outlineLevel="0" collapsed="false">
      <c r="A2" s="61" t="n">
        <v>6611</v>
      </c>
      <c r="B2" s="29" t="n">
        <v>44774</v>
      </c>
      <c r="C2" s="21" t="s">
        <v>2753</v>
      </c>
      <c r="D2" s="21" t="s">
        <v>24</v>
      </c>
      <c r="E2" s="21" t="s">
        <v>25</v>
      </c>
      <c r="F2" s="21" t="s">
        <v>2764</v>
      </c>
      <c r="G2" s="30" t="s">
        <v>2765</v>
      </c>
      <c r="H2" s="31" t="s">
        <v>28</v>
      </c>
      <c r="I2" s="21" t="s">
        <v>28</v>
      </c>
      <c r="J2" s="21"/>
      <c r="K2" s="21"/>
      <c r="L2" s="21"/>
      <c r="M2" s="21"/>
      <c r="N2" s="30"/>
      <c r="O2" s="21" t="s">
        <v>28</v>
      </c>
      <c r="P2" s="46" t="s">
        <v>28</v>
      </c>
      <c r="Q2" s="21" t="s">
        <v>201</v>
      </c>
      <c r="R2" s="32" t="s">
        <v>2766</v>
      </c>
      <c r="S2" s="32"/>
      <c r="T2" s="21" t="s">
        <v>58</v>
      </c>
      <c r="U2" s="46" t="s">
        <v>28</v>
      </c>
      <c r="V2" s="46" t="s">
        <v>28</v>
      </c>
      <c r="W2" s="21" t="s">
        <v>2767</v>
      </c>
      <c r="X2" s="21" t="s">
        <v>28</v>
      </c>
    </row>
    <row r="3" customFormat="false" ht="15.75" hidden="false" customHeight="false" outlineLevel="0" collapsed="false">
      <c r="A3" s="61" t="n">
        <v>6612</v>
      </c>
      <c r="B3" s="29" t="n">
        <v>44774</v>
      </c>
      <c r="C3" s="21" t="s">
        <v>2753</v>
      </c>
      <c r="D3" s="21" t="s">
        <v>24</v>
      </c>
      <c r="E3" s="21" t="s">
        <v>25</v>
      </c>
      <c r="F3" s="21" t="s">
        <v>2764</v>
      </c>
      <c r="G3" s="30" t="s">
        <v>2765</v>
      </c>
      <c r="H3" s="31" t="s">
        <v>28</v>
      </c>
      <c r="I3" s="21" t="s">
        <v>28</v>
      </c>
      <c r="J3" s="21"/>
      <c r="K3" s="21"/>
      <c r="L3" s="21"/>
      <c r="M3" s="21"/>
      <c r="N3" s="30"/>
      <c r="O3" s="21" t="s">
        <v>28</v>
      </c>
      <c r="P3" s="74" t="s">
        <v>28</v>
      </c>
      <c r="Q3" s="21" t="s">
        <v>201</v>
      </c>
      <c r="R3" s="32" t="s">
        <v>2766</v>
      </c>
      <c r="S3" s="32"/>
      <c r="T3" s="21" t="s">
        <v>2461</v>
      </c>
      <c r="U3" s="46" t="s">
        <v>28</v>
      </c>
      <c r="V3" s="46" t="s">
        <v>28</v>
      </c>
      <c r="W3" s="21" t="s">
        <v>2767</v>
      </c>
      <c r="X3" s="21" t="s">
        <v>28</v>
      </c>
    </row>
    <row r="4" customFormat="false" ht="15.75" hidden="false" customHeight="false" outlineLevel="0" collapsed="false">
      <c r="A4" s="61" t="n">
        <v>6613</v>
      </c>
      <c r="B4" s="29" t="n">
        <v>44774</v>
      </c>
      <c r="C4" s="21" t="s">
        <v>2768</v>
      </c>
      <c r="D4" s="21" t="s">
        <v>24</v>
      </c>
      <c r="E4" s="21" t="s">
        <v>25</v>
      </c>
      <c r="F4" s="21" t="s">
        <v>1075</v>
      </c>
      <c r="G4" s="30" t="s">
        <v>2769</v>
      </c>
      <c r="H4" s="31" t="s">
        <v>28</v>
      </c>
      <c r="I4" s="21" t="s">
        <v>28</v>
      </c>
      <c r="J4" s="21"/>
      <c r="K4" s="21"/>
      <c r="L4" s="21"/>
      <c r="M4" s="21"/>
      <c r="N4" s="30"/>
      <c r="O4" s="21"/>
      <c r="P4" s="21"/>
      <c r="Q4" s="21"/>
      <c r="R4" s="32"/>
      <c r="S4" s="32"/>
      <c r="T4" s="21"/>
      <c r="U4" s="21"/>
      <c r="V4" s="21"/>
      <c r="W4" s="21"/>
      <c r="X4" s="21" t="s">
        <v>28</v>
      </c>
    </row>
    <row r="5" customFormat="false" ht="15.75" hidden="false" customHeight="false" outlineLevel="0" collapsed="false">
      <c r="A5" s="61" t="n">
        <v>6614</v>
      </c>
      <c r="B5" s="29" t="n">
        <v>44774</v>
      </c>
      <c r="C5" s="21" t="s">
        <v>2768</v>
      </c>
      <c r="D5" s="21" t="s">
        <v>24</v>
      </c>
      <c r="E5" s="21" t="s">
        <v>25</v>
      </c>
      <c r="F5" s="21" t="s">
        <v>1075</v>
      </c>
      <c r="G5" s="30" t="s">
        <v>2769</v>
      </c>
      <c r="H5" s="31" t="s">
        <v>28</v>
      </c>
      <c r="I5" s="21" t="s">
        <v>28</v>
      </c>
      <c r="J5" s="21"/>
      <c r="K5" s="21"/>
      <c r="L5" s="21"/>
      <c r="M5" s="21"/>
      <c r="N5" s="30"/>
      <c r="O5" s="21"/>
      <c r="P5" s="21"/>
      <c r="Q5" s="21"/>
      <c r="R5" s="32"/>
      <c r="S5" s="32"/>
      <c r="T5" s="21"/>
      <c r="U5" s="66"/>
      <c r="V5" s="66"/>
      <c r="W5" s="21"/>
      <c r="X5" s="21" t="s">
        <v>28</v>
      </c>
    </row>
    <row r="6" customFormat="false" ht="15.75" hidden="false" customHeight="false" outlineLevel="0" collapsed="false">
      <c r="A6" s="61" t="n">
        <v>6615</v>
      </c>
      <c r="B6" s="29" t="n">
        <v>44774</v>
      </c>
      <c r="C6" s="21" t="s">
        <v>2768</v>
      </c>
      <c r="D6" s="21" t="s">
        <v>24</v>
      </c>
      <c r="E6" s="21" t="s">
        <v>25</v>
      </c>
      <c r="F6" s="21" t="s">
        <v>1075</v>
      </c>
      <c r="G6" s="30" t="s">
        <v>2769</v>
      </c>
      <c r="H6" s="31" t="s">
        <v>28</v>
      </c>
      <c r="I6" s="21" t="s">
        <v>28</v>
      </c>
      <c r="J6" s="21"/>
      <c r="K6" s="21"/>
      <c r="L6" s="21"/>
      <c r="M6" s="21"/>
      <c r="N6" s="30"/>
      <c r="O6" s="21"/>
      <c r="P6" s="66"/>
      <c r="Q6" s="21"/>
      <c r="R6" s="32"/>
      <c r="S6" s="32"/>
      <c r="T6" s="21" t="s">
        <v>2654</v>
      </c>
      <c r="U6" s="46" t="s">
        <v>28</v>
      </c>
      <c r="V6" s="46" t="s">
        <v>28</v>
      </c>
      <c r="W6" s="21"/>
      <c r="X6" s="21" t="s">
        <v>28</v>
      </c>
    </row>
    <row r="7" customFormat="false" ht="15.75" hidden="false" customHeight="false" outlineLevel="0" collapsed="false">
      <c r="A7" s="61" t="n">
        <v>6616</v>
      </c>
      <c r="B7" s="29" t="n">
        <v>44774</v>
      </c>
      <c r="C7" s="21" t="s">
        <v>2768</v>
      </c>
      <c r="D7" s="21" t="s">
        <v>24</v>
      </c>
      <c r="E7" s="21" t="s">
        <v>25</v>
      </c>
      <c r="F7" s="21" t="s">
        <v>1075</v>
      </c>
      <c r="G7" s="30" t="s">
        <v>2769</v>
      </c>
      <c r="H7" s="31" t="s">
        <v>28</v>
      </c>
      <c r="I7" s="21" t="s">
        <v>28</v>
      </c>
      <c r="J7" s="21"/>
      <c r="K7" s="21"/>
      <c r="L7" s="21"/>
      <c r="M7" s="21"/>
      <c r="N7" s="30"/>
      <c r="O7" s="21"/>
      <c r="P7" s="21"/>
      <c r="Q7" s="21"/>
      <c r="R7" s="32"/>
      <c r="S7" s="32"/>
      <c r="T7" s="21" t="s">
        <v>2770</v>
      </c>
      <c r="U7" s="21" t="s">
        <v>28</v>
      </c>
      <c r="V7" s="46" t="s">
        <v>28</v>
      </c>
      <c r="W7" s="21"/>
      <c r="X7" s="21" t="s">
        <v>28</v>
      </c>
    </row>
    <row r="8" customFormat="false" ht="15.75" hidden="false" customHeight="false" outlineLevel="0" collapsed="false">
      <c r="A8" s="61" t="n">
        <v>6617</v>
      </c>
      <c r="B8" s="29" t="n">
        <v>44774</v>
      </c>
      <c r="C8" s="21" t="s">
        <v>2768</v>
      </c>
      <c r="D8" s="21" t="s">
        <v>24</v>
      </c>
      <c r="E8" s="21" t="s">
        <v>25</v>
      </c>
      <c r="F8" s="21" t="s">
        <v>1075</v>
      </c>
      <c r="G8" s="30" t="s">
        <v>2769</v>
      </c>
      <c r="H8" s="31" t="s">
        <v>28</v>
      </c>
      <c r="I8" s="21" t="s">
        <v>28</v>
      </c>
      <c r="J8" s="21"/>
      <c r="K8" s="21"/>
      <c r="L8" s="21"/>
      <c r="M8" s="21"/>
      <c r="N8" s="30"/>
      <c r="O8" s="21"/>
      <c r="P8" s="21"/>
      <c r="Q8" s="21"/>
      <c r="R8" s="32"/>
      <c r="S8" s="32"/>
      <c r="T8" s="21" t="s">
        <v>2770</v>
      </c>
      <c r="U8" s="46" t="s">
        <v>28</v>
      </c>
      <c r="V8" s="46" t="s">
        <v>28</v>
      </c>
      <c r="W8" s="21"/>
      <c r="X8" s="21" t="s">
        <v>28</v>
      </c>
    </row>
    <row r="9" customFormat="false" ht="15.75" hidden="false" customHeight="false" outlineLevel="0" collapsed="false">
      <c r="A9" s="61" t="n">
        <v>6618</v>
      </c>
      <c r="B9" s="29" t="n">
        <v>44774</v>
      </c>
      <c r="C9" s="21" t="s">
        <v>2768</v>
      </c>
      <c r="D9" s="21" t="s">
        <v>24</v>
      </c>
      <c r="E9" s="21" t="s">
        <v>25</v>
      </c>
      <c r="F9" s="21" t="s">
        <v>1075</v>
      </c>
      <c r="G9" s="30" t="s">
        <v>2769</v>
      </c>
      <c r="H9" s="31" t="s">
        <v>28</v>
      </c>
      <c r="I9" s="21" t="s">
        <v>28</v>
      </c>
      <c r="J9" s="21"/>
      <c r="K9" s="21"/>
      <c r="L9" s="21"/>
      <c r="M9" s="21"/>
      <c r="N9" s="30"/>
      <c r="O9" s="21"/>
      <c r="P9" s="21"/>
      <c r="Q9" s="21"/>
      <c r="R9" s="32"/>
      <c r="S9" s="32"/>
      <c r="T9" s="21" t="s">
        <v>2770</v>
      </c>
      <c r="U9" s="21" t="s">
        <v>28</v>
      </c>
      <c r="V9" s="46" t="s">
        <v>28</v>
      </c>
      <c r="W9" s="21"/>
      <c r="X9" s="21" t="s">
        <v>28</v>
      </c>
    </row>
    <row r="10" customFormat="false" ht="15.75" hidden="false" customHeight="false" outlineLevel="0" collapsed="false">
      <c r="A10" s="61" t="n">
        <v>6619</v>
      </c>
      <c r="B10" s="29" t="n">
        <v>44774</v>
      </c>
      <c r="C10" s="21" t="s">
        <v>2768</v>
      </c>
      <c r="D10" s="21" t="s">
        <v>24</v>
      </c>
      <c r="E10" s="21" t="s">
        <v>25</v>
      </c>
      <c r="F10" s="21" t="s">
        <v>1075</v>
      </c>
      <c r="G10" s="30" t="s">
        <v>2771</v>
      </c>
      <c r="H10" s="31" t="s">
        <v>28</v>
      </c>
      <c r="I10" s="21" t="s">
        <v>28</v>
      </c>
      <c r="J10" s="21"/>
      <c r="K10" s="21"/>
      <c r="L10" s="21"/>
      <c r="M10" s="21"/>
      <c r="N10" s="30"/>
      <c r="O10" s="21"/>
      <c r="P10" s="21"/>
      <c r="Q10" s="21"/>
      <c r="R10" s="32"/>
      <c r="S10" s="32"/>
      <c r="T10" s="21"/>
      <c r="U10" s="21"/>
      <c r="V10" s="21"/>
      <c r="W10" s="21"/>
      <c r="X10" s="21" t="s">
        <v>28</v>
      </c>
    </row>
    <row r="11" customFormat="false" ht="15.75" hidden="false" customHeight="false" outlineLevel="0" collapsed="false">
      <c r="A11" s="61" t="n">
        <v>6620</v>
      </c>
      <c r="B11" s="29" t="n">
        <v>44774</v>
      </c>
      <c r="C11" s="21" t="s">
        <v>2768</v>
      </c>
      <c r="D11" s="21" t="s">
        <v>24</v>
      </c>
      <c r="E11" s="21" t="s">
        <v>25</v>
      </c>
      <c r="F11" s="21" t="s">
        <v>1075</v>
      </c>
      <c r="G11" s="30" t="s">
        <v>2771</v>
      </c>
      <c r="H11" s="31" t="s">
        <v>28</v>
      </c>
      <c r="I11" s="21" t="s">
        <v>28</v>
      </c>
      <c r="J11" s="21"/>
      <c r="K11" s="21"/>
      <c r="L11" s="21"/>
      <c r="M11" s="21"/>
      <c r="N11" s="30"/>
      <c r="O11" s="21"/>
      <c r="P11" s="66"/>
      <c r="Q11" s="21"/>
      <c r="R11" s="32"/>
      <c r="S11" s="32"/>
      <c r="T11" s="21" t="s">
        <v>2770</v>
      </c>
      <c r="U11" s="21" t="s">
        <v>28</v>
      </c>
      <c r="V11" s="46" t="s">
        <v>28</v>
      </c>
      <c r="W11" s="21"/>
      <c r="X11" s="21" t="s">
        <v>28</v>
      </c>
    </row>
    <row r="12" customFormat="false" ht="15.75" hidden="false" customHeight="false" outlineLevel="0" collapsed="false">
      <c r="A12" s="61" t="n">
        <v>6621</v>
      </c>
      <c r="B12" s="29" t="n">
        <v>44774</v>
      </c>
      <c r="C12" s="21" t="s">
        <v>2772</v>
      </c>
      <c r="D12" s="21" t="s">
        <v>24</v>
      </c>
      <c r="E12" s="21" t="s">
        <v>74</v>
      </c>
      <c r="F12" s="21" t="s">
        <v>2773</v>
      </c>
      <c r="G12" s="30" t="s">
        <v>1178</v>
      </c>
      <c r="H12" s="45" t="str">
        <f aca="false">HYPERLINK("https://photos.app.goo.gl/SPuCnT25Z52AV5ja8", "Completo")</f>
        <v>Completo</v>
      </c>
      <c r="I12" s="21" t="s">
        <v>28</v>
      </c>
      <c r="J12" s="21"/>
      <c r="K12" s="21"/>
      <c r="L12" s="21"/>
      <c r="M12" s="21"/>
      <c r="N12" s="30"/>
      <c r="O12" s="21"/>
      <c r="P12" s="21"/>
      <c r="Q12" s="21"/>
      <c r="R12" s="32"/>
      <c r="S12" s="32"/>
      <c r="T12" s="21"/>
      <c r="U12" s="66"/>
      <c r="V12" s="66"/>
      <c r="W12" s="21"/>
      <c r="X12" s="21"/>
    </row>
    <row r="13" customFormat="false" ht="15.75" hidden="false" customHeight="false" outlineLevel="0" collapsed="false">
      <c r="A13" s="61" t="n">
        <v>6622</v>
      </c>
      <c r="B13" s="29" t="n">
        <v>44775</v>
      </c>
      <c r="C13" s="21" t="s">
        <v>616</v>
      </c>
      <c r="D13" s="21" t="s">
        <v>24</v>
      </c>
      <c r="E13" s="21" t="s">
        <v>25</v>
      </c>
      <c r="F13" s="21" t="s">
        <v>2774</v>
      </c>
      <c r="G13" s="30" t="s">
        <v>2775</v>
      </c>
      <c r="H13" s="45" t="str">
        <f aca="false">HYPERLINK("https://photos.app.goo.gl/TbFCrPaUTaiRC38d6", "Completo")</f>
        <v>Completo</v>
      </c>
      <c r="I13" s="21" t="s">
        <v>28</v>
      </c>
      <c r="J13" s="21"/>
      <c r="K13" s="21"/>
      <c r="L13" s="21"/>
      <c r="M13" s="21"/>
      <c r="N13" s="30"/>
      <c r="O13" s="21"/>
      <c r="P13" s="21"/>
      <c r="Q13" s="21"/>
      <c r="R13" s="32"/>
      <c r="S13" s="32"/>
      <c r="T13" s="21"/>
      <c r="U13" s="21"/>
      <c r="V13" s="21"/>
      <c r="W13" s="21"/>
      <c r="X13" s="21" t="s">
        <v>28</v>
      </c>
    </row>
    <row r="14" customFormat="false" ht="15.75" hidden="false" customHeight="false" outlineLevel="0" collapsed="false">
      <c r="A14" s="61" t="n">
        <v>6623</v>
      </c>
      <c r="B14" s="29" t="n">
        <v>44775</v>
      </c>
      <c r="C14" s="21" t="s">
        <v>1270</v>
      </c>
      <c r="D14" s="21" t="s">
        <v>24</v>
      </c>
      <c r="E14" s="21" t="s">
        <v>25</v>
      </c>
      <c r="F14" s="21" t="s">
        <v>2774</v>
      </c>
      <c r="G14" s="30" t="s">
        <v>2775</v>
      </c>
      <c r="H14" s="45" t="str">
        <f aca="false">HYPERLINK("https://photos.app.goo.gl/M8VWRukddASG9xcn7", "Completo")</f>
        <v>Completo</v>
      </c>
      <c r="I14" s="21" t="s">
        <v>28</v>
      </c>
      <c r="J14" s="21"/>
      <c r="K14" s="21"/>
      <c r="L14" s="21"/>
      <c r="M14" s="21"/>
      <c r="N14" s="30"/>
      <c r="O14" s="21"/>
      <c r="P14" s="21"/>
      <c r="Q14" s="21"/>
      <c r="R14" s="32"/>
      <c r="S14" s="32"/>
      <c r="T14" s="21"/>
      <c r="U14" s="21"/>
      <c r="V14" s="21"/>
      <c r="W14" s="21"/>
      <c r="X14" s="21" t="s">
        <v>28</v>
      </c>
    </row>
    <row r="15" customFormat="false" ht="15.75" hidden="false" customHeight="false" outlineLevel="0" collapsed="false">
      <c r="A15" s="61" t="n">
        <v>6624</v>
      </c>
      <c r="B15" s="29" t="n">
        <v>44775</v>
      </c>
      <c r="C15" s="21" t="s">
        <v>75</v>
      </c>
      <c r="D15" s="21" t="s">
        <v>24</v>
      </c>
      <c r="E15" s="21" t="s">
        <v>25</v>
      </c>
      <c r="F15" s="21" t="s">
        <v>2459</v>
      </c>
      <c r="G15" s="30" t="s">
        <v>2776</v>
      </c>
      <c r="H15" s="45" t="str">
        <f aca="false">HYPERLINK("https://photos.app.goo.gl/gc1Q5dFmN9EP6P3t9", "Completo")</f>
        <v>Completo</v>
      </c>
      <c r="I15" s="21" t="s">
        <v>28</v>
      </c>
      <c r="J15" s="21"/>
      <c r="K15" s="21"/>
      <c r="L15" s="21"/>
      <c r="M15" s="21"/>
      <c r="N15" s="30"/>
      <c r="O15" s="21" t="s">
        <v>28</v>
      </c>
      <c r="P15" s="74" t="s">
        <v>28</v>
      </c>
      <c r="Q15" s="21" t="s">
        <v>201</v>
      </c>
      <c r="R15" s="32" t="s">
        <v>2766</v>
      </c>
      <c r="S15" s="32"/>
      <c r="T15" s="21" t="s">
        <v>2654</v>
      </c>
      <c r="U15" s="46" t="s">
        <v>28</v>
      </c>
      <c r="V15" s="46" t="s">
        <v>28</v>
      </c>
      <c r="W15" s="21" t="s">
        <v>29</v>
      </c>
      <c r="X15" s="21" t="s">
        <v>28</v>
      </c>
    </row>
    <row r="16" customFormat="false" ht="15.75" hidden="false" customHeight="false" outlineLevel="0" collapsed="false">
      <c r="A16" s="61" t="n">
        <v>6625</v>
      </c>
      <c r="B16" s="29" t="n">
        <v>44775</v>
      </c>
      <c r="C16" s="21" t="s">
        <v>75</v>
      </c>
      <c r="D16" s="21" t="s">
        <v>24</v>
      </c>
      <c r="E16" s="21" t="s">
        <v>25</v>
      </c>
      <c r="F16" s="21" t="s">
        <v>2459</v>
      </c>
      <c r="G16" s="30" t="s">
        <v>2777</v>
      </c>
      <c r="H16" s="45" t="str">
        <f aca="false">HYPERLINK("https://photos.app.goo.gl/sMVXfPZd5MhRFm1d7", "Completo")</f>
        <v>Completo</v>
      </c>
      <c r="I16" s="21" t="s">
        <v>28</v>
      </c>
      <c r="J16" s="21"/>
      <c r="K16" s="21"/>
      <c r="L16" s="21"/>
      <c r="M16" s="21"/>
      <c r="N16" s="30"/>
      <c r="O16" s="21" t="s">
        <v>28</v>
      </c>
      <c r="P16" s="74" t="s">
        <v>28</v>
      </c>
      <c r="Q16" s="21" t="s">
        <v>201</v>
      </c>
      <c r="R16" s="32" t="s">
        <v>2766</v>
      </c>
      <c r="S16" s="32"/>
      <c r="T16" s="21" t="s">
        <v>2654</v>
      </c>
      <c r="U16" s="46" t="s">
        <v>28</v>
      </c>
      <c r="V16" s="46" t="s">
        <v>28</v>
      </c>
      <c r="W16" s="21" t="s">
        <v>29</v>
      </c>
      <c r="X16" s="21" t="s">
        <v>28</v>
      </c>
    </row>
    <row r="17" customFormat="false" ht="15.75" hidden="false" customHeight="false" outlineLevel="0" collapsed="false">
      <c r="A17" s="61" t="n">
        <v>6626</v>
      </c>
      <c r="B17" s="29" t="n">
        <v>44775</v>
      </c>
      <c r="C17" s="21" t="s">
        <v>872</v>
      </c>
      <c r="D17" s="21" t="s">
        <v>24</v>
      </c>
      <c r="E17" s="21" t="s">
        <v>34</v>
      </c>
      <c r="F17" s="21" t="s">
        <v>2778</v>
      </c>
      <c r="G17" s="30"/>
      <c r="H17" s="31"/>
      <c r="I17" s="21"/>
      <c r="J17" s="21"/>
      <c r="K17" s="21"/>
      <c r="L17" s="21"/>
      <c r="M17" s="21"/>
      <c r="N17" s="30"/>
      <c r="O17" s="21"/>
      <c r="P17" s="21"/>
      <c r="Q17" s="21"/>
      <c r="R17" s="32"/>
      <c r="S17" s="32"/>
      <c r="T17" s="21"/>
      <c r="U17" s="66"/>
      <c r="V17" s="66"/>
      <c r="W17" s="21"/>
      <c r="X17" s="21" t="s">
        <v>28</v>
      </c>
    </row>
    <row r="18" customFormat="false" ht="15.75" hidden="false" customHeight="false" outlineLevel="0" collapsed="false">
      <c r="A18" s="61" t="n">
        <v>6627</v>
      </c>
      <c r="B18" s="29" t="n">
        <v>44776</v>
      </c>
      <c r="C18" s="21" t="s">
        <v>1456</v>
      </c>
      <c r="D18" s="21" t="s">
        <v>24</v>
      </c>
      <c r="E18" s="21" t="s">
        <v>25</v>
      </c>
      <c r="F18" s="21" t="s">
        <v>2779</v>
      </c>
      <c r="G18" s="30" t="s">
        <v>2780</v>
      </c>
      <c r="H18" s="45" t="str">
        <f aca="false">HYPERLINK("https://photos.app.goo.gl/MrSAtdmsMVZ2wgdM8", "Completo")</f>
        <v>Completo</v>
      </c>
      <c r="I18" s="21" t="s">
        <v>28</v>
      </c>
      <c r="J18" s="21"/>
      <c r="K18" s="21"/>
      <c r="L18" s="21"/>
      <c r="M18" s="21"/>
      <c r="N18" s="30"/>
      <c r="O18" s="21"/>
      <c r="P18" s="21"/>
      <c r="Q18" s="21"/>
      <c r="R18" s="32"/>
      <c r="S18" s="32"/>
      <c r="T18" s="21" t="s">
        <v>2654</v>
      </c>
      <c r="U18" s="46" t="s">
        <v>28</v>
      </c>
      <c r="V18" s="46" t="s">
        <v>28</v>
      </c>
      <c r="W18" s="21" t="s">
        <v>29</v>
      </c>
      <c r="X18" s="21" t="s">
        <v>28</v>
      </c>
    </row>
    <row r="19" customFormat="false" ht="15.75" hidden="false" customHeight="false" outlineLevel="0" collapsed="false">
      <c r="A19" s="61" t="n">
        <v>6628</v>
      </c>
      <c r="B19" s="29" t="n">
        <v>44777</v>
      </c>
      <c r="C19" s="21" t="s">
        <v>2781</v>
      </c>
      <c r="D19" s="21" t="s">
        <v>24</v>
      </c>
      <c r="E19" s="21" t="s">
        <v>74</v>
      </c>
      <c r="F19" s="21" t="s">
        <v>2782</v>
      </c>
      <c r="G19" s="30"/>
      <c r="H19" s="45" t="str">
        <f aca="false">HYPERLINK("https://photos.app.goo.gl/ewksRcRVg4WAszfD8", "Completo")</f>
        <v>Completo</v>
      </c>
      <c r="I19" s="21" t="s">
        <v>28</v>
      </c>
      <c r="J19" s="21" t="s">
        <v>2783</v>
      </c>
      <c r="K19" s="21"/>
      <c r="L19" s="21"/>
      <c r="M19" s="21"/>
      <c r="N19" s="30"/>
      <c r="O19" s="21"/>
      <c r="P19" s="21"/>
      <c r="Q19" s="21"/>
      <c r="R19" s="32"/>
      <c r="S19" s="32"/>
      <c r="T19" s="21"/>
      <c r="U19" s="21"/>
      <c r="V19" s="21"/>
      <c r="W19" s="21"/>
      <c r="X19" s="21" t="s">
        <v>28</v>
      </c>
    </row>
    <row r="20" customFormat="false" ht="15.75" hidden="false" customHeight="false" outlineLevel="0" collapsed="false">
      <c r="A20" s="61" t="n">
        <v>6629</v>
      </c>
      <c r="B20" s="29" t="n">
        <v>44778</v>
      </c>
      <c r="C20" s="21" t="s">
        <v>2784</v>
      </c>
      <c r="D20" s="21" t="s">
        <v>24</v>
      </c>
      <c r="E20" s="21" t="s">
        <v>25</v>
      </c>
      <c r="F20" s="21" t="s">
        <v>2785</v>
      </c>
      <c r="G20" s="30"/>
      <c r="H20" s="45" t="str">
        <f aca="false">HYPERLINK("https://photos.app.goo.gl/t4uLyiEvj4ibm6cH8", "Completo")</f>
        <v>Completo</v>
      </c>
      <c r="I20" s="21" t="s">
        <v>28</v>
      </c>
      <c r="J20" s="21" t="s">
        <v>2786</v>
      </c>
      <c r="K20" s="21"/>
      <c r="L20" s="21"/>
      <c r="M20" s="21"/>
      <c r="N20" s="30"/>
      <c r="O20" s="21" t="s">
        <v>28</v>
      </c>
      <c r="P20" s="46" t="s">
        <v>28</v>
      </c>
      <c r="Q20" s="21" t="s">
        <v>2787</v>
      </c>
      <c r="R20" s="32" t="s">
        <v>74</v>
      </c>
      <c r="S20" s="32" t="s">
        <v>36</v>
      </c>
      <c r="T20" s="21"/>
      <c r="U20" s="21"/>
      <c r="V20" s="46" t="s">
        <v>28</v>
      </c>
      <c r="W20" s="21"/>
      <c r="X20" s="21" t="s">
        <v>28</v>
      </c>
    </row>
    <row r="21" customFormat="false" ht="15.75" hidden="false" customHeight="false" outlineLevel="0" collapsed="false">
      <c r="A21" s="61" t="n">
        <v>6630</v>
      </c>
      <c r="B21" s="29" t="n">
        <v>44778</v>
      </c>
      <c r="C21" s="21" t="s">
        <v>2788</v>
      </c>
      <c r="D21" s="21" t="s">
        <v>24</v>
      </c>
      <c r="E21" s="21" t="s">
        <v>25</v>
      </c>
      <c r="F21" s="21" t="s">
        <v>2789</v>
      </c>
      <c r="G21" s="30"/>
      <c r="H21" s="45" t="str">
        <f aca="false">HYPERLINK("https://photos.app.goo.gl/zQ19zSRmChUAAz8L6", "Completo")</f>
        <v>Completo</v>
      </c>
      <c r="I21" s="21" t="s">
        <v>28</v>
      </c>
      <c r="J21" s="21" t="s">
        <v>2790</v>
      </c>
      <c r="K21" s="21"/>
      <c r="L21" s="21" t="s">
        <v>2791</v>
      </c>
      <c r="M21" s="21"/>
      <c r="N21" s="30"/>
      <c r="O21" s="21" t="s">
        <v>28</v>
      </c>
      <c r="P21" s="46" t="s">
        <v>28</v>
      </c>
      <c r="Q21" s="21" t="s">
        <v>201</v>
      </c>
      <c r="R21" s="32" t="s">
        <v>2766</v>
      </c>
      <c r="S21" s="32"/>
      <c r="T21" s="21"/>
      <c r="U21" s="21"/>
      <c r="V21" s="21"/>
      <c r="W21" s="21"/>
      <c r="X21" s="21" t="s">
        <v>28</v>
      </c>
    </row>
    <row r="22" customFormat="false" ht="15.75" hidden="false" customHeight="false" outlineLevel="0" collapsed="false">
      <c r="A22" s="61" t="n">
        <v>6631</v>
      </c>
      <c r="B22" s="29" t="n">
        <v>44686</v>
      </c>
      <c r="C22" s="21" t="s">
        <v>2792</v>
      </c>
      <c r="D22" s="21" t="s">
        <v>24</v>
      </c>
      <c r="E22" s="21" t="s">
        <v>25</v>
      </c>
      <c r="F22" s="21" t="s">
        <v>2793</v>
      </c>
      <c r="G22" s="30"/>
      <c r="H22" s="45" t="str">
        <f aca="false">HYPERLINK("https://photos.app.goo.gl/86odnVryLrgantD3A", "Completo")</f>
        <v>Completo</v>
      </c>
      <c r="I22" s="21" t="s">
        <v>28</v>
      </c>
      <c r="J22" s="21"/>
      <c r="K22" s="21"/>
      <c r="L22" s="21"/>
      <c r="M22" s="21"/>
      <c r="N22" s="30"/>
      <c r="O22" s="21" t="s">
        <v>28</v>
      </c>
      <c r="P22" s="46" t="s">
        <v>28</v>
      </c>
      <c r="Q22" s="21" t="s">
        <v>201</v>
      </c>
      <c r="R22" s="32" t="s">
        <v>2766</v>
      </c>
      <c r="S22" s="32"/>
      <c r="T22" s="21"/>
      <c r="U22" s="21"/>
      <c r="V22" s="21"/>
      <c r="W22" s="21"/>
      <c r="X22" s="21" t="s">
        <v>28</v>
      </c>
    </row>
    <row r="23" customFormat="false" ht="15.75" hidden="false" customHeight="false" outlineLevel="0" collapsed="false">
      <c r="A23" s="61" t="n">
        <v>6632</v>
      </c>
      <c r="B23" s="29" t="n">
        <v>44781</v>
      </c>
      <c r="C23" s="21" t="s">
        <v>75</v>
      </c>
      <c r="D23" s="21" t="s">
        <v>24</v>
      </c>
      <c r="E23" s="21" t="s">
        <v>34</v>
      </c>
      <c r="F23" s="21" t="s">
        <v>2794</v>
      </c>
      <c r="G23" s="30"/>
      <c r="H23" s="31"/>
      <c r="I23" s="21"/>
      <c r="J23" s="21"/>
      <c r="K23" s="21"/>
      <c r="L23" s="21"/>
      <c r="M23" s="21"/>
      <c r="N23" s="30"/>
      <c r="O23" s="21"/>
      <c r="P23" s="21"/>
      <c r="Q23" s="21"/>
      <c r="R23" s="32"/>
      <c r="S23" s="32"/>
      <c r="T23" s="21"/>
      <c r="U23" s="21"/>
      <c r="V23" s="21"/>
      <c r="W23" s="21"/>
      <c r="X23" s="21" t="s">
        <v>28</v>
      </c>
    </row>
    <row r="24" customFormat="false" ht="15.75" hidden="false" customHeight="false" outlineLevel="0" collapsed="false">
      <c r="A24" s="61" t="n">
        <v>6633</v>
      </c>
      <c r="B24" s="29" t="n">
        <v>44782</v>
      </c>
      <c r="C24" s="21" t="s">
        <v>1010</v>
      </c>
      <c r="D24" s="21" t="s">
        <v>24</v>
      </c>
      <c r="E24" s="21" t="s">
        <v>34</v>
      </c>
      <c r="F24" s="21" t="s">
        <v>2795</v>
      </c>
      <c r="G24" s="30"/>
      <c r="H24" s="31"/>
      <c r="I24" s="21"/>
      <c r="J24" s="21"/>
      <c r="K24" s="21"/>
      <c r="L24" s="21"/>
      <c r="M24" s="21"/>
      <c r="N24" s="30"/>
      <c r="O24" s="21"/>
      <c r="P24" s="21"/>
      <c r="Q24" s="21"/>
      <c r="R24" s="32"/>
      <c r="S24" s="32"/>
      <c r="T24" s="21"/>
      <c r="U24" s="21"/>
      <c r="V24" s="21"/>
      <c r="W24" s="21"/>
      <c r="X24" s="21" t="s">
        <v>28</v>
      </c>
    </row>
    <row r="25" customFormat="false" ht="15.75" hidden="false" customHeight="false" outlineLevel="0" collapsed="false">
      <c r="A25" s="61" t="s">
        <v>2796</v>
      </c>
      <c r="B25" s="29" t="n">
        <v>44783</v>
      </c>
      <c r="C25" s="21" t="s">
        <v>1259</v>
      </c>
      <c r="D25" s="21" t="s">
        <v>578</v>
      </c>
      <c r="E25" s="21" t="s">
        <v>25</v>
      </c>
      <c r="F25" s="21" t="s">
        <v>2797</v>
      </c>
      <c r="G25" s="30"/>
      <c r="H25" s="31" t="s">
        <v>28</v>
      </c>
      <c r="I25" s="21" t="s">
        <v>28</v>
      </c>
      <c r="J25" s="21"/>
      <c r="K25" s="21"/>
      <c r="L25" s="21"/>
      <c r="M25" s="21"/>
      <c r="N25" s="30"/>
      <c r="O25" s="21" t="s">
        <v>28</v>
      </c>
      <c r="P25" s="46" t="s">
        <v>28</v>
      </c>
      <c r="Q25" s="21" t="s">
        <v>201</v>
      </c>
      <c r="R25" s="32" t="s">
        <v>2766</v>
      </c>
      <c r="S25" s="32"/>
      <c r="T25" s="21"/>
      <c r="U25" s="21"/>
      <c r="V25" s="21"/>
      <c r="W25" s="21"/>
      <c r="X25" s="21" t="s">
        <v>28</v>
      </c>
    </row>
    <row r="26" customFormat="false" ht="15.75" hidden="false" customHeight="false" outlineLevel="0" collapsed="false">
      <c r="A26" s="61" t="n">
        <v>6634</v>
      </c>
      <c r="B26" s="29" t="n">
        <v>44784</v>
      </c>
      <c r="C26" s="21" t="s">
        <v>2798</v>
      </c>
      <c r="D26" s="21" t="s">
        <v>24</v>
      </c>
      <c r="E26" s="21" t="s">
        <v>25</v>
      </c>
      <c r="F26" s="21" t="s">
        <v>2799</v>
      </c>
      <c r="G26" s="30" t="s">
        <v>2800</v>
      </c>
      <c r="H26" s="45" t="str">
        <f aca="false">HYPERLINK("https://photos.app.goo.gl/1X9FmK4pyYtzTKC86", "Completo")</f>
        <v>Completo</v>
      </c>
      <c r="I26" s="21" t="s">
        <v>28</v>
      </c>
      <c r="J26" s="21"/>
      <c r="K26" s="21"/>
      <c r="L26" s="21"/>
      <c r="M26" s="21"/>
      <c r="N26" s="30"/>
      <c r="O26" s="21"/>
      <c r="P26" s="21"/>
      <c r="Q26" s="21"/>
      <c r="R26" s="32"/>
      <c r="S26" s="32"/>
      <c r="T26" s="21"/>
      <c r="U26" s="66"/>
      <c r="V26" s="66"/>
      <c r="W26" s="21"/>
      <c r="X26" s="21" t="s">
        <v>28</v>
      </c>
    </row>
    <row r="27" customFormat="false" ht="15.75" hidden="false" customHeight="false" outlineLevel="0" collapsed="false">
      <c r="A27" s="61" t="n">
        <v>6635</v>
      </c>
      <c r="B27" s="29" t="n">
        <v>44789</v>
      </c>
      <c r="C27" s="21" t="s">
        <v>1781</v>
      </c>
      <c r="D27" s="21" t="s">
        <v>24</v>
      </c>
      <c r="E27" s="21" t="s">
        <v>25</v>
      </c>
      <c r="F27" s="21" t="s">
        <v>2801</v>
      </c>
      <c r="G27" s="30"/>
      <c r="H27" s="31" t="s">
        <v>28</v>
      </c>
      <c r="I27" s="21" t="s">
        <v>28</v>
      </c>
      <c r="J27" s="21"/>
      <c r="K27" s="21"/>
      <c r="L27" s="21"/>
      <c r="M27" s="21"/>
      <c r="N27" s="30"/>
      <c r="O27" s="21"/>
      <c r="P27" s="21"/>
      <c r="Q27" s="21"/>
      <c r="R27" s="32"/>
      <c r="S27" s="32"/>
      <c r="T27" s="21"/>
      <c r="U27" s="21"/>
      <c r="V27" s="21"/>
      <c r="W27" s="21"/>
      <c r="X27" s="21" t="s">
        <v>37</v>
      </c>
    </row>
    <row r="28" customFormat="false" ht="15.75" hidden="false" customHeight="false" outlineLevel="0" collapsed="false">
      <c r="A28" s="61" t="n">
        <v>6636</v>
      </c>
      <c r="B28" s="29" t="n">
        <v>44790</v>
      </c>
      <c r="C28" s="21" t="s">
        <v>730</v>
      </c>
      <c r="D28" s="21" t="s">
        <v>24</v>
      </c>
      <c r="E28" s="21" t="s">
        <v>25</v>
      </c>
      <c r="F28" s="21" t="s">
        <v>2802</v>
      </c>
      <c r="G28" s="30"/>
      <c r="H28" s="45" t="str">
        <f aca="false">HYPERLINK("https://photos.app.goo.gl/kPsTPCkn9fwAaPnQ6", "Completo")</f>
        <v>Completo</v>
      </c>
      <c r="I28" s="21" t="s">
        <v>28</v>
      </c>
      <c r="J28" s="21"/>
      <c r="K28" s="21"/>
      <c r="L28" s="21"/>
      <c r="M28" s="21"/>
      <c r="N28" s="30"/>
      <c r="O28" s="21" t="s">
        <v>28</v>
      </c>
      <c r="P28" s="46" t="s">
        <v>28</v>
      </c>
      <c r="Q28" s="21" t="s">
        <v>2803</v>
      </c>
      <c r="R28" s="32" t="s">
        <v>2766</v>
      </c>
      <c r="S28" s="32"/>
      <c r="T28" s="21" t="s">
        <v>2804</v>
      </c>
      <c r="U28" s="46" t="s">
        <v>28</v>
      </c>
      <c r="V28" s="46" t="s">
        <v>28</v>
      </c>
      <c r="W28" s="21" t="s">
        <v>29</v>
      </c>
      <c r="X28" s="21" t="s">
        <v>28</v>
      </c>
    </row>
    <row r="29" customFormat="false" ht="15.75" hidden="false" customHeight="false" outlineLevel="0" collapsed="false">
      <c r="A29" s="61" t="n">
        <v>6637</v>
      </c>
      <c r="B29" s="29" t="n">
        <v>44791</v>
      </c>
      <c r="C29" s="21" t="s">
        <v>2334</v>
      </c>
      <c r="D29" s="21" t="s">
        <v>24</v>
      </c>
      <c r="E29" s="21" t="s">
        <v>25</v>
      </c>
      <c r="F29" s="21" t="s">
        <v>2805</v>
      </c>
      <c r="G29" s="30" t="s">
        <v>2806</v>
      </c>
      <c r="H29" s="31"/>
      <c r="I29" s="21"/>
      <c r="J29" s="21"/>
      <c r="K29" s="21"/>
      <c r="L29" s="21"/>
      <c r="M29" s="21"/>
      <c r="N29" s="30" t="s">
        <v>2807</v>
      </c>
      <c r="O29" s="21" t="s">
        <v>28</v>
      </c>
      <c r="P29" s="46" t="s">
        <v>28</v>
      </c>
      <c r="Q29" s="21" t="s">
        <v>2803</v>
      </c>
      <c r="R29" s="32" t="s">
        <v>74</v>
      </c>
      <c r="S29" s="32"/>
      <c r="T29" s="21" t="s">
        <v>2804</v>
      </c>
      <c r="U29" s="46" t="s">
        <v>28</v>
      </c>
      <c r="V29" s="46" t="s">
        <v>28</v>
      </c>
      <c r="W29" s="21" t="s">
        <v>29</v>
      </c>
      <c r="X29" s="21" t="s">
        <v>28</v>
      </c>
    </row>
    <row r="30" customFormat="false" ht="15.75" hidden="false" customHeight="false" outlineLevel="0" collapsed="false">
      <c r="A30" s="61" t="n">
        <v>6638</v>
      </c>
      <c r="B30" s="29" t="n">
        <v>44791</v>
      </c>
      <c r="C30" s="21" t="s">
        <v>2808</v>
      </c>
      <c r="D30" s="21" t="s">
        <v>24</v>
      </c>
      <c r="E30" s="21" t="s">
        <v>25</v>
      </c>
      <c r="F30" s="21" t="s">
        <v>2809</v>
      </c>
      <c r="G30" s="30"/>
      <c r="H30" s="31"/>
      <c r="I30" s="21"/>
      <c r="J30" s="21"/>
      <c r="K30" s="21"/>
      <c r="L30" s="21"/>
      <c r="M30" s="21"/>
      <c r="N30" s="30"/>
      <c r="O30" s="21"/>
      <c r="P30" s="21"/>
      <c r="Q30" s="21"/>
      <c r="R30" s="32"/>
      <c r="S30" s="32"/>
      <c r="T30" s="21"/>
      <c r="U30" s="21"/>
      <c r="V30" s="21"/>
      <c r="W30" s="21"/>
      <c r="X30" s="21" t="s">
        <v>28</v>
      </c>
    </row>
    <row r="31" customFormat="false" ht="15.75" hidden="false" customHeight="false" outlineLevel="0" collapsed="false">
      <c r="A31" s="61" t="n">
        <v>6639</v>
      </c>
      <c r="B31" s="29" t="n">
        <v>44791</v>
      </c>
      <c r="C31" s="21" t="s">
        <v>776</v>
      </c>
      <c r="D31" s="21" t="s">
        <v>24</v>
      </c>
      <c r="E31" s="21" t="s">
        <v>34</v>
      </c>
      <c r="F31" s="21" t="s">
        <v>2810</v>
      </c>
      <c r="G31" s="30"/>
      <c r="H31" s="31"/>
      <c r="I31" s="21"/>
      <c r="J31" s="21"/>
      <c r="K31" s="21"/>
      <c r="L31" s="21"/>
      <c r="M31" s="21"/>
      <c r="N31" s="30"/>
      <c r="O31" s="21"/>
      <c r="P31" s="66"/>
      <c r="Q31" s="21"/>
      <c r="R31" s="32"/>
      <c r="S31" s="32"/>
      <c r="T31" s="21"/>
      <c r="U31" s="21"/>
      <c r="V31" s="21"/>
      <c r="W31" s="21"/>
      <c r="X31" s="21" t="s">
        <v>28</v>
      </c>
    </row>
    <row r="32" customFormat="false" ht="15.75" hidden="false" customHeight="false" outlineLevel="0" collapsed="false">
      <c r="A32" s="61" t="n">
        <v>6640</v>
      </c>
      <c r="B32" s="29" t="n">
        <v>44791</v>
      </c>
      <c r="C32" s="21" t="s">
        <v>776</v>
      </c>
      <c r="D32" s="21" t="s">
        <v>24</v>
      </c>
      <c r="E32" s="21" t="s">
        <v>34</v>
      </c>
      <c r="F32" s="21" t="s">
        <v>2810</v>
      </c>
      <c r="G32" s="30"/>
      <c r="H32" s="31"/>
      <c r="I32" s="21"/>
      <c r="J32" s="21"/>
      <c r="K32" s="21"/>
      <c r="L32" s="21"/>
      <c r="M32" s="21"/>
      <c r="N32" s="30"/>
      <c r="O32" s="21"/>
      <c r="P32" s="66"/>
      <c r="Q32" s="21"/>
      <c r="R32" s="32"/>
      <c r="S32" s="32"/>
      <c r="T32" s="21"/>
      <c r="U32" s="21"/>
      <c r="V32" s="21"/>
      <c r="W32" s="21"/>
      <c r="X32" s="21" t="s">
        <v>28</v>
      </c>
    </row>
    <row r="33" customFormat="false" ht="15.75" hidden="false" customHeight="false" outlineLevel="0" collapsed="false">
      <c r="A33" s="61" t="n">
        <v>6641</v>
      </c>
      <c r="B33" s="29" t="n">
        <v>44791</v>
      </c>
      <c r="C33" s="21" t="s">
        <v>2334</v>
      </c>
      <c r="D33" s="21" t="s">
        <v>24</v>
      </c>
      <c r="E33" s="21" t="s">
        <v>25</v>
      </c>
      <c r="F33" s="21" t="s">
        <v>2811</v>
      </c>
      <c r="G33" s="30" t="s">
        <v>2806</v>
      </c>
      <c r="H33" s="45" t="str">
        <f aca="false">HYPERLINK("https://photos.app.goo.gl/QQV848L5TzcA2cJ17", "Completo")</f>
        <v>Completo</v>
      </c>
      <c r="I33" s="21" t="s">
        <v>28</v>
      </c>
      <c r="J33" s="21"/>
      <c r="K33" s="21"/>
      <c r="L33" s="21"/>
      <c r="M33" s="21"/>
      <c r="N33" s="30" t="s">
        <v>2807</v>
      </c>
      <c r="O33" s="21" t="s">
        <v>28</v>
      </c>
      <c r="P33" s="46" t="s">
        <v>28</v>
      </c>
      <c r="Q33" s="21" t="s">
        <v>1062</v>
      </c>
      <c r="R33" s="32" t="s">
        <v>2565</v>
      </c>
      <c r="S33" s="32" t="s">
        <v>36</v>
      </c>
      <c r="T33" s="21" t="s">
        <v>2804</v>
      </c>
      <c r="U33" s="46" t="s">
        <v>28</v>
      </c>
      <c r="V33" s="46" t="s">
        <v>28</v>
      </c>
      <c r="W33" s="21" t="s">
        <v>29</v>
      </c>
      <c r="X33" s="21" t="s">
        <v>28</v>
      </c>
    </row>
    <row r="34" customFormat="false" ht="15.75" hidden="false" customHeight="false" outlineLevel="0" collapsed="false">
      <c r="A34" s="61" t="n">
        <v>6642</v>
      </c>
      <c r="B34" s="29" t="n">
        <v>44791</v>
      </c>
      <c r="C34" s="21" t="s">
        <v>1290</v>
      </c>
      <c r="D34" s="21" t="s">
        <v>24</v>
      </c>
      <c r="E34" s="21" t="s">
        <v>25</v>
      </c>
      <c r="F34" s="21" t="s">
        <v>2812</v>
      </c>
      <c r="G34" s="30"/>
      <c r="H34" s="45" t="str">
        <f aca="false">HYPERLINK("https://photos.app.goo.gl/xqbkUJBd1JNECUqv8", "Completo")</f>
        <v>Completo</v>
      </c>
      <c r="I34" s="21" t="s">
        <v>28</v>
      </c>
      <c r="J34" s="21"/>
      <c r="K34" s="21"/>
      <c r="L34" s="67"/>
      <c r="M34" s="21"/>
      <c r="N34" s="30"/>
      <c r="O34" s="21"/>
      <c r="P34" s="21"/>
      <c r="Q34" s="21"/>
      <c r="R34" s="32"/>
      <c r="S34" s="32"/>
      <c r="T34" s="21"/>
      <c r="U34" s="21"/>
      <c r="V34" s="21"/>
      <c r="W34" s="21"/>
      <c r="X34" s="21" t="s">
        <v>28</v>
      </c>
    </row>
    <row r="35" customFormat="false" ht="15.75" hidden="false" customHeight="false" outlineLevel="0" collapsed="false">
      <c r="A35" s="61" t="n">
        <v>6643</v>
      </c>
      <c r="B35" s="29" t="n">
        <v>44796</v>
      </c>
      <c r="C35" s="21" t="s">
        <v>1290</v>
      </c>
      <c r="D35" s="21" t="s">
        <v>24</v>
      </c>
      <c r="E35" s="21" t="s">
        <v>25</v>
      </c>
      <c r="F35" s="21" t="s">
        <v>2813</v>
      </c>
      <c r="G35" s="30" t="s">
        <v>2814</v>
      </c>
      <c r="H35" s="45" t="str">
        <f aca="false">HYPERLINK("https://photos.app.goo.gl/QcQGS38BNV1HYPHz5", "Completo")</f>
        <v>Completo</v>
      </c>
      <c r="I35" s="21" t="s">
        <v>28</v>
      </c>
      <c r="J35" s="21"/>
      <c r="K35" s="21"/>
      <c r="L35" s="21"/>
      <c r="M35" s="21"/>
      <c r="N35" s="30"/>
      <c r="O35" s="21"/>
      <c r="P35" s="21"/>
      <c r="Q35" s="21"/>
      <c r="R35" s="32"/>
      <c r="S35" s="32"/>
      <c r="T35" s="21"/>
      <c r="U35" s="21"/>
      <c r="V35" s="21"/>
      <c r="W35" s="21"/>
      <c r="X35" s="21" t="s">
        <v>28</v>
      </c>
    </row>
    <row r="36" customFormat="false" ht="15.75" hidden="false" customHeight="false" outlineLevel="0" collapsed="false">
      <c r="A36" s="61" t="n">
        <v>6644</v>
      </c>
      <c r="B36" s="29" t="n">
        <v>44798</v>
      </c>
      <c r="C36" s="21" t="s">
        <v>389</v>
      </c>
      <c r="D36" s="21" t="s">
        <v>24</v>
      </c>
      <c r="E36" s="21" t="s">
        <v>34</v>
      </c>
      <c r="F36" s="21" t="s">
        <v>2815</v>
      </c>
      <c r="G36" s="30"/>
      <c r="H36" s="31"/>
      <c r="I36" s="21"/>
      <c r="J36" s="21"/>
      <c r="K36" s="21"/>
      <c r="L36" s="21"/>
      <c r="M36" s="21"/>
      <c r="N36" s="30"/>
      <c r="O36" s="21"/>
      <c r="P36" s="21"/>
      <c r="Q36" s="21"/>
      <c r="R36" s="32"/>
      <c r="S36" s="32"/>
      <c r="T36" s="21"/>
      <c r="U36" s="21"/>
      <c r="V36" s="21"/>
      <c r="W36" s="21"/>
      <c r="X36" s="21" t="s">
        <v>28</v>
      </c>
    </row>
    <row r="37" customFormat="false" ht="15.75" hidden="false" customHeight="false" outlineLevel="0" collapsed="false">
      <c r="A37" s="61" t="n">
        <v>6645</v>
      </c>
      <c r="B37" s="29" t="n">
        <v>44799</v>
      </c>
      <c r="C37" s="21" t="s">
        <v>1290</v>
      </c>
      <c r="D37" s="21" t="s">
        <v>24</v>
      </c>
      <c r="E37" s="21" t="s">
        <v>25</v>
      </c>
      <c r="F37" s="21" t="s">
        <v>2816</v>
      </c>
      <c r="G37" s="30"/>
      <c r="H37" s="45" t="str">
        <f aca="false">HYPERLINK("https://photos.app.goo.gl/hr9eSNbaSebZAUFQ7", "Completo")</f>
        <v>Completo</v>
      </c>
      <c r="I37" s="21" t="s">
        <v>28</v>
      </c>
      <c r="J37" s="21"/>
      <c r="K37" s="21"/>
      <c r="L37" s="21"/>
      <c r="M37" s="21"/>
      <c r="N37" s="30"/>
      <c r="O37" s="21"/>
      <c r="P37" s="21"/>
      <c r="Q37" s="21"/>
      <c r="R37" s="32"/>
      <c r="S37" s="32"/>
      <c r="T37" s="21"/>
      <c r="U37" s="21"/>
      <c r="V37" s="21"/>
      <c r="W37" s="21"/>
      <c r="X37" s="21" t="s">
        <v>28</v>
      </c>
    </row>
    <row r="38" customFormat="false" ht="15.75" hidden="false" customHeight="false" outlineLevel="0" collapsed="false">
      <c r="A38" s="61" t="n">
        <v>6646</v>
      </c>
      <c r="B38" s="29" t="n">
        <v>44802</v>
      </c>
      <c r="C38" s="21" t="s">
        <v>613</v>
      </c>
      <c r="D38" s="21" t="s">
        <v>24</v>
      </c>
      <c r="E38" s="21" t="s">
        <v>25</v>
      </c>
      <c r="F38" s="21" t="s">
        <v>2817</v>
      </c>
      <c r="G38" s="30"/>
      <c r="H38" s="45" t="str">
        <f aca="false">HYPERLINK("https://photos.app.goo.gl/f2jAX753aBD3AVCc7", "Completo")</f>
        <v>Completo</v>
      </c>
      <c r="I38" s="21" t="s">
        <v>28</v>
      </c>
      <c r="J38" s="21"/>
      <c r="K38" s="21"/>
      <c r="L38" s="21"/>
      <c r="M38" s="21"/>
      <c r="N38" s="30"/>
      <c r="O38" s="21"/>
      <c r="P38" s="66"/>
      <c r="Q38" s="21"/>
      <c r="R38" s="32"/>
      <c r="S38" s="32"/>
      <c r="T38" s="21"/>
      <c r="U38" s="66"/>
      <c r="V38" s="66"/>
      <c r="W38" s="21"/>
      <c r="X38" s="21" t="s">
        <v>28</v>
      </c>
    </row>
    <row r="39" customFormat="false" ht="15.75" hidden="false" customHeight="false" outlineLevel="0" collapsed="false">
      <c r="A39" s="61" t="n">
        <v>6647</v>
      </c>
      <c r="B39" s="29" t="n">
        <v>44803</v>
      </c>
      <c r="C39" s="21" t="s">
        <v>389</v>
      </c>
      <c r="D39" s="21" t="s">
        <v>24</v>
      </c>
      <c r="E39" s="21" t="s">
        <v>25</v>
      </c>
      <c r="F39" s="21" t="s">
        <v>2818</v>
      </c>
      <c r="G39" s="30"/>
      <c r="H39" s="45" t="str">
        <f aca="false">HYPERLINK("https://photos.app.goo.gl/bVd6wpKc8UUBZC3s6", "Completo")</f>
        <v>Completo</v>
      </c>
      <c r="I39" s="21" t="s">
        <v>28</v>
      </c>
      <c r="J39" s="21"/>
      <c r="K39" s="21"/>
      <c r="L39" s="21"/>
      <c r="M39" s="21"/>
      <c r="N39" s="30"/>
      <c r="O39" s="21"/>
      <c r="P39" s="66"/>
      <c r="Q39" s="21"/>
      <c r="R39" s="32"/>
      <c r="S39" s="32"/>
      <c r="T39" s="21"/>
      <c r="U39" s="66"/>
      <c r="V39" s="66"/>
      <c r="W39" s="21"/>
      <c r="X39" s="21" t="s">
        <v>37</v>
      </c>
    </row>
    <row r="40" customFormat="false" ht="15.75" hidden="false" customHeight="false" outlineLevel="0" collapsed="false">
      <c r="A40" s="61" t="n">
        <v>6648</v>
      </c>
      <c r="B40" s="29" t="n">
        <v>44803</v>
      </c>
      <c r="C40" s="21" t="s">
        <v>75</v>
      </c>
      <c r="D40" s="21" t="s">
        <v>24</v>
      </c>
      <c r="E40" s="21" t="s">
        <v>25</v>
      </c>
      <c r="F40" s="21" t="s">
        <v>2819</v>
      </c>
      <c r="G40" s="30"/>
      <c r="H40" s="45" t="str">
        <f aca="false">HYPERLINK("https://photos.app.goo.gl/p4kFSJqqQpSyuuAd6", "Completo")</f>
        <v>Completo</v>
      </c>
      <c r="I40" s="21" t="s">
        <v>28</v>
      </c>
      <c r="J40" s="21"/>
      <c r="K40" s="21"/>
      <c r="L40" s="21"/>
      <c r="M40" s="21"/>
      <c r="N40" s="30"/>
      <c r="O40" s="21"/>
      <c r="P40" s="21"/>
      <c r="Q40" s="21"/>
      <c r="R40" s="32"/>
      <c r="S40" s="32"/>
      <c r="T40" s="21"/>
      <c r="U40" s="21"/>
      <c r="V40" s="21"/>
      <c r="W40" s="21"/>
      <c r="X40" s="21" t="s">
        <v>28</v>
      </c>
    </row>
    <row r="41" customFormat="false" ht="15.75" hidden="false" customHeight="false" outlineLevel="0" collapsed="false">
      <c r="A41" s="61" t="n">
        <v>6649</v>
      </c>
      <c r="B41" s="29" t="n">
        <v>44803</v>
      </c>
      <c r="C41" s="21" t="s">
        <v>188</v>
      </c>
      <c r="D41" s="21" t="s">
        <v>24</v>
      </c>
      <c r="E41" s="21" t="s">
        <v>34</v>
      </c>
      <c r="F41" s="21" t="s">
        <v>2820</v>
      </c>
      <c r="G41" s="30"/>
      <c r="H41" s="31"/>
      <c r="I41" s="21"/>
      <c r="J41" s="21"/>
      <c r="K41" s="21"/>
      <c r="L41" s="21"/>
      <c r="M41" s="21"/>
      <c r="N41" s="30"/>
      <c r="O41" s="21"/>
      <c r="P41" s="21"/>
      <c r="Q41" s="21"/>
      <c r="R41" s="32"/>
      <c r="S41" s="32"/>
      <c r="T41" s="21"/>
      <c r="U41" s="21"/>
      <c r="V41" s="21"/>
      <c r="W41" s="21"/>
      <c r="X41" s="21" t="s">
        <v>28</v>
      </c>
    </row>
    <row r="42" customFormat="false" ht="15.75" hidden="false" customHeight="false" outlineLevel="0" collapsed="false">
      <c r="A42" s="61" t="n">
        <v>6650</v>
      </c>
      <c r="B42" s="29" t="n">
        <v>44803</v>
      </c>
      <c r="C42" s="21" t="s">
        <v>2821</v>
      </c>
      <c r="D42" s="21" t="s">
        <v>24</v>
      </c>
      <c r="E42" s="21" t="s">
        <v>34</v>
      </c>
      <c r="F42" s="21" t="s">
        <v>2822</v>
      </c>
      <c r="G42" s="30"/>
      <c r="H42" s="31"/>
      <c r="I42" s="21"/>
      <c r="J42" s="21"/>
      <c r="K42" s="21"/>
      <c r="L42" s="21"/>
      <c r="M42" s="21"/>
      <c r="N42" s="30"/>
      <c r="O42" s="21"/>
      <c r="P42" s="21"/>
      <c r="Q42" s="21"/>
      <c r="R42" s="32"/>
      <c r="S42" s="32"/>
      <c r="T42" s="21"/>
      <c r="U42" s="21"/>
      <c r="V42" s="21"/>
      <c r="W42" s="21"/>
      <c r="X42" s="21" t="s">
        <v>28</v>
      </c>
    </row>
    <row r="43" customFormat="false" ht="15.75" hidden="false" customHeight="false" outlineLevel="0" collapsed="false">
      <c r="A43" s="61" t="n">
        <v>6651</v>
      </c>
      <c r="B43" s="29" t="n">
        <v>37498</v>
      </c>
      <c r="C43" s="21" t="s">
        <v>954</v>
      </c>
      <c r="D43" s="21" t="s">
        <v>24</v>
      </c>
      <c r="E43" s="21" t="s">
        <v>34</v>
      </c>
      <c r="F43" s="21" t="s">
        <v>2823</v>
      </c>
      <c r="G43" s="30"/>
      <c r="H43" s="31"/>
      <c r="I43" s="21"/>
      <c r="J43" s="21"/>
      <c r="K43" s="21"/>
      <c r="L43" s="21"/>
      <c r="M43" s="21"/>
      <c r="N43" s="69" t="s">
        <v>2824</v>
      </c>
      <c r="O43" s="21"/>
      <c r="P43" s="66"/>
      <c r="Q43" s="21"/>
      <c r="R43" s="32"/>
      <c r="S43" s="32"/>
      <c r="T43" s="21"/>
      <c r="U43" s="66"/>
      <c r="V43" s="66"/>
      <c r="W43" s="21"/>
      <c r="X43" s="21" t="s">
        <v>28</v>
      </c>
    </row>
    <row r="44" customFormat="false" ht="15.75" hidden="false" customHeight="false" outlineLevel="0" collapsed="false">
      <c r="A44" s="61" t="n">
        <v>6652</v>
      </c>
      <c r="B44" s="29" t="n">
        <v>44803</v>
      </c>
      <c r="C44" s="21" t="s">
        <v>2825</v>
      </c>
      <c r="D44" s="21" t="s">
        <v>24</v>
      </c>
      <c r="E44" s="21" t="s">
        <v>34</v>
      </c>
      <c r="F44" s="21" t="s">
        <v>2826</v>
      </c>
      <c r="G44" s="30"/>
      <c r="H44" s="31"/>
      <c r="I44" s="21"/>
      <c r="J44" s="21"/>
      <c r="K44" s="21"/>
      <c r="L44" s="21"/>
      <c r="M44" s="21"/>
      <c r="N44" s="30"/>
      <c r="O44" s="21"/>
      <c r="P44" s="21"/>
      <c r="Q44" s="21"/>
      <c r="R44" s="32"/>
      <c r="S44" s="32"/>
      <c r="T44" s="21"/>
      <c r="U44" s="21"/>
      <c r="V44" s="21"/>
      <c r="W44" s="21"/>
      <c r="X44" s="21" t="s">
        <v>37</v>
      </c>
    </row>
    <row r="45" customFormat="false" ht="15.75" hidden="false" customHeight="false" outlineLevel="0" collapsed="false">
      <c r="A45" s="61" t="n">
        <v>6653</v>
      </c>
      <c r="B45" s="29" t="n">
        <v>44803</v>
      </c>
      <c r="C45" s="21" t="s">
        <v>2827</v>
      </c>
      <c r="D45" s="21" t="s">
        <v>24</v>
      </c>
      <c r="E45" s="21" t="s">
        <v>34</v>
      </c>
      <c r="F45" s="21" t="s">
        <v>2828</v>
      </c>
      <c r="G45" s="30"/>
      <c r="H45" s="31"/>
      <c r="I45" s="21"/>
      <c r="J45" s="21"/>
      <c r="K45" s="21"/>
      <c r="L45" s="21"/>
      <c r="M45" s="21"/>
      <c r="N45" s="30"/>
      <c r="O45" s="21"/>
      <c r="P45" s="21"/>
      <c r="Q45" s="21"/>
      <c r="R45" s="32"/>
      <c r="S45" s="32"/>
      <c r="T45" s="21"/>
      <c r="U45" s="21"/>
      <c r="V45" s="21"/>
      <c r="W45" s="21"/>
      <c r="X45" s="21" t="s">
        <v>28</v>
      </c>
    </row>
    <row r="46" customFormat="false" ht="15.75" hidden="false" customHeight="false" outlineLevel="0" collapsed="false">
      <c r="A46" s="61" t="n">
        <v>6654</v>
      </c>
      <c r="B46" s="29" t="n">
        <v>44804</v>
      </c>
      <c r="C46" s="21" t="s">
        <v>2829</v>
      </c>
      <c r="D46" s="21" t="s">
        <v>24</v>
      </c>
      <c r="E46" s="21" t="s">
        <v>25</v>
      </c>
      <c r="F46" s="21" t="s">
        <v>2830</v>
      </c>
      <c r="G46" s="30" t="s">
        <v>2831</v>
      </c>
      <c r="H46" s="45" t="str">
        <f aca="false">HYPERLINK("https://photos.app.goo.gl/vHSShU7TvNYYQT4Y9", "Completo")</f>
        <v>Completo</v>
      </c>
      <c r="I46" s="21" t="s">
        <v>28</v>
      </c>
      <c r="J46" s="21" t="s">
        <v>2832</v>
      </c>
      <c r="K46" s="21"/>
      <c r="L46" s="21"/>
      <c r="M46" s="21"/>
      <c r="N46" s="30"/>
      <c r="O46" s="21" t="s">
        <v>28</v>
      </c>
      <c r="P46" s="46" t="s">
        <v>28</v>
      </c>
      <c r="Q46" s="21" t="s">
        <v>2833</v>
      </c>
      <c r="R46" s="32" t="s">
        <v>2654</v>
      </c>
      <c r="S46" s="32" t="s">
        <v>29</v>
      </c>
      <c r="T46" s="21" t="s">
        <v>2654</v>
      </c>
      <c r="U46" s="46" t="s">
        <v>28</v>
      </c>
      <c r="V46" s="46" t="s">
        <v>28</v>
      </c>
      <c r="W46" s="21" t="s">
        <v>29</v>
      </c>
      <c r="X46" s="21" t="s">
        <v>28</v>
      </c>
    </row>
    <row r="47" customFormat="false" ht="15.75" hidden="false" customHeight="false" outlineLevel="0" collapsed="false">
      <c r="A47" s="61" t="n">
        <v>6655</v>
      </c>
      <c r="B47" s="29" t="n">
        <v>44804</v>
      </c>
      <c r="C47" s="21" t="s">
        <v>23</v>
      </c>
      <c r="D47" s="21" t="s">
        <v>24</v>
      </c>
      <c r="E47" s="21" t="s">
        <v>34</v>
      </c>
      <c r="F47" s="21" t="s">
        <v>2834</v>
      </c>
      <c r="G47" s="30"/>
      <c r="H47" s="31"/>
      <c r="I47" s="21"/>
      <c r="J47" s="21"/>
      <c r="K47" s="21"/>
      <c r="L47" s="21"/>
      <c r="M47" s="21"/>
      <c r="N47" s="30"/>
      <c r="O47" s="21"/>
      <c r="P47" s="21"/>
      <c r="Q47" s="21"/>
      <c r="R47" s="32"/>
      <c r="S47" s="32"/>
      <c r="T47" s="21"/>
      <c r="U47" s="21"/>
      <c r="V47" s="21"/>
      <c r="W47" s="21"/>
      <c r="X47" s="21" t="s">
        <v>28</v>
      </c>
    </row>
    <row r="48" customFormat="false" ht="15.75" hidden="false" customHeight="false" outlineLevel="0" collapsed="false">
      <c r="A48" s="61" t="n">
        <v>6656</v>
      </c>
      <c r="B48" s="29" t="n">
        <v>44804</v>
      </c>
      <c r="C48" s="21" t="s">
        <v>1456</v>
      </c>
      <c r="D48" s="21" t="s">
        <v>24</v>
      </c>
      <c r="E48" s="21" t="s">
        <v>25</v>
      </c>
      <c r="F48" s="21" t="s">
        <v>2835</v>
      </c>
      <c r="G48" s="30" t="s">
        <v>2836</v>
      </c>
      <c r="H48" s="45" t="str">
        <f aca="false">HYPERLINK("https://photos.app.goo.gl/VkTpV7eNFAkotwuJ6", "Completo")</f>
        <v>Completo</v>
      </c>
      <c r="I48" s="21" t="s">
        <v>28</v>
      </c>
      <c r="J48" s="21"/>
      <c r="K48" s="21"/>
      <c r="L48" s="21"/>
      <c r="M48" s="21"/>
      <c r="N48" s="30"/>
      <c r="O48" s="21" t="s">
        <v>28</v>
      </c>
      <c r="P48" s="46" t="s">
        <v>28</v>
      </c>
      <c r="Q48" s="21" t="s">
        <v>2700</v>
      </c>
      <c r="R48" s="32" t="s">
        <v>2683</v>
      </c>
      <c r="S48" s="32" t="s">
        <v>36</v>
      </c>
      <c r="T48" s="21" t="s">
        <v>2683</v>
      </c>
      <c r="U48" s="46" t="s">
        <v>28</v>
      </c>
      <c r="V48" s="46" t="s">
        <v>28</v>
      </c>
      <c r="W48" s="21" t="s">
        <v>36</v>
      </c>
      <c r="X48" s="21" t="s">
        <v>28</v>
      </c>
    </row>
    <row r="49" customFormat="false" ht="15.75" hidden="false" customHeight="false" outlineLevel="0" collapsed="false">
      <c r="A49" s="61" t="n">
        <v>6657</v>
      </c>
      <c r="B49" s="29" t="n">
        <v>44804</v>
      </c>
      <c r="C49" s="21" t="s">
        <v>2837</v>
      </c>
      <c r="D49" s="21" t="s">
        <v>24</v>
      </c>
      <c r="E49" s="21" t="s">
        <v>25</v>
      </c>
      <c r="F49" s="21" t="s">
        <v>2838</v>
      </c>
      <c r="G49" s="30" t="s">
        <v>2839</v>
      </c>
      <c r="H49" s="45" t="str">
        <f aca="false">HYPERLINK("https://photos.app.goo.gl/AGdmgzNZ5foH548AA", "Completo")</f>
        <v>Completo</v>
      </c>
      <c r="I49" s="21" t="s">
        <v>28</v>
      </c>
      <c r="J49" s="21"/>
      <c r="K49" s="21"/>
      <c r="L49" s="21"/>
      <c r="M49" s="21"/>
      <c r="N49" s="30"/>
      <c r="O49" s="21" t="s">
        <v>28</v>
      </c>
      <c r="P49" s="46" t="s">
        <v>28</v>
      </c>
      <c r="Q49" s="21" t="s">
        <v>2803</v>
      </c>
      <c r="R49" s="32" t="s">
        <v>2683</v>
      </c>
      <c r="S49" s="32" t="s">
        <v>36</v>
      </c>
      <c r="T49" s="21" t="s">
        <v>2683</v>
      </c>
      <c r="U49" s="46" t="s">
        <v>28</v>
      </c>
      <c r="V49" s="46" t="s">
        <v>28</v>
      </c>
      <c r="W49" s="21" t="s">
        <v>36</v>
      </c>
      <c r="X49" s="21" t="s">
        <v>28</v>
      </c>
    </row>
    <row r="50" customFormat="false" ht="15.75" hidden="false" customHeight="false" outlineLevel="0" collapsed="false">
      <c r="A50" s="61" t="n">
        <v>6658</v>
      </c>
      <c r="B50" s="29" t="n">
        <v>44804</v>
      </c>
      <c r="C50" s="21" t="s">
        <v>2837</v>
      </c>
      <c r="D50" s="21" t="s">
        <v>24</v>
      </c>
      <c r="E50" s="21" t="s">
        <v>25</v>
      </c>
      <c r="F50" s="21" t="s">
        <v>2838</v>
      </c>
      <c r="G50" s="30" t="s">
        <v>2839</v>
      </c>
      <c r="H50" s="45" t="str">
        <f aca="false">HYPERLINK("https://photos.app.goo.gl/Wsow73DaMs38azdM9", "Completo")</f>
        <v>Completo</v>
      </c>
      <c r="I50" s="21" t="s">
        <v>28</v>
      </c>
      <c r="J50" s="21"/>
      <c r="K50" s="21"/>
      <c r="L50" s="21"/>
      <c r="M50" s="21"/>
      <c r="N50" s="30"/>
      <c r="O50" s="21" t="s">
        <v>28</v>
      </c>
      <c r="P50" s="46" t="s">
        <v>28</v>
      </c>
      <c r="Q50" s="21" t="s">
        <v>2803</v>
      </c>
      <c r="R50" s="32" t="s">
        <v>2683</v>
      </c>
      <c r="S50" s="32" t="s">
        <v>36</v>
      </c>
      <c r="T50" s="21" t="s">
        <v>2683</v>
      </c>
      <c r="U50" s="46" t="s">
        <v>28</v>
      </c>
      <c r="V50" s="46" t="s">
        <v>28</v>
      </c>
      <c r="W50" s="21" t="s">
        <v>36</v>
      </c>
      <c r="X50" s="21" t="s">
        <v>28</v>
      </c>
    </row>
    <row r="51" customFormat="false" ht="15.75" hidden="false" customHeight="false" outlineLevel="0" collapsed="false">
      <c r="A51" s="61" t="n">
        <v>6659</v>
      </c>
      <c r="B51" s="29" t="n">
        <v>44804</v>
      </c>
      <c r="C51" s="21" t="s">
        <v>2837</v>
      </c>
      <c r="D51" s="21" t="s">
        <v>24</v>
      </c>
      <c r="E51" s="21" t="s">
        <v>25</v>
      </c>
      <c r="F51" s="21" t="s">
        <v>2838</v>
      </c>
      <c r="G51" s="30" t="s">
        <v>2839</v>
      </c>
      <c r="H51" s="45" t="str">
        <f aca="false">HYPERLINK("https://photos.app.goo.gl/8gdjahUvUPgXEgwD7", "Completo")</f>
        <v>Completo</v>
      </c>
      <c r="I51" s="21" t="s">
        <v>28</v>
      </c>
      <c r="J51" s="21"/>
      <c r="K51" s="21"/>
      <c r="L51" s="21"/>
      <c r="M51" s="21"/>
      <c r="N51" s="30"/>
      <c r="O51" s="21" t="s">
        <v>28</v>
      </c>
      <c r="P51" s="46" t="s">
        <v>28</v>
      </c>
      <c r="Q51" s="21" t="s">
        <v>2803</v>
      </c>
      <c r="R51" s="32" t="s">
        <v>2683</v>
      </c>
      <c r="S51" s="32" t="s">
        <v>36</v>
      </c>
      <c r="T51" s="21" t="s">
        <v>2683</v>
      </c>
      <c r="U51" s="46" t="s">
        <v>28</v>
      </c>
      <c r="V51" s="46" t="s">
        <v>28</v>
      </c>
      <c r="W51" s="21" t="s">
        <v>36</v>
      </c>
      <c r="X51" s="21" t="s">
        <v>28</v>
      </c>
      <c r="Y51" s="12"/>
      <c r="Z51" s="12"/>
      <c r="AA51" s="12"/>
      <c r="AB51" s="12"/>
      <c r="AC51" s="12"/>
      <c r="AD51" s="12"/>
      <c r="AE51" s="12"/>
    </row>
    <row r="52" customFormat="false" ht="15.75" hidden="false" customHeight="false" outlineLevel="0" collapsed="false">
      <c r="A52" s="61" t="n">
        <v>6660</v>
      </c>
      <c r="B52" s="29" t="n">
        <v>44804</v>
      </c>
      <c r="C52" s="21" t="s">
        <v>2837</v>
      </c>
      <c r="D52" s="21" t="s">
        <v>24</v>
      </c>
      <c r="E52" s="21" t="s">
        <v>25</v>
      </c>
      <c r="F52" s="21" t="s">
        <v>2838</v>
      </c>
      <c r="G52" s="30" t="s">
        <v>2839</v>
      </c>
      <c r="H52" s="45" t="str">
        <f aca="false">HYPERLINK("https://photos.app.goo.gl/SkLxbFwj8Loryr8u7", "Completo")</f>
        <v>Completo</v>
      </c>
      <c r="I52" s="21" t="s">
        <v>28</v>
      </c>
      <c r="J52" s="21"/>
      <c r="K52" s="21"/>
      <c r="L52" s="21"/>
      <c r="M52" s="21"/>
      <c r="N52" s="30"/>
      <c r="O52" s="21" t="s">
        <v>28</v>
      </c>
      <c r="P52" s="46" t="s">
        <v>28</v>
      </c>
      <c r="Q52" s="21" t="s">
        <v>2803</v>
      </c>
      <c r="R52" s="32" t="s">
        <v>2683</v>
      </c>
      <c r="S52" s="32" t="s">
        <v>36</v>
      </c>
      <c r="T52" s="21" t="s">
        <v>2683</v>
      </c>
      <c r="U52" s="46" t="s">
        <v>28</v>
      </c>
      <c r="V52" s="46" t="s">
        <v>28</v>
      </c>
      <c r="W52" s="21" t="s">
        <v>36</v>
      </c>
      <c r="X52" s="21" t="s">
        <v>28</v>
      </c>
      <c r="Y52" s="12"/>
      <c r="Z52" s="12"/>
      <c r="AA52" s="12"/>
      <c r="AB52" s="12"/>
      <c r="AC52" s="12"/>
      <c r="AD52" s="12"/>
      <c r="AE52" s="12"/>
    </row>
    <row r="53" customFormat="false" ht="15.75" hidden="false" customHeight="false" outlineLevel="0" collapsed="false">
      <c r="A53" s="61"/>
      <c r="B53" s="21"/>
      <c r="C53" s="21"/>
      <c r="D53" s="21"/>
      <c r="E53" s="21"/>
      <c r="F53" s="21"/>
      <c r="G53" s="30"/>
      <c r="H53" s="31"/>
      <c r="I53" s="21"/>
      <c r="J53" s="21"/>
      <c r="K53" s="21"/>
      <c r="L53" s="21"/>
      <c r="M53" s="21"/>
      <c r="N53" s="30" t="s">
        <v>2840</v>
      </c>
      <c r="O53" s="21"/>
      <c r="P53" s="66"/>
      <c r="Q53" s="21"/>
      <c r="R53" s="32"/>
      <c r="S53" s="32"/>
      <c r="T53" s="21"/>
      <c r="U53" s="66"/>
      <c r="V53" s="66"/>
      <c r="W53" s="21"/>
      <c r="X53" s="21"/>
    </row>
    <row r="54" customFormat="false" ht="15.75" hidden="false" customHeight="false" outlineLevel="0" collapsed="false">
      <c r="A54" s="61"/>
      <c r="B54" s="29"/>
      <c r="C54" s="21"/>
      <c r="D54" s="21"/>
      <c r="E54" s="21"/>
      <c r="F54" s="21"/>
      <c r="G54" s="30"/>
      <c r="H54" s="31"/>
      <c r="I54" s="21"/>
      <c r="J54" s="21"/>
      <c r="K54" s="21"/>
      <c r="L54" s="21"/>
      <c r="M54" s="21"/>
      <c r="N54" s="30" t="s">
        <v>2841</v>
      </c>
      <c r="O54" s="21"/>
      <c r="P54" s="21"/>
      <c r="Q54" s="21"/>
      <c r="R54" s="32"/>
      <c r="S54" s="32"/>
      <c r="T54" s="21"/>
      <c r="U54" s="66"/>
      <c r="V54" s="66"/>
      <c r="W54" s="21"/>
      <c r="X54" s="21"/>
    </row>
    <row r="55" customFormat="false" ht="15.75" hidden="false" customHeight="false" outlineLevel="0" collapsed="false">
      <c r="A55" s="61"/>
      <c r="B55" s="29"/>
      <c r="C55" s="21"/>
      <c r="D55" s="21"/>
      <c r="E55" s="21"/>
      <c r="F55" s="21"/>
      <c r="G55" s="30"/>
      <c r="H55" s="31"/>
      <c r="I55" s="21"/>
      <c r="J55" s="21"/>
      <c r="K55" s="21"/>
      <c r="L55" s="21"/>
      <c r="M55" s="21"/>
      <c r="N55" s="30" t="s">
        <v>2841</v>
      </c>
      <c r="O55" s="21"/>
      <c r="P55" s="66"/>
      <c r="Q55" s="21"/>
      <c r="R55" s="32"/>
      <c r="S55" s="32"/>
      <c r="T55" s="21"/>
      <c r="U55" s="21"/>
      <c r="V55" s="21"/>
      <c r="W55" s="21"/>
      <c r="X55" s="21"/>
    </row>
    <row r="56" customFormat="false" ht="15.75" hidden="false" customHeight="false" outlineLevel="0" collapsed="false">
      <c r="A56" s="61"/>
      <c r="B56" s="29"/>
      <c r="C56" s="21"/>
      <c r="D56" s="21"/>
      <c r="E56" s="21"/>
      <c r="F56" s="21"/>
      <c r="G56" s="30"/>
      <c r="H56" s="31"/>
      <c r="I56" s="21"/>
      <c r="J56" s="21"/>
      <c r="K56" s="21"/>
      <c r="L56" s="21"/>
      <c r="M56" s="21"/>
      <c r="N56" s="30"/>
      <c r="O56" s="21"/>
      <c r="P56" s="21"/>
      <c r="Q56" s="21"/>
      <c r="R56" s="32"/>
      <c r="S56" s="32"/>
      <c r="T56" s="21"/>
      <c r="U56" s="21"/>
      <c r="V56" s="21"/>
      <c r="W56" s="21"/>
      <c r="X56" s="21"/>
    </row>
    <row r="57" customFormat="false" ht="15.75" hidden="false" customHeight="false" outlineLevel="0" collapsed="false">
      <c r="A57" s="61"/>
      <c r="B57" s="29"/>
      <c r="C57" s="21"/>
      <c r="D57" s="21"/>
      <c r="E57" s="21"/>
      <c r="F57" s="21"/>
      <c r="G57" s="30"/>
      <c r="H57" s="31"/>
      <c r="I57" s="21"/>
      <c r="J57" s="21"/>
      <c r="K57" s="21"/>
      <c r="L57" s="21"/>
      <c r="M57" s="21"/>
      <c r="N57" s="30"/>
      <c r="O57" s="21"/>
      <c r="P57" s="21"/>
      <c r="Q57" s="21"/>
      <c r="R57" s="32"/>
      <c r="S57" s="32"/>
      <c r="T57" s="21"/>
      <c r="U57" s="21"/>
      <c r="V57" s="21"/>
      <c r="W57" s="21"/>
      <c r="X57" s="21"/>
    </row>
    <row r="58" customFormat="false" ht="15.75" hidden="false" customHeight="false" outlineLevel="0" collapsed="false">
      <c r="A58" s="61"/>
      <c r="B58" s="29"/>
      <c r="C58" s="21"/>
      <c r="D58" s="21"/>
      <c r="E58" s="21"/>
      <c r="F58" s="21"/>
      <c r="G58" s="30"/>
      <c r="H58" s="31"/>
      <c r="I58" s="21"/>
      <c r="J58" s="21"/>
      <c r="K58" s="21"/>
      <c r="L58" s="21"/>
      <c r="M58" s="21"/>
      <c r="N58" s="30"/>
      <c r="O58" s="21"/>
      <c r="P58" s="21"/>
      <c r="Q58" s="21"/>
      <c r="R58" s="32"/>
      <c r="S58" s="32"/>
      <c r="T58" s="21"/>
      <c r="U58" s="21"/>
      <c r="V58" s="21"/>
      <c r="W58" s="21"/>
      <c r="X58" s="21"/>
    </row>
    <row r="59" customFormat="false" ht="15.75" hidden="false" customHeight="false" outlineLevel="0" collapsed="false">
      <c r="A59" s="61"/>
      <c r="B59" s="29"/>
      <c r="C59" s="21"/>
      <c r="D59" s="21"/>
      <c r="E59" s="21"/>
      <c r="F59" s="21"/>
      <c r="G59" s="30"/>
      <c r="H59" s="31"/>
      <c r="I59" s="21"/>
      <c r="J59" s="21"/>
      <c r="K59" s="21"/>
      <c r="L59" s="21"/>
      <c r="M59" s="21"/>
      <c r="N59" s="30"/>
      <c r="O59" s="21"/>
      <c r="P59" s="21"/>
      <c r="Q59" s="21"/>
      <c r="R59" s="32"/>
      <c r="S59" s="32"/>
      <c r="T59" s="21"/>
      <c r="U59" s="21"/>
      <c r="V59" s="21"/>
      <c r="W59" s="21"/>
      <c r="X59" s="21"/>
    </row>
    <row r="60" customFormat="false" ht="15.75" hidden="false" customHeight="false" outlineLevel="0" collapsed="false">
      <c r="A60" s="61"/>
      <c r="B60" s="29"/>
      <c r="C60" s="21"/>
      <c r="D60" s="21"/>
      <c r="E60" s="21"/>
      <c r="F60" s="21"/>
      <c r="G60" s="30"/>
      <c r="H60" s="31"/>
      <c r="I60" s="21"/>
      <c r="J60" s="21"/>
      <c r="K60" s="21"/>
      <c r="L60" s="21"/>
      <c r="M60" s="21"/>
      <c r="N60" s="30"/>
      <c r="O60" s="21"/>
      <c r="P60" s="21"/>
      <c r="Q60" s="21"/>
      <c r="R60" s="32"/>
      <c r="S60" s="32"/>
      <c r="T60" s="21"/>
      <c r="U60" s="21"/>
      <c r="V60" s="21"/>
      <c r="W60" s="21"/>
      <c r="X60" s="21"/>
    </row>
    <row r="61" customFormat="false" ht="15.75" hidden="false" customHeight="false" outlineLevel="0" collapsed="false">
      <c r="A61" s="61"/>
      <c r="B61" s="29"/>
      <c r="C61" s="21"/>
      <c r="D61" s="21"/>
      <c r="E61" s="21"/>
      <c r="F61" s="21"/>
      <c r="G61" s="30"/>
      <c r="H61" s="31"/>
      <c r="I61" s="21"/>
      <c r="J61" s="21"/>
      <c r="K61" s="21"/>
      <c r="L61" s="21"/>
      <c r="M61" s="21"/>
      <c r="N61" s="30"/>
      <c r="O61" s="21" t="s">
        <v>28</v>
      </c>
      <c r="P61" s="74" t="s">
        <v>28</v>
      </c>
      <c r="Q61" s="21" t="s">
        <v>201</v>
      </c>
      <c r="R61" s="32" t="s">
        <v>2766</v>
      </c>
      <c r="S61" s="32"/>
      <c r="T61" s="21"/>
      <c r="U61" s="21"/>
      <c r="V61" s="21"/>
      <c r="W61" s="21"/>
      <c r="X61" s="21"/>
    </row>
    <row r="62" customFormat="false" ht="15.75" hidden="false" customHeight="false" outlineLevel="0" collapsed="false">
      <c r="A62" s="61"/>
      <c r="B62" s="29"/>
      <c r="C62" s="21"/>
      <c r="D62" s="21"/>
      <c r="E62" s="21"/>
      <c r="F62" s="21"/>
      <c r="G62" s="30"/>
      <c r="H62" s="31"/>
      <c r="I62" s="21"/>
      <c r="J62" s="21"/>
      <c r="K62" s="21"/>
      <c r="L62" s="21"/>
      <c r="M62" s="21"/>
      <c r="N62" s="30"/>
      <c r="O62" s="21" t="s">
        <v>28</v>
      </c>
      <c r="P62" s="74" t="s">
        <v>28</v>
      </c>
      <c r="Q62" s="21" t="s">
        <v>201</v>
      </c>
      <c r="R62" s="32" t="s">
        <v>2766</v>
      </c>
      <c r="S62" s="32"/>
      <c r="T62" s="21"/>
      <c r="U62" s="21"/>
      <c r="V62" s="21"/>
      <c r="W62" s="21"/>
      <c r="X62" s="21"/>
    </row>
    <row r="63" customFormat="false" ht="15.75" hidden="false" customHeight="false" outlineLevel="0" collapsed="false">
      <c r="A63" s="61"/>
      <c r="B63" s="29"/>
      <c r="C63" s="21"/>
      <c r="D63" s="21"/>
      <c r="E63" s="21"/>
      <c r="F63" s="21"/>
      <c r="G63" s="30"/>
      <c r="H63" s="31"/>
      <c r="I63" s="21"/>
      <c r="J63" s="21"/>
      <c r="K63" s="21"/>
      <c r="L63" s="21"/>
      <c r="M63" s="21"/>
      <c r="N63" s="30"/>
      <c r="O63" s="21" t="s">
        <v>28</v>
      </c>
      <c r="P63" s="74" t="s">
        <v>28</v>
      </c>
      <c r="Q63" s="21" t="s">
        <v>201</v>
      </c>
      <c r="R63" s="32" t="s">
        <v>2766</v>
      </c>
      <c r="S63" s="32"/>
      <c r="T63" s="21"/>
      <c r="U63" s="21"/>
      <c r="V63" s="21"/>
      <c r="W63" s="21"/>
      <c r="X63" s="21"/>
    </row>
    <row r="64" customFormat="false" ht="15.75" hidden="false" customHeight="false" outlineLevel="0" collapsed="false">
      <c r="A64" s="61"/>
      <c r="B64" s="29"/>
      <c r="C64" s="21"/>
      <c r="D64" s="21"/>
      <c r="E64" s="21"/>
      <c r="F64" s="21"/>
      <c r="G64" s="30"/>
      <c r="H64" s="31"/>
      <c r="I64" s="21"/>
      <c r="J64" s="21"/>
      <c r="K64" s="21"/>
      <c r="L64" s="21"/>
      <c r="M64" s="21"/>
      <c r="N64" s="30"/>
      <c r="O64" s="21" t="s">
        <v>28</v>
      </c>
      <c r="P64" s="74" t="s">
        <v>28</v>
      </c>
      <c r="Q64" s="21" t="s">
        <v>201</v>
      </c>
      <c r="R64" s="32" t="s">
        <v>2766</v>
      </c>
      <c r="S64" s="32"/>
      <c r="T64" s="21"/>
      <c r="U64" s="21"/>
      <c r="V64" s="21"/>
      <c r="W64" s="21"/>
      <c r="X64" s="21"/>
    </row>
    <row r="65" customFormat="false" ht="15.75" hidden="false" customHeight="false" outlineLevel="0" collapsed="false">
      <c r="A65" s="61"/>
      <c r="B65" s="29"/>
      <c r="C65" s="21"/>
      <c r="D65" s="21"/>
      <c r="E65" s="21"/>
      <c r="F65" s="21"/>
      <c r="G65" s="30"/>
      <c r="H65" s="31"/>
      <c r="I65" s="21"/>
      <c r="J65" s="21"/>
      <c r="K65" s="21"/>
      <c r="L65" s="21"/>
      <c r="M65" s="21"/>
      <c r="N65" s="30"/>
      <c r="O65" s="21" t="s">
        <v>28</v>
      </c>
      <c r="P65" s="74" t="s">
        <v>28</v>
      </c>
      <c r="Q65" s="21" t="s">
        <v>201</v>
      </c>
      <c r="R65" s="32" t="s">
        <v>2766</v>
      </c>
      <c r="S65" s="32"/>
      <c r="T65" s="21"/>
      <c r="U65" s="21"/>
      <c r="V65" s="21"/>
      <c r="W65" s="21"/>
      <c r="X65" s="21"/>
    </row>
    <row r="66" customFormat="false" ht="15.75" hidden="false" customHeight="false" outlineLevel="0" collapsed="false">
      <c r="A66" s="61"/>
      <c r="B66" s="29"/>
      <c r="C66" s="21"/>
      <c r="D66" s="21"/>
      <c r="E66" s="21"/>
      <c r="F66" s="21"/>
      <c r="G66" s="30"/>
      <c r="H66" s="31"/>
      <c r="I66" s="21"/>
      <c r="J66" s="21"/>
      <c r="K66" s="21"/>
      <c r="L66" s="21"/>
      <c r="M66" s="21"/>
      <c r="N66" s="30"/>
      <c r="O66" s="21" t="s">
        <v>28</v>
      </c>
      <c r="P66" s="74" t="s">
        <v>28</v>
      </c>
      <c r="Q66" s="21" t="s">
        <v>201</v>
      </c>
      <c r="R66" s="32" t="s">
        <v>2766</v>
      </c>
      <c r="S66" s="32"/>
      <c r="T66" s="21"/>
      <c r="U66" s="21"/>
      <c r="V66" s="21"/>
      <c r="W66" s="21"/>
      <c r="X66" s="21"/>
    </row>
    <row r="67" customFormat="false" ht="15.75" hidden="false" customHeight="false" outlineLevel="0" collapsed="false">
      <c r="A67" s="61"/>
      <c r="B67" s="29"/>
      <c r="C67" s="21"/>
      <c r="D67" s="21"/>
      <c r="E67" s="21"/>
      <c r="F67" s="21"/>
      <c r="G67" s="30"/>
      <c r="H67" s="31"/>
      <c r="I67" s="21"/>
      <c r="J67" s="21"/>
      <c r="K67" s="21"/>
      <c r="L67" s="21"/>
      <c r="M67" s="21"/>
      <c r="N67" s="30"/>
      <c r="O67" s="21"/>
      <c r="P67" s="21"/>
      <c r="Q67" s="21"/>
      <c r="R67" s="32"/>
      <c r="S67" s="32"/>
      <c r="T67" s="21"/>
      <c r="U67" s="21"/>
      <c r="V67" s="21"/>
      <c r="W67" s="21"/>
      <c r="X67" s="21"/>
    </row>
    <row r="68" customFormat="false" ht="15.75" hidden="false" customHeight="false" outlineLevel="0" collapsed="false">
      <c r="A68" s="61"/>
      <c r="B68" s="29"/>
      <c r="C68" s="21"/>
      <c r="D68" s="21"/>
      <c r="E68" s="21"/>
      <c r="F68" s="21"/>
      <c r="G68" s="30"/>
      <c r="H68" s="31"/>
      <c r="I68" s="21"/>
      <c r="J68" s="21"/>
      <c r="K68" s="21"/>
      <c r="L68" s="21"/>
      <c r="M68" s="21"/>
      <c r="N68" s="30"/>
      <c r="O68" s="21"/>
      <c r="P68" s="21"/>
      <c r="Q68" s="21"/>
      <c r="R68" s="32"/>
      <c r="S68" s="32"/>
      <c r="T68" s="21"/>
      <c r="U68" s="21"/>
      <c r="V68" s="21"/>
      <c r="W68" s="21"/>
      <c r="X68" s="21"/>
    </row>
    <row r="69" customFormat="false" ht="15.75" hidden="false" customHeight="false" outlineLevel="0" collapsed="false">
      <c r="A69" s="61"/>
      <c r="B69" s="29"/>
      <c r="C69" s="21"/>
      <c r="D69" s="21"/>
      <c r="E69" s="21"/>
      <c r="F69" s="21"/>
      <c r="G69" s="30"/>
      <c r="H69" s="31"/>
      <c r="I69" s="21"/>
      <c r="J69" s="21"/>
      <c r="K69" s="21"/>
      <c r="L69" s="21"/>
      <c r="M69" s="21"/>
      <c r="N69" s="30"/>
      <c r="O69" s="21"/>
      <c r="P69" s="21"/>
      <c r="Q69" s="21"/>
      <c r="R69" s="32"/>
      <c r="S69" s="32"/>
      <c r="T69" s="21"/>
      <c r="U69" s="21"/>
      <c r="V69" s="21"/>
      <c r="W69" s="21"/>
      <c r="X69" s="21"/>
    </row>
    <row r="70" customFormat="false" ht="15.75" hidden="false" customHeight="false" outlineLevel="0" collapsed="false">
      <c r="A70" s="61"/>
      <c r="B70" s="29"/>
      <c r="C70" s="21"/>
      <c r="D70" s="21"/>
      <c r="E70" s="21"/>
      <c r="F70" s="21"/>
      <c r="G70" s="30"/>
      <c r="H70" s="31"/>
      <c r="I70" s="21"/>
      <c r="J70" s="21"/>
      <c r="K70" s="21"/>
      <c r="L70" s="21"/>
      <c r="M70" s="21"/>
      <c r="N70" s="30"/>
      <c r="O70" s="21"/>
      <c r="P70" s="21"/>
      <c r="Q70" s="21"/>
      <c r="R70" s="32"/>
      <c r="S70" s="32"/>
      <c r="T70" s="21"/>
      <c r="U70" s="21"/>
      <c r="V70" s="21"/>
      <c r="W70" s="21"/>
      <c r="X70" s="21"/>
    </row>
    <row r="71" customFormat="false" ht="15.75" hidden="false" customHeight="false" outlineLevel="0" collapsed="false">
      <c r="A71" s="61"/>
      <c r="B71" s="29"/>
      <c r="C71" s="21"/>
      <c r="D71" s="21"/>
      <c r="E71" s="21"/>
      <c r="F71" s="21"/>
      <c r="G71" s="30"/>
      <c r="H71" s="31"/>
      <c r="I71" s="21"/>
      <c r="J71" s="21"/>
      <c r="K71" s="21"/>
      <c r="L71" s="21"/>
      <c r="M71" s="21"/>
      <c r="N71" s="30"/>
      <c r="O71" s="21"/>
      <c r="P71" s="21"/>
      <c r="Q71" s="21"/>
      <c r="R71" s="32"/>
      <c r="S71" s="32"/>
      <c r="T71" s="21"/>
      <c r="U71" s="21"/>
      <c r="V71" s="21"/>
      <c r="W71" s="21"/>
      <c r="X71" s="21"/>
    </row>
    <row r="72" customFormat="false" ht="15.75" hidden="false" customHeight="false" outlineLevel="0" collapsed="false">
      <c r="A72" s="61"/>
      <c r="B72" s="29"/>
      <c r="C72" s="21"/>
      <c r="D72" s="21"/>
      <c r="E72" s="21"/>
      <c r="F72" s="21"/>
      <c r="G72" s="30"/>
      <c r="H72" s="31"/>
      <c r="I72" s="21"/>
      <c r="J72" s="21"/>
      <c r="K72" s="21"/>
      <c r="L72" s="21"/>
      <c r="M72" s="21"/>
      <c r="N72" s="30"/>
      <c r="O72" s="21"/>
      <c r="P72" s="21"/>
      <c r="Q72" s="21"/>
      <c r="R72" s="32"/>
      <c r="S72" s="32"/>
      <c r="T72" s="21"/>
      <c r="U72" s="21"/>
      <c r="V72" s="21"/>
      <c r="W72" s="21"/>
      <c r="X72" s="21"/>
    </row>
    <row r="73" customFormat="false" ht="15.75" hidden="false" customHeight="false" outlineLevel="0" collapsed="false">
      <c r="A73" s="61"/>
      <c r="B73" s="29"/>
      <c r="C73" s="21"/>
      <c r="D73" s="21"/>
      <c r="E73" s="21"/>
      <c r="F73" s="21"/>
      <c r="G73" s="30"/>
      <c r="H73" s="31"/>
      <c r="I73" s="21"/>
      <c r="J73" s="21"/>
      <c r="K73" s="21"/>
      <c r="L73" s="21"/>
      <c r="M73" s="21"/>
      <c r="N73" s="30"/>
      <c r="O73" s="21"/>
      <c r="P73" s="21"/>
      <c r="Q73" s="21"/>
      <c r="R73" s="32"/>
      <c r="S73" s="32"/>
      <c r="T73" s="21"/>
      <c r="U73" s="21"/>
      <c r="V73" s="21"/>
      <c r="W73" s="21"/>
      <c r="X73" s="21"/>
    </row>
    <row r="74" customFormat="false" ht="15.75" hidden="false" customHeight="false" outlineLevel="0" collapsed="false">
      <c r="A74" s="61"/>
      <c r="B74" s="29"/>
      <c r="C74" s="21"/>
      <c r="D74" s="21"/>
      <c r="E74" s="21"/>
      <c r="F74" s="21"/>
      <c r="G74" s="30"/>
      <c r="H74" s="31"/>
      <c r="I74" s="21"/>
      <c r="J74" s="21"/>
      <c r="K74" s="21"/>
      <c r="L74" s="21"/>
      <c r="M74" s="21"/>
      <c r="N74" s="30"/>
      <c r="O74" s="21"/>
      <c r="P74" s="21"/>
      <c r="Q74" s="21"/>
      <c r="R74" s="32"/>
      <c r="S74" s="32"/>
      <c r="T74" s="21"/>
      <c r="U74" s="21"/>
      <c r="V74" s="21"/>
      <c r="W74" s="21"/>
      <c r="X74" s="21"/>
    </row>
    <row r="75" customFormat="false" ht="15.75" hidden="false" customHeight="false" outlineLevel="0" collapsed="false">
      <c r="A75" s="61"/>
      <c r="B75" s="29"/>
      <c r="C75" s="21"/>
      <c r="D75" s="21"/>
      <c r="E75" s="21"/>
      <c r="F75" s="21"/>
      <c r="G75" s="30"/>
      <c r="H75" s="31"/>
      <c r="I75" s="21"/>
      <c r="J75" s="21"/>
      <c r="K75" s="21"/>
      <c r="L75" s="21"/>
      <c r="M75" s="21"/>
      <c r="N75" s="30"/>
      <c r="O75" s="21"/>
      <c r="P75" s="21"/>
      <c r="Q75" s="21"/>
      <c r="R75" s="32"/>
      <c r="S75" s="32"/>
      <c r="T75" s="21"/>
      <c r="U75" s="21"/>
      <c r="V75" s="21"/>
      <c r="W75" s="21"/>
      <c r="X75" s="21"/>
    </row>
    <row r="76" customFormat="false" ht="15.75" hidden="false" customHeight="false" outlineLevel="0" collapsed="false">
      <c r="A76" s="61"/>
      <c r="B76" s="29"/>
      <c r="C76" s="21"/>
      <c r="D76" s="21"/>
      <c r="E76" s="21"/>
      <c r="F76" s="21"/>
      <c r="G76" s="30"/>
      <c r="H76" s="31"/>
      <c r="I76" s="21"/>
      <c r="J76" s="21"/>
      <c r="K76" s="21"/>
      <c r="L76" s="21"/>
      <c r="M76" s="21"/>
      <c r="N76" s="30"/>
      <c r="O76" s="21"/>
      <c r="P76" s="21"/>
      <c r="Q76" s="21"/>
      <c r="R76" s="32"/>
      <c r="S76" s="32"/>
      <c r="T76" s="21"/>
      <c r="U76" s="21"/>
      <c r="V76" s="21"/>
      <c r="W76" s="21"/>
      <c r="X76" s="21"/>
    </row>
    <row r="77" customFormat="false" ht="15.75" hidden="false" customHeight="false" outlineLevel="0" collapsed="false">
      <c r="A77" s="61"/>
      <c r="B77" s="29"/>
      <c r="C77" s="21"/>
      <c r="D77" s="21"/>
      <c r="E77" s="21"/>
      <c r="F77" s="21"/>
      <c r="G77" s="30"/>
      <c r="H77" s="31"/>
      <c r="I77" s="21"/>
      <c r="J77" s="21"/>
      <c r="K77" s="21"/>
      <c r="L77" s="21"/>
      <c r="M77" s="21"/>
      <c r="N77" s="30"/>
      <c r="O77" s="21"/>
      <c r="P77" s="21"/>
      <c r="Q77" s="21"/>
      <c r="R77" s="32"/>
      <c r="S77" s="32"/>
      <c r="T77" s="21"/>
      <c r="U77" s="21"/>
      <c r="V77" s="21"/>
      <c r="W77" s="21"/>
      <c r="X77" s="21"/>
    </row>
    <row r="78" customFormat="false" ht="15.75" hidden="false" customHeight="false" outlineLevel="0" collapsed="false">
      <c r="A78" s="61"/>
      <c r="B78" s="29"/>
      <c r="C78" s="21"/>
      <c r="D78" s="21"/>
      <c r="E78" s="21"/>
      <c r="F78" s="21"/>
      <c r="G78" s="30"/>
      <c r="H78" s="31"/>
      <c r="I78" s="21"/>
      <c r="J78" s="21"/>
      <c r="K78" s="21"/>
      <c r="L78" s="21"/>
      <c r="M78" s="21"/>
      <c r="N78" s="30"/>
      <c r="O78" s="21"/>
      <c r="P78" s="21"/>
      <c r="Q78" s="21"/>
      <c r="R78" s="32"/>
      <c r="S78" s="32"/>
      <c r="T78" s="21"/>
      <c r="U78" s="21"/>
      <c r="V78" s="21"/>
      <c r="W78" s="21"/>
      <c r="X78" s="21"/>
    </row>
    <row r="79" customFormat="false" ht="15.75" hidden="false" customHeight="false" outlineLevel="0" collapsed="false">
      <c r="A79" s="61"/>
      <c r="B79" s="29"/>
      <c r="C79" s="21"/>
      <c r="D79" s="21"/>
      <c r="E79" s="21"/>
      <c r="F79" s="21"/>
      <c r="G79" s="30"/>
      <c r="H79" s="31"/>
      <c r="I79" s="21"/>
      <c r="J79" s="21"/>
      <c r="K79" s="21"/>
      <c r="L79" s="21"/>
      <c r="M79" s="21"/>
      <c r="N79" s="30"/>
      <c r="O79" s="21"/>
      <c r="P79" s="21"/>
      <c r="Q79" s="21"/>
      <c r="R79" s="32"/>
      <c r="S79" s="32"/>
      <c r="T79" s="21"/>
      <c r="U79" s="21"/>
      <c r="V79" s="21"/>
      <c r="W79" s="21"/>
      <c r="X79" s="21"/>
    </row>
    <row r="80" customFormat="false" ht="15.75" hidden="false" customHeight="false" outlineLevel="0" collapsed="false">
      <c r="A80" s="61"/>
      <c r="B80" s="29"/>
      <c r="C80" s="21"/>
      <c r="D80" s="21"/>
      <c r="E80" s="21"/>
      <c r="F80" s="21"/>
      <c r="G80" s="30"/>
      <c r="H80" s="31"/>
      <c r="I80" s="21"/>
      <c r="J80" s="21"/>
      <c r="K80" s="21"/>
      <c r="L80" s="21"/>
      <c r="M80" s="21"/>
      <c r="N80" s="30"/>
      <c r="O80" s="21"/>
      <c r="P80" s="21"/>
      <c r="Q80" s="21"/>
      <c r="R80" s="32"/>
      <c r="S80" s="32"/>
      <c r="T80" s="21"/>
      <c r="U80" s="21"/>
      <c r="V80" s="21"/>
      <c r="W80" s="21"/>
      <c r="X80" s="21"/>
    </row>
    <row r="81" customFormat="false" ht="15.75" hidden="false" customHeight="false" outlineLevel="0" collapsed="false">
      <c r="A81" s="61"/>
      <c r="B81" s="29"/>
      <c r="C81" s="21"/>
      <c r="D81" s="21"/>
      <c r="E81" s="21"/>
      <c r="F81" s="21"/>
      <c r="G81" s="30"/>
      <c r="H81" s="31"/>
      <c r="I81" s="21"/>
      <c r="J81" s="21"/>
      <c r="K81" s="21"/>
      <c r="L81" s="21"/>
      <c r="M81" s="21"/>
      <c r="N81" s="30"/>
      <c r="O81" s="21"/>
      <c r="P81" s="21"/>
      <c r="Q81" s="21"/>
      <c r="R81" s="32"/>
      <c r="S81" s="32"/>
      <c r="T81" s="21"/>
      <c r="U81" s="21"/>
      <c r="V81" s="21"/>
      <c r="W81" s="21"/>
      <c r="X81" s="21"/>
    </row>
    <row r="82" customFormat="false" ht="15.75" hidden="false" customHeight="false" outlineLevel="0" collapsed="false">
      <c r="A82" s="61"/>
      <c r="B82" s="29"/>
      <c r="C82" s="21"/>
      <c r="D82" s="21"/>
      <c r="E82" s="21"/>
      <c r="F82" s="21"/>
      <c r="G82" s="30"/>
      <c r="H82" s="31"/>
      <c r="I82" s="21"/>
      <c r="J82" s="21"/>
      <c r="K82" s="21"/>
      <c r="L82" s="21"/>
      <c r="M82" s="21"/>
      <c r="N82" s="30"/>
      <c r="O82" s="21"/>
      <c r="P82" s="21"/>
      <c r="Q82" s="21"/>
      <c r="R82" s="32"/>
      <c r="S82" s="32"/>
      <c r="T82" s="21"/>
      <c r="U82" s="21"/>
      <c r="V82" s="21"/>
      <c r="W82" s="21"/>
      <c r="X82" s="21"/>
    </row>
    <row r="83" customFormat="false" ht="15.75" hidden="false" customHeight="false" outlineLevel="0" collapsed="false">
      <c r="A83" s="61"/>
      <c r="B83" s="29"/>
      <c r="C83" s="21"/>
      <c r="D83" s="21"/>
      <c r="E83" s="21"/>
      <c r="F83" s="21"/>
      <c r="G83" s="30"/>
      <c r="H83" s="31"/>
      <c r="I83" s="21"/>
      <c r="J83" s="21"/>
      <c r="K83" s="21"/>
      <c r="L83" s="21"/>
      <c r="M83" s="21"/>
      <c r="N83" s="30"/>
      <c r="O83" s="21"/>
      <c r="P83" s="21"/>
      <c r="Q83" s="21"/>
      <c r="R83" s="32"/>
      <c r="S83" s="32"/>
      <c r="T83" s="21"/>
      <c r="U83" s="21"/>
      <c r="V83" s="21"/>
      <c r="W83" s="21"/>
      <c r="X83" s="21"/>
    </row>
    <row r="84" customFormat="false" ht="15.75" hidden="false" customHeight="false" outlineLevel="0" collapsed="false">
      <c r="A84" s="61"/>
      <c r="B84" s="29"/>
      <c r="C84" s="21"/>
      <c r="D84" s="21"/>
      <c r="E84" s="21"/>
      <c r="F84" s="21"/>
      <c r="G84" s="30"/>
      <c r="H84" s="31"/>
      <c r="I84" s="21"/>
      <c r="J84" s="21"/>
      <c r="K84" s="21"/>
      <c r="L84" s="21"/>
      <c r="M84" s="21"/>
      <c r="N84" s="30"/>
      <c r="O84" s="21"/>
      <c r="P84" s="21"/>
      <c r="Q84" s="21"/>
      <c r="R84" s="32"/>
      <c r="S84" s="32"/>
      <c r="T84" s="21"/>
      <c r="U84" s="21"/>
      <c r="V84" s="21"/>
      <c r="W84" s="21"/>
      <c r="X84" s="21"/>
    </row>
    <row r="85" customFormat="false" ht="15.75" hidden="false" customHeight="false" outlineLevel="0" collapsed="false">
      <c r="A85" s="61"/>
      <c r="B85" s="29"/>
      <c r="C85" s="21"/>
      <c r="D85" s="21"/>
      <c r="E85" s="21"/>
      <c r="F85" s="21"/>
      <c r="G85" s="30"/>
      <c r="H85" s="31"/>
      <c r="I85" s="21"/>
      <c r="J85" s="21"/>
      <c r="K85" s="21"/>
      <c r="L85" s="21"/>
      <c r="M85" s="21"/>
      <c r="N85" s="30"/>
      <c r="O85" s="21"/>
      <c r="P85" s="21"/>
      <c r="Q85" s="21"/>
      <c r="R85" s="32"/>
      <c r="S85" s="32"/>
      <c r="T85" s="21"/>
      <c r="U85" s="21"/>
      <c r="V85" s="21"/>
      <c r="W85" s="21"/>
      <c r="X85" s="21"/>
    </row>
    <row r="86" customFormat="false" ht="15.75" hidden="false" customHeight="false" outlineLevel="0" collapsed="false">
      <c r="A86" s="61"/>
      <c r="B86" s="29"/>
      <c r="C86" s="21"/>
      <c r="D86" s="21"/>
      <c r="E86" s="21"/>
      <c r="F86" s="21"/>
      <c r="G86" s="30"/>
      <c r="H86" s="31"/>
      <c r="I86" s="21"/>
      <c r="J86" s="21"/>
      <c r="K86" s="21"/>
      <c r="L86" s="21"/>
      <c r="M86" s="21"/>
      <c r="N86" s="30"/>
      <c r="O86" s="21"/>
      <c r="P86" s="21"/>
      <c r="Q86" s="21"/>
      <c r="R86" s="32"/>
      <c r="S86" s="32"/>
      <c r="T86" s="21"/>
      <c r="U86" s="21"/>
      <c r="V86" s="21"/>
      <c r="W86" s="21"/>
      <c r="X86" s="21"/>
    </row>
    <row r="87" customFormat="false" ht="15.75" hidden="false" customHeight="false" outlineLevel="0" collapsed="false">
      <c r="A87" s="61"/>
      <c r="B87" s="29"/>
      <c r="C87" s="21"/>
      <c r="D87" s="21"/>
      <c r="E87" s="21"/>
      <c r="F87" s="21"/>
      <c r="G87" s="30"/>
      <c r="H87" s="31"/>
      <c r="I87" s="21"/>
      <c r="J87" s="21"/>
      <c r="K87" s="21"/>
      <c r="L87" s="21"/>
      <c r="M87" s="21"/>
      <c r="N87" s="30"/>
      <c r="O87" s="21"/>
      <c r="P87" s="21"/>
      <c r="Q87" s="21"/>
      <c r="R87" s="32"/>
      <c r="S87" s="32"/>
      <c r="T87" s="21"/>
      <c r="U87" s="21"/>
      <c r="V87" s="21"/>
      <c r="W87" s="21"/>
      <c r="X87" s="21"/>
    </row>
    <row r="88" customFormat="false" ht="15.75" hidden="false" customHeight="false" outlineLevel="0" collapsed="false">
      <c r="A88" s="61"/>
      <c r="B88" s="29"/>
      <c r="C88" s="21"/>
      <c r="D88" s="21"/>
      <c r="E88" s="21"/>
      <c r="F88" s="21"/>
      <c r="G88" s="30"/>
      <c r="H88" s="31"/>
      <c r="I88" s="21"/>
      <c r="J88" s="21"/>
      <c r="K88" s="21"/>
      <c r="L88" s="21"/>
      <c r="M88" s="21"/>
      <c r="N88" s="30"/>
      <c r="O88" s="21"/>
      <c r="P88" s="21"/>
      <c r="Q88" s="21"/>
      <c r="R88" s="32"/>
      <c r="S88" s="32"/>
      <c r="T88" s="21"/>
      <c r="U88" s="21"/>
      <c r="V88" s="21"/>
      <c r="W88" s="21"/>
      <c r="X88" s="21"/>
    </row>
    <row r="89" customFormat="false" ht="15.75" hidden="false" customHeight="false" outlineLevel="0" collapsed="false">
      <c r="A89" s="61"/>
      <c r="B89" s="29"/>
      <c r="C89" s="21"/>
      <c r="D89" s="21"/>
      <c r="E89" s="21"/>
      <c r="F89" s="21"/>
      <c r="G89" s="30"/>
      <c r="H89" s="31"/>
      <c r="I89" s="21"/>
      <c r="J89" s="21"/>
      <c r="K89" s="21"/>
      <c r="L89" s="21"/>
      <c r="M89" s="21"/>
      <c r="N89" s="30"/>
      <c r="O89" s="21"/>
      <c r="P89" s="21"/>
      <c r="Q89" s="21"/>
      <c r="R89" s="32"/>
      <c r="S89" s="32"/>
      <c r="T89" s="21"/>
      <c r="U89" s="21"/>
      <c r="V89" s="21"/>
      <c r="W89" s="21"/>
      <c r="X89" s="21"/>
    </row>
    <row r="90" customFormat="false" ht="15.75" hidden="false" customHeight="false" outlineLevel="0" collapsed="false">
      <c r="A90" s="61"/>
      <c r="B90" s="29"/>
      <c r="C90" s="21"/>
      <c r="D90" s="21"/>
      <c r="E90" s="21"/>
      <c r="F90" s="21"/>
      <c r="G90" s="30"/>
      <c r="H90" s="31"/>
      <c r="I90" s="21"/>
      <c r="J90" s="21"/>
      <c r="K90" s="21"/>
      <c r="L90" s="21"/>
      <c r="M90" s="21"/>
      <c r="N90" s="30"/>
      <c r="O90" s="21"/>
      <c r="P90" s="21"/>
      <c r="Q90" s="21"/>
      <c r="R90" s="32"/>
      <c r="S90" s="32"/>
      <c r="T90" s="21"/>
      <c r="U90" s="21"/>
      <c r="V90" s="21"/>
      <c r="W90" s="21"/>
      <c r="X90" s="21"/>
    </row>
    <row r="91" customFormat="false" ht="15.75" hidden="false" customHeight="false" outlineLevel="0" collapsed="false">
      <c r="A91" s="61"/>
      <c r="B91" s="29"/>
      <c r="C91" s="21"/>
      <c r="D91" s="21"/>
      <c r="E91" s="21"/>
      <c r="F91" s="21"/>
      <c r="G91" s="30"/>
      <c r="H91" s="31"/>
      <c r="I91" s="21"/>
      <c r="J91" s="21"/>
      <c r="K91" s="21"/>
      <c r="L91" s="21"/>
      <c r="M91" s="21"/>
      <c r="N91" s="30"/>
      <c r="O91" s="21"/>
      <c r="P91" s="21"/>
      <c r="Q91" s="21"/>
      <c r="R91" s="32"/>
      <c r="S91" s="32"/>
      <c r="T91" s="21"/>
      <c r="U91" s="21"/>
      <c r="V91" s="21"/>
      <c r="W91" s="21"/>
      <c r="X91" s="21"/>
    </row>
    <row r="92" customFormat="false" ht="15.75" hidden="false" customHeight="false" outlineLevel="0" collapsed="false">
      <c r="A92" s="61"/>
      <c r="B92" s="29"/>
      <c r="C92" s="21"/>
      <c r="D92" s="21"/>
      <c r="E92" s="21"/>
      <c r="F92" s="21"/>
      <c r="G92" s="30"/>
      <c r="H92" s="31"/>
      <c r="I92" s="21"/>
      <c r="J92" s="21"/>
      <c r="K92" s="21"/>
      <c r="L92" s="21"/>
      <c r="M92" s="21"/>
      <c r="N92" s="30"/>
      <c r="O92" s="21"/>
      <c r="P92" s="21"/>
      <c r="Q92" s="21"/>
      <c r="R92" s="32"/>
      <c r="S92" s="32"/>
      <c r="T92" s="21"/>
      <c r="U92" s="21"/>
      <c r="V92" s="21"/>
      <c r="W92" s="21"/>
      <c r="X92" s="21"/>
    </row>
    <row r="93" customFormat="false" ht="15.75" hidden="false" customHeight="false" outlineLevel="0" collapsed="false">
      <c r="A93" s="61"/>
      <c r="B93" s="29"/>
      <c r="C93" s="21"/>
      <c r="D93" s="21"/>
      <c r="E93" s="21"/>
      <c r="F93" s="21"/>
      <c r="G93" s="30"/>
      <c r="H93" s="31"/>
      <c r="I93" s="21"/>
      <c r="J93" s="21"/>
      <c r="K93" s="21"/>
      <c r="L93" s="21"/>
      <c r="M93" s="21"/>
      <c r="N93" s="30"/>
      <c r="O93" s="21"/>
      <c r="P93" s="21"/>
      <c r="Q93" s="21"/>
      <c r="R93" s="32"/>
      <c r="S93" s="32"/>
      <c r="T93" s="21"/>
      <c r="U93" s="21"/>
      <c r="V93" s="21"/>
      <c r="W93" s="21"/>
      <c r="X93" s="21"/>
    </row>
    <row r="94" customFormat="false" ht="15.75" hidden="false" customHeight="false" outlineLevel="0" collapsed="false">
      <c r="A94" s="61"/>
      <c r="B94" s="29"/>
      <c r="C94" s="21"/>
      <c r="D94" s="21"/>
      <c r="E94" s="21"/>
      <c r="F94" s="21"/>
      <c r="G94" s="30"/>
      <c r="H94" s="31"/>
      <c r="I94" s="21"/>
      <c r="J94" s="21"/>
      <c r="K94" s="21"/>
      <c r="L94" s="21"/>
      <c r="M94" s="21"/>
      <c r="N94" s="30"/>
      <c r="O94" s="21"/>
      <c r="P94" s="21"/>
      <c r="Q94" s="21"/>
      <c r="R94" s="32"/>
      <c r="S94" s="32"/>
      <c r="T94" s="21"/>
      <c r="U94" s="21"/>
      <c r="V94" s="21"/>
      <c r="W94" s="21"/>
      <c r="X94" s="21"/>
    </row>
    <row r="95" customFormat="false" ht="15.75" hidden="false" customHeight="false" outlineLevel="0" collapsed="false">
      <c r="A95" s="61"/>
      <c r="B95" s="29"/>
      <c r="C95" s="21"/>
      <c r="D95" s="21"/>
      <c r="E95" s="21"/>
      <c r="F95" s="21"/>
      <c r="G95" s="30"/>
      <c r="H95" s="31"/>
      <c r="I95" s="21"/>
      <c r="J95" s="21"/>
      <c r="K95" s="21"/>
      <c r="L95" s="21"/>
      <c r="M95" s="21"/>
      <c r="N95" s="30"/>
      <c r="O95" s="21"/>
      <c r="P95" s="21"/>
      <c r="Q95" s="21"/>
      <c r="R95" s="32"/>
      <c r="S95" s="32"/>
      <c r="T95" s="21"/>
      <c r="U95" s="21"/>
      <c r="V95" s="21"/>
      <c r="W95" s="21"/>
      <c r="X95" s="21"/>
    </row>
    <row r="96" customFormat="false" ht="15.75" hidden="false" customHeight="false" outlineLevel="0" collapsed="false">
      <c r="A96" s="61"/>
      <c r="B96" s="29"/>
      <c r="C96" s="21"/>
      <c r="D96" s="21"/>
      <c r="E96" s="21"/>
      <c r="F96" s="21"/>
      <c r="G96" s="30"/>
      <c r="H96" s="31"/>
      <c r="I96" s="21"/>
      <c r="J96" s="21"/>
      <c r="K96" s="21"/>
      <c r="L96" s="21"/>
      <c r="M96" s="21"/>
      <c r="N96" s="30"/>
      <c r="O96" s="21"/>
      <c r="P96" s="21"/>
      <c r="Q96" s="21"/>
      <c r="R96" s="32"/>
      <c r="S96" s="32"/>
      <c r="T96" s="21"/>
      <c r="U96" s="21"/>
      <c r="V96" s="21"/>
      <c r="W96" s="21"/>
      <c r="X96" s="21"/>
    </row>
    <row r="97" customFormat="false" ht="15.75" hidden="false" customHeight="false" outlineLevel="0" collapsed="false">
      <c r="A97" s="61"/>
      <c r="B97" s="29"/>
      <c r="C97" s="21"/>
      <c r="D97" s="21"/>
      <c r="E97" s="21"/>
      <c r="F97" s="21"/>
      <c r="G97" s="30"/>
      <c r="H97" s="31"/>
      <c r="I97" s="21"/>
      <c r="J97" s="21"/>
      <c r="K97" s="21"/>
      <c r="L97" s="21"/>
      <c r="M97" s="21"/>
      <c r="N97" s="30"/>
      <c r="O97" s="21"/>
      <c r="P97" s="21"/>
      <c r="Q97" s="21"/>
      <c r="R97" s="32"/>
      <c r="S97" s="32"/>
      <c r="T97" s="21"/>
      <c r="U97" s="21"/>
      <c r="V97" s="21"/>
      <c r="W97" s="21"/>
      <c r="X97" s="21"/>
    </row>
    <row r="98" customFormat="false" ht="15.75" hidden="false" customHeight="false" outlineLevel="0" collapsed="false">
      <c r="A98" s="61"/>
      <c r="B98" s="29"/>
      <c r="C98" s="21"/>
      <c r="D98" s="21"/>
      <c r="E98" s="21"/>
      <c r="F98" s="21"/>
      <c r="G98" s="30"/>
      <c r="H98" s="31"/>
      <c r="I98" s="21"/>
      <c r="J98" s="21"/>
      <c r="K98" s="21"/>
      <c r="L98" s="21"/>
      <c r="M98" s="21"/>
      <c r="N98" s="30"/>
      <c r="O98" s="21"/>
      <c r="P98" s="21"/>
      <c r="Q98" s="21"/>
      <c r="R98" s="32"/>
      <c r="S98" s="32"/>
      <c r="T98" s="21"/>
      <c r="U98" s="21"/>
      <c r="V98" s="21"/>
      <c r="W98" s="21"/>
      <c r="X98" s="21"/>
    </row>
    <row r="99" customFormat="false" ht="15.75" hidden="false" customHeight="false" outlineLevel="0" collapsed="false">
      <c r="A99" s="61"/>
      <c r="B99" s="29"/>
      <c r="C99" s="21"/>
      <c r="D99" s="21"/>
      <c r="E99" s="21"/>
      <c r="F99" s="21"/>
      <c r="G99" s="30"/>
      <c r="H99" s="31"/>
      <c r="I99" s="21"/>
      <c r="J99" s="21"/>
      <c r="K99" s="21"/>
      <c r="L99" s="21"/>
      <c r="M99" s="21"/>
      <c r="N99" s="30"/>
      <c r="O99" s="21"/>
      <c r="P99" s="21"/>
      <c r="Q99" s="21"/>
      <c r="R99" s="32"/>
      <c r="S99" s="32"/>
      <c r="T99" s="21"/>
      <c r="U99" s="21"/>
      <c r="V99" s="21"/>
      <c r="W99" s="21"/>
      <c r="X99" s="21"/>
    </row>
    <row r="100" customFormat="false" ht="15.75" hidden="false" customHeight="false" outlineLevel="0" collapsed="false">
      <c r="A100" s="61"/>
      <c r="B100" s="29"/>
      <c r="C100" s="21"/>
      <c r="D100" s="21"/>
      <c r="E100" s="21"/>
      <c r="F100" s="21"/>
      <c r="G100" s="30"/>
      <c r="H100" s="31"/>
      <c r="I100" s="21"/>
      <c r="J100" s="21"/>
      <c r="K100" s="21"/>
      <c r="L100" s="21"/>
      <c r="M100" s="21"/>
      <c r="N100" s="30"/>
      <c r="O100" s="21"/>
      <c r="P100" s="21"/>
      <c r="Q100" s="21"/>
      <c r="R100" s="32"/>
      <c r="S100" s="32"/>
      <c r="T100" s="21"/>
      <c r="U100" s="21"/>
      <c r="V100" s="21"/>
      <c r="W100" s="21"/>
      <c r="X100" s="21"/>
    </row>
    <row r="101" customFormat="false" ht="15.75" hidden="false" customHeight="false" outlineLevel="0" collapsed="false">
      <c r="A101" s="61"/>
      <c r="B101" s="29"/>
      <c r="C101" s="21"/>
      <c r="D101" s="21"/>
      <c r="E101" s="21"/>
      <c r="F101" s="21"/>
      <c r="G101" s="30"/>
      <c r="H101" s="31"/>
      <c r="I101" s="21"/>
      <c r="J101" s="21"/>
      <c r="K101" s="21"/>
      <c r="L101" s="21"/>
      <c r="M101" s="21"/>
      <c r="N101" s="30"/>
      <c r="O101" s="21"/>
      <c r="P101" s="21"/>
      <c r="Q101" s="21"/>
      <c r="R101" s="32"/>
      <c r="S101" s="32"/>
      <c r="T101" s="21"/>
      <c r="U101" s="21"/>
      <c r="V101" s="21"/>
      <c r="W101" s="21"/>
      <c r="X101" s="21"/>
    </row>
    <row r="102" customFormat="false" ht="15.75" hidden="false" customHeight="false" outlineLevel="0" collapsed="false">
      <c r="A102" s="61"/>
      <c r="B102" s="29"/>
      <c r="C102" s="21"/>
      <c r="D102" s="21"/>
      <c r="E102" s="21"/>
      <c r="F102" s="21"/>
      <c r="G102" s="30"/>
      <c r="H102" s="31"/>
      <c r="I102" s="21"/>
      <c r="J102" s="21"/>
      <c r="K102" s="21"/>
      <c r="L102" s="21"/>
      <c r="M102" s="21"/>
      <c r="N102" s="30"/>
      <c r="O102" s="21"/>
      <c r="P102" s="21"/>
      <c r="Q102" s="21"/>
      <c r="R102" s="32"/>
      <c r="S102" s="32"/>
      <c r="T102" s="21"/>
      <c r="U102" s="21"/>
      <c r="V102" s="21"/>
      <c r="W102" s="21"/>
      <c r="X102" s="21"/>
    </row>
    <row r="103" customFormat="false" ht="15.75" hidden="false" customHeight="false" outlineLevel="0" collapsed="false">
      <c r="A103" s="61"/>
      <c r="B103" s="29"/>
      <c r="C103" s="21"/>
      <c r="D103" s="21"/>
      <c r="E103" s="21"/>
      <c r="F103" s="21"/>
      <c r="G103" s="30"/>
      <c r="H103" s="31"/>
      <c r="I103" s="21"/>
      <c r="J103" s="21"/>
      <c r="K103" s="21"/>
      <c r="L103" s="21"/>
      <c r="M103" s="21"/>
      <c r="N103" s="30"/>
      <c r="O103" s="21"/>
      <c r="P103" s="21"/>
      <c r="Q103" s="21"/>
      <c r="R103" s="32"/>
      <c r="S103" s="32"/>
      <c r="T103" s="21"/>
      <c r="U103" s="21"/>
      <c r="V103" s="21"/>
      <c r="W103" s="21"/>
      <c r="X103" s="21"/>
    </row>
    <row r="104" customFormat="false" ht="15.75" hidden="false" customHeight="false" outlineLevel="0" collapsed="false">
      <c r="A104" s="61"/>
      <c r="B104" s="29"/>
      <c r="C104" s="21"/>
      <c r="D104" s="21"/>
      <c r="E104" s="21"/>
      <c r="F104" s="21"/>
      <c r="G104" s="30"/>
      <c r="H104" s="31"/>
      <c r="I104" s="21"/>
      <c r="J104" s="21"/>
      <c r="K104" s="21"/>
      <c r="L104" s="21"/>
      <c r="M104" s="21"/>
      <c r="N104" s="30"/>
      <c r="O104" s="21"/>
      <c r="P104" s="21"/>
      <c r="Q104" s="21"/>
      <c r="R104" s="32"/>
      <c r="S104" s="32"/>
      <c r="T104" s="21"/>
      <c r="U104" s="21"/>
      <c r="V104" s="21"/>
      <c r="W104" s="21"/>
      <c r="X104" s="21"/>
    </row>
    <row r="105" customFormat="false" ht="15.75" hidden="false" customHeight="false" outlineLevel="0" collapsed="false">
      <c r="A105" s="61"/>
      <c r="B105" s="29"/>
      <c r="C105" s="21"/>
      <c r="D105" s="21"/>
      <c r="E105" s="21"/>
      <c r="F105" s="21"/>
      <c r="G105" s="30"/>
      <c r="H105" s="31"/>
      <c r="I105" s="21"/>
      <c r="J105" s="21"/>
      <c r="K105" s="21"/>
      <c r="L105" s="21"/>
      <c r="M105" s="21"/>
      <c r="N105" s="30"/>
      <c r="O105" s="21"/>
      <c r="P105" s="21"/>
      <c r="Q105" s="21"/>
      <c r="R105" s="32"/>
      <c r="S105" s="32"/>
      <c r="T105" s="21"/>
      <c r="U105" s="21"/>
      <c r="V105" s="21"/>
      <c r="W105" s="21"/>
      <c r="X105" s="21"/>
    </row>
    <row r="106" customFormat="false" ht="15.75" hidden="false" customHeight="false" outlineLevel="0" collapsed="false">
      <c r="A106" s="61"/>
      <c r="B106" s="29"/>
      <c r="C106" s="21"/>
      <c r="D106" s="21"/>
      <c r="E106" s="21"/>
      <c r="F106" s="21"/>
      <c r="G106" s="30"/>
      <c r="H106" s="31"/>
      <c r="I106" s="21"/>
      <c r="J106" s="21"/>
      <c r="K106" s="21"/>
      <c r="L106" s="21"/>
      <c r="M106" s="21"/>
      <c r="N106" s="30"/>
      <c r="O106" s="21"/>
      <c r="P106" s="21"/>
      <c r="Q106" s="21"/>
      <c r="R106" s="32"/>
      <c r="S106" s="32"/>
      <c r="T106" s="21"/>
      <c r="U106" s="21"/>
      <c r="V106" s="21"/>
      <c r="W106" s="21"/>
      <c r="X106" s="21"/>
    </row>
    <row r="107" customFormat="false" ht="15.75" hidden="false" customHeight="false" outlineLevel="0" collapsed="false">
      <c r="A107" s="61"/>
      <c r="B107" s="29"/>
      <c r="C107" s="21"/>
      <c r="D107" s="21"/>
      <c r="E107" s="21"/>
      <c r="F107" s="21"/>
      <c r="G107" s="30"/>
      <c r="H107" s="31"/>
      <c r="I107" s="21"/>
      <c r="J107" s="21"/>
      <c r="K107" s="21"/>
      <c r="L107" s="21"/>
      <c r="M107" s="21"/>
      <c r="N107" s="30"/>
      <c r="O107" s="21"/>
      <c r="P107" s="21"/>
      <c r="Q107" s="21"/>
      <c r="R107" s="32"/>
      <c r="S107" s="32"/>
      <c r="T107" s="21"/>
      <c r="U107" s="21"/>
      <c r="V107" s="21"/>
      <c r="W107" s="21"/>
      <c r="X107" s="21"/>
    </row>
    <row r="108" customFormat="false" ht="15.75" hidden="false" customHeight="false" outlineLevel="0" collapsed="false">
      <c r="A108" s="61"/>
      <c r="B108" s="29"/>
      <c r="C108" s="21"/>
      <c r="D108" s="21"/>
      <c r="E108" s="21"/>
      <c r="F108" s="21"/>
      <c r="G108" s="30"/>
      <c r="H108" s="31"/>
      <c r="I108" s="21"/>
      <c r="J108" s="21"/>
      <c r="K108" s="21"/>
      <c r="L108" s="21"/>
      <c r="M108" s="21"/>
      <c r="N108" s="30"/>
      <c r="O108" s="21"/>
      <c r="P108" s="21"/>
      <c r="Q108" s="21"/>
      <c r="R108" s="32"/>
      <c r="S108" s="32"/>
      <c r="T108" s="21"/>
      <c r="U108" s="21"/>
      <c r="V108" s="21"/>
      <c r="W108" s="21"/>
      <c r="X108" s="21"/>
    </row>
    <row r="109" customFormat="false" ht="15.75" hidden="false" customHeight="false" outlineLevel="0" collapsed="false">
      <c r="A109" s="61"/>
      <c r="B109" s="29"/>
      <c r="C109" s="21"/>
      <c r="D109" s="21"/>
      <c r="E109" s="21"/>
      <c r="F109" s="21"/>
      <c r="G109" s="30"/>
      <c r="H109" s="31"/>
      <c r="I109" s="21"/>
      <c r="J109" s="21"/>
      <c r="K109" s="21"/>
      <c r="L109" s="21"/>
      <c r="M109" s="21"/>
      <c r="N109" s="30"/>
      <c r="O109" s="21"/>
      <c r="P109" s="21"/>
      <c r="Q109" s="21"/>
      <c r="R109" s="32"/>
      <c r="S109" s="32"/>
      <c r="T109" s="21"/>
      <c r="U109" s="21"/>
      <c r="V109" s="21"/>
      <c r="W109" s="21"/>
      <c r="X109" s="21"/>
    </row>
    <row r="110" customFormat="false" ht="15.75" hidden="false" customHeight="false" outlineLevel="0" collapsed="false">
      <c r="A110" s="61"/>
      <c r="B110" s="29"/>
      <c r="C110" s="21"/>
      <c r="D110" s="21"/>
      <c r="E110" s="21"/>
      <c r="F110" s="21"/>
      <c r="G110" s="30"/>
      <c r="H110" s="31"/>
      <c r="I110" s="21"/>
      <c r="J110" s="21"/>
      <c r="K110" s="21"/>
      <c r="L110" s="21"/>
      <c r="M110" s="21"/>
      <c r="N110" s="30"/>
      <c r="O110" s="21"/>
      <c r="P110" s="21"/>
      <c r="Q110" s="21"/>
      <c r="R110" s="32"/>
      <c r="S110" s="32"/>
      <c r="T110" s="21"/>
      <c r="U110" s="21"/>
      <c r="V110" s="21"/>
      <c r="W110" s="21"/>
      <c r="X110" s="21"/>
    </row>
    <row r="111" customFormat="false" ht="15.75" hidden="false" customHeight="false" outlineLevel="0" collapsed="false">
      <c r="A111" s="61"/>
      <c r="B111" s="29"/>
      <c r="C111" s="21"/>
      <c r="D111" s="21"/>
      <c r="E111" s="21"/>
      <c r="F111" s="21"/>
      <c r="G111" s="30"/>
      <c r="H111" s="31"/>
      <c r="I111" s="21"/>
      <c r="J111" s="21"/>
      <c r="K111" s="21"/>
      <c r="L111" s="21"/>
      <c r="M111" s="21"/>
      <c r="N111" s="30"/>
      <c r="O111" s="21"/>
      <c r="P111" s="21"/>
      <c r="Q111" s="21"/>
      <c r="R111" s="32"/>
      <c r="S111" s="32"/>
      <c r="T111" s="21"/>
      <c r="U111" s="21"/>
      <c r="V111" s="21"/>
      <c r="W111" s="21"/>
      <c r="X111" s="21"/>
    </row>
    <row r="112" customFormat="false" ht="15.75" hidden="false" customHeight="false" outlineLevel="0" collapsed="false">
      <c r="A112" s="61"/>
      <c r="B112" s="29"/>
      <c r="C112" s="21"/>
      <c r="D112" s="21"/>
      <c r="E112" s="21"/>
      <c r="F112" s="21"/>
      <c r="G112" s="30"/>
      <c r="H112" s="31"/>
      <c r="I112" s="21"/>
      <c r="J112" s="21"/>
      <c r="K112" s="21"/>
      <c r="L112" s="21"/>
      <c r="M112" s="21"/>
      <c r="N112" s="30"/>
      <c r="O112" s="21"/>
      <c r="P112" s="21"/>
      <c r="Q112" s="21"/>
      <c r="R112" s="32"/>
      <c r="S112" s="32"/>
      <c r="T112" s="21"/>
      <c r="U112" s="21"/>
      <c r="V112" s="21"/>
      <c r="W112" s="21"/>
      <c r="X112" s="21"/>
    </row>
    <row r="113" customFormat="false" ht="15.75" hidden="false" customHeight="false" outlineLevel="0" collapsed="false">
      <c r="A113" s="61"/>
      <c r="B113" s="29"/>
      <c r="C113" s="21"/>
      <c r="D113" s="21"/>
      <c r="E113" s="21"/>
      <c r="F113" s="21"/>
      <c r="G113" s="30"/>
      <c r="H113" s="31"/>
      <c r="I113" s="21"/>
      <c r="J113" s="21"/>
      <c r="K113" s="21"/>
      <c r="L113" s="21"/>
      <c r="M113" s="21"/>
      <c r="N113" s="30"/>
      <c r="O113" s="21"/>
      <c r="P113" s="21"/>
      <c r="Q113" s="21"/>
      <c r="R113" s="32"/>
      <c r="S113" s="32"/>
      <c r="T113" s="21"/>
      <c r="U113" s="21"/>
      <c r="V113" s="21"/>
      <c r="W113" s="21"/>
      <c r="X113" s="21"/>
    </row>
    <row r="114" customFormat="false" ht="15.75" hidden="false" customHeight="false" outlineLevel="0" collapsed="false">
      <c r="A114" s="61"/>
      <c r="B114" s="29"/>
      <c r="C114" s="21"/>
      <c r="D114" s="21"/>
      <c r="E114" s="21"/>
      <c r="F114" s="21"/>
      <c r="G114" s="30"/>
      <c r="H114" s="31"/>
      <c r="I114" s="21"/>
      <c r="J114" s="21"/>
      <c r="K114" s="21"/>
      <c r="L114" s="21"/>
      <c r="M114" s="21"/>
      <c r="N114" s="30"/>
      <c r="O114" s="21"/>
      <c r="P114" s="21"/>
      <c r="Q114" s="21"/>
      <c r="R114" s="32"/>
      <c r="S114" s="32"/>
      <c r="T114" s="21"/>
      <c r="U114" s="21"/>
      <c r="V114" s="21"/>
      <c r="W114" s="21"/>
      <c r="X114" s="21"/>
    </row>
    <row r="115" customFormat="false" ht="15.75" hidden="false" customHeight="false" outlineLevel="0" collapsed="false">
      <c r="A115" s="61"/>
      <c r="B115" s="29"/>
      <c r="C115" s="21"/>
      <c r="D115" s="21"/>
      <c r="E115" s="21"/>
      <c r="F115" s="21"/>
      <c r="G115" s="30"/>
      <c r="H115" s="31"/>
      <c r="I115" s="21"/>
      <c r="J115" s="21"/>
      <c r="K115" s="21"/>
      <c r="L115" s="21"/>
      <c r="M115" s="21"/>
      <c r="N115" s="30"/>
      <c r="O115" s="21"/>
      <c r="P115" s="21"/>
      <c r="Q115" s="21"/>
      <c r="R115" s="32"/>
      <c r="S115" s="32"/>
      <c r="T115" s="21"/>
      <c r="U115" s="21"/>
      <c r="V115" s="21"/>
      <c r="W115" s="21"/>
      <c r="X115" s="21"/>
    </row>
    <row r="116" customFormat="false" ht="15.75" hidden="false" customHeight="false" outlineLevel="0" collapsed="false">
      <c r="A116" s="61"/>
      <c r="B116" s="29"/>
      <c r="C116" s="21"/>
      <c r="D116" s="21"/>
      <c r="E116" s="21"/>
      <c r="F116" s="21"/>
      <c r="G116" s="30"/>
      <c r="H116" s="31"/>
      <c r="I116" s="21"/>
      <c r="J116" s="21"/>
      <c r="K116" s="21"/>
      <c r="L116" s="21"/>
      <c r="M116" s="21"/>
      <c r="N116" s="30"/>
      <c r="O116" s="21"/>
      <c r="P116" s="21"/>
      <c r="Q116" s="21"/>
      <c r="R116" s="32"/>
      <c r="S116" s="32"/>
      <c r="T116" s="21"/>
      <c r="U116" s="21"/>
      <c r="V116" s="21"/>
      <c r="W116" s="21"/>
      <c r="X116" s="21"/>
    </row>
    <row r="117" customFormat="false" ht="15.75" hidden="false" customHeight="false" outlineLevel="0" collapsed="false">
      <c r="A117" s="61"/>
      <c r="B117" s="29"/>
      <c r="C117" s="21"/>
      <c r="D117" s="21"/>
      <c r="E117" s="21"/>
      <c r="F117" s="21"/>
      <c r="G117" s="30"/>
      <c r="H117" s="31"/>
      <c r="I117" s="21"/>
      <c r="J117" s="21"/>
      <c r="K117" s="21"/>
      <c r="L117" s="21"/>
      <c r="M117" s="21"/>
      <c r="N117" s="30"/>
      <c r="O117" s="21"/>
      <c r="P117" s="21"/>
      <c r="Q117" s="21"/>
      <c r="R117" s="32"/>
      <c r="S117" s="32"/>
      <c r="T117" s="21"/>
      <c r="U117" s="21"/>
      <c r="V117" s="21"/>
      <c r="W117" s="21"/>
      <c r="X117" s="21"/>
    </row>
    <row r="118" customFormat="false" ht="15.75" hidden="false" customHeight="false" outlineLevel="0" collapsed="false">
      <c r="A118" s="12"/>
      <c r="B118" s="34"/>
      <c r="C118" s="12"/>
      <c r="D118" s="12"/>
      <c r="E118" s="12"/>
      <c r="F118" s="12"/>
      <c r="G118" s="18"/>
      <c r="H118" s="35"/>
      <c r="I118" s="12"/>
      <c r="M118" s="12"/>
      <c r="N118" s="18"/>
      <c r="O118" s="12"/>
      <c r="P118" s="12"/>
      <c r="Q118" s="12"/>
      <c r="R118" s="36"/>
      <c r="S118" s="36"/>
      <c r="T118" s="12"/>
      <c r="U118" s="12"/>
      <c r="V118" s="12"/>
      <c r="W118" s="12"/>
      <c r="X118" s="12"/>
    </row>
    <row r="119" customFormat="false" ht="15.75" hidden="false" customHeight="false" outlineLevel="0" collapsed="false">
      <c r="A119" s="12"/>
      <c r="B119" s="34"/>
      <c r="C119" s="12"/>
      <c r="D119" s="12"/>
      <c r="E119" s="12"/>
      <c r="F119" s="12"/>
      <c r="G119" s="18"/>
      <c r="H119" s="35"/>
      <c r="I119" s="12"/>
      <c r="M119" s="12"/>
      <c r="N119" s="18"/>
      <c r="O119" s="12"/>
      <c r="P119" s="12"/>
      <c r="Q119" s="12"/>
      <c r="R119" s="36"/>
      <c r="S119" s="36"/>
      <c r="T119" s="12"/>
      <c r="U119" s="12"/>
      <c r="V119" s="12"/>
      <c r="W119" s="12"/>
      <c r="X119" s="12"/>
    </row>
    <row r="120" customFormat="false" ht="15.75" hidden="false" customHeight="false" outlineLevel="0" collapsed="false">
      <c r="A120" s="12"/>
      <c r="B120" s="34"/>
      <c r="C120" s="12"/>
      <c r="D120" s="12"/>
      <c r="E120" s="12"/>
      <c r="F120" s="12"/>
      <c r="G120" s="18"/>
      <c r="H120" s="35"/>
      <c r="I120" s="12"/>
      <c r="M120" s="12"/>
      <c r="N120" s="18"/>
      <c r="O120" s="12"/>
      <c r="P120" s="12"/>
      <c r="Q120" s="12"/>
      <c r="R120" s="36"/>
      <c r="S120" s="36"/>
      <c r="T120" s="12"/>
      <c r="U120" s="12"/>
      <c r="V120" s="12"/>
      <c r="W120" s="12"/>
      <c r="X120" s="12"/>
    </row>
    <row r="121" customFormat="false" ht="15.75" hidden="false" customHeight="false" outlineLevel="0" collapsed="false">
      <c r="A121" s="12"/>
      <c r="B121" s="34"/>
      <c r="C121" s="12"/>
      <c r="D121" s="12"/>
      <c r="E121" s="12"/>
      <c r="F121" s="12"/>
      <c r="G121" s="18"/>
      <c r="H121" s="35"/>
      <c r="I121" s="12"/>
      <c r="M121" s="12"/>
      <c r="N121" s="18"/>
      <c r="O121" s="12"/>
      <c r="P121" s="12"/>
      <c r="Q121" s="12"/>
      <c r="R121" s="36"/>
      <c r="S121" s="36"/>
      <c r="T121" s="12"/>
      <c r="U121" s="12"/>
      <c r="V121" s="12"/>
      <c r="W121" s="12"/>
      <c r="X121" s="12"/>
    </row>
    <row r="122" customFormat="false" ht="15.75" hidden="false" customHeight="false" outlineLevel="0" collapsed="false">
      <c r="A122" s="12"/>
      <c r="B122" s="34"/>
      <c r="C122" s="12"/>
      <c r="D122" s="12"/>
      <c r="E122" s="12"/>
      <c r="F122" s="12"/>
      <c r="G122" s="18"/>
      <c r="H122" s="35"/>
      <c r="I122" s="12"/>
      <c r="M122" s="12"/>
      <c r="N122" s="18"/>
      <c r="O122" s="12"/>
      <c r="P122" s="12"/>
      <c r="Q122" s="12"/>
      <c r="R122" s="36"/>
      <c r="S122" s="36"/>
      <c r="T122" s="12"/>
      <c r="U122" s="12"/>
      <c r="V122" s="12"/>
      <c r="W122" s="12"/>
      <c r="X122" s="12"/>
    </row>
    <row r="123" customFormat="false" ht="15.75" hidden="false" customHeight="false" outlineLevel="0" collapsed="false">
      <c r="A123" s="12"/>
      <c r="B123" s="34"/>
      <c r="C123" s="12"/>
      <c r="D123" s="12"/>
      <c r="E123" s="12"/>
      <c r="F123" s="12"/>
      <c r="G123" s="18"/>
      <c r="H123" s="35"/>
      <c r="I123" s="12"/>
      <c r="M123" s="12"/>
      <c r="N123" s="18"/>
      <c r="O123" s="12"/>
      <c r="P123" s="12"/>
      <c r="Q123" s="12"/>
      <c r="R123" s="36"/>
      <c r="S123" s="36"/>
      <c r="T123" s="12"/>
      <c r="U123" s="12"/>
      <c r="V123" s="12"/>
      <c r="W123" s="12"/>
      <c r="X123" s="12"/>
    </row>
    <row r="124" customFormat="false" ht="15.75" hidden="false" customHeight="false" outlineLevel="0" collapsed="false">
      <c r="A124" s="12"/>
      <c r="B124" s="34"/>
      <c r="C124" s="12"/>
      <c r="D124" s="12"/>
      <c r="E124" s="12"/>
      <c r="F124" s="12"/>
      <c r="G124" s="18"/>
      <c r="H124" s="35"/>
      <c r="I124" s="12"/>
      <c r="M124" s="12"/>
      <c r="N124" s="18"/>
      <c r="O124" s="12"/>
      <c r="P124" s="12"/>
      <c r="Q124" s="12"/>
      <c r="R124" s="36"/>
      <c r="S124" s="36"/>
      <c r="T124" s="12"/>
      <c r="U124" s="12"/>
      <c r="V124" s="12"/>
      <c r="W124" s="12"/>
      <c r="X124" s="12"/>
    </row>
    <row r="125" customFormat="false" ht="15.75" hidden="false" customHeight="false" outlineLevel="0" collapsed="false">
      <c r="A125" s="12"/>
      <c r="B125" s="34"/>
      <c r="C125" s="12"/>
      <c r="D125" s="12"/>
      <c r="E125" s="12"/>
      <c r="F125" s="12"/>
      <c r="G125" s="18"/>
      <c r="H125" s="35"/>
      <c r="I125" s="12"/>
      <c r="M125" s="12"/>
      <c r="N125" s="18"/>
      <c r="O125" s="12"/>
      <c r="P125" s="12"/>
      <c r="Q125" s="12"/>
      <c r="R125" s="36"/>
      <c r="S125" s="36"/>
      <c r="T125" s="12"/>
      <c r="U125" s="12"/>
      <c r="V125" s="12"/>
      <c r="W125" s="12"/>
      <c r="X125" s="12"/>
    </row>
    <row r="126" customFormat="false" ht="15.75" hidden="false" customHeight="false" outlineLevel="0" collapsed="false">
      <c r="A126" s="12"/>
      <c r="B126" s="34"/>
      <c r="C126" s="12"/>
      <c r="D126" s="12"/>
      <c r="E126" s="12"/>
      <c r="F126" s="12"/>
      <c r="G126" s="18"/>
      <c r="H126" s="35"/>
      <c r="I126" s="12"/>
      <c r="M126" s="12"/>
      <c r="N126" s="18"/>
      <c r="O126" s="12"/>
      <c r="P126" s="12"/>
      <c r="Q126" s="12"/>
      <c r="R126" s="36"/>
      <c r="S126" s="36"/>
      <c r="T126" s="12"/>
      <c r="U126" s="12"/>
      <c r="V126" s="12"/>
      <c r="W126" s="12"/>
      <c r="X126" s="12"/>
    </row>
    <row r="127" customFormat="false" ht="15.75" hidden="false" customHeight="false" outlineLevel="0" collapsed="false">
      <c r="A127" s="12"/>
      <c r="B127" s="34"/>
      <c r="C127" s="12"/>
      <c r="D127" s="12"/>
      <c r="E127" s="12"/>
      <c r="F127" s="12"/>
      <c r="G127" s="18"/>
      <c r="H127" s="35"/>
      <c r="I127" s="12"/>
      <c r="M127" s="12"/>
      <c r="N127" s="18"/>
      <c r="O127" s="12"/>
      <c r="P127" s="12"/>
      <c r="Q127" s="12"/>
      <c r="R127" s="36"/>
      <c r="S127" s="36"/>
      <c r="T127" s="12"/>
      <c r="U127" s="12"/>
      <c r="V127" s="12"/>
      <c r="W127" s="12"/>
      <c r="X127" s="12"/>
    </row>
    <row r="128" customFormat="false" ht="15.75" hidden="false" customHeight="false" outlineLevel="0" collapsed="false">
      <c r="A128" s="12"/>
      <c r="B128" s="34"/>
      <c r="C128" s="12"/>
      <c r="D128" s="12"/>
      <c r="E128" s="12"/>
      <c r="F128" s="12"/>
      <c r="G128" s="18"/>
      <c r="H128" s="35"/>
      <c r="I128" s="12"/>
      <c r="M128" s="12"/>
      <c r="N128" s="18"/>
      <c r="O128" s="12"/>
      <c r="P128" s="12"/>
      <c r="Q128" s="12"/>
      <c r="R128" s="36"/>
      <c r="S128" s="36"/>
      <c r="T128" s="12"/>
      <c r="U128" s="12"/>
      <c r="V128" s="12"/>
      <c r="W128" s="12"/>
      <c r="X128" s="12"/>
    </row>
    <row r="129" customFormat="false" ht="15.75" hidden="false" customHeight="false" outlineLevel="0" collapsed="false">
      <c r="A129" s="12"/>
      <c r="B129" s="34"/>
      <c r="C129" s="12"/>
      <c r="D129" s="12"/>
      <c r="E129" s="12"/>
      <c r="F129" s="12"/>
      <c r="G129" s="18"/>
      <c r="H129" s="35"/>
      <c r="I129" s="12"/>
      <c r="M129" s="12"/>
      <c r="N129" s="18"/>
      <c r="O129" s="12"/>
      <c r="P129" s="12"/>
      <c r="Q129" s="12"/>
      <c r="R129" s="36"/>
      <c r="S129" s="36"/>
      <c r="T129" s="12"/>
      <c r="U129" s="12"/>
      <c r="V129" s="12"/>
      <c r="W129" s="12"/>
      <c r="X129" s="12"/>
    </row>
    <row r="130" customFormat="false" ht="15.75" hidden="false" customHeight="false" outlineLevel="0" collapsed="false">
      <c r="A130" s="12"/>
      <c r="B130" s="34"/>
      <c r="C130" s="12"/>
      <c r="D130" s="12"/>
      <c r="E130" s="12"/>
      <c r="F130" s="12"/>
      <c r="G130" s="18"/>
      <c r="H130" s="35"/>
      <c r="I130" s="12"/>
      <c r="M130" s="12"/>
      <c r="N130" s="18"/>
      <c r="O130" s="12"/>
      <c r="P130" s="12"/>
      <c r="Q130" s="12"/>
      <c r="R130" s="36"/>
      <c r="S130" s="36"/>
      <c r="T130" s="12"/>
      <c r="U130" s="12"/>
      <c r="V130" s="12"/>
      <c r="W130" s="12"/>
      <c r="X130" s="12"/>
    </row>
    <row r="131" customFormat="false" ht="15.75" hidden="false" customHeight="false" outlineLevel="0" collapsed="false">
      <c r="A131" s="12"/>
      <c r="B131" s="34"/>
      <c r="C131" s="12"/>
      <c r="D131" s="12"/>
      <c r="E131" s="12"/>
      <c r="F131" s="12"/>
      <c r="G131" s="18"/>
      <c r="H131" s="35"/>
      <c r="I131" s="12"/>
      <c r="M131" s="12"/>
      <c r="N131" s="18"/>
      <c r="O131" s="12"/>
      <c r="P131" s="12"/>
      <c r="Q131" s="12"/>
      <c r="R131" s="36"/>
      <c r="S131" s="36"/>
      <c r="T131" s="12"/>
      <c r="U131" s="12"/>
      <c r="V131" s="12"/>
      <c r="W131" s="12"/>
      <c r="X131" s="12"/>
    </row>
    <row r="132" customFormat="false" ht="15.75" hidden="false" customHeight="false" outlineLevel="0" collapsed="false">
      <c r="A132" s="12"/>
      <c r="B132" s="34"/>
      <c r="C132" s="12"/>
      <c r="D132" s="12"/>
      <c r="E132" s="12"/>
      <c r="F132" s="12"/>
      <c r="G132" s="18"/>
      <c r="H132" s="35"/>
      <c r="I132" s="12"/>
      <c r="M132" s="12"/>
      <c r="N132" s="18"/>
      <c r="O132" s="12"/>
      <c r="P132" s="12"/>
      <c r="Q132" s="12"/>
      <c r="R132" s="36"/>
      <c r="S132" s="36"/>
      <c r="T132" s="12"/>
      <c r="U132" s="12"/>
      <c r="V132" s="12"/>
      <c r="W132" s="12"/>
      <c r="X132" s="12"/>
    </row>
    <row r="133" customFormat="false" ht="15.75" hidden="false" customHeight="false" outlineLevel="0" collapsed="false">
      <c r="A133" s="12"/>
      <c r="B133" s="34"/>
      <c r="C133" s="12"/>
      <c r="D133" s="12"/>
      <c r="E133" s="12"/>
      <c r="F133" s="12"/>
      <c r="G133" s="18"/>
      <c r="H133" s="35"/>
      <c r="I133" s="12"/>
      <c r="M133" s="12"/>
      <c r="N133" s="18"/>
      <c r="O133" s="12"/>
      <c r="P133" s="12"/>
      <c r="Q133" s="12"/>
      <c r="R133" s="36"/>
      <c r="S133" s="36"/>
      <c r="T133" s="12"/>
      <c r="U133" s="12"/>
      <c r="V133" s="12"/>
      <c r="W133" s="12"/>
      <c r="X133" s="12"/>
    </row>
    <row r="134" customFormat="false" ht="15.75" hidden="false" customHeight="false" outlineLevel="0" collapsed="false">
      <c r="A134" s="12"/>
      <c r="B134" s="34"/>
      <c r="C134" s="12"/>
      <c r="D134" s="12"/>
      <c r="E134" s="12"/>
      <c r="F134" s="12"/>
      <c r="G134" s="18"/>
      <c r="H134" s="35"/>
      <c r="I134" s="12"/>
      <c r="M134" s="12"/>
      <c r="N134" s="18"/>
      <c r="O134" s="12"/>
      <c r="P134" s="12"/>
      <c r="Q134" s="12"/>
      <c r="R134" s="36"/>
      <c r="S134" s="36"/>
      <c r="T134" s="12"/>
      <c r="U134" s="12"/>
      <c r="V134" s="12"/>
      <c r="W134" s="12"/>
      <c r="X134" s="12"/>
    </row>
    <row r="135" customFormat="false" ht="15.75" hidden="false" customHeight="false" outlineLevel="0" collapsed="false">
      <c r="A135" s="12"/>
      <c r="B135" s="34"/>
      <c r="C135" s="12"/>
      <c r="D135" s="12"/>
      <c r="E135" s="12"/>
      <c r="F135" s="12"/>
      <c r="G135" s="18"/>
      <c r="H135" s="35"/>
      <c r="I135" s="12"/>
      <c r="M135" s="12"/>
      <c r="N135" s="18"/>
      <c r="O135" s="12"/>
      <c r="P135" s="12"/>
      <c r="Q135" s="12"/>
      <c r="R135" s="36"/>
      <c r="S135" s="36"/>
      <c r="T135" s="12"/>
      <c r="U135" s="12"/>
      <c r="V135" s="12"/>
      <c r="W135" s="12"/>
      <c r="X135" s="12"/>
    </row>
    <row r="136" customFormat="false" ht="15.75" hidden="false" customHeight="false" outlineLevel="0" collapsed="false">
      <c r="A136" s="12"/>
      <c r="B136" s="34"/>
      <c r="C136" s="12"/>
      <c r="D136" s="12"/>
      <c r="E136" s="12"/>
      <c r="F136" s="12"/>
      <c r="G136" s="18"/>
      <c r="H136" s="35"/>
      <c r="I136" s="12"/>
      <c r="M136" s="12"/>
      <c r="N136" s="18"/>
      <c r="O136" s="12"/>
      <c r="P136" s="12"/>
      <c r="Q136" s="12"/>
      <c r="R136" s="36"/>
      <c r="S136" s="36"/>
      <c r="T136" s="12"/>
      <c r="U136" s="12"/>
      <c r="V136" s="12"/>
      <c r="W136" s="12"/>
      <c r="X136" s="12"/>
    </row>
    <row r="137" customFormat="false" ht="15.75" hidden="false" customHeight="false" outlineLevel="0" collapsed="false">
      <c r="A137" s="12"/>
      <c r="B137" s="34"/>
      <c r="C137" s="12"/>
      <c r="D137" s="12"/>
      <c r="E137" s="12"/>
      <c r="F137" s="12"/>
      <c r="G137" s="18"/>
      <c r="H137" s="35"/>
      <c r="I137" s="12"/>
      <c r="M137" s="12"/>
      <c r="N137" s="18"/>
      <c r="O137" s="12"/>
      <c r="P137" s="12"/>
      <c r="Q137" s="12"/>
      <c r="R137" s="36"/>
      <c r="S137" s="36"/>
      <c r="T137" s="12"/>
      <c r="U137" s="12"/>
      <c r="V137" s="12"/>
      <c r="W137" s="12"/>
      <c r="X137" s="12"/>
    </row>
    <row r="138" customFormat="false" ht="15.75" hidden="false" customHeight="false" outlineLevel="0" collapsed="false">
      <c r="A138" s="12"/>
      <c r="B138" s="34"/>
      <c r="C138" s="12"/>
      <c r="D138" s="12"/>
      <c r="E138" s="12"/>
      <c r="F138" s="12"/>
      <c r="G138" s="18"/>
      <c r="H138" s="35"/>
      <c r="I138" s="12"/>
      <c r="M138" s="12"/>
      <c r="N138" s="18"/>
      <c r="O138" s="12"/>
      <c r="P138" s="12"/>
      <c r="Q138" s="12"/>
      <c r="R138" s="36"/>
      <c r="S138" s="36"/>
      <c r="T138" s="12"/>
      <c r="U138" s="12"/>
      <c r="V138" s="12"/>
      <c r="W138" s="12"/>
      <c r="X138" s="12"/>
    </row>
    <row r="139" customFormat="false" ht="15.75" hidden="false" customHeight="false" outlineLevel="0" collapsed="false">
      <c r="A139" s="12"/>
      <c r="B139" s="34"/>
      <c r="C139" s="12"/>
      <c r="D139" s="12"/>
      <c r="E139" s="12"/>
      <c r="F139" s="12"/>
      <c r="G139" s="18"/>
      <c r="H139" s="35"/>
      <c r="I139" s="12"/>
      <c r="M139" s="12"/>
      <c r="N139" s="18"/>
      <c r="O139" s="12"/>
      <c r="P139" s="12"/>
      <c r="Q139" s="12"/>
      <c r="R139" s="36"/>
      <c r="S139" s="36"/>
      <c r="T139" s="12"/>
      <c r="U139" s="12"/>
      <c r="V139" s="12"/>
      <c r="W139" s="12"/>
      <c r="X139" s="12"/>
    </row>
    <row r="140" customFormat="false" ht="15.75" hidden="false" customHeight="false" outlineLevel="0" collapsed="false">
      <c r="A140" s="12"/>
      <c r="B140" s="34"/>
      <c r="C140" s="12"/>
      <c r="D140" s="12"/>
      <c r="E140" s="12"/>
      <c r="F140" s="12"/>
      <c r="G140" s="18"/>
      <c r="H140" s="35"/>
      <c r="I140" s="12"/>
      <c r="M140" s="12"/>
      <c r="N140" s="18"/>
      <c r="O140" s="12"/>
      <c r="P140" s="12"/>
      <c r="Q140" s="12"/>
      <c r="R140" s="36"/>
      <c r="S140" s="36"/>
      <c r="T140" s="12"/>
      <c r="U140" s="12"/>
      <c r="V140" s="12"/>
      <c r="W140" s="12"/>
      <c r="X140" s="12"/>
    </row>
    <row r="141" customFormat="false" ht="15.75" hidden="false" customHeight="false" outlineLevel="0" collapsed="false">
      <c r="A141" s="12"/>
      <c r="B141" s="34"/>
      <c r="C141" s="12"/>
      <c r="D141" s="12"/>
      <c r="E141" s="12"/>
      <c r="F141" s="12"/>
      <c r="G141" s="18"/>
      <c r="H141" s="35"/>
      <c r="I141" s="12"/>
      <c r="M141" s="12"/>
      <c r="N141" s="18"/>
      <c r="O141" s="12"/>
      <c r="P141" s="12"/>
      <c r="Q141" s="12"/>
      <c r="R141" s="36"/>
      <c r="S141" s="36"/>
      <c r="T141" s="12"/>
      <c r="U141" s="12"/>
      <c r="V141" s="12"/>
      <c r="W141" s="12"/>
      <c r="X141" s="12"/>
    </row>
    <row r="142" customFormat="false" ht="15.75" hidden="false" customHeight="false" outlineLevel="0" collapsed="false">
      <c r="A142" s="12"/>
      <c r="B142" s="34"/>
      <c r="C142" s="12"/>
      <c r="D142" s="12"/>
      <c r="E142" s="12"/>
      <c r="F142" s="12"/>
      <c r="G142" s="18"/>
      <c r="H142" s="35"/>
      <c r="I142" s="12"/>
      <c r="M142" s="12"/>
      <c r="N142" s="18"/>
      <c r="O142" s="12"/>
      <c r="P142" s="12"/>
      <c r="Q142" s="12"/>
      <c r="R142" s="36"/>
      <c r="S142" s="36"/>
      <c r="T142" s="12"/>
      <c r="U142" s="12"/>
      <c r="V142" s="12"/>
      <c r="W142" s="12"/>
      <c r="X142" s="12"/>
    </row>
    <row r="143" customFormat="false" ht="15.75" hidden="false" customHeight="false" outlineLevel="0" collapsed="false">
      <c r="A143" s="12"/>
      <c r="B143" s="34"/>
      <c r="C143" s="12"/>
      <c r="D143" s="12"/>
      <c r="E143" s="12"/>
      <c r="F143" s="12"/>
      <c r="G143" s="18"/>
      <c r="H143" s="35"/>
      <c r="I143" s="12"/>
      <c r="M143" s="12"/>
      <c r="N143" s="18"/>
      <c r="O143" s="12"/>
      <c r="P143" s="12"/>
      <c r="Q143" s="12"/>
      <c r="R143" s="36"/>
      <c r="S143" s="36"/>
      <c r="T143" s="12"/>
      <c r="U143" s="12"/>
      <c r="V143" s="12"/>
      <c r="W143" s="12"/>
      <c r="X143" s="12"/>
    </row>
    <row r="144" customFormat="false" ht="15.75" hidden="false" customHeight="false" outlineLevel="0" collapsed="false">
      <c r="A144" s="12"/>
      <c r="B144" s="34"/>
      <c r="C144" s="12"/>
      <c r="D144" s="12"/>
      <c r="E144" s="12"/>
      <c r="F144" s="12"/>
      <c r="G144" s="18"/>
      <c r="H144" s="35"/>
      <c r="I144" s="12"/>
      <c r="M144" s="12"/>
      <c r="N144" s="18"/>
      <c r="O144" s="12"/>
      <c r="P144" s="12"/>
      <c r="Q144" s="12"/>
      <c r="R144" s="36"/>
      <c r="S144" s="36"/>
      <c r="T144" s="12"/>
      <c r="U144" s="12"/>
      <c r="V144" s="12"/>
      <c r="W144" s="12"/>
      <c r="X144" s="12"/>
    </row>
    <row r="145" customFormat="false" ht="15.75" hidden="false" customHeight="false" outlineLevel="0" collapsed="false">
      <c r="A145" s="12"/>
      <c r="B145" s="34"/>
      <c r="C145" s="12"/>
      <c r="D145" s="12"/>
      <c r="E145" s="12"/>
      <c r="F145" s="12"/>
      <c r="G145" s="18"/>
      <c r="H145" s="35"/>
      <c r="I145" s="12"/>
      <c r="M145" s="12"/>
      <c r="N145" s="18"/>
      <c r="O145" s="12"/>
      <c r="P145" s="12"/>
      <c r="Q145" s="12"/>
      <c r="R145" s="36"/>
      <c r="S145" s="36"/>
      <c r="T145" s="12"/>
      <c r="U145" s="12"/>
      <c r="V145" s="12"/>
      <c r="W145" s="12"/>
      <c r="X145" s="12"/>
    </row>
    <row r="146" customFormat="false" ht="15.75" hidden="false" customHeight="false" outlineLevel="0" collapsed="false">
      <c r="A146" s="12"/>
      <c r="B146" s="34"/>
      <c r="C146" s="12"/>
      <c r="D146" s="12"/>
      <c r="E146" s="12"/>
      <c r="F146" s="12"/>
      <c r="G146" s="18"/>
      <c r="H146" s="35"/>
      <c r="I146" s="12"/>
      <c r="M146" s="12"/>
      <c r="N146" s="18"/>
      <c r="O146" s="12"/>
      <c r="P146" s="12"/>
      <c r="Q146" s="12"/>
      <c r="R146" s="36"/>
      <c r="S146" s="36"/>
      <c r="T146" s="12"/>
      <c r="U146" s="12"/>
      <c r="V146" s="12"/>
      <c r="W146" s="12"/>
      <c r="X146" s="12"/>
    </row>
    <row r="147" customFormat="false" ht="15.75" hidden="false" customHeight="false" outlineLevel="0" collapsed="false">
      <c r="A147" s="12"/>
      <c r="B147" s="34"/>
      <c r="C147" s="12"/>
      <c r="D147" s="12"/>
      <c r="E147" s="12"/>
      <c r="F147" s="12"/>
      <c r="G147" s="18"/>
      <c r="H147" s="35"/>
      <c r="I147" s="12"/>
      <c r="M147" s="12"/>
      <c r="N147" s="18"/>
      <c r="O147" s="12"/>
      <c r="P147" s="12"/>
      <c r="Q147" s="12"/>
      <c r="R147" s="36"/>
      <c r="S147" s="36"/>
      <c r="T147" s="12"/>
      <c r="U147" s="12"/>
      <c r="V147" s="12"/>
      <c r="W147" s="12"/>
      <c r="X147" s="12"/>
    </row>
    <row r="148" customFormat="false" ht="15.75" hidden="false" customHeight="false" outlineLevel="0" collapsed="false">
      <c r="A148" s="12"/>
      <c r="B148" s="34"/>
      <c r="C148" s="12"/>
      <c r="D148" s="12"/>
      <c r="E148" s="12"/>
      <c r="F148" s="12"/>
      <c r="G148" s="18"/>
      <c r="H148" s="35"/>
      <c r="I148" s="12"/>
      <c r="M148" s="12"/>
      <c r="N148" s="18"/>
      <c r="O148" s="12"/>
      <c r="P148" s="12"/>
      <c r="Q148" s="12"/>
      <c r="R148" s="36"/>
      <c r="S148" s="36"/>
      <c r="T148" s="12"/>
      <c r="U148" s="12"/>
      <c r="V148" s="12"/>
      <c r="W148" s="12"/>
      <c r="X148" s="12"/>
    </row>
    <row r="149" customFormat="false" ht="15.75" hidden="false" customHeight="false" outlineLevel="0" collapsed="false">
      <c r="A149" s="12"/>
      <c r="B149" s="34"/>
      <c r="C149" s="12"/>
      <c r="D149" s="12"/>
      <c r="E149" s="12"/>
      <c r="F149" s="12"/>
      <c r="G149" s="18"/>
      <c r="H149" s="35"/>
      <c r="I149" s="12"/>
      <c r="M149" s="12"/>
      <c r="N149" s="18"/>
      <c r="O149" s="12"/>
      <c r="P149" s="12"/>
      <c r="Q149" s="12"/>
      <c r="R149" s="36"/>
      <c r="S149" s="36"/>
      <c r="T149" s="12"/>
      <c r="U149" s="12"/>
      <c r="V149" s="12"/>
      <c r="W149" s="12"/>
      <c r="X149" s="12"/>
    </row>
    <row r="150" customFormat="false" ht="15.75" hidden="false" customHeight="false" outlineLevel="0" collapsed="false">
      <c r="A150" s="12"/>
      <c r="B150" s="34"/>
      <c r="C150" s="12"/>
      <c r="D150" s="12"/>
      <c r="E150" s="12"/>
      <c r="F150" s="12"/>
      <c r="G150" s="18"/>
      <c r="H150" s="35"/>
      <c r="I150" s="12"/>
      <c r="M150" s="12"/>
      <c r="N150" s="18"/>
      <c r="O150" s="12"/>
      <c r="P150" s="12"/>
      <c r="Q150" s="12"/>
      <c r="R150" s="36"/>
      <c r="S150" s="36"/>
      <c r="T150" s="12"/>
      <c r="U150" s="12"/>
      <c r="V150" s="12"/>
      <c r="W150" s="12"/>
      <c r="X150" s="12"/>
    </row>
    <row r="151" customFormat="false" ht="15.75" hidden="false" customHeight="false" outlineLevel="0" collapsed="false">
      <c r="A151" s="12"/>
      <c r="B151" s="34"/>
      <c r="C151" s="12"/>
      <c r="D151" s="12"/>
      <c r="E151" s="12"/>
      <c r="F151" s="12"/>
      <c r="G151" s="18"/>
      <c r="H151" s="35"/>
      <c r="I151" s="12"/>
      <c r="M151" s="12"/>
      <c r="N151" s="18"/>
      <c r="O151" s="12"/>
      <c r="P151" s="12"/>
      <c r="Q151" s="12"/>
      <c r="R151" s="36"/>
      <c r="S151" s="36"/>
      <c r="T151" s="12"/>
      <c r="U151" s="12"/>
      <c r="V151" s="12"/>
      <c r="W151" s="12"/>
      <c r="X151" s="12"/>
    </row>
    <row r="152" customFormat="false" ht="15.75" hidden="false" customHeight="false" outlineLevel="0" collapsed="false">
      <c r="A152" s="12"/>
      <c r="B152" s="34"/>
      <c r="C152" s="12"/>
      <c r="D152" s="12"/>
      <c r="E152" s="12"/>
      <c r="F152" s="12"/>
      <c r="G152" s="18"/>
      <c r="H152" s="35"/>
      <c r="I152" s="12"/>
      <c r="M152" s="12"/>
      <c r="N152" s="18"/>
      <c r="O152" s="12"/>
      <c r="P152" s="12"/>
      <c r="Q152" s="12"/>
      <c r="R152" s="36"/>
      <c r="S152" s="36"/>
      <c r="T152" s="12"/>
      <c r="U152" s="12"/>
      <c r="V152" s="12"/>
      <c r="W152" s="12"/>
      <c r="X152" s="12"/>
    </row>
    <row r="153" customFormat="false" ht="15.75" hidden="false" customHeight="false" outlineLevel="0" collapsed="false">
      <c r="A153" s="12"/>
      <c r="B153" s="34"/>
      <c r="C153" s="12"/>
      <c r="D153" s="12"/>
      <c r="E153" s="12"/>
      <c r="F153" s="12"/>
      <c r="G153" s="18"/>
      <c r="H153" s="35"/>
      <c r="I153" s="12"/>
      <c r="M153" s="12"/>
      <c r="N153" s="18"/>
      <c r="O153" s="12"/>
      <c r="P153" s="12"/>
      <c r="Q153" s="12"/>
      <c r="R153" s="36"/>
      <c r="S153" s="36"/>
      <c r="T153" s="12"/>
      <c r="U153" s="12"/>
      <c r="V153" s="12"/>
      <c r="W153" s="12"/>
      <c r="X153" s="12"/>
    </row>
    <row r="154" customFormat="false" ht="15.75" hidden="false" customHeight="false" outlineLevel="0" collapsed="false">
      <c r="A154" s="12"/>
      <c r="B154" s="34"/>
      <c r="C154" s="12"/>
      <c r="D154" s="12"/>
      <c r="E154" s="12"/>
      <c r="F154" s="12"/>
      <c r="G154" s="18"/>
      <c r="H154" s="35"/>
      <c r="I154" s="12"/>
      <c r="M154" s="12"/>
      <c r="N154" s="18"/>
      <c r="O154" s="12"/>
      <c r="P154" s="12"/>
      <c r="Q154" s="12"/>
      <c r="R154" s="36"/>
      <c r="S154" s="36"/>
      <c r="T154" s="12"/>
      <c r="U154" s="12"/>
      <c r="V154" s="12"/>
      <c r="W154" s="12"/>
      <c r="X154" s="12"/>
    </row>
    <row r="155" customFormat="false" ht="15.75" hidden="false" customHeight="false" outlineLevel="0" collapsed="false">
      <c r="A155" s="12"/>
      <c r="B155" s="34"/>
      <c r="C155" s="12"/>
      <c r="D155" s="12"/>
      <c r="E155" s="12"/>
      <c r="F155" s="12"/>
      <c r="G155" s="18"/>
      <c r="H155" s="35"/>
      <c r="I155" s="12"/>
      <c r="M155" s="12"/>
      <c r="N155" s="18"/>
      <c r="O155" s="12"/>
      <c r="P155" s="12"/>
      <c r="Q155" s="12"/>
      <c r="R155" s="36"/>
      <c r="S155" s="36"/>
      <c r="T155" s="12"/>
      <c r="U155" s="12"/>
      <c r="V155" s="12"/>
      <c r="W155" s="12"/>
      <c r="X155" s="12"/>
    </row>
    <row r="156" customFormat="false" ht="15.75" hidden="false" customHeight="false" outlineLevel="0" collapsed="false">
      <c r="A156" s="12"/>
      <c r="B156" s="34"/>
      <c r="C156" s="12"/>
      <c r="D156" s="12"/>
      <c r="E156" s="12"/>
      <c r="F156" s="12"/>
      <c r="G156" s="18"/>
      <c r="H156" s="35"/>
      <c r="I156" s="12"/>
      <c r="M156" s="12"/>
      <c r="N156" s="18"/>
      <c r="O156" s="12"/>
      <c r="P156" s="12"/>
      <c r="Q156" s="12"/>
      <c r="R156" s="36"/>
      <c r="S156" s="36"/>
      <c r="T156" s="12"/>
      <c r="U156" s="12"/>
      <c r="V156" s="12"/>
      <c r="W156" s="12"/>
      <c r="X156" s="12"/>
    </row>
    <row r="157" customFormat="false" ht="15.75" hidden="false" customHeight="false" outlineLevel="0" collapsed="false">
      <c r="A157" s="12"/>
      <c r="B157" s="34"/>
      <c r="C157" s="12"/>
      <c r="D157" s="12"/>
      <c r="E157" s="12"/>
      <c r="F157" s="12"/>
      <c r="G157" s="18"/>
      <c r="H157" s="35"/>
      <c r="I157" s="12"/>
      <c r="M157" s="12"/>
      <c r="N157" s="18"/>
      <c r="O157" s="12"/>
      <c r="P157" s="12"/>
      <c r="Q157" s="12"/>
      <c r="R157" s="36"/>
      <c r="S157" s="36"/>
      <c r="T157" s="12"/>
      <c r="U157" s="12"/>
      <c r="V157" s="12"/>
      <c r="W157" s="12"/>
      <c r="X157" s="12"/>
    </row>
    <row r="158" customFormat="false" ht="15.75" hidden="false" customHeight="false" outlineLevel="0" collapsed="false">
      <c r="A158" s="12"/>
      <c r="B158" s="34"/>
      <c r="C158" s="12"/>
      <c r="D158" s="12"/>
      <c r="E158" s="12"/>
      <c r="F158" s="12"/>
      <c r="G158" s="18"/>
      <c r="H158" s="35"/>
      <c r="I158" s="12"/>
      <c r="M158" s="12"/>
      <c r="N158" s="18"/>
      <c r="O158" s="12"/>
      <c r="P158" s="12"/>
      <c r="Q158" s="12"/>
      <c r="R158" s="36"/>
      <c r="S158" s="36"/>
      <c r="T158" s="12"/>
      <c r="U158" s="12"/>
      <c r="V158" s="12"/>
      <c r="W158" s="12"/>
      <c r="X158" s="12"/>
    </row>
    <row r="159" customFormat="false" ht="15.75" hidden="false" customHeight="false" outlineLevel="0" collapsed="false">
      <c r="A159" s="12"/>
      <c r="B159" s="34"/>
      <c r="C159" s="12"/>
      <c r="D159" s="12"/>
      <c r="E159" s="12"/>
      <c r="F159" s="12"/>
      <c r="G159" s="18"/>
      <c r="H159" s="35"/>
      <c r="I159" s="12"/>
      <c r="M159" s="12"/>
      <c r="N159" s="18"/>
      <c r="O159" s="12"/>
      <c r="P159" s="12"/>
      <c r="Q159" s="12"/>
      <c r="R159" s="36"/>
      <c r="S159" s="36"/>
      <c r="T159" s="12"/>
      <c r="U159" s="12"/>
      <c r="V159" s="12"/>
      <c r="W159" s="12"/>
      <c r="X159" s="12"/>
    </row>
    <row r="160" customFormat="false" ht="15.75" hidden="false" customHeight="false" outlineLevel="0" collapsed="false">
      <c r="A160" s="12"/>
      <c r="B160" s="34"/>
      <c r="C160" s="12"/>
      <c r="D160" s="12"/>
      <c r="E160" s="12"/>
      <c r="F160" s="12"/>
      <c r="G160" s="18"/>
      <c r="H160" s="35"/>
      <c r="I160" s="12"/>
      <c r="M160" s="12"/>
      <c r="N160" s="18"/>
      <c r="O160" s="12"/>
      <c r="P160" s="12"/>
      <c r="Q160" s="12"/>
      <c r="R160" s="36"/>
      <c r="S160" s="36"/>
      <c r="T160" s="12"/>
      <c r="U160" s="12"/>
      <c r="V160" s="12"/>
      <c r="W160" s="12"/>
      <c r="X160" s="12"/>
    </row>
    <row r="161" customFormat="false" ht="15.75" hidden="false" customHeight="false" outlineLevel="0" collapsed="false">
      <c r="A161" s="12"/>
      <c r="B161" s="34"/>
      <c r="C161" s="12"/>
      <c r="D161" s="12"/>
      <c r="E161" s="12"/>
      <c r="F161" s="12"/>
      <c r="G161" s="18"/>
      <c r="H161" s="35"/>
      <c r="I161" s="12"/>
      <c r="M161" s="12"/>
      <c r="N161" s="18"/>
      <c r="O161" s="12"/>
      <c r="P161" s="12"/>
      <c r="Q161" s="12"/>
      <c r="R161" s="36"/>
      <c r="S161" s="36"/>
      <c r="T161" s="12"/>
      <c r="U161" s="12"/>
      <c r="V161" s="12"/>
      <c r="W161" s="12"/>
      <c r="X161" s="12"/>
    </row>
    <row r="162" customFormat="false" ht="15.75" hidden="false" customHeight="false" outlineLevel="0" collapsed="false">
      <c r="A162" s="12"/>
      <c r="B162" s="34"/>
      <c r="C162" s="12"/>
      <c r="D162" s="12"/>
      <c r="E162" s="12"/>
      <c r="F162" s="12"/>
      <c r="G162" s="18"/>
      <c r="H162" s="35"/>
      <c r="I162" s="12"/>
      <c r="M162" s="12"/>
      <c r="N162" s="18"/>
      <c r="O162" s="12"/>
      <c r="P162" s="12"/>
      <c r="Q162" s="12"/>
      <c r="R162" s="36"/>
      <c r="S162" s="36"/>
      <c r="T162" s="12"/>
      <c r="U162" s="12"/>
      <c r="V162" s="12"/>
      <c r="W162" s="12"/>
      <c r="X162" s="12"/>
    </row>
    <row r="163" customFormat="false" ht="15.75" hidden="false" customHeight="false" outlineLevel="0" collapsed="false">
      <c r="A163" s="12"/>
      <c r="B163" s="34"/>
      <c r="C163" s="12"/>
      <c r="D163" s="12"/>
      <c r="E163" s="12"/>
      <c r="F163" s="12"/>
      <c r="G163" s="18"/>
      <c r="H163" s="35"/>
      <c r="I163" s="12"/>
      <c r="M163" s="12"/>
      <c r="N163" s="18"/>
      <c r="O163" s="12"/>
      <c r="P163" s="12"/>
      <c r="Q163" s="12"/>
      <c r="R163" s="36"/>
      <c r="S163" s="36"/>
      <c r="T163" s="12"/>
      <c r="U163" s="12"/>
      <c r="V163" s="12"/>
      <c r="W163" s="12"/>
      <c r="X163" s="12"/>
    </row>
    <row r="164" customFormat="false" ht="15.75" hidden="false" customHeight="false" outlineLevel="0" collapsed="false">
      <c r="A164" s="12"/>
      <c r="B164" s="34"/>
      <c r="C164" s="12"/>
      <c r="D164" s="12"/>
      <c r="E164" s="12"/>
      <c r="F164" s="12"/>
      <c r="G164" s="18"/>
      <c r="H164" s="35"/>
      <c r="I164" s="12"/>
      <c r="M164" s="12"/>
      <c r="N164" s="18"/>
      <c r="O164" s="12"/>
      <c r="P164" s="12"/>
      <c r="Q164" s="12"/>
      <c r="R164" s="36"/>
      <c r="S164" s="36"/>
      <c r="T164" s="12"/>
      <c r="U164" s="12"/>
      <c r="V164" s="12"/>
      <c r="W164" s="12"/>
      <c r="X164" s="12"/>
    </row>
    <row r="165" customFormat="false" ht="15.75" hidden="false" customHeight="false" outlineLevel="0" collapsed="false">
      <c r="A165" s="12"/>
      <c r="B165" s="34"/>
      <c r="C165" s="12"/>
      <c r="D165" s="12"/>
      <c r="E165" s="12"/>
      <c r="F165" s="12"/>
      <c r="G165" s="18"/>
      <c r="H165" s="35"/>
      <c r="I165" s="12"/>
      <c r="M165" s="12"/>
      <c r="N165" s="18"/>
      <c r="O165" s="12"/>
      <c r="P165" s="12"/>
      <c r="Q165" s="12"/>
      <c r="R165" s="36"/>
      <c r="S165" s="36"/>
      <c r="T165" s="12"/>
      <c r="U165" s="12"/>
      <c r="V165" s="12"/>
      <c r="W165" s="12"/>
      <c r="X165" s="12"/>
    </row>
    <row r="166" customFormat="false" ht="15.75" hidden="false" customHeight="false" outlineLevel="0" collapsed="false">
      <c r="A166" s="12"/>
      <c r="B166" s="34"/>
      <c r="C166" s="12"/>
      <c r="D166" s="12"/>
      <c r="E166" s="12"/>
      <c r="F166" s="12"/>
      <c r="G166" s="18"/>
      <c r="H166" s="35"/>
      <c r="I166" s="12"/>
      <c r="M166" s="12"/>
      <c r="N166" s="18"/>
      <c r="O166" s="12"/>
      <c r="P166" s="12"/>
      <c r="Q166" s="12"/>
      <c r="R166" s="36"/>
      <c r="S166" s="36"/>
      <c r="T166" s="12"/>
      <c r="U166" s="12"/>
      <c r="V166" s="12"/>
      <c r="W166" s="12"/>
      <c r="X166" s="12"/>
    </row>
    <row r="167" customFormat="false" ht="15.75" hidden="false" customHeight="false" outlineLevel="0" collapsed="false">
      <c r="A167" s="12"/>
      <c r="B167" s="34"/>
      <c r="C167" s="12"/>
      <c r="D167" s="12"/>
      <c r="E167" s="12"/>
      <c r="F167" s="12"/>
      <c r="G167" s="18"/>
      <c r="H167" s="35"/>
      <c r="I167" s="12"/>
      <c r="M167" s="12"/>
      <c r="N167" s="18"/>
      <c r="O167" s="12"/>
      <c r="P167" s="12"/>
      <c r="Q167" s="12"/>
      <c r="R167" s="36"/>
      <c r="S167" s="36"/>
      <c r="T167" s="12"/>
      <c r="U167" s="12"/>
      <c r="V167" s="12"/>
      <c r="W167" s="12"/>
      <c r="X167" s="12"/>
    </row>
    <row r="168" customFormat="false" ht="15.75" hidden="false" customHeight="false" outlineLevel="0" collapsed="false">
      <c r="A168" s="12"/>
      <c r="B168" s="34"/>
      <c r="C168" s="12"/>
      <c r="D168" s="12"/>
      <c r="E168" s="12"/>
      <c r="F168" s="12"/>
      <c r="G168" s="18"/>
      <c r="H168" s="35"/>
      <c r="I168" s="12"/>
      <c r="M168" s="12"/>
      <c r="N168" s="18"/>
      <c r="O168" s="12"/>
      <c r="P168" s="12"/>
      <c r="Q168" s="12"/>
      <c r="R168" s="36"/>
      <c r="S168" s="36"/>
      <c r="T168" s="12"/>
      <c r="U168" s="12"/>
      <c r="V168" s="12"/>
      <c r="W168" s="12"/>
      <c r="X168" s="12"/>
    </row>
    <row r="169" customFormat="false" ht="15.75" hidden="false" customHeight="false" outlineLevel="0" collapsed="false">
      <c r="A169" s="12"/>
      <c r="B169" s="34"/>
      <c r="C169" s="12"/>
      <c r="D169" s="12"/>
      <c r="E169" s="12"/>
      <c r="F169" s="12"/>
      <c r="G169" s="18"/>
      <c r="H169" s="35"/>
      <c r="I169" s="12"/>
      <c r="M169" s="12"/>
      <c r="N169" s="18"/>
      <c r="O169" s="12"/>
      <c r="P169" s="12"/>
      <c r="Q169" s="12"/>
      <c r="R169" s="36"/>
      <c r="S169" s="36"/>
      <c r="T169" s="12"/>
      <c r="U169" s="12"/>
      <c r="V169" s="12"/>
      <c r="W169" s="12"/>
      <c r="X169" s="12"/>
    </row>
    <row r="170" customFormat="false" ht="15.75" hidden="false" customHeight="false" outlineLevel="0" collapsed="false">
      <c r="A170" s="12"/>
      <c r="B170" s="34"/>
      <c r="C170" s="12"/>
      <c r="D170" s="12"/>
      <c r="E170" s="12"/>
      <c r="F170" s="12"/>
      <c r="G170" s="18"/>
      <c r="H170" s="35"/>
      <c r="I170" s="12"/>
      <c r="M170" s="12"/>
      <c r="N170" s="18"/>
      <c r="O170" s="12"/>
      <c r="P170" s="12"/>
      <c r="Q170" s="12"/>
      <c r="R170" s="36"/>
      <c r="S170" s="36"/>
      <c r="T170" s="12"/>
      <c r="U170" s="12"/>
      <c r="V170" s="12"/>
      <c r="W170" s="12"/>
      <c r="X170" s="12"/>
    </row>
    <row r="171" customFormat="false" ht="15.75" hidden="false" customHeight="false" outlineLevel="0" collapsed="false">
      <c r="A171" s="12"/>
      <c r="B171" s="34"/>
      <c r="C171" s="12"/>
      <c r="D171" s="12"/>
      <c r="E171" s="12"/>
      <c r="F171" s="12"/>
      <c r="G171" s="18"/>
      <c r="H171" s="35"/>
      <c r="I171" s="12"/>
      <c r="M171" s="12"/>
      <c r="N171" s="18"/>
      <c r="O171" s="12"/>
      <c r="P171" s="12"/>
      <c r="Q171" s="12"/>
      <c r="R171" s="36"/>
      <c r="S171" s="36"/>
      <c r="T171" s="12"/>
      <c r="U171" s="12"/>
      <c r="V171" s="12"/>
      <c r="W171" s="12"/>
      <c r="X171" s="12"/>
    </row>
    <row r="172" customFormat="false" ht="15.75" hidden="false" customHeight="false" outlineLevel="0" collapsed="false">
      <c r="A172" s="12"/>
      <c r="B172" s="34"/>
      <c r="C172" s="12"/>
      <c r="D172" s="12"/>
      <c r="E172" s="12"/>
      <c r="F172" s="12"/>
      <c r="G172" s="18"/>
      <c r="H172" s="35"/>
      <c r="I172" s="12"/>
      <c r="M172" s="12"/>
      <c r="N172" s="18"/>
      <c r="O172" s="12"/>
      <c r="P172" s="12"/>
      <c r="Q172" s="12"/>
      <c r="R172" s="36"/>
      <c r="S172" s="36"/>
      <c r="T172" s="12"/>
      <c r="U172" s="12"/>
      <c r="V172" s="12"/>
      <c r="W172" s="12"/>
      <c r="X172" s="12"/>
    </row>
    <row r="173" customFormat="false" ht="15.75" hidden="false" customHeight="false" outlineLevel="0" collapsed="false">
      <c r="A173" s="12"/>
      <c r="B173" s="34"/>
      <c r="C173" s="12"/>
      <c r="D173" s="12"/>
      <c r="E173" s="12"/>
      <c r="F173" s="12"/>
      <c r="G173" s="18"/>
      <c r="H173" s="35"/>
      <c r="I173" s="12"/>
      <c r="M173" s="12"/>
      <c r="N173" s="18"/>
      <c r="O173" s="12"/>
      <c r="P173" s="12"/>
      <c r="Q173" s="12"/>
      <c r="R173" s="36"/>
      <c r="S173" s="36"/>
      <c r="T173" s="12"/>
      <c r="U173" s="12"/>
      <c r="V173" s="12"/>
      <c r="W173" s="12"/>
      <c r="X173" s="12"/>
    </row>
    <row r="174" customFormat="false" ht="15.75" hidden="false" customHeight="false" outlineLevel="0" collapsed="false">
      <c r="A174" s="12"/>
      <c r="B174" s="34"/>
      <c r="C174" s="12"/>
      <c r="D174" s="12"/>
      <c r="E174" s="12"/>
      <c r="F174" s="12"/>
      <c r="G174" s="18"/>
      <c r="H174" s="35"/>
      <c r="I174" s="12"/>
      <c r="M174" s="12"/>
      <c r="N174" s="18"/>
      <c r="O174" s="12"/>
      <c r="P174" s="12"/>
      <c r="Q174" s="12"/>
      <c r="R174" s="36"/>
      <c r="S174" s="36"/>
      <c r="T174" s="12"/>
      <c r="U174" s="12"/>
      <c r="V174" s="12"/>
      <c r="W174" s="12"/>
      <c r="X174" s="12"/>
    </row>
    <row r="175" customFormat="false" ht="15.75" hidden="false" customHeight="false" outlineLevel="0" collapsed="false">
      <c r="A175" s="12"/>
      <c r="B175" s="34"/>
      <c r="C175" s="12"/>
      <c r="D175" s="12"/>
      <c r="E175" s="12"/>
      <c r="F175" s="12"/>
      <c r="G175" s="18"/>
      <c r="H175" s="35"/>
      <c r="I175" s="12"/>
      <c r="M175" s="12"/>
      <c r="N175" s="18"/>
      <c r="O175" s="12"/>
      <c r="P175" s="12"/>
      <c r="Q175" s="12"/>
      <c r="R175" s="36"/>
      <c r="S175" s="36"/>
      <c r="T175" s="12"/>
      <c r="U175" s="12"/>
      <c r="V175" s="12"/>
      <c r="W175" s="12"/>
      <c r="X175" s="12"/>
    </row>
    <row r="176" customFormat="false" ht="15.75" hidden="false" customHeight="false" outlineLevel="0" collapsed="false">
      <c r="A176" s="12"/>
      <c r="B176" s="34"/>
      <c r="C176" s="12"/>
      <c r="D176" s="12"/>
      <c r="E176" s="12"/>
      <c r="F176" s="12"/>
      <c r="G176" s="18"/>
      <c r="H176" s="35"/>
      <c r="I176" s="12"/>
      <c r="M176" s="12"/>
      <c r="N176" s="18"/>
      <c r="O176" s="12"/>
      <c r="P176" s="12"/>
      <c r="Q176" s="12"/>
      <c r="R176" s="36"/>
      <c r="S176" s="36"/>
      <c r="T176" s="12"/>
      <c r="U176" s="12"/>
      <c r="V176" s="12"/>
      <c r="W176" s="12"/>
      <c r="X176" s="12"/>
    </row>
    <row r="177" customFormat="false" ht="15.75" hidden="false" customHeight="false" outlineLevel="0" collapsed="false">
      <c r="A177" s="12"/>
      <c r="B177" s="34"/>
      <c r="C177" s="12"/>
      <c r="D177" s="12"/>
      <c r="E177" s="12"/>
      <c r="F177" s="12"/>
      <c r="G177" s="18"/>
      <c r="H177" s="35"/>
      <c r="I177" s="12"/>
      <c r="M177" s="12"/>
      <c r="N177" s="18"/>
      <c r="O177" s="12"/>
      <c r="P177" s="12"/>
      <c r="Q177" s="12"/>
      <c r="R177" s="36"/>
      <c r="S177" s="36"/>
      <c r="T177" s="12"/>
      <c r="U177" s="12"/>
      <c r="V177" s="12"/>
      <c r="W177" s="12"/>
      <c r="X177" s="12"/>
    </row>
    <row r="178" customFormat="false" ht="15.75" hidden="false" customHeight="false" outlineLevel="0" collapsed="false">
      <c r="A178" s="12"/>
      <c r="B178" s="34"/>
      <c r="C178" s="12"/>
      <c r="D178" s="12"/>
      <c r="E178" s="12"/>
      <c r="F178" s="12"/>
      <c r="G178" s="18"/>
      <c r="H178" s="35"/>
      <c r="I178" s="12"/>
      <c r="M178" s="12"/>
      <c r="N178" s="18"/>
      <c r="O178" s="12"/>
      <c r="P178" s="12"/>
      <c r="Q178" s="12"/>
      <c r="R178" s="36"/>
      <c r="S178" s="36"/>
      <c r="T178" s="12"/>
      <c r="U178" s="12"/>
      <c r="V178" s="12"/>
      <c r="W178" s="12"/>
      <c r="X178" s="12"/>
    </row>
    <row r="179" customFormat="false" ht="15.75" hidden="false" customHeight="false" outlineLevel="0" collapsed="false">
      <c r="A179" s="12"/>
      <c r="B179" s="34"/>
      <c r="C179" s="12"/>
      <c r="D179" s="12"/>
      <c r="E179" s="12"/>
      <c r="F179" s="12"/>
      <c r="G179" s="18"/>
      <c r="H179" s="35"/>
      <c r="I179" s="12"/>
      <c r="M179" s="12"/>
      <c r="N179" s="18"/>
      <c r="O179" s="12"/>
      <c r="P179" s="12"/>
      <c r="Q179" s="12"/>
      <c r="R179" s="36"/>
      <c r="S179" s="36"/>
      <c r="T179" s="12"/>
      <c r="U179" s="12"/>
      <c r="V179" s="12"/>
      <c r="W179" s="12"/>
      <c r="X179" s="12"/>
    </row>
    <row r="180" customFormat="false" ht="15.75" hidden="false" customHeight="false" outlineLevel="0" collapsed="false">
      <c r="A180" s="12"/>
      <c r="B180" s="34"/>
      <c r="C180" s="12"/>
      <c r="D180" s="12"/>
      <c r="E180" s="12"/>
      <c r="F180" s="12"/>
      <c r="G180" s="18"/>
      <c r="H180" s="35"/>
      <c r="I180" s="12"/>
      <c r="M180" s="12"/>
      <c r="N180" s="18"/>
      <c r="O180" s="12"/>
      <c r="P180" s="12"/>
      <c r="Q180" s="12"/>
      <c r="R180" s="36"/>
      <c r="S180" s="36"/>
      <c r="T180" s="12"/>
      <c r="U180" s="12"/>
      <c r="V180" s="12"/>
      <c r="W180" s="12"/>
      <c r="X180" s="12"/>
    </row>
    <row r="181" customFormat="false" ht="15.75" hidden="false" customHeight="false" outlineLevel="0" collapsed="false">
      <c r="A181" s="12"/>
      <c r="B181" s="34"/>
      <c r="C181" s="12"/>
      <c r="D181" s="12"/>
      <c r="E181" s="12"/>
      <c r="F181" s="12"/>
      <c r="G181" s="18"/>
      <c r="H181" s="35"/>
      <c r="I181" s="12"/>
      <c r="M181" s="12"/>
      <c r="N181" s="18"/>
      <c r="O181" s="12"/>
      <c r="P181" s="12"/>
      <c r="Q181" s="12"/>
      <c r="R181" s="36"/>
      <c r="S181" s="36"/>
      <c r="T181" s="12"/>
      <c r="U181" s="12"/>
      <c r="V181" s="12"/>
      <c r="W181" s="12"/>
      <c r="X181" s="12"/>
    </row>
    <row r="182" customFormat="false" ht="15.75" hidden="false" customHeight="false" outlineLevel="0" collapsed="false">
      <c r="A182" s="12"/>
      <c r="B182" s="34"/>
      <c r="C182" s="12"/>
      <c r="D182" s="12"/>
      <c r="E182" s="12"/>
      <c r="F182" s="12"/>
      <c r="G182" s="18"/>
      <c r="H182" s="35"/>
      <c r="I182" s="12"/>
      <c r="M182" s="12"/>
      <c r="N182" s="18"/>
      <c r="O182" s="12"/>
      <c r="P182" s="12"/>
      <c r="Q182" s="12"/>
      <c r="R182" s="36"/>
      <c r="S182" s="36"/>
      <c r="T182" s="12"/>
      <c r="U182" s="12"/>
      <c r="V182" s="12"/>
      <c r="W182" s="12"/>
      <c r="X182" s="12"/>
    </row>
    <row r="183" customFormat="false" ht="15.75" hidden="false" customHeight="false" outlineLevel="0" collapsed="false">
      <c r="A183" s="12"/>
      <c r="B183" s="34"/>
      <c r="C183" s="12"/>
      <c r="D183" s="12"/>
      <c r="E183" s="12"/>
      <c r="F183" s="12"/>
      <c r="G183" s="18"/>
      <c r="H183" s="35"/>
      <c r="I183" s="12"/>
      <c r="M183" s="12"/>
      <c r="N183" s="18"/>
      <c r="O183" s="12"/>
      <c r="P183" s="12"/>
      <c r="Q183" s="12"/>
      <c r="R183" s="36"/>
      <c r="S183" s="36"/>
      <c r="T183" s="12"/>
      <c r="U183" s="12"/>
      <c r="V183" s="12"/>
      <c r="W183" s="12"/>
      <c r="X183" s="12"/>
    </row>
    <row r="184" customFormat="false" ht="15.75" hidden="false" customHeight="false" outlineLevel="0" collapsed="false">
      <c r="A184" s="12"/>
      <c r="B184" s="34"/>
      <c r="C184" s="12"/>
      <c r="D184" s="12"/>
      <c r="E184" s="12"/>
      <c r="F184" s="12"/>
      <c r="G184" s="18"/>
      <c r="H184" s="35"/>
      <c r="I184" s="12"/>
      <c r="M184" s="12"/>
      <c r="N184" s="18"/>
      <c r="O184" s="12"/>
      <c r="P184" s="12"/>
      <c r="Q184" s="12"/>
      <c r="R184" s="36"/>
      <c r="S184" s="36"/>
      <c r="T184" s="12"/>
      <c r="U184" s="12"/>
      <c r="V184" s="12"/>
      <c r="W184" s="12"/>
      <c r="X184" s="12"/>
    </row>
    <row r="185" customFormat="false" ht="15.75" hidden="false" customHeight="false" outlineLevel="0" collapsed="false">
      <c r="A185" s="12"/>
      <c r="B185" s="34"/>
      <c r="C185" s="12"/>
      <c r="D185" s="12"/>
      <c r="E185" s="12"/>
      <c r="F185" s="12"/>
      <c r="G185" s="18"/>
      <c r="H185" s="35"/>
      <c r="I185" s="12"/>
      <c r="M185" s="12"/>
      <c r="N185" s="18"/>
      <c r="O185" s="12"/>
      <c r="P185" s="12"/>
      <c r="Q185" s="12"/>
      <c r="R185" s="36"/>
      <c r="S185" s="36"/>
      <c r="T185" s="12"/>
      <c r="U185" s="12"/>
      <c r="V185" s="12"/>
      <c r="W185" s="12"/>
      <c r="X185" s="12"/>
    </row>
    <row r="186" customFormat="false" ht="15.75" hidden="false" customHeight="false" outlineLevel="0" collapsed="false">
      <c r="A186" s="12"/>
      <c r="B186" s="34"/>
      <c r="C186" s="12"/>
      <c r="D186" s="12"/>
      <c r="E186" s="12"/>
      <c r="F186" s="12"/>
      <c r="G186" s="18"/>
      <c r="H186" s="35"/>
      <c r="I186" s="12"/>
      <c r="M186" s="12"/>
      <c r="N186" s="18"/>
      <c r="O186" s="12"/>
      <c r="P186" s="12"/>
      <c r="Q186" s="12"/>
      <c r="R186" s="36"/>
      <c r="S186" s="36"/>
      <c r="T186" s="12"/>
      <c r="U186" s="12"/>
      <c r="V186" s="12"/>
      <c r="W186" s="12"/>
      <c r="X186" s="12"/>
    </row>
    <row r="187" customFormat="false" ht="15.75" hidden="false" customHeight="false" outlineLevel="0" collapsed="false">
      <c r="A187" s="12"/>
      <c r="B187" s="34"/>
      <c r="C187" s="12"/>
      <c r="D187" s="12"/>
      <c r="E187" s="12"/>
      <c r="F187" s="12"/>
      <c r="G187" s="18"/>
      <c r="H187" s="35"/>
      <c r="I187" s="12"/>
      <c r="M187" s="12"/>
      <c r="N187" s="18"/>
      <c r="O187" s="12"/>
      <c r="P187" s="12"/>
      <c r="Q187" s="12"/>
      <c r="R187" s="36"/>
      <c r="S187" s="36"/>
      <c r="T187" s="12"/>
      <c r="U187" s="12"/>
      <c r="V187" s="12"/>
      <c r="W187" s="12"/>
      <c r="X187" s="12"/>
    </row>
    <row r="188" customFormat="false" ht="15.75" hidden="false" customHeight="false" outlineLevel="0" collapsed="false">
      <c r="A188" s="12"/>
      <c r="B188" s="34"/>
      <c r="C188" s="12"/>
      <c r="D188" s="12"/>
      <c r="E188" s="12"/>
      <c r="F188" s="12"/>
      <c r="G188" s="18"/>
      <c r="H188" s="35"/>
      <c r="I188" s="12"/>
      <c r="M188" s="12"/>
      <c r="N188" s="18"/>
      <c r="O188" s="12"/>
      <c r="P188" s="12"/>
      <c r="Q188" s="12"/>
      <c r="R188" s="36"/>
      <c r="S188" s="36"/>
      <c r="T188" s="12"/>
      <c r="U188" s="12"/>
      <c r="V188" s="12"/>
      <c r="W188" s="12"/>
      <c r="X188" s="12"/>
    </row>
    <row r="189" customFormat="false" ht="15.75" hidden="false" customHeight="false" outlineLevel="0" collapsed="false">
      <c r="A189" s="12"/>
      <c r="B189" s="34"/>
      <c r="C189" s="12"/>
      <c r="D189" s="12"/>
      <c r="E189" s="12"/>
      <c r="F189" s="12"/>
      <c r="G189" s="18"/>
      <c r="H189" s="35"/>
      <c r="I189" s="12"/>
      <c r="M189" s="12"/>
      <c r="N189" s="18"/>
      <c r="O189" s="12"/>
      <c r="P189" s="12"/>
      <c r="Q189" s="12"/>
      <c r="R189" s="36"/>
      <c r="S189" s="36"/>
      <c r="T189" s="12"/>
      <c r="U189" s="12"/>
      <c r="V189" s="12"/>
      <c r="W189" s="12"/>
      <c r="X189" s="12"/>
    </row>
    <row r="190" customFormat="false" ht="15.75" hidden="false" customHeight="false" outlineLevel="0" collapsed="false">
      <c r="A190" s="12"/>
      <c r="B190" s="34"/>
      <c r="C190" s="12"/>
      <c r="D190" s="12"/>
      <c r="E190" s="12"/>
      <c r="F190" s="12"/>
      <c r="G190" s="18"/>
      <c r="H190" s="35"/>
      <c r="I190" s="12"/>
      <c r="M190" s="12"/>
      <c r="N190" s="18"/>
      <c r="O190" s="12"/>
      <c r="P190" s="12"/>
      <c r="Q190" s="12"/>
      <c r="R190" s="36"/>
      <c r="S190" s="36"/>
      <c r="T190" s="12"/>
      <c r="U190" s="12"/>
      <c r="V190" s="12"/>
      <c r="W190" s="12"/>
      <c r="X190" s="12"/>
    </row>
    <row r="191" customFormat="false" ht="15.75" hidden="false" customHeight="false" outlineLevel="0" collapsed="false">
      <c r="A191" s="12"/>
      <c r="B191" s="34"/>
      <c r="C191" s="12"/>
      <c r="D191" s="12"/>
      <c r="E191" s="12"/>
      <c r="F191" s="12"/>
      <c r="G191" s="18"/>
      <c r="H191" s="35"/>
      <c r="I191" s="12"/>
      <c r="M191" s="12"/>
      <c r="N191" s="18"/>
      <c r="O191" s="12"/>
      <c r="P191" s="12"/>
      <c r="Q191" s="12"/>
      <c r="R191" s="36"/>
      <c r="S191" s="36"/>
      <c r="T191" s="12"/>
      <c r="U191" s="12"/>
      <c r="V191" s="12"/>
      <c r="W191" s="12"/>
      <c r="X191" s="12"/>
    </row>
    <row r="192" customFormat="false" ht="15.75" hidden="false" customHeight="false" outlineLevel="0" collapsed="false">
      <c r="A192" s="12"/>
      <c r="B192" s="34"/>
      <c r="C192" s="12"/>
      <c r="D192" s="12"/>
      <c r="E192" s="12"/>
      <c r="F192" s="12"/>
      <c r="G192" s="18"/>
      <c r="H192" s="35"/>
      <c r="I192" s="12"/>
      <c r="M192" s="12"/>
      <c r="N192" s="18"/>
      <c r="O192" s="12"/>
      <c r="P192" s="12"/>
      <c r="Q192" s="12"/>
      <c r="R192" s="36"/>
      <c r="S192" s="36"/>
      <c r="T192" s="12"/>
      <c r="U192" s="12"/>
      <c r="V192" s="12"/>
      <c r="W192" s="12"/>
      <c r="X192" s="12"/>
    </row>
    <row r="193" customFormat="false" ht="15.75" hidden="false" customHeight="false" outlineLevel="0" collapsed="false">
      <c r="A193" s="12"/>
      <c r="B193" s="34"/>
      <c r="C193" s="12"/>
      <c r="D193" s="12"/>
      <c r="E193" s="12"/>
      <c r="F193" s="12"/>
      <c r="G193" s="18"/>
      <c r="H193" s="35"/>
      <c r="I193" s="12"/>
      <c r="M193" s="12"/>
      <c r="N193" s="18"/>
      <c r="O193" s="12"/>
      <c r="P193" s="12"/>
      <c r="Q193" s="12"/>
      <c r="R193" s="36"/>
      <c r="S193" s="36"/>
      <c r="T193" s="12"/>
      <c r="U193" s="12"/>
      <c r="V193" s="12"/>
      <c r="W193" s="12"/>
      <c r="X193" s="12"/>
    </row>
    <row r="194" customFormat="false" ht="15.75" hidden="false" customHeight="false" outlineLevel="0" collapsed="false">
      <c r="A194" s="12"/>
      <c r="B194" s="34"/>
      <c r="C194" s="12"/>
      <c r="D194" s="12"/>
      <c r="E194" s="12"/>
      <c r="F194" s="12"/>
      <c r="G194" s="18"/>
      <c r="H194" s="35"/>
      <c r="I194" s="12"/>
      <c r="M194" s="12"/>
      <c r="N194" s="18"/>
      <c r="O194" s="12"/>
      <c r="P194" s="12"/>
      <c r="Q194" s="12"/>
      <c r="R194" s="36"/>
      <c r="S194" s="36"/>
      <c r="T194" s="12"/>
      <c r="U194" s="12"/>
      <c r="V194" s="12"/>
      <c r="W194" s="12"/>
      <c r="X194" s="12"/>
    </row>
    <row r="195" customFormat="false" ht="15.75" hidden="false" customHeight="false" outlineLevel="0" collapsed="false">
      <c r="A195" s="12"/>
      <c r="B195" s="34"/>
      <c r="C195" s="12"/>
      <c r="D195" s="12"/>
      <c r="E195" s="12"/>
      <c r="F195" s="12"/>
      <c r="G195" s="18"/>
      <c r="H195" s="35"/>
      <c r="I195" s="12"/>
      <c r="M195" s="12"/>
      <c r="N195" s="18"/>
      <c r="O195" s="12"/>
      <c r="P195" s="12"/>
      <c r="Q195" s="12"/>
      <c r="R195" s="36"/>
      <c r="S195" s="36"/>
      <c r="T195" s="12"/>
      <c r="U195" s="12"/>
      <c r="V195" s="12"/>
      <c r="W195" s="12"/>
      <c r="X195" s="12"/>
    </row>
    <row r="196" customFormat="false" ht="15.75" hidden="false" customHeight="false" outlineLevel="0" collapsed="false">
      <c r="A196" s="12"/>
      <c r="B196" s="34"/>
      <c r="C196" s="12"/>
      <c r="D196" s="12"/>
      <c r="E196" s="12"/>
      <c r="F196" s="12"/>
      <c r="G196" s="18"/>
      <c r="H196" s="35"/>
      <c r="I196" s="12"/>
      <c r="M196" s="12"/>
      <c r="N196" s="18"/>
      <c r="O196" s="12"/>
      <c r="P196" s="12"/>
      <c r="Q196" s="12"/>
      <c r="R196" s="36"/>
      <c r="S196" s="36"/>
      <c r="T196" s="12"/>
      <c r="U196" s="12"/>
      <c r="V196" s="12"/>
      <c r="W196" s="12"/>
      <c r="X196" s="12"/>
    </row>
    <row r="197" customFormat="false" ht="15.75" hidden="false" customHeight="false" outlineLevel="0" collapsed="false">
      <c r="A197" s="12"/>
      <c r="B197" s="34"/>
      <c r="C197" s="12"/>
      <c r="D197" s="12"/>
      <c r="E197" s="12"/>
      <c r="F197" s="12"/>
      <c r="G197" s="18"/>
      <c r="H197" s="35"/>
      <c r="I197" s="12"/>
      <c r="M197" s="12"/>
      <c r="N197" s="18"/>
      <c r="O197" s="12"/>
      <c r="P197" s="12"/>
      <c r="Q197" s="12"/>
      <c r="R197" s="36"/>
      <c r="S197" s="36"/>
      <c r="T197" s="12"/>
      <c r="U197" s="12"/>
      <c r="V197" s="12"/>
      <c r="W197" s="12"/>
      <c r="X197" s="12"/>
    </row>
    <row r="198" customFormat="false" ht="15.75" hidden="false" customHeight="false" outlineLevel="0" collapsed="false">
      <c r="A198" s="12"/>
      <c r="B198" s="34"/>
      <c r="C198" s="12"/>
      <c r="D198" s="12"/>
      <c r="E198" s="12"/>
      <c r="F198" s="12"/>
      <c r="G198" s="18"/>
      <c r="H198" s="35"/>
      <c r="I198" s="12"/>
      <c r="M198" s="12"/>
      <c r="N198" s="18"/>
      <c r="O198" s="12"/>
      <c r="P198" s="12"/>
      <c r="Q198" s="12"/>
      <c r="R198" s="36"/>
      <c r="S198" s="36"/>
      <c r="T198" s="12"/>
      <c r="U198" s="12"/>
      <c r="V198" s="12"/>
      <c r="W198" s="12"/>
      <c r="X198" s="12"/>
    </row>
    <row r="199" customFormat="false" ht="15.75" hidden="false" customHeight="false" outlineLevel="0" collapsed="false">
      <c r="A199" s="12"/>
      <c r="B199" s="34"/>
      <c r="C199" s="12"/>
      <c r="D199" s="12"/>
      <c r="E199" s="12"/>
      <c r="F199" s="12"/>
      <c r="G199" s="18"/>
      <c r="H199" s="35"/>
      <c r="I199" s="12"/>
      <c r="M199" s="12"/>
      <c r="N199" s="18"/>
      <c r="O199" s="12"/>
      <c r="P199" s="12"/>
      <c r="Q199" s="12"/>
      <c r="R199" s="36"/>
      <c r="S199" s="36"/>
      <c r="T199" s="12"/>
      <c r="U199" s="12"/>
      <c r="V199" s="12"/>
      <c r="W199" s="12"/>
      <c r="X199" s="12"/>
    </row>
    <row r="200" customFormat="false" ht="15.75" hidden="false" customHeight="false" outlineLevel="0" collapsed="false">
      <c r="A200" s="12"/>
      <c r="B200" s="34"/>
      <c r="C200" s="12"/>
      <c r="D200" s="12"/>
      <c r="E200" s="12"/>
      <c r="F200" s="12"/>
      <c r="G200" s="18"/>
      <c r="H200" s="35"/>
      <c r="I200" s="12"/>
      <c r="M200" s="12"/>
      <c r="N200" s="18"/>
      <c r="O200" s="12"/>
      <c r="P200" s="12"/>
      <c r="Q200" s="12"/>
      <c r="R200" s="36"/>
      <c r="S200" s="36"/>
      <c r="T200" s="12"/>
      <c r="U200" s="12"/>
      <c r="V200" s="12"/>
      <c r="W200" s="12"/>
      <c r="X200" s="12"/>
    </row>
    <row r="201" customFormat="false" ht="15.75" hidden="false" customHeight="false" outlineLevel="0" collapsed="false">
      <c r="A201" s="12"/>
      <c r="B201" s="34"/>
      <c r="C201" s="12"/>
      <c r="D201" s="12"/>
      <c r="E201" s="12"/>
      <c r="F201" s="12"/>
      <c r="G201" s="18"/>
      <c r="H201" s="35"/>
      <c r="I201" s="12"/>
      <c r="M201" s="12"/>
      <c r="N201" s="18"/>
      <c r="O201" s="12"/>
      <c r="P201" s="12"/>
      <c r="Q201" s="12"/>
      <c r="R201" s="36"/>
      <c r="S201" s="36"/>
      <c r="T201" s="12"/>
      <c r="U201" s="12"/>
      <c r="V201" s="12"/>
      <c r="W201" s="12"/>
      <c r="X201" s="12"/>
    </row>
    <row r="202" customFormat="false" ht="15.75" hidden="false" customHeight="false" outlineLevel="0" collapsed="false">
      <c r="A202" s="12"/>
      <c r="B202" s="34"/>
      <c r="C202" s="12"/>
      <c r="D202" s="12"/>
      <c r="E202" s="12"/>
      <c r="F202" s="12"/>
      <c r="G202" s="18"/>
      <c r="H202" s="35"/>
      <c r="I202" s="12"/>
      <c r="M202" s="12"/>
      <c r="N202" s="18"/>
      <c r="O202" s="12"/>
      <c r="P202" s="12"/>
      <c r="Q202" s="12"/>
      <c r="R202" s="36"/>
      <c r="S202" s="36"/>
      <c r="T202" s="12"/>
      <c r="U202" s="12"/>
      <c r="V202" s="12"/>
      <c r="W202" s="12"/>
      <c r="X202" s="12"/>
    </row>
    <row r="203" customFormat="false" ht="15.75" hidden="false" customHeight="false" outlineLevel="0" collapsed="false">
      <c r="A203" s="12"/>
      <c r="B203" s="34"/>
      <c r="C203" s="12"/>
      <c r="D203" s="12"/>
      <c r="E203" s="12"/>
      <c r="F203" s="12"/>
      <c r="G203" s="18"/>
      <c r="H203" s="35"/>
      <c r="I203" s="12"/>
      <c r="M203" s="12"/>
      <c r="N203" s="18"/>
      <c r="O203" s="12"/>
      <c r="P203" s="12"/>
      <c r="Q203" s="12"/>
      <c r="R203" s="36"/>
      <c r="S203" s="36"/>
      <c r="T203" s="12"/>
      <c r="U203" s="12"/>
      <c r="V203" s="12"/>
      <c r="W203" s="12"/>
      <c r="X203" s="12"/>
    </row>
    <row r="204" customFormat="false" ht="15.75" hidden="false" customHeight="false" outlineLevel="0" collapsed="false">
      <c r="A204" s="12"/>
      <c r="B204" s="34"/>
      <c r="C204" s="12"/>
      <c r="D204" s="12"/>
      <c r="E204" s="12"/>
      <c r="F204" s="12"/>
      <c r="G204" s="18"/>
      <c r="H204" s="35"/>
      <c r="I204" s="12"/>
      <c r="M204" s="12"/>
      <c r="N204" s="18"/>
      <c r="O204" s="12"/>
      <c r="P204" s="12"/>
      <c r="Q204" s="12"/>
      <c r="R204" s="36"/>
      <c r="S204" s="36"/>
      <c r="T204" s="12"/>
      <c r="U204" s="12"/>
      <c r="V204" s="12"/>
      <c r="W204" s="12"/>
      <c r="X204" s="12"/>
    </row>
    <row r="205" customFormat="false" ht="15.75" hidden="false" customHeight="false" outlineLevel="0" collapsed="false">
      <c r="A205" s="12"/>
      <c r="B205" s="34"/>
      <c r="C205" s="12"/>
      <c r="D205" s="12"/>
      <c r="E205" s="12"/>
      <c r="F205" s="12"/>
      <c r="G205" s="18"/>
      <c r="H205" s="35"/>
      <c r="I205" s="12"/>
      <c r="M205" s="12"/>
      <c r="N205" s="18"/>
      <c r="O205" s="12"/>
      <c r="P205" s="12"/>
      <c r="Q205" s="12"/>
      <c r="R205" s="36"/>
      <c r="S205" s="36"/>
      <c r="T205" s="12"/>
      <c r="U205" s="12"/>
      <c r="V205" s="12"/>
      <c r="W205" s="12"/>
      <c r="X205" s="12"/>
    </row>
    <row r="206" customFormat="false" ht="15.75" hidden="false" customHeight="false" outlineLevel="0" collapsed="false">
      <c r="A206" s="12"/>
      <c r="B206" s="34"/>
      <c r="C206" s="12"/>
      <c r="D206" s="12"/>
      <c r="E206" s="12"/>
      <c r="F206" s="12"/>
      <c r="G206" s="18"/>
      <c r="H206" s="35"/>
      <c r="I206" s="12"/>
      <c r="M206" s="12"/>
      <c r="N206" s="18"/>
      <c r="O206" s="12"/>
      <c r="P206" s="12"/>
      <c r="Q206" s="12"/>
      <c r="R206" s="36"/>
      <c r="S206" s="36"/>
      <c r="T206" s="12"/>
      <c r="U206" s="12"/>
      <c r="V206" s="12"/>
      <c r="W206" s="12"/>
      <c r="X206" s="12"/>
    </row>
    <row r="207" customFormat="false" ht="15.75" hidden="false" customHeight="false" outlineLevel="0" collapsed="false">
      <c r="A207" s="12"/>
      <c r="B207" s="34"/>
      <c r="C207" s="12"/>
      <c r="D207" s="12"/>
      <c r="E207" s="12"/>
      <c r="F207" s="12"/>
      <c r="G207" s="18"/>
      <c r="H207" s="35"/>
      <c r="I207" s="12"/>
      <c r="M207" s="12"/>
      <c r="N207" s="18"/>
      <c r="O207" s="12"/>
      <c r="P207" s="12"/>
      <c r="Q207" s="12"/>
      <c r="R207" s="36"/>
      <c r="S207" s="36"/>
      <c r="T207" s="12"/>
      <c r="U207" s="12"/>
      <c r="V207" s="12"/>
      <c r="W207" s="12"/>
      <c r="X207" s="12"/>
    </row>
    <row r="208" customFormat="false" ht="15.75" hidden="false" customHeight="false" outlineLevel="0" collapsed="false">
      <c r="A208" s="12"/>
      <c r="B208" s="34"/>
      <c r="C208" s="12"/>
      <c r="D208" s="12"/>
      <c r="E208" s="12"/>
      <c r="F208" s="12"/>
      <c r="G208" s="18"/>
      <c r="H208" s="35"/>
      <c r="I208" s="12"/>
      <c r="M208" s="12"/>
      <c r="N208" s="18"/>
      <c r="O208" s="12"/>
      <c r="P208" s="12"/>
      <c r="Q208" s="12"/>
      <c r="R208" s="36"/>
      <c r="S208" s="36"/>
      <c r="T208" s="12"/>
      <c r="U208" s="12"/>
      <c r="V208" s="12"/>
      <c r="W208" s="12"/>
      <c r="X208" s="12"/>
    </row>
    <row r="209" customFormat="false" ht="15.75" hidden="false" customHeight="false" outlineLevel="0" collapsed="false">
      <c r="A209" s="12"/>
      <c r="B209" s="34"/>
      <c r="C209" s="12"/>
      <c r="D209" s="12"/>
      <c r="E209" s="12"/>
      <c r="F209" s="12"/>
      <c r="G209" s="18"/>
      <c r="H209" s="35"/>
      <c r="I209" s="12"/>
      <c r="M209" s="12"/>
      <c r="N209" s="18"/>
      <c r="O209" s="12"/>
      <c r="P209" s="12"/>
      <c r="Q209" s="12"/>
      <c r="R209" s="36"/>
      <c r="S209" s="36"/>
      <c r="T209" s="12"/>
      <c r="U209" s="12"/>
      <c r="V209" s="12"/>
      <c r="W209" s="12"/>
      <c r="X209" s="12"/>
    </row>
    <row r="210" customFormat="false" ht="15.75" hidden="false" customHeight="false" outlineLevel="0" collapsed="false">
      <c r="A210" s="12"/>
      <c r="B210" s="34"/>
      <c r="C210" s="12"/>
      <c r="D210" s="12"/>
      <c r="E210" s="12"/>
      <c r="F210" s="12"/>
      <c r="G210" s="18"/>
      <c r="H210" s="35"/>
      <c r="I210" s="12"/>
      <c r="M210" s="12"/>
      <c r="N210" s="18"/>
      <c r="O210" s="12"/>
      <c r="P210" s="12"/>
      <c r="Q210" s="12"/>
      <c r="R210" s="36"/>
      <c r="S210" s="36"/>
      <c r="T210" s="12"/>
      <c r="U210" s="12"/>
      <c r="V210" s="12"/>
      <c r="W210" s="12"/>
      <c r="X210" s="12"/>
    </row>
    <row r="211" customFormat="false" ht="15.75" hidden="false" customHeight="false" outlineLevel="0" collapsed="false">
      <c r="A211" s="12"/>
      <c r="B211" s="34"/>
      <c r="C211" s="12"/>
      <c r="D211" s="12"/>
      <c r="E211" s="12"/>
      <c r="F211" s="12"/>
      <c r="G211" s="18"/>
      <c r="H211" s="35"/>
      <c r="I211" s="12"/>
      <c r="M211" s="12"/>
      <c r="N211" s="18"/>
      <c r="O211" s="12"/>
      <c r="P211" s="12"/>
      <c r="Q211" s="12"/>
      <c r="R211" s="36"/>
      <c r="S211" s="36"/>
      <c r="T211" s="12"/>
      <c r="U211" s="12"/>
      <c r="V211" s="12"/>
      <c r="W211" s="12"/>
      <c r="X211" s="12"/>
    </row>
    <row r="212" customFormat="false" ht="15.75" hidden="false" customHeight="false" outlineLevel="0" collapsed="false">
      <c r="A212" s="12"/>
      <c r="B212" s="34"/>
      <c r="C212" s="12"/>
      <c r="D212" s="12"/>
      <c r="E212" s="12"/>
      <c r="F212" s="12"/>
      <c r="G212" s="18"/>
      <c r="H212" s="35"/>
      <c r="I212" s="12"/>
      <c r="M212" s="12"/>
      <c r="N212" s="18"/>
      <c r="O212" s="12"/>
      <c r="P212" s="12"/>
      <c r="Q212" s="12"/>
      <c r="R212" s="36"/>
      <c r="S212" s="36"/>
      <c r="T212" s="12"/>
      <c r="U212" s="12"/>
      <c r="V212" s="12"/>
      <c r="W212" s="12"/>
      <c r="X212" s="12"/>
    </row>
    <row r="213" customFormat="false" ht="15.75" hidden="false" customHeight="false" outlineLevel="0" collapsed="false">
      <c r="A213" s="12"/>
      <c r="B213" s="34"/>
      <c r="C213" s="12"/>
      <c r="D213" s="12"/>
      <c r="E213" s="12"/>
      <c r="F213" s="12"/>
      <c r="G213" s="18"/>
      <c r="H213" s="35"/>
      <c r="I213" s="12"/>
      <c r="M213" s="12"/>
      <c r="N213" s="18"/>
      <c r="O213" s="12"/>
      <c r="P213" s="12"/>
      <c r="Q213" s="12"/>
      <c r="R213" s="36"/>
      <c r="S213" s="36"/>
      <c r="T213" s="12"/>
      <c r="U213" s="12"/>
      <c r="V213" s="12"/>
      <c r="W213" s="12"/>
      <c r="X213" s="12"/>
    </row>
    <row r="214" customFormat="false" ht="15.75" hidden="false" customHeight="false" outlineLevel="0" collapsed="false">
      <c r="A214" s="12"/>
      <c r="B214" s="34"/>
      <c r="C214" s="12"/>
      <c r="D214" s="12"/>
      <c r="E214" s="12"/>
      <c r="F214" s="12"/>
      <c r="G214" s="18"/>
      <c r="H214" s="35"/>
      <c r="I214" s="12"/>
      <c r="M214" s="12"/>
      <c r="N214" s="18"/>
      <c r="O214" s="12"/>
      <c r="P214" s="12"/>
      <c r="Q214" s="12"/>
      <c r="R214" s="36"/>
      <c r="S214" s="36"/>
      <c r="T214" s="12"/>
      <c r="U214" s="12"/>
      <c r="V214" s="12"/>
      <c r="W214" s="12"/>
      <c r="X214" s="12"/>
    </row>
    <row r="215" customFormat="false" ht="15.75" hidden="false" customHeight="false" outlineLevel="0" collapsed="false">
      <c r="A215" s="12"/>
      <c r="B215" s="34"/>
      <c r="C215" s="12"/>
      <c r="D215" s="12"/>
      <c r="E215" s="12"/>
      <c r="F215" s="12"/>
      <c r="G215" s="18"/>
      <c r="H215" s="35"/>
      <c r="I215" s="12"/>
      <c r="M215" s="12"/>
      <c r="N215" s="18"/>
      <c r="O215" s="12"/>
      <c r="P215" s="12"/>
      <c r="Q215" s="12"/>
      <c r="R215" s="36"/>
      <c r="S215" s="36"/>
      <c r="T215" s="12"/>
      <c r="U215" s="12"/>
      <c r="V215" s="12"/>
      <c r="W215" s="12"/>
      <c r="X215" s="12"/>
    </row>
    <row r="216" customFormat="false" ht="15.75" hidden="false" customHeight="false" outlineLevel="0" collapsed="false">
      <c r="A216" s="12"/>
      <c r="B216" s="34"/>
      <c r="C216" s="12"/>
      <c r="D216" s="12"/>
      <c r="E216" s="12"/>
      <c r="F216" s="12"/>
      <c r="G216" s="18"/>
      <c r="H216" s="35"/>
      <c r="I216" s="12"/>
      <c r="M216" s="12"/>
      <c r="N216" s="18"/>
      <c r="O216" s="12"/>
      <c r="P216" s="12"/>
      <c r="Q216" s="12"/>
      <c r="R216" s="36"/>
      <c r="S216" s="36"/>
      <c r="T216" s="12"/>
      <c r="U216" s="12"/>
      <c r="V216" s="12"/>
      <c r="W216" s="12"/>
      <c r="X216" s="12"/>
    </row>
    <row r="217" customFormat="false" ht="15.75" hidden="false" customHeight="false" outlineLevel="0" collapsed="false">
      <c r="A217" s="12"/>
      <c r="B217" s="34"/>
      <c r="C217" s="12"/>
      <c r="D217" s="12"/>
      <c r="E217" s="12"/>
      <c r="F217" s="12"/>
      <c r="G217" s="18"/>
      <c r="H217" s="35"/>
      <c r="I217" s="12"/>
      <c r="M217" s="12"/>
      <c r="N217" s="18"/>
      <c r="O217" s="12"/>
      <c r="P217" s="12"/>
      <c r="Q217" s="12"/>
      <c r="R217" s="36"/>
      <c r="S217" s="36"/>
      <c r="T217" s="12"/>
      <c r="U217" s="12"/>
      <c r="V217" s="12"/>
      <c r="W217" s="12"/>
      <c r="X217" s="12"/>
    </row>
    <row r="218" customFormat="false" ht="15.75" hidden="false" customHeight="false" outlineLevel="0" collapsed="false">
      <c r="A218" s="12"/>
      <c r="B218" s="34"/>
      <c r="C218" s="12"/>
      <c r="D218" s="12"/>
      <c r="E218" s="12"/>
      <c r="F218" s="12"/>
      <c r="G218" s="18"/>
      <c r="H218" s="35"/>
      <c r="I218" s="12"/>
      <c r="M218" s="12"/>
      <c r="N218" s="18"/>
      <c r="O218" s="12"/>
      <c r="P218" s="12"/>
      <c r="Q218" s="12"/>
      <c r="R218" s="36"/>
      <c r="S218" s="36"/>
      <c r="T218" s="12"/>
      <c r="U218" s="12"/>
      <c r="V218" s="12"/>
      <c r="W218" s="12"/>
      <c r="X218" s="12"/>
    </row>
    <row r="219" customFormat="false" ht="15.75" hidden="false" customHeight="false" outlineLevel="0" collapsed="false">
      <c r="A219" s="12"/>
      <c r="B219" s="34"/>
      <c r="C219" s="12"/>
      <c r="D219" s="12"/>
      <c r="E219" s="12"/>
      <c r="F219" s="12"/>
      <c r="G219" s="18"/>
      <c r="H219" s="35"/>
      <c r="I219" s="12"/>
      <c r="M219" s="12"/>
      <c r="N219" s="18"/>
      <c r="O219" s="12"/>
      <c r="P219" s="12"/>
      <c r="Q219" s="12"/>
      <c r="R219" s="36"/>
      <c r="S219" s="36"/>
      <c r="T219" s="12"/>
      <c r="U219" s="12"/>
      <c r="V219" s="12"/>
      <c r="W219" s="12"/>
      <c r="X219" s="12"/>
    </row>
    <row r="220" customFormat="false" ht="15.75" hidden="false" customHeight="false" outlineLevel="0" collapsed="false">
      <c r="A220" s="12"/>
      <c r="B220" s="34"/>
      <c r="C220" s="12"/>
      <c r="D220" s="12"/>
      <c r="E220" s="12"/>
      <c r="F220" s="12"/>
      <c r="G220" s="18"/>
      <c r="H220" s="35"/>
      <c r="I220" s="12"/>
      <c r="M220" s="12"/>
      <c r="N220" s="18"/>
      <c r="O220" s="12"/>
      <c r="P220" s="12"/>
      <c r="Q220" s="12"/>
      <c r="R220" s="36"/>
      <c r="S220" s="36"/>
      <c r="T220" s="12"/>
      <c r="U220" s="12"/>
      <c r="V220" s="12"/>
      <c r="W220" s="12"/>
      <c r="X220" s="12"/>
    </row>
    <row r="221" customFormat="false" ht="15.75" hidden="false" customHeight="false" outlineLevel="0" collapsed="false">
      <c r="A221" s="12"/>
      <c r="B221" s="34"/>
      <c r="C221" s="12"/>
      <c r="D221" s="12"/>
      <c r="E221" s="12"/>
      <c r="F221" s="12"/>
      <c r="G221" s="18"/>
      <c r="H221" s="35"/>
      <c r="I221" s="12"/>
      <c r="M221" s="12"/>
      <c r="N221" s="18"/>
      <c r="O221" s="12"/>
      <c r="P221" s="12"/>
      <c r="Q221" s="12"/>
      <c r="R221" s="36"/>
      <c r="S221" s="36"/>
      <c r="T221" s="12"/>
      <c r="U221" s="12"/>
      <c r="V221" s="12"/>
      <c r="W221" s="12"/>
      <c r="X221" s="12"/>
    </row>
    <row r="222" customFormat="false" ht="15.75" hidden="false" customHeight="false" outlineLevel="0" collapsed="false">
      <c r="A222" s="12"/>
      <c r="B222" s="34"/>
      <c r="C222" s="12"/>
      <c r="D222" s="12"/>
      <c r="E222" s="12"/>
      <c r="F222" s="12"/>
      <c r="G222" s="18"/>
      <c r="H222" s="35"/>
      <c r="I222" s="12"/>
      <c r="M222" s="12"/>
      <c r="N222" s="18"/>
      <c r="O222" s="12"/>
      <c r="P222" s="12"/>
      <c r="Q222" s="12"/>
      <c r="R222" s="36"/>
      <c r="S222" s="36"/>
      <c r="T222" s="12"/>
      <c r="U222" s="12"/>
      <c r="V222" s="12"/>
      <c r="W222" s="12"/>
      <c r="X222" s="12"/>
    </row>
    <row r="223" customFormat="false" ht="15.75" hidden="false" customHeight="false" outlineLevel="0" collapsed="false">
      <c r="A223" s="12"/>
      <c r="B223" s="34"/>
      <c r="C223" s="12"/>
      <c r="D223" s="12"/>
      <c r="E223" s="12"/>
      <c r="F223" s="12"/>
      <c r="G223" s="18"/>
      <c r="H223" s="35"/>
      <c r="I223" s="12"/>
      <c r="M223" s="12"/>
      <c r="N223" s="18"/>
      <c r="O223" s="12"/>
      <c r="P223" s="12"/>
      <c r="Q223" s="12"/>
      <c r="R223" s="36"/>
      <c r="S223" s="36"/>
      <c r="T223" s="12"/>
      <c r="U223" s="12"/>
      <c r="V223" s="12"/>
      <c r="W223" s="12"/>
      <c r="X223" s="12"/>
    </row>
    <row r="224" customFormat="false" ht="15.75" hidden="false" customHeight="false" outlineLevel="0" collapsed="false">
      <c r="A224" s="12"/>
      <c r="B224" s="34"/>
      <c r="C224" s="12"/>
      <c r="D224" s="12"/>
      <c r="E224" s="12"/>
      <c r="F224" s="12"/>
      <c r="G224" s="18"/>
      <c r="H224" s="35"/>
      <c r="I224" s="12"/>
      <c r="M224" s="12"/>
      <c r="N224" s="18"/>
      <c r="O224" s="12"/>
      <c r="P224" s="12"/>
      <c r="Q224" s="12"/>
      <c r="R224" s="36"/>
      <c r="S224" s="36"/>
      <c r="T224" s="12"/>
      <c r="U224" s="12"/>
      <c r="V224" s="12"/>
      <c r="W224" s="12"/>
      <c r="X224" s="12"/>
    </row>
    <row r="225" customFormat="false" ht="15.75" hidden="false" customHeight="false" outlineLevel="0" collapsed="false">
      <c r="A225" s="12"/>
      <c r="B225" s="34"/>
      <c r="C225" s="12"/>
      <c r="D225" s="12"/>
      <c r="E225" s="12"/>
      <c r="F225" s="12"/>
      <c r="G225" s="18"/>
      <c r="H225" s="35"/>
      <c r="I225" s="12"/>
      <c r="M225" s="12"/>
      <c r="N225" s="18"/>
      <c r="O225" s="12"/>
      <c r="P225" s="12"/>
      <c r="Q225" s="12"/>
      <c r="R225" s="36"/>
      <c r="S225" s="36"/>
      <c r="T225" s="12"/>
      <c r="U225" s="12"/>
      <c r="V225" s="12"/>
      <c r="W225" s="12"/>
      <c r="X225" s="12"/>
    </row>
    <row r="226" customFormat="false" ht="15.75" hidden="false" customHeight="false" outlineLevel="0" collapsed="false">
      <c r="A226" s="12"/>
      <c r="B226" s="34"/>
      <c r="C226" s="12"/>
      <c r="D226" s="12"/>
      <c r="E226" s="12"/>
      <c r="F226" s="12"/>
      <c r="G226" s="18"/>
      <c r="H226" s="35"/>
      <c r="I226" s="12"/>
      <c r="M226" s="12"/>
      <c r="N226" s="18"/>
      <c r="O226" s="12"/>
      <c r="P226" s="12"/>
      <c r="Q226" s="12"/>
      <c r="R226" s="36"/>
      <c r="S226" s="36"/>
      <c r="T226" s="12"/>
      <c r="U226" s="12"/>
      <c r="V226" s="12"/>
      <c r="W226" s="12"/>
      <c r="X226" s="12"/>
    </row>
    <row r="227" customFormat="false" ht="15.75" hidden="false" customHeight="false" outlineLevel="0" collapsed="false">
      <c r="A227" s="12"/>
      <c r="B227" s="34"/>
      <c r="C227" s="12"/>
      <c r="D227" s="12"/>
      <c r="E227" s="12"/>
      <c r="F227" s="12"/>
      <c r="G227" s="18"/>
      <c r="H227" s="35"/>
      <c r="I227" s="12"/>
      <c r="M227" s="12"/>
      <c r="N227" s="18"/>
      <c r="O227" s="12"/>
      <c r="P227" s="12"/>
      <c r="Q227" s="12"/>
      <c r="R227" s="36"/>
      <c r="S227" s="36"/>
      <c r="T227" s="12"/>
      <c r="U227" s="12"/>
      <c r="V227" s="12"/>
      <c r="W227" s="12"/>
      <c r="X227" s="12"/>
    </row>
    <row r="228" customFormat="false" ht="15.75" hidden="false" customHeight="false" outlineLevel="0" collapsed="false">
      <c r="A228" s="12"/>
      <c r="B228" s="34"/>
      <c r="C228" s="12"/>
      <c r="D228" s="12"/>
      <c r="E228" s="12"/>
      <c r="F228" s="12"/>
      <c r="G228" s="18"/>
      <c r="H228" s="35"/>
      <c r="I228" s="12"/>
      <c r="M228" s="12"/>
      <c r="N228" s="18"/>
      <c r="O228" s="12"/>
      <c r="P228" s="12"/>
      <c r="Q228" s="12"/>
      <c r="R228" s="36"/>
      <c r="S228" s="36"/>
      <c r="T228" s="12"/>
      <c r="U228" s="12"/>
      <c r="V228" s="12"/>
      <c r="W228" s="12"/>
      <c r="X228" s="12"/>
    </row>
    <row r="229" customFormat="false" ht="15.75" hidden="false" customHeight="false" outlineLevel="0" collapsed="false">
      <c r="A229" s="12"/>
      <c r="B229" s="34"/>
      <c r="C229" s="12"/>
      <c r="D229" s="12"/>
      <c r="E229" s="12"/>
      <c r="F229" s="12"/>
      <c r="G229" s="18"/>
      <c r="H229" s="35"/>
      <c r="I229" s="12"/>
      <c r="M229" s="12"/>
      <c r="N229" s="18"/>
      <c r="O229" s="12"/>
      <c r="P229" s="12"/>
      <c r="Q229" s="12"/>
      <c r="R229" s="36"/>
      <c r="S229" s="36"/>
      <c r="T229" s="12"/>
      <c r="U229" s="12"/>
      <c r="V229" s="12"/>
      <c r="W229" s="12"/>
      <c r="X229" s="12"/>
    </row>
    <row r="230" customFormat="false" ht="15.75" hidden="false" customHeight="false" outlineLevel="0" collapsed="false">
      <c r="A230" s="12"/>
      <c r="B230" s="34"/>
      <c r="C230" s="12"/>
      <c r="D230" s="12"/>
      <c r="E230" s="12"/>
      <c r="F230" s="12"/>
      <c r="G230" s="18"/>
      <c r="H230" s="35"/>
      <c r="I230" s="12"/>
      <c r="M230" s="12"/>
      <c r="N230" s="18"/>
      <c r="O230" s="12"/>
      <c r="P230" s="12"/>
      <c r="Q230" s="12"/>
      <c r="R230" s="36"/>
      <c r="S230" s="36"/>
      <c r="T230" s="12"/>
      <c r="U230" s="12"/>
      <c r="V230" s="12"/>
      <c r="W230" s="12"/>
      <c r="X230" s="12"/>
    </row>
    <row r="231" customFormat="false" ht="15.75" hidden="false" customHeight="false" outlineLevel="0" collapsed="false">
      <c r="A231" s="12"/>
      <c r="B231" s="34"/>
      <c r="C231" s="12"/>
      <c r="D231" s="12"/>
      <c r="E231" s="12"/>
      <c r="F231" s="12"/>
      <c r="G231" s="18"/>
      <c r="H231" s="35"/>
      <c r="I231" s="12"/>
      <c r="M231" s="12"/>
      <c r="N231" s="18"/>
      <c r="O231" s="12"/>
      <c r="P231" s="12"/>
      <c r="Q231" s="12"/>
      <c r="R231" s="36"/>
      <c r="S231" s="36"/>
      <c r="T231" s="12"/>
      <c r="U231" s="12"/>
      <c r="V231" s="12"/>
      <c r="W231" s="12"/>
      <c r="X231" s="12"/>
    </row>
    <row r="232" customFormat="false" ht="15.75" hidden="false" customHeight="false" outlineLevel="0" collapsed="false">
      <c r="A232" s="12"/>
      <c r="B232" s="34"/>
      <c r="C232" s="12"/>
      <c r="D232" s="12"/>
      <c r="E232" s="12"/>
      <c r="F232" s="12"/>
      <c r="G232" s="18"/>
      <c r="H232" s="35"/>
      <c r="I232" s="12"/>
      <c r="M232" s="12"/>
      <c r="N232" s="18"/>
      <c r="O232" s="12"/>
      <c r="P232" s="12"/>
      <c r="Q232" s="12"/>
      <c r="R232" s="36"/>
      <c r="S232" s="36"/>
      <c r="T232" s="12"/>
      <c r="U232" s="12"/>
      <c r="V232" s="12"/>
      <c r="W232" s="12"/>
      <c r="X232" s="12"/>
    </row>
    <row r="233" customFormat="false" ht="15.75" hidden="false" customHeight="false" outlineLevel="0" collapsed="false">
      <c r="A233" s="12"/>
      <c r="B233" s="34"/>
      <c r="C233" s="12"/>
      <c r="D233" s="12"/>
      <c r="E233" s="12"/>
      <c r="F233" s="12"/>
      <c r="G233" s="18"/>
      <c r="H233" s="35"/>
      <c r="I233" s="12"/>
      <c r="M233" s="12"/>
      <c r="N233" s="18"/>
      <c r="O233" s="12"/>
      <c r="P233" s="12"/>
      <c r="Q233" s="12"/>
      <c r="R233" s="36"/>
      <c r="S233" s="36"/>
      <c r="T233" s="12"/>
      <c r="U233" s="12"/>
      <c r="V233" s="12"/>
      <c r="W233" s="12"/>
      <c r="X233" s="12"/>
    </row>
    <row r="234" customFormat="false" ht="15.75" hidden="false" customHeight="false" outlineLevel="0" collapsed="false">
      <c r="A234" s="12"/>
      <c r="B234" s="34"/>
      <c r="C234" s="12"/>
      <c r="D234" s="12"/>
      <c r="E234" s="12"/>
      <c r="F234" s="12"/>
      <c r="G234" s="18"/>
      <c r="H234" s="35"/>
      <c r="I234" s="12"/>
      <c r="M234" s="12"/>
      <c r="N234" s="18"/>
      <c r="O234" s="12"/>
      <c r="P234" s="12"/>
      <c r="Q234" s="12"/>
      <c r="R234" s="36"/>
      <c r="S234" s="36"/>
      <c r="T234" s="12"/>
      <c r="U234" s="12"/>
      <c r="V234" s="12"/>
      <c r="W234" s="12"/>
      <c r="X234" s="12"/>
    </row>
    <row r="235" customFormat="false" ht="15.75" hidden="false" customHeight="false" outlineLevel="0" collapsed="false">
      <c r="A235" s="12"/>
      <c r="B235" s="34"/>
      <c r="C235" s="12"/>
      <c r="D235" s="12"/>
      <c r="E235" s="12"/>
      <c r="F235" s="12"/>
      <c r="G235" s="18"/>
      <c r="H235" s="35"/>
      <c r="I235" s="12"/>
      <c r="M235" s="12"/>
      <c r="N235" s="18"/>
      <c r="O235" s="12"/>
      <c r="P235" s="12"/>
      <c r="Q235" s="12"/>
      <c r="R235" s="36"/>
      <c r="S235" s="36"/>
      <c r="T235" s="12"/>
      <c r="U235" s="12"/>
      <c r="V235" s="12"/>
      <c r="W235" s="12"/>
      <c r="X235" s="12"/>
    </row>
    <row r="236" customFormat="false" ht="15.75" hidden="false" customHeight="false" outlineLevel="0" collapsed="false">
      <c r="A236" s="12"/>
      <c r="B236" s="34"/>
      <c r="C236" s="12"/>
      <c r="D236" s="12"/>
      <c r="E236" s="12"/>
      <c r="F236" s="12"/>
      <c r="G236" s="18"/>
      <c r="H236" s="35"/>
      <c r="I236" s="12"/>
      <c r="M236" s="12"/>
      <c r="N236" s="18"/>
      <c r="O236" s="12"/>
      <c r="P236" s="12"/>
      <c r="Q236" s="12"/>
      <c r="R236" s="36"/>
      <c r="S236" s="36"/>
      <c r="T236" s="12"/>
      <c r="U236" s="12"/>
      <c r="V236" s="12"/>
      <c r="W236" s="12"/>
      <c r="X236" s="12"/>
    </row>
    <row r="237" customFormat="false" ht="15.75" hidden="false" customHeight="false" outlineLevel="0" collapsed="false">
      <c r="A237" s="12"/>
      <c r="B237" s="34"/>
      <c r="C237" s="12"/>
      <c r="D237" s="12"/>
      <c r="E237" s="12"/>
      <c r="F237" s="12"/>
      <c r="G237" s="18"/>
      <c r="H237" s="35"/>
      <c r="I237" s="12"/>
      <c r="M237" s="12"/>
      <c r="N237" s="18"/>
      <c r="O237" s="12"/>
      <c r="P237" s="12"/>
      <c r="Q237" s="12"/>
      <c r="R237" s="36"/>
      <c r="S237" s="36"/>
      <c r="T237" s="12"/>
      <c r="U237" s="12"/>
      <c r="V237" s="12"/>
      <c r="W237" s="12"/>
      <c r="X237" s="12"/>
    </row>
    <row r="238" customFormat="false" ht="15.75" hidden="false" customHeight="false" outlineLevel="0" collapsed="false">
      <c r="A238" s="12"/>
      <c r="B238" s="34"/>
      <c r="C238" s="12"/>
      <c r="D238" s="12"/>
      <c r="E238" s="12"/>
      <c r="F238" s="12"/>
      <c r="G238" s="18"/>
      <c r="H238" s="35"/>
      <c r="I238" s="12"/>
      <c r="M238" s="12"/>
      <c r="N238" s="18"/>
      <c r="O238" s="12"/>
      <c r="P238" s="12"/>
      <c r="Q238" s="12"/>
      <c r="R238" s="36"/>
      <c r="S238" s="36"/>
      <c r="T238" s="12"/>
      <c r="U238" s="12"/>
      <c r="V238" s="12"/>
      <c r="W238" s="12"/>
      <c r="X238" s="12"/>
    </row>
    <row r="239" customFormat="false" ht="15.75" hidden="false" customHeight="false" outlineLevel="0" collapsed="false">
      <c r="A239" s="12"/>
      <c r="B239" s="34"/>
      <c r="C239" s="12"/>
      <c r="D239" s="12"/>
      <c r="E239" s="12"/>
      <c r="F239" s="12"/>
      <c r="G239" s="18"/>
      <c r="H239" s="35"/>
      <c r="I239" s="12"/>
      <c r="M239" s="12"/>
      <c r="N239" s="18"/>
      <c r="O239" s="12"/>
      <c r="P239" s="12"/>
      <c r="Q239" s="12"/>
      <c r="R239" s="36"/>
      <c r="S239" s="36"/>
      <c r="T239" s="12"/>
      <c r="U239" s="12"/>
      <c r="V239" s="12"/>
      <c r="W239" s="12"/>
      <c r="X239" s="12"/>
    </row>
    <row r="240" customFormat="false" ht="15.75" hidden="false" customHeight="false" outlineLevel="0" collapsed="false">
      <c r="A240" s="12"/>
      <c r="B240" s="34"/>
      <c r="C240" s="12"/>
      <c r="D240" s="12"/>
      <c r="E240" s="12"/>
      <c r="F240" s="12"/>
      <c r="G240" s="18"/>
      <c r="H240" s="35"/>
      <c r="I240" s="12"/>
      <c r="M240" s="12"/>
      <c r="N240" s="18"/>
      <c r="O240" s="12"/>
      <c r="P240" s="12"/>
      <c r="Q240" s="12"/>
      <c r="R240" s="36"/>
      <c r="S240" s="36"/>
      <c r="T240" s="12"/>
      <c r="U240" s="12"/>
      <c r="V240" s="12"/>
      <c r="W240" s="12"/>
      <c r="X240" s="12"/>
    </row>
    <row r="241" customFormat="false" ht="15.75" hidden="false" customHeight="false" outlineLevel="0" collapsed="false">
      <c r="A241" s="12"/>
      <c r="B241" s="34"/>
      <c r="C241" s="12"/>
      <c r="D241" s="12"/>
      <c r="E241" s="12"/>
      <c r="F241" s="12"/>
      <c r="G241" s="18"/>
      <c r="H241" s="35"/>
      <c r="I241" s="12"/>
      <c r="M241" s="12"/>
      <c r="N241" s="18"/>
      <c r="O241" s="12"/>
      <c r="P241" s="12"/>
      <c r="Q241" s="12"/>
      <c r="R241" s="36"/>
      <c r="S241" s="36"/>
      <c r="T241" s="12"/>
      <c r="U241" s="12"/>
      <c r="V241" s="12"/>
      <c r="W241" s="12"/>
      <c r="X241" s="12"/>
    </row>
    <row r="242" customFormat="false" ht="15.75" hidden="false" customHeight="false" outlineLevel="0" collapsed="false">
      <c r="A242" s="12"/>
      <c r="B242" s="34"/>
      <c r="C242" s="12"/>
      <c r="D242" s="12"/>
      <c r="E242" s="12"/>
      <c r="F242" s="12"/>
      <c r="G242" s="18"/>
      <c r="H242" s="35"/>
      <c r="I242" s="12"/>
      <c r="M242" s="12"/>
      <c r="N242" s="18"/>
      <c r="O242" s="12"/>
      <c r="P242" s="12"/>
      <c r="Q242" s="12"/>
      <c r="R242" s="36"/>
      <c r="S242" s="36"/>
      <c r="T242" s="12"/>
      <c r="U242" s="12"/>
      <c r="V242" s="12"/>
      <c r="W242" s="12"/>
      <c r="X242" s="12"/>
    </row>
    <row r="243" customFormat="false" ht="15.75" hidden="false" customHeight="false" outlineLevel="0" collapsed="false">
      <c r="A243" s="12"/>
      <c r="B243" s="34"/>
      <c r="C243" s="12"/>
      <c r="D243" s="12"/>
      <c r="E243" s="12"/>
      <c r="F243" s="12"/>
      <c r="G243" s="18"/>
      <c r="H243" s="35"/>
      <c r="I243" s="12"/>
      <c r="M243" s="12"/>
      <c r="N243" s="18"/>
      <c r="O243" s="12"/>
      <c r="P243" s="12"/>
      <c r="Q243" s="12"/>
      <c r="R243" s="36"/>
      <c r="S243" s="36"/>
      <c r="T243" s="12"/>
      <c r="U243" s="12"/>
      <c r="V243" s="12"/>
      <c r="W243" s="12"/>
      <c r="X243" s="12"/>
    </row>
    <row r="244" customFormat="false" ht="15.75" hidden="false" customHeight="false" outlineLevel="0" collapsed="false">
      <c r="A244" s="12"/>
      <c r="B244" s="34"/>
      <c r="C244" s="12"/>
      <c r="D244" s="12"/>
      <c r="E244" s="12"/>
      <c r="F244" s="12"/>
      <c r="G244" s="18"/>
      <c r="H244" s="35"/>
      <c r="I244" s="12"/>
      <c r="M244" s="12"/>
      <c r="N244" s="18"/>
      <c r="O244" s="12"/>
      <c r="P244" s="12"/>
      <c r="Q244" s="12"/>
      <c r="R244" s="36"/>
      <c r="S244" s="36"/>
      <c r="T244" s="12"/>
      <c r="U244" s="12"/>
      <c r="V244" s="12"/>
      <c r="W244" s="12"/>
      <c r="X244" s="12"/>
    </row>
    <row r="245" customFormat="false" ht="15.75" hidden="false" customHeight="false" outlineLevel="0" collapsed="false">
      <c r="A245" s="12"/>
      <c r="B245" s="34"/>
      <c r="C245" s="12"/>
      <c r="D245" s="12"/>
      <c r="E245" s="12"/>
      <c r="F245" s="12"/>
      <c r="G245" s="18"/>
      <c r="H245" s="35"/>
      <c r="I245" s="12"/>
      <c r="M245" s="12"/>
      <c r="N245" s="18"/>
      <c r="O245" s="12"/>
      <c r="P245" s="12"/>
      <c r="Q245" s="12"/>
      <c r="R245" s="36"/>
      <c r="S245" s="36"/>
      <c r="T245" s="12"/>
      <c r="U245" s="12"/>
      <c r="V245" s="12"/>
      <c r="W245" s="12"/>
      <c r="X245" s="12"/>
    </row>
    <row r="246" customFormat="false" ht="15.75" hidden="false" customHeight="false" outlineLevel="0" collapsed="false">
      <c r="A246" s="12"/>
      <c r="B246" s="34"/>
      <c r="C246" s="12"/>
      <c r="D246" s="12"/>
      <c r="E246" s="12"/>
      <c r="F246" s="12"/>
      <c r="G246" s="18"/>
      <c r="H246" s="35"/>
      <c r="I246" s="12"/>
      <c r="M246" s="12"/>
      <c r="N246" s="18"/>
      <c r="O246" s="12"/>
      <c r="P246" s="12"/>
      <c r="Q246" s="12"/>
      <c r="R246" s="36"/>
      <c r="S246" s="36"/>
      <c r="T246" s="12"/>
      <c r="U246" s="12"/>
      <c r="V246" s="12"/>
      <c r="W246" s="12"/>
      <c r="X246" s="12"/>
    </row>
    <row r="247" customFormat="false" ht="15.75" hidden="false" customHeight="false" outlineLevel="0" collapsed="false">
      <c r="A247" s="12"/>
      <c r="B247" s="34"/>
      <c r="C247" s="12"/>
      <c r="D247" s="12"/>
      <c r="E247" s="12"/>
      <c r="F247" s="12"/>
      <c r="G247" s="18"/>
      <c r="H247" s="35"/>
      <c r="I247" s="12"/>
      <c r="M247" s="12"/>
      <c r="N247" s="18"/>
      <c r="O247" s="12"/>
      <c r="P247" s="12"/>
      <c r="Q247" s="12"/>
      <c r="R247" s="36"/>
      <c r="S247" s="36"/>
      <c r="T247" s="12"/>
      <c r="U247" s="12"/>
      <c r="V247" s="12"/>
      <c r="W247" s="12"/>
      <c r="X247" s="12"/>
    </row>
    <row r="248" customFormat="false" ht="15.75" hidden="false" customHeight="false" outlineLevel="0" collapsed="false">
      <c r="A248" s="12"/>
      <c r="B248" s="34"/>
      <c r="C248" s="12"/>
      <c r="D248" s="12"/>
      <c r="E248" s="12"/>
      <c r="F248" s="12"/>
      <c r="G248" s="18"/>
      <c r="H248" s="35"/>
      <c r="I248" s="12"/>
      <c r="M248" s="12"/>
      <c r="N248" s="18"/>
      <c r="O248" s="12"/>
      <c r="P248" s="12"/>
      <c r="Q248" s="12"/>
      <c r="R248" s="36"/>
      <c r="S248" s="36"/>
      <c r="T248" s="12"/>
      <c r="U248" s="12"/>
      <c r="V248" s="12"/>
      <c r="W248" s="12"/>
      <c r="X248" s="12"/>
    </row>
    <row r="249" customFormat="false" ht="15.75" hidden="false" customHeight="false" outlineLevel="0" collapsed="false">
      <c r="A249" s="12"/>
      <c r="B249" s="34"/>
      <c r="C249" s="12"/>
      <c r="D249" s="12"/>
      <c r="E249" s="12"/>
      <c r="F249" s="12"/>
      <c r="G249" s="18"/>
      <c r="H249" s="35"/>
      <c r="I249" s="12"/>
      <c r="M249" s="12"/>
      <c r="N249" s="18"/>
      <c r="O249" s="12"/>
      <c r="P249" s="12"/>
      <c r="Q249" s="12"/>
      <c r="R249" s="36"/>
      <c r="S249" s="36"/>
      <c r="T249" s="12"/>
      <c r="U249" s="12"/>
      <c r="V249" s="12"/>
      <c r="W249" s="12"/>
      <c r="X249" s="12"/>
    </row>
    <row r="250" customFormat="false" ht="15.75" hidden="false" customHeight="false" outlineLevel="0" collapsed="false">
      <c r="A250" s="12"/>
      <c r="B250" s="34"/>
      <c r="C250" s="12"/>
      <c r="D250" s="12"/>
      <c r="E250" s="12"/>
      <c r="F250" s="12"/>
      <c r="G250" s="18"/>
      <c r="H250" s="35"/>
      <c r="I250" s="12"/>
      <c r="M250" s="12"/>
      <c r="N250" s="18"/>
      <c r="O250" s="12"/>
      <c r="P250" s="12"/>
      <c r="Q250" s="12"/>
      <c r="R250" s="36"/>
      <c r="S250" s="36"/>
      <c r="T250" s="12"/>
      <c r="U250" s="12"/>
      <c r="V250" s="12"/>
      <c r="W250" s="12"/>
      <c r="X250" s="12"/>
    </row>
    <row r="251" customFormat="false" ht="15.75" hidden="false" customHeight="false" outlineLevel="0" collapsed="false">
      <c r="A251" s="12"/>
      <c r="B251" s="34"/>
      <c r="C251" s="12"/>
      <c r="D251" s="12"/>
      <c r="E251" s="12"/>
      <c r="F251" s="12"/>
      <c r="G251" s="18"/>
      <c r="H251" s="35"/>
      <c r="I251" s="12"/>
      <c r="M251" s="12"/>
      <c r="N251" s="18"/>
      <c r="O251" s="12"/>
      <c r="P251" s="12"/>
      <c r="Q251" s="12"/>
      <c r="R251" s="36"/>
      <c r="S251" s="36"/>
      <c r="T251" s="12"/>
      <c r="U251" s="12"/>
      <c r="V251" s="12"/>
      <c r="W251" s="12"/>
      <c r="X251" s="12"/>
    </row>
    <row r="252" customFormat="false" ht="15.75" hidden="false" customHeight="false" outlineLevel="0" collapsed="false">
      <c r="A252" s="12"/>
      <c r="B252" s="34"/>
      <c r="C252" s="12"/>
      <c r="D252" s="12"/>
      <c r="E252" s="12"/>
      <c r="F252" s="12"/>
      <c r="G252" s="18"/>
      <c r="H252" s="35"/>
      <c r="I252" s="12"/>
      <c r="M252" s="12"/>
      <c r="N252" s="18"/>
      <c r="O252" s="12"/>
      <c r="P252" s="12"/>
      <c r="Q252" s="12"/>
      <c r="R252" s="36"/>
      <c r="S252" s="36"/>
      <c r="T252" s="12"/>
      <c r="U252" s="12"/>
      <c r="V252" s="12"/>
      <c r="W252" s="12"/>
      <c r="X252" s="12"/>
    </row>
    <row r="253" customFormat="false" ht="15.75" hidden="false" customHeight="false" outlineLevel="0" collapsed="false">
      <c r="A253" s="12"/>
      <c r="B253" s="34"/>
      <c r="C253" s="12"/>
      <c r="D253" s="12"/>
      <c r="E253" s="12"/>
      <c r="F253" s="12"/>
      <c r="G253" s="18"/>
      <c r="H253" s="35"/>
      <c r="I253" s="12"/>
      <c r="M253" s="12"/>
      <c r="N253" s="18"/>
      <c r="O253" s="12"/>
      <c r="P253" s="12"/>
      <c r="Q253" s="12"/>
      <c r="R253" s="36"/>
      <c r="S253" s="36"/>
      <c r="T253" s="12"/>
      <c r="U253" s="12"/>
      <c r="V253" s="12"/>
      <c r="W253" s="12"/>
      <c r="X253" s="12"/>
    </row>
    <row r="254" customFormat="false" ht="15.75" hidden="false" customHeight="false" outlineLevel="0" collapsed="false">
      <c r="A254" s="12"/>
      <c r="B254" s="34"/>
      <c r="C254" s="12"/>
      <c r="D254" s="12"/>
      <c r="E254" s="12"/>
      <c r="F254" s="12"/>
      <c r="G254" s="18"/>
      <c r="H254" s="35"/>
      <c r="I254" s="12"/>
      <c r="M254" s="12"/>
      <c r="N254" s="18"/>
      <c r="O254" s="12"/>
      <c r="P254" s="12"/>
      <c r="Q254" s="12"/>
      <c r="R254" s="36"/>
      <c r="S254" s="36"/>
      <c r="T254" s="12"/>
      <c r="U254" s="12"/>
      <c r="V254" s="12"/>
      <c r="W254" s="12"/>
      <c r="X254" s="12"/>
    </row>
    <row r="255" customFormat="false" ht="15.75" hidden="false" customHeight="false" outlineLevel="0" collapsed="false">
      <c r="A255" s="12"/>
      <c r="B255" s="34"/>
      <c r="C255" s="12"/>
      <c r="D255" s="12"/>
      <c r="E255" s="12"/>
      <c r="F255" s="12"/>
      <c r="G255" s="18"/>
      <c r="H255" s="35"/>
      <c r="I255" s="12"/>
      <c r="M255" s="12"/>
      <c r="N255" s="18"/>
      <c r="O255" s="12"/>
      <c r="P255" s="12"/>
      <c r="Q255" s="12"/>
      <c r="R255" s="36"/>
      <c r="S255" s="36"/>
      <c r="T255" s="12"/>
      <c r="U255" s="12"/>
      <c r="V255" s="12"/>
      <c r="W255" s="12"/>
      <c r="X255" s="12"/>
    </row>
    <row r="256" customFormat="false" ht="15.75" hidden="false" customHeight="false" outlineLevel="0" collapsed="false">
      <c r="A256" s="12"/>
      <c r="B256" s="34"/>
      <c r="C256" s="12"/>
      <c r="D256" s="12"/>
      <c r="E256" s="12"/>
      <c r="F256" s="12"/>
      <c r="G256" s="18"/>
      <c r="H256" s="35"/>
      <c r="I256" s="12"/>
      <c r="M256" s="12"/>
      <c r="N256" s="18"/>
      <c r="O256" s="12"/>
      <c r="P256" s="12"/>
      <c r="Q256" s="12"/>
      <c r="R256" s="36"/>
      <c r="S256" s="36"/>
      <c r="T256" s="12"/>
      <c r="U256" s="12"/>
      <c r="V256" s="12"/>
      <c r="W256" s="12"/>
      <c r="X256" s="12"/>
    </row>
    <row r="257" customFormat="false" ht="15.75" hidden="false" customHeight="false" outlineLevel="0" collapsed="false">
      <c r="A257" s="12"/>
      <c r="B257" s="34"/>
      <c r="C257" s="12"/>
      <c r="D257" s="12"/>
      <c r="E257" s="12"/>
      <c r="F257" s="12"/>
      <c r="G257" s="18"/>
      <c r="H257" s="35"/>
      <c r="I257" s="12"/>
      <c r="M257" s="12"/>
      <c r="N257" s="18"/>
      <c r="O257" s="12"/>
      <c r="P257" s="12"/>
      <c r="Q257" s="12"/>
      <c r="R257" s="36"/>
      <c r="S257" s="36"/>
      <c r="T257" s="12"/>
      <c r="U257" s="12"/>
      <c r="V257" s="12"/>
      <c r="W257" s="12"/>
      <c r="X257" s="12"/>
    </row>
    <row r="258" customFormat="false" ht="15.75" hidden="false" customHeight="false" outlineLevel="0" collapsed="false">
      <c r="A258" s="12"/>
      <c r="B258" s="34"/>
      <c r="C258" s="12"/>
      <c r="D258" s="12"/>
      <c r="E258" s="12"/>
      <c r="F258" s="12"/>
      <c r="G258" s="18"/>
      <c r="H258" s="35"/>
      <c r="I258" s="12"/>
      <c r="M258" s="12"/>
      <c r="N258" s="18"/>
      <c r="O258" s="12"/>
      <c r="P258" s="12"/>
      <c r="Q258" s="12"/>
      <c r="R258" s="36"/>
      <c r="S258" s="36"/>
      <c r="T258" s="12"/>
      <c r="U258" s="12"/>
      <c r="V258" s="12"/>
      <c r="W258" s="12"/>
      <c r="X258" s="12"/>
    </row>
    <row r="259" customFormat="false" ht="15.75" hidden="false" customHeight="false" outlineLevel="0" collapsed="false">
      <c r="A259" s="12"/>
      <c r="B259" s="34"/>
      <c r="C259" s="12"/>
      <c r="D259" s="12"/>
      <c r="E259" s="12"/>
      <c r="F259" s="12"/>
      <c r="G259" s="18"/>
      <c r="H259" s="35"/>
      <c r="I259" s="12"/>
      <c r="M259" s="12"/>
      <c r="N259" s="18"/>
      <c r="O259" s="12"/>
      <c r="P259" s="12"/>
      <c r="Q259" s="12"/>
      <c r="R259" s="36"/>
      <c r="S259" s="36"/>
      <c r="T259" s="12"/>
      <c r="U259" s="12"/>
      <c r="V259" s="12"/>
      <c r="W259" s="12"/>
      <c r="X259" s="12"/>
    </row>
    <row r="260" customFormat="false" ht="15.75" hidden="false" customHeight="false" outlineLevel="0" collapsed="false">
      <c r="A260" s="12"/>
      <c r="B260" s="34"/>
      <c r="C260" s="12"/>
      <c r="D260" s="12"/>
      <c r="E260" s="12"/>
      <c r="F260" s="12"/>
      <c r="G260" s="18"/>
      <c r="H260" s="35"/>
      <c r="I260" s="12"/>
      <c r="M260" s="12"/>
      <c r="N260" s="18"/>
      <c r="O260" s="12"/>
      <c r="P260" s="12"/>
      <c r="Q260" s="12"/>
      <c r="R260" s="36"/>
      <c r="S260" s="36"/>
      <c r="T260" s="12"/>
      <c r="U260" s="12"/>
      <c r="V260" s="12"/>
      <c r="W260" s="12"/>
      <c r="X260" s="12"/>
    </row>
    <row r="261" customFormat="false" ht="15.75" hidden="false" customHeight="false" outlineLevel="0" collapsed="false">
      <c r="A261" s="12"/>
      <c r="B261" s="34"/>
      <c r="C261" s="12"/>
      <c r="D261" s="12"/>
      <c r="E261" s="12"/>
      <c r="F261" s="12"/>
      <c r="G261" s="18"/>
      <c r="H261" s="35"/>
      <c r="I261" s="12"/>
      <c r="M261" s="12"/>
      <c r="N261" s="18"/>
      <c r="O261" s="12"/>
      <c r="P261" s="12"/>
      <c r="Q261" s="12"/>
      <c r="R261" s="36"/>
      <c r="S261" s="36"/>
      <c r="T261" s="12"/>
      <c r="U261" s="12"/>
      <c r="V261" s="12"/>
      <c r="W261" s="12"/>
      <c r="X261" s="12"/>
    </row>
    <row r="262" customFormat="false" ht="15.75" hidden="false" customHeight="false" outlineLevel="0" collapsed="false">
      <c r="A262" s="12"/>
      <c r="B262" s="34"/>
      <c r="C262" s="12"/>
      <c r="D262" s="12"/>
      <c r="E262" s="12"/>
      <c r="F262" s="12"/>
      <c r="G262" s="18"/>
      <c r="H262" s="35"/>
      <c r="I262" s="12"/>
      <c r="M262" s="12"/>
      <c r="N262" s="18"/>
      <c r="O262" s="12"/>
      <c r="P262" s="12"/>
      <c r="Q262" s="12"/>
      <c r="R262" s="36"/>
      <c r="S262" s="36"/>
      <c r="T262" s="12"/>
      <c r="U262" s="12"/>
      <c r="V262" s="12"/>
      <c r="W262" s="12"/>
      <c r="X262" s="12"/>
    </row>
    <row r="263" customFormat="false" ht="15.75" hidden="false" customHeight="false" outlineLevel="0" collapsed="false">
      <c r="A263" s="12"/>
      <c r="B263" s="34"/>
      <c r="C263" s="12"/>
      <c r="D263" s="12"/>
      <c r="E263" s="12"/>
      <c r="F263" s="12"/>
      <c r="G263" s="18"/>
      <c r="H263" s="35"/>
      <c r="I263" s="12"/>
      <c r="M263" s="12"/>
      <c r="N263" s="18"/>
      <c r="O263" s="12"/>
      <c r="P263" s="12"/>
      <c r="Q263" s="12"/>
      <c r="R263" s="36"/>
      <c r="S263" s="36"/>
      <c r="T263" s="12"/>
      <c r="U263" s="12"/>
      <c r="V263" s="12"/>
      <c r="W263" s="12"/>
      <c r="X263" s="12"/>
    </row>
    <row r="264" customFormat="false" ht="15.75" hidden="false" customHeight="false" outlineLevel="0" collapsed="false">
      <c r="A264" s="12"/>
      <c r="B264" s="34"/>
      <c r="C264" s="12"/>
      <c r="D264" s="12"/>
      <c r="E264" s="12"/>
      <c r="F264" s="12"/>
      <c r="G264" s="18"/>
      <c r="H264" s="35"/>
      <c r="I264" s="12"/>
      <c r="M264" s="12"/>
      <c r="N264" s="18"/>
      <c r="O264" s="12"/>
      <c r="P264" s="12"/>
      <c r="Q264" s="12"/>
      <c r="R264" s="36"/>
      <c r="S264" s="36"/>
      <c r="T264" s="12"/>
      <c r="U264" s="12"/>
      <c r="V264" s="12"/>
      <c r="W264" s="12"/>
      <c r="X264" s="12"/>
    </row>
    <row r="265" customFormat="false" ht="15.75" hidden="false" customHeight="false" outlineLevel="0" collapsed="false">
      <c r="A265" s="12"/>
      <c r="B265" s="34"/>
      <c r="C265" s="12"/>
      <c r="D265" s="12"/>
      <c r="E265" s="12"/>
      <c r="F265" s="12"/>
      <c r="G265" s="18"/>
      <c r="H265" s="35"/>
      <c r="I265" s="12"/>
      <c r="M265" s="12"/>
      <c r="N265" s="18"/>
      <c r="O265" s="12"/>
      <c r="P265" s="12"/>
      <c r="Q265" s="12"/>
      <c r="R265" s="36"/>
      <c r="S265" s="36"/>
      <c r="T265" s="12"/>
      <c r="U265" s="12"/>
      <c r="V265" s="12"/>
      <c r="W265" s="12"/>
      <c r="X265" s="12"/>
    </row>
    <row r="266" customFormat="false" ht="15.75" hidden="false" customHeight="false" outlineLevel="0" collapsed="false">
      <c r="A266" s="12"/>
      <c r="B266" s="34"/>
      <c r="C266" s="12"/>
      <c r="D266" s="12"/>
      <c r="E266" s="12"/>
      <c r="F266" s="12"/>
      <c r="G266" s="18"/>
      <c r="H266" s="35"/>
      <c r="I266" s="12"/>
      <c r="M266" s="12"/>
      <c r="N266" s="18"/>
      <c r="O266" s="12"/>
      <c r="P266" s="12"/>
      <c r="Q266" s="12"/>
      <c r="R266" s="36"/>
      <c r="S266" s="36"/>
      <c r="T266" s="12"/>
      <c r="U266" s="12"/>
      <c r="V266" s="12"/>
      <c r="W266" s="12"/>
      <c r="X266" s="12"/>
    </row>
    <row r="267" customFormat="false" ht="15.75" hidden="false" customHeight="false" outlineLevel="0" collapsed="false">
      <c r="A267" s="12"/>
      <c r="B267" s="34"/>
      <c r="C267" s="12"/>
      <c r="D267" s="12"/>
      <c r="E267" s="12"/>
      <c r="F267" s="12"/>
      <c r="G267" s="18"/>
      <c r="H267" s="35"/>
      <c r="I267" s="12"/>
      <c r="M267" s="12"/>
      <c r="N267" s="18"/>
      <c r="O267" s="12"/>
      <c r="P267" s="12"/>
      <c r="Q267" s="12"/>
      <c r="R267" s="36"/>
      <c r="S267" s="36"/>
      <c r="T267" s="12"/>
      <c r="U267" s="12"/>
      <c r="V267" s="12"/>
      <c r="W267" s="12"/>
      <c r="X267" s="12"/>
    </row>
    <row r="268" customFormat="false" ht="15.75" hidden="false" customHeight="false" outlineLevel="0" collapsed="false">
      <c r="A268" s="12"/>
      <c r="B268" s="34"/>
      <c r="C268" s="12"/>
      <c r="D268" s="12"/>
      <c r="E268" s="12"/>
      <c r="F268" s="12"/>
      <c r="G268" s="18"/>
      <c r="H268" s="35"/>
      <c r="I268" s="12"/>
      <c r="M268" s="12"/>
      <c r="N268" s="18"/>
      <c r="O268" s="12"/>
      <c r="P268" s="12"/>
      <c r="Q268" s="12"/>
      <c r="R268" s="36"/>
      <c r="S268" s="36"/>
      <c r="T268" s="12"/>
      <c r="U268" s="12"/>
      <c r="V268" s="12"/>
      <c r="W268" s="12"/>
      <c r="X268" s="12"/>
    </row>
    <row r="269" customFormat="false" ht="15.75" hidden="false" customHeight="false" outlineLevel="0" collapsed="false">
      <c r="A269" s="12"/>
      <c r="B269" s="34"/>
      <c r="C269" s="12"/>
      <c r="D269" s="12"/>
      <c r="E269" s="12"/>
      <c r="F269" s="12"/>
      <c r="G269" s="18"/>
      <c r="H269" s="35"/>
      <c r="I269" s="12"/>
      <c r="M269" s="12"/>
      <c r="N269" s="18"/>
      <c r="O269" s="12"/>
      <c r="P269" s="12"/>
      <c r="Q269" s="12"/>
      <c r="R269" s="36"/>
      <c r="S269" s="36"/>
      <c r="T269" s="12"/>
      <c r="U269" s="12"/>
      <c r="V269" s="12"/>
      <c r="W269" s="12"/>
      <c r="X269" s="12"/>
    </row>
    <row r="270" customFormat="false" ht="15.75" hidden="false" customHeight="false" outlineLevel="0" collapsed="false">
      <c r="A270" s="12"/>
      <c r="B270" s="34"/>
      <c r="C270" s="12"/>
      <c r="D270" s="12"/>
      <c r="E270" s="12"/>
      <c r="F270" s="12"/>
      <c r="G270" s="18"/>
      <c r="H270" s="35"/>
      <c r="I270" s="12"/>
      <c r="M270" s="12"/>
      <c r="N270" s="18"/>
      <c r="O270" s="12"/>
      <c r="P270" s="12"/>
      <c r="Q270" s="12"/>
      <c r="R270" s="36"/>
      <c r="S270" s="36"/>
      <c r="T270" s="12"/>
      <c r="U270" s="12"/>
      <c r="V270" s="12"/>
      <c r="W270" s="12"/>
      <c r="X270" s="12"/>
    </row>
    <row r="271" customFormat="false" ht="15.75" hidden="false" customHeight="false" outlineLevel="0" collapsed="false">
      <c r="A271" s="12"/>
      <c r="B271" s="34"/>
      <c r="C271" s="12"/>
      <c r="D271" s="12"/>
      <c r="E271" s="12"/>
      <c r="F271" s="12"/>
      <c r="G271" s="18"/>
      <c r="H271" s="35"/>
      <c r="I271" s="12"/>
      <c r="M271" s="12"/>
      <c r="N271" s="18"/>
      <c r="O271" s="12"/>
      <c r="P271" s="12"/>
      <c r="Q271" s="12"/>
      <c r="R271" s="36"/>
      <c r="S271" s="36"/>
      <c r="T271" s="12"/>
      <c r="U271" s="12"/>
      <c r="V271" s="12"/>
      <c r="W271" s="12"/>
      <c r="X271" s="12"/>
    </row>
    <row r="272" customFormat="false" ht="15.75" hidden="false" customHeight="false" outlineLevel="0" collapsed="false">
      <c r="A272" s="12"/>
      <c r="B272" s="34"/>
      <c r="C272" s="12"/>
      <c r="D272" s="12"/>
      <c r="E272" s="12"/>
      <c r="F272" s="12"/>
      <c r="G272" s="18"/>
      <c r="H272" s="35"/>
      <c r="I272" s="12"/>
      <c r="M272" s="12"/>
      <c r="N272" s="18"/>
      <c r="O272" s="12"/>
      <c r="P272" s="12"/>
      <c r="Q272" s="12"/>
      <c r="R272" s="36"/>
      <c r="S272" s="36"/>
      <c r="T272" s="12"/>
      <c r="U272" s="12"/>
      <c r="V272" s="12"/>
      <c r="W272" s="12"/>
      <c r="X272" s="12"/>
    </row>
    <row r="273" customFormat="false" ht="15.75" hidden="false" customHeight="false" outlineLevel="0" collapsed="false">
      <c r="A273" s="12"/>
      <c r="B273" s="34"/>
      <c r="C273" s="12"/>
      <c r="D273" s="12"/>
      <c r="E273" s="12"/>
      <c r="F273" s="12"/>
      <c r="G273" s="18"/>
      <c r="H273" s="35"/>
      <c r="I273" s="12"/>
      <c r="M273" s="12"/>
      <c r="N273" s="18"/>
      <c r="O273" s="12"/>
      <c r="P273" s="12"/>
      <c r="Q273" s="12"/>
      <c r="R273" s="36"/>
      <c r="S273" s="36"/>
      <c r="T273" s="12"/>
      <c r="U273" s="12"/>
      <c r="V273" s="12"/>
      <c r="W273" s="12"/>
      <c r="X273" s="12"/>
    </row>
    <row r="274" customFormat="false" ht="15.75" hidden="false" customHeight="false" outlineLevel="0" collapsed="false">
      <c r="A274" s="12"/>
      <c r="B274" s="34"/>
      <c r="C274" s="12"/>
      <c r="D274" s="12"/>
      <c r="E274" s="12"/>
      <c r="F274" s="12"/>
      <c r="G274" s="18"/>
      <c r="H274" s="35"/>
      <c r="I274" s="12"/>
      <c r="M274" s="12"/>
      <c r="N274" s="18"/>
      <c r="O274" s="12"/>
      <c r="P274" s="12"/>
      <c r="Q274" s="12"/>
      <c r="R274" s="36"/>
      <c r="S274" s="36"/>
      <c r="T274" s="12"/>
      <c r="U274" s="12"/>
      <c r="V274" s="12"/>
      <c r="W274" s="12"/>
      <c r="X274" s="12"/>
    </row>
    <row r="275" customFormat="false" ht="15.75" hidden="false" customHeight="false" outlineLevel="0" collapsed="false">
      <c r="A275" s="12"/>
      <c r="B275" s="34"/>
      <c r="C275" s="12"/>
      <c r="D275" s="12"/>
      <c r="E275" s="12"/>
      <c r="F275" s="12"/>
      <c r="G275" s="18"/>
      <c r="H275" s="35"/>
      <c r="I275" s="12"/>
      <c r="M275" s="12"/>
      <c r="N275" s="18"/>
      <c r="O275" s="12"/>
      <c r="P275" s="12"/>
      <c r="Q275" s="12"/>
      <c r="R275" s="36"/>
      <c r="S275" s="36"/>
      <c r="T275" s="12"/>
      <c r="U275" s="12"/>
      <c r="V275" s="12"/>
      <c r="W275" s="12"/>
      <c r="X275" s="12"/>
    </row>
    <row r="276" customFormat="false" ht="15.75" hidden="false" customHeight="false" outlineLevel="0" collapsed="false">
      <c r="A276" s="12"/>
      <c r="B276" s="34"/>
      <c r="C276" s="12"/>
      <c r="D276" s="12"/>
      <c r="E276" s="12"/>
      <c r="F276" s="12"/>
      <c r="G276" s="18"/>
      <c r="H276" s="35"/>
      <c r="I276" s="12"/>
      <c r="M276" s="12"/>
      <c r="N276" s="18"/>
      <c r="O276" s="12"/>
      <c r="P276" s="12"/>
      <c r="Q276" s="12"/>
      <c r="R276" s="36"/>
      <c r="S276" s="36"/>
      <c r="T276" s="12"/>
      <c r="U276" s="12"/>
      <c r="V276" s="12"/>
      <c r="W276" s="12"/>
      <c r="X276" s="12"/>
    </row>
    <row r="277" customFormat="false" ht="15.75" hidden="false" customHeight="false" outlineLevel="0" collapsed="false">
      <c r="A277" s="12"/>
      <c r="B277" s="34"/>
      <c r="C277" s="12"/>
      <c r="D277" s="12"/>
      <c r="E277" s="12"/>
      <c r="F277" s="12"/>
      <c r="G277" s="18"/>
      <c r="H277" s="35"/>
      <c r="I277" s="12"/>
      <c r="M277" s="12"/>
      <c r="N277" s="18"/>
      <c r="O277" s="12"/>
      <c r="P277" s="12"/>
      <c r="Q277" s="12"/>
      <c r="R277" s="36"/>
      <c r="S277" s="36"/>
      <c r="T277" s="12"/>
      <c r="U277" s="12"/>
      <c r="V277" s="12"/>
      <c r="W277" s="12"/>
      <c r="X277" s="12"/>
    </row>
    <row r="278" customFormat="false" ht="15.75" hidden="false" customHeight="false" outlineLevel="0" collapsed="false">
      <c r="A278" s="12"/>
      <c r="B278" s="34"/>
      <c r="C278" s="12"/>
      <c r="D278" s="12"/>
      <c r="E278" s="12"/>
      <c r="F278" s="12"/>
      <c r="G278" s="18"/>
      <c r="H278" s="35"/>
      <c r="I278" s="12"/>
      <c r="M278" s="12"/>
      <c r="N278" s="18"/>
      <c r="O278" s="12"/>
      <c r="P278" s="12"/>
      <c r="Q278" s="12"/>
      <c r="R278" s="36"/>
      <c r="S278" s="36"/>
      <c r="T278" s="12"/>
      <c r="U278" s="12"/>
      <c r="V278" s="12"/>
      <c r="W278" s="12"/>
      <c r="X278" s="12"/>
    </row>
    <row r="279" customFormat="false" ht="15.75" hidden="false" customHeight="false" outlineLevel="0" collapsed="false">
      <c r="A279" s="12"/>
      <c r="B279" s="34"/>
      <c r="C279" s="12"/>
      <c r="D279" s="12"/>
      <c r="E279" s="12"/>
      <c r="F279" s="12"/>
      <c r="G279" s="18"/>
      <c r="H279" s="35"/>
      <c r="I279" s="12"/>
      <c r="M279" s="12"/>
      <c r="N279" s="18"/>
      <c r="O279" s="12"/>
      <c r="P279" s="12"/>
      <c r="Q279" s="12"/>
      <c r="R279" s="36"/>
      <c r="S279" s="36"/>
      <c r="T279" s="12"/>
      <c r="U279" s="12"/>
      <c r="V279" s="12"/>
      <c r="W279" s="12"/>
      <c r="X279" s="12"/>
    </row>
    <row r="280" customFormat="false" ht="15.75" hidden="false" customHeight="false" outlineLevel="0" collapsed="false">
      <c r="A280" s="12"/>
      <c r="B280" s="34"/>
      <c r="C280" s="12"/>
      <c r="D280" s="12"/>
      <c r="E280" s="12"/>
      <c r="F280" s="12"/>
      <c r="G280" s="18"/>
      <c r="H280" s="35"/>
      <c r="I280" s="12"/>
      <c r="M280" s="12"/>
      <c r="N280" s="18"/>
      <c r="O280" s="12"/>
      <c r="P280" s="12"/>
      <c r="Q280" s="12"/>
      <c r="R280" s="36"/>
      <c r="S280" s="36"/>
      <c r="T280" s="12"/>
      <c r="U280" s="12"/>
      <c r="V280" s="12"/>
      <c r="W280" s="12"/>
      <c r="X280" s="12"/>
    </row>
    <row r="281" customFormat="false" ht="15.75" hidden="false" customHeight="false" outlineLevel="0" collapsed="false">
      <c r="A281" s="12"/>
      <c r="B281" s="34"/>
      <c r="C281" s="12"/>
      <c r="D281" s="12"/>
      <c r="E281" s="12"/>
      <c r="F281" s="12"/>
      <c r="G281" s="18"/>
      <c r="H281" s="35"/>
      <c r="I281" s="12"/>
      <c r="M281" s="12"/>
      <c r="N281" s="18"/>
      <c r="O281" s="12"/>
      <c r="P281" s="12"/>
      <c r="Q281" s="12"/>
      <c r="R281" s="36"/>
      <c r="S281" s="36"/>
      <c r="T281" s="12"/>
      <c r="U281" s="12"/>
      <c r="V281" s="12"/>
      <c r="W281" s="12"/>
      <c r="X281" s="12"/>
    </row>
    <row r="282" customFormat="false" ht="15.75" hidden="false" customHeight="false" outlineLevel="0" collapsed="false">
      <c r="A282" s="12"/>
      <c r="B282" s="34"/>
      <c r="C282" s="12"/>
      <c r="D282" s="12"/>
      <c r="E282" s="12"/>
      <c r="F282" s="12"/>
      <c r="G282" s="18"/>
      <c r="H282" s="35"/>
      <c r="I282" s="12"/>
      <c r="M282" s="12"/>
      <c r="N282" s="18"/>
      <c r="O282" s="12"/>
      <c r="P282" s="12"/>
      <c r="Q282" s="12"/>
      <c r="R282" s="36"/>
      <c r="S282" s="36"/>
      <c r="T282" s="12"/>
      <c r="U282" s="12"/>
      <c r="V282" s="12"/>
      <c r="W282" s="12"/>
      <c r="X282" s="12"/>
    </row>
    <row r="283" customFormat="false" ht="15.75" hidden="false" customHeight="false" outlineLevel="0" collapsed="false">
      <c r="A283" s="12"/>
      <c r="B283" s="34"/>
      <c r="C283" s="12"/>
      <c r="D283" s="12"/>
      <c r="E283" s="12"/>
      <c r="F283" s="12"/>
      <c r="G283" s="18"/>
      <c r="H283" s="35"/>
      <c r="I283" s="12"/>
      <c r="M283" s="12"/>
      <c r="N283" s="18"/>
      <c r="O283" s="12"/>
      <c r="P283" s="12"/>
      <c r="Q283" s="12"/>
      <c r="R283" s="36"/>
      <c r="S283" s="36"/>
      <c r="T283" s="12"/>
      <c r="U283" s="12"/>
      <c r="V283" s="12"/>
      <c r="W283" s="12"/>
      <c r="X283" s="12"/>
    </row>
    <row r="284" customFormat="false" ht="15.75" hidden="false" customHeight="false" outlineLevel="0" collapsed="false">
      <c r="A284" s="12"/>
      <c r="B284" s="34"/>
      <c r="C284" s="12"/>
      <c r="D284" s="12"/>
      <c r="E284" s="12"/>
      <c r="F284" s="12"/>
      <c r="G284" s="18"/>
      <c r="H284" s="35"/>
      <c r="I284" s="12"/>
      <c r="M284" s="12"/>
      <c r="N284" s="18"/>
      <c r="O284" s="12"/>
      <c r="P284" s="12"/>
      <c r="Q284" s="12"/>
      <c r="R284" s="36"/>
      <c r="S284" s="36"/>
      <c r="T284" s="12"/>
      <c r="U284" s="12"/>
      <c r="V284" s="12"/>
      <c r="W284" s="12"/>
      <c r="X284" s="12"/>
    </row>
    <row r="285" customFormat="false" ht="15.75" hidden="false" customHeight="false" outlineLevel="0" collapsed="false">
      <c r="A285" s="12"/>
      <c r="B285" s="34"/>
      <c r="C285" s="12"/>
      <c r="D285" s="12"/>
      <c r="E285" s="12"/>
      <c r="F285" s="12"/>
      <c r="G285" s="18"/>
      <c r="H285" s="35"/>
      <c r="I285" s="12"/>
      <c r="M285" s="12"/>
      <c r="N285" s="18"/>
      <c r="O285" s="12"/>
      <c r="P285" s="12"/>
      <c r="Q285" s="12"/>
      <c r="R285" s="36"/>
      <c r="S285" s="36"/>
      <c r="T285" s="12"/>
      <c r="U285" s="12"/>
      <c r="V285" s="12"/>
      <c r="W285" s="12"/>
      <c r="X285" s="12"/>
    </row>
    <row r="286" customFormat="false" ht="15.75" hidden="false" customHeight="false" outlineLevel="0" collapsed="false">
      <c r="A286" s="12"/>
      <c r="B286" s="34"/>
      <c r="C286" s="12"/>
      <c r="D286" s="12"/>
      <c r="E286" s="12"/>
      <c r="F286" s="12"/>
      <c r="G286" s="18"/>
      <c r="H286" s="35"/>
      <c r="I286" s="12"/>
      <c r="M286" s="12"/>
      <c r="N286" s="18"/>
      <c r="O286" s="12"/>
      <c r="P286" s="12"/>
      <c r="Q286" s="12"/>
      <c r="R286" s="36"/>
      <c r="S286" s="36"/>
      <c r="T286" s="12"/>
      <c r="U286" s="12"/>
      <c r="V286" s="12"/>
      <c r="W286" s="12"/>
      <c r="X286" s="12"/>
    </row>
    <row r="287" customFormat="false" ht="15.75" hidden="false" customHeight="false" outlineLevel="0" collapsed="false">
      <c r="A287" s="12"/>
      <c r="B287" s="34"/>
      <c r="C287" s="12"/>
      <c r="D287" s="12"/>
      <c r="E287" s="12"/>
      <c r="F287" s="12"/>
      <c r="G287" s="18"/>
      <c r="H287" s="35"/>
      <c r="I287" s="12"/>
      <c r="M287" s="12"/>
      <c r="N287" s="18"/>
      <c r="O287" s="12"/>
      <c r="P287" s="12"/>
      <c r="Q287" s="12"/>
      <c r="R287" s="36"/>
      <c r="S287" s="36"/>
      <c r="T287" s="12"/>
      <c r="U287" s="12"/>
      <c r="V287" s="12"/>
      <c r="W287" s="12"/>
      <c r="X287" s="12"/>
    </row>
    <row r="288" customFormat="false" ht="15.75" hidden="false" customHeight="false" outlineLevel="0" collapsed="false">
      <c r="A288" s="12"/>
      <c r="B288" s="34"/>
      <c r="C288" s="12"/>
      <c r="D288" s="12"/>
      <c r="E288" s="12"/>
      <c r="F288" s="12"/>
      <c r="G288" s="18"/>
      <c r="H288" s="35"/>
      <c r="I288" s="12"/>
      <c r="M288" s="12"/>
      <c r="N288" s="18"/>
      <c r="O288" s="12"/>
      <c r="P288" s="12"/>
      <c r="Q288" s="12"/>
      <c r="R288" s="36"/>
      <c r="S288" s="36"/>
      <c r="T288" s="12"/>
      <c r="U288" s="12"/>
      <c r="V288" s="12"/>
      <c r="W288" s="12"/>
      <c r="X288" s="12"/>
    </row>
    <row r="289" customFormat="false" ht="15.75" hidden="false" customHeight="false" outlineLevel="0" collapsed="false">
      <c r="A289" s="12"/>
      <c r="B289" s="34"/>
      <c r="C289" s="12"/>
      <c r="D289" s="12"/>
      <c r="E289" s="12"/>
      <c r="F289" s="12"/>
      <c r="G289" s="18"/>
      <c r="H289" s="35"/>
      <c r="I289" s="12"/>
      <c r="M289" s="12"/>
      <c r="N289" s="18"/>
      <c r="O289" s="12"/>
      <c r="P289" s="12"/>
      <c r="Q289" s="12"/>
      <c r="R289" s="36"/>
      <c r="S289" s="36"/>
      <c r="T289" s="12"/>
      <c r="U289" s="12"/>
      <c r="V289" s="12"/>
      <c r="W289" s="12"/>
      <c r="X289" s="12"/>
    </row>
    <row r="290" customFormat="false" ht="15.75" hidden="false" customHeight="false" outlineLevel="0" collapsed="false">
      <c r="A290" s="12"/>
      <c r="B290" s="34"/>
      <c r="C290" s="12"/>
      <c r="D290" s="12"/>
      <c r="E290" s="12"/>
      <c r="F290" s="12"/>
      <c r="G290" s="18"/>
      <c r="H290" s="35"/>
      <c r="I290" s="12"/>
      <c r="M290" s="12"/>
      <c r="N290" s="18"/>
      <c r="O290" s="12"/>
      <c r="P290" s="12"/>
      <c r="Q290" s="12"/>
      <c r="R290" s="36"/>
      <c r="S290" s="36"/>
      <c r="T290" s="12"/>
      <c r="U290" s="12"/>
      <c r="V290" s="12"/>
      <c r="W290" s="12"/>
      <c r="X290" s="12"/>
    </row>
    <row r="291" customFormat="false" ht="15.75" hidden="false" customHeight="false" outlineLevel="0" collapsed="false">
      <c r="A291" s="12"/>
      <c r="B291" s="34"/>
      <c r="C291" s="12"/>
      <c r="D291" s="12"/>
      <c r="E291" s="12"/>
      <c r="F291" s="12"/>
      <c r="G291" s="18"/>
      <c r="H291" s="35"/>
      <c r="I291" s="12"/>
      <c r="M291" s="12"/>
      <c r="N291" s="18"/>
      <c r="O291" s="12"/>
      <c r="P291" s="12"/>
      <c r="Q291" s="12"/>
      <c r="R291" s="36"/>
      <c r="S291" s="36"/>
      <c r="T291" s="12"/>
      <c r="U291" s="12"/>
      <c r="V291" s="12"/>
      <c r="W291" s="12"/>
      <c r="X291" s="12"/>
    </row>
    <row r="292" customFormat="false" ht="15.75" hidden="false" customHeight="false" outlineLevel="0" collapsed="false">
      <c r="A292" s="12"/>
      <c r="B292" s="34"/>
      <c r="C292" s="12"/>
      <c r="D292" s="12"/>
      <c r="E292" s="12"/>
      <c r="F292" s="12"/>
      <c r="G292" s="18"/>
      <c r="H292" s="35"/>
      <c r="I292" s="12"/>
      <c r="M292" s="12"/>
      <c r="N292" s="18"/>
      <c r="O292" s="12"/>
      <c r="P292" s="12"/>
      <c r="Q292" s="12"/>
      <c r="R292" s="36"/>
      <c r="S292" s="36"/>
      <c r="T292" s="12"/>
      <c r="U292" s="12"/>
      <c r="V292" s="12"/>
      <c r="W292" s="12"/>
      <c r="X292" s="12"/>
    </row>
    <row r="293" customFormat="false" ht="15.75" hidden="false" customHeight="false" outlineLevel="0" collapsed="false">
      <c r="A293" s="12"/>
      <c r="B293" s="34"/>
      <c r="C293" s="12"/>
      <c r="D293" s="12"/>
      <c r="E293" s="12"/>
      <c r="F293" s="12"/>
      <c r="G293" s="18"/>
      <c r="H293" s="35"/>
      <c r="I293" s="12"/>
      <c r="M293" s="12"/>
      <c r="N293" s="18"/>
      <c r="O293" s="12"/>
      <c r="P293" s="12"/>
      <c r="Q293" s="12"/>
      <c r="R293" s="36"/>
      <c r="S293" s="36"/>
      <c r="T293" s="12"/>
      <c r="U293" s="12"/>
      <c r="V293" s="12"/>
      <c r="W293" s="12"/>
      <c r="X293" s="12"/>
    </row>
    <row r="294" customFormat="false" ht="15.75" hidden="false" customHeight="false" outlineLevel="0" collapsed="false">
      <c r="A294" s="12"/>
      <c r="B294" s="34"/>
      <c r="C294" s="12"/>
      <c r="D294" s="12"/>
      <c r="E294" s="12"/>
      <c r="F294" s="12"/>
      <c r="G294" s="18"/>
      <c r="H294" s="35"/>
      <c r="I294" s="12"/>
      <c r="M294" s="12"/>
      <c r="N294" s="18"/>
      <c r="O294" s="12"/>
      <c r="P294" s="12"/>
      <c r="Q294" s="12"/>
      <c r="R294" s="36"/>
      <c r="S294" s="36"/>
      <c r="T294" s="12"/>
      <c r="U294" s="12"/>
      <c r="V294" s="12"/>
      <c r="W294" s="12"/>
      <c r="X294" s="12"/>
    </row>
    <row r="295" customFormat="false" ht="15.75" hidden="false" customHeight="false" outlineLevel="0" collapsed="false">
      <c r="A295" s="12"/>
      <c r="B295" s="34"/>
      <c r="C295" s="12"/>
      <c r="D295" s="12"/>
      <c r="E295" s="12"/>
      <c r="F295" s="12"/>
      <c r="G295" s="18"/>
      <c r="H295" s="35"/>
      <c r="I295" s="12"/>
      <c r="M295" s="12"/>
      <c r="N295" s="18"/>
      <c r="O295" s="12"/>
      <c r="P295" s="12"/>
      <c r="Q295" s="12"/>
      <c r="R295" s="36"/>
      <c r="S295" s="36"/>
      <c r="T295" s="12"/>
      <c r="U295" s="12"/>
      <c r="V295" s="12"/>
      <c r="W295" s="12"/>
      <c r="X295" s="12"/>
    </row>
    <row r="296" customFormat="false" ht="15.75" hidden="false" customHeight="false" outlineLevel="0" collapsed="false">
      <c r="A296" s="12"/>
      <c r="B296" s="34"/>
      <c r="C296" s="12"/>
      <c r="D296" s="12"/>
      <c r="E296" s="12"/>
      <c r="F296" s="12"/>
      <c r="G296" s="18"/>
      <c r="H296" s="35"/>
      <c r="I296" s="12"/>
      <c r="M296" s="12"/>
      <c r="N296" s="18"/>
      <c r="O296" s="12"/>
      <c r="P296" s="12"/>
      <c r="Q296" s="12"/>
      <c r="R296" s="36"/>
      <c r="S296" s="36"/>
      <c r="T296" s="12"/>
      <c r="U296" s="12"/>
      <c r="V296" s="12"/>
      <c r="W296" s="12"/>
      <c r="X296" s="12"/>
    </row>
    <row r="297" customFormat="false" ht="15.75" hidden="false" customHeight="false" outlineLevel="0" collapsed="false">
      <c r="A297" s="12"/>
      <c r="B297" s="34"/>
      <c r="C297" s="12"/>
      <c r="D297" s="12"/>
      <c r="E297" s="12"/>
      <c r="F297" s="12"/>
      <c r="G297" s="18"/>
      <c r="H297" s="35"/>
      <c r="I297" s="12"/>
      <c r="M297" s="12"/>
      <c r="N297" s="18"/>
      <c r="O297" s="12"/>
      <c r="P297" s="12"/>
      <c r="Q297" s="12"/>
      <c r="R297" s="36"/>
      <c r="S297" s="36"/>
      <c r="T297" s="12"/>
      <c r="U297" s="12"/>
      <c r="V297" s="12"/>
      <c r="W297" s="12"/>
      <c r="X297" s="12"/>
    </row>
    <row r="298" customFormat="false" ht="15.75" hidden="false" customHeight="false" outlineLevel="0" collapsed="false">
      <c r="A298" s="12"/>
      <c r="B298" s="34"/>
      <c r="C298" s="12"/>
      <c r="D298" s="12"/>
      <c r="E298" s="12"/>
      <c r="F298" s="12"/>
      <c r="G298" s="18"/>
      <c r="H298" s="35"/>
      <c r="I298" s="12"/>
      <c r="M298" s="12"/>
      <c r="N298" s="18"/>
      <c r="O298" s="12"/>
      <c r="P298" s="12"/>
      <c r="Q298" s="12"/>
      <c r="R298" s="36"/>
      <c r="S298" s="36"/>
      <c r="T298" s="12"/>
      <c r="U298" s="12"/>
      <c r="V298" s="12"/>
      <c r="W298" s="12"/>
      <c r="X298" s="12"/>
    </row>
    <row r="299" customFormat="false" ht="15.75" hidden="false" customHeight="false" outlineLevel="0" collapsed="false">
      <c r="A299" s="12"/>
      <c r="B299" s="34"/>
      <c r="C299" s="12"/>
      <c r="D299" s="12"/>
      <c r="E299" s="12"/>
      <c r="F299" s="12"/>
      <c r="G299" s="18"/>
      <c r="H299" s="35"/>
      <c r="I299" s="12"/>
      <c r="M299" s="12"/>
      <c r="N299" s="18"/>
      <c r="O299" s="12"/>
      <c r="P299" s="12"/>
      <c r="Q299" s="12"/>
      <c r="R299" s="36"/>
      <c r="S299" s="36"/>
      <c r="T299" s="12"/>
      <c r="U299" s="12"/>
      <c r="V299" s="12"/>
      <c r="W299" s="12"/>
      <c r="X299" s="12"/>
    </row>
    <row r="300" customFormat="false" ht="15.75" hidden="false" customHeight="false" outlineLevel="0" collapsed="false">
      <c r="A300" s="12"/>
      <c r="B300" s="34"/>
      <c r="C300" s="12"/>
      <c r="D300" s="12"/>
      <c r="E300" s="12"/>
      <c r="F300" s="12"/>
      <c r="G300" s="18"/>
      <c r="H300" s="35"/>
      <c r="I300" s="12"/>
      <c r="M300" s="12"/>
      <c r="N300" s="18"/>
      <c r="O300" s="12"/>
      <c r="P300" s="12"/>
      <c r="Q300" s="12"/>
      <c r="R300" s="36"/>
      <c r="S300" s="36"/>
      <c r="T300" s="12"/>
      <c r="U300" s="12"/>
      <c r="V300" s="12"/>
      <c r="W300" s="12"/>
      <c r="X300" s="12"/>
    </row>
    <row r="301" customFormat="false" ht="15.75" hidden="false" customHeight="false" outlineLevel="0" collapsed="false">
      <c r="A301" s="12"/>
      <c r="B301" s="34"/>
      <c r="C301" s="12"/>
      <c r="D301" s="12"/>
      <c r="E301" s="12"/>
      <c r="F301" s="12"/>
      <c r="G301" s="18"/>
      <c r="H301" s="35"/>
      <c r="I301" s="12"/>
      <c r="M301" s="12"/>
      <c r="N301" s="18"/>
      <c r="O301" s="12"/>
      <c r="P301" s="12"/>
      <c r="Q301" s="12"/>
      <c r="R301" s="36"/>
      <c r="S301" s="36"/>
      <c r="T301" s="12"/>
      <c r="U301" s="12"/>
      <c r="V301" s="12"/>
      <c r="W301" s="12"/>
      <c r="X301" s="12"/>
    </row>
    <row r="302" customFormat="false" ht="15.75" hidden="false" customHeight="false" outlineLevel="0" collapsed="false">
      <c r="A302" s="12"/>
      <c r="B302" s="34"/>
      <c r="C302" s="12"/>
      <c r="D302" s="12"/>
      <c r="E302" s="12"/>
      <c r="F302" s="12"/>
      <c r="G302" s="18"/>
      <c r="H302" s="35"/>
      <c r="I302" s="12"/>
      <c r="M302" s="12"/>
      <c r="N302" s="18"/>
      <c r="O302" s="12"/>
      <c r="P302" s="12"/>
      <c r="Q302" s="12"/>
      <c r="R302" s="36"/>
      <c r="S302" s="36"/>
      <c r="T302" s="12"/>
      <c r="U302" s="12"/>
      <c r="V302" s="12"/>
      <c r="W302" s="12"/>
      <c r="X302" s="12"/>
    </row>
    <row r="303" customFormat="false" ht="15.75" hidden="false" customHeight="false" outlineLevel="0" collapsed="false">
      <c r="A303" s="12"/>
      <c r="B303" s="34"/>
      <c r="C303" s="12"/>
      <c r="D303" s="12"/>
      <c r="E303" s="12"/>
      <c r="F303" s="12"/>
      <c r="G303" s="18"/>
      <c r="H303" s="35"/>
      <c r="I303" s="12"/>
      <c r="M303" s="12"/>
      <c r="N303" s="18"/>
      <c r="O303" s="12"/>
      <c r="P303" s="12"/>
      <c r="Q303" s="12"/>
      <c r="R303" s="36"/>
      <c r="S303" s="36"/>
      <c r="T303" s="12"/>
      <c r="U303" s="12"/>
      <c r="V303" s="12"/>
      <c r="W303" s="12"/>
      <c r="X303" s="12"/>
    </row>
    <row r="304" customFormat="false" ht="15.75" hidden="false" customHeight="false" outlineLevel="0" collapsed="false">
      <c r="A304" s="12"/>
      <c r="B304" s="34"/>
      <c r="C304" s="12"/>
      <c r="D304" s="12"/>
      <c r="E304" s="12"/>
      <c r="F304" s="12"/>
      <c r="G304" s="18"/>
      <c r="H304" s="35"/>
      <c r="I304" s="12"/>
      <c r="M304" s="12"/>
      <c r="N304" s="18"/>
      <c r="O304" s="12"/>
      <c r="P304" s="12"/>
      <c r="Q304" s="12"/>
      <c r="R304" s="36"/>
      <c r="S304" s="36"/>
      <c r="T304" s="12"/>
      <c r="U304" s="12"/>
      <c r="V304" s="12"/>
      <c r="W304" s="12"/>
      <c r="X304" s="12"/>
    </row>
    <row r="305" customFormat="false" ht="15.75" hidden="false" customHeight="false" outlineLevel="0" collapsed="false">
      <c r="A305" s="12"/>
      <c r="B305" s="34"/>
      <c r="C305" s="12"/>
      <c r="D305" s="12"/>
      <c r="E305" s="12"/>
      <c r="F305" s="12"/>
      <c r="G305" s="18"/>
      <c r="H305" s="35"/>
      <c r="I305" s="12"/>
      <c r="M305" s="12"/>
      <c r="N305" s="18"/>
      <c r="O305" s="12"/>
      <c r="P305" s="12"/>
      <c r="Q305" s="12"/>
      <c r="R305" s="36"/>
      <c r="S305" s="36"/>
      <c r="T305" s="12"/>
      <c r="U305" s="12"/>
      <c r="V305" s="12"/>
      <c r="W305" s="12"/>
      <c r="X305" s="12"/>
    </row>
    <row r="306" customFormat="false" ht="15.75" hidden="false" customHeight="false" outlineLevel="0" collapsed="false">
      <c r="A306" s="12"/>
      <c r="B306" s="34"/>
      <c r="C306" s="12"/>
      <c r="D306" s="12"/>
      <c r="E306" s="12"/>
      <c r="F306" s="12"/>
      <c r="G306" s="18"/>
      <c r="H306" s="35"/>
      <c r="I306" s="12"/>
      <c r="M306" s="12"/>
      <c r="N306" s="18"/>
      <c r="O306" s="12"/>
      <c r="P306" s="12"/>
      <c r="Q306" s="12"/>
      <c r="R306" s="36"/>
      <c r="S306" s="36"/>
      <c r="T306" s="12"/>
      <c r="U306" s="12"/>
      <c r="V306" s="12"/>
      <c r="W306" s="12"/>
      <c r="X306" s="12"/>
    </row>
    <row r="307" customFormat="false" ht="15.75" hidden="false" customHeight="false" outlineLevel="0" collapsed="false">
      <c r="A307" s="12"/>
      <c r="B307" s="34"/>
      <c r="C307" s="12"/>
      <c r="D307" s="12"/>
      <c r="E307" s="12"/>
      <c r="F307" s="12"/>
      <c r="G307" s="18"/>
      <c r="H307" s="35"/>
      <c r="I307" s="12"/>
      <c r="M307" s="12"/>
      <c r="N307" s="18"/>
      <c r="O307" s="12"/>
      <c r="P307" s="12"/>
      <c r="Q307" s="12"/>
      <c r="R307" s="36"/>
      <c r="S307" s="36"/>
      <c r="T307" s="12"/>
      <c r="U307" s="12"/>
      <c r="V307" s="12"/>
      <c r="W307" s="12"/>
      <c r="X307" s="12"/>
    </row>
    <row r="308" customFormat="false" ht="15.75" hidden="false" customHeight="false" outlineLevel="0" collapsed="false">
      <c r="A308" s="12"/>
      <c r="B308" s="34"/>
      <c r="C308" s="12"/>
      <c r="D308" s="12"/>
      <c r="E308" s="12"/>
      <c r="F308" s="12"/>
      <c r="G308" s="18"/>
      <c r="H308" s="35"/>
      <c r="I308" s="12"/>
      <c r="M308" s="12"/>
      <c r="N308" s="18"/>
      <c r="O308" s="12"/>
      <c r="P308" s="12"/>
      <c r="Q308" s="12"/>
      <c r="R308" s="36"/>
      <c r="S308" s="36"/>
      <c r="T308" s="12"/>
      <c r="U308" s="12"/>
      <c r="V308" s="12"/>
      <c r="W308" s="12"/>
      <c r="X308" s="12"/>
    </row>
    <row r="309" customFormat="false" ht="15.75" hidden="false" customHeight="false" outlineLevel="0" collapsed="false">
      <c r="A309" s="12"/>
      <c r="B309" s="34"/>
      <c r="C309" s="12"/>
      <c r="D309" s="12"/>
      <c r="E309" s="12"/>
      <c r="F309" s="12"/>
      <c r="G309" s="18"/>
      <c r="H309" s="35"/>
      <c r="I309" s="12"/>
      <c r="M309" s="12"/>
      <c r="N309" s="18"/>
      <c r="O309" s="12"/>
      <c r="P309" s="12"/>
      <c r="Q309" s="12"/>
      <c r="R309" s="36"/>
      <c r="S309" s="36"/>
      <c r="T309" s="12"/>
      <c r="U309" s="12"/>
      <c r="V309" s="12"/>
      <c r="W309" s="12"/>
      <c r="X309" s="12"/>
    </row>
    <row r="310" customFormat="false" ht="15.75" hidden="false" customHeight="false" outlineLevel="0" collapsed="false">
      <c r="A310" s="12"/>
      <c r="B310" s="34"/>
      <c r="C310" s="12"/>
      <c r="D310" s="12"/>
      <c r="E310" s="12"/>
      <c r="F310" s="12"/>
      <c r="G310" s="18"/>
      <c r="H310" s="35"/>
      <c r="I310" s="12"/>
      <c r="M310" s="12"/>
      <c r="N310" s="18"/>
      <c r="O310" s="12"/>
      <c r="P310" s="12"/>
      <c r="Q310" s="12"/>
      <c r="R310" s="36"/>
      <c r="S310" s="36"/>
      <c r="T310" s="12"/>
      <c r="U310" s="12"/>
      <c r="V310" s="12"/>
      <c r="W310" s="12"/>
      <c r="X310" s="12"/>
    </row>
    <row r="311" customFormat="false" ht="15.75" hidden="false" customHeight="false" outlineLevel="0" collapsed="false">
      <c r="A311" s="12"/>
      <c r="B311" s="34"/>
      <c r="C311" s="12"/>
      <c r="D311" s="12"/>
      <c r="E311" s="12"/>
      <c r="F311" s="12"/>
      <c r="G311" s="18"/>
      <c r="H311" s="35"/>
      <c r="I311" s="12"/>
      <c r="M311" s="12"/>
      <c r="N311" s="18"/>
      <c r="O311" s="12"/>
      <c r="P311" s="12"/>
      <c r="Q311" s="12"/>
      <c r="R311" s="36"/>
      <c r="S311" s="36"/>
      <c r="T311" s="12"/>
      <c r="U311" s="12"/>
      <c r="V311" s="12"/>
      <c r="W311" s="12"/>
      <c r="X311" s="12"/>
    </row>
    <row r="312" customFormat="false" ht="15.75" hidden="false" customHeight="false" outlineLevel="0" collapsed="false">
      <c r="A312" s="12"/>
      <c r="B312" s="34"/>
      <c r="C312" s="12"/>
      <c r="D312" s="12"/>
      <c r="E312" s="12"/>
      <c r="F312" s="12"/>
      <c r="G312" s="18"/>
      <c r="H312" s="35"/>
      <c r="I312" s="12"/>
      <c r="M312" s="12"/>
      <c r="N312" s="18"/>
      <c r="O312" s="12"/>
      <c r="P312" s="12"/>
      <c r="Q312" s="12"/>
      <c r="R312" s="36"/>
      <c r="S312" s="36"/>
      <c r="T312" s="12"/>
      <c r="U312" s="12"/>
      <c r="V312" s="12"/>
      <c r="W312" s="12"/>
      <c r="X312" s="12"/>
    </row>
    <row r="313" customFormat="false" ht="15.75" hidden="false" customHeight="false" outlineLevel="0" collapsed="false">
      <c r="A313" s="12"/>
      <c r="B313" s="34"/>
      <c r="C313" s="12"/>
      <c r="D313" s="12"/>
      <c r="E313" s="12"/>
      <c r="F313" s="12"/>
      <c r="G313" s="18"/>
      <c r="H313" s="35"/>
      <c r="I313" s="12"/>
      <c r="M313" s="12"/>
      <c r="N313" s="18"/>
      <c r="O313" s="12"/>
      <c r="P313" s="12"/>
      <c r="Q313" s="12"/>
      <c r="R313" s="36"/>
      <c r="S313" s="36"/>
      <c r="T313" s="12"/>
      <c r="U313" s="12"/>
      <c r="V313" s="12"/>
      <c r="W313" s="12"/>
      <c r="X313" s="12"/>
    </row>
    <row r="314" customFormat="false" ht="15.75" hidden="false" customHeight="false" outlineLevel="0" collapsed="false">
      <c r="A314" s="12"/>
      <c r="B314" s="34"/>
      <c r="C314" s="12"/>
      <c r="D314" s="12"/>
      <c r="E314" s="12"/>
      <c r="F314" s="12"/>
      <c r="G314" s="18"/>
      <c r="H314" s="35"/>
      <c r="I314" s="12"/>
      <c r="M314" s="12"/>
      <c r="N314" s="18"/>
      <c r="O314" s="12"/>
      <c r="P314" s="12"/>
      <c r="Q314" s="12"/>
      <c r="R314" s="36"/>
      <c r="S314" s="36"/>
      <c r="T314" s="12"/>
      <c r="U314" s="12"/>
      <c r="V314" s="12"/>
      <c r="W314" s="12"/>
      <c r="X314" s="12"/>
    </row>
    <row r="315" customFormat="false" ht="15.75" hidden="false" customHeight="false" outlineLevel="0" collapsed="false">
      <c r="A315" s="12"/>
      <c r="B315" s="34"/>
      <c r="C315" s="12"/>
      <c r="D315" s="12"/>
      <c r="E315" s="12"/>
      <c r="F315" s="12"/>
      <c r="G315" s="18"/>
      <c r="H315" s="35"/>
      <c r="I315" s="12"/>
      <c r="M315" s="12"/>
      <c r="N315" s="18"/>
      <c r="O315" s="12"/>
      <c r="P315" s="12"/>
      <c r="Q315" s="12"/>
      <c r="R315" s="36"/>
      <c r="S315" s="36"/>
      <c r="T315" s="12"/>
      <c r="U315" s="12"/>
      <c r="V315" s="12"/>
      <c r="W315" s="12"/>
      <c r="X315" s="12"/>
    </row>
    <row r="316" customFormat="false" ht="15.75" hidden="false" customHeight="false" outlineLevel="0" collapsed="false">
      <c r="A316" s="12"/>
      <c r="B316" s="34"/>
      <c r="C316" s="12"/>
      <c r="D316" s="12"/>
      <c r="E316" s="12"/>
      <c r="F316" s="12"/>
      <c r="G316" s="18"/>
      <c r="H316" s="35"/>
      <c r="I316" s="12"/>
      <c r="M316" s="12"/>
      <c r="N316" s="18"/>
      <c r="O316" s="12"/>
      <c r="P316" s="12"/>
      <c r="Q316" s="12"/>
      <c r="R316" s="36"/>
      <c r="S316" s="36"/>
      <c r="T316" s="12"/>
      <c r="U316" s="12"/>
      <c r="V316" s="12"/>
      <c r="W316" s="12"/>
      <c r="X316" s="12"/>
    </row>
    <row r="317" customFormat="false" ht="15.75" hidden="false" customHeight="false" outlineLevel="0" collapsed="false">
      <c r="A317" s="12"/>
      <c r="B317" s="34"/>
      <c r="C317" s="12"/>
      <c r="D317" s="12"/>
      <c r="E317" s="12"/>
      <c r="F317" s="12"/>
      <c r="G317" s="18"/>
      <c r="H317" s="35"/>
      <c r="I317" s="12"/>
      <c r="M317" s="12"/>
      <c r="N317" s="18"/>
      <c r="O317" s="12"/>
      <c r="P317" s="12"/>
      <c r="Q317" s="12"/>
      <c r="R317" s="36"/>
      <c r="S317" s="36"/>
      <c r="T317" s="12"/>
      <c r="U317" s="12"/>
      <c r="V317" s="12"/>
      <c r="W317" s="12"/>
      <c r="X317" s="12"/>
    </row>
    <row r="318" customFormat="false" ht="15.75" hidden="false" customHeight="false" outlineLevel="0" collapsed="false">
      <c r="A318" s="12"/>
      <c r="B318" s="34"/>
      <c r="C318" s="12"/>
      <c r="D318" s="12"/>
      <c r="E318" s="12"/>
      <c r="F318" s="12"/>
      <c r="G318" s="18"/>
      <c r="H318" s="35"/>
      <c r="I318" s="12"/>
      <c r="M318" s="12"/>
      <c r="N318" s="18"/>
      <c r="O318" s="12"/>
      <c r="P318" s="12"/>
      <c r="Q318" s="12"/>
      <c r="R318" s="36"/>
      <c r="S318" s="36"/>
      <c r="T318" s="12"/>
      <c r="U318" s="12"/>
      <c r="V318" s="12"/>
      <c r="W318" s="12"/>
      <c r="X318" s="12"/>
    </row>
    <row r="319" customFormat="false" ht="15.75" hidden="false" customHeight="false" outlineLevel="0" collapsed="false">
      <c r="A319" s="12"/>
      <c r="B319" s="34"/>
      <c r="C319" s="12"/>
      <c r="D319" s="12"/>
      <c r="E319" s="12"/>
      <c r="F319" s="12"/>
      <c r="G319" s="18"/>
      <c r="H319" s="35"/>
      <c r="I319" s="12"/>
      <c r="M319" s="12"/>
      <c r="N319" s="18"/>
      <c r="O319" s="12"/>
      <c r="P319" s="12"/>
      <c r="Q319" s="12"/>
      <c r="R319" s="36"/>
      <c r="S319" s="36"/>
      <c r="T319" s="12"/>
      <c r="U319" s="12"/>
      <c r="V319" s="12"/>
      <c r="W319" s="12"/>
      <c r="X319" s="12"/>
    </row>
    <row r="320" customFormat="false" ht="15.75" hidden="false" customHeight="false" outlineLevel="0" collapsed="false">
      <c r="A320" s="12"/>
      <c r="B320" s="34"/>
      <c r="C320" s="12"/>
      <c r="D320" s="12"/>
      <c r="E320" s="12"/>
      <c r="F320" s="12"/>
      <c r="G320" s="18"/>
      <c r="H320" s="35"/>
      <c r="I320" s="12"/>
      <c r="M320" s="12"/>
      <c r="N320" s="18"/>
      <c r="O320" s="12"/>
      <c r="P320" s="12"/>
      <c r="Q320" s="12"/>
      <c r="R320" s="36"/>
      <c r="S320" s="36"/>
      <c r="T320" s="12"/>
      <c r="U320" s="12"/>
      <c r="V320" s="12"/>
      <c r="W320" s="12"/>
      <c r="X320" s="12"/>
    </row>
    <row r="321" customFormat="false" ht="15.75" hidden="false" customHeight="false" outlineLevel="0" collapsed="false">
      <c r="A321" s="12"/>
      <c r="B321" s="34"/>
      <c r="C321" s="12"/>
      <c r="D321" s="12"/>
      <c r="E321" s="12"/>
      <c r="F321" s="12"/>
      <c r="G321" s="18"/>
      <c r="H321" s="35"/>
      <c r="I321" s="12"/>
      <c r="M321" s="12"/>
      <c r="N321" s="18"/>
      <c r="O321" s="12"/>
      <c r="P321" s="12"/>
      <c r="Q321" s="12"/>
      <c r="R321" s="36"/>
      <c r="S321" s="36"/>
      <c r="T321" s="12"/>
      <c r="U321" s="12"/>
      <c r="V321" s="12"/>
      <c r="W321" s="12"/>
      <c r="X321" s="12"/>
    </row>
    <row r="322" customFormat="false" ht="15.75" hidden="false" customHeight="false" outlineLevel="0" collapsed="false">
      <c r="A322" s="12"/>
      <c r="B322" s="34"/>
      <c r="C322" s="12"/>
      <c r="D322" s="12"/>
      <c r="E322" s="12"/>
      <c r="F322" s="12"/>
      <c r="G322" s="18"/>
      <c r="H322" s="35"/>
      <c r="I322" s="12"/>
      <c r="M322" s="12"/>
      <c r="N322" s="18"/>
      <c r="O322" s="12"/>
      <c r="P322" s="12"/>
      <c r="Q322" s="12"/>
      <c r="R322" s="36"/>
      <c r="S322" s="36"/>
      <c r="T322" s="12"/>
      <c r="U322" s="12"/>
      <c r="V322" s="12"/>
      <c r="W322" s="12"/>
      <c r="X322" s="12"/>
    </row>
    <row r="323" customFormat="false" ht="15.75" hidden="false" customHeight="false" outlineLevel="0" collapsed="false">
      <c r="A323" s="12"/>
      <c r="B323" s="34"/>
      <c r="C323" s="12"/>
      <c r="D323" s="12"/>
      <c r="E323" s="12"/>
      <c r="F323" s="12"/>
      <c r="G323" s="18"/>
      <c r="H323" s="35"/>
      <c r="I323" s="12"/>
      <c r="M323" s="12"/>
      <c r="N323" s="18"/>
      <c r="O323" s="12"/>
      <c r="P323" s="12"/>
      <c r="Q323" s="12"/>
      <c r="R323" s="36"/>
      <c r="S323" s="36"/>
      <c r="T323" s="12"/>
      <c r="U323" s="12"/>
      <c r="V323" s="12"/>
      <c r="W323" s="12"/>
      <c r="X323" s="12"/>
    </row>
    <row r="324" customFormat="false" ht="15.75" hidden="false" customHeight="false" outlineLevel="0" collapsed="false">
      <c r="A324" s="12"/>
      <c r="B324" s="34"/>
      <c r="C324" s="12"/>
      <c r="D324" s="12"/>
      <c r="E324" s="12"/>
      <c r="F324" s="12"/>
      <c r="G324" s="18"/>
      <c r="H324" s="35"/>
      <c r="I324" s="12"/>
      <c r="M324" s="12"/>
      <c r="N324" s="18"/>
      <c r="O324" s="12"/>
      <c r="P324" s="12"/>
      <c r="Q324" s="12"/>
      <c r="R324" s="36"/>
      <c r="S324" s="36"/>
      <c r="T324" s="12"/>
      <c r="U324" s="12"/>
      <c r="V324" s="12"/>
      <c r="W324" s="12"/>
      <c r="X324" s="12"/>
    </row>
    <row r="325" customFormat="false" ht="15.75" hidden="false" customHeight="false" outlineLevel="0" collapsed="false">
      <c r="A325" s="12"/>
      <c r="B325" s="34"/>
      <c r="C325" s="12"/>
      <c r="D325" s="12"/>
      <c r="E325" s="12"/>
      <c r="F325" s="12"/>
      <c r="G325" s="18"/>
      <c r="H325" s="35"/>
      <c r="I325" s="12"/>
      <c r="M325" s="12"/>
      <c r="N325" s="18"/>
      <c r="O325" s="12"/>
      <c r="P325" s="12"/>
      <c r="Q325" s="12"/>
      <c r="R325" s="36"/>
      <c r="S325" s="36"/>
      <c r="T325" s="12"/>
      <c r="U325" s="12"/>
      <c r="V325" s="12"/>
      <c r="W325" s="12"/>
      <c r="X325" s="12"/>
    </row>
    <row r="326" customFormat="false" ht="15.75" hidden="false" customHeight="false" outlineLevel="0" collapsed="false">
      <c r="A326" s="12"/>
      <c r="B326" s="34"/>
      <c r="C326" s="12"/>
      <c r="D326" s="12"/>
      <c r="E326" s="12"/>
      <c r="F326" s="12"/>
      <c r="G326" s="18"/>
      <c r="H326" s="35"/>
      <c r="I326" s="12"/>
      <c r="M326" s="12"/>
      <c r="N326" s="18"/>
      <c r="O326" s="12"/>
      <c r="P326" s="12"/>
      <c r="Q326" s="12"/>
      <c r="R326" s="36"/>
      <c r="S326" s="36"/>
      <c r="T326" s="12"/>
      <c r="U326" s="12"/>
      <c r="V326" s="12"/>
      <c r="W326" s="12"/>
      <c r="X326" s="12"/>
    </row>
    <row r="327" customFormat="false" ht="15.75" hidden="false" customHeight="false" outlineLevel="0" collapsed="false">
      <c r="A327" s="12"/>
      <c r="B327" s="34"/>
      <c r="C327" s="12"/>
      <c r="D327" s="12"/>
      <c r="E327" s="12"/>
      <c r="F327" s="12"/>
      <c r="G327" s="18"/>
      <c r="H327" s="35"/>
      <c r="I327" s="12"/>
      <c r="M327" s="12"/>
      <c r="N327" s="18"/>
      <c r="O327" s="12"/>
      <c r="P327" s="12"/>
      <c r="Q327" s="12"/>
      <c r="R327" s="36"/>
      <c r="S327" s="36"/>
      <c r="T327" s="12"/>
      <c r="U327" s="12"/>
      <c r="V327" s="12"/>
      <c r="W327" s="12"/>
      <c r="X327" s="12"/>
    </row>
    <row r="328" customFormat="false" ht="15.75" hidden="false" customHeight="false" outlineLevel="0" collapsed="false">
      <c r="A328" s="12"/>
      <c r="B328" s="34"/>
      <c r="C328" s="12"/>
      <c r="D328" s="12"/>
      <c r="E328" s="12"/>
      <c r="F328" s="12"/>
      <c r="G328" s="18"/>
      <c r="H328" s="35"/>
      <c r="I328" s="12"/>
      <c r="M328" s="12"/>
      <c r="N328" s="18"/>
      <c r="O328" s="12"/>
      <c r="P328" s="12"/>
      <c r="Q328" s="12"/>
      <c r="R328" s="36"/>
      <c r="S328" s="36"/>
      <c r="T328" s="12"/>
      <c r="U328" s="12"/>
      <c r="V328" s="12"/>
      <c r="W328" s="12"/>
      <c r="X328" s="12"/>
    </row>
    <row r="329" customFormat="false" ht="15.75" hidden="false" customHeight="false" outlineLevel="0" collapsed="false">
      <c r="A329" s="12"/>
      <c r="B329" s="34"/>
      <c r="C329" s="12"/>
      <c r="D329" s="12"/>
      <c r="E329" s="12"/>
      <c r="F329" s="12"/>
      <c r="G329" s="18"/>
      <c r="H329" s="35"/>
      <c r="I329" s="12"/>
      <c r="M329" s="12"/>
      <c r="N329" s="18"/>
      <c r="O329" s="12"/>
      <c r="P329" s="12"/>
      <c r="Q329" s="12"/>
      <c r="R329" s="36"/>
      <c r="S329" s="36"/>
      <c r="T329" s="12"/>
      <c r="U329" s="12"/>
      <c r="V329" s="12"/>
      <c r="W329" s="12"/>
      <c r="X329" s="12"/>
    </row>
    <row r="330" customFormat="false" ht="15.75" hidden="false" customHeight="false" outlineLevel="0" collapsed="false">
      <c r="A330" s="12"/>
      <c r="B330" s="34"/>
      <c r="C330" s="12"/>
      <c r="D330" s="12"/>
      <c r="E330" s="12"/>
      <c r="F330" s="12"/>
      <c r="G330" s="18"/>
      <c r="H330" s="35"/>
      <c r="I330" s="12"/>
      <c r="M330" s="12"/>
      <c r="N330" s="18"/>
      <c r="O330" s="12"/>
      <c r="P330" s="12"/>
      <c r="Q330" s="12"/>
      <c r="R330" s="36"/>
      <c r="S330" s="36"/>
      <c r="T330" s="12"/>
      <c r="U330" s="12"/>
      <c r="V330" s="12"/>
      <c r="W330" s="12"/>
      <c r="X330" s="12"/>
    </row>
    <row r="331" customFormat="false" ht="15.75" hidden="false" customHeight="false" outlineLevel="0" collapsed="false">
      <c r="A331" s="12"/>
      <c r="B331" s="34"/>
      <c r="C331" s="12"/>
      <c r="D331" s="12"/>
      <c r="E331" s="12"/>
      <c r="F331" s="12"/>
      <c r="G331" s="18"/>
      <c r="H331" s="35"/>
      <c r="I331" s="12"/>
      <c r="M331" s="12"/>
      <c r="N331" s="18"/>
      <c r="O331" s="12"/>
      <c r="P331" s="12"/>
      <c r="Q331" s="12"/>
      <c r="R331" s="36"/>
      <c r="S331" s="36"/>
      <c r="T331" s="12"/>
      <c r="U331" s="12"/>
      <c r="V331" s="12"/>
      <c r="W331" s="12"/>
      <c r="X331" s="12"/>
    </row>
    <row r="332" customFormat="false" ht="15.75" hidden="false" customHeight="false" outlineLevel="0" collapsed="false">
      <c r="A332" s="12"/>
      <c r="B332" s="34"/>
      <c r="C332" s="12"/>
      <c r="D332" s="12"/>
      <c r="E332" s="12"/>
      <c r="F332" s="12"/>
      <c r="G332" s="18"/>
      <c r="H332" s="35"/>
      <c r="I332" s="12"/>
      <c r="M332" s="12"/>
      <c r="N332" s="18"/>
      <c r="O332" s="12"/>
      <c r="P332" s="12"/>
      <c r="Q332" s="12"/>
      <c r="R332" s="36"/>
      <c r="S332" s="36"/>
      <c r="T332" s="12"/>
      <c r="U332" s="12"/>
      <c r="V332" s="12"/>
      <c r="W332" s="12"/>
      <c r="X332" s="12"/>
    </row>
    <row r="333" customFormat="false" ht="15.75" hidden="false" customHeight="false" outlineLevel="0" collapsed="false">
      <c r="A333" s="12"/>
      <c r="B333" s="34"/>
      <c r="C333" s="12"/>
      <c r="D333" s="12"/>
      <c r="E333" s="12"/>
      <c r="F333" s="12"/>
      <c r="G333" s="18"/>
      <c r="H333" s="35"/>
      <c r="I333" s="12"/>
      <c r="M333" s="12"/>
      <c r="N333" s="18"/>
      <c r="O333" s="12"/>
      <c r="P333" s="12"/>
      <c r="Q333" s="12"/>
      <c r="R333" s="36"/>
      <c r="S333" s="36"/>
      <c r="T333" s="12"/>
      <c r="U333" s="12"/>
      <c r="V333" s="12"/>
      <c r="W333" s="12"/>
      <c r="X333" s="12"/>
    </row>
    <row r="334" customFormat="false" ht="15.75" hidden="false" customHeight="false" outlineLevel="0" collapsed="false">
      <c r="A334" s="12"/>
      <c r="B334" s="34"/>
      <c r="C334" s="12"/>
      <c r="D334" s="12"/>
      <c r="E334" s="12"/>
      <c r="F334" s="12"/>
      <c r="G334" s="18"/>
      <c r="H334" s="35"/>
      <c r="I334" s="12"/>
      <c r="M334" s="12"/>
      <c r="N334" s="18"/>
      <c r="O334" s="12"/>
      <c r="P334" s="12"/>
      <c r="Q334" s="12"/>
      <c r="R334" s="36"/>
      <c r="S334" s="36"/>
      <c r="T334" s="12"/>
      <c r="U334" s="12"/>
      <c r="V334" s="12"/>
      <c r="W334" s="12"/>
      <c r="X334" s="12"/>
    </row>
    <row r="335" customFormat="false" ht="15.75" hidden="false" customHeight="false" outlineLevel="0" collapsed="false">
      <c r="A335" s="12"/>
      <c r="B335" s="34"/>
      <c r="C335" s="12"/>
      <c r="D335" s="12"/>
      <c r="E335" s="12"/>
      <c r="F335" s="12"/>
      <c r="G335" s="18"/>
      <c r="H335" s="35"/>
      <c r="I335" s="12"/>
      <c r="M335" s="12"/>
      <c r="N335" s="18"/>
      <c r="O335" s="12"/>
      <c r="P335" s="12"/>
      <c r="Q335" s="12"/>
      <c r="R335" s="36"/>
      <c r="S335" s="36"/>
      <c r="T335" s="12"/>
      <c r="U335" s="12"/>
      <c r="V335" s="12"/>
      <c r="W335" s="12"/>
      <c r="X335" s="12"/>
    </row>
    <row r="336" customFormat="false" ht="15.75" hidden="false" customHeight="false" outlineLevel="0" collapsed="false">
      <c r="A336" s="12"/>
      <c r="B336" s="34"/>
      <c r="C336" s="12"/>
      <c r="D336" s="12"/>
      <c r="E336" s="12"/>
      <c r="F336" s="12"/>
      <c r="G336" s="18"/>
      <c r="H336" s="35"/>
      <c r="I336" s="12"/>
      <c r="M336" s="12"/>
      <c r="N336" s="18"/>
      <c r="O336" s="12"/>
      <c r="P336" s="12"/>
      <c r="Q336" s="12"/>
      <c r="R336" s="36"/>
      <c r="S336" s="36"/>
      <c r="T336" s="12"/>
      <c r="U336" s="12"/>
      <c r="V336" s="12"/>
      <c r="W336" s="12"/>
      <c r="X336" s="12"/>
    </row>
    <row r="337" customFormat="false" ht="15.75" hidden="false" customHeight="false" outlineLevel="0" collapsed="false">
      <c r="A337" s="12"/>
      <c r="B337" s="34"/>
      <c r="C337" s="12"/>
      <c r="D337" s="12"/>
      <c r="E337" s="12"/>
      <c r="F337" s="12"/>
      <c r="G337" s="18"/>
      <c r="H337" s="35"/>
      <c r="I337" s="12"/>
      <c r="M337" s="12"/>
      <c r="N337" s="18"/>
      <c r="O337" s="12"/>
      <c r="P337" s="12"/>
      <c r="Q337" s="12"/>
      <c r="R337" s="36"/>
      <c r="S337" s="36"/>
      <c r="T337" s="12"/>
      <c r="U337" s="12"/>
      <c r="V337" s="12"/>
      <c r="W337" s="12"/>
      <c r="X337" s="12"/>
    </row>
    <row r="338" customFormat="false" ht="15.75" hidden="false" customHeight="false" outlineLevel="0" collapsed="false">
      <c r="A338" s="12"/>
      <c r="B338" s="34"/>
      <c r="C338" s="12"/>
      <c r="D338" s="12"/>
      <c r="E338" s="12"/>
      <c r="F338" s="12"/>
      <c r="G338" s="18"/>
      <c r="H338" s="35"/>
      <c r="I338" s="12"/>
      <c r="M338" s="12"/>
      <c r="N338" s="18"/>
      <c r="O338" s="12"/>
      <c r="P338" s="12"/>
      <c r="Q338" s="12"/>
      <c r="R338" s="36"/>
      <c r="S338" s="36"/>
      <c r="T338" s="12"/>
      <c r="U338" s="12"/>
      <c r="V338" s="12"/>
      <c r="W338" s="12"/>
      <c r="X338" s="12"/>
    </row>
    <row r="339" customFormat="false" ht="15.75" hidden="false" customHeight="false" outlineLevel="0" collapsed="false">
      <c r="A339" s="12"/>
      <c r="B339" s="34"/>
      <c r="C339" s="12"/>
      <c r="D339" s="12"/>
      <c r="E339" s="12"/>
      <c r="F339" s="12"/>
      <c r="G339" s="18"/>
      <c r="H339" s="35"/>
      <c r="I339" s="12"/>
      <c r="M339" s="12"/>
      <c r="N339" s="18"/>
      <c r="O339" s="12"/>
      <c r="P339" s="12"/>
      <c r="Q339" s="12"/>
      <c r="R339" s="36"/>
      <c r="S339" s="36"/>
      <c r="T339" s="12"/>
      <c r="U339" s="12"/>
      <c r="V339" s="12"/>
      <c r="W339" s="12"/>
      <c r="X339" s="12"/>
    </row>
    <row r="340" customFormat="false" ht="15.75" hidden="false" customHeight="false" outlineLevel="0" collapsed="false">
      <c r="A340" s="12"/>
      <c r="B340" s="34"/>
      <c r="C340" s="12"/>
      <c r="D340" s="12"/>
      <c r="E340" s="12"/>
      <c r="F340" s="12"/>
      <c r="G340" s="18"/>
      <c r="H340" s="35"/>
      <c r="I340" s="12"/>
      <c r="M340" s="12"/>
      <c r="N340" s="18"/>
      <c r="O340" s="12"/>
      <c r="P340" s="12"/>
      <c r="Q340" s="12"/>
      <c r="R340" s="36"/>
      <c r="S340" s="36"/>
      <c r="T340" s="12"/>
      <c r="U340" s="12"/>
      <c r="V340" s="12"/>
      <c r="W340" s="12"/>
      <c r="X340" s="12"/>
    </row>
    <row r="341" customFormat="false" ht="15.75" hidden="false" customHeight="false" outlineLevel="0" collapsed="false">
      <c r="A341" s="12"/>
      <c r="B341" s="34"/>
      <c r="C341" s="12"/>
      <c r="D341" s="12"/>
      <c r="E341" s="12"/>
      <c r="F341" s="12"/>
      <c r="G341" s="18"/>
      <c r="H341" s="35"/>
      <c r="I341" s="12"/>
      <c r="M341" s="12"/>
      <c r="N341" s="18"/>
      <c r="O341" s="12"/>
      <c r="P341" s="12"/>
      <c r="Q341" s="12"/>
      <c r="R341" s="36"/>
      <c r="S341" s="36"/>
      <c r="T341" s="12"/>
      <c r="U341" s="12"/>
      <c r="V341" s="12"/>
      <c r="W341" s="12"/>
      <c r="X341" s="12"/>
    </row>
    <row r="342" customFormat="false" ht="15.75" hidden="false" customHeight="false" outlineLevel="0" collapsed="false">
      <c r="A342" s="12"/>
      <c r="B342" s="34"/>
      <c r="C342" s="12"/>
      <c r="D342" s="12"/>
      <c r="E342" s="12"/>
      <c r="F342" s="12"/>
      <c r="G342" s="18"/>
      <c r="H342" s="35"/>
      <c r="I342" s="12"/>
      <c r="M342" s="12"/>
      <c r="N342" s="18"/>
      <c r="O342" s="12"/>
      <c r="P342" s="12"/>
      <c r="Q342" s="12"/>
      <c r="R342" s="36"/>
      <c r="S342" s="36"/>
      <c r="T342" s="12"/>
      <c r="U342" s="12"/>
      <c r="V342" s="12"/>
      <c r="W342" s="12"/>
      <c r="X342" s="12"/>
    </row>
    <row r="343" customFormat="false" ht="15.75" hidden="false" customHeight="false" outlineLevel="0" collapsed="false">
      <c r="A343" s="12"/>
      <c r="B343" s="34"/>
      <c r="C343" s="12"/>
      <c r="D343" s="12"/>
      <c r="E343" s="12"/>
      <c r="F343" s="12"/>
      <c r="G343" s="18"/>
      <c r="H343" s="35"/>
      <c r="I343" s="12"/>
      <c r="M343" s="12"/>
      <c r="N343" s="18"/>
      <c r="O343" s="12"/>
      <c r="P343" s="12"/>
      <c r="Q343" s="12"/>
      <c r="R343" s="36"/>
      <c r="S343" s="36"/>
      <c r="T343" s="12"/>
      <c r="U343" s="12"/>
      <c r="V343" s="12"/>
      <c r="W343" s="12"/>
      <c r="X343" s="12"/>
    </row>
    <row r="344" customFormat="false" ht="15.75" hidden="false" customHeight="false" outlineLevel="0" collapsed="false">
      <c r="A344" s="12"/>
      <c r="B344" s="34"/>
      <c r="C344" s="12"/>
      <c r="D344" s="12"/>
      <c r="E344" s="12"/>
      <c r="F344" s="12"/>
      <c r="G344" s="18"/>
      <c r="H344" s="35"/>
      <c r="I344" s="12"/>
      <c r="M344" s="12"/>
      <c r="N344" s="18"/>
      <c r="O344" s="12"/>
      <c r="P344" s="12"/>
      <c r="Q344" s="12"/>
      <c r="R344" s="36"/>
      <c r="S344" s="36"/>
      <c r="T344" s="12"/>
      <c r="U344" s="12"/>
      <c r="V344" s="12"/>
      <c r="W344" s="12"/>
      <c r="X344" s="12"/>
    </row>
    <row r="345" customFormat="false" ht="15.75" hidden="false" customHeight="false" outlineLevel="0" collapsed="false">
      <c r="A345" s="12"/>
      <c r="B345" s="34"/>
      <c r="C345" s="12"/>
      <c r="D345" s="12"/>
      <c r="E345" s="12"/>
      <c r="F345" s="12"/>
      <c r="G345" s="18"/>
      <c r="H345" s="35"/>
      <c r="I345" s="12"/>
      <c r="M345" s="12"/>
      <c r="N345" s="18"/>
      <c r="O345" s="12"/>
      <c r="P345" s="12"/>
      <c r="Q345" s="12"/>
      <c r="R345" s="36"/>
      <c r="S345" s="36"/>
      <c r="T345" s="12"/>
      <c r="U345" s="12"/>
      <c r="V345" s="12"/>
      <c r="W345" s="12"/>
      <c r="X345" s="12"/>
    </row>
    <row r="346" customFormat="false" ht="15.75" hidden="false" customHeight="false" outlineLevel="0" collapsed="false">
      <c r="A346" s="12"/>
      <c r="B346" s="34"/>
      <c r="C346" s="12"/>
      <c r="D346" s="12"/>
      <c r="E346" s="12"/>
      <c r="F346" s="12"/>
      <c r="G346" s="18"/>
      <c r="H346" s="35"/>
      <c r="I346" s="12"/>
      <c r="M346" s="12"/>
      <c r="N346" s="18"/>
      <c r="O346" s="12"/>
      <c r="P346" s="12"/>
      <c r="Q346" s="12"/>
      <c r="R346" s="36"/>
      <c r="S346" s="36"/>
      <c r="T346" s="12"/>
      <c r="U346" s="12"/>
      <c r="V346" s="12"/>
      <c r="W346" s="12"/>
      <c r="X346" s="12"/>
    </row>
    <row r="347" customFormat="false" ht="15.75" hidden="false" customHeight="false" outlineLevel="0" collapsed="false">
      <c r="A347" s="12"/>
      <c r="B347" s="34"/>
      <c r="C347" s="12"/>
      <c r="D347" s="12"/>
      <c r="E347" s="12"/>
      <c r="F347" s="12"/>
      <c r="G347" s="18"/>
      <c r="H347" s="35"/>
      <c r="I347" s="12"/>
      <c r="M347" s="12"/>
      <c r="N347" s="18"/>
      <c r="O347" s="12"/>
      <c r="P347" s="12"/>
      <c r="Q347" s="12"/>
      <c r="R347" s="36"/>
      <c r="S347" s="36"/>
      <c r="T347" s="12"/>
      <c r="U347" s="12"/>
      <c r="V347" s="12"/>
      <c r="W347" s="12"/>
      <c r="X347" s="12"/>
    </row>
    <row r="348" customFormat="false" ht="15.75" hidden="false" customHeight="false" outlineLevel="0" collapsed="false">
      <c r="A348" s="12"/>
      <c r="B348" s="34"/>
      <c r="C348" s="12"/>
      <c r="D348" s="12"/>
      <c r="E348" s="12"/>
      <c r="F348" s="12"/>
      <c r="G348" s="18"/>
      <c r="H348" s="35"/>
      <c r="I348" s="12"/>
      <c r="M348" s="12"/>
      <c r="N348" s="18"/>
      <c r="O348" s="12"/>
      <c r="P348" s="12"/>
      <c r="Q348" s="12"/>
      <c r="R348" s="36"/>
      <c r="S348" s="36"/>
      <c r="T348" s="12"/>
      <c r="U348" s="12"/>
      <c r="V348" s="12"/>
      <c r="W348" s="12"/>
      <c r="X348" s="12"/>
    </row>
    <row r="349" customFormat="false" ht="15.75" hidden="false" customHeight="false" outlineLevel="0" collapsed="false">
      <c r="A349" s="12"/>
      <c r="B349" s="34"/>
      <c r="C349" s="12"/>
      <c r="D349" s="12"/>
      <c r="E349" s="12"/>
      <c r="F349" s="12"/>
      <c r="G349" s="18"/>
      <c r="H349" s="35"/>
      <c r="I349" s="12"/>
      <c r="M349" s="12"/>
      <c r="N349" s="18"/>
      <c r="O349" s="12"/>
      <c r="P349" s="12"/>
      <c r="Q349" s="12"/>
      <c r="R349" s="36"/>
      <c r="S349" s="36"/>
      <c r="T349" s="12"/>
      <c r="U349" s="12"/>
      <c r="V349" s="12"/>
      <c r="W349" s="12"/>
      <c r="X349" s="12"/>
    </row>
    <row r="350" customFormat="false" ht="15.75" hidden="false" customHeight="false" outlineLevel="0" collapsed="false">
      <c r="A350" s="12"/>
      <c r="B350" s="34"/>
      <c r="C350" s="12"/>
      <c r="D350" s="12"/>
      <c r="E350" s="12"/>
      <c r="F350" s="12"/>
      <c r="G350" s="18"/>
      <c r="H350" s="35"/>
      <c r="I350" s="12"/>
      <c r="M350" s="12"/>
      <c r="N350" s="18"/>
      <c r="O350" s="12"/>
      <c r="P350" s="12"/>
      <c r="Q350" s="12"/>
      <c r="R350" s="36"/>
      <c r="S350" s="36"/>
      <c r="T350" s="12"/>
      <c r="U350" s="12"/>
      <c r="V350" s="12"/>
      <c r="W350" s="12"/>
      <c r="X350" s="12"/>
    </row>
    <row r="351" customFormat="false" ht="15.75" hidden="false" customHeight="false" outlineLevel="0" collapsed="false">
      <c r="A351" s="12"/>
      <c r="B351" s="34"/>
      <c r="C351" s="12"/>
      <c r="D351" s="12"/>
      <c r="E351" s="12"/>
      <c r="F351" s="12"/>
      <c r="G351" s="18"/>
      <c r="H351" s="35"/>
      <c r="I351" s="12"/>
      <c r="M351" s="12"/>
      <c r="N351" s="18"/>
      <c r="O351" s="12"/>
      <c r="P351" s="12"/>
      <c r="Q351" s="12"/>
      <c r="R351" s="36"/>
      <c r="S351" s="36"/>
      <c r="T351" s="12"/>
      <c r="U351" s="12"/>
      <c r="V351" s="12"/>
      <c r="W351" s="12"/>
      <c r="X351" s="12"/>
    </row>
    <row r="352" customFormat="false" ht="15.75" hidden="false" customHeight="false" outlineLevel="0" collapsed="false">
      <c r="A352" s="12"/>
      <c r="B352" s="34"/>
      <c r="C352" s="12"/>
      <c r="D352" s="12"/>
      <c r="E352" s="12"/>
      <c r="F352" s="12"/>
      <c r="G352" s="18"/>
      <c r="H352" s="35"/>
      <c r="I352" s="12"/>
      <c r="M352" s="12"/>
      <c r="N352" s="18"/>
      <c r="O352" s="12"/>
      <c r="P352" s="12"/>
      <c r="Q352" s="12"/>
      <c r="R352" s="36"/>
      <c r="S352" s="36"/>
      <c r="T352" s="12"/>
      <c r="U352" s="12"/>
      <c r="V352" s="12"/>
      <c r="W352" s="12"/>
      <c r="X352" s="12"/>
    </row>
    <row r="353" customFormat="false" ht="15.75" hidden="false" customHeight="false" outlineLevel="0" collapsed="false">
      <c r="A353" s="12"/>
      <c r="B353" s="34"/>
      <c r="C353" s="12"/>
      <c r="D353" s="12"/>
      <c r="E353" s="12"/>
      <c r="F353" s="12"/>
      <c r="G353" s="18"/>
      <c r="H353" s="35"/>
      <c r="I353" s="12"/>
      <c r="M353" s="12"/>
      <c r="N353" s="18"/>
      <c r="O353" s="12"/>
      <c r="P353" s="12"/>
      <c r="Q353" s="12"/>
      <c r="R353" s="36"/>
      <c r="S353" s="36"/>
      <c r="T353" s="12"/>
      <c r="U353" s="12"/>
      <c r="V353" s="12"/>
      <c r="W353" s="12"/>
      <c r="X353" s="12"/>
    </row>
    <row r="354" customFormat="false" ht="15.75" hidden="false" customHeight="false" outlineLevel="0" collapsed="false">
      <c r="A354" s="12"/>
      <c r="B354" s="34"/>
      <c r="C354" s="12"/>
      <c r="D354" s="12"/>
      <c r="E354" s="12"/>
      <c r="F354" s="12"/>
      <c r="G354" s="18"/>
      <c r="H354" s="35"/>
      <c r="I354" s="12"/>
      <c r="M354" s="12"/>
      <c r="N354" s="18"/>
      <c r="O354" s="12"/>
      <c r="P354" s="12"/>
      <c r="Q354" s="12"/>
      <c r="R354" s="36"/>
      <c r="S354" s="36"/>
      <c r="T354" s="12"/>
      <c r="U354" s="12"/>
      <c r="V354" s="12"/>
      <c r="W354" s="12"/>
      <c r="X354" s="12"/>
    </row>
    <row r="355" customFormat="false" ht="15.75" hidden="false" customHeight="false" outlineLevel="0" collapsed="false">
      <c r="A355" s="12"/>
      <c r="B355" s="34"/>
      <c r="C355" s="12"/>
      <c r="D355" s="12"/>
      <c r="E355" s="12"/>
      <c r="F355" s="12"/>
      <c r="G355" s="18"/>
      <c r="H355" s="35"/>
      <c r="I355" s="12"/>
      <c r="M355" s="12"/>
      <c r="N355" s="18"/>
      <c r="O355" s="12"/>
      <c r="P355" s="12"/>
      <c r="Q355" s="12"/>
      <c r="R355" s="36"/>
      <c r="S355" s="36"/>
      <c r="T355" s="12"/>
      <c r="U355" s="12"/>
      <c r="V355" s="12"/>
      <c r="W355" s="12"/>
      <c r="X355" s="12"/>
    </row>
    <row r="356" customFormat="false" ht="15.75" hidden="false" customHeight="false" outlineLevel="0" collapsed="false">
      <c r="A356" s="12"/>
      <c r="B356" s="34"/>
      <c r="C356" s="12"/>
      <c r="D356" s="12"/>
      <c r="E356" s="12"/>
      <c r="F356" s="12"/>
      <c r="G356" s="18"/>
      <c r="H356" s="35"/>
      <c r="I356" s="12"/>
      <c r="M356" s="12"/>
      <c r="N356" s="18"/>
      <c r="O356" s="12"/>
      <c r="P356" s="12"/>
      <c r="Q356" s="12"/>
      <c r="R356" s="36"/>
      <c r="S356" s="36"/>
      <c r="T356" s="12"/>
      <c r="U356" s="12"/>
      <c r="V356" s="12"/>
      <c r="W356" s="12"/>
      <c r="X356" s="12"/>
    </row>
    <row r="357" customFormat="false" ht="15.75" hidden="false" customHeight="false" outlineLevel="0" collapsed="false">
      <c r="A357" s="12"/>
      <c r="B357" s="34"/>
      <c r="C357" s="12"/>
      <c r="D357" s="12"/>
      <c r="E357" s="12"/>
      <c r="F357" s="12"/>
      <c r="G357" s="18"/>
      <c r="H357" s="35"/>
      <c r="I357" s="12"/>
      <c r="M357" s="12"/>
      <c r="N357" s="18"/>
      <c r="O357" s="12"/>
      <c r="P357" s="12"/>
      <c r="Q357" s="12"/>
      <c r="R357" s="36"/>
      <c r="S357" s="36"/>
      <c r="T357" s="12"/>
      <c r="U357" s="12"/>
      <c r="V357" s="12"/>
      <c r="W357" s="12"/>
      <c r="X357" s="12"/>
    </row>
    <row r="358" customFormat="false" ht="15.75" hidden="false" customHeight="false" outlineLevel="0" collapsed="false">
      <c r="A358" s="12"/>
      <c r="B358" s="34"/>
      <c r="C358" s="12"/>
      <c r="D358" s="12"/>
      <c r="E358" s="12"/>
      <c r="F358" s="12"/>
      <c r="G358" s="18"/>
      <c r="H358" s="35"/>
      <c r="I358" s="12"/>
      <c r="M358" s="12"/>
      <c r="N358" s="18"/>
      <c r="O358" s="12"/>
      <c r="P358" s="12"/>
      <c r="Q358" s="12"/>
      <c r="R358" s="36"/>
      <c r="S358" s="36"/>
      <c r="T358" s="12"/>
      <c r="U358" s="12"/>
      <c r="V358" s="12"/>
      <c r="W358" s="12"/>
      <c r="X358" s="12"/>
    </row>
    <row r="359" customFormat="false" ht="15.75" hidden="false" customHeight="false" outlineLevel="0" collapsed="false">
      <c r="A359" s="12"/>
      <c r="B359" s="34"/>
      <c r="C359" s="12"/>
      <c r="D359" s="12"/>
      <c r="E359" s="12"/>
      <c r="F359" s="12"/>
      <c r="G359" s="18"/>
      <c r="H359" s="35"/>
      <c r="I359" s="12"/>
      <c r="M359" s="12"/>
      <c r="N359" s="18"/>
      <c r="O359" s="12"/>
      <c r="P359" s="12"/>
      <c r="Q359" s="12"/>
      <c r="R359" s="36"/>
      <c r="S359" s="36"/>
      <c r="T359" s="12"/>
      <c r="U359" s="12"/>
      <c r="V359" s="12"/>
      <c r="W359" s="12"/>
      <c r="X359" s="12"/>
    </row>
    <row r="360" customFormat="false" ht="15.75" hidden="false" customHeight="false" outlineLevel="0" collapsed="false">
      <c r="A360" s="12"/>
      <c r="B360" s="34"/>
      <c r="C360" s="12"/>
      <c r="D360" s="12"/>
      <c r="E360" s="12"/>
      <c r="F360" s="12"/>
      <c r="G360" s="18"/>
      <c r="H360" s="35"/>
      <c r="I360" s="12"/>
      <c r="M360" s="12"/>
      <c r="N360" s="18"/>
      <c r="O360" s="12"/>
      <c r="P360" s="12"/>
      <c r="Q360" s="12"/>
      <c r="R360" s="36"/>
      <c r="S360" s="36"/>
      <c r="T360" s="12"/>
      <c r="U360" s="12"/>
      <c r="V360" s="12"/>
      <c r="W360" s="12"/>
      <c r="X360" s="12"/>
    </row>
    <row r="361" customFormat="false" ht="15.75" hidden="false" customHeight="false" outlineLevel="0" collapsed="false">
      <c r="A361" s="12"/>
      <c r="B361" s="34"/>
      <c r="C361" s="12"/>
      <c r="D361" s="12"/>
      <c r="E361" s="12"/>
      <c r="F361" s="12"/>
      <c r="G361" s="18"/>
      <c r="H361" s="35"/>
      <c r="I361" s="12"/>
      <c r="M361" s="12"/>
      <c r="N361" s="18"/>
      <c r="O361" s="12"/>
      <c r="P361" s="12"/>
      <c r="Q361" s="12"/>
      <c r="R361" s="36"/>
      <c r="S361" s="36"/>
      <c r="T361" s="12"/>
      <c r="U361" s="12"/>
      <c r="V361" s="12"/>
      <c r="W361" s="12"/>
      <c r="X361" s="12"/>
    </row>
    <row r="362" customFormat="false" ht="15.75" hidden="false" customHeight="false" outlineLevel="0" collapsed="false">
      <c r="A362" s="12"/>
      <c r="B362" s="34"/>
      <c r="C362" s="12"/>
      <c r="D362" s="12"/>
      <c r="E362" s="12"/>
      <c r="F362" s="12"/>
      <c r="G362" s="18"/>
      <c r="H362" s="35"/>
      <c r="I362" s="12"/>
      <c r="M362" s="12"/>
      <c r="N362" s="18"/>
      <c r="O362" s="12"/>
      <c r="P362" s="12"/>
      <c r="Q362" s="12"/>
      <c r="R362" s="36"/>
      <c r="S362" s="36"/>
      <c r="T362" s="12"/>
      <c r="U362" s="12"/>
      <c r="V362" s="12"/>
      <c r="W362" s="12"/>
      <c r="X362" s="12"/>
    </row>
    <row r="363" customFormat="false" ht="15.75" hidden="false" customHeight="false" outlineLevel="0" collapsed="false">
      <c r="A363" s="12"/>
      <c r="B363" s="34"/>
      <c r="C363" s="12"/>
      <c r="D363" s="12"/>
      <c r="E363" s="12"/>
      <c r="F363" s="12"/>
      <c r="G363" s="18"/>
      <c r="H363" s="35"/>
      <c r="I363" s="12"/>
      <c r="M363" s="12"/>
      <c r="N363" s="18"/>
      <c r="O363" s="12"/>
      <c r="P363" s="12"/>
      <c r="Q363" s="12"/>
      <c r="R363" s="36"/>
      <c r="S363" s="36"/>
      <c r="T363" s="12"/>
      <c r="U363" s="12"/>
      <c r="V363" s="12"/>
      <c r="W363" s="12"/>
      <c r="X363" s="12"/>
    </row>
    <row r="364" customFormat="false" ht="15.75" hidden="false" customHeight="false" outlineLevel="0" collapsed="false">
      <c r="A364" s="12"/>
      <c r="B364" s="34"/>
      <c r="C364" s="12"/>
      <c r="D364" s="12"/>
      <c r="E364" s="12"/>
      <c r="F364" s="12"/>
      <c r="G364" s="18"/>
      <c r="H364" s="35"/>
      <c r="I364" s="12"/>
      <c r="M364" s="12"/>
      <c r="N364" s="18"/>
      <c r="O364" s="12"/>
      <c r="P364" s="12"/>
      <c r="Q364" s="12"/>
      <c r="R364" s="36"/>
      <c r="S364" s="36"/>
      <c r="T364" s="12"/>
      <c r="U364" s="12"/>
      <c r="V364" s="12"/>
      <c r="W364" s="12"/>
      <c r="X364" s="12"/>
    </row>
    <row r="365" customFormat="false" ht="15.75" hidden="false" customHeight="false" outlineLevel="0" collapsed="false">
      <c r="A365" s="12"/>
      <c r="B365" s="34"/>
      <c r="C365" s="12"/>
      <c r="D365" s="12"/>
      <c r="E365" s="12"/>
      <c r="F365" s="12"/>
      <c r="G365" s="18"/>
      <c r="H365" s="35"/>
      <c r="I365" s="12"/>
      <c r="M365" s="12"/>
      <c r="N365" s="18"/>
      <c r="O365" s="12"/>
      <c r="P365" s="12"/>
      <c r="Q365" s="12"/>
      <c r="R365" s="36"/>
      <c r="S365" s="36"/>
      <c r="T365" s="12"/>
      <c r="U365" s="12"/>
      <c r="V365" s="12"/>
      <c r="W365" s="12"/>
      <c r="X365" s="12"/>
    </row>
    <row r="366" customFormat="false" ht="15.75" hidden="false" customHeight="false" outlineLevel="0" collapsed="false">
      <c r="A366" s="12"/>
      <c r="B366" s="34"/>
      <c r="C366" s="12"/>
      <c r="D366" s="12"/>
      <c r="E366" s="12"/>
      <c r="F366" s="12"/>
      <c r="G366" s="18"/>
      <c r="H366" s="35"/>
      <c r="I366" s="12"/>
      <c r="M366" s="12"/>
      <c r="N366" s="18"/>
      <c r="O366" s="12"/>
      <c r="P366" s="12"/>
      <c r="Q366" s="12"/>
      <c r="R366" s="36"/>
      <c r="S366" s="36"/>
      <c r="T366" s="12"/>
      <c r="U366" s="12"/>
      <c r="V366" s="12"/>
      <c r="W366" s="12"/>
      <c r="X366" s="12"/>
    </row>
    <row r="367" customFormat="false" ht="15.75" hidden="false" customHeight="false" outlineLevel="0" collapsed="false">
      <c r="A367" s="12"/>
      <c r="B367" s="34"/>
      <c r="C367" s="12"/>
      <c r="D367" s="12"/>
      <c r="E367" s="12"/>
      <c r="F367" s="12"/>
      <c r="G367" s="18"/>
      <c r="H367" s="35"/>
      <c r="I367" s="12"/>
      <c r="M367" s="12"/>
      <c r="N367" s="18"/>
      <c r="O367" s="12"/>
      <c r="P367" s="12"/>
      <c r="Q367" s="12"/>
      <c r="R367" s="36"/>
      <c r="S367" s="36"/>
      <c r="T367" s="12"/>
      <c r="U367" s="12"/>
      <c r="V367" s="12"/>
      <c r="W367" s="12"/>
      <c r="X367" s="12"/>
    </row>
    <row r="368" customFormat="false" ht="15.75" hidden="false" customHeight="false" outlineLevel="0" collapsed="false">
      <c r="A368" s="12"/>
      <c r="B368" s="34"/>
      <c r="C368" s="12"/>
      <c r="D368" s="12"/>
      <c r="E368" s="12"/>
      <c r="F368" s="12"/>
      <c r="G368" s="18"/>
      <c r="H368" s="35"/>
      <c r="I368" s="12"/>
      <c r="M368" s="12"/>
      <c r="N368" s="18"/>
      <c r="O368" s="12"/>
      <c r="P368" s="12"/>
      <c r="Q368" s="12"/>
      <c r="R368" s="36"/>
      <c r="S368" s="36"/>
      <c r="T368" s="12"/>
      <c r="U368" s="12"/>
      <c r="V368" s="12"/>
      <c r="W368" s="12"/>
      <c r="X368" s="12"/>
    </row>
    <row r="369" customFormat="false" ht="15.75" hidden="false" customHeight="false" outlineLevel="0" collapsed="false">
      <c r="A369" s="12"/>
      <c r="B369" s="34"/>
      <c r="C369" s="12"/>
      <c r="D369" s="12"/>
      <c r="E369" s="12"/>
      <c r="F369" s="12"/>
      <c r="G369" s="18"/>
      <c r="H369" s="35"/>
      <c r="I369" s="12"/>
      <c r="M369" s="12"/>
      <c r="N369" s="18"/>
      <c r="O369" s="12"/>
      <c r="P369" s="12"/>
      <c r="Q369" s="12"/>
      <c r="R369" s="36"/>
      <c r="S369" s="36"/>
      <c r="T369" s="12"/>
      <c r="U369" s="12"/>
      <c r="V369" s="12"/>
      <c r="W369" s="12"/>
      <c r="X369" s="12"/>
    </row>
    <row r="370" customFormat="false" ht="15.75" hidden="false" customHeight="false" outlineLevel="0" collapsed="false">
      <c r="A370" s="12"/>
      <c r="B370" s="34"/>
      <c r="C370" s="12"/>
      <c r="D370" s="12"/>
      <c r="E370" s="12"/>
      <c r="F370" s="12"/>
      <c r="G370" s="18"/>
      <c r="H370" s="35"/>
      <c r="I370" s="12"/>
      <c r="M370" s="12"/>
      <c r="N370" s="18"/>
      <c r="O370" s="12"/>
      <c r="P370" s="12"/>
      <c r="Q370" s="12"/>
      <c r="R370" s="36"/>
      <c r="S370" s="36"/>
      <c r="T370" s="12"/>
      <c r="U370" s="12"/>
      <c r="V370" s="12"/>
      <c r="W370" s="12"/>
      <c r="X370" s="12"/>
    </row>
    <row r="371" customFormat="false" ht="15.75" hidden="false" customHeight="false" outlineLevel="0" collapsed="false">
      <c r="A371" s="12"/>
      <c r="B371" s="34"/>
      <c r="C371" s="12"/>
      <c r="D371" s="12"/>
      <c r="E371" s="12"/>
      <c r="F371" s="12"/>
      <c r="G371" s="18"/>
      <c r="H371" s="35"/>
      <c r="I371" s="12"/>
      <c r="M371" s="12"/>
      <c r="N371" s="18"/>
      <c r="O371" s="12"/>
      <c r="P371" s="12"/>
      <c r="Q371" s="12"/>
      <c r="R371" s="36"/>
      <c r="S371" s="36"/>
      <c r="T371" s="12"/>
      <c r="U371" s="12"/>
      <c r="V371" s="12"/>
      <c r="W371" s="12"/>
      <c r="X371" s="12"/>
    </row>
    <row r="372" customFormat="false" ht="15.75" hidden="false" customHeight="false" outlineLevel="0" collapsed="false">
      <c r="A372" s="12"/>
      <c r="B372" s="34"/>
      <c r="C372" s="12"/>
      <c r="D372" s="12"/>
      <c r="E372" s="12"/>
      <c r="F372" s="12"/>
      <c r="G372" s="18"/>
      <c r="H372" s="35"/>
      <c r="I372" s="12"/>
      <c r="M372" s="12"/>
      <c r="N372" s="18"/>
      <c r="O372" s="12"/>
      <c r="P372" s="12"/>
      <c r="Q372" s="12"/>
      <c r="R372" s="36"/>
      <c r="S372" s="36"/>
      <c r="T372" s="12"/>
      <c r="U372" s="12"/>
      <c r="V372" s="12"/>
      <c r="W372" s="12"/>
      <c r="X372" s="12"/>
    </row>
    <row r="373" customFormat="false" ht="15.75" hidden="false" customHeight="false" outlineLevel="0" collapsed="false">
      <c r="A373" s="12"/>
      <c r="B373" s="34"/>
      <c r="C373" s="12"/>
      <c r="D373" s="12"/>
      <c r="E373" s="12"/>
      <c r="F373" s="12"/>
      <c r="G373" s="18"/>
      <c r="H373" s="35"/>
      <c r="I373" s="12"/>
      <c r="M373" s="12"/>
      <c r="N373" s="18"/>
      <c r="O373" s="12"/>
      <c r="P373" s="12"/>
      <c r="Q373" s="12"/>
      <c r="R373" s="36"/>
      <c r="S373" s="36"/>
      <c r="T373" s="12"/>
      <c r="U373" s="12"/>
      <c r="V373" s="12"/>
      <c r="W373" s="12"/>
      <c r="X373" s="12"/>
    </row>
    <row r="374" customFormat="false" ht="15.75" hidden="false" customHeight="false" outlineLevel="0" collapsed="false">
      <c r="A374" s="12"/>
      <c r="B374" s="34"/>
      <c r="C374" s="12"/>
      <c r="D374" s="12"/>
      <c r="E374" s="12"/>
      <c r="F374" s="12"/>
      <c r="G374" s="18"/>
      <c r="H374" s="35"/>
      <c r="I374" s="12"/>
      <c r="M374" s="12"/>
      <c r="N374" s="18"/>
      <c r="O374" s="12"/>
      <c r="P374" s="12"/>
      <c r="Q374" s="12"/>
      <c r="R374" s="36"/>
      <c r="S374" s="36"/>
      <c r="T374" s="12"/>
      <c r="U374" s="12"/>
      <c r="V374" s="12"/>
      <c r="W374" s="12"/>
      <c r="X374" s="12"/>
    </row>
    <row r="375" customFormat="false" ht="15.75" hidden="false" customHeight="false" outlineLevel="0" collapsed="false">
      <c r="A375" s="12"/>
      <c r="B375" s="34"/>
      <c r="C375" s="12"/>
      <c r="D375" s="12"/>
      <c r="E375" s="12"/>
      <c r="F375" s="12"/>
      <c r="G375" s="18"/>
      <c r="H375" s="35"/>
      <c r="I375" s="12"/>
      <c r="M375" s="12"/>
      <c r="N375" s="18"/>
      <c r="O375" s="12"/>
      <c r="P375" s="12"/>
      <c r="Q375" s="12"/>
      <c r="R375" s="36"/>
      <c r="S375" s="36"/>
      <c r="T375" s="12"/>
      <c r="U375" s="12"/>
      <c r="V375" s="12"/>
      <c r="W375" s="12"/>
      <c r="X375" s="12"/>
    </row>
    <row r="376" customFormat="false" ht="15.75" hidden="false" customHeight="false" outlineLevel="0" collapsed="false">
      <c r="A376" s="12"/>
      <c r="B376" s="34"/>
      <c r="C376" s="12"/>
      <c r="D376" s="12"/>
      <c r="E376" s="12"/>
      <c r="F376" s="12"/>
      <c r="G376" s="18"/>
      <c r="H376" s="35"/>
      <c r="I376" s="12"/>
      <c r="M376" s="12"/>
      <c r="N376" s="18"/>
      <c r="O376" s="12"/>
      <c r="P376" s="12"/>
      <c r="Q376" s="12"/>
      <c r="R376" s="36"/>
      <c r="S376" s="36"/>
      <c r="T376" s="12"/>
      <c r="U376" s="12"/>
      <c r="V376" s="12"/>
      <c r="W376" s="12"/>
      <c r="X376" s="12"/>
    </row>
    <row r="377" customFormat="false" ht="15.75" hidden="false" customHeight="false" outlineLevel="0" collapsed="false">
      <c r="A377" s="12"/>
      <c r="B377" s="34"/>
      <c r="C377" s="12"/>
      <c r="D377" s="12"/>
      <c r="E377" s="12"/>
      <c r="F377" s="12"/>
      <c r="G377" s="18"/>
      <c r="H377" s="35"/>
      <c r="I377" s="12"/>
      <c r="M377" s="12"/>
      <c r="N377" s="18"/>
      <c r="O377" s="12"/>
      <c r="P377" s="12"/>
      <c r="Q377" s="12"/>
      <c r="R377" s="36"/>
      <c r="S377" s="36"/>
      <c r="T377" s="12"/>
      <c r="U377" s="12"/>
      <c r="V377" s="12"/>
      <c r="W377" s="12"/>
      <c r="X377" s="12"/>
    </row>
    <row r="378" customFormat="false" ht="15.75" hidden="false" customHeight="false" outlineLevel="0" collapsed="false">
      <c r="A378" s="12"/>
      <c r="B378" s="34"/>
      <c r="C378" s="12"/>
      <c r="D378" s="12"/>
      <c r="E378" s="12"/>
      <c r="F378" s="12"/>
      <c r="G378" s="18"/>
      <c r="H378" s="35"/>
      <c r="I378" s="12"/>
      <c r="M378" s="12"/>
      <c r="N378" s="18"/>
      <c r="O378" s="12"/>
      <c r="P378" s="12"/>
      <c r="Q378" s="12"/>
      <c r="R378" s="36"/>
      <c r="S378" s="36"/>
      <c r="T378" s="12"/>
      <c r="U378" s="12"/>
      <c r="V378" s="12"/>
      <c r="W378" s="12"/>
      <c r="X378" s="12"/>
    </row>
    <row r="379" customFormat="false" ht="15.75" hidden="false" customHeight="false" outlineLevel="0" collapsed="false">
      <c r="A379" s="12"/>
      <c r="B379" s="34"/>
      <c r="C379" s="12"/>
      <c r="D379" s="12"/>
      <c r="E379" s="12"/>
      <c r="F379" s="12"/>
      <c r="G379" s="18"/>
      <c r="H379" s="35"/>
      <c r="I379" s="12"/>
      <c r="M379" s="12"/>
      <c r="N379" s="18"/>
      <c r="O379" s="12"/>
      <c r="P379" s="12"/>
      <c r="Q379" s="12"/>
      <c r="R379" s="36"/>
      <c r="S379" s="36"/>
      <c r="T379" s="12"/>
      <c r="U379" s="12"/>
      <c r="V379" s="12"/>
      <c r="W379" s="12"/>
      <c r="X379" s="12"/>
    </row>
    <row r="380" customFormat="false" ht="15.75" hidden="false" customHeight="false" outlineLevel="0" collapsed="false">
      <c r="A380" s="12"/>
      <c r="B380" s="34"/>
      <c r="C380" s="12"/>
      <c r="D380" s="12"/>
      <c r="E380" s="12"/>
      <c r="F380" s="12"/>
      <c r="G380" s="18"/>
      <c r="H380" s="35"/>
      <c r="I380" s="12"/>
      <c r="M380" s="12"/>
      <c r="N380" s="18"/>
      <c r="O380" s="12"/>
      <c r="P380" s="12"/>
      <c r="Q380" s="12"/>
      <c r="R380" s="36"/>
      <c r="S380" s="36"/>
      <c r="T380" s="12"/>
      <c r="U380" s="12"/>
      <c r="V380" s="12"/>
      <c r="W380" s="12"/>
      <c r="X380" s="12"/>
    </row>
    <row r="381" customFormat="false" ht="15.75" hidden="false" customHeight="false" outlineLevel="0" collapsed="false">
      <c r="A381" s="12"/>
      <c r="B381" s="34"/>
      <c r="C381" s="12"/>
      <c r="D381" s="12"/>
      <c r="E381" s="12"/>
      <c r="F381" s="12"/>
      <c r="G381" s="18"/>
      <c r="H381" s="35"/>
      <c r="I381" s="12"/>
      <c r="M381" s="12"/>
      <c r="N381" s="18"/>
      <c r="O381" s="12"/>
      <c r="P381" s="12"/>
      <c r="Q381" s="12"/>
      <c r="R381" s="36"/>
      <c r="S381" s="36"/>
      <c r="T381" s="12"/>
      <c r="U381" s="12"/>
      <c r="V381" s="12"/>
      <c r="W381" s="12"/>
      <c r="X381" s="12"/>
    </row>
    <row r="382" customFormat="false" ht="15.75" hidden="false" customHeight="false" outlineLevel="0" collapsed="false">
      <c r="A382" s="12"/>
      <c r="B382" s="34"/>
      <c r="C382" s="12"/>
      <c r="D382" s="12"/>
      <c r="E382" s="12"/>
      <c r="F382" s="12"/>
      <c r="G382" s="18"/>
      <c r="H382" s="35"/>
      <c r="I382" s="12"/>
      <c r="M382" s="12"/>
      <c r="N382" s="18"/>
      <c r="O382" s="12"/>
      <c r="P382" s="12"/>
      <c r="Q382" s="12"/>
      <c r="R382" s="36"/>
      <c r="S382" s="36"/>
      <c r="T382" s="12"/>
      <c r="U382" s="12"/>
      <c r="V382" s="12"/>
      <c r="W382" s="12"/>
      <c r="X382" s="12"/>
    </row>
    <row r="383" customFormat="false" ht="15.75" hidden="false" customHeight="false" outlineLevel="0" collapsed="false">
      <c r="A383" s="12"/>
      <c r="B383" s="34"/>
      <c r="C383" s="12"/>
      <c r="D383" s="12"/>
      <c r="E383" s="12"/>
      <c r="F383" s="12"/>
      <c r="G383" s="18"/>
      <c r="H383" s="35"/>
      <c r="I383" s="12"/>
      <c r="M383" s="12"/>
      <c r="N383" s="18"/>
      <c r="O383" s="12"/>
      <c r="P383" s="12"/>
      <c r="Q383" s="12"/>
      <c r="R383" s="36"/>
      <c r="S383" s="36"/>
      <c r="T383" s="12"/>
      <c r="U383" s="12"/>
      <c r="V383" s="12"/>
      <c r="W383" s="12"/>
      <c r="X383" s="12"/>
    </row>
    <row r="384" customFormat="false" ht="15.75" hidden="false" customHeight="false" outlineLevel="0" collapsed="false">
      <c r="A384" s="12"/>
      <c r="B384" s="34"/>
      <c r="C384" s="12"/>
      <c r="D384" s="12"/>
      <c r="E384" s="12"/>
      <c r="F384" s="12"/>
      <c r="G384" s="18"/>
      <c r="H384" s="35"/>
      <c r="I384" s="12"/>
      <c r="M384" s="12"/>
      <c r="N384" s="18"/>
      <c r="O384" s="12"/>
      <c r="P384" s="12"/>
      <c r="Q384" s="12"/>
      <c r="R384" s="36"/>
      <c r="S384" s="36"/>
      <c r="T384" s="12"/>
      <c r="U384" s="12"/>
      <c r="V384" s="12"/>
      <c r="W384" s="12"/>
      <c r="X384" s="12"/>
    </row>
    <row r="385" customFormat="false" ht="15.75" hidden="false" customHeight="false" outlineLevel="0" collapsed="false">
      <c r="A385" s="12"/>
      <c r="B385" s="34"/>
      <c r="C385" s="12"/>
      <c r="D385" s="12"/>
      <c r="E385" s="12"/>
      <c r="F385" s="12"/>
      <c r="G385" s="18"/>
      <c r="H385" s="35"/>
      <c r="I385" s="12"/>
      <c r="M385" s="12"/>
      <c r="N385" s="18"/>
      <c r="O385" s="12"/>
      <c r="P385" s="12"/>
      <c r="Q385" s="12"/>
      <c r="R385" s="36"/>
      <c r="S385" s="36"/>
      <c r="T385" s="12"/>
      <c r="U385" s="12"/>
      <c r="V385" s="12"/>
      <c r="W385" s="12"/>
      <c r="X385" s="12"/>
    </row>
    <row r="386" customFormat="false" ht="15.75" hidden="false" customHeight="false" outlineLevel="0" collapsed="false">
      <c r="A386" s="12"/>
      <c r="B386" s="34"/>
      <c r="C386" s="12"/>
      <c r="D386" s="12"/>
      <c r="E386" s="12"/>
      <c r="F386" s="12"/>
      <c r="G386" s="18"/>
      <c r="H386" s="35"/>
      <c r="I386" s="12"/>
      <c r="M386" s="12"/>
      <c r="N386" s="18"/>
      <c r="O386" s="12"/>
      <c r="P386" s="12"/>
      <c r="Q386" s="12"/>
      <c r="R386" s="36"/>
      <c r="S386" s="36"/>
      <c r="T386" s="12"/>
      <c r="U386" s="12"/>
      <c r="V386" s="12"/>
      <c r="W386" s="12"/>
      <c r="X386" s="12"/>
    </row>
    <row r="387" customFormat="false" ht="15.75" hidden="false" customHeight="false" outlineLevel="0" collapsed="false">
      <c r="A387" s="12"/>
      <c r="B387" s="34"/>
      <c r="C387" s="12"/>
      <c r="D387" s="12"/>
      <c r="E387" s="12"/>
      <c r="F387" s="12"/>
      <c r="G387" s="18"/>
      <c r="H387" s="35"/>
      <c r="I387" s="12"/>
      <c r="M387" s="12"/>
      <c r="N387" s="18"/>
      <c r="O387" s="12"/>
      <c r="P387" s="12"/>
      <c r="Q387" s="12"/>
      <c r="R387" s="36"/>
      <c r="S387" s="36"/>
      <c r="T387" s="12"/>
      <c r="U387" s="12"/>
      <c r="V387" s="12"/>
      <c r="W387" s="12"/>
      <c r="X387" s="12"/>
    </row>
    <row r="388" customFormat="false" ht="15.75" hidden="false" customHeight="false" outlineLevel="0" collapsed="false">
      <c r="A388" s="12"/>
      <c r="B388" s="34"/>
      <c r="C388" s="12"/>
      <c r="D388" s="12"/>
      <c r="E388" s="12"/>
      <c r="F388" s="12"/>
      <c r="G388" s="18"/>
      <c r="H388" s="35"/>
      <c r="I388" s="12"/>
      <c r="M388" s="12"/>
      <c r="N388" s="18"/>
      <c r="O388" s="12"/>
      <c r="P388" s="12"/>
      <c r="Q388" s="12"/>
      <c r="R388" s="36"/>
      <c r="S388" s="36"/>
      <c r="T388" s="12"/>
      <c r="U388" s="12"/>
      <c r="V388" s="12"/>
      <c r="W388" s="12"/>
      <c r="X388" s="12"/>
    </row>
    <row r="389" customFormat="false" ht="15.75" hidden="false" customHeight="false" outlineLevel="0" collapsed="false">
      <c r="A389" s="12"/>
      <c r="B389" s="34"/>
      <c r="C389" s="12"/>
      <c r="D389" s="12"/>
      <c r="E389" s="12"/>
      <c r="F389" s="12"/>
      <c r="G389" s="18"/>
      <c r="H389" s="35"/>
      <c r="I389" s="12"/>
      <c r="M389" s="12"/>
      <c r="N389" s="18"/>
      <c r="O389" s="12"/>
      <c r="P389" s="12"/>
      <c r="Q389" s="12"/>
      <c r="R389" s="36"/>
      <c r="S389" s="36"/>
      <c r="T389" s="12"/>
      <c r="U389" s="12"/>
      <c r="V389" s="12"/>
      <c r="W389" s="12"/>
      <c r="X389" s="12"/>
    </row>
    <row r="390" customFormat="false" ht="15.75" hidden="false" customHeight="false" outlineLevel="0" collapsed="false">
      <c r="A390" s="12"/>
      <c r="B390" s="34"/>
      <c r="C390" s="12"/>
      <c r="D390" s="12"/>
      <c r="E390" s="12"/>
      <c r="F390" s="12"/>
      <c r="G390" s="18"/>
      <c r="H390" s="35"/>
      <c r="I390" s="12"/>
      <c r="M390" s="12"/>
      <c r="N390" s="18"/>
      <c r="O390" s="12"/>
      <c r="P390" s="12"/>
      <c r="Q390" s="12"/>
      <c r="R390" s="36"/>
      <c r="S390" s="36"/>
      <c r="T390" s="12"/>
      <c r="U390" s="12"/>
      <c r="V390" s="12"/>
      <c r="W390" s="12"/>
      <c r="X390" s="12"/>
    </row>
    <row r="391" customFormat="false" ht="15.75" hidden="false" customHeight="false" outlineLevel="0" collapsed="false">
      <c r="A391" s="12"/>
      <c r="B391" s="34"/>
      <c r="C391" s="12"/>
      <c r="D391" s="12"/>
      <c r="E391" s="12"/>
      <c r="F391" s="12"/>
      <c r="G391" s="18"/>
      <c r="H391" s="35"/>
      <c r="I391" s="12"/>
      <c r="M391" s="12"/>
      <c r="N391" s="18"/>
      <c r="O391" s="12"/>
      <c r="P391" s="12"/>
      <c r="Q391" s="12"/>
      <c r="R391" s="36"/>
      <c r="S391" s="36"/>
      <c r="T391" s="12"/>
      <c r="U391" s="12"/>
      <c r="V391" s="12"/>
      <c r="W391" s="12"/>
      <c r="X391" s="12"/>
    </row>
    <row r="392" customFormat="false" ht="15.75" hidden="false" customHeight="false" outlineLevel="0" collapsed="false">
      <c r="A392" s="12"/>
      <c r="B392" s="34"/>
      <c r="C392" s="12"/>
      <c r="D392" s="12"/>
      <c r="E392" s="12"/>
      <c r="F392" s="12"/>
      <c r="G392" s="18"/>
      <c r="H392" s="35"/>
      <c r="I392" s="12"/>
      <c r="M392" s="12"/>
      <c r="N392" s="18"/>
      <c r="O392" s="12"/>
      <c r="P392" s="12"/>
      <c r="Q392" s="12"/>
      <c r="R392" s="36"/>
      <c r="S392" s="36"/>
      <c r="T392" s="12"/>
      <c r="U392" s="12"/>
      <c r="V392" s="12"/>
      <c r="W392" s="12"/>
      <c r="X392" s="12"/>
    </row>
    <row r="393" customFormat="false" ht="15.75" hidden="false" customHeight="false" outlineLevel="0" collapsed="false">
      <c r="A393" s="12"/>
      <c r="B393" s="34"/>
      <c r="C393" s="12"/>
      <c r="D393" s="12"/>
      <c r="E393" s="12"/>
      <c r="F393" s="12"/>
      <c r="G393" s="18"/>
      <c r="H393" s="35"/>
      <c r="I393" s="12"/>
      <c r="M393" s="12"/>
      <c r="N393" s="18"/>
      <c r="O393" s="12"/>
      <c r="P393" s="12"/>
      <c r="Q393" s="12"/>
      <c r="R393" s="36"/>
      <c r="S393" s="36"/>
      <c r="T393" s="12"/>
      <c r="U393" s="12"/>
      <c r="V393" s="12"/>
      <c r="W393" s="12"/>
      <c r="X393" s="12"/>
    </row>
    <row r="394" customFormat="false" ht="15.75" hidden="false" customHeight="false" outlineLevel="0" collapsed="false">
      <c r="A394" s="12"/>
      <c r="B394" s="34"/>
      <c r="C394" s="12"/>
      <c r="D394" s="12"/>
      <c r="E394" s="12"/>
      <c r="F394" s="12"/>
      <c r="G394" s="18"/>
      <c r="H394" s="35"/>
      <c r="I394" s="12"/>
      <c r="M394" s="12"/>
      <c r="N394" s="18"/>
      <c r="O394" s="12"/>
      <c r="P394" s="12"/>
      <c r="Q394" s="12"/>
      <c r="R394" s="36"/>
      <c r="S394" s="36"/>
      <c r="T394" s="12"/>
      <c r="U394" s="12"/>
      <c r="V394" s="12"/>
      <c r="W394" s="12"/>
      <c r="X394" s="12"/>
    </row>
    <row r="395" customFormat="false" ht="15.75" hidden="false" customHeight="false" outlineLevel="0" collapsed="false">
      <c r="A395" s="12"/>
      <c r="B395" s="34"/>
      <c r="C395" s="12"/>
      <c r="D395" s="12"/>
      <c r="E395" s="12"/>
      <c r="F395" s="12"/>
      <c r="G395" s="18"/>
      <c r="H395" s="35"/>
      <c r="I395" s="12"/>
      <c r="M395" s="12"/>
      <c r="N395" s="18"/>
      <c r="O395" s="12"/>
      <c r="P395" s="12"/>
      <c r="Q395" s="12"/>
      <c r="R395" s="36"/>
      <c r="S395" s="36"/>
      <c r="T395" s="12"/>
      <c r="U395" s="12"/>
      <c r="V395" s="12"/>
      <c r="W395" s="12"/>
      <c r="X395" s="12"/>
    </row>
    <row r="396" customFormat="false" ht="15.75" hidden="false" customHeight="false" outlineLevel="0" collapsed="false">
      <c r="A396" s="12"/>
      <c r="B396" s="34"/>
      <c r="C396" s="12"/>
      <c r="D396" s="12"/>
      <c r="E396" s="12"/>
      <c r="F396" s="12"/>
      <c r="G396" s="18"/>
      <c r="H396" s="35"/>
      <c r="I396" s="12"/>
      <c r="M396" s="12"/>
      <c r="N396" s="18"/>
      <c r="O396" s="12"/>
      <c r="P396" s="12"/>
      <c r="Q396" s="12"/>
      <c r="R396" s="36"/>
      <c r="S396" s="36"/>
      <c r="T396" s="12"/>
      <c r="U396" s="12"/>
      <c r="V396" s="12"/>
      <c r="W396" s="12"/>
      <c r="X396" s="12"/>
    </row>
    <row r="397" customFormat="false" ht="15.75" hidden="false" customHeight="false" outlineLevel="0" collapsed="false">
      <c r="A397" s="12"/>
      <c r="B397" s="34"/>
      <c r="C397" s="12"/>
      <c r="D397" s="12"/>
      <c r="E397" s="12"/>
      <c r="F397" s="12"/>
      <c r="G397" s="18"/>
      <c r="H397" s="35"/>
      <c r="I397" s="12"/>
      <c r="M397" s="12"/>
      <c r="N397" s="18"/>
      <c r="O397" s="12"/>
      <c r="P397" s="12"/>
      <c r="Q397" s="12"/>
      <c r="R397" s="36"/>
      <c r="S397" s="36"/>
      <c r="T397" s="12"/>
      <c r="U397" s="12"/>
      <c r="V397" s="12"/>
      <c r="W397" s="12"/>
      <c r="X397" s="12"/>
    </row>
    <row r="398" customFormat="false" ht="15.75" hidden="false" customHeight="false" outlineLevel="0" collapsed="false">
      <c r="A398" s="12"/>
      <c r="B398" s="34"/>
      <c r="C398" s="12"/>
      <c r="D398" s="12"/>
      <c r="E398" s="12"/>
      <c r="F398" s="12"/>
      <c r="G398" s="18"/>
      <c r="H398" s="35"/>
      <c r="I398" s="12"/>
      <c r="M398" s="12"/>
      <c r="N398" s="18"/>
      <c r="O398" s="12"/>
      <c r="P398" s="12"/>
      <c r="Q398" s="12"/>
      <c r="R398" s="36"/>
      <c r="S398" s="36"/>
      <c r="T398" s="12"/>
      <c r="U398" s="12"/>
      <c r="V398" s="12"/>
      <c r="W398" s="12"/>
      <c r="X398" s="12"/>
    </row>
    <row r="399" customFormat="false" ht="15.75" hidden="false" customHeight="false" outlineLevel="0" collapsed="false">
      <c r="A399" s="12"/>
      <c r="B399" s="34"/>
      <c r="C399" s="12"/>
      <c r="D399" s="12"/>
      <c r="E399" s="12"/>
      <c r="F399" s="12"/>
      <c r="G399" s="18"/>
      <c r="H399" s="35"/>
      <c r="I399" s="12"/>
      <c r="M399" s="12"/>
      <c r="N399" s="18"/>
      <c r="O399" s="12"/>
      <c r="P399" s="12"/>
      <c r="Q399" s="12"/>
      <c r="R399" s="36"/>
      <c r="S399" s="36"/>
      <c r="T399" s="12"/>
      <c r="U399" s="12"/>
      <c r="V399" s="12"/>
      <c r="W399" s="12"/>
      <c r="X399" s="12"/>
    </row>
    <row r="400" customFormat="false" ht="15.75" hidden="false" customHeight="false" outlineLevel="0" collapsed="false">
      <c r="A400" s="12"/>
      <c r="B400" s="34"/>
      <c r="C400" s="12"/>
      <c r="D400" s="12"/>
      <c r="E400" s="12"/>
      <c r="F400" s="12"/>
      <c r="G400" s="18"/>
      <c r="H400" s="35"/>
      <c r="I400" s="12"/>
      <c r="M400" s="12"/>
      <c r="N400" s="18"/>
      <c r="O400" s="12"/>
      <c r="P400" s="12"/>
      <c r="Q400" s="12"/>
      <c r="R400" s="36"/>
      <c r="S400" s="36"/>
      <c r="T400" s="12"/>
      <c r="U400" s="12"/>
      <c r="V400" s="12"/>
      <c r="W400" s="12"/>
      <c r="X400" s="12"/>
    </row>
    <row r="401" customFormat="false" ht="15.75" hidden="false" customHeight="false" outlineLevel="0" collapsed="false">
      <c r="A401" s="12"/>
      <c r="B401" s="34"/>
      <c r="C401" s="12"/>
      <c r="D401" s="12"/>
      <c r="E401" s="12"/>
      <c r="F401" s="12"/>
      <c r="G401" s="18"/>
      <c r="H401" s="35"/>
      <c r="I401" s="12"/>
      <c r="M401" s="12"/>
      <c r="N401" s="18"/>
      <c r="O401" s="12"/>
      <c r="P401" s="12"/>
      <c r="Q401" s="12"/>
      <c r="R401" s="36"/>
      <c r="S401" s="36"/>
      <c r="T401" s="12"/>
      <c r="U401" s="12"/>
      <c r="V401" s="12"/>
      <c r="W401" s="12"/>
      <c r="X401" s="12"/>
    </row>
    <row r="402" customFormat="false" ht="15.75" hidden="false" customHeight="false" outlineLevel="0" collapsed="false">
      <c r="A402" s="12"/>
      <c r="B402" s="34"/>
      <c r="C402" s="12"/>
      <c r="D402" s="12"/>
      <c r="E402" s="12"/>
      <c r="F402" s="12"/>
      <c r="G402" s="18"/>
      <c r="H402" s="35"/>
      <c r="I402" s="12"/>
      <c r="M402" s="12"/>
      <c r="N402" s="18"/>
      <c r="O402" s="12"/>
      <c r="P402" s="12"/>
      <c r="Q402" s="12"/>
      <c r="R402" s="36"/>
      <c r="S402" s="36"/>
      <c r="T402" s="12"/>
      <c r="U402" s="12"/>
      <c r="V402" s="12"/>
      <c r="W402" s="12"/>
      <c r="X402" s="12"/>
    </row>
    <row r="403" customFormat="false" ht="15.75" hidden="false" customHeight="false" outlineLevel="0" collapsed="false">
      <c r="A403" s="12"/>
      <c r="B403" s="34"/>
      <c r="C403" s="12"/>
      <c r="D403" s="12"/>
      <c r="E403" s="12"/>
      <c r="F403" s="12"/>
      <c r="G403" s="18"/>
      <c r="H403" s="35"/>
      <c r="I403" s="12"/>
      <c r="M403" s="12"/>
      <c r="N403" s="18"/>
      <c r="O403" s="12"/>
      <c r="P403" s="12"/>
      <c r="Q403" s="12"/>
      <c r="R403" s="36"/>
      <c r="S403" s="36"/>
      <c r="T403" s="12"/>
      <c r="U403" s="12"/>
      <c r="V403" s="12"/>
      <c r="W403" s="12"/>
      <c r="X403" s="12"/>
    </row>
    <row r="404" customFormat="false" ht="15.75" hidden="false" customHeight="false" outlineLevel="0" collapsed="false">
      <c r="A404" s="12"/>
      <c r="B404" s="34"/>
      <c r="C404" s="12"/>
      <c r="D404" s="12"/>
      <c r="E404" s="12"/>
      <c r="F404" s="12"/>
      <c r="G404" s="18"/>
      <c r="H404" s="35"/>
      <c r="I404" s="12"/>
      <c r="M404" s="12"/>
      <c r="N404" s="18"/>
      <c r="O404" s="12"/>
      <c r="P404" s="12"/>
      <c r="Q404" s="12"/>
      <c r="R404" s="36"/>
      <c r="S404" s="36"/>
      <c r="T404" s="12"/>
      <c r="U404" s="12"/>
      <c r="V404" s="12"/>
      <c r="W404" s="12"/>
      <c r="X404" s="12"/>
    </row>
    <row r="405" customFormat="false" ht="15.75" hidden="false" customHeight="false" outlineLevel="0" collapsed="false">
      <c r="A405" s="12"/>
      <c r="B405" s="34"/>
      <c r="C405" s="12"/>
      <c r="D405" s="12"/>
      <c r="E405" s="12"/>
      <c r="F405" s="12"/>
      <c r="G405" s="18"/>
      <c r="H405" s="35"/>
      <c r="I405" s="12"/>
      <c r="M405" s="12"/>
      <c r="N405" s="18"/>
      <c r="O405" s="12"/>
      <c r="P405" s="12"/>
      <c r="Q405" s="12"/>
      <c r="R405" s="36"/>
      <c r="S405" s="36"/>
      <c r="T405" s="12"/>
      <c r="U405" s="12"/>
      <c r="V405" s="12"/>
      <c r="W405" s="12"/>
      <c r="X405" s="12"/>
    </row>
    <row r="406" customFormat="false" ht="15.75" hidden="false" customHeight="false" outlineLevel="0" collapsed="false">
      <c r="A406" s="12"/>
      <c r="B406" s="34"/>
      <c r="C406" s="12"/>
      <c r="D406" s="12"/>
      <c r="E406" s="12"/>
      <c r="F406" s="12"/>
      <c r="G406" s="18"/>
      <c r="H406" s="35"/>
      <c r="I406" s="12"/>
      <c r="M406" s="12"/>
      <c r="N406" s="18"/>
      <c r="O406" s="12"/>
      <c r="P406" s="12"/>
      <c r="Q406" s="12"/>
      <c r="R406" s="36"/>
      <c r="S406" s="36"/>
      <c r="T406" s="12"/>
      <c r="U406" s="12"/>
      <c r="V406" s="12"/>
      <c r="W406" s="12"/>
      <c r="X406" s="12"/>
    </row>
    <row r="407" customFormat="false" ht="15.75" hidden="false" customHeight="false" outlineLevel="0" collapsed="false">
      <c r="A407" s="12"/>
      <c r="B407" s="34"/>
      <c r="C407" s="12"/>
      <c r="D407" s="12"/>
      <c r="E407" s="12"/>
      <c r="F407" s="12"/>
      <c r="G407" s="18"/>
      <c r="H407" s="35"/>
      <c r="I407" s="12"/>
      <c r="M407" s="12"/>
      <c r="N407" s="18"/>
      <c r="O407" s="12"/>
      <c r="P407" s="12"/>
      <c r="Q407" s="12"/>
      <c r="R407" s="36"/>
      <c r="S407" s="36"/>
      <c r="T407" s="12"/>
      <c r="U407" s="12"/>
      <c r="V407" s="12"/>
      <c r="W407" s="12"/>
      <c r="X407" s="12"/>
    </row>
    <row r="408" customFormat="false" ht="15.75" hidden="false" customHeight="false" outlineLevel="0" collapsed="false">
      <c r="A408" s="12"/>
      <c r="B408" s="34"/>
      <c r="C408" s="12"/>
      <c r="D408" s="12"/>
      <c r="E408" s="12"/>
      <c r="F408" s="12"/>
      <c r="G408" s="18"/>
      <c r="H408" s="35"/>
      <c r="I408" s="12"/>
      <c r="M408" s="12"/>
      <c r="N408" s="18"/>
      <c r="O408" s="12"/>
      <c r="P408" s="12"/>
      <c r="Q408" s="12"/>
      <c r="R408" s="36"/>
      <c r="S408" s="36"/>
      <c r="T408" s="12"/>
      <c r="U408" s="12"/>
      <c r="V408" s="12"/>
      <c r="W408" s="12"/>
      <c r="X408" s="12"/>
    </row>
    <row r="409" customFormat="false" ht="15.75" hidden="false" customHeight="false" outlineLevel="0" collapsed="false">
      <c r="A409" s="12"/>
      <c r="B409" s="34"/>
      <c r="C409" s="12"/>
      <c r="D409" s="12"/>
      <c r="E409" s="12"/>
      <c r="F409" s="12"/>
      <c r="G409" s="18"/>
      <c r="H409" s="35"/>
      <c r="I409" s="12"/>
      <c r="M409" s="12"/>
      <c r="N409" s="18"/>
      <c r="O409" s="12"/>
      <c r="P409" s="12"/>
      <c r="Q409" s="12"/>
      <c r="R409" s="36"/>
      <c r="S409" s="36"/>
      <c r="T409" s="12"/>
      <c r="U409" s="12"/>
      <c r="V409" s="12"/>
      <c r="W409" s="12"/>
      <c r="X409" s="12"/>
    </row>
    <row r="410" customFormat="false" ht="15.75" hidden="false" customHeight="false" outlineLevel="0" collapsed="false">
      <c r="A410" s="12"/>
      <c r="B410" s="34"/>
      <c r="C410" s="12"/>
      <c r="D410" s="12"/>
      <c r="E410" s="12"/>
      <c r="F410" s="12"/>
      <c r="G410" s="18"/>
      <c r="H410" s="35"/>
      <c r="I410" s="12"/>
      <c r="M410" s="12"/>
      <c r="N410" s="18"/>
      <c r="O410" s="12"/>
      <c r="P410" s="12"/>
      <c r="Q410" s="12"/>
      <c r="R410" s="36"/>
      <c r="S410" s="36"/>
      <c r="T410" s="12"/>
      <c r="U410" s="12"/>
      <c r="V410" s="12"/>
      <c r="W410" s="12"/>
      <c r="X410" s="12"/>
    </row>
    <row r="411" customFormat="false" ht="15.75" hidden="false" customHeight="false" outlineLevel="0" collapsed="false">
      <c r="A411" s="12"/>
      <c r="B411" s="34"/>
      <c r="C411" s="12"/>
      <c r="D411" s="12"/>
      <c r="E411" s="12"/>
      <c r="F411" s="12"/>
      <c r="G411" s="18"/>
      <c r="H411" s="35"/>
      <c r="I411" s="12"/>
      <c r="M411" s="12"/>
      <c r="N411" s="18"/>
      <c r="O411" s="12"/>
      <c r="P411" s="12"/>
      <c r="Q411" s="12"/>
      <c r="R411" s="36"/>
      <c r="S411" s="36"/>
      <c r="T411" s="12"/>
      <c r="U411" s="12"/>
      <c r="V411" s="12"/>
      <c r="W411" s="12"/>
      <c r="X411" s="12"/>
    </row>
    <row r="412" customFormat="false" ht="15.75" hidden="false" customHeight="false" outlineLevel="0" collapsed="false">
      <c r="A412" s="12"/>
      <c r="B412" s="34"/>
      <c r="C412" s="12"/>
      <c r="D412" s="12"/>
      <c r="E412" s="12"/>
      <c r="F412" s="12"/>
      <c r="G412" s="18"/>
      <c r="H412" s="35"/>
      <c r="I412" s="12"/>
      <c r="M412" s="12"/>
      <c r="N412" s="18"/>
      <c r="O412" s="12"/>
      <c r="P412" s="12"/>
      <c r="Q412" s="12"/>
      <c r="R412" s="36"/>
      <c r="S412" s="36"/>
      <c r="T412" s="12"/>
      <c r="U412" s="12"/>
      <c r="V412" s="12"/>
      <c r="W412" s="12"/>
      <c r="X412" s="12"/>
    </row>
    <row r="413" customFormat="false" ht="15.75" hidden="false" customHeight="false" outlineLevel="0" collapsed="false">
      <c r="A413" s="12"/>
      <c r="B413" s="34"/>
      <c r="C413" s="12"/>
      <c r="D413" s="12"/>
      <c r="E413" s="12"/>
      <c r="F413" s="12"/>
      <c r="G413" s="18"/>
      <c r="H413" s="35"/>
      <c r="I413" s="12"/>
      <c r="M413" s="12"/>
      <c r="N413" s="18"/>
      <c r="O413" s="12"/>
      <c r="P413" s="12"/>
      <c r="Q413" s="12"/>
      <c r="R413" s="36"/>
      <c r="S413" s="36"/>
      <c r="T413" s="12"/>
      <c r="U413" s="12"/>
      <c r="V413" s="12"/>
      <c r="W413" s="12"/>
      <c r="X413" s="12"/>
    </row>
    <row r="414" customFormat="false" ht="15.75" hidden="false" customHeight="false" outlineLevel="0" collapsed="false">
      <c r="A414" s="12"/>
      <c r="B414" s="34"/>
      <c r="C414" s="12"/>
      <c r="D414" s="12"/>
      <c r="E414" s="12"/>
      <c r="F414" s="12"/>
      <c r="G414" s="18"/>
      <c r="H414" s="35"/>
      <c r="I414" s="12"/>
      <c r="M414" s="12"/>
      <c r="N414" s="18"/>
      <c r="O414" s="12"/>
      <c r="P414" s="12"/>
      <c r="Q414" s="12"/>
      <c r="R414" s="36"/>
      <c r="S414" s="36"/>
      <c r="T414" s="12"/>
      <c r="U414" s="12"/>
      <c r="V414" s="12"/>
      <c r="W414" s="12"/>
      <c r="X414" s="12"/>
    </row>
    <row r="415" customFormat="false" ht="15.75" hidden="false" customHeight="false" outlineLevel="0" collapsed="false">
      <c r="A415" s="12"/>
      <c r="B415" s="34"/>
      <c r="C415" s="12"/>
      <c r="D415" s="12"/>
      <c r="E415" s="12"/>
      <c r="F415" s="12"/>
      <c r="G415" s="18"/>
      <c r="H415" s="35"/>
      <c r="I415" s="12"/>
      <c r="M415" s="12"/>
      <c r="N415" s="18"/>
      <c r="O415" s="12"/>
      <c r="P415" s="12"/>
      <c r="Q415" s="12"/>
      <c r="R415" s="36"/>
      <c r="S415" s="36"/>
      <c r="T415" s="12"/>
      <c r="U415" s="12"/>
      <c r="V415" s="12"/>
      <c r="W415" s="12"/>
      <c r="X415" s="12"/>
    </row>
    <row r="416" customFormat="false" ht="15.75" hidden="false" customHeight="false" outlineLevel="0" collapsed="false">
      <c r="A416" s="12"/>
      <c r="B416" s="34"/>
      <c r="C416" s="12"/>
      <c r="D416" s="12"/>
      <c r="E416" s="12"/>
      <c r="F416" s="12"/>
      <c r="G416" s="18"/>
      <c r="H416" s="35"/>
      <c r="I416" s="12"/>
      <c r="M416" s="12"/>
      <c r="N416" s="18"/>
      <c r="O416" s="12"/>
      <c r="P416" s="12"/>
      <c r="Q416" s="12"/>
      <c r="R416" s="36"/>
      <c r="S416" s="36"/>
      <c r="T416" s="12"/>
      <c r="U416" s="12"/>
      <c r="V416" s="12"/>
      <c r="W416" s="12"/>
      <c r="X416" s="12"/>
    </row>
    <row r="417" customFormat="false" ht="15.75" hidden="false" customHeight="false" outlineLevel="0" collapsed="false">
      <c r="A417" s="12"/>
      <c r="B417" s="34"/>
      <c r="C417" s="12"/>
      <c r="D417" s="12"/>
      <c r="E417" s="12"/>
      <c r="F417" s="12"/>
      <c r="G417" s="18"/>
      <c r="H417" s="35"/>
      <c r="I417" s="12"/>
      <c r="M417" s="12"/>
      <c r="N417" s="18"/>
      <c r="O417" s="12"/>
      <c r="P417" s="12"/>
      <c r="Q417" s="12"/>
      <c r="R417" s="36"/>
      <c r="S417" s="36"/>
      <c r="T417" s="12"/>
      <c r="U417" s="12"/>
      <c r="V417" s="12"/>
      <c r="W417" s="12"/>
      <c r="X417" s="12"/>
    </row>
    <row r="418" customFormat="false" ht="15.75" hidden="false" customHeight="false" outlineLevel="0" collapsed="false">
      <c r="A418" s="12"/>
      <c r="B418" s="34"/>
      <c r="C418" s="12"/>
      <c r="D418" s="12"/>
      <c r="E418" s="12"/>
      <c r="F418" s="12"/>
      <c r="G418" s="18"/>
      <c r="H418" s="35"/>
      <c r="I418" s="12"/>
      <c r="M418" s="12"/>
      <c r="N418" s="18"/>
      <c r="O418" s="12"/>
      <c r="P418" s="12"/>
      <c r="Q418" s="12"/>
      <c r="R418" s="36"/>
      <c r="S418" s="36"/>
      <c r="T418" s="12"/>
      <c r="U418" s="12"/>
      <c r="V418" s="12"/>
      <c r="W418" s="12"/>
      <c r="X418" s="12"/>
    </row>
    <row r="419" customFormat="false" ht="15.75" hidden="false" customHeight="false" outlineLevel="0" collapsed="false">
      <c r="A419" s="12"/>
      <c r="B419" s="34"/>
      <c r="C419" s="12"/>
      <c r="D419" s="12"/>
      <c r="E419" s="12"/>
      <c r="F419" s="12"/>
      <c r="G419" s="18"/>
      <c r="H419" s="35"/>
      <c r="I419" s="12"/>
      <c r="M419" s="12"/>
      <c r="N419" s="18"/>
      <c r="O419" s="12"/>
      <c r="P419" s="12"/>
      <c r="Q419" s="12"/>
      <c r="R419" s="36"/>
      <c r="S419" s="36"/>
      <c r="T419" s="12"/>
      <c r="U419" s="12"/>
      <c r="V419" s="12"/>
      <c r="W419" s="12"/>
      <c r="X419" s="12"/>
    </row>
    <row r="420" customFormat="false" ht="15.75" hidden="false" customHeight="false" outlineLevel="0" collapsed="false">
      <c r="A420" s="12"/>
      <c r="B420" s="34"/>
      <c r="C420" s="12"/>
      <c r="D420" s="12"/>
      <c r="E420" s="12"/>
      <c r="F420" s="12"/>
      <c r="G420" s="18"/>
      <c r="H420" s="35"/>
      <c r="I420" s="12"/>
      <c r="M420" s="12"/>
      <c r="N420" s="18"/>
      <c r="O420" s="12"/>
      <c r="P420" s="12"/>
      <c r="Q420" s="12"/>
      <c r="R420" s="36"/>
      <c r="S420" s="36"/>
      <c r="T420" s="12"/>
      <c r="U420" s="12"/>
      <c r="V420" s="12"/>
      <c r="W420" s="12"/>
      <c r="X420" s="12"/>
    </row>
    <row r="421" customFormat="false" ht="15.75" hidden="false" customHeight="false" outlineLevel="0" collapsed="false">
      <c r="A421" s="12"/>
      <c r="B421" s="34"/>
      <c r="C421" s="12"/>
      <c r="D421" s="12"/>
      <c r="E421" s="12"/>
      <c r="F421" s="12"/>
      <c r="G421" s="18"/>
      <c r="H421" s="35"/>
      <c r="I421" s="12"/>
      <c r="M421" s="12"/>
      <c r="N421" s="18"/>
      <c r="O421" s="12"/>
      <c r="P421" s="12"/>
      <c r="Q421" s="12"/>
      <c r="R421" s="36"/>
      <c r="S421" s="36"/>
      <c r="T421" s="12"/>
      <c r="U421" s="12"/>
      <c r="V421" s="12"/>
      <c r="W421" s="12"/>
      <c r="X421" s="12"/>
    </row>
    <row r="422" customFormat="false" ht="15.75" hidden="false" customHeight="false" outlineLevel="0" collapsed="false">
      <c r="A422" s="12"/>
      <c r="B422" s="34"/>
      <c r="C422" s="12"/>
      <c r="D422" s="12"/>
      <c r="E422" s="12"/>
      <c r="F422" s="12"/>
      <c r="G422" s="18"/>
      <c r="H422" s="35"/>
      <c r="I422" s="12"/>
      <c r="M422" s="12"/>
      <c r="N422" s="18"/>
      <c r="O422" s="12"/>
      <c r="P422" s="12"/>
      <c r="Q422" s="12"/>
      <c r="R422" s="36"/>
      <c r="S422" s="36"/>
      <c r="T422" s="12"/>
      <c r="U422" s="12"/>
      <c r="V422" s="12"/>
      <c r="W422" s="12"/>
      <c r="X422" s="12"/>
    </row>
    <row r="423" customFormat="false" ht="15.75" hidden="false" customHeight="false" outlineLevel="0" collapsed="false">
      <c r="A423" s="12"/>
      <c r="B423" s="34"/>
      <c r="C423" s="12"/>
      <c r="D423" s="12"/>
      <c r="E423" s="12"/>
      <c r="F423" s="12"/>
      <c r="G423" s="18"/>
      <c r="H423" s="35"/>
      <c r="I423" s="12"/>
      <c r="M423" s="12"/>
      <c r="N423" s="18"/>
      <c r="O423" s="12"/>
      <c r="P423" s="12"/>
      <c r="Q423" s="12"/>
      <c r="R423" s="36"/>
      <c r="S423" s="36"/>
      <c r="T423" s="12"/>
      <c r="U423" s="12"/>
      <c r="V423" s="12"/>
      <c r="W423" s="12"/>
      <c r="X423" s="12"/>
    </row>
    <row r="424" customFormat="false" ht="15.75" hidden="false" customHeight="false" outlineLevel="0" collapsed="false">
      <c r="A424" s="12"/>
      <c r="B424" s="34"/>
      <c r="C424" s="12"/>
      <c r="D424" s="12"/>
      <c r="E424" s="12"/>
      <c r="F424" s="12"/>
      <c r="G424" s="18"/>
      <c r="H424" s="35"/>
      <c r="I424" s="12"/>
      <c r="M424" s="12"/>
      <c r="N424" s="18"/>
      <c r="O424" s="12"/>
      <c r="P424" s="12"/>
      <c r="Q424" s="12"/>
      <c r="R424" s="36"/>
      <c r="S424" s="36"/>
      <c r="T424" s="12"/>
      <c r="U424" s="12"/>
      <c r="V424" s="12"/>
      <c r="W424" s="12"/>
      <c r="X424" s="12"/>
    </row>
    <row r="425" customFormat="false" ht="15.75" hidden="false" customHeight="false" outlineLevel="0" collapsed="false">
      <c r="A425" s="12"/>
      <c r="B425" s="34"/>
      <c r="C425" s="12"/>
      <c r="D425" s="12"/>
      <c r="E425" s="12"/>
      <c r="F425" s="12"/>
      <c r="G425" s="18"/>
      <c r="H425" s="35"/>
      <c r="I425" s="12"/>
      <c r="M425" s="12"/>
      <c r="N425" s="18"/>
      <c r="O425" s="12"/>
      <c r="P425" s="12"/>
      <c r="Q425" s="12"/>
      <c r="R425" s="36"/>
      <c r="S425" s="36"/>
      <c r="T425" s="12"/>
      <c r="U425" s="12"/>
      <c r="V425" s="12"/>
      <c r="W425" s="12"/>
      <c r="X425" s="12"/>
    </row>
    <row r="426" customFormat="false" ht="15.75" hidden="false" customHeight="false" outlineLevel="0" collapsed="false">
      <c r="A426" s="12"/>
      <c r="B426" s="34"/>
      <c r="C426" s="12"/>
      <c r="D426" s="12"/>
      <c r="E426" s="12"/>
      <c r="F426" s="12"/>
      <c r="G426" s="18"/>
      <c r="H426" s="35"/>
      <c r="I426" s="12"/>
      <c r="M426" s="12"/>
      <c r="N426" s="18"/>
      <c r="O426" s="12"/>
      <c r="P426" s="12"/>
      <c r="Q426" s="12"/>
      <c r="R426" s="36"/>
      <c r="S426" s="36"/>
      <c r="T426" s="12"/>
      <c r="U426" s="12"/>
      <c r="V426" s="12"/>
      <c r="W426" s="12"/>
      <c r="X426" s="12"/>
    </row>
    <row r="427" customFormat="false" ht="15.75" hidden="false" customHeight="false" outlineLevel="0" collapsed="false">
      <c r="A427" s="12"/>
      <c r="B427" s="34"/>
      <c r="C427" s="12"/>
      <c r="D427" s="12"/>
      <c r="E427" s="12"/>
      <c r="F427" s="12"/>
      <c r="G427" s="18"/>
      <c r="H427" s="35"/>
      <c r="I427" s="12"/>
      <c r="M427" s="12"/>
      <c r="N427" s="18"/>
      <c r="O427" s="12"/>
      <c r="P427" s="12"/>
      <c r="Q427" s="12"/>
      <c r="R427" s="36"/>
      <c r="S427" s="36"/>
      <c r="T427" s="12"/>
      <c r="U427" s="12"/>
      <c r="V427" s="12"/>
      <c r="W427" s="12"/>
      <c r="X427" s="12"/>
    </row>
    <row r="428" customFormat="false" ht="15.75" hidden="false" customHeight="false" outlineLevel="0" collapsed="false">
      <c r="A428" s="12"/>
      <c r="B428" s="34"/>
      <c r="C428" s="12"/>
      <c r="D428" s="12"/>
      <c r="E428" s="12"/>
      <c r="F428" s="12"/>
      <c r="G428" s="18"/>
      <c r="H428" s="35"/>
      <c r="I428" s="12"/>
      <c r="M428" s="12"/>
      <c r="N428" s="18"/>
      <c r="O428" s="12"/>
      <c r="P428" s="12"/>
      <c r="Q428" s="12"/>
      <c r="R428" s="36"/>
      <c r="S428" s="36"/>
      <c r="T428" s="12"/>
      <c r="U428" s="12"/>
      <c r="V428" s="12"/>
      <c r="W428" s="12"/>
      <c r="X428" s="12"/>
    </row>
    <row r="429" customFormat="false" ht="15.75" hidden="false" customHeight="false" outlineLevel="0" collapsed="false">
      <c r="A429" s="12"/>
      <c r="B429" s="34"/>
      <c r="C429" s="12"/>
      <c r="D429" s="12"/>
      <c r="E429" s="12"/>
      <c r="F429" s="12"/>
      <c r="G429" s="18"/>
      <c r="H429" s="35"/>
      <c r="I429" s="12"/>
      <c r="M429" s="12"/>
      <c r="N429" s="18"/>
      <c r="O429" s="12"/>
      <c r="P429" s="12"/>
      <c r="Q429" s="12"/>
      <c r="R429" s="36"/>
      <c r="S429" s="36"/>
      <c r="T429" s="12"/>
      <c r="U429" s="12"/>
      <c r="V429" s="12"/>
      <c r="W429" s="12"/>
      <c r="X429" s="12"/>
    </row>
    <row r="430" customFormat="false" ht="15.75" hidden="false" customHeight="false" outlineLevel="0" collapsed="false">
      <c r="A430" s="12"/>
      <c r="B430" s="34"/>
      <c r="C430" s="12"/>
      <c r="D430" s="12"/>
      <c r="E430" s="12"/>
      <c r="F430" s="12"/>
      <c r="G430" s="18"/>
      <c r="H430" s="35"/>
      <c r="I430" s="12"/>
      <c r="M430" s="12"/>
      <c r="N430" s="18"/>
      <c r="O430" s="12"/>
      <c r="P430" s="12"/>
      <c r="Q430" s="12"/>
      <c r="R430" s="36"/>
      <c r="S430" s="36"/>
      <c r="T430" s="12"/>
      <c r="U430" s="12"/>
      <c r="V430" s="12"/>
      <c r="W430" s="12"/>
      <c r="X430" s="12"/>
    </row>
    <row r="431" customFormat="false" ht="15.75" hidden="false" customHeight="false" outlineLevel="0" collapsed="false">
      <c r="A431" s="12"/>
      <c r="B431" s="34"/>
      <c r="C431" s="12"/>
      <c r="D431" s="12"/>
      <c r="E431" s="12"/>
      <c r="F431" s="12"/>
      <c r="G431" s="18"/>
      <c r="H431" s="35"/>
      <c r="I431" s="12"/>
      <c r="M431" s="12"/>
      <c r="N431" s="18"/>
      <c r="O431" s="12"/>
      <c r="P431" s="12"/>
      <c r="Q431" s="12"/>
      <c r="R431" s="36"/>
      <c r="S431" s="36"/>
      <c r="T431" s="12"/>
      <c r="U431" s="12"/>
      <c r="V431" s="12"/>
      <c r="W431" s="12"/>
      <c r="X431" s="12"/>
    </row>
    <row r="432" customFormat="false" ht="15.75" hidden="false" customHeight="false" outlineLevel="0" collapsed="false">
      <c r="A432" s="12"/>
      <c r="B432" s="34"/>
      <c r="C432" s="12"/>
      <c r="D432" s="12"/>
      <c r="E432" s="12"/>
      <c r="F432" s="12"/>
      <c r="G432" s="18"/>
      <c r="H432" s="35"/>
      <c r="I432" s="12"/>
      <c r="M432" s="12"/>
      <c r="N432" s="18"/>
      <c r="O432" s="12"/>
      <c r="P432" s="12"/>
      <c r="Q432" s="12"/>
      <c r="R432" s="36"/>
      <c r="S432" s="36"/>
      <c r="T432" s="12"/>
      <c r="U432" s="12"/>
      <c r="V432" s="12"/>
      <c r="W432" s="12"/>
      <c r="X432" s="12"/>
    </row>
    <row r="433" customFormat="false" ht="15.75" hidden="false" customHeight="false" outlineLevel="0" collapsed="false">
      <c r="A433" s="12"/>
      <c r="B433" s="34"/>
      <c r="C433" s="12"/>
      <c r="D433" s="12"/>
      <c r="E433" s="12"/>
      <c r="F433" s="12"/>
      <c r="G433" s="18"/>
      <c r="H433" s="35"/>
      <c r="I433" s="12"/>
      <c r="M433" s="12"/>
      <c r="N433" s="18"/>
      <c r="O433" s="12"/>
      <c r="P433" s="12"/>
      <c r="Q433" s="12"/>
      <c r="R433" s="36"/>
      <c r="S433" s="36"/>
      <c r="T433" s="12"/>
      <c r="U433" s="12"/>
      <c r="V433" s="12"/>
      <c r="W433" s="12"/>
      <c r="X433" s="12"/>
    </row>
    <row r="434" customFormat="false" ht="15.75" hidden="false" customHeight="false" outlineLevel="0" collapsed="false">
      <c r="A434" s="12"/>
      <c r="B434" s="34"/>
      <c r="C434" s="12"/>
      <c r="D434" s="12"/>
      <c r="E434" s="12"/>
      <c r="F434" s="12"/>
      <c r="G434" s="18"/>
      <c r="H434" s="35"/>
      <c r="I434" s="12"/>
      <c r="M434" s="12"/>
      <c r="N434" s="18"/>
      <c r="O434" s="12"/>
      <c r="P434" s="12"/>
      <c r="Q434" s="12"/>
      <c r="R434" s="36"/>
      <c r="S434" s="36"/>
      <c r="T434" s="12"/>
      <c r="U434" s="12"/>
      <c r="V434" s="12"/>
      <c r="W434" s="12"/>
      <c r="X434" s="12"/>
    </row>
    <row r="435" customFormat="false" ht="15.75" hidden="false" customHeight="false" outlineLevel="0" collapsed="false">
      <c r="A435" s="12"/>
      <c r="B435" s="34"/>
      <c r="C435" s="12"/>
      <c r="D435" s="12"/>
      <c r="E435" s="12"/>
      <c r="F435" s="12"/>
      <c r="G435" s="18"/>
      <c r="H435" s="35"/>
      <c r="I435" s="12"/>
      <c r="M435" s="12"/>
      <c r="N435" s="18"/>
      <c r="O435" s="12"/>
      <c r="P435" s="12"/>
      <c r="Q435" s="12"/>
      <c r="R435" s="36"/>
      <c r="S435" s="36"/>
      <c r="T435" s="12"/>
      <c r="U435" s="12"/>
      <c r="V435" s="12"/>
      <c r="W435" s="12"/>
      <c r="X435" s="12"/>
    </row>
    <row r="436" customFormat="false" ht="15.75" hidden="false" customHeight="false" outlineLevel="0" collapsed="false">
      <c r="A436" s="12"/>
      <c r="B436" s="34"/>
      <c r="C436" s="12"/>
      <c r="D436" s="12"/>
      <c r="E436" s="12"/>
      <c r="F436" s="12"/>
      <c r="G436" s="18"/>
      <c r="H436" s="35"/>
      <c r="I436" s="12"/>
      <c r="M436" s="12"/>
      <c r="N436" s="18"/>
      <c r="O436" s="12"/>
      <c r="P436" s="12"/>
      <c r="Q436" s="12"/>
      <c r="R436" s="36"/>
      <c r="S436" s="36"/>
      <c r="T436" s="12"/>
      <c r="U436" s="12"/>
      <c r="V436" s="12"/>
      <c r="W436" s="12"/>
      <c r="X436" s="12"/>
    </row>
    <row r="437" customFormat="false" ht="15.75" hidden="false" customHeight="false" outlineLevel="0" collapsed="false">
      <c r="A437" s="12"/>
      <c r="B437" s="34"/>
      <c r="C437" s="12"/>
      <c r="D437" s="12"/>
      <c r="E437" s="12"/>
      <c r="F437" s="12"/>
      <c r="G437" s="18"/>
      <c r="H437" s="35"/>
      <c r="I437" s="12"/>
      <c r="M437" s="12"/>
      <c r="N437" s="18"/>
      <c r="O437" s="12"/>
      <c r="P437" s="12"/>
      <c r="Q437" s="12"/>
      <c r="R437" s="36"/>
      <c r="S437" s="36"/>
      <c r="T437" s="12"/>
      <c r="U437" s="12"/>
      <c r="V437" s="12"/>
      <c r="W437" s="12"/>
      <c r="X437" s="12"/>
    </row>
    <row r="438" customFormat="false" ht="15.75" hidden="false" customHeight="false" outlineLevel="0" collapsed="false">
      <c r="A438" s="12"/>
      <c r="B438" s="34"/>
      <c r="C438" s="12"/>
      <c r="D438" s="12"/>
      <c r="E438" s="12"/>
      <c r="F438" s="12"/>
      <c r="G438" s="18"/>
      <c r="H438" s="35"/>
      <c r="I438" s="12"/>
      <c r="M438" s="12"/>
      <c r="N438" s="18"/>
      <c r="O438" s="12"/>
      <c r="P438" s="12"/>
      <c r="Q438" s="12"/>
      <c r="R438" s="36"/>
      <c r="S438" s="36"/>
      <c r="T438" s="12"/>
      <c r="U438" s="12"/>
      <c r="V438" s="12"/>
      <c r="W438" s="12"/>
      <c r="X438" s="12"/>
    </row>
    <row r="439" customFormat="false" ht="15.75" hidden="false" customHeight="false" outlineLevel="0" collapsed="false">
      <c r="A439" s="12"/>
      <c r="B439" s="34"/>
      <c r="C439" s="12"/>
      <c r="D439" s="12"/>
      <c r="E439" s="12"/>
      <c r="F439" s="12"/>
      <c r="G439" s="18"/>
      <c r="H439" s="35"/>
      <c r="I439" s="12"/>
      <c r="M439" s="12"/>
      <c r="N439" s="18"/>
      <c r="O439" s="12"/>
      <c r="P439" s="12"/>
      <c r="Q439" s="12"/>
      <c r="R439" s="36"/>
      <c r="S439" s="36"/>
      <c r="T439" s="12"/>
      <c r="U439" s="12"/>
      <c r="V439" s="12"/>
      <c r="W439" s="12"/>
      <c r="X439" s="12"/>
    </row>
    <row r="440" customFormat="false" ht="15.75" hidden="false" customHeight="false" outlineLevel="0" collapsed="false">
      <c r="A440" s="12"/>
      <c r="B440" s="34"/>
      <c r="C440" s="12"/>
      <c r="D440" s="12"/>
      <c r="E440" s="12"/>
      <c r="F440" s="12"/>
      <c r="G440" s="18"/>
      <c r="H440" s="35"/>
      <c r="I440" s="12"/>
      <c r="M440" s="12"/>
      <c r="N440" s="18"/>
      <c r="O440" s="12"/>
      <c r="P440" s="12"/>
      <c r="Q440" s="12"/>
      <c r="R440" s="36"/>
      <c r="S440" s="36"/>
      <c r="T440" s="12"/>
      <c r="U440" s="12"/>
      <c r="V440" s="12"/>
      <c r="W440" s="12"/>
      <c r="X440" s="12"/>
    </row>
    <row r="441" customFormat="false" ht="15.75" hidden="false" customHeight="false" outlineLevel="0" collapsed="false">
      <c r="A441" s="12"/>
      <c r="B441" s="34"/>
      <c r="C441" s="12"/>
      <c r="D441" s="12"/>
      <c r="E441" s="12"/>
      <c r="F441" s="12"/>
      <c r="G441" s="18"/>
      <c r="H441" s="35"/>
      <c r="I441" s="12"/>
      <c r="M441" s="12"/>
      <c r="N441" s="18"/>
      <c r="O441" s="12"/>
      <c r="P441" s="12"/>
      <c r="Q441" s="12"/>
      <c r="R441" s="36"/>
      <c r="S441" s="36"/>
      <c r="T441" s="12"/>
      <c r="U441" s="12"/>
      <c r="V441" s="12"/>
      <c r="W441" s="12"/>
      <c r="X441" s="12"/>
    </row>
    <row r="442" customFormat="false" ht="15.75" hidden="false" customHeight="false" outlineLevel="0" collapsed="false">
      <c r="A442" s="12"/>
      <c r="B442" s="34"/>
      <c r="C442" s="12"/>
      <c r="D442" s="12"/>
      <c r="E442" s="12"/>
      <c r="F442" s="12"/>
      <c r="G442" s="18"/>
      <c r="H442" s="35"/>
      <c r="I442" s="12"/>
      <c r="M442" s="12"/>
      <c r="N442" s="18"/>
      <c r="O442" s="12"/>
      <c r="P442" s="12"/>
      <c r="Q442" s="12"/>
      <c r="R442" s="36"/>
      <c r="S442" s="36"/>
      <c r="T442" s="12"/>
      <c r="U442" s="12"/>
      <c r="V442" s="12"/>
      <c r="W442" s="12"/>
      <c r="X442" s="12"/>
    </row>
    <row r="443" customFormat="false" ht="15.75" hidden="false" customHeight="false" outlineLevel="0" collapsed="false">
      <c r="A443" s="12"/>
      <c r="B443" s="34"/>
      <c r="C443" s="12"/>
      <c r="D443" s="12"/>
      <c r="E443" s="12"/>
      <c r="F443" s="12"/>
      <c r="G443" s="18"/>
      <c r="H443" s="35"/>
      <c r="I443" s="12"/>
      <c r="M443" s="12"/>
      <c r="N443" s="18"/>
      <c r="O443" s="12"/>
      <c r="P443" s="12"/>
      <c r="Q443" s="12"/>
      <c r="R443" s="36"/>
      <c r="S443" s="36"/>
      <c r="T443" s="12"/>
      <c r="U443" s="12"/>
      <c r="V443" s="12"/>
      <c r="W443" s="12"/>
      <c r="X443" s="12"/>
    </row>
    <row r="444" customFormat="false" ht="15.75" hidden="false" customHeight="false" outlineLevel="0" collapsed="false">
      <c r="A444" s="12"/>
      <c r="B444" s="34"/>
      <c r="C444" s="12"/>
      <c r="D444" s="12"/>
      <c r="E444" s="12"/>
      <c r="F444" s="12"/>
      <c r="G444" s="18"/>
      <c r="H444" s="35"/>
      <c r="I444" s="12"/>
      <c r="M444" s="12"/>
      <c r="N444" s="18"/>
      <c r="O444" s="12"/>
      <c r="P444" s="12"/>
      <c r="Q444" s="12"/>
      <c r="R444" s="36"/>
      <c r="S444" s="36"/>
      <c r="T444" s="12"/>
      <c r="U444" s="12"/>
      <c r="V444" s="12"/>
      <c r="W444" s="12"/>
      <c r="X444" s="12"/>
    </row>
    <row r="445" customFormat="false" ht="15.75" hidden="false" customHeight="false" outlineLevel="0" collapsed="false">
      <c r="A445" s="12"/>
      <c r="B445" s="34"/>
      <c r="C445" s="12"/>
      <c r="D445" s="12"/>
      <c r="E445" s="12"/>
      <c r="F445" s="12"/>
      <c r="G445" s="18"/>
      <c r="H445" s="35"/>
      <c r="I445" s="12"/>
      <c r="M445" s="12"/>
      <c r="N445" s="18"/>
      <c r="O445" s="12"/>
      <c r="P445" s="12"/>
      <c r="Q445" s="12"/>
      <c r="R445" s="36"/>
      <c r="S445" s="36"/>
      <c r="T445" s="12"/>
      <c r="U445" s="12"/>
      <c r="V445" s="12"/>
      <c r="W445" s="12"/>
      <c r="X445" s="12"/>
    </row>
    <row r="446" customFormat="false" ht="15.75" hidden="false" customHeight="false" outlineLevel="0" collapsed="false">
      <c r="A446" s="12"/>
      <c r="B446" s="34"/>
      <c r="C446" s="12"/>
      <c r="D446" s="12"/>
      <c r="E446" s="12"/>
      <c r="F446" s="12"/>
      <c r="G446" s="18"/>
      <c r="H446" s="35"/>
      <c r="I446" s="12"/>
      <c r="M446" s="12"/>
      <c r="N446" s="18"/>
      <c r="O446" s="12"/>
      <c r="P446" s="12"/>
      <c r="Q446" s="12"/>
      <c r="R446" s="36"/>
      <c r="S446" s="36"/>
      <c r="T446" s="12"/>
      <c r="U446" s="12"/>
      <c r="V446" s="12"/>
      <c r="W446" s="12"/>
      <c r="X446" s="12"/>
    </row>
    <row r="447" customFormat="false" ht="15.75" hidden="false" customHeight="false" outlineLevel="0" collapsed="false">
      <c r="A447" s="12"/>
      <c r="B447" s="34"/>
      <c r="C447" s="12"/>
      <c r="D447" s="12"/>
      <c r="E447" s="12"/>
      <c r="F447" s="12"/>
      <c r="G447" s="18"/>
      <c r="H447" s="35"/>
      <c r="I447" s="12"/>
      <c r="M447" s="12"/>
      <c r="N447" s="18"/>
      <c r="O447" s="12"/>
      <c r="P447" s="12"/>
      <c r="Q447" s="12"/>
      <c r="R447" s="36"/>
      <c r="S447" s="36"/>
      <c r="T447" s="12"/>
      <c r="U447" s="12"/>
      <c r="V447" s="12"/>
      <c r="W447" s="12"/>
      <c r="X447" s="12"/>
    </row>
    <row r="448" customFormat="false" ht="15.75" hidden="false" customHeight="false" outlineLevel="0" collapsed="false">
      <c r="A448" s="12"/>
      <c r="B448" s="34"/>
      <c r="C448" s="12"/>
      <c r="D448" s="12"/>
      <c r="E448" s="12"/>
      <c r="F448" s="12"/>
      <c r="G448" s="18"/>
      <c r="H448" s="35"/>
      <c r="I448" s="12"/>
      <c r="M448" s="12"/>
      <c r="N448" s="18"/>
      <c r="O448" s="12"/>
      <c r="P448" s="12"/>
      <c r="Q448" s="12"/>
      <c r="R448" s="36"/>
      <c r="S448" s="36"/>
      <c r="T448" s="12"/>
      <c r="U448" s="12"/>
      <c r="V448" s="12"/>
      <c r="W448" s="12"/>
      <c r="X448" s="12"/>
    </row>
    <row r="449" customFormat="false" ht="15.75" hidden="false" customHeight="false" outlineLevel="0" collapsed="false">
      <c r="A449" s="12"/>
      <c r="B449" s="34"/>
      <c r="C449" s="12"/>
      <c r="D449" s="12"/>
      <c r="E449" s="12"/>
      <c r="F449" s="12"/>
      <c r="G449" s="18"/>
      <c r="H449" s="35"/>
      <c r="I449" s="12"/>
      <c r="M449" s="12"/>
      <c r="N449" s="18"/>
      <c r="O449" s="12"/>
      <c r="P449" s="12"/>
      <c r="Q449" s="12"/>
      <c r="R449" s="36"/>
      <c r="S449" s="36"/>
      <c r="T449" s="12"/>
      <c r="U449" s="12"/>
      <c r="V449" s="12"/>
      <c r="W449" s="12"/>
      <c r="X449" s="12"/>
    </row>
    <row r="450" customFormat="false" ht="15.75" hidden="false" customHeight="false" outlineLevel="0" collapsed="false">
      <c r="A450" s="12"/>
      <c r="B450" s="34"/>
      <c r="C450" s="12"/>
      <c r="D450" s="12"/>
      <c r="E450" s="12"/>
      <c r="F450" s="12"/>
      <c r="G450" s="18"/>
      <c r="H450" s="35"/>
      <c r="I450" s="12"/>
      <c r="M450" s="12"/>
      <c r="N450" s="18"/>
      <c r="O450" s="12"/>
      <c r="P450" s="12"/>
      <c r="Q450" s="12"/>
      <c r="R450" s="36"/>
      <c r="S450" s="36"/>
      <c r="T450" s="12"/>
      <c r="U450" s="12"/>
      <c r="V450" s="12"/>
      <c r="W450" s="12"/>
      <c r="X450" s="12"/>
    </row>
    <row r="451" customFormat="false" ht="15.75" hidden="false" customHeight="false" outlineLevel="0" collapsed="false">
      <c r="A451" s="12"/>
      <c r="B451" s="34"/>
      <c r="C451" s="12"/>
      <c r="D451" s="12"/>
      <c r="E451" s="12"/>
      <c r="F451" s="12"/>
      <c r="G451" s="18"/>
      <c r="H451" s="35"/>
      <c r="I451" s="12"/>
      <c r="M451" s="12"/>
      <c r="N451" s="18"/>
      <c r="O451" s="12"/>
      <c r="P451" s="12"/>
      <c r="Q451" s="12"/>
      <c r="R451" s="36"/>
      <c r="S451" s="36"/>
      <c r="T451" s="12"/>
      <c r="U451" s="12"/>
      <c r="V451" s="12"/>
      <c r="W451" s="12"/>
      <c r="X451" s="12"/>
    </row>
    <row r="452" customFormat="false" ht="15.75" hidden="false" customHeight="false" outlineLevel="0" collapsed="false">
      <c r="A452" s="12"/>
      <c r="B452" s="34"/>
      <c r="C452" s="12"/>
      <c r="D452" s="12"/>
      <c r="E452" s="12"/>
      <c r="F452" s="12"/>
      <c r="G452" s="18"/>
      <c r="H452" s="35"/>
      <c r="I452" s="12"/>
      <c r="M452" s="12"/>
      <c r="N452" s="18"/>
      <c r="O452" s="12"/>
      <c r="P452" s="12"/>
      <c r="Q452" s="12"/>
      <c r="R452" s="36"/>
      <c r="S452" s="36"/>
      <c r="T452" s="12"/>
      <c r="U452" s="12"/>
      <c r="V452" s="12"/>
      <c r="W452" s="12"/>
      <c r="X452" s="12"/>
    </row>
    <row r="453" customFormat="false" ht="15.75" hidden="false" customHeight="false" outlineLevel="0" collapsed="false">
      <c r="A453" s="12"/>
      <c r="B453" s="34"/>
      <c r="C453" s="12"/>
      <c r="D453" s="12"/>
      <c r="E453" s="12"/>
      <c r="F453" s="12"/>
      <c r="G453" s="18"/>
      <c r="H453" s="35"/>
      <c r="I453" s="12"/>
      <c r="M453" s="12"/>
      <c r="N453" s="18"/>
      <c r="O453" s="12"/>
      <c r="P453" s="12"/>
      <c r="Q453" s="12"/>
      <c r="R453" s="36"/>
      <c r="S453" s="36"/>
      <c r="T453" s="12"/>
      <c r="U453" s="12"/>
      <c r="V453" s="12"/>
      <c r="W453" s="12"/>
      <c r="X453" s="12"/>
    </row>
    <row r="454" customFormat="false" ht="15.75" hidden="false" customHeight="false" outlineLevel="0" collapsed="false">
      <c r="A454" s="12"/>
      <c r="B454" s="34"/>
      <c r="C454" s="12"/>
      <c r="D454" s="12"/>
      <c r="E454" s="12"/>
      <c r="F454" s="12"/>
      <c r="G454" s="18"/>
      <c r="H454" s="35"/>
      <c r="I454" s="12"/>
      <c r="M454" s="12"/>
      <c r="N454" s="18"/>
      <c r="O454" s="12"/>
      <c r="P454" s="12"/>
      <c r="Q454" s="12"/>
      <c r="R454" s="36"/>
      <c r="S454" s="36"/>
      <c r="T454" s="12"/>
      <c r="U454" s="12"/>
      <c r="V454" s="12"/>
      <c r="W454" s="12"/>
      <c r="X454" s="12"/>
    </row>
    <row r="455" customFormat="false" ht="15.75" hidden="false" customHeight="false" outlineLevel="0" collapsed="false">
      <c r="A455" s="12"/>
      <c r="B455" s="34"/>
      <c r="C455" s="12"/>
      <c r="D455" s="12"/>
      <c r="E455" s="12"/>
      <c r="F455" s="12"/>
      <c r="G455" s="18"/>
      <c r="H455" s="35"/>
      <c r="I455" s="12"/>
      <c r="M455" s="12"/>
      <c r="N455" s="18"/>
      <c r="O455" s="12"/>
      <c r="P455" s="12"/>
      <c r="Q455" s="12"/>
      <c r="R455" s="36"/>
      <c r="S455" s="36"/>
      <c r="T455" s="12"/>
      <c r="U455" s="12"/>
      <c r="V455" s="12"/>
      <c r="W455" s="12"/>
      <c r="X455" s="12"/>
    </row>
    <row r="456" customFormat="false" ht="15.75" hidden="false" customHeight="false" outlineLevel="0" collapsed="false">
      <c r="A456" s="12"/>
      <c r="B456" s="34"/>
      <c r="C456" s="12"/>
      <c r="D456" s="12"/>
      <c r="E456" s="12"/>
      <c r="F456" s="12"/>
      <c r="G456" s="18"/>
      <c r="H456" s="35"/>
      <c r="I456" s="12"/>
      <c r="M456" s="12"/>
      <c r="N456" s="18"/>
      <c r="O456" s="12"/>
      <c r="P456" s="12"/>
      <c r="Q456" s="12"/>
      <c r="R456" s="36"/>
      <c r="S456" s="36"/>
      <c r="T456" s="12"/>
      <c r="U456" s="12"/>
      <c r="V456" s="12"/>
      <c r="W456" s="12"/>
      <c r="X456" s="12"/>
    </row>
    <row r="457" customFormat="false" ht="15.75" hidden="false" customHeight="false" outlineLevel="0" collapsed="false">
      <c r="A457" s="12"/>
      <c r="B457" s="34"/>
      <c r="C457" s="12"/>
      <c r="D457" s="12"/>
      <c r="E457" s="12"/>
      <c r="F457" s="12"/>
      <c r="G457" s="18"/>
      <c r="H457" s="35"/>
      <c r="I457" s="12"/>
      <c r="M457" s="12"/>
      <c r="N457" s="18"/>
      <c r="O457" s="12"/>
      <c r="P457" s="12"/>
      <c r="Q457" s="12"/>
      <c r="R457" s="36"/>
      <c r="S457" s="36"/>
      <c r="T457" s="12"/>
      <c r="U457" s="12"/>
      <c r="V457" s="12"/>
      <c r="W457" s="12"/>
      <c r="X457" s="12"/>
    </row>
    <row r="458" customFormat="false" ht="15.75" hidden="false" customHeight="false" outlineLevel="0" collapsed="false">
      <c r="A458" s="12"/>
      <c r="B458" s="34"/>
      <c r="C458" s="12"/>
      <c r="D458" s="12"/>
      <c r="E458" s="12"/>
      <c r="F458" s="12"/>
      <c r="G458" s="18"/>
      <c r="H458" s="35"/>
      <c r="I458" s="12"/>
      <c r="M458" s="12"/>
      <c r="N458" s="18"/>
      <c r="O458" s="12"/>
      <c r="P458" s="12"/>
      <c r="Q458" s="12"/>
      <c r="R458" s="36"/>
      <c r="S458" s="36"/>
      <c r="T458" s="12"/>
      <c r="U458" s="12"/>
      <c r="V458" s="12"/>
      <c r="W458" s="12"/>
      <c r="X458" s="12"/>
    </row>
    <row r="459" customFormat="false" ht="15.75" hidden="false" customHeight="false" outlineLevel="0" collapsed="false">
      <c r="A459" s="12"/>
      <c r="B459" s="34"/>
      <c r="C459" s="12"/>
      <c r="D459" s="12"/>
      <c r="E459" s="12"/>
      <c r="F459" s="12"/>
      <c r="G459" s="18"/>
      <c r="H459" s="35"/>
      <c r="I459" s="12"/>
      <c r="M459" s="12"/>
      <c r="N459" s="18"/>
      <c r="O459" s="12"/>
      <c r="P459" s="12"/>
      <c r="Q459" s="12"/>
      <c r="R459" s="36"/>
      <c r="S459" s="36"/>
      <c r="T459" s="12"/>
      <c r="U459" s="12"/>
      <c r="V459" s="12"/>
      <c r="W459" s="12"/>
      <c r="X459" s="12"/>
    </row>
    <row r="460" customFormat="false" ht="15.75" hidden="false" customHeight="false" outlineLevel="0" collapsed="false">
      <c r="A460" s="12"/>
      <c r="B460" s="34"/>
      <c r="C460" s="12"/>
      <c r="D460" s="12"/>
      <c r="E460" s="12"/>
      <c r="F460" s="12"/>
      <c r="G460" s="18"/>
      <c r="H460" s="35"/>
      <c r="I460" s="12"/>
      <c r="M460" s="12"/>
      <c r="N460" s="18"/>
      <c r="O460" s="12"/>
      <c r="P460" s="12"/>
      <c r="Q460" s="12"/>
      <c r="R460" s="36"/>
      <c r="S460" s="36"/>
      <c r="T460" s="12"/>
      <c r="U460" s="12"/>
      <c r="V460" s="12"/>
      <c r="W460" s="12"/>
      <c r="X460" s="12"/>
    </row>
    <row r="461" customFormat="false" ht="15.75" hidden="false" customHeight="false" outlineLevel="0" collapsed="false">
      <c r="A461" s="12"/>
      <c r="B461" s="34"/>
      <c r="C461" s="12"/>
      <c r="D461" s="12"/>
      <c r="E461" s="12"/>
      <c r="F461" s="12"/>
      <c r="G461" s="18"/>
      <c r="H461" s="35"/>
      <c r="I461" s="12"/>
      <c r="M461" s="12"/>
      <c r="N461" s="18"/>
      <c r="O461" s="12"/>
      <c r="P461" s="12"/>
      <c r="Q461" s="12"/>
      <c r="R461" s="36"/>
      <c r="S461" s="36"/>
      <c r="T461" s="12"/>
      <c r="U461" s="12"/>
      <c r="V461" s="12"/>
      <c r="W461" s="12"/>
      <c r="X461" s="12"/>
    </row>
    <row r="462" customFormat="false" ht="15.75" hidden="false" customHeight="false" outlineLevel="0" collapsed="false">
      <c r="A462" s="12"/>
      <c r="B462" s="34"/>
      <c r="C462" s="12"/>
      <c r="D462" s="12"/>
      <c r="E462" s="12"/>
      <c r="F462" s="12"/>
      <c r="G462" s="18"/>
      <c r="H462" s="35"/>
      <c r="I462" s="12"/>
      <c r="M462" s="12"/>
      <c r="N462" s="18"/>
      <c r="O462" s="12"/>
      <c r="P462" s="12"/>
      <c r="Q462" s="12"/>
      <c r="R462" s="36"/>
      <c r="S462" s="36"/>
      <c r="T462" s="12"/>
      <c r="U462" s="12"/>
      <c r="V462" s="12"/>
      <c r="W462" s="12"/>
      <c r="X462" s="12"/>
    </row>
    <row r="463" customFormat="false" ht="15.75" hidden="false" customHeight="false" outlineLevel="0" collapsed="false">
      <c r="A463" s="12"/>
      <c r="B463" s="34"/>
      <c r="C463" s="12"/>
      <c r="D463" s="12"/>
      <c r="E463" s="12"/>
      <c r="F463" s="12"/>
      <c r="G463" s="18"/>
      <c r="H463" s="35"/>
      <c r="I463" s="12"/>
      <c r="M463" s="12"/>
      <c r="N463" s="18"/>
      <c r="O463" s="12"/>
      <c r="P463" s="12"/>
      <c r="Q463" s="12"/>
      <c r="R463" s="36"/>
      <c r="S463" s="36"/>
      <c r="T463" s="12"/>
      <c r="U463" s="12"/>
      <c r="V463" s="12"/>
      <c r="W463" s="12"/>
      <c r="X463" s="12"/>
    </row>
    <row r="464" customFormat="false" ht="15.75" hidden="false" customHeight="false" outlineLevel="0" collapsed="false">
      <c r="A464" s="12"/>
      <c r="B464" s="34"/>
      <c r="C464" s="12"/>
      <c r="D464" s="12"/>
      <c r="E464" s="12"/>
      <c r="F464" s="12"/>
      <c r="G464" s="18"/>
      <c r="H464" s="35"/>
      <c r="I464" s="12"/>
      <c r="M464" s="12"/>
      <c r="N464" s="18"/>
      <c r="O464" s="12"/>
      <c r="P464" s="12"/>
      <c r="Q464" s="12"/>
      <c r="R464" s="36"/>
      <c r="S464" s="36"/>
      <c r="T464" s="12"/>
      <c r="U464" s="12"/>
      <c r="V464" s="12"/>
      <c r="W464" s="12"/>
      <c r="X464" s="12"/>
    </row>
    <row r="465" customFormat="false" ht="15.75" hidden="false" customHeight="false" outlineLevel="0" collapsed="false">
      <c r="A465" s="12"/>
      <c r="B465" s="34"/>
      <c r="C465" s="12"/>
      <c r="D465" s="12"/>
      <c r="E465" s="12"/>
      <c r="F465" s="12"/>
      <c r="G465" s="18"/>
      <c r="H465" s="35"/>
      <c r="I465" s="12"/>
      <c r="M465" s="12"/>
      <c r="N465" s="18"/>
      <c r="O465" s="12"/>
      <c r="P465" s="12"/>
      <c r="Q465" s="12"/>
      <c r="R465" s="36"/>
      <c r="S465" s="36"/>
      <c r="T465" s="12"/>
      <c r="U465" s="12"/>
      <c r="V465" s="12"/>
      <c r="W465" s="12"/>
      <c r="X465" s="12"/>
    </row>
    <row r="466" customFormat="false" ht="15.75" hidden="false" customHeight="false" outlineLevel="0" collapsed="false">
      <c r="A466" s="12"/>
      <c r="B466" s="34"/>
      <c r="C466" s="12"/>
      <c r="D466" s="12"/>
      <c r="E466" s="12"/>
      <c r="F466" s="12"/>
      <c r="G466" s="18"/>
      <c r="H466" s="35"/>
      <c r="I466" s="12"/>
      <c r="M466" s="12"/>
      <c r="N466" s="18"/>
      <c r="O466" s="12"/>
      <c r="P466" s="12"/>
      <c r="Q466" s="12"/>
      <c r="R466" s="36"/>
      <c r="S466" s="36"/>
      <c r="T466" s="12"/>
      <c r="U466" s="12"/>
      <c r="V466" s="12"/>
      <c r="W466" s="12"/>
      <c r="X466" s="12"/>
    </row>
    <row r="467" customFormat="false" ht="15.75" hidden="false" customHeight="false" outlineLevel="0" collapsed="false">
      <c r="A467" s="12"/>
      <c r="B467" s="34"/>
      <c r="C467" s="12"/>
      <c r="D467" s="12"/>
      <c r="E467" s="12"/>
      <c r="F467" s="12"/>
      <c r="G467" s="18"/>
      <c r="H467" s="35"/>
      <c r="I467" s="12"/>
      <c r="M467" s="12"/>
      <c r="N467" s="18"/>
      <c r="O467" s="12"/>
      <c r="P467" s="12"/>
      <c r="Q467" s="12"/>
      <c r="R467" s="36"/>
      <c r="S467" s="36"/>
      <c r="T467" s="12"/>
      <c r="U467" s="12"/>
      <c r="V467" s="12"/>
      <c r="W467" s="12"/>
      <c r="X467" s="12"/>
    </row>
    <row r="468" customFormat="false" ht="15.75" hidden="false" customHeight="false" outlineLevel="0" collapsed="false">
      <c r="A468" s="12"/>
      <c r="B468" s="34"/>
      <c r="C468" s="12"/>
      <c r="D468" s="12"/>
      <c r="E468" s="12"/>
      <c r="F468" s="12"/>
      <c r="G468" s="18"/>
      <c r="H468" s="35"/>
      <c r="I468" s="12"/>
      <c r="M468" s="12"/>
      <c r="N468" s="18"/>
      <c r="O468" s="12"/>
      <c r="P468" s="12"/>
      <c r="Q468" s="12"/>
      <c r="R468" s="36"/>
      <c r="S468" s="36"/>
      <c r="T468" s="12"/>
      <c r="U468" s="12"/>
      <c r="V468" s="12"/>
      <c r="W468" s="12"/>
      <c r="X468" s="12"/>
    </row>
    <row r="469" customFormat="false" ht="15.75" hidden="false" customHeight="false" outlineLevel="0" collapsed="false">
      <c r="A469" s="12"/>
      <c r="B469" s="34"/>
      <c r="C469" s="12"/>
      <c r="D469" s="12"/>
      <c r="E469" s="12"/>
      <c r="F469" s="12"/>
      <c r="G469" s="18"/>
      <c r="H469" s="35"/>
      <c r="I469" s="12"/>
      <c r="M469" s="12"/>
      <c r="N469" s="18"/>
      <c r="O469" s="12"/>
      <c r="P469" s="12"/>
      <c r="Q469" s="12"/>
      <c r="R469" s="36"/>
      <c r="S469" s="36"/>
      <c r="T469" s="12"/>
      <c r="U469" s="12"/>
      <c r="V469" s="12"/>
      <c r="W469" s="12"/>
      <c r="X469" s="12"/>
    </row>
    <row r="470" customFormat="false" ht="15.75" hidden="false" customHeight="false" outlineLevel="0" collapsed="false">
      <c r="A470" s="12"/>
      <c r="B470" s="34"/>
      <c r="C470" s="12"/>
      <c r="D470" s="12"/>
      <c r="E470" s="12"/>
      <c r="F470" s="12"/>
      <c r="G470" s="18"/>
      <c r="H470" s="35"/>
      <c r="I470" s="12"/>
      <c r="M470" s="12"/>
      <c r="N470" s="18"/>
      <c r="O470" s="12"/>
      <c r="P470" s="12"/>
      <c r="Q470" s="12"/>
      <c r="R470" s="36"/>
      <c r="S470" s="36"/>
      <c r="T470" s="12"/>
      <c r="U470" s="12"/>
      <c r="V470" s="12"/>
      <c r="W470" s="12"/>
      <c r="X470" s="12"/>
    </row>
    <row r="471" customFormat="false" ht="15.75" hidden="false" customHeight="false" outlineLevel="0" collapsed="false">
      <c r="A471" s="12"/>
      <c r="B471" s="34"/>
      <c r="C471" s="12"/>
      <c r="D471" s="12"/>
      <c r="E471" s="12"/>
      <c r="F471" s="12"/>
      <c r="G471" s="18"/>
      <c r="H471" s="35"/>
      <c r="I471" s="12"/>
      <c r="M471" s="12"/>
      <c r="N471" s="18"/>
      <c r="O471" s="12"/>
      <c r="P471" s="12"/>
      <c r="Q471" s="12"/>
      <c r="R471" s="36"/>
      <c r="S471" s="36"/>
      <c r="T471" s="12"/>
      <c r="U471" s="12"/>
      <c r="V471" s="12"/>
      <c r="W471" s="12"/>
      <c r="X471" s="12"/>
    </row>
    <row r="472" customFormat="false" ht="15.75" hidden="false" customHeight="false" outlineLevel="0" collapsed="false">
      <c r="A472" s="12"/>
      <c r="B472" s="34"/>
      <c r="C472" s="12"/>
      <c r="D472" s="12"/>
      <c r="E472" s="12"/>
      <c r="F472" s="12"/>
      <c r="G472" s="18"/>
      <c r="H472" s="35"/>
      <c r="I472" s="12"/>
      <c r="M472" s="12"/>
      <c r="N472" s="18"/>
      <c r="O472" s="12"/>
      <c r="P472" s="12"/>
      <c r="Q472" s="12"/>
      <c r="R472" s="36"/>
      <c r="S472" s="36"/>
      <c r="T472" s="12"/>
      <c r="U472" s="12"/>
      <c r="V472" s="12"/>
      <c r="W472" s="12"/>
      <c r="X472" s="12"/>
    </row>
    <row r="473" customFormat="false" ht="15.75" hidden="false" customHeight="false" outlineLevel="0" collapsed="false">
      <c r="A473" s="12"/>
      <c r="B473" s="34"/>
      <c r="C473" s="12"/>
      <c r="D473" s="12"/>
      <c r="E473" s="12"/>
      <c r="F473" s="12"/>
      <c r="G473" s="18"/>
      <c r="H473" s="35"/>
      <c r="I473" s="12"/>
      <c r="M473" s="12"/>
      <c r="N473" s="18"/>
      <c r="O473" s="12"/>
      <c r="P473" s="12"/>
      <c r="Q473" s="12"/>
      <c r="R473" s="36"/>
      <c r="S473" s="36"/>
      <c r="T473" s="12"/>
      <c r="U473" s="12"/>
      <c r="V473" s="12"/>
      <c r="W473" s="12"/>
      <c r="X473" s="12"/>
    </row>
    <row r="474" customFormat="false" ht="15.75" hidden="false" customHeight="false" outlineLevel="0" collapsed="false">
      <c r="A474" s="12"/>
      <c r="B474" s="34"/>
      <c r="C474" s="12"/>
      <c r="D474" s="12"/>
      <c r="E474" s="12"/>
      <c r="F474" s="12"/>
      <c r="G474" s="18"/>
      <c r="H474" s="35"/>
      <c r="I474" s="12"/>
      <c r="M474" s="12"/>
      <c r="N474" s="18"/>
      <c r="O474" s="12"/>
      <c r="P474" s="12"/>
      <c r="Q474" s="12"/>
      <c r="R474" s="36"/>
      <c r="S474" s="36"/>
      <c r="T474" s="12"/>
      <c r="U474" s="12"/>
      <c r="V474" s="12"/>
      <c r="W474" s="12"/>
      <c r="X474" s="12"/>
    </row>
    <row r="475" customFormat="false" ht="15.75" hidden="false" customHeight="false" outlineLevel="0" collapsed="false">
      <c r="A475" s="12"/>
      <c r="B475" s="34"/>
      <c r="C475" s="12"/>
      <c r="D475" s="12"/>
      <c r="E475" s="12"/>
      <c r="F475" s="12"/>
      <c r="G475" s="18"/>
      <c r="H475" s="35"/>
      <c r="I475" s="12"/>
      <c r="M475" s="12"/>
      <c r="N475" s="18"/>
      <c r="O475" s="12"/>
      <c r="P475" s="12"/>
      <c r="Q475" s="12"/>
      <c r="R475" s="36"/>
      <c r="S475" s="36"/>
      <c r="T475" s="12"/>
      <c r="U475" s="12"/>
      <c r="V475" s="12"/>
      <c r="W475" s="12"/>
      <c r="X475" s="12"/>
    </row>
    <row r="476" customFormat="false" ht="15.75" hidden="false" customHeight="false" outlineLevel="0" collapsed="false">
      <c r="A476" s="12"/>
      <c r="B476" s="34"/>
      <c r="C476" s="12"/>
      <c r="D476" s="12"/>
      <c r="E476" s="12"/>
      <c r="F476" s="12"/>
      <c r="G476" s="18"/>
      <c r="H476" s="35"/>
      <c r="I476" s="12"/>
      <c r="M476" s="12"/>
      <c r="N476" s="18"/>
      <c r="O476" s="12"/>
      <c r="P476" s="12"/>
      <c r="Q476" s="12"/>
      <c r="R476" s="36"/>
      <c r="S476" s="36"/>
      <c r="T476" s="12"/>
      <c r="U476" s="12"/>
      <c r="V476" s="12"/>
      <c r="W476" s="12"/>
      <c r="X476" s="12"/>
    </row>
    <row r="477" customFormat="false" ht="15.75" hidden="false" customHeight="false" outlineLevel="0" collapsed="false">
      <c r="A477" s="12"/>
      <c r="B477" s="34"/>
      <c r="C477" s="12"/>
      <c r="D477" s="12"/>
      <c r="E477" s="12"/>
      <c r="F477" s="12"/>
      <c r="G477" s="18"/>
      <c r="H477" s="35"/>
      <c r="I477" s="12"/>
      <c r="M477" s="12"/>
      <c r="N477" s="18"/>
      <c r="O477" s="12"/>
      <c r="P477" s="12"/>
      <c r="Q477" s="12"/>
      <c r="R477" s="36"/>
      <c r="S477" s="36"/>
      <c r="T477" s="12"/>
      <c r="U477" s="12"/>
      <c r="V477" s="12"/>
      <c r="W477" s="12"/>
      <c r="X477" s="12"/>
    </row>
    <row r="478" customFormat="false" ht="15.75" hidden="false" customHeight="false" outlineLevel="0" collapsed="false">
      <c r="A478" s="12"/>
      <c r="B478" s="34"/>
      <c r="C478" s="12"/>
      <c r="D478" s="12"/>
      <c r="E478" s="12"/>
      <c r="F478" s="12"/>
      <c r="G478" s="18"/>
      <c r="H478" s="35"/>
      <c r="I478" s="12"/>
      <c r="M478" s="12"/>
      <c r="N478" s="18"/>
      <c r="O478" s="12"/>
      <c r="P478" s="12"/>
      <c r="Q478" s="12"/>
      <c r="R478" s="36"/>
      <c r="S478" s="36"/>
      <c r="T478" s="12"/>
      <c r="U478" s="12"/>
      <c r="V478" s="12"/>
      <c r="W478" s="12"/>
      <c r="X478" s="12"/>
    </row>
    <row r="479" customFormat="false" ht="15.75" hidden="false" customHeight="false" outlineLevel="0" collapsed="false">
      <c r="A479" s="12"/>
      <c r="B479" s="34"/>
      <c r="C479" s="12"/>
      <c r="D479" s="12"/>
      <c r="E479" s="12"/>
      <c r="F479" s="12"/>
      <c r="G479" s="18"/>
      <c r="H479" s="35"/>
      <c r="I479" s="12"/>
      <c r="M479" s="12"/>
      <c r="N479" s="18"/>
      <c r="O479" s="12"/>
      <c r="P479" s="12"/>
      <c r="Q479" s="12"/>
      <c r="R479" s="36"/>
      <c r="S479" s="36"/>
      <c r="T479" s="12"/>
      <c r="U479" s="12"/>
      <c r="V479" s="12"/>
      <c r="W479" s="12"/>
      <c r="X479" s="12"/>
    </row>
    <row r="480" customFormat="false" ht="15.75" hidden="false" customHeight="false" outlineLevel="0" collapsed="false">
      <c r="A480" s="12"/>
      <c r="B480" s="34"/>
      <c r="C480" s="12"/>
      <c r="D480" s="12"/>
      <c r="E480" s="12"/>
      <c r="F480" s="12"/>
      <c r="G480" s="18"/>
      <c r="H480" s="35"/>
      <c r="I480" s="12"/>
      <c r="M480" s="12"/>
      <c r="N480" s="18"/>
      <c r="O480" s="12"/>
      <c r="P480" s="12"/>
      <c r="Q480" s="12"/>
      <c r="R480" s="36"/>
      <c r="S480" s="36"/>
      <c r="T480" s="12"/>
      <c r="U480" s="12"/>
      <c r="V480" s="12"/>
      <c r="W480" s="12"/>
      <c r="X480" s="12"/>
    </row>
    <row r="481" customFormat="false" ht="15.75" hidden="false" customHeight="false" outlineLevel="0" collapsed="false">
      <c r="A481" s="12"/>
      <c r="B481" s="34"/>
      <c r="C481" s="12"/>
      <c r="D481" s="12"/>
      <c r="E481" s="12"/>
      <c r="F481" s="12"/>
      <c r="G481" s="18"/>
      <c r="H481" s="35"/>
      <c r="I481" s="12"/>
      <c r="M481" s="12"/>
      <c r="N481" s="18"/>
      <c r="O481" s="12"/>
      <c r="P481" s="12"/>
      <c r="Q481" s="12"/>
      <c r="R481" s="36"/>
      <c r="S481" s="36"/>
      <c r="T481" s="12"/>
      <c r="U481" s="12"/>
      <c r="V481" s="12"/>
      <c r="W481" s="12"/>
      <c r="X481" s="12"/>
    </row>
    <row r="482" customFormat="false" ht="15.75" hidden="false" customHeight="false" outlineLevel="0" collapsed="false">
      <c r="A482" s="12"/>
      <c r="B482" s="34"/>
      <c r="C482" s="12"/>
      <c r="D482" s="12"/>
      <c r="E482" s="12"/>
      <c r="F482" s="12"/>
      <c r="G482" s="18"/>
      <c r="H482" s="35"/>
      <c r="I482" s="12"/>
      <c r="M482" s="12"/>
      <c r="N482" s="18"/>
      <c r="O482" s="12"/>
      <c r="P482" s="12"/>
      <c r="Q482" s="12"/>
      <c r="R482" s="36"/>
      <c r="S482" s="36"/>
      <c r="T482" s="12"/>
      <c r="U482" s="12"/>
      <c r="V482" s="12"/>
      <c r="W482" s="12"/>
      <c r="X482" s="12"/>
    </row>
    <row r="483" customFormat="false" ht="15.75" hidden="false" customHeight="false" outlineLevel="0" collapsed="false">
      <c r="A483" s="12"/>
      <c r="B483" s="34"/>
      <c r="C483" s="12"/>
      <c r="D483" s="12"/>
      <c r="E483" s="12"/>
      <c r="F483" s="12"/>
      <c r="G483" s="18"/>
      <c r="H483" s="35"/>
      <c r="I483" s="12"/>
      <c r="M483" s="12"/>
      <c r="N483" s="18"/>
      <c r="O483" s="12"/>
      <c r="P483" s="12"/>
      <c r="Q483" s="12"/>
      <c r="R483" s="36"/>
      <c r="S483" s="36"/>
      <c r="T483" s="12"/>
      <c r="U483" s="12"/>
      <c r="V483" s="12"/>
      <c r="W483" s="12"/>
      <c r="X483" s="12"/>
    </row>
    <row r="484" customFormat="false" ht="15.75" hidden="false" customHeight="false" outlineLevel="0" collapsed="false">
      <c r="A484" s="12"/>
      <c r="B484" s="34"/>
      <c r="C484" s="12"/>
      <c r="D484" s="12"/>
      <c r="E484" s="12"/>
      <c r="F484" s="12"/>
      <c r="G484" s="18"/>
      <c r="H484" s="35"/>
      <c r="I484" s="12"/>
      <c r="M484" s="12"/>
      <c r="N484" s="18"/>
      <c r="O484" s="12"/>
      <c r="P484" s="12"/>
      <c r="Q484" s="12"/>
      <c r="R484" s="36"/>
      <c r="S484" s="36"/>
      <c r="T484" s="12"/>
      <c r="U484" s="12"/>
      <c r="V484" s="12"/>
      <c r="W484" s="12"/>
      <c r="X484" s="12"/>
    </row>
    <row r="485" customFormat="false" ht="15.75" hidden="false" customHeight="false" outlineLevel="0" collapsed="false">
      <c r="A485" s="12"/>
      <c r="B485" s="34"/>
      <c r="C485" s="12"/>
      <c r="D485" s="12"/>
      <c r="E485" s="12"/>
      <c r="F485" s="12"/>
      <c r="G485" s="18"/>
      <c r="H485" s="35"/>
      <c r="I485" s="12"/>
      <c r="M485" s="12"/>
      <c r="N485" s="18"/>
      <c r="O485" s="12"/>
      <c r="P485" s="12"/>
      <c r="Q485" s="12"/>
      <c r="R485" s="36"/>
      <c r="S485" s="36"/>
      <c r="T485" s="12"/>
      <c r="U485" s="12"/>
      <c r="V485" s="12"/>
      <c r="W485" s="12"/>
      <c r="X485" s="12"/>
    </row>
    <row r="486" customFormat="false" ht="15.75" hidden="false" customHeight="false" outlineLevel="0" collapsed="false">
      <c r="A486" s="12"/>
      <c r="B486" s="34"/>
      <c r="C486" s="12"/>
      <c r="D486" s="12"/>
      <c r="E486" s="12"/>
      <c r="F486" s="12"/>
      <c r="G486" s="18"/>
      <c r="H486" s="35"/>
      <c r="I486" s="12"/>
      <c r="M486" s="12"/>
      <c r="N486" s="18"/>
      <c r="O486" s="12"/>
      <c r="P486" s="12"/>
      <c r="Q486" s="12"/>
      <c r="R486" s="36"/>
      <c r="S486" s="36"/>
      <c r="T486" s="12"/>
      <c r="U486" s="12"/>
      <c r="V486" s="12"/>
      <c r="W486" s="12"/>
      <c r="X486" s="12"/>
    </row>
    <row r="487" customFormat="false" ht="15.75" hidden="false" customHeight="false" outlineLevel="0" collapsed="false">
      <c r="A487" s="12"/>
      <c r="B487" s="34"/>
      <c r="C487" s="12"/>
      <c r="D487" s="12"/>
      <c r="E487" s="12"/>
      <c r="F487" s="12"/>
      <c r="G487" s="18"/>
      <c r="H487" s="35"/>
      <c r="I487" s="12"/>
      <c r="M487" s="12"/>
      <c r="N487" s="18"/>
      <c r="O487" s="12"/>
      <c r="P487" s="12"/>
      <c r="Q487" s="12"/>
      <c r="R487" s="36"/>
      <c r="S487" s="36"/>
      <c r="T487" s="12"/>
      <c r="U487" s="12"/>
      <c r="V487" s="12"/>
      <c r="W487" s="12"/>
      <c r="X487" s="12"/>
    </row>
    <row r="488" customFormat="false" ht="15.75" hidden="false" customHeight="false" outlineLevel="0" collapsed="false">
      <c r="A488" s="12"/>
      <c r="B488" s="34"/>
      <c r="C488" s="12"/>
      <c r="D488" s="12"/>
      <c r="E488" s="12"/>
      <c r="F488" s="12"/>
      <c r="G488" s="18"/>
      <c r="H488" s="35"/>
      <c r="I488" s="12"/>
      <c r="M488" s="12"/>
      <c r="N488" s="18"/>
      <c r="O488" s="12"/>
      <c r="P488" s="12"/>
      <c r="Q488" s="12"/>
      <c r="R488" s="36"/>
      <c r="S488" s="36"/>
      <c r="T488" s="12"/>
      <c r="U488" s="12"/>
      <c r="V488" s="12"/>
      <c r="W488" s="12"/>
      <c r="X488" s="12"/>
    </row>
    <row r="489" customFormat="false" ht="15.75" hidden="false" customHeight="false" outlineLevel="0" collapsed="false">
      <c r="A489" s="12"/>
      <c r="B489" s="34"/>
      <c r="C489" s="12"/>
      <c r="D489" s="12"/>
      <c r="E489" s="12"/>
      <c r="F489" s="12"/>
      <c r="G489" s="18"/>
      <c r="H489" s="35"/>
      <c r="I489" s="12"/>
      <c r="M489" s="12"/>
      <c r="N489" s="18"/>
      <c r="O489" s="12"/>
      <c r="P489" s="12"/>
      <c r="Q489" s="12"/>
      <c r="R489" s="36"/>
      <c r="S489" s="36"/>
      <c r="T489" s="12"/>
      <c r="U489" s="12"/>
      <c r="V489" s="12"/>
      <c r="W489" s="12"/>
      <c r="X489" s="12"/>
    </row>
    <row r="490" customFormat="false" ht="15.75" hidden="false" customHeight="false" outlineLevel="0" collapsed="false">
      <c r="A490" s="12"/>
      <c r="B490" s="34"/>
      <c r="C490" s="12"/>
      <c r="D490" s="12"/>
      <c r="E490" s="12"/>
      <c r="F490" s="12"/>
      <c r="G490" s="18"/>
      <c r="H490" s="35"/>
      <c r="I490" s="12"/>
      <c r="M490" s="12"/>
      <c r="N490" s="18"/>
      <c r="O490" s="12"/>
      <c r="P490" s="12"/>
      <c r="Q490" s="12"/>
      <c r="R490" s="36"/>
      <c r="S490" s="36"/>
      <c r="T490" s="12"/>
      <c r="U490" s="12"/>
      <c r="V490" s="12"/>
      <c r="W490" s="12"/>
      <c r="X490" s="12"/>
    </row>
    <row r="491" customFormat="false" ht="15.75" hidden="false" customHeight="false" outlineLevel="0" collapsed="false">
      <c r="A491" s="12"/>
      <c r="B491" s="34"/>
      <c r="C491" s="12"/>
      <c r="D491" s="12"/>
      <c r="E491" s="12"/>
      <c r="F491" s="12"/>
      <c r="G491" s="18"/>
      <c r="H491" s="35"/>
      <c r="I491" s="12"/>
      <c r="M491" s="12"/>
      <c r="N491" s="18"/>
      <c r="O491" s="12"/>
      <c r="P491" s="12"/>
      <c r="Q491" s="12"/>
      <c r="R491" s="36"/>
      <c r="S491" s="36"/>
      <c r="T491" s="12"/>
      <c r="U491" s="12"/>
      <c r="V491" s="12"/>
      <c r="W491" s="12"/>
      <c r="X491" s="12"/>
    </row>
    <row r="492" customFormat="false" ht="15.75" hidden="false" customHeight="false" outlineLevel="0" collapsed="false">
      <c r="A492" s="12"/>
      <c r="B492" s="34"/>
      <c r="C492" s="12"/>
      <c r="D492" s="12"/>
      <c r="E492" s="12"/>
      <c r="F492" s="12"/>
      <c r="G492" s="18"/>
      <c r="H492" s="35"/>
      <c r="I492" s="12"/>
      <c r="M492" s="12"/>
      <c r="N492" s="18"/>
      <c r="O492" s="12"/>
      <c r="P492" s="12"/>
      <c r="Q492" s="12"/>
      <c r="R492" s="36"/>
      <c r="S492" s="36"/>
      <c r="T492" s="12"/>
      <c r="U492" s="12"/>
      <c r="V492" s="12"/>
      <c r="W492" s="12"/>
      <c r="X492" s="12"/>
    </row>
    <row r="493" customFormat="false" ht="15.75" hidden="false" customHeight="false" outlineLevel="0" collapsed="false">
      <c r="A493" s="12"/>
      <c r="B493" s="34"/>
      <c r="C493" s="12"/>
      <c r="D493" s="12"/>
      <c r="E493" s="12"/>
      <c r="F493" s="12"/>
      <c r="G493" s="18"/>
      <c r="H493" s="35"/>
      <c r="I493" s="12"/>
      <c r="M493" s="12"/>
      <c r="N493" s="18"/>
      <c r="O493" s="12"/>
      <c r="P493" s="12"/>
      <c r="Q493" s="12"/>
      <c r="R493" s="36"/>
      <c r="S493" s="36"/>
      <c r="T493" s="12"/>
      <c r="U493" s="12"/>
      <c r="V493" s="12"/>
      <c r="W493" s="12"/>
      <c r="X493" s="12"/>
    </row>
    <row r="494" customFormat="false" ht="15.75" hidden="false" customHeight="false" outlineLevel="0" collapsed="false">
      <c r="A494" s="12"/>
      <c r="B494" s="34"/>
      <c r="C494" s="12"/>
      <c r="D494" s="12"/>
      <c r="E494" s="12"/>
      <c r="F494" s="12"/>
      <c r="G494" s="18"/>
      <c r="H494" s="35"/>
      <c r="I494" s="12"/>
      <c r="M494" s="12"/>
      <c r="N494" s="18"/>
      <c r="O494" s="12"/>
      <c r="P494" s="12"/>
      <c r="Q494" s="12"/>
      <c r="R494" s="36"/>
      <c r="S494" s="36"/>
      <c r="T494" s="12"/>
      <c r="U494" s="12"/>
      <c r="V494" s="12"/>
      <c r="W494" s="12"/>
      <c r="X494" s="12"/>
    </row>
    <row r="495" customFormat="false" ht="15.75" hidden="false" customHeight="false" outlineLevel="0" collapsed="false">
      <c r="A495" s="12"/>
      <c r="B495" s="34"/>
      <c r="C495" s="12"/>
      <c r="D495" s="12"/>
      <c r="E495" s="12"/>
      <c r="F495" s="12"/>
      <c r="G495" s="18"/>
      <c r="H495" s="35"/>
      <c r="I495" s="12"/>
      <c r="M495" s="12"/>
      <c r="N495" s="18"/>
      <c r="O495" s="12"/>
      <c r="P495" s="12"/>
      <c r="Q495" s="12"/>
      <c r="R495" s="36"/>
      <c r="S495" s="36"/>
      <c r="T495" s="12"/>
      <c r="U495" s="12"/>
      <c r="V495" s="12"/>
      <c r="W495" s="12"/>
      <c r="X495" s="12"/>
    </row>
    <row r="496" customFormat="false" ht="15.75" hidden="false" customHeight="false" outlineLevel="0" collapsed="false">
      <c r="A496" s="12"/>
      <c r="B496" s="34"/>
      <c r="C496" s="12"/>
      <c r="D496" s="12"/>
      <c r="E496" s="12"/>
      <c r="F496" s="12"/>
      <c r="G496" s="18"/>
      <c r="H496" s="35"/>
      <c r="I496" s="12"/>
      <c r="M496" s="12"/>
      <c r="N496" s="18"/>
      <c r="O496" s="12"/>
      <c r="P496" s="12"/>
      <c r="Q496" s="12"/>
      <c r="R496" s="36"/>
      <c r="S496" s="36"/>
      <c r="T496" s="12"/>
      <c r="U496" s="12"/>
      <c r="V496" s="12"/>
      <c r="W496" s="12"/>
      <c r="X496" s="12"/>
    </row>
    <row r="497" customFormat="false" ht="15.75" hidden="false" customHeight="false" outlineLevel="0" collapsed="false">
      <c r="A497" s="12"/>
      <c r="B497" s="34"/>
      <c r="C497" s="12"/>
      <c r="D497" s="12"/>
      <c r="E497" s="12"/>
      <c r="F497" s="12"/>
      <c r="G497" s="18"/>
      <c r="H497" s="35"/>
      <c r="I497" s="12"/>
      <c r="M497" s="12"/>
      <c r="N497" s="18"/>
      <c r="O497" s="12"/>
      <c r="P497" s="12"/>
      <c r="Q497" s="12"/>
      <c r="R497" s="36"/>
      <c r="S497" s="36"/>
      <c r="T497" s="12"/>
      <c r="U497" s="12"/>
      <c r="V497" s="12"/>
      <c r="W497" s="12"/>
      <c r="X497" s="12"/>
    </row>
    <row r="498" customFormat="false" ht="15.75" hidden="false" customHeight="false" outlineLevel="0" collapsed="false">
      <c r="A498" s="12"/>
      <c r="B498" s="34"/>
      <c r="C498" s="12"/>
      <c r="D498" s="12"/>
      <c r="E498" s="12"/>
      <c r="F498" s="12"/>
      <c r="G498" s="18"/>
      <c r="H498" s="35"/>
      <c r="I498" s="12"/>
      <c r="M498" s="12"/>
      <c r="N498" s="18"/>
      <c r="O498" s="12"/>
      <c r="P498" s="12"/>
      <c r="Q498" s="12"/>
      <c r="R498" s="36"/>
      <c r="S498" s="36"/>
      <c r="T498" s="12"/>
      <c r="U498" s="12"/>
      <c r="V498" s="12"/>
      <c r="W498" s="12"/>
      <c r="X498" s="12"/>
    </row>
    <row r="499" customFormat="false" ht="15.75" hidden="false" customHeight="false" outlineLevel="0" collapsed="false">
      <c r="A499" s="12"/>
      <c r="B499" s="34"/>
      <c r="C499" s="12"/>
      <c r="D499" s="12"/>
      <c r="E499" s="12"/>
      <c r="F499" s="12"/>
      <c r="G499" s="18"/>
      <c r="H499" s="35"/>
      <c r="I499" s="12"/>
      <c r="M499" s="12"/>
      <c r="N499" s="18"/>
      <c r="O499" s="12"/>
      <c r="P499" s="12"/>
      <c r="Q499" s="12"/>
      <c r="R499" s="36"/>
      <c r="S499" s="36"/>
      <c r="T499" s="12"/>
      <c r="U499" s="12"/>
      <c r="V499" s="12"/>
      <c r="W499" s="12"/>
      <c r="X499" s="12"/>
    </row>
    <row r="500" customFormat="false" ht="15.75" hidden="false" customHeight="false" outlineLevel="0" collapsed="false">
      <c r="A500" s="12"/>
      <c r="B500" s="34"/>
      <c r="C500" s="12"/>
      <c r="D500" s="12"/>
      <c r="E500" s="12"/>
      <c r="F500" s="12"/>
      <c r="G500" s="18"/>
      <c r="H500" s="35"/>
      <c r="I500" s="12"/>
      <c r="M500" s="12"/>
      <c r="N500" s="18"/>
      <c r="O500" s="12"/>
      <c r="P500" s="12"/>
      <c r="Q500" s="12"/>
      <c r="R500" s="36"/>
      <c r="S500" s="36"/>
      <c r="T500" s="12"/>
      <c r="U500" s="12"/>
      <c r="V500" s="12"/>
      <c r="W500" s="12"/>
      <c r="X500" s="12"/>
    </row>
    <row r="501" customFormat="false" ht="15.75" hidden="false" customHeight="false" outlineLevel="0" collapsed="false">
      <c r="A501" s="12"/>
      <c r="B501" s="34"/>
      <c r="C501" s="12"/>
      <c r="D501" s="12"/>
      <c r="E501" s="12"/>
      <c r="F501" s="12"/>
      <c r="G501" s="18"/>
      <c r="H501" s="35"/>
      <c r="I501" s="12"/>
      <c r="M501" s="12"/>
      <c r="N501" s="18"/>
      <c r="O501" s="12"/>
      <c r="P501" s="12"/>
      <c r="Q501" s="12"/>
      <c r="R501" s="36"/>
      <c r="S501" s="36"/>
      <c r="T501" s="12"/>
      <c r="U501" s="12"/>
      <c r="V501" s="12"/>
      <c r="W501" s="12"/>
      <c r="X501" s="12"/>
    </row>
    <row r="502" customFormat="false" ht="15.75" hidden="false" customHeight="false" outlineLevel="0" collapsed="false">
      <c r="A502" s="12"/>
      <c r="B502" s="34"/>
      <c r="C502" s="12"/>
      <c r="D502" s="12"/>
      <c r="E502" s="12"/>
      <c r="F502" s="12"/>
      <c r="G502" s="18"/>
      <c r="H502" s="35"/>
      <c r="I502" s="12"/>
      <c r="M502" s="12"/>
      <c r="N502" s="18"/>
      <c r="O502" s="12"/>
      <c r="P502" s="12"/>
      <c r="Q502" s="12"/>
      <c r="R502" s="36"/>
      <c r="S502" s="36"/>
      <c r="T502" s="12"/>
      <c r="U502" s="12"/>
      <c r="V502" s="12"/>
      <c r="W502" s="12"/>
      <c r="X502" s="12"/>
    </row>
    <row r="503" customFormat="false" ht="15.75" hidden="false" customHeight="false" outlineLevel="0" collapsed="false">
      <c r="A503" s="12"/>
      <c r="B503" s="34"/>
      <c r="C503" s="12"/>
      <c r="D503" s="12"/>
      <c r="E503" s="12"/>
      <c r="F503" s="12"/>
      <c r="G503" s="18"/>
      <c r="H503" s="35"/>
      <c r="I503" s="12"/>
      <c r="M503" s="12"/>
      <c r="N503" s="18"/>
      <c r="O503" s="12"/>
      <c r="P503" s="12"/>
      <c r="Q503" s="12"/>
      <c r="R503" s="36"/>
      <c r="S503" s="36"/>
      <c r="T503" s="12"/>
      <c r="U503" s="12"/>
      <c r="V503" s="12"/>
      <c r="W503" s="12"/>
      <c r="X503" s="12"/>
    </row>
    <row r="504" customFormat="false" ht="15.75" hidden="false" customHeight="false" outlineLevel="0" collapsed="false">
      <c r="A504" s="12"/>
      <c r="B504" s="34"/>
      <c r="C504" s="12"/>
      <c r="D504" s="12"/>
      <c r="E504" s="12"/>
      <c r="F504" s="12"/>
      <c r="G504" s="18"/>
      <c r="H504" s="35"/>
      <c r="I504" s="12"/>
      <c r="M504" s="12"/>
      <c r="N504" s="18"/>
      <c r="O504" s="12"/>
      <c r="P504" s="12"/>
      <c r="Q504" s="12"/>
      <c r="R504" s="36"/>
      <c r="S504" s="36"/>
      <c r="T504" s="12"/>
      <c r="U504" s="12"/>
      <c r="V504" s="12"/>
      <c r="W504" s="12"/>
      <c r="X504" s="12"/>
    </row>
    <row r="505" customFormat="false" ht="15.75" hidden="false" customHeight="false" outlineLevel="0" collapsed="false">
      <c r="A505" s="12"/>
      <c r="B505" s="34"/>
      <c r="C505" s="12"/>
      <c r="D505" s="12"/>
      <c r="E505" s="12"/>
      <c r="F505" s="12"/>
      <c r="G505" s="18"/>
      <c r="H505" s="35"/>
      <c r="I505" s="12"/>
      <c r="M505" s="12"/>
      <c r="N505" s="18"/>
      <c r="O505" s="12"/>
      <c r="P505" s="12"/>
      <c r="Q505" s="12"/>
      <c r="R505" s="36"/>
      <c r="S505" s="36"/>
      <c r="T505" s="12"/>
      <c r="U505" s="12"/>
      <c r="V505" s="12"/>
      <c r="W505" s="12"/>
      <c r="X505" s="12"/>
    </row>
    <row r="506" customFormat="false" ht="15.75" hidden="false" customHeight="false" outlineLevel="0" collapsed="false">
      <c r="A506" s="12"/>
      <c r="B506" s="34"/>
      <c r="C506" s="12"/>
      <c r="D506" s="12"/>
      <c r="E506" s="12"/>
      <c r="F506" s="12"/>
      <c r="G506" s="18"/>
      <c r="H506" s="35"/>
      <c r="I506" s="12"/>
      <c r="M506" s="12"/>
      <c r="N506" s="18"/>
      <c r="O506" s="12"/>
      <c r="P506" s="12"/>
      <c r="Q506" s="12"/>
      <c r="R506" s="36"/>
      <c r="S506" s="36"/>
      <c r="T506" s="12"/>
      <c r="U506" s="12"/>
      <c r="V506" s="12"/>
      <c r="W506" s="12"/>
      <c r="X506" s="12"/>
    </row>
    <row r="507" customFormat="false" ht="15.75" hidden="false" customHeight="false" outlineLevel="0" collapsed="false">
      <c r="A507" s="12"/>
      <c r="B507" s="34"/>
      <c r="C507" s="12"/>
      <c r="D507" s="12"/>
      <c r="E507" s="12"/>
      <c r="F507" s="12"/>
      <c r="G507" s="18"/>
      <c r="H507" s="35"/>
      <c r="I507" s="12"/>
      <c r="M507" s="12"/>
      <c r="N507" s="18"/>
      <c r="O507" s="12"/>
      <c r="P507" s="12"/>
      <c r="Q507" s="12"/>
      <c r="R507" s="36"/>
      <c r="S507" s="36"/>
      <c r="T507" s="12"/>
      <c r="U507" s="12"/>
      <c r="V507" s="12"/>
      <c r="W507" s="12"/>
      <c r="X507" s="12"/>
    </row>
    <row r="508" customFormat="false" ht="15.75" hidden="false" customHeight="false" outlineLevel="0" collapsed="false">
      <c r="A508" s="12"/>
      <c r="B508" s="34"/>
      <c r="C508" s="12"/>
      <c r="D508" s="12"/>
      <c r="E508" s="12"/>
      <c r="F508" s="12"/>
      <c r="G508" s="18"/>
      <c r="H508" s="35"/>
      <c r="I508" s="12"/>
      <c r="M508" s="12"/>
      <c r="N508" s="18"/>
      <c r="O508" s="12"/>
      <c r="P508" s="12"/>
      <c r="Q508" s="12"/>
      <c r="R508" s="36"/>
      <c r="S508" s="36"/>
      <c r="T508" s="12"/>
      <c r="U508" s="12"/>
      <c r="V508" s="12"/>
      <c r="W508" s="12"/>
      <c r="X508" s="12"/>
    </row>
    <row r="509" customFormat="false" ht="15.75" hidden="false" customHeight="false" outlineLevel="0" collapsed="false">
      <c r="A509" s="12"/>
      <c r="B509" s="34"/>
      <c r="C509" s="12"/>
      <c r="D509" s="12"/>
      <c r="E509" s="12"/>
      <c r="F509" s="12"/>
      <c r="G509" s="18"/>
      <c r="H509" s="35"/>
      <c r="I509" s="12"/>
      <c r="M509" s="12"/>
      <c r="N509" s="18"/>
      <c r="O509" s="12"/>
      <c r="P509" s="12"/>
      <c r="Q509" s="12"/>
      <c r="R509" s="36"/>
      <c r="S509" s="36"/>
      <c r="T509" s="12"/>
      <c r="U509" s="12"/>
      <c r="V509" s="12"/>
      <c r="W509" s="12"/>
      <c r="X509" s="12"/>
    </row>
    <row r="510" customFormat="false" ht="15.75" hidden="false" customHeight="false" outlineLevel="0" collapsed="false">
      <c r="A510" s="12"/>
      <c r="B510" s="34"/>
      <c r="C510" s="12"/>
      <c r="D510" s="12"/>
      <c r="E510" s="12"/>
      <c r="F510" s="12"/>
      <c r="G510" s="18"/>
      <c r="H510" s="35"/>
      <c r="I510" s="12"/>
      <c r="M510" s="12"/>
      <c r="N510" s="18"/>
      <c r="O510" s="12"/>
      <c r="P510" s="12"/>
      <c r="Q510" s="12"/>
      <c r="R510" s="36"/>
      <c r="S510" s="36"/>
      <c r="T510" s="12"/>
      <c r="U510" s="12"/>
      <c r="V510" s="12"/>
      <c r="W510" s="12"/>
      <c r="X510" s="12"/>
    </row>
    <row r="511" customFormat="false" ht="15.75" hidden="false" customHeight="false" outlineLevel="0" collapsed="false">
      <c r="A511" s="12"/>
      <c r="B511" s="34"/>
      <c r="C511" s="12"/>
      <c r="D511" s="12"/>
      <c r="E511" s="12"/>
      <c r="F511" s="12"/>
      <c r="G511" s="18"/>
      <c r="H511" s="35"/>
      <c r="I511" s="12"/>
      <c r="M511" s="12"/>
      <c r="N511" s="18"/>
      <c r="O511" s="12"/>
      <c r="P511" s="12"/>
      <c r="Q511" s="12"/>
      <c r="R511" s="36"/>
      <c r="S511" s="36"/>
      <c r="T511" s="12"/>
      <c r="U511" s="12"/>
      <c r="V511" s="12"/>
      <c r="W511" s="12"/>
      <c r="X511" s="12"/>
    </row>
    <row r="512" customFormat="false" ht="15.75" hidden="false" customHeight="false" outlineLevel="0" collapsed="false">
      <c r="A512" s="12"/>
      <c r="B512" s="34"/>
      <c r="C512" s="12"/>
      <c r="D512" s="12"/>
      <c r="E512" s="12"/>
      <c r="F512" s="12"/>
      <c r="G512" s="18"/>
      <c r="H512" s="35"/>
      <c r="I512" s="12"/>
      <c r="M512" s="12"/>
      <c r="N512" s="18"/>
      <c r="O512" s="12"/>
      <c r="P512" s="12"/>
      <c r="Q512" s="12"/>
      <c r="R512" s="36"/>
      <c r="S512" s="36"/>
      <c r="T512" s="12"/>
      <c r="U512" s="12"/>
      <c r="V512" s="12"/>
      <c r="W512" s="12"/>
      <c r="X512" s="12"/>
    </row>
    <row r="513" customFormat="false" ht="15.75" hidden="false" customHeight="false" outlineLevel="0" collapsed="false">
      <c r="A513" s="12"/>
      <c r="B513" s="34"/>
      <c r="C513" s="12"/>
      <c r="D513" s="12"/>
      <c r="E513" s="12"/>
      <c r="F513" s="12"/>
      <c r="G513" s="18"/>
      <c r="H513" s="35"/>
      <c r="I513" s="12"/>
      <c r="M513" s="12"/>
      <c r="N513" s="18"/>
      <c r="O513" s="12"/>
      <c r="P513" s="12"/>
      <c r="Q513" s="12"/>
      <c r="R513" s="36"/>
      <c r="S513" s="36"/>
      <c r="T513" s="12"/>
      <c r="U513" s="12"/>
      <c r="V513" s="12"/>
      <c r="W513" s="12"/>
      <c r="X513" s="12"/>
    </row>
    <row r="514" customFormat="false" ht="15.75" hidden="false" customHeight="false" outlineLevel="0" collapsed="false">
      <c r="A514" s="12"/>
      <c r="B514" s="34"/>
      <c r="C514" s="12"/>
      <c r="D514" s="12"/>
      <c r="E514" s="12"/>
      <c r="F514" s="12"/>
      <c r="G514" s="18"/>
      <c r="H514" s="35"/>
      <c r="I514" s="12"/>
      <c r="M514" s="12"/>
      <c r="N514" s="18"/>
      <c r="O514" s="12"/>
      <c r="P514" s="12"/>
      <c r="Q514" s="12"/>
      <c r="R514" s="36"/>
      <c r="S514" s="36"/>
      <c r="T514" s="12"/>
      <c r="U514" s="12"/>
      <c r="V514" s="12"/>
      <c r="W514" s="12"/>
      <c r="X514" s="12"/>
    </row>
    <row r="515" customFormat="false" ht="15.75" hidden="false" customHeight="false" outlineLevel="0" collapsed="false">
      <c r="A515" s="12"/>
      <c r="B515" s="34"/>
      <c r="C515" s="12"/>
      <c r="D515" s="12"/>
      <c r="E515" s="12"/>
      <c r="F515" s="12"/>
      <c r="G515" s="18"/>
      <c r="H515" s="35"/>
      <c r="I515" s="12"/>
      <c r="M515" s="12"/>
      <c r="N515" s="18"/>
      <c r="O515" s="12"/>
      <c r="P515" s="12"/>
      <c r="Q515" s="12"/>
      <c r="R515" s="36"/>
      <c r="S515" s="36"/>
      <c r="T515" s="12"/>
      <c r="U515" s="12"/>
      <c r="V515" s="12"/>
      <c r="W515" s="12"/>
      <c r="X515" s="12"/>
    </row>
    <row r="516" customFormat="false" ht="15.75" hidden="false" customHeight="false" outlineLevel="0" collapsed="false">
      <c r="A516" s="12"/>
      <c r="B516" s="34"/>
      <c r="C516" s="12"/>
      <c r="D516" s="12"/>
      <c r="E516" s="12"/>
      <c r="F516" s="12"/>
      <c r="G516" s="18"/>
      <c r="H516" s="35"/>
      <c r="I516" s="12"/>
      <c r="M516" s="12"/>
      <c r="N516" s="18"/>
      <c r="O516" s="12"/>
      <c r="P516" s="12"/>
      <c r="Q516" s="12"/>
      <c r="R516" s="36"/>
      <c r="S516" s="36"/>
      <c r="T516" s="12"/>
      <c r="U516" s="12"/>
      <c r="V516" s="12"/>
      <c r="W516" s="12"/>
      <c r="X516" s="12"/>
    </row>
    <row r="517" customFormat="false" ht="15.75" hidden="false" customHeight="false" outlineLevel="0" collapsed="false">
      <c r="A517" s="12"/>
      <c r="B517" s="34"/>
      <c r="C517" s="12"/>
      <c r="D517" s="12"/>
      <c r="E517" s="12"/>
      <c r="F517" s="12"/>
      <c r="G517" s="18"/>
      <c r="H517" s="35"/>
      <c r="I517" s="12"/>
      <c r="M517" s="12"/>
      <c r="N517" s="18"/>
      <c r="O517" s="12"/>
      <c r="P517" s="12"/>
      <c r="Q517" s="12"/>
      <c r="R517" s="36"/>
      <c r="S517" s="36"/>
      <c r="T517" s="12"/>
      <c r="U517" s="12"/>
      <c r="V517" s="12"/>
      <c r="W517" s="12"/>
      <c r="X517" s="12"/>
    </row>
    <row r="518" customFormat="false" ht="15.75" hidden="false" customHeight="false" outlineLevel="0" collapsed="false">
      <c r="A518" s="12"/>
      <c r="B518" s="34"/>
      <c r="C518" s="12"/>
      <c r="D518" s="12"/>
      <c r="E518" s="12"/>
      <c r="F518" s="12"/>
      <c r="G518" s="18"/>
      <c r="H518" s="35"/>
      <c r="I518" s="12"/>
      <c r="M518" s="12"/>
      <c r="N518" s="18"/>
      <c r="O518" s="12"/>
      <c r="P518" s="12"/>
      <c r="Q518" s="12"/>
      <c r="R518" s="36"/>
      <c r="S518" s="36"/>
      <c r="T518" s="12"/>
      <c r="U518" s="12"/>
      <c r="V518" s="12"/>
      <c r="W518" s="12"/>
      <c r="X518" s="12"/>
    </row>
    <row r="519" customFormat="false" ht="15.75" hidden="false" customHeight="false" outlineLevel="0" collapsed="false">
      <c r="A519" s="12"/>
      <c r="B519" s="34"/>
      <c r="C519" s="12"/>
      <c r="D519" s="12"/>
      <c r="E519" s="12"/>
      <c r="F519" s="12"/>
      <c r="G519" s="18"/>
      <c r="H519" s="35"/>
      <c r="I519" s="12"/>
      <c r="M519" s="12"/>
      <c r="N519" s="18"/>
      <c r="O519" s="12"/>
      <c r="P519" s="12"/>
      <c r="Q519" s="12"/>
      <c r="R519" s="36"/>
      <c r="S519" s="36"/>
      <c r="T519" s="12"/>
      <c r="U519" s="12"/>
      <c r="V519" s="12"/>
      <c r="W519" s="12"/>
      <c r="X519" s="12"/>
    </row>
    <row r="520" customFormat="false" ht="15.75" hidden="false" customHeight="false" outlineLevel="0" collapsed="false">
      <c r="A520" s="12"/>
      <c r="B520" s="34"/>
      <c r="C520" s="12"/>
      <c r="D520" s="12"/>
      <c r="E520" s="12"/>
      <c r="F520" s="12"/>
      <c r="G520" s="18"/>
      <c r="H520" s="35"/>
      <c r="I520" s="12"/>
      <c r="M520" s="12"/>
      <c r="N520" s="18"/>
      <c r="O520" s="12"/>
      <c r="P520" s="12"/>
      <c r="Q520" s="12"/>
      <c r="R520" s="36"/>
      <c r="S520" s="36"/>
      <c r="T520" s="12"/>
      <c r="U520" s="12"/>
      <c r="V520" s="12"/>
      <c r="W520" s="12"/>
      <c r="X520" s="12"/>
    </row>
    <row r="521" customFormat="false" ht="15.75" hidden="false" customHeight="false" outlineLevel="0" collapsed="false">
      <c r="A521" s="12"/>
      <c r="B521" s="34"/>
      <c r="C521" s="12"/>
      <c r="D521" s="12"/>
      <c r="E521" s="12"/>
      <c r="F521" s="12"/>
      <c r="G521" s="18"/>
      <c r="H521" s="35"/>
      <c r="I521" s="12"/>
      <c r="M521" s="12"/>
      <c r="N521" s="18"/>
      <c r="O521" s="12"/>
      <c r="P521" s="12"/>
      <c r="Q521" s="12"/>
      <c r="R521" s="36"/>
      <c r="S521" s="36"/>
      <c r="T521" s="12"/>
      <c r="U521" s="12"/>
      <c r="V521" s="12"/>
      <c r="W521" s="12"/>
      <c r="X521" s="12"/>
    </row>
    <row r="522" customFormat="false" ht="15.75" hidden="false" customHeight="false" outlineLevel="0" collapsed="false">
      <c r="A522" s="12"/>
      <c r="B522" s="34"/>
      <c r="C522" s="12"/>
      <c r="D522" s="12"/>
      <c r="E522" s="12"/>
      <c r="F522" s="12"/>
      <c r="G522" s="18"/>
      <c r="H522" s="35"/>
      <c r="I522" s="12"/>
      <c r="M522" s="12"/>
      <c r="N522" s="18"/>
      <c r="O522" s="12"/>
      <c r="P522" s="12"/>
      <c r="Q522" s="12"/>
      <c r="R522" s="36"/>
      <c r="S522" s="36"/>
      <c r="T522" s="12"/>
      <c r="U522" s="12"/>
      <c r="V522" s="12"/>
      <c r="W522" s="12"/>
      <c r="X522" s="12"/>
    </row>
    <row r="523" customFormat="false" ht="15.75" hidden="false" customHeight="false" outlineLevel="0" collapsed="false">
      <c r="A523" s="12"/>
      <c r="B523" s="34"/>
      <c r="C523" s="12"/>
      <c r="D523" s="12"/>
      <c r="E523" s="12"/>
      <c r="F523" s="12"/>
      <c r="G523" s="18"/>
      <c r="H523" s="35"/>
      <c r="I523" s="12"/>
      <c r="M523" s="12"/>
      <c r="N523" s="18"/>
      <c r="O523" s="12"/>
      <c r="P523" s="12"/>
      <c r="Q523" s="12"/>
      <c r="R523" s="36"/>
      <c r="S523" s="36"/>
      <c r="T523" s="12"/>
      <c r="U523" s="12"/>
      <c r="V523" s="12"/>
      <c r="W523" s="12"/>
      <c r="X523" s="12"/>
    </row>
    <row r="524" customFormat="false" ht="15.75" hidden="false" customHeight="false" outlineLevel="0" collapsed="false">
      <c r="A524" s="12"/>
      <c r="B524" s="34"/>
      <c r="C524" s="12"/>
      <c r="D524" s="12"/>
      <c r="E524" s="12"/>
      <c r="F524" s="12"/>
      <c r="G524" s="18"/>
      <c r="H524" s="35"/>
      <c r="I524" s="12"/>
      <c r="M524" s="12"/>
      <c r="N524" s="18"/>
      <c r="O524" s="12"/>
      <c r="P524" s="12"/>
      <c r="Q524" s="12"/>
      <c r="R524" s="36"/>
      <c r="S524" s="36"/>
      <c r="T524" s="12"/>
      <c r="U524" s="12"/>
      <c r="V524" s="12"/>
      <c r="W524" s="12"/>
      <c r="X524" s="12"/>
    </row>
    <row r="525" customFormat="false" ht="15.75" hidden="false" customHeight="false" outlineLevel="0" collapsed="false">
      <c r="A525" s="12"/>
      <c r="B525" s="34"/>
      <c r="C525" s="12"/>
      <c r="D525" s="12"/>
      <c r="E525" s="12"/>
      <c r="F525" s="12"/>
      <c r="G525" s="18"/>
      <c r="H525" s="35"/>
      <c r="I525" s="12"/>
      <c r="M525" s="12"/>
      <c r="N525" s="18"/>
      <c r="O525" s="12"/>
      <c r="P525" s="12"/>
      <c r="Q525" s="12"/>
      <c r="R525" s="36"/>
      <c r="S525" s="36"/>
      <c r="T525" s="12"/>
      <c r="U525" s="12"/>
      <c r="V525" s="12"/>
      <c r="W525" s="12"/>
      <c r="X525" s="12"/>
    </row>
    <row r="526" customFormat="false" ht="15.75" hidden="false" customHeight="false" outlineLevel="0" collapsed="false">
      <c r="A526" s="12"/>
      <c r="B526" s="34"/>
      <c r="C526" s="12"/>
      <c r="D526" s="12"/>
      <c r="E526" s="12"/>
      <c r="F526" s="12"/>
      <c r="G526" s="18"/>
      <c r="H526" s="35"/>
      <c r="I526" s="12"/>
      <c r="M526" s="12"/>
      <c r="N526" s="18"/>
      <c r="O526" s="12"/>
      <c r="P526" s="12"/>
      <c r="Q526" s="12"/>
      <c r="R526" s="36"/>
      <c r="S526" s="36"/>
      <c r="T526" s="12"/>
      <c r="U526" s="12"/>
      <c r="V526" s="12"/>
      <c r="W526" s="12"/>
      <c r="X526" s="12"/>
    </row>
    <row r="527" customFormat="false" ht="15.75" hidden="false" customHeight="false" outlineLevel="0" collapsed="false">
      <c r="A527" s="12"/>
      <c r="B527" s="34"/>
      <c r="C527" s="12"/>
      <c r="D527" s="12"/>
      <c r="E527" s="12"/>
      <c r="F527" s="12"/>
      <c r="G527" s="18"/>
      <c r="H527" s="35"/>
      <c r="I527" s="12"/>
      <c r="M527" s="12"/>
      <c r="N527" s="18"/>
      <c r="O527" s="12"/>
      <c r="P527" s="12"/>
      <c r="Q527" s="12"/>
      <c r="R527" s="36"/>
      <c r="S527" s="36"/>
      <c r="T527" s="12"/>
      <c r="U527" s="12"/>
      <c r="V527" s="12"/>
      <c r="W527" s="12"/>
      <c r="X527" s="12"/>
    </row>
    <row r="528" customFormat="false" ht="15.75" hidden="false" customHeight="false" outlineLevel="0" collapsed="false">
      <c r="A528" s="12"/>
      <c r="B528" s="34"/>
      <c r="C528" s="12"/>
      <c r="D528" s="12"/>
      <c r="E528" s="12"/>
      <c r="F528" s="12"/>
      <c r="G528" s="18"/>
      <c r="H528" s="35"/>
      <c r="I528" s="12"/>
      <c r="M528" s="12"/>
      <c r="N528" s="18"/>
      <c r="O528" s="12"/>
      <c r="P528" s="12"/>
      <c r="Q528" s="12"/>
      <c r="R528" s="36"/>
      <c r="S528" s="36"/>
      <c r="T528" s="12"/>
      <c r="U528" s="12"/>
      <c r="V528" s="12"/>
      <c r="W528" s="12"/>
      <c r="X528" s="12"/>
    </row>
    <row r="529" customFormat="false" ht="15.75" hidden="false" customHeight="false" outlineLevel="0" collapsed="false">
      <c r="A529" s="12"/>
      <c r="B529" s="34"/>
      <c r="C529" s="12"/>
      <c r="D529" s="12"/>
      <c r="E529" s="12"/>
      <c r="F529" s="12"/>
      <c r="G529" s="18"/>
      <c r="H529" s="35"/>
      <c r="I529" s="12"/>
      <c r="M529" s="12"/>
      <c r="N529" s="18"/>
      <c r="O529" s="12"/>
      <c r="P529" s="12"/>
      <c r="Q529" s="12"/>
      <c r="R529" s="36"/>
      <c r="S529" s="36"/>
      <c r="T529" s="12"/>
      <c r="U529" s="12"/>
      <c r="V529" s="12"/>
      <c r="W529" s="12"/>
      <c r="X529" s="12"/>
    </row>
    <row r="530" customFormat="false" ht="15.75" hidden="false" customHeight="false" outlineLevel="0" collapsed="false">
      <c r="A530" s="12"/>
      <c r="B530" s="34"/>
      <c r="C530" s="12"/>
      <c r="D530" s="12"/>
      <c r="E530" s="12"/>
      <c r="F530" s="12"/>
      <c r="G530" s="18"/>
      <c r="H530" s="35"/>
      <c r="I530" s="12"/>
      <c r="M530" s="12"/>
      <c r="N530" s="18"/>
      <c r="O530" s="12"/>
      <c r="P530" s="12"/>
      <c r="Q530" s="12"/>
      <c r="R530" s="36"/>
      <c r="S530" s="36"/>
      <c r="T530" s="12"/>
      <c r="U530" s="12"/>
      <c r="V530" s="12"/>
      <c r="W530" s="12"/>
      <c r="X530" s="12"/>
    </row>
    <row r="531" customFormat="false" ht="15.75" hidden="false" customHeight="false" outlineLevel="0" collapsed="false">
      <c r="A531" s="12"/>
      <c r="B531" s="34"/>
      <c r="C531" s="12"/>
      <c r="D531" s="12"/>
      <c r="E531" s="12"/>
      <c r="F531" s="12"/>
      <c r="G531" s="18"/>
      <c r="H531" s="35"/>
      <c r="I531" s="12"/>
      <c r="M531" s="12"/>
      <c r="N531" s="18"/>
      <c r="O531" s="12"/>
      <c r="P531" s="12"/>
      <c r="Q531" s="12"/>
      <c r="R531" s="36"/>
      <c r="S531" s="36"/>
      <c r="T531" s="12"/>
      <c r="U531" s="12"/>
      <c r="V531" s="12"/>
      <c r="W531" s="12"/>
      <c r="X531" s="12"/>
    </row>
    <row r="532" customFormat="false" ht="15.75" hidden="false" customHeight="false" outlineLevel="0" collapsed="false">
      <c r="A532" s="12"/>
      <c r="B532" s="34"/>
      <c r="C532" s="12"/>
      <c r="D532" s="12"/>
      <c r="E532" s="12"/>
      <c r="F532" s="12"/>
      <c r="G532" s="18"/>
      <c r="H532" s="35"/>
      <c r="I532" s="12"/>
      <c r="M532" s="12"/>
      <c r="N532" s="18"/>
      <c r="O532" s="12"/>
      <c r="P532" s="12"/>
      <c r="Q532" s="12"/>
      <c r="R532" s="36"/>
      <c r="S532" s="36"/>
      <c r="T532" s="12"/>
      <c r="U532" s="12"/>
      <c r="V532" s="12"/>
      <c r="W532" s="12"/>
      <c r="X532" s="12"/>
    </row>
    <row r="533" customFormat="false" ht="15.75" hidden="false" customHeight="false" outlineLevel="0" collapsed="false">
      <c r="A533" s="12"/>
      <c r="B533" s="34"/>
      <c r="C533" s="12"/>
      <c r="D533" s="12"/>
      <c r="E533" s="12"/>
      <c r="F533" s="12"/>
      <c r="G533" s="18"/>
      <c r="H533" s="35"/>
      <c r="I533" s="12"/>
      <c r="M533" s="12"/>
      <c r="N533" s="18"/>
      <c r="O533" s="12"/>
      <c r="P533" s="12"/>
      <c r="Q533" s="12"/>
      <c r="R533" s="36"/>
      <c r="S533" s="36"/>
      <c r="T533" s="12"/>
      <c r="U533" s="12"/>
      <c r="V533" s="12"/>
      <c r="W533" s="12"/>
      <c r="X533" s="12"/>
    </row>
    <row r="534" customFormat="false" ht="15.75" hidden="false" customHeight="false" outlineLevel="0" collapsed="false">
      <c r="A534" s="12"/>
      <c r="B534" s="34"/>
      <c r="C534" s="12"/>
      <c r="D534" s="12"/>
      <c r="E534" s="12"/>
      <c r="F534" s="12"/>
      <c r="G534" s="18"/>
      <c r="H534" s="35"/>
      <c r="I534" s="12"/>
      <c r="M534" s="12"/>
      <c r="N534" s="18"/>
      <c r="O534" s="12"/>
      <c r="P534" s="12"/>
      <c r="Q534" s="12"/>
      <c r="R534" s="36"/>
      <c r="S534" s="36"/>
      <c r="T534" s="12"/>
      <c r="U534" s="12"/>
      <c r="V534" s="12"/>
      <c r="W534" s="12"/>
      <c r="X534" s="12"/>
    </row>
    <row r="535" customFormat="false" ht="15.75" hidden="false" customHeight="false" outlineLevel="0" collapsed="false">
      <c r="A535" s="12"/>
      <c r="B535" s="34"/>
      <c r="C535" s="12"/>
      <c r="D535" s="12"/>
      <c r="E535" s="12"/>
      <c r="F535" s="12"/>
      <c r="G535" s="18"/>
      <c r="H535" s="35"/>
      <c r="I535" s="12"/>
      <c r="M535" s="12"/>
      <c r="N535" s="18"/>
      <c r="O535" s="12"/>
      <c r="P535" s="12"/>
      <c r="Q535" s="12"/>
      <c r="R535" s="36"/>
      <c r="S535" s="36"/>
      <c r="T535" s="12"/>
      <c r="U535" s="12"/>
      <c r="V535" s="12"/>
      <c r="W535" s="12"/>
      <c r="X535" s="12"/>
    </row>
    <row r="536" customFormat="false" ht="15.75" hidden="false" customHeight="false" outlineLevel="0" collapsed="false">
      <c r="A536" s="12"/>
      <c r="B536" s="34"/>
      <c r="C536" s="12"/>
      <c r="D536" s="12"/>
      <c r="E536" s="12"/>
      <c r="F536" s="12"/>
      <c r="G536" s="18"/>
      <c r="H536" s="35"/>
      <c r="I536" s="12"/>
      <c r="M536" s="12"/>
      <c r="N536" s="18"/>
      <c r="O536" s="12"/>
      <c r="P536" s="12"/>
      <c r="Q536" s="12"/>
      <c r="R536" s="36"/>
      <c r="S536" s="36"/>
      <c r="T536" s="12"/>
      <c r="U536" s="12"/>
      <c r="V536" s="12"/>
      <c r="W536" s="12"/>
      <c r="X536" s="12"/>
    </row>
    <row r="537" customFormat="false" ht="15.75" hidden="false" customHeight="false" outlineLevel="0" collapsed="false">
      <c r="A537" s="12"/>
      <c r="B537" s="34"/>
      <c r="C537" s="12"/>
      <c r="D537" s="12"/>
      <c r="E537" s="12"/>
      <c r="F537" s="12"/>
      <c r="G537" s="18"/>
      <c r="H537" s="35"/>
      <c r="I537" s="12"/>
      <c r="M537" s="12"/>
      <c r="N537" s="18"/>
      <c r="O537" s="12"/>
      <c r="P537" s="12"/>
      <c r="Q537" s="12"/>
      <c r="R537" s="36"/>
      <c r="S537" s="36"/>
      <c r="T537" s="12"/>
      <c r="U537" s="12"/>
      <c r="V537" s="12"/>
      <c r="W537" s="12"/>
      <c r="X537" s="12"/>
    </row>
    <row r="538" customFormat="false" ht="15.75" hidden="false" customHeight="false" outlineLevel="0" collapsed="false">
      <c r="A538" s="12"/>
      <c r="B538" s="34"/>
      <c r="C538" s="12"/>
      <c r="D538" s="12"/>
      <c r="E538" s="12"/>
      <c r="F538" s="12"/>
      <c r="G538" s="18"/>
      <c r="H538" s="35"/>
      <c r="I538" s="12"/>
      <c r="M538" s="12"/>
      <c r="N538" s="18"/>
      <c r="O538" s="12"/>
      <c r="P538" s="12"/>
      <c r="Q538" s="12"/>
      <c r="R538" s="36"/>
      <c r="S538" s="36"/>
      <c r="T538" s="12"/>
      <c r="U538" s="12"/>
      <c r="V538" s="12"/>
      <c r="W538" s="12"/>
      <c r="X538" s="12"/>
    </row>
    <row r="539" customFormat="false" ht="15.75" hidden="false" customHeight="false" outlineLevel="0" collapsed="false">
      <c r="A539" s="12"/>
      <c r="B539" s="34"/>
      <c r="C539" s="12"/>
      <c r="D539" s="12"/>
      <c r="E539" s="12"/>
      <c r="F539" s="12"/>
      <c r="G539" s="18"/>
      <c r="H539" s="35"/>
      <c r="I539" s="12"/>
      <c r="M539" s="12"/>
      <c r="N539" s="18"/>
      <c r="O539" s="12"/>
      <c r="P539" s="12"/>
      <c r="Q539" s="12"/>
      <c r="R539" s="36"/>
      <c r="S539" s="36"/>
      <c r="T539" s="12"/>
      <c r="U539" s="12"/>
      <c r="V539" s="12"/>
      <c r="W539" s="12"/>
      <c r="X539" s="12"/>
    </row>
    <row r="540" customFormat="false" ht="15.75" hidden="false" customHeight="false" outlineLevel="0" collapsed="false">
      <c r="A540" s="12"/>
      <c r="B540" s="34"/>
      <c r="C540" s="12"/>
      <c r="D540" s="12"/>
      <c r="E540" s="12"/>
      <c r="F540" s="12"/>
      <c r="G540" s="18"/>
      <c r="H540" s="35"/>
      <c r="I540" s="12"/>
      <c r="M540" s="12"/>
      <c r="N540" s="18"/>
      <c r="O540" s="12"/>
      <c r="P540" s="12"/>
      <c r="Q540" s="12"/>
      <c r="R540" s="36"/>
      <c r="S540" s="36"/>
      <c r="T540" s="12"/>
      <c r="U540" s="12"/>
      <c r="V540" s="12"/>
      <c r="W540" s="12"/>
      <c r="X540" s="12"/>
    </row>
    <row r="541" customFormat="false" ht="15.75" hidden="false" customHeight="false" outlineLevel="0" collapsed="false">
      <c r="A541" s="12"/>
      <c r="B541" s="34"/>
      <c r="C541" s="12"/>
      <c r="D541" s="12"/>
      <c r="E541" s="12"/>
      <c r="F541" s="12"/>
      <c r="G541" s="18"/>
      <c r="H541" s="35"/>
      <c r="I541" s="12"/>
      <c r="M541" s="12"/>
      <c r="N541" s="18"/>
      <c r="O541" s="12"/>
      <c r="P541" s="12"/>
      <c r="Q541" s="12"/>
      <c r="R541" s="36"/>
      <c r="S541" s="36"/>
      <c r="T541" s="12"/>
      <c r="U541" s="12"/>
      <c r="V541" s="12"/>
      <c r="W541" s="12"/>
      <c r="X541" s="12"/>
    </row>
    <row r="542" customFormat="false" ht="15.75" hidden="false" customHeight="false" outlineLevel="0" collapsed="false">
      <c r="A542" s="12"/>
      <c r="B542" s="34"/>
      <c r="C542" s="12"/>
      <c r="D542" s="12"/>
      <c r="E542" s="12"/>
      <c r="F542" s="12"/>
      <c r="G542" s="18"/>
      <c r="H542" s="35"/>
      <c r="I542" s="12"/>
      <c r="M542" s="12"/>
      <c r="N542" s="18"/>
      <c r="O542" s="12"/>
      <c r="P542" s="12"/>
      <c r="Q542" s="12"/>
      <c r="R542" s="36"/>
      <c r="S542" s="36"/>
      <c r="T542" s="12"/>
      <c r="U542" s="12"/>
      <c r="V542" s="12"/>
      <c r="W542" s="12"/>
      <c r="X542" s="12"/>
    </row>
    <row r="543" customFormat="false" ht="15.75" hidden="false" customHeight="false" outlineLevel="0" collapsed="false">
      <c r="A543" s="12"/>
      <c r="B543" s="34"/>
      <c r="C543" s="12"/>
      <c r="D543" s="12"/>
      <c r="E543" s="12"/>
      <c r="F543" s="12"/>
      <c r="G543" s="18"/>
      <c r="H543" s="35"/>
      <c r="I543" s="12"/>
      <c r="M543" s="12"/>
      <c r="N543" s="18"/>
      <c r="O543" s="12"/>
      <c r="P543" s="12"/>
      <c r="Q543" s="12"/>
      <c r="R543" s="36"/>
      <c r="S543" s="36"/>
      <c r="T543" s="12"/>
      <c r="U543" s="12"/>
      <c r="V543" s="12"/>
      <c r="W543" s="12"/>
      <c r="X543" s="12"/>
    </row>
    <row r="544" customFormat="false" ht="15.75" hidden="false" customHeight="false" outlineLevel="0" collapsed="false">
      <c r="A544" s="12"/>
      <c r="B544" s="34"/>
      <c r="C544" s="12"/>
      <c r="D544" s="12"/>
      <c r="E544" s="12"/>
      <c r="F544" s="12"/>
      <c r="G544" s="18"/>
      <c r="H544" s="35"/>
      <c r="I544" s="12"/>
      <c r="M544" s="12"/>
      <c r="N544" s="18"/>
      <c r="O544" s="12"/>
      <c r="P544" s="12"/>
      <c r="Q544" s="12"/>
      <c r="R544" s="36"/>
      <c r="S544" s="36"/>
      <c r="T544" s="12"/>
      <c r="U544" s="12"/>
      <c r="V544" s="12"/>
      <c r="W544" s="12"/>
      <c r="X544" s="12"/>
    </row>
    <row r="545" customFormat="false" ht="15.75" hidden="false" customHeight="false" outlineLevel="0" collapsed="false">
      <c r="A545" s="12"/>
      <c r="B545" s="34"/>
      <c r="C545" s="12"/>
      <c r="D545" s="12"/>
      <c r="E545" s="12"/>
      <c r="F545" s="12"/>
      <c r="G545" s="18"/>
      <c r="H545" s="35"/>
      <c r="I545" s="12"/>
      <c r="M545" s="12"/>
      <c r="N545" s="18"/>
      <c r="O545" s="12"/>
      <c r="P545" s="12"/>
      <c r="Q545" s="12"/>
      <c r="R545" s="36"/>
      <c r="S545" s="36"/>
      <c r="T545" s="12"/>
      <c r="U545" s="12"/>
      <c r="V545" s="12"/>
      <c r="W545" s="12"/>
      <c r="X545" s="12"/>
    </row>
    <row r="546" customFormat="false" ht="15.75" hidden="false" customHeight="false" outlineLevel="0" collapsed="false">
      <c r="A546" s="12"/>
      <c r="B546" s="34"/>
      <c r="C546" s="12"/>
      <c r="D546" s="12"/>
      <c r="E546" s="12"/>
      <c r="F546" s="12"/>
      <c r="G546" s="18"/>
      <c r="H546" s="35"/>
      <c r="I546" s="12"/>
      <c r="M546" s="12"/>
      <c r="N546" s="18"/>
      <c r="O546" s="12"/>
      <c r="P546" s="12"/>
      <c r="Q546" s="12"/>
      <c r="R546" s="36"/>
      <c r="S546" s="36"/>
      <c r="T546" s="12"/>
      <c r="U546" s="12"/>
      <c r="V546" s="12"/>
      <c r="W546" s="12"/>
      <c r="X546" s="12"/>
    </row>
    <row r="547" customFormat="false" ht="15.75" hidden="false" customHeight="false" outlineLevel="0" collapsed="false">
      <c r="A547" s="12"/>
      <c r="B547" s="34"/>
      <c r="C547" s="12"/>
      <c r="D547" s="12"/>
      <c r="E547" s="12"/>
      <c r="F547" s="12"/>
      <c r="G547" s="18"/>
      <c r="H547" s="35"/>
      <c r="I547" s="12"/>
      <c r="M547" s="12"/>
      <c r="N547" s="18"/>
      <c r="O547" s="12"/>
      <c r="P547" s="12"/>
      <c r="Q547" s="12"/>
      <c r="R547" s="36"/>
      <c r="S547" s="36"/>
      <c r="T547" s="12"/>
      <c r="U547" s="12"/>
      <c r="V547" s="12"/>
      <c r="W547" s="12"/>
      <c r="X547" s="12"/>
    </row>
    <row r="548" customFormat="false" ht="15.75" hidden="false" customHeight="false" outlineLevel="0" collapsed="false">
      <c r="A548" s="12"/>
      <c r="B548" s="34"/>
      <c r="C548" s="12"/>
      <c r="D548" s="12"/>
      <c r="E548" s="12"/>
      <c r="F548" s="12"/>
      <c r="G548" s="18"/>
      <c r="H548" s="35"/>
      <c r="I548" s="12"/>
      <c r="M548" s="12"/>
      <c r="N548" s="18"/>
      <c r="O548" s="12"/>
      <c r="P548" s="12"/>
      <c r="Q548" s="12"/>
      <c r="R548" s="36"/>
      <c r="S548" s="36"/>
      <c r="T548" s="12"/>
      <c r="U548" s="12"/>
      <c r="V548" s="12"/>
      <c r="W548" s="12"/>
      <c r="X548" s="12"/>
    </row>
    <row r="549" customFormat="false" ht="15.75" hidden="false" customHeight="false" outlineLevel="0" collapsed="false">
      <c r="A549" s="12"/>
      <c r="B549" s="34"/>
      <c r="C549" s="12"/>
      <c r="D549" s="12"/>
      <c r="E549" s="12"/>
      <c r="F549" s="12"/>
      <c r="G549" s="18"/>
      <c r="H549" s="35"/>
      <c r="I549" s="12"/>
      <c r="M549" s="12"/>
      <c r="N549" s="18"/>
      <c r="O549" s="12"/>
      <c r="P549" s="12"/>
      <c r="Q549" s="12"/>
      <c r="R549" s="36"/>
      <c r="S549" s="36"/>
      <c r="T549" s="12"/>
      <c r="U549" s="12"/>
      <c r="V549" s="12"/>
      <c r="W549" s="12"/>
      <c r="X549" s="12"/>
    </row>
    <row r="550" customFormat="false" ht="15.75" hidden="false" customHeight="false" outlineLevel="0" collapsed="false">
      <c r="A550" s="12"/>
      <c r="B550" s="34"/>
      <c r="C550" s="12"/>
      <c r="D550" s="12"/>
      <c r="E550" s="12"/>
      <c r="F550" s="12"/>
      <c r="G550" s="18"/>
      <c r="H550" s="35"/>
      <c r="I550" s="12"/>
      <c r="M550" s="12"/>
      <c r="N550" s="18"/>
      <c r="O550" s="12"/>
      <c r="P550" s="12"/>
      <c r="Q550" s="12"/>
      <c r="R550" s="36"/>
      <c r="S550" s="36"/>
      <c r="T550" s="12"/>
      <c r="U550" s="12"/>
      <c r="V550" s="12"/>
      <c r="W550" s="12"/>
      <c r="X550" s="12"/>
    </row>
    <row r="551" customFormat="false" ht="15.75" hidden="false" customHeight="false" outlineLevel="0" collapsed="false">
      <c r="A551" s="12"/>
      <c r="B551" s="34"/>
      <c r="C551" s="12"/>
      <c r="D551" s="12"/>
      <c r="E551" s="12"/>
      <c r="F551" s="12"/>
      <c r="G551" s="18"/>
      <c r="H551" s="35"/>
      <c r="I551" s="12"/>
      <c r="M551" s="12"/>
      <c r="N551" s="18"/>
      <c r="O551" s="12"/>
      <c r="P551" s="12"/>
      <c r="Q551" s="12"/>
      <c r="R551" s="36"/>
      <c r="S551" s="36"/>
      <c r="T551" s="12"/>
      <c r="U551" s="12"/>
      <c r="V551" s="12"/>
      <c r="W551" s="12"/>
      <c r="X551" s="12"/>
    </row>
    <row r="552" customFormat="false" ht="15.75" hidden="false" customHeight="false" outlineLevel="0" collapsed="false">
      <c r="A552" s="12"/>
      <c r="B552" s="34"/>
      <c r="C552" s="12"/>
      <c r="D552" s="12"/>
      <c r="E552" s="12"/>
      <c r="F552" s="12"/>
      <c r="G552" s="18"/>
      <c r="H552" s="35"/>
      <c r="I552" s="12"/>
      <c r="M552" s="12"/>
      <c r="N552" s="18"/>
      <c r="O552" s="12"/>
      <c r="P552" s="12"/>
      <c r="Q552" s="12"/>
      <c r="R552" s="36"/>
      <c r="S552" s="36"/>
      <c r="T552" s="12"/>
      <c r="U552" s="12"/>
      <c r="V552" s="12"/>
      <c r="W552" s="12"/>
      <c r="X552" s="12"/>
    </row>
    <row r="553" customFormat="false" ht="15.75" hidden="false" customHeight="false" outlineLevel="0" collapsed="false">
      <c r="A553" s="12"/>
      <c r="B553" s="34"/>
      <c r="C553" s="12"/>
      <c r="D553" s="12"/>
      <c r="E553" s="12"/>
      <c r="F553" s="12"/>
      <c r="G553" s="18"/>
      <c r="H553" s="35"/>
      <c r="I553" s="12"/>
      <c r="M553" s="12"/>
      <c r="N553" s="18"/>
      <c r="O553" s="12"/>
      <c r="P553" s="12"/>
      <c r="Q553" s="12"/>
      <c r="R553" s="36"/>
      <c r="S553" s="36"/>
      <c r="T553" s="12"/>
      <c r="U553" s="12"/>
      <c r="V553" s="12"/>
      <c r="W553" s="12"/>
      <c r="X553" s="12"/>
    </row>
    <row r="554" customFormat="false" ht="15.75" hidden="false" customHeight="false" outlineLevel="0" collapsed="false">
      <c r="A554" s="12"/>
      <c r="B554" s="34"/>
      <c r="C554" s="12"/>
      <c r="D554" s="12"/>
      <c r="E554" s="12"/>
      <c r="F554" s="12"/>
      <c r="G554" s="18"/>
      <c r="H554" s="35"/>
      <c r="I554" s="12"/>
      <c r="M554" s="12"/>
      <c r="N554" s="18"/>
      <c r="O554" s="12"/>
      <c r="P554" s="12"/>
      <c r="Q554" s="12"/>
      <c r="R554" s="36"/>
      <c r="S554" s="36"/>
      <c r="T554" s="12"/>
      <c r="U554" s="12"/>
      <c r="V554" s="12"/>
      <c r="W554" s="12"/>
      <c r="X554" s="12"/>
    </row>
    <row r="555" customFormat="false" ht="15.75" hidden="false" customHeight="false" outlineLevel="0" collapsed="false">
      <c r="A555" s="12"/>
      <c r="B555" s="34"/>
      <c r="C555" s="12"/>
      <c r="D555" s="12"/>
      <c r="E555" s="12"/>
      <c r="F555" s="12"/>
      <c r="G555" s="18"/>
      <c r="H555" s="35"/>
      <c r="I555" s="12"/>
      <c r="M555" s="12"/>
      <c r="N555" s="18"/>
      <c r="O555" s="12"/>
      <c r="P555" s="12"/>
      <c r="Q555" s="12"/>
      <c r="R555" s="36"/>
      <c r="S555" s="36"/>
      <c r="T555" s="12"/>
      <c r="U555" s="12"/>
      <c r="V555" s="12"/>
      <c r="W555" s="12"/>
      <c r="X555" s="12"/>
    </row>
    <row r="556" customFormat="false" ht="15.75" hidden="false" customHeight="false" outlineLevel="0" collapsed="false">
      <c r="A556" s="12"/>
      <c r="B556" s="34"/>
      <c r="C556" s="12"/>
      <c r="D556" s="12"/>
      <c r="E556" s="12"/>
      <c r="F556" s="12"/>
      <c r="G556" s="18"/>
      <c r="H556" s="35"/>
      <c r="I556" s="12"/>
      <c r="M556" s="12"/>
      <c r="N556" s="18"/>
      <c r="O556" s="12"/>
      <c r="P556" s="12"/>
      <c r="Q556" s="12"/>
      <c r="R556" s="36"/>
      <c r="S556" s="36"/>
      <c r="T556" s="12"/>
      <c r="U556" s="12"/>
      <c r="V556" s="12"/>
      <c r="W556" s="12"/>
      <c r="X556" s="12"/>
    </row>
    <row r="557" customFormat="false" ht="15.75" hidden="false" customHeight="false" outlineLevel="0" collapsed="false">
      <c r="A557" s="12"/>
      <c r="B557" s="34"/>
      <c r="C557" s="12"/>
      <c r="D557" s="12"/>
      <c r="E557" s="12"/>
      <c r="F557" s="12"/>
      <c r="G557" s="18"/>
      <c r="H557" s="35"/>
      <c r="I557" s="12"/>
      <c r="M557" s="12"/>
      <c r="N557" s="18"/>
      <c r="O557" s="12"/>
      <c r="P557" s="12"/>
      <c r="Q557" s="12"/>
      <c r="R557" s="36"/>
      <c r="S557" s="36"/>
      <c r="T557" s="12"/>
      <c r="U557" s="12"/>
      <c r="V557" s="12"/>
      <c r="W557" s="12"/>
      <c r="X557" s="12"/>
    </row>
    <row r="558" customFormat="false" ht="15.75" hidden="false" customHeight="false" outlineLevel="0" collapsed="false">
      <c r="A558" s="12"/>
      <c r="B558" s="34"/>
      <c r="C558" s="12"/>
      <c r="D558" s="12"/>
      <c r="E558" s="12"/>
      <c r="F558" s="12"/>
      <c r="G558" s="18"/>
      <c r="H558" s="35"/>
      <c r="I558" s="12"/>
      <c r="M558" s="12"/>
      <c r="N558" s="18"/>
      <c r="O558" s="12"/>
      <c r="P558" s="12"/>
      <c r="Q558" s="12"/>
      <c r="R558" s="36"/>
      <c r="S558" s="36"/>
      <c r="T558" s="12"/>
      <c r="U558" s="12"/>
      <c r="V558" s="12"/>
      <c r="W558" s="12"/>
      <c r="X558" s="12"/>
    </row>
    <row r="559" customFormat="false" ht="15.75" hidden="false" customHeight="false" outlineLevel="0" collapsed="false">
      <c r="A559" s="12"/>
      <c r="B559" s="34"/>
      <c r="C559" s="12"/>
      <c r="D559" s="12"/>
      <c r="E559" s="12"/>
      <c r="F559" s="12"/>
      <c r="G559" s="18"/>
      <c r="H559" s="35"/>
      <c r="I559" s="12"/>
      <c r="M559" s="12"/>
      <c r="N559" s="18"/>
      <c r="O559" s="12"/>
      <c r="P559" s="12"/>
      <c r="Q559" s="12"/>
      <c r="R559" s="36"/>
      <c r="S559" s="36"/>
      <c r="T559" s="12"/>
      <c r="U559" s="12"/>
      <c r="V559" s="12"/>
      <c r="W559" s="12"/>
      <c r="X559" s="12"/>
    </row>
    <row r="560" customFormat="false" ht="15.75" hidden="false" customHeight="false" outlineLevel="0" collapsed="false">
      <c r="A560" s="12"/>
      <c r="B560" s="34"/>
      <c r="C560" s="12"/>
      <c r="D560" s="12"/>
      <c r="E560" s="12"/>
      <c r="F560" s="12"/>
      <c r="G560" s="18"/>
      <c r="H560" s="35"/>
      <c r="I560" s="12"/>
      <c r="M560" s="12"/>
      <c r="N560" s="18"/>
      <c r="O560" s="12"/>
      <c r="P560" s="12"/>
      <c r="Q560" s="12"/>
      <c r="R560" s="36"/>
      <c r="S560" s="36"/>
      <c r="T560" s="12"/>
      <c r="U560" s="12"/>
      <c r="V560" s="12"/>
      <c r="W560" s="12"/>
      <c r="X560" s="12"/>
    </row>
    <row r="561" customFormat="false" ht="15.75" hidden="false" customHeight="false" outlineLevel="0" collapsed="false">
      <c r="A561" s="12"/>
      <c r="B561" s="34"/>
      <c r="C561" s="12"/>
      <c r="D561" s="12"/>
      <c r="E561" s="12"/>
      <c r="F561" s="12"/>
      <c r="G561" s="18"/>
      <c r="H561" s="35"/>
      <c r="I561" s="12"/>
      <c r="M561" s="12"/>
      <c r="N561" s="18"/>
      <c r="O561" s="12"/>
      <c r="P561" s="12"/>
      <c r="Q561" s="12"/>
      <c r="R561" s="36"/>
      <c r="S561" s="36"/>
      <c r="T561" s="12"/>
      <c r="U561" s="12"/>
      <c r="V561" s="12"/>
      <c r="W561" s="12"/>
      <c r="X561" s="12"/>
    </row>
    <row r="562" customFormat="false" ht="15.75" hidden="false" customHeight="false" outlineLevel="0" collapsed="false">
      <c r="A562" s="12"/>
      <c r="B562" s="34"/>
      <c r="C562" s="12"/>
      <c r="D562" s="12"/>
      <c r="E562" s="12"/>
      <c r="F562" s="12"/>
      <c r="G562" s="18"/>
      <c r="H562" s="35"/>
      <c r="I562" s="12"/>
      <c r="M562" s="12"/>
      <c r="N562" s="18"/>
      <c r="O562" s="12"/>
      <c r="P562" s="12"/>
      <c r="Q562" s="12"/>
      <c r="R562" s="36"/>
      <c r="S562" s="36"/>
      <c r="T562" s="12"/>
      <c r="U562" s="12"/>
      <c r="V562" s="12"/>
      <c r="W562" s="12"/>
      <c r="X562" s="12"/>
    </row>
    <row r="563" customFormat="false" ht="15.75" hidden="false" customHeight="false" outlineLevel="0" collapsed="false">
      <c r="A563" s="12"/>
      <c r="B563" s="34"/>
      <c r="C563" s="12"/>
      <c r="D563" s="12"/>
      <c r="E563" s="12"/>
      <c r="F563" s="12"/>
      <c r="G563" s="18"/>
      <c r="H563" s="35"/>
      <c r="I563" s="12"/>
      <c r="M563" s="12"/>
      <c r="N563" s="18"/>
      <c r="O563" s="12"/>
      <c r="P563" s="12"/>
      <c r="Q563" s="12"/>
      <c r="R563" s="36"/>
      <c r="S563" s="36"/>
      <c r="T563" s="12"/>
      <c r="U563" s="12"/>
      <c r="V563" s="12"/>
      <c r="W563" s="12"/>
      <c r="X563" s="12"/>
    </row>
    <row r="564" customFormat="false" ht="15.75" hidden="false" customHeight="false" outlineLevel="0" collapsed="false">
      <c r="A564" s="12"/>
      <c r="B564" s="34"/>
      <c r="C564" s="12"/>
      <c r="D564" s="12"/>
      <c r="E564" s="12"/>
      <c r="F564" s="12"/>
      <c r="G564" s="18"/>
      <c r="H564" s="35"/>
      <c r="I564" s="12"/>
      <c r="M564" s="12"/>
      <c r="N564" s="18"/>
      <c r="O564" s="12"/>
      <c r="P564" s="12"/>
      <c r="Q564" s="12"/>
      <c r="R564" s="36"/>
      <c r="S564" s="36"/>
      <c r="T564" s="12"/>
      <c r="U564" s="12"/>
      <c r="V564" s="12"/>
      <c r="W564" s="12"/>
      <c r="X564" s="12"/>
    </row>
    <row r="565" customFormat="false" ht="15.75" hidden="false" customHeight="false" outlineLevel="0" collapsed="false">
      <c r="A565" s="12"/>
      <c r="B565" s="34"/>
      <c r="C565" s="12"/>
      <c r="D565" s="12"/>
      <c r="E565" s="12"/>
      <c r="F565" s="12"/>
      <c r="G565" s="18"/>
      <c r="H565" s="35"/>
      <c r="I565" s="12"/>
      <c r="M565" s="12"/>
      <c r="N565" s="18"/>
      <c r="O565" s="12"/>
      <c r="P565" s="12"/>
      <c r="Q565" s="12"/>
      <c r="R565" s="36"/>
      <c r="S565" s="36"/>
      <c r="T565" s="12"/>
      <c r="U565" s="12"/>
      <c r="V565" s="12"/>
      <c r="W565" s="12"/>
      <c r="X565" s="12"/>
    </row>
    <row r="566" customFormat="false" ht="15.75" hidden="false" customHeight="false" outlineLevel="0" collapsed="false">
      <c r="A566" s="12"/>
      <c r="B566" s="34"/>
      <c r="C566" s="12"/>
      <c r="D566" s="12"/>
      <c r="E566" s="12"/>
      <c r="F566" s="12"/>
      <c r="G566" s="18"/>
      <c r="H566" s="35"/>
      <c r="I566" s="12"/>
      <c r="M566" s="12"/>
      <c r="N566" s="18"/>
      <c r="O566" s="12"/>
      <c r="P566" s="12"/>
      <c r="Q566" s="12"/>
      <c r="R566" s="36"/>
      <c r="S566" s="36"/>
      <c r="T566" s="12"/>
      <c r="U566" s="12"/>
      <c r="V566" s="12"/>
      <c r="W566" s="12"/>
      <c r="X566" s="12"/>
    </row>
    <row r="567" customFormat="false" ht="15.75" hidden="false" customHeight="false" outlineLevel="0" collapsed="false">
      <c r="A567" s="12"/>
      <c r="B567" s="34"/>
      <c r="C567" s="12"/>
      <c r="D567" s="12"/>
      <c r="E567" s="12"/>
      <c r="F567" s="12"/>
      <c r="G567" s="18"/>
      <c r="H567" s="35"/>
      <c r="I567" s="12"/>
      <c r="M567" s="12"/>
      <c r="N567" s="18"/>
      <c r="O567" s="12"/>
      <c r="P567" s="12"/>
      <c r="Q567" s="12"/>
      <c r="R567" s="36"/>
      <c r="S567" s="36"/>
      <c r="T567" s="12"/>
      <c r="U567" s="12"/>
      <c r="V567" s="12"/>
      <c r="W567" s="12"/>
      <c r="X567" s="12"/>
    </row>
    <row r="568" customFormat="false" ht="15.75" hidden="false" customHeight="false" outlineLevel="0" collapsed="false">
      <c r="A568" s="12"/>
      <c r="B568" s="34"/>
      <c r="C568" s="12"/>
      <c r="D568" s="12"/>
      <c r="E568" s="12"/>
      <c r="F568" s="12"/>
      <c r="G568" s="18"/>
      <c r="H568" s="35"/>
      <c r="I568" s="12"/>
      <c r="M568" s="12"/>
      <c r="N568" s="18"/>
      <c r="O568" s="12"/>
      <c r="P568" s="12"/>
      <c r="Q568" s="12"/>
      <c r="R568" s="36"/>
      <c r="S568" s="36"/>
      <c r="T568" s="12"/>
      <c r="U568" s="12"/>
      <c r="V568" s="12"/>
      <c r="W568" s="12"/>
      <c r="X568" s="12"/>
    </row>
    <row r="569" customFormat="false" ht="15.75" hidden="false" customHeight="false" outlineLevel="0" collapsed="false">
      <c r="A569" s="12"/>
      <c r="B569" s="34"/>
      <c r="C569" s="12"/>
      <c r="D569" s="12"/>
      <c r="E569" s="12"/>
      <c r="F569" s="12"/>
      <c r="G569" s="18"/>
      <c r="H569" s="35"/>
      <c r="I569" s="12"/>
      <c r="M569" s="12"/>
      <c r="N569" s="18"/>
      <c r="O569" s="12"/>
      <c r="P569" s="12"/>
      <c r="Q569" s="12"/>
      <c r="R569" s="36"/>
      <c r="S569" s="36"/>
      <c r="T569" s="12"/>
      <c r="U569" s="12"/>
      <c r="V569" s="12"/>
      <c r="W569" s="12"/>
      <c r="X569" s="12"/>
    </row>
    <row r="570" customFormat="false" ht="15.75" hidden="false" customHeight="false" outlineLevel="0" collapsed="false">
      <c r="A570" s="12"/>
      <c r="B570" s="34"/>
      <c r="C570" s="12"/>
      <c r="D570" s="12"/>
      <c r="E570" s="12"/>
      <c r="F570" s="12"/>
      <c r="G570" s="18"/>
      <c r="H570" s="35"/>
      <c r="I570" s="12"/>
      <c r="M570" s="12"/>
      <c r="N570" s="18"/>
      <c r="O570" s="12"/>
      <c r="P570" s="12"/>
      <c r="Q570" s="12"/>
      <c r="R570" s="36"/>
      <c r="S570" s="36"/>
      <c r="T570" s="12"/>
      <c r="U570" s="12"/>
      <c r="V570" s="12"/>
      <c r="W570" s="12"/>
      <c r="X570" s="12"/>
    </row>
    <row r="571" customFormat="false" ht="15.75" hidden="false" customHeight="false" outlineLevel="0" collapsed="false">
      <c r="A571" s="12"/>
      <c r="B571" s="34"/>
      <c r="C571" s="12"/>
      <c r="D571" s="12"/>
      <c r="E571" s="12"/>
      <c r="F571" s="12"/>
      <c r="G571" s="18"/>
      <c r="H571" s="35"/>
      <c r="I571" s="12"/>
      <c r="M571" s="12"/>
      <c r="N571" s="18"/>
      <c r="O571" s="12"/>
      <c r="P571" s="12"/>
      <c r="Q571" s="12"/>
      <c r="R571" s="36"/>
      <c r="S571" s="36"/>
      <c r="T571" s="12"/>
      <c r="U571" s="12"/>
      <c r="V571" s="12"/>
      <c r="W571" s="12"/>
      <c r="X571" s="12"/>
    </row>
    <row r="572" customFormat="false" ht="15.75" hidden="false" customHeight="false" outlineLevel="0" collapsed="false">
      <c r="A572" s="12"/>
      <c r="B572" s="34"/>
      <c r="C572" s="12"/>
      <c r="D572" s="12"/>
      <c r="E572" s="12"/>
      <c r="F572" s="12"/>
      <c r="G572" s="18"/>
      <c r="H572" s="35"/>
      <c r="I572" s="12"/>
      <c r="M572" s="12"/>
      <c r="N572" s="18"/>
      <c r="O572" s="12"/>
      <c r="P572" s="12"/>
      <c r="Q572" s="12"/>
      <c r="R572" s="36"/>
      <c r="S572" s="36"/>
      <c r="T572" s="12"/>
      <c r="U572" s="12"/>
      <c r="V572" s="12"/>
      <c r="W572" s="12"/>
      <c r="X572" s="12"/>
    </row>
    <row r="573" customFormat="false" ht="15.75" hidden="false" customHeight="false" outlineLevel="0" collapsed="false">
      <c r="A573" s="12"/>
      <c r="B573" s="34"/>
      <c r="C573" s="12"/>
      <c r="D573" s="12"/>
      <c r="E573" s="12"/>
      <c r="F573" s="12"/>
      <c r="G573" s="18"/>
      <c r="H573" s="35"/>
      <c r="I573" s="12"/>
      <c r="M573" s="12"/>
      <c r="N573" s="18"/>
      <c r="O573" s="12"/>
      <c r="P573" s="12"/>
      <c r="Q573" s="12"/>
      <c r="R573" s="36"/>
      <c r="S573" s="36"/>
      <c r="T573" s="12"/>
      <c r="U573" s="12"/>
      <c r="V573" s="12"/>
      <c r="W573" s="12"/>
      <c r="X573" s="12"/>
    </row>
    <row r="574" customFormat="false" ht="15.75" hidden="false" customHeight="false" outlineLevel="0" collapsed="false">
      <c r="A574" s="12"/>
      <c r="B574" s="34"/>
      <c r="C574" s="12"/>
      <c r="D574" s="12"/>
      <c r="E574" s="12"/>
      <c r="F574" s="12"/>
      <c r="G574" s="18"/>
      <c r="H574" s="35"/>
      <c r="I574" s="12"/>
      <c r="M574" s="12"/>
      <c r="N574" s="18"/>
      <c r="O574" s="12"/>
      <c r="P574" s="12"/>
      <c r="Q574" s="12"/>
      <c r="R574" s="36"/>
      <c r="S574" s="36"/>
      <c r="T574" s="12"/>
      <c r="U574" s="12"/>
      <c r="V574" s="12"/>
      <c r="W574" s="12"/>
      <c r="X574" s="12"/>
    </row>
    <row r="575" customFormat="false" ht="15.75" hidden="false" customHeight="false" outlineLevel="0" collapsed="false">
      <c r="A575" s="12"/>
      <c r="B575" s="34"/>
      <c r="C575" s="12"/>
      <c r="D575" s="12"/>
      <c r="E575" s="12"/>
      <c r="F575" s="12"/>
      <c r="G575" s="18"/>
      <c r="H575" s="35"/>
      <c r="I575" s="12"/>
      <c r="M575" s="12"/>
      <c r="N575" s="18"/>
      <c r="O575" s="12"/>
      <c r="P575" s="12"/>
      <c r="Q575" s="12"/>
      <c r="R575" s="36"/>
      <c r="S575" s="36"/>
      <c r="T575" s="12"/>
      <c r="U575" s="12"/>
      <c r="V575" s="12"/>
      <c r="W575" s="12"/>
      <c r="X575" s="12"/>
    </row>
    <row r="576" customFormat="false" ht="15.75" hidden="false" customHeight="false" outlineLevel="0" collapsed="false">
      <c r="A576" s="12"/>
      <c r="B576" s="34"/>
      <c r="C576" s="12"/>
      <c r="D576" s="12"/>
      <c r="E576" s="12"/>
      <c r="F576" s="12"/>
      <c r="G576" s="18"/>
      <c r="H576" s="35"/>
      <c r="I576" s="12"/>
      <c r="M576" s="12"/>
      <c r="N576" s="18"/>
      <c r="O576" s="12"/>
      <c r="P576" s="12"/>
      <c r="Q576" s="12"/>
      <c r="R576" s="36"/>
      <c r="S576" s="36"/>
      <c r="T576" s="12"/>
      <c r="U576" s="12"/>
      <c r="V576" s="12"/>
      <c r="W576" s="12"/>
      <c r="X576" s="12"/>
    </row>
    <row r="577" customFormat="false" ht="15.75" hidden="false" customHeight="false" outlineLevel="0" collapsed="false">
      <c r="A577" s="12"/>
      <c r="B577" s="34"/>
      <c r="C577" s="12"/>
      <c r="D577" s="12"/>
      <c r="E577" s="12"/>
      <c r="F577" s="12"/>
      <c r="G577" s="18"/>
      <c r="H577" s="35"/>
      <c r="I577" s="12"/>
      <c r="M577" s="12"/>
      <c r="N577" s="18"/>
      <c r="O577" s="12"/>
      <c r="P577" s="12"/>
      <c r="Q577" s="12"/>
      <c r="R577" s="36"/>
      <c r="S577" s="36"/>
      <c r="T577" s="12"/>
      <c r="U577" s="12"/>
      <c r="V577" s="12"/>
      <c r="W577" s="12"/>
      <c r="X577" s="12"/>
    </row>
    <row r="578" customFormat="false" ht="15.75" hidden="false" customHeight="false" outlineLevel="0" collapsed="false">
      <c r="A578" s="12"/>
      <c r="B578" s="34"/>
      <c r="C578" s="12"/>
      <c r="D578" s="12"/>
      <c r="E578" s="12"/>
      <c r="F578" s="12"/>
      <c r="G578" s="18"/>
      <c r="H578" s="35"/>
      <c r="I578" s="12"/>
      <c r="M578" s="12"/>
      <c r="N578" s="18"/>
      <c r="O578" s="12"/>
      <c r="P578" s="12"/>
      <c r="Q578" s="12"/>
      <c r="R578" s="36"/>
      <c r="S578" s="36"/>
      <c r="T578" s="12"/>
      <c r="U578" s="12"/>
      <c r="V578" s="12"/>
      <c r="W578" s="12"/>
      <c r="X578" s="12"/>
    </row>
    <row r="579" customFormat="false" ht="15.75" hidden="false" customHeight="false" outlineLevel="0" collapsed="false">
      <c r="A579" s="12"/>
      <c r="B579" s="34"/>
      <c r="C579" s="12"/>
      <c r="D579" s="12"/>
      <c r="E579" s="12"/>
      <c r="F579" s="12"/>
      <c r="G579" s="18"/>
      <c r="H579" s="35"/>
      <c r="I579" s="12"/>
      <c r="M579" s="12"/>
      <c r="N579" s="18"/>
      <c r="O579" s="12"/>
      <c r="P579" s="12"/>
      <c r="Q579" s="12"/>
      <c r="R579" s="36"/>
      <c r="S579" s="36"/>
      <c r="T579" s="12"/>
      <c r="U579" s="12"/>
      <c r="V579" s="12"/>
      <c r="W579" s="12"/>
      <c r="X579" s="12"/>
    </row>
    <row r="580" customFormat="false" ht="15.75" hidden="false" customHeight="false" outlineLevel="0" collapsed="false">
      <c r="A580" s="12"/>
      <c r="B580" s="34"/>
      <c r="C580" s="12"/>
      <c r="D580" s="12"/>
      <c r="E580" s="12"/>
      <c r="F580" s="12"/>
      <c r="G580" s="18"/>
      <c r="H580" s="35"/>
      <c r="I580" s="12"/>
      <c r="M580" s="12"/>
      <c r="N580" s="18"/>
      <c r="O580" s="12"/>
      <c r="P580" s="12"/>
      <c r="Q580" s="12"/>
      <c r="R580" s="36"/>
      <c r="S580" s="36"/>
      <c r="T580" s="12"/>
      <c r="U580" s="12"/>
      <c r="V580" s="12"/>
      <c r="W580" s="12"/>
      <c r="X580" s="12"/>
    </row>
    <row r="581" customFormat="false" ht="15.75" hidden="false" customHeight="false" outlineLevel="0" collapsed="false">
      <c r="A581" s="12"/>
      <c r="B581" s="34"/>
      <c r="C581" s="12"/>
      <c r="D581" s="12"/>
      <c r="E581" s="12"/>
      <c r="F581" s="12"/>
      <c r="G581" s="18"/>
      <c r="H581" s="35"/>
      <c r="I581" s="12"/>
      <c r="M581" s="12"/>
      <c r="N581" s="18"/>
      <c r="O581" s="12"/>
      <c r="P581" s="12"/>
      <c r="Q581" s="12"/>
      <c r="R581" s="36"/>
      <c r="S581" s="36"/>
      <c r="T581" s="12"/>
      <c r="U581" s="12"/>
      <c r="V581" s="12"/>
      <c r="W581" s="12"/>
      <c r="X581" s="12"/>
    </row>
    <row r="582" customFormat="false" ht="15.75" hidden="false" customHeight="false" outlineLevel="0" collapsed="false">
      <c r="A582" s="12"/>
      <c r="B582" s="34"/>
      <c r="C582" s="12"/>
      <c r="D582" s="12"/>
      <c r="E582" s="12"/>
      <c r="F582" s="12"/>
      <c r="G582" s="18"/>
      <c r="H582" s="35"/>
      <c r="I582" s="12"/>
      <c r="M582" s="12"/>
      <c r="N582" s="18"/>
      <c r="O582" s="12"/>
      <c r="P582" s="12"/>
      <c r="Q582" s="12"/>
      <c r="R582" s="36"/>
      <c r="S582" s="36"/>
      <c r="T582" s="12"/>
      <c r="U582" s="12"/>
      <c r="V582" s="12"/>
      <c r="W582" s="12"/>
      <c r="X582" s="12"/>
    </row>
    <row r="583" customFormat="false" ht="15.75" hidden="false" customHeight="false" outlineLevel="0" collapsed="false">
      <c r="A583" s="12"/>
      <c r="B583" s="34"/>
      <c r="C583" s="12"/>
      <c r="D583" s="12"/>
      <c r="E583" s="12"/>
      <c r="F583" s="12"/>
      <c r="G583" s="18"/>
      <c r="H583" s="35"/>
      <c r="I583" s="12"/>
      <c r="M583" s="12"/>
      <c r="N583" s="18"/>
      <c r="O583" s="12"/>
      <c r="P583" s="12"/>
      <c r="Q583" s="12"/>
      <c r="R583" s="36"/>
      <c r="S583" s="36"/>
      <c r="T583" s="12"/>
      <c r="U583" s="12"/>
      <c r="V583" s="12"/>
      <c r="W583" s="12"/>
      <c r="X583" s="12"/>
    </row>
    <row r="584" customFormat="false" ht="15.75" hidden="false" customHeight="false" outlineLevel="0" collapsed="false">
      <c r="A584" s="12"/>
      <c r="B584" s="34"/>
      <c r="C584" s="12"/>
      <c r="D584" s="12"/>
      <c r="E584" s="12"/>
      <c r="F584" s="12"/>
      <c r="G584" s="18"/>
      <c r="H584" s="35"/>
      <c r="I584" s="12"/>
      <c r="M584" s="12"/>
      <c r="N584" s="18"/>
      <c r="O584" s="12"/>
      <c r="P584" s="12"/>
      <c r="Q584" s="12"/>
      <c r="R584" s="36"/>
      <c r="S584" s="36"/>
      <c r="T584" s="12"/>
      <c r="U584" s="12"/>
      <c r="V584" s="12"/>
      <c r="W584" s="12"/>
      <c r="X584" s="12"/>
    </row>
    <row r="585" customFormat="false" ht="15.75" hidden="false" customHeight="false" outlineLevel="0" collapsed="false">
      <c r="A585" s="12"/>
      <c r="B585" s="34"/>
      <c r="C585" s="12"/>
      <c r="D585" s="12"/>
      <c r="E585" s="12"/>
      <c r="F585" s="12"/>
      <c r="G585" s="18"/>
      <c r="H585" s="35"/>
      <c r="I585" s="12"/>
      <c r="M585" s="12"/>
      <c r="N585" s="18"/>
      <c r="O585" s="12"/>
      <c r="P585" s="12"/>
      <c r="Q585" s="12"/>
      <c r="R585" s="36"/>
      <c r="S585" s="36"/>
      <c r="T585" s="12"/>
      <c r="U585" s="12"/>
      <c r="V585" s="12"/>
      <c r="W585" s="12"/>
      <c r="X585" s="12"/>
    </row>
    <row r="586" customFormat="false" ht="15.75" hidden="false" customHeight="false" outlineLevel="0" collapsed="false">
      <c r="A586" s="12"/>
      <c r="B586" s="34"/>
      <c r="C586" s="12"/>
      <c r="D586" s="12"/>
      <c r="E586" s="12"/>
      <c r="F586" s="12"/>
      <c r="G586" s="18"/>
      <c r="H586" s="35"/>
      <c r="I586" s="12"/>
      <c r="M586" s="12"/>
      <c r="N586" s="18"/>
      <c r="O586" s="12"/>
      <c r="P586" s="12"/>
      <c r="Q586" s="12"/>
      <c r="R586" s="36"/>
      <c r="S586" s="36"/>
      <c r="T586" s="12"/>
      <c r="U586" s="12"/>
      <c r="V586" s="12"/>
      <c r="W586" s="12"/>
      <c r="X586" s="12"/>
    </row>
    <row r="587" customFormat="false" ht="15.75" hidden="false" customHeight="false" outlineLevel="0" collapsed="false">
      <c r="A587" s="12"/>
      <c r="B587" s="34"/>
      <c r="C587" s="12"/>
      <c r="D587" s="12"/>
      <c r="E587" s="12"/>
      <c r="F587" s="12"/>
      <c r="G587" s="18"/>
      <c r="H587" s="35"/>
      <c r="I587" s="12"/>
      <c r="M587" s="12"/>
      <c r="N587" s="18"/>
      <c r="O587" s="12"/>
      <c r="P587" s="12"/>
      <c r="Q587" s="12"/>
      <c r="R587" s="36"/>
      <c r="S587" s="36"/>
      <c r="T587" s="12"/>
      <c r="U587" s="12"/>
      <c r="V587" s="12"/>
      <c r="W587" s="12"/>
      <c r="X587" s="12"/>
    </row>
    <row r="588" customFormat="false" ht="15.75" hidden="false" customHeight="false" outlineLevel="0" collapsed="false">
      <c r="A588" s="12"/>
      <c r="B588" s="34"/>
      <c r="C588" s="12"/>
      <c r="D588" s="12"/>
      <c r="E588" s="12"/>
      <c r="F588" s="12"/>
      <c r="G588" s="18"/>
      <c r="H588" s="35"/>
      <c r="I588" s="12"/>
      <c r="M588" s="12"/>
      <c r="N588" s="18"/>
      <c r="O588" s="12"/>
      <c r="P588" s="12"/>
      <c r="Q588" s="12"/>
      <c r="R588" s="36"/>
      <c r="S588" s="36"/>
      <c r="T588" s="12"/>
      <c r="U588" s="12"/>
      <c r="V588" s="12"/>
      <c r="W588" s="12"/>
      <c r="X588" s="12"/>
    </row>
    <row r="589" customFormat="false" ht="15.75" hidden="false" customHeight="false" outlineLevel="0" collapsed="false">
      <c r="A589" s="12"/>
      <c r="B589" s="34"/>
      <c r="C589" s="12"/>
      <c r="D589" s="12"/>
      <c r="E589" s="12"/>
      <c r="F589" s="12"/>
      <c r="G589" s="18"/>
      <c r="H589" s="35"/>
      <c r="I589" s="12"/>
      <c r="M589" s="12"/>
      <c r="N589" s="18"/>
      <c r="O589" s="12"/>
      <c r="P589" s="12"/>
      <c r="Q589" s="12"/>
      <c r="R589" s="36"/>
      <c r="S589" s="36"/>
      <c r="T589" s="12"/>
      <c r="U589" s="12"/>
      <c r="V589" s="12"/>
      <c r="W589" s="12"/>
      <c r="X589" s="12"/>
    </row>
    <row r="590" customFormat="false" ht="15.75" hidden="false" customHeight="false" outlineLevel="0" collapsed="false">
      <c r="A590" s="12"/>
      <c r="B590" s="34"/>
      <c r="C590" s="12"/>
      <c r="D590" s="12"/>
      <c r="E590" s="12"/>
      <c r="F590" s="12"/>
      <c r="G590" s="18"/>
      <c r="H590" s="35"/>
      <c r="I590" s="12"/>
      <c r="M590" s="12"/>
      <c r="N590" s="18"/>
      <c r="O590" s="12"/>
      <c r="P590" s="12"/>
      <c r="Q590" s="12"/>
      <c r="R590" s="36"/>
      <c r="S590" s="36"/>
      <c r="T590" s="12"/>
      <c r="U590" s="12"/>
      <c r="V590" s="12"/>
      <c r="W590" s="12"/>
      <c r="X590" s="12"/>
    </row>
    <row r="591" customFormat="false" ht="15.75" hidden="false" customHeight="false" outlineLevel="0" collapsed="false">
      <c r="A591" s="12"/>
      <c r="B591" s="34"/>
      <c r="C591" s="12"/>
      <c r="D591" s="12"/>
      <c r="E591" s="12"/>
      <c r="F591" s="12"/>
      <c r="G591" s="18"/>
      <c r="H591" s="35"/>
      <c r="I591" s="12"/>
      <c r="M591" s="12"/>
      <c r="N591" s="18"/>
      <c r="O591" s="12"/>
      <c r="P591" s="12"/>
      <c r="Q591" s="12"/>
      <c r="R591" s="36"/>
      <c r="S591" s="36"/>
      <c r="T591" s="12"/>
      <c r="U591" s="12"/>
      <c r="V591" s="12"/>
      <c r="W591" s="12"/>
      <c r="X591" s="12"/>
    </row>
    <row r="592" customFormat="false" ht="15.75" hidden="false" customHeight="false" outlineLevel="0" collapsed="false">
      <c r="A592" s="12"/>
      <c r="B592" s="34"/>
      <c r="C592" s="12"/>
      <c r="D592" s="12"/>
      <c r="E592" s="12"/>
      <c r="F592" s="12"/>
      <c r="G592" s="18"/>
      <c r="H592" s="35"/>
      <c r="I592" s="12"/>
      <c r="M592" s="12"/>
      <c r="N592" s="18"/>
      <c r="O592" s="12"/>
      <c r="P592" s="12"/>
      <c r="Q592" s="12"/>
      <c r="R592" s="36"/>
      <c r="S592" s="36"/>
      <c r="T592" s="12"/>
      <c r="U592" s="12"/>
      <c r="V592" s="12"/>
      <c r="W592" s="12"/>
      <c r="X592" s="12"/>
    </row>
    <row r="593" customFormat="false" ht="15.75" hidden="false" customHeight="false" outlineLevel="0" collapsed="false">
      <c r="A593" s="12"/>
      <c r="B593" s="34"/>
      <c r="C593" s="12"/>
      <c r="D593" s="12"/>
      <c r="E593" s="12"/>
      <c r="F593" s="12"/>
      <c r="G593" s="18"/>
      <c r="H593" s="35"/>
      <c r="I593" s="12"/>
      <c r="M593" s="12"/>
      <c r="N593" s="18"/>
      <c r="O593" s="12"/>
      <c r="P593" s="12"/>
      <c r="Q593" s="12"/>
      <c r="R593" s="36"/>
      <c r="S593" s="36"/>
      <c r="T593" s="12"/>
      <c r="U593" s="12"/>
      <c r="V593" s="12"/>
      <c r="W593" s="12"/>
      <c r="X593" s="12"/>
    </row>
    <row r="594" customFormat="false" ht="15.75" hidden="false" customHeight="false" outlineLevel="0" collapsed="false">
      <c r="A594" s="12"/>
      <c r="B594" s="34"/>
      <c r="C594" s="12"/>
      <c r="D594" s="12"/>
      <c r="E594" s="12"/>
      <c r="F594" s="12"/>
      <c r="G594" s="18"/>
      <c r="H594" s="35"/>
      <c r="I594" s="12"/>
      <c r="M594" s="12"/>
      <c r="N594" s="18"/>
      <c r="O594" s="12"/>
      <c r="P594" s="12"/>
      <c r="Q594" s="12"/>
      <c r="R594" s="36"/>
      <c r="S594" s="36"/>
      <c r="T594" s="12"/>
      <c r="U594" s="12"/>
      <c r="V594" s="12"/>
      <c r="W594" s="12"/>
      <c r="X594" s="12"/>
    </row>
    <row r="595" customFormat="false" ht="15.75" hidden="false" customHeight="false" outlineLevel="0" collapsed="false">
      <c r="A595" s="12"/>
      <c r="B595" s="34"/>
      <c r="C595" s="12"/>
      <c r="D595" s="12"/>
      <c r="E595" s="12"/>
      <c r="F595" s="12"/>
      <c r="G595" s="18"/>
      <c r="H595" s="35"/>
      <c r="I595" s="12"/>
      <c r="M595" s="12"/>
      <c r="N595" s="18"/>
      <c r="O595" s="12"/>
      <c r="P595" s="12"/>
      <c r="Q595" s="12"/>
      <c r="R595" s="36"/>
      <c r="S595" s="36"/>
      <c r="T595" s="12"/>
      <c r="U595" s="12"/>
      <c r="V595" s="12"/>
      <c r="W595" s="12"/>
      <c r="X595" s="12"/>
    </row>
    <row r="596" customFormat="false" ht="15.75" hidden="false" customHeight="false" outlineLevel="0" collapsed="false">
      <c r="A596" s="12"/>
      <c r="B596" s="34"/>
      <c r="C596" s="12"/>
      <c r="D596" s="12"/>
      <c r="E596" s="12"/>
      <c r="F596" s="12"/>
      <c r="G596" s="18"/>
      <c r="H596" s="35"/>
      <c r="I596" s="12"/>
      <c r="M596" s="12"/>
      <c r="N596" s="18"/>
      <c r="O596" s="12"/>
      <c r="P596" s="12"/>
      <c r="Q596" s="12"/>
      <c r="R596" s="36"/>
      <c r="S596" s="36"/>
      <c r="T596" s="12"/>
      <c r="U596" s="12"/>
      <c r="V596" s="12"/>
      <c r="W596" s="12"/>
      <c r="X596" s="12"/>
    </row>
    <row r="597" customFormat="false" ht="15.75" hidden="false" customHeight="false" outlineLevel="0" collapsed="false">
      <c r="A597" s="12"/>
      <c r="B597" s="34"/>
      <c r="C597" s="12"/>
      <c r="D597" s="12"/>
      <c r="E597" s="12"/>
      <c r="F597" s="12"/>
      <c r="G597" s="18"/>
      <c r="H597" s="35"/>
      <c r="I597" s="12"/>
      <c r="M597" s="12"/>
      <c r="N597" s="18"/>
      <c r="O597" s="12"/>
      <c r="P597" s="12"/>
      <c r="Q597" s="12"/>
      <c r="R597" s="36"/>
      <c r="S597" s="36"/>
      <c r="T597" s="12"/>
      <c r="U597" s="12"/>
      <c r="V597" s="12"/>
      <c r="W597" s="12"/>
      <c r="X597" s="12"/>
    </row>
    <row r="598" customFormat="false" ht="15.75" hidden="false" customHeight="false" outlineLevel="0" collapsed="false">
      <c r="A598" s="12"/>
      <c r="B598" s="34"/>
      <c r="C598" s="12"/>
      <c r="D598" s="12"/>
      <c r="E598" s="12"/>
      <c r="F598" s="12"/>
      <c r="G598" s="18"/>
      <c r="H598" s="35"/>
      <c r="I598" s="12"/>
      <c r="M598" s="12"/>
      <c r="N598" s="18"/>
      <c r="O598" s="12"/>
      <c r="P598" s="12"/>
      <c r="Q598" s="12"/>
      <c r="R598" s="36"/>
      <c r="S598" s="36"/>
      <c r="T598" s="12"/>
      <c r="U598" s="12"/>
      <c r="V598" s="12"/>
      <c r="W598" s="12"/>
      <c r="X598" s="12"/>
    </row>
    <row r="599" customFormat="false" ht="15.75" hidden="false" customHeight="false" outlineLevel="0" collapsed="false">
      <c r="A599" s="12"/>
      <c r="B599" s="34"/>
      <c r="C599" s="12"/>
      <c r="D599" s="12"/>
      <c r="E599" s="12"/>
      <c r="F599" s="12"/>
      <c r="G599" s="18"/>
      <c r="H599" s="35"/>
      <c r="I599" s="12"/>
      <c r="M599" s="12"/>
      <c r="N599" s="18"/>
      <c r="O599" s="12"/>
      <c r="P599" s="12"/>
      <c r="Q599" s="12"/>
      <c r="R599" s="36"/>
      <c r="S599" s="36"/>
      <c r="T599" s="12"/>
      <c r="U599" s="12"/>
      <c r="V599" s="12"/>
      <c r="W599" s="12"/>
      <c r="X599" s="12"/>
    </row>
    <row r="600" customFormat="false" ht="15.75" hidden="false" customHeight="false" outlineLevel="0" collapsed="false">
      <c r="A600" s="12"/>
      <c r="B600" s="34"/>
      <c r="C600" s="12"/>
      <c r="D600" s="12"/>
      <c r="E600" s="12"/>
      <c r="F600" s="12"/>
      <c r="G600" s="18"/>
      <c r="H600" s="35"/>
      <c r="I600" s="12"/>
      <c r="M600" s="12"/>
      <c r="N600" s="18"/>
      <c r="O600" s="12"/>
      <c r="P600" s="12"/>
      <c r="Q600" s="12"/>
      <c r="R600" s="36"/>
      <c r="S600" s="36"/>
      <c r="T600" s="12"/>
      <c r="U600" s="12"/>
      <c r="V600" s="12"/>
      <c r="W600" s="12"/>
      <c r="X600" s="12"/>
    </row>
    <row r="601" customFormat="false" ht="15.75" hidden="false" customHeight="false" outlineLevel="0" collapsed="false">
      <c r="A601" s="12"/>
      <c r="B601" s="34"/>
      <c r="C601" s="12"/>
      <c r="D601" s="12"/>
      <c r="E601" s="12"/>
      <c r="F601" s="12"/>
      <c r="G601" s="18"/>
      <c r="H601" s="35"/>
      <c r="I601" s="12"/>
      <c r="M601" s="12"/>
      <c r="N601" s="18"/>
      <c r="O601" s="12"/>
      <c r="P601" s="12"/>
      <c r="Q601" s="12"/>
      <c r="R601" s="36"/>
      <c r="S601" s="36"/>
      <c r="T601" s="12"/>
      <c r="U601" s="12"/>
      <c r="V601" s="12"/>
      <c r="W601" s="12"/>
      <c r="X601" s="12"/>
    </row>
    <row r="602" customFormat="false" ht="15.75" hidden="false" customHeight="false" outlineLevel="0" collapsed="false">
      <c r="A602" s="12"/>
      <c r="B602" s="34"/>
      <c r="C602" s="12"/>
      <c r="D602" s="12"/>
      <c r="E602" s="12"/>
      <c r="F602" s="12"/>
      <c r="G602" s="18"/>
      <c r="H602" s="35"/>
      <c r="I602" s="12"/>
      <c r="M602" s="12"/>
      <c r="N602" s="18"/>
      <c r="O602" s="12"/>
      <c r="P602" s="12"/>
      <c r="Q602" s="12"/>
      <c r="R602" s="36"/>
      <c r="S602" s="36"/>
      <c r="T602" s="12"/>
      <c r="U602" s="12"/>
      <c r="V602" s="12"/>
      <c r="W602" s="12"/>
      <c r="X602" s="12"/>
    </row>
    <row r="603" customFormat="false" ht="15.75" hidden="false" customHeight="false" outlineLevel="0" collapsed="false">
      <c r="A603" s="12"/>
      <c r="B603" s="34"/>
      <c r="C603" s="12"/>
      <c r="D603" s="12"/>
      <c r="E603" s="12"/>
      <c r="F603" s="12"/>
      <c r="G603" s="18"/>
      <c r="H603" s="35"/>
      <c r="I603" s="12"/>
      <c r="M603" s="12"/>
      <c r="N603" s="18"/>
      <c r="O603" s="12"/>
      <c r="P603" s="12"/>
      <c r="Q603" s="12"/>
      <c r="R603" s="36"/>
      <c r="S603" s="36"/>
      <c r="T603" s="12"/>
      <c r="U603" s="12"/>
      <c r="V603" s="12"/>
      <c r="W603" s="12"/>
      <c r="X603" s="12"/>
    </row>
    <row r="604" customFormat="false" ht="15.75" hidden="false" customHeight="false" outlineLevel="0" collapsed="false">
      <c r="A604" s="12"/>
      <c r="B604" s="34"/>
      <c r="C604" s="12"/>
      <c r="D604" s="12"/>
      <c r="E604" s="12"/>
      <c r="F604" s="12"/>
      <c r="G604" s="18"/>
      <c r="H604" s="35"/>
      <c r="I604" s="12"/>
      <c r="M604" s="12"/>
      <c r="N604" s="18"/>
      <c r="O604" s="12"/>
      <c r="P604" s="12"/>
      <c r="Q604" s="12"/>
      <c r="R604" s="36"/>
      <c r="S604" s="36"/>
      <c r="T604" s="12"/>
      <c r="U604" s="12"/>
      <c r="V604" s="12"/>
      <c r="W604" s="12"/>
      <c r="X604" s="12"/>
    </row>
    <row r="605" customFormat="false" ht="15.75" hidden="false" customHeight="false" outlineLevel="0" collapsed="false">
      <c r="A605" s="12"/>
      <c r="B605" s="34"/>
      <c r="C605" s="12"/>
      <c r="D605" s="12"/>
      <c r="E605" s="12"/>
      <c r="F605" s="12"/>
      <c r="G605" s="18"/>
      <c r="H605" s="35"/>
      <c r="I605" s="12"/>
      <c r="M605" s="12"/>
      <c r="N605" s="18"/>
      <c r="O605" s="12"/>
      <c r="P605" s="12"/>
      <c r="Q605" s="12"/>
      <c r="R605" s="36"/>
      <c r="S605" s="36"/>
      <c r="T605" s="12"/>
      <c r="U605" s="12"/>
      <c r="V605" s="12"/>
      <c r="W605" s="12"/>
      <c r="X605" s="12"/>
    </row>
    <row r="606" customFormat="false" ht="15.75" hidden="false" customHeight="false" outlineLevel="0" collapsed="false">
      <c r="A606" s="12"/>
      <c r="B606" s="34"/>
      <c r="C606" s="12"/>
      <c r="D606" s="12"/>
      <c r="E606" s="12"/>
      <c r="F606" s="12"/>
      <c r="G606" s="18"/>
      <c r="H606" s="35"/>
      <c r="I606" s="12"/>
      <c r="M606" s="12"/>
      <c r="N606" s="18"/>
      <c r="O606" s="12"/>
      <c r="P606" s="12"/>
      <c r="Q606" s="12"/>
      <c r="R606" s="36"/>
      <c r="S606" s="36"/>
      <c r="T606" s="12"/>
      <c r="U606" s="12"/>
      <c r="V606" s="12"/>
      <c r="W606" s="12"/>
      <c r="X606" s="12"/>
    </row>
    <row r="607" customFormat="false" ht="15.75" hidden="false" customHeight="false" outlineLevel="0" collapsed="false">
      <c r="A607" s="12"/>
      <c r="B607" s="34"/>
      <c r="C607" s="12"/>
      <c r="D607" s="12"/>
      <c r="E607" s="12"/>
      <c r="F607" s="12"/>
      <c r="G607" s="18"/>
      <c r="H607" s="35"/>
      <c r="I607" s="12"/>
      <c r="M607" s="12"/>
      <c r="N607" s="18"/>
      <c r="O607" s="12"/>
      <c r="P607" s="12"/>
      <c r="Q607" s="12"/>
      <c r="R607" s="36"/>
      <c r="S607" s="36"/>
      <c r="T607" s="12"/>
      <c r="U607" s="12"/>
      <c r="V607" s="12"/>
      <c r="W607" s="12"/>
      <c r="X607" s="12"/>
    </row>
    <row r="608" customFormat="false" ht="15.75" hidden="false" customHeight="false" outlineLevel="0" collapsed="false">
      <c r="A608" s="12"/>
      <c r="B608" s="34"/>
      <c r="C608" s="12"/>
      <c r="D608" s="12"/>
      <c r="E608" s="12"/>
      <c r="F608" s="12"/>
      <c r="G608" s="18"/>
      <c r="H608" s="35"/>
      <c r="I608" s="12"/>
      <c r="M608" s="12"/>
      <c r="N608" s="18"/>
      <c r="O608" s="12"/>
      <c r="P608" s="12"/>
      <c r="Q608" s="12"/>
      <c r="R608" s="36"/>
      <c r="S608" s="36"/>
      <c r="T608" s="12"/>
      <c r="U608" s="12"/>
      <c r="V608" s="12"/>
      <c r="W608" s="12"/>
      <c r="X608" s="12"/>
    </row>
    <row r="609" customFormat="false" ht="15.75" hidden="false" customHeight="false" outlineLevel="0" collapsed="false">
      <c r="A609" s="12"/>
      <c r="B609" s="34"/>
      <c r="C609" s="12"/>
      <c r="D609" s="12"/>
      <c r="E609" s="12"/>
      <c r="F609" s="12"/>
      <c r="G609" s="18"/>
      <c r="H609" s="35"/>
      <c r="I609" s="12"/>
      <c r="M609" s="12"/>
      <c r="N609" s="18"/>
      <c r="O609" s="12"/>
      <c r="P609" s="12"/>
      <c r="Q609" s="12"/>
      <c r="R609" s="36"/>
      <c r="S609" s="36"/>
      <c r="T609" s="12"/>
      <c r="U609" s="12"/>
      <c r="V609" s="12"/>
      <c r="W609" s="12"/>
      <c r="X609" s="12"/>
    </row>
    <row r="610" customFormat="false" ht="15.75" hidden="false" customHeight="false" outlineLevel="0" collapsed="false">
      <c r="A610" s="12"/>
      <c r="B610" s="34"/>
      <c r="C610" s="12"/>
      <c r="D610" s="12"/>
      <c r="E610" s="12"/>
      <c r="F610" s="12"/>
      <c r="G610" s="18"/>
      <c r="H610" s="35"/>
      <c r="I610" s="12"/>
      <c r="M610" s="12"/>
      <c r="N610" s="18"/>
      <c r="O610" s="12"/>
      <c r="P610" s="12"/>
      <c r="Q610" s="12"/>
      <c r="R610" s="36"/>
      <c r="S610" s="36"/>
      <c r="T610" s="12"/>
      <c r="U610" s="12"/>
      <c r="V610" s="12"/>
      <c r="W610" s="12"/>
      <c r="X610" s="12"/>
    </row>
    <row r="611" customFormat="false" ht="15.75" hidden="false" customHeight="false" outlineLevel="0" collapsed="false">
      <c r="A611" s="12"/>
      <c r="B611" s="34"/>
      <c r="C611" s="12"/>
      <c r="D611" s="12"/>
      <c r="E611" s="12"/>
      <c r="F611" s="12"/>
      <c r="G611" s="18"/>
      <c r="H611" s="35"/>
      <c r="I611" s="12"/>
      <c r="M611" s="12"/>
      <c r="N611" s="18"/>
      <c r="O611" s="12"/>
      <c r="P611" s="12"/>
      <c r="Q611" s="12"/>
      <c r="R611" s="36"/>
      <c r="S611" s="36"/>
      <c r="T611" s="12"/>
      <c r="U611" s="12"/>
      <c r="V611" s="12"/>
      <c r="W611" s="12"/>
      <c r="X611" s="12"/>
    </row>
    <row r="612" customFormat="false" ht="15.75" hidden="false" customHeight="false" outlineLevel="0" collapsed="false">
      <c r="A612" s="12"/>
      <c r="B612" s="34"/>
      <c r="C612" s="12"/>
      <c r="D612" s="12"/>
      <c r="E612" s="12"/>
      <c r="F612" s="12"/>
      <c r="G612" s="18"/>
      <c r="H612" s="35"/>
      <c r="I612" s="12"/>
      <c r="M612" s="12"/>
      <c r="N612" s="18"/>
      <c r="O612" s="12"/>
      <c r="P612" s="12"/>
      <c r="Q612" s="12"/>
      <c r="R612" s="36"/>
      <c r="S612" s="36"/>
      <c r="T612" s="12"/>
      <c r="U612" s="12"/>
      <c r="V612" s="12"/>
      <c r="W612" s="12"/>
      <c r="X612" s="12"/>
    </row>
    <row r="613" customFormat="false" ht="15.75" hidden="false" customHeight="false" outlineLevel="0" collapsed="false">
      <c r="A613" s="12"/>
      <c r="B613" s="34"/>
      <c r="C613" s="12"/>
      <c r="D613" s="12"/>
      <c r="E613" s="12"/>
      <c r="F613" s="12"/>
      <c r="G613" s="18"/>
      <c r="H613" s="35"/>
      <c r="I613" s="12"/>
      <c r="M613" s="12"/>
      <c r="N613" s="18"/>
      <c r="O613" s="12"/>
      <c r="P613" s="12"/>
      <c r="Q613" s="12"/>
      <c r="R613" s="36"/>
      <c r="S613" s="36"/>
      <c r="T613" s="12"/>
      <c r="U613" s="12"/>
      <c r="V613" s="12"/>
      <c r="W613" s="12"/>
      <c r="X613" s="12"/>
    </row>
    <row r="614" customFormat="false" ht="15.75" hidden="false" customHeight="false" outlineLevel="0" collapsed="false">
      <c r="A614" s="12"/>
      <c r="B614" s="34"/>
      <c r="C614" s="12"/>
      <c r="D614" s="12"/>
      <c r="E614" s="12"/>
      <c r="F614" s="12"/>
      <c r="G614" s="18"/>
      <c r="H614" s="35"/>
      <c r="I614" s="12"/>
      <c r="M614" s="12"/>
      <c r="N614" s="18"/>
      <c r="O614" s="12"/>
      <c r="P614" s="12"/>
      <c r="Q614" s="12"/>
      <c r="R614" s="36"/>
      <c r="S614" s="36"/>
      <c r="T614" s="12"/>
      <c r="U614" s="12"/>
      <c r="V614" s="12"/>
      <c r="W614" s="12"/>
      <c r="X614" s="12"/>
    </row>
    <row r="615" customFormat="false" ht="15.75" hidden="false" customHeight="false" outlineLevel="0" collapsed="false">
      <c r="A615" s="12"/>
      <c r="B615" s="34"/>
      <c r="C615" s="12"/>
      <c r="D615" s="12"/>
      <c r="E615" s="12"/>
      <c r="F615" s="12"/>
      <c r="G615" s="18"/>
      <c r="H615" s="35"/>
      <c r="I615" s="12"/>
      <c r="M615" s="12"/>
      <c r="N615" s="18"/>
      <c r="O615" s="12"/>
      <c r="P615" s="12"/>
      <c r="Q615" s="12"/>
      <c r="R615" s="36"/>
      <c r="S615" s="36"/>
      <c r="T615" s="12"/>
      <c r="U615" s="12"/>
      <c r="V615" s="12"/>
      <c r="W615" s="12"/>
      <c r="X615" s="12"/>
    </row>
    <row r="616" customFormat="false" ht="15.75" hidden="false" customHeight="false" outlineLevel="0" collapsed="false">
      <c r="A616" s="12"/>
      <c r="B616" s="34"/>
      <c r="C616" s="12"/>
      <c r="D616" s="12"/>
      <c r="E616" s="12"/>
      <c r="F616" s="12"/>
      <c r="G616" s="18"/>
      <c r="H616" s="35"/>
      <c r="I616" s="12"/>
      <c r="M616" s="12"/>
      <c r="N616" s="18"/>
      <c r="O616" s="12"/>
      <c r="P616" s="12"/>
      <c r="Q616" s="12"/>
      <c r="R616" s="36"/>
      <c r="S616" s="36"/>
      <c r="T616" s="12"/>
      <c r="U616" s="12"/>
      <c r="V616" s="12"/>
      <c r="W616" s="12"/>
      <c r="X616" s="12"/>
    </row>
    <row r="617" customFormat="false" ht="15.75" hidden="false" customHeight="false" outlineLevel="0" collapsed="false">
      <c r="A617" s="12"/>
      <c r="B617" s="34"/>
      <c r="C617" s="12"/>
      <c r="D617" s="12"/>
      <c r="E617" s="12"/>
      <c r="F617" s="12"/>
      <c r="G617" s="18"/>
      <c r="H617" s="35"/>
      <c r="I617" s="12"/>
      <c r="M617" s="12"/>
      <c r="N617" s="18"/>
      <c r="O617" s="12"/>
      <c r="P617" s="12"/>
      <c r="Q617" s="12"/>
      <c r="R617" s="36"/>
      <c r="S617" s="36"/>
      <c r="T617" s="12"/>
      <c r="U617" s="12"/>
      <c r="V617" s="12"/>
      <c r="W617" s="12"/>
      <c r="X617" s="12"/>
    </row>
    <row r="618" customFormat="false" ht="15.75" hidden="false" customHeight="false" outlineLevel="0" collapsed="false">
      <c r="A618" s="12"/>
      <c r="B618" s="34"/>
      <c r="C618" s="12"/>
      <c r="D618" s="12"/>
      <c r="E618" s="12"/>
      <c r="F618" s="12"/>
      <c r="G618" s="18"/>
      <c r="H618" s="35"/>
      <c r="I618" s="12"/>
      <c r="M618" s="12"/>
      <c r="N618" s="18"/>
      <c r="O618" s="12"/>
      <c r="P618" s="12"/>
      <c r="Q618" s="12"/>
      <c r="R618" s="36"/>
      <c r="S618" s="36"/>
      <c r="T618" s="12"/>
      <c r="U618" s="12"/>
      <c r="V618" s="12"/>
      <c r="W618" s="12"/>
      <c r="X618" s="12"/>
    </row>
    <row r="619" customFormat="false" ht="15.75" hidden="false" customHeight="false" outlineLevel="0" collapsed="false">
      <c r="A619" s="12"/>
      <c r="B619" s="34"/>
      <c r="C619" s="12"/>
      <c r="D619" s="12"/>
      <c r="E619" s="12"/>
      <c r="F619" s="12"/>
      <c r="G619" s="18"/>
      <c r="H619" s="35"/>
      <c r="I619" s="12"/>
      <c r="M619" s="12"/>
      <c r="N619" s="18"/>
      <c r="O619" s="12"/>
      <c r="P619" s="12"/>
      <c r="Q619" s="12"/>
      <c r="R619" s="36"/>
      <c r="S619" s="36"/>
      <c r="T619" s="12"/>
      <c r="U619" s="12"/>
      <c r="V619" s="12"/>
      <c r="W619" s="12"/>
      <c r="X619" s="12"/>
    </row>
    <row r="620" customFormat="false" ht="15.75" hidden="false" customHeight="false" outlineLevel="0" collapsed="false">
      <c r="A620" s="12"/>
      <c r="B620" s="34"/>
      <c r="C620" s="12"/>
      <c r="D620" s="12"/>
      <c r="E620" s="12"/>
      <c r="F620" s="12"/>
      <c r="G620" s="18"/>
      <c r="H620" s="35"/>
      <c r="I620" s="12"/>
      <c r="M620" s="12"/>
      <c r="N620" s="18"/>
      <c r="O620" s="12"/>
      <c r="P620" s="12"/>
      <c r="Q620" s="12"/>
      <c r="R620" s="36"/>
      <c r="S620" s="36"/>
      <c r="T620" s="12"/>
      <c r="U620" s="12"/>
      <c r="V620" s="12"/>
      <c r="W620" s="12"/>
      <c r="X620" s="12"/>
    </row>
    <row r="621" customFormat="false" ht="15.75" hidden="false" customHeight="false" outlineLevel="0" collapsed="false">
      <c r="A621" s="12"/>
      <c r="B621" s="34"/>
      <c r="C621" s="12"/>
      <c r="D621" s="12"/>
      <c r="E621" s="12"/>
      <c r="F621" s="12"/>
      <c r="G621" s="18"/>
      <c r="H621" s="35"/>
      <c r="I621" s="12"/>
      <c r="M621" s="12"/>
      <c r="N621" s="18"/>
      <c r="O621" s="12"/>
      <c r="P621" s="12"/>
      <c r="Q621" s="12"/>
      <c r="R621" s="36"/>
      <c r="S621" s="36"/>
      <c r="T621" s="12"/>
      <c r="U621" s="12"/>
      <c r="V621" s="12"/>
      <c r="W621" s="12"/>
      <c r="X621" s="12"/>
    </row>
    <row r="622" customFormat="false" ht="15.75" hidden="false" customHeight="false" outlineLevel="0" collapsed="false">
      <c r="A622" s="12"/>
      <c r="B622" s="34"/>
      <c r="C622" s="12"/>
      <c r="D622" s="12"/>
      <c r="E622" s="12"/>
      <c r="F622" s="12"/>
      <c r="G622" s="18"/>
      <c r="H622" s="35"/>
      <c r="I622" s="12"/>
      <c r="M622" s="12"/>
      <c r="N622" s="18"/>
      <c r="O622" s="12"/>
      <c r="P622" s="12"/>
      <c r="Q622" s="12"/>
      <c r="R622" s="36"/>
      <c r="S622" s="36"/>
      <c r="T622" s="12"/>
      <c r="U622" s="12"/>
      <c r="V622" s="12"/>
      <c r="W622" s="12"/>
      <c r="X622" s="12"/>
    </row>
    <row r="623" customFormat="false" ht="15.75" hidden="false" customHeight="false" outlineLevel="0" collapsed="false">
      <c r="A623" s="12"/>
      <c r="B623" s="34"/>
      <c r="C623" s="12"/>
      <c r="D623" s="12"/>
      <c r="E623" s="12"/>
      <c r="F623" s="12"/>
      <c r="G623" s="18"/>
      <c r="H623" s="35"/>
      <c r="I623" s="12"/>
      <c r="M623" s="12"/>
      <c r="N623" s="18"/>
      <c r="O623" s="12"/>
      <c r="P623" s="12"/>
      <c r="Q623" s="12"/>
      <c r="R623" s="36"/>
      <c r="S623" s="36"/>
      <c r="T623" s="12"/>
      <c r="U623" s="12"/>
      <c r="V623" s="12"/>
      <c r="W623" s="12"/>
      <c r="X623" s="12"/>
    </row>
    <row r="624" customFormat="false" ht="15.75" hidden="false" customHeight="false" outlineLevel="0" collapsed="false">
      <c r="A624" s="12"/>
      <c r="B624" s="34"/>
      <c r="C624" s="12"/>
      <c r="D624" s="12"/>
      <c r="E624" s="12"/>
      <c r="F624" s="12"/>
      <c r="G624" s="18"/>
      <c r="H624" s="35"/>
      <c r="I624" s="12"/>
      <c r="M624" s="12"/>
      <c r="N624" s="18"/>
      <c r="O624" s="12"/>
      <c r="P624" s="12"/>
      <c r="Q624" s="12"/>
      <c r="R624" s="36"/>
      <c r="S624" s="36"/>
      <c r="T624" s="12"/>
      <c r="U624" s="12"/>
      <c r="V624" s="12"/>
      <c r="W624" s="12"/>
      <c r="X624" s="12"/>
    </row>
    <row r="625" customFormat="false" ht="15.75" hidden="false" customHeight="false" outlineLevel="0" collapsed="false">
      <c r="A625" s="12"/>
      <c r="B625" s="34"/>
      <c r="C625" s="12"/>
      <c r="D625" s="12"/>
      <c r="E625" s="12"/>
      <c r="F625" s="12"/>
      <c r="G625" s="18"/>
      <c r="H625" s="35"/>
      <c r="I625" s="12"/>
      <c r="M625" s="12"/>
      <c r="N625" s="18"/>
      <c r="O625" s="12"/>
      <c r="P625" s="12"/>
      <c r="Q625" s="12"/>
      <c r="R625" s="36"/>
      <c r="S625" s="36"/>
      <c r="T625" s="12"/>
      <c r="U625" s="12"/>
      <c r="V625" s="12"/>
      <c r="W625" s="12"/>
      <c r="X625" s="12"/>
    </row>
    <row r="626" customFormat="false" ht="15.75" hidden="false" customHeight="false" outlineLevel="0" collapsed="false">
      <c r="A626" s="12"/>
      <c r="B626" s="34"/>
      <c r="C626" s="12"/>
      <c r="D626" s="12"/>
      <c r="E626" s="12"/>
      <c r="F626" s="12"/>
      <c r="G626" s="18"/>
      <c r="H626" s="35"/>
      <c r="I626" s="12"/>
      <c r="M626" s="12"/>
      <c r="N626" s="18"/>
      <c r="O626" s="12"/>
      <c r="P626" s="12"/>
      <c r="Q626" s="12"/>
      <c r="R626" s="36"/>
      <c r="S626" s="36"/>
      <c r="T626" s="12"/>
      <c r="U626" s="12"/>
      <c r="V626" s="12"/>
      <c r="W626" s="12"/>
      <c r="X626" s="12"/>
    </row>
    <row r="627" customFormat="false" ht="15.75" hidden="false" customHeight="false" outlineLevel="0" collapsed="false">
      <c r="A627" s="12"/>
      <c r="B627" s="34"/>
      <c r="C627" s="12"/>
      <c r="D627" s="12"/>
      <c r="E627" s="12"/>
      <c r="F627" s="12"/>
      <c r="G627" s="18"/>
      <c r="H627" s="35"/>
      <c r="I627" s="12"/>
      <c r="M627" s="12"/>
      <c r="N627" s="18"/>
      <c r="O627" s="12"/>
      <c r="P627" s="12"/>
      <c r="Q627" s="12"/>
      <c r="R627" s="36"/>
      <c r="S627" s="36"/>
      <c r="T627" s="12"/>
      <c r="U627" s="12"/>
      <c r="V627" s="12"/>
      <c r="W627" s="12"/>
      <c r="X627" s="12"/>
    </row>
    <row r="628" customFormat="false" ht="15.75" hidden="false" customHeight="false" outlineLevel="0" collapsed="false">
      <c r="A628" s="12"/>
      <c r="B628" s="34"/>
      <c r="C628" s="12"/>
      <c r="D628" s="12"/>
      <c r="E628" s="12"/>
      <c r="F628" s="12"/>
      <c r="G628" s="18"/>
      <c r="H628" s="35"/>
      <c r="I628" s="12"/>
      <c r="M628" s="12"/>
      <c r="N628" s="18"/>
      <c r="O628" s="12"/>
      <c r="P628" s="12"/>
      <c r="Q628" s="12"/>
      <c r="R628" s="36"/>
      <c r="S628" s="36"/>
      <c r="T628" s="12"/>
      <c r="U628" s="12"/>
      <c r="V628" s="12"/>
      <c r="W628" s="12"/>
      <c r="X628" s="12"/>
    </row>
    <row r="629" customFormat="false" ht="15.75" hidden="false" customHeight="false" outlineLevel="0" collapsed="false">
      <c r="A629" s="12"/>
      <c r="B629" s="34"/>
      <c r="C629" s="12"/>
      <c r="D629" s="12"/>
      <c r="E629" s="12"/>
      <c r="F629" s="12"/>
      <c r="G629" s="18"/>
      <c r="H629" s="35"/>
      <c r="I629" s="12"/>
      <c r="M629" s="12"/>
      <c r="N629" s="18"/>
      <c r="O629" s="12"/>
      <c r="P629" s="12"/>
      <c r="Q629" s="12"/>
      <c r="R629" s="36"/>
      <c r="S629" s="36"/>
      <c r="T629" s="12"/>
      <c r="U629" s="12"/>
      <c r="V629" s="12"/>
      <c r="W629" s="12"/>
      <c r="X629" s="12"/>
    </row>
    <row r="630" customFormat="false" ht="15.75" hidden="false" customHeight="false" outlineLevel="0" collapsed="false">
      <c r="A630" s="12"/>
      <c r="B630" s="34"/>
      <c r="C630" s="12"/>
      <c r="D630" s="12"/>
      <c r="E630" s="12"/>
      <c r="F630" s="12"/>
      <c r="G630" s="18"/>
      <c r="H630" s="35"/>
      <c r="I630" s="12"/>
      <c r="M630" s="12"/>
      <c r="N630" s="18"/>
      <c r="O630" s="12"/>
      <c r="P630" s="12"/>
      <c r="Q630" s="12"/>
      <c r="R630" s="36"/>
      <c r="S630" s="36"/>
      <c r="T630" s="12"/>
      <c r="U630" s="12"/>
      <c r="V630" s="12"/>
      <c r="W630" s="12"/>
      <c r="X630" s="12"/>
    </row>
    <row r="631" customFormat="false" ht="15.75" hidden="false" customHeight="false" outlineLevel="0" collapsed="false">
      <c r="A631" s="12"/>
      <c r="B631" s="34"/>
      <c r="C631" s="12"/>
      <c r="D631" s="12"/>
      <c r="E631" s="12"/>
      <c r="F631" s="12"/>
      <c r="G631" s="18"/>
      <c r="H631" s="35"/>
      <c r="I631" s="12"/>
      <c r="M631" s="12"/>
      <c r="N631" s="18"/>
      <c r="O631" s="12"/>
      <c r="P631" s="12"/>
      <c r="Q631" s="12"/>
      <c r="R631" s="36"/>
      <c r="S631" s="36"/>
      <c r="T631" s="12"/>
      <c r="U631" s="12"/>
      <c r="V631" s="12"/>
      <c r="W631" s="12"/>
      <c r="X631" s="12"/>
    </row>
    <row r="632" customFormat="false" ht="15.75" hidden="false" customHeight="false" outlineLevel="0" collapsed="false">
      <c r="A632" s="12"/>
      <c r="B632" s="34"/>
      <c r="C632" s="12"/>
      <c r="D632" s="12"/>
      <c r="E632" s="12"/>
      <c r="F632" s="12"/>
      <c r="G632" s="18"/>
      <c r="H632" s="35"/>
      <c r="I632" s="12"/>
      <c r="M632" s="12"/>
      <c r="N632" s="18"/>
      <c r="O632" s="12"/>
      <c r="P632" s="12"/>
      <c r="Q632" s="12"/>
      <c r="R632" s="36"/>
      <c r="S632" s="36"/>
      <c r="T632" s="12"/>
      <c r="U632" s="12"/>
      <c r="V632" s="12"/>
      <c r="W632" s="12"/>
      <c r="X632" s="12"/>
    </row>
    <row r="633" customFormat="false" ht="15.75" hidden="false" customHeight="false" outlineLevel="0" collapsed="false">
      <c r="A633" s="12"/>
      <c r="B633" s="34"/>
      <c r="C633" s="12"/>
      <c r="D633" s="12"/>
      <c r="E633" s="12"/>
      <c r="F633" s="12"/>
      <c r="G633" s="18"/>
      <c r="H633" s="35"/>
      <c r="I633" s="12"/>
      <c r="M633" s="12"/>
      <c r="N633" s="18"/>
      <c r="O633" s="12"/>
      <c r="P633" s="12"/>
      <c r="Q633" s="12"/>
      <c r="R633" s="36"/>
      <c r="S633" s="36"/>
      <c r="T633" s="12"/>
      <c r="U633" s="12"/>
      <c r="V633" s="12"/>
      <c r="W633" s="12"/>
      <c r="X633" s="12"/>
    </row>
    <row r="634" customFormat="false" ht="15.75" hidden="false" customHeight="false" outlineLevel="0" collapsed="false">
      <c r="A634" s="12"/>
      <c r="B634" s="34"/>
      <c r="C634" s="12"/>
      <c r="D634" s="12"/>
      <c r="E634" s="12"/>
      <c r="F634" s="12"/>
      <c r="G634" s="18"/>
      <c r="H634" s="35"/>
      <c r="I634" s="12"/>
      <c r="M634" s="12"/>
      <c r="N634" s="18"/>
      <c r="O634" s="12"/>
      <c r="P634" s="12"/>
      <c r="Q634" s="12"/>
      <c r="R634" s="36"/>
      <c r="S634" s="36"/>
      <c r="T634" s="12"/>
      <c r="U634" s="12"/>
      <c r="V634" s="12"/>
      <c r="W634" s="12"/>
      <c r="X634" s="12"/>
    </row>
    <row r="635" customFormat="false" ht="15.75" hidden="false" customHeight="false" outlineLevel="0" collapsed="false">
      <c r="A635" s="12"/>
      <c r="B635" s="34"/>
      <c r="C635" s="12"/>
      <c r="D635" s="12"/>
      <c r="E635" s="12"/>
      <c r="F635" s="12"/>
      <c r="G635" s="18"/>
      <c r="H635" s="35"/>
      <c r="I635" s="12"/>
      <c r="M635" s="12"/>
      <c r="N635" s="18"/>
      <c r="O635" s="12"/>
      <c r="P635" s="12"/>
      <c r="Q635" s="12"/>
      <c r="R635" s="36"/>
      <c r="S635" s="36"/>
      <c r="T635" s="12"/>
      <c r="U635" s="12"/>
      <c r="V635" s="12"/>
      <c r="W635" s="12"/>
      <c r="X635" s="12"/>
    </row>
    <row r="636" customFormat="false" ht="15.75" hidden="false" customHeight="false" outlineLevel="0" collapsed="false">
      <c r="A636" s="12"/>
      <c r="B636" s="34"/>
      <c r="C636" s="12"/>
      <c r="D636" s="12"/>
      <c r="E636" s="12"/>
      <c r="F636" s="12"/>
      <c r="G636" s="18"/>
      <c r="H636" s="35"/>
      <c r="I636" s="12"/>
      <c r="M636" s="12"/>
      <c r="N636" s="18"/>
      <c r="O636" s="12"/>
      <c r="P636" s="12"/>
      <c r="Q636" s="12"/>
      <c r="R636" s="36"/>
      <c r="S636" s="36"/>
      <c r="T636" s="12"/>
      <c r="U636" s="12"/>
      <c r="V636" s="12"/>
      <c r="W636" s="12"/>
      <c r="X636" s="12"/>
    </row>
    <row r="637" customFormat="false" ht="15.75" hidden="false" customHeight="false" outlineLevel="0" collapsed="false">
      <c r="A637" s="12"/>
      <c r="B637" s="34"/>
      <c r="C637" s="12"/>
      <c r="D637" s="12"/>
      <c r="E637" s="12"/>
      <c r="F637" s="12"/>
      <c r="G637" s="18"/>
      <c r="H637" s="35"/>
      <c r="I637" s="12"/>
      <c r="M637" s="12"/>
      <c r="N637" s="18"/>
      <c r="O637" s="12"/>
      <c r="P637" s="12"/>
      <c r="Q637" s="12"/>
      <c r="R637" s="36"/>
      <c r="S637" s="36"/>
      <c r="T637" s="12"/>
      <c r="U637" s="12"/>
      <c r="V637" s="12"/>
      <c r="W637" s="12"/>
      <c r="X637" s="12"/>
    </row>
    <row r="638" customFormat="false" ht="15.75" hidden="false" customHeight="false" outlineLevel="0" collapsed="false">
      <c r="A638" s="12"/>
      <c r="B638" s="34"/>
      <c r="C638" s="12"/>
      <c r="D638" s="12"/>
      <c r="E638" s="12"/>
      <c r="F638" s="12"/>
      <c r="G638" s="18"/>
      <c r="H638" s="35"/>
      <c r="I638" s="12"/>
      <c r="M638" s="12"/>
      <c r="N638" s="18"/>
      <c r="O638" s="12"/>
      <c r="P638" s="12"/>
      <c r="Q638" s="12"/>
      <c r="R638" s="36"/>
      <c r="S638" s="36"/>
      <c r="T638" s="12"/>
      <c r="U638" s="12"/>
      <c r="V638" s="12"/>
      <c r="W638" s="12"/>
      <c r="X638" s="12"/>
    </row>
    <row r="639" customFormat="false" ht="15.75" hidden="false" customHeight="false" outlineLevel="0" collapsed="false">
      <c r="A639" s="12"/>
      <c r="B639" s="34"/>
      <c r="C639" s="12"/>
      <c r="D639" s="12"/>
      <c r="E639" s="12"/>
      <c r="F639" s="12"/>
      <c r="G639" s="18"/>
      <c r="H639" s="35"/>
      <c r="I639" s="12"/>
      <c r="M639" s="12"/>
      <c r="N639" s="18"/>
      <c r="O639" s="12"/>
      <c r="P639" s="12"/>
      <c r="Q639" s="12"/>
      <c r="R639" s="36"/>
      <c r="S639" s="36"/>
      <c r="T639" s="12"/>
      <c r="U639" s="12"/>
      <c r="V639" s="12"/>
      <c r="W639" s="12"/>
      <c r="X639" s="12"/>
    </row>
    <row r="640" customFormat="false" ht="15.75" hidden="false" customHeight="false" outlineLevel="0" collapsed="false">
      <c r="A640" s="12"/>
      <c r="B640" s="34"/>
      <c r="C640" s="12"/>
      <c r="D640" s="12"/>
      <c r="E640" s="12"/>
      <c r="F640" s="12"/>
      <c r="G640" s="18"/>
      <c r="H640" s="35"/>
      <c r="I640" s="12"/>
      <c r="M640" s="12"/>
      <c r="N640" s="18"/>
      <c r="O640" s="12"/>
      <c r="P640" s="12"/>
      <c r="Q640" s="12"/>
      <c r="R640" s="36"/>
      <c r="S640" s="36"/>
      <c r="T640" s="12"/>
      <c r="U640" s="12"/>
      <c r="V640" s="12"/>
      <c r="W640" s="12"/>
      <c r="X640" s="12"/>
    </row>
    <row r="641" customFormat="false" ht="15.75" hidden="false" customHeight="false" outlineLevel="0" collapsed="false">
      <c r="A641" s="12"/>
      <c r="B641" s="34"/>
      <c r="C641" s="12"/>
      <c r="D641" s="12"/>
      <c r="E641" s="12"/>
      <c r="F641" s="12"/>
      <c r="G641" s="18"/>
      <c r="H641" s="35"/>
      <c r="I641" s="12"/>
      <c r="M641" s="12"/>
      <c r="N641" s="18"/>
      <c r="O641" s="12"/>
      <c r="P641" s="12"/>
      <c r="Q641" s="12"/>
      <c r="R641" s="36"/>
      <c r="S641" s="36"/>
      <c r="T641" s="12"/>
      <c r="U641" s="12"/>
      <c r="V641" s="12"/>
      <c r="W641" s="12"/>
      <c r="X641" s="12"/>
    </row>
    <row r="642" customFormat="false" ht="15.75" hidden="false" customHeight="false" outlineLevel="0" collapsed="false">
      <c r="A642" s="12"/>
      <c r="B642" s="34"/>
      <c r="C642" s="12"/>
      <c r="D642" s="12"/>
      <c r="E642" s="12"/>
      <c r="F642" s="12"/>
      <c r="G642" s="18"/>
      <c r="H642" s="35"/>
      <c r="I642" s="12"/>
      <c r="M642" s="12"/>
      <c r="N642" s="18"/>
      <c r="O642" s="12"/>
      <c r="P642" s="12"/>
      <c r="Q642" s="12"/>
      <c r="R642" s="36"/>
      <c r="S642" s="36"/>
      <c r="T642" s="12"/>
      <c r="U642" s="12"/>
      <c r="V642" s="12"/>
      <c r="W642" s="12"/>
      <c r="X642" s="12"/>
    </row>
    <row r="643" customFormat="false" ht="15.75" hidden="false" customHeight="false" outlineLevel="0" collapsed="false">
      <c r="A643" s="12"/>
      <c r="B643" s="34"/>
      <c r="C643" s="12"/>
      <c r="D643" s="12"/>
      <c r="E643" s="12"/>
      <c r="F643" s="12"/>
      <c r="G643" s="18"/>
      <c r="H643" s="35"/>
      <c r="I643" s="12"/>
      <c r="M643" s="12"/>
      <c r="N643" s="18"/>
      <c r="O643" s="12"/>
      <c r="P643" s="12"/>
      <c r="Q643" s="12"/>
      <c r="R643" s="36"/>
      <c r="S643" s="36"/>
      <c r="T643" s="12"/>
      <c r="U643" s="12"/>
      <c r="V643" s="12"/>
      <c r="W643" s="12"/>
      <c r="X643" s="12"/>
    </row>
    <row r="644" customFormat="false" ht="15.75" hidden="false" customHeight="false" outlineLevel="0" collapsed="false">
      <c r="A644" s="12"/>
      <c r="B644" s="34"/>
      <c r="C644" s="12"/>
      <c r="D644" s="12"/>
      <c r="E644" s="12"/>
      <c r="F644" s="12"/>
      <c r="G644" s="18"/>
      <c r="H644" s="35"/>
      <c r="I644" s="12"/>
      <c r="M644" s="12"/>
      <c r="N644" s="18"/>
      <c r="O644" s="12"/>
      <c r="P644" s="12"/>
      <c r="Q644" s="12"/>
      <c r="R644" s="36"/>
      <c r="S644" s="36"/>
      <c r="T644" s="12"/>
      <c r="U644" s="12"/>
      <c r="V644" s="12"/>
      <c r="W644" s="12"/>
      <c r="X644" s="12"/>
    </row>
    <row r="645" customFormat="false" ht="15.75" hidden="false" customHeight="false" outlineLevel="0" collapsed="false">
      <c r="A645" s="12"/>
      <c r="B645" s="34"/>
      <c r="C645" s="12"/>
      <c r="D645" s="12"/>
      <c r="E645" s="12"/>
      <c r="F645" s="12"/>
      <c r="G645" s="18"/>
      <c r="H645" s="35"/>
      <c r="I645" s="12"/>
      <c r="M645" s="12"/>
      <c r="N645" s="18"/>
      <c r="O645" s="12"/>
      <c r="P645" s="12"/>
      <c r="Q645" s="12"/>
      <c r="R645" s="36"/>
      <c r="S645" s="36"/>
      <c r="T645" s="12"/>
      <c r="U645" s="12"/>
      <c r="V645" s="12"/>
      <c r="W645" s="12"/>
      <c r="X645" s="12"/>
    </row>
    <row r="646" customFormat="false" ht="15.75" hidden="false" customHeight="false" outlineLevel="0" collapsed="false">
      <c r="A646" s="12"/>
      <c r="B646" s="34"/>
      <c r="C646" s="12"/>
      <c r="D646" s="12"/>
      <c r="E646" s="12"/>
      <c r="F646" s="12"/>
      <c r="G646" s="18"/>
      <c r="H646" s="35"/>
      <c r="I646" s="12"/>
      <c r="M646" s="12"/>
      <c r="N646" s="18"/>
      <c r="O646" s="12"/>
      <c r="P646" s="12"/>
      <c r="Q646" s="12"/>
      <c r="R646" s="36"/>
      <c r="S646" s="36"/>
      <c r="T646" s="12"/>
      <c r="U646" s="12"/>
      <c r="V646" s="12"/>
      <c r="W646" s="12"/>
      <c r="X646" s="12"/>
    </row>
    <row r="647" customFormat="false" ht="15.75" hidden="false" customHeight="false" outlineLevel="0" collapsed="false">
      <c r="A647" s="12"/>
      <c r="B647" s="34"/>
      <c r="C647" s="12"/>
      <c r="D647" s="12"/>
      <c r="E647" s="12"/>
      <c r="F647" s="12"/>
      <c r="G647" s="18"/>
      <c r="H647" s="35"/>
      <c r="I647" s="12"/>
      <c r="M647" s="12"/>
      <c r="N647" s="18"/>
      <c r="O647" s="12"/>
      <c r="P647" s="12"/>
      <c r="Q647" s="12"/>
      <c r="R647" s="36"/>
      <c r="S647" s="36"/>
      <c r="T647" s="12"/>
      <c r="U647" s="12"/>
      <c r="V647" s="12"/>
      <c r="W647" s="12"/>
      <c r="X647" s="12"/>
    </row>
    <row r="648" customFormat="false" ht="15.75" hidden="false" customHeight="false" outlineLevel="0" collapsed="false">
      <c r="A648" s="12"/>
      <c r="B648" s="34"/>
      <c r="C648" s="12"/>
      <c r="D648" s="12"/>
      <c r="E648" s="12"/>
      <c r="F648" s="12"/>
      <c r="G648" s="18"/>
      <c r="H648" s="35"/>
      <c r="I648" s="12"/>
      <c r="M648" s="12"/>
      <c r="N648" s="18"/>
      <c r="O648" s="12"/>
      <c r="P648" s="12"/>
      <c r="Q648" s="12"/>
      <c r="R648" s="36"/>
      <c r="S648" s="36"/>
      <c r="T648" s="12"/>
      <c r="U648" s="12"/>
      <c r="V648" s="12"/>
      <c r="W648" s="12"/>
      <c r="X648" s="12"/>
    </row>
    <row r="649" customFormat="false" ht="15.75" hidden="false" customHeight="false" outlineLevel="0" collapsed="false">
      <c r="A649" s="12"/>
      <c r="B649" s="34"/>
      <c r="C649" s="12"/>
      <c r="D649" s="12"/>
      <c r="E649" s="12"/>
      <c r="F649" s="12"/>
      <c r="G649" s="18"/>
      <c r="H649" s="35"/>
      <c r="I649" s="12"/>
      <c r="M649" s="12"/>
      <c r="N649" s="18"/>
      <c r="O649" s="12"/>
      <c r="P649" s="12"/>
      <c r="Q649" s="12"/>
      <c r="R649" s="36"/>
      <c r="S649" s="36"/>
      <c r="T649" s="12"/>
      <c r="U649" s="12"/>
      <c r="V649" s="12"/>
      <c r="W649" s="12"/>
      <c r="X649" s="12"/>
    </row>
    <row r="650" customFormat="false" ht="15.75" hidden="false" customHeight="false" outlineLevel="0" collapsed="false">
      <c r="A650" s="12"/>
      <c r="B650" s="34"/>
      <c r="C650" s="12"/>
      <c r="D650" s="12"/>
      <c r="E650" s="12"/>
      <c r="F650" s="12"/>
      <c r="G650" s="18"/>
      <c r="H650" s="35"/>
      <c r="I650" s="12"/>
      <c r="M650" s="12"/>
      <c r="N650" s="18"/>
      <c r="O650" s="12"/>
      <c r="P650" s="12"/>
      <c r="Q650" s="12"/>
      <c r="R650" s="36"/>
      <c r="S650" s="36"/>
      <c r="T650" s="12"/>
      <c r="U650" s="12"/>
      <c r="V650" s="12"/>
      <c r="W650" s="12"/>
      <c r="X650" s="12"/>
    </row>
    <row r="651" customFormat="false" ht="15.75" hidden="false" customHeight="false" outlineLevel="0" collapsed="false">
      <c r="A651" s="12"/>
      <c r="B651" s="34"/>
      <c r="C651" s="12"/>
      <c r="D651" s="12"/>
      <c r="E651" s="12"/>
      <c r="F651" s="12"/>
      <c r="G651" s="18"/>
      <c r="H651" s="35"/>
      <c r="I651" s="12"/>
      <c r="M651" s="12"/>
      <c r="N651" s="18"/>
      <c r="O651" s="12"/>
      <c r="P651" s="12"/>
      <c r="Q651" s="12"/>
      <c r="R651" s="36"/>
      <c r="S651" s="36"/>
      <c r="T651" s="12"/>
      <c r="U651" s="12"/>
      <c r="V651" s="12"/>
      <c r="W651" s="12"/>
      <c r="X651" s="12"/>
    </row>
    <row r="652" customFormat="false" ht="15.75" hidden="false" customHeight="false" outlineLevel="0" collapsed="false">
      <c r="A652" s="12"/>
      <c r="B652" s="34"/>
      <c r="C652" s="12"/>
      <c r="D652" s="12"/>
      <c r="E652" s="12"/>
      <c r="F652" s="12"/>
      <c r="G652" s="18"/>
      <c r="H652" s="35"/>
      <c r="I652" s="12"/>
      <c r="M652" s="12"/>
      <c r="N652" s="18"/>
      <c r="O652" s="12"/>
      <c r="P652" s="12"/>
      <c r="Q652" s="12"/>
      <c r="R652" s="36"/>
      <c r="S652" s="36"/>
      <c r="T652" s="12"/>
      <c r="U652" s="12"/>
      <c r="V652" s="12"/>
      <c r="W652" s="12"/>
      <c r="X652" s="12"/>
    </row>
    <row r="653" customFormat="false" ht="15.75" hidden="false" customHeight="false" outlineLevel="0" collapsed="false">
      <c r="A653" s="12"/>
      <c r="B653" s="34"/>
      <c r="C653" s="12"/>
      <c r="D653" s="12"/>
      <c r="E653" s="12"/>
      <c r="F653" s="12"/>
      <c r="G653" s="18"/>
      <c r="H653" s="35"/>
      <c r="I653" s="12"/>
      <c r="M653" s="12"/>
      <c r="N653" s="18"/>
      <c r="O653" s="12"/>
      <c r="P653" s="12"/>
      <c r="Q653" s="12"/>
      <c r="R653" s="36"/>
      <c r="S653" s="36"/>
      <c r="T653" s="12"/>
      <c r="U653" s="12"/>
      <c r="V653" s="12"/>
      <c r="W653" s="12"/>
      <c r="X653" s="12"/>
    </row>
    <row r="654" customFormat="false" ht="15.75" hidden="false" customHeight="false" outlineLevel="0" collapsed="false">
      <c r="A654" s="12"/>
      <c r="B654" s="34"/>
      <c r="C654" s="12"/>
      <c r="D654" s="12"/>
      <c r="E654" s="12"/>
      <c r="F654" s="12"/>
      <c r="G654" s="18"/>
      <c r="H654" s="35"/>
      <c r="I654" s="12"/>
      <c r="M654" s="12"/>
      <c r="N654" s="18"/>
      <c r="O654" s="12"/>
      <c r="P654" s="12"/>
      <c r="Q654" s="12"/>
      <c r="R654" s="36"/>
      <c r="S654" s="36"/>
      <c r="T654" s="12"/>
      <c r="U654" s="12"/>
      <c r="V654" s="12"/>
      <c r="W654" s="12"/>
      <c r="X654" s="12"/>
    </row>
    <row r="655" customFormat="false" ht="15.75" hidden="false" customHeight="false" outlineLevel="0" collapsed="false">
      <c r="A655" s="12"/>
      <c r="B655" s="34"/>
      <c r="C655" s="12"/>
      <c r="D655" s="12"/>
      <c r="E655" s="12"/>
      <c r="F655" s="12"/>
      <c r="G655" s="18"/>
      <c r="H655" s="35"/>
      <c r="I655" s="12"/>
      <c r="M655" s="12"/>
      <c r="N655" s="18"/>
      <c r="O655" s="12"/>
      <c r="P655" s="12"/>
      <c r="Q655" s="12"/>
      <c r="R655" s="36"/>
      <c r="S655" s="36"/>
      <c r="T655" s="12"/>
      <c r="U655" s="12"/>
      <c r="V655" s="12"/>
      <c r="W655" s="12"/>
      <c r="X655" s="12"/>
    </row>
    <row r="656" customFormat="false" ht="15.75" hidden="false" customHeight="false" outlineLevel="0" collapsed="false">
      <c r="A656" s="12"/>
      <c r="B656" s="34"/>
      <c r="C656" s="12"/>
      <c r="D656" s="12"/>
      <c r="E656" s="12"/>
      <c r="F656" s="12"/>
      <c r="G656" s="18"/>
      <c r="H656" s="35"/>
      <c r="I656" s="12"/>
      <c r="M656" s="12"/>
      <c r="N656" s="18"/>
      <c r="O656" s="12"/>
      <c r="P656" s="12"/>
      <c r="Q656" s="12"/>
      <c r="R656" s="36"/>
      <c r="S656" s="36"/>
      <c r="T656" s="12"/>
      <c r="U656" s="12"/>
      <c r="V656" s="12"/>
      <c r="W656" s="12"/>
      <c r="X656" s="12"/>
    </row>
    <row r="657" customFormat="false" ht="15.75" hidden="false" customHeight="false" outlineLevel="0" collapsed="false">
      <c r="A657" s="12"/>
      <c r="B657" s="34"/>
      <c r="C657" s="12"/>
      <c r="D657" s="12"/>
      <c r="E657" s="12"/>
      <c r="F657" s="12"/>
      <c r="G657" s="18"/>
      <c r="H657" s="35"/>
      <c r="I657" s="12"/>
      <c r="M657" s="12"/>
      <c r="N657" s="18"/>
      <c r="O657" s="12"/>
      <c r="P657" s="12"/>
      <c r="Q657" s="12"/>
      <c r="R657" s="36"/>
      <c r="S657" s="36"/>
      <c r="T657" s="12"/>
      <c r="U657" s="12"/>
      <c r="V657" s="12"/>
      <c r="W657" s="12"/>
      <c r="X657" s="12"/>
    </row>
    <row r="658" customFormat="false" ht="15.75" hidden="false" customHeight="false" outlineLevel="0" collapsed="false">
      <c r="A658" s="12"/>
      <c r="B658" s="34"/>
      <c r="C658" s="12"/>
      <c r="D658" s="12"/>
      <c r="E658" s="12"/>
      <c r="F658" s="12"/>
      <c r="G658" s="18"/>
      <c r="H658" s="35"/>
      <c r="I658" s="12"/>
      <c r="M658" s="12"/>
      <c r="N658" s="18"/>
      <c r="O658" s="12"/>
      <c r="P658" s="12"/>
      <c r="Q658" s="12"/>
      <c r="R658" s="36"/>
      <c r="S658" s="36"/>
      <c r="T658" s="12"/>
      <c r="U658" s="12"/>
      <c r="V658" s="12"/>
      <c r="W658" s="12"/>
      <c r="X658" s="12"/>
    </row>
    <row r="659" customFormat="false" ht="15.75" hidden="false" customHeight="false" outlineLevel="0" collapsed="false">
      <c r="A659" s="12"/>
      <c r="B659" s="34"/>
      <c r="C659" s="12"/>
      <c r="D659" s="12"/>
      <c r="E659" s="12"/>
      <c r="F659" s="12"/>
      <c r="G659" s="18"/>
      <c r="H659" s="35"/>
      <c r="I659" s="12"/>
      <c r="M659" s="12"/>
      <c r="N659" s="18"/>
      <c r="O659" s="12"/>
      <c r="P659" s="12"/>
      <c r="Q659" s="12"/>
      <c r="R659" s="36"/>
      <c r="S659" s="36"/>
      <c r="T659" s="12"/>
      <c r="U659" s="12"/>
      <c r="V659" s="12"/>
      <c r="W659" s="12"/>
      <c r="X659" s="12"/>
    </row>
    <row r="660" customFormat="false" ht="15.75" hidden="false" customHeight="false" outlineLevel="0" collapsed="false">
      <c r="A660" s="12"/>
      <c r="B660" s="34"/>
      <c r="C660" s="12"/>
      <c r="D660" s="12"/>
      <c r="E660" s="12"/>
      <c r="F660" s="12"/>
      <c r="G660" s="18"/>
      <c r="H660" s="35"/>
      <c r="I660" s="12"/>
      <c r="M660" s="12"/>
      <c r="N660" s="18"/>
      <c r="O660" s="12"/>
      <c r="P660" s="12"/>
      <c r="Q660" s="12"/>
      <c r="R660" s="36"/>
      <c r="S660" s="36"/>
      <c r="T660" s="12"/>
      <c r="U660" s="12"/>
      <c r="V660" s="12"/>
      <c r="W660" s="12"/>
      <c r="X660" s="12"/>
    </row>
    <row r="661" customFormat="false" ht="15.75" hidden="false" customHeight="false" outlineLevel="0" collapsed="false">
      <c r="A661" s="12"/>
      <c r="B661" s="34"/>
      <c r="C661" s="12"/>
      <c r="D661" s="12"/>
      <c r="E661" s="12"/>
      <c r="F661" s="12"/>
      <c r="G661" s="18"/>
      <c r="H661" s="35"/>
      <c r="I661" s="12"/>
      <c r="M661" s="12"/>
      <c r="N661" s="18"/>
      <c r="O661" s="12"/>
      <c r="P661" s="12"/>
      <c r="Q661" s="12"/>
      <c r="R661" s="36"/>
      <c r="S661" s="36"/>
      <c r="T661" s="12"/>
      <c r="U661" s="12"/>
      <c r="V661" s="12"/>
      <c r="W661" s="12"/>
      <c r="X661" s="12"/>
    </row>
    <row r="662" customFormat="false" ht="15.75" hidden="false" customHeight="false" outlineLevel="0" collapsed="false">
      <c r="A662" s="12"/>
      <c r="B662" s="34"/>
      <c r="C662" s="12"/>
      <c r="D662" s="12"/>
      <c r="E662" s="12"/>
      <c r="F662" s="12"/>
      <c r="G662" s="18"/>
      <c r="H662" s="35"/>
      <c r="I662" s="12"/>
      <c r="M662" s="12"/>
      <c r="N662" s="18"/>
      <c r="O662" s="12"/>
      <c r="P662" s="12"/>
      <c r="Q662" s="12"/>
      <c r="R662" s="36"/>
      <c r="S662" s="36"/>
      <c r="T662" s="12"/>
      <c r="U662" s="12"/>
      <c r="V662" s="12"/>
      <c r="W662" s="12"/>
      <c r="X662" s="12"/>
    </row>
    <row r="663" customFormat="false" ht="15.75" hidden="false" customHeight="false" outlineLevel="0" collapsed="false">
      <c r="A663" s="12"/>
      <c r="B663" s="34"/>
      <c r="C663" s="12"/>
      <c r="D663" s="12"/>
      <c r="E663" s="12"/>
      <c r="F663" s="12"/>
      <c r="G663" s="18"/>
      <c r="H663" s="35"/>
      <c r="I663" s="12"/>
      <c r="M663" s="12"/>
      <c r="N663" s="18"/>
      <c r="O663" s="12"/>
      <c r="P663" s="12"/>
      <c r="Q663" s="12"/>
      <c r="R663" s="36"/>
      <c r="S663" s="36"/>
      <c r="T663" s="12"/>
      <c r="U663" s="12"/>
      <c r="V663" s="12"/>
      <c r="W663" s="12"/>
      <c r="X663" s="12"/>
    </row>
    <row r="664" customFormat="false" ht="15.75" hidden="false" customHeight="false" outlineLevel="0" collapsed="false">
      <c r="A664" s="12"/>
      <c r="B664" s="34"/>
      <c r="C664" s="12"/>
      <c r="D664" s="12"/>
      <c r="E664" s="12"/>
      <c r="F664" s="12"/>
      <c r="G664" s="18"/>
      <c r="H664" s="35"/>
      <c r="I664" s="12"/>
      <c r="M664" s="12"/>
      <c r="N664" s="18"/>
      <c r="O664" s="12"/>
      <c r="P664" s="12"/>
      <c r="Q664" s="12"/>
      <c r="R664" s="36"/>
      <c r="S664" s="36"/>
      <c r="T664" s="12"/>
      <c r="U664" s="12"/>
      <c r="V664" s="12"/>
      <c r="W664" s="12"/>
      <c r="X664" s="12"/>
    </row>
    <row r="665" customFormat="false" ht="15.75" hidden="false" customHeight="false" outlineLevel="0" collapsed="false">
      <c r="A665" s="12"/>
      <c r="B665" s="34"/>
      <c r="C665" s="12"/>
      <c r="D665" s="12"/>
      <c r="E665" s="12"/>
      <c r="F665" s="12"/>
      <c r="G665" s="18"/>
      <c r="H665" s="35"/>
      <c r="I665" s="12"/>
      <c r="M665" s="12"/>
      <c r="N665" s="18"/>
      <c r="O665" s="12"/>
      <c r="P665" s="12"/>
      <c r="Q665" s="12"/>
      <c r="R665" s="36"/>
      <c r="S665" s="36"/>
      <c r="T665" s="12"/>
      <c r="U665" s="12"/>
      <c r="V665" s="12"/>
      <c r="W665" s="12"/>
      <c r="X665" s="12"/>
    </row>
    <row r="666" customFormat="false" ht="15.75" hidden="false" customHeight="false" outlineLevel="0" collapsed="false">
      <c r="A666" s="12"/>
      <c r="B666" s="34"/>
      <c r="C666" s="12"/>
      <c r="D666" s="12"/>
      <c r="E666" s="12"/>
      <c r="F666" s="12"/>
      <c r="G666" s="18"/>
      <c r="H666" s="35"/>
      <c r="I666" s="12"/>
      <c r="M666" s="12"/>
      <c r="N666" s="18"/>
      <c r="O666" s="12"/>
      <c r="P666" s="12"/>
      <c r="Q666" s="12"/>
      <c r="R666" s="36"/>
      <c r="S666" s="36"/>
      <c r="T666" s="12"/>
      <c r="U666" s="12"/>
      <c r="V666" s="12"/>
      <c r="W666" s="12"/>
      <c r="X666" s="12"/>
    </row>
    <row r="667" customFormat="false" ht="15.75" hidden="false" customHeight="false" outlineLevel="0" collapsed="false">
      <c r="A667" s="12"/>
      <c r="B667" s="34"/>
      <c r="C667" s="12"/>
      <c r="D667" s="12"/>
      <c r="E667" s="12"/>
      <c r="F667" s="12"/>
      <c r="G667" s="18"/>
      <c r="H667" s="35"/>
      <c r="I667" s="12"/>
      <c r="M667" s="12"/>
      <c r="N667" s="18"/>
      <c r="O667" s="12"/>
      <c r="P667" s="12"/>
      <c r="Q667" s="12"/>
      <c r="R667" s="36"/>
      <c r="S667" s="36"/>
      <c r="T667" s="12"/>
      <c r="U667" s="12"/>
      <c r="V667" s="12"/>
      <c r="W667" s="12"/>
      <c r="X667" s="12"/>
    </row>
    <row r="668" customFormat="false" ht="15.75" hidden="false" customHeight="false" outlineLevel="0" collapsed="false">
      <c r="A668" s="12"/>
      <c r="B668" s="34"/>
      <c r="C668" s="12"/>
      <c r="D668" s="12"/>
      <c r="E668" s="12"/>
      <c r="F668" s="12"/>
      <c r="G668" s="18"/>
      <c r="H668" s="35"/>
      <c r="I668" s="12"/>
      <c r="M668" s="12"/>
      <c r="N668" s="18"/>
      <c r="O668" s="12"/>
      <c r="P668" s="12"/>
      <c r="Q668" s="12"/>
      <c r="R668" s="36"/>
      <c r="S668" s="36"/>
      <c r="T668" s="12"/>
      <c r="U668" s="12"/>
      <c r="V668" s="12"/>
      <c r="W668" s="12"/>
      <c r="X668" s="12"/>
    </row>
    <row r="669" customFormat="false" ht="15.75" hidden="false" customHeight="false" outlineLevel="0" collapsed="false">
      <c r="A669" s="12"/>
      <c r="B669" s="34"/>
      <c r="C669" s="12"/>
      <c r="D669" s="12"/>
      <c r="E669" s="12"/>
      <c r="F669" s="12"/>
      <c r="G669" s="18"/>
      <c r="H669" s="35"/>
      <c r="I669" s="12"/>
      <c r="M669" s="12"/>
      <c r="N669" s="18"/>
      <c r="O669" s="12"/>
      <c r="P669" s="12"/>
      <c r="Q669" s="12"/>
      <c r="R669" s="36"/>
      <c r="S669" s="36"/>
      <c r="T669" s="12"/>
      <c r="U669" s="12"/>
      <c r="V669" s="12"/>
      <c r="W669" s="12"/>
      <c r="X669" s="12"/>
    </row>
    <row r="670" customFormat="false" ht="15.75" hidden="false" customHeight="false" outlineLevel="0" collapsed="false">
      <c r="A670" s="12"/>
      <c r="B670" s="34"/>
      <c r="C670" s="12"/>
      <c r="D670" s="12"/>
      <c r="E670" s="12"/>
      <c r="F670" s="12"/>
      <c r="G670" s="18"/>
      <c r="H670" s="35"/>
      <c r="I670" s="12"/>
      <c r="M670" s="12"/>
      <c r="N670" s="18"/>
      <c r="O670" s="12"/>
      <c r="P670" s="12"/>
      <c r="Q670" s="12"/>
      <c r="R670" s="36"/>
      <c r="S670" s="36"/>
      <c r="T670" s="12"/>
      <c r="U670" s="12"/>
      <c r="V670" s="12"/>
      <c r="W670" s="12"/>
      <c r="X670" s="12"/>
    </row>
    <row r="671" customFormat="false" ht="15.75" hidden="false" customHeight="false" outlineLevel="0" collapsed="false">
      <c r="A671" s="12"/>
      <c r="B671" s="34"/>
      <c r="C671" s="12"/>
      <c r="D671" s="12"/>
      <c r="E671" s="12"/>
      <c r="F671" s="12"/>
      <c r="G671" s="18"/>
      <c r="H671" s="35"/>
      <c r="I671" s="12"/>
      <c r="M671" s="12"/>
      <c r="N671" s="18"/>
      <c r="O671" s="12"/>
      <c r="P671" s="12"/>
      <c r="Q671" s="12"/>
      <c r="R671" s="36"/>
      <c r="S671" s="36"/>
      <c r="T671" s="12"/>
      <c r="U671" s="12"/>
      <c r="V671" s="12"/>
      <c r="W671" s="12"/>
      <c r="X671" s="12"/>
    </row>
    <row r="672" customFormat="false" ht="15.75" hidden="false" customHeight="false" outlineLevel="0" collapsed="false">
      <c r="A672" s="12"/>
      <c r="B672" s="34"/>
      <c r="C672" s="12"/>
      <c r="D672" s="12"/>
      <c r="E672" s="12"/>
      <c r="F672" s="12"/>
      <c r="G672" s="18"/>
      <c r="H672" s="35"/>
      <c r="I672" s="12"/>
      <c r="M672" s="12"/>
      <c r="N672" s="18"/>
      <c r="O672" s="12"/>
      <c r="P672" s="12"/>
      <c r="Q672" s="12"/>
      <c r="R672" s="36"/>
      <c r="S672" s="36"/>
      <c r="T672" s="12"/>
      <c r="U672" s="12"/>
      <c r="V672" s="12"/>
      <c r="W672" s="12"/>
      <c r="X672" s="12"/>
    </row>
    <row r="673" customFormat="false" ht="15.75" hidden="false" customHeight="false" outlineLevel="0" collapsed="false">
      <c r="A673" s="12"/>
      <c r="B673" s="34"/>
      <c r="C673" s="12"/>
      <c r="D673" s="12"/>
      <c r="E673" s="12"/>
      <c r="F673" s="12"/>
      <c r="G673" s="18"/>
      <c r="H673" s="35"/>
      <c r="I673" s="12"/>
      <c r="M673" s="12"/>
      <c r="N673" s="18"/>
      <c r="O673" s="12"/>
      <c r="P673" s="12"/>
      <c r="Q673" s="12"/>
      <c r="R673" s="36"/>
      <c r="S673" s="36"/>
      <c r="T673" s="12"/>
      <c r="U673" s="12"/>
      <c r="V673" s="12"/>
      <c r="W673" s="12"/>
      <c r="X673" s="12"/>
    </row>
    <row r="674" customFormat="false" ht="15.75" hidden="false" customHeight="false" outlineLevel="0" collapsed="false">
      <c r="A674" s="12"/>
      <c r="B674" s="34"/>
      <c r="C674" s="12"/>
      <c r="D674" s="12"/>
      <c r="E674" s="12"/>
      <c r="F674" s="12"/>
      <c r="G674" s="18"/>
      <c r="H674" s="35"/>
      <c r="I674" s="12"/>
      <c r="M674" s="12"/>
      <c r="N674" s="18"/>
      <c r="O674" s="12"/>
      <c r="P674" s="12"/>
      <c r="Q674" s="12"/>
      <c r="R674" s="36"/>
      <c r="S674" s="36"/>
      <c r="T674" s="12"/>
      <c r="U674" s="12"/>
      <c r="V674" s="12"/>
      <c r="W674" s="12"/>
      <c r="X674" s="12"/>
    </row>
    <row r="675" customFormat="false" ht="15.75" hidden="false" customHeight="false" outlineLevel="0" collapsed="false">
      <c r="A675" s="12"/>
      <c r="B675" s="34"/>
      <c r="C675" s="12"/>
      <c r="D675" s="12"/>
      <c r="E675" s="12"/>
      <c r="F675" s="12"/>
      <c r="G675" s="18"/>
      <c r="H675" s="35"/>
      <c r="I675" s="12"/>
      <c r="M675" s="12"/>
      <c r="N675" s="18"/>
      <c r="O675" s="12"/>
      <c r="P675" s="12"/>
      <c r="Q675" s="12"/>
      <c r="R675" s="36"/>
      <c r="S675" s="36"/>
      <c r="T675" s="12"/>
      <c r="U675" s="12"/>
      <c r="V675" s="12"/>
      <c r="W675" s="12"/>
      <c r="X675" s="12"/>
    </row>
    <row r="676" customFormat="false" ht="15.75" hidden="false" customHeight="false" outlineLevel="0" collapsed="false">
      <c r="A676" s="12"/>
      <c r="B676" s="34"/>
      <c r="C676" s="12"/>
      <c r="D676" s="12"/>
      <c r="E676" s="12"/>
      <c r="F676" s="12"/>
      <c r="G676" s="18"/>
      <c r="H676" s="35"/>
      <c r="I676" s="12"/>
      <c r="M676" s="12"/>
      <c r="N676" s="18"/>
      <c r="O676" s="12"/>
      <c r="P676" s="12"/>
      <c r="Q676" s="12"/>
      <c r="R676" s="36"/>
      <c r="S676" s="36"/>
      <c r="T676" s="12"/>
      <c r="U676" s="12"/>
      <c r="V676" s="12"/>
      <c r="W676" s="12"/>
      <c r="X676" s="12"/>
    </row>
    <row r="677" customFormat="false" ht="15.75" hidden="false" customHeight="false" outlineLevel="0" collapsed="false">
      <c r="A677" s="12"/>
      <c r="B677" s="34"/>
      <c r="C677" s="12"/>
      <c r="D677" s="12"/>
      <c r="E677" s="12"/>
      <c r="F677" s="12"/>
      <c r="G677" s="18"/>
      <c r="H677" s="35"/>
      <c r="I677" s="12"/>
      <c r="M677" s="12"/>
      <c r="N677" s="18"/>
      <c r="O677" s="12"/>
      <c r="P677" s="12"/>
      <c r="Q677" s="12"/>
      <c r="R677" s="36"/>
      <c r="S677" s="36"/>
      <c r="T677" s="12"/>
      <c r="U677" s="12"/>
      <c r="V677" s="12"/>
      <c r="W677" s="12"/>
      <c r="X677" s="12"/>
    </row>
    <row r="678" customFormat="false" ht="15.75" hidden="false" customHeight="false" outlineLevel="0" collapsed="false">
      <c r="A678" s="12"/>
      <c r="B678" s="34"/>
      <c r="C678" s="12"/>
      <c r="D678" s="12"/>
      <c r="E678" s="12"/>
      <c r="F678" s="12"/>
      <c r="G678" s="18"/>
      <c r="H678" s="35"/>
      <c r="I678" s="12"/>
      <c r="M678" s="12"/>
      <c r="N678" s="18"/>
      <c r="O678" s="12"/>
      <c r="P678" s="12"/>
      <c r="Q678" s="12"/>
      <c r="R678" s="36"/>
      <c r="S678" s="36"/>
      <c r="T678" s="12"/>
      <c r="U678" s="12"/>
      <c r="V678" s="12"/>
      <c r="W678" s="12"/>
      <c r="X678" s="12"/>
    </row>
    <row r="679" customFormat="false" ht="15.75" hidden="false" customHeight="false" outlineLevel="0" collapsed="false">
      <c r="A679" s="12"/>
      <c r="B679" s="34"/>
      <c r="C679" s="12"/>
      <c r="D679" s="12"/>
      <c r="E679" s="12"/>
      <c r="F679" s="12"/>
      <c r="G679" s="18"/>
      <c r="H679" s="35"/>
      <c r="I679" s="12"/>
      <c r="M679" s="12"/>
      <c r="N679" s="18"/>
      <c r="O679" s="12"/>
      <c r="P679" s="12"/>
      <c r="Q679" s="12"/>
      <c r="R679" s="36"/>
      <c r="S679" s="36"/>
      <c r="T679" s="12"/>
      <c r="U679" s="12"/>
      <c r="V679" s="12"/>
      <c r="W679" s="12"/>
      <c r="X679" s="12"/>
    </row>
    <row r="680" customFormat="false" ht="15.75" hidden="false" customHeight="false" outlineLevel="0" collapsed="false">
      <c r="A680" s="12"/>
      <c r="B680" s="34"/>
      <c r="C680" s="12"/>
      <c r="D680" s="12"/>
      <c r="E680" s="12"/>
      <c r="F680" s="12"/>
      <c r="G680" s="18"/>
      <c r="H680" s="35"/>
      <c r="I680" s="12"/>
      <c r="M680" s="12"/>
      <c r="N680" s="18"/>
      <c r="O680" s="12"/>
      <c r="P680" s="12"/>
      <c r="Q680" s="12"/>
      <c r="R680" s="36"/>
      <c r="S680" s="36"/>
      <c r="T680" s="12"/>
      <c r="U680" s="12"/>
      <c r="V680" s="12"/>
      <c r="W680" s="12"/>
      <c r="X680" s="12"/>
    </row>
    <row r="681" customFormat="false" ht="15.75" hidden="false" customHeight="false" outlineLevel="0" collapsed="false">
      <c r="A681" s="12"/>
      <c r="B681" s="34"/>
      <c r="C681" s="12"/>
      <c r="D681" s="12"/>
      <c r="E681" s="12"/>
      <c r="F681" s="12"/>
      <c r="G681" s="18"/>
      <c r="H681" s="35"/>
      <c r="I681" s="12"/>
      <c r="M681" s="12"/>
      <c r="N681" s="18"/>
      <c r="O681" s="12"/>
      <c r="P681" s="12"/>
      <c r="Q681" s="12"/>
      <c r="R681" s="36"/>
      <c r="S681" s="36"/>
      <c r="T681" s="12"/>
      <c r="U681" s="12"/>
      <c r="V681" s="12"/>
      <c r="W681" s="12"/>
      <c r="X681" s="12"/>
    </row>
    <row r="682" customFormat="false" ht="15.75" hidden="false" customHeight="false" outlineLevel="0" collapsed="false">
      <c r="A682" s="12"/>
      <c r="B682" s="34"/>
      <c r="C682" s="12"/>
      <c r="D682" s="12"/>
      <c r="E682" s="12"/>
      <c r="F682" s="12"/>
      <c r="G682" s="18"/>
      <c r="H682" s="35"/>
      <c r="I682" s="12"/>
      <c r="M682" s="12"/>
      <c r="N682" s="18"/>
      <c r="O682" s="12"/>
      <c r="P682" s="12"/>
      <c r="Q682" s="12"/>
      <c r="R682" s="36"/>
      <c r="S682" s="36"/>
      <c r="T682" s="12"/>
      <c r="U682" s="12"/>
      <c r="V682" s="12"/>
      <c r="W682" s="12"/>
      <c r="X682" s="12"/>
    </row>
    <row r="683" customFormat="false" ht="15.75" hidden="false" customHeight="false" outlineLevel="0" collapsed="false">
      <c r="A683" s="12"/>
      <c r="B683" s="34"/>
      <c r="C683" s="12"/>
      <c r="D683" s="12"/>
      <c r="E683" s="12"/>
      <c r="F683" s="12"/>
      <c r="G683" s="18"/>
      <c r="H683" s="35"/>
      <c r="I683" s="12"/>
      <c r="M683" s="12"/>
      <c r="N683" s="18"/>
      <c r="O683" s="12"/>
      <c r="P683" s="12"/>
      <c r="Q683" s="12"/>
      <c r="R683" s="36"/>
      <c r="S683" s="36"/>
      <c r="T683" s="12"/>
      <c r="U683" s="12"/>
      <c r="V683" s="12"/>
      <c r="W683" s="12"/>
      <c r="X683" s="12"/>
    </row>
    <row r="684" customFormat="false" ht="15.75" hidden="false" customHeight="false" outlineLevel="0" collapsed="false">
      <c r="A684" s="12"/>
      <c r="B684" s="34"/>
      <c r="C684" s="12"/>
      <c r="D684" s="12"/>
      <c r="E684" s="12"/>
      <c r="F684" s="12"/>
      <c r="G684" s="18"/>
      <c r="H684" s="35"/>
      <c r="I684" s="12"/>
      <c r="M684" s="12"/>
      <c r="N684" s="18"/>
      <c r="O684" s="12"/>
      <c r="P684" s="12"/>
      <c r="Q684" s="12"/>
      <c r="R684" s="36"/>
      <c r="S684" s="36"/>
      <c r="T684" s="12"/>
      <c r="U684" s="12"/>
      <c r="V684" s="12"/>
      <c r="W684" s="12"/>
      <c r="X684" s="12"/>
    </row>
    <row r="685" customFormat="false" ht="15.75" hidden="false" customHeight="false" outlineLevel="0" collapsed="false">
      <c r="A685" s="12"/>
      <c r="B685" s="34"/>
      <c r="C685" s="12"/>
      <c r="D685" s="12"/>
      <c r="E685" s="12"/>
      <c r="F685" s="12"/>
      <c r="G685" s="18"/>
      <c r="H685" s="35"/>
      <c r="I685" s="12"/>
      <c r="M685" s="12"/>
      <c r="N685" s="18"/>
      <c r="O685" s="12"/>
      <c r="P685" s="12"/>
      <c r="Q685" s="12"/>
      <c r="R685" s="36"/>
      <c r="S685" s="36"/>
      <c r="T685" s="12"/>
      <c r="U685" s="12"/>
      <c r="V685" s="12"/>
      <c r="W685" s="12"/>
      <c r="X685" s="12"/>
    </row>
    <row r="686" customFormat="false" ht="15.75" hidden="false" customHeight="false" outlineLevel="0" collapsed="false">
      <c r="A686" s="12"/>
      <c r="B686" s="34"/>
      <c r="C686" s="12"/>
      <c r="D686" s="12"/>
      <c r="E686" s="12"/>
      <c r="F686" s="12"/>
      <c r="G686" s="18"/>
      <c r="H686" s="35"/>
      <c r="I686" s="12"/>
      <c r="M686" s="12"/>
      <c r="N686" s="18"/>
      <c r="O686" s="12"/>
      <c r="P686" s="12"/>
      <c r="Q686" s="12"/>
      <c r="R686" s="36"/>
      <c r="S686" s="36"/>
      <c r="T686" s="12"/>
      <c r="U686" s="12"/>
      <c r="V686" s="12"/>
      <c r="W686" s="12"/>
      <c r="X686" s="12"/>
    </row>
    <row r="687" customFormat="false" ht="15.75" hidden="false" customHeight="false" outlineLevel="0" collapsed="false">
      <c r="A687" s="12"/>
      <c r="B687" s="34"/>
      <c r="C687" s="12"/>
      <c r="D687" s="12"/>
      <c r="E687" s="12"/>
      <c r="F687" s="12"/>
      <c r="G687" s="18"/>
      <c r="H687" s="35"/>
      <c r="I687" s="12"/>
      <c r="M687" s="12"/>
      <c r="N687" s="18"/>
      <c r="O687" s="12"/>
      <c r="P687" s="12"/>
      <c r="Q687" s="12"/>
      <c r="R687" s="36"/>
      <c r="S687" s="36"/>
      <c r="T687" s="12"/>
      <c r="U687" s="12"/>
      <c r="V687" s="12"/>
      <c r="W687" s="12"/>
      <c r="X687" s="12"/>
    </row>
    <row r="688" customFormat="false" ht="15.75" hidden="false" customHeight="false" outlineLevel="0" collapsed="false">
      <c r="A688" s="12"/>
      <c r="B688" s="34"/>
      <c r="C688" s="12"/>
      <c r="D688" s="12"/>
      <c r="E688" s="12"/>
      <c r="F688" s="12"/>
      <c r="G688" s="18"/>
      <c r="H688" s="35"/>
      <c r="I688" s="12"/>
      <c r="M688" s="12"/>
      <c r="N688" s="18"/>
      <c r="O688" s="12"/>
      <c r="P688" s="12"/>
      <c r="Q688" s="12"/>
      <c r="R688" s="36"/>
      <c r="S688" s="36"/>
      <c r="T688" s="12"/>
      <c r="U688" s="12"/>
      <c r="V688" s="12"/>
      <c r="W688" s="12"/>
      <c r="X688" s="12"/>
    </row>
    <row r="689" customFormat="false" ht="15.75" hidden="false" customHeight="false" outlineLevel="0" collapsed="false">
      <c r="A689" s="12"/>
      <c r="B689" s="34"/>
      <c r="C689" s="12"/>
      <c r="D689" s="12"/>
      <c r="E689" s="12"/>
      <c r="F689" s="12"/>
      <c r="G689" s="18"/>
      <c r="H689" s="35"/>
      <c r="I689" s="12"/>
      <c r="M689" s="12"/>
      <c r="N689" s="18"/>
      <c r="O689" s="12"/>
      <c r="P689" s="12"/>
      <c r="Q689" s="12"/>
      <c r="R689" s="36"/>
      <c r="S689" s="36"/>
      <c r="T689" s="12"/>
      <c r="U689" s="12"/>
      <c r="V689" s="12"/>
      <c r="W689" s="12"/>
      <c r="X689" s="12"/>
    </row>
    <row r="690" customFormat="false" ht="15.75" hidden="false" customHeight="false" outlineLevel="0" collapsed="false">
      <c r="A690" s="12"/>
      <c r="B690" s="34"/>
      <c r="C690" s="12"/>
      <c r="D690" s="12"/>
      <c r="E690" s="12"/>
      <c r="F690" s="12"/>
      <c r="G690" s="18"/>
      <c r="H690" s="35"/>
      <c r="I690" s="12"/>
      <c r="M690" s="12"/>
      <c r="N690" s="18"/>
      <c r="O690" s="12"/>
      <c r="P690" s="12"/>
      <c r="Q690" s="12"/>
      <c r="R690" s="36"/>
      <c r="S690" s="36"/>
      <c r="T690" s="12"/>
      <c r="U690" s="12"/>
      <c r="V690" s="12"/>
      <c r="W690" s="12"/>
      <c r="X690" s="12"/>
    </row>
    <row r="691" customFormat="false" ht="15.75" hidden="false" customHeight="false" outlineLevel="0" collapsed="false">
      <c r="A691" s="12"/>
      <c r="B691" s="34"/>
      <c r="C691" s="12"/>
      <c r="D691" s="12"/>
      <c r="E691" s="12"/>
      <c r="F691" s="12"/>
      <c r="G691" s="18"/>
      <c r="H691" s="35"/>
      <c r="I691" s="12"/>
      <c r="M691" s="12"/>
      <c r="N691" s="18"/>
      <c r="O691" s="12"/>
      <c r="P691" s="12"/>
      <c r="Q691" s="12"/>
      <c r="R691" s="36"/>
      <c r="S691" s="36"/>
      <c r="T691" s="12"/>
      <c r="U691" s="12"/>
      <c r="V691" s="12"/>
      <c r="W691" s="12"/>
      <c r="X691" s="12"/>
    </row>
    <row r="692" customFormat="false" ht="15.75" hidden="false" customHeight="false" outlineLevel="0" collapsed="false">
      <c r="A692" s="12"/>
      <c r="B692" s="34"/>
      <c r="C692" s="12"/>
      <c r="D692" s="12"/>
      <c r="E692" s="12"/>
      <c r="F692" s="12"/>
      <c r="G692" s="18"/>
      <c r="H692" s="35"/>
      <c r="I692" s="12"/>
      <c r="M692" s="12"/>
      <c r="N692" s="18"/>
      <c r="O692" s="12"/>
      <c r="P692" s="12"/>
      <c r="Q692" s="12"/>
      <c r="R692" s="36"/>
      <c r="S692" s="36"/>
      <c r="T692" s="12"/>
      <c r="U692" s="12"/>
      <c r="V692" s="12"/>
      <c r="W692" s="12"/>
      <c r="X692" s="12"/>
    </row>
    <row r="693" customFormat="false" ht="15.75" hidden="false" customHeight="false" outlineLevel="0" collapsed="false">
      <c r="A693" s="12"/>
      <c r="B693" s="34"/>
      <c r="C693" s="12"/>
      <c r="D693" s="12"/>
      <c r="E693" s="12"/>
      <c r="F693" s="12"/>
      <c r="G693" s="18"/>
      <c r="H693" s="35"/>
      <c r="I693" s="12"/>
      <c r="M693" s="12"/>
      <c r="N693" s="18"/>
      <c r="O693" s="12"/>
      <c r="P693" s="12"/>
      <c r="Q693" s="12"/>
      <c r="R693" s="36"/>
      <c r="S693" s="36"/>
      <c r="T693" s="12"/>
      <c r="U693" s="12"/>
      <c r="V693" s="12"/>
      <c r="W693" s="12"/>
      <c r="X693" s="12"/>
    </row>
    <row r="694" customFormat="false" ht="15.75" hidden="false" customHeight="false" outlineLevel="0" collapsed="false">
      <c r="A694" s="12"/>
      <c r="B694" s="34"/>
      <c r="C694" s="12"/>
      <c r="D694" s="12"/>
      <c r="E694" s="12"/>
      <c r="F694" s="12"/>
      <c r="G694" s="18"/>
      <c r="H694" s="35"/>
      <c r="I694" s="12"/>
      <c r="M694" s="12"/>
      <c r="N694" s="18"/>
      <c r="O694" s="12"/>
      <c r="P694" s="12"/>
      <c r="Q694" s="12"/>
      <c r="R694" s="36"/>
      <c r="S694" s="36"/>
      <c r="T694" s="12"/>
      <c r="U694" s="12"/>
      <c r="V694" s="12"/>
      <c r="W694" s="12"/>
      <c r="X694" s="12"/>
    </row>
    <row r="695" customFormat="false" ht="15.75" hidden="false" customHeight="false" outlineLevel="0" collapsed="false">
      <c r="A695" s="12"/>
      <c r="B695" s="34"/>
      <c r="C695" s="12"/>
      <c r="D695" s="12"/>
      <c r="E695" s="12"/>
      <c r="F695" s="12"/>
      <c r="G695" s="18"/>
      <c r="H695" s="35"/>
      <c r="I695" s="12"/>
      <c r="M695" s="12"/>
      <c r="N695" s="18"/>
      <c r="O695" s="12"/>
      <c r="P695" s="12"/>
      <c r="Q695" s="12"/>
      <c r="R695" s="36"/>
      <c r="S695" s="36"/>
      <c r="T695" s="12"/>
      <c r="U695" s="12"/>
      <c r="V695" s="12"/>
      <c r="W695" s="12"/>
      <c r="X695" s="12"/>
    </row>
    <row r="696" customFormat="false" ht="15.75" hidden="false" customHeight="false" outlineLevel="0" collapsed="false">
      <c r="A696" s="12"/>
      <c r="B696" s="34"/>
      <c r="C696" s="12"/>
      <c r="D696" s="12"/>
      <c r="E696" s="12"/>
      <c r="F696" s="12"/>
      <c r="G696" s="18"/>
      <c r="H696" s="35"/>
      <c r="I696" s="12"/>
      <c r="M696" s="12"/>
      <c r="N696" s="18"/>
      <c r="O696" s="12"/>
      <c r="P696" s="12"/>
      <c r="Q696" s="12"/>
      <c r="R696" s="36"/>
      <c r="S696" s="36"/>
      <c r="T696" s="12"/>
      <c r="U696" s="12"/>
      <c r="V696" s="12"/>
      <c r="W696" s="12"/>
      <c r="X696" s="12"/>
    </row>
    <row r="697" customFormat="false" ht="15.75" hidden="false" customHeight="false" outlineLevel="0" collapsed="false">
      <c r="A697" s="12"/>
      <c r="B697" s="34"/>
      <c r="C697" s="12"/>
      <c r="D697" s="12"/>
      <c r="E697" s="12"/>
      <c r="F697" s="12"/>
      <c r="G697" s="18"/>
      <c r="H697" s="35"/>
      <c r="I697" s="12"/>
      <c r="M697" s="12"/>
      <c r="N697" s="18"/>
      <c r="O697" s="12"/>
      <c r="P697" s="12"/>
      <c r="Q697" s="12"/>
      <c r="R697" s="36"/>
      <c r="S697" s="36"/>
      <c r="T697" s="12"/>
      <c r="U697" s="12"/>
      <c r="V697" s="12"/>
      <c r="W697" s="12"/>
      <c r="X697" s="12"/>
    </row>
    <row r="698" customFormat="false" ht="15.75" hidden="false" customHeight="false" outlineLevel="0" collapsed="false">
      <c r="A698" s="12"/>
      <c r="B698" s="34"/>
      <c r="C698" s="12"/>
      <c r="D698" s="12"/>
      <c r="E698" s="12"/>
      <c r="F698" s="12"/>
      <c r="G698" s="18"/>
      <c r="H698" s="35"/>
      <c r="I698" s="12"/>
      <c r="M698" s="12"/>
      <c r="N698" s="18"/>
      <c r="O698" s="12"/>
      <c r="P698" s="12"/>
      <c r="Q698" s="12"/>
      <c r="R698" s="36"/>
      <c r="S698" s="36"/>
      <c r="T698" s="12"/>
      <c r="U698" s="12"/>
      <c r="V698" s="12"/>
      <c r="W698" s="12"/>
      <c r="X698" s="12"/>
    </row>
    <row r="699" customFormat="false" ht="15.75" hidden="false" customHeight="false" outlineLevel="0" collapsed="false">
      <c r="A699" s="12"/>
      <c r="B699" s="34"/>
      <c r="C699" s="12"/>
      <c r="D699" s="12"/>
      <c r="E699" s="12"/>
      <c r="F699" s="12"/>
      <c r="G699" s="18"/>
      <c r="H699" s="35"/>
      <c r="I699" s="12"/>
      <c r="M699" s="12"/>
      <c r="N699" s="18"/>
      <c r="O699" s="12"/>
      <c r="P699" s="12"/>
      <c r="Q699" s="12"/>
      <c r="R699" s="36"/>
      <c r="S699" s="36"/>
      <c r="T699" s="12"/>
      <c r="U699" s="12"/>
      <c r="V699" s="12"/>
      <c r="W699" s="12"/>
      <c r="X699" s="12"/>
    </row>
    <row r="700" customFormat="false" ht="15.75" hidden="false" customHeight="false" outlineLevel="0" collapsed="false">
      <c r="A700" s="12"/>
      <c r="B700" s="34"/>
      <c r="C700" s="12"/>
      <c r="D700" s="12"/>
      <c r="E700" s="12"/>
      <c r="F700" s="12"/>
      <c r="G700" s="18"/>
      <c r="H700" s="35"/>
      <c r="I700" s="12"/>
      <c r="M700" s="12"/>
      <c r="N700" s="18"/>
      <c r="O700" s="12"/>
      <c r="P700" s="12"/>
      <c r="Q700" s="12"/>
      <c r="R700" s="36"/>
      <c r="S700" s="36"/>
      <c r="T700" s="12"/>
      <c r="U700" s="12"/>
      <c r="V700" s="12"/>
      <c r="W700" s="12"/>
      <c r="X700" s="12"/>
    </row>
    <row r="701" customFormat="false" ht="15.75" hidden="false" customHeight="false" outlineLevel="0" collapsed="false">
      <c r="A701" s="12"/>
      <c r="B701" s="34"/>
      <c r="C701" s="12"/>
      <c r="D701" s="12"/>
      <c r="E701" s="12"/>
      <c r="F701" s="12"/>
      <c r="G701" s="18"/>
      <c r="H701" s="35"/>
      <c r="I701" s="12"/>
      <c r="M701" s="12"/>
      <c r="N701" s="18"/>
      <c r="O701" s="12"/>
      <c r="P701" s="12"/>
      <c r="Q701" s="12"/>
      <c r="R701" s="36"/>
      <c r="S701" s="36"/>
      <c r="T701" s="12"/>
      <c r="U701" s="12"/>
      <c r="V701" s="12"/>
      <c r="W701" s="12"/>
      <c r="X701" s="12"/>
    </row>
    <row r="702" customFormat="false" ht="15.75" hidden="false" customHeight="false" outlineLevel="0" collapsed="false">
      <c r="A702" s="12"/>
      <c r="B702" s="34"/>
      <c r="C702" s="12"/>
      <c r="D702" s="12"/>
      <c r="E702" s="12"/>
      <c r="F702" s="12"/>
      <c r="G702" s="18"/>
      <c r="H702" s="35"/>
      <c r="I702" s="12"/>
      <c r="M702" s="12"/>
      <c r="N702" s="18"/>
      <c r="O702" s="12"/>
      <c r="P702" s="12"/>
      <c r="Q702" s="12"/>
      <c r="R702" s="36"/>
      <c r="S702" s="36"/>
      <c r="T702" s="12"/>
      <c r="U702" s="12"/>
      <c r="V702" s="12"/>
      <c r="W702" s="12"/>
      <c r="X702" s="12"/>
    </row>
    <row r="703" customFormat="false" ht="15.75" hidden="false" customHeight="false" outlineLevel="0" collapsed="false">
      <c r="A703" s="12"/>
      <c r="B703" s="34"/>
      <c r="C703" s="12"/>
      <c r="D703" s="12"/>
      <c r="E703" s="12"/>
      <c r="F703" s="12"/>
      <c r="G703" s="18"/>
      <c r="H703" s="35"/>
      <c r="I703" s="12"/>
      <c r="M703" s="12"/>
      <c r="N703" s="18"/>
      <c r="O703" s="12"/>
      <c r="P703" s="12"/>
      <c r="Q703" s="12"/>
      <c r="R703" s="36"/>
      <c r="S703" s="36"/>
      <c r="T703" s="12"/>
      <c r="U703" s="12"/>
      <c r="V703" s="12"/>
      <c r="W703" s="12"/>
      <c r="X703" s="12"/>
    </row>
    <row r="704" customFormat="false" ht="15.75" hidden="false" customHeight="false" outlineLevel="0" collapsed="false">
      <c r="A704" s="12"/>
      <c r="B704" s="34"/>
      <c r="C704" s="12"/>
      <c r="D704" s="12"/>
      <c r="E704" s="12"/>
      <c r="F704" s="12"/>
      <c r="G704" s="18"/>
      <c r="H704" s="35"/>
      <c r="I704" s="12"/>
      <c r="M704" s="12"/>
      <c r="N704" s="18"/>
      <c r="O704" s="12"/>
      <c r="P704" s="12"/>
      <c r="Q704" s="12"/>
      <c r="R704" s="36"/>
      <c r="S704" s="36"/>
      <c r="T704" s="12"/>
      <c r="U704" s="12"/>
      <c r="V704" s="12"/>
      <c r="W704" s="12"/>
      <c r="X704" s="12"/>
    </row>
    <row r="705" customFormat="false" ht="15.75" hidden="false" customHeight="false" outlineLevel="0" collapsed="false">
      <c r="A705" s="12"/>
      <c r="B705" s="34"/>
      <c r="C705" s="12"/>
      <c r="D705" s="12"/>
      <c r="E705" s="12"/>
      <c r="F705" s="12"/>
      <c r="G705" s="18"/>
      <c r="H705" s="35"/>
      <c r="I705" s="12"/>
      <c r="M705" s="12"/>
      <c r="N705" s="18"/>
      <c r="O705" s="12"/>
      <c r="P705" s="12"/>
      <c r="Q705" s="12"/>
      <c r="R705" s="36"/>
      <c r="S705" s="36"/>
      <c r="T705" s="12"/>
      <c r="U705" s="12"/>
      <c r="V705" s="12"/>
      <c r="W705" s="12"/>
      <c r="X705" s="12"/>
    </row>
    <row r="706" customFormat="false" ht="15.75" hidden="false" customHeight="false" outlineLevel="0" collapsed="false">
      <c r="A706" s="12"/>
      <c r="B706" s="34"/>
      <c r="C706" s="12"/>
      <c r="D706" s="12"/>
      <c r="E706" s="12"/>
      <c r="F706" s="12"/>
      <c r="G706" s="18"/>
      <c r="H706" s="35"/>
      <c r="I706" s="12"/>
      <c r="M706" s="12"/>
      <c r="N706" s="18"/>
      <c r="O706" s="12"/>
      <c r="P706" s="12"/>
      <c r="Q706" s="12"/>
      <c r="R706" s="36"/>
      <c r="S706" s="36"/>
      <c r="T706" s="12"/>
      <c r="U706" s="12"/>
      <c r="V706" s="12"/>
      <c r="W706" s="12"/>
      <c r="X706" s="12"/>
    </row>
    <row r="707" customFormat="false" ht="15.75" hidden="false" customHeight="false" outlineLevel="0" collapsed="false">
      <c r="A707" s="12"/>
      <c r="B707" s="34"/>
      <c r="C707" s="12"/>
      <c r="D707" s="12"/>
      <c r="E707" s="12"/>
      <c r="F707" s="12"/>
      <c r="G707" s="18"/>
      <c r="H707" s="35"/>
      <c r="I707" s="12"/>
      <c r="M707" s="12"/>
      <c r="N707" s="18"/>
      <c r="O707" s="12"/>
      <c r="P707" s="12"/>
      <c r="Q707" s="12"/>
      <c r="R707" s="36"/>
      <c r="S707" s="36"/>
      <c r="T707" s="12"/>
      <c r="U707" s="12"/>
      <c r="V707" s="12"/>
      <c r="W707" s="12"/>
      <c r="X707" s="12"/>
    </row>
    <row r="708" customFormat="false" ht="15.75" hidden="false" customHeight="false" outlineLevel="0" collapsed="false">
      <c r="A708" s="12"/>
      <c r="B708" s="34"/>
      <c r="C708" s="12"/>
      <c r="D708" s="12"/>
      <c r="E708" s="12"/>
      <c r="F708" s="12"/>
      <c r="G708" s="18"/>
      <c r="H708" s="35"/>
      <c r="I708" s="12"/>
      <c r="M708" s="12"/>
      <c r="N708" s="18"/>
      <c r="O708" s="12"/>
      <c r="P708" s="12"/>
      <c r="Q708" s="12"/>
      <c r="R708" s="36"/>
      <c r="S708" s="36"/>
      <c r="T708" s="12"/>
      <c r="U708" s="12"/>
      <c r="V708" s="12"/>
      <c r="W708" s="12"/>
      <c r="X708" s="12"/>
    </row>
    <row r="709" customFormat="false" ht="15.75" hidden="false" customHeight="false" outlineLevel="0" collapsed="false">
      <c r="A709" s="12"/>
      <c r="B709" s="34"/>
      <c r="C709" s="12"/>
      <c r="D709" s="12"/>
      <c r="E709" s="12"/>
      <c r="F709" s="12"/>
      <c r="G709" s="18"/>
      <c r="H709" s="35"/>
      <c r="I709" s="12"/>
      <c r="M709" s="12"/>
      <c r="N709" s="18"/>
      <c r="O709" s="12"/>
      <c r="P709" s="12"/>
      <c r="Q709" s="12"/>
      <c r="R709" s="36"/>
      <c r="S709" s="36"/>
      <c r="T709" s="12"/>
      <c r="U709" s="12"/>
      <c r="V709" s="12"/>
      <c r="W709" s="12"/>
      <c r="X709" s="12"/>
    </row>
    <row r="710" customFormat="false" ht="15.75" hidden="false" customHeight="false" outlineLevel="0" collapsed="false">
      <c r="A710" s="12"/>
      <c r="B710" s="34"/>
      <c r="C710" s="12"/>
      <c r="D710" s="12"/>
      <c r="E710" s="12"/>
      <c r="F710" s="12"/>
      <c r="G710" s="18"/>
      <c r="H710" s="35"/>
      <c r="I710" s="12"/>
      <c r="M710" s="12"/>
      <c r="N710" s="18"/>
      <c r="O710" s="12"/>
      <c r="P710" s="12"/>
      <c r="Q710" s="12"/>
      <c r="R710" s="36"/>
      <c r="S710" s="36"/>
      <c r="T710" s="12"/>
      <c r="U710" s="12"/>
      <c r="V710" s="12"/>
      <c r="W710" s="12"/>
      <c r="X710" s="12"/>
    </row>
    <row r="711" customFormat="false" ht="15.75" hidden="false" customHeight="false" outlineLevel="0" collapsed="false">
      <c r="A711" s="12"/>
      <c r="B711" s="34"/>
      <c r="C711" s="12"/>
      <c r="D711" s="12"/>
      <c r="E711" s="12"/>
      <c r="F711" s="12"/>
      <c r="G711" s="18"/>
      <c r="H711" s="35"/>
      <c r="I711" s="12"/>
      <c r="M711" s="12"/>
      <c r="N711" s="18"/>
      <c r="O711" s="12"/>
      <c r="P711" s="12"/>
      <c r="Q711" s="12"/>
      <c r="R711" s="36"/>
      <c r="S711" s="36"/>
      <c r="T711" s="12"/>
      <c r="U711" s="12"/>
      <c r="V711" s="12"/>
      <c r="W711" s="12"/>
      <c r="X711" s="12"/>
    </row>
    <row r="712" customFormat="false" ht="15.75" hidden="false" customHeight="false" outlineLevel="0" collapsed="false">
      <c r="A712" s="12"/>
      <c r="B712" s="34"/>
      <c r="C712" s="12"/>
      <c r="D712" s="12"/>
      <c r="E712" s="12"/>
      <c r="F712" s="12"/>
      <c r="G712" s="18"/>
      <c r="H712" s="35"/>
      <c r="I712" s="12"/>
      <c r="M712" s="12"/>
      <c r="N712" s="18"/>
      <c r="O712" s="12"/>
      <c r="P712" s="12"/>
      <c r="Q712" s="12"/>
      <c r="R712" s="36"/>
      <c r="S712" s="36"/>
      <c r="T712" s="12"/>
      <c r="U712" s="12"/>
      <c r="V712" s="12"/>
      <c r="W712" s="12"/>
      <c r="X712" s="12"/>
    </row>
    <row r="713" customFormat="false" ht="15.75" hidden="false" customHeight="false" outlineLevel="0" collapsed="false">
      <c r="A713" s="12"/>
      <c r="B713" s="34"/>
      <c r="C713" s="12"/>
      <c r="D713" s="12"/>
      <c r="E713" s="12"/>
      <c r="F713" s="12"/>
      <c r="G713" s="18"/>
      <c r="H713" s="35"/>
      <c r="I713" s="12"/>
      <c r="M713" s="12"/>
      <c r="N713" s="18"/>
      <c r="O713" s="12"/>
      <c r="P713" s="12"/>
      <c r="Q713" s="12"/>
      <c r="R713" s="36"/>
      <c r="S713" s="36"/>
      <c r="T713" s="12"/>
      <c r="U713" s="12"/>
      <c r="V713" s="12"/>
      <c r="W713" s="12"/>
      <c r="X713" s="12"/>
    </row>
    <row r="714" customFormat="false" ht="15.75" hidden="false" customHeight="false" outlineLevel="0" collapsed="false">
      <c r="A714" s="12"/>
      <c r="B714" s="34"/>
      <c r="C714" s="12"/>
      <c r="D714" s="12"/>
      <c r="E714" s="12"/>
      <c r="F714" s="12"/>
      <c r="G714" s="18"/>
      <c r="H714" s="35"/>
      <c r="I714" s="12"/>
      <c r="M714" s="12"/>
      <c r="N714" s="18"/>
      <c r="O714" s="12"/>
      <c r="P714" s="12"/>
      <c r="Q714" s="12"/>
      <c r="R714" s="36"/>
      <c r="S714" s="36"/>
      <c r="T714" s="12"/>
      <c r="U714" s="12"/>
      <c r="V714" s="12"/>
      <c r="W714" s="12"/>
      <c r="X714" s="12"/>
    </row>
    <row r="715" customFormat="false" ht="15.75" hidden="false" customHeight="false" outlineLevel="0" collapsed="false">
      <c r="A715" s="12"/>
      <c r="B715" s="34"/>
      <c r="C715" s="12"/>
      <c r="D715" s="12"/>
      <c r="E715" s="12"/>
      <c r="F715" s="12"/>
      <c r="G715" s="18"/>
      <c r="H715" s="35"/>
      <c r="I715" s="12"/>
      <c r="M715" s="12"/>
      <c r="N715" s="18"/>
      <c r="O715" s="12"/>
      <c r="P715" s="12"/>
      <c r="Q715" s="12"/>
      <c r="R715" s="36"/>
      <c r="S715" s="36"/>
      <c r="T715" s="12"/>
      <c r="U715" s="12"/>
      <c r="V715" s="12"/>
      <c r="W715" s="12"/>
      <c r="X715" s="12"/>
    </row>
    <row r="716" customFormat="false" ht="15.75" hidden="false" customHeight="false" outlineLevel="0" collapsed="false">
      <c r="A716" s="12"/>
      <c r="B716" s="34"/>
      <c r="C716" s="12"/>
      <c r="D716" s="12"/>
      <c r="E716" s="12"/>
      <c r="F716" s="12"/>
      <c r="G716" s="18"/>
      <c r="H716" s="35"/>
      <c r="I716" s="12"/>
      <c r="M716" s="12"/>
      <c r="N716" s="18"/>
      <c r="O716" s="12"/>
      <c r="P716" s="12"/>
      <c r="Q716" s="12"/>
      <c r="R716" s="36"/>
      <c r="S716" s="36"/>
      <c r="T716" s="12"/>
      <c r="U716" s="12"/>
      <c r="V716" s="12"/>
      <c r="W716" s="12"/>
      <c r="X716" s="12"/>
    </row>
    <row r="717" customFormat="false" ht="15.75" hidden="false" customHeight="false" outlineLevel="0" collapsed="false">
      <c r="A717" s="12"/>
      <c r="B717" s="34"/>
      <c r="C717" s="12"/>
      <c r="D717" s="12"/>
      <c r="E717" s="12"/>
      <c r="F717" s="12"/>
      <c r="G717" s="18"/>
      <c r="H717" s="35"/>
      <c r="I717" s="12"/>
      <c r="M717" s="12"/>
      <c r="N717" s="18"/>
      <c r="O717" s="12"/>
      <c r="P717" s="12"/>
      <c r="Q717" s="12"/>
      <c r="R717" s="36"/>
      <c r="S717" s="36"/>
      <c r="T717" s="12"/>
      <c r="U717" s="12"/>
      <c r="V717" s="12"/>
      <c r="W717" s="12"/>
      <c r="X717" s="12"/>
    </row>
    <row r="718" customFormat="false" ht="15.75" hidden="false" customHeight="false" outlineLevel="0" collapsed="false">
      <c r="A718" s="12"/>
      <c r="B718" s="34"/>
      <c r="C718" s="12"/>
      <c r="D718" s="12"/>
      <c r="E718" s="12"/>
      <c r="F718" s="12"/>
      <c r="G718" s="18"/>
      <c r="H718" s="35"/>
      <c r="I718" s="12"/>
      <c r="M718" s="12"/>
      <c r="N718" s="18"/>
      <c r="O718" s="12"/>
      <c r="P718" s="12"/>
      <c r="Q718" s="12"/>
      <c r="R718" s="36"/>
      <c r="S718" s="36"/>
      <c r="T718" s="12"/>
      <c r="U718" s="12"/>
      <c r="V718" s="12"/>
      <c r="W718" s="12"/>
      <c r="X718" s="12"/>
    </row>
    <row r="719" customFormat="false" ht="15.75" hidden="false" customHeight="false" outlineLevel="0" collapsed="false">
      <c r="A719" s="12"/>
      <c r="B719" s="34"/>
      <c r="C719" s="12"/>
      <c r="D719" s="12"/>
      <c r="E719" s="12"/>
      <c r="F719" s="12"/>
      <c r="G719" s="18"/>
      <c r="H719" s="35"/>
      <c r="I719" s="12"/>
      <c r="M719" s="12"/>
      <c r="N719" s="18"/>
      <c r="O719" s="12"/>
      <c r="P719" s="12"/>
      <c r="Q719" s="12"/>
      <c r="R719" s="36"/>
      <c r="S719" s="36"/>
      <c r="T719" s="12"/>
      <c r="U719" s="12"/>
      <c r="V719" s="12"/>
      <c r="W719" s="12"/>
      <c r="X719" s="12"/>
    </row>
    <row r="720" customFormat="false" ht="15.75" hidden="false" customHeight="false" outlineLevel="0" collapsed="false">
      <c r="A720" s="12"/>
      <c r="B720" s="34"/>
      <c r="C720" s="12"/>
      <c r="D720" s="12"/>
      <c r="E720" s="12"/>
      <c r="F720" s="12"/>
      <c r="G720" s="18"/>
      <c r="H720" s="35"/>
      <c r="I720" s="12"/>
      <c r="M720" s="12"/>
      <c r="N720" s="18"/>
      <c r="O720" s="12"/>
      <c r="P720" s="12"/>
      <c r="Q720" s="12"/>
      <c r="R720" s="36"/>
      <c r="S720" s="36"/>
      <c r="T720" s="12"/>
      <c r="U720" s="12"/>
      <c r="V720" s="12"/>
      <c r="W720" s="12"/>
      <c r="X720" s="12"/>
    </row>
    <row r="721" customFormat="false" ht="15.75" hidden="false" customHeight="false" outlineLevel="0" collapsed="false">
      <c r="A721" s="12"/>
      <c r="B721" s="34"/>
      <c r="C721" s="12"/>
      <c r="D721" s="12"/>
      <c r="E721" s="12"/>
      <c r="F721" s="12"/>
      <c r="G721" s="18"/>
      <c r="H721" s="35"/>
      <c r="I721" s="12"/>
      <c r="M721" s="12"/>
      <c r="N721" s="18"/>
      <c r="O721" s="12"/>
      <c r="P721" s="12"/>
      <c r="Q721" s="12"/>
      <c r="R721" s="36"/>
      <c r="S721" s="36"/>
      <c r="T721" s="12"/>
      <c r="U721" s="12"/>
      <c r="V721" s="12"/>
      <c r="W721" s="12"/>
      <c r="X721" s="12"/>
    </row>
    <row r="722" customFormat="false" ht="15.75" hidden="false" customHeight="false" outlineLevel="0" collapsed="false">
      <c r="A722" s="12"/>
      <c r="B722" s="34"/>
      <c r="C722" s="12"/>
      <c r="D722" s="12"/>
      <c r="E722" s="12"/>
      <c r="F722" s="12"/>
      <c r="G722" s="18"/>
      <c r="H722" s="35"/>
      <c r="I722" s="12"/>
      <c r="M722" s="12"/>
      <c r="N722" s="18"/>
      <c r="O722" s="12"/>
      <c r="P722" s="12"/>
      <c r="Q722" s="12"/>
      <c r="R722" s="36"/>
      <c r="S722" s="36"/>
      <c r="T722" s="12"/>
      <c r="U722" s="12"/>
      <c r="V722" s="12"/>
      <c r="W722" s="12"/>
      <c r="X722" s="12"/>
    </row>
    <row r="723" customFormat="false" ht="15.75" hidden="false" customHeight="false" outlineLevel="0" collapsed="false">
      <c r="A723" s="12"/>
      <c r="B723" s="34"/>
      <c r="C723" s="12"/>
      <c r="D723" s="12"/>
      <c r="E723" s="12"/>
      <c r="F723" s="12"/>
      <c r="G723" s="18"/>
      <c r="H723" s="35"/>
      <c r="I723" s="12"/>
      <c r="M723" s="12"/>
      <c r="N723" s="18"/>
      <c r="O723" s="12"/>
      <c r="P723" s="12"/>
      <c r="Q723" s="12"/>
      <c r="R723" s="36"/>
      <c r="S723" s="36"/>
      <c r="T723" s="12"/>
      <c r="U723" s="12"/>
      <c r="V723" s="12"/>
      <c r="W723" s="12"/>
      <c r="X723" s="12"/>
    </row>
    <row r="724" customFormat="false" ht="15.75" hidden="false" customHeight="false" outlineLevel="0" collapsed="false">
      <c r="A724" s="12"/>
      <c r="B724" s="34"/>
      <c r="C724" s="12"/>
      <c r="D724" s="12"/>
      <c r="E724" s="12"/>
      <c r="F724" s="12"/>
      <c r="G724" s="18"/>
      <c r="H724" s="35"/>
      <c r="I724" s="12"/>
      <c r="M724" s="12"/>
      <c r="N724" s="18"/>
      <c r="O724" s="12"/>
      <c r="P724" s="12"/>
      <c r="Q724" s="12"/>
      <c r="R724" s="36"/>
      <c r="S724" s="36"/>
      <c r="T724" s="12"/>
      <c r="U724" s="12"/>
      <c r="V724" s="12"/>
      <c r="W724" s="12"/>
      <c r="X724" s="12"/>
    </row>
    <row r="725" customFormat="false" ht="15.75" hidden="false" customHeight="false" outlineLevel="0" collapsed="false">
      <c r="A725" s="12"/>
      <c r="B725" s="34"/>
      <c r="C725" s="12"/>
      <c r="D725" s="12"/>
      <c r="E725" s="12"/>
      <c r="F725" s="12"/>
      <c r="G725" s="18"/>
      <c r="H725" s="35"/>
      <c r="I725" s="12"/>
      <c r="M725" s="12"/>
      <c r="N725" s="18"/>
      <c r="O725" s="12"/>
      <c r="P725" s="12"/>
      <c r="Q725" s="12"/>
      <c r="R725" s="36"/>
      <c r="S725" s="36"/>
      <c r="T725" s="12"/>
      <c r="U725" s="12"/>
      <c r="V725" s="12"/>
      <c r="W725" s="12"/>
      <c r="X725" s="12"/>
    </row>
    <row r="726" customFormat="false" ht="15.75" hidden="false" customHeight="false" outlineLevel="0" collapsed="false">
      <c r="A726" s="12"/>
      <c r="B726" s="34"/>
      <c r="C726" s="12"/>
      <c r="D726" s="12"/>
      <c r="E726" s="12"/>
      <c r="F726" s="12"/>
      <c r="G726" s="18"/>
      <c r="H726" s="35"/>
      <c r="I726" s="12"/>
      <c r="M726" s="12"/>
      <c r="N726" s="18"/>
      <c r="O726" s="12"/>
      <c r="P726" s="12"/>
      <c r="Q726" s="12"/>
      <c r="R726" s="36"/>
      <c r="S726" s="36"/>
      <c r="T726" s="12"/>
      <c r="U726" s="12"/>
      <c r="V726" s="12"/>
      <c r="W726" s="12"/>
      <c r="X726" s="12"/>
    </row>
    <row r="727" customFormat="false" ht="15.75" hidden="false" customHeight="false" outlineLevel="0" collapsed="false">
      <c r="A727" s="12"/>
      <c r="B727" s="34"/>
      <c r="C727" s="12"/>
      <c r="D727" s="12"/>
      <c r="E727" s="12"/>
      <c r="F727" s="12"/>
      <c r="G727" s="18"/>
      <c r="H727" s="35"/>
      <c r="I727" s="12"/>
      <c r="M727" s="12"/>
      <c r="N727" s="18"/>
      <c r="O727" s="12"/>
      <c r="P727" s="12"/>
      <c r="Q727" s="12"/>
      <c r="R727" s="36"/>
      <c r="S727" s="36"/>
      <c r="T727" s="12"/>
      <c r="U727" s="12"/>
      <c r="V727" s="12"/>
      <c r="W727" s="12"/>
      <c r="X727" s="12"/>
    </row>
    <row r="728" customFormat="false" ht="15.75" hidden="false" customHeight="false" outlineLevel="0" collapsed="false">
      <c r="A728" s="12"/>
      <c r="B728" s="34"/>
      <c r="C728" s="12"/>
      <c r="D728" s="12"/>
      <c r="E728" s="12"/>
      <c r="F728" s="12"/>
      <c r="G728" s="18"/>
      <c r="H728" s="35"/>
      <c r="I728" s="12"/>
      <c r="M728" s="12"/>
      <c r="N728" s="18"/>
      <c r="O728" s="12"/>
      <c r="P728" s="12"/>
      <c r="Q728" s="12"/>
      <c r="R728" s="36"/>
      <c r="S728" s="36"/>
      <c r="T728" s="12"/>
      <c r="U728" s="12"/>
      <c r="V728" s="12"/>
      <c r="W728" s="12"/>
      <c r="X728" s="12"/>
    </row>
    <row r="729" customFormat="false" ht="15.75" hidden="false" customHeight="false" outlineLevel="0" collapsed="false">
      <c r="A729" s="12"/>
      <c r="B729" s="34"/>
      <c r="C729" s="12"/>
      <c r="D729" s="12"/>
      <c r="E729" s="12"/>
      <c r="F729" s="12"/>
      <c r="G729" s="18"/>
      <c r="H729" s="35"/>
      <c r="I729" s="12"/>
      <c r="M729" s="12"/>
      <c r="N729" s="18"/>
      <c r="O729" s="12"/>
      <c r="P729" s="12"/>
      <c r="Q729" s="12"/>
      <c r="R729" s="36"/>
      <c r="S729" s="36"/>
      <c r="T729" s="12"/>
      <c r="U729" s="12"/>
      <c r="V729" s="12"/>
      <c r="W729" s="12"/>
      <c r="X729" s="12"/>
    </row>
    <row r="730" customFormat="false" ht="15.75" hidden="false" customHeight="false" outlineLevel="0" collapsed="false">
      <c r="A730" s="12"/>
      <c r="B730" s="34"/>
      <c r="C730" s="12"/>
      <c r="D730" s="12"/>
      <c r="E730" s="12"/>
      <c r="F730" s="12"/>
      <c r="G730" s="18"/>
      <c r="H730" s="35"/>
      <c r="I730" s="12"/>
      <c r="M730" s="12"/>
      <c r="N730" s="18"/>
      <c r="O730" s="12"/>
      <c r="P730" s="12"/>
      <c r="Q730" s="12"/>
      <c r="R730" s="36"/>
      <c r="S730" s="36"/>
      <c r="T730" s="12"/>
      <c r="U730" s="12"/>
      <c r="V730" s="12"/>
      <c r="W730" s="12"/>
      <c r="X730" s="12"/>
    </row>
    <row r="731" customFormat="false" ht="15.75" hidden="false" customHeight="false" outlineLevel="0" collapsed="false">
      <c r="A731" s="12"/>
      <c r="B731" s="34"/>
      <c r="C731" s="12"/>
      <c r="D731" s="12"/>
      <c r="E731" s="12"/>
      <c r="F731" s="12"/>
      <c r="G731" s="18"/>
      <c r="H731" s="35"/>
      <c r="I731" s="12"/>
      <c r="M731" s="12"/>
      <c r="N731" s="18"/>
      <c r="O731" s="12"/>
      <c r="P731" s="12"/>
      <c r="Q731" s="12"/>
      <c r="R731" s="36"/>
      <c r="S731" s="36"/>
      <c r="T731" s="12"/>
      <c r="U731" s="12"/>
      <c r="V731" s="12"/>
      <c r="W731" s="12"/>
      <c r="X731" s="12"/>
    </row>
    <row r="732" customFormat="false" ht="15.75" hidden="false" customHeight="false" outlineLevel="0" collapsed="false">
      <c r="A732" s="12"/>
      <c r="B732" s="34"/>
      <c r="C732" s="12"/>
      <c r="D732" s="12"/>
      <c r="E732" s="12"/>
      <c r="F732" s="12"/>
      <c r="G732" s="18"/>
      <c r="H732" s="35"/>
      <c r="I732" s="12"/>
      <c r="M732" s="12"/>
      <c r="N732" s="18"/>
      <c r="O732" s="12"/>
      <c r="P732" s="12"/>
      <c r="Q732" s="12"/>
      <c r="R732" s="36"/>
      <c r="S732" s="36"/>
      <c r="T732" s="12"/>
      <c r="U732" s="12"/>
      <c r="V732" s="12"/>
      <c r="W732" s="12"/>
      <c r="X732" s="12"/>
    </row>
    <row r="733" customFormat="false" ht="15.75" hidden="false" customHeight="false" outlineLevel="0" collapsed="false">
      <c r="A733" s="12"/>
      <c r="B733" s="34"/>
      <c r="C733" s="12"/>
      <c r="D733" s="12"/>
      <c r="E733" s="12"/>
      <c r="F733" s="12"/>
      <c r="G733" s="18"/>
      <c r="H733" s="35"/>
      <c r="I733" s="12"/>
      <c r="M733" s="12"/>
      <c r="N733" s="18"/>
      <c r="O733" s="12"/>
      <c r="P733" s="12"/>
      <c r="Q733" s="12"/>
      <c r="R733" s="36"/>
      <c r="S733" s="36"/>
      <c r="T733" s="12"/>
      <c r="U733" s="12"/>
      <c r="V733" s="12"/>
      <c r="W733" s="12"/>
      <c r="X733" s="12"/>
    </row>
    <row r="734" customFormat="false" ht="15.75" hidden="false" customHeight="false" outlineLevel="0" collapsed="false">
      <c r="A734" s="12"/>
      <c r="B734" s="34"/>
      <c r="C734" s="12"/>
      <c r="D734" s="12"/>
      <c r="E734" s="12"/>
      <c r="F734" s="12"/>
      <c r="G734" s="18"/>
      <c r="H734" s="35"/>
      <c r="I734" s="12"/>
      <c r="M734" s="12"/>
      <c r="N734" s="18"/>
      <c r="O734" s="12"/>
      <c r="P734" s="12"/>
      <c r="Q734" s="12"/>
      <c r="R734" s="36"/>
      <c r="S734" s="36"/>
      <c r="T734" s="12"/>
      <c r="U734" s="12"/>
      <c r="V734" s="12"/>
      <c r="W734" s="12"/>
      <c r="X734" s="12"/>
    </row>
    <row r="735" customFormat="false" ht="15.75" hidden="false" customHeight="false" outlineLevel="0" collapsed="false">
      <c r="A735" s="12"/>
      <c r="B735" s="34"/>
      <c r="C735" s="12"/>
      <c r="D735" s="12"/>
      <c r="E735" s="12"/>
      <c r="F735" s="12"/>
      <c r="G735" s="18"/>
      <c r="H735" s="35"/>
      <c r="I735" s="12"/>
      <c r="M735" s="12"/>
      <c r="N735" s="18"/>
      <c r="O735" s="12"/>
      <c r="P735" s="12"/>
      <c r="Q735" s="12"/>
      <c r="R735" s="36"/>
      <c r="S735" s="36"/>
      <c r="T735" s="12"/>
      <c r="U735" s="12"/>
      <c r="V735" s="12"/>
      <c r="W735" s="12"/>
      <c r="X735" s="12"/>
    </row>
    <row r="736" customFormat="false" ht="15.75" hidden="false" customHeight="false" outlineLevel="0" collapsed="false">
      <c r="A736" s="12"/>
      <c r="B736" s="34"/>
      <c r="C736" s="12"/>
      <c r="D736" s="12"/>
      <c r="E736" s="12"/>
      <c r="F736" s="12"/>
      <c r="G736" s="18"/>
      <c r="H736" s="35"/>
      <c r="I736" s="12"/>
      <c r="M736" s="12"/>
      <c r="N736" s="18"/>
      <c r="O736" s="12"/>
      <c r="P736" s="12"/>
      <c r="Q736" s="12"/>
      <c r="R736" s="36"/>
      <c r="S736" s="36"/>
      <c r="T736" s="12"/>
      <c r="U736" s="12"/>
      <c r="V736" s="12"/>
      <c r="W736" s="12"/>
      <c r="X736" s="12"/>
    </row>
    <row r="737" customFormat="false" ht="15.75" hidden="false" customHeight="false" outlineLevel="0" collapsed="false">
      <c r="A737" s="12"/>
      <c r="B737" s="34"/>
      <c r="C737" s="12"/>
      <c r="D737" s="12"/>
      <c r="E737" s="12"/>
      <c r="F737" s="12"/>
      <c r="G737" s="18"/>
      <c r="H737" s="35"/>
      <c r="I737" s="12"/>
      <c r="M737" s="12"/>
      <c r="N737" s="18"/>
      <c r="O737" s="12"/>
      <c r="P737" s="12"/>
      <c r="Q737" s="12"/>
      <c r="R737" s="36"/>
      <c r="S737" s="36"/>
      <c r="T737" s="12"/>
      <c r="U737" s="12"/>
      <c r="V737" s="12"/>
      <c r="W737" s="12"/>
      <c r="X737" s="12"/>
    </row>
    <row r="738" customFormat="false" ht="15.75" hidden="false" customHeight="false" outlineLevel="0" collapsed="false">
      <c r="A738" s="12"/>
      <c r="B738" s="34"/>
      <c r="C738" s="12"/>
      <c r="D738" s="12"/>
      <c r="E738" s="12"/>
      <c r="F738" s="12"/>
      <c r="G738" s="18"/>
      <c r="H738" s="35"/>
      <c r="I738" s="12"/>
      <c r="M738" s="12"/>
      <c r="N738" s="18"/>
      <c r="O738" s="12"/>
      <c r="P738" s="12"/>
      <c r="Q738" s="12"/>
      <c r="R738" s="36"/>
      <c r="S738" s="36"/>
      <c r="T738" s="12"/>
      <c r="U738" s="12"/>
      <c r="V738" s="12"/>
      <c r="W738" s="12"/>
      <c r="X738" s="12"/>
    </row>
    <row r="739" customFormat="false" ht="15.75" hidden="false" customHeight="false" outlineLevel="0" collapsed="false">
      <c r="A739" s="12"/>
      <c r="B739" s="34"/>
      <c r="C739" s="12"/>
      <c r="D739" s="12"/>
      <c r="E739" s="12"/>
      <c r="F739" s="12"/>
      <c r="G739" s="18"/>
      <c r="H739" s="35"/>
      <c r="I739" s="12"/>
      <c r="M739" s="12"/>
      <c r="N739" s="18"/>
      <c r="O739" s="12"/>
      <c r="P739" s="12"/>
      <c r="Q739" s="12"/>
      <c r="R739" s="36"/>
      <c r="S739" s="36"/>
      <c r="T739" s="12"/>
      <c r="U739" s="12"/>
      <c r="V739" s="12"/>
      <c r="W739" s="12"/>
      <c r="X739" s="12"/>
    </row>
    <row r="740" customFormat="false" ht="15.75" hidden="false" customHeight="false" outlineLevel="0" collapsed="false">
      <c r="A740" s="12"/>
      <c r="B740" s="34"/>
      <c r="C740" s="12"/>
      <c r="D740" s="12"/>
      <c r="E740" s="12"/>
      <c r="F740" s="12"/>
      <c r="G740" s="18"/>
      <c r="H740" s="35"/>
      <c r="I740" s="12"/>
      <c r="M740" s="12"/>
      <c r="N740" s="18"/>
      <c r="O740" s="12"/>
      <c r="P740" s="12"/>
      <c r="Q740" s="12"/>
      <c r="R740" s="36"/>
      <c r="S740" s="36"/>
      <c r="T740" s="12"/>
      <c r="U740" s="12"/>
      <c r="V740" s="12"/>
      <c r="W740" s="12"/>
      <c r="X740" s="12"/>
    </row>
    <row r="741" customFormat="false" ht="15.75" hidden="false" customHeight="false" outlineLevel="0" collapsed="false">
      <c r="A741" s="12"/>
      <c r="B741" s="34"/>
      <c r="C741" s="12"/>
      <c r="D741" s="12"/>
      <c r="E741" s="12"/>
      <c r="F741" s="12"/>
      <c r="G741" s="18"/>
      <c r="H741" s="35"/>
      <c r="I741" s="12"/>
      <c r="M741" s="12"/>
      <c r="N741" s="18"/>
      <c r="O741" s="12"/>
      <c r="P741" s="12"/>
      <c r="Q741" s="12"/>
      <c r="R741" s="36"/>
      <c r="S741" s="36"/>
      <c r="T741" s="12"/>
      <c r="U741" s="12"/>
      <c r="V741" s="12"/>
      <c r="W741" s="12"/>
      <c r="X741" s="12"/>
    </row>
    <row r="742" customFormat="false" ht="15.75" hidden="false" customHeight="false" outlineLevel="0" collapsed="false">
      <c r="A742" s="12"/>
      <c r="B742" s="34"/>
      <c r="C742" s="12"/>
      <c r="D742" s="12"/>
      <c r="E742" s="12"/>
      <c r="F742" s="12"/>
      <c r="G742" s="18"/>
      <c r="H742" s="35"/>
      <c r="I742" s="12"/>
      <c r="M742" s="12"/>
      <c r="N742" s="18"/>
      <c r="O742" s="12"/>
      <c r="P742" s="12"/>
      <c r="Q742" s="12"/>
      <c r="R742" s="36"/>
      <c r="S742" s="36"/>
      <c r="T742" s="12"/>
      <c r="U742" s="12"/>
      <c r="V742" s="12"/>
      <c r="W742" s="12"/>
      <c r="X742" s="12"/>
    </row>
    <row r="743" customFormat="false" ht="15.75" hidden="false" customHeight="false" outlineLevel="0" collapsed="false">
      <c r="A743" s="12"/>
      <c r="B743" s="34"/>
      <c r="C743" s="12"/>
      <c r="D743" s="12"/>
      <c r="E743" s="12"/>
      <c r="F743" s="12"/>
      <c r="G743" s="18"/>
      <c r="H743" s="35"/>
      <c r="I743" s="12"/>
      <c r="M743" s="12"/>
      <c r="N743" s="18"/>
      <c r="O743" s="12"/>
      <c r="P743" s="12"/>
      <c r="Q743" s="12"/>
      <c r="R743" s="36"/>
      <c r="S743" s="36"/>
      <c r="T743" s="12"/>
      <c r="U743" s="12"/>
      <c r="V743" s="12"/>
      <c r="W743" s="12"/>
      <c r="X743" s="12"/>
    </row>
    <row r="744" customFormat="false" ht="15.75" hidden="false" customHeight="false" outlineLevel="0" collapsed="false">
      <c r="A744" s="12"/>
      <c r="B744" s="34"/>
      <c r="C744" s="12"/>
      <c r="D744" s="12"/>
      <c r="E744" s="12"/>
      <c r="F744" s="12"/>
      <c r="G744" s="18"/>
      <c r="H744" s="35"/>
      <c r="I744" s="12"/>
      <c r="M744" s="12"/>
      <c r="N744" s="18"/>
      <c r="O744" s="12"/>
      <c r="P744" s="12"/>
      <c r="Q744" s="12"/>
      <c r="R744" s="36"/>
      <c r="S744" s="36"/>
      <c r="T744" s="12"/>
      <c r="U744" s="12"/>
      <c r="V744" s="12"/>
      <c r="W744" s="12"/>
      <c r="X744" s="12"/>
    </row>
    <row r="745" customFormat="false" ht="15.75" hidden="false" customHeight="false" outlineLevel="0" collapsed="false">
      <c r="A745" s="12"/>
      <c r="B745" s="34"/>
      <c r="C745" s="12"/>
      <c r="D745" s="12"/>
      <c r="E745" s="12"/>
      <c r="F745" s="12"/>
      <c r="G745" s="18"/>
      <c r="H745" s="35"/>
      <c r="I745" s="12"/>
      <c r="M745" s="12"/>
      <c r="N745" s="18"/>
      <c r="O745" s="12"/>
      <c r="P745" s="12"/>
      <c r="Q745" s="12"/>
      <c r="R745" s="36"/>
      <c r="S745" s="36"/>
      <c r="T745" s="12"/>
      <c r="U745" s="12"/>
      <c r="V745" s="12"/>
      <c r="W745" s="12"/>
      <c r="X745" s="12"/>
    </row>
    <row r="746" customFormat="false" ht="15.75" hidden="false" customHeight="false" outlineLevel="0" collapsed="false">
      <c r="A746" s="12"/>
      <c r="B746" s="34"/>
      <c r="C746" s="12"/>
      <c r="D746" s="12"/>
      <c r="E746" s="12"/>
      <c r="F746" s="12"/>
      <c r="G746" s="18"/>
      <c r="H746" s="35"/>
      <c r="I746" s="12"/>
      <c r="M746" s="12"/>
      <c r="N746" s="18"/>
      <c r="O746" s="12"/>
      <c r="P746" s="12"/>
      <c r="Q746" s="12"/>
      <c r="R746" s="36"/>
      <c r="S746" s="36"/>
      <c r="T746" s="12"/>
      <c r="U746" s="12"/>
      <c r="V746" s="12"/>
      <c r="W746" s="12"/>
      <c r="X746" s="12"/>
    </row>
    <row r="747" customFormat="false" ht="15.75" hidden="false" customHeight="false" outlineLevel="0" collapsed="false">
      <c r="A747" s="12"/>
      <c r="B747" s="34"/>
      <c r="C747" s="12"/>
      <c r="D747" s="12"/>
      <c r="E747" s="12"/>
      <c r="F747" s="12"/>
      <c r="G747" s="18"/>
      <c r="H747" s="35"/>
      <c r="I747" s="12"/>
      <c r="M747" s="12"/>
      <c r="N747" s="18"/>
      <c r="O747" s="12"/>
      <c r="P747" s="12"/>
      <c r="Q747" s="12"/>
      <c r="R747" s="36"/>
      <c r="S747" s="36"/>
      <c r="T747" s="12"/>
      <c r="U747" s="12"/>
      <c r="V747" s="12"/>
      <c r="W747" s="12"/>
      <c r="X747" s="12"/>
    </row>
    <row r="748" customFormat="false" ht="15.75" hidden="false" customHeight="false" outlineLevel="0" collapsed="false">
      <c r="A748" s="12"/>
      <c r="B748" s="34"/>
      <c r="C748" s="12"/>
      <c r="D748" s="12"/>
      <c r="E748" s="12"/>
      <c r="F748" s="12"/>
      <c r="G748" s="18"/>
      <c r="H748" s="35"/>
      <c r="I748" s="12"/>
      <c r="M748" s="12"/>
      <c r="N748" s="18"/>
      <c r="O748" s="12"/>
      <c r="P748" s="12"/>
      <c r="Q748" s="12"/>
      <c r="R748" s="36"/>
      <c r="S748" s="36"/>
      <c r="T748" s="12"/>
      <c r="U748" s="12"/>
      <c r="V748" s="12"/>
      <c r="W748" s="12"/>
      <c r="X748" s="12"/>
    </row>
    <row r="749" customFormat="false" ht="15.75" hidden="false" customHeight="false" outlineLevel="0" collapsed="false">
      <c r="A749" s="12"/>
      <c r="B749" s="34"/>
      <c r="C749" s="12"/>
      <c r="D749" s="12"/>
      <c r="E749" s="12"/>
      <c r="F749" s="12"/>
      <c r="G749" s="18"/>
      <c r="H749" s="35"/>
      <c r="I749" s="12"/>
      <c r="M749" s="12"/>
      <c r="N749" s="18"/>
      <c r="O749" s="12"/>
      <c r="P749" s="12"/>
      <c r="Q749" s="12"/>
      <c r="R749" s="36"/>
      <c r="S749" s="36"/>
      <c r="T749" s="12"/>
      <c r="U749" s="12"/>
      <c r="V749" s="12"/>
      <c r="W749" s="12"/>
      <c r="X749" s="12"/>
    </row>
    <row r="750" customFormat="false" ht="15.75" hidden="false" customHeight="false" outlineLevel="0" collapsed="false">
      <c r="A750" s="12"/>
      <c r="B750" s="34"/>
      <c r="C750" s="12"/>
      <c r="D750" s="12"/>
      <c r="E750" s="12"/>
      <c r="F750" s="12"/>
      <c r="G750" s="18"/>
      <c r="H750" s="35"/>
      <c r="I750" s="12"/>
      <c r="M750" s="12"/>
      <c r="N750" s="18"/>
      <c r="O750" s="12"/>
      <c r="P750" s="12"/>
      <c r="Q750" s="12"/>
      <c r="R750" s="36"/>
      <c r="S750" s="36"/>
      <c r="T750" s="12"/>
      <c r="U750" s="12"/>
      <c r="V750" s="12"/>
      <c r="W750" s="12"/>
      <c r="X750" s="12"/>
    </row>
    <row r="751" customFormat="false" ht="15.75" hidden="false" customHeight="false" outlineLevel="0" collapsed="false">
      <c r="A751" s="12"/>
      <c r="B751" s="34"/>
      <c r="C751" s="12"/>
      <c r="D751" s="12"/>
      <c r="E751" s="12"/>
      <c r="F751" s="12"/>
      <c r="G751" s="18"/>
      <c r="H751" s="35"/>
      <c r="I751" s="12"/>
      <c r="M751" s="12"/>
      <c r="N751" s="18"/>
      <c r="O751" s="12"/>
      <c r="P751" s="12"/>
      <c r="Q751" s="12"/>
      <c r="R751" s="36"/>
      <c r="S751" s="36"/>
      <c r="T751" s="12"/>
      <c r="U751" s="12"/>
      <c r="V751" s="12"/>
      <c r="W751" s="12"/>
      <c r="X751" s="12"/>
    </row>
    <row r="752" customFormat="false" ht="15.75" hidden="false" customHeight="false" outlineLevel="0" collapsed="false">
      <c r="A752" s="12"/>
      <c r="B752" s="34"/>
      <c r="C752" s="12"/>
      <c r="D752" s="12"/>
      <c r="E752" s="12"/>
      <c r="F752" s="12"/>
      <c r="G752" s="18"/>
      <c r="H752" s="35"/>
      <c r="I752" s="12"/>
      <c r="M752" s="12"/>
      <c r="N752" s="18"/>
      <c r="O752" s="12"/>
      <c r="P752" s="12"/>
      <c r="Q752" s="12"/>
      <c r="R752" s="36"/>
      <c r="S752" s="36"/>
      <c r="T752" s="12"/>
      <c r="U752" s="12"/>
      <c r="V752" s="12"/>
      <c r="W752" s="12"/>
      <c r="X752" s="12"/>
    </row>
    <row r="753" customFormat="false" ht="15.75" hidden="false" customHeight="false" outlineLevel="0" collapsed="false">
      <c r="A753" s="12"/>
      <c r="B753" s="34"/>
      <c r="C753" s="12"/>
      <c r="D753" s="12"/>
      <c r="E753" s="12"/>
      <c r="F753" s="12"/>
      <c r="G753" s="18"/>
      <c r="H753" s="35"/>
      <c r="I753" s="12"/>
      <c r="M753" s="12"/>
      <c r="N753" s="18"/>
      <c r="O753" s="12"/>
      <c r="P753" s="12"/>
      <c r="Q753" s="12"/>
      <c r="R753" s="36"/>
      <c r="S753" s="36"/>
      <c r="T753" s="12"/>
      <c r="U753" s="12"/>
      <c r="V753" s="12"/>
      <c r="W753" s="12"/>
      <c r="X753" s="12"/>
    </row>
    <row r="754" customFormat="false" ht="15.75" hidden="false" customHeight="false" outlineLevel="0" collapsed="false">
      <c r="A754" s="12"/>
      <c r="B754" s="34"/>
      <c r="C754" s="12"/>
      <c r="D754" s="12"/>
      <c r="E754" s="12"/>
      <c r="F754" s="12"/>
      <c r="G754" s="18"/>
      <c r="H754" s="35"/>
      <c r="I754" s="12"/>
      <c r="M754" s="12"/>
      <c r="N754" s="18"/>
      <c r="O754" s="12"/>
      <c r="P754" s="12"/>
      <c r="Q754" s="12"/>
      <c r="R754" s="36"/>
      <c r="S754" s="36"/>
      <c r="T754" s="12"/>
      <c r="U754" s="12"/>
      <c r="V754" s="12"/>
      <c r="W754" s="12"/>
      <c r="X754" s="12"/>
    </row>
    <row r="755" customFormat="false" ht="15.75" hidden="false" customHeight="false" outlineLevel="0" collapsed="false">
      <c r="A755" s="12"/>
      <c r="B755" s="34"/>
      <c r="C755" s="12"/>
      <c r="D755" s="12"/>
      <c r="E755" s="12"/>
      <c r="F755" s="12"/>
      <c r="G755" s="18"/>
      <c r="H755" s="35"/>
      <c r="I755" s="12"/>
      <c r="M755" s="12"/>
      <c r="N755" s="18"/>
      <c r="O755" s="12"/>
      <c r="P755" s="12"/>
      <c r="Q755" s="12"/>
      <c r="R755" s="36"/>
      <c r="S755" s="36"/>
      <c r="T755" s="12"/>
      <c r="U755" s="12"/>
      <c r="V755" s="12"/>
      <c r="W755" s="12"/>
      <c r="X755" s="12"/>
    </row>
    <row r="756" customFormat="false" ht="15.75" hidden="false" customHeight="false" outlineLevel="0" collapsed="false">
      <c r="A756" s="12"/>
      <c r="B756" s="34"/>
      <c r="C756" s="12"/>
      <c r="D756" s="12"/>
      <c r="E756" s="12"/>
      <c r="F756" s="12"/>
      <c r="G756" s="18"/>
      <c r="H756" s="35"/>
      <c r="I756" s="12"/>
      <c r="M756" s="12"/>
      <c r="N756" s="18"/>
      <c r="O756" s="12"/>
      <c r="P756" s="12"/>
      <c r="Q756" s="12"/>
      <c r="R756" s="36"/>
      <c r="S756" s="36"/>
      <c r="T756" s="12"/>
      <c r="U756" s="12"/>
      <c r="V756" s="12"/>
      <c r="W756" s="12"/>
      <c r="X756" s="12"/>
    </row>
    <row r="757" customFormat="false" ht="15.75" hidden="false" customHeight="false" outlineLevel="0" collapsed="false">
      <c r="A757" s="12"/>
      <c r="B757" s="34"/>
      <c r="C757" s="12"/>
      <c r="D757" s="12"/>
      <c r="E757" s="12"/>
      <c r="F757" s="12"/>
      <c r="G757" s="18"/>
      <c r="H757" s="35"/>
      <c r="I757" s="12"/>
      <c r="M757" s="12"/>
      <c r="N757" s="18"/>
      <c r="O757" s="12"/>
      <c r="P757" s="12"/>
      <c r="Q757" s="12"/>
      <c r="R757" s="36"/>
      <c r="S757" s="36"/>
      <c r="T757" s="12"/>
      <c r="U757" s="12"/>
      <c r="V757" s="12"/>
      <c r="W757" s="12"/>
      <c r="X757" s="12"/>
    </row>
    <row r="758" customFormat="false" ht="15.75" hidden="false" customHeight="false" outlineLevel="0" collapsed="false">
      <c r="A758" s="12"/>
      <c r="B758" s="34"/>
      <c r="C758" s="12"/>
      <c r="D758" s="12"/>
      <c r="E758" s="12"/>
      <c r="F758" s="12"/>
      <c r="G758" s="18"/>
      <c r="H758" s="35"/>
      <c r="I758" s="12"/>
      <c r="M758" s="12"/>
      <c r="N758" s="18"/>
      <c r="O758" s="12"/>
      <c r="P758" s="12"/>
      <c r="Q758" s="12"/>
      <c r="R758" s="36"/>
      <c r="S758" s="36"/>
      <c r="T758" s="12"/>
      <c r="U758" s="12"/>
      <c r="V758" s="12"/>
      <c r="W758" s="12"/>
      <c r="X758" s="12"/>
    </row>
    <row r="759" customFormat="false" ht="15.75" hidden="false" customHeight="false" outlineLevel="0" collapsed="false">
      <c r="A759" s="12"/>
      <c r="B759" s="34"/>
      <c r="C759" s="12"/>
      <c r="D759" s="12"/>
      <c r="E759" s="12"/>
      <c r="F759" s="12"/>
      <c r="G759" s="18"/>
      <c r="H759" s="35"/>
      <c r="I759" s="12"/>
      <c r="M759" s="12"/>
      <c r="N759" s="18"/>
      <c r="O759" s="12"/>
      <c r="P759" s="12"/>
      <c r="Q759" s="12"/>
      <c r="R759" s="36"/>
      <c r="S759" s="36"/>
      <c r="T759" s="12"/>
      <c r="U759" s="12"/>
      <c r="V759" s="12"/>
      <c r="W759" s="12"/>
      <c r="X759" s="12"/>
    </row>
    <row r="760" customFormat="false" ht="15.75" hidden="false" customHeight="false" outlineLevel="0" collapsed="false">
      <c r="A760" s="12"/>
      <c r="B760" s="34"/>
      <c r="C760" s="12"/>
      <c r="D760" s="12"/>
      <c r="E760" s="12"/>
      <c r="F760" s="12"/>
      <c r="G760" s="18"/>
      <c r="H760" s="35"/>
      <c r="I760" s="12"/>
      <c r="M760" s="12"/>
      <c r="N760" s="18"/>
      <c r="O760" s="12"/>
      <c r="P760" s="12"/>
      <c r="Q760" s="12"/>
      <c r="R760" s="36"/>
      <c r="S760" s="36"/>
      <c r="T760" s="12"/>
      <c r="U760" s="12"/>
      <c r="V760" s="12"/>
      <c r="W760" s="12"/>
      <c r="X760" s="12"/>
    </row>
    <row r="761" customFormat="false" ht="15.75" hidden="false" customHeight="false" outlineLevel="0" collapsed="false">
      <c r="A761" s="12"/>
      <c r="B761" s="34"/>
      <c r="C761" s="12"/>
      <c r="D761" s="12"/>
      <c r="E761" s="12"/>
      <c r="F761" s="12"/>
      <c r="G761" s="18"/>
      <c r="H761" s="35"/>
      <c r="I761" s="12"/>
      <c r="M761" s="12"/>
      <c r="N761" s="18"/>
      <c r="O761" s="12"/>
      <c r="P761" s="12"/>
      <c r="Q761" s="12"/>
      <c r="R761" s="36"/>
      <c r="S761" s="36"/>
      <c r="T761" s="12"/>
      <c r="U761" s="12"/>
      <c r="V761" s="12"/>
      <c r="W761" s="12"/>
      <c r="X761" s="12"/>
    </row>
    <row r="762" customFormat="false" ht="15.75" hidden="false" customHeight="false" outlineLevel="0" collapsed="false">
      <c r="A762" s="12"/>
      <c r="B762" s="34"/>
      <c r="C762" s="12"/>
      <c r="D762" s="12"/>
      <c r="E762" s="12"/>
      <c r="F762" s="12"/>
      <c r="G762" s="18"/>
      <c r="H762" s="35"/>
      <c r="I762" s="12"/>
      <c r="M762" s="12"/>
      <c r="N762" s="18"/>
      <c r="O762" s="12"/>
      <c r="P762" s="12"/>
      <c r="Q762" s="12"/>
      <c r="R762" s="36"/>
      <c r="S762" s="36"/>
      <c r="T762" s="12"/>
      <c r="U762" s="12"/>
      <c r="V762" s="12"/>
      <c r="W762" s="12"/>
      <c r="X762" s="12"/>
    </row>
    <row r="763" customFormat="false" ht="15.75" hidden="false" customHeight="false" outlineLevel="0" collapsed="false">
      <c r="A763" s="12"/>
      <c r="B763" s="34"/>
      <c r="C763" s="12"/>
      <c r="D763" s="12"/>
      <c r="E763" s="12"/>
      <c r="F763" s="12"/>
      <c r="G763" s="18"/>
      <c r="H763" s="35"/>
      <c r="I763" s="12"/>
      <c r="M763" s="12"/>
      <c r="N763" s="18"/>
      <c r="O763" s="12"/>
      <c r="P763" s="12"/>
      <c r="Q763" s="12"/>
      <c r="R763" s="36"/>
      <c r="S763" s="36"/>
      <c r="T763" s="12"/>
      <c r="U763" s="12"/>
      <c r="V763" s="12"/>
      <c r="W763" s="12"/>
      <c r="X763" s="12"/>
    </row>
    <row r="764" customFormat="false" ht="15.75" hidden="false" customHeight="false" outlineLevel="0" collapsed="false">
      <c r="A764" s="12"/>
      <c r="B764" s="34"/>
      <c r="C764" s="12"/>
      <c r="D764" s="12"/>
      <c r="E764" s="12"/>
      <c r="F764" s="12"/>
      <c r="G764" s="18"/>
      <c r="H764" s="35"/>
      <c r="I764" s="12"/>
      <c r="M764" s="12"/>
      <c r="N764" s="18"/>
      <c r="O764" s="12"/>
      <c r="P764" s="12"/>
      <c r="Q764" s="12"/>
      <c r="R764" s="36"/>
      <c r="S764" s="36"/>
      <c r="T764" s="12"/>
      <c r="U764" s="12"/>
      <c r="V764" s="12"/>
      <c r="W764" s="12"/>
      <c r="X764" s="12"/>
    </row>
    <row r="765" customFormat="false" ht="15.75" hidden="false" customHeight="false" outlineLevel="0" collapsed="false">
      <c r="A765" s="12"/>
      <c r="B765" s="34"/>
      <c r="C765" s="12"/>
      <c r="D765" s="12"/>
      <c r="E765" s="12"/>
      <c r="F765" s="12"/>
      <c r="G765" s="18"/>
      <c r="H765" s="35"/>
      <c r="I765" s="12"/>
      <c r="M765" s="12"/>
      <c r="N765" s="18"/>
      <c r="O765" s="12"/>
      <c r="P765" s="12"/>
      <c r="Q765" s="12"/>
      <c r="R765" s="36"/>
      <c r="S765" s="36"/>
      <c r="T765" s="12"/>
      <c r="U765" s="12"/>
      <c r="V765" s="12"/>
      <c r="W765" s="12"/>
      <c r="X765" s="12"/>
    </row>
    <row r="766" customFormat="false" ht="15.75" hidden="false" customHeight="false" outlineLevel="0" collapsed="false">
      <c r="A766" s="12"/>
      <c r="B766" s="34"/>
      <c r="C766" s="12"/>
      <c r="D766" s="12"/>
      <c r="E766" s="12"/>
      <c r="F766" s="12"/>
      <c r="G766" s="18"/>
      <c r="H766" s="35"/>
      <c r="I766" s="12"/>
      <c r="M766" s="12"/>
      <c r="N766" s="18"/>
      <c r="O766" s="12"/>
      <c r="P766" s="12"/>
      <c r="Q766" s="12"/>
      <c r="R766" s="36"/>
      <c r="S766" s="36"/>
      <c r="T766" s="12"/>
      <c r="U766" s="12"/>
      <c r="V766" s="12"/>
      <c r="W766" s="12"/>
      <c r="X766" s="12"/>
    </row>
    <row r="767" customFormat="false" ht="15.75" hidden="false" customHeight="false" outlineLevel="0" collapsed="false">
      <c r="A767" s="12"/>
      <c r="B767" s="34"/>
      <c r="C767" s="12"/>
      <c r="D767" s="12"/>
      <c r="E767" s="12"/>
      <c r="F767" s="12"/>
      <c r="G767" s="18"/>
      <c r="H767" s="35"/>
      <c r="I767" s="12"/>
      <c r="M767" s="12"/>
      <c r="N767" s="18"/>
      <c r="O767" s="12"/>
      <c r="P767" s="12"/>
      <c r="Q767" s="12"/>
      <c r="R767" s="36"/>
      <c r="S767" s="36"/>
      <c r="T767" s="12"/>
      <c r="U767" s="12"/>
      <c r="V767" s="12"/>
      <c r="W767" s="12"/>
      <c r="X767" s="12"/>
    </row>
    <row r="768" customFormat="false" ht="15.75" hidden="false" customHeight="false" outlineLevel="0" collapsed="false">
      <c r="A768" s="12"/>
      <c r="B768" s="34"/>
      <c r="C768" s="12"/>
      <c r="D768" s="12"/>
      <c r="E768" s="12"/>
      <c r="F768" s="12"/>
      <c r="G768" s="18"/>
      <c r="H768" s="35"/>
      <c r="I768" s="12"/>
      <c r="M768" s="12"/>
      <c r="N768" s="18"/>
      <c r="O768" s="12"/>
      <c r="P768" s="12"/>
      <c r="Q768" s="12"/>
      <c r="R768" s="36"/>
      <c r="S768" s="36"/>
      <c r="T768" s="12"/>
      <c r="U768" s="12"/>
      <c r="V768" s="12"/>
      <c r="W768" s="12"/>
      <c r="X768" s="12"/>
    </row>
    <row r="769" customFormat="false" ht="15.75" hidden="false" customHeight="false" outlineLevel="0" collapsed="false">
      <c r="A769" s="12"/>
      <c r="B769" s="34"/>
      <c r="C769" s="12"/>
      <c r="D769" s="12"/>
      <c r="E769" s="12"/>
      <c r="F769" s="12"/>
      <c r="G769" s="18"/>
      <c r="H769" s="35"/>
      <c r="I769" s="12"/>
      <c r="M769" s="12"/>
      <c r="N769" s="18"/>
      <c r="O769" s="12"/>
      <c r="P769" s="12"/>
      <c r="Q769" s="12"/>
      <c r="R769" s="36"/>
      <c r="S769" s="36"/>
      <c r="T769" s="12"/>
      <c r="U769" s="12"/>
      <c r="V769" s="12"/>
      <c r="W769" s="12"/>
      <c r="X769" s="12"/>
    </row>
    <row r="770" customFormat="false" ht="15.75" hidden="false" customHeight="false" outlineLevel="0" collapsed="false">
      <c r="A770" s="12"/>
      <c r="B770" s="34"/>
      <c r="C770" s="12"/>
      <c r="D770" s="12"/>
      <c r="E770" s="12"/>
      <c r="F770" s="12"/>
      <c r="G770" s="18"/>
      <c r="H770" s="35"/>
      <c r="I770" s="12"/>
      <c r="M770" s="12"/>
      <c r="N770" s="18"/>
      <c r="O770" s="12"/>
      <c r="P770" s="12"/>
      <c r="Q770" s="12"/>
      <c r="R770" s="36"/>
      <c r="S770" s="36"/>
      <c r="T770" s="12"/>
      <c r="U770" s="12"/>
      <c r="V770" s="12"/>
      <c r="W770" s="12"/>
      <c r="X770" s="12"/>
    </row>
    <row r="771" customFormat="false" ht="15.75" hidden="false" customHeight="false" outlineLevel="0" collapsed="false">
      <c r="A771" s="12"/>
      <c r="B771" s="34"/>
      <c r="C771" s="12"/>
      <c r="D771" s="12"/>
      <c r="E771" s="12"/>
      <c r="F771" s="12"/>
      <c r="G771" s="18"/>
      <c r="H771" s="35"/>
      <c r="I771" s="12"/>
      <c r="M771" s="12"/>
      <c r="N771" s="18"/>
      <c r="O771" s="12"/>
      <c r="P771" s="12"/>
      <c r="Q771" s="12"/>
      <c r="R771" s="36"/>
      <c r="S771" s="36"/>
      <c r="T771" s="12"/>
      <c r="U771" s="12"/>
      <c r="V771" s="12"/>
      <c r="W771" s="12"/>
      <c r="X771" s="12"/>
    </row>
    <row r="772" customFormat="false" ht="15.75" hidden="false" customHeight="false" outlineLevel="0" collapsed="false">
      <c r="A772" s="12"/>
      <c r="B772" s="34"/>
      <c r="C772" s="12"/>
      <c r="D772" s="12"/>
      <c r="E772" s="12"/>
      <c r="F772" s="12"/>
      <c r="G772" s="18"/>
      <c r="H772" s="35"/>
      <c r="I772" s="12"/>
      <c r="M772" s="12"/>
      <c r="N772" s="18"/>
      <c r="O772" s="12"/>
      <c r="P772" s="12"/>
      <c r="Q772" s="12"/>
      <c r="R772" s="36"/>
      <c r="S772" s="36"/>
      <c r="T772" s="12"/>
      <c r="U772" s="12"/>
      <c r="V772" s="12"/>
      <c r="W772" s="12"/>
      <c r="X772" s="12"/>
    </row>
    <row r="773" customFormat="false" ht="15.75" hidden="false" customHeight="false" outlineLevel="0" collapsed="false">
      <c r="A773" s="12"/>
      <c r="B773" s="34"/>
      <c r="C773" s="12"/>
      <c r="D773" s="12"/>
      <c r="E773" s="12"/>
      <c r="F773" s="12"/>
      <c r="G773" s="18"/>
      <c r="H773" s="35"/>
      <c r="I773" s="12"/>
      <c r="M773" s="12"/>
      <c r="N773" s="18"/>
      <c r="O773" s="12"/>
      <c r="P773" s="12"/>
      <c r="Q773" s="12"/>
      <c r="R773" s="36"/>
      <c r="S773" s="36"/>
      <c r="T773" s="12"/>
      <c r="U773" s="12"/>
      <c r="V773" s="12"/>
      <c r="W773" s="12"/>
      <c r="X773" s="12"/>
    </row>
    <row r="774" customFormat="false" ht="15.75" hidden="false" customHeight="false" outlineLevel="0" collapsed="false">
      <c r="A774" s="12"/>
      <c r="B774" s="34"/>
      <c r="C774" s="12"/>
      <c r="D774" s="12"/>
      <c r="E774" s="12"/>
      <c r="F774" s="12"/>
      <c r="G774" s="18"/>
      <c r="H774" s="35"/>
      <c r="I774" s="12"/>
      <c r="M774" s="12"/>
      <c r="N774" s="18"/>
      <c r="O774" s="12"/>
      <c r="P774" s="12"/>
      <c r="Q774" s="12"/>
      <c r="R774" s="36"/>
      <c r="S774" s="36"/>
      <c r="T774" s="12"/>
      <c r="U774" s="12"/>
      <c r="V774" s="12"/>
      <c r="W774" s="12"/>
      <c r="X774" s="12"/>
    </row>
    <row r="775" customFormat="false" ht="15.75" hidden="false" customHeight="false" outlineLevel="0" collapsed="false">
      <c r="A775" s="12"/>
      <c r="B775" s="34"/>
      <c r="C775" s="12"/>
      <c r="D775" s="12"/>
      <c r="E775" s="12"/>
      <c r="F775" s="12"/>
      <c r="G775" s="18"/>
      <c r="H775" s="35"/>
      <c r="I775" s="12"/>
      <c r="M775" s="12"/>
      <c r="N775" s="18"/>
      <c r="O775" s="12"/>
      <c r="P775" s="12"/>
      <c r="Q775" s="12"/>
      <c r="R775" s="36"/>
      <c r="S775" s="36"/>
      <c r="T775" s="12"/>
      <c r="U775" s="12"/>
      <c r="V775" s="12"/>
      <c r="W775" s="12"/>
      <c r="X775" s="12"/>
    </row>
    <row r="776" customFormat="false" ht="15.75" hidden="false" customHeight="false" outlineLevel="0" collapsed="false">
      <c r="A776" s="12"/>
      <c r="B776" s="34"/>
      <c r="C776" s="12"/>
      <c r="D776" s="12"/>
      <c r="E776" s="12"/>
      <c r="F776" s="12"/>
      <c r="G776" s="18"/>
      <c r="H776" s="35"/>
      <c r="I776" s="12"/>
      <c r="M776" s="12"/>
      <c r="N776" s="18"/>
      <c r="O776" s="12"/>
      <c r="P776" s="12"/>
      <c r="Q776" s="12"/>
      <c r="R776" s="36"/>
      <c r="S776" s="36"/>
      <c r="T776" s="12"/>
      <c r="U776" s="12"/>
      <c r="V776" s="12"/>
      <c r="W776" s="12"/>
      <c r="X776" s="12"/>
    </row>
    <row r="777" customFormat="false" ht="15.75" hidden="false" customHeight="false" outlineLevel="0" collapsed="false">
      <c r="A777" s="12"/>
      <c r="B777" s="34"/>
      <c r="C777" s="12"/>
      <c r="D777" s="12"/>
      <c r="E777" s="12"/>
      <c r="F777" s="12"/>
      <c r="G777" s="18"/>
      <c r="H777" s="35"/>
      <c r="I777" s="12"/>
      <c r="M777" s="12"/>
      <c r="N777" s="18"/>
      <c r="O777" s="12"/>
      <c r="P777" s="12"/>
      <c r="Q777" s="12"/>
      <c r="R777" s="36"/>
      <c r="S777" s="36"/>
      <c r="T777" s="12"/>
      <c r="U777" s="12"/>
      <c r="V777" s="12"/>
      <c r="W777" s="12"/>
      <c r="X777" s="12"/>
    </row>
    <row r="778" customFormat="false" ht="15.75" hidden="false" customHeight="false" outlineLevel="0" collapsed="false">
      <c r="A778" s="12"/>
      <c r="B778" s="34"/>
      <c r="C778" s="12"/>
      <c r="D778" s="12"/>
      <c r="E778" s="12"/>
      <c r="F778" s="12"/>
      <c r="G778" s="18"/>
      <c r="H778" s="35"/>
      <c r="I778" s="12"/>
      <c r="M778" s="12"/>
      <c r="N778" s="18"/>
      <c r="O778" s="12"/>
      <c r="P778" s="12"/>
      <c r="Q778" s="12"/>
      <c r="R778" s="36"/>
      <c r="S778" s="36"/>
      <c r="T778" s="12"/>
      <c r="U778" s="12"/>
      <c r="V778" s="12"/>
      <c r="W778" s="12"/>
      <c r="X778" s="12"/>
    </row>
    <row r="1048575" customFormat="false" ht="12.8" hidden="false" customHeight="true" outlineLevel="0" collapsed="false"/>
    <row r="1048576" customFormat="false" ht="12.8" hidden="false" customHeight="true" outlineLevel="0" collapsed="false"/>
  </sheetData>
  <conditionalFormatting sqref="R2:S778">
    <cfRule type="expression" priority="2" aboveAverage="0" equalAverage="0" bottom="0" percent="0" rank="0" text="" dxfId="0">
      <formula>LEN(TRIM(R2))&gt;0</formula>
    </cfRule>
  </conditionalFormatting>
  <conditionalFormatting sqref="Q2:Q778">
    <cfRule type="expression" priority="3" aboveAverage="0" equalAverage="0" bottom="0" percent="0" rank="0" text="" dxfId="0">
      <formula>LEN(TRIM(Q2))&gt;0</formula>
    </cfRule>
  </conditionalFormatting>
  <conditionalFormatting sqref="G2:G778 N2:N778">
    <cfRule type="containsText" priority="4" operator="containsText" aboveAverage="0" equalAverage="0" bottom="0" percent="0" rank="0" text="x" dxfId="0">
      <formula>NOT(ISERROR(SEARCH("x",G2)))</formula>
    </cfRule>
  </conditionalFormatting>
  <conditionalFormatting sqref="T2:T778">
    <cfRule type="expression" priority="5" aboveAverage="0" equalAverage="0" bottom="0" percent="0" rank="0" text="" dxfId="0">
      <formula>LEN(TRIM(T2))&gt;0</formula>
    </cfRule>
  </conditionalFormatting>
  <conditionalFormatting sqref="W2:W778">
    <cfRule type="expression" priority="6" aboveAverage="0" equalAverage="0" bottom="0" percent="0" rank="0" text="" dxfId="0">
      <formula>LEN(TRIM(W2))&gt;0</formula>
    </cfRule>
  </conditionalFormatting>
  <conditionalFormatting sqref="X2:X778">
    <cfRule type="cellIs" priority="7" operator="equal" aboveAverage="0" equalAverage="0" bottom="0" percent="0" rank="0" text="" dxfId="0">
      <formula>"Completo"</formula>
    </cfRule>
    <cfRule type="cellIs" priority="8" operator="equal" aboveAverage="0" equalAverage="0" bottom="0" percent="0" rank="0" text="" dxfId="1">
      <formula>"No aplica"</formula>
    </cfRule>
  </conditionalFormatting>
  <conditionalFormatting sqref="G2:I778 O2:P778 U2:V778 X2:X778">
    <cfRule type="cellIs" priority="9" operator="equal" aboveAverage="0" equalAverage="0" bottom="0" percent="0" rank="0" text="" dxfId="0">
      <formula>"Completo"</formula>
    </cfRule>
    <cfRule type="cellIs" priority="10" operator="equal" aboveAverage="0" equalAverage="0" bottom="0" percent="0" rank="0" text="" dxfId="1">
      <formula>"No Aplica"</formula>
    </cfRule>
  </conditionalFormatting>
  <dataValidations count="5">
    <dataValidation allowBlank="true" errorStyle="stop" operator="between" showDropDown="false" showErrorMessage="false" showInputMessage="false" sqref="T2:T778" type="list">
      <formula1>LEYENDA!$A$23:$A$24</formula1>
      <formula2>0</formula2>
    </dataValidation>
    <dataValidation allowBlank="true" errorStyle="stop" operator="between" showDropDown="false" showErrorMessage="true" showInputMessage="false" sqref="D2:D778" type="list">
      <formula1>LEYENDA!$B$2:$D$2</formula1>
      <formula2>0</formula2>
    </dataValidation>
    <dataValidation allowBlank="true" errorStyle="stop" operator="between" showDropDown="false" showErrorMessage="false" showInputMessage="false" sqref="R2:R778" type="list">
      <formula1>LEYENDA!$A$15:$A$19</formula1>
      <formula2>0</formula2>
    </dataValidation>
    <dataValidation allowBlank="true" errorStyle="stop" operator="between" showDropDown="false" showErrorMessage="true" showInputMessage="false" sqref="H2:I778 O2:P778 U2:V778 X2:X778" type="list">
      <formula1>LEYENDA!$B$1:$C$1</formula1>
      <formula2>0</formula2>
    </dataValidation>
    <dataValidation allowBlank="true" errorStyle="stop" operator="between" showDropDown="false" showErrorMessage="false" showInputMessage="false" sqref="E2:E778" type="list">
      <formula1>LEYENDA!$A$8:$A$12</formula1>
      <formula2>0</formula2>
    </dataValidation>
  </dataValidations>
  <hyperlinks>
    <hyperlink ref="P2" r:id="rId1" display="Completo"/>
    <hyperlink ref="U2" r:id="rId2" display="Completo"/>
    <hyperlink ref="V2" r:id="rId3" display="Completo"/>
    <hyperlink ref="P3" r:id="rId4" display="Completo"/>
    <hyperlink ref="U3" r:id="rId5" display="Completo"/>
    <hyperlink ref="V3" r:id="rId6" display="Completo"/>
    <hyperlink ref="U6" r:id="rId7" display="Completo"/>
    <hyperlink ref="V6" r:id="rId8" display="Completo"/>
    <hyperlink ref="V7" r:id="rId9" display="Completo"/>
    <hyperlink ref="U8" r:id="rId10" display="Completo"/>
    <hyperlink ref="V8" r:id="rId11" display="Completo"/>
    <hyperlink ref="V9" r:id="rId12" display="Completo"/>
    <hyperlink ref="V11" r:id="rId13" display="Completo"/>
    <hyperlink ref="P15" r:id="rId14" display="Completo"/>
    <hyperlink ref="U15" r:id="rId15" display="Completo"/>
    <hyperlink ref="V15" r:id="rId16" display="Completo"/>
    <hyperlink ref="P16" r:id="rId17" display="Completo"/>
    <hyperlink ref="U16" r:id="rId18" display="Completo"/>
    <hyperlink ref="V16" r:id="rId19" display="Completo"/>
    <hyperlink ref="U18" r:id="rId20" display="Completo"/>
    <hyperlink ref="V18" r:id="rId21" display="Completo"/>
    <hyperlink ref="P20" r:id="rId22" display="Completo"/>
    <hyperlink ref="V20" r:id="rId23" display="Completo"/>
    <hyperlink ref="P21" r:id="rId24" display="Completo"/>
    <hyperlink ref="P22" r:id="rId25" display="Completo"/>
    <hyperlink ref="P25" r:id="rId26" display="Completo"/>
    <hyperlink ref="P28" r:id="rId27" display="Completo"/>
    <hyperlink ref="U28" r:id="rId28" display="Completo"/>
    <hyperlink ref="V28" r:id="rId29" display="Completo"/>
    <hyperlink ref="P29" r:id="rId30" display="Completo"/>
    <hyperlink ref="U29" r:id="rId31" display="Completo"/>
    <hyperlink ref="V29" r:id="rId32" display="Completo"/>
    <hyperlink ref="P33" r:id="rId33" display="Completo"/>
    <hyperlink ref="U33" r:id="rId34" display="Completo"/>
    <hyperlink ref="V33" r:id="rId35" display="Completo"/>
    <hyperlink ref="P46" r:id="rId36" display="Completo"/>
    <hyperlink ref="U46" r:id="rId37" display="Completo"/>
    <hyperlink ref="V46" r:id="rId38" display="Completo"/>
    <hyperlink ref="P48" r:id="rId39" display="Completo"/>
    <hyperlink ref="U48" r:id="rId40" display="Completo"/>
    <hyperlink ref="V48" r:id="rId41" display="Completo"/>
    <hyperlink ref="P49" r:id="rId42" display="Completo"/>
    <hyperlink ref="U49" r:id="rId43" display="Completo"/>
    <hyperlink ref="V49" r:id="rId44" display="Completo"/>
    <hyperlink ref="P50" r:id="rId45" display="Completo"/>
    <hyperlink ref="U50" r:id="rId46" display="Completo"/>
    <hyperlink ref="V50" r:id="rId47" display="Completo"/>
    <hyperlink ref="P51" r:id="rId48" display="Completo"/>
    <hyperlink ref="U51" r:id="rId49" display="Completo"/>
    <hyperlink ref="V51" r:id="rId50" display="Completo"/>
    <hyperlink ref="P52" r:id="rId51" display="Completo"/>
    <hyperlink ref="U52" r:id="rId52" display="Completo"/>
    <hyperlink ref="V52" r:id="rId53" display="Completo"/>
    <hyperlink ref="P61" r:id="rId54" display="Completo"/>
    <hyperlink ref="P62" r:id="rId55" display="Completo"/>
    <hyperlink ref="P63" r:id="rId56" display="Completo"/>
    <hyperlink ref="P64" r:id="rId57" display="Completo"/>
    <hyperlink ref="P65" r:id="rId58" display="Completo"/>
    <hyperlink ref="P66" r:id="rId59" display="Completo"/>
  </hyperlinks>
  <printOptions headings="false" gridLines="true" gridLinesSet="true" horizontalCentered="true" verticalCentered="false"/>
  <pageMargins left="0.7" right="0.7" top="0.75" bottom="0.75" header="0.511811023622047" footer="0.511811023622047"/>
  <pageSetup paperSize="9" scale="100" fitToWidth="1" fitToHeight="0" pageOrder="overThenDown" orientation="landscape" blackAndWhite="false" draft="false" cellComments="none" horizontalDpi="300" verticalDpi="300" copies="1"/>
  <headerFooter differentFirst="false" differentOddEven="false">
    <oddHeader/>
    <oddFooter/>
  </headerFooter>
  <drawing r:id="rId60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AF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6" ySplit="3" topLeftCell="G64" activePane="bottomRight" state="frozen"/>
      <selection pane="topLeft" activeCell="A1" activeCellId="0" sqref="A1"/>
      <selection pane="topRight" activeCell="G1" activeCellId="0" sqref="G1"/>
      <selection pane="bottomLeft" activeCell="A64" activeCellId="0" sqref="A64"/>
      <selection pane="bottomRight" activeCell="E69" activeCellId="0" sqref="E69"/>
    </sheetView>
  </sheetViews>
  <sheetFormatPr defaultColWidth="12.6328125" defaultRowHeight="15.75" zeroHeight="false" outlineLevelRow="0" outlineLevelCol="0"/>
  <cols>
    <col collapsed="false" customWidth="true" hidden="false" outlineLevel="0" max="1" min="1" style="1" width="10.25"/>
    <col collapsed="false" customWidth="true" hidden="false" outlineLevel="0" max="2" min="2" style="1" width="10.38"/>
    <col collapsed="false" customWidth="true" hidden="false" outlineLevel="0" max="3" min="3" style="1" width="16.89"/>
    <col collapsed="false" customWidth="true" hidden="false" outlineLevel="0" max="4" min="4" style="1" width="11.25"/>
    <col collapsed="false" customWidth="true" hidden="false" outlineLevel="0" max="5" min="5" style="1" width="17.13"/>
    <col collapsed="false" customWidth="true" hidden="false" outlineLevel="0" max="6" min="6" style="1" width="31.25"/>
    <col collapsed="false" customWidth="true" hidden="false" outlineLevel="0" max="7" min="7" style="1" width="15.88"/>
    <col collapsed="false" customWidth="true" hidden="false" outlineLevel="0" max="8" min="8" style="1" width="10.88"/>
    <col collapsed="false" customWidth="true" hidden="false" outlineLevel="0" max="9" min="9" style="1" width="12.88"/>
    <col collapsed="false" customWidth="true" hidden="false" outlineLevel="0" max="10" min="10" style="1" width="12"/>
    <col collapsed="false" customWidth="true" hidden="false" outlineLevel="0" max="11" min="11" style="1" width="10"/>
    <col collapsed="false" customWidth="true" hidden="false" outlineLevel="0" max="12" min="12" style="1" width="12.25"/>
    <col collapsed="false" customWidth="true" hidden="false" outlineLevel="0" max="13" min="13" style="1" width="26.12"/>
    <col collapsed="false" customWidth="true" hidden="false" outlineLevel="0" max="14" min="14" style="1" width="18"/>
    <col collapsed="false" customWidth="true" hidden="false" outlineLevel="0" max="16" min="15" style="1" width="10.63"/>
    <col collapsed="false" customWidth="true" hidden="false" outlineLevel="0" max="17" min="17" style="1" width="8.5"/>
    <col collapsed="false" customWidth="true" hidden="false" outlineLevel="0" max="19" min="19" style="1" width="25.38"/>
    <col collapsed="false" customWidth="true" hidden="false" outlineLevel="0" max="20" min="20" style="1" width="17.88"/>
    <col collapsed="false" customWidth="true" hidden="false" outlineLevel="0" max="21" min="21" style="1" width="10.13"/>
    <col collapsed="false" customWidth="true" hidden="false" outlineLevel="0" max="22" min="22" style="1" width="11.12"/>
    <col collapsed="false" customWidth="true" hidden="false" outlineLevel="0" max="23" min="23" style="1" width="24.88"/>
  </cols>
  <sheetData>
    <row r="1" customFormat="false" ht="68" hidden="false" customHeight="false" outlineLevel="0" collapsed="false">
      <c r="A1" s="2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/>
      <c r="J1" s="4" t="s">
        <v>8</v>
      </c>
      <c r="K1" s="2"/>
      <c r="L1" s="2" t="s">
        <v>9</v>
      </c>
      <c r="M1" s="2" t="s">
        <v>10</v>
      </c>
      <c r="N1" s="4" t="s">
        <v>11</v>
      </c>
      <c r="O1" s="3" t="s">
        <v>12</v>
      </c>
      <c r="P1" s="7" t="s">
        <v>13</v>
      </c>
      <c r="Q1" s="7" t="s">
        <v>14</v>
      </c>
      <c r="R1" s="7" t="s">
        <v>15</v>
      </c>
      <c r="S1" s="7" t="s">
        <v>16</v>
      </c>
      <c r="T1" s="7" t="s">
        <v>17</v>
      </c>
      <c r="U1" s="8" t="s">
        <v>18</v>
      </c>
      <c r="V1" s="9" t="s">
        <v>19</v>
      </c>
      <c r="W1" s="9" t="s">
        <v>20</v>
      </c>
      <c r="X1" s="10" t="s">
        <v>15</v>
      </c>
      <c r="Y1" s="11" t="s">
        <v>21</v>
      </c>
      <c r="Z1" s="11" t="s">
        <v>22</v>
      </c>
      <c r="AA1" s="12"/>
      <c r="AB1" s="12"/>
      <c r="AC1" s="12"/>
      <c r="AD1" s="12"/>
      <c r="AE1" s="12"/>
      <c r="AF1" s="12"/>
    </row>
    <row r="2" customFormat="false" ht="15.75" hidden="false" customHeight="false" outlineLevel="0" collapsed="false">
      <c r="A2" s="61" t="n">
        <v>6546</v>
      </c>
      <c r="B2" s="29" t="n">
        <v>44743</v>
      </c>
      <c r="C2" s="21" t="s">
        <v>1259</v>
      </c>
      <c r="D2" s="21" t="s">
        <v>24</v>
      </c>
      <c r="E2" s="21" t="s">
        <v>25</v>
      </c>
      <c r="F2" s="21" t="s">
        <v>2842</v>
      </c>
      <c r="G2" s="30"/>
      <c r="H2" s="45" t="str">
        <f aca="false">HYPERLINK("https://photos.app.goo.gl/kkkVZq67H3uFgZCF8", "Completo")</f>
        <v>Completo</v>
      </c>
      <c r="I2" s="21" t="s">
        <v>28</v>
      </c>
      <c r="J2" s="21"/>
      <c r="K2" s="21"/>
      <c r="L2" s="21"/>
      <c r="M2" s="21"/>
      <c r="N2" s="30"/>
      <c r="O2" s="21"/>
      <c r="P2" s="21"/>
      <c r="Q2" s="21"/>
      <c r="R2" s="32"/>
      <c r="S2" s="32"/>
      <c r="T2" s="21"/>
      <c r="U2" s="21"/>
      <c r="V2" s="21"/>
      <c r="W2" s="21"/>
      <c r="X2" s="21" t="s">
        <v>28</v>
      </c>
    </row>
    <row r="3" customFormat="false" ht="15.75" hidden="false" customHeight="false" outlineLevel="0" collapsed="false">
      <c r="A3" s="61" t="n">
        <v>6547</v>
      </c>
      <c r="B3" s="29" t="n">
        <v>44743</v>
      </c>
      <c r="C3" s="21" t="s">
        <v>2753</v>
      </c>
      <c r="D3" s="21" t="s">
        <v>24</v>
      </c>
      <c r="E3" s="21" t="s">
        <v>25</v>
      </c>
      <c r="F3" s="21" t="s">
        <v>2843</v>
      </c>
      <c r="G3" s="30" t="s">
        <v>2844</v>
      </c>
      <c r="H3" s="45" t="str">
        <f aca="false">HYPERLINK("https://photos.app.goo.gl/KEibatunVH8A9iCi7", "Completo")</f>
        <v>Completo</v>
      </c>
      <c r="I3" s="21" t="s">
        <v>28</v>
      </c>
      <c r="J3" s="21"/>
      <c r="K3" s="21"/>
      <c r="L3" s="21"/>
      <c r="M3" s="21"/>
      <c r="N3" s="30"/>
      <c r="O3" s="21"/>
      <c r="P3" s="21"/>
      <c r="Q3" s="21"/>
      <c r="R3" s="32"/>
      <c r="S3" s="32"/>
      <c r="T3" s="21" t="s">
        <v>74</v>
      </c>
      <c r="U3" s="74" t="s">
        <v>28</v>
      </c>
      <c r="V3" s="74" t="s">
        <v>28</v>
      </c>
      <c r="W3" s="21" t="s">
        <v>36</v>
      </c>
      <c r="X3" s="21" t="s">
        <v>28</v>
      </c>
    </row>
    <row r="4" customFormat="false" ht="15.75" hidden="false" customHeight="false" outlineLevel="0" collapsed="false">
      <c r="A4" s="61" t="n">
        <v>6548</v>
      </c>
      <c r="B4" s="29" t="n">
        <v>44743</v>
      </c>
      <c r="C4" s="21" t="s">
        <v>2753</v>
      </c>
      <c r="D4" s="21" t="s">
        <v>24</v>
      </c>
      <c r="E4" s="21" t="s">
        <v>25</v>
      </c>
      <c r="F4" s="21" t="s">
        <v>2845</v>
      </c>
      <c r="G4" s="30" t="s">
        <v>2846</v>
      </c>
      <c r="H4" s="45" t="str">
        <f aca="false">HYPERLINK("https://photos.app.goo.gl/nhtVVbrs85CPHriU8", "Completo")</f>
        <v>Completo</v>
      </c>
      <c r="I4" s="21" t="s">
        <v>28</v>
      </c>
      <c r="J4" s="21"/>
      <c r="K4" s="21"/>
      <c r="L4" s="21"/>
      <c r="M4" s="21"/>
      <c r="N4" s="30"/>
      <c r="O4" s="21"/>
      <c r="P4" s="21"/>
      <c r="Q4" s="21"/>
      <c r="R4" s="32"/>
      <c r="S4" s="32"/>
      <c r="T4" s="21"/>
      <c r="U4" s="21"/>
      <c r="V4" s="21"/>
      <c r="W4" s="21"/>
      <c r="X4" s="21" t="s">
        <v>28</v>
      </c>
    </row>
    <row r="5" customFormat="false" ht="15.75" hidden="false" customHeight="false" outlineLevel="0" collapsed="false">
      <c r="A5" s="61" t="n">
        <v>6549</v>
      </c>
      <c r="B5" s="29" t="n">
        <v>44743</v>
      </c>
      <c r="C5" s="21" t="s">
        <v>2753</v>
      </c>
      <c r="D5" s="21" t="s">
        <v>24</v>
      </c>
      <c r="E5" s="21" t="s">
        <v>25</v>
      </c>
      <c r="F5" s="21" t="s">
        <v>2847</v>
      </c>
      <c r="G5" s="30" t="s">
        <v>2844</v>
      </c>
      <c r="H5" s="45" t="str">
        <f aca="false">HYPERLINK("https://photos.app.goo.gl/SeidSUBYvGk4aYPy7", "Completo")</f>
        <v>Completo</v>
      </c>
      <c r="I5" s="21" t="s">
        <v>28</v>
      </c>
      <c r="J5" s="21"/>
      <c r="K5" s="21"/>
      <c r="L5" s="21"/>
      <c r="M5" s="21"/>
      <c r="N5" s="30"/>
      <c r="O5" s="21"/>
      <c r="P5" s="21"/>
      <c r="Q5" s="21"/>
      <c r="R5" s="32"/>
      <c r="S5" s="32"/>
      <c r="T5" s="21" t="s">
        <v>74</v>
      </c>
      <c r="U5" s="74" t="s">
        <v>28</v>
      </c>
      <c r="V5" s="74" t="s">
        <v>28</v>
      </c>
      <c r="W5" s="21" t="s">
        <v>36</v>
      </c>
      <c r="X5" s="21" t="s">
        <v>28</v>
      </c>
    </row>
    <row r="6" customFormat="false" ht="15.75" hidden="false" customHeight="false" outlineLevel="0" collapsed="false">
      <c r="A6" s="61" t="n">
        <v>6550</v>
      </c>
      <c r="B6" s="29" t="n">
        <v>44743</v>
      </c>
      <c r="C6" s="21" t="s">
        <v>616</v>
      </c>
      <c r="D6" s="21" t="s">
        <v>24</v>
      </c>
      <c r="E6" s="21" t="s">
        <v>25</v>
      </c>
      <c r="F6" s="21" t="s">
        <v>2848</v>
      </c>
      <c r="G6" s="30" t="s">
        <v>2849</v>
      </c>
      <c r="H6" s="45" t="str">
        <f aca="false">HYPERLINK("https://photos.app.goo.gl/5nnUVADe7JoSx3Cd9", "Completo")</f>
        <v>Completo</v>
      </c>
      <c r="I6" s="21" t="s">
        <v>28</v>
      </c>
      <c r="J6" s="21"/>
      <c r="K6" s="21"/>
      <c r="L6" s="21"/>
      <c r="M6" s="21"/>
      <c r="N6" s="30"/>
      <c r="O6" s="21" t="s">
        <v>28</v>
      </c>
      <c r="P6" s="74" t="s">
        <v>28</v>
      </c>
      <c r="Q6" s="21" t="s">
        <v>201</v>
      </c>
      <c r="R6" s="32" t="s">
        <v>2850</v>
      </c>
      <c r="S6" s="32"/>
      <c r="T6" s="21" t="s">
        <v>74</v>
      </c>
      <c r="U6" s="74" t="s">
        <v>28</v>
      </c>
      <c r="V6" s="74" t="s">
        <v>28</v>
      </c>
      <c r="W6" s="21" t="s">
        <v>36</v>
      </c>
      <c r="X6" s="21" t="s">
        <v>28</v>
      </c>
    </row>
    <row r="7" customFormat="false" ht="15.75" hidden="false" customHeight="false" outlineLevel="0" collapsed="false">
      <c r="A7" s="61" t="n">
        <v>6551</v>
      </c>
      <c r="B7" s="29" t="n">
        <v>44743</v>
      </c>
      <c r="C7" s="21" t="s">
        <v>1456</v>
      </c>
      <c r="D7" s="21" t="s">
        <v>24</v>
      </c>
      <c r="E7" s="21" t="s">
        <v>25</v>
      </c>
      <c r="F7" s="21" t="s">
        <v>2851</v>
      </c>
      <c r="G7" s="30" t="s">
        <v>2852</v>
      </c>
      <c r="H7" s="45" t="str">
        <f aca="false">HYPERLINK("https://photos.app.goo.gl/ypYmFW8DgBtSsWUE8", "Completo")</f>
        <v>Completo</v>
      </c>
      <c r="I7" s="21" t="s">
        <v>28</v>
      </c>
      <c r="J7" s="21"/>
      <c r="K7" s="21"/>
      <c r="L7" s="21"/>
      <c r="M7" s="21"/>
      <c r="N7" s="30"/>
      <c r="O7" s="21"/>
      <c r="P7" s="21"/>
      <c r="Q7" s="21"/>
      <c r="R7" s="32"/>
      <c r="S7" s="32"/>
      <c r="T7" s="21"/>
      <c r="U7" s="21"/>
      <c r="V7" s="21"/>
      <c r="W7" s="21"/>
      <c r="X7" s="21" t="s">
        <v>28</v>
      </c>
    </row>
    <row r="8" customFormat="false" ht="15.75" hidden="false" customHeight="false" outlineLevel="0" collapsed="false">
      <c r="A8" s="61" t="n">
        <v>6552</v>
      </c>
      <c r="B8" s="29" t="n">
        <v>44743</v>
      </c>
      <c r="C8" s="21" t="s">
        <v>1456</v>
      </c>
      <c r="D8" s="21" t="s">
        <v>24</v>
      </c>
      <c r="E8" s="21" t="s">
        <v>25</v>
      </c>
      <c r="F8" s="21" t="s">
        <v>2853</v>
      </c>
      <c r="G8" s="30"/>
      <c r="H8" s="45" t="str">
        <f aca="false">HYPERLINK("https://photos.app.goo.gl/dr2LUSVKzCMKmpRo7", "Completo")</f>
        <v>Completo</v>
      </c>
      <c r="I8" s="21" t="s">
        <v>28</v>
      </c>
      <c r="J8" s="21"/>
      <c r="K8" s="21"/>
      <c r="L8" s="21"/>
      <c r="M8" s="21"/>
      <c r="N8" s="30"/>
      <c r="O8" s="21"/>
      <c r="P8" s="21"/>
      <c r="Q8" s="21"/>
      <c r="R8" s="32"/>
      <c r="S8" s="32"/>
      <c r="T8" s="21"/>
      <c r="U8" s="21"/>
      <c r="V8" s="21"/>
      <c r="W8" s="21"/>
      <c r="X8" s="21" t="s">
        <v>37</v>
      </c>
    </row>
    <row r="9" customFormat="false" ht="15.75" hidden="false" customHeight="false" outlineLevel="0" collapsed="false">
      <c r="A9" s="61" t="n">
        <v>6553</v>
      </c>
      <c r="B9" s="29" t="n">
        <v>44743</v>
      </c>
      <c r="C9" s="21" t="s">
        <v>730</v>
      </c>
      <c r="D9" s="21" t="s">
        <v>24</v>
      </c>
      <c r="E9" s="21" t="s">
        <v>25</v>
      </c>
      <c r="F9" s="21" t="s">
        <v>2261</v>
      </c>
      <c r="G9" s="30" t="s">
        <v>2854</v>
      </c>
      <c r="H9" s="45" t="str">
        <f aca="false">HYPERLINK("https://photos.app.goo.gl/HcHdgVJfU2r1CJWd7", "Completo")</f>
        <v>Completo</v>
      </c>
      <c r="I9" s="21" t="s">
        <v>28</v>
      </c>
      <c r="J9" s="21"/>
      <c r="K9" s="21"/>
      <c r="L9" s="21"/>
      <c r="M9" s="21"/>
      <c r="N9" s="30"/>
      <c r="O9" s="21"/>
      <c r="P9" s="21"/>
      <c r="Q9" s="21"/>
      <c r="R9" s="32"/>
      <c r="S9" s="32"/>
      <c r="T9" s="21"/>
      <c r="U9" s="21"/>
      <c r="V9" s="21"/>
      <c r="W9" s="21"/>
      <c r="X9" s="21" t="s">
        <v>28</v>
      </c>
    </row>
    <row r="10" customFormat="false" ht="15.75" hidden="false" customHeight="false" outlineLevel="0" collapsed="false">
      <c r="A10" s="61" t="n">
        <v>6554</v>
      </c>
      <c r="B10" s="29" t="n">
        <v>44746</v>
      </c>
      <c r="C10" s="21" t="s">
        <v>188</v>
      </c>
      <c r="D10" s="21" t="s">
        <v>24</v>
      </c>
      <c r="E10" s="21" t="s">
        <v>34</v>
      </c>
      <c r="F10" s="21" t="s">
        <v>2855</v>
      </c>
      <c r="G10" s="30"/>
      <c r="H10" s="31"/>
      <c r="I10" s="21"/>
      <c r="J10" s="21"/>
      <c r="K10" s="21"/>
      <c r="L10" s="21"/>
      <c r="M10" s="21"/>
      <c r="N10" s="30"/>
      <c r="O10" s="21"/>
      <c r="P10" s="21"/>
      <c r="Q10" s="21"/>
      <c r="R10" s="32"/>
      <c r="S10" s="32"/>
      <c r="T10" s="21"/>
      <c r="U10" s="21"/>
      <c r="V10" s="21"/>
      <c r="W10" s="21"/>
      <c r="X10" s="21" t="s">
        <v>28</v>
      </c>
    </row>
    <row r="11" customFormat="false" ht="15.75" hidden="false" customHeight="false" outlineLevel="0" collapsed="false">
      <c r="A11" s="61" t="s">
        <v>2856</v>
      </c>
      <c r="B11" s="29" t="n">
        <v>44746</v>
      </c>
      <c r="C11" s="21" t="s">
        <v>2857</v>
      </c>
      <c r="D11" s="21" t="s">
        <v>290</v>
      </c>
      <c r="E11" s="21" t="s">
        <v>25</v>
      </c>
      <c r="F11" s="21" t="s">
        <v>2858</v>
      </c>
      <c r="G11" s="30" t="s">
        <v>2859</v>
      </c>
      <c r="H11" s="45" t="str">
        <f aca="false">HYPERLINK("https://photos.app.goo.gl/hmn3nWDWpqBK4Dnh9", "Completo")</f>
        <v>Completo</v>
      </c>
      <c r="I11" s="21" t="s">
        <v>28</v>
      </c>
      <c r="J11" s="21"/>
      <c r="K11" s="21"/>
      <c r="L11" s="21"/>
      <c r="M11" s="21"/>
      <c r="N11" s="30"/>
      <c r="O11" s="21" t="s">
        <v>28</v>
      </c>
      <c r="P11" s="74" t="s">
        <v>28</v>
      </c>
      <c r="Q11" s="21" t="s">
        <v>2860</v>
      </c>
      <c r="R11" s="32" t="s">
        <v>2766</v>
      </c>
      <c r="S11" s="32"/>
      <c r="T11" s="21"/>
      <c r="U11" s="21"/>
      <c r="V11" s="21"/>
      <c r="W11" s="21"/>
      <c r="X11" s="21" t="s">
        <v>28</v>
      </c>
    </row>
    <row r="12" customFormat="false" ht="15.75" hidden="false" customHeight="false" outlineLevel="0" collapsed="false">
      <c r="A12" s="61" t="n">
        <v>6555</v>
      </c>
      <c r="B12" s="29" t="n">
        <v>44746</v>
      </c>
      <c r="C12" s="21" t="s">
        <v>2334</v>
      </c>
      <c r="D12" s="21" t="s">
        <v>24</v>
      </c>
      <c r="E12" s="21" t="s">
        <v>25</v>
      </c>
      <c r="F12" s="21" t="s">
        <v>2568</v>
      </c>
      <c r="G12" s="30" t="s">
        <v>2861</v>
      </c>
      <c r="H12" s="45" t="str">
        <f aca="false">HYPERLINK("https://photos.app.goo.gl/V55q9crAWt5iigRn8", "Completo")</f>
        <v>Completo</v>
      </c>
      <c r="I12" s="21" t="s">
        <v>28</v>
      </c>
      <c r="J12" s="21"/>
      <c r="K12" s="21"/>
      <c r="L12" s="21"/>
      <c r="M12" s="21" t="s">
        <v>2862</v>
      </c>
      <c r="N12" s="30"/>
      <c r="O12" s="21"/>
      <c r="P12" s="21"/>
      <c r="Q12" s="21"/>
      <c r="R12" s="32"/>
      <c r="S12" s="32"/>
      <c r="T12" s="21" t="s">
        <v>74</v>
      </c>
      <c r="U12" s="74" t="s">
        <v>28</v>
      </c>
      <c r="V12" s="74" t="s">
        <v>28</v>
      </c>
      <c r="W12" s="21" t="s">
        <v>36</v>
      </c>
      <c r="X12" s="21" t="s">
        <v>28</v>
      </c>
    </row>
    <row r="13" customFormat="false" ht="15.75" hidden="false" customHeight="false" outlineLevel="0" collapsed="false">
      <c r="A13" s="61" t="n">
        <v>6556</v>
      </c>
      <c r="B13" s="29" t="n">
        <v>44747</v>
      </c>
      <c r="C13" s="21" t="s">
        <v>1328</v>
      </c>
      <c r="D13" s="21" t="s">
        <v>24</v>
      </c>
      <c r="E13" s="21" t="s">
        <v>34</v>
      </c>
      <c r="F13" s="21" t="s">
        <v>2863</v>
      </c>
      <c r="G13" s="30"/>
      <c r="H13" s="31"/>
      <c r="I13" s="21"/>
      <c r="J13" s="21"/>
      <c r="K13" s="21"/>
      <c r="L13" s="21"/>
      <c r="M13" s="21"/>
      <c r="N13" s="30"/>
      <c r="O13" s="21"/>
      <c r="P13" s="21"/>
      <c r="Q13" s="21"/>
      <c r="R13" s="32"/>
      <c r="S13" s="32"/>
      <c r="T13" s="21"/>
      <c r="U13" s="21"/>
      <c r="V13" s="21"/>
      <c r="W13" s="21"/>
      <c r="X13" s="21" t="s">
        <v>28</v>
      </c>
    </row>
    <row r="14" customFormat="false" ht="15.75" hidden="false" customHeight="false" outlineLevel="0" collapsed="false">
      <c r="A14" s="61" t="n">
        <v>6557</v>
      </c>
      <c r="B14" s="29" t="n">
        <v>44747</v>
      </c>
      <c r="C14" s="21" t="s">
        <v>1328</v>
      </c>
      <c r="D14" s="21" t="s">
        <v>24</v>
      </c>
      <c r="E14" s="21" t="s">
        <v>34</v>
      </c>
      <c r="F14" s="21" t="s">
        <v>2864</v>
      </c>
      <c r="G14" s="30"/>
      <c r="H14" s="31"/>
      <c r="I14" s="21"/>
      <c r="J14" s="21"/>
      <c r="K14" s="21"/>
      <c r="L14" s="21"/>
      <c r="M14" s="21"/>
      <c r="N14" s="30"/>
      <c r="O14" s="21"/>
      <c r="P14" s="21"/>
      <c r="Q14" s="21"/>
      <c r="R14" s="32"/>
      <c r="S14" s="32"/>
      <c r="T14" s="21"/>
      <c r="U14" s="21"/>
      <c r="V14" s="21"/>
      <c r="W14" s="21"/>
      <c r="X14" s="21" t="s">
        <v>37</v>
      </c>
    </row>
    <row r="15" customFormat="false" ht="15.75" hidden="false" customHeight="false" outlineLevel="0" collapsed="false">
      <c r="A15" s="61" t="n">
        <v>6558</v>
      </c>
      <c r="B15" s="29" t="n">
        <v>44747</v>
      </c>
      <c r="C15" s="21" t="s">
        <v>1328</v>
      </c>
      <c r="D15" s="21" t="s">
        <v>24</v>
      </c>
      <c r="E15" s="21" t="s">
        <v>34</v>
      </c>
      <c r="F15" s="21" t="s">
        <v>2865</v>
      </c>
      <c r="G15" s="30"/>
      <c r="H15" s="31"/>
      <c r="I15" s="21"/>
      <c r="J15" s="21"/>
      <c r="K15" s="21"/>
      <c r="L15" s="21"/>
      <c r="M15" s="21"/>
      <c r="N15" s="30"/>
      <c r="O15" s="21"/>
      <c r="P15" s="21"/>
      <c r="Q15" s="21"/>
      <c r="R15" s="32"/>
      <c r="S15" s="32"/>
      <c r="T15" s="21"/>
      <c r="U15" s="21"/>
      <c r="V15" s="21"/>
      <c r="W15" s="21" t="s">
        <v>2133</v>
      </c>
      <c r="X15" s="21" t="s">
        <v>37</v>
      </c>
    </row>
    <row r="16" customFormat="false" ht="15.75" hidden="false" customHeight="false" outlineLevel="0" collapsed="false">
      <c r="A16" s="61" t="s">
        <v>2866</v>
      </c>
      <c r="B16" s="29" t="n">
        <v>44748</v>
      </c>
      <c r="C16" s="21" t="s">
        <v>2867</v>
      </c>
      <c r="D16" s="21" t="s">
        <v>578</v>
      </c>
      <c r="E16" s="21" t="s">
        <v>25</v>
      </c>
      <c r="F16" s="21" t="s">
        <v>2868</v>
      </c>
      <c r="G16" s="30" t="s">
        <v>2869</v>
      </c>
      <c r="H16" s="45" t="str">
        <f aca="false">HYPERLINK("https://photos.app.goo.gl/N84SfkT4EpzDoLEZ8", "Completo")</f>
        <v>Completo</v>
      </c>
      <c r="I16" s="21" t="s">
        <v>28</v>
      </c>
      <c r="J16" s="21"/>
      <c r="K16" s="21"/>
      <c r="L16" s="21"/>
      <c r="M16" s="21"/>
      <c r="N16" s="30"/>
      <c r="O16" s="21"/>
      <c r="P16" s="21"/>
      <c r="Q16" s="21"/>
      <c r="R16" s="32"/>
      <c r="S16" s="32"/>
      <c r="T16" s="21"/>
      <c r="U16" s="21"/>
      <c r="V16" s="21"/>
      <c r="W16" s="21"/>
      <c r="X16" s="21" t="s">
        <v>37</v>
      </c>
    </row>
    <row r="17" customFormat="false" ht="15.75" hidden="false" customHeight="false" outlineLevel="0" collapsed="false">
      <c r="A17" s="61" t="n">
        <v>6559</v>
      </c>
      <c r="B17" s="29" t="n">
        <v>44748</v>
      </c>
      <c r="C17" s="21" t="s">
        <v>2867</v>
      </c>
      <c r="D17" s="21" t="s">
        <v>24</v>
      </c>
      <c r="E17" s="21" t="s">
        <v>25</v>
      </c>
      <c r="F17" s="21" t="s">
        <v>2868</v>
      </c>
      <c r="G17" s="30" t="s">
        <v>2869</v>
      </c>
      <c r="H17" s="45" t="str">
        <f aca="false">HYPERLINK("https://photos.app.goo.gl/fEGYoDjASWdmUesN8", "Completo")</f>
        <v>Completo</v>
      </c>
      <c r="I17" s="21" t="s">
        <v>28</v>
      </c>
      <c r="J17" s="21"/>
      <c r="K17" s="21"/>
      <c r="L17" s="21"/>
      <c r="M17" s="21"/>
      <c r="N17" s="30"/>
      <c r="O17" s="21"/>
      <c r="P17" s="21"/>
      <c r="Q17" s="21"/>
      <c r="R17" s="32"/>
      <c r="S17" s="32"/>
      <c r="T17" s="21" t="s">
        <v>74</v>
      </c>
      <c r="U17" s="74" t="s">
        <v>28</v>
      </c>
      <c r="V17" s="74" t="s">
        <v>28</v>
      </c>
      <c r="W17" s="21" t="s">
        <v>36</v>
      </c>
      <c r="X17" s="21" t="s">
        <v>28</v>
      </c>
    </row>
    <row r="18" customFormat="false" ht="15.75" hidden="false" customHeight="false" outlineLevel="0" collapsed="false">
      <c r="A18" s="63" t="n">
        <v>1426639</v>
      </c>
      <c r="B18" s="29" t="n">
        <v>44749</v>
      </c>
      <c r="C18" s="21" t="s">
        <v>2621</v>
      </c>
      <c r="D18" s="21" t="s">
        <v>24</v>
      </c>
      <c r="E18" s="21" t="s">
        <v>25</v>
      </c>
      <c r="F18" s="21" t="s">
        <v>1771</v>
      </c>
      <c r="G18" s="30"/>
      <c r="H18" s="45" t="str">
        <f aca="false">HYPERLINK("https://photos.app.goo.gl/hJmmzWWD9gwLjUqX9", "Completo")</f>
        <v>Completo</v>
      </c>
      <c r="I18" s="21" t="s">
        <v>28</v>
      </c>
      <c r="J18" s="21"/>
      <c r="K18" s="21"/>
      <c r="L18" s="21"/>
      <c r="M18" s="21"/>
      <c r="N18" s="30"/>
      <c r="O18" s="21"/>
      <c r="P18" s="21"/>
      <c r="Q18" s="21"/>
      <c r="R18" s="32"/>
      <c r="S18" s="32"/>
      <c r="T18" s="21"/>
      <c r="U18" s="21"/>
      <c r="V18" s="21"/>
      <c r="W18" s="21"/>
      <c r="X18" s="21"/>
    </row>
    <row r="19" customFormat="false" ht="15.75" hidden="false" customHeight="false" outlineLevel="0" collapsed="false">
      <c r="A19" s="61" t="n">
        <v>6561</v>
      </c>
      <c r="B19" s="29" t="n">
        <v>44749</v>
      </c>
      <c r="C19" s="21" t="s">
        <v>1259</v>
      </c>
      <c r="D19" s="21" t="s">
        <v>24</v>
      </c>
      <c r="E19" s="21" t="s">
        <v>25</v>
      </c>
      <c r="F19" s="21" t="s">
        <v>2870</v>
      </c>
      <c r="G19" s="30"/>
      <c r="H19" s="45" t="str">
        <f aca="false">HYPERLINK("https://photos.app.goo.gl/ZDUvg2ZgowmM9sKY7", "Completo")</f>
        <v>Completo</v>
      </c>
      <c r="I19" s="21" t="s">
        <v>28</v>
      </c>
      <c r="J19" s="21"/>
      <c r="K19" s="21"/>
      <c r="L19" s="21"/>
      <c r="M19" s="21"/>
      <c r="N19" s="30"/>
      <c r="O19" s="21"/>
      <c r="P19" s="21"/>
      <c r="Q19" s="21"/>
      <c r="R19" s="32"/>
      <c r="S19" s="32"/>
      <c r="T19" s="21"/>
      <c r="U19" s="21"/>
      <c r="V19" s="21"/>
      <c r="W19" s="21"/>
      <c r="X19" s="21" t="s">
        <v>28</v>
      </c>
    </row>
    <row r="20" customFormat="false" ht="15.75" hidden="false" customHeight="false" outlineLevel="0" collapsed="false">
      <c r="A20" s="61" t="n">
        <v>6562</v>
      </c>
      <c r="B20" s="29" t="n">
        <v>44749</v>
      </c>
      <c r="C20" s="21" t="s">
        <v>2871</v>
      </c>
      <c r="D20" s="21" t="s">
        <v>24</v>
      </c>
      <c r="E20" s="21" t="s">
        <v>25</v>
      </c>
      <c r="F20" s="21" t="s">
        <v>2872</v>
      </c>
      <c r="G20" s="30" t="s">
        <v>2873</v>
      </c>
      <c r="H20" s="45" t="str">
        <f aca="false">HYPERLINK("https://photos.app.goo.gl/M2gnHfhkBFHbyhyq7", "Completo")</f>
        <v>Completo</v>
      </c>
      <c r="I20" s="21" t="s">
        <v>28</v>
      </c>
      <c r="J20" s="21"/>
      <c r="K20" s="21"/>
      <c r="L20" s="21"/>
      <c r="M20" s="21"/>
      <c r="N20" s="30"/>
      <c r="O20" s="21"/>
      <c r="P20" s="21"/>
      <c r="Q20" s="21"/>
      <c r="R20" s="32"/>
      <c r="S20" s="32"/>
      <c r="T20" s="21"/>
      <c r="U20" s="21"/>
      <c r="V20" s="21"/>
      <c r="W20" s="21"/>
      <c r="X20" s="21" t="s">
        <v>28</v>
      </c>
    </row>
    <row r="21" customFormat="false" ht="15.75" hidden="false" customHeight="false" outlineLevel="0" collapsed="false">
      <c r="A21" s="61" t="n">
        <v>6563</v>
      </c>
      <c r="B21" s="29" t="n">
        <v>44750</v>
      </c>
      <c r="C21" s="21" t="s">
        <v>2871</v>
      </c>
      <c r="D21" s="21" t="s">
        <v>24</v>
      </c>
      <c r="E21" s="21" t="s">
        <v>25</v>
      </c>
      <c r="F21" s="21" t="s">
        <v>2872</v>
      </c>
      <c r="G21" s="30" t="s">
        <v>2873</v>
      </c>
      <c r="H21" s="45" t="str">
        <f aca="false">HYPERLINK("https://photos.app.goo.gl/utJiXLD167cgnNVVA", "Completo")</f>
        <v>Completo</v>
      </c>
      <c r="I21" s="21" t="s">
        <v>28</v>
      </c>
      <c r="J21" s="21"/>
      <c r="K21" s="21"/>
      <c r="L21" s="21"/>
      <c r="M21" s="21"/>
      <c r="N21" s="30"/>
      <c r="O21" s="21"/>
      <c r="P21" s="21"/>
      <c r="Q21" s="21"/>
      <c r="R21" s="32"/>
      <c r="S21" s="32"/>
      <c r="T21" s="21"/>
      <c r="U21" s="21"/>
      <c r="V21" s="21"/>
      <c r="W21" s="21"/>
      <c r="X21" s="21" t="s">
        <v>28</v>
      </c>
    </row>
    <row r="22" customFormat="false" ht="15.75" hidden="false" customHeight="false" outlineLevel="0" collapsed="false">
      <c r="A22" s="61" t="n">
        <v>6564</v>
      </c>
      <c r="B22" s="29" t="n">
        <v>44750</v>
      </c>
      <c r="C22" s="21" t="s">
        <v>2871</v>
      </c>
      <c r="D22" s="21" t="s">
        <v>24</v>
      </c>
      <c r="E22" s="21" t="s">
        <v>25</v>
      </c>
      <c r="F22" s="21" t="s">
        <v>2872</v>
      </c>
      <c r="G22" s="30" t="s">
        <v>2873</v>
      </c>
      <c r="H22" s="45" t="str">
        <f aca="false">HYPERLINK("https://photos.app.goo.gl/SZ7tyyz9DwsXLFR89", "Completo")</f>
        <v>Completo</v>
      </c>
      <c r="I22" s="21" t="s">
        <v>28</v>
      </c>
      <c r="J22" s="21"/>
      <c r="K22" s="21"/>
      <c r="L22" s="21"/>
      <c r="M22" s="21"/>
      <c r="N22" s="30"/>
      <c r="O22" s="21"/>
      <c r="P22" s="21"/>
      <c r="Q22" s="21"/>
      <c r="R22" s="32"/>
      <c r="S22" s="32"/>
      <c r="T22" s="21"/>
      <c r="U22" s="21"/>
      <c r="V22" s="21"/>
      <c r="W22" s="21"/>
      <c r="X22" s="21" t="s">
        <v>28</v>
      </c>
    </row>
    <row r="23" customFormat="false" ht="15.75" hidden="false" customHeight="false" outlineLevel="0" collapsed="false">
      <c r="A23" s="61" t="n">
        <v>6565</v>
      </c>
      <c r="B23" s="29" t="n">
        <v>44750</v>
      </c>
      <c r="C23" s="21" t="s">
        <v>2871</v>
      </c>
      <c r="D23" s="21" t="s">
        <v>24</v>
      </c>
      <c r="E23" s="21" t="s">
        <v>25</v>
      </c>
      <c r="F23" s="21" t="s">
        <v>2872</v>
      </c>
      <c r="G23" s="30" t="s">
        <v>2873</v>
      </c>
      <c r="H23" s="45" t="str">
        <f aca="false">HYPERLINK("https://photos.app.goo.gl/JtDhcdgMwExeH5uXA", "Completo")</f>
        <v>Completo</v>
      </c>
      <c r="I23" s="21" t="s">
        <v>28</v>
      </c>
      <c r="J23" s="21"/>
      <c r="K23" s="21"/>
      <c r="L23" s="21"/>
      <c r="M23" s="21"/>
      <c r="N23" s="30"/>
      <c r="O23" s="21"/>
      <c r="P23" s="21"/>
      <c r="Q23" s="21"/>
      <c r="R23" s="32"/>
      <c r="S23" s="32"/>
      <c r="T23" s="21"/>
      <c r="U23" s="21"/>
      <c r="V23" s="21"/>
      <c r="W23" s="21"/>
      <c r="X23" s="21" t="s">
        <v>28</v>
      </c>
    </row>
    <row r="24" customFormat="false" ht="15.75" hidden="false" customHeight="false" outlineLevel="0" collapsed="false">
      <c r="A24" s="61" t="n">
        <v>6566</v>
      </c>
      <c r="B24" s="29" t="n">
        <v>44750</v>
      </c>
      <c r="C24" s="21" t="s">
        <v>2871</v>
      </c>
      <c r="D24" s="21" t="s">
        <v>24</v>
      </c>
      <c r="E24" s="21" t="s">
        <v>25</v>
      </c>
      <c r="F24" s="21" t="s">
        <v>2872</v>
      </c>
      <c r="G24" s="30" t="s">
        <v>2873</v>
      </c>
      <c r="H24" s="45" t="str">
        <f aca="false">HYPERLINK("https://photos.app.goo.gl/yp5hk5Ymi9zsn6RZA", "Completo")</f>
        <v>Completo</v>
      </c>
      <c r="I24" s="21" t="s">
        <v>28</v>
      </c>
      <c r="J24" s="21"/>
      <c r="K24" s="21"/>
      <c r="L24" s="21"/>
      <c r="M24" s="21"/>
      <c r="N24" s="30"/>
      <c r="O24" s="21"/>
      <c r="P24" s="21"/>
      <c r="Q24" s="21"/>
      <c r="R24" s="32"/>
      <c r="S24" s="32"/>
      <c r="T24" s="21"/>
      <c r="U24" s="21"/>
      <c r="V24" s="21"/>
      <c r="W24" s="21"/>
      <c r="X24" s="21" t="s">
        <v>28</v>
      </c>
    </row>
    <row r="25" customFormat="false" ht="15.75" hidden="false" customHeight="false" outlineLevel="0" collapsed="false">
      <c r="A25" s="61" t="n">
        <v>6567</v>
      </c>
      <c r="B25" s="29" t="n">
        <v>44750</v>
      </c>
      <c r="C25" s="21" t="s">
        <v>2871</v>
      </c>
      <c r="D25" s="21" t="s">
        <v>24</v>
      </c>
      <c r="E25" s="21" t="s">
        <v>25</v>
      </c>
      <c r="F25" s="21" t="s">
        <v>2872</v>
      </c>
      <c r="G25" s="30" t="s">
        <v>2873</v>
      </c>
      <c r="H25" s="45" t="str">
        <f aca="false">HYPERLINK("https://photos.app.goo.gl/xKVU4av5TFRZjXMeA", "Completo")</f>
        <v>Completo</v>
      </c>
      <c r="I25" s="21" t="s">
        <v>28</v>
      </c>
      <c r="J25" s="21"/>
      <c r="K25" s="21"/>
      <c r="L25" s="21"/>
      <c r="M25" s="21"/>
      <c r="N25" s="30"/>
      <c r="O25" s="21"/>
      <c r="P25" s="21"/>
      <c r="Q25" s="21"/>
      <c r="R25" s="32"/>
      <c r="S25" s="32"/>
      <c r="T25" s="21"/>
      <c r="U25" s="21"/>
      <c r="V25" s="21"/>
      <c r="W25" s="21"/>
      <c r="X25" s="21" t="s">
        <v>28</v>
      </c>
    </row>
    <row r="26" customFormat="false" ht="15.75" hidden="false" customHeight="false" outlineLevel="0" collapsed="false">
      <c r="A26" s="61" t="n">
        <v>6568</v>
      </c>
      <c r="B26" s="29" t="n">
        <v>44753</v>
      </c>
      <c r="C26" s="21" t="s">
        <v>2874</v>
      </c>
      <c r="D26" s="21" t="s">
        <v>24</v>
      </c>
      <c r="E26" s="21" t="s">
        <v>25</v>
      </c>
      <c r="F26" s="21" t="s">
        <v>1695</v>
      </c>
      <c r="G26" s="30" t="s">
        <v>2875</v>
      </c>
      <c r="H26" s="45" t="str">
        <f aca="false">HYPERLINK("https://photos.app.goo.gl/PjrAsnWgjH3d83tZ6", "Completo")</f>
        <v>Completo</v>
      </c>
      <c r="I26" s="21" t="s">
        <v>28</v>
      </c>
      <c r="J26" s="21" t="n">
        <v>357315414489</v>
      </c>
      <c r="K26" s="21" t="s">
        <v>2876</v>
      </c>
      <c r="L26" s="21"/>
      <c r="M26" s="21"/>
      <c r="N26" s="30" t="s">
        <v>2875</v>
      </c>
      <c r="O26" s="21" t="s">
        <v>28</v>
      </c>
      <c r="P26" s="21" t="s">
        <v>28</v>
      </c>
      <c r="Q26" s="21"/>
      <c r="R26" s="32"/>
      <c r="S26" s="32"/>
      <c r="T26" s="21" t="s">
        <v>74</v>
      </c>
      <c r="U26" s="46" t="s">
        <v>28</v>
      </c>
      <c r="V26" s="74" t="s">
        <v>28</v>
      </c>
      <c r="W26" s="21" t="s">
        <v>36</v>
      </c>
      <c r="X26" s="21" t="s">
        <v>28</v>
      </c>
    </row>
    <row r="27" customFormat="false" ht="15.75" hidden="false" customHeight="false" outlineLevel="0" collapsed="false">
      <c r="A27" s="61" t="n">
        <v>6569</v>
      </c>
      <c r="B27" s="29" t="n">
        <v>44750</v>
      </c>
      <c r="C27" s="21" t="s">
        <v>84</v>
      </c>
      <c r="D27" s="21" t="s">
        <v>24</v>
      </c>
      <c r="E27" s="21" t="s">
        <v>34</v>
      </c>
      <c r="F27" s="21" t="s">
        <v>2877</v>
      </c>
      <c r="G27" s="30"/>
      <c r="H27" s="31"/>
      <c r="I27" s="21"/>
      <c r="J27" s="21"/>
      <c r="K27" s="21"/>
      <c r="L27" s="21"/>
      <c r="M27" s="21"/>
      <c r="N27" s="30"/>
      <c r="O27" s="21"/>
      <c r="P27" s="21"/>
      <c r="Q27" s="21"/>
      <c r="R27" s="32"/>
      <c r="S27" s="32"/>
      <c r="T27" s="21"/>
      <c r="U27" s="21"/>
      <c r="V27" s="21"/>
      <c r="W27" s="21"/>
      <c r="X27" s="21" t="s">
        <v>28</v>
      </c>
    </row>
    <row r="28" customFormat="false" ht="15.75" hidden="false" customHeight="false" outlineLevel="0" collapsed="false">
      <c r="A28" s="61" t="n">
        <v>6570</v>
      </c>
      <c r="B28" s="29" t="n">
        <v>44753</v>
      </c>
      <c r="C28" s="21" t="s">
        <v>2878</v>
      </c>
      <c r="D28" s="21" t="s">
        <v>24</v>
      </c>
      <c r="E28" s="21" t="s">
        <v>25</v>
      </c>
      <c r="F28" s="21" t="s">
        <v>2879</v>
      </c>
      <c r="G28" s="30" t="s">
        <v>2880</v>
      </c>
      <c r="H28" s="45" t="str">
        <f aca="false">HYPERLINK("https://photos.app.goo.gl/HHtoBwYomoA4CjjVA", "Completo")</f>
        <v>Completo</v>
      </c>
      <c r="I28" s="21" t="s">
        <v>28</v>
      </c>
      <c r="J28" s="21" t="s">
        <v>2881</v>
      </c>
      <c r="K28" s="21"/>
      <c r="L28" s="21"/>
      <c r="M28" s="21"/>
      <c r="N28" s="30"/>
      <c r="O28" s="21"/>
      <c r="P28" s="21"/>
      <c r="Q28" s="21"/>
      <c r="R28" s="32"/>
      <c r="S28" s="32"/>
      <c r="T28" s="21"/>
      <c r="U28" s="21"/>
      <c r="V28" s="21"/>
      <c r="W28" s="21"/>
      <c r="X28" s="21" t="s">
        <v>28</v>
      </c>
    </row>
    <row r="29" customFormat="false" ht="15.75" hidden="false" customHeight="false" outlineLevel="0" collapsed="false">
      <c r="A29" s="61" t="n">
        <v>6971</v>
      </c>
      <c r="B29" s="29" t="n">
        <v>44753</v>
      </c>
      <c r="C29" s="21" t="s">
        <v>2882</v>
      </c>
      <c r="D29" s="21" t="s">
        <v>24</v>
      </c>
      <c r="E29" s="21" t="s">
        <v>25</v>
      </c>
      <c r="F29" s="21" t="s">
        <v>2879</v>
      </c>
      <c r="G29" s="30" t="s">
        <v>2880</v>
      </c>
      <c r="H29" s="45" t="str">
        <f aca="false">HYPERLINK("https://photos.app.goo.gl/c43bw2SRSkD34a9f7", "Completo")</f>
        <v>Completo</v>
      </c>
      <c r="I29" s="21" t="s">
        <v>28</v>
      </c>
      <c r="J29" s="21"/>
      <c r="K29" s="21"/>
      <c r="L29" s="21"/>
      <c r="M29" s="21"/>
      <c r="N29" s="30"/>
      <c r="O29" s="21"/>
      <c r="P29" s="21"/>
      <c r="Q29" s="21"/>
      <c r="R29" s="32"/>
      <c r="S29" s="32"/>
      <c r="T29" s="21"/>
      <c r="U29" s="21"/>
      <c r="V29" s="21"/>
      <c r="W29" s="21"/>
      <c r="X29" s="21" t="s">
        <v>28</v>
      </c>
    </row>
    <row r="30" customFormat="false" ht="15.75" hidden="false" customHeight="false" outlineLevel="0" collapsed="false">
      <c r="A30" s="61" t="n">
        <v>6572</v>
      </c>
      <c r="B30" s="29" t="n">
        <v>44754</v>
      </c>
      <c r="C30" s="21" t="s">
        <v>1290</v>
      </c>
      <c r="D30" s="21" t="s">
        <v>24</v>
      </c>
      <c r="E30" s="21" t="s">
        <v>25</v>
      </c>
      <c r="F30" s="21" t="s">
        <v>2883</v>
      </c>
      <c r="G30" s="30"/>
      <c r="H30" s="45" t="str">
        <f aca="false">HYPERLINK("https://photos.app.goo.gl/Ez9o9B9eMrjcFeyp9", "Completo")</f>
        <v>Completo</v>
      </c>
      <c r="I30" s="21" t="s">
        <v>28</v>
      </c>
      <c r="J30" s="21"/>
      <c r="K30" s="21"/>
      <c r="L30" s="21"/>
      <c r="M30" s="21"/>
      <c r="N30" s="30"/>
      <c r="O30" s="21"/>
      <c r="P30" s="21"/>
      <c r="Q30" s="21"/>
      <c r="R30" s="32"/>
      <c r="S30" s="32"/>
      <c r="T30" s="21"/>
      <c r="U30" s="21"/>
      <c r="V30" s="21"/>
      <c r="W30" s="21"/>
      <c r="X30" s="21" t="s">
        <v>28</v>
      </c>
    </row>
    <row r="31" customFormat="false" ht="15.75" hidden="false" customHeight="false" outlineLevel="0" collapsed="false">
      <c r="A31" s="61" t="n">
        <v>6573</v>
      </c>
      <c r="B31" s="29" t="n">
        <v>44754</v>
      </c>
      <c r="C31" s="21" t="s">
        <v>1567</v>
      </c>
      <c r="D31" s="21" t="s">
        <v>24</v>
      </c>
      <c r="E31" s="21" t="s">
        <v>25</v>
      </c>
      <c r="F31" s="21" t="s">
        <v>2884</v>
      </c>
      <c r="G31" s="30"/>
      <c r="H31" s="45" t="str">
        <f aca="false">HYPERLINK("https://photos.app.goo.gl/8856foNNfEgEdNMs7", "Completo")</f>
        <v>Completo</v>
      </c>
      <c r="I31" s="21" t="s">
        <v>28</v>
      </c>
      <c r="J31" s="21"/>
      <c r="K31" s="21"/>
      <c r="L31" s="21"/>
      <c r="M31" s="21"/>
      <c r="N31" s="30"/>
      <c r="O31" s="21" t="s">
        <v>28</v>
      </c>
      <c r="P31" s="74" t="s">
        <v>28</v>
      </c>
      <c r="Q31" s="21" t="s">
        <v>2885</v>
      </c>
      <c r="R31" s="32" t="s">
        <v>2766</v>
      </c>
      <c r="S31" s="32"/>
      <c r="T31" s="21"/>
      <c r="U31" s="21"/>
      <c r="V31" s="21"/>
      <c r="W31" s="21"/>
      <c r="X31" s="21" t="s">
        <v>28</v>
      </c>
    </row>
    <row r="32" customFormat="false" ht="15.75" hidden="false" customHeight="false" outlineLevel="0" collapsed="false">
      <c r="A32" s="61" t="n">
        <v>6574</v>
      </c>
      <c r="B32" s="29" t="n">
        <v>44754</v>
      </c>
      <c r="C32" s="21" t="s">
        <v>1567</v>
      </c>
      <c r="D32" s="21" t="s">
        <v>24</v>
      </c>
      <c r="E32" s="21" t="s">
        <v>25</v>
      </c>
      <c r="F32" s="21" t="s">
        <v>2886</v>
      </c>
      <c r="G32" s="30"/>
      <c r="H32" s="45" t="str">
        <f aca="false">HYPERLINK("https://photos.app.goo.gl/8ehqQKEBKFudE41c7", "Completo")</f>
        <v>Completo</v>
      </c>
      <c r="I32" s="21" t="s">
        <v>28</v>
      </c>
      <c r="J32" s="21"/>
      <c r="K32" s="21"/>
      <c r="L32" s="21"/>
      <c r="M32" s="21"/>
      <c r="N32" s="30"/>
      <c r="O32" s="21" t="s">
        <v>28</v>
      </c>
      <c r="P32" s="74" t="s">
        <v>28</v>
      </c>
      <c r="Q32" s="21" t="s">
        <v>214</v>
      </c>
      <c r="R32" s="32" t="s">
        <v>2766</v>
      </c>
      <c r="S32" s="32"/>
      <c r="T32" s="21" t="s">
        <v>2565</v>
      </c>
      <c r="U32" s="46" t="s">
        <v>28</v>
      </c>
      <c r="V32" s="46" t="s">
        <v>28</v>
      </c>
      <c r="W32" s="21" t="s">
        <v>29</v>
      </c>
      <c r="X32" s="21" t="s">
        <v>28</v>
      </c>
    </row>
    <row r="33" customFormat="false" ht="15.75" hidden="false" customHeight="false" outlineLevel="0" collapsed="false">
      <c r="A33" s="61" t="n">
        <v>6575</v>
      </c>
      <c r="B33" s="29" t="n">
        <v>44754</v>
      </c>
      <c r="C33" s="21" t="s">
        <v>389</v>
      </c>
      <c r="D33" s="21" t="s">
        <v>24</v>
      </c>
      <c r="E33" s="21" t="s">
        <v>25</v>
      </c>
      <c r="F33" s="21" t="s">
        <v>2887</v>
      </c>
      <c r="G33" s="30"/>
      <c r="H33" s="45" t="str">
        <f aca="false">HYPERLINK("https://photos.app.goo.gl/yS72z2TmA9ZGf7448", "Completo")</f>
        <v>Completo</v>
      </c>
      <c r="I33" s="21" t="s">
        <v>28</v>
      </c>
      <c r="J33" s="21"/>
      <c r="K33" s="21"/>
      <c r="L33" s="21"/>
      <c r="M33" s="21"/>
      <c r="N33" s="30"/>
      <c r="O33" s="21"/>
      <c r="P33" s="21"/>
      <c r="Q33" s="21"/>
      <c r="R33" s="32"/>
      <c r="S33" s="32"/>
      <c r="T33" s="21"/>
      <c r="U33" s="21"/>
      <c r="V33" s="21"/>
      <c r="W33" s="21"/>
      <c r="X33" s="21" t="s">
        <v>28</v>
      </c>
    </row>
    <row r="34" customFormat="false" ht="15.75" hidden="false" customHeight="false" outlineLevel="0" collapsed="false">
      <c r="A34" s="61" t="n">
        <v>6576</v>
      </c>
      <c r="B34" s="29" t="n">
        <v>44755</v>
      </c>
      <c r="C34" s="21" t="s">
        <v>2888</v>
      </c>
      <c r="D34" s="21" t="s">
        <v>24</v>
      </c>
      <c r="E34" s="21" t="s">
        <v>74</v>
      </c>
      <c r="F34" s="21" t="s">
        <v>2889</v>
      </c>
      <c r="G34" s="30"/>
      <c r="H34" s="45" t="str">
        <f aca="false">HYPERLINK("https://photos.app.goo.gl/BdqkaNb3MQvS2QmH8", "Completo")</f>
        <v>Completo</v>
      </c>
      <c r="I34" s="21" t="s">
        <v>28</v>
      </c>
      <c r="J34" s="21" t="s">
        <v>2890</v>
      </c>
      <c r="K34" s="21" t="s">
        <v>2891</v>
      </c>
      <c r="L34" s="67" t="s">
        <v>2892</v>
      </c>
      <c r="M34" s="21"/>
      <c r="N34" s="30"/>
      <c r="O34" s="21"/>
      <c r="P34" s="21"/>
      <c r="Q34" s="21"/>
      <c r="R34" s="32"/>
      <c r="S34" s="32"/>
      <c r="T34" s="21"/>
      <c r="U34" s="21"/>
      <c r="V34" s="21"/>
      <c r="W34" s="21"/>
      <c r="X34" s="21" t="s">
        <v>28</v>
      </c>
    </row>
    <row r="35" customFormat="false" ht="15.75" hidden="false" customHeight="false" outlineLevel="0" collapsed="false">
      <c r="A35" s="61" t="n">
        <v>6577</v>
      </c>
      <c r="B35" s="29" t="n">
        <v>44755</v>
      </c>
      <c r="C35" s="21" t="s">
        <v>2893</v>
      </c>
      <c r="D35" s="21" t="s">
        <v>24</v>
      </c>
      <c r="E35" s="21" t="s">
        <v>34</v>
      </c>
      <c r="F35" s="21" t="s">
        <v>2894</v>
      </c>
      <c r="G35" s="30"/>
      <c r="H35" s="31"/>
      <c r="I35" s="21"/>
      <c r="J35" s="21"/>
      <c r="K35" s="21"/>
      <c r="L35" s="21"/>
      <c r="M35" s="21"/>
      <c r="N35" s="30"/>
      <c r="O35" s="21"/>
      <c r="P35" s="21"/>
      <c r="Q35" s="21"/>
      <c r="R35" s="32"/>
      <c r="S35" s="32"/>
      <c r="T35" s="21"/>
      <c r="U35" s="21"/>
      <c r="V35" s="21"/>
      <c r="W35" s="21"/>
      <c r="X35" s="21" t="s">
        <v>28</v>
      </c>
    </row>
    <row r="36" customFormat="false" ht="15.75" hidden="false" customHeight="false" outlineLevel="0" collapsed="false">
      <c r="A36" s="61" t="n">
        <v>6578</v>
      </c>
      <c r="B36" s="29" t="n">
        <v>44755</v>
      </c>
      <c r="C36" s="21" t="s">
        <v>2893</v>
      </c>
      <c r="D36" s="21" t="s">
        <v>24</v>
      </c>
      <c r="E36" s="21" t="s">
        <v>34</v>
      </c>
      <c r="F36" s="21" t="s">
        <v>2895</v>
      </c>
      <c r="G36" s="30"/>
      <c r="H36" s="31"/>
      <c r="I36" s="21"/>
      <c r="J36" s="21"/>
      <c r="K36" s="21"/>
      <c r="L36" s="21"/>
      <c r="M36" s="21"/>
      <c r="N36" s="30"/>
      <c r="O36" s="21"/>
      <c r="P36" s="21"/>
      <c r="Q36" s="21"/>
      <c r="R36" s="32"/>
      <c r="S36" s="32"/>
      <c r="T36" s="21"/>
      <c r="U36" s="21"/>
      <c r="V36" s="21"/>
      <c r="W36" s="21"/>
      <c r="X36" s="21" t="s">
        <v>28</v>
      </c>
    </row>
    <row r="37" customFormat="false" ht="15.75" hidden="false" customHeight="false" outlineLevel="0" collapsed="false">
      <c r="A37" s="61" t="n">
        <v>6579</v>
      </c>
      <c r="B37" s="29" t="n">
        <v>44755</v>
      </c>
      <c r="C37" s="21" t="s">
        <v>2893</v>
      </c>
      <c r="D37" s="21" t="s">
        <v>24</v>
      </c>
      <c r="E37" s="21" t="s">
        <v>34</v>
      </c>
      <c r="F37" s="21" t="s">
        <v>2896</v>
      </c>
      <c r="G37" s="30"/>
      <c r="H37" s="31"/>
      <c r="I37" s="21"/>
      <c r="J37" s="21"/>
      <c r="K37" s="21"/>
      <c r="L37" s="21"/>
      <c r="M37" s="21"/>
      <c r="N37" s="30"/>
      <c r="O37" s="21"/>
      <c r="P37" s="21"/>
      <c r="Q37" s="21"/>
      <c r="R37" s="32"/>
      <c r="S37" s="32"/>
      <c r="T37" s="21"/>
      <c r="U37" s="21"/>
      <c r="V37" s="21"/>
      <c r="W37" s="21"/>
      <c r="X37" s="21" t="s">
        <v>28</v>
      </c>
    </row>
    <row r="38" customFormat="false" ht="15.75" hidden="false" customHeight="false" outlineLevel="0" collapsed="false">
      <c r="A38" s="61" t="s">
        <v>2897</v>
      </c>
      <c r="B38" s="29" t="n">
        <v>44756</v>
      </c>
      <c r="C38" s="21" t="s">
        <v>616</v>
      </c>
      <c r="D38" s="21" t="s">
        <v>578</v>
      </c>
      <c r="E38" s="21" t="s">
        <v>25</v>
      </c>
      <c r="F38" s="21" t="s">
        <v>2607</v>
      </c>
      <c r="G38" s="30"/>
      <c r="H38" s="45" t="str">
        <f aca="false">HYPERLINK("https://photos.app.goo.gl/Eu1pCpkE8DPsuqjF7", "Completo")</f>
        <v>Completo</v>
      </c>
      <c r="I38" s="21" t="s">
        <v>28</v>
      </c>
      <c r="J38" s="21"/>
      <c r="K38" s="21"/>
      <c r="L38" s="21"/>
      <c r="M38" s="21"/>
      <c r="N38" s="30"/>
      <c r="O38" s="21" t="s">
        <v>28</v>
      </c>
      <c r="P38" s="74" t="s">
        <v>28</v>
      </c>
      <c r="Q38" s="21" t="s">
        <v>2833</v>
      </c>
      <c r="R38" s="32" t="s">
        <v>2766</v>
      </c>
      <c r="S38" s="32"/>
      <c r="T38" s="21" t="s">
        <v>74</v>
      </c>
      <c r="U38" s="74" t="s">
        <v>28</v>
      </c>
      <c r="V38" s="74" t="s">
        <v>28</v>
      </c>
      <c r="W38" s="21" t="s">
        <v>36</v>
      </c>
      <c r="X38" s="21" t="s">
        <v>37</v>
      </c>
    </row>
    <row r="39" customFormat="false" ht="15.75" hidden="false" customHeight="false" outlineLevel="0" collapsed="false">
      <c r="A39" s="61" t="s">
        <v>2898</v>
      </c>
      <c r="B39" s="29" t="n">
        <v>44756</v>
      </c>
      <c r="C39" s="21" t="s">
        <v>616</v>
      </c>
      <c r="D39" s="21" t="s">
        <v>578</v>
      </c>
      <c r="E39" s="21" t="s">
        <v>25</v>
      </c>
      <c r="F39" s="21" t="s">
        <v>2899</v>
      </c>
      <c r="G39" s="30"/>
      <c r="H39" s="45" t="str">
        <f aca="false">HYPERLINK("https://photos.app.goo.gl/xm4FseX4KzGLjuk4A", "Completo")</f>
        <v>Completo</v>
      </c>
      <c r="I39" s="21" t="s">
        <v>28</v>
      </c>
      <c r="J39" s="21"/>
      <c r="K39" s="21"/>
      <c r="L39" s="21"/>
      <c r="M39" s="21"/>
      <c r="N39" s="30"/>
      <c r="O39" s="21" t="s">
        <v>28</v>
      </c>
      <c r="P39" s="74" t="s">
        <v>28</v>
      </c>
      <c r="Q39" s="21" t="s">
        <v>2900</v>
      </c>
      <c r="R39" s="32" t="s">
        <v>2766</v>
      </c>
      <c r="S39" s="32"/>
      <c r="T39" s="21" t="s">
        <v>74</v>
      </c>
      <c r="U39" s="74" t="s">
        <v>28</v>
      </c>
      <c r="V39" s="74" t="s">
        <v>28</v>
      </c>
      <c r="W39" s="21" t="s">
        <v>36</v>
      </c>
      <c r="X39" s="21" t="s">
        <v>37</v>
      </c>
    </row>
    <row r="40" customFormat="false" ht="15.75" hidden="false" customHeight="false" outlineLevel="0" collapsed="false">
      <c r="A40" s="61" t="n">
        <v>6580</v>
      </c>
      <c r="B40" s="29" t="n">
        <v>44757</v>
      </c>
      <c r="C40" s="21" t="s">
        <v>75</v>
      </c>
      <c r="D40" s="21" t="s">
        <v>24</v>
      </c>
      <c r="E40" s="21" t="s">
        <v>25</v>
      </c>
      <c r="F40" s="21" t="s">
        <v>2901</v>
      </c>
      <c r="G40" s="30"/>
      <c r="H40" s="45" t="str">
        <f aca="false">HYPERLINK("https://photos.app.goo.gl/x3hUNSZBHXhsrSDF6", "Completo")</f>
        <v>Completo</v>
      </c>
      <c r="I40" s="21" t="s">
        <v>28</v>
      </c>
      <c r="J40" s="21"/>
      <c r="K40" s="21"/>
      <c r="L40" s="21"/>
      <c r="M40" s="21"/>
      <c r="N40" s="30"/>
      <c r="O40" s="21"/>
      <c r="P40" s="21"/>
      <c r="Q40" s="21"/>
      <c r="R40" s="32"/>
      <c r="S40" s="32"/>
      <c r="T40" s="21"/>
      <c r="U40" s="21"/>
      <c r="V40" s="21"/>
      <c r="W40" s="21"/>
      <c r="X40" s="21" t="s">
        <v>28</v>
      </c>
    </row>
    <row r="41" customFormat="false" ht="15.75" hidden="false" customHeight="false" outlineLevel="0" collapsed="false">
      <c r="A41" s="61" t="n">
        <v>6581</v>
      </c>
      <c r="B41" s="29" t="n">
        <v>44757</v>
      </c>
      <c r="C41" s="21" t="s">
        <v>389</v>
      </c>
      <c r="D41" s="21" t="s">
        <v>24</v>
      </c>
      <c r="E41" s="21" t="s">
        <v>25</v>
      </c>
      <c r="F41" s="21" t="s">
        <v>2902</v>
      </c>
      <c r="G41" s="30" t="s">
        <v>2903</v>
      </c>
      <c r="H41" s="45" t="str">
        <f aca="false">HYPERLINK("https://photos.app.goo.gl/iyfDCLhYooot8EXE9", "Completo")</f>
        <v>Completo</v>
      </c>
      <c r="I41" s="21" t="s">
        <v>28</v>
      </c>
      <c r="J41" s="21"/>
      <c r="K41" s="21"/>
      <c r="L41" s="21"/>
      <c r="M41" s="21"/>
      <c r="N41" s="30"/>
      <c r="O41" s="21"/>
      <c r="P41" s="21"/>
      <c r="Q41" s="21"/>
      <c r="R41" s="32"/>
      <c r="S41" s="32"/>
      <c r="T41" s="21"/>
      <c r="U41" s="21"/>
      <c r="V41" s="21"/>
      <c r="W41" s="21"/>
      <c r="X41" s="21" t="s">
        <v>28</v>
      </c>
    </row>
    <row r="42" customFormat="false" ht="15.75" hidden="false" customHeight="false" outlineLevel="0" collapsed="false">
      <c r="A42" s="61" t="n">
        <v>6582</v>
      </c>
      <c r="B42" s="29" t="n">
        <v>44757</v>
      </c>
      <c r="C42" s="21" t="s">
        <v>389</v>
      </c>
      <c r="D42" s="21" t="s">
        <v>24</v>
      </c>
      <c r="E42" s="21" t="s">
        <v>25</v>
      </c>
      <c r="F42" s="21" t="s">
        <v>2904</v>
      </c>
      <c r="G42" s="30"/>
      <c r="H42" s="45" t="str">
        <f aca="false">HYPERLINK("https://photos.app.goo.gl/BiT1WtzFvnt9ryco8", "Completo")</f>
        <v>Completo</v>
      </c>
      <c r="I42" s="21" t="s">
        <v>28</v>
      </c>
      <c r="J42" s="21"/>
      <c r="K42" s="21"/>
      <c r="L42" s="21"/>
      <c r="M42" s="21"/>
      <c r="N42" s="30"/>
      <c r="O42" s="21"/>
      <c r="P42" s="21"/>
      <c r="Q42" s="21"/>
      <c r="R42" s="32"/>
      <c r="S42" s="32"/>
      <c r="T42" s="21"/>
      <c r="U42" s="21"/>
      <c r="V42" s="21"/>
      <c r="W42" s="21"/>
      <c r="X42" s="21" t="s">
        <v>28</v>
      </c>
    </row>
    <row r="43" customFormat="false" ht="15.75" hidden="false" customHeight="false" outlineLevel="0" collapsed="false">
      <c r="A43" s="61" t="n">
        <v>6583</v>
      </c>
      <c r="B43" s="29" t="n">
        <v>44761</v>
      </c>
      <c r="C43" s="21" t="s">
        <v>2905</v>
      </c>
      <c r="D43" s="21" t="s">
        <v>24</v>
      </c>
      <c r="E43" s="21" t="s">
        <v>74</v>
      </c>
      <c r="F43" s="21" t="s">
        <v>2906</v>
      </c>
      <c r="G43" s="30" t="s">
        <v>2824</v>
      </c>
      <c r="H43" s="45" t="str">
        <f aca="false">HYPERLINK("https://photos.app.goo.gl/BYeQKzVRj4V5BUEc7", "Completo")</f>
        <v>Completo</v>
      </c>
      <c r="I43" s="21" t="s">
        <v>28</v>
      </c>
      <c r="J43" s="21"/>
      <c r="K43" s="21"/>
      <c r="L43" s="21" t="s">
        <v>2907</v>
      </c>
      <c r="M43" s="21"/>
      <c r="N43" s="69" t="s">
        <v>2824</v>
      </c>
      <c r="O43" s="21" t="s">
        <v>28</v>
      </c>
      <c r="P43" s="74" t="s">
        <v>28</v>
      </c>
      <c r="Q43" s="21" t="s">
        <v>2700</v>
      </c>
      <c r="R43" s="32" t="s">
        <v>74</v>
      </c>
      <c r="S43" s="32" t="s">
        <v>36</v>
      </c>
      <c r="T43" s="21" t="s">
        <v>74</v>
      </c>
      <c r="U43" s="74" t="s">
        <v>28</v>
      </c>
      <c r="V43" s="74" t="s">
        <v>28</v>
      </c>
      <c r="W43" s="21" t="s">
        <v>36</v>
      </c>
      <c r="X43" s="21" t="s">
        <v>28</v>
      </c>
    </row>
    <row r="44" customFormat="false" ht="15.75" hidden="false" customHeight="false" outlineLevel="0" collapsed="false">
      <c r="A44" s="61" t="n">
        <v>6584</v>
      </c>
      <c r="B44" s="29" t="n">
        <v>44761</v>
      </c>
      <c r="C44" s="21" t="s">
        <v>2908</v>
      </c>
      <c r="D44" s="21" t="s">
        <v>24</v>
      </c>
      <c r="E44" s="21" t="s">
        <v>74</v>
      </c>
      <c r="F44" s="21" t="s">
        <v>2909</v>
      </c>
      <c r="G44" s="30" t="s">
        <v>2910</v>
      </c>
      <c r="H44" s="45" t="str">
        <f aca="false">HYPERLINK("https://photos.app.goo.gl/Cxn4iEn2hPqNpri7A", "Completo")</f>
        <v>Completo</v>
      </c>
      <c r="I44" s="21" t="s">
        <v>28</v>
      </c>
      <c r="J44" s="21"/>
      <c r="K44" s="21"/>
      <c r="L44" s="21" t="s">
        <v>2911</v>
      </c>
      <c r="M44" s="21"/>
      <c r="N44" s="30"/>
      <c r="O44" s="21"/>
      <c r="P44" s="21"/>
      <c r="Q44" s="21"/>
      <c r="R44" s="32"/>
      <c r="S44" s="32"/>
      <c r="T44" s="21"/>
      <c r="U44" s="21"/>
      <c r="V44" s="21"/>
      <c r="W44" s="21"/>
      <c r="X44" s="21" t="s">
        <v>28</v>
      </c>
    </row>
    <row r="45" customFormat="false" ht="15.75" hidden="false" customHeight="false" outlineLevel="0" collapsed="false">
      <c r="A45" s="61" t="n">
        <v>6585</v>
      </c>
      <c r="B45" s="29" t="n">
        <v>44762</v>
      </c>
      <c r="C45" s="21" t="s">
        <v>1934</v>
      </c>
      <c r="D45" s="21" t="s">
        <v>24</v>
      </c>
      <c r="E45" s="21" t="s">
        <v>25</v>
      </c>
      <c r="F45" s="21" t="s">
        <v>2912</v>
      </c>
      <c r="G45" s="30" t="s">
        <v>2913</v>
      </c>
      <c r="H45" s="45" t="str">
        <f aca="false">HYPERLINK("https://photos.app.goo.gl/r8HJ9ZG2auTjr3Xx9", "Completo")</f>
        <v>Completo</v>
      </c>
      <c r="I45" s="21" t="s">
        <v>28</v>
      </c>
      <c r="J45" s="21" t="s">
        <v>2914</v>
      </c>
      <c r="K45" s="21"/>
      <c r="L45" s="21" t="s">
        <v>2915</v>
      </c>
      <c r="M45" s="21"/>
      <c r="N45" s="30" t="s">
        <v>2916</v>
      </c>
      <c r="O45" s="21" t="s">
        <v>28</v>
      </c>
      <c r="P45" s="74" t="s">
        <v>28</v>
      </c>
      <c r="Q45" s="21" t="s">
        <v>201</v>
      </c>
      <c r="R45" s="32" t="s">
        <v>2917</v>
      </c>
      <c r="S45" s="32" t="s">
        <v>29</v>
      </c>
      <c r="T45" s="21" t="s">
        <v>2804</v>
      </c>
      <c r="U45" s="74" t="s">
        <v>28</v>
      </c>
      <c r="V45" s="74" t="s">
        <v>28</v>
      </c>
      <c r="W45" s="21" t="s">
        <v>29</v>
      </c>
      <c r="X45" s="21" t="s">
        <v>28</v>
      </c>
    </row>
    <row r="46" customFormat="false" ht="15.75" hidden="false" customHeight="false" outlineLevel="0" collapsed="false">
      <c r="A46" s="61" t="n">
        <v>6586</v>
      </c>
      <c r="B46" s="29" t="n">
        <v>44763</v>
      </c>
      <c r="C46" s="21" t="s">
        <v>730</v>
      </c>
      <c r="D46" s="21" t="s">
        <v>24</v>
      </c>
      <c r="E46" s="21" t="s">
        <v>25</v>
      </c>
      <c r="F46" s="21" t="s">
        <v>2918</v>
      </c>
      <c r="G46" s="30" t="s">
        <v>2919</v>
      </c>
      <c r="H46" s="45" t="str">
        <f aca="false">HYPERLINK("https://photos.app.goo.gl/L6ouQh5kXxpvKyRo6", "Completo")</f>
        <v>Completo</v>
      </c>
      <c r="I46" s="21" t="s">
        <v>28</v>
      </c>
      <c r="J46" s="21"/>
      <c r="K46" s="21"/>
      <c r="L46" s="21"/>
      <c r="M46" s="21"/>
      <c r="N46" s="30"/>
      <c r="O46" s="21"/>
      <c r="P46" s="21"/>
      <c r="Q46" s="21"/>
      <c r="R46" s="32"/>
      <c r="S46" s="32"/>
      <c r="T46" s="21"/>
      <c r="U46" s="21"/>
      <c r="V46" s="21"/>
      <c r="W46" s="21"/>
      <c r="X46" s="21" t="s">
        <v>28</v>
      </c>
    </row>
    <row r="47" customFormat="false" ht="15.75" hidden="false" customHeight="false" outlineLevel="0" collapsed="false">
      <c r="A47" s="61" t="n">
        <v>6587</v>
      </c>
      <c r="B47" s="29" t="n">
        <v>44763</v>
      </c>
      <c r="C47" s="21" t="s">
        <v>2920</v>
      </c>
      <c r="D47" s="21" t="s">
        <v>24</v>
      </c>
      <c r="E47" s="21" t="s">
        <v>25</v>
      </c>
      <c r="F47" s="21" t="s">
        <v>2921</v>
      </c>
      <c r="G47" s="30" t="s">
        <v>2922</v>
      </c>
      <c r="H47" s="45" t="str">
        <f aca="false">HYPERLINK("https://photos.app.goo.gl/Cetfbun22tmKB8t47", "Completo")</f>
        <v>Completo</v>
      </c>
      <c r="I47" s="21" t="s">
        <v>28</v>
      </c>
      <c r="J47" s="21"/>
      <c r="K47" s="21"/>
      <c r="L47" s="21"/>
      <c r="M47" s="21"/>
      <c r="N47" s="30"/>
      <c r="O47" s="21"/>
      <c r="P47" s="21"/>
      <c r="Q47" s="21"/>
      <c r="R47" s="32"/>
      <c r="S47" s="32"/>
      <c r="T47" s="21"/>
      <c r="U47" s="21"/>
      <c r="V47" s="21"/>
      <c r="W47" s="21"/>
      <c r="X47" s="21" t="s">
        <v>28</v>
      </c>
    </row>
    <row r="48" customFormat="false" ht="15.75" hidden="false" customHeight="false" outlineLevel="0" collapsed="false">
      <c r="A48" s="61" t="n">
        <v>6588</v>
      </c>
      <c r="B48" s="29" t="n">
        <v>44764</v>
      </c>
      <c r="C48" s="21" t="s">
        <v>2923</v>
      </c>
      <c r="D48" s="21" t="s">
        <v>24</v>
      </c>
      <c r="E48" s="21" t="s">
        <v>34</v>
      </c>
      <c r="F48" s="21" t="s">
        <v>2924</v>
      </c>
      <c r="G48" s="30" t="s">
        <v>2925</v>
      </c>
      <c r="H48" s="45" t="str">
        <f aca="false">HYPERLINK("https://photos.app.goo.gl/UwGz2Mx6AbD44g7H8", "Completo")</f>
        <v>Completo</v>
      </c>
      <c r="I48" s="21" t="s">
        <v>28</v>
      </c>
      <c r="J48" s="21" t="s">
        <v>2926</v>
      </c>
      <c r="K48" s="21"/>
      <c r="L48" s="21" t="s">
        <v>2927</v>
      </c>
      <c r="M48" s="21" t="s">
        <v>2928</v>
      </c>
      <c r="N48" s="30"/>
      <c r="O48" s="21"/>
      <c r="P48" s="21"/>
      <c r="Q48" s="21"/>
      <c r="R48" s="32"/>
      <c r="S48" s="32"/>
      <c r="T48" s="21"/>
      <c r="U48" s="21"/>
      <c r="V48" s="21"/>
      <c r="W48" s="21"/>
      <c r="X48" s="21" t="s">
        <v>28</v>
      </c>
    </row>
    <row r="49" customFormat="false" ht="15.75" hidden="false" customHeight="false" outlineLevel="0" collapsed="false">
      <c r="A49" s="61" t="n">
        <v>6589</v>
      </c>
      <c r="B49" s="29" t="n">
        <v>44764</v>
      </c>
      <c r="C49" s="21" t="s">
        <v>2923</v>
      </c>
      <c r="D49" s="21" t="s">
        <v>24</v>
      </c>
      <c r="E49" s="21" t="s">
        <v>34</v>
      </c>
      <c r="F49" s="21" t="s">
        <v>2929</v>
      </c>
      <c r="G49" s="30" t="s">
        <v>2930</v>
      </c>
      <c r="H49" s="45" t="str">
        <f aca="false">HYPERLINK("https://photos.app.goo.gl/opfhb6nhhZ7fRahX6", "Completo")</f>
        <v>Completo</v>
      </c>
      <c r="I49" s="21" t="s">
        <v>28</v>
      </c>
      <c r="J49" s="21"/>
      <c r="K49" s="21"/>
      <c r="L49" s="21"/>
      <c r="M49" s="21"/>
      <c r="N49" s="30"/>
      <c r="O49" s="21"/>
      <c r="P49" s="21"/>
      <c r="Q49" s="21"/>
      <c r="R49" s="32"/>
      <c r="S49" s="32"/>
      <c r="T49" s="21"/>
      <c r="U49" s="21"/>
      <c r="V49" s="21"/>
      <c r="W49" s="21"/>
      <c r="X49" s="21" t="s">
        <v>28</v>
      </c>
    </row>
    <row r="50" customFormat="false" ht="15.75" hidden="false" customHeight="false" outlineLevel="0" collapsed="false">
      <c r="A50" s="61" t="n">
        <v>6590</v>
      </c>
      <c r="B50" s="29" t="n">
        <v>44764</v>
      </c>
      <c r="C50" s="21" t="s">
        <v>2931</v>
      </c>
      <c r="D50" s="21" t="s">
        <v>24</v>
      </c>
      <c r="E50" s="21" t="s">
        <v>25</v>
      </c>
      <c r="F50" s="21" t="s">
        <v>2932</v>
      </c>
      <c r="G50" s="30" t="s">
        <v>2933</v>
      </c>
      <c r="H50" s="45" t="str">
        <f aca="false">HYPERLINK("https://photos.app.goo.gl/1ckB1wmqMYQhnrbY9", "Completo")</f>
        <v>Completo</v>
      </c>
      <c r="I50" s="21" t="s">
        <v>28</v>
      </c>
      <c r="J50" s="21" t="s">
        <v>2934</v>
      </c>
      <c r="K50" s="21"/>
      <c r="L50" s="21" t="s">
        <v>2935</v>
      </c>
      <c r="M50" s="21"/>
      <c r="N50" s="30"/>
      <c r="O50" s="21"/>
      <c r="P50" s="21"/>
      <c r="Q50" s="21"/>
      <c r="R50" s="32"/>
      <c r="S50" s="32"/>
      <c r="T50" s="21"/>
      <c r="U50" s="21"/>
      <c r="V50" s="21"/>
      <c r="W50" s="21"/>
      <c r="X50" s="21" t="s">
        <v>37</v>
      </c>
    </row>
    <row r="51" customFormat="false" ht="15.75" hidden="false" customHeight="false" outlineLevel="0" collapsed="false">
      <c r="A51" s="61" t="n">
        <v>6591</v>
      </c>
      <c r="B51" s="29" t="n">
        <v>44767</v>
      </c>
      <c r="C51" s="21" t="s">
        <v>394</v>
      </c>
      <c r="D51" s="21" t="s">
        <v>24</v>
      </c>
      <c r="E51" s="21" t="s">
        <v>34</v>
      </c>
      <c r="F51" s="21" t="s">
        <v>2936</v>
      </c>
      <c r="G51" s="30"/>
      <c r="H51" s="31" t="s">
        <v>28</v>
      </c>
      <c r="I51" s="21" t="s">
        <v>28</v>
      </c>
      <c r="J51" s="21"/>
      <c r="K51" s="21"/>
      <c r="L51" s="21"/>
      <c r="M51" s="21"/>
      <c r="N51" s="30"/>
      <c r="O51" s="21"/>
      <c r="P51" s="21"/>
      <c r="Q51" s="21"/>
      <c r="R51" s="32"/>
      <c r="S51" s="32"/>
      <c r="T51" s="21"/>
      <c r="U51" s="21"/>
      <c r="V51" s="21"/>
      <c r="W51" s="21"/>
      <c r="X51" s="21" t="s">
        <v>37</v>
      </c>
      <c r="Y51" s="12"/>
      <c r="Z51" s="12"/>
      <c r="AA51" s="12"/>
      <c r="AB51" s="12"/>
      <c r="AC51" s="12"/>
      <c r="AD51" s="12"/>
      <c r="AE51" s="12"/>
      <c r="AF51" s="12"/>
    </row>
    <row r="52" customFormat="false" ht="15.75" hidden="false" customHeight="false" outlineLevel="0" collapsed="false">
      <c r="A52" s="61" t="n">
        <v>6592</v>
      </c>
      <c r="B52" s="29" t="n">
        <v>44768</v>
      </c>
      <c r="C52" s="21" t="s">
        <v>2937</v>
      </c>
      <c r="D52" s="21" t="s">
        <v>24</v>
      </c>
      <c r="E52" s="21" t="s">
        <v>25</v>
      </c>
      <c r="F52" s="21" t="s">
        <v>2938</v>
      </c>
      <c r="G52" s="30" t="s">
        <v>2939</v>
      </c>
      <c r="H52" s="45" t="str">
        <f aca="false">HYPERLINK("https://photos.app.goo.gl/smVFo5brJaAbpYPa9", "Completo")</f>
        <v>Completo</v>
      </c>
      <c r="I52" s="21" t="s">
        <v>28</v>
      </c>
      <c r="J52" s="21"/>
      <c r="K52" s="21"/>
      <c r="L52" s="21"/>
      <c r="M52" s="21"/>
      <c r="N52" s="30"/>
      <c r="O52" s="21"/>
      <c r="P52" s="21"/>
      <c r="Q52" s="21"/>
      <c r="R52" s="32"/>
      <c r="S52" s="32"/>
      <c r="T52" s="21"/>
      <c r="U52" s="21"/>
      <c r="V52" s="21"/>
      <c r="W52" s="21"/>
      <c r="X52" s="21" t="s">
        <v>28</v>
      </c>
      <c r="Y52" s="12"/>
      <c r="Z52" s="12"/>
      <c r="AA52" s="12"/>
      <c r="AB52" s="12"/>
      <c r="AC52" s="12"/>
      <c r="AD52" s="12"/>
      <c r="AE52" s="12"/>
      <c r="AF52" s="12"/>
    </row>
    <row r="53" customFormat="false" ht="15.75" hidden="false" customHeight="false" outlineLevel="0" collapsed="false">
      <c r="A53" s="63" t="n">
        <v>1286021</v>
      </c>
      <c r="B53" s="29" t="n">
        <v>44768</v>
      </c>
      <c r="C53" s="21" t="s">
        <v>776</v>
      </c>
      <c r="D53" s="21" t="s">
        <v>290</v>
      </c>
      <c r="E53" s="21" t="s">
        <v>25</v>
      </c>
      <c r="F53" s="21" t="s">
        <v>2940</v>
      </c>
      <c r="G53" s="30" t="s">
        <v>2941</v>
      </c>
      <c r="H53" s="45" t="str">
        <f aca="false">HYPERLINK("https://photos.app.goo.gl/WVzzpoynV2hyUWWE7", "Completo")</f>
        <v>Completo</v>
      </c>
      <c r="I53" s="21" t="s">
        <v>28</v>
      </c>
      <c r="J53" s="21"/>
      <c r="K53" s="21"/>
      <c r="L53" s="21"/>
      <c r="M53" s="21"/>
      <c r="N53" s="30" t="s">
        <v>2840</v>
      </c>
      <c r="O53" s="21" t="s">
        <v>28</v>
      </c>
      <c r="P53" s="74" t="s">
        <v>28</v>
      </c>
      <c r="Q53" s="21" t="s">
        <v>1062</v>
      </c>
      <c r="R53" s="32" t="s">
        <v>2654</v>
      </c>
      <c r="S53" s="32" t="s">
        <v>29</v>
      </c>
      <c r="T53" s="21" t="s">
        <v>2654</v>
      </c>
      <c r="U53" s="74" t="s">
        <v>28</v>
      </c>
      <c r="V53" s="74" t="s">
        <v>28</v>
      </c>
      <c r="W53" s="21" t="s">
        <v>29</v>
      </c>
      <c r="X53" s="21" t="s">
        <v>28</v>
      </c>
    </row>
    <row r="54" customFormat="false" ht="15.75" hidden="false" customHeight="false" outlineLevel="0" collapsed="false">
      <c r="A54" s="61" t="n">
        <v>6593</v>
      </c>
      <c r="B54" s="29" t="n">
        <v>44768</v>
      </c>
      <c r="C54" s="21" t="s">
        <v>776</v>
      </c>
      <c r="D54" s="21" t="s">
        <v>24</v>
      </c>
      <c r="E54" s="21" t="s">
        <v>25</v>
      </c>
      <c r="F54" s="21" t="s">
        <v>2942</v>
      </c>
      <c r="G54" s="30" t="s">
        <v>2943</v>
      </c>
      <c r="H54" s="45" t="str">
        <f aca="false">HYPERLINK("https://photos.app.goo.gl/hDXsH2dP1rh39K2k9", "Completo")</f>
        <v>Completo</v>
      </c>
      <c r="I54" s="21" t="s">
        <v>28</v>
      </c>
      <c r="J54" s="21"/>
      <c r="K54" s="21"/>
      <c r="L54" s="21"/>
      <c r="M54" s="21"/>
      <c r="N54" s="30" t="s">
        <v>2841</v>
      </c>
      <c r="O54" s="21" t="s">
        <v>28</v>
      </c>
      <c r="P54" s="21" t="s">
        <v>28</v>
      </c>
      <c r="Q54" s="21" t="s">
        <v>2660</v>
      </c>
      <c r="R54" s="32" t="s">
        <v>2565</v>
      </c>
      <c r="S54" s="32" t="s">
        <v>29</v>
      </c>
      <c r="T54" s="21" t="s">
        <v>2565</v>
      </c>
      <c r="U54" s="74" t="s">
        <v>28</v>
      </c>
      <c r="V54" s="74" t="s">
        <v>28</v>
      </c>
      <c r="W54" s="21" t="s">
        <v>29</v>
      </c>
      <c r="X54" s="21" t="s">
        <v>28</v>
      </c>
    </row>
    <row r="55" customFormat="false" ht="15.75" hidden="false" customHeight="false" outlineLevel="0" collapsed="false">
      <c r="A55" s="61" t="n">
        <v>6594</v>
      </c>
      <c r="B55" s="29" t="n">
        <v>44768</v>
      </c>
      <c r="C55" s="21" t="s">
        <v>776</v>
      </c>
      <c r="D55" s="21" t="s">
        <v>24</v>
      </c>
      <c r="E55" s="21" t="s">
        <v>25</v>
      </c>
      <c r="F55" s="21" t="s">
        <v>2942</v>
      </c>
      <c r="G55" s="30" t="s">
        <v>2943</v>
      </c>
      <c r="H55" s="45" t="str">
        <f aca="false">HYPERLINK("https://photos.app.goo.gl/pr73RRutgL9Nu2Ru8", "Completo")</f>
        <v>Completo</v>
      </c>
      <c r="I55" s="21" t="s">
        <v>28</v>
      </c>
      <c r="J55" s="21"/>
      <c r="K55" s="21"/>
      <c r="L55" s="21"/>
      <c r="M55" s="21"/>
      <c r="N55" s="30" t="s">
        <v>2841</v>
      </c>
      <c r="O55" s="21" t="s">
        <v>28</v>
      </c>
      <c r="P55" s="74" t="s">
        <v>28</v>
      </c>
      <c r="Q55" s="21" t="s">
        <v>2660</v>
      </c>
      <c r="R55" s="32" t="s">
        <v>2654</v>
      </c>
      <c r="S55" s="32" t="s">
        <v>29</v>
      </c>
      <c r="T55" s="21" t="s">
        <v>2654</v>
      </c>
      <c r="U55" s="74" t="s">
        <v>28</v>
      </c>
      <c r="V55" s="74" t="s">
        <v>28</v>
      </c>
      <c r="W55" s="21" t="s">
        <v>29</v>
      </c>
      <c r="X55" s="21" t="s">
        <v>28</v>
      </c>
    </row>
    <row r="56" customFormat="false" ht="15.75" hidden="false" customHeight="false" outlineLevel="0" collapsed="false">
      <c r="A56" s="61" t="n">
        <v>6595</v>
      </c>
      <c r="B56" s="29" t="n">
        <v>44768</v>
      </c>
      <c r="C56" s="21" t="s">
        <v>2944</v>
      </c>
      <c r="D56" s="21" t="s">
        <v>24</v>
      </c>
      <c r="E56" s="21" t="s">
        <v>74</v>
      </c>
      <c r="F56" s="21" t="s">
        <v>2945</v>
      </c>
      <c r="G56" s="30" t="s">
        <v>2946</v>
      </c>
      <c r="H56" s="45" t="str">
        <f aca="false">HYPERLINK("https://photos.app.goo.gl/7wxaofwHaQNwsSmX6", "Completo")</f>
        <v>Completo</v>
      </c>
      <c r="I56" s="21" t="s">
        <v>28</v>
      </c>
      <c r="J56" s="21" t="n">
        <v>2665243088</v>
      </c>
      <c r="K56" s="21" t="s">
        <v>2947</v>
      </c>
      <c r="L56" s="21"/>
      <c r="M56" s="21"/>
      <c r="N56" s="30"/>
      <c r="O56" s="21"/>
      <c r="P56" s="21"/>
      <c r="Q56" s="21"/>
      <c r="R56" s="32"/>
      <c r="S56" s="32"/>
      <c r="T56" s="21"/>
      <c r="U56" s="21"/>
      <c r="V56" s="21"/>
      <c r="W56" s="21"/>
      <c r="X56" s="21" t="s">
        <v>28</v>
      </c>
    </row>
    <row r="57" customFormat="false" ht="15.75" hidden="false" customHeight="false" outlineLevel="0" collapsed="false">
      <c r="A57" s="61" t="n">
        <v>6596</v>
      </c>
      <c r="B57" s="29" t="n">
        <v>44769</v>
      </c>
      <c r="C57" s="21" t="s">
        <v>2469</v>
      </c>
      <c r="D57" s="21" t="s">
        <v>24</v>
      </c>
      <c r="E57" s="21" t="s">
        <v>34</v>
      </c>
      <c r="F57" s="21" t="s">
        <v>2948</v>
      </c>
      <c r="G57" s="30"/>
      <c r="H57" s="31"/>
      <c r="I57" s="21"/>
      <c r="J57" s="21"/>
      <c r="K57" s="21"/>
      <c r="L57" s="21"/>
      <c r="M57" s="21"/>
      <c r="N57" s="30"/>
      <c r="O57" s="21"/>
      <c r="P57" s="21"/>
      <c r="Q57" s="21"/>
      <c r="R57" s="32"/>
      <c r="S57" s="32"/>
      <c r="T57" s="21"/>
      <c r="U57" s="21"/>
      <c r="V57" s="21"/>
      <c r="W57" s="21"/>
      <c r="X57" s="21" t="s">
        <v>28</v>
      </c>
    </row>
    <row r="58" customFormat="false" ht="15.75" hidden="false" customHeight="false" outlineLevel="0" collapsed="false">
      <c r="A58" s="61" t="n">
        <v>6597</v>
      </c>
      <c r="B58" s="29" t="n">
        <v>44769</v>
      </c>
      <c r="C58" s="21" t="s">
        <v>1259</v>
      </c>
      <c r="D58" s="21" t="s">
        <v>24</v>
      </c>
      <c r="E58" s="21" t="s">
        <v>25</v>
      </c>
      <c r="F58" s="21" t="s">
        <v>2949</v>
      </c>
      <c r="G58" s="30" t="s">
        <v>2950</v>
      </c>
      <c r="H58" s="45" t="str">
        <f aca="false">HYPERLINK("https://photos.app.goo.gl/GbHqcSvGTiq7vLfe8", "Completo")</f>
        <v>Completo</v>
      </c>
      <c r="I58" s="21" t="s">
        <v>28</v>
      </c>
      <c r="J58" s="21"/>
      <c r="K58" s="21"/>
      <c r="L58" s="21"/>
      <c r="M58" s="21"/>
      <c r="N58" s="30" t="s">
        <v>2951</v>
      </c>
      <c r="O58" s="21" t="s">
        <v>28</v>
      </c>
      <c r="P58" s="74" t="s">
        <v>28</v>
      </c>
      <c r="Q58" s="21" t="s">
        <v>201</v>
      </c>
      <c r="R58" s="32" t="s">
        <v>2766</v>
      </c>
      <c r="S58" s="32"/>
      <c r="T58" s="21" t="s">
        <v>2654</v>
      </c>
      <c r="U58" s="46" t="s">
        <v>28</v>
      </c>
      <c r="V58" s="46" t="s">
        <v>28</v>
      </c>
      <c r="W58" s="21" t="s">
        <v>29</v>
      </c>
      <c r="X58" s="21" t="s">
        <v>28</v>
      </c>
    </row>
    <row r="59" customFormat="false" ht="15.75" hidden="false" customHeight="false" outlineLevel="0" collapsed="false">
      <c r="A59" s="61" t="n">
        <v>6598</v>
      </c>
      <c r="B59" s="29" t="n">
        <v>44769</v>
      </c>
      <c r="C59" s="21" t="s">
        <v>1259</v>
      </c>
      <c r="D59" s="21" t="s">
        <v>24</v>
      </c>
      <c r="E59" s="21" t="s">
        <v>25</v>
      </c>
      <c r="F59" s="21" t="s">
        <v>2949</v>
      </c>
      <c r="G59" s="30" t="s">
        <v>2950</v>
      </c>
      <c r="H59" s="45" t="str">
        <f aca="false">HYPERLINK("https://photos.app.goo.gl/7YBYpcrFBybAoZDv5", "Completo")</f>
        <v>Completo</v>
      </c>
      <c r="I59" s="21" t="s">
        <v>28</v>
      </c>
      <c r="J59" s="21"/>
      <c r="K59" s="21"/>
      <c r="L59" s="21"/>
      <c r="M59" s="21"/>
      <c r="N59" s="30" t="s">
        <v>2951</v>
      </c>
      <c r="O59" s="21" t="s">
        <v>28</v>
      </c>
      <c r="P59" s="74" t="s">
        <v>28</v>
      </c>
      <c r="Q59" s="21" t="s">
        <v>201</v>
      </c>
      <c r="R59" s="32" t="s">
        <v>2766</v>
      </c>
      <c r="S59" s="32"/>
      <c r="T59" s="21" t="s">
        <v>2654</v>
      </c>
      <c r="U59" s="46" t="s">
        <v>28</v>
      </c>
      <c r="V59" s="46" t="s">
        <v>28</v>
      </c>
      <c r="W59" s="21" t="s">
        <v>29</v>
      </c>
      <c r="X59" s="21" t="s">
        <v>28</v>
      </c>
    </row>
    <row r="60" customFormat="false" ht="15.75" hidden="false" customHeight="false" outlineLevel="0" collapsed="false">
      <c r="A60" s="61" t="n">
        <v>6599</v>
      </c>
      <c r="B60" s="29" t="n">
        <v>44769</v>
      </c>
      <c r="C60" s="21" t="s">
        <v>1259</v>
      </c>
      <c r="D60" s="21" t="s">
        <v>24</v>
      </c>
      <c r="E60" s="21" t="s">
        <v>25</v>
      </c>
      <c r="F60" s="21" t="s">
        <v>2949</v>
      </c>
      <c r="G60" s="30" t="s">
        <v>2950</v>
      </c>
      <c r="H60" s="45" t="str">
        <f aca="false">HYPERLINK("https://photos.app.goo.gl/uSVrhqjAmco7M7bi8", "Completo")</f>
        <v>Completo</v>
      </c>
      <c r="I60" s="21" t="s">
        <v>28</v>
      </c>
      <c r="J60" s="21"/>
      <c r="K60" s="21"/>
      <c r="L60" s="21"/>
      <c r="M60" s="21"/>
      <c r="N60" s="30" t="s">
        <v>2951</v>
      </c>
      <c r="O60" s="21" t="s">
        <v>28</v>
      </c>
      <c r="P60" s="74" t="s">
        <v>28</v>
      </c>
      <c r="Q60" s="21" t="s">
        <v>201</v>
      </c>
      <c r="R60" s="32" t="s">
        <v>2766</v>
      </c>
      <c r="S60" s="32"/>
      <c r="T60" s="21" t="s">
        <v>2654</v>
      </c>
      <c r="U60" s="46" t="s">
        <v>28</v>
      </c>
      <c r="V60" s="21" t="s">
        <v>28</v>
      </c>
      <c r="W60" s="21" t="s">
        <v>29</v>
      </c>
      <c r="X60" s="21" t="s">
        <v>28</v>
      </c>
    </row>
    <row r="61" customFormat="false" ht="15.75" hidden="false" customHeight="false" outlineLevel="0" collapsed="false">
      <c r="A61" s="61" t="n">
        <v>6600</v>
      </c>
      <c r="B61" s="29" t="n">
        <v>44769</v>
      </c>
      <c r="C61" s="21" t="s">
        <v>1259</v>
      </c>
      <c r="D61" s="21" t="s">
        <v>24</v>
      </c>
      <c r="E61" s="21" t="s">
        <v>25</v>
      </c>
      <c r="F61" s="21" t="s">
        <v>2949</v>
      </c>
      <c r="G61" s="30" t="s">
        <v>2950</v>
      </c>
      <c r="H61" s="45" t="str">
        <f aca="false">HYPERLINK("https://photos.app.goo.gl/Z6aKaXAEYNKRQefP9", "Completo")</f>
        <v>Completo</v>
      </c>
      <c r="I61" s="21" t="s">
        <v>28</v>
      </c>
      <c r="J61" s="21"/>
      <c r="K61" s="21"/>
      <c r="L61" s="21"/>
      <c r="M61" s="21"/>
      <c r="N61" s="30" t="s">
        <v>2951</v>
      </c>
      <c r="O61" s="21" t="s">
        <v>28</v>
      </c>
      <c r="P61" s="74" t="s">
        <v>28</v>
      </c>
      <c r="Q61" s="21" t="s">
        <v>201</v>
      </c>
      <c r="R61" s="32" t="s">
        <v>2766</v>
      </c>
      <c r="S61" s="32"/>
      <c r="T61" s="21" t="s">
        <v>2654</v>
      </c>
      <c r="U61" s="74" t="s">
        <v>28</v>
      </c>
      <c r="V61" s="74" t="s">
        <v>28</v>
      </c>
      <c r="W61" s="21" t="s">
        <v>29</v>
      </c>
      <c r="X61" s="21" t="s">
        <v>28</v>
      </c>
    </row>
    <row r="62" customFormat="false" ht="15.75" hidden="false" customHeight="false" outlineLevel="0" collapsed="false">
      <c r="A62" s="61" t="n">
        <v>6601</v>
      </c>
      <c r="B62" s="29" t="n">
        <v>44769</v>
      </c>
      <c r="C62" s="21" t="s">
        <v>1259</v>
      </c>
      <c r="D62" s="21" t="s">
        <v>24</v>
      </c>
      <c r="E62" s="21" t="s">
        <v>25</v>
      </c>
      <c r="F62" s="21" t="s">
        <v>2949</v>
      </c>
      <c r="G62" s="30" t="s">
        <v>2950</v>
      </c>
      <c r="H62" s="45" t="str">
        <f aca="false">HYPERLINK("https://photos.app.goo.gl/en32LhJ6zEes2B916", "Completo")</f>
        <v>Completo</v>
      </c>
      <c r="I62" s="21" t="s">
        <v>28</v>
      </c>
      <c r="J62" s="21"/>
      <c r="K62" s="21"/>
      <c r="L62" s="21"/>
      <c r="M62" s="21"/>
      <c r="N62" s="30" t="s">
        <v>2951</v>
      </c>
      <c r="O62" s="21" t="s">
        <v>28</v>
      </c>
      <c r="P62" s="74" t="s">
        <v>28</v>
      </c>
      <c r="Q62" s="21" t="s">
        <v>201</v>
      </c>
      <c r="R62" s="32" t="s">
        <v>2766</v>
      </c>
      <c r="S62" s="32"/>
      <c r="T62" s="21" t="s">
        <v>2654</v>
      </c>
      <c r="U62" s="74" t="s">
        <v>28</v>
      </c>
      <c r="V62" s="74" t="s">
        <v>28</v>
      </c>
      <c r="W62" s="21" t="s">
        <v>29</v>
      </c>
      <c r="X62" s="21" t="s">
        <v>28</v>
      </c>
    </row>
    <row r="63" customFormat="false" ht="15.75" hidden="false" customHeight="false" outlineLevel="0" collapsed="false">
      <c r="A63" s="61" t="n">
        <v>6602</v>
      </c>
      <c r="B63" s="29" t="n">
        <v>44769</v>
      </c>
      <c r="C63" s="21" t="s">
        <v>1259</v>
      </c>
      <c r="D63" s="21" t="s">
        <v>24</v>
      </c>
      <c r="E63" s="21" t="s">
        <v>25</v>
      </c>
      <c r="F63" s="21" t="s">
        <v>2952</v>
      </c>
      <c r="G63" s="30" t="s">
        <v>2953</v>
      </c>
      <c r="H63" s="45" t="str">
        <f aca="false">HYPERLINK("https://photos.app.goo.gl/vuXxxn66P9PjV54G7", "Completo")</f>
        <v>Completo</v>
      </c>
      <c r="I63" s="21" t="s">
        <v>28</v>
      </c>
      <c r="J63" s="21"/>
      <c r="K63" s="21"/>
      <c r="L63" s="21"/>
      <c r="M63" s="21"/>
      <c r="N63" s="30" t="s">
        <v>2954</v>
      </c>
      <c r="O63" s="21" t="s">
        <v>28</v>
      </c>
      <c r="P63" s="74" t="s">
        <v>28</v>
      </c>
      <c r="Q63" s="21" t="s">
        <v>201</v>
      </c>
      <c r="R63" s="32" t="s">
        <v>2766</v>
      </c>
      <c r="S63" s="32"/>
      <c r="T63" s="21" t="s">
        <v>2654</v>
      </c>
      <c r="U63" s="74" t="s">
        <v>28</v>
      </c>
      <c r="V63" s="74" t="s">
        <v>28</v>
      </c>
      <c r="W63" s="21" t="s">
        <v>29</v>
      </c>
      <c r="X63" s="21" t="s">
        <v>28</v>
      </c>
    </row>
    <row r="64" customFormat="false" ht="15.75" hidden="false" customHeight="false" outlineLevel="0" collapsed="false">
      <c r="A64" s="61" t="n">
        <v>6603</v>
      </c>
      <c r="B64" s="29" t="n">
        <v>44769</v>
      </c>
      <c r="C64" s="21" t="s">
        <v>1259</v>
      </c>
      <c r="D64" s="21" t="s">
        <v>24</v>
      </c>
      <c r="E64" s="21" t="s">
        <v>25</v>
      </c>
      <c r="F64" s="21" t="s">
        <v>2955</v>
      </c>
      <c r="G64" s="30" t="s">
        <v>2956</v>
      </c>
      <c r="H64" s="45" t="str">
        <f aca="false">HYPERLINK("https://photos.app.goo.gl/w9uxVtbcntC4xpL79", "Completo")</f>
        <v>Completo</v>
      </c>
      <c r="I64" s="21" t="s">
        <v>28</v>
      </c>
      <c r="J64" s="21"/>
      <c r="K64" s="21"/>
      <c r="L64" s="21"/>
      <c r="M64" s="21"/>
      <c r="N64" s="30" t="s">
        <v>2957</v>
      </c>
      <c r="O64" s="21" t="s">
        <v>28</v>
      </c>
      <c r="P64" s="74" t="s">
        <v>28</v>
      </c>
      <c r="Q64" s="21" t="s">
        <v>201</v>
      </c>
      <c r="R64" s="32" t="s">
        <v>2766</v>
      </c>
      <c r="S64" s="32"/>
      <c r="T64" s="21" t="s">
        <v>2654</v>
      </c>
      <c r="U64" s="74" t="s">
        <v>28</v>
      </c>
      <c r="V64" s="74" t="s">
        <v>28</v>
      </c>
      <c r="W64" s="21" t="s">
        <v>29</v>
      </c>
      <c r="X64" s="21" t="s">
        <v>28</v>
      </c>
    </row>
    <row r="65" customFormat="false" ht="15.75" hidden="false" customHeight="false" outlineLevel="0" collapsed="false">
      <c r="A65" s="61" t="n">
        <v>6604</v>
      </c>
      <c r="B65" s="29" t="n">
        <v>44769</v>
      </c>
      <c r="C65" s="21" t="s">
        <v>1259</v>
      </c>
      <c r="D65" s="21" t="s">
        <v>24</v>
      </c>
      <c r="E65" s="21" t="s">
        <v>25</v>
      </c>
      <c r="F65" s="21" t="s">
        <v>2955</v>
      </c>
      <c r="G65" s="30" t="s">
        <v>2956</v>
      </c>
      <c r="H65" s="45" t="str">
        <f aca="false">HYPERLINK("https://photos.app.goo.gl/MfyBPstKysSQYB5JA", "Completo")</f>
        <v>Completo</v>
      </c>
      <c r="I65" s="21" t="s">
        <v>28</v>
      </c>
      <c r="J65" s="21"/>
      <c r="K65" s="21"/>
      <c r="L65" s="21"/>
      <c r="M65" s="21"/>
      <c r="N65" s="30" t="s">
        <v>2957</v>
      </c>
      <c r="O65" s="21" t="s">
        <v>28</v>
      </c>
      <c r="P65" s="74" t="s">
        <v>28</v>
      </c>
      <c r="Q65" s="21" t="s">
        <v>201</v>
      </c>
      <c r="R65" s="32" t="s">
        <v>2766</v>
      </c>
      <c r="S65" s="32"/>
      <c r="T65" s="21" t="s">
        <v>2654</v>
      </c>
      <c r="U65" s="74" t="s">
        <v>28</v>
      </c>
      <c r="V65" s="74" t="s">
        <v>28</v>
      </c>
      <c r="W65" s="21" t="s">
        <v>29</v>
      </c>
      <c r="X65" s="21" t="s">
        <v>28</v>
      </c>
    </row>
    <row r="66" customFormat="false" ht="15.75" hidden="false" customHeight="false" outlineLevel="0" collapsed="false">
      <c r="A66" s="61" t="n">
        <v>6605</v>
      </c>
      <c r="B66" s="29" t="n">
        <v>44769</v>
      </c>
      <c r="C66" s="21" t="s">
        <v>1259</v>
      </c>
      <c r="D66" s="21" t="s">
        <v>24</v>
      </c>
      <c r="E66" s="21" t="s">
        <v>25</v>
      </c>
      <c r="F66" s="21" t="s">
        <v>2958</v>
      </c>
      <c r="G66" s="30" t="s">
        <v>2959</v>
      </c>
      <c r="H66" s="45" t="str">
        <f aca="false">HYPERLINK("https://photos.app.goo.gl/rLqywX3XuhgDnjSf6", "Completo")</f>
        <v>Completo</v>
      </c>
      <c r="I66" s="21" t="s">
        <v>28</v>
      </c>
      <c r="J66" s="21"/>
      <c r="K66" s="21"/>
      <c r="L66" s="21"/>
      <c r="M66" s="21"/>
      <c r="N66" s="30" t="s">
        <v>2960</v>
      </c>
      <c r="O66" s="21" t="s">
        <v>28</v>
      </c>
      <c r="P66" s="74" t="s">
        <v>28</v>
      </c>
      <c r="Q66" s="21" t="s">
        <v>201</v>
      </c>
      <c r="R66" s="32" t="s">
        <v>2766</v>
      </c>
      <c r="S66" s="32"/>
      <c r="T66" s="21" t="s">
        <v>2654</v>
      </c>
      <c r="U66" s="74" t="s">
        <v>28</v>
      </c>
      <c r="V66" s="74" t="s">
        <v>28</v>
      </c>
      <c r="W66" s="21" t="s">
        <v>29</v>
      </c>
      <c r="X66" s="21" t="s">
        <v>28</v>
      </c>
    </row>
    <row r="67" customFormat="false" ht="15.75" hidden="false" customHeight="false" outlineLevel="0" collapsed="false">
      <c r="A67" s="61" t="s">
        <v>2961</v>
      </c>
      <c r="B67" s="29" t="n">
        <v>44769</v>
      </c>
      <c r="C67" s="21" t="s">
        <v>1259</v>
      </c>
      <c r="D67" s="21" t="s">
        <v>578</v>
      </c>
      <c r="E67" s="21" t="s">
        <v>25</v>
      </c>
      <c r="F67" s="21" t="s">
        <v>2962</v>
      </c>
      <c r="G67" s="30" t="s">
        <v>2950</v>
      </c>
      <c r="H67" s="31" t="s">
        <v>28</v>
      </c>
      <c r="I67" s="21" t="s">
        <v>28</v>
      </c>
      <c r="J67" s="21"/>
      <c r="K67" s="21"/>
      <c r="L67" s="21"/>
      <c r="M67" s="21"/>
      <c r="N67" s="30"/>
      <c r="O67" s="21" t="s">
        <v>28</v>
      </c>
      <c r="P67" s="21" t="s">
        <v>28</v>
      </c>
      <c r="Q67" s="21"/>
      <c r="R67" s="32"/>
      <c r="S67" s="32"/>
      <c r="T67" s="21" t="s">
        <v>2804</v>
      </c>
      <c r="U67" s="74" t="s">
        <v>28</v>
      </c>
      <c r="V67" s="74" t="s">
        <v>28</v>
      </c>
      <c r="W67" s="21" t="s">
        <v>29</v>
      </c>
      <c r="X67" s="21" t="s">
        <v>37</v>
      </c>
    </row>
    <row r="68" customFormat="false" ht="15.75" hidden="false" customHeight="false" outlineLevel="0" collapsed="false">
      <c r="A68" s="61" t="n">
        <v>6606</v>
      </c>
      <c r="B68" s="29" t="n">
        <v>44769</v>
      </c>
      <c r="C68" s="21" t="s">
        <v>1259</v>
      </c>
      <c r="D68" s="21" t="s">
        <v>24</v>
      </c>
      <c r="E68" s="21" t="s">
        <v>25</v>
      </c>
      <c r="F68" s="21" t="s">
        <v>2963</v>
      </c>
      <c r="G68" s="30" t="s">
        <v>2964</v>
      </c>
      <c r="H68" s="45" t="str">
        <f aca="false">HYPERLINK("https://photos.app.goo.gl/UL7JQSkQV58XToBN8", "Completo")</f>
        <v>Completo</v>
      </c>
      <c r="I68" s="21" t="s">
        <v>28</v>
      </c>
      <c r="J68" s="21"/>
      <c r="K68" s="21"/>
      <c r="L68" s="21"/>
      <c r="M68" s="21"/>
      <c r="N68" s="30"/>
      <c r="O68" s="21"/>
      <c r="P68" s="21"/>
      <c r="Q68" s="21"/>
      <c r="R68" s="32"/>
      <c r="S68" s="32"/>
      <c r="T68" s="21"/>
      <c r="U68" s="21"/>
      <c r="V68" s="21"/>
      <c r="W68" s="21"/>
      <c r="X68" s="21"/>
    </row>
    <row r="69" customFormat="false" ht="15.75" hidden="false" customHeight="false" outlineLevel="0" collapsed="false">
      <c r="A69" s="61" t="n">
        <v>6607</v>
      </c>
      <c r="B69" s="29" t="n">
        <v>44769</v>
      </c>
      <c r="C69" s="21" t="s">
        <v>412</v>
      </c>
      <c r="D69" s="21" t="s">
        <v>24</v>
      </c>
      <c r="E69" s="21" t="s">
        <v>25</v>
      </c>
      <c r="F69" s="21" t="s">
        <v>2965</v>
      </c>
      <c r="G69" s="30"/>
      <c r="H69" s="45" t="str">
        <f aca="false">HYPERLINK("https://photos.app.goo.gl/VfKwMCPydKHMPgCs8", "Completo")</f>
        <v>Completo</v>
      </c>
      <c r="I69" s="21" t="s">
        <v>28</v>
      </c>
      <c r="J69" s="21"/>
      <c r="K69" s="21"/>
      <c r="L69" s="21"/>
      <c r="M69" s="21"/>
      <c r="N69" s="30"/>
      <c r="O69" s="21"/>
      <c r="P69" s="21"/>
      <c r="Q69" s="21"/>
      <c r="R69" s="32"/>
      <c r="S69" s="32"/>
      <c r="T69" s="21"/>
      <c r="U69" s="21"/>
      <c r="V69" s="21"/>
      <c r="W69" s="21"/>
      <c r="X69" s="21"/>
    </row>
    <row r="70" customFormat="false" ht="15.75" hidden="false" customHeight="false" outlineLevel="0" collapsed="false">
      <c r="A70" s="61" t="s">
        <v>2966</v>
      </c>
      <c r="B70" s="29" t="n">
        <v>44769</v>
      </c>
      <c r="C70" s="21" t="s">
        <v>2967</v>
      </c>
      <c r="D70" s="21" t="s">
        <v>578</v>
      </c>
      <c r="E70" s="21" t="s">
        <v>25</v>
      </c>
      <c r="F70" s="21" t="s">
        <v>2968</v>
      </c>
      <c r="G70" s="30"/>
      <c r="H70" s="45" t="str">
        <f aca="false">HYPERLINK("https://photos.app.goo.gl/gD9DWFJtyNs48UTs8", "Completo")</f>
        <v>Completo</v>
      </c>
      <c r="I70" s="21" t="s">
        <v>28</v>
      </c>
      <c r="J70" s="21"/>
      <c r="K70" s="21"/>
      <c r="L70" s="21"/>
      <c r="M70" s="21"/>
      <c r="N70" s="30"/>
      <c r="O70" s="21"/>
      <c r="P70" s="21"/>
      <c r="Q70" s="21"/>
      <c r="R70" s="32"/>
      <c r="S70" s="32"/>
      <c r="T70" s="21"/>
      <c r="U70" s="21"/>
      <c r="V70" s="21"/>
      <c r="W70" s="21"/>
      <c r="X70" s="21" t="s">
        <v>37</v>
      </c>
    </row>
    <row r="71" customFormat="false" ht="15.75" hidden="false" customHeight="false" outlineLevel="0" collapsed="false">
      <c r="A71" s="61" t="n">
        <v>6608</v>
      </c>
      <c r="B71" s="29" t="n">
        <v>44770</v>
      </c>
      <c r="C71" s="21" t="s">
        <v>389</v>
      </c>
      <c r="D71" s="21" t="s">
        <v>24</v>
      </c>
      <c r="E71" s="21" t="s">
        <v>25</v>
      </c>
      <c r="F71" s="21" t="s">
        <v>2969</v>
      </c>
      <c r="G71" s="30"/>
      <c r="H71" s="45" t="str">
        <f aca="false">HYPERLINK("https://photos.app.goo.gl/i7UmM2p1MYiEFqmb9", "Completo")</f>
        <v>Completo</v>
      </c>
      <c r="I71" s="21" t="s">
        <v>28</v>
      </c>
      <c r="J71" s="21"/>
      <c r="K71" s="21"/>
      <c r="L71" s="21"/>
      <c r="M71" s="21"/>
      <c r="N71" s="30"/>
      <c r="O71" s="21"/>
      <c r="P71" s="21"/>
      <c r="Q71" s="21"/>
      <c r="R71" s="32"/>
      <c r="S71" s="32"/>
      <c r="T71" s="21"/>
      <c r="U71" s="21"/>
      <c r="V71" s="21"/>
      <c r="W71" s="21"/>
      <c r="X71" s="21" t="s">
        <v>28</v>
      </c>
    </row>
    <row r="72" customFormat="false" ht="15.75" hidden="false" customHeight="false" outlineLevel="0" collapsed="false">
      <c r="A72" s="61" t="s">
        <v>2970</v>
      </c>
      <c r="B72" s="29" t="n">
        <v>44770</v>
      </c>
      <c r="C72" s="21" t="s">
        <v>872</v>
      </c>
      <c r="D72" s="21" t="s">
        <v>578</v>
      </c>
      <c r="E72" s="21" t="s">
        <v>25</v>
      </c>
      <c r="F72" s="21" t="s">
        <v>2971</v>
      </c>
      <c r="G72" s="30"/>
      <c r="H72" s="31" t="s">
        <v>28</v>
      </c>
      <c r="I72" s="21" t="s">
        <v>28</v>
      </c>
      <c r="J72" s="21"/>
      <c r="K72" s="21"/>
      <c r="L72" s="21"/>
      <c r="M72" s="21"/>
      <c r="N72" s="30"/>
      <c r="O72" s="21"/>
      <c r="P72" s="21"/>
      <c r="Q72" s="21"/>
      <c r="R72" s="32"/>
      <c r="S72" s="32"/>
      <c r="T72" s="21"/>
      <c r="U72" s="21"/>
      <c r="V72" s="21"/>
      <c r="W72" s="21"/>
      <c r="X72" s="21" t="s">
        <v>37</v>
      </c>
    </row>
    <row r="73" customFormat="false" ht="15.75" hidden="false" customHeight="false" outlineLevel="0" collapsed="false">
      <c r="A73" s="61" t="s">
        <v>2972</v>
      </c>
      <c r="B73" s="29" t="n">
        <v>44770</v>
      </c>
      <c r="C73" s="21" t="s">
        <v>872</v>
      </c>
      <c r="D73" s="21" t="s">
        <v>578</v>
      </c>
      <c r="E73" s="21" t="s">
        <v>25</v>
      </c>
      <c r="F73" s="21" t="s">
        <v>2971</v>
      </c>
      <c r="G73" s="30"/>
      <c r="H73" s="31" t="s">
        <v>28</v>
      </c>
      <c r="I73" s="21" t="s">
        <v>28</v>
      </c>
      <c r="J73" s="21"/>
      <c r="K73" s="21"/>
      <c r="L73" s="21"/>
      <c r="M73" s="21"/>
      <c r="N73" s="30"/>
      <c r="O73" s="21"/>
      <c r="P73" s="21"/>
      <c r="Q73" s="21"/>
      <c r="R73" s="32"/>
      <c r="S73" s="32"/>
      <c r="T73" s="21"/>
      <c r="U73" s="21"/>
      <c r="V73" s="21"/>
      <c r="W73" s="21"/>
      <c r="X73" s="21" t="s">
        <v>37</v>
      </c>
    </row>
    <row r="74" customFormat="false" ht="15.75" hidden="false" customHeight="false" outlineLevel="0" collapsed="false">
      <c r="A74" s="61" t="n">
        <v>6609</v>
      </c>
      <c r="B74" s="29" t="n">
        <v>44770</v>
      </c>
      <c r="C74" s="21" t="s">
        <v>872</v>
      </c>
      <c r="D74" s="21" t="s">
        <v>24</v>
      </c>
      <c r="E74" s="21" t="s">
        <v>34</v>
      </c>
      <c r="F74" s="21" t="s">
        <v>2973</v>
      </c>
      <c r="G74" s="30"/>
      <c r="H74" s="31"/>
      <c r="I74" s="21"/>
      <c r="J74" s="21"/>
      <c r="K74" s="21"/>
      <c r="L74" s="21"/>
      <c r="M74" s="21"/>
      <c r="N74" s="30"/>
      <c r="O74" s="21"/>
      <c r="P74" s="21"/>
      <c r="Q74" s="21"/>
      <c r="R74" s="32"/>
      <c r="S74" s="32"/>
      <c r="T74" s="21"/>
      <c r="U74" s="21"/>
      <c r="V74" s="21"/>
      <c r="W74" s="21"/>
      <c r="X74" s="21" t="s">
        <v>28</v>
      </c>
    </row>
    <row r="75" customFormat="false" ht="15.75" hidden="false" customHeight="false" outlineLevel="0" collapsed="false">
      <c r="A75" s="61" t="n">
        <v>6610</v>
      </c>
      <c r="B75" s="29" t="n">
        <v>44772</v>
      </c>
      <c r="C75" s="21" t="s">
        <v>2974</v>
      </c>
      <c r="D75" s="21" t="s">
        <v>24</v>
      </c>
      <c r="E75" s="21" t="s">
        <v>34</v>
      </c>
      <c r="F75" s="21" t="s">
        <v>2975</v>
      </c>
      <c r="G75" s="30"/>
      <c r="H75" s="31"/>
      <c r="I75" s="21"/>
      <c r="J75" s="21"/>
      <c r="K75" s="21"/>
      <c r="L75" s="21"/>
      <c r="M75" s="21"/>
      <c r="N75" s="30"/>
      <c r="O75" s="21"/>
      <c r="P75" s="21"/>
      <c r="Q75" s="21"/>
      <c r="R75" s="32"/>
      <c r="S75" s="32"/>
      <c r="T75" s="21"/>
      <c r="U75" s="21"/>
      <c r="V75" s="21"/>
      <c r="W75" s="21"/>
      <c r="X75" s="21" t="s">
        <v>28</v>
      </c>
    </row>
    <row r="76" customFormat="false" ht="15.75" hidden="false" customHeight="false" outlineLevel="0" collapsed="false">
      <c r="A76" s="61"/>
      <c r="B76" s="29"/>
      <c r="C76" s="21"/>
      <c r="D76" s="21"/>
      <c r="E76" s="21"/>
      <c r="F76" s="21"/>
      <c r="G76" s="30"/>
      <c r="H76" s="31"/>
      <c r="I76" s="21"/>
      <c r="J76" s="21"/>
      <c r="K76" s="21"/>
      <c r="L76" s="21"/>
      <c r="M76" s="21"/>
      <c r="N76" s="30"/>
      <c r="O76" s="21"/>
      <c r="P76" s="21"/>
      <c r="Q76" s="21"/>
      <c r="R76" s="32"/>
      <c r="S76" s="32"/>
      <c r="T76" s="21"/>
      <c r="U76" s="21"/>
      <c r="V76" s="21"/>
      <c r="W76" s="21"/>
      <c r="X76" s="21"/>
    </row>
    <row r="77" customFormat="false" ht="15.75" hidden="false" customHeight="false" outlineLevel="0" collapsed="false">
      <c r="A77" s="61"/>
      <c r="B77" s="29"/>
      <c r="C77" s="21"/>
      <c r="D77" s="21"/>
      <c r="E77" s="21"/>
      <c r="F77" s="21"/>
      <c r="G77" s="30"/>
      <c r="H77" s="31"/>
      <c r="I77" s="21"/>
      <c r="J77" s="21"/>
      <c r="K77" s="21"/>
      <c r="L77" s="21"/>
      <c r="M77" s="21"/>
      <c r="N77" s="30"/>
      <c r="O77" s="21"/>
      <c r="P77" s="21"/>
      <c r="Q77" s="21"/>
      <c r="R77" s="32"/>
      <c r="S77" s="32"/>
      <c r="T77" s="21"/>
      <c r="U77" s="21"/>
      <c r="V77" s="21"/>
      <c r="W77" s="21"/>
      <c r="X77" s="21"/>
    </row>
    <row r="78" customFormat="false" ht="15.75" hidden="false" customHeight="false" outlineLevel="0" collapsed="false">
      <c r="A78" s="61"/>
      <c r="B78" s="29"/>
      <c r="C78" s="21"/>
      <c r="D78" s="21"/>
      <c r="E78" s="21"/>
      <c r="F78" s="21"/>
      <c r="G78" s="30"/>
      <c r="H78" s="31"/>
      <c r="I78" s="21"/>
      <c r="J78" s="21"/>
      <c r="K78" s="21"/>
      <c r="L78" s="21"/>
      <c r="M78" s="21"/>
      <c r="N78" s="30"/>
      <c r="O78" s="21"/>
      <c r="P78" s="21"/>
      <c r="Q78" s="21"/>
      <c r="R78" s="32"/>
      <c r="S78" s="32"/>
      <c r="T78" s="21"/>
      <c r="U78" s="21"/>
      <c r="V78" s="21"/>
      <c r="W78" s="21"/>
      <c r="X78" s="21"/>
    </row>
    <row r="79" customFormat="false" ht="15.75" hidden="false" customHeight="false" outlineLevel="0" collapsed="false">
      <c r="A79" s="61"/>
      <c r="B79" s="29"/>
      <c r="C79" s="21"/>
      <c r="D79" s="21"/>
      <c r="E79" s="21"/>
      <c r="F79" s="21"/>
      <c r="G79" s="30"/>
      <c r="H79" s="31"/>
      <c r="I79" s="21"/>
      <c r="J79" s="21"/>
      <c r="K79" s="21"/>
      <c r="L79" s="21"/>
      <c r="M79" s="21"/>
      <c r="N79" s="30"/>
      <c r="O79" s="21"/>
      <c r="P79" s="21"/>
      <c r="Q79" s="21"/>
      <c r="R79" s="32"/>
      <c r="S79" s="32"/>
      <c r="T79" s="21"/>
      <c r="U79" s="21"/>
      <c r="V79" s="21"/>
      <c r="W79" s="21"/>
      <c r="X79" s="21"/>
    </row>
    <row r="80" customFormat="false" ht="15.75" hidden="false" customHeight="false" outlineLevel="0" collapsed="false">
      <c r="A80" s="61"/>
      <c r="B80" s="29"/>
      <c r="C80" s="21"/>
      <c r="D80" s="21"/>
      <c r="E80" s="21"/>
      <c r="F80" s="21"/>
      <c r="G80" s="30"/>
      <c r="H80" s="31"/>
      <c r="I80" s="21"/>
      <c r="J80" s="21"/>
      <c r="K80" s="21"/>
      <c r="L80" s="21"/>
      <c r="M80" s="21"/>
      <c r="N80" s="30"/>
      <c r="O80" s="21"/>
      <c r="P80" s="21"/>
      <c r="Q80" s="21"/>
      <c r="R80" s="32"/>
      <c r="S80" s="32"/>
      <c r="T80" s="21"/>
      <c r="U80" s="21"/>
      <c r="V80" s="21"/>
      <c r="W80" s="21"/>
      <c r="X80" s="21"/>
    </row>
    <row r="81" customFormat="false" ht="15.75" hidden="false" customHeight="false" outlineLevel="0" collapsed="false">
      <c r="A81" s="61"/>
      <c r="B81" s="29"/>
      <c r="C81" s="21"/>
      <c r="D81" s="21"/>
      <c r="E81" s="21"/>
      <c r="F81" s="21"/>
      <c r="G81" s="30"/>
      <c r="H81" s="31"/>
      <c r="I81" s="21"/>
      <c r="J81" s="21"/>
      <c r="K81" s="21"/>
      <c r="L81" s="21"/>
      <c r="M81" s="21"/>
      <c r="N81" s="30"/>
      <c r="O81" s="21"/>
      <c r="P81" s="21"/>
      <c r="Q81" s="21"/>
      <c r="R81" s="32"/>
      <c r="S81" s="32"/>
      <c r="T81" s="21"/>
      <c r="U81" s="21"/>
      <c r="V81" s="21"/>
      <c r="W81" s="21"/>
      <c r="X81" s="21"/>
    </row>
    <row r="82" customFormat="false" ht="15.75" hidden="false" customHeight="false" outlineLevel="0" collapsed="false">
      <c r="A82" s="61"/>
      <c r="B82" s="29"/>
      <c r="C82" s="21"/>
      <c r="D82" s="21"/>
      <c r="E82" s="21"/>
      <c r="F82" s="21"/>
      <c r="G82" s="30"/>
      <c r="H82" s="31"/>
      <c r="I82" s="21"/>
      <c r="J82" s="21"/>
      <c r="K82" s="21"/>
      <c r="L82" s="21"/>
      <c r="M82" s="21"/>
      <c r="N82" s="30"/>
      <c r="O82" s="21"/>
      <c r="P82" s="21"/>
      <c r="Q82" s="21"/>
      <c r="R82" s="32"/>
      <c r="S82" s="32"/>
      <c r="T82" s="21"/>
      <c r="U82" s="21"/>
      <c r="V82" s="21"/>
      <c r="W82" s="21"/>
      <c r="X82" s="21"/>
    </row>
    <row r="83" customFormat="false" ht="15.75" hidden="false" customHeight="false" outlineLevel="0" collapsed="false">
      <c r="A83" s="61"/>
      <c r="B83" s="29"/>
      <c r="C83" s="21"/>
      <c r="D83" s="21"/>
      <c r="E83" s="21"/>
      <c r="F83" s="21"/>
      <c r="G83" s="30"/>
      <c r="H83" s="31"/>
      <c r="I83" s="21"/>
      <c r="J83" s="21"/>
      <c r="K83" s="21"/>
      <c r="L83" s="21"/>
      <c r="M83" s="21"/>
      <c r="N83" s="30"/>
      <c r="O83" s="21"/>
      <c r="P83" s="21"/>
      <c r="Q83" s="21"/>
      <c r="R83" s="32"/>
      <c r="S83" s="32"/>
      <c r="T83" s="21"/>
      <c r="U83" s="21"/>
      <c r="V83" s="21"/>
      <c r="W83" s="21"/>
      <c r="X83" s="21"/>
    </row>
    <row r="84" customFormat="false" ht="15.75" hidden="false" customHeight="false" outlineLevel="0" collapsed="false">
      <c r="A84" s="61"/>
      <c r="B84" s="29"/>
      <c r="C84" s="21"/>
      <c r="D84" s="21"/>
      <c r="E84" s="21"/>
      <c r="F84" s="21"/>
      <c r="G84" s="30"/>
      <c r="H84" s="31"/>
      <c r="I84" s="21"/>
      <c r="J84" s="21"/>
      <c r="K84" s="21"/>
      <c r="L84" s="21"/>
      <c r="M84" s="21"/>
      <c r="N84" s="30"/>
      <c r="O84" s="21"/>
      <c r="P84" s="21"/>
      <c r="Q84" s="21"/>
      <c r="R84" s="32"/>
      <c r="S84" s="32"/>
      <c r="T84" s="21"/>
      <c r="U84" s="21"/>
      <c r="V84" s="21"/>
      <c r="W84" s="21"/>
      <c r="X84" s="21"/>
    </row>
    <row r="85" customFormat="false" ht="15.75" hidden="false" customHeight="false" outlineLevel="0" collapsed="false">
      <c r="A85" s="61"/>
      <c r="B85" s="29"/>
      <c r="C85" s="21"/>
      <c r="D85" s="21"/>
      <c r="E85" s="21"/>
      <c r="F85" s="21"/>
      <c r="G85" s="30"/>
      <c r="H85" s="31"/>
      <c r="I85" s="21"/>
      <c r="J85" s="21"/>
      <c r="K85" s="21"/>
      <c r="L85" s="21"/>
      <c r="M85" s="21"/>
      <c r="N85" s="30"/>
      <c r="O85" s="21"/>
      <c r="P85" s="21"/>
      <c r="Q85" s="21"/>
      <c r="R85" s="32"/>
      <c r="S85" s="32"/>
      <c r="T85" s="21"/>
      <c r="U85" s="21"/>
      <c r="V85" s="21"/>
      <c r="W85" s="21"/>
      <c r="X85" s="21"/>
    </row>
    <row r="86" customFormat="false" ht="15.75" hidden="false" customHeight="false" outlineLevel="0" collapsed="false">
      <c r="A86" s="61"/>
      <c r="B86" s="29"/>
      <c r="C86" s="21"/>
      <c r="D86" s="21"/>
      <c r="E86" s="21"/>
      <c r="F86" s="21"/>
      <c r="G86" s="30"/>
      <c r="H86" s="31"/>
      <c r="I86" s="21"/>
      <c r="J86" s="21"/>
      <c r="K86" s="21"/>
      <c r="L86" s="21"/>
      <c r="M86" s="21"/>
      <c r="N86" s="30"/>
      <c r="O86" s="21"/>
      <c r="P86" s="21"/>
      <c r="Q86" s="21"/>
      <c r="R86" s="32"/>
      <c r="S86" s="32"/>
      <c r="T86" s="21"/>
      <c r="U86" s="21"/>
      <c r="V86" s="21"/>
      <c r="W86" s="21"/>
      <c r="X86" s="21"/>
    </row>
    <row r="87" customFormat="false" ht="15.75" hidden="false" customHeight="false" outlineLevel="0" collapsed="false">
      <c r="A87" s="61"/>
      <c r="B87" s="29"/>
      <c r="C87" s="21"/>
      <c r="D87" s="21"/>
      <c r="E87" s="21"/>
      <c r="F87" s="21"/>
      <c r="G87" s="30"/>
      <c r="H87" s="31"/>
      <c r="I87" s="21"/>
      <c r="J87" s="21"/>
      <c r="K87" s="21"/>
      <c r="L87" s="21"/>
      <c r="M87" s="21"/>
      <c r="N87" s="30"/>
      <c r="O87" s="21"/>
      <c r="P87" s="21"/>
      <c r="Q87" s="21"/>
      <c r="R87" s="32"/>
      <c r="S87" s="32"/>
      <c r="T87" s="21"/>
      <c r="U87" s="21"/>
      <c r="V87" s="21"/>
      <c r="W87" s="21"/>
      <c r="X87" s="21"/>
    </row>
    <row r="88" customFormat="false" ht="15.75" hidden="false" customHeight="false" outlineLevel="0" collapsed="false">
      <c r="A88" s="61"/>
      <c r="B88" s="29"/>
      <c r="C88" s="21"/>
      <c r="D88" s="21"/>
      <c r="E88" s="21"/>
      <c r="F88" s="21"/>
      <c r="G88" s="30"/>
      <c r="H88" s="31"/>
      <c r="I88" s="21"/>
      <c r="J88" s="21"/>
      <c r="K88" s="21"/>
      <c r="L88" s="21"/>
      <c r="M88" s="21"/>
      <c r="N88" s="30"/>
      <c r="O88" s="21"/>
      <c r="P88" s="21"/>
      <c r="Q88" s="21"/>
      <c r="R88" s="32"/>
      <c r="S88" s="32"/>
      <c r="T88" s="21"/>
      <c r="U88" s="21"/>
      <c r="V88" s="21"/>
      <c r="W88" s="21"/>
      <c r="X88" s="21"/>
    </row>
    <row r="89" customFormat="false" ht="15.75" hidden="false" customHeight="false" outlineLevel="0" collapsed="false">
      <c r="A89" s="61"/>
      <c r="B89" s="29"/>
      <c r="C89" s="21"/>
      <c r="D89" s="21"/>
      <c r="E89" s="21"/>
      <c r="F89" s="21"/>
      <c r="G89" s="30"/>
      <c r="H89" s="31"/>
      <c r="I89" s="21"/>
      <c r="J89" s="21"/>
      <c r="K89" s="21"/>
      <c r="L89" s="21"/>
      <c r="M89" s="21"/>
      <c r="N89" s="30"/>
      <c r="O89" s="21"/>
      <c r="P89" s="21"/>
      <c r="Q89" s="21"/>
      <c r="R89" s="32"/>
      <c r="S89" s="32"/>
      <c r="T89" s="21"/>
      <c r="U89" s="21"/>
      <c r="V89" s="21"/>
      <c r="W89" s="21"/>
      <c r="X89" s="21"/>
    </row>
    <row r="90" customFormat="false" ht="15.75" hidden="false" customHeight="false" outlineLevel="0" collapsed="false">
      <c r="A90" s="61"/>
      <c r="B90" s="29"/>
      <c r="C90" s="21"/>
      <c r="D90" s="21"/>
      <c r="E90" s="21"/>
      <c r="F90" s="21"/>
      <c r="G90" s="30"/>
      <c r="H90" s="31"/>
      <c r="I90" s="21"/>
      <c r="J90" s="21"/>
      <c r="K90" s="21"/>
      <c r="L90" s="21"/>
      <c r="M90" s="21"/>
      <c r="N90" s="30"/>
      <c r="O90" s="21"/>
      <c r="P90" s="21"/>
      <c r="Q90" s="21"/>
      <c r="R90" s="32"/>
      <c r="S90" s="32"/>
      <c r="T90" s="21"/>
      <c r="U90" s="21"/>
      <c r="V90" s="21"/>
      <c r="W90" s="21"/>
      <c r="X90" s="21"/>
    </row>
    <row r="91" customFormat="false" ht="15.75" hidden="false" customHeight="false" outlineLevel="0" collapsed="false">
      <c r="A91" s="61"/>
      <c r="B91" s="29"/>
      <c r="C91" s="21"/>
      <c r="D91" s="21"/>
      <c r="E91" s="21"/>
      <c r="F91" s="21"/>
      <c r="G91" s="30"/>
      <c r="H91" s="31"/>
      <c r="I91" s="21"/>
      <c r="J91" s="21"/>
      <c r="K91" s="21"/>
      <c r="L91" s="21"/>
      <c r="M91" s="21"/>
      <c r="N91" s="30"/>
      <c r="O91" s="21"/>
      <c r="P91" s="21"/>
      <c r="Q91" s="21"/>
      <c r="R91" s="32"/>
      <c r="S91" s="32"/>
      <c r="T91" s="21"/>
      <c r="U91" s="21"/>
      <c r="V91" s="21"/>
      <c r="W91" s="21"/>
      <c r="X91" s="21"/>
    </row>
    <row r="92" customFormat="false" ht="15.75" hidden="false" customHeight="false" outlineLevel="0" collapsed="false">
      <c r="A92" s="61"/>
      <c r="B92" s="29"/>
      <c r="C92" s="21"/>
      <c r="D92" s="21"/>
      <c r="E92" s="21"/>
      <c r="F92" s="21"/>
      <c r="G92" s="30"/>
      <c r="H92" s="31"/>
      <c r="I92" s="21"/>
      <c r="J92" s="21"/>
      <c r="K92" s="21"/>
      <c r="L92" s="21"/>
      <c r="M92" s="21"/>
      <c r="N92" s="30"/>
      <c r="O92" s="21"/>
      <c r="P92" s="21"/>
      <c r="Q92" s="21"/>
      <c r="R92" s="32"/>
      <c r="S92" s="32"/>
      <c r="T92" s="21"/>
      <c r="U92" s="21"/>
      <c r="V92" s="21"/>
      <c r="W92" s="21"/>
      <c r="X92" s="21"/>
    </row>
    <row r="93" customFormat="false" ht="15.75" hidden="false" customHeight="false" outlineLevel="0" collapsed="false">
      <c r="A93" s="61"/>
      <c r="B93" s="29"/>
      <c r="C93" s="21"/>
      <c r="D93" s="21"/>
      <c r="E93" s="21"/>
      <c r="F93" s="21"/>
      <c r="G93" s="30"/>
      <c r="H93" s="31"/>
      <c r="I93" s="21"/>
      <c r="J93" s="21"/>
      <c r="K93" s="21"/>
      <c r="L93" s="21"/>
      <c r="M93" s="21"/>
      <c r="N93" s="30"/>
      <c r="O93" s="21"/>
      <c r="P93" s="21"/>
      <c r="Q93" s="21"/>
      <c r="R93" s="32"/>
      <c r="S93" s="32"/>
      <c r="T93" s="21"/>
      <c r="U93" s="21"/>
      <c r="V93" s="21"/>
      <c r="W93" s="21"/>
      <c r="X93" s="21"/>
    </row>
    <row r="94" customFormat="false" ht="15.75" hidden="false" customHeight="false" outlineLevel="0" collapsed="false">
      <c r="A94" s="61"/>
      <c r="B94" s="29"/>
      <c r="C94" s="21"/>
      <c r="D94" s="21"/>
      <c r="E94" s="21"/>
      <c r="F94" s="21"/>
      <c r="G94" s="30"/>
      <c r="H94" s="31"/>
      <c r="I94" s="21"/>
      <c r="J94" s="21"/>
      <c r="K94" s="21"/>
      <c r="L94" s="21"/>
      <c r="M94" s="21"/>
      <c r="N94" s="30"/>
      <c r="O94" s="21"/>
      <c r="P94" s="21"/>
      <c r="Q94" s="21"/>
      <c r="R94" s="32"/>
      <c r="S94" s="32"/>
      <c r="T94" s="21"/>
      <c r="U94" s="21"/>
      <c r="V94" s="21"/>
      <c r="W94" s="21"/>
      <c r="X94" s="21"/>
    </row>
    <row r="95" customFormat="false" ht="15.75" hidden="false" customHeight="false" outlineLevel="0" collapsed="false">
      <c r="A95" s="61"/>
      <c r="B95" s="29"/>
      <c r="C95" s="21"/>
      <c r="D95" s="21"/>
      <c r="E95" s="21"/>
      <c r="F95" s="21"/>
      <c r="G95" s="30"/>
      <c r="H95" s="31"/>
      <c r="I95" s="21"/>
      <c r="J95" s="21"/>
      <c r="K95" s="21"/>
      <c r="L95" s="21"/>
      <c r="M95" s="21"/>
      <c r="N95" s="30"/>
      <c r="O95" s="21"/>
      <c r="P95" s="21"/>
      <c r="Q95" s="21"/>
      <c r="R95" s="32"/>
      <c r="S95" s="32"/>
      <c r="T95" s="21"/>
      <c r="U95" s="21"/>
      <c r="V95" s="21"/>
      <c r="W95" s="21"/>
      <c r="X95" s="21"/>
    </row>
    <row r="96" customFormat="false" ht="15.75" hidden="false" customHeight="false" outlineLevel="0" collapsed="false">
      <c r="A96" s="61"/>
      <c r="B96" s="29"/>
      <c r="C96" s="21"/>
      <c r="D96" s="21"/>
      <c r="E96" s="21"/>
      <c r="F96" s="21"/>
      <c r="G96" s="30"/>
      <c r="H96" s="31"/>
      <c r="I96" s="21"/>
      <c r="J96" s="21"/>
      <c r="K96" s="21"/>
      <c r="L96" s="21"/>
      <c r="M96" s="21"/>
      <c r="N96" s="30"/>
      <c r="O96" s="21"/>
      <c r="P96" s="21"/>
      <c r="Q96" s="21"/>
      <c r="R96" s="32"/>
      <c r="S96" s="32"/>
      <c r="T96" s="21"/>
      <c r="U96" s="21"/>
      <c r="V96" s="21"/>
      <c r="W96" s="21"/>
      <c r="X96" s="21"/>
    </row>
    <row r="97" customFormat="false" ht="15.75" hidden="false" customHeight="false" outlineLevel="0" collapsed="false">
      <c r="A97" s="61"/>
      <c r="B97" s="29"/>
      <c r="C97" s="21"/>
      <c r="D97" s="21"/>
      <c r="E97" s="21"/>
      <c r="F97" s="21"/>
      <c r="G97" s="30"/>
      <c r="H97" s="31"/>
      <c r="I97" s="21"/>
      <c r="J97" s="21"/>
      <c r="K97" s="21"/>
      <c r="L97" s="21"/>
      <c r="M97" s="21"/>
      <c r="N97" s="30"/>
      <c r="O97" s="21"/>
      <c r="P97" s="21"/>
      <c r="Q97" s="21"/>
      <c r="R97" s="32"/>
      <c r="S97" s="32"/>
      <c r="T97" s="21"/>
      <c r="U97" s="21"/>
      <c r="V97" s="21"/>
      <c r="W97" s="21"/>
      <c r="X97" s="21"/>
    </row>
    <row r="98" customFormat="false" ht="15.75" hidden="false" customHeight="false" outlineLevel="0" collapsed="false">
      <c r="A98" s="61"/>
      <c r="B98" s="29"/>
      <c r="C98" s="21"/>
      <c r="D98" s="21"/>
      <c r="E98" s="21"/>
      <c r="F98" s="21"/>
      <c r="G98" s="30"/>
      <c r="H98" s="31"/>
      <c r="I98" s="21"/>
      <c r="J98" s="21"/>
      <c r="K98" s="21"/>
      <c r="L98" s="21"/>
      <c r="M98" s="21"/>
      <c r="N98" s="30"/>
      <c r="O98" s="21"/>
      <c r="P98" s="21"/>
      <c r="Q98" s="21"/>
      <c r="R98" s="32"/>
      <c r="S98" s="32"/>
      <c r="T98" s="21"/>
      <c r="U98" s="21"/>
      <c r="V98" s="21"/>
      <c r="W98" s="21"/>
      <c r="X98" s="21"/>
    </row>
    <row r="99" customFormat="false" ht="15.75" hidden="false" customHeight="false" outlineLevel="0" collapsed="false">
      <c r="A99" s="61"/>
      <c r="B99" s="29"/>
      <c r="C99" s="21"/>
      <c r="D99" s="21"/>
      <c r="E99" s="21"/>
      <c r="F99" s="21"/>
      <c r="G99" s="30"/>
      <c r="H99" s="31"/>
      <c r="I99" s="21"/>
      <c r="J99" s="21"/>
      <c r="K99" s="21"/>
      <c r="L99" s="21"/>
      <c r="M99" s="21"/>
      <c r="N99" s="30"/>
      <c r="O99" s="21"/>
      <c r="P99" s="21"/>
      <c r="Q99" s="21"/>
      <c r="R99" s="32"/>
      <c r="S99" s="32"/>
      <c r="T99" s="21"/>
      <c r="U99" s="21"/>
      <c r="V99" s="21"/>
      <c r="W99" s="21"/>
      <c r="X99" s="21"/>
    </row>
    <row r="100" customFormat="false" ht="15.75" hidden="false" customHeight="false" outlineLevel="0" collapsed="false">
      <c r="A100" s="61"/>
      <c r="B100" s="29"/>
      <c r="C100" s="21"/>
      <c r="D100" s="21"/>
      <c r="E100" s="21"/>
      <c r="F100" s="21"/>
      <c r="G100" s="30"/>
      <c r="H100" s="31"/>
      <c r="I100" s="21"/>
      <c r="J100" s="21"/>
      <c r="K100" s="21"/>
      <c r="L100" s="21"/>
      <c r="M100" s="21"/>
      <c r="N100" s="30"/>
      <c r="O100" s="21"/>
      <c r="P100" s="21"/>
      <c r="Q100" s="21"/>
      <c r="R100" s="32"/>
      <c r="S100" s="32"/>
      <c r="T100" s="21"/>
      <c r="U100" s="21"/>
      <c r="V100" s="21"/>
      <c r="W100" s="21"/>
      <c r="X100" s="21"/>
    </row>
    <row r="101" customFormat="false" ht="15.75" hidden="false" customHeight="false" outlineLevel="0" collapsed="false">
      <c r="A101" s="61"/>
      <c r="B101" s="29"/>
      <c r="C101" s="21"/>
      <c r="D101" s="21"/>
      <c r="E101" s="21"/>
      <c r="F101" s="21"/>
      <c r="G101" s="30"/>
      <c r="H101" s="31"/>
      <c r="I101" s="21"/>
      <c r="J101" s="21"/>
      <c r="K101" s="21"/>
      <c r="L101" s="21"/>
      <c r="M101" s="21"/>
      <c r="N101" s="30"/>
      <c r="O101" s="21"/>
      <c r="P101" s="21"/>
      <c r="Q101" s="21"/>
      <c r="R101" s="32"/>
      <c r="S101" s="32"/>
      <c r="T101" s="21"/>
      <c r="U101" s="21"/>
      <c r="V101" s="21"/>
      <c r="W101" s="21"/>
      <c r="X101" s="21"/>
    </row>
    <row r="102" customFormat="false" ht="15.75" hidden="false" customHeight="false" outlineLevel="0" collapsed="false">
      <c r="A102" s="61"/>
      <c r="B102" s="29"/>
      <c r="C102" s="21"/>
      <c r="D102" s="21"/>
      <c r="E102" s="21"/>
      <c r="F102" s="21"/>
      <c r="G102" s="30"/>
      <c r="H102" s="31"/>
      <c r="I102" s="21"/>
      <c r="J102" s="21"/>
      <c r="K102" s="21"/>
      <c r="L102" s="21"/>
      <c r="M102" s="21"/>
      <c r="N102" s="30"/>
      <c r="O102" s="21"/>
      <c r="P102" s="21"/>
      <c r="Q102" s="21"/>
      <c r="R102" s="32"/>
      <c r="S102" s="32"/>
      <c r="T102" s="21"/>
      <c r="U102" s="21"/>
      <c r="V102" s="21"/>
      <c r="W102" s="21"/>
      <c r="X102" s="21"/>
    </row>
    <row r="103" customFormat="false" ht="15.75" hidden="false" customHeight="false" outlineLevel="0" collapsed="false">
      <c r="A103" s="61"/>
      <c r="B103" s="29"/>
      <c r="C103" s="21"/>
      <c r="D103" s="21"/>
      <c r="E103" s="21"/>
      <c r="F103" s="21"/>
      <c r="G103" s="30"/>
      <c r="H103" s="31"/>
      <c r="I103" s="21"/>
      <c r="J103" s="21"/>
      <c r="K103" s="21"/>
      <c r="L103" s="21"/>
      <c r="M103" s="21"/>
      <c r="N103" s="30"/>
      <c r="O103" s="21"/>
      <c r="P103" s="21"/>
      <c r="Q103" s="21"/>
      <c r="R103" s="32"/>
      <c r="S103" s="32"/>
      <c r="T103" s="21"/>
      <c r="U103" s="21"/>
      <c r="V103" s="21"/>
      <c r="W103" s="21"/>
      <c r="X103" s="21"/>
    </row>
    <row r="104" customFormat="false" ht="15.75" hidden="false" customHeight="false" outlineLevel="0" collapsed="false">
      <c r="A104" s="61"/>
      <c r="B104" s="29"/>
      <c r="C104" s="21"/>
      <c r="D104" s="21"/>
      <c r="E104" s="21"/>
      <c r="F104" s="21"/>
      <c r="G104" s="30"/>
      <c r="H104" s="31"/>
      <c r="I104" s="21"/>
      <c r="J104" s="21"/>
      <c r="K104" s="21"/>
      <c r="L104" s="21"/>
      <c r="M104" s="21"/>
      <c r="N104" s="30"/>
      <c r="O104" s="21"/>
      <c r="P104" s="21"/>
      <c r="Q104" s="21"/>
      <c r="R104" s="32"/>
      <c r="S104" s="32"/>
      <c r="T104" s="21"/>
      <c r="U104" s="21"/>
      <c r="V104" s="21"/>
      <c r="W104" s="21"/>
      <c r="X104" s="21"/>
    </row>
    <row r="105" customFormat="false" ht="15.75" hidden="false" customHeight="false" outlineLevel="0" collapsed="false">
      <c r="A105" s="61"/>
      <c r="B105" s="29"/>
      <c r="C105" s="21"/>
      <c r="D105" s="21"/>
      <c r="E105" s="21"/>
      <c r="F105" s="21"/>
      <c r="G105" s="30"/>
      <c r="H105" s="31"/>
      <c r="I105" s="21"/>
      <c r="J105" s="21"/>
      <c r="K105" s="21"/>
      <c r="L105" s="21"/>
      <c r="M105" s="21"/>
      <c r="N105" s="30"/>
      <c r="O105" s="21"/>
      <c r="P105" s="21"/>
      <c r="Q105" s="21"/>
      <c r="R105" s="32"/>
      <c r="S105" s="32"/>
      <c r="T105" s="21"/>
      <c r="U105" s="21"/>
      <c r="V105" s="21"/>
      <c r="W105" s="21"/>
      <c r="X105" s="21"/>
    </row>
    <row r="106" customFormat="false" ht="15.75" hidden="false" customHeight="false" outlineLevel="0" collapsed="false">
      <c r="A106" s="61"/>
      <c r="B106" s="29"/>
      <c r="C106" s="21"/>
      <c r="D106" s="21"/>
      <c r="E106" s="21"/>
      <c r="F106" s="21"/>
      <c r="G106" s="30"/>
      <c r="H106" s="31"/>
      <c r="I106" s="21"/>
      <c r="J106" s="21"/>
      <c r="K106" s="21"/>
      <c r="L106" s="21"/>
      <c r="M106" s="21"/>
      <c r="N106" s="30"/>
      <c r="O106" s="21"/>
      <c r="P106" s="21"/>
      <c r="Q106" s="21"/>
      <c r="R106" s="32"/>
      <c r="S106" s="32"/>
      <c r="T106" s="21"/>
      <c r="U106" s="21"/>
      <c r="V106" s="21"/>
      <c r="W106" s="21"/>
      <c r="X106" s="21"/>
    </row>
    <row r="107" customFormat="false" ht="15.75" hidden="false" customHeight="false" outlineLevel="0" collapsed="false">
      <c r="A107" s="61"/>
      <c r="B107" s="29"/>
      <c r="C107" s="21"/>
      <c r="D107" s="21"/>
      <c r="E107" s="21"/>
      <c r="F107" s="21"/>
      <c r="G107" s="30"/>
      <c r="H107" s="31"/>
      <c r="I107" s="21"/>
      <c r="J107" s="21"/>
      <c r="K107" s="21"/>
      <c r="L107" s="21"/>
      <c r="M107" s="21"/>
      <c r="N107" s="30"/>
      <c r="O107" s="21"/>
      <c r="P107" s="21"/>
      <c r="Q107" s="21"/>
      <c r="R107" s="32"/>
      <c r="S107" s="32"/>
      <c r="T107" s="21"/>
      <c r="U107" s="21"/>
      <c r="V107" s="21"/>
      <c r="W107" s="21"/>
      <c r="X107" s="21"/>
    </row>
    <row r="108" customFormat="false" ht="15.75" hidden="false" customHeight="false" outlineLevel="0" collapsed="false">
      <c r="A108" s="61"/>
      <c r="B108" s="29"/>
      <c r="C108" s="21"/>
      <c r="D108" s="21"/>
      <c r="E108" s="21"/>
      <c r="F108" s="21"/>
      <c r="G108" s="30"/>
      <c r="H108" s="31"/>
      <c r="I108" s="21"/>
      <c r="J108" s="21"/>
      <c r="K108" s="21"/>
      <c r="L108" s="21"/>
      <c r="M108" s="21"/>
      <c r="N108" s="30"/>
      <c r="O108" s="21"/>
      <c r="P108" s="21"/>
      <c r="Q108" s="21"/>
      <c r="R108" s="32"/>
      <c r="S108" s="32"/>
      <c r="T108" s="21"/>
      <c r="U108" s="21"/>
      <c r="V108" s="21"/>
      <c r="W108" s="21"/>
      <c r="X108" s="21"/>
    </row>
    <row r="109" customFormat="false" ht="15.75" hidden="false" customHeight="false" outlineLevel="0" collapsed="false">
      <c r="A109" s="61"/>
      <c r="B109" s="29"/>
      <c r="C109" s="21"/>
      <c r="D109" s="21"/>
      <c r="E109" s="21"/>
      <c r="F109" s="21"/>
      <c r="G109" s="30"/>
      <c r="H109" s="31"/>
      <c r="I109" s="21"/>
      <c r="J109" s="21"/>
      <c r="K109" s="21"/>
      <c r="L109" s="21"/>
      <c r="M109" s="21"/>
      <c r="N109" s="30"/>
      <c r="O109" s="21"/>
      <c r="P109" s="21"/>
      <c r="Q109" s="21"/>
      <c r="R109" s="32"/>
      <c r="S109" s="32"/>
      <c r="T109" s="21"/>
      <c r="U109" s="21"/>
      <c r="V109" s="21"/>
      <c r="W109" s="21"/>
      <c r="X109" s="21"/>
    </row>
    <row r="110" customFormat="false" ht="15.75" hidden="false" customHeight="false" outlineLevel="0" collapsed="false">
      <c r="A110" s="61"/>
      <c r="B110" s="29"/>
      <c r="C110" s="21"/>
      <c r="D110" s="21"/>
      <c r="E110" s="21"/>
      <c r="F110" s="21"/>
      <c r="G110" s="30"/>
      <c r="H110" s="31"/>
      <c r="I110" s="21"/>
      <c r="J110" s="21"/>
      <c r="K110" s="21"/>
      <c r="L110" s="21"/>
      <c r="M110" s="21"/>
      <c r="N110" s="30"/>
      <c r="O110" s="21"/>
      <c r="P110" s="21"/>
      <c r="Q110" s="21"/>
      <c r="R110" s="32"/>
      <c r="S110" s="32"/>
      <c r="T110" s="21"/>
      <c r="U110" s="21"/>
      <c r="V110" s="21"/>
      <c r="W110" s="21"/>
      <c r="X110" s="21"/>
    </row>
    <row r="111" customFormat="false" ht="15.75" hidden="false" customHeight="false" outlineLevel="0" collapsed="false">
      <c r="A111" s="61"/>
      <c r="B111" s="29"/>
      <c r="C111" s="21"/>
      <c r="D111" s="21"/>
      <c r="E111" s="21"/>
      <c r="F111" s="21"/>
      <c r="G111" s="30"/>
      <c r="H111" s="31"/>
      <c r="I111" s="21"/>
      <c r="J111" s="21"/>
      <c r="K111" s="21"/>
      <c r="L111" s="21"/>
      <c r="M111" s="21"/>
      <c r="N111" s="30"/>
      <c r="O111" s="21"/>
      <c r="P111" s="21"/>
      <c r="Q111" s="21"/>
      <c r="R111" s="32"/>
      <c r="S111" s="32"/>
      <c r="T111" s="21"/>
      <c r="U111" s="21"/>
      <c r="V111" s="21"/>
      <c r="W111" s="21"/>
      <c r="X111" s="21"/>
    </row>
    <row r="112" customFormat="false" ht="15.75" hidden="false" customHeight="false" outlineLevel="0" collapsed="false">
      <c r="A112" s="61"/>
      <c r="B112" s="29"/>
      <c r="C112" s="21"/>
      <c r="D112" s="21"/>
      <c r="E112" s="21"/>
      <c r="F112" s="21"/>
      <c r="G112" s="30"/>
      <c r="H112" s="31"/>
      <c r="I112" s="21"/>
      <c r="J112" s="21"/>
      <c r="K112" s="21"/>
      <c r="L112" s="21"/>
      <c r="M112" s="21"/>
      <c r="N112" s="30"/>
      <c r="O112" s="21"/>
      <c r="P112" s="21"/>
      <c r="Q112" s="21"/>
      <c r="R112" s="32"/>
      <c r="S112" s="32"/>
      <c r="T112" s="21"/>
      <c r="U112" s="21"/>
      <c r="V112" s="21"/>
      <c r="W112" s="21"/>
      <c r="X112" s="21"/>
    </row>
    <row r="113" customFormat="false" ht="15.75" hidden="false" customHeight="false" outlineLevel="0" collapsed="false">
      <c r="A113" s="61"/>
      <c r="B113" s="29"/>
      <c r="C113" s="21"/>
      <c r="D113" s="21"/>
      <c r="E113" s="21"/>
      <c r="F113" s="21"/>
      <c r="G113" s="30"/>
      <c r="H113" s="31"/>
      <c r="I113" s="21"/>
      <c r="J113" s="21"/>
      <c r="K113" s="21"/>
      <c r="L113" s="21"/>
      <c r="M113" s="21"/>
      <c r="N113" s="30"/>
      <c r="O113" s="21"/>
      <c r="P113" s="21"/>
      <c r="Q113" s="21"/>
      <c r="R113" s="32"/>
      <c r="S113" s="32"/>
      <c r="T113" s="21"/>
      <c r="U113" s="21"/>
      <c r="V113" s="21"/>
      <c r="W113" s="21"/>
      <c r="X113" s="21"/>
    </row>
    <row r="114" customFormat="false" ht="15.75" hidden="false" customHeight="false" outlineLevel="0" collapsed="false">
      <c r="A114" s="61"/>
      <c r="B114" s="29"/>
      <c r="C114" s="21"/>
      <c r="D114" s="21"/>
      <c r="E114" s="21"/>
      <c r="F114" s="21"/>
      <c r="G114" s="30"/>
      <c r="H114" s="31"/>
      <c r="I114" s="21"/>
      <c r="J114" s="21"/>
      <c r="K114" s="21"/>
      <c r="L114" s="21"/>
      <c r="M114" s="21"/>
      <c r="N114" s="30"/>
      <c r="O114" s="21"/>
      <c r="P114" s="21"/>
      <c r="Q114" s="21"/>
      <c r="R114" s="32"/>
      <c r="S114" s="32"/>
      <c r="T114" s="21"/>
      <c r="U114" s="21"/>
      <c r="V114" s="21"/>
      <c r="W114" s="21"/>
      <c r="X114" s="21"/>
    </row>
    <row r="115" customFormat="false" ht="15.75" hidden="false" customHeight="false" outlineLevel="0" collapsed="false">
      <c r="A115" s="61"/>
      <c r="B115" s="29"/>
      <c r="C115" s="21"/>
      <c r="D115" s="21"/>
      <c r="E115" s="21"/>
      <c r="F115" s="21"/>
      <c r="G115" s="30"/>
      <c r="H115" s="31"/>
      <c r="I115" s="21"/>
      <c r="J115" s="21"/>
      <c r="K115" s="21"/>
      <c r="L115" s="21"/>
      <c r="M115" s="21"/>
      <c r="N115" s="30"/>
      <c r="O115" s="21"/>
      <c r="P115" s="21"/>
      <c r="Q115" s="21"/>
      <c r="R115" s="32"/>
      <c r="S115" s="32"/>
      <c r="T115" s="21"/>
      <c r="U115" s="21"/>
      <c r="V115" s="21"/>
      <c r="W115" s="21"/>
      <c r="X115" s="21"/>
    </row>
    <row r="116" customFormat="false" ht="15.75" hidden="false" customHeight="false" outlineLevel="0" collapsed="false">
      <c r="A116" s="61"/>
      <c r="B116" s="29"/>
      <c r="C116" s="21"/>
      <c r="D116" s="21"/>
      <c r="E116" s="21"/>
      <c r="F116" s="21"/>
      <c r="G116" s="30"/>
      <c r="H116" s="31"/>
      <c r="I116" s="21"/>
      <c r="J116" s="21"/>
      <c r="K116" s="21"/>
      <c r="L116" s="21"/>
      <c r="M116" s="21"/>
      <c r="N116" s="30"/>
      <c r="O116" s="21"/>
      <c r="P116" s="21"/>
      <c r="Q116" s="21"/>
      <c r="R116" s="32"/>
      <c r="S116" s="32"/>
      <c r="T116" s="21"/>
      <c r="U116" s="21"/>
      <c r="V116" s="21"/>
      <c r="W116" s="21"/>
      <c r="X116" s="21"/>
    </row>
    <row r="117" customFormat="false" ht="15.75" hidden="false" customHeight="false" outlineLevel="0" collapsed="false">
      <c r="A117" s="61"/>
      <c r="B117" s="29"/>
      <c r="C117" s="21"/>
      <c r="D117" s="21"/>
      <c r="E117" s="21"/>
      <c r="F117" s="21"/>
      <c r="G117" s="30"/>
      <c r="H117" s="31"/>
      <c r="I117" s="21"/>
      <c r="J117" s="21"/>
      <c r="K117" s="21"/>
      <c r="L117" s="21"/>
      <c r="M117" s="21"/>
      <c r="N117" s="30"/>
      <c r="O117" s="21"/>
      <c r="P117" s="21"/>
      <c r="Q117" s="21"/>
      <c r="R117" s="32"/>
      <c r="S117" s="32"/>
      <c r="T117" s="21"/>
      <c r="U117" s="21"/>
      <c r="V117" s="21"/>
      <c r="W117" s="21"/>
      <c r="X117" s="21"/>
    </row>
    <row r="118" customFormat="false" ht="15.75" hidden="false" customHeight="false" outlineLevel="0" collapsed="false">
      <c r="A118" s="12"/>
      <c r="B118" s="34"/>
      <c r="C118" s="12"/>
      <c r="D118" s="12"/>
      <c r="E118" s="12"/>
      <c r="F118" s="12"/>
      <c r="G118" s="18"/>
      <c r="H118" s="35"/>
      <c r="I118" s="12"/>
      <c r="M118" s="12"/>
      <c r="N118" s="18"/>
      <c r="O118" s="12"/>
      <c r="P118" s="12"/>
      <c r="Q118" s="12"/>
      <c r="R118" s="36"/>
      <c r="S118" s="36"/>
      <c r="T118" s="12"/>
      <c r="U118" s="12"/>
      <c r="V118" s="12"/>
      <c r="W118" s="12"/>
      <c r="X118" s="12"/>
    </row>
    <row r="119" customFormat="false" ht="15.75" hidden="false" customHeight="false" outlineLevel="0" collapsed="false">
      <c r="A119" s="12"/>
      <c r="B119" s="34"/>
      <c r="C119" s="12"/>
      <c r="D119" s="12"/>
      <c r="E119" s="12"/>
      <c r="F119" s="12"/>
      <c r="G119" s="18"/>
      <c r="H119" s="35"/>
      <c r="I119" s="12"/>
      <c r="M119" s="12"/>
      <c r="N119" s="18"/>
      <c r="O119" s="12"/>
      <c r="P119" s="12"/>
      <c r="Q119" s="12"/>
      <c r="R119" s="36"/>
      <c r="S119" s="36"/>
      <c r="T119" s="12"/>
      <c r="U119" s="12"/>
      <c r="V119" s="12"/>
      <c r="W119" s="12"/>
      <c r="X119" s="12"/>
    </row>
    <row r="120" customFormat="false" ht="15.75" hidden="false" customHeight="false" outlineLevel="0" collapsed="false">
      <c r="A120" s="12"/>
      <c r="B120" s="34"/>
      <c r="C120" s="12"/>
      <c r="D120" s="12"/>
      <c r="E120" s="12"/>
      <c r="F120" s="12"/>
      <c r="G120" s="18"/>
      <c r="H120" s="35"/>
      <c r="I120" s="12"/>
      <c r="M120" s="12"/>
      <c r="N120" s="18"/>
      <c r="O120" s="12"/>
      <c r="P120" s="12"/>
      <c r="Q120" s="12"/>
      <c r="R120" s="36"/>
      <c r="S120" s="36"/>
      <c r="T120" s="12"/>
      <c r="U120" s="12"/>
      <c r="V120" s="12"/>
      <c r="W120" s="12"/>
      <c r="X120" s="12"/>
    </row>
    <row r="121" customFormat="false" ht="15.75" hidden="false" customHeight="false" outlineLevel="0" collapsed="false">
      <c r="A121" s="12"/>
      <c r="B121" s="34"/>
      <c r="C121" s="12"/>
      <c r="D121" s="12"/>
      <c r="E121" s="12"/>
      <c r="F121" s="12"/>
      <c r="G121" s="18"/>
      <c r="H121" s="35"/>
      <c r="I121" s="12"/>
      <c r="M121" s="12"/>
      <c r="N121" s="18"/>
      <c r="O121" s="12"/>
      <c r="P121" s="12"/>
      <c r="Q121" s="12"/>
      <c r="R121" s="36"/>
      <c r="S121" s="36"/>
      <c r="T121" s="12"/>
      <c r="U121" s="12"/>
      <c r="V121" s="12"/>
      <c r="W121" s="12"/>
      <c r="X121" s="12"/>
    </row>
    <row r="122" customFormat="false" ht="15.75" hidden="false" customHeight="false" outlineLevel="0" collapsed="false">
      <c r="A122" s="12"/>
      <c r="B122" s="34"/>
      <c r="C122" s="12"/>
      <c r="D122" s="12"/>
      <c r="E122" s="12"/>
      <c r="F122" s="12"/>
      <c r="G122" s="18"/>
      <c r="H122" s="35"/>
      <c r="I122" s="12"/>
      <c r="M122" s="12"/>
      <c r="N122" s="18"/>
      <c r="O122" s="12"/>
      <c r="P122" s="12"/>
      <c r="Q122" s="12"/>
      <c r="R122" s="36"/>
      <c r="S122" s="36"/>
      <c r="T122" s="12"/>
      <c r="U122" s="12"/>
      <c r="V122" s="12"/>
      <c r="W122" s="12"/>
      <c r="X122" s="12"/>
    </row>
    <row r="123" customFormat="false" ht="15.75" hidden="false" customHeight="false" outlineLevel="0" collapsed="false">
      <c r="A123" s="12"/>
      <c r="B123" s="34"/>
      <c r="C123" s="12"/>
      <c r="D123" s="12"/>
      <c r="E123" s="12"/>
      <c r="F123" s="12"/>
      <c r="G123" s="18"/>
      <c r="H123" s="35"/>
      <c r="I123" s="12"/>
      <c r="M123" s="12"/>
      <c r="N123" s="18"/>
      <c r="O123" s="12"/>
      <c r="P123" s="12"/>
      <c r="Q123" s="12"/>
      <c r="R123" s="36"/>
      <c r="S123" s="36"/>
      <c r="T123" s="12"/>
      <c r="U123" s="12"/>
      <c r="V123" s="12"/>
      <c r="W123" s="12"/>
      <c r="X123" s="12"/>
    </row>
    <row r="124" customFormat="false" ht="15.75" hidden="false" customHeight="false" outlineLevel="0" collapsed="false">
      <c r="A124" s="12"/>
      <c r="B124" s="34"/>
      <c r="C124" s="12"/>
      <c r="D124" s="12"/>
      <c r="E124" s="12"/>
      <c r="F124" s="12"/>
      <c r="G124" s="18"/>
      <c r="H124" s="35"/>
      <c r="I124" s="12"/>
      <c r="M124" s="12"/>
      <c r="N124" s="18"/>
      <c r="O124" s="12"/>
      <c r="P124" s="12"/>
      <c r="Q124" s="12"/>
      <c r="R124" s="36"/>
      <c r="S124" s="36"/>
      <c r="T124" s="12"/>
      <c r="U124" s="12"/>
      <c r="V124" s="12"/>
      <c r="W124" s="12"/>
      <c r="X124" s="12"/>
    </row>
    <row r="125" customFormat="false" ht="15.75" hidden="false" customHeight="false" outlineLevel="0" collapsed="false">
      <c r="A125" s="12"/>
      <c r="B125" s="34"/>
      <c r="C125" s="12"/>
      <c r="D125" s="12"/>
      <c r="E125" s="12"/>
      <c r="F125" s="12"/>
      <c r="G125" s="18"/>
      <c r="H125" s="35"/>
      <c r="I125" s="12"/>
      <c r="M125" s="12"/>
      <c r="N125" s="18"/>
      <c r="O125" s="12"/>
      <c r="P125" s="12"/>
      <c r="Q125" s="12"/>
      <c r="R125" s="36"/>
      <c r="S125" s="36"/>
      <c r="T125" s="12"/>
      <c r="U125" s="12"/>
      <c r="V125" s="12"/>
      <c r="W125" s="12"/>
      <c r="X125" s="12"/>
    </row>
    <row r="126" customFormat="false" ht="15.75" hidden="false" customHeight="false" outlineLevel="0" collapsed="false">
      <c r="A126" s="12"/>
      <c r="B126" s="34"/>
      <c r="C126" s="12"/>
      <c r="D126" s="12"/>
      <c r="E126" s="12"/>
      <c r="F126" s="12"/>
      <c r="G126" s="18"/>
      <c r="H126" s="35"/>
      <c r="I126" s="12"/>
      <c r="M126" s="12"/>
      <c r="N126" s="18"/>
      <c r="O126" s="12"/>
      <c r="P126" s="12"/>
      <c r="Q126" s="12"/>
      <c r="R126" s="36"/>
      <c r="S126" s="36"/>
      <c r="T126" s="12"/>
      <c r="U126" s="12"/>
      <c r="V126" s="12"/>
      <c r="W126" s="12"/>
      <c r="X126" s="12"/>
    </row>
    <row r="127" customFormat="false" ht="15.75" hidden="false" customHeight="false" outlineLevel="0" collapsed="false">
      <c r="A127" s="12"/>
      <c r="B127" s="34"/>
      <c r="C127" s="12"/>
      <c r="D127" s="12"/>
      <c r="E127" s="12"/>
      <c r="F127" s="12"/>
      <c r="G127" s="18"/>
      <c r="H127" s="35"/>
      <c r="I127" s="12"/>
      <c r="M127" s="12"/>
      <c r="N127" s="18"/>
      <c r="O127" s="12"/>
      <c r="P127" s="12"/>
      <c r="Q127" s="12"/>
      <c r="R127" s="36"/>
      <c r="S127" s="36"/>
      <c r="T127" s="12"/>
      <c r="U127" s="12"/>
      <c r="V127" s="12"/>
      <c r="W127" s="12"/>
      <c r="X127" s="12"/>
    </row>
    <row r="128" customFormat="false" ht="15.75" hidden="false" customHeight="false" outlineLevel="0" collapsed="false">
      <c r="A128" s="12"/>
      <c r="B128" s="34"/>
      <c r="C128" s="12"/>
      <c r="D128" s="12"/>
      <c r="E128" s="12"/>
      <c r="F128" s="12"/>
      <c r="G128" s="18"/>
      <c r="H128" s="35"/>
      <c r="I128" s="12"/>
      <c r="M128" s="12"/>
      <c r="N128" s="18"/>
      <c r="O128" s="12"/>
      <c r="P128" s="12"/>
      <c r="Q128" s="12"/>
      <c r="R128" s="36"/>
      <c r="S128" s="36"/>
      <c r="T128" s="12"/>
      <c r="U128" s="12"/>
      <c r="V128" s="12"/>
      <c r="W128" s="12"/>
      <c r="X128" s="12"/>
    </row>
    <row r="129" customFormat="false" ht="15.75" hidden="false" customHeight="false" outlineLevel="0" collapsed="false">
      <c r="A129" s="12"/>
      <c r="B129" s="34"/>
      <c r="C129" s="12"/>
      <c r="D129" s="12"/>
      <c r="E129" s="12"/>
      <c r="F129" s="12"/>
      <c r="G129" s="18"/>
      <c r="H129" s="35"/>
      <c r="I129" s="12"/>
      <c r="M129" s="12"/>
      <c r="N129" s="18"/>
      <c r="O129" s="12"/>
      <c r="P129" s="12"/>
      <c r="Q129" s="12"/>
      <c r="R129" s="36"/>
      <c r="S129" s="36"/>
      <c r="T129" s="12"/>
      <c r="U129" s="12"/>
      <c r="V129" s="12"/>
      <c r="W129" s="12"/>
      <c r="X129" s="12"/>
    </row>
    <row r="130" customFormat="false" ht="15.75" hidden="false" customHeight="false" outlineLevel="0" collapsed="false">
      <c r="A130" s="12"/>
      <c r="B130" s="34"/>
      <c r="C130" s="12"/>
      <c r="D130" s="12"/>
      <c r="E130" s="12"/>
      <c r="F130" s="12"/>
      <c r="G130" s="18"/>
      <c r="H130" s="35"/>
      <c r="I130" s="12"/>
      <c r="M130" s="12"/>
      <c r="N130" s="18"/>
      <c r="O130" s="12"/>
      <c r="P130" s="12"/>
      <c r="Q130" s="12"/>
      <c r="R130" s="36"/>
      <c r="S130" s="36"/>
      <c r="T130" s="12"/>
      <c r="U130" s="12"/>
      <c r="V130" s="12"/>
      <c r="W130" s="12"/>
      <c r="X130" s="12"/>
    </row>
    <row r="131" customFormat="false" ht="15.75" hidden="false" customHeight="false" outlineLevel="0" collapsed="false">
      <c r="A131" s="12"/>
      <c r="B131" s="34"/>
      <c r="C131" s="12"/>
      <c r="D131" s="12"/>
      <c r="E131" s="12"/>
      <c r="F131" s="12"/>
      <c r="G131" s="18"/>
      <c r="H131" s="35"/>
      <c r="I131" s="12"/>
      <c r="M131" s="12"/>
      <c r="N131" s="18"/>
      <c r="O131" s="12"/>
      <c r="P131" s="12"/>
      <c r="Q131" s="12"/>
      <c r="R131" s="36"/>
      <c r="S131" s="36"/>
      <c r="T131" s="12"/>
      <c r="U131" s="12"/>
      <c r="V131" s="12"/>
      <c r="W131" s="12"/>
      <c r="X131" s="12"/>
    </row>
    <row r="132" customFormat="false" ht="15.75" hidden="false" customHeight="false" outlineLevel="0" collapsed="false">
      <c r="A132" s="12"/>
      <c r="B132" s="34"/>
      <c r="C132" s="12"/>
      <c r="D132" s="12"/>
      <c r="E132" s="12"/>
      <c r="F132" s="12"/>
      <c r="G132" s="18"/>
      <c r="H132" s="35"/>
      <c r="I132" s="12"/>
      <c r="M132" s="12"/>
      <c r="N132" s="18"/>
      <c r="O132" s="12"/>
      <c r="P132" s="12"/>
      <c r="Q132" s="12"/>
      <c r="R132" s="36"/>
      <c r="S132" s="36"/>
      <c r="T132" s="12"/>
      <c r="U132" s="12"/>
      <c r="V132" s="12"/>
      <c r="W132" s="12"/>
      <c r="X132" s="12"/>
    </row>
    <row r="133" customFormat="false" ht="15.75" hidden="false" customHeight="false" outlineLevel="0" collapsed="false">
      <c r="A133" s="12"/>
      <c r="B133" s="34"/>
      <c r="C133" s="12"/>
      <c r="D133" s="12"/>
      <c r="E133" s="12"/>
      <c r="F133" s="12"/>
      <c r="G133" s="18"/>
      <c r="H133" s="35"/>
      <c r="I133" s="12"/>
      <c r="M133" s="12"/>
      <c r="N133" s="18"/>
      <c r="O133" s="12"/>
      <c r="P133" s="12"/>
      <c r="Q133" s="12"/>
      <c r="R133" s="36"/>
      <c r="S133" s="36"/>
      <c r="T133" s="12"/>
      <c r="U133" s="12"/>
      <c r="V133" s="12"/>
      <c r="W133" s="12"/>
      <c r="X133" s="12"/>
    </row>
    <row r="134" customFormat="false" ht="15.75" hidden="false" customHeight="false" outlineLevel="0" collapsed="false">
      <c r="A134" s="12"/>
      <c r="B134" s="34"/>
      <c r="C134" s="12"/>
      <c r="D134" s="12"/>
      <c r="E134" s="12"/>
      <c r="F134" s="12"/>
      <c r="G134" s="18"/>
      <c r="H134" s="35"/>
      <c r="I134" s="12"/>
      <c r="M134" s="12"/>
      <c r="N134" s="18"/>
      <c r="O134" s="12"/>
      <c r="P134" s="12"/>
      <c r="Q134" s="12"/>
      <c r="R134" s="36"/>
      <c r="S134" s="36"/>
      <c r="T134" s="12"/>
      <c r="U134" s="12"/>
      <c r="V134" s="12"/>
      <c r="W134" s="12"/>
      <c r="X134" s="12"/>
    </row>
    <row r="135" customFormat="false" ht="15.75" hidden="false" customHeight="false" outlineLevel="0" collapsed="false">
      <c r="A135" s="12"/>
      <c r="B135" s="34"/>
      <c r="C135" s="12"/>
      <c r="D135" s="12"/>
      <c r="E135" s="12"/>
      <c r="F135" s="12"/>
      <c r="G135" s="18"/>
      <c r="H135" s="35"/>
      <c r="I135" s="12"/>
      <c r="M135" s="12"/>
      <c r="N135" s="18"/>
      <c r="O135" s="12"/>
      <c r="P135" s="12"/>
      <c r="Q135" s="12"/>
      <c r="R135" s="36"/>
      <c r="S135" s="36"/>
      <c r="T135" s="12"/>
      <c r="U135" s="12"/>
      <c r="V135" s="12"/>
      <c r="W135" s="12"/>
      <c r="X135" s="12"/>
    </row>
    <row r="136" customFormat="false" ht="15.75" hidden="false" customHeight="false" outlineLevel="0" collapsed="false">
      <c r="A136" s="12"/>
      <c r="B136" s="34"/>
      <c r="C136" s="12"/>
      <c r="D136" s="12"/>
      <c r="E136" s="12"/>
      <c r="F136" s="12"/>
      <c r="G136" s="18"/>
      <c r="H136" s="35"/>
      <c r="I136" s="12"/>
      <c r="M136" s="12"/>
      <c r="N136" s="18"/>
      <c r="O136" s="12"/>
      <c r="P136" s="12"/>
      <c r="Q136" s="12"/>
      <c r="R136" s="36"/>
      <c r="S136" s="36"/>
      <c r="T136" s="12"/>
      <c r="U136" s="12"/>
      <c r="V136" s="12"/>
      <c r="W136" s="12"/>
      <c r="X136" s="12"/>
    </row>
    <row r="137" customFormat="false" ht="15.75" hidden="false" customHeight="false" outlineLevel="0" collapsed="false">
      <c r="A137" s="12"/>
      <c r="B137" s="34"/>
      <c r="C137" s="12"/>
      <c r="D137" s="12"/>
      <c r="E137" s="12"/>
      <c r="F137" s="12"/>
      <c r="G137" s="18"/>
      <c r="H137" s="35"/>
      <c r="I137" s="12"/>
      <c r="M137" s="12"/>
      <c r="N137" s="18"/>
      <c r="O137" s="12"/>
      <c r="P137" s="12"/>
      <c r="Q137" s="12"/>
      <c r="R137" s="36"/>
      <c r="S137" s="36"/>
      <c r="T137" s="12"/>
      <c r="U137" s="12"/>
      <c r="V137" s="12"/>
      <c r="W137" s="12"/>
      <c r="X137" s="12"/>
    </row>
    <row r="138" customFormat="false" ht="15.75" hidden="false" customHeight="false" outlineLevel="0" collapsed="false">
      <c r="A138" s="12"/>
      <c r="B138" s="34"/>
      <c r="C138" s="12"/>
      <c r="D138" s="12"/>
      <c r="E138" s="12"/>
      <c r="F138" s="12"/>
      <c r="G138" s="18"/>
      <c r="H138" s="35"/>
      <c r="I138" s="12"/>
      <c r="M138" s="12"/>
      <c r="N138" s="18"/>
      <c r="O138" s="12"/>
      <c r="P138" s="12"/>
      <c r="Q138" s="12"/>
      <c r="R138" s="36"/>
      <c r="S138" s="36"/>
      <c r="T138" s="12"/>
      <c r="U138" s="12"/>
      <c r="V138" s="12"/>
      <c r="W138" s="12"/>
      <c r="X138" s="12"/>
    </row>
    <row r="139" customFormat="false" ht="15.75" hidden="false" customHeight="false" outlineLevel="0" collapsed="false">
      <c r="A139" s="12"/>
      <c r="B139" s="34"/>
      <c r="C139" s="12"/>
      <c r="D139" s="12"/>
      <c r="E139" s="12"/>
      <c r="F139" s="12"/>
      <c r="G139" s="18"/>
      <c r="H139" s="35"/>
      <c r="I139" s="12"/>
      <c r="M139" s="12"/>
      <c r="N139" s="18"/>
      <c r="O139" s="12"/>
      <c r="P139" s="12"/>
      <c r="Q139" s="12"/>
      <c r="R139" s="36"/>
      <c r="S139" s="36"/>
      <c r="T139" s="12"/>
      <c r="U139" s="12"/>
      <c r="V139" s="12"/>
      <c r="W139" s="12"/>
      <c r="X139" s="12"/>
    </row>
    <row r="140" customFormat="false" ht="15.75" hidden="false" customHeight="false" outlineLevel="0" collapsed="false">
      <c r="A140" s="12"/>
      <c r="B140" s="34"/>
      <c r="C140" s="12"/>
      <c r="D140" s="12"/>
      <c r="E140" s="12"/>
      <c r="F140" s="12"/>
      <c r="G140" s="18"/>
      <c r="H140" s="35"/>
      <c r="I140" s="12"/>
      <c r="M140" s="12"/>
      <c r="N140" s="18"/>
      <c r="O140" s="12"/>
      <c r="P140" s="12"/>
      <c r="Q140" s="12"/>
      <c r="R140" s="36"/>
      <c r="S140" s="36"/>
      <c r="T140" s="12"/>
      <c r="U140" s="12"/>
      <c r="V140" s="12"/>
      <c r="W140" s="12"/>
      <c r="X140" s="12"/>
    </row>
    <row r="141" customFormat="false" ht="15.75" hidden="false" customHeight="false" outlineLevel="0" collapsed="false">
      <c r="A141" s="12"/>
      <c r="B141" s="34"/>
      <c r="C141" s="12"/>
      <c r="D141" s="12"/>
      <c r="E141" s="12"/>
      <c r="F141" s="12"/>
      <c r="G141" s="18"/>
      <c r="H141" s="35"/>
      <c r="I141" s="12"/>
      <c r="M141" s="12"/>
      <c r="N141" s="18"/>
      <c r="O141" s="12"/>
      <c r="P141" s="12"/>
      <c r="Q141" s="12"/>
      <c r="R141" s="36"/>
      <c r="S141" s="36"/>
      <c r="T141" s="12"/>
      <c r="U141" s="12"/>
      <c r="V141" s="12"/>
      <c r="W141" s="12"/>
      <c r="X141" s="12"/>
    </row>
    <row r="142" customFormat="false" ht="15.75" hidden="false" customHeight="false" outlineLevel="0" collapsed="false">
      <c r="A142" s="12"/>
      <c r="B142" s="34"/>
      <c r="C142" s="12"/>
      <c r="D142" s="12"/>
      <c r="E142" s="12"/>
      <c r="F142" s="12"/>
      <c r="G142" s="18"/>
      <c r="H142" s="35"/>
      <c r="I142" s="12"/>
      <c r="M142" s="12"/>
      <c r="N142" s="18"/>
      <c r="O142" s="12"/>
      <c r="P142" s="12"/>
      <c r="Q142" s="12"/>
      <c r="R142" s="36"/>
      <c r="S142" s="36"/>
      <c r="T142" s="12"/>
      <c r="U142" s="12"/>
      <c r="V142" s="12"/>
      <c r="W142" s="12"/>
      <c r="X142" s="12"/>
    </row>
    <row r="143" customFormat="false" ht="15.75" hidden="false" customHeight="false" outlineLevel="0" collapsed="false">
      <c r="A143" s="12"/>
      <c r="B143" s="34"/>
      <c r="C143" s="12"/>
      <c r="D143" s="12"/>
      <c r="E143" s="12"/>
      <c r="F143" s="12"/>
      <c r="G143" s="18"/>
      <c r="H143" s="35"/>
      <c r="I143" s="12"/>
      <c r="M143" s="12"/>
      <c r="N143" s="18"/>
      <c r="O143" s="12"/>
      <c r="P143" s="12"/>
      <c r="Q143" s="12"/>
      <c r="R143" s="36"/>
      <c r="S143" s="36"/>
      <c r="T143" s="12"/>
      <c r="U143" s="12"/>
      <c r="V143" s="12"/>
      <c r="W143" s="12"/>
      <c r="X143" s="12"/>
    </row>
    <row r="144" customFormat="false" ht="15.75" hidden="false" customHeight="false" outlineLevel="0" collapsed="false">
      <c r="A144" s="12"/>
      <c r="B144" s="34"/>
      <c r="C144" s="12"/>
      <c r="D144" s="12"/>
      <c r="E144" s="12"/>
      <c r="F144" s="12"/>
      <c r="G144" s="18"/>
      <c r="H144" s="35"/>
      <c r="I144" s="12"/>
      <c r="M144" s="12"/>
      <c r="N144" s="18"/>
      <c r="O144" s="12"/>
      <c r="P144" s="12"/>
      <c r="Q144" s="12"/>
      <c r="R144" s="36"/>
      <c r="S144" s="36"/>
      <c r="T144" s="12"/>
      <c r="U144" s="12"/>
      <c r="V144" s="12"/>
      <c r="W144" s="12"/>
      <c r="X144" s="12"/>
    </row>
    <row r="145" customFormat="false" ht="15.75" hidden="false" customHeight="false" outlineLevel="0" collapsed="false">
      <c r="A145" s="12"/>
      <c r="B145" s="34"/>
      <c r="C145" s="12"/>
      <c r="D145" s="12"/>
      <c r="E145" s="12"/>
      <c r="F145" s="12"/>
      <c r="G145" s="18"/>
      <c r="H145" s="35"/>
      <c r="I145" s="12"/>
      <c r="M145" s="12"/>
      <c r="N145" s="18"/>
      <c r="O145" s="12"/>
      <c r="P145" s="12"/>
      <c r="Q145" s="12"/>
      <c r="R145" s="36"/>
      <c r="S145" s="36"/>
      <c r="T145" s="12"/>
      <c r="U145" s="12"/>
      <c r="V145" s="12"/>
      <c r="W145" s="12"/>
      <c r="X145" s="12"/>
    </row>
    <row r="146" customFormat="false" ht="15.75" hidden="false" customHeight="false" outlineLevel="0" collapsed="false">
      <c r="A146" s="12"/>
      <c r="B146" s="34"/>
      <c r="C146" s="12"/>
      <c r="D146" s="12"/>
      <c r="E146" s="12"/>
      <c r="F146" s="12"/>
      <c r="G146" s="18"/>
      <c r="H146" s="35"/>
      <c r="I146" s="12"/>
      <c r="M146" s="12"/>
      <c r="N146" s="18"/>
      <c r="O146" s="12"/>
      <c r="P146" s="12"/>
      <c r="Q146" s="12"/>
      <c r="R146" s="36"/>
      <c r="S146" s="36"/>
      <c r="T146" s="12"/>
      <c r="U146" s="12"/>
      <c r="V146" s="12"/>
      <c r="W146" s="12"/>
      <c r="X146" s="12"/>
    </row>
    <row r="147" customFormat="false" ht="15.75" hidden="false" customHeight="false" outlineLevel="0" collapsed="false">
      <c r="A147" s="12"/>
      <c r="B147" s="34"/>
      <c r="C147" s="12"/>
      <c r="D147" s="12"/>
      <c r="E147" s="12"/>
      <c r="F147" s="12"/>
      <c r="G147" s="18"/>
      <c r="H147" s="35"/>
      <c r="I147" s="12"/>
      <c r="M147" s="12"/>
      <c r="N147" s="18"/>
      <c r="O147" s="12"/>
      <c r="P147" s="12"/>
      <c r="Q147" s="12"/>
      <c r="R147" s="36"/>
      <c r="S147" s="36"/>
      <c r="T147" s="12"/>
      <c r="U147" s="12"/>
      <c r="V147" s="12"/>
      <c r="W147" s="12"/>
      <c r="X147" s="12"/>
    </row>
    <row r="148" customFormat="false" ht="15.75" hidden="false" customHeight="false" outlineLevel="0" collapsed="false">
      <c r="A148" s="12"/>
      <c r="B148" s="34"/>
      <c r="C148" s="12"/>
      <c r="D148" s="12"/>
      <c r="E148" s="12"/>
      <c r="F148" s="12"/>
      <c r="G148" s="18"/>
      <c r="H148" s="35"/>
      <c r="I148" s="12"/>
      <c r="M148" s="12"/>
      <c r="N148" s="18"/>
      <c r="O148" s="12"/>
      <c r="P148" s="12"/>
      <c r="Q148" s="12"/>
      <c r="R148" s="36"/>
      <c r="S148" s="36"/>
      <c r="T148" s="12"/>
      <c r="U148" s="12"/>
      <c r="V148" s="12"/>
      <c r="W148" s="12"/>
      <c r="X148" s="12"/>
    </row>
    <row r="149" customFormat="false" ht="15.75" hidden="false" customHeight="false" outlineLevel="0" collapsed="false">
      <c r="A149" s="12"/>
      <c r="B149" s="34"/>
      <c r="C149" s="12"/>
      <c r="D149" s="12"/>
      <c r="E149" s="12"/>
      <c r="F149" s="12"/>
      <c r="G149" s="18"/>
      <c r="H149" s="35"/>
      <c r="I149" s="12"/>
      <c r="M149" s="12"/>
      <c r="N149" s="18"/>
      <c r="O149" s="12"/>
      <c r="P149" s="12"/>
      <c r="Q149" s="12"/>
      <c r="R149" s="36"/>
      <c r="S149" s="36"/>
      <c r="T149" s="12"/>
      <c r="U149" s="12"/>
      <c r="V149" s="12"/>
      <c r="W149" s="12"/>
      <c r="X149" s="12"/>
    </row>
    <row r="150" customFormat="false" ht="15.75" hidden="false" customHeight="false" outlineLevel="0" collapsed="false">
      <c r="A150" s="12"/>
      <c r="B150" s="34"/>
      <c r="C150" s="12"/>
      <c r="D150" s="12"/>
      <c r="E150" s="12"/>
      <c r="F150" s="12"/>
      <c r="G150" s="18"/>
      <c r="H150" s="35"/>
      <c r="I150" s="12"/>
      <c r="M150" s="12"/>
      <c r="N150" s="18"/>
      <c r="O150" s="12"/>
      <c r="P150" s="12"/>
      <c r="Q150" s="12"/>
      <c r="R150" s="36"/>
      <c r="S150" s="36"/>
      <c r="T150" s="12"/>
      <c r="U150" s="12"/>
      <c r="V150" s="12"/>
      <c r="W150" s="12"/>
      <c r="X150" s="12"/>
    </row>
    <row r="151" customFormat="false" ht="15.75" hidden="false" customHeight="false" outlineLevel="0" collapsed="false">
      <c r="A151" s="12"/>
      <c r="B151" s="34"/>
      <c r="C151" s="12"/>
      <c r="D151" s="12"/>
      <c r="E151" s="12"/>
      <c r="F151" s="12"/>
      <c r="G151" s="18"/>
      <c r="H151" s="35"/>
      <c r="I151" s="12"/>
      <c r="M151" s="12"/>
      <c r="N151" s="18"/>
      <c r="O151" s="12"/>
      <c r="P151" s="12"/>
      <c r="Q151" s="12"/>
      <c r="R151" s="36"/>
      <c r="S151" s="36"/>
      <c r="T151" s="12"/>
      <c r="U151" s="12"/>
      <c r="V151" s="12"/>
      <c r="W151" s="12"/>
      <c r="X151" s="12"/>
    </row>
    <row r="152" customFormat="false" ht="15.75" hidden="false" customHeight="false" outlineLevel="0" collapsed="false">
      <c r="A152" s="12"/>
      <c r="B152" s="34"/>
      <c r="C152" s="12"/>
      <c r="D152" s="12"/>
      <c r="E152" s="12"/>
      <c r="F152" s="12"/>
      <c r="G152" s="18"/>
      <c r="H152" s="35"/>
      <c r="I152" s="12"/>
      <c r="M152" s="12"/>
      <c r="N152" s="18"/>
      <c r="O152" s="12"/>
      <c r="P152" s="12"/>
      <c r="Q152" s="12"/>
      <c r="R152" s="36"/>
      <c r="S152" s="36"/>
      <c r="T152" s="12"/>
      <c r="U152" s="12"/>
      <c r="V152" s="12"/>
      <c r="W152" s="12"/>
      <c r="X152" s="12"/>
    </row>
    <row r="153" customFormat="false" ht="15.75" hidden="false" customHeight="false" outlineLevel="0" collapsed="false">
      <c r="A153" s="12"/>
      <c r="B153" s="34"/>
      <c r="C153" s="12"/>
      <c r="D153" s="12"/>
      <c r="E153" s="12"/>
      <c r="F153" s="12"/>
      <c r="G153" s="18"/>
      <c r="H153" s="35"/>
      <c r="I153" s="12"/>
      <c r="M153" s="12"/>
      <c r="N153" s="18"/>
      <c r="O153" s="12"/>
      <c r="P153" s="12"/>
      <c r="Q153" s="12"/>
      <c r="R153" s="36"/>
      <c r="S153" s="36"/>
      <c r="T153" s="12"/>
      <c r="U153" s="12"/>
      <c r="V153" s="12"/>
      <c r="W153" s="12"/>
      <c r="X153" s="12"/>
    </row>
    <row r="154" customFormat="false" ht="15.75" hidden="false" customHeight="false" outlineLevel="0" collapsed="false">
      <c r="A154" s="12"/>
      <c r="B154" s="34"/>
      <c r="C154" s="12"/>
      <c r="D154" s="12"/>
      <c r="E154" s="12"/>
      <c r="F154" s="12"/>
      <c r="G154" s="18"/>
      <c r="H154" s="35"/>
      <c r="I154" s="12"/>
      <c r="M154" s="12"/>
      <c r="N154" s="18"/>
      <c r="O154" s="12"/>
      <c r="P154" s="12"/>
      <c r="Q154" s="12"/>
      <c r="R154" s="36"/>
      <c r="S154" s="36"/>
      <c r="T154" s="12"/>
      <c r="U154" s="12"/>
      <c r="V154" s="12"/>
      <c r="W154" s="12"/>
      <c r="X154" s="12"/>
    </row>
    <row r="155" customFormat="false" ht="15.75" hidden="false" customHeight="false" outlineLevel="0" collapsed="false">
      <c r="A155" s="12"/>
      <c r="B155" s="34"/>
      <c r="C155" s="12"/>
      <c r="D155" s="12"/>
      <c r="E155" s="12"/>
      <c r="F155" s="12"/>
      <c r="G155" s="18"/>
      <c r="H155" s="35"/>
      <c r="I155" s="12"/>
      <c r="M155" s="12"/>
      <c r="N155" s="18"/>
      <c r="O155" s="12"/>
      <c r="P155" s="12"/>
      <c r="Q155" s="12"/>
      <c r="R155" s="36"/>
      <c r="S155" s="36"/>
      <c r="T155" s="12"/>
      <c r="U155" s="12"/>
      <c r="V155" s="12"/>
      <c r="W155" s="12"/>
      <c r="X155" s="12"/>
    </row>
    <row r="156" customFormat="false" ht="15.75" hidden="false" customHeight="false" outlineLevel="0" collapsed="false">
      <c r="A156" s="12"/>
      <c r="B156" s="34"/>
      <c r="C156" s="12"/>
      <c r="D156" s="12"/>
      <c r="E156" s="12"/>
      <c r="F156" s="12"/>
      <c r="G156" s="18"/>
      <c r="H156" s="35"/>
      <c r="I156" s="12"/>
      <c r="M156" s="12"/>
      <c r="N156" s="18"/>
      <c r="O156" s="12"/>
      <c r="P156" s="12"/>
      <c r="Q156" s="12"/>
      <c r="R156" s="36"/>
      <c r="S156" s="36"/>
      <c r="T156" s="12"/>
      <c r="U156" s="12"/>
      <c r="V156" s="12"/>
      <c r="W156" s="12"/>
      <c r="X156" s="12"/>
    </row>
    <row r="157" customFormat="false" ht="15.75" hidden="false" customHeight="false" outlineLevel="0" collapsed="false">
      <c r="A157" s="12"/>
      <c r="B157" s="34"/>
      <c r="C157" s="12"/>
      <c r="D157" s="12"/>
      <c r="E157" s="12"/>
      <c r="F157" s="12"/>
      <c r="G157" s="18"/>
      <c r="H157" s="35"/>
      <c r="I157" s="12"/>
      <c r="M157" s="12"/>
      <c r="N157" s="18"/>
      <c r="O157" s="12"/>
      <c r="P157" s="12"/>
      <c r="Q157" s="12"/>
      <c r="R157" s="36"/>
      <c r="S157" s="36"/>
      <c r="T157" s="12"/>
      <c r="U157" s="12"/>
      <c r="V157" s="12"/>
      <c r="W157" s="12"/>
      <c r="X157" s="12"/>
    </row>
    <row r="158" customFormat="false" ht="15.75" hidden="false" customHeight="false" outlineLevel="0" collapsed="false">
      <c r="A158" s="12"/>
      <c r="B158" s="34"/>
      <c r="C158" s="12"/>
      <c r="D158" s="12"/>
      <c r="E158" s="12"/>
      <c r="F158" s="12"/>
      <c r="G158" s="18"/>
      <c r="H158" s="35"/>
      <c r="I158" s="12"/>
      <c r="M158" s="12"/>
      <c r="N158" s="18"/>
      <c r="O158" s="12"/>
      <c r="P158" s="12"/>
      <c r="Q158" s="12"/>
      <c r="R158" s="36"/>
      <c r="S158" s="36"/>
      <c r="T158" s="12"/>
      <c r="U158" s="12"/>
      <c r="V158" s="12"/>
      <c r="W158" s="12"/>
      <c r="X158" s="12"/>
    </row>
    <row r="159" customFormat="false" ht="15.75" hidden="false" customHeight="false" outlineLevel="0" collapsed="false">
      <c r="A159" s="12"/>
      <c r="B159" s="34"/>
      <c r="C159" s="12"/>
      <c r="D159" s="12"/>
      <c r="E159" s="12"/>
      <c r="F159" s="12"/>
      <c r="G159" s="18"/>
      <c r="H159" s="35"/>
      <c r="I159" s="12"/>
      <c r="M159" s="12"/>
      <c r="N159" s="18"/>
      <c r="O159" s="12"/>
      <c r="P159" s="12"/>
      <c r="Q159" s="12"/>
      <c r="R159" s="36"/>
      <c r="S159" s="36"/>
      <c r="T159" s="12"/>
      <c r="U159" s="12"/>
      <c r="V159" s="12"/>
      <c r="W159" s="12"/>
      <c r="X159" s="12"/>
    </row>
    <row r="160" customFormat="false" ht="15.75" hidden="false" customHeight="false" outlineLevel="0" collapsed="false">
      <c r="A160" s="12"/>
      <c r="B160" s="34"/>
      <c r="C160" s="12"/>
      <c r="D160" s="12"/>
      <c r="E160" s="12"/>
      <c r="F160" s="12"/>
      <c r="G160" s="18"/>
      <c r="H160" s="35"/>
      <c r="I160" s="12"/>
      <c r="M160" s="12"/>
      <c r="N160" s="18"/>
      <c r="O160" s="12"/>
      <c r="P160" s="12"/>
      <c r="Q160" s="12"/>
      <c r="R160" s="36"/>
      <c r="S160" s="36"/>
      <c r="T160" s="12"/>
      <c r="U160" s="12"/>
      <c r="V160" s="12"/>
      <c r="W160" s="12"/>
      <c r="X160" s="12"/>
    </row>
    <row r="161" customFormat="false" ht="15.75" hidden="false" customHeight="false" outlineLevel="0" collapsed="false">
      <c r="A161" s="12"/>
      <c r="B161" s="34"/>
      <c r="C161" s="12"/>
      <c r="D161" s="12"/>
      <c r="E161" s="12"/>
      <c r="F161" s="12"/>
      <c r="G161" s="18"/>
      <c r="H161" s="35"/>
      <c r="I161" s="12"/>
      <c r="M161" s="12"/>
      <c r="N161" s="18"/>
      <c r="O161" s="12"/>
      <c r="P161" s="12"/>
      <c r="Q161" s="12"/>
      <c r="R161" s="36"/>
      <c r="S161" s="36"/>
      <c r="T161" s="12"/>
      <c r="U161" s="12"/>
      <c r="V161" s="12"/>
      <c r="W161" s="12"/>
      <c r="X161" s="12"/>
    </row>
    <row r="162" customFormat="false" ht="15.75" hidden="false" customHeight="false" outlineLevel="0" collapsed="false">
      <c r="A162" s="12"/>
      <c r="B162" s="34"/>
      <c r="C162" s="12"/>
      <c r="D162" s="12"/>
      <c r="E162" s="12"/>
      <c r="F162" s="12"/>
      <c r="G162" s="18"/>
      <c r="H162" s="35"/>
      <c r="I162" s="12"/>
      <c r="M162" s="12"/>
      <c r="N162" s="18"/>
      <c r="O162" s="12"/>
      <c r="P162" s="12"/>
      <c r="Q162" s="12"/>
      <c r="R162" s="36"/>
      <c r="S162" s="36"/>
      <c r="T162" s="12"/>
      <c r="U162" s="12"/>
      <c r="V162" s="12"/>
      <c r="W162" s="12"/>
      <c r="X162" s="12"/>
    </row>
    <row r="163" customFormat="false" ht="15.75" hidden="false" customHeight="false" outlineLevel="0" collapsed="false">
      <c r="A163" s="12"/>
      <c r="B163" s="34"/>
      <c r="C163" s="12"/>
      <c r="D163" s="12"/>
      <c r="E163" s="12"/>
      <c r="F163" s="12"/>
      <c r="G163" s="18"/>
      <c r="H163" s="35"/>
      <c r="I163" s="12"/>
      <c r="M163" s="12"/>
      <c r="N163" s="18"/>
      <c r="O163" s="12"/>
      <c r="P163" s="12"/>
      <c r="Q163" s="12"/>
      <c r="R163" s="36"/>
      <c r="S163" s="36"/>
      <c r="T163" s="12"/>
      <c r="U163" s="12"/>
      <c r="V163" s="12"/>
      <c r="W163" s="12"/>
      <c r="X163" s="12"/>
    </row>
    <row r="164" customFormat="false" ht="15.75" hidden="false" customHeight="false" outlineLevel="0" collapsed="false">
      <c r="A164" s="12"/>
      <c r="B164" s="34"/>
      <c r="C164" s="12"/>
      <c r="D164" s="12"/>
      <c r="E164" s="12"/>
      <c r="F164" s="12"/>
      <c r="G164" s="18"/>
      <c r="H164" s="35"/>
      <c r="I164" s="12"/>
      <c r="M164" s="12"/>
      <c r="N164" s="18"/>
      <c r="O164" s="12"/>
      <c r="P164" s="12"/>
      <c r="Q164" s="12"/>
      <c r="R164" s="36"/>
      <c r="S164" s="36"/>
      <c r="T164" s="12"/>
      <c r="U164" s="12"/>
      <c r="V164" s="12"/>
      <c r="W164" s="12"/>
      <c r="X164" s="12"/>
    </row>
    <row r="165" customFormat="false" ht="15.75" hidden="false" customHeight="false" outlineLevel="0" collapsed="false">
      <c r="A165" s="12"/>
      <c r="B165" s="34"/>
      <c r="C165" s="12"/>
      <c r="D165" s="12"/>
      <c r="E165" s="12"/>
      <c r="F165" s="12"/>
      <c r="G165" s="18"/>
      <c r="H165" s="35"/>
      <c r="I165" s="12"/>
      <c r="M165" s="12"/>
      <c r="N165" s="18"/>
      <c r="O165" s="12"/>
      <c r="P165" s="12"/>
      <c r="Q165" s="12"/>
      <c r="R165" s="36"/>
      <c r="S165" s="36"/>
      <c r="T165" s="12"/>
      <c r="U165" s="12"/>
      <c r="V165" s="12"/>
      <c r="W165" s="12"/>
      <c r="X165" s="12"/>
    </row>
    <row r="166" customFormat="false" ht="15.75" hidden="false" customHeight="false" outlineLevel="0" collapsed="false">
      <c r="A166" s="12"/>
      <c r="B166" s="34"/>
      <c r="C166" s="12"/>
      <c r="D166" s="12"/>
      <c r="E166" s="12"/>
      <c r="F166" s="12"/>
      <c r="G166" s="18"/>
      <c r="H166" s="35"/>
      <c r="I166" s="12"/>
      <c r="M166" s="12"/>
      <c r="N166" s="18"/>
      <c r="O166" s="12"/>
      <c r="P166" s="12"/>
      <c r="Q166" s="12"/>
      <c r="R166" s="36"/>
      <c r="S166" s="36"/>
      <c r="T166" s="12"/>
      <c r="U166" s="12"/>
      <c r="V166" s="12"/>
      <c r="W166" s="12"/>
      <c r="X166" s="12"/>
    </row>
    <row r="167" customFormat="false" ht="15.75" hidden="false" customHeight="false" outlineLevel="0" collapsed="false">
      <c r="A167" s="12"/>
      <c r="B167" s="34"/>
      <c r="C167" s="12"/>
      <c r="D167" s="12"/>
      <c r="E167" s="12"/>
      <c r="F167" s="12"/>
      <c r="G167" s="18"/>
      <c r="H167" s="35"/>
      <c r="I167" s="12"/>
      <c r="M167" s="12"/>
      <c r="N167" s="18"/>
      <c r="O167" s="12"/>
      <c r="P167" s="12"/>
      <c r="Q167" s="12"/>
      <c r="R167" s="36"/>
      <c r="S167" s="36"/>
      <c r="T167" s="12"/>
      <c r="U167" s="12"/>
      <c r="V167" s="12"/>
      <c r="W167" s="12"/>
      <c r="X167" s="12"/>
    </row>
    <row r="168" customFormat="false" ht="15.75" hidden="false" customHeight="false" outlineLevel="0" collapsed="false">
      <c r="A168" s="12"/>
      <c r="B168" s="34"/>
      <c r="C168" s="12"/>
      <c r="D168" s="12"/>
      <c r="E168" s="12"/>
      <c r="F168" s="12"/>
      <c r="G168" s="18"/>
      <c r="H168" s="35"/>
      <c r="I168" s="12"/>
      <c r="M168" s="12"/>
      <c r="N168" s="18"/>
      <c r="O168" s="12"/>
      <c r="P168" s="12"/>
      <c r="Q168" s="12"/>
      <c r="R168" s="36"/>
      <c r="S168" s="36"/>
      <c r="T168" s="12"/>
      <c r="U168" s="12"/>
      <c r="V168" s="12"/>
      <c r="W168" s="12"/>
      <c r="X168" s="12"/>
    </row>
    <row r="169" customFormat="false" ht="15.75" hidden="false" customHeight="false" outlineLevel="0" collapsed="false">
      <c r="A169" s="12"/>
      <c r="B169" s="34"/>
      <c r="C169" s="12"/>
      <c r="D169" s="12"/>
      <c r="E169" s="12"/>
      <c r="F169" s="12"/>
      <c r="G169" s="18"/>
      <c r="H169" s="35"/>
      <c r="I169" s="12"/>
      <c r="M169" s="12"/>
      <c r="N169" s="18"/>
      <c r="O169" s="12"/>
      <c r="P169" s="12"/>
      <c r="Q169" s="12"/>
      <c r="R169" s="36"/>
      <c r="S169" s="36"/>
      <c r="T169" s="12"/>
      <c r="U169" s="12"/>
      <c r="V169" s="12"/>
      <c r="W169" s="12"/>
      <c r="X169" s="12"/>
    </row>
    <row r="170" customFormat="false" ht="15.75" hidden="false" customHeight="false" outlineLevel="0" collapsed="false">
      <c r="A170" s="12"/>
      <c r="B170" s="34"/>
      <c r="C170" s="12"/>
      <c r="D170" s="12"/>
      <c r="E170" s="12"/>
      <c r="F170" s="12"/>
      <c r="G170" s="18"/>
      <c r="H170" s="35"/>
      <c r="I170" s="12"/>
      <c r="M170" s="12"/>
      <c r="N170" s="18"/>
      <c r="O170" s="12"/>
      <c r="P170" s="12"/>
      <c r="Q170" s="12"/>
      <c r="R170" s="36"/>
      <c r="S170" s="36"/>
      <c r="T170" s="12"/>
      <c r="U170" s="12"/>
      <c r="V170" s="12"/>
      <c r="W170" s="12"/>
      <c r="X170" s="12"/>
    </row>
    <row r="171" customFormat="false" ht="15.75" hidden="false" customHeight="false" outlineLevel="0" collapsed="false">
      <c r="A171" s="12"/>
      <c r="B171" s="34"/>
      <c r="C171" s="12"/>
      <c r="D171" s="12"/>
      <c r="E171" s="12"/>
      <c r="F171" s="12"/>
      <c r="G171" s="18"/>
      <c r="H171" s="35"/>
      <c r="I171" s="12"/>
      <c r="M171" s="12"/>
      <c r="N171" s="18"/>
      <c r="O171" s="12"/>
      <c r="P171" s="12"/>
      <c r="Q171" s="12"/>
      <c r="R171" s="36"/>
      <c r="S171" s="36"/>
      <c r="T171" s="12"/>
      <c r="U171" s="12"/>
      <c r="V171" s="12"/>
      <c r="W171" s="12"/>
      <c r="X171" s="12"/>
    </row>
    <row r="172" customFormat="false" ht="15.75" hidden="false" customHeight="false" outlineLevel="0" collapsed="false">
      <c r="A172" s="12"/>
      <c r="B172" s="34"/>
      <c r="C172" s="12"/>
      <c r="D172" s="12"/>
      <c r="E172" s="12"/>
      <c r="F172" s="12"/>
      <c r="G172" s="18"/>
      <c r="H172" s="35"/>
      <c r="I172" s="12"/>
      <c r="M172" s="12"/>
      <c r="N172" s="18"/>
      <c r="O172" s="12"/>
      <c r="P172" s="12"/>
      <c r="Q172" s="12"/>
      <c r="R172" s="36"/>
      <c r="S172" s="36"/>
      <c r="T172" s="12"/>
      <c r="U172" s="12"/>
      <c r="V172" s="12"/>
      <c r="W172" s="12"/>
      <c r="X172" s="12"/>
    </row>
    <row r="173" customFormat="false" ht="15.75" hidden="false" customHeight="false" outlineLevel="0" collapsed="false">
      <c r="A173" s="12"/>
      <c r="B173" s="34"/>
      <c r="C173" s="12"/>
      <c r="D173" s="12"/>
      <c r="E173" s="12"/>
      <c r="F173" s="12"/>
      <c r="G173" s="18"/>
      <c r="H173" s="35"/>
      <c r="I173" s="12"/>
      <c r="M173" s="12"/>
      <c r="N173" s="18"/>
      <c r="O173" s="12"/>
      <c r="P173" s="12"/>
      <c r="Q173" s="12"/>
      <c r="R173" s="36"/>
      <c r="S173" s="36"/>
      <c r="T173" s="12"/>
      <c r="U173" s="12"/>
      <c r="V173" s="12"/>
      <c r="W173" s="12"/>
      <c r="X173" s="12"/>
    </row>
    <row r="174" customFormat="false" ht="15.75" hidden="false" customHeight="false" outlineLevel="0" collapsed="false">
      <c r="A174" s="12"/>
      <c r="B174" s="34"/>
      <c r="C174" s="12"/>
      <c r="D174" s="12"/>
      <c r="E174" s="12"/>
      <c r="F174" s="12"/>
      <c r="G174" s="18"/>
      <c r="H174" s="35"/>
      <c r="I174" s="12"/>
      <c r="M174" s="12"/>
      <c r="N174" s="18"/>
      <c r="O174" s="12"/>
      <c r="P174" s="12"/>
      <c r="Q174" s="12"/>
      <c r="R174" s="36"/>
      <c r="S174" s="36"/>
      <c r="T174" s="12"/>
      <c r="U174" s="12"/>
      <c r="V174" s="12"/>
      <c r="W174" s="12"/>
      <c r="X174" s="12"/>
    </row>
    <row r="175" customFormat="false" ht="15.75" hidden="false" customHeight="false" outlineLevel="0" collapsed="false">
      <c r="A175" s="12"/>
      <c r="B175" s="34"/>
      <c r="C175" s="12"/>
      <c r="D175" s="12"/>
      <c r="E175" s="12"/>
      <c r="F175" s="12"/>
      <c r="G175" s="18"/>
      <c r="H175" s="35"/>
      <c r="I175" s="12"/>
      <c r="M175" s="12"/>
      <c r="N175" s="18"/>
      <c r="O175" s="12"/>
      <c r="P175" s="12"/>
      <c r="Q175" s="12"/>
      <c r="R175" s="36"/>
      <c r="S175" s="36"/>
      <c r="T175" s="12"/>
      <c r="U175" s="12"/>
      <c r="V175" s="12"/>
      <c r="W175" s="12"/>
      <c r="X175" s="12"/>
    </row>
    <row r="176" customFormat="false" ht="15.75" hidden="false" customHeight="false" outlineLevel="0" collapsed="false">
      <c r="A176" s="12"/>
      <c r="B176" s="34"/>
      <c r="C176" s="12"/>
      <c r="D176" s="12"/>
      <c r="E176" s="12"/>
      <c r="F176" s="12"/>
      <c r="G176" s="18"/>
      <c r="H176" s="35"/>
      <c r="I176" s="12"/>
      <c r="M176" s="12"/>
      <c r="N176" s="18"/>
      <c r="O176" s="12"/>
      <c r="P176" s="12"/>
      <c r="Q176" s="12"/>
      <c r="R176" s="36"/>
      <c r="S176" s="36"/>
      <c r="T176" s="12"/>
      <c r="U176" s="12"/>
      <c r="V176" s="12"/>
      <c r="W176" s="12"/>
      <c r="X176" s="12"/>
    </row>
    <row r="177" customFormat="false" ht="15.75" hidden="false" customHeight="false" outlineLevel="0" collapsed="false">
      <c r="A177" s="12"/>
      <c r="B177" s="34"/>
      <c r="C177" s="12"/>
      <c r="D177" s="12"/>
      <c r="E177" s="12"/>
      <c r="F177" s="12"/>
      <c r="G177" s="18"/>
      <c r="H177" s="35"/>
      <c r="I177" s="12"/>
      <c r="M177" s="12"/>
      <c r="N177" s="18"/>
      <c r="O177" s="12"/>
      <c r="P177" s="12"/>
      <c r="Q177" s="12"/>
      <c r="R177" s="36"/>
      <c r="S177" s="36"/>
      <c r="T177" s="12"/>
      <c r="U177" s="12"/>
      <c r="V177" s="12"/>
      <c r="W177" s="12"/>
      <c r="X177" s="12"/>
    </row>
    <row r="178" customFormat="false" ht="15.75" hidden="false" customHeight="false" outlineLevel="0" collapsed="false">
      <c r="A178" s="12"/>
      <c r="B178" s="34"/>
      <c r="C178" s="12"/>
      <c r="D178" s="12"/>
      <c r="E178" s="12"/>
      <c r="F178" s="12"/>
      <c r="G178" s="18"/>
      <c r="H178" s="35"/>
      <c r="I178" s="12"/>
      <c r="M178" s="12"/>
      <c r="N178" s="18"/>
      <c r="O178" s="12"/>
      <c r="P178" s="12"/>
      <c r="Q178" s="12"/>
      <c r="R178" s="36"/>
      <c r="S178" s="36"/>
      <c r="T178" s="12"/>
      <c r="U178" s="12"/>
      <c r="V178" s="12"/>
      <c r="W178" s="12"/>
      <c r="X178" s="12"/>
    </row>
    <row r="179" customFormat="false" ht="15.75" hidden="false" customHeight="false" outlineLevel="0" collapsed="false">
      <c r="A179" s="12"/>
      <c r="B179" s="34"/>
      <c r="C179" s="12"/>
      <c r="D179" s="12"/>
      <c r="E179" s="12"/>
      <c r="F179" s="12"/>
      <c r="G179" s="18"/>
      <c r="H179" s="35"/>
      <c r="I179" s="12"/>
      <c r="M179" s="12"/>
      <c r="N179" s="18"/>
      <c r="O179" s="12"/>
      <c r="P179" s="12"/>
      <c r="Q179" s="12"/>
      <c r="R179" s="36"/>
      <c r="S179" s="36"/>
      <c r="T179" s="12"/>
      <c r="U179" s="12"/>
      <c r="V179" s="12"/>
      <c r="W179" s="12"/>
      <c r="X179" s="12"/>
    </row>
    <row r="180" customFormat="false" ht="15.75" hidden="false" customHeight="false" outlineLevel="0" collapsed="false">
      <c r="A180" s="12"/>
      <c r="B180" s="34"/>
      <c r="C180" s="12"/>
      <c r="D180" s="12"/>
      <c r="E180" s="12"/>
      <c r="F180" s="12"/>
      <c r="G180" s="18"/>
      <c r="H180" s="35"/>
      <c r="I180" s="12"/>
      <c r="M180" s="12"/>
      <c r="N180" s="18"/>
      <c r="O180" s="12"/>
      <c r="P180" s="12"/>
      <c r="Q180" s="12"/>
      <c r="R180" s="36"/>
      <c r="S180" s="36"/>
      <c r="T180" s="12"/>
      <c r="U180" s="12"/>
      <c r="V180" s="12"/>
      <c r="W180" s="12"/>
      <c r="X180" s="12"/>
    </row>
    <row r="181" customFormat="false" ht="15.75" hidden="false" customHeight="false" outlineLevel="0" collapsed="false">
      <c r="A181" s="12"/>
      <c r="B181" s="34"/>
      <c r="C181" s="12"/>
      <c r="D181" s="12"/>
      <c r="E181" s="12"/>
      <c r="F181" s="12"/>
      <c r="G181" s="18"/>
      <c r="H181" s="35"/>
      <c r="I181" s="12"/>
      <c r="M181" s="12"/>
      <c r="N181" s="18"/>
      <c r="O181" s="12"/>
      <c r="P181" s="12"/>
      <c r="Q181" s="12"/>
      <c r="R181" s="36"/>
      <c r="S181" s="36"/>
      <c r="T181" s="12"/>
      <c r="U181" s="12"/>
      <c r="V181" s="12"/>
      <c r="W181" s="12"/>
      <c r="X181" s="12"/>
    </row>
    <row r="182" customFormat="false" ht="15.75" hidden="false" customHeight="false" outlineLevel="0" collapsed="false">
      <c r="A182" s="12"/>
      <c r="B182" s="34"/>
      <c r="C182" s="12"/>
      <c r="D182" s="12"/>
      <c r="E182" s="12"/>
      <c r="F182" s="12"/>
      <c r="G182" s="18"/>
      <c r="H182" s="35"/>
      <c r="I182" s="12"/>
      <c r="M182" s="12"/>
      <c r="N182" s="18"/>
      <c r="O182" s="12"/>
      <c r="P182" s="12"/>
      <c r="Q182" s="12"/>
      <c r="R182" s="36"/>
      <c r="S182" s="36"/>
      <c r="T182" s="12"/>
      <c r="U182" s="12"/>
      <c r="V182" s="12"/>
      <c r="W182" s="12"/>
      <c r="X182" s="12"/>
    </row>
    <row r="183" customFormat="false" ht="15.75" hidden="false" customHeight="false" outlineLevel="0" collapsed="false">
      <c r="A183" s="12"/>
      <c r="B183" s="34"/>
      <c r="C183" s="12"/>
      <c r="D183" s="12"/>
      <c r="E183" s="12"/>
      <c r="F183" s="12"/>
      <c r="G183" s="18"/>
      <c r="H183" s="35"/>
      <c r="I183" s="12"/>
      <c r="M183" s="12"/>
      <c r="N183" s="18"/>
      <c r="O183" s="12"/>
      <c r="P183" s="12"/>
      <c r="Q183" s="12"/>
      <c r="R183" s="36"/>
      <c r="S183" s="36"/>
      <c r="T183" s="12"/>
      <c r="U183" s="12"/>
      <c r="V183" s="12"/>
      <c r="W183" s="12"/>
      <c r="X183" s="12"/>
    </row>
    <row r="184" customFormat="false" ht="15.75" hidden="false" customHeight="false" outlineLevel="0" collapsed="false">
      <c r="A184" s="12"/>
      <c r="B184" s="34"/>
      <c r="C184" s="12"/>
      <c r="D184" s="12"/>
      <c r="E184" s="12"/>
      <c r="F184" s="12"/>
      <c r="G184" s="18"/>
      <c r="H184" s="35"/>
      <c r="I184" s="12"/>
      <c r="M184" s="12"/>
      <c r="N184" s="18"/>
      <c r="O184" s="12"/>
      <c r="P184" s="12"/>
      <c r="Q184" s="12"/>
      <c r="R184" s="36"/>
      <c r="S184" s="36"/>
      <c r="T184" s="12"/>
      <c r="U184" s="12"/>
      <c r="V184" s="12"/>
      <c r="W184" s="12"/>
      <c r="X184" s="12"/>
    </row>
    <row r="185" customFormat="false" ht="15.75" hidden="false" customHeight="false" outlineLevel="0" collapsed="false">
      <c r="A185" s="12"/>
      <c r="B185" s="34"/>
      <c r="C185" s="12"/>
      <c r="D185" s="12"/>
      <c r="E185" s="12"/>
      <c r="F185" s="12"/>
      <c r="G185" s="18"/>
      <c r="H185" s="35"/>
      <c r="I185" s="12"/>
      <c r="M185" s="12"/>
      <c r="N185" s="18"/>
      <c r="O185" s="12"/>
      <c r="P185" s="12"/>
      <c r="Q185" s="12"/>
      <c r="R185" s="36"/>
      <c r="S185" s="36"/>
      <c r="T185" s="12"/>
      <c r="U185" s="12"/>
      <c r="V185" s="12"/>
      <c r="W185" s="12"/>
      <c r="X185" s="12"/>
    </row>
    <row r="186" customFormat="false" ht="15.75" hidden="false" customHeight="false" outlineLevel="0" collapsed="false">
      <c r="A186" s="12"/>
      <c r="B186" s="34"/>
      <c r="C186" s="12"/>
      <c r="D186" s="12"/>
      <c r="E186" s="12"/>
      <c r="F186" s="12"/>
      <c r="G186" s="18"/>
      <c r="H186" s="35"/>
      <c r="I186" s="12"/>
      <c r="M186" s="12"/>
      <c r="N186" s="18"/>
      <c r="O186" s="12"/>
      <c r="P186" s="12"/>
      <c r="Q186" s="12"/>
      <c r="R186" s="36"/>
      <c r="S186" s="36"/>
      <c r="T186" s="12"/>
      <c r="U186" s="12"/>
      <c r="V186" s="12"/>
      <c r="W186" s="12"/>
      <c r="X186" s="12"/>
    </row>
    <row r="187" customFormat="false" ht="15.75" hidden="false" customHeight="false" outlineLevel="0" collapsed="false">
      <c r="A187" s="12"/>
      <c r="B187" s="34"/>
      <c r="C187" s="12"/>
      <c r="D187" s="12"/>
      <c r="E187" s="12"/>
      <c r="F187" s="12"/>
      <c r="G187" s="18"/>
      <c r="H187" s="35"/>
      <c r="I187" s="12"/>
      <c r="M187" s="12"/>
      <c r="N187" s="18"/>
      <c r="O187" s="12"/>
      <c r="P187" s="12"/>
      <c r="Q187" s="12"/>
      <c r="R187" s="36"/>
      <c r="S187" s="36"/>
      <c r="T187" s="12"/>
      <c r="U187" s="12"/>
      <c r="V187" s="12"/>
      <c r="W187" s="12"/>
      <c r="X187" s="12"/>
    </row>
    <row r="188" customFormat="false" ht="15.75" hidden="false" customHeight="false" outlineLevel="0" collapsed="false">
      <c r="A188" s="12"/>
      <c r="B188" s="34"/>
      <c r="C188" s="12"/>
      <c r="D188" s="12"/>
      <c r="E188" s="12"/>
      <c r="F188" s="12"/>
      <c r="G188" s="18"/>
      <c r="H188" s="35"/>
      <c r="I188" s="12"/>
      <c r="M188" s="12"/>
      <c r="N188" s="18"/>
      <c r="O188" s="12"/>
      <c r="P188" s="12"/>
      <c r="Q188" s="12"/>
      <c r="R188" s="36"/>
      <c r="S188" s="36"/>
      <c r="T188" s="12"/>
      <c r="U188" s="12"/>
      <c r="V188" s="12"/>
      <c r="W188" s="12"/>
      <c r="X188" s="12"/>
    </row>
    <row r="189" customFormat="false" ht="15.75" hidden="false" customHeight="false" outlineLevel="0" collapsed="false">
      <c r="A189" s="12"/>
      <c r="B189" s="34"/>
      <c r="C189" s="12"/>
      <c r="D189" s="12"/>
      <c r="E189" s="12"/>
      <c r="F189" s="12"/>
      <c r="G189" s="18"/>
      <c r="H189" s="35"/>
      <c r="I189" s="12"/>
      <c r="M189" s="12"/>
      <c r="N189" s="18"/>
      <c r="O189" s="12"/>
      <c r="P189" s="12"/>
      <c r="Q189" s="12"/>
      <c r="R189" s="36"/>
      <c r="S189" s="36"/>
      <c r="T189" s="12"/>
      <c r="U189" s="12"/>
      <c r="V189" s="12"/>
      <c r="W189" s="12"/>
      <c r="X189" s="12"/>
    </row>
    <row r="190" customFormat="false" ht="15.75" hidden="false" customHeight="false" outlineLevel="0" collapsed="false">
      <c r="A190" s="12"/>
      <c r="B190" s="34"/>
      <c r="C190" s="12"/>
      <c r="D190" s="12"/>
      <c r="E190" s="12"/>
      <c r="F190" s="12"/>
      <c r="G190" s="18"/>
      <c r="H190" s="35"/>
      <c r="I190" s="12"/>
      <c r="M190" s="12"/>
      <c r="N190" s="18"/>
      <c r="O190" s="12"/>
      <c r="P190" s="12"/>
      <c r="Q190" s="12"/>
      <c r="R190" s="36"/>
      <c r="S190" s="36"/>
      <c r="T190" s="12"/>
      <c r="U190" s="12"/>
      <c r="V190" s="12"/>
      <c r="W190" s="12"/>
      <c r="X190" s="12"/>
    </row>
    <row r="191" customFormat="false" ht="15.75" hidden="false" customHeight="false" outlineLevel="0" collapsed="false">
      <c r="A191" s="12"/>
      <c r="B191" s="34"/>
      <c r="C191" s="12"/>
      <c r="D191" s="12"/>
      <c r="E191" s="12"/>
      <c r="F191" s="12"/>
      <c r="G191" s="18"/>
      <c r="H191" s="35"/>
      <c r="I191" s="12"/>
      <c r="M191" s="12"/>
      <c r="N191" s="18"/>
      <c r="O191" s="12"/>
      <c r="P191" s="12"/>
      <c r="Q191" s="12"/>
      <c r="R191" s="36"/>
      <c r="S191" s="36"/>
      <c r="T191" s="12"/>
      <c r="U191" s="12"/>
      <c r="V191" s="12"/>
      <c r="W191" s="12"/>
      <c r="X191" s="12"/>
    </row>
    <row r="192" customFormat="false" ht="15.75" hidden="false" customHeight="false" outlineLevel="0" collapsed="false">
      <c r="A192" s="12"/>
      <c r="B192" s="34"/>
      <c r="C192" s="12"/>
      <c r="D192" s="12"/>
      <c r="E192" s="12"/>
      <c r="F192" s="12"/>
      <c r="G192" s="18"/>
      <c r="H192" s="35"/>
      <c r="I192" s="12"/>
      <c r="M192" s="12"/>
      <c r="N192" s="18"/>
      <c r="O192" s="12"/>
      <c r="P192" s="12"/>
      <c r="Q192" s="12"/>
      <c r="R192" s="36"/>
      <c r="S192" s="36"/>
      <c r="T192" s="12"/>
      <c r="U192" s="12"/>
      <c r="V192" s="12"/>
      <c r="W192" s="12"/>
      <c r="X192" s="12"/>
    </row>
    <row r="193" customFormat="false" ht="15.75" hidden="false" customHeight="false" outlineLevel="0" collapsed="false">
      <c r="A193" s="12"/>
      <c r="B193" s="34"/>
      <c r="C193" s="12"/>
      <c r="D193" s="12"/>
      <c r="E193" s="12"/>
      <c r="F193" s="12"/>
      <c r="G193" s="18"/>
      <c r="H193" s="35"/>
      <c r="I193" s="12"/>
      <c r="M193" s="12"/>
      <c r="N193" s="18"/>
      <c r="O193" s="12"/>
      <c r="P193" s="12"/>
      <c r="Q193" s="12"/>
      <c r="R193" s="36"/>
      <c r="S193" s="36"/>
      <c r="T193" s="12"/>
      <c r="U193" s="12"/>
      <c r="V193" s="12"/>
      <c r="W193" s="12"/>
      <c r="X193" s="12"/>
    </row>
    <row r="194" customFormat="false" ht="15.75" hidden="false" customHeight="false" outlineLevel="0" collapsed="false">
      <c r="A194" s="12"/>
      <c r="B194" s="34"/>
      <c r="C194" s="12"/>
      <c r="D194" s="12"/>
      <c r="E194" s="12"/>
      <c r="F194" s="12"/>
      <c r="G194" s="18"/>
      <c r="H194" s="35"/>
      <c r="I194" s="12"/>
      <c r="M194" s="12"/>
      <c r="N194" s="18"/>
      <c r="O194" s="12"/>
      <c r="P194" s="12"/>
      <c r="Q194" s="12"/>
      <c r="R194" s="36"/>
      <c r="S194" s="36"/>
      <c r="T194" s="12"/>
      <c r="U194" s="12"/>
      <c r="V194" s="12"/>
      <c r="W194" s="12"/>
      <c r="X194" s="12"/>
    </row>
    <row r="195" customFormat="false" ht="15.75" hidden="false" customHeight="false" outlineLevel="0" collapsed="false">
      <c r="A195" s="12"/>
      <c r="B195" s="34"/>
      <c r="C195" s="12"/>
      <c r="D195" s="12"/>
      <c r="E195" s="12"/>
      <c r="F195" s="12"/>
      <c r="G195" s="18"/>
      <c r="H195" s="35"/>
      <c r="I195" s="12"/>
      <c r="M195" s="12"/>
      <c r="N195" s="18"/>
      <c r="O195" s="12"/>
      <c r="P195" s="12"/>
      <c r="Q195" s="12"/>
      <c r="R195" s="36"/>
      <c r="S195" s="36"/>
      <c r="T195" s="12"/>
      <c r="U195" s="12"/>
      <c r="V195" s="12"/>
      <c r="W195" s="12"/>
      <c r="X195" s="12"/>
    </row>
    <row r="196" customFormat="false" ht="15.75" hidden="false" customHeight="false" outlineLevel="0" collapsed="false">
      <c r="A196" s="12"/>
      <c r="B196" s="34"/>
      <c r="C196" s="12"/>
      <c r="D196" s="12"/>
      <c r="E196" s="12"/>
      <c r="F196" s="12"/>
      <c r="G196" s="18"/>
      <c r="H196" s="35"/>
      <c r="I196" s="12"/>
      <c r="M196" s="12"/>
      <c r="N196" s="18"/>
      <c r="O196" s="12"/>
      <c r="P196" s="12"/>
      <c r="Q196" s="12"/>
      <c r="R196" s="36"/>
      <c r="S196" s="36"/>
      <c r="T196" s="12"/>
      <c r="U196" s="12"/>
      <c r="V196" s="12"/>
      <c r="W196" s="12"/>
      <c r="X196" s="12"/>
    </row>
    <row r="197" customFormat="false" ht="15.75" hidden="false" customHeight="false" outlineLevel="0" collapsed="false">
      <c r="A197" s="12"/>
      <c r="B197" s="34"/>
      <c r="C197" s="12"/>
      <c r="D197" s="12"/>
      <c r="E197" s="12"/>
      <c r="F197" s="12"/>
      <c r="G197" s="18"/>
      <c r="H197" s="35"/>
      <c r="I197" s="12"/>
      <c r="M197" s="12"/>
      <c r="N197" s="18"/>
      <c r="O197" s="12"/>
      <c r="P197" s="12"/>
      <c r="Q197" s="12"/>
      <c r="R197" s="36"/>
      <c r="S197" s="36"/>
      <c r="T197" s="12"/>
      <c r="U197" s="12"/>
      <c r="V197" s="12"/>
      <c r="W197" s="12"/>
      <c r="X197" s="12"/>
    </row>
    <row r="198" customFormat="false" ht="15.75" hidden="false" customHeight="false" outlineLevel="0" collapsed="false">
      <c r="A198" s="12"/>
      <c r="B198" s="34"/>
      <c r="C198" s="12"/>
      <c r="D198" s="12"/>
      <c r="E198" s="12"/>
      <c r="F198" s="12"/>
      <c r="G198" s="18"/>
      <c r="H198" s="35"/>
      <c r="I198" s="12"/>
      <c r="M198" s="12"/>
      <c r="N198" s="18"/>
      <c r="O198" s="12"/>
      <c r="P198" s="12"/>
      <c r="Q198" s="12"/>
      <c r="R198" s="36"/>
      <c r="S198" s="36"/>
      <c r="T198" s="12"/>
      <c r="U198" s="12"/>
      <c r="V198" s="12"/>
      <c r="W198" s="12"/>
      <c r="X198" s="12"/>
    </row>
    <row r="199" customFormat="false" ht="15.75" hidden="false" customHeight="false" outlineLevel="0" collapsed="false">
      <c r="A199" s="12"/>
      <c r="B199" s="34"/>
      <c r="C199" s="12"/>
      <c r="D199" s="12"/>
      <c r="E199" s="12"/>
      <c r="F199" s="12"/>
      <c r="G199" s="18"/>
      <c r="H199" s="35"/>
      <c r="I199" s="12"/>
      <c r="M199" s="12"/>
      <c r="N199" s="18"/>
      <c r="O199" s="12"/>
      <c r="P199" s="12"/>
      <c r="Q199" s="12"/>
      <c r="R199" s="36"/>
      <c r="S199" s="36"/>
      <c r="T199" s="12"/>
      <c r="U199" s="12"/>
      <c r="V199" s="12"/>
      <c r="W199" s="12"/>
      <c r="X199" s="12"/>
    </row>
    <row r="200" customFormat="false" ht="15.75" hidden="false" customHeight="false" outlineLevel="0" collapsed="false">
      <c r="A200" s="12"/>
      <c r="B200" s="34"/>
      <c r="C200" s="12"/>
      <c r="D200" s="12"/>
      <c r="E200" s="12"/>
      <c r="F200" s="12"/>
      <c r="G200" s="18"/>
      <c r="H200" s="35"/>
      <c r="I200" s="12"/>
      <c r="M200" s="12"/>
      <c r="N200" s="18"/>
      <c r="O200" s="12"/>
      <c r="P200" s="12"/>
      <c r="Q200" s="12"/>
      <c r="R200" s="36"/>
      <c r="S200" s="36"/>
      <c r="T200" s="12"/>
      <c r="U200" s="12"/>
      <c r="V200" s="12"/>
      <c r="W200" s="12"/>
      <c r="X200" s="12"/>
    </row>
    <row r="201" customFormat="false" ht="15.75" hidden="false" customHeight="false" outlineLevel="0" collapsed="false">
      <c r="A201" s="12"/>
      <c r="B201" s="34"/>
      <c r="C201" s="12"/>
      <c r="D201" s="12"/>
      <c r="E201" s="12"/>
      <c r="F201" s="12"/>
      <c r="G201" s="18"/>
      <c r="H201" s="35"/>
      <c r="I201" s="12"/>
      <c r="M201" s="12"/>
      <c r="N201" s="18"/>
      <c r="O201" s="12"/>
      <c r="P201" s="12"/>
      <c r="Q201" s="12"/>
      <c r="R201" s="36"/>
      <c r="S201" s="36"/>
      <c r="T201" s="12"/>
      <c r="U201" s="12"/>
      <c r="V201" s="12"/>
      <c r="W201" s="12"/>
      <c r="X201" s="12"/>
    </row>
    <row r="202" customFormat="false" ht="15.75" hidden="false" customHeight="false" outlineLevel="0" collapsed="false">
      <c r="A202" s="12"/>
      <c r="B202" s="34"/>
      <c r="C202" s="12"/>
      <c r="D202" s="12"/>
      <c r="E202" s="12"/>
      <c r="F202" s="12"/>
      <c r="G202" s="18"/>
      <c r="H202" s="35"/>
      <c r="I202" s="12"/>
      <c r="M202" s="12"/>
      <c r="N202" s="18"/>
      <c r="O202" s="12"/>
      <c r="P202" s="12"/>
      <c r="Q202" s="12"/>
      <c r="R202" s="36"/>
      <c r="S202" s="36"/>
      <c r="T202" s="12"/>
      <c r="U202" s="12"/>
      <c r="V202" s="12"/>
      <c r="W202" s="12"/>
      <c r="X202" s="12"/>
    </row>
    <row r="203" customFormat="false" ht="15.75" hidden="false" customHeight="false" outlineLevel="0" collapsed="false">
      <c r="A203" s="12"/>
      <c r="B203" s="34"/>
      <c r="C203" s="12"/>
      <c r="D203" s="12"/>
      <c r="E203" s="12"/>
      <c r="F203" s="12"/>
      <c r="G203" s="18"/>
      <c r="H203" s="35"/>
      <c r="I203" s="12"/>
      <c r="M203" s="12"/>
      <c r="N203" s="18"/>
      <c r="O203" s="12"/>
      <c r="P203" s="12"/>
      <c r="Q203" s="12"/>
      <c r="R203" s="36"/>
      <c r="S203" s="36"/>
      <c r="T203" s="12"/>
      <c r="U203" s="12"/>
      <c r="V203" s="12"/>
      <c r="W203" s="12"/>
      <c r="X203" s="12"/>
    </row>
    <row r="204" customFormat="false" ht="15.75" hidden="false" customHeight="false" outlineLevel="0" collapsed="false">
      <c r="A204" s="12"/>
      <c r="B204" s="34"/>
      <c r="C204" s="12"/>
      <c r="D204" s="12"/>
      <c r="E204" s="12"/>
      <c r="F204" s="12"/>
      <c r="G204" s="18"/>
      <c r="H204" s="35"/>
      <c r="I204" s="12"/>
      <c r="M204" s="12"/>
      <c r="N204" s="18"/>
      <c r="O204" s="12"/>
      <c r="P204" s="12"/>
      <c r="Q204" s="12"/>
      <c r="R204" s="36"/>
      <c r="S204" s="36"/>
      <c r="T204" s="12"/>
      <c r="U204" s="12"/>
      <c r="V204" s="12"/>
      <c r="W204" s="12"/>
      <c r="X204" s="12"/>
    </row>
    <row r="205" customFormat="false" ht="15.75" hidden="false" customHeight="false" outlineLevel="0" collapsed="false">
      <c r="A205" s="12"/>
      <c r="B205" s="34"/>
      <c r="C205" s="12"/>
      <c r="D205" s="12"/>
      <c r="E205" s="12"/>
      <c r="F205" s="12"/>
      <c r="G205" s="18"/>
      <c r="H205" s="35"/>
      <c r="I205" s="12"/>
      <c r="M205" s="12"/>
      <c r="N205" s="18"/>
      <c r="O205" s="12"/>
      <c r="P205" s="12"/>
      <c r="Q205" s="12"/>
      <c r="R205" s="36"/>
      <c r="S205" s="36"/>
      <c r="T205" s="12"/>
      <c r="U205" s="12"/>
      <c r="V205" s="12"/>
      <c r="W205" s="12"/>
      <c r="X205" s="12"/>
    </row>
    <row r="206" customFormat="false" ht="15.75" hidden="false" customHeight="false" outlineLevel="0" collapsed="false">
      <c r="A206" s="12"/>
      <c r="B206" s="34"/>
      <c r="C206" s="12"/>
      <c r="D206" s="12"/>
      <c r="E206" s="12"/>
      <c r="F206" s="12"/>
      <c r="G206" s="18"/>
      <c r="H206" s="35"/>
      <c r="I206" s="12"/>
      <c r="M206" s="12"/>
      <c r="N206" s="18"/>
      <c r="O206" s="12"/>
      <c r="P206" s="12"/>
      <c r="Q206" s="12"/>
      <c r="R206" s="36"/>
      <c r="S206" s="36"/>
      <c r="T206" s="12"/>
      <c r="U206" s="12"/>
      <c r="V206" s="12"/>
      <c r="W206" s="12"/>
      <c r="X206" s="12"/>
    </row>
    <row r="207" customFormat="false" ht="15.75" hidden="false" customHeight="false" outlineLevel="0" collapsed="false">
      <c r="A207" s="12"/>
      <c r="B207" s="34"/>
      <c r="C207" s="12"/>
      <c r="D207" s="12"/>
      <c r="E207" s="12"/>
      <c r="F207" s="12"/>
      <c r="G207" s="18"/>
      <c r="H207" s="35"/>
      <c r="I207" s="12"/>
      <c r="M207" s="12"/>
      <c r="N207" s="18"/>
      <c r="O207" s="12"/>
      <c r="P207" s="12"/>
      <c r="Q207" s="12"/>
      <c r="R207" s="36"/>
      <c r="S207" s="36"/>
      <c r="T207" s="12"/>
      <c r="U207" s="12"/>
      <c r="V207" s="12"/>
      <c r="W207" s="12"/>
      <c r="X207" s="12"/>
    </row>
    <row r="208" customFormat="false" ht="15.75" hidden="false" customHeight="false" outlineLevel="0" collapsed="false">
      <c r="A208" s="12"/>
      <c r="B208" s="34"/>
      <c r="C208" s="12"/>
      <c r="D208" s="12"/>
      <c r="E208" s="12"/>
      <c r="F208" s="12"/>
      <c r="G208" s="18"/>
      <c r="H208" s="35"/>
      <c r="I208" s="12"/>
      <c r="M208" s="12"/>
      <c r="N208" s="18"/>
      <c r="O208" s="12"/>
      <c r="P208" s="12"/>
      <c r="Q208" s="12"/>
      <c r="R208" s="36"/>
      <c r="S208" s="36"/>
      <c r="T208" s="12"/>
      <c r="U208" s="12"/>
      <c r="V208" s="12"/>
      <c r="W208" s="12"/>
      <c r="X208" s="12"/>
    </row>
    <row r="209" customFormat="false" ht="15.75" hidden="false" customHeight="false" outlineLevel="0" collapsed="false">
      <c r="A209" s="12"/>
      <c r="B209" s="34"/>
      <c r="C209" s="12"/>
      <c r="D209" s="12"/>
      <c r="E209" s="12"/>
      <c r="F209" s="12"/>
      <c r="G209" s="18"/>
      <c r="H209" s="35"/>
      <c r="I209" s="12"/>
      <c r="M209" s="12"/>
      <c r="N209" s="18"/>
      <c r="O209" s="12"/>
      <c r="P209" s="12"/>
      <c r="Q209" s="12"/>
      <c r="R209" s="36"/>
      <c r="S209" s="36"/>
      <c r="T209" s="12"/>
      <c r="U209" s="12"/>
      <c r="V209" s="12"/>
      <c r="W209" s="12"/>
      <c r="X209" s="12"/>
    </row>
    <row r="210" customFormat="false" ht="15.75" hidden="false" customHeight="false" outlineLevel="0" collapsed="false">
      <c r="A210" s="12"/>
      <c r="B210" s="34"/>
      <c r="C210" s="12"/>
      <c r="D210" s="12"/>
      <c r="E210" s="12"/>
      <c r="F210" s="12"/>
      <c r="G210" s="18"/>
      <c r="H210" s="35"/>
      <c r="I210" s="12"/>
      <c r="M210" s="12"/>
      <c r="N210" s="18"/>
      <c r="O210" s="12"/>
      <c r="P210" s="12"/>
      <c r="Q210" s="12"/>
      <c r="R210" s="36"/>
      <c r="S210" s="36"/>
      <c r="T210" s="12"/>
      <c r="U210" s="12"/>
      <c r="V210" s="12"/>
      <c r="W210" s="12"/>
      <c r="X210" s="12"/>
    </row>
    <row r="211" customFormat="false" ht="15.75" hidden="false" customHeight="false" outlineLevel="0" collapsed="false">
      <c r="A211" s="12"/>
      <c r="B211" s="34"/>
      <c r="C211" s="12"/>
      <c r="D211" s="12"/>
      <c r="E211" s="12"/>
      <c r="F211" s="12"/>
      <c r="G211" s="18"/>
      <c r="H211" s="35"/>
      <c r="I211" s="12"/>
      <c r="M211" s="12"/>
      <c r="N211" s="18"/>
      <c r="O211" s="12"/>
      <c r="P211" s="12"/>
      <c r="Q211" s="12"/>
      <c r="R211" s="36"/>
      <c r="S211" s="36"/>
      <c r="T211" s="12"/>
      <c r="U211" s="12"/>
      <c r="V211" s="12"/>
      <c r="W211" s="12"/>
      <c r="X211" s="12"/>
    </row>
    <row r="212" customFormat="false" ht="15.75" hidden="false" customHeight="false" outlineLevel="0" collapsed="false">
      <c r="A212" s="12"/>
      <c r="B212" s="34"/>
      <c r="C212" s="12"/>
      <c r="D212" s="12"/>
      <c r="E212" s="12"/>
      <c r="F212" s="12"/>
      <c r="G212" s="18"/>
      <c r="H212" s="35"/>
      <c r="I212" s="12"/>
      <c r="M212" s="12"/>
      <c r="N212" s="18"/>
      <c r="O212" s="12"/>
      <c r="P212" s="12"/>
      <c r="Q212" s="12"/>
      <c r="R212" s="36"/>
      <c r="S212" s="36"/>
      <c r="T212" s="12"/>
      <c r="U212" s="12"/>
      <c r="V212" s="12"/>
      <c r="W212" s="12"/>
      <c r="X212" s="12"/>
    </row>
    <row r="213" customFormat="false" ht="15.75" hidden="false" customHeight="false" outlineLevel="0" collapsed="false">
      <c r="A213" s="12"/>
      <c r="B213" s="34"/>
      <c r="C213" s="12"/>
      <c r="D213" s="12"/>
      <c r="E213" s="12"/>
      <c r="F213" s="12"/>
      <c r="G213" s="18"/>
      <c r="H213" s="35"/>
      <c r="I213" s="12"/>
      <c r="M213" s="12"/>
      <c r="N213" s="18"/>
      <c r="O213" s="12"/>
      <c r="P213" s="12"/>
      <c r="Q213" s="12"/>
      <c r="R213" s="36"/>
      <c r="S213" s="36"/>
      <c r="T213" s="12"/>
      <c r="U213" s="12"/>
      <c r="V213" s="12"/>
      <c r="W213" s="12"/>
      <c r="X213" s="12"/>
    </row>
    <row r="214" customFormat="false" ht="15.75" hidden="false" customHeight="false" outlineLevel="0" collapsed="false">
      <c r="A214" s="12"/>
      <c r="B214" s="34"/>
      <c r="C214" s="12"/>
      <c r="D214" s="12"/>
      <c r="E214" s="12"/>
      <c r="F214" s="12"/>
      <c r="G214" s="18"/>
      <c r="H214" s="35"/>
      <c r="I214" s="12"/>
      <c r="M214" s="12"/>
      <c r="N214" s="18"/>
      <c r="O214" s="12"/>
      <c r="P214" s="12"/>
      <c r="Q214" s="12"/>
      <c r="R214" s="36"/>
      <c r="S214" s="36"/>
      <c r="T214" s="12"/>
      <c r="U214" s="12"/>
      <c r="V214" s="12"/>
      <c r="W214" s="12"/>
      <c r="X214" s="12"/>
    </row>
    <row r="215" customFormat="false" ht="15.75" hidden="false" customHeight="false" outlineLevel="0" collapsed="false">
      <c r="A215" s="12"/>
      <c r="B215" s="34"/>
      <c r="C215" s="12"/>
      <c r="D215" s="12"/>
      <c r="E215" s="12"/>
      <c r="F215" s="12"/>
      <c r="G215" s="18"/>
      <c r="H215" s="35"/>
      <c r="I215" s="12"/>
      <c r="M215" s="12"/>
      <c r="N215" s="18"/>
      <c r="O215" s="12"/>
      <c r="P215" s="12"/>
      <c r="Q215" s="12"/>
      <c r="R215" s="36"/>
      <c r="S215" s="36"/>
      <c r="T215" s="12"/>
      <c r="U215" s="12"/>
      <c r="V215" s="12"/>
      <c r="W215" s="12"/>
      <c r="X215" s="12"/>
    </row>
    <row r="216" customFormat="false" ht="15.75" hidden="false" customHeight="false" outlineLevel="0" collapsed="false">
      <c r="A216" s="12"/>
      <c r="B216" s="34"/>
      <c r="C216" s="12"/>
      <c r="D216" s="12"/>
      <c r="E216" s="12"/>
      <c r="F216" s="12"/>
      <c r="G216" s="18"/>
      <c r="H216" s="35"/>
      <c r="I216" s="12"/>
      <c r="M216" s="12"/>
      <c r="N216" s="18"/>
      <c r="O216" s="12"/>
      <c r="P216" s="12"/>
      <c r="Q216" s="12"/>
      <c r="R216" s="36"/>
      <c r="S216" s="36"/>
      <c r="T216" s="12"/>
      <c r="U216" s="12"/>
      <c r="V216" s="12"/>
      <c r="W216" s="12"/>
      <c r="X216" s="12"/>
    </row>
    <row r="217" customFormat="false" ht="15.75" hidden="false" customHeight="false" outlineLevel="0" collapsed="false">
      <c r="A217" s="12"/>
      <c r="B217" s="34"/>
      <c r="C217" s="12"/>
      <c r="D217" s="12"/>
      <c r="E217" s="12"/>
      <c r="F217" s="12"/>
      <c r="G217" s="18"/>
      <c r="H217" s="35"/>
      <c r="I217" s="12"/>
      <c r="M217" s="12"/>
      <c r="N217" s="18"/>
      <c r="O217" s="12"/>
      <c r="P217" s="12"/>
      <c r="Q217" s="12"/>
      <c r="R217" s="36"/>
      <c r="S217" s="36"/>
      <c r="T217" s="12"/>
      <c r="U217" s="12"/>
      <c r="V217" s="12"/>
      <c r="W217" s="12"/>
      <c r="X217" s="12"/>
    </row>
    <row r="218" customFormat="false" ht="15.75" hidden="false" customHeight="false" outlineLevel="0" collapsed="false">
      <c r="A218" s="12"/>
      <c r="B218" s="34"/>
      <c r="C218" s="12"/>
      <c r="D218" s="12"/>
      <c r="E218" s="12"/>
      <c r="F218" s="12"/>
      <c r="G218" s="18"/>
      <c r="H218" s="35"/>
      <c r="I218" s="12"/>
      <c r="M218" s="12"/>
      <c r="N218" s="18"/>
      <c r="O218" s="12"/>
      <c r="P218" s="12"/>
      <c r="Q218" s="12"/>
      <c r="R218" s="36"/>
      <c r="S218" s="36"/>
      <c r="T218" s="12"/>
      <c r="U218" s="12"/>
      <c r="V218" s="12"/>
      <c r="W218" s="12"/>
      <c r="X218" s="12"/>
    </row>
    <row r="219" customFormat="false" ht="15.75" hidden="false" customHeight="false" outlineLevel="0" collapsed="false">
      <c r="A219" s="12"/>
      <c r="B219" s="34"/>
      <c r="C219" s="12"/>
      <c r="D219" s="12"/>
      <c r="E219" s="12"/>
      <c r="F219" s="12"/>
      <c r="G219" s="18"/>
      <c r="H219" s="35"/>
      <c r="I219" s="12"/>
      <c r="M219" s="12"/>
      <c r="N219" s="18"/>
      <c r="O219" s="12"/>
      <c r="P219" s="12"/>
      <c r="Q219" s="12"/>
      <c r="R219" s="36"/>
      <c r="S219" s="36"/>
      <c r="T219" s="12"/>
      <c r="U219" s="12"/>
      <c r="V219" s="12"/>
      <c r="W219" s="12"/>
      <c r="X219" s="12"/>
    </row>
    <row r="220" customFormat="false" ht="15.75" hidden="false" customHeight="false" outlineLevel="0" collapsed="false">
      <c r="A220" s="12"/>
      <c r="B220" s="34"/>
      <c r="C220" s="12"/>
      <c r="D220" s="12"/>
      <c r="E220" s="12"/>
      <c r="F220" s="12"/>
      <c r="G220" s="18"/>
      <c r="H220" s="35"/>
      <c r="I220" s="12"/>
      <c r="M220" s="12"/>
      <c r="N220" s="18"/>
      <c r="O220" s="12"/>
      <c r="P220" s="12"/>
      <c r="Q220" s="12"/>
      <c r="R220" s="36"/>
      <c r="S220" s="36"/>
      <c r="T220" s="12"/>
      <c r="U220" s="12"/>
      <c r="V220" s="12"/>
      <c r="W220" s="12"/>
      <c r="X220" s="12"/>
    </row>
    <row r="221" customFormat="false" ht="15.75" hidden="false" customHeight="false" outlineLevel="0" collapsed="false">
      <c r="A221" s="12"/>
      <c r="B221" s="34"/>
      <c r="C221" s="12"/>
      <c r="D221" s="12"/>
      <c r="E221" s="12"/>
      <c r="F221" s="12"/>
      <c r="G221" s="18"/>
      <c r="H221" s="35"/>
      <c r="I221" s="12"/>
      <c r="M221" s="12"/>
      <c r="N221" s="18"/>
      <c r="O221" s="12"/>
      <c r="P221" s="12"/>
      <c r="Q221" s="12"/>
      <c r="R221" s="36"/>
      <c r="S221" s="36"/>
      <c r="T221" s="12"/>
      <c r="U221" s="12"/>
      <c r="V221" s="12"/>
      <c r="W221" s="12"/>
      <c r="X221" s="12"/>
    </row>
    <row r="222" customFormat="false" ht="15.75" hidden="false" customHeight="false" outlineLevel="0" collapsed="false">
      <c r="A222" s="12"/>
      <c r="B222" s="34"/>
      <c r="C222" s="12"/>
      <c r="D222" s="12"/>
      <c r="E222" s="12"/>
      <c r="F222" s="12"/>
      <c r="G222" s="18"/>
      <c r="H222" s="35"/>
      <c r="I222" s="12"/>
      <c r="M222" s="12"/>
      <c r="N222" s="18"/>
      <c r="O222" s="12"/>
      <c r="P222" s="12"/>
      <c r="Q222" s="12"/>
      <c r="R222" s="36"/>
      <c r="S222" s="36"/>
      <c r="T222" s="12"/>
      <c r="U222" s="12"/>
      <c r="V222" s="12"/>
      <c r="W222" s="12"/>
      <c r="X222" s="12"/>
    </row>
    <row r="223" customFormat="false" ht="15.75" hidden="false" customHeight="false" outlineLevel="0" collapsed="false">
      <c r="A223" s="12"/>
      <c r="B223" s="34"/>
      <c r="C223" s="12"/>
      <c r="D223" s="12"/>
      <c r="E223" s="12"/>
      <c r="F223" s="12"/>
      <c r="G223" s="18"/>
      <c r="H223" s="35"/>
      <c r="I223" s="12"/>
      <c r="M223" s="12"/>
      <c r="N223" s="18"/>
      <c r="O223" s="12"/>
      <c r="P223" s="12"/>
      <c r="Q223" s="12"/>
      <c r="R223" s="36"/>
      <c r="S223" s="36"/>
      <c r="T223" s="12"/>
      <c r="U223" s="12"/>
      <c r="V223" s="12"/>
      <c r="W223" s="12"/>
      <c r="X223" s="12"/>
    </row>
    <row r="224" customFormat="false" ht="15.75" hidden="false" customHeight="false" outlineLevel="0" collapsed="false">
      <c r="A224" s="12"/>
      <c r="B224" s="34"/>
      <c r="C224" s="12"/>
      <c r="D224" s="12"/>
      <c r="E224" s="12"/>
      <c r="F224" s="12"/>
      <c r="G224" s="18"/>
      <c r="H224" s="35"/>
      <c r="I224" s="12"/>
      <c r="M224" s="12"/>
      <c r="N224" s="18"/>
      <c r="O224" s="12"/>
      <c r="P224" s="12"/>
      <c r="Q224" s="12"/>
      <c r="R224" s="36"/>
      <c r="S224" s="36"/>
      <c r="T224" s="12"/>
      <c r="U224" s="12"/>
      <c r="V224" s="12"/>
      <c r="W224" s="12"/>
      <c r="X224" s="12"/>
    </row>
    <row r="225" customFormat="false" ht="15.75" hidden="false" customHeight="false" outlineLevel="0" collapsed="false">
      <c r="A225" s="12"/>
      <c r="B225" s="34"/>
      <c r="C225" s="12"/>
      <c r="D225" s="12"/>
      <c r="E225" s="12"/>
      <c r="F225" s="12"/>
      <c r="G225" s="18"/>
      <c r="H225" s="35"/>
      <c r="I225" s="12"/>
      <c r="M225" s="12"/>
      <c r="N225" s="18"/>
      <c r="O225" s="12"/>
      <c r="P225" s="12"/>
      <c r="Q225" s="12"/>
      <c r="R225" s="36"/>
      <c r="S225" s="36"/>
      <c r="T225" s="12"/>
      <c r="U225" s="12"/>
      <c r="V225" s="12"/>
      <c r="W225" s="12"/>
      <c r="X225" s="12"/>
    </row>
    <row r="226" customFormat="false" ht="15.75" hidden="false" customHeight="false" outlineLevel="0" collapsed="false">
      <c r="A226" s="12"/>
      <c r="B226" s="34"/>
      <c r="C226" s="12"/>
      <c r="D226" s="12"/>
      <c r="E226" s="12"/>
      <c r="F226" s="12"/>
      <c r="G226" s="18"/>
      <c r="H226" s="35"/>
      <c r="I226" s="12"/>
      <c r="M226" s="12"/>
      <c r="N226" s="18"/>
      <c r="O226" s="12"/>
      <c r="P226" s="12"/>
      <c r="Q226" s="12"/>
      <c r="R226" s="36"/>
      <c r="S226" s="36"/>
      <c r="T226" s="12"/>
      <c r="U226" s="12"/>
      <c r="V226" s="12"/>
      <c r="W226" s="12"/>
      <c r="X226" s="12"/>
    </row>
    <row r="227" customFormat="false" ht="15.75" hidden="false" customHeight="false" outlineLevel="0" collapsed="false">
      <c r="A227" s="12"/>
      <c r="B227" s="34"/>
      <c r="C227" s="12"/>
      <c r="D227" s="12"/>
      <c r="E227" s="12"/>
      <c r="F227" s="12"/>
      <c r="G227" s="18"/>
      <c r="H227" s="35"/>
      <c r="I227" s="12"/>
      <c r="M227" s="12"/>
      <c r="N227" s="18"/>
      <c r="O227" s="12"/>
      <c r="P227" s="12"/>
      <c r="Q227" s="12"/>
      <c r="R227" s="36"/>
      <c r="S227" s="36"/>
      <c r="T227" s="12"/>
      <c r="U227" s="12"/>
      <c r="V227" s="12"/>
      <c r="W227" s="12"/>
      <c r="X227" s="12"/>
    </row>
    <row r="228" customFormat="false" ht="15.75" hidden="false" customHeight="false" outlineLevel="0" collapsed="false">
      <c r="A228" s="12"/>
      <c r="B228" s="34"/>
      <c r="C228" s="12"/>
      <c r="D228" s="12"/>
      <c r="E228" s="12"/>
      <c r="F228" s="12"/>
      <c r="G228" s="18"/>
      <c r="H228" s="35"/>
      <c r="I228" s="12"/>
      <c r="M228" s="12"/>
      <c r="N228" s="18"/>
      <c r="O228" s="12"/>
      <c r="P228" s="12"/>
      <c r="Q228" s="12"/>
      <c r="R228" s="36"/>
      <c r="S228" s="36"/>
      <c r="T228" s="12"/>
      <c r="U228" s="12"/>
      <c r="V228" s="12"/>
      <c r="W228" s="12"/>
      <c r="X228" s="12"/>
    </row>
    <row r="229" customFormat="false" ht="15.75" hidden="false" customHeight="false" outlineLevel="0" collapsed="false">
      <c r="A229" s="12"/>
      <c r="B229" s="34"/>
      <c r="C229" s="12"/>
      <c r="D229" s="12"/>
      <c r="E229" s="12"/>
      <c r="F229" s="12"/>
      <c r="G229" s="18"/>
      <c r="H229" s="35"/>
      <c r="I229" s="12"/>
      <c r="M229" s="12"/>
      <c r="N229" s="18"/>
      <c r="O229" s="12"/>
      <c r="P229" s="12"/>
      <c r="Q229" s="12"/>
      <c r="R229" s="36"/>
      <c r="S229" s="36"/>
      <c r="T229" s="12"/>
      <c r="U229" s="12"/>
      <c r="V229" s="12"/>
      <c r="W229" s="12"/>
      <c r="X229" s="12"/>
    </row>
    <row r="230" customFormat="false" ht="15.75" hidden="false" customHeight="false" outlineLevel="0" collapsed="false">
      <c r="A230" s="12"/>
      <c r="B230" s="34"/>
      <c r="C230" s="12"/>
      <c r="D230" s="12"/>
      <c r="E230" s="12"/>
      <c r="F230" s="12"/>
      <c r="G230" s="18"/>
      <c r="H230" s="35"/>
      <c r="I230" s="12"/>
      <c r="M230" s="12"/>
      <c r="N230" s="18"/>
      <c r="O230" s="12"/>
      <c r="P230" s="12"/>
      <c r="Q230" s="12"/>
      <c r="R230" s="36"/>
      <c r="S230" s="36"/>
      <c r="T230" s="12"/>
      <c r="U230" s="12"/>
      <c r="V230" s="12"/>
      <c r="W230" s="12"/>
      <c r="X230" s="12"/>
    </row>
    <row r="231" customFormat="false" ht="15.75" hidden="false" customHeight="false" outlineLevel="0" collapsed="false">
      <c r="A231" s="12"/>
      <c r="B231" s="34"/>
      <c r="C231" s="12"/>
      <c r="D231" s="12"/>
      <c r="E231" s="12"/>
      <c r="F231" s="12"/>
      <c r="G231" s="18"/>
      <c r="H231" s="35"/>
      <c r="I231" s="12"/>
      <c r="M231" s="12"/>
      <c r="N231" s="18"/>
      <c r="O231" s="12"/>
      <c r="P231" s="12"/>
      <c r="Q231" s="12"/>
      <c r="R231" s="36"/>
      <c r="S231" s="36"/>
      <c r="T231" s="12"/>
      <c r="U231" s="12"/>
      <c r="V231" s="12"/>
      <c r="W231" s="12"/>
      <c r="X231" s="12"/>
    </row>
    <row r="232" customFormat="false" ht="15.75" hidden="false" customHeight="false" outlineLevel="0" collapsed="false">
      <c r="A232" s="12"/>
      <c r="B232" s="34"/>
      <c r="C232" s="12"/>
      <c r="D232" s="12"/>
      <c r="E232" s="12"/>
      <c r="F232" s="12"/>
      <c r="G232" s="18"/>
      <c r="H232" s="35"/>
      <c r="I232" s="12"/>
      <c r="M232" s="12"/>
      <c r="N232" s="18"/>
      <c r="O232" s="12"/>
      <c r="P232" s="12"/>
      <c r="Q232" s="12"/>
      <c r="R232" s="36"/>
      <c r="S232" s="36"/>
      <c r="T232" s="12"/>
      <c r="U232" s="12"/>
      <c r="V232" s="12"/>
      <c r="W232" s="12"/>
      <c r="X232" s="12"/>
    </row>
    <row r="233" customFormat="false" ht="15.75" hidden="false" customHeight="false" outlineLevel="0" collapsed="false">
      <c r="A233" s="12"/>
      <c r="B233" s="34"/>
      <c r="C233" s="12"/>
      <c r="D233" s="12"/>
      <c r="E233" s="12"/>
      <c r="F233" s="12"/>
      <c r="G233" s="18"/>
      <c r="H233" s="35"/>
      <c r="I233" s="12"/>
      <c r="M233" s="12"/>
      <c r="N233" s="18"/>
      <c r="O233" s="12"/>
      <c r="P233" s="12"/>
      <c r="Q233" s="12"/>
      <c r="R233" s="36"/>
      <c r="S233" s="36"/>
      <c r="T233" s="12"/>
      <c r="U233" s="12"/>
      <c r="V233" s="12"/>
      <c r="W233" s="12"/>
      <c r="X233" s="12"/>
    </row>
    <row r="234" customFormat="false" ht="15.75" hidden="false" customHeight="false" outlineLevel="0" collapsed="false">
      <c r="A234" s="12"/>
      <c r="B234" s="34"/>
      <c r="C234" s="12"/>
      <c r="D234" s="12"/>
      <c r="E234" s="12"/>
      <c r="F234" s="12"/>
      <c r="G234" s="18"/>
      <c r="H234" s="35"/>
      <c r="I234" s="12"/>
      <c r="M234" s="12"/>
      <c r="N234" s="18"/>
      <c r="O234" s="12"/>
      <c r="P234" s="12"/>
      <c r="Q234" s="12"/>
      <c r="R234" s="36"/>
      <c r="S234" s="36"/>
      <c r="T234" s="12"/>
      <c r="U234" s="12"/>
      <c r="V234" s="12"/>
      <c r="W234" s="12"/>
      <c r="X234" s="12"/>
    </row>
    <row r="235" customFormat="false" ht="15.75" hidden="false" customHeight="false" outlineLevel="0" collapsed="false">
      <c r="A235" s="12"/>
      <c r="B235" s="34"/>
      <c r="C235" s="12"/>
      <c r="D235" s="12"/>
      <c r="E235" s="12"/>
      <c r="F235" s="12"/>
      <c r="G235" s="18"/>
      <c r="H235" s="35"/>
      <c r="I235" s="12"/>
      <c r="M235" s="12"/>
      <c r="N235" s="18"/>
      <c r="O235" s="12"/>
      <c r="P235" s="12"/>
      <c r="Q235" s="12"/>
      <c r="R235" s="36"/>
      <c r="S235" s="36"/>
      <c r="T235" s="12"/>
      <c r="U235" s="12"/>
      <c r="V235" s="12"/>
      <c r="W235" s="12"/>
      <c r="X235" s="12"/>
    </row>
    <row r="236" customFormat="false" ht="15.75" hidden="false" customHeight="false" outlineLevel="0" collapsed="false">
      <c r="A236" s="12"/>
      <c r="B236" s="34"/>
      <c r="C236" s="12"/>
      <c r="D236" s="12"/>
      <c r="E236" s="12"/>
      <c r="F236" s="12"/>
      <c r="G236" s="18"/>
      <c r="H236" s="35"/>
      <c r="I236" s="12"/>
      <c r="M236" s="12"/>
      <c r="N236" s="18"/>
      <c r="O236" s="12"/>
      <c r="P236" s="12"/>
      <c r="Q236" s="12"/>
      <c r="R236" s="36"/>
      <c r="S236" s="36"/>
      <c r="T236" s="12"/>
      <c r="U236" s="12"/>
      <c r="V236" s="12"/>
      <c r="W236" s="12"/>
      <c r="X236" s="12"/>
    </row>
    <row r="237" customFormat="false" ht="15.75" hidden="false" customHeight="false" outlineLevel="0" collapsed="false">
      <c r="A237" s="12"/>
      <c r="B237" s="34"/>
      <c r="C237" s="12"/>
      <c r="D237" s="12"/>
      <c r="E237" s="12"/>
      <c r="F237" s="12"/>
      <c r="G237" s="18"/>
      <c r="H237" s="35"/>
      <c r="I237" s="12"/>
      <c r="M237" s="12"/>
      <c r="N237" s="18"/>
      <c r="O237" s="12"/>
      <c r="P237" s="12"/>
      <c r="Q237" s="12"/>
      <c r="R237" s="36"/>
      <c r="S237" s="36"/>
      <c r="T237" s="12"/>
      <c r="U237" s="12"/>
      <c r="V237" s="12"/>
      <c r="W237" s="12"/>
      <c r="X237" s="12"/>
    </row>
    <row r="238" customFormat="false" ht="15.75" hidden="false" customHeight="false" outlineLevel="0" collapsed="false">
      <c r="A238" s="12"/>
      <c r="B238" s="34"/>
      <c r="C238" s="12"/>
      <c r="D238" s="12"/>
      <c r="E238" s="12"/>
      <c r="F238" s="12"/>
      <c r="G238" s="18"/>
      <c r="H238" s="35"/>
      <c r="I238" s="12"/>
      <c r="M238" s="12"/>
      <c r="N238" s="18"/>
      <c r="O238" s="12"/>
      <c r="P238" s="12"/>
      <c r="Q238" s="12"/>
      <c r="R238" s="36"/>
      <c r="S238" s="36"/>
      <c r="T238" s="12"/>
      <c r="U238" s="12"/>
      <c r="V238" s="12"/>
      <c r="W238" s="12"/>
      <c r="X238" s="12"/>
    </row>
    <row r="239" customFormat="false" ht="15.75" hidden="false" customHeight="false" outlineLevel="0" collapsed="false">
      <c r="A239" s="12"/>
      <c r="B239" s="34"/>
      <c r="C239" s="12"/>
      <c r="D239" s="12"/>
      <c r="E239" s="12"/>
      <c r="F239" s="12"/>
      <c r="G239" s="18"/>
      <c r="H239" s="35"/>
      <c r="I239" s="12"/>
      <c r="M239" s="12"/>
      <c r="N239" s="18"/>
      <c r="O239" s="12"/>
      <c r="P239" s="12"/>
      <c r="Q239" s="12"/>
      <c r="R239" s="36"/>
      <c r="S239" s="36"/>
      <c r="T239" s="12"/>
      <c r="U239" s="12"/>
      <c r="V239" s="12"/>
      <c r="W239" s="12"/>
      <c r="X239" s="12"/>
    </row>
    <row r="240" customFormat="false" ht="15.75" hidden="false" customHeight="false" outlineLevel="0" collapsed="false">
      <c r="A240" s="12"/>
      <c r="B240" s="34"/>
      <c r="C240" s="12"/>
      <c r="D240" s="12"/>
      <c r="E240" s="12"/>
      <c r="F240" s="12"/>
      <c r="G240" s="18"/>
      <c r="H240" s="35"/>
      <c r="I240" s="12"/>
      <c r="M240" s="12"/>
      <c r="N240" s="18"/>
      <c r="O240" s="12"/>
      <c r="P240" s="12"/>
      <c r="Q240" s="12"/>
      <c r="R240" s="36"/>
      <c r="S240" s="36"/>
      <c r="T240" s="12"/>
      <c r="U240" s="12"/>
      <c r="V240" s="12"/>
      <c r="W240" s="12"/>
      <c r="X240" s="12"/>
    </row>
    <row r="241" customFormat="false" ht="15.75" hidden="false" customHeight="false" outlineLevel="0" collapsed="false">
      <c r="A241" s="12"/>
      <c r="B241" s="34"/>
      <c r="C241" s="12"/>
      <c r="D241" s="12"/>
      <c r="E241" s="12"/>
      <c r="F241" s="12"/>
      <c r="G241" s="18"/>
      <c r="H241" s="35"/>
      <c r="I241" s="12"/>
      <c r="M241" s="12"/>
      <c r="N241" s="18"/>
      <c r="O241" s="12"/>
      <c r="P241" s="12"/>
      <c r="Q241" s="12"/>
      <c r="R241" s="36"/>
      <c r="S241" s="36"/>
      <c r="T241" s="12"/>
      <c r="U241" s="12"/>
      <c r="V241" s="12"/>
      <c r="W241" s="12"/>
      <c r="X241" s="12"/>
    </row>
    <row r="242" customFormat="false" ht="15.75" hidden="false" customHeight="false" outlineLevel="0" collapsed="false">
      <c r="A242" s="12"/>
      <c r="B242" s="34"/>
      <c r="C242" s="12"/>
      <c r="D242" s="12"/>
      <c r="E242" s="12"/>
      <c r="F242" s="12"/>
      <c r="G242" s="18"/>
      <c r="H242" s="35"/>
      <c r="I242" s="12"/>
      <c r="M242" s="12"/>
      <c r="N242" s="18"/>
      <c r="O242" s="12"/>
      <c r="P242" s="12"/>
      <c r="Q242" s="12"/>
      <c r="R242" s="36"/>
      <c r="S242" s="36"/>
      <c r="T242" s="12"/>
      <c r="U242" s="12"/>
      <c r="V242" s="12"/>
      <c r="W242" s="12"/>
      <c r="X242" s="12"/>
    </row>
    <row r="243" customFormat="false" ht="15.75" hidden="false" customHeight="false" outlineLevel="0" collapsed="false">
      <c r="A243" s="12"/>
      <c r="B243" s="34"/>
      <c r="C243" s="12"/>
      <c r="D243" s="12"/>
      <c r="E243" s="12"/>
      <c r="F243" s="12"/>
      <c r="G243" s="18"/>
      <c r="H243" s="35"/>
      <c r="I243" s="12"/>
      <c r="M243" s="12"/>
      <c r="N243" s="18"/>
      <c r="O243" s="12"/>
      <c r="P243" s="12"/>
      <c r="Q243" s="12"/>
      <c r="R243" s="36"/>
      <c r="S243" s="36"/>
      <c r="T243" s="12"/>
      <c r="U243" s="12"/>
      <c r="V243" s="12"/>
      <c r="W243" s="12"/>
      <c r="X243" s="12"/>
    </row>
    <row r="244" customFormat="false" ht="15.75" hidden="false" customHeight="false" outlineLevel="0" collapsed="false">
      <c r="A244" s="12"/>
      <c r="B244" s="34"/>
      <c r="C244" s="12"/>
      <c r="D244" s="12"/>
      <c r="E244" s="12"/>
      <c r="F244" s="12"/>
      <c r="G244" s="18"/>
      <c r="H244" s="35"/>
      <c r="I244" s="12"/>
      <c r="M244" s="12"/>
      <c r="N244" s="18"/>
      <c r="O244" s="12"/>
      <c r="P244" s="12"/>
      <c r="Q244" s="12"/>
      <c r="R244" s="36"/>
      <c r="S244" s="36"/>
      <c r="T244" s="12"/>
      <c r="U244" s="12"/>
      <c r="V244" s="12"/>
      <c r="W244" s="12"/>
      <c r="X244" s="12"/>
    </row>
    <row r="245" customFormat="false" ht="15.75" hidden="false" customHeight="false" outlineLevel="0" collapsed="false">
      <c r="A245" s="12"/>
      <c r="B245" s="34"/>
      <c r="C245" s="12"/>
      <c r="D245" s="12"/>
      <c r="E245" s="12"/>
      <c r="F245" s="12"/>
      <c r="G245" s="18"/>
      <c r="H245" s="35"/>
      <c r="I245" s="12"/>
      <c r="M245" s="12"/>
      <c r="N245" s="18"/>
      <c r="O245" s="12"/>
      <c r="P245" s="12"/>
      <c r="Q245" s="12"/>
      <c r="R245" s="36"/>
      <c r="S245" s="36"/>
      <c r="T245" s="12"/>
      <c r="U245" s="12"/>
      <c r="V245" s="12"/>
      <c r="W245" s="12"/>
      <c r="X245" s="12"/>
    </row>
    <row r="246" customFormat="false" ht="15.75" hidden="false" customHeight="false" outlineLevel="0" collapsed="false">
      <c r="A246" s="12"/>
      <c r="B246" s="34"/>
      <c r="C246" s="12"/>
      <c r="D246" s="12"/>
      <c r="E246" s="12"/>
      <c r="F246" s="12"/>
      <c r="G246" s="18"/>
      <c r="H246" s="35"/>
      <c r="I246" s="12"/>
      <c r="M246" s="12"/>
      <c r="N246" s="18"/>
      <c r="O246" s="12"/>
      <c r="P246" s="12"/>
      <c r="Q246" s="12"/>
      <c r="R246" s="36"/>
      <c r="S246" s="36"/>
      <c r="T246" s="12"/>
      <c r="U246" s="12"/>
      <c r="V246" s="12"/>
      <c r="W246" s="12"/>
      <c r="X246" s="12"/>
    </row>
    <row r="247" customFormat="false" ht="15.75" hidden="false" customHeight="false" outlineLevel="0" collapsed="false">
      <c r="A247" s="12"/>
      <c r="B247" s="34"/>
      <c r="C247" s="12"/>
      <c r="D247" s="12"/>
      <c r="E247" s="12"/>
      <c r="F247" s="12"/>
      <c r="G247" s="18"/>
      <c r="H247" s="35"/>
      <c r="I247" s="12"/>
      <c r="M247" s="12"/>
      <c r="N247" s="18"/>
      <c r="O247" s="12"/>
      <c r="P247" s="12"/>
      <c r="Q247" s="12"/>
      <c r="R247" s="36"/>
      <c r="S247" s="36"/>
      <c r="T247" s="12"/>
      <c r="U247" s="12"/>
      <c r="V247" s="12"/>
      <c r="W247" s="12"/>
      <c r="X247" s="12"/>
    </row>
    <row r="248" customFormat="false" ht="15.75" hidden="false" customHeight="false" outlineLevel="0" collapsed="false">
      <c r="A248" s="12"/>
      <c r="B248" s="34"/>
      <c r="C248" s="12"/>
      <c r="D248" s="12"/>
      <c r="E248" s="12"/>
      <c r="F248" s="12"/>
      <c r="G248" s="18"/>
      <c r="H248" s="35"/>
      <c r="I248" s="12"/>
      <c r="M248" s="12"/>
      <c r="N248" s="18"/>
      <c r="O248" s="12"/>
      <c r="P248" s="12"/>
      <c r="Q248" s="12"/>
      <c r="R248" s="36"/>
      <c r="S248" s="36"/>
      <c r="T248" s="12"/>
      <c r="U248" s="12"/>
      <c r="V248" s="12"/>
      <c r="W248" s="12"/>
      <c r="X248" s="12"/>
    </row>
    <row r="249" customFormat="false" ht="15.75" hidden="false" customHeight="false" outlineLevel="0" collapsed="false">
      <c r="A249" s="12"/>
      <c r="B249" s="34"/>
      <c r="C249" s="12"/>
      <c r="D249" s="12"/>
      <c r="E249" s="12"/>
      <c r="F249" s="12"/>
      <c r="G249" s="18"/>
      <c r="H249" s="35"/>
      <c r="I249" s="12"/>
      <c r="M249" s="12"/>
      <c r="N249" s="18"/>
      <c r="O249" s="12"/>
      <c r="P249" s="12"/>
      <c r="Q249" s="12"/>
      <c r="R249" s="36"/>
      <c r="S249" s="36"/>
      <c r="T249" s="12"/>
      <c r="U249" s="12"/>
      <c r="V249" s="12"/>
      <c r="W249" s="12"/>
      <c r="X249" s="12"/>
    </row>
    <row r="250" customFormat="false" ht="15.75" hidden="false" customHeight="false" outlineLevel="0" collapsed="false">
      <c r="A250" s="12"/>
      <c r="B250" s="34"/>
      <c r="C250" s="12"/>
      <c r="D250" s="12"/>
      <c r="E250" s="12"/>
      <c r="F250" s="12"/>
      <c r="G250" s="18"/>
      <c r="H250" s="35"/>
      <c r="I250" s="12"/>
      <c r="M250" s="12"/>
      <c r="N250" s="18"/>
      <c r="O250" s="12"/>
      <c r="P250" s="12"/>
      <c r="Q250" s="12"/>
      <c r="R250" s="36"/>
      <c r="S250" s="36"/>
      <c r="T250" s="12"/>
      <c r="U250" s="12"/>
      <c r="V250" s="12"/>
      <c r="W250" s="12"/>
      <c r="X250" s="12"/>
    </row>
    <row r="251" customFormat="false" ht="15.75" hidden="false" customHeight="false" outlineLevel="0" collapsed="false">
      <c r="A251" s="12"/>
      <c r="B251" s="34"/>
      <c r="C251" s="12"/>
      <c r="D251" s="12"/>
      <c r="E251" s="12"/>
      <c r="F251" s="12"/>
      <c r="G251" s="18"/>
      <c r="H251" s="35"/>
      <c r="I251" s="12"/>
      <c r="M251" s="12"/>
      <c r="N251" s="18"/>
      <c r="O251" s="12"/>
      <c r="P251" s="12"/>
      <c r="Q251" s="12"/>
      <c r="R251" s="36"/>
      <c r="S251" s="36"/>
      <c r="T251" s="12"/>
      <c r="U251" s="12"/>
      <c r="V251" s="12"/>
      <c r="W251" s="12"/>
      <c r="X251" s="12"/>
    </row>
    <row r="252" customFormat="false" ht="15.75" hidden="false" customHeight="false" outlineLevel="0" collapsed="false">
      <c r="A252" s="12"/>
      <c r="B252" s="34"/>
      <c r="C252" s="12"/>
      <c r="D252" s="12"/>
      <c r="E252" s="12"/>
      <c r="F252" s="12"/>
      <c r="G252" s="18"/>
      <c r="H252" s="35"/>
      <c r="I252" s="12"/>
      <c r="M252" s="12"/>
      <c r="N252" s="18"/>
      <c r="O252" s="12"/>
      <c r="P252" s="12"/>
      <c r="Q252" s="12"/>
      <c r="R252" s="36"/>
      <c r="S252" s="36"/>
      <c r="T252" s="12"/>
      <c r="U252" s="12"/>
      <c r="V252" s="12"/>
      <c r="W252" s="12"/>
      <c r="X252" s="12"/>
    </row>
    <row r="253" customFormat="false" ht="15.75" hidden="false" customHeight="false" outlineLevel="0" collapsed="false">
      <c r="A253" s="12"/>
      <c r="B253" s="34"/>
      <c r="C253" s="12"/>
      <c r="D253" s="12"/>
      <c r="E253" s="12"/>
      <c r="F253" s="12"/>
      <c r="G253" s="18"/>
      <c r="H253" s="35"/>
      <c r="I253" s="12"/>
      <c r="M253" s="12"/>
      <c r="N253" s="18"/>
      <c r="O253" s="12"/>
      <c r="P253" s="12"/>
      <c r="Q253" s="12"/>
      <c r="R253" s="36"/>
      <c r="S253" s="36"/>
      <c r="T253" s="12"/>
      <c r="U253" s="12"/>
      <c r="V253" s="12"/>
      <c r="W253" s="12"/>
      <c r="X253" s="12"/>
    </row>
    <row r="254" customFormat="false" ht="15.75" hidden="false" customHeight="false" outlineLevel="0" collapsed="false">
      <c r="A254" s="12"/>
      <c r="B254" s="34"/>
      <c r="C254" s="12"/>
      <c r="D254" s="12"/>
      <c r="E254" s="12"/>
      <c r="F254" s="12"/>
      <c r="G254" s="18"/>
      <c r="H254" s="35"/>
      <c r="I254" s="12"/>
      <c r="M254" s="12"/>
      <c r="N254" s="18"/>
      <c r="O254" s="12"/>
      <c r="P254" s="12"/>
      <c r="Q254" s="12"/>
      <c r="R254" s="36"/>
      <c r="S254" s="36"/>
      <c r="T254" s="12"/>
      <c r="U254" s="12"/>
      <c r="V254" s="12"/>
      <c r="W254" s="12"/>
      <c r="X254" s="12"/>
    </row>
    <row r="255" customFormat="false" ht="15.75" hidden="false" customHeight="false" outlineLevel="0" collapsed="false">
      <c r="A255" s="12"/>
      <c r="B255" s="34"/>
      <c r="C255" s="12"/>
      <c r="D255" s="12"/>
      <c r="E255" s="12"/>
      <c r="F255" s="12"/>
      <c r="G255" s="18"/>
      <c r="H255" s="35"/>
      <c r="I255" s="12"/>
      <c r="M255" s="12"/>
      <c r="N255" s="18"/>
      <c r="O255" s="12"/>
      <c r="P255" s="12"/>
      <c r="Q255" s="12"/>
      <c r="R255" s="36"/>
      <c r="S255" s="36"/>
      <c r="T255" s="12"/>
      <c r="U255" s="12"/>
      <c r="V255" s="12"/>
      <c r="W255" s="12"/>
      <c r="X255" s="12"/>
    </row>
    <row r="256" customFormat="false" ht="15.75" hidden="false" customHeight="false" outlineLevel="0" collapsed="false">
      <c r="A256" s="12"/>
      <c r="B256" s="34"/>
      <c r="C256" s="12"/>
      <c r="D256" s="12"/>
      <c r="E256" s="12"/>
      <c r="F256" s="12"/>
      <c r="G256" s="18"/>
      <c r="H256" s="35"/>
      <c r="I256" s="12"/>
      <c r="M256" s="12"/>
      <c r="N256" s="18"/>
      <c r="O256" s="12"/>
      <c r="P256" s="12"/>
      <c r="Q256" s="12"/>
      <c r="R256" s="36"/>
      <c r="S256" s="36"/>
      <c r="T256" s="12"/>
      <c r="U256" s="12"/>
      <c r="V256" s="12"/>
      <c r="W256" s="12"/>
      <c r="X256" s="12"/>
    </row>
    <row r="257" customFormat="false" ht="15.75" hidden="false" customHeight="false" outlineLevel="0" collapsed="false">
      <c r="A257" s="12"/>
      <c r="B257" s="34"/>
      <c r="C257" s="12"/>
      <c r="D257" s="12"/>
      <c r="E257" s="12"/>
      <c r="F257" s="12"/>
      <c r="G257" s="18"/>
      <c r="H257" s="35"/>
      <c r="I257" s="12"/>
      <c r="M257" s="12"/>
      <c r="N257" s="18"/>
      <c r="O257" s="12"/>
      <c r="P257" s="12"/>
      <c r="Q257" s="12"/>
      <c r="R257" s="36"/>
      <c r="S257" s="36"/>
      <c r="T257" s="12"/>
      <c r="U257" s="12"/>
      <c r="V257" s="12"/>
      <c r="W257" s="12"/>
      <c r="X257" s="12"/>
    </row>
    <row r="258" customFormat="false" ht="15.75" hidden="false" customHeight="false" outlineLevel="0" collapsed="false">
      <c r="A258" s="12"/>
      <c r="B258" s="34"/>
      <c r="C258" s="12"/>
      <c r="D258" s="12"/>
      <c r="E258" s="12"/>
      <c r="F258" s="12"/>
      <c r="G258" s="18"/>
      <c r="H258" s="35"/>
      <c r="I258" s="12"/>
      <c r="M258" s="12"/>
      <c r="N258" s="18"/>
      <c r="O258" s="12"/>
      <c r="P258" s="12"/>
      <c r="Q258" s="12"/>
      <c r="R258" s="36"/>
      <c r="S258" s="36"/>
      <c r="T258" s="12"/>
      <c r="U258" s="12"/>
      <c r="V258" s="12"/>
      <c r="W258" s="12"/>
      <c r="X258" s="12"/>
    </row>
    <row r="259" customFormat="false" ht="15.75" hidden="false" customHeight="false" outlineLevel="0" collapsed="false">
      <c r="A259" s="12"/>
      <c r="B259" s="34"/>
      <c r="C259" s="12"/>
      <c r="D259" s="12"/>
      <c r="E259" s="12"/>
      <c r="F259" s="12"/>
      <c r="G259" s="18"/>
      <c r="H259" s="35"/>
      <c r="I259" s="12"/>
      <c r="M259" s="12"/>
      <c r="N259" s="18"/>
      <c r="O259" s="12"/>
      <c r="P259" s="12"/>
      <c r="Q259" s="12"/>
      <c r="R259" s="36"/>
      <c r="S259" s="36"/>
      <c r="T259" s="12"/>
      <c r="U259" s="12"/>
      <c r="V259" s="12"/>
      <c r="W259" s="12"/>
      <c r="X259" s="12"/>
    </row>
    <row r="260" customFormat="false" ht="15.75" hidden="false" customHeight="false" outlineLevel="0" collapsed="false">
      <c r="A260" s="12"/>
      <c r="B260" s="34"/>
      <c r="C260" s="12"/>
      <c r="D260" s="12"/>
      <c r="E260" s="12"/>
      <c r="F260" s="12"/>
      <c r="G260" s="18"/>
      <c r="H260" s="35"/>
      <c r="I260" s="12"/>
      <c r="M260" s="12"/>
      <c r="N260" s="18"/>
      <c r="O260" s="12"/>
      <c r="P260" s="12"/>
      <c r="Q260" s="12"/>
      <c r="R260" s="36"/>
      <c r="S260" s="36"/>
      <c r="T260" s="12"/>
      <c r="U260" s="12"/>
      <c r="V260" s="12"/>
      <c r="W260" s="12"/>
      <c r="X260" s="12"/>
    </row>
    <row r="261" customFormat="false" ht="15.75" hidden="false" customHeight="false" outlineLevel="0" collapsed="false">
      <c r="A261" s="12"/>
      <c r="B261" s="34"/>
      <c r="C261" s="12"/>
      <c r="D261" s="12"/>
      <c r="E261" s="12"/>
      <c r="F261" s="12"/>
      <c r="G261" s="18"/>
      <c r="H261" s="35"/>
      <c r="I261" s="12"/>
      <c r="M261" s="12"/>
      <c r="N261" s="18"/>
      <c r="O261" s="12"/>
      <c r="P261" s="12"/>
      <c r="Q261" s="12"/>
      <c r="R261" s="36"/>
      <c r="S261" s="36"/>
      <c r="T261" s="12"/>
      <c r="U261" s="12"/>
      <c r="V261" s="12"/>
      <c r="W261" s="12"/>
      <c r="X261" s="12"/>
    </row>
    <row r="262" customFormat="false" ht="15.75" hidden="false" customHeight="false" outlineLevel="0" collapsed="false">
      <c r="A262" s="12"/>
      <c r="B262" s="34"/>
      <c r="C262" s="12"/>
      <c r="D262" s="12"/>
      <c r="E262" s="12"/>
      <c r="F262" s="12"/>
      <c r="G262" s="18"/>
      <c r="H262" s="35"/>
      <c r="I262" s="12"/>
      <c r="M262" s="12"/>
      <c r="N262" s="18"/>
      <c r="O262" s="12"/>
      <c r="P262" s="12"/>
      <c r="Q262" s="12"/>
      <c r="R262" s="36"/>
      <c r="S262" s="36"/>
      <c r="T262" s="12"/>
      <c r="U262" s="12"/>
      <c r="V262" s="12"/>
      <c r="W262" s="12"/>
      <c r="X262" s="12"/>
    </row>
    <row r="263" customFormat="false" ht="15.75" hidden="false" customHeight="false" outlineLevel="0" collapsed="false">
      <c r="A263" s="12"/>
      <c r="B263" s="34"/>
      <c r="C263" s="12"/>
      <c r="D263" s="12"/>
      <c r="E263" s="12"/>
      <c r="F263" s="12"/>
      <c r="G263" s="18"/>
      <c r="H263" s="35"/>
      <c r="I263" s="12"/>
      <c r="M263" s="12"/>
      <c r="N263" s="18"/>
      <c r="O263" s="12"/>
      <c r="P263" s="12"/>
      <c r="Q263" s="12"/>
      <c r="R263" s="36"/>
      <c r="S263" s="36"/>
      <c r="T263" s="12"/>
      <c r="U263" s="12"/>
      <c r="V263" s="12"/>
      <c r="W263" s="12"/>
      <c r="X263" s="12"/>
    </row>
    <row r="264" customFormat="false" ht="15.75" hidden="false" customHeight="false" outlineLevel="0" collapsed="false">
      <c r="A264" s="12"/>
      <c r="B264" s="34"/>
      <c r="C264" s="12"/>
      <c r="D264" s="12"/>
      <c r="E264" s="12"/>
      <c r="F264" s="12"/>
      <c r="G264" s="18"/>
      <c r="H264" s="35"/>
      <c r="I264" s="12"/>
      <c r="M264" s="12"/>
      <c r="N264" s="18"/>
      <c r="O264" s="12"/>
      <c r="P264" s="12"/>
      <c r="Q264" s="12"/>
      <c r="R264" s="36"/>
      <c r="S264" s="36"/>
      <c r="T264" s="12"/>
      <c r="U264" s="12"/>
      <c r="V264" s="12"/>
      <c r="W264" s="12"/>
      <c r="X264" s="12"/>
    </row>
    <row r="265" customFormat="false" ht="15.75" hidden="false" customHeight="false" outlineLevel="0" collapsed="false">
      <c r="A265" s="12"/>
      <c r="B265" s="34"/>
      <c r="C265" s="12"/>
      <c r="D265" s="12"/>
      <c r="E265" s="12"/>
      <c r="F265" s="12"/>
      <c r="G265" s="18"/>
      <c r="H265" s="35"/>
      <c r="I265" s="12"/>
      <c r="M265" s="12"/>
      <c r="N265" s="18"/>
      <c r="O265" s="12"/>
      <c r="P265" s="12"/>
      <c r="Q265" s="12"/>
      <c r="R265" s="36"/>
      <c r="S265" s="36"/>
      <c r="T265" s="12"/>
      <c r="U265" s="12"/>
      <c r="V265" s="12"/>
      <c r="W265" s="12"/>
      <c r="X265" s="12"/>
    </row>
    <row r="266" customFormat="false" ht="15.75" hidden="false" customHeight="false" outlineLevel="0" collapsed="false">
      <c r="A266" s="12"/>
      <c r="B266" s="34"/>
      <c r="C266" s="12"/>
      <c r="D266" s="12"/>
      <c r="E266" s="12"/>
      <c r="F266" s="12"/>
      <c r="G266" s="18"/>
      <c r="H266" s="35"/>
      <c r="I266" s="12"/>
      <c r="M266" s="12"/>
      <c r="N266" s="18"/>
      <c r="O266" s="12"/>
      <c r="P266" s="12"/>
      <c r="Q266" s="12"/>
      <c r="R266" s="36"/>
      <c r="S266" s="36"/>
      <c r="T266" s="12"/>
      <c r="U266" s="12"/>
      <c r="V266" s="12"/>
      <c r="W266" s="12"/>
      <c r="X266" s="12"/>
    </row>
    <row r="267" customFormat="false" ht="15.75" hidden="false" customHeight="false" outlineLevel="0" collapsed="false">
      <c r="A267" s="12"/>
      <c r="B267" s="34"/>
      <c r="C267" s="12"/>
      <c r="D267" s="12"/>
      <c r="E267" s="12"/>
      <c r="F267" s="12"/>
      <c r="G267" s="18"/>
      <c r="H267" s="35"/>
      <c r="I267" s="12"/>
      <c r="M267" s="12"/>
      <c r="N267" s="18"/>
      <c r="O267" s="12"/>
      <c r="P267" s="12"/>
      <c r="Q267" s="12"/>
      <c r="R267" s="36"/>
      <c r="S267" s="36"/>
      <c r="T267" s="12"/>
      <c r="U267" s="12"/>
      <c r="V267" s="12"/>
      <c r="W267" s="12"/>
      <c r="X267" s="12"/>
    </row>
    <row r="268" customFormat="false" ht="15.75" hidden="false" customHeight="false" outlineLevel="0" collapsed="false">
      <c r="A268" s="12"/>
      <c r="B268" s="34"/>
      <c r="C268" s="12"/>
      <c r="D268" s="12"/>
      <c r="E268" s="12"/>
      <c r="F268" s="12"/>
      <c r="G268" s="18"/>
      <c r="H268" s="35"/>
      <c r="I268" s="12"/>
      <c r="M268" s="12"/>
      <c r="N268" s="18"/>
      <c r="O268" s="12"/>
      <c r="P268" s="12"/>
      <c r="Q268" s="12"/>
      <c r="R268" s="36"/>
      <c r="S268" s="36"/>
      <c r="T268" s="12"/>
      <c r="U268" s="12"/>
      <c r="V268" s="12"/>
      <c r="W268" s="12"/>
      <c r="X268" s="12"/>
    </row>
    <row r="269" customFormat="false" ht="15.75" hidden="false" customHeight="false" outlineLevel="0" collapsed="false">
      <c r="A269" s="12"/>
      <c r="B269" s="34"/>
      <c r="C269" s="12"/>
      <c r="D269" s="12"/>
      <c r="E269" s="12"/>
      <c r="F269" s="12"/>
      <c r="G269" s="18"/>
      <c r="H269" s="35"/>
      <c r="I269" s="12"/>
      <c r="M269" s="12"/>
      <c r="N269" s="18"/>
      <c r="O269" s="12"/>
      <c r="P269" s="12"/>
      <c r="Q269" s="12"/>
      <c r="R269" s="36"/>
      <c r="S269" s="36"/>
      <c r="T269" s="12"/>
      <c r="U269" s="12"/>
      <c r="V269" s="12"/>
      <c r="W269" s="12"/>
      <c r="X269" s="12"/>
    </row>
    <row r="270" customFormat="false" ht="15.75" hidden="false" customHeight="false" outlineLevel="0" collapsed="false">
      <c r="A270" s="12"/>
      <c r="B270" s="34"/>
      <c r="C270" s="12"/>
      <c r="D270" s="12"/>
      <c r="E270" s="12"/>
      <c r="F270" s="12"/>
      <c r="G270" s="18"/>
      <c r="H270" s="35"/>
      <c r="I270" s="12"/>
      <c r="M270" s="12"/>
      <c r="N270" s="18"/>
      <c r="O270" s="12"/>
      <c r="P270" s="12"/>
      <c r="Q270" s="12"/>
      <c r="R270" s="36"/>
      <c r="S270" s="36"/>
      <c r="T270" s="12"/>
      <c r="U270" s="12"/>
      <c r="V270" s="12"/>
      <c r="W270" s="12"/>
      <c r="X270" s="12"/>
    </row>
    <row r="271" customFormat="false" ht="15.75" hidden="false" customHeight="false" outlineLevel="0" collapsed="false">
      <c r="A271" s="12"/>
      <c r="B271" s="34"/>
      <c r="C271" s="12"/>
      <c r="D271" s="12"/>
      <c r="E271" s="12"/>
      <c r="F271" s="12"/>
      <c r="G271" s="18"/>
      <c r="H271" s="35"/>
      <c r="I271" s="12"/>
      <c r="M271" s="12"/>
      <c r="N271" s="18"/>
      <c r="O271" s="12"/>
      <c r="P271" s="12"/>
      <c r="Q271" s="12"/>
      <c r="R271" s="36"/>
      <c r="S271" s="36"/>
      <c r="T271" s="12"/>
      <c r="U271" s="12"/>
      <c r="V271" s="12"/>
      <c r="W271" s="12"/>
      <c r="X271" s="12"/>
    </row>
    <row r="272" customFormat="false" ht="15.75" hidden="false" customHeight="false" outlineLevel="0" collapsed="false">
      <c r="A272" s="12"/>
      <c r="B272" s="34"/>
      <c r="C272" s="12"/>
      <c r="D272" s="12"/>
      <c r="E272" s="12"/>
      <c r="F272" s="12"/>
      <c r="G272" s="18"/>
      <c r="H272" s="35"/>
      <c r="I272" s="12"/>
      <c r="M272" s="12"/>
      <c r="N272" s="18"/>
      <c r="O272" s="12"/>
      <c r="P272" s="12"/>
      <c r="Q272" s="12"/>
      <c r="R272" s="36"/>
      <c r="S272" s="36"/>
      <c r="T272" s="12"/>
      <c r="U272" s="12"/>
      <c r="V272" s="12"/>
      <c r="W272" s="12"/>
      <c r="X272" s="12"/>
    </row>
    <row r="273" customFormat="false" ht="15.75" hidden="false" customHeight="false" outlineLevel="0" collapsed="false">
      <c r="A273" s="12"/>
      <c r="B273" s="34"/>
      <c r="C273" s="12"/>
      <c r="D273" s="12"/>
      <c r="E273" s="12"/>
      <c r="F273" s="12"/>
      <c r="G273" s="18"/>
      <c r="H273" s="35"/>
      <c r="I273" s="12"/>
      <c r="M273" s="12"/>
      <c r="N273" s="18"/>
      <c r="O273" s="12"/>
      <c r="P273" s="12"/>
      <c r="Q273" s="12"/>
      <c r="R273" s="36"/>
      <c r="S273" s="36"/>
      <c r="T273" s="12"/>
      <c r="U273" s="12"/>
      <c r="V273" s="12"/>
      <c r="W273" s="12"/>
      <c r="X273" s="12"/>
    </row>
    <row r="274" customFormat="false" ht="15.75" hidden="false" customHeight="false" outlineLevel="0" collapsed="false">
      <c r="A274" s="12"/>
      <c r="B274" s="34"/>
      <c r="C274" s="12"/>
      <c r="D274" s="12"/>
      <c r="E274" s="12"/>
      <c r="F274" s="12"/>
      <c r="G274" s="18"/>
      <c r="H274" s="35"/>
      <c r="I274" s="12"/>
      <c r="M274" s="12"/>
      <c r="N274" s="18"/>
      <c r="O274" s="12"/>
      <c r="P274" s="12"/>
      <c r="Q274" s="12"/>
      <c r="R274" s="36"/>
      <c r="S274" s="36"/>
      <c r="T274" s="12"/>
      <c r="U274" s="12"/>
      <c r="V274" s="12"/>
      <c r="W274" s="12"/>
      <c r="X274" s="12"/>
    </row>
    <row r="275" customFormat="false" ht="15.75" hidden="false" customHeight="false" outlineLevel="0" collapsed="false">
      <c r="A275" s="12"/>
      <c r="B275" s="34"/>
      <c r="C275" s="12"/>
      <c r="D275" s="12"/>
      <c r="E275" s="12"/>
      <c r="F275" s="12"/>
      <c r="G275" s="18"/>
      <c r="H275" s="35"/>
      <c r="I275" s="12"/>
      <c r="M275" s="12"/>
      <c r="N275" s="18"/>
      <c r="O275" s="12"/>
      <c r="P275" s="12"/>
      <c r="Q275" s="12"/>
      <c r="R275" s="36"/>
      <c r="S275" s="36"/>
      <c r="T275" s="12"/>
      <c r="U275" s="12"/>
      <c r="V275" s="12"/>
      <c r="W275" s="12"/>
      <c r="X275" s="12"/>
    </row>
    <row r="276" customFormat="false" ht="15.75" hidden="false" customHeight="false" outlineLevel="0" collapsed="false">
      <c r="A276" s="12"/>
      <c r="B276" s="34"/>
      <c r="C276" s="12"/>
      <c r="D276" s="12"/>
      <c r="E276" s="12"/>
      <c r="F276" s="12"/>
      <c r="G276" s="18"/>
      <c r="H276" s="35"/>
      <c r="I276" s="12"/>
      <c r="M276" s="12"/>
      <c r="N276" s="18"/>
      <c r="O276" s="12"/>
      <c r="P276" s="12"/>
      <c r="Q276" s="12"/>
      <c r="R276" s="36"/>
      <c r="S276" s="36"/>
      <c r="T276" s="12"/>
      <c r="U276" s="12"/>
      <c r="V276" s="12"/>
      <c r="W276" s="12"/>
      <c r="X276" s="12"/>
    </row>
    <row r="277" customFormat="false" ht="15.75" hidden="false" customHeight="false" outlineLevel="0" collapsed="false">
      <c r="A277" s="12"/>
      <c r="B277" s="34"/>
      <c r="C277" s="12"/>
      <c r="D277" s="12"/>
      <c r="E277" s="12"/>
      <c r="F277" s="12"/>
      <c r="G277" s="18"/>
      <c r="H277" s="35"/>
      <c r="I277" s="12"/>
      <c r="M277" s="12"/>
      <c r="N277" s="18"/>
      <c r="O277" s="12"/>
      <c r="P277" s="12"/>
      <c r="Q277" s="12"/>
      <c r="R277" s="36"/>
      <c r="S277" s="36"/>
      <c r="T277" s="12"/>
      <c r="U277" s="12"/>
      <c r="V277" s="12"/>
      <c r="W277" s="12"/>
      <c r="X277" s="12"/>
    </row>
    <row r="278" customFormat="false" ht="15.75" hidden="false" customHeight="false" outlineLevel="0" collapsed="false">
      <c r="A278" s="12"/>
      <c r="B278" s="34"/>
      <c r="C278" s="12"/>
      <c r="D278" s="12"/>
      <c r="E278" s="12"/>
      <c r="F278" s="12"/>
      <c r="G278" s="18"/>
      <c r="H278" s="35"/>
      <c r="I278" s="12"/>
      <c r="M278" s="12"/>
      <c r="N278" s="18"/>
      <c r="O278" s="12"/>
      <c r="P278" s="12"/>
      <c r="Q278" s="12"/>
      <c r="R278" s="36"/>
      <c r="S278" s="36"/>
      <c r="T278" s="12"/>
      <c r="U278" s="12"/>
      <c r="V278" s="12"/>
      <c r="W278" s="12"/>
      <c r="X278" s="12"/>
    </row>
    <row r="279" customFormat="false" ht="15.75" hidden="false" customHeight="false" outlineLevel="0" collapsed="false">
      <c r="A279" s="12"/>
      <c r="B279" s="34"/>
      <c r="C279" s="12"/>
      <c r="D279" s="12"/>
      <c r="E279" s="12"/>
      <c r="F279" s="12"/>
      <c r="G279" s="18"/>
      <c r="H279" s="35"/>
      <c r="I279" s="12"/>
      <c r="M279" s="12"/>
      <c r="N279" s="18"/>
      <c r="O279" s="12"/>
      <c r="P279" s="12"/>
      <c r="Q279" s="12"/>
      <c r="R279" s="36"/>
      <c r="S279" s="36"/>
      <c r="T279" s="12"/>
      <c r="U279" s="12"/>
      <c r="V279" s="12"/>
      <c r="W279" s="12"/>
      <c r="X279" s="12"/>
    </row>
    <row r="280" customFormat="false" ht="15.75" hidden="false" customHeight="false" outlineLevel="0" collapsed="false">
      <c r="A280" s="12"/>
      <c r="B280" s="34"/>
      <c r="C280" s="12"/>
      <c r="D280" s="12"/>
      <c r="E280" s="12"/>
      <c r="F280" s="12"/>
      <c r="G280" s="18"/>
      <c r="H280" s="35"/>
      <c r="I280" s="12"/>
      <c r="M280" s="12"/>
      <c r="N280" s="18"/>
      <c r="O280" s="12"/>
      <c r="P280" s="12"/>
      <c r="Q280" s="12"/>
      <c r="R280" s="36"/>
      <c r="S280" s="36"/>
      <c r="T280" s="12"/>
      <c r="U280" s="12"/>
      <c r="V280" s="12"/>
      <c r="W280" s="12"/>
      <c r="X280" s="12"/>
    </row>
    <row r="281" customFormat="false" ht="15.75" hidden="false" customHeight="false" outlineLevel="0" collapsed="false">
      <c r="A281" s="12"/>
      <c r="B281" s="34"/>
      <c r="C281" s="12"/>
      <c r="D281" s="12"/>
      <c r="E281" s="12"/>
      <c r="F281" s="12"/>
      <c r="G281" s="18"/>
      <c r="H281" s="35"/>
      <c r="I281" s="12"/>
      <c r="M281" s="12"/>
      <c r="N281" s="18"/>
      <c r="O281" s="12"/>
      <c r="P281" s="12"/>
      <c r="Q281" s="12"/>
      <c r="R281" s="36"/>
      <c r="S281" s="36"/>
      <c r="T281" s="12"/>
      <c r="U281" s="12"/>
      <c r="V281" s="12"/>
      <c r="W281" s="12"/>
      <c r="X281" s="12"/>
    </row>
    <row r="282" customFormat="false" ht="15.75" hidden="false" customHeight="false" outlineLevel="0" collapsed="false">
      <c r="A282" s="12"/>
      <c r="B282" s="34"/>
      <c r="C282" s="12"/>
      <c r="D282" s="12"/>
      <c r="E282" s="12"/>
      <c r="F282" s="12"/>
      <c r="G282" s="18"/>
      <c r="H282" s="35"/>
      <c r="I282" s="12"/>
      <c r="M282" s="12"/>
      <c r="N282" s="18"/>
      <c r="O282" s="12"/>
      <c r="P282" s="12"/>
      <c r="Q282" s="12"/>
      <c r="R282" s="36"/>
      <c r="S282" s="36"/>
      <c r="T282" s="12"/>
      <c r="U282" s="12"/>
      <c r="V282" s="12"/>
      <c r="W282" s="12"/>
      <c r="X282" s="12"/>
    </row>
    <row r="283" customFormat="false" ht="15.75" hidden="false" customHeight="false" outlineLevel="0" collapsed="false">
      <c r="A283" s="12"/>
      <c r="B283" s="34"/>
      <c r="C283" s="12"/>
      <c r="D283" s="12"/>
      <c r="E283" s="12"/>
      <c r="F283" s="12"/>
      <c r="G283" s="18"/>
      <c r="H283" s="35"/>
      <c r="I283" s="12"/>
      <c r="M283" s="12"/>
      <c r="N283" s="18"/>
      <c r="O283" s="12"/>
      <c r="P283" s="12"/>
      <c r="Q283" s="12"/>
      <c r="R283" s="36"/>
      <c r="S283" s="36"/>
      <c r="T283" s="12"/>
      <c r="U283" s="12"/>
      <c r="V283" s="12"/>
      <c r="W283" s="12"/>
      <c r="X283" s="12"/>
    </row>
    <row r="284" customFormat="false" ht="15.75" hidden="false" customHeight="false" outlineLevel="0" collapsed="false">
      <c r="A284" s="12"/>
      <c r="B284" s="34"/>
      <c r="C284" s="12"/>
      <c r="D284" s="12"/>
      <c r="E284" s="12"/>
      <c r="F284" s="12"/>
      <c r="G284" s="18"/>
      <c r="H284" s="35"/>
      <c r="I284" s="12"/>
      <c r="M284" s="12"/>
      <c r="N284" s="18"/>
      <c r="O284" s="12"/>
      <c r="P284" s="12"/>
      <c r="Q284" s="12"/>
      <c r="R284" s="36"/>
      <c r="S284" s="36"/>
      <c r="T284" s="12"/>
      <c r="U284" s="12"/>
      <c r="V284" s="12"/>
      <c r="W284" s="12"/>
      <c r="X284" s="12"/>
    </row>
    <row r="285" customFormat="false" ht="15.75" hidden="false" customHeight="false" outlineLevel="0" collapsed="false">
      <c r="A285" s="12"/>
      <c r="B285" s="34"/>
      <c r="C285" s="12"/>
      <c r="D285" s="12"/>
      <c r="E285" s="12"/>
      <c r="F285" s="12"/>
      <c r="G285" s="18"/>
      <c r="H285" s="35"/>
      <c r="I285" s="12"/>
      <c r="M285" s="12"/>
      <c r="N285" s="18"/>
      <c r="O285" s="12"/>
      <c r="P285" s="12"/>
      <c r="Q285" s="12"/>
      <c r="R285" s="36"/>
      <c r="S285" s="36"/>
      <c r="T285" s="12"/>
      <c r="U285" s="12"/>
      <c r="V285" s="12"/>
      <c r="W285" s="12"/>
      <c r="X285" s="12"/>
    </row>
    <row r="286" customFormat="false" ht="15.75" hidden="false" customHeight="false" outlineLevel="0" collapsed="false">
      <c r="A286" s="12"/>
      <c r="B286" s="34"/>
      <c r="C286" s="12"/>
      <c r="D286" s="12"/>
      <c r="E286" s="12"/>
      <c r="F286" s="12"/>
      <c r="G286" s="18"/>
      <c r="H286" s="35"/>
      <c r="I286" s="12"/>
      <c r="M286" s="12"/>
      <c r="N286" s="18"/>
      <c r="O286" s="12"/>
      <c r="P286" s="12"/>
      <c r="Q286" s="12"/>
      <c r="R286" s="36"/>
      <c r="S286" s="36"/>
      <c r="T286" s="12"/>
      <c r="U286" s="12"/>
      <c r="V286" s="12"/>
      <c r="W286" s="12"/>
      <c r="X286" s="12"/>
    </row>
    <row r="287" customFormat="false" ht="15.75" hidden="false" customHeight="false" outlineLevel="0" collapsed="false">
      <c r="A287" s="12"/>
      <c r="B287" s="34"/>
      <c r="C287" s="12"/>
      <c r="D287" s="12"/>
      <c r="E287" s="12"/>
      <c r="F287" s="12"/>
      <c r="G287" s="18"/>
      <c r="H287" s="35"/>
      <c r="I287" s="12"/>
      <c r="M287" s="12"/>
      <c r="N287" s="18"/>
      <c r="O287" s="12"/>
      <c r="P287" s="12"/>
      <c r="Q287" s="12"/>
      <c r="R287" s="36"/>
      <c r="S287" s="36"/>
      <c r="T287" s="12"/>
      <c r="U287" s="12"/>
      <c r="V287" s="12"/>
      <c r="W287" s="12"/>
      <c r="X287" s="12"/>
    </row>
    <row r="288" customFormat="false" ht="15.75" hidden="false" customHeight="false" outlineLevel="0" collapsed="false">
      <c r="A288" s="12"/>
      <c r="B288" s="34"/>
      <c r="C288" s="12"/>
      <c r="D288" s="12"/>
      <c r="E288" s="12"/>
      <c r="F288" s="12"/>
      <c r="G288" s="18"/>
      <c r="H288" s="35"/>
      <c r="I288" s="12"/>
      <c r="M288" s="12"/>
      <c r="N288" s="18"/>
      <c r="O288" s="12"/>
      <c r="P288" s="12"/>
      <c r="Q288" s="12"/>
      <c r="R288" s="36"/>
      <c r="S288" s="36"/>
      <c r="T288" s="12"/>
      <c r="U288" s="12"/>
      <c r="V288" s="12"/>
      <c r="W288" s="12"/>
      <c r="X288" s="12"/>
    </row>
    <row r="289" customFormat="false" ht="15.75" hidden="false" customHeight="false" outlineLevel="0" collapsed="false">
      <c r="A289" s="12"/>
      <c r="B289" s="34"/>
      <c r="C289" s="12"/>
      <c r="D289" s="12"/>
      <c r="E289" s="12"/>
      <c r="F289" s="12"/>
      <c r="G289" s="18"/>
      <c r="H289" s="35"/>
      <c r="I289" s="12"/>
      <c r="M289" s="12"/>
      <c r="N289" s="18"/>
      <c r="O289" s="12"/>
      <c r="P289" s="12"/>
      <c r="Q289" s="12"/>
      <c r="R289" s="36"/>
      <c r="S289" s="36"/>
      <c r="T289" s="12"/>
      <c r="U289" s="12"/>
      <c r="V289" s="12"/>
      <c r="W289" s="12"/>
      <c r="X289" s="12"/>
    </row>
    <row r="290" customFormat="false" ht="15.75" hidden="false" customHeight="false" outlineLevel="0" collapsed="false">
      <c r="A290" s="12"/>
      <c r="B290" s="34"/>
      <c r="C290" s="12"/>
      <c r="D290" s="12"/>
      <c r="E290" s="12"/>
      <c r="F290" s="12"/>
      <c r="G290" s="18"/>
      <c r="H290" s="35"/>
      <c r="I290" s="12"/>
      <c r="M290" s="12"/>
      <c r="N290" s="18"/>
      <c r="O290" s="12"/>
      <c r="P290" s="12"/>
      <c r="Q290" s="12"/>
      <c r="R290" s="36"/>
      <c r="S290" s="36"/>
      <c r="T290" s="12"/>
      <c r="U290" s="12"/>
      <c r="V290" s="12"/>
      <c r="W290" s="12"/>
      <c r="X290" s="12"/>
    </row>
    <row r="291" customFormat="false" ht="15.75" hidden="false" customHeight="false" outlineLevel="0" collapsed="false">
      <c r="A291" s="12"/>
      <c r="B291" s="34"/>
      <c r="C291" s="12"/>
      <c r="D291" s="12"/>
      <c r="E291" s="12"/>
      <c r="F291" s="12"/>
      <c r="G291" s="18"/>
      <c r="H291" s="35"/>
      <c r="I291" s="12"/>
      <c r="M291" s="12"/>
      <c r="N291" s="18"/>
      <c r="O291" s="12"/>
      <c r="P291" s="12"/>
      <c r="Q291" s="12"/>
      <c r="R291" s="36"/>
      <c r="S291" s="36"/>
      <c r="T291" s="12"/>
      <c r="U291" s="12"/>
      <c r="V291" s="12"/>
      <c r="W291" s="12"/>
      <c r="X291" s="12"/>
    </row>
    <row r="292" customFormat="false" ht="15.75" hidden="false" customHeight="false" outlineLevel="0" collapsed="false">
      <c r="A292" s="12"/>
      <c r="B292" s="34"/>
      <c r="C292" s="12"/>
      <c r="D292" s="12"/>
      <c r="E292" s="12"/>
      <c r="F292" s="12"/>
      <c r="G292" s="18"/>
      <c r="H292" s="35"/>
      <c r="I292" s="12"/>
      <c r="M292" s="12"/>
      <c r="N292" s="18"/>
      <c r="O292" s="12"/>
      <c r="P292" s="12"/>
      <c r="Q292" s="12"/>
      <c r="R292" s="36"/>
      <c r="S292" s="36"/>
      <c r="T292" s="12"/>
      <c r="U292" s="12"/>
      <c r="V292" s="12"/>
      <c r="W292" s="12"/>
      <c r="X292" s="12"/>
    </row>
    <row r="293" customFormat="false" ht="15.75" hidden="false" customHeight="false" outlineLevel="0" collapsed="false">
      <c r="A293" s="12"/>
      <c r="B293" s="34"/>
      <c r="C293" s="12"/>
      <c r="D293" s="12"/>
      <c r="E293" s="12"/>
      <c r="F293" s="12"/>
      <c r="G293" s="18"/>
      <c r="H293" s="35"/>
      <c r="I293" s="12"/>
      <c r="M293" s="12"/>
      <c r="N293" s="18"/>
      <c r="O293" s="12"/>
      <c r="P293" s="12"/>
      <c r="Q293" s="12"/>
      <c r="R293" s="36"/>
      <c r="S293" s="36"/>
      <c r="T293" s="12"/>
      <c r="U293" s="12"/>
      <c r="V293" s="12"/>
      <c r="W293" s="12"/>
      <c r="X293" s="12"/>
    </row>
    <row r="294" customFormat="false" ht="15.75" hidden="false" customHeight="false" outlineLevel="0" collapsed="false">
      <c r="A294" s="12"/>
      <c r="B294" s="34"/>
      <c r="C294" s="12"/>
      <c r="D294" s="12"/>
      <c r="E294" s="12"/>
      <c r="F294" s="12"/>
      <c r="G294" s="18"/>
      <c r="H294" s="35"/>
      <c r="I294" s="12"/>
      <c r="M294" s="12"/>
      <c r="N294" s="18"/>
      <c r="O294" s="12"/>
      <c r="P294" s="12"/>
      <c r="Q294" s="12"/>
      <c r="R294" s="36"/>
      <c r="S294" s="36"/>
      <c r="T294" s="12"/>
      <c r="U294" s="12"/>
      <c r="V294" s="12"/>
      <c r="W294" s="12"/>
      <c r="X294" s="12"/>
    </row>
    <row r="295" customFormat="false" ht="15.75" hidden="false" customHeight="false" outlineLevel="0" collapsed="false">
      <c r="A295" s="12"/>
      <c r="B295" s="34"/>
      <c r="C295" s="12"/>
      <c r="D295" s="12"/>
      <c r="E295" s="12"/>
      <c r="F295" s="12"/>
      <c r="G295" s="18"/>
      <c r="H295" s="35"/>
      <c r="I295" s="12"/>
      <c r="M295" s="12"/>
      <c r="N295" s="18"/>
      <c r="O295" s="12"/>
      <c r="P295" s="12"/>
      <c r="Q295" s="12"/>
      <c r="R295" s="36"/>
      <c r="S295" s="36"/>
      <c r="T295" s="12"/>
      <c r="U295" s="12"/>
      <c r="V295" s="12"/>
      <c r="W295" s="12"/>
      <c r="X295" s="12"/>
    </row>
    <row r="296" customFormat="false" ht="15.75" hidden="false" customHeight="false" outlineLevel="0" collapsed="false">
      <c r="A296" s="12"/>
      <c r="B296" s="34"/>
      <c r="C296" s="12"/>
      <c r="D296" s="12"/>
      <c r="E296" s="12"/>
      <c r="F296" s="12"/>
      <c r="G296" s="18"/>
      <c r="H296" s="35"/>
      <c r="I296" s="12"/>
      <c r="M296" s="12"/>
      <c r="N296" s="18"/>
      <c r="O296" s="12"/>
      <c r="P296" s="12"/>
      <c r="Q296" s="12"/>
      <c r="R296" s="36"/>
      <c r="S296" s="36"/>
      <c r="T296" s="12"/>
      <c r="U296" s="12"/>
      <c r="V296" s="12"/>
      <c r="W296" s="12"/>
      <c r="X296" s="12"/>
    </row>
    <row r="297" customFormat="false" ht="15.75" hidden="false" customHeight="false" outlineLevel="0" collapsed="false">
      <c r="A297" s="12"/>
      <c r="B297" s="34"/>
      <c r="C297" s="12"/>
      <c r="D297" s="12"/>
      <c r="E297" s="12"/>
      <c r="F297" s="12"/>
      <c r="G297" s="18"/>
      <c r="H297" s="35"/>
      <c r="I297" s="12"/>
      <c r="M297" s="12"/>
      <c r="N297" s="18"/>
      <c r="O297" s="12"/>
      <c r="P297" s="12"/>
      <c r="Q297" s="12"/>
      <c r="R297" s="36"/>
      <c r="S297" s="36"/>
      <c r="T297" s="12"/>
      <c r="U297" s="12"/>
      <c r="V297" s="12"/>
      <c r="W297" s="12"/>
      <c r="X297" s="12"/>
    </row>
    <row r="298" customFormat="false" ht="15.75" hidden="false" customHeight="false" outlineLevel="0" collapsed="false">
      <c r="A298" s="12"/>
      <c r="B298" s="34"/>
      <c r="C298" s="12"/>
      <c r="D298" s="12"/>
      <c r="E298" s="12"/>
      <c r="F298" s="12"/>
      <c r="G298" s="18"/>
      <c r="H298" s="35"/>
      <c r="I298" s="12"/>
      <c r="M298" s="12"/>
      <c r="N298" s="18"/>
      <c r="O298" s="12"/>
      <c r="P298" s="12"/>
      <c r="Q298" s="12"/>
      <c r="R298" s="36"/>
      <c r="S298" s="36"/>
      <c r="T298" s="12"/>
      <c r="U298" s="12"/>
      <c r="V298" s="12"/>
      <c r="W298" s="12"/>
      <c r="X298" s="12"/>
    </row>
    <row r="299" customFormat="false" ht="15.75" hidden="false" customHeight="false" outlineLevel="0" collapsed="false">
      <c r="A299" s="12"/>
      <c r="B299" s="34"/>
      <c r="C299" s="12"/>
      <c r="D299" s="12"/>
      <c r="E299" s="12"/>
      <c r="F299" s="12"/>
      <c r="G299" s="18"/>
      <c r="H299" s="35"/>
      <c r="I299" s="12"/>
      <c r="M299" s="12"/>
      <c r="N299" s="18"/>
      <c r="O299" s="12"/>
      <c r="P299" s="12"/>
      <c r="Q299" s="12"/>
      <c r="R299" s="36"/>
      <c r="S299" s="36"/>
      <c r="T299" s="12"/>
      <c r="U299" s="12"/>
      <c r="V299" s="12"/>
      <c r="W299" s="12"/>
      <c r="X299" s="12"/>
    </row>
    <row r="300" customFormat="false" ht="15.75" hidden="false" customHeight="false" outlineLevel="0" collapsed="false">
      <c r="A300" s="12"/>
      <c r="B300" s="34"/>
      <c r="C300" s="12"/>
      <c r="D300" s="12"/>
      <c r="E300" s="12"/>
      <c r="F300" s="12"/>
      <c r="G300" s="18"/>
      <c r="H300" s="35"/>
      <c r="I300" s="12"/>
      <c r="M300" s="12"/>
      <c r="N300" s="18"/>
      <c r="O300" s="12"/>
      <c r="P300" s="12"/>
      <c r="Q300" s="12"/>
      <c r="R300" s="36"/>
      <c r="S300" s="36"/>
      <c r="T300" s="12"/>
      <c r="U300" s="12"/>
      <c r="V300" s="12"/>
      <c r="W300" s="12"/>
      <c r="X300" s="12"/>
    </row>
    <row r="301" customFormat="false" ht="15.75" hidden="false" customHeight="false" outlineLevel="0" collapsed="false">
      <c r="A301" s="12"/>
      <c r="B301" s="34"/>
      <c r="C301" s="12"/>
      <c r="D301" s="12"/>
      <c r="E301" s="12"/>
      <c r="F301" s="12"/>
      <c r="G301" s="18"/>
      <c r="H301" s="35"/>
      <c r="I301" s="12"/>
      <c r="M301" s="12"/>
      <c r="N301" s="18"/>
      <c r="O301" s="12"/>
      <c r="P301" s="12"/>
      <c r="Q301" s="12"/>
      <c r="R301" s="36"/>
      <c r="S301" s="36"/>
      <c r="T301" s="12"/>
      <c r="U301" s="12"/>
      <c r="V301" s="12"/>
      <c r="W301" s="12"/>
      <c r="X301" s="12"/>
    </row>
    <row r="302" customFormat="false" ht="15.75" hidden="false" customHeight="false" outlineLevel="0" collapsed="false">
      <c r="A302" s="12"/>
      <c r="B302" s="34"/>
      <c r="C302" s="12"/>
      <c r="D302" s="12"/>
      <c r="E302" s="12"/>
      <c r="F302" s="12"/>
      <c r="G302" s="18"/>
      <c r="H302" s="35"/>
      <c r="I302" s="12"/>
      <c r="M302" s="12"/>
      <c r="N302" s="18"/>
      <c r="O302" s="12"/>
      <c r="P302" s="12"/>
      <c r="Q302" s="12"/>
      <c r="R302" s="36"/>
      <c r="S302" s="36"/>
      <c r="T302" s="12"/>
      <c r="U302" s="12"/>
      <c r="V302" s="12"/>
      <c r="W302" s="12"/>
      <c r="X302" s="12"/>
    </row>
    <row r="303" customFormat="false" ht="15.75" hidden="false" customHeight="false" outlineLevel="0" collapsed="false">
      <c r="A303" s="12"/>
      <c r="B303" s="34"/>
      <c r="C303" s="12"/>
      <c r="D303" s="12"/>
      <c r="E303" s="12"/>
      <c r="F303" s="12"/>
      <c r="G303" s="18"/>
      <c r="H303" s="35"/>
      <c r="I303" s="12"/>
      <c r="M303" s="12"/>
      <c r="N303" s="18"/>
      <c r="O303" s="12"/>
      <c r="P303" s="12"/>
      <c r="Q303" s="12"/>
      <c r="R303" s="36"/>
      <c r="S303" s="36"/>
      <c r="T303" s="12"/>
      <c r="U303" s="12"/>
      <c r="V303" s="12"/>
      <c r="W303" s="12"/>
      <c r="X303" s="12"/>
    </row>
    <row r="304" customFormat="false" ht="15.75" hidden="false" customHeight="false" outlineLevel="0" collapsed="false">
      <c r="A304" s="12"/>
      <c r="B304" s="34"/>
      <c r="C304" s="12"/>
      <c r="D304" s="12"/>
      <c r="E304" s="12"/>
      <c r="F304" s="12"/>
      <c r="G304" s="18"/>
      <c r="H304" s="35"/>
      <c r="I304" s="12"/>
      <c r="M304" s="12"/>
      <c r="N304" s="18"/>
      <c r="O304" s="12"/>
      <c r="P304" s="12"/>
      <c r="Q304" s="12"/>
      <c r="R304" s="36"/>
      <c r="S304" s="36"/>
      <c r="T304" s="12"/>
      <c r="U304" s="12"/>
      <c r="V304" s="12"/>
      <c r="W304" s="12"/>
      <c r="X304" s="12"/>
    </row>
    <row r="305" customFormat="false" ht="15.75" hidden="false" customHeight="false" outlineLevel="0" collapsed="false">
      <c r="A305" s="12"/>
      <c r="B305" s="34"/>
      <c r="C305" s="12"/>
      <c r="D305" s="12"/>
      <c r="E305" s="12"/>
      <c r="F305" s="12"/>
      <c r="G305" s="18"/>
      <c r="H305" s="35"/>
      <c r="I305" s="12"/>
      <c r="M305" s="12"/>
      <c r="N305" s="18"/>
      <c r="O305" s="12"/>
      <c r="P305" s="12"/>
      <c r="Q305" s="12"/>
      <c r="R305" s="36"/>
      <c r="S305" s="36"/>
      <c r="T305" s="12"/>
      <c r="U305" s="12"/>
      <c r="V305" s="12"/>
      <c r="W305" s="12"/>
      <c r="X305" s="12"/>
    </row>
    <row r="306" customFormat="false" ht="15.75" hidden="false" customHeight="false" outlineLevel="0" collapsed="false">
      <c r="A306" s="12"/>
      <c r="B306" s="34"/>
      <c r="C306" s="12"/>
      <c r="D306" s="12"/>
      <c r="E306" s="12"/>
      <c r="F306" s="12"/>
      <c r="G306" s="18"/>
      <c r="H306" s="35"/>
      <c r="I306" s="12"/>
      <c r="M306" s="12"/>
      <c r="N306" s="18"/>
      <c r="O306" s="12"/>
      <c r="P306" s="12"/>
      <c r="Q306" s="12"/>
      <c r="R306" s="36"/>
      <c r="S306" s="36"/>
      <c r="T306" s="12"/>
      <c r="U306" s="12"/>
      <c r="V306" s="12"/>
      <c r="W306" s="12"/>
      <c r="X306" s="12"/>
    </row>
    <row r="307" customFormat="false" ht="15.75" hidden="false" customHeight="false" outlineLevel="0" collapsed="false">
      <c r="A307" s="12"/>
      <c r="B307" s="34"/>
      <c r="C307" s="12"/>
      <c r="D307" s="12"/>
      <c r="E307" s="12"/>
      <c r="F307" s="12"/>
      <c r="G307" s="18"/>
      <c r="H307" s="35"/>
      <c r="I307" s="12"/>
      <c r="M307" s="12"/>
      <c r="N307" s="18"/>
      <c r="O307" s="12"/>
      <c r="P307" s="12"/>
      <c r="Q307" s="12"/>
      <c r="R307" s="36"/>
      <c r="S307" s="36"/>
      <c r="T307" s="12"/>
      <c r="U307" s="12"/>
      <c r="V307" s="12"/>
      <c r="W307" s="12"/>
      <c r="X307" s="12"/>
    </row>
    <row r="308" customFormat="false" ht="15.75" hidden="false" customHeight="false" outlineLevel="0" collapsed="false">
      <c r="A308" s="12"/>
      <c r="B308" s="34"/>
      <c r="C308" s="12"/>
      <c r="D308" s="12"/>
      <c r="E308" s="12"/>
      <c r="F308" s="12"/>
      <c r="G308" s="18"/>
      <c r="H308" s="35"/>
      <c r="I308" s="12"/>
      <c r="M308" s="12"/>
      <c r="N308" s="18"/>
      <c r="O308" s="12"/>
      <c r="P308" s="12"/>
      <c r="Q308" s="12"/>
      <c r="R308" s="36"/>
      <c r="S308" s="36"/>
      <c r="T308" s="12"/>
      <c r="U308" s="12"/>
      <c r="V308" s="12"/>
      <c r="W308" s="12"/>
      <c r="X308" s="12"/>
    </row>
    <row r="309" customFormat="false" ht="15.75" hidden="false" customHeight="false" outlineLevel="0" collapsed="false">
      <c r="A309" s="12"/>
      <c r="B309" s="34"/>
      <c r="C309" s="12"/>
      <c r="D309" s="12"/>
      <c r="E309" s="12"/>
      <c r="F309" s="12"/>
      <c r="G309" s="18"/>
      <c r="H309" s="35"/>
      <c r="I309" s="12"/>
      <c r="M309" s="12"/>
      <c r="N309" s="18"/>
      <c r="O309" s="12"/>
      <c r="P309" s="12"/>
      <c r="Q309" s="12"/>
      <c r="R309" s="36"/>
      <c r="S309" s="36"/>
      <c r="T309" s="12"/>
      <c r="U309" s="12"/>
      <c r="V309" s="12"/>
      <c r="W309" s="12"/>
      <c r="X309" s="12"/>
    </row>
    <row r="310" customFormat="false" ht="15.75" hidden="false" customHeight="false" outlineLevel="0" collapsed="false">
      <c r="A310" s="12"/>
      <c r="B310" s="34"/>
      <c r="C310" s="12"/>
      <c r="D310" s="12"/>
      <c r="E310" s="12"/>
      <c r="F310" s="12"/>
      <c r="G310" s="18"/>
      <c r="H310" s="35"/>
      <c r="I310" s="12"/>
      <c r="M310" s="12"/>
      <c r="N310" s="18"/>
      <c r="O310" s="12"/>
      <c r="P310" s="12"/>
      <c r="Q310" s="12"/>
      <c r="R310" s="36"/>
      <c r="S310" s="36"/>
      <c r="T310" s="12"/>
      <c r="U310" s="12"/>
      <c r="V310" s="12"/>
      <c r="W310" s="12"/>
      <c r="X310" s="12"/>
    </row>
    <row r="311" customFormat="false" ht="15.75" hidden="false" customHeight="false" outlineLevel="0" collapsed="false">
      <c r="A311" s="12"/>
      <c r="B311" s="34"/>
      <c r="C311" s="12"/>
      <c r="D311" s="12"/>
      <c r="E311" s="12"/>
      <c r="F311" s="12"/>
      <c r="G311" s="18"/>
      <c r="H311" s="35"/>
      <c r="I311" s="12"/>
      <c r="M311" s="12"/>
      <c r="N311" s="18"/>
      <c r="O311" s="12"/>
      <c r="P311" s="12"/>
      <c r="Q311" s="12"/>
      <c r="R311" s="36"/>
      <c r="S311" s="36"/>
      <c r="T311" s="12"/>
      <c r="U311" s="12"/>
      <c r="V311" s="12"/>
      <c r="W311" s="12"/>
      <c r="X311" s="12"/>
    </row>
    <row r="312" customFormat="false" ht="15.75" hidden="false" customHeight="false" outlineLevel="0" collapsed="false">
      <c r="A312" s="12"/>
      <c r="B312" s="34"/>
      <c r="C312" s="12"/>
      <c r="D312" s="12"/>
      <c r="E312" s="12"/>
      <c r="F312" s="12"/>
      <c r="G312" s="18"/>
      <c r="H312" s="35"/>
      <c r="I312" s="12"/>
      <c r="M312" s="12"/>
      <c r="N312" s="18"/>
      <c r="O312" s="12"/>
      <c r="P312" s="12"/>
      <c r="Q312" s="12"/>
      <c r="R312" s="36"/>
      <c r="S312" s="36"/>
      <c r="T312" s="12"/>
      <c r="U312" s="12"/>
      <c r="V312" s="12"/>
      <c r="W312" s="12"/>
      <c r="X312" s="12"/>
    </row>
    <row r="313" customFormat="false" ht="15.75" hidden="false" customHeight="false" outlineLevel="0" collapsed="false">
      <c r="A313" s="12"/>
      <c r="B313" s="34"/>
      <c r="C313" s="12"/>
      <c r="D313" s="12"/>
      <c r="E313" s="12"/>
      <c r="F313" s="12"/>
      <c r="G313" s="18"/>
      <c r="H313" s="35"/>
      <c r="I313" s="12"/>
      <c r="M313" s="12"/>
      <c r="N313" s="18"/>
      <c r="O313" s="12"/>
      <c r="P313" s="12"/>
      <c r="Q313" s="12"/>
      <c r="R313" s="36"/>
      <c r="S313" s="36"/>
      <c r="T313" s="12"/>
      <c r="U313" s="12"/>
      <c r="V313" s="12"/>
      <c r="W313" s="12"/>
      <c r="X313" s="12"/>
    </row>
    <row r="314" customFormat="false" ht="15.75" hidden="false" customHeight="false" outlineLevel="0" collapsed="false">
      <c r="A314" s="12"/>
      <c r="B314" s="34"/>
      <c r="C314" s="12"/>
      <c r="D314" s="12"/>
      <c r="E314" s="12"/>
      <c r="F314" s="12"/>
      <c r="G314" s="18"/>
      <c r="H314" s="35"/>
      <c r="I314" s="12"/>
      <c r="M314" s="12"/>
      <c r="N314" s="18"/>
      <c r="O314" s="12"/>
      <c r="P314" s="12"/>
      <c r="Q314" s="12"/>
      <c r="R314" s="36"/>
      <c r="S314" s="36"/>
      <c r="T314" s="12"/>
      <c r="U314" s="12"/>
      <c r="V314" s="12"/>
      <c r="W314" s="12"/>
      <c r="X314" s="12"/>
    </row>
    <row r="315" customFormat="false" ht="15.75" hidden="false" customHeight="false" outlineLevel="0" collapsed="false">
      <c r="A315" s="12"/>
      <c r="B315" s="34"/>
      <c r="C315" s="12"/>
      <c r="D315" s="12"/>
      <c r="E315" s="12"/>
      <c r="F315" s="12"/>
      <c r="G315" s="18"/>
      <c r="H315" s="35"/>
      <c r="I315" s="12"/>
      <c r="M315" s="12"/>
      <c r="N315" s="18"/>
      <c r="O315" s="12"/>
      <c r="P315" s="12"/>
      <c r="Q315" s="12"/>
      <c r="R315" s="36"/>
      <c r="S315" s="36"/>
      <c r="T315" s="12"/>
      <c r="U315" s="12"/>
      <c r="V315" s="12"/>
      <c r="W315" s="12"/>
      <c r="X315" s="12"/>
    </row>
    <row r="316" customFormat="false" ht="15.75" hidden="false" customHeight="false" outlineLevel="0" collapsed="false">
      <c r="A316" s="12"/>
      <c r="B316" s="34"/>
      <c r="C316" s="12"/>
      <c r="D316" s="12"/>
      <c r="E316" s="12"/>
      <c r="F316" s="12"/>
      <c r="G316" s="18"/>
      <c r="H316" s="35"/>
      <c r="I316" s="12"/>
      <c r="M316" s="12"/>
      <c r="N316" s="18"/>
      <c r="O316" s="12"/>
      <c r="P316" s="12"/>
      <c r="Q316" s="12"/>
      <c r="R316" s="36"/>
      <c r="S316" s="36"/>
      <c r="T316" s="12"/>
      <c r="U316" s="12"/>
      <c r="V316" s="12"/>
      <c r="W316" s="12"/>
      <c r="X316" s="12"/>
    </row>
    <row r="317" customFormat="false" ht="15.75" hidden="false" customHeight="false" outlineLevel="0" collapsed="false">
      <c r="A317" s="12"/>
      <c r="B317" s="34"/>
      <c r="C317" s="12"/>
      <c r="D317" s="12"/>
      <c r="E317" s="12"/>
      <c r="F317" s="12"/>
      <c r="G317" s="18"/>
      <c r="H317" s="35"/>
      <c r="I317" s="12"/>
      <c r="M317" s="12"/>
      <c r="N317" s="18"/>
      <c r="O317" s="12"/>
      <c r="P317" s="12"/>
      <c r="Q317" s="12"/>
      <c r="R317" s="36"/>
      <c r="S317" s="36"/>
      <c r="T317" s="12"/>
      <c r="U317" s="12"/>
      <c r="V317" s="12"/>
      <c r="W317" s="12"/>
      <c r="X317" s="12"/>
    </row>
    <row r="318" customFormat="false" ht="15.75" hidden="false" customHeight="false" outlineLevel="0" collapsed="false">
      <c r="A318" s="12"/>
      <c r="B318" s="34"/>
      <c r="C318" s="12"/>
      <c r="D318" s="12"/>
      <c r="E318" s="12"/>
      <c r="F318" s="12"/>
      <c r="G318" s="18"/>
      <c r="H318" s="35"/>
      <c r="I318" s="12"/>
      <c r="M318" s="12"/>
      <c r="N318" s="18"/>
      <c r="O318" s="12"/>
      <c r="P318" s="12"/>
      <c r="Q318" s="12"/>
      <c r="R318" s="36"/>
      <c r="S318" s="36"/>
      <c r="T318" s="12"/>
      <c r="U318" s="12"/>
      <c r="V318" s="12"/>
      <c r="W318" s="12"/>
      <c r="X318" s="12"/>
    </row>
    <row r="319" customFormat="false" ht="15.75" hidden="false" customHeight="false" outlineLevel="0" collapsed="false">
      <c r="A319" s="12"/>
      <c r="B319" s="34"/>
      <c r="C319" s="12"/>
      <c r="D319" s="12"/>
      <c r="E319" s="12"/>
      <c r="F319" s="12"/>
      <c r="G319" s="18"/>
      <c r="H319" s="35"/>
      <c r="I319" s="12"/>
      <c r="M319" s="12"/>
      <c r="N319" s="18"/>
      <c r="O319" s="12"/>
      <c r="P319" s="12"/>
      <c r="Q319" s="12"/>
      <c r="R319" s="36"/>
      <c r="S319" s="36"/>
      <c r="T319" s="12"/>
      <c r="U319" s="12"/>
      <c r="V319" s="12"/>
      <c r="W319" s="12"/>
      <c r="X319" s="12"/>
    </row>
    <row r="320" customFormat="false" ht="15.75" hidden="false" customHeight="false" outlineLevel="0" collapsed="false">
      <c r="A320" s="12"/>
      <c r="B320" s="34"/>
      <c r="C320" s="12"/>
      <c r="D320" s="12"/>
      <c r="E320" s="12"/>
      <c r="F320" s="12"/>
      <c r="G320" s="18"/>
      <c r="H320" s="35"/>
      <c r="I320" s="12"/>
      <c r="M320" s="12"/>
      <c r="N320" s="18"/>
      <c r="O320" s="12"/>
      <c r="P320" s="12"/>
      <c r="Q320" s="12"/>
      <c r="R320" s="36"/>
      <c r="S320" s="36"/>
      <c r="T320" s="12"/>
      <c r="U320" s="12"/>
      <c r="V320" s="12"/>
      <c r="W320" s="12"/>
      <c r="X320" s="12"/>
    </row>
    <row r="321" customFormat="false" ht="15.75" hidden="false" customHeight="false" outlineLevel="0" collapsed="false">
      <c r="A321" s="12"/>
      <c r="B321" s="34"/>
      <c r="C321" s="12"/>
      <c r="D321" s="12"/>
      <c r="E321" s="12"/>
      <c r="F321" s="12"/>
      <c r="G321" s="18"/>
      <c r="H321" s="35"/>
      <c r="I321" s="12"/>
      <c r="M321" s="12"/>
      <c r="N321" s="18"/>
      <c r="O321" s="12"/>
      <c r="P321" s="12"/>
      <c r="Q321" s="12"/>
      <c r="R321" s="36"/>
      <c r="S321" s="36"/>
      <c r="T321" s="12"/>
      <c r="U321" s="12"/>
      <c r="V321" s="12"/>
      <c r="W321" s="12"/>
      <c r="X321" s="12"/>
    </row>
    <row r="322" customFormat="false" ht="15.75" hidden="false" customHeight="false" outlineLevel="0" collapsed="false">
      <c r="A322" s="12"/>
      <c r="B322" s="34"/>
      <c r="C322" s="12"/>
      <c r="D322" s="12"/>
      <c r="E322" s="12"/>
      <c r="F322" s="12"/>
      <c r="G322" s="18"/>
      <c r="H322" s="35"/>
      <c r="I322" s="12"/>
      <c r="M322" s="12"/>
      <c r="N322" s="18"/>
      <c r="O322" s="12"/>
      <c r="P322" s="12"/>
      <c r="Q322" s="12"/>
      <c r="R322" s="36"/>
      <c r="S322" s="36"/>
      <c r="T322" s="12"/>
      <c r="U322" s="12"/>
      <c r="V322" s="12"/>
      <c r="W322" s="12"/>
      <c r="X322" s="12"/>
    </row>
    <row r="323" customFormat="false" ht="15.75" hidden="false" customHeight="false" outlineLevel="0" collapsed="false">
      <c r="A323" s="12"/>
      <c r="B323" s="34"/>
      <c r="C323" s="12"/>
      <c r="D323" s="12"/>
      <c r="E323" s="12"/>
      <c r="F323" s="12"/>
      <c r="G323" s="18"/>
      <c r="H323" s="35"/>
      <c r="I323" s="12"/>
      <c r="M323" s="12"/>
      <c r="N323" s="18"/>
      <c r="O323" s="12"/>
      <c r="P323" s="12"/>
      <c r="Q323" s="12"/>
      <c r="R323" s="36"/>
      <c r="S323" s="36"/>
      <c r="T323" s="12"/>
      <c r="U323" s="12"/>
      <c r="V323" s="12"/>
      <c r="W323" s="12"/>
      <c r="X323" s="12"/>
    </row>
    <row r="324" customFormat="false" ht="15.75" hidden="false" customHeight="false" outlineLevel="0" collapsed="false">
      <c r="A324" s="12"/>
      <c r="B324" s="34"/>
      <c r="C324" s="12"/>
      <c r="D324" s="12"/>
      <c r="E324" s="12"/>
      <c r="F324" s="12"/>
      <c r="G324" s="18"/>
      <c r="H324" s="35"/>
      <c r="I324" s="12"/>
      <c r="M324" s="12"/>
      <c r="N324" s="18"/>
      <c r="O324" s="12"/>
      <c r="P324" s="12"/>
      <c r="Q324" s="12"/>
      <c r="R324" s="36"/>
      <c r="S324" s="36"/>
      <c r="T324" s="12"/>
      <c r="U324" s="12"/>
      <c r="V324" s="12"/>
      <c r="W324" s="12"/>
      <c r="X324" s="12"/>
    </row>
    <row r="325" customFormat="false" ht="15.75" hidden="false" customHeight="false" outlineLevel="0" collapsed="false">
      <c r="A325" s="12"/>
      <c r="B325" s="34"/>
      <c r="C325" s="12"/>
      <c r="D325" s="12"/>
      <c r="E325" s="12"/>
      <c r="F325" s="12"/>
      <c r="G325" s="18"/>
      <c r="H325" s="35"/>
      <c r="I325" s="12"/>
      <c r="M325" s="12"/>
      <c r="N325" s="18"/>
      <c r="O325" s="12"/>
      <c r="P325" s="12"/>
      <c r="Q325" s="12"/>
      <c r="R325" s="36"/>
      <c r="S325" s="36"/>
      <c r="T325" s="12"/>
      <c r="U325" s="12"/>
      <c r="V325" s="12"/>
      <c r="W325" s="12"/>
      <c r="X325" s="12"/>
    </row>
    <row r="326" customFormat="false" ht="15.75" hidden="false" customHeight="false" outlineLevel="0" collapsed="false">
      <c r="A326" s="12"/>
      <c r="B326" s="34"/>
      <c r="C326" s="12"/>
      <c r="D326" s="12"/>
      <c r="E326" s="12"/>
      <c r="F326" s="12"/>
      <c r="G326" s="18"/>
      <c r="H326" s="35"/>
      <c r="I326" s="12"/>
      <c r="M326" s="12"/>
      <c r="N326" s="18"/>
      <c r="O326" s="12"/>
      <c r="P326" s="12"/>
      <c r="Q326" s="12"/>
      <c r="R326" s="36"/>
      <c r="S326" s="36"/>
      <c r="T326" s="12"/>
      <c r="U326" s="12"/>
      <c r="V326" s="12"/>
      <c r="W326" s="12"/>
      <c r="X326" s="12"/>
    </row>
    <row r="327" customFormat="false" ht="15.75" hidden="false" customHeight="false" outlineLevel="0" collapsed="false">
      <c r="A327" s="12"/>
      <c r="B327" s="34"/>
      <c r="C327" s="12"/>
      <c r="D327" s="12"/>
      <c r="E327" s="12"/>
      <c r="F327" s="12"/>
      <c r="G327" s="18"/>
      <c r="H327" s="35"/>
      <c r="I327" s="12"/>
      <c r="M327" s="12"/>
      <c r="N327" s="18"/>
      <c r="O327" s="12"/>
      <c r="P327" s="12"/>
      <c r="Q327" s="12"/>
      <c r="R327" s="36"/>
      <c r="S327" s="36"/>
      <c r="T327" s="12"/>
      <c r="U327" s="12"/>
      <c r="V327" s="12"/>
      <c r="W327" s="12"/>
      <c r="X327" s="12"/>
    </row>
    <row r="328" customFormat="false" ht="15.75" hidden="false" customHeight="false" outlineLevel="0" collapsed="false">
      <c r="A328" s="12"/>
      <c r="B328" s="34"/>
      <c r="C328" s="12"/>
      <c r="D328" s="12"/>
      <c r="E328" s="12"/>
      <c r="F328" s="12"/>
      <c r="G328" s="18"/>
      <c r="H328" s="35"/>
      <c r="I328" s="12"/>
      <c r="M328" s="12"/>
      <c r="N328" s="18"/>
      <c r="O328" s="12"/>
      <c r="P328" s="12"/>
      <c r="Q328" s="12"/>
      <c r="R328" s="36"/>
      <c r="S328" s="36"/>
      <c r="T328" s="12"/>
      <c r="U328" s="12"/>
      <c r="V328" s="12"/>
      <c r="W328" s="12"/>
      <c r="X328" s="12"/>
    </row>
    <row r="329" customFormat="false" ht="15.75" hidden="false" customHeight="false" outlineLevel="0" collapsed="false">
      <c r="A329" s="12"/>
      <c r="B329" s="34"/>
      <c r="C329" s="12"/>
      <c r="D329" s="12"/>
      <c r="E329" s="12"/>
      <c r="F329" s="12"/>
      <c r="G329" s="18"/>
      <c r="H329" s="35"/>
      <c r="I329" s="12"/>
      <c r="M329" s="12"/>
      <c r="N329" s="18"/>
      <c r="O329" s="12"/>
      <c r="P329" s="12"/>
      <c r="Q329" s="12"/>
      <c r="R329" s="36"/>
      <c r="S329" s="36"/>
      <c r="T329" s="12"/>
      <c r="U329" s="12"/>
      <c r="V329" s="12"/>
      <c r="W329" s="12"/>
      <c r="X329" s="12"/>
    </row>
    <row r="330" customFormat="false" ht="15.75" hidden="false" customHeight="false" outlineLevel="0" collapsed="false">
      <c r="A330" s="12"/>
      <c r="B330" s="34"/>
      <c r="C330" s="12"/>
      <c r="D330" s="12"/>
      <c r="E330" s="12"/>
      <c r="F330" s="12"/>
      <c r="G330" s="18"/>
      <c r="H330" s="35"/>
      <c r="I330" s="12"/>
      <c r="M330" s="12"/>
      <c r="N330" s="18"/>
      <c r="O330" s="12"/>
      <c r="P330" s="12"/>
      <c r="Q330" s="12"/>
      <c r="R330" s="36"/>
      <c r="S330" s="36"/>
      <c r="T330" s="12"/>
      <c r="U330" s="12"/>
      <c r="V330" s="12"/>
      <c r="W330" s="12"/>
      <c r="X330" s="12"/>
    </row>
    <row r="331" customFormat="false" ht="15.75" hidden="false" customHeight="false" outlineLevel="0" collapsed="false">
      <c r="A331" s="12"/>
      <c r="B331" s="34"/>
      <c r="C331" s="12"/>
      <c r="D331" s="12"/>
      <c r="E331" s="12"/>
      <c r="F331" s="12"/>
      <c r="G331" s="18"/>
      <c r="H331" s="35"/>
      <c r="I331" s="12"/>
      <c r="M331" s="12"/>
      <c r="N331" s="18"/>
      <c r="O331" s="12"/>
      <c r="P331" s="12"/>
      <c r="Q331" s="12"/>
      <c r="R331" s="36"/>
      <c r="S331" s="36"/>
      <c r="T331" s="12"/>
      <c r="U331" s="12"/>
      <c r="V331" s="12"/>
      <c r="W331" s="12"/>
      <c r="X331" s="12"/>
    </row>
    <row r="332" customFormat="false" ht="15.75" hidden="false" customHeight="false" outlineLevel="0" collapsed="false">
      <c r="A332" s="12"/>
      <c r="B332" s="34"/>
      <c r="C332" s="12"/>
      <c r="D332" s="12"/>
      <c r="E332" s="12"/>
      <c r="F332" s="12"/>
      <c r="G332" s="18"/>
      <c r="H332" s="35"/>
      <c r="I332" s="12"/>
      <c r="M332" s="12"/>
      <c r="N332" s="18"/>
      <c r="O332" s="12"/>
      <c r="P332" s="12"/>
      <c r="Q332" s="12"/>
      <c r="R332" s="36"/>
      <c r="S332" s="36"/>
      <c r="T332" s="12"/>
      <c r="U332" s="12"/>
      <c r="V332" s="12"/>
      <c r="W332" s="12"/>
      <c r="X332" s="12"/>
    </row>
    <row r="333" customFormat="false" ht="15.75" hidden="false" customHeight="false" outlineLevel="0" collapsed="false">
      <c r="A333" s="12"/>
      <c r="B333" s="34"/>
      <c r="C333" s="12"/>
      <c r="D333" s="12"/>
      <c r="E333" s="12"/>
      <c r="F333" s="12"/>
      <c r="G333" s="18"/>
      <c r="H333" s="35"/>
      <c r="I333" s="12"/>
      <c r="M333" s="12"/>
      <c r="N333" s="18"/>
      <c r="O333" s="12"/>
      <c r="P333" s="12"/>
      <c r="Q333" s="12"/>
      <c r="R333" s="36"/>
      <c r="S333" s="36"/>
      <c r="T333" s="12"/>
      <c r="U333" s="12"/>
      <c r="V333" s="12"/>
      <c r="W333" s="12"/>
      <c r="X333" s="12"/>
    </row>
    <row r="334" customFormat="false" ht="15.75" hidden="false" customHeight="false" outlineLevel="0" collapsed="false">
      <c r="A334" s="12"/>
      <c r="B334" s="34"/>
      <c r="C334" s="12"/>
      <c r="D334" s="12"/>
      <c r="E334" s="12"/>
      <c r="F334" s="12"/>
      <c r="G334" s="18"/>
      <c r="H334" s="35"/>
      <c r="I334" s="12"/>
      <c r="M334" s="12"/>
      <c r="N334" s="18"/>
      <c r="O334" s="12"/>
      <c r="P334" s="12"/>
      <c r="Q334" s="12"/>
      <c r="R334" s="36"/>
      <c r="S334" s="36"/>
      <c r="T334" s="12"/>
      <c r="U334" s="12"/>
      <c r="V334" s="12"/>
      <c r="W334" s="12"/>
      <c r="X334" s="12"/>
    </row>
    <row r="335" customFormat="false" ht="15.75" hidden="false" customHeight="false" outlineLevel="0" collapsed="false">
      <c r="A335" s="12"/>
      <c r="B335" s="34"/>
      <c r="C335" s="12"/>
      <c r="D335" s="12"/>
      <c r="E335" s="12"/>
      <c r="F335" s="12"/>
      <c r="G335" s="18"/>
      <c r="H335" s="35"/>
      <c r="I335" s="12"/>
      <c r="M335" s="12"/>
      <c r="N335" s="18"/>
      <c r="O335" s="12"/>
      <c r="P335" s="12"/>
      <c r="Q335" s="12"/>
      <c r="R335" s="36"/>
      <c r="S335" s="36"/>
      <c r="T335" s="12"/>
      <c r="U335" s="12"/>
      <c r="V335" s="12"/>
      <c r="W335" s="12"/>
      <c r="X335" s="12"/>
    </row>
    <row r="336" customFormat="false" ht="15.75" hidden="false" customHeight="false" outlineLevel="0" collapsed="false">
      <c r="A336" s="12"/>
      <c r="B336" s="34"/>
      <c r="C336" s="12"/>
      <c r="D336" s="12"/>
      <c r="E336" s="12"/>
      <c r="F336" s="12"/>
      <c r="G336" s="18"/>
      <c r="H336" s="35"/>
      <c r="I336" s="12"/>
      <c r="M336" s="12"/>
      <c r="N336" s="18"/>
      <c r="O336" s="12"/>
      <c r="P336" s="12"/>
      <c r="Q336" s="12"/>
      <c r="R336" s="36"/>
      <c r="S336" s="36"/>
      <c r="T336" s="12"/>
      <c r="U336" s="12"/>
      <c r="V336" s="12"/>
      <c r="W336" s="12"/>
      <c r="X336" s="12"/>
    </row>
    <row r="337" customFormat="false" ht="15.75" hidden="false" customHeight="false" outlineLevel="0" collapsed="false">
      <c r="A337" s="12"/>
      <c r="B337" s="34"/>
      <c r="C337" s="12"/>
      <c r="D337" s="12"/>
      <c r="E337" s="12"/>
      <c r="F337" s="12"/>
      <c r="G337" s="18"/>
      <c r="H337" s="35"/>
      <c r="I337" s="12"/>
      <c r="M337" s="12"/>
      <c r="N337" s="18"/>
      <c r="O337" s="12"/>
      <c r="P337" s="12"/>
      <c r="Q337" s="12"/>
      <c r="R337" s="36"/>
      <c r="S337" s="36"/>
      <c r="T337" s="12"/>
      <c r="U337" s="12"/>
      <c r="V337" s="12"/>
      <c r="W337" s="12"/>
      <c r="X337" s="12"/>
    </row>
    <row r="338" customFormat="false" ht="15.75" hidden="false" customHeight="false" outlineLevel="0" collapsed="false">
      <c r="A338" s="12"/>
      <c r="B338" s="34"/>
      <c r="C338" s="12"/>
      <c r="D338" s="12"/>
      <c r="E338" s="12"/>
      <c r="F338" s="12"/>
      <c r="G338" s="18"/>
      <c r="H338" s="35"/>
      <c r="I338" s="12"/>
      <c r="M338" s="12"/>
      <c r="N338" s="18"/>
      <c r="O338" s="12"/>
      <c r="P338" s="12"/>
      <c r="Q338" s="12"/>
      <c r="R338" s="36"/>
      <c r="S338" s="36"/>
      <c r="T338" s="12"/>
      <c r="U338" s="12"/>
      <c r="V338" s="12"/>
      <c r="W338" s="12"/>
      <c r="X338" s="12"/>
    </row>
    <row r="339" customFormat="false" ht="15.75" hidden="false" customHeight="false" outlineLevel="0" collapsed="false">
      <c r="A339" s="12"/>
      <c r="B339" s="34"/>
      <c r="C339" s="12"/>
      <c r="D339" s="12"/>
      <c r="E339" s="12"/>
      <c r="F339" s="12"/>
      <c r="G339" s="18"/>
      <c r="H339" s="35"/>
      <c r="I339" s="12"/>
      <c r="M339" s="12"/>
      <c r="N339" s="18"/>
      <c r="O339" s="12"/>
      <c r="P339" s="12"/>
      <c r="Q339" s="12"/>
      <c r="R339" s="36"/>
      <c r="S339" s="36"/>
      <c r="T339" s="12"/>
      <c r="U339" s="12"/>
      <c r="V339" s="12"/>
      <c r="W339" s="12"/>
      <c r="X339" s="12"/>
    </row>
    <row r="340" customFormat="false" ht="15.75" hidden="false" customHeight="false" outlineLevel="0" collapsed="false">
      <c r="A340" s="12"/>
      <c r="B340" s="34"/>
      <c r="C340" s="12"/>
      <c r="D340" s="12"/>
      <c r="E340" s="12"/>
      <c r="F340" s="12"/>
      <c r="G340" s="18"/>
      <c r="H340" s="35"/>
      <c r="I340" s="12"/>
      <c r="M340" s="12"/>
      <c r="N340" s="18"/>
      <c r="O340" s="12"/>
      <c r="P340" s="12"/>
      <c r="Q340" s="12"/>
      <c r="R340" s="36"/>
      <c r="S340" s="36"/>
      <c r="T340" s="12"/>
      <c r="U340" s="12"/>
      <c r="V340" s="12"/>
      <c r="W340" s="12"/>
      <c r="X340" s="12"/>
    </row>
    <row r="341" customFormat="false" ht="15.75" hidden="false" customHeight="false" outlineLevel="0" collapsed="false">
      <c r="A341" s="12"/>
      <c r="B341" s="34"/>
      <c r="C341" s="12"/>
      <c r="D341" s="12"/>
      <c r="E341" s="12"/>
      <c r="F341" s="12"/>
      <c r="G341" s="18"/>
      <c r="H341" s="35"/>
      <c r="I341" s="12"/>
      <c r="M341" s="12"/>
      <c r="N341" s="18"/>
      <c r="O341" s="12"/>
      <c r="P341" s="12"/>
      <c r="Q341" s="12"/>
      <c r="R341" s="36"/>
      <c r="S341" s="36"/>
      <c r="T341" s="12"/>
      <c r="U341" s="12"/>
      <c r="V341" s="12"/>
      <c r="W341" s="12"/>
      <c r="X341" s="12"/>
    </row>
    <row r="342" customFormat="false" ht="15.75" hidden="false" customHeight="false" outlineLevel="0" collapsed="false">
      <c r="A342" s="12"/>
      <c r="B342" s="34"/>
      <c r="C342" s="12"/>
      <c r="D342" s="12"/>
      <c r="E342" s="12"/>
      <c r="F342" s="12"/>
      <c r="G342" s="18"/>
      <c r="H342" s="35"/>
      <c r="I342" s="12"/>
      <c r="M342" s="12"/>
      <c r="N342" s="18"/>
      <c r="O342" s="12"/>
      <c r="P342" s="12"/>
      <c r="Q342" s="12"/>
      <c r="R342" s="36"/>
      <c r="S342" s="36"/>
      <c r="T342" s="12"/>
      <c r="U342" s="12"/>
      <c r="V342" s="12"/>
      <c r="W342" s="12"/>
      <c r="X342" s="12"/>
    </row>
    <row r="343" customFormat="false" ht="15.75" hidden="false" customHeight="false" outlineLevel="0" collapsed="false">
      <c r="A343" s="12"/>
      <c r="B343" s="34"/>
      <c r="C343" s="12"/>
      <c r="D343" s="12"/>
      <c r="E343" s="12"/>
      <c r="F343" s="12"/>
      <c r="G343" s="18"/>
      <c r="H343" s="35"/>
      <c r="I343" s="12"/>
      <c r="M343" s="12"/>
      <c r="N343" s="18"/>
      <c r="O343" s="12"/>
      <c r="P343" s="12"/>
      <c r="Q343" s="12"/>
      <c r="R343" s="36"/>
      <c r="S343" s="36"/>
      <c r="T343" s="12"/>
      <c r="U343" s="12"/>
      <c r="V343" s="12"/>
      <c r="W343" s="12"/>
      <c r="X343" s="12"/>
    </row>
    <row r="344" customFormat="false" ht="15.75" hidden="false" customHeight="false" outlineLevel="0" collapsed="false">
      <c r="A344" s="12"/>
      <c r="B344" s="34"/>
      <c r="C344" s="12"/>
      <c r="D344" s="12"/>
      <c r="E344" s="12"/>
      <c r="F344" s="12"/>
      <c r="G344" s="18"/>
      <c r="H344" s="35"/>
      <c r="I344" s="12"/>
      <c r="M344" s="12"/>
      <c r="N344" s="18"/>
      <c r="O344" s="12"/>
      <c r="P344" s="12"/>
      <c r="Q344" s="12"/>
      <c r="R344" s="36"/>
      <c r="S344" s="36"/>
      <c r="T344" s="12"/>
      <c r="U344" s="12"/>
      <c r="V344" s="12"/>
      <c r="W344" s="12"/>
      <c r="X344" s="12"/>
    </row>
    <row r="345" customFormat="false" ht="15.75" hidden="false" customHeight="false" outlineLevel="0" collapsed="false">
      <c r="A345" s="12"/>
      <c r="B345" s="34"/>
      <c r="C345" s="12"/>
      <c r="D345" s="12"/>
      <c r="E345" s="12"/>
      <c r="F345" s="12"/>
      <c r="G345" s="18"/>
      <c r="H345" s="35"/>
      <c r="I345" s="12"/>
      <c r="M345" s="12"/>
      <c r="N345" s="18"/>
      <c r="O345" s="12"/>
      <c r="P345" s="12"/>
      <c r="Q345" s="12"/>
      <c r="R345" s="36"/>
      <c r="S345" s="36"/>
      <c r="T345" s="12"/>
      <c r="U345" s="12"/>
      <c r="V345" s="12"/>
      <c r="W345" s="12"/>
      <c r="X345" s="12"/>
    </row>
    <row r="346" customFormat="false" ht="15.75" hidden="false" customHeight="false" outlineLevel="0" collapsed="false">
      <c r="A346" s="12"/>
      <c r="B346" s="34"/>
      <c r="C346" s="12"/>
      <c r="D346" s="12"/>
      <c r="E346" s="12"/>
      <c r="F346" s="12"/>
      <c r="G346" s="18"/>
      <c r="H346" s="35"/>
      <c r="I346" s="12"/>
      <c r="M346" s="12"/>
      <c r="N346" s="18"/>
      <c r="O346" s="12"/>
      <c r="P346" s="12"/>
      <c r="Q346" s="12"/>
      <c r="R346" s="36"/>
      <c r="S346" s="36"/>
      <c r="T346" s="12"/>
      <c r="U346" s="12"/>
      <c r="V346" s="12"/>
      <c r="W346" s="12"/>
      <c r="X346" s="12"/>
    </row>
    <row r="347" customFormat="false" ht="15.75" hidden="false" customHeight="false" outlineLevel="0" collapsed="false">
      <c r="A347" s="12"/>
      <c r="B347" s="34"/>
      <c r="C347" s="12"/>
      <c r="D347" s="12"/>
      <c r="E347" s="12"/>
      <c r="F347" s="12"/>
      <c r="G347" s="18"/>
      <c r="H347" s="35"/>
      <c r="I347" s="12"/>
      <c r="M347" s="12"/>
      <c r="N347" s="18"/>
      <c r="O347" s="12"/>
      <c r="P347" s="12"/>
      <c r="Q347" s="12"/>
      <c r="R347" s="36"/>
      <c r="S347" s="36"/>
      <c r="T347" s="12"/>
      <c r="U347" s="12"/>
      <c r="V347" s="12"/>
      <c r="W347" s="12"/>
      <c r="X347" s="12"/>
    </row>
    <row r="348" customFormat="false" ht="15.75" hidden="false" customHeight="false" outlineLevel="0" collapsed="false">
      <c r="A348" s="12"/>
      <c r="B348" s="34"/>
      <c r="C348" s="12"/>
      <c r="D348" s="12"/>
      <c r="E348" s="12"/>
      <c r="F348" s="12"/>
      <c r="G348" s="18"/>
      <c r="H348" s="35"/>
      <c r="I348" s="12"/>
      <c r="M348" s="12"/>
      <c r="N348" s="18"/>
      <c r="O348" s="12"/>
      <c r="P348" s="12"/>
      <c r="Q348" s="12"/>
      <c r="R348" s="36"/>
      <c r="S348" s="36"/>
      <c r="T348" s="12"/>
      <c r="U348" s="12"/>
      <c r="V348" s="12"/>
      <c r="W348" s="12"/>
      <c r="X348" s="12"/>
    </row>
    <row r="349" customFormat="false" ht="15.75" hidden="false" customHeight="false" outlineLevel="0" collapsed="false">
      <c r="A349" s="12"/>
      <c r="B349" s="34"/>
      <c r="C349" s="12"/>
      <c r="D349" s="12"/>
      <c r="E349" s="12"/>
      <c r="F349" s="12"/>
      <c r="G349" s="18"/>
      <c r="H349" s="35"/>
      <c r="I349" s="12"/>
      <c r="M349" s="12"/>
      <c r="N349" s="18"/>
      <c r="O349" s="12"/>
      <c r="P349" s="12"/>
      <c r="Q349" s="12"/>
      <c r="R349" s="36"/>
      <c r="S349" s="36"/>
      <c r="T349" s="12"/>
      <c r="U349" s="12"/>
      <c r="V349" s="12"/>
      <c r="W349" s="12"/>
      <c r="X349" s="12"/>
    </row>
    <row r="350" customFormat="false" ht="15.75" hidden="false" customHeight="false" outlineLevel="0" collapsed="false">
      <c r="A350" s="12"/>
      <c r="B350" s="34"/>
      <c r="C350" s="12"/>
      <c r="D350" s="12"/>
      <c r="E350" s="12"/>
      <c r="F350" s="12"/>
      <c r="G350" s="18"/>
      <c r="H350" s="35"/>
      <c r="I350" s="12"/>
      <c r="M350" s="12"/>
      <c r="N350" s="18"/>
      <c r="O350" s="12"/>
      <c r="P350" s="12"/>
      <c r="Q350" s="12"/>
      <c r="R350" s="36"/>
      <c r="S350" s="36"/>
      <c r="T350" s="12"/>
      <c r="U350" s="12"/>
      <c r="V350" s="12"/>
      <c r="W350" s="12"/>
      <c r="X350" s="12"/>
    </row>
    <row r="351" customFormat="false" ht="15.75" hidden="false" customHeight="false" outlineLevel="0" collapsed="false">
      <c r="A351" s="12"/>
      <c r="B351" s="34"/>
      <c r="C351" s="12"/>
      <c r="D351" s="12"/>
      <c r="E351" s="12"/>
      <c r="F351" s="12"/>
      <c r="G351" s="18"/>
      <c r="H351" s="35"/>
      <c r="I351" s="12"/>
      <c r="M351" s="12"/>
      <c r="N351" s="18"/>
      <c r="O351" s="12"/>
      <c r="P351" s="12"/>
      <c r="Q351" s="12"/>
      <c r="R351" s="36"/>
      <c r="S351" s="36"/>
      <c r="T351" s="12"/>
      <c r="U351" s="12"/>
      <c r="V351" s="12"/>
      <c r="W351" s="12"/>
      <c r="X351" s="12"/>
    </row>
    <row r="352" customFormat="false" ht="15.75" hidden="false" customHeight="false" outlineLevel="0" collapsed="false">
      <c r="A352" s="12"/>
      <c r="B352" s="34"/>
      <c r="C352" s="12"/>
      <c r="D352" s="12"/>
      <c r="E352" s="12"/>
      <c r="F352" s="12"/>
      <c r="G352" s="18"/>
      <c r="H352" s="35"/>
      <c r="I352" s="12"/>
      <c r="M352" s="12"/>
      <c r="N352" s="18"/>
      <c r="O352" s="12"/>
      <c r="P352" s="12"/>
      <c r="Q352" s="12"/>
      <c r="R352" s="36"/>
      <c r="S352" s="36"/>
      <c r="T352" s="12"/>
      <c r="U352" s="12"/>
      <c r="V352" s="12"/>
      <c r="W352" s="12"/>
      <c r="X352" s="12"/>
    </row>
    <row r="353" customFormat="false" ht="15.75" hidden="false" customHeight="false" outlineLevel="0" collapsed="false">
      <c r="A353" s="12"/>
      <c r="B353" s="34"/>
      <c r="C353" s="12"/>
      <c r="D353" s="12"/>
      <c r="E353" s="12"/>
      <c r="F353" s="12"/>
      <c r="G353" s="18"/>
      <c r="H353" s="35"/>
      <c r="I353" s="12"/>
      <c r="M353" s="12"/>
      <c r="N353" s="18"/>
      <c r="O353" s="12"/>
      <c r="P353" s="12"/>
      <c r="Q353" s="12"/>
      <c r="R353" s="36"/>
      <c r="S353" s="36"/>
      <c r="T353" s="12"/>
      <c r="U353" s="12"/>
      <c r="V353" s="12"/>
      <c r="W353" s="12"/>
      <c r="X353" s="12"/>
    </row>
    <row r="354" customFormat="false" ht="15.75" hidden="false" customHeight="false" outlineLevel="0" collapsed="false">
      <c r="A354" s="12"/>
      <c r="B354" s="34"/>
      <c r="C354" s="12"/>
      <c r="D354" s="12"/>
      <c r="E354" s="12"/>
      <c r="F354" s="12"/>
      <c r="G354" s="18"/>
      <c r="H354" s="35"/>
      <c r="I354" s="12"/>
      <c r="M354" s="12"/>
      <c r="N354" s="18"/>
      <c r="O354" s="12"/>
      <c r="P354" s="12"/>
      <c r="Q354" s="12"/>
      <c r="R354" s="36"/>
      <c r="S354" s="36"/>
      <c r="T354" s="12"/>
      <c r="U354" s="12"/>
      <c r="V354" s="12"/>
      <c r="W354" s="12"/>
      <c r="X354" s="12"/>
    </row>
    <row r="355" customFormat="false" ht="15.75" hidden="false" customHeight="false" outlineLevel="0" collapsed="false">
      <c r="A355" s="12"/>
      <c r="B355" s="34"/>
      <c r="C355" s="12"/>
      <c r="D355" s="12"/>
      <c r="E355" s="12"/>
      <c r="F355" s="12"/>
      <c r="G355" s="18"/>
      <c r="H355" s="35"/>
      <c r="I355" s="12"/>
      <c r="M355" s="12"/>
      <c r="N355" s="18"/>
      <c r="O355" s="12"/>
      <c r="P355" s="12"/>
      <c r="Q355" s="12"/>
      <c r="R355" s="36"/>
      <c r="S355" s="36"/>
      <c r="T355" s="12"/>
      <c r="U355" s="12"/>
      <c r="V355" s="12"/>
      <c r="W355" s="12"/>
      <c r="X355" s="12"/>
    </row>
    <row r="356" customFormat="false" ht="15.75" hidden="false" customHeight="false" outlineLevel="0" collapsed="false">
      <c r="A356" s="12"/>
      <c r="B356" s="34"/>
      <c r="C356" s="12"/>
      <c r="D356" s="12"/>
      <c r="E356" s="12"/>
      <c r="F356" s="12"/>
      <c r="G356" s="18"/>
      <c r="H356" s="35"/>
      <c r="I356" s="12"/>
      <c r="M356" s="12"/>
      <c r="N356" s="18"/>
      <c r="O356" s="12"/>
      <c r="P356" s="12"/>
      <c r="Q356" s="12"/>
      <c r="R356" s="36"/>
      <c r="S356" s="36"/>
      <c r="T356" s="12"/>
      <c r="U356" s="12"/>
      <c r="V356" s="12"/>
      <c r="W356" s="12"/>
      <c r="X356" s="12"/>
    </row>
    <row r="357" customFormat="false" ht="15.75" hidden="false" customHeight="false" outlineLevel="0" collapsed="false">
      <c r="A357" s="12"/>
      <c r="B357" s="34"/>
      <c r="C357" s="12"/>
      <c r="D357" s="12"/>
      <c r="E357" s="12"/>
      <c r="F357" s="12"/>
      <c r="G357" s="18"/>
      <c r="H357" s="35"/>
      <c r="I357" s="12"/>
      <c r="M357" s="12"/>
      <c r="N357" s="18"/>
      <c r="O357" s="12"/>
      <c r="P357" s="12"/>
      <c r="Q357" s="12"/>
      <c r="R357" s="36"/>
      <c r="S357" s="36"/>
      <c r="T357" s="12"/>
      <c r="U357" s="12"/>
      <c r="V357" s="12"/>
      <c r="W357" s="12"/>
      <c r="X357" s="12"/>
    </row>
    <row r="358" customFormat="false" ht="15.75" hidden="false" customHeight="false" outlineLevel="0" collapsed="false">
      <c r="A358" s="12"/>
      <c r="B358" s="34"/>
      <c r="C358" s="12"/>
      <c r="D358" s="12"/>
      <c r="E358" s="12"/>
      <c r="F358" s="12"/>
      <c r="G358" s="18"/>
      <c r="H358" s="35"/>
      <c r="I358" s="12"/>
      <c r="M358" s="12"/>
      <c r="N358" s="18"/>
      <c r="O358" s="12"/>
      <c r="P358" s="12"/>
      <c r="Q358" s="12"/>
      <c r="R358" s="36"/>
      <c r="S358" s="36"/>
      <c r="T358" s="12"/>
      <c r="U358" s="12"/>
      <c r="V358" s="12"/>
      <c r="W358" s="12"/>
      <c r="X358" s="12"/>
    </row>
    <row r="359" customFormat="false" ht="15.75" hidden="false" customHeight="false" outlineLevel="0" collapsed="false">
      <c r="A359" s="12"/>
      <c r="B359" s="34"/>
      <c r="C359" s="12"/>
      <c r="D359" s="12"/>
      <c r="E359" s="12"/>
      <c r="F359" s="12"/>
      <c r="G359" s="18"/>
      <c r="H359" s="35"/>
      <c r="I359" s="12"/>
      <c r="M359" s="12"/>
      <c r="N359" s="18"/>
      <c r="O359" s="12"/>
      <c r="P359" s="12"/>
      <c r="Q359" s="12"/>
      <c r="R359" s="36"/>
      <c r="S359" s="36"/>
      <c r="T359" s="12"/>
      <c r="U359" s="12"/>
      <c r="V359" s="12"/>
      <c r="W359" s="12"/>
      <c r="X359" s="12"/>
    </row>
    <row r="360" customFormat="false" ht="15.75" hidden="false" customHeight="false" outlineLevel="0" collapsed="false">
      <c r="A360" s="12"/>
      <c r="B360" s="34"/>
      <c r="C360" s="12"/>
      <c r="D360" s="12"/>
      <c r="E360" s="12"/>
      <c r="F360" s="12"/>
      <c r="G360" s="18"/>
      <c r="H360" s="35"/>
      <c r="I360" s="12"/>
      <c r="M360" s="12"/>
      <c r="N360" s="18"/>
      <c r="O360" s="12"/>
      <c r="P360" s="12"/>
      <c r="Q360" s="12"/>
      <c r="R360" s="36"/>
      <c r="S360" s="36"/>
      <c r="T360" s="12"/>
      <c r="U360" s="12"/>
      <c r="V360" s="12"/>
      <c r="W360" s="12"/>
      <c r="X360" s="12"/>
    </row>
    <row r="361" customFormat="false" ht="15.75" hidden="false" customHeight="false" outlineLevel="0" collapsed="false">
      <c r="A361" s="12"/>
      <c r="B361" s="34"/>
      <c r="C361" s="12"/>
      <c r="D361" s="12"/>
      <c r="E361" s="12"/>
      <c r="F361" s="12"/>
      <c r="G361" s="18"/>
      <c r="H361" s="35"/>
      <c r="I361" s="12"/>
      <c r="M361" s="12"/>
      <c r="N361" s="18"/>
      <c r="O361" s="12"/>
      <c r="P361" s="12"/>
      <c r="Q361" s="12"/>
      <c r="R361" s="36"/>
      <c r="S361" s="36"/>
      <c r="T361" s="12"/>
      <c r="U361" s="12"/>
      <c r="V361" s="12"/>
      <c r="W361" s="12"/>
      <c r="X361" s="12"/>
    </row>
    <row r="362" customFormat="false" ht="15.75" hidden="false" customHeight="false" outlineLevel="0" collapsed="false">
      <c r="A362" s="12"/>
      <c r="B362" s="34"/>
      <c r="C362" s="12"/>
      <c r="D362" s="12"/>
      <c r="E362" s="12"/>
      <c r="F362" s="12"/>
      <c r="G362" s="18"/>
      <c r="H362" s="35"/>
      <c r="I362" s="12"/>
      <c r="M362" s="12"/>
      <c r="N362" s="18"/>
      <c r="O362" s="12"/>
      <c r="P362" s="12"/>
      <c r="Q362" s="12"/>
      <c r="R362" s="36"/>
      <c r="S362" s="36"/>
      <c r="T362" s="12"/>
      <c r="U362" s="12"/>
      <c r="V362" s="12"/>
      <c r="W362" s="12"/>
      <c r="X362" s="12"/>
    </row>
    <row r="363" customFormat="false" ht="15.75" hidden="false" customHeight="false" outlineLevel="0" collapsed="false">
      <c r="A363" s="12"/>
      <c r="B363" s="34"/>
      <c r="C363" s="12"/>
      <c r="D363" s="12"/>
      <c r="E363" s="12"/>
      <c r="F363" s="12"/>
      <c r="G363" s="18"/>
      <c r="H363" s="35"/>
      <c r="I363" s="12"/>
      <c r="M363" s="12"/>
      <c r="N363" s="18"/>
      <c r="O363" s="12"/>
      <c r="P363" s="12"/>
      <c r="Q363" s="12"/>
      <c r="R363" s="36"/>
      <c r="S363" s="36"/>
      <c r="T363" s="12"/>
      <c r="U363" s="12"/>
      <c r="V363" s="12"/>
      <c r="W363" s="12"/>
      <c r="X363" s="12"/>
    </row>
    <row r="364" customFormat="false" ht="15.75" hidden="false" customHeight="false" outlineLevel="0" collapsed="false">
      <c r="A364" s="12"/>
      <c r="B364" s="34"/>
      <c r="C364" s="12"/>
      <c r="D364" s="12"/>
      <c r="E364" s="12"/>
      <c r="F364" s="12"/>
      <c r="G364" s="18"/>
      <c r="H364" s="35"/>
      <c r="I364" s="12"/>
      <c r="M364" s="12"/>
      <c r="N364" s="18"/>
      <c r="O364" s="12"/>
      <c r="P364" s="12"/>
      <c r="Q364" s="12"/>
      <c r="R364" s="36"/>
      <c r="S364" s="36"/>
      <c r="T364" s="12"/>
      <c r="U364" s="12"/>
      <c r="V364" s="12"/>
      <c r="W364" s="12"/>
      <c r="X364" s="12"/>
    </row>
    <row r="365" customFormat="false" ht="15.75" hidden="false" customHeight="false" outlineLevel="0" collapsed="false">
      <c r="A365" s="12"/>
      <c r="B365" s="34"/>
      <c r="C365" s="12"/>
      <c r="D365" s="12"/>
      <c r="E365" s="12"/>
      <c r="F365" s="12"/>
      <c r="G365" s="18"/>
      <c r="H365" s="35"/>
      <c r="I365" s="12"/>
      <c r="M365" s="12"/>
      <c r="N365" s="18"/>
      <c r="O365" s="12"/>
      <c r="P365" s="12"/>
      <c r="Q365" s="12"/>
      <c r="R365" s="36"/>
      <c r="S365" s="36"/>
      <c r="T365" s="12"/>
      <c r="U365" s="12"/>
      <c r="V365" s="12"/>
      <c r="W365" s="12"/>
      <c r="X365" s="12"/>
    </row>
    <row r="366" customFormat="false" ht="15.75" hidden="false" customHeight="false" outlineLevel="0" collapsed="false">
      <c r="A366" s="12"/>
      <c r="B366" s="34"/>
      <c r="C366" s="12"/>
      <c r="D366" s="12"/>
      <c r="E366" s="12"/>
      <c r="F366" s="12"/>
      <c r="G366" s="18"/>
      <c r="H366" s="35"/>
      <c r="I366" s="12"/>
      <c r="M366" s="12"/>
      <c r="N366" s="18"/>
      <c r="O366" s="12"/>
      <c r="P366" s="12"/>
      <c r="Q366" s="12"/>
      <c r="R366" s="36"/>
      <c r="S366" s="36"/>
      <c r="T366" s="12"/>
      <c r="U366" s="12"/>
      <c r="V366" s="12"/>
      <c r="W366" s="12"/>
      <c r="X366" s="12"/>
    </row>
    <row r="367" customFormat="false" ht="15.75" hidden="false" customHeight="false" outlineLevel="0" collapsed="false">
      <c r="A367" s="12"/>
      <c r="B367" s="34"/>
      <c r="C367" s="12"/>
      <c r="D367" s="12"/>
      <c r="E367" s="12"/>
      <c r="F367" s="12"/>
      <c r="G367" s="18"/>
      <c r="H367" s="35"/>
      <c r="I367" s="12"/>
      <c r="M367" s="12"/>
      <c r="N367" s="18"/>
      <c r="O367" s="12"/>
      <c r="P367" s="12"/>
      <c r="Q367" s="12"/>
      <c r="R367" s="36"/>
      <c r="S367" s="36"/>
      <c r="T367" s="12"/>
      <c r="U367" s="12"/>
      <c r="V367" s="12"/>
      <c r="W367" s="12"/>
      <c r="X367" s="12"/>
    </row>
    <row r="368" customFormat="false" ht="15.75" hidden="false" customHeight="false" outlineLevel="0" collapsed="false">
      <c r="A368" s="12"/>
      <c r="B368" s="34"/>
      <c r="C368" s="12"/>
      <c r="D368" s="12"/>
      <c r="E368" s="12"/>
      <c r="F368" s="12"/>
      <c r="G368" s="18"/>
      <c r="H368" s="35"/>
      <c r="I368" s="12"/>
      <c r="M368" s="12"/>
      <c r="N368" s="18"/>
      <c r="O368" s="12"/>
      <c r="P368" s="12"/>
      <c r="Q368" s="12"/>
      <c r="R368" s="36"/>
      <c r="S368" s="36"/>
      <c r="T368" s="12"/>
      <c r="U368" s="12"/>
      <c r="V368" s="12"/>
      <c r="W368" s="12"/>
      <c r="X368" s="12"/>
    </row>
    <row r="369" customFormat="false" ht="15.75" hidden="false" customHeight="false" outlineLevel="0" collapsed="false">
      <c r="A369" s="12"/>
      <c r="B369" s="34"/>
      <c r="C369" s="12"/>
      <c r="D369" s="12"/>
      <c r="E369" s="12"/>
      <c r="F369" s="12"/>
      <c r="G369" s="18"/>
      <c r="H369" s="35"/>
      <c r="I369" s="12"/>
      <c r="M369" s="12"/>
      <c r="N369" s="18"/>
      <c r="O369" s="12"/>
      <c r="P369" s="12"/>
      <c r="Q369" s="12"/>
      <c r="R369" s="36"/>
      <c r="S369" s="36"/>
      <c r="T369" s="12"/>
      <c r="U369" s="12"/>
      <c r="V369" s="12"/>
      <c r="W369" s="12"/>
      <c r="X369" s="12"/>
    </row>
    <row r="370" customFormat="false" ht="15.75" hidden="false" customHeight="false" outlineLevel="0" collapsed="false">
      <c r="A370" s="12"/>
      <c r="B370" s="34"/>
      <c r="C370" s="12"/>
      <c r="D370" s="12"/>
      <c r="E370" s="12"/>
      <c r="F370" s="12"/>
      <c r="G370" s="18"/>
      <c r="H370" s="35"/>
      <c r="I370" s="12"/>
      <c r="M370" s="12"/>
      <c r="N370" s="18"/>
      <c r="O370" s="12"/>
      <c r="P370" s="12"/>
      <c r="Q370" s="12"/>
      <c r="R370" s="36"/>
      <c r="S370" s="36"/>
      <c r="T370" s="12"/>
      <c r="U370" s="12"/>
      <c r="V370" s="12"/>
      <c r="W370" s="12"/>
      <c r="X370" s="12"/>
    </row>
    <row r="371" customFormat="false" ht="15.75" hidden="false" customHeight="false" outlineLevel="0" collapsed="false">
      <c r="A371" s="12"/>
      <c r="B371" s="34"/>
      <c r="C371" s="12"/>
      <c r="D371" s="12"/>
      <c r="E371" s="12"/>
      <c r="F371" s="12"/>
      <c r="G371" s="18"/>
      <c r="H371" s="35"/>
      <c r="I371" s="12"/>
      <c r="M371" s="12"/>
      <c r="N371" s="18"/>
      <c r="O371" s="12"/>
      <c r="P371" s="12"/>
      <c r="Q371" s="12"/>
      <c r="R371" s="36"/>
      <c r="S371" s="36"/>
      <c r="T371" s="12"/>
      <c r="U371" s="12"/>
      <c r="V371" s="12"/>
      <c r="W371" s="12"/>
      <c r="X371" s="12"/>
    </row>
    <row r="372" customFormat="false" ht="15.75" hidden="false" customHeight="false" outlineLevel="0" collapsed="false">
      <c r="A372" s="12"/>
      <c r="B372" s="34"/>
      <c r="C372" s="12"/>
      <c r="D372" s="12"/>
      <c r="E372" s="12"/>
      <c r="F372" s="12"/>
      <c r="G372" s="18"/>
      <c r="H372" s="35"/>
      <c r="I372" s="12"/>
      <c r="M372" s="12"/>
      <c r="N372" s="18"/>
      <c r="O372" s="12"/>
      <c r="P372" s="12"/>
      <c r="Q372" s="12"/>
      <c r="R372" s="36"/>
      <c r="S372" s="36"/>
      <c r="T372" s="12"/>
      <c r="U372" s="12"/>
      <c r="V372" s="12"/>
      <c r="W372" s="12"/>
      <c r="X372" s="12"/>
    </row>
    <row r="373" customFormat="false" ht="15.75" hidden="false" customHeight="false" outlineLevel="0" collapsed="false">
      <c r="A373" s="12"/>
      <c r="B373" s="34"/>
      <c r="C373" s="12"/>
      <c r="D373" s="12"/>
      <c r="E373" s="12"/>
      <c r="F373" s="12"/>
      <c r="G373" s="18"/>
      <c r="H373" s="35"/>
      <c r="I373" s="12"/>
      <c r="M373" s="12"/>
      <c r="N373" s="18"/>
      <c r="O373" s="12"/>
      <c r="P373" s="12"/>
      <c r="Q373" s="12"/>
      <c r="R373" s="36"/>
      <c r="S373" s="36"/>
      <c r="T373" s="12"/>
      <c r="U373" s="12"/>
      <c r="V373" s="12"/>
      <c r="W373" s="12"/>
      <c r="X373" s="12"/>
    </row>
    <row r="374" customFormat="false" ht="15.75" hidden="false" customHeight="false" outlineLevel="0" collapsed="false">
      <c r="A374" s="12"/>
      <c r="B374" s="34"/>
      <c r="C374" s="12"/>
      <c r="D374" s="12"/>
      <c r="E374" s="12"/>
      <c r="F374" s="12"/>
      <c r="G374" s="18"/>
      <c r="H374" s="35"/>
      <c r="I374" s="12"/>
      <c r="M374" s="12"/>
      <c r="N374" s="18"/>
      <c r="O374" s="12"/>
      <c r="P374" s="12"/>
      <c r="Q374" s="12"/>
      <c r="R374" s="36"/>
      <c r="S374" s="36"/>
      <c r="T374" s="12"/>
      <c r="U374" s="12"/>
      <c r="V374" s="12"/>
      <c r="W374" s="12"/>
      <c r="X374" s="12"/>
    </row>
    <row r="375" customFormat="false" ht="15.75" hidden="false" customHeight="false" outlineLevel="0" collapsed="false">
      <c r="A375" s="12"/>
      <c r="B375" s="34"/>
      <c r="C375" s="12"/>
      <c r="D375" s="12"/>
      <c r="E375" s="12"/>
      <c r="F375" s="12"/>
      <c r="G375" s="18"/>
      <c r="H375" s="35"/>
      <c r="I375" s="12"/>
      <c r="M375" s="12"/>
      <c r="N375" s="18"/>
      <c r="O375" s="12"/>
      <c r="P375" s="12"/>
      <c r="Q375" s="12"/>
      <c r="R375" s="36"/>
      <c r="S375" s="36"/>
      <c r="T375" s="12"/>
      <c r="U375" s="12"/>
      <c r="V375" s="12"/>
      <c r="W375" s="12"/>
      <c r="X375" s="12"/>
    </row>
    <row r="376" customFormat="false" ht="15.75" hidden="false" customHeight="false" outlineLevel="0" collapsed="false">
      <c r="A376" s="12"/>
      <c r="B376" s="34"/>
      <c r="C376" s="12"/>
      <c r="D376" s="12"/>
      <c r="E376" s="12"/>
      <c r="F376" s="12"/>
      <c r="G376" s="18"/>
      <c r="H376" s="35"/>
      <c r="I376" s="12"/>
      <c r="M376" s="12"/>
      <c r="N376" s="18"/>
      <c r="O376" s="12"/>
      <c r="P376" s="12"/>
      <c r="Q376" s="12"/>
      <c r="R376" s="36"/>
      <c r="S376" s="36"/>
      <c r="T376" s="12"/>
      <c r="U376" s="12"/>
      <c r="V376" s="12"/>
      <c r="W376" s="12"/>
      <c r="X376" s="12"/>
    </row>
    <row r="377" customFormat="false" ht="15.75" hidden="false" customHeight="false" outlineLevel="0" collapsed="false">
      <c r="A377" s="12"/>
      <c r="B377" s="34"/>
      <c r="C377" s="12"/>
      <c r="D377" s="12"/>
      <c r="E377" s="12"/>
      <c r="F377" s="12"/>
      <c r="G377" s="18"/>
      <c r="H377" s="35"/>
      <c r="I377" s="12"/>
      <c r="M377" s="12"/>
      <c r="N377" s="18"/>
      <c r="O377" s="12"/>
      <c r="P377" s="12"/>
      <c r="Q377" s="12"/>
      <c r="R377" s="36"/>
      <c r="S377" s="36"/>
      <c r="T377" s="12"/>
      <c r="U377" s="12"/>
      <c r="V377" s="12"/>
      <c r="W377" s="12"/>
      <c r="X377" s="12"/>
    </row>
    <row r="378" customFormat="false" ht="15.75" hidden="false" customHeight="false" outlineLevel="0" collapsed="false">
      <c r="A378" s="12"/>
      <c r="B378" s="34"/>
      <c r="C378" s="12"/>
      <c r="D378" s="12"/>
      <c r="E378" s="12"/>
      <c r="F378" s="12"/>
      <c r="G378" s="18"/>
      <c r="H378" s="35"/>
      <c r="I378" s="12"/>
      <c r="M378" s="12"/>
      <c r="N378" s="18"/>
      <c r="O378" s="12"/>
      <c r="P378" s="12"/>
      <c r="Q378" s="12"/>
      <c r="R378" s="36"/>
      <c r="S378" s="36"/>
      <c r="T378" s="12"/>
      <c r="U378" s="12"/>
      <c r="V378" s="12"/>
      <c r="W378" s="12"/>
      <c r="X378" s="12"/>
    </row>
    <row r="379" customFormat="false" ht="15.75" hidden="false" customHeight="false" outlineLevel="0" collapsed="false">
      <c r="A379" s="12"/>
      <c r="B379" s="34"/>
      <c r="C379" s="12"/>
      <c r="D379" s="12"/>
      <c r="E379" s="12"/>
      <c r="F379" s="12"/>
      <c r="G379" s="18"/>
      <c r="H379" s="35"/>
      <c r="I379" s="12"/>
      <c r="M379" s="12"/>
      <c r="N379" s="18"/>
      <c r="O379" s="12"/>
      <c r="P379" s="12"/>
      <c r="Q379" s="12"/>
      <c r="R379" s="36"/>
      <c r="S379" s="36"/>
      <c r="T379" s="12"/>
      <c r="U379" s="12"/>
      <c r="V379" s="12"/>
      <c r="W379" s="12"/>
      <c r="X379" s="12"/>
    </row>
    <row r="380" customFormat="false" ht="15.75" hidden="false" customHeight="false" outlineLevel="0" collapsed="false">
      <c r="A380" s="12"/>
      <c r="B380" s="34"/>
      <c r="C380" s="12"/>
      <c r="D380" s="12"/>
      <c r="E380" s="12"/>
      <c r="F380" s="12"/>
      <c r="G380" s="18"/>
      <c r="H380" s="35"/>
      <c r="I380" s="12"/>
      <c r="M380" s="12"/>
      <c r="N380" s="18"/>
      <c r="O380" s="12"/>
      <c r="P380" s="12"/>
      <c r="Q380" s="12"/>
      <c r="R380" s="36"/>
      <c r="S380" s="36"/>
      <c r="T380" s="12"/>
      <c r="U380" s="12"/>
      <c r="V380" s="12"/>
      <c r="W380" s="12"/>
      <c r="X380" s="12"/>
    </row>
    <row r="381" customFormat="false" ht="15.75" hidden="false" customHeight="false" outlineLevel="0" collapsed="false">
      <c r="A381" s="12"/>
      <c r="B381" s="34"/>
      <c r="C381" s="12"/>
      <c r="D381" s="12"/>
      <c r="E381" s="12"/>
      <c r="F381" s="12"/>
      <c r="G381" s="18"/>
      <c r="H381" s="35"/>
      <c r="I381" s="12"/>
      <c r="M381" s="12"/>
      <c r="N381" s="18"/>
      <c r="O381" s="12"/>
      <c r="P381" s="12"/>
      <c r="Q381" s="12"/>
      <c r="R381" s="36"/>
      <c r="S381" s="36"/>
      <c r="T381" s="12"/>
      <c r="U381" s="12"/>
      <c r="V381" s="12"/>
      <c r="W381" s="12"/>
      <c r="X381" s="12"/>
    </row>
    <row r="382" customFormat="false" ht="15.75" hidden="false" customHeight="false" outlineLevel="0" collapsed="false">
      <c r="A382" s="12"/>
      <c r="B382" s="34"/>
      <c r="C382" s="12"/>
      <c r="D382" s="12"/>
      <c r="E382" s="12"/>
      <c r="F382" s="12"/>
      <c r="G382" s="18"/>
      <c r="H382" s="35"/>
      <c r="I382" s="12"/>
      <c r="M382" s="12"/>
      <c r="N382" s="18"/>
      <c r="O382" s="12"/>
      <c r="P382" s="12"/>
      <c r="Q382" s="12"/>
      <c r="R382" s="36"/>
      <c r="S382" s="36"/>
      <c r="T382" s="12"/>
      <c r="U382" s="12"/>
      <c r="V382" s="12"/>
      <c r="W382" s="12"/>
      <c r="X382" s="12"/>
    </row>
    <row r="383" customFormat="false" ht="15.75" hidden="false" customHeight="false" outlineLevel="0" collapsed="false">
      <c r="A383" s="12"/>
      <c r="B383" s="34"/>
      <c r="C383" s="12"/>
      <c r="D383" s="12"/>
      <c r="E383" s="12"/>
      <c r="F383" s="12"/>
      <c r="G383" s="18"/>
      <c r="H383" s="35"/>
      <c r="I383" s="12"/>
      <c r="M383" s="12"/>
      <c r="N383" s="18"/>
      <c r="O383" s="12"/>
      <c r="P383" s="12"/>
      <c r="Q383" s="12"/>
      <c r="R383" s="36"/>
      <c r="S383" s="36"/>
      <c r="T383" s="12"/>
      <c r="U383" s="12"/>
      <c r="V383" s="12"/>
      <c r="W383" s="12"/>
      <c r="X383" s="12"/>
    </row>
    <row r="384" customFormat="false" ht="15.75" hidden="false" customHeight="false" outlineLevel="0" collapsed="false">
      <c r="A384" s="12"/>
      <c r="B384" s="34"/>
      <c r="C384" s="12"/>
      <c r="D384" s="12"/>
      <c r="E384" s="12"/>
      <c r="F384" s="12"/>
      <c r="G384" s="18"/>
      <c r="H384" s="35"/>
      <c r="I384" s="12"/>
      <c r="M384" s="12"/>
      <c r="N384" s="18"/>
      <c r="O384" s="12"/>
      <c r="P384" s="12"/>
      <c r="Q384" s="12"/>
      <c r="R384" s="36"/>
      <c r="S384" s="36"/>
      <c r="T384" s="12"/>
      <c r="U384" s="12"/>
      <c r="V384" s="12"/>
      <c r="W384" s="12"/>
      <c r="X384" s="12"/>
    </row>
    <row r="385" customFormat="false" ht="15.75" hidden="false" customHeight="false" outlineLevel="0" collapsed="false">
      <c r="A385" s="12"/>
      <c r="B385" s="34"/>
      <c r="C385" s="12"/>
      <c r="D385" s="12"/>
      <c r="E385" s="12"/>
      <c r="F385" s="12"/>
      <c r="G385" s="18"/>
      <c r="H385" s="35"/>
      <c r="I385" s="12"/>
      <c r="M385" s="12"/>
      <c r="N385" s="18"/>
      <c r="O385" s="12"/>
      <c r="P385" s="12"/>
      <c r="Q385" s="12"/>
      <c r="R385" s="36"/>
      <c r="S385" s="36"/>
      <c r="T385" s="12"/>
      <c r="U385" s="12"/>
      <c r="V385" s="12"/>
      <c r="W385" s="12"/>
      <c r="X385" s="12"/>
    </row>
    <row r="386" customFormat="false" ht="15.75" hidden="false" customHeight="false" outlineLevel="0" collapsed="false">
      <c r="A386" s="12"/>
      <c r="B386" s="34"/>
      <c r="C386" s="12"/>
      <c r="D386" s="12"/>
      <c r="E386" s="12"/>
      <c r="F386" s="12"/>
      <c r="G386" s="18"/>
      <c r="H386" s="35"/>
      <c r="I386" s="12"/>
      <c r="M386" s="12"/>
      <c r="N386" s="18"/>
      <c r="O386" s="12"/>
      <c r="P386" s="12"/>
      <c r="Q386" s="12"/>
      <c r="R386" s="36"/>
      <c r="S386" s="36"/>
      <c r="T386" s="12"/>
      <c r="U386" s="12"/>
      <c r="V386" s="12"/>
      <c r="W386" s="12"/>
      <c r="X386" s="12"/>
    </row>
    <row r="387" customFormat="false" ht="15.75" hidden="false" customHeight="false" outlineLevel="0" collapsed="false">
      <c r="A387" s="12"/>
      <c r="B387" s="34"/>
      <c r="C387" s="12"/>
      <c r="D387" s="12"/>
      <c r="E387" s="12"/>
      <c r="F387" s="12"/>
      <c r="G387" s="18"/>
      <c r="H387" s="35"/>
      <c r="I387" s="12"/>
      <c r="M387" s="12"/>
      <c r="N387" s="18"/>
      <c r="O387" s="12"/>
      <c r="P387" s="12"/>
      <c r="Q387" s="12"/>
      <c r="R387" s="36"/>
      <c r="S387" s="36"/>
      <c r="T387" s="12"/>
      <c r="U387" s="12"/>
      <c r="V387" s="12"/>
      <c r="W387" s="12"/>
      <c r="X387" s="12"/>
    </row>
    <row r="388" customFormat="false" ht="15.75" hidden="false" customHeight="false" outlineLevel="0" collapsed="false">
      <c r="A388" s="12"/>
      <c r="B388" s="34"/>
      <c r="C388" s="12"/>
      <c r="D388" s="12"/>
      <c r="E388" s="12"/>
      <c r="F388" s="12"/>
      <c r="G388" s="18"/>
      <c r="H388" s="35"/>
      <c r="I388" s="12"/>
      <c r="M388" s="12"/>
      <c r="N388" s="18"/>
      <c r="O388" s="12"/>
      <c r="P388" s="12"/>
      <c r="Q388" s="12"/>
      <c r="R388" s="36"/>
      <c r="S388" s="36"/>
      <c r="T388" s="12"/>
      <c r="U388" s="12"/>
      <c r="V388" s="12"/>
      <c r="W388" s="12"/>
      <c r="X388" s="12"/>
    </row>
    <row r="389" customFormat="false" ht="15.75" hidden="false" customHeight="false" outlineLevel="0" collapsed="false">
      <c r="A389" s="12"/>
      <c r="B389" s="34"/>
      <c r="C389" s="12"/>
      <c r="D389" s="12"/>
      <c r="E389" s="12"/>
      <c r="F389" s="12"/>
      <c r="G389" s="18"/>
      <c r="H389" s="35"/>
      <c r="I389" s="12"/>
      <c r="M389" s="12"/>
      <c r="N389" s="18"/>
      <c r="O389" s="12"/>
      <c r="P389" s="12"/>
      <c r="Q389" s="12"/>
      <c r="R389" s="36"/>
      <c r="S389" s="36"/>
      <c r="T389" s="12"/>
      <c r="U389" s="12"/>
      <c r="V389" s="12"/>
      <c r="W389" s="12"/>
      <c r="X389" s="12"/>
    </row>
    <row r="390" customFormat="false" ht="15.75" hidden="false" customHeight="false" outlineLevel="0" collapsed="false">
      <c r="A390" s="12"/>
      <c r="B390" s="34"/>
      <c r="C390" s="12"/>
      <c r="D390" s="12"/>
      <c r="E390" s="12"/>
      <c r="F390" s="12"/>
      <c r="G390" s="18"/>
      <c r="H390" s="35"/>
      <c r="I390" s="12"/>
      <c r="M390" s="12"/>
      <c r="N390" s="18"/>
      <c r="O390" s="12"/>
      <c r="P390" s="12"/>
      <c r="Q390" s="12"/>
      <c r="R390" s="36"/>
      <c r="S390" s="36"/>
      <c r="T390" s="12"/>
      <c r="U390" s="12"/>
      <c r="V390" s="12"/>
      <c r="W390" s="12"/>
      <c r="X390" s="12"/>
    </row>
    <row r="391" customFormat="false" ht="15.75" hidden="false" customHeight="false" outlineLevel="0" collapsed="false">
      <c r="A391" s="12"/>
      <c r="B391" s="34"/>
      <c r="C391" s="12"/>
      <c r="D391" s="12"/>
      <c r="E391" s="12"/>
      <c r="F391" s="12"/>
      <c r="G391" s="18"/>
      <c r="H391" s="35"/>
      <c r="I391" s="12"/>
      <c r="M391" s="12"/>
      <c r="N391" s="18"/>
      <c r="O391" s="12"/>
      <c r="P391" s="12"/>
      <c r="Q391" s="12"/>
      <c r="R391" s="36"/>
      <c r="S391" s="36"/>
      <c r="T391" s="12"/>
      <c r="U391" s="12"/>
      <c r="V391" s="12"/>
      <c r="W391" s="12"/>
      <c r="X391" s="12"/>
    </row>
    <row r="392" customFormat="false" ht="15.75" hidden="false" customHeight="false" outlineLevel="0" collapsed="false">
      <c r="A392" s="12"/>
      <c r="B392" s="34"/>
      <c r="C392" s="12"/>
      <c r="D392" s="12"/>
      <c r="E392" s="12"/>
      <c r="F392" s="12"/>
      <c r="G392" s="18"/>
      <c r="H392" s="35"/>
      <c r="I392" s="12"/>
      <c r="M392" s="12"/>
      <c r="N392" s="18"/>
      <c r="O392" s="12"/>
      <c r="P392" s="12"/>
      <c r="Q392" s="12"/>
      <c r="R392" s="36"/>
      <c r="S392" s="36"/>
      <c r="T392" s="12"/>
      <c r="U392" s="12"/>
      <c r="V392" s="12"/>
      <c r="W392" s="12"/>
      <c r="X392" s="12"/>
    </row>
    <row r="393" customFormat="false" ht="15.75" hidden="false" customHeight="false" outlineLevel="0" collapsed="false">
      <c r="A393" s="12"/>
      <c r="B393" s="34"/>
      <c r="C393" s="12"/>
      <c r="D393" s="12"/>
      <c r="E393" s="12"/>
      <c r="F393" s="12"/>
      <c r="G393" s="18"/>
      <c r="H393" s="35"/>
      <c r="I393" s="12"/>
      <c r="M393" s="12"/>
      <c r="N393" s="18"/>
      <c r="O393" s="12"/>
      <c r="P393" s="12"/>
      <c r="Q393" s="12"/>
      <c r="R393" s="36"/>
      <c r="S393" s="36"/>
      <c r="T393" s="12"/>
      <c r="U393" s="12"/>
      <c r="V393" s="12"/>
      <c r="W393" s="12"/>
      <c r="X393" s="12"/>
    </row>
    <row r="394" customFormat="false" ht="15.75" hidden="false" customHeight="false" outlineLevel="0" collapsed="false">
      <c r="A394" s="12"/>
      <c r="B394" s="34"/>
      <c r="C394" s="12"/>
      <c r="D394" s="12"/>
      <c r="E394" s="12"/>
      <c r="F394" s="12"/>
      <c r="G394" s="18"/>
      <c r="H394" s="35"/>
      <c r="I394" s="12"/>
      <c r="M394" s="12"/>
      <c r="N394" s="18"/>
      <c r="O394" s="12"/>
      <c r="P394" s="12"/>
      <c r="Q394" s="12"/>
      <c r="R394" s="36"/>
      <c r="S394" s="36"/>
      <c r="T394" s="12"/>
      <c r="U394" s="12"/>
      <c r="V394" s="12"/>
      <c r="W394" s="12"/>
      <c r="X394" s="12"/>
    </row>
    <row r="395" customFormat="false" ht="15.75" hidden="false" customHeight="false" outlineLevel="0" collapsed="false">
      <c r="A395" s="12"/>
      <c r="B395" s="34"/>
      <c r="C395" s="12"/>
      <c r="D395" s="12"/>
      <c r="E395" s="12"/>
      <c r="F395" s="12"/>
      <c r="G395" s="18"/>
      <c r="H395" s="35"/>
      <c r="I395" s="12"/>
      <c r="M395" s="12"/>
      <c r="N395" s="18"/>
      <c r="O395" s="12"/>
      <c r="P395" s="12"/>
      <c r="Q395" s="12"/>
      <c r="R395" s="36"/>
      <c r="S395" s="36"/>
      <c r="T395" s="12"/>
      <c r="U395" s="12"/>
      <c r="V395" s="12"/>
      <c r="W395" s="12"/>
      <c r="X395" s="12"/>
    </row>
    <row r="396" customFormat="false" ht="15.75" hidden="false" customHeight="false" outlineLevel="0" collapsed="false">
      <c r="A396" s="12"/>
      <c r="B396" s="34"/>
      <c r="C396" s="12"/>
      <c r="D396" s="12"/>
      <c r="E396" s="12"/>
      <c r="F396" s="12"/>
      <c r="G396" s="18"/>
      <c r="H396" s="35"/>
      <c r="I396" s="12"/>
      <c r="M396" s="12"/>
      <c r="N396" s="18"/>
      <c r="O396" s="12"/>
      <c r="P396" s="12"/>
      <c r="Q396" s="12"/>
      <c r="R396" s="36"/>
      <c r="S396" s="36"/>
      <c r="T396" s="12"/>
      <c r="U396" s="12"/>
      <c r="V396" s="12"/>
      <c r="W396" s="12"/>
      <c r="X396" s="12"/>
    </row>
    <row r="397" customFormat="false" ht="15.75" hidden="false" customHeight="false" outlineLevel="0" collapsed="false">
      <c r="A397" s="12"/>
      <c r="B397" s="34"/>
      <c r="C397" s="12"/>
      <c r="D397" s="12"/>
      <c r="E397" s="12"/>
      <c r="F397" s="12"/>
      <c r="G397" s="18"/>
      <c r="H397" s="35"/>
      <c r="I397" s="12"/>
      <c r="M397" s="12"/>
      <c r="N397" s="18"/>
      <c r="O397" s="12"/>
      <c r="P397" s="12"/>
      <c r="Q397" s="12"/>
      <c r="R397" s="36"/>
      <c r="S397" s="36"/>
      <c r="T397" s="12"/>
      <c r="U397" s="12"/>
      <c r="V397" s="12"/>
      <c r="W397" s="12"/>
      <c r="X397" s="12"/>
    </row>
    <row r="398" customFormat="false" ht="15.75" hidden="false" customHeight="false" outlineLevel="0" collapsed="false">
      <c r="A398" s="12"/>
      <c r="B398" s="34"/>
      <c r="C398" s="12"/>
      <c r="D398" s="12"/>
      <c r="E398" s="12"/>
      <c r="F398" s="12"/>
      <c r="G398" s="18"/>
      <c r="H398" s="35"/>
      <c r="I398" s="12"/>
      <c r="M398" s="12"/>
      <c r="N398" s="18"/>
      <c r="O398" s="12"/>
      <c r="P398" s="12"/>
      <c r="Q398" s="12"/>
      <c r="R398" s="36"/>
      <c r="S398" s="36"/>
      <c r="T398" s="12"/>
      <c r="U398" s="12"/>
      <c r="V398" s="12"/>
      <c r="W398" s="12"/>
      <c r="X398" s="12"/>
    </row>
    <row r="399" customFormat="false" ht="15.75" hidden="false" customHeight="false" outlineLevel="0" collapsed="false">
      <c r="A399" s="12"/>
      <c r="B399" s="34"/>
      <c r="C399" s="12"/>
      <c r="D399" s="12"/>
      <c r="E399" s="12"/>
      <c r="F399" s="12"/>
      <c r="G399" s="18"/>
      <c r="H399" s="35"/>
      <c r="I399" s="12"/>
      <c r="M399" s="12"/>
      <c r="N399" s="18"/>
      <c r="O399" s="12"/>
      <c r="P399" s="12"/>
      <c r="Q399" s="12"/>
      <c r="R399" s="36"/>
      <c r="S399" s="36"/>
      <c r="T399" s="12"/>
      <c r="U399" s="12"/>
      <c r="V399" s="12"/>
      <c r="W399" s="12"/>
      <c r="X399" s="12"/>
    </row>
    <row r="400" customFormat="false" ht="15.75" hidden="false" customHeight="false" outlineLevel="0" collapsed="false">
      <c r="A400" s="12"/>
      <c r="B400" s="34"/>
      <c r="C400" s="12"/>
      <c r="D400" s="12"/>
      <c r="E400" s="12"/>
      <c r="F400" s="12"/>
      <c r="G400" s="18"/>
      <c r="H400" s="35"/>
      <c r="I400" s="12"/>
      <c r="M400" s="12"/>
      <c r="N400" s="18"/>
      <c r="O400" s="12"/>
      <c r="P400" s="12"/>
      <c r="Q400" s="12"/>
      <c r="R400" s="36"/>
      <c r="S400" s="36"/>
      <c r="T400" s="12"/>
      <c r="U400" s="12"/>
      <c r="V400" s="12"/>
      <c r="W400" s="12"/>
      <c r="X400" s="12"/>
    </row>
    <row r="401" customFormat="false" ht="15.75" hidden="false" customHeight="false" outlineLevel="0" collapsed="false">
      <c r="A401" s="12"/>
      <c r="B401" s="34"/>
      <c r="C401" s="12"/>
      <c r="D401" s="12"/>
      <c r="E401" s="12"/>
      <c r="F401" s="12"/>
      <c r="G401" s="18"/>
      <c r="H401" s="35"/>
      <c r="I401" s="12"/>
      <c r="M401" s="12"/>
      <c r="N401" s="18"/>
      <c r="O401" s="12"/>
      <c r="P401" s="12"/>
      <c r="Q401" s="12"/>
      <c r="R401" s="36"/>
      <c r="S401" s="36"/>
      <c r="T401" s="12"/>
      <c r="U401" s="12"/>
      <c r="V401" s="12"/>
      <c r="W401" s="12"/>
      <c r="X401" s="12"/>
    </row>
    <row r="402" customFormat="false" ht="15.75" hidden="false" customHeight="false" outlineLevel="0" collapsed="false">
      <c r="A402" s="12"/>
      <c r="B402" s="34"/>
      <c r="C402" s="12"/>
      <c r="D402" s="12"/>
      <c r="E402" s="12"/>
      <c r="F402" s="12"/>
      <c r="G402" s="18"/>
      <c r="H402" s="35"/>
      <c r="I402" s="12"/>
      <c r="M402" s="12"/>
      <c r="N402" s="18"/>
      <c r="O402" s="12"/>
      <c r="P402" s="12"/>
      <c r="Q402" s="12"/>
      <c r="R402" s="36"/>
      <c r="S402" s="36"/>
      <c r="T402" s="12"/>
      <c r="U402" s="12"/>
      <c r="V402" s="12"/>
      <c r="W402" s="12"/>
      <c r="X402" s="12"/>
    </row>
    <row r="403" customFormat="false" ht="15.75" hidden="false" customHeight="false" outlineLevel="0" collapsed="false">
      <c r="A403" s="12"/>
      <c r="B403" s="34"/>
      <c r="C403" s="12"/>
      <c r="D403" s="12"/>
      <c r="E403" s="12"/>
      <c r="F403" s="12"/>
      <c r="G403" s="18"/>
      <c r="H403" s="35"/>
      <c r="I403" s="12"/>
      <c r="M403" s="12"/>
      <c r="N403" s="18"/>
      <c r="O403" s="12"/>
      <c r="P403" s="12"/>
      <c r="Q403" s="12"/>
      <c r="R403" s="36"/>
      <c r="S403" s="36"/>
      <c r="T403" s="12"/>
      <c r="U403" s="12"/>
      <c r="V403" s="12"/>
      <c r="W403" s="12"/>
      <c r="X403" s="12"/>
    </row>
    <row r="404" customFormat="false" ht="15.75" hidden="false" customHeight="false" outlineLevel="0" collapsed="false">
      <c r="A404" s="12"/>
      <c r="B404" s="34"/>
      <c r="C404" s="12"/>
      <c r="D404" s="12"/>
      <c r="E404" s="12"/>
      <c r="F404" s="12"/>
      <c r="G404" s="18"/>
      <c r="H404" s="35"/>
      <c r="I404" s="12"/>
      <c r="M404" s="12"/>
      <c r="N404" s="18"/>
      <c r="O404" s="12"/>
      <c r="P404" s="12"/>
      <c r="Q404" s="12"/>
      <c r="R404" s="36"/>
      <c r="S404" s="36"/>
      <c r="T404" s="12"/>
      <c r="U404" s="12"/>
      <c r="V404" s="12"/>
      <c r="W404" s="12"/>
      <c r="X404" s="12"/>
    </row>
    <row r="405" customFormat="false" ht="15.75" hidden="false" customHeight="false" outlineLevel="0" collapsed="false">
      <c r="A405" s="12"/>
      <c r="B405" s="34"/>
      <c r="C405" s="12"/>
      <c r="D405" s="12"/>
      <c r="E405" s="12"/>
      <c r="F405" s="12"/>
      <c r="G405" s="18"/>
      <c r="H405" s="35"/>
      <c r="I405" s="12"/>
      <c r="M405" s="12"/>
      <c r="N405" s="18"/>
      <c r="O405" s="12"/>
      <c r="P405" s="12"/>
      <c r="Q405" s="12"/>
      <c r="R405" s="36"/>
      <c r="S405" s="36"/>
      <c r="T405" s="12"/>
      <c r="U405" s="12"/>
      <c r="V405" s="12"/>
      <c r="W405" s="12"/>
      <c r="X405" s="12"/>
    </row>
    <row r="406" customFormat="false" ht="15.75" hidden="false" customHeight="false" outlineLevel="0" collapsed="false">
      <c r="A406" s="12"/>
      <c r="B406" s="34"/>
      <c r="C406" s="12"/>
      <c r="D406" s="12"/>
      <c r="E406" s="12"/>
      <c r="F406" s="12"/>
      <c r="G406" s="18"/>
      <c r="H406" s="35"/>
      <c r="I406" s="12"/>
      <c r="M406" s="12"/>
      <c r="N406" s="18"/>
      <c r="O406" s="12"/>
      <c r="P406" s="12"/>
      <c r="Q406" s="12"/>
      <c r="R406" s="36"/>
      <c r="S406" s="36"/>
      <c r="T406" s="12"/>
      <c r="U406" s="12"/>
      <c r="V406" s="12"/>
      <c r="W406" s="12"/>
      <c r="X406" s="12"/>
    </row>
    <row r="407" customFormat="false" ht="15.75" hidden="false" customHeight="false" outlineLevel="0" collapsed="false">
      <c r="A407" s="12"/>
      <c r="B407" s="34"/>
      <c r="C407" s="12"/>
      <c r="D407" s="12"/>
      <c r="E407" s="12"/>
      <c r="F407" s="12"/>
      <c r="G407" s="18"/>
      <c r="H407" s="35"/>
      <c r="I407" s="12"/>
      <c r="M407" s="12"/>
      <c r="N407" s="18"/>
      <c r="O407" s="12"/>
      <c r="P407" s="12"/>
      <c r="Q407" s="12"/>
      <c r="R407" s="36"/>
      <c r="S407" s="36"/>
      <c r="T407" s="12"/>
      <c r="U407" s="12"/>
      <c r="V407" s="12"/>
      <c r="W407" s="12"/>
      <c r="X407" s="12"/>
    </row>
    <row r="408" customFormat="false" ht="15.75" hidden="false" customHeight="false" outlineLevel="0" collapsed="false">
      <c r="A408" s="12"/>
      <c r="B408" s="34"/>
      <c r="C408" s="12"/>
      <c r="D408" s="12"/>
      <c r="E408" s="12"/>
      <c r="F408" s="12"/>
      <c r="G408" s="18"/>
      <c r="H408" s="35"/>
      <c r="I408" s="12"/>
      <c r="M408" s="12"/>
      <c r="N408" s="18"/>
      <c r="O408" s="12"/>
      <c r="P408" s="12"/>
      <c r="Q408" s="12"/>
      <c r="R408" s="36"/>
      <c r="S408" s="36"/>
      <c r="T408" s="12"/>
      <c r="U408" s="12"/>
      <c r="V408" s="12"/>
      <c r="W408" s="12"/>
      <c r="X408" s="12"/>
    </row>
    <row r="409" customFormat="false" ht="15.75" hidden="false" customHeight="false" outlineLevel="0" collapsed="false">
      <c r="A409" s="12"/>
      <c r="B409" s="34"/>
      <c r="C409" s="12"/>
      <c r="D409" s="12"/>
      <c r="E409" s="12"/>
      <c r="F409" s="12"/>
      <c r="G409" s="18"/>
      <c r="H409" s="35"/>
      <c r="I409" s="12"/>
      <c r="M409" s="12"/>
      <c r="N409" s="18"/>
      <c r="O409" s="12"/>
      <c r="P409" s="12"/>
      <c r="Q409" s="12"/>
      <c r="R409" s="36"/>
      <c r="S409" s="36"/>
      <c r="T409" s="12"/>
      <c r="U409" s="12"/>
      <c r="V409" s="12"/>
      <c r="W409" s="12"/>
      <c r="X409" s="12"/>
    </row>
    <row r="410" customFormat="false" ht="15.75" hidden="false" customHeight="false" outlineLevel="0" collapsed="false">
      <c r="A410" s="12"/>
      <c r="B410" s="34"/>
      <c r="C410" s="12"/>
      <c r="D410" s="12"/>
      <c r="E410" s="12"/>
      <c r="F410" s="12"/>
      <c r="G410" s="18"/>
      <c r="H410" s="35"/>
      <c r="I410" s="12"/>
      <c r="M410" s="12"/>
      <c r="N410" s="18"/>
      <c r="O410" s="12"/>
      <c r="P410" s="12"/>
      <c r="Q410" s="12"/>
      <c r="R410" s="36"/>
      <c r="S410" s="36"/>
      <c r="T410" s="12"/>
      <c r="U410" s="12"/>
      <c r="V410" s="12"/>
      <c r="W410" s="12"/>
      <c r="X410" s="12"/>
    </row>
    <row r="411" customFormat="false" ht="15.75" hidden="false" customHeight="false" outlineLevel="0" collapsed="false">
      <c r="A411" s="12"/>
      <c r="B411" s="34"/>
      <c r="C411" s="12"/>
      <c r="D411" s="12"/>
      <c r="E411" s="12"/>
      <c r="F411" s="12"/>
      <c r="G411" s="18"/>
      <c r="H411" s="35"/>
      <c r="I411" s="12"/>
      <c r="M411" s="12"/>
      <c r="N411" s="18"/>
      <c r="O411" s="12"/>
      <c r="P411" s="12"/>
      <c r="Q411" s="12"/>
      <c r="R411" s="36"/>
      <c r="S411" s="36"/>
      <c r="T411" s="12"/>
      <c r="U411" s="12"/>
      <c r="V411" s="12"/>
      <c r="W411" s="12"/>
      <c r="X411" s="12"/>
    </row>
    <row r="412" customFormat="false" ht="15.75" hidden="false" customHeight="false" outlineLevel="0" collapsed="false">
      <c r="A412" s="12"/>
      <c r="B412" s="34"/>
      <c r="C412" s="12"/>
      <c r="D412" s="12"/>
      <c r="E412" s="12"/>
      <c r="F412" s="12"/>
      <c r="G412" s="18"/>
      <c r="H412" s="35"/>
      <c r="I412" s="12"/>
      <c r="M412" s="12"/>
      <c r="N412" s="18"/>
      <c r="O412" s="12"/>
      <c r="P412" s="12"/>
      <c r="Q412" s="12"/>
      <c r="R412" s="36"/>
      <c r="S412" s="36"/>
      <c r="T412" s="12"/>
      <c r="U412" s="12"/>
      <c r="V412" s="12"/>
      <c r="W412" s="12"/>
      <c r="X412" s="12"/>
    </row>
    <row r="413" customFormat="false" ht="15.75" hidden="false" customHeight="false" outlineLevel="0" collapsed="false">
      <c r="A413" s="12"/>
      <c r="B413" s="34"/>
      <c r="C413" s="12"/>
      <c r="D413" s="12"/>
      <c r="E413" s="12"/>
      <c r="F413" s="12"/>
      <c r="G413" s="18"/>
      <c r="H413" s="35"/>
      <c r="I413" s="12"/>
      <c r="M413" s="12"/>
      <c r="N413" s="18"/>
      <c r="O413" s="12"/>
      <c r="P413" s="12"/>
      <c r="Q413" s="12"/>
      <c r="R413" s="36"/>
      <c r="S413" s="36"/>
      <c r="T413" s="12"/>
      <c r="U413" s="12"/>
      <c r="V413" s="12"/>
      <c r="W413" s="12"/>
      <c r="X413" s="12"/>
    </row>
    <row r="414" customFormat="false" ht="15.75" hidden="false" customHeight="false" outlineLevel="0" collapsed="false">
      <c r="A414" s="12"/>
      <c r="B414" s="34"/>
      <c r="C414" s="12"/>
      <c r="D414" s="12"/>
      <c r="E414" s="12"/>
      <c r="F414" s="12"/>
      <c r="G414" s="18"/>
      <c r="H414" s="35"/>
      <c r="I414" s="12"/>
      <c r="M414" s="12"/>
      <c r="N414" s="18"/>
      <c r="O414" s="12"/>
      <c r="P414" s="12"/>
      <c r="Q414" s="12"/>
      <c r="R414" s="36"/>
      <c r="S414" s="36"/>
      <c r="T414" s="12"/>
      <c r="U414" s="12"/>
      <c r="V414" s="12"/>
      <c r="W414" s="12"/>
      <c r="X414" s="12"/>
    </row>
    <row r="415" customFormat="false" ht="15.75" hidden="false" customHeight="false" outlineLevel="0" collapsed="false">
      <c r="A415" s="12"/>
      <c r="B415" s="34"/>
      <c r="C415" s="12"/>
      <c r="D415" s="12"/>
      <c r="E415" s="12"/>
      <c r="F415" s="12"/>
      <c r="G415" s="18"/>
      <c r="H415" s="35"/>
      <c r="I415" s="12"/>
      <c r="M415" s="12"/>
      <c r="N415" s="18"/>
      <c r="O415" s="12"/>
      <c r="P415" s="12"/>
      <c r="Q415" s="12"/>
      <c r="R415" s="36"/>
      <c r="S415" s="36"/>
      <c r="T415" s="12"/>
      <c r="U415" s="12"/>
      <c r="V415" s="12"/>
      <c r="W415" s="12"/>
      <c r="X415" s="12"/>
    </row>
    <row r="416" customFormat="false" ht="15.75" hidden="false" customHeight="false" outlineLevel="0" collapsed="false">
      <c r="A416" s="12"/>
      <c r="B416" s="34"/>
      <c r="C416" s="12"/>
      <c r="D416" s="12"/>
      <c r="E416" s="12"/>
      <c r="F416" s="12"/>
      <c r="G416" s="18"/>
      <c r="H416" s="35"/>
      <c r="I416" s="12"/>
      <c r="M416" s="12"/>
      <c r="N416" s="18"/>
      <c r="O416" s="12"/>
      <c r="P416" s="12"/>
      <c r="Q416" s="12"/>
      <c r="R416" s="36"/>
      <c r="S416" s="36"/>
      <c r="T416" s="12"/>
      <c r="U416" s="12"/>
      <c r="V416" s="12"/>
      <c r="W416" s="12"/>
      <c r="X416" s="12"/>
    </row>
    <row r="417" customFormat="false" ht="15.75" hidden="false" customHeight="false" outlineLevel="0" collapsed="false">
      <c r="A417" s="12"/>
      <c r="B417" s="34"/>
      <c r="C417" s="12"/>
      <c r="D417" s="12"/>
      <c r="E417" s="12"/>
      <c r="F417" s="12"/>
      <c r="G417" s="18"/>
      <c r="H417" s="35"/>
      <c r="I417" s="12"/>
      <c r="M417" s="12"/>
      <c r="N417" s="18"/>
      <c r="O417" s="12"/>
      <c r="P417" s="12"/>
      <c r="Q417" s="12"/>
      <c r="R417" s="36"/>
      <c r="S417" s="36"/>
      <c r="T417" s="12"/>
      <c r="U417" s="12"/>
      <c r="V417" s="12"/>
      <c r="W417" s="12"/>
      <c r="X417" s="12"/>
    </row>
    <row r="418" customFormat="false" ht="15.75" hidden="false" customHeight="false" outlineLevel="0" collapsed="false">
      <c r="A418" s="12"/>
      <c r="B418" s="34"/>
      <c r="C418" s="12"/>
      <c r="D418" s="12"/>
      <c r="E418" s="12"/>
      <c r="F418" s="12"/>
      <c r="G418" s="18"/>
      <c r="H418" s="35"/>
      <c r="I418" s="12"/>
      <c r="M418" s="12"/>
      <c r="N418" s="18"/>
      <c r="O418" s="12"/>
      <c r="P418" s="12"/>
      <c r="Q418" s="12"/>
      <c r="R418" s="36"/>
      <c r="S418" s="36"/>
      <c r="T418" s="12"/>
      <c r="U418" s="12"/>
      <c r="V418" s="12"/>
      <c r="W418" s="12"/>
      <c r="X418" s="12"/>
    </row>
    <row r="419" customFormat="false" ht="15.75" hidden="false" customHeight="false" outlineLevel="0" collapsed="false">
      <c r="A419" s="12"/>
      <c r="B419" s="34"/>
      <c r="C419" s="12"/>
      <c r="D419" s="12"/>
      <c r="E419" s="12"/>
      <c r="F419" s="12"/>
      <c r="G419" s="18"/>
      <c r="H419" s="35"/>
      <c r="I419" s="12"/>
      <c r="M419" s="12"/>
      <c r="N419" s="18"/>
      <c r="O419" s="12"/>
      <c r="P419" s="12"/>
      <c r="Q419" s="12"/>
      <c r="R419" s="36"/>
      <c r="S419" s="36"/>
      <c r="T419" s="12"/>
      <c r="U419" s="12"/>
      <c r="V419" s="12"/>
      <c r="W419" s="12"/>
      <c r="X419" s="12"/>
    </row>
    <row r="420" customFormat="false" ht="15.75" hidden="false" customHeight="false" outlineLevel="0" collapsed="false">
      <c r="A420" s="12"/>
      <c r="B420" s="34"/>
      <c r="C420" s="12"/>
      <c r="D420" s="12"/>
      <c r="E420" s="12"/>
      <c r="F420" s="12"/>
      <c r="G420" s="18"/>
      <c r="H420" s="35"/>
      <c r="I420" s="12"/>
      <c r="M420" s="12"/>
      <c r="N420" s="18"/>
      <c r="O420" s="12"/>
      <c r="P420" s="12"/>
      <c r="Q420" s="12"/>
      <c r="R420" s="36"/>
      <c r="S420" s="36"/>
      <c r="T420" s="12"/>
      <c r="U420" s="12"/>
      <c r="V420" s="12"/>
      <c r="W420" s="12"/>
      <c r="X420" s="12"/>
    </row>
    <row r="421" customFormat="false" ht="15.75" hidden="false" customHeight="false" outlineLevel="0" collapsed="false">
      <c r="A421" s="12"/>
      <c r="B421" s="34"/>
      <c r="C421" s="12"/>
      <c r="D421" s="12"/>
      <c r="E421" s="12"/>
      <c r="F421" s="12"/>
      <c r="G421" s="18"/>
      <c r="H421" s="35"/>
      <c r="I421" s="12"/>
      <c r="M421" s="12"/>
      <c r="N421" s="18"/>
      <c r="O421" s="12"/>
      <c r="P421" s="12"/>
      <c r="Q421" s="12"/>
      <c r="R421" s="36"/>
      <c r="S421" s="36"/>
      <c r="T421" s="12"/>
      <c r="U421" s="12"/>
      <c r="V421" s="12"/>
      <c r="W421" s="12"/>
      <c r="X421" s="12"/>
    </row>
    <row r="422" customFormat="false" ht="15.75" hidden="false" customHeight="false" outlineLevel="0" collapsed="false">
      <c r="A422" s="12"/>
      <c r="B422" s="34"/>
      <c r="C422" s="12"/>
      <c r="D422" s="12"/>
      <c r="E422" s="12"/>
      <c r="F422" s="12"/>
      <c r="G422" s="18"/>
      <c r="H422" s="35"/>
      <c r="I422" s="12"/>
      <c r="M422" s="12"/>
      <c r="N422" s="18"/>
      <c r="O422" s="12"/>
      <c r="P422" s="12"/>
      <c r="Q422" s="12"/>
      <c r="R422" s="36"/>
      <c r="S422" s="36"/>
      <c r="T422" s="12"/>
      <c r="U422" s="12"/>
      <c r="V422" s="12"/>
      <c r="W422" s="12"/>
      <c r="X422" s="12"/>
    </row>
    <row r="423" customFormat="false" ht="15.75" hidden="false" customHeight="false" outlineLevel="0" collapsed="false">
      <c r="A423" s="12"/>
      <c r="B423" s="34"/>
      <c r="C423" s="12"/>
      <c r="D423" s="12"/>
      <c r="E423" s="12"/>
      <c r="F423" s="12"/>
      <c r="G423" s="18"/>
      <c r="H423" s="35"/>
      <c r="I423" s="12"/>
      <c r="M423" s="12"/>
      <c r="N423" s="18"/>
      <c r="O423" s="12"/>
      <c r="P423" s="12"/>
      <c r="Q423" s="12"/>
      <c r="R423" s="36"/>
      <c r="S423" s="36"/>
      <c r="T423" s="12"/>
      <c r="U423" s="12"/>
      <c r="V423" s="12"/>
      <c r="W423" s="12"/>
      <c r="X423" s="12"/>
    </row>
    <row r="424" customFormat="false" ht="15.75" hidden="false" customHeight="false" outlineLevel="0" collapsed="false">
      <c r="A424" s="12"/>
      <c r="B424" s="34"/>
      <c r="C424" s="12"/>
      <c r="D424" s="12"/>
      <c r="E424" s="12"/>
      <c r="F424" s="12"/>
      <c r="G424" s="18"/>
      <c r="H424" s="35"/>
      <c r="I424" s="12"/>
      <c r="M424" s="12"/>
      <c r="N424" s="18"/>
      <c r="O424" s="12"/>
      <c r="P424" s="12"/>
      <c r="Q424" s="12"/>
      <c r="R424" s="36"/>
      <c r="S424" s="36"/>
      <c r="T424" s="12"/>
      <c r="U424" s="12"/>
      <c r="V424" s="12"/>
      <c r="W424" s="12"/>
      <c r="X424" s="12"/>
    </row>
    <row r="425" customFormat="false" ht="15.75" hidden="false" customHeight="false" outlineLevel="0" collapsed="false">
      <c r="A425" s="12"/>
      <c r="B425" s="34"/>
      <c r="C425" s="12"/>
      <c r="D425" s="12"/>
      <c r="E425" s="12"/>
      <c r="F425" s="12"/>
      <c r="G425" s="18"/>
      <c r="H425" s="35"/>
      <c r="I425" s="12"/>
      <c r="M425" s="12"/>
      <c r="N425" s="18"/>
      <c r="O425" s="12"/>
      <c r="P425" s="12"/>
      <c r="Q425" s="12"/>
      <c r="R425" s="36"/>
      <c r="S425" s="36"/>
      <c r="T425" s="12"/>
      <c r="U425" s="12"/>
      <c r="V425" s="12"/>
      <c r="W425" s="12"/>
      <c r="X425" s="12"/>
    </row>
    <row r="426" customFormat="false" ht="15.75" hidden="false" customHeight="false" outlineLevel="0" collapsed="false">
      <c r="A426" s="12"/>
      <c r="B426" s="34"/>
      <c r="C426" s="12"/>
      <c r="D426" s="12"/>
      <c r="E426" s="12"/>
      <c r="F426" s="12"/>
      <c r="G426" s="18"/>
      <c r="H426" s="35"/>
      <c r="I426" s="12"/>
      <c r="M426" s="12"/>
      <c r="N426" s="18"/>
      <c r="O426" s="12"/>
      <c r="P426" s="12"/>
      <c r="Q426" s="12"/>
      <c r="R426" s="36"/>
      <c r="S426" s="36"/>
      <c r="T426" s="12"/>
      <c r="U426" s="12"/>
      <c r="V426" s="12"/>
      <c r="W426" s="12"/>
      <c r="X426" s="12"/>
    </row>
    <row r="427" customFormat="false" ht="15.75" hidden="false" customHeight="false" outlineLevel="0" collapsed="false">
      <c r="A427" s="12"/>
      <c r="B427" s="34"/>
      <c r="C427" s="12"/>
      <c r="D427" s="12"/>
      <c r="E427" s="12"/>
      <c r="F427" s="12"/>
      <c r="G427" s="18"/>
      <c r="H427" s="35"/>
      <c r="I427" s="12"/>
      <c r="M427" s="12"/>
      <c r="N427" s="18"/>
      <c r="O427" s="12"/>
      <c r="P427" s="12"/>
      <c r="Q427" s="12"/>
      <c r="R427" s="36"/>
      <c r="S427" s="36"/>
      <c r="T427" s="12"/>
      <c r="U427" s="12"/>
      <c r="V427" s="12"/>
      <c r="W427" s="12"/>
      <c r="X427" s="12"/>
    </row>
    <row r="428" customFormat="false" ht="15.75" hidden="false" customHeight="false" outlineLevel="0" collapsed="false">
      <c r="A428" s="12"/>
      <c r="B428" s="34"/>
      <c r="C428" s="12"/>
      <c r="D428" s="12"/>
      <c r="E428" s="12"/>
      <c r="F428" s="12"/>
      <c r="G428" s="18"/>
      <c r="H428" s="35"/>
      <c r="I428" s="12"/>
      <c r="M428" s="12"/>
      <c r="N428" s="18"/>
      <c r="O428" s="12"/>
      <c r="P428" s="12"/>
      <c r="Q428" s="12"/>
      <c r="R428" s="36"/>
      <c r="S428" s="36"/>
      <c r="T428" s="12"/>
      <c r="U428" s="12"/>
      <c r="V428" s="12"/>
      <c r="W428" s="12"/>
      <c r="X428" s="12"/>
    </row>
    <row r="429" customFormat="false" ht="15.75" hidden="false" customHeight="false" outlineLevel="0" collapsed="false">
      <c r="A429" s="12"/>
      <c r="B429" s="34"/>
      <c r="C429" s="12"/>
      <c r="D429" s="12"/>
      <c r="E429" s="12"/>
      <c r="F429" s="12"/>
      <c r="G429" s="18"/>
      <c r="H429" s="35"/>
      <c r="I429" s="12"/>
      <c r="M429" s="12"/>
      <c r="N429" s="18"/>
      <c r="O429" s="12"/>
      <c r="P429" s="12"/>
      <c r="Q429" s="12"/>
      <c r="R429" s="36"/>
      <c r="S429" s="36"/>
      <c r="T429" s="12"/>
      <c r="U429" s="12"/>
      <c r="V429" s="12"/>
      <c r="W429" s="12"/>
      <c r="X429" s="12"/>
    </row>
    <row r="430" customFormat="false" ht="15.75" hidden="false" customHeight="false" outlineLevel="0" collapsed="false">
      <c r="A430" s="12"/>
      <c r="B430" s="34"/>
      <c r="C430" s="12"/>
      <c r="D430" s="12"/>
      <c r="E430" s="12"/>
      <c r="F430" s="12"/>
      <c r="G430" s="18"/>
      <c r="H430" s="35"/>
      <c r="I430" s="12"/>
      <c r="M430" s="12"/>
      <c r="N430" s="18"/>
      <c r="O430" s="12"/>
      <c r="P430" s="12"/>
      <c r="Q430" s="12"/>
      <c r="R430" s="36"/>
      <c r="S430" s="36"/>
      <c r="T430" s="12"/>
      <c r="U430" s="12"/>
      <c r="V430" s="12"/>
      <c r="W430" s="12"/>
      <c r="X430" s="12"/>
    </row>
    <row r="431" customFormat="false" ht="15.75" hidden="false" customHeight="false" outlineLevel="0" collapsed="false">
      <c r="A431" s="12"/>
      <c r="B431" s="34"/>
      <c r="C431" s="12"/>
      <c r="D431" s="12"/>
      <c r="E431" s="12"/>
      <c r="F431" s="12"/>
      <c r="G431" s="18"/>
      <c r="H431" s="35"/>
      <c r="I431" s="12"/>
      <c r="M431" s="12"/>
      <c r="N431" s="18"/>
      <c r="O431" s="12"/>
      <c r="P431" s="12"/>
      <c r="Q431" s="12"/>
      <c r="R431" s="36"/>
      <c r="S431" s="36"/>
      <c r="T431" s="12"/>
      <c r="U431" s="12"/>
      <c r="V431" s="12"/>
      <c r="W431" s="12"/>
      <c r="X431" s="12"/>
    </row>
    <row r="432" customFormat="false" ht="15.75" hidden="false" customHeight="false" outlineLevel="0" collapsed="false">
      <c r="A432" s="12"/>
      <c r="B432" s="34"/>
      <c r="C432" s="12"/>
      <c r="D432" s="12"/>
      <c r="E432" s="12"/>
      <c r="F432" s="12"/>
      <c r="G432" s="18"/>
      <c r="H432" s="35"/>
      <c r="I432" s="12"/>
      <c r="M432" s="12"/>
      <c r="N432" s="18"/>
      <c r="O432" s="12"/>
      <c r="P432" s="12"/>
      <c r="Q432" s="12"/>
      <c r="R432" s="36"/>
      <c r="S432" s="36"/>
      <c r="T432" s="12"/>
      <c r="U432" s="12"/>
      <c r="V432" s="12"/>
      <c r="W432" s="12"/>
      <c r="X432" s="12"/>
    </row>
    <row r="433" customFormat="false" ht="15.75" hidden="false" customHeight="false" outlineLevel="0" collapsed="false">
      <c r="A433" s="12"/>
      <c r="B433" s="34"/>
      <c r="C433" s="12"/>
      <c r="D433" s="12"/>
      <c r="E433" s="12"/>
      <c r="F433" s="12"/>
      <c r="G433" s="18"/>
      <c r="H433" s="35"/>
      <c r="I433" s="12"/>
      <c r="M433" s="12"/>
      <c r="N433" s="18"/>
      <c r="O433" s="12"/>
      <c r="P433" s="12"/>
      <c r="Q433" s="12"/>
      <c r="R433" s="36"/>
      <c r="S433" s="36"/>
      <c r="T433" s="12"/>
      <c r="U433" s="12"/>
      <c r="V433" s="12"/>
      <c r="W433" s="12"/>
      <c r="X433" s="12"/>
    </row>
    <row r="434" customFormat="false" ht="15.75" hidden="false" customHeight="false" outlineLevel="0" collapsed="false">
      <c r="A434" s="12"/>
      <c r="B434" s="34"/>
      <c r="C434" s="12"/>
      <c r="D434" s="12"/>
      <c r="E434" s="12"/>
      <c r="F434" s="12"/>
      <c r="G434" s="18"/>
      <c r="H434" s="35"/>
      <c r="I434" s="12"/>
      <c r="M434" s="12"/>
      <c r="N434" s="18"/>
      <c r="O434" s="12"/>
      <c r="P434" s="12"/>
      <c r="Q434" s="12"/>
      <c r="R434" s="36"/>
      <c r="S434" s="36"/>
      <c r="T434" s="12"/>
      <c r="U434" s="12"/>
      <c r="V434" s="12"/>
      <c r="W434" s="12"/>
      <c r="X434" s="12"/>
    </row>
    <row r="435" customFormat="false" ht="15.75" hidden="false" customHeight="false" outlineLevel="0" collapsed="false">
      <c r="A435" s="12"/>
      <c r="B435" s="34"/>
      <c r="C435" s="12"/>
      <c r="D435" s="12"/>
      <c r="E435" s="12"/>
      <c r="F435" s="12"/>
      <c r="G435" s="18"/>
      <c r="H435" s="35"/>
      <c r="I435" s="12"/>
      <c r="M435" s="12"/>
      <c r="N435" s="18"/>
      <c r="O435" s="12"/>
      <c r="P435" s="12"/>
      <c r="Q435" s="12"/>
      <c r="R435" s="36"/>
      <c r="S435" s="36"/>
      <c r="T435" s="12"/>
      <c r="U435" s="12"/>
      <c r="V435" s="12"/>
      <c r="W435" s="12"/>
      <c r="X435" s="12"/>
    </row>
    <row r="436" customFormat="false" ht="15.75" hidden="false" customHeight="false" outlineLevel="0" collapsed="false">
      <c r="A436" s="12"/>
      <c r="B436" s="34"/>
      <c r="C436" s="12"/>
      <c r="D436" s="12"/>
      <c r="E436" s="12"/>
      <c r="F436" s="12"/>
      <c r="G436" s="18"/>
      <c r="H436" s="35"/>
      <c r="I436" s="12"/>
      <c r="M436" s="12"/>
      <c r="N436" s="18"/>
      <c r="O436" s="12"/>
      <c r="P436" s="12"/>
      <c r="Q436" s="12"/>
      <c r="R436" s="36"/>
      <c r="S436" s="36"/>
      <c r="T436" s="12"/>
      <c r="U436" s="12"/>
      <c r="V436" s="12"/>
      <c r="W436" s="12"/>
      <c r="X436" s="12"/>
    </row>
    <row r="437" customFormat="false" ht="15.75" hidden="false" customHeight="false" outlineLevel="0" collapsed="false">
      <c r="A437" s="12"/>
      <c r="B437" s="34"/>
      <c r="C437" s="12"/>
      <c r="D437" s="12"/>
      <c r="E437" s="12"/>
      <c r="F437" s="12"/>
      <c r="G437" s="18"/>
      <c r="H437" s="35"/>
      <c r="I437" s="12"/>
      <c r="M437" s="12"/>
      <c r="N437" s="18"/>
      <c r="O437" s="12"/>
      <c r="P437" s="12"/>
      <c r="Q437" s="12"/>
      <c r="R437" s="36"/>
      <c r="S437" s="36"/>
      <c r="T437" s="12"/>
      <c r="U437" s="12"/>
      <c r="V437" s="12"/>
      <c r="W437" s="12"/>
      <c r="X437" s="12"/>
    </row>
    <row r="438" customFormat="false" ht="15.75" hidden="false" customHeight="false" outlineLevel="0" collapsed="false">
      <c r="A438" s="12"/>
      <c r="B438" s="34"/>
      <c r="C438" s="12"/>
      <c r="D438" s="12"/>
      <c r="E438" s="12"/>
      <c r="F438" s="12"/>
      <c r="G438" s="18"/>
      <c r="H438" s="35"/>
      <c r="I438" s="12"/>
      <c r="M438" s="12"/>
      <c r="N438" s="18"/>
      <c r="O438" s="12"/>
      <c r="P438" s="12"/>
      <c r="Q438" s="12"/>
      <c r="R438" s="36"/>
      <c r="S438" s="36"/>
      <c r="T438" s="12"/>
      <c r="U438" s="12"/>
      <c r="V438" s="12"/>
      <c r="W438" s="12"/>
      <c r="X438" s="12"/>
    </row>
    <row r="439" customFormat="false" ht="15.75" hidden="false" customHeight="false" outlineLevel="0" collapsed="false">
      <c r="A439" s="12"/>
      <c r="B439" s="34"/>
      <c r="C439" s="12"/>
      <c r="D439" s="12"/>
      <c r="E439" s="12"/>
      <c r="F439" s="12"/>
      <c r="G439" s="18"/>
      <c r="H439" s="35"/>
      <c r="I439" s="12"/>
      <c r="M439" s="12"/>
      <c r="N439" s="18"/>
      <c r="O439" s="12"/>
      <c r="P439" s="12"/>
      <c r="Q439" s="12"/>
      <c r="R439" s="36"/>
      <c r="S439" s="36"/>
      <c r="T439" s="12"/>
      <c r="U439" s="12"/>
      <c r="V439" s="12"/>
      <c r="W439" s="12"/>
      <c r="X439" s="12"/>
    </row>
    <row r="440" customFormat="false" ht="15.75" hidden="false" customHeight="false" outlineLevel="0" collapsed="false">
      <c r="A440" s="12"/>
      <c r="B440" s="34"/>
      <c r="C440" s="12"/>
      <c r="D440" s="12"/>
      <c r="E440" s="12"/>
      <c r="F440" s="12"/>
      <c r="G440" s="18"/>
      <c r="H440" s="35"/>
      <c r="I440" s="12"/>
      <c r="M440" s="12"/>
      <c r="N440" s="18"/>
      <c r="O440" s="12"/>
      <c r="P440" s="12"/>
      <c r="Q440" s="12"/>
      <c r="R440" s="36"/>
      <c r="S440" s="36"/>
      <c r="T440" s="12"/>
      <c r="U440" s="12"/>
      <c r="V440" s="12"/>
      <c r="W440" s="12"/>
      <c r="X440" s="12"/>
    </row>
    <row r="441" customFormat="false" ht="15.75" hidden="false" customHeight="false" outlineLevel="0" collapsed="false">
      <c r="A441" s="12"/>
      <c r="B441" s="34"/>
      <c r="C441" s="12"/>
      <c r="D441" s="12"/>
      <c r="E441" s="12"/>
      <c r="F441" s="12"/>
      <c r="G441" s="18"/>
      <c r="H441" s="35"/>
      <c r="I441" s="12"/>
      <c r="M441" s="12"/>
      <c r="N441" s="18"/>
      <c r="O441" s="12"/>
      <c r="P441" s="12"/>
      <c r="Q441" s="12"/>
      <c r="R441" s="36"/>
      <c r="S441" s="36"/>
      <c r="T441" s="12"/>
      <c r="U441" s="12"/>
      <c r="V441" s="12"/>
      <c r="W441" s="12"/>
      <c r="X441" s="12"/>
    </row>
    <row r="442" customFormat="false" ht="15.75" hidden="false" customHeight="false" outlineLevel="0" collapsed="false">
      <c r="A442" s="12"/>
      <c r="B442" s="34"/>
      <c r="C442" s="12"/>
      <c r="D442" s="12"/>
      <c r="E442" s="12"/>
      <c r="F442" s="12"/>
      <c r="G442" s="18"/>
      <c r="H442" s="35"/>
      <c r="I442" s="12"/>
      <c r="M442" s="12"/>
      <c r="N442" s="18"/>
      <c r="O442" s="12"/>
      <c r="P442" s="12"/>
      <c r="Q442" s="12"/>
      <c r="R442" s="36"/>
      <c r="S442" s="36"/>
      <c r="T442" s="12"/>
      <c r="U442" s="12"/>
      <c r="V442" s="12"/>
      <c r="W442" s="12"/>
      <c r="X442" s="12"/>
    </row>
    <row r="443" customFormat="false" ht="15.75" hidden="false" customHeight="false" outlineLevel="0" collapsed="false">
      <c r="A443" s="12"/>
      <c r="B443" s="34"/>
      <c r="C443" s="12"/>
      <c r="D443" s="12"/>
      <c r="E443" s="12"/>
      <c r="F443" s="12"/>
      <c r="G443" s="18"/>
      <c r="H443" s="35"/>
      <c r="I443" s="12"/>
      <c r="M443" s="12"/>
      <c r="N443" s="18"/>
      <c r="O443" s="12"/>
      <c r="P443" s="12"/>
      <c r="Q443" s="12"/>
      <c r="R443" s="36"/>
      <c r="S443" s="36"/>
      <c r="T443" s="12"/>
      <c r="U443" s="12"/>
      <c r="V443" s="12"/>
      <c r="W443" s="12"/>
      <c r="X443" s="12"/>
    </row>
    <row r="444" customFormat="false" ht="15.75" hidden="false" customHeight="false" outlineLevel="0" collapsed="false">
      <c r="A444" s="12"/>
      <c r="B444" s="34"/>
      <c r="C444" s="12"/>
      <c r="D444" s="12"/>
      <c r="E444" s="12"/>
      <c r="F444" s="12"/>
      <c r="G444" s="18"/>
      <c r="H444" s="35"/>
      <c r="I444" s="12"/>
      <c r="M444" s="12"/>
      <c r="N444" s="18"/>
      <c r="O444" s="12"/>
      <c r="P444" s="12"/>
      <c r="Q444" s="12"/>
      <c r="R444" s="36"/>
      <c r="S444" s="36"/>
      <c r="T444" s="12"/>
      <c r="U444" s="12"/>
      <c r="V444" s="12"/>
      <c r="W444" s="12"/>
      <c r="X444" s="12"/>
    </row>
    <row r="445" customFormat="false" ht="15.75" hidden="false" customHeight="false" outlineLevel="0" collapsed="false">
      <c r="A445" s="12"/>
      <c r="B445" s="34"/>
      <c r="C445" s="12"/>
      <c r="D445" s="12"/>
      <c r="E445" s="12"/>
      <c r="F445" s="12"/>
      <c r="G445" s="18"/>
      <c r="H445" s="35"/>
      <c r="I445" s="12"/>
      <c r="M445" s="12"/>
      <c r="N445" s="18"/>
      <c r="O445" s="12"/>
      <c r="P445" s="12"/>
      <c r="Q445" s="12"/>
      <c r="R445" s="36"/>
      <c r="S445" s="36"/>
      <c r="T445" s="12"/>
      <c r="U445" s="12"/>
      <c r="V445" s="12"/>
      <c r="W445" s="12"/>
      <c r="X445" s="12"/>
    </row>
    <row r="446" customFormat="false" ht="15.75" hidden="false" customHeight="false" outlineLevel="0" collapsed="false">
      <c r="A446" s="12"/>
      <c r="B446" s="34"/>
      <c r="C446" s="12"/>
      <c r="D446" s="12"/>
      <c r="E446" s="12"/>
      <c r="F446" s="12"/>
      <c r="G446" s="18"/>
      <c r="H446" s="35"/>
      <c r="I446" s="12"/>
      <c r="M446" s="12"/>
      <c r="N446" s="18"/>
      <c r="O446" s="12"/>
      <c r="P446" s="12"/>
      <c r="Q446" s="12"/>
      <c r="R446" s="36"/>
      <c r="S446" s="36"/>
      <c r="T446" s="12"/>
      <c r="U446" s="12"/>
      <c r="V446" s="12"/>
      <c r="W446" s="12"/>
      <c r="X446" s="12"/>
    </row>
    <row r="447" customFormat="false" ht="15.75" hidden="false" customHeight="false" outlineLevel="0" collapsed="false">
      <c r="A447" s="12"/>
      <c r="B447" s="34"/>
      <c r="C447" s="12"/>
      <c r="D447" s="12"/>
      <c r="E447" s="12"/>
      <c r="F447" s="12"/>
      <c r="G447" s="18"/>
      <c r="H447" s="35"/>
      <c r="I447" s="12"/>
      <c r="M447" s="12"/>
      <c r="N447" s="18"/>
      <c r="O447" s="12"/>
      <c r="P447" s="12"/>
      <c r="Q447" s="12"/>
      <c r="R447" s="36"/>
      <c r="S447" s="36"/>
      <c r="T447" s="12"/>
      <c r="U447" s="12"/>
      <c r="V447" s="12"/>
      <c r="W447" s="12"/>
      <c r="X447" s="12"/>
    </row>
    <row r="448" customFormat="false" ht="15.75" hidden="false" customHeight="false" outlineLevel="0" collapsed="false">
      <c r="A448" s="12"/>
      <c r="B448" s="34"/>
      <c r="C448" s="12"/>
      <c r="D448" s="12"/>
      <c r="E448" s="12"/>
      <c r="F448" s="12"/>
      <c r="G448" s="18"/>
      <c r="H448" s="35"/>
      <c r="I448" s="12"/>
      <c r="M448" s="12"/>
      <c r="N448" s="18"/>
      <c r="O448" s="12"/>
      <c r="P448" s="12"/>
      <c r="Q448" s="12"/>
      <c r="R448" s="36"/>
      <c r="S448" s="36"/>
      <c r="T448" s="12"/>
      <c r="U448" s="12"/>
      <c r="V448" s="12"/>
      <c r="W448" s="12"/>
      <c r="X448" s="12"/>
    </row>
    <row r="449" customFormat="false" ht="15.75" hidden="false" customHeight="false" outlineLevel="0" collapsed="false">
      <c r="A449" s="12"/>
      <c r="B449" s="34"/>
      <c r="C449" s="12"/>
      <c r="D449" s="12"/>
      <c r="E449" s="12"/>
      <c r="F449" s="12"/>
      <c r="G449" s="18"/>
      <c r="H449" s="35"/>
      <c r="I449" s="12"/>
      <c r="M449" s="12"/>
      <c r="N449" s="18"/>
      <c r="O449" s="12"/>
      <c r="P449" s="12"/>
      <c r="Q449" s="12"/>
      <c r="R449" s="36"/>
      <c r="S449" s="36"/>
      <c r="T449" s="12"/>
      <c r="U449" s="12"/>
      <c r="V449" s="12"/>
      <c r="W449" s="12"/>
      <c r="X449" s="12"/>
    </row>
    <row r="450" customFormat="false" ht="15.75" hidden="false" customHeight="false" outlineLevel="0" collapsed="false">
      <c r="A450" s="12"/>
      <c r="B450" s="34"/>
      <c r="C450" s="12"/>
      <c r="D450" s="12"/>
      <c r="E450" s="12"/>
      <c r="F450" s="12"/>
      <c r="G450" s="18"/>
      <c r="H450" s="35"/>
      <c r="I450" s="12"/>
      <c r="M450" s="12"/>
      <c r="N450" s="18"/>
      <c r="O450" s="12"/>
      <c r="P450" s="12"/>
      <c r="Q450" s="12"/>
      <c r="R450" s="36"/>
      <c r="S450" s="36"/>
      <c r="T450" s="12"/>
      <c r="U450" s="12"/>
      <c r="V450" s="12"/>
      <c r="W450" s="12"/>
      <c r="X450" s="12"/>
    </row>
    <row r="451" customFormat="false" ht="15.75" hidden="false" customHeight="false" outlineLevel="0" collapsed="false">
      <c r="A451" s="12"/>
      <c r="B451" s="34"/>
      <c r="C451" s="12"/>
      <c r="D451" s="12"/>
      <c r="E451" s="12"/>
      <c r="F451" s="12"/>
      <c r="G451" s="18"/>
      <c r="H451" s="35"/>
      <c r="I451" s="12"/>
      <c r="M451" s="12"/>
      <c r="N451" s="18"/>
      <c r="O451" s="12"/>
      <c r="P451" s="12"/>
      <c r="Q451" s="12"/>
      <c r="R451" s="36"/>
      <c r="S451" s="36"/>
      <c r="T451" s="12"/>
      <c r="U451" s="12"/>
      <c r="V451" s="12"/>
      <c r="W451" s="12"/>
      <c r="X451" s="12"/>
    </row>
    <row r="452" customFormat="false" ht="15.75" hidden="false" customHeight="false" outlineLevel="0" collapsed="false">
      <c r="A452" s="12"/>
      <c r="B452" s="34"/>
      <c r="C452" s="12"/>
      <c r="D452" s="12"/>
      <c r="E452" s="12"/>
      <c r="F452" s="12"/>
      <c r="G452" s="18"/>
      <c r="H452" s="35"/>
      <c r="I452" s="12"/>
      <c r="M452" s="12"/>
      <c r="N452" s="18"/>
      <c r="O452" s="12"/>
      <c r="P452" s="12"/>
      <c r="Q452" s="12"/>
      <c r="R452" s="36"/>
      <c r="S452" s="36"/>
      <c r="T452" s="12"/>
      <c r="U452" s="12"/>
      <c r="V452" s="12"/>
      <c r="W452" s="12"/>
      <c r="X452" s="12"/>
    </row>
    <row r="453" customFormat="false" ht="15.75" hidden="false" customHeight="false" outlineLevel="0" collapsed="false">
      <c r="A453" s="12"/>
      <c r="B453" s="34"/>
      <c r="C453" s="12"/>
      <c r="D453" s="12"/>
      <c r="E453" s="12"/>
      <c r="F453" s="12"/>
      <c r="G453" s="18"/>
      <c r="H453" s="35"/>
      <c r="I453" s="12"/>
      <c r="M453" s="12"/>
      <c r="N453" s="18"/>
      <c r="O453" s="12"/>
      <c r="P453" s="12"/>
      <c r="Q453" s="12"/>
      <c r="R453" s="36"/>
      <c r="S453" s="36"/>
      <c r="T453" s="12"/>
      <c r="U453" s="12"/>
      <c r="V453" s="12"/>
      <c r="W453" s="12"/>
      <c r="X453" s="12"/>
    </row>
    <row r="454" customFormat="false" ht="15.75" hidden="false" customHeight="false" outlineLevel="0" collapsed="false">
      <c r="A454" s="12"/>
      <c r="B454" s="34"/>
      <c r="C454" s="12"/>
      <c r="D454" s="12"/>
      <c r="E454" s="12"/>
      <c r="F454" s="12"/>
      <c r="G454" s="18"/>
      <c r="H454" s="35"/>
      <c r="I454" s="12"/>
      <c r="M454" s="12"/>
      <c r="N454" s="18"/>
      <c r="O454" s="12"/>
      <c r="P454" s="12"/>
      <c r="Q454" s="12"/>
      <c r="R454" s="36"/>
      <c r="S454" s="36"/>
      <c r="T454" s="12"/>
      <c r="U454" s="12"/>
      <c r="V454" s="12"/>
      <c r="W454" s="12"/>
      <c r="X454" s="12"/>
    </row>
    <row r="455" customFormat="false" ht="15.75" hidden="false" customHeight="false" outlineLevel="0" collapsed="false">
      <c r="A455" s="12"/>
      <c r="B455" s="34"/>
      <c r="C455" s="12"/>
      <c r="D455" s="12"/>
      <c r="E455" s="12"/>
      <c r="F455" s="12"/>
      <c r="G455" s="18"/>
      <c r="H455" s="35"/>
      <c r="I455" s="12"/>
      <c r="M455" s="12"/>
      <c r="N455" s="18"/>
      <c r="O455" s="12"/>
      <c r="P455" s="12"/>
      <c r="Q455" s="12"/>
      <c r="R455" s="36"/>
      <c r="S455" s="36"/>
      <c r="T455" s="12"/>
      <c r="U455" s="12"/>
      <c r="V455" s="12"/>
      <c r="W455" s="12"/>
      <c r="X455" s="12"/>
    </row>
    <row r="456" customFormat="false" ht="15.75" hidden="false" customHeight="false" outlineLevel="0" collapsed="false">
      <c r="A456" s="12"/>
      <c r="B456" s="34"/>
      <c r="C456" s="12"/>
      <c r="D456" s="12"/>
      <c r="E456" s="12"/>
      <c r="F456" s="12"/>
      <c r="G456" s="18"/>
      <c r="H456" s="35"/>
      <c r="I456" s="12"/>
      <c r="M456" s="12"/>
      <c r="N456" s="18"/>
      <c r="O456" s="12"/>
      <c r="P456" s="12"/>
      <c r="Q456" s="12"/>
      <c r="R456" s="36"/>
      <c r="S456" s="36"/>
      <c r="T456" s="12"/>
      <c r="U456" s="12"/>
      <c r="V456" s="12"/>
      <c r="W456" s="12"/>
      <c r="X456" s="12"/>
    </row>
    <row r="457" customFormat="false" ht="15.75" hidden="false" customHeight="false" outlineLevel="0" collapsed="false">
      <c r="A457" s="12"/>
      <c r="B457" s="34"/>
      <c r="C457" s="12"/>
      <c r="D457" s="12"/>
      <c r="E457" s="12"/>
      <c r="F457" s="12"/>
      <c r="G457" s="18"/>
      <c r="H457" s="35"/>
      <c r="I457" s="12"/>
      <c r="M457" s="12"/>
      <c r="N457" s="18"/>
      <c r="O457" s="12"/>
      <c r="P457" s="12"/>
      <c r="Q457" s="12"/>
      <c r="R457" s="36"/>
      <c r="S457" s="36"/>
      <c r="T457" s="12"/>
      <c r="U457" s="12"/>
      <c r="V457" s="12"/>
      <c r="W457" s="12"/>
      <c r="X457" s="12"/>
    </row>
    <row r="458" customFormat="false" ht="15.75" hidden="false" customHeight="false" outlineLevel="0" collapsed="false">
      <c r="A458" s="12"/>
      <c r="B458" s="34"/>
      <c r="C458" s="12"/>
      <c r="D458" s="12"/>
      <c r="E458" s="12"/>
      <c r="F458" s="12"/>
      <c r="G458" s="18"/>
      <c r="H458" s="35"/>
      <c r="I458" s="12"/>
      <c r="M458" s="12"/>
      <c r="N458" s="18"/>
      <c r="O458" s="12"/>
      <c r="P458" s="12"/>
      <c r="Q458" s="12"/>
      <c r="R458" s="36"/>
      <c r="S458" s="36"/>
      <c r="T458" s="12"/>
      <c r="U458" s="12"/>
      <c r="V458" s="12"/>
      <c r="W458" s="12"/>
      <c r="X458" s="12"/>
    </row>
    <row r="459" customFormat="false" ht="15.75" hidden="false" customHeight="false" outlineLevel="0" collapsed="false">
      <c r="A459" s="12"/>
      <c r="B459" s="34"/>
      <c r="C459" s="12"/>
      <c r="D459" s="12"/>
      <c r="E459" s="12"/>
      <c r="F459" s="12"/>
      <c r="G459" s="18"/>
      <c r="H459" s="35"/>
      <c r="I459" s="12"/>
      <c r="M459" s="12"/>
      <c r="N459" s="18"/>
      <c r="O459" s="12"/>
      <c r="P459" s="12"/>
      <c r="Q459" s="12"/>
      <c r="R459" s="36"/>
      <c r="S459" s="36"/>
      <c r="T459" s="12"/>
      <c r="U459" s="12"/>
      <c r="V459" s="12"/>
      <c r="W459" s="12"/>
      <c r="X459" s="12"/>
    </row>
    <row r="460" customFormat="false" ht="15.75" hidden="false" customHeight="false" outlineLevel="0" collapsed="false">
      <c r="A460" s="12"/>
      <c r="B460" s="34"/>
      <c r="C460" s="12"/>
      <c r="D460" s="12"/>
      <c r="E460" s="12"/>
      <c r="F460" s="12"/>
      <c r="G460" s="18"/>
      <c r="H460" s="35"/>
      <c r="I460" s="12"/>
      <c r="M460" s="12"/>
      <c r="N460" s="18"/>
      <c r="O460" s="12"/>
      <c r="P460" s="12"/>
      <c r="Q460" s="12"/>
      <c r="R460" s="36"/>
      <c r="S460" s="36"/>
      <c r="T460" s="12"/>
      <c r="U460" s="12"/>
      <c r="V460" s="12"/>
      <c r="W460" s="12"/>
      <c r="X460" s="12"/>
    </row>
    <row r="461" customFormat="false" ht="15.75" hidden="false" customHeight="false" outlineLevel="0" collapsed="false">
      <c r="A461" s="12"/>
      <c r="B461" s="34"/>
      <c r="C461" s="12"/>
      <c r="D461" s="12"/>
      <c r="E461" s="12"/>
      <c r="F461" s="12"/>
      <c r="G461" s="18"/>
      <c r="H461" s="35"/>
      <c r="I461" s="12"/>
      <c r="M461" s="12"/>
      <c r="N461" s="18"/>
      <c r="O461" s="12"/>
      <c r="P461" s="12"/>
      <c r="Q461" s="12"/>
      <c r="R461" s="36"/>
      <c r="S461" s="36"/>
      <c r="T461" s="12"/>
      <c r="U461" s="12"/>
      <c r="V461" s="12"/>
      <c r="W461" s="12"/>
      <c r="X461" s="12"/>
    </row>
    <row r="462" customFormat="false" ht="15.75" hidden="false" customHeight="false" outlineLevel="0" collapsed="false">
      <c r="A462" s="12"/>
      <c r="B462" s="34"/>
      <c r="C462" s="12"/>
      <c r="D462" s="12"/>
      <c r="E462" s="12"/>
      <c r="F462" s="12"/>
      <c r="G462" s="18"/>
      <c r="H462" s="35"/>
      <c r="I462" s="12"/>
      <c r="M462" s="12"/>
      <c r="N462" s="18"/>
      <c r="O462" s="12"/>
      <c r="P462" s="12"/>
      <c r="Q462" s="12"/>
      <c r="R462" s="36"/>
      <c r="S462" s="36"/>
      <c r="T462" s="12"/>
      <c r="U462" s="12"/>
      <c r="V462" s="12"/>
      <c r="W462" s="12"/>
      <c r="X462" s="12"/>
    </row>
    <row r="463" customFormat="false" ht="15.75" hidden="false" customHeight="false" outlineLevel="0" collapsed="false">
      <c r="A463" s="12"/>
      <c r="B463" s="34"/>
      <c r="C463" s="12"/>
      <c r="D463" s="12"/>
      <c r="E463" s="12"/>
      <c r="F463" s="12"/>
      <c r="G463" s="18"/>
      <c r="H463" s="35"/>
      <c r="I463" s="12"/>
      <c r="M463" s="12"/>
      <c r="N463" s="18"/>
      <c r="O463" s="12"/>
      <c r="P463" s="12"/>
      <c r="Q463" s="12"/>
      <c r="R463" s="36"/>
      <c r="S463" s="36"/>
      <c r="T463" s="12"/>
      <c r="U463" s="12"/>
      <c r="V463" s="12"/>
      <c r="W463" s="12"/>
      <c r="X463" s="12"/>
    </row>
    <row r="464" customFormat="false" ht="15.75" hidden="false" customHeight="false" outlineLevel="0" collapsed="false">
      <c r="A464" s="12"/>
      <c r="B464" s="34"/>
      <c r="C464" s="12"/>
      <c r="D464" s="12"/>
      <c r="E464" s="12"/>
      <c r="F464" s="12"/>
      <c r="G464" s="18"/>
      <c r="H464" s="35"/>
      <c r="I464" s="12"/>
      <c r="M464" s="12"/>
      <c r="N464" s="18"/>
      <c r="O464" s="12"/>
      <c r="P464" s="12"/>
      <c r="Q464" s="12"/>
      <c r="R464" s="36"/>
      <c r="S464" s="36"/>
      <c r="T464" s="12"/>
      <c r="U464" s="12"/>
      <c r="V464" s="12"/>
      <c r="W464" s="12"/>
      <c r="X464" s="12"/>
    </row>
    <row r="465" customFormat="false" ht="15.75" hidden="false" customHeight="false" outlineLevel="0" collapsed="false">
      <c r="A465" s="12"/>
      <c r="B465" s="34"/>
      <c r="C465" s="12"/>
      <c r="D465" s="12"/>
      <c r="E465" s="12"/>
      <c r="F465" s="12"/>
      <c r="G465" s="18"/>
      <c r="H465" s="35"/>
      <c r="I465" s="12"/>
      <c r="M465" s="12"/>
      <c r="N465" s="18"/>
      <c r="O465" s="12"/>
      <c r="P465" s="12"/>
      <c r="Q465" s="12"/>
      <c r="R465" s="36"/>
      <c r="S465" s="36"/>
      <c r="T465" s="12"/>
      <c r="U465" s="12"/>
      <c r="V465" s="12"/>
      <c r="W465" s="12"/>
      <c r="X465" s="12"/>
    </row>
    <row r="466" customFormat="false" ht="15.75" hidden="false" customHeight="false" outlineLevel="0" collapsed="false">
      <c r="A466" s="12"/>
      <c r="B466" s="34"/>
      <c r="C466" s="12"/>
      <c r="D466" s="12"/>
      <c r="E466" s="12"/>
      <c r="F466" s="12"/>
      <c r="G466" s="18"/>
      <c r="H466" s="35"/>
      <c r="I466" s="12"/>
      <c r="M466" s="12"/>
      <c r="N466" s="18"/>
      <c r="O466" s="12"/>
      <c r="P466" s="12"/>
      <c r="Q466" s="12"/>
      <c r="R466" s="36"/>
      <c r="S466" s="36"/>
      <c r="T466" s="12"/>
      <c r="U466" s="12"/>
      <c r="V466" s="12"/>
      <c r="W466" s="12"/>
      <c r="X466" s="12"/>
    </row>
    <row r="467" customFormat="false" ht="15.75" hidden="false" customHeight="false" outlineLevel="0" collapsed="false">
      <c r="A467" s="12"/>
      <c r="B467" s="34"/>
      <c r="C467" s="12"/>
      <c r="D467" s="12"/>
      <c r="E467" s="12"/>
      <c r="F467" s="12"/>
      <c r="G467" s="18"/>
      <c r="H467" s="35"/>
      <c r="I467" s="12"/>
      <c r="M467" s="12"/>
      <c r="N467" s="18"/>
      <c r="O467" s="12"/>
      <c r="P467" s="12"/>
      <c r="Q467" s="12"/>
      <c r="R467" s="36"/>
      <c r="S467" s="36"/>
      <c r="T467" s="12"/>
      <c r="U467" s="12"/>
      <c r="V467" s="12"/>
      <c r="W467" s="12"/>
      <c r="X467" s="12"/>
    </row>
    <row r="468" customFormat="false" ht="15.75" hidden="false" customHeight="false" outlineLevel="0" collapsed="false">
      <c r="A468" s="12"/>
      <c r="B468" s="34"/>
      <c r="C468" s="12"/>
      <c r="D468" s="12"/>
      <c r="E468" s="12"/>
      <c r="F468" s="12"/>
      <c r="G468" s="18"/>
      <c r="H468" s="35"/>
      <c r="I468" s="12"/>
      <c r="M468" s="12"/>
      <c r="N468" s="18"/>
      <c r="O468" s="12"/>
      <c r="P468" s="12"/>
      <c r="Q468" s="12"/>
      <c r="R468" s="36"/>
      <c r="S468" s="36"/>
      <c r="T468" s="12"/>
      <c r="U468" s="12"/>
      <c r="V468" s="12"/>
      <c r="W468" s="12"/>
      <c r="X468" s="12"/>
    </row>
    <row r="469" customFormat="false" ht="15.75" hidden="false" customHeight="false" outlineLevel="0" collapsed="false">
      <c r="A469" s="12"/>
      <c r="B469" s="34"/>
      <c r="C469" s="12"/>
      <c r="D469" s="12"/>
      <c r="E469" s="12"/>
      <c r="F469" s="12"/>
      <c r="G469" s="18"/>
      <c r="H469" s="35"/>
      <c r="I469" s="12"/>
      <c r="M469" s="12"/>
      <c r="N469" s="18"/>
      <c r="O469" s="12"/>
      <c r="P469" s="12"/>
      <c r="Q469" s="12"/>
      <c r="R469" s="36"/>
      <c r="S469" s="36"/>
      <c r="T469" s="12"/>
      <c r="U469" s="12"/>
      <c r="V469" s="12"/>
      <c r="W469" s="12"/>
      <c r="X469" s="12"/>
    </row>
    <row r="470" customFormat="false" ht="15.75" hidden="false" customHeight="false" outlineLevel="0" collapsed="false">
      <c r="A470" s="12"/>
      <c r="B470" s="34"/>
      <c r="C470" s="12"/>
      <c r="D470" s="12"/>
      <c r="E470" s="12"/>
      <c r="F470" s="12"/>
      <c r="G470" s="18"/>
      <c r="H470" s="35"/>
      <c r="I470" s="12"/>
      <c r="M470" s="12"/>
      <c r="N470" s="18"/>
      <c r="O470" s="12"/>
      <c r="P470" s="12"/>
      <c r="Q470" s="12"/>
      <c r="R470" s="36"/>
      <c r="S470" s="36"/>
      <c r="T470" s="12"/>
      <c r="U470" s="12"/>
      <c r="V470" s="12"/>
      <c r="W470" s="12"/>
      <c r="X470" s="12"/>
    </row>
    <row r="471" customFormat="false" ht="15.75" hidden="false" customHeight="false" outlineLevel="0" collapsed="false">
      <c r="A471" s="12"/>
      <c r="B471" s="34"/>
      <c r="C471" s="12"/>
      <c r="D471" s="12"/>
      <c r="E471" s="12"/>
      <c r="F471" s="12"/>
      <c r="G471" s="18"/>
      <c r="H471" s="35"/>
      <c r="I471" s="12"/>
      <c r="M471" s="12"/>
      <c r="N471" s="18"/>
      <c r="O471" s="12"/>
      <c r="P471" s="12"/>
      <c r="Q471" s="12"/>
      <c r="R471" s="36"/>
      <c r="S471" s="36"/>
      <c r="T471" s="12"/>
      <c r="U471" s="12"/>
      <c r="V471" s="12"/>
      <c r="W471" s="12"/>
      <c r="X471" s="12"/>
    </row>
    <row r="472" customFormat="false" ht="15.75" hidden="false" customHeight="false" outlineLevel="0" collapsed="false">
      <c r="A472" s="12"/>
      <c r="B472" s="34"/>
      <c r="C472" s="12"/>
      <c r="D472" s="12"/>
      <c r="E472" s="12"/>
      <c r="F472" s="12"/>
      <c r="G472" s="18"/>
      <c r="H472" s="35"/>
      <c r="I472" s="12"/>
      <c r="M472" s="12"/>
      <c r="N472" s="18"/>
      <c r="O472" s="12"/>
      <c r="P472" s="12"/>
      <c r="Q472" s="12"/>
      <c r="R472" s="36"/>
      <c r="S472" s="36"/>
      <c r="T472" s="12"/>
      <c r="U472" s="12"/>
      <c r="V472" s="12"/>
      <c r="W472" s="12"/>
      <c r="X472" s="12"/>
    </row>
    <row r="473" customFormat="false" ht="15.75" hidden="false" customHeight="false" outlineLevel="0" collapsed="false">
      <c r="A473" s="12"/>
      <c r="B473" s="34"/>
      <c r="C473" s="12"/>
      <c r="D473" s="12"/>
      <c r="E473" s="12"/>
      <c r="F473" s="12"/>
      <c r="G473" s="18"/>
      <c r="H473" s="35"/>
      <c r="I473" s="12"/>
      <c r="M473" s="12"/>
      <c r="N473" s="18"/>
      <c r="O473" s="12"/>
      <c r="P473" s="12"/>
      <c r="Q473" s="12"/>
      <c r="R473" s="36"/>
      <c r="S473" s="36"/>
      <c r="T473" s="12"/>
      <c r="U473" s="12"/>
      <c r="V473" s="12"/>
      <c r="W473" s="12"/>
      <c r="X473" s="12"/>
    </row>
    <row r="474" customFormat="false" ht="15.75" hidden="false" customHeight="false" outlineLevel="0" collapsed="false">
      <c r="A474" s="12"/>
      <c r="B474" s="34"/>
      <c r="C474" s="12"/>
      <c r="D474" s="12"/>
      <c r="E474" s="12"/>
      <c r="F474" s="12"/>
      <c r="G474" s="18"/>
      <c r="H474" s="35"/>
      <c r="I474" s="12"/>
      <c r="M474" s="12"/>
      <c r="N474" s="18"/>
      <c r="O474" s="12"/>
      <c r="P474" s="12"/>
      <c r="Q474" s="12"/>
      <c r="R474" s="36"/>
      <c r="S474" s="36"/>
      <c r="T474" s="12"/>
      <c r="U474" s="12"/>
      <c r="V474" s="12"/>
      <c r="W474" s="12"/>
      <c r="X474" s="12"/>
    </row>
    <row r="475" customFormat="false" ht="15.75" hidden="false" customHeight="false" outlineLevel="0" collapsed="false">
      <c r="A475" s="12"/>
      <c r="B475" s="34"/>
      <c r="C475" s="12"/>
      <c r="D475" s="12"/>
      <c r="E475" s="12"/>
      <c r="F475" s="12"/>
      <c r="G475" s="18"/>
      <c r="H475" s="35"/>
      <c r="I475" s="12"/>
      <c r="M475" s="12"/>
      <c r="N475" s="18"/>
      <c r="O475" s="12"/>
      <c r="P475" s="12"/>
      <c r="Q475" s="12"/>
      <c r="R475" s="36"/>
      <c r="S475" s="36"/>
      <c r="T475" s="12"/>
      <c r="U475" s="12"/>
      <c r="V475" s="12"/>
      <c r="W475" s="12"/>
      <c r="X475" s="12"/>
    </row>
    <row r="476" customFormat="false" ht="15.75" hidden="false" customHeight="false" outlineLevel="0" collapsed="false">
      <c r="A476" s="12"/>
      <c r="B476" s="34"/>
      <c r="C476" s="12"/>
      <c r="D476" s="12"/>
      <c r="E476" s="12"/>
      <c r="F476" s="12"/>
      <c r="G476" s="18"/>
      <c r="H476" s="35"/>
      <c r="I476" s="12"/>
      <c r="M476" s="12"/>
      <c r="N476" s="18"/>
      <c r="O476" s="12"/>
      <c r="P476" s="12"/>
      <c r="Q476" s="12"/>
      <c r="R476" s="36"/>
      <c r="S476" s="36"/>
      <c r="T476" s="12"/>
      <c r="U476" s="12"/>
      <c r="V476" s="12"/>
      <c r="W476" s="12"/>
      <c r="X476" s="12"/>
    </row>
    <row r="477" customFormat="false" ht="15.75" hidden="false" customHeight="false" outlineLevel="0" collapsed="false">
      <c r="A477" s="12"/>
      <c r="B477" s="34"/>
      <c r="C477" s="12"/>
      <c r="D477" s="12"/>
      <c r="E477" s="12"/>
      <c r="F477" s="12"/>
      <c r="G477" s="18"/>
      <c r="H477" s="35"/>
      <c r="I477" s="12"/>
      <c r="M477" s="12"/>
      <c r="N477" s="18"/>
      <c r="O477" s="12"/>
      <c r="P477" s="12"/>
      <c r="Q477" s="12"/>
      <c r="R477" s="36"/>
      <c r="S477" s="36"/>
      <c r="T477" s="12"/>
      <c r="U477" s="12"/>
      <c r="V477" s="12"/>
      <c r="W477" s="12"/>
      <c r="X477" s="12"/>
    </row>
    <row r="478" customFormat="false" ht="15.75" hidden="false" customHeight="false" outlineLevel="0" collapsed="false">
      <c r="A478" s="12"/>
      <c r="B478" s="34"/>
      <c r="C478" s="12"/>
      <c r="D478" s="12"/>
      <c r="E478" s="12"/>
      <c r="F478" s="12"/>
      <c r="G478" s="18"/>
      <c r="H478" s="35"/>
      <c r="I478" s="12"/>
      <c r="M478" s="12"/>
      <c r="N478" s="18"/>
      <c r="O478" s="12"/>
      <c r="P478" s="12"/>
      <c r="Q478" s="12"/>
      <c r="R478" s="36"/>
      <c r="S478" s="36"/>
      <c r="T478" s="12"/>
      <c r="U478" s="12"/>
      <c r="V478" s="12"/>
      <c r="W478" s="12"/>
      <c r="X478" s="12"/>
    </row>
    <row r="479" customFormat="false" ht="15.75" hidden="false" customHeight="false" outlineLevel="0" collapsed="false">
      <c r="A479" s="12"/>
      <c r="B479" s="34"/>
      <c r="C479" s="12"/>
      <c r="D479" s="12"/>
      <c r="E479" s="12"/>
      <c r="F479" s="12"/>
      <c r="G479" s="18"/>
      <c r="H479" s="35"/>
      <c r="I479" s="12"/>
      <c r="M479" s="12"/>
      <c r="N479" s="18"/>
      <c r="O479" s="12"/>
      <c r="P479" s="12"/>
      <c r="Q479" s="12"/>
      <c r="R479" s="36"/>
      <c r="S479" s="36"/>
      <c r="T479" s="12"/>
      <c r="U479" s="12"/>
      <c r="V479" s="12"/>
      <c r="W479" s="12"/>
      <c r="X479" s="12"/>
    </row>
    <row r="480" customFormat="false" ht="15.75" hidden="false" customHeight="false" outlineLevel="0" collapsed="false">
      <c r="A480" s="12"/>
      <c r="B480" s="34"/>
      <c r="C480" s="12"/>
      <c r="D480" s="12"/>
      <c r="E480" s="12"/>
      <c r="F480" s="12"/>
      <c r="G480" s="18"/>
      <c r="H480" s="35"/>
      <c r="I480" s="12"/>
      <c r="M480" s="12"/>
      <c r="N480" s="18"/>
      <c r="O480" s="12"/>
      <c r="P480" s="12"/>
      <c r="Q480" s="12"/>
      <c r="R480" s="36"/>
      <c r="S480" s="36"/>
      <c r="T480" s="12"/>
      <c r="U480" s="12"/>
      <c r="V480" s="12"/>
      <c r="W480" s="12"/>
      <c r="X480" s="12"/>
    </row>
    <row r="481" customFormat="false" ht="15.75" hidden="false" customHeight="false" outlineLevel="0" collapsed="false">
      <c r="A481" s="12"/>
      <c r="B481" s="34"/>
      <c r="C481" s="12"/>
      <c r="D481" s="12"/>
      <c r="E481" s="12"/>
      <c r="F481" s="12"/>
      <c r="G481" s="18"/>
      <c r="H481" s="35"/>
      <c r="I481" s="12"/>
      <c r="M481" s="12"/>
      <c r="N481" s="18"/>
      <c r="O481" s="12"/>
      <c r="P481" s="12"/>
      <c r="Q481" s="12"/>
      <c r="R481" s="36"/>
      <c r="S481" s="36"/>
      <c r="T481" s="12"/>
      <c r="U481" s="12"/>
      <c r="V481" s="12"/>
      <c r="W481" s="12"/>
      <c r="X481" s="12"/>
    </row>
    <row r="482" customFormat="false" ht="15.75" hidden="false" customHeight="false" outlineLevel="0" collapsed="false">
      <c r="A482" s="12"/>
      <c r="B482" s="34"/>
      <c r="C482" s="12"/>
      <c r="D482" s="12"/>
      <c r="E482" s="12"/>
      <c r="F482" s="12"/>
      <c r="G482" s="18"/>
      <c r="H482" s="35"/>
      <c r="I482" s="12"/>
      <c r="M482" s="12"/>
      <c r="N482" s="18"/>
      <c r="O482" s="12"/>
      <c r="P482" s="12"/>
      <c r="Q482" s="12"/>
      <c r="R482" s="36"/>
      <c r="S482" s="36"/>
      <c r="T482" s="12"/>
      <c r="U482" s="12"/>
      <c r="V482" s="12"/>
      <c r="W482" s="12"/>
      <c r="X482" s="12"/>
    </row>
    <row r="483" customFormat="false" ht="15.75" hidden="false" customHeight="false" outlineLevel="0" collapsed="false">
      <c r="A483" s="12"/>
      <c r="B483" s="34"/>
      <c r="C483" s="12"/>
      <c r="D483" s="12"/>
      <c r="E483" s="12"/>
      <c r="F483" s="12"/>
      <c r="G483" s="18"/>
      <c r="H483" s="35"/>
      <c r="I483" s="12"/>
      <c r="M483" s="12"/>
      <c r="N483" s="18"/>
      <c r="O483" s="12"/>
      <c r="P483" s="12"/>
      <c r="Q483" s="12"/>
      <c r="R483" s="36"/>
      <c r="S483" s="36"/>
      <c r="T483" s="12"/>
      <c r="U483" s="12"/>
      <c r="V483" s="12"/>
      <c r="W483" s="12"/>
      <c r="X483" s="12"/>
    </row>
    <row r="484" customFormat="false" ht="15.75" hidden="false" customHeight="false" outlineLevel="0" collapsed="false">
      <c r="A484" s="12"/>
      <c r="B484" s="34"/>
      <c r="C484" s="12"/>
      <c r="D484" s="12"/>
      <c r="E484" s="12"/>
      <c r="F484" s="12"/>
      <c r="G484" s="18"/>
      <c r="H484" s="35"/>
      <c r="I484" s="12"/>
      <c r="M484" s="12"/>
      <c r="N484" s="18"/>
      <c r="O484" s="12"/>
      <c r="P484" s="12"/>
      <c r="Q484" s="12"/>
      <c r="R484" s="36"/>
      <c r="S484" s="36"/>
      <c r="T484" s="12"/>
      <c r="U484" s="12"/>
      <c r="V484" s="12"/>
      <c r="W484" s="12"/>
      <c r="X484" s="12"/>
    </row>
    <row r="485" customFormat="false" ht="15.75" hidden="false" customHeight="false" outlineLevel="0" collapsed="false">
      <c r="A485" s="12"/>
      <c r="B485" s="34"/>
      <c r="C485" s="12"/>
      <c r="D485" s="12"/>
      <c r="E485" s="12"/>
      <c r="F485" s="12"/>
      <c r="G485" s="18"/>
      <c r="H485" s="35"/>
      <c r="I485" s="12"/>
      <c r="M485" s="12"/>
      <c r="N485" s="18"/>
      <c r="O485" s="12"/>
      <c r="P485" s="12"/>
      <c r="Q485" s="12"/>
      <c r="R485" s="36"/>
      <c r="S485" s="36"/>
      <c r="T485" s="12"/>
      <c r="U485" s="12"/>
      <c r="V485" s="12"/>
      <c r="W485" s="12"/>
      <c r="X485" s="12"/>
    </row>
    <row r="486" customFormat="false" ht="15.75" hidden="false" customHeight="false" outlineLevel="0" collapsed="false">
      <c r="A486" s="12"/>
      <c r="B486" s="34"/>
      <c r="C486" s="12"/>
      <c r="D486" s="12"/>
      <c r="E486" s="12"/>
      <c r="F486" s="12"/>
      <c r="G486" s="18"/>
      <c r="H486" s="35"/>
      <c r="I486" s="12"/>
      <c r="M486" s="12"/>
      <c r="N486" s="18"/>
      <c r="O486" s="12"/>
      <c r="P486" s="12"/>
      <c r="Q486" s="12"/>
      <c r="R486" s="36"/>
      <c r="S486" s="36"/>
      <c r="T486" s="12"/>
      <c r="U486" s="12"/>
      <c r="V486" s="12"/>
      <c r="W486" s="12"/>
      <c r="X486" s="12"/>
    </row>
    <row r="487" customFormat="false" ht="15.75" hidden="false" customHeight="false" outlineLevel="0" collapsed="false">
      <c r="A487" s="12"/>
      <c r="B487" s="34"/>
      <c r="C487" s="12"/>
      <c r="D487" s="12"/>
      <c r="E487" s="12"/>
      <c r="F487" s="12"/>
      <c r="G487" s="18"/>
      <c r="H487" s="35"/>
      <c r="I487" s="12"/>
      <c r="M487" s="12"/>
      <c r="N487" s="18"/>
      <c r="O487" s="12"/>
      <c r="P487" s="12"/>
      <c r="Q487" s="12"/>
      <c r="R487" s="36"/>
      <c r="S487" s="36"/>
      <c r="T487" s="12"/>
      <c r="U487" s="12"/>
      <c r="V487" s="12"/>
      <c r="W487" s="12"/>
      <c r="X487" s="12"/>
    </row>
    <row r="488" customFormat="false" ht="15.75" hidden="false" customHeight="false" outlineLevel="0" collapsed="false">
      <c r="A488" s="12"/>
      <c r="B488" s="34"/>
      <c r="C488" s="12"/>
      <c r="D488" s="12"/>
      <c r="E488" s="12"/>
      <c r="F488" s="12"/>
      <c r="G488" s="18"/>
      <c r="H488" s="35"/>
      <c r="I488" s="12"/>
      <c r="M488" s="12"/>
      <c r="N488" s="18"/>
      <c r="O488" s="12"/>
      <c r="P488" s="12"/>
      <c r="Q488" s="12"/>
      <c r="R488" s="36"/>
      <c r="S488" s="36"/>
      <c r="T488" s="12"/>
      <c r="U488" s="12"/>
      <c r="V488" s="12"/>
      <c r="W488" s="12"/>
      <c r="X488" s="12"/>
    </row>
    <row r="489" customFormat="false" ht="15.75" hidden="false" customHeight="false" outlineLevel="0" collapsed="false">
      <c r="A489" s="12"/>
      <c r="B489" s="34"/>
      <c r="C489" s="12"/>
      <c r="D489" s="12"/>
      <c r="E489" s="12"/>
      <c r="F489" s="12"/>
      <c r="G489" s="18"/>
      <c r="H489" s="35"/>
      <c r="I489" s="12"/>
      <c r="M489" s="12"/>
      <c r="N489" s="18"/>
      <c r="O489" s="12"/>
      <c r="P489" s="12"/>
      <c r="Q489" s="12"/>
      <c r="R489" s="36"/>
      <c r="S489" s="36"/>
      <c r="T489" s="12"/>
      <c r="U489" s="12"/>
      <c r="V489" s="12"/>
      <c r="W489" s="12"/>
      <c r="X489" s="12"/>
    </row>
    <row r="490" customFormat="false" ht="15.75" hidden="false" customHeight="false" outlineLevel="0" collapsed="false">
      <c r="A490" s="12"/>
      <c r="B490" s="34"/>
      <c r="C490" s="12"/>
      <c r="D490" s="12"/>
      <c r="E490" s="12"/>
      <c r="F490" s="12"/>
      <c r="G490" s="18"/>
      <c r="H490" s="35"/>
      <c r="I490" s="12"/>
      <c r="M490" s="12"/>
      <c r="N490" s="18"/>
      <c r="O490" s="12"/>
      <c r="P490" s="12"/>
      <c r="Q490" s="12"/>
      <c r="R490" s="36"/>
      <c r="S490" s="36"/>
      <c r="T490" s="12"/>
      <c r="U490" s="12"/>
      <c r="V490" s="12"/>
      <c r="W490" s="12"/>
      <c r="X490" s="12"/>
    </row>
    <row r="491" customFormat="false" ht="15.75" hidden="false" customHeight="false" outlineLevel="0" collapsed="false">
      <c r="A491" s="12"/>
      <c r="B491" s="34"/>
      <c r="C491" s="12"/>
      <c r="D491" s="12"/>
      <c r="E491" s="12"/>
      <c r="F491" s="12"/>
      <c r="G491" s="18"/>
      <c r="H491" s="35"/>
      <c r="I491" s="12"/>
      <c r="M491" s="12"/>
      <c r="N491" s="18"/>
      <c r="O491" s="12"/>
      <c r="P491" s="12"/>
      <c r="Q491" s="12"/>
      <c r="R491" s="36"/>
      <c r="S491" s="36"/>
      <c r="T491" s="12"/>
      <c r="U491" s="12"/>
      <c r="V491" s="12"/>
      <c r="W491" s="12"/>
      <c r="X491" s="12"/>
    </row>
    <row r="492" customFormat="false" ht="15.75" hidden="false" customHeight="false" outlineLevel="0" collapsed="false">
      <c r="A492" s="12"/>
      <c r="B492" s="34"/>
      <c r="C492" s="12"/>
      <c r="D492" s="12"/>
      <c r="E492" s="12"/>
      <c r="F492" s="12"/>
      <c r="G492" s="18"/>
      <c r="H492" s="35"/>
      <c r="I492" s="12"/>
      <c r="M492" s="12"/>
      <c r="N492" s="18"/>
      <c r="O492" s="12"/>
      <c r="P492" s="12"/>
      <c r="Q492" s="12"/>
      <c r="R492" s="36"/>
      <c r="S492" s="36"/>
      <c r="T492" s="12"/>
      <c r="U492" s="12"/>
      <c r="V492" s="12"/>
      <c r="W492" s="12"/>
      <c r="X492" s="12"/>
    </row>
    <row r="493" customFormat="false" ht="15.75" hidden="false" customHeight="false" outlineLevel="0" collapsed="false">
      <c r="A493" s="12"/>
      <c r="B493" s="34"/>
      <c r="C493" s="12"/>
      <c r="D493" s="12"/>
      <c r="E493" s="12"/>
      <c r="F493" s="12"/>
      <c r="G493" s="18"/>
      <c r="H493" s="35"/>
      <c r="I493" s="12"/>
      <c r="M493" s="12"/>
      <c r="N493" s="18"/>
      <c r="O493" s="12"/>
      <c r="P493" s="12"/>
      <c r="Q493" s="12"/>
      <c r="R493" s="36"/>
      <c r="S493" s="36"/>
      <c r="T493" s="12"/>
      <c r="U493" s="12"/>
      <c r="V493" s="12"/>
      <c r="W493" s="12"/>
      <c r="X493" s="12"/>
    </row>
    <row r="494" customFormat="false" ht="15.75" hidden="false" customHeight="false" outlineLevel="0" collapsed="false">
      <c r="A494" s="12"/>
      <c r="B494" s="34"/>
      <c r="C494" s="12"/>
      <c r="D494" s="12"/>
      <c r="E494" s="12"/>
      <c r="F494" s="12"/>
      <c r="G494" s="18"/>
      <c r="H494" s="35"/>
      <c r="I494" s="12"/>
      <c r="M494" s="12"/>
      <c r="N494" s="18"/>
      <c r="O494" s="12"/>
      <c r="P494" s="12"/>
      <c r="Q494" s="12"/>
      <c r="R494" s="36"/>
      <c r="S494" s="36"/>
      <c r="T494" s="12"/>
      <c r="U494" s="12"/>
      <c r="V494" s="12"/>
      <c r="W494" s="12"/>
      <c r="X494" s="12"/>
    </row>
    <row r="495" customFormat="false" ht="15.75" hidden="false" customHeight="false" outlineLevel="0" collapsed="false">
      <c r="A495" s="12"/>
      <c r="B495" s="34"/>
      <c r="C495" s="12"/>
      <c r="D495" s="12"/>
      <c r="E495" s="12"/>
      <c r="F495" s="12"/>
      <c r="G495" s="18"/>
      <c r="H495" s="35"/>
      <c r="I495" s="12"/>
      <c r="M495" s="12"/>
      <c r="N495" s="18"/>
      <c r="O495" s="12"/>
      <c r="P495" s="12"/>
      <c r="Q495" s="12"/>
      <c r="R495" s="36"/>
      <c r="S495" s="36"/>
      <c r="T495" s="12"/>
      <c r="U495" s="12"/>
      <c r="V495" s="12"/>
      <c r="W495" s="12"/>
      <c r="X495" s="12"/>
    </row>
    <row r="496" customFormat="false" ht="15.75" hidden="false" customHeight="false" outlineLevel="0" collapsed="false">
      <c r="A496" s="12"/>
      <c r="B496" s="34"/>
      <c r="C496" s="12"/>
      <c r="D496" s="12"/>
      <c r="E496" s="12"/>
      <c r="F496" s="12"/>
      <c r="G496" s="18"/>
      <c r="H496" s="35"/>
      <c r="I496" s="12"/>
      <c r="M496" s="12"/>
      <c r="N496" s="18"/>
      <c r="O496" s="12"/>
      <c r="P496" s="12"/>
      <c r="Q496" s="12"/>
      <c r="R496" s="36"/>
      <c r="S496" s="36"/>
      <c r="T496" s="12"/>
      <c r="U496" s="12"/>
      <c r="V496" s="12"/>
      <c r="W496" s="12"/>
      <c r="X496" s="12"/>
    </row>
    <row r="497" customFormat="false" ht="15.75" hidden="false" customHeight="false" outlineLevel="0" collapsed="false">
      <c r="A497" s="12"/>
      <c r="B497" s="34"/>
      <c r="C497" s="12"/>
      <c r="D497" s="12"/>
      <c r="E497" s="12"/>
      <c r="F497" s="12"/>
      <c r="G497" s="18"/>
      <c r="H497" s="35"/>
      <c r="I497" s="12"/>
      <c r="M497" s="12"/>
      <c r="N497" s="18"/>
      <c r="O497" s="12"/>
      <c r="P497" s="12"/>
      <c r="Q497" s="12"/>
      <c r="R497" s="36"/>
      <c r="S497" s="36"/>
      <c r="T497" s="12"/>
      <c r="U497" s="12"/>
      <c r="V497" s="12"/>
      <c r="W497" s="12"/>
      <c r="X497" s="12"/>
    </row>
    <row r="498" customFormat="false" ht="15.75" hidden="false" customHeight="false" outlineLevel="0" collapsed="false">
      <c r="A498" s="12"/>
      <c r="B498" s="34"/>
      <c r="C498" s="12"/>
      <c r="D498" s="12"/>
      <c r="E498" s="12"/>
      <c r="F498" s="12"/>
      <c r="G498" s="18"/>
      <c r="H498" s="35"/>
      <c r="I498" s="12"/>
      <c r="M498" s="12"/>
      <c r="N498" s="18"/>
      <c r="O498" s="12"/>
      <c r="P498" s="12"/>
      <c r="Q498" s="12"/>
      <c r="R498" s="36"/>
      <c r="S498" s="36"/>
      <c r="T498" s="12"/>
      <c r="U498" s="12"/>
      <c r="V498" s="12"/>
      <c r="W498" s="12"/>
      <c r="X498" s="12"/>
    </row>
    <row r="499" customFormat="false" ht="15.75" hidden="false" customHeight="false" outlineLevel="0" collapsed="false">
      <c r="A499" s="12"/>
      <c r="B499" s="34"/>
      <c r="C499" s="12"/>
      <c r="D499" s="12"/>
      <c r="E499" s="12"/>
      <c r="F499" s="12"/>
      <c r="G499" s="18"/>
      <c r="H499" s="35"/>
      <c r="I499" s="12"/>
      <c r="M499" s="12"/>
      <c r="N499" s="18"/>
      <c r="O499" s="12"/>
      <c r="P499" s="12"/>
      <c r="Q499" s="12"/>
      <c r="R499" s="36"/>
      <c r="S499" s="36"/>
      <c r="T499" s="12"/>
      <c r="U499" s="12"/>
      <c r="V499" s="12"/>
      <c r="W499" s="12"/>
      <c r="X499" s="12"/>
    </row>
    <row r="500" customFormat="false" ht="15.75" hidden="false" customHeight="false" outlineLevel="0" collapsed="false">
      <c r="A500" s="12"/>
      <c r="B500" s="34"/>
      <c r="C500" s="12"/>
      <c r="D500" s="12"/>
      <c r="E500" s="12"/>
      <c r="F500" s="12"/>
      <c r="G500" s="18"/>
      <c r="H500" s="35"/>
      <c r="I500" s="12"/>
      <c r="M500" s="12"/>
      <c r="N500" s="18"/>
      <c r="O500" s="12"/>
      <c r="P500" s="12"/>
      <c r="Q500" s="12"/>
      <c r="R500" s="36"/>
      <c r="S500" s="36"/>
      <c r="T500" s="12"/>
      <c r="U500" s="12"/>
      <c r="V500" s="12"/>
      <c r="W500" s="12"/>
      <c r="X500" s="12"/>
    </row>
    <row r="501" customFormat="false" ht="15.75" hidden="false" customHeight="false" outlineLevel="0" collapsed="false">
      <c r="A501" s="12"/>
      <c r="B501" s="34"/>
      <c r="C501" s="12"/>
      <c r="D501" s="12"/>
      <c r="E501" s="12"/>
      <c r="F501" s="12"/>
      <c r="G501" s="18"/>
      <c r="H501" s="35"/>
      <c r="I501" s="12"/>
      <c r="M501" s="12"/>
      <c r="N501" s="18"/>
      <c r="O501" s="12"/>
      <c r="P501" s="12"/>
      <c r="Q501" s="12"/>
      <c r="R501" s="36"/>
      <c r="S501" s="36"/>
      <c r="T501" s="12"/>
      <c r="U501" s="12"/>
      <c r="V501" s="12"/>
      <c r="W501" s="12"/>
      <c r="X501" s="12"/>
    </row>
    <row r="502" customFormat="false" ht="15.75" hidden="false" customHeight="false" outlineLevel="0" collapsed="false">
      <c r="A502" s="12"/>
      <c r="B502" s="34"/>
      <c r="C502" s="12"/>
      <c r="D502" s="12"/>
      <c r="E502" s="12"/>
      <c r="F502" s="12"/>
      <c r="G502" s="18"/>
      <c r="H502" s="35"/>
      <c r="I502" s="12"/>
      <c r="M502" s="12"/>
      <c r="N502" s="18"/>
      <c r="O502" s="12"/>
      <c r="P502" s="12"/>
      <c r="Q502" s="12"/>
      <c r="R502" s="36"/>
      <c r="S502" s="36"/>
      <c r="T502" s="12"/>
      <c r="U502" s="12"/>
      <c r="V502" s="12"/>
      <c r="W502" s="12"/>
      <c r="X502" s="12"/>
    </row>
    <row r="503" customFormat="false" ht="15.75" hidden="false" customHeight="false" outlineLevel="0" collapsed="false">
      <c r="A503" s="12"/>
      <c r="B503" s="34"/>
      <c r="C503" s="12"/>
      <c r="D503" s="12"/>
      <c r="E503" s="12"/>
      <c r="F503" s="12"/>
      <c r="G503" s="18"/>
      <c r="H503" s="35"/>
      <c r="I503" s="12"/>
      <c r="M503" s="12"/>
      <c r="N503" s="18"/>
      <c r="O503" s="12"/>
      <c r="P503" s="12"/>
      <c r="Q503" s="12"/>
      <c r="R503" s="36"/>
      <c r="S503" s="36"/>
      <c r="T503" s="12"/>
      <c r="U503" s="12"/>
      <c r="V503" s="12"/>
      <c r="W503" s="12"/>
      <c r="X503" s="12"/>
    </row>
    <row r="504" customFormat="false" ht="15.75" hidden="false" customHeight="false" outlineLevel="0" collapsed="false">
      <c r="A504" s="12"/>
      <c r="B504" s="34"/>
      <c r="C504" s="12"/>
      <c r="D504" s="12"/>
      <c r="E504" s="12"/>
      <c r="F504" s="12"/>
      <c r="G504" s="18"/>
      <c r="H504" s="35"/>
      <c r="I504" s="12"/>
      <c r="M504" s="12"/>
      <c r="N504" s="18"/>
      <c r="O504" s="12"/>
      <c r="P504" s="12"/>
      <c r="Q504" s="12"/>
      <c r="R504" s="36"/>
      <c r="S504" s="36"/>
      <c r="T504" s="12"/>
      <c r="U504" s="12"/>
      <c r="V504" s="12"/>
      <c r="W504" s="12"/>
      <c r="X504" s="12"/>
    </row>
    <row r="505" customFormat="false" ht="15.75" hidden="false" customHeight="false" outlineLevel="0" collapsed="false">
      <c r="A505" s="12"/>
      <c r="B505" s="34"/>
      <c r="C505" s="12"/>
      <c r="D505" s="12"/>
      <c r="E505" s="12"/>
      <c r="F505" s="12"/>
      <c r="G505" s="18"/>
      <c r="H505" s="35"/>
      <c r="I505" s="12"/>
      <c r="M505" s="12"/>
      <c r="N505" s="18"/>
      <c r="O505" s="12"/>
      <c r="P505" s="12"/>
      <c r="Q505" s="12"/>
      <c r="R505" s="36"/>
      <c r="S505" s="36"/>
      <c r="T505" s="12"/>
      <c r="U505" s="12"/>
      <c r="V505" s="12"/>
      <c r="W505" s="12"/>
      <c r="X505" s="12"/>
    </row>
    <row r="506" customFormat="false" ht="15.75" hidden="false" customHeight="false" outlineLevel="0" collapsed="false">
      <c r="A506" s="12"/>
      <c r="B506" s="34"/>
      <c r="C506" s="12"/>
      <c r="D506" s="12"/>
      <c r="E506" s="12"/>
      <c r="F506" s="12"/>
      <c r="G506" s="18"/>
      <c r="H506" s="35"/>
      <c r="I506" s="12"/>
      <c r="M506" s="12"/>
      <c r="N506" s="18"/>
      <c r="O506" s="12"/>
      <c r="P506" s="12"/>
      <c r="Q506" s="12"/>
      <c r="R506" s="36"/>
      <c r="S506" s="36"/>
      <c r="T506" s="12"/>
      <c r="U506" s="12"/>
      <c r="V506" s="12"/>
      <c r="W506" s="12"/>
      <c r="X506" s="12"/>
    </row>
    <row r="507" customFormat="false" ht="15.75" hidden="false" customHeight="false" outlineLevel="0" collapsed="false">
      <c r="A507" s="12"/>
      <c r="B507" s="34"/>
      <c r="C507" s="12"/>
      <c r="D507" s="12"/>
      <c r="E507" s="12"/>
      <c r="F507" s="12"/>
      <c r="G507" s="18"/>
      <c r="H507" s="35"/>
      <c r="I507" s="12"/>
      <c r="M507" s="12"/>
      <c r="N507" s="18"/>
      <c r="O507" s="12"/>
      <c r="P507" s="12"/>
      <c r="Q507" s="12"/>
      <c r="R507" s="36"/>
      <c r="S507" s="36"/>
      <c r="T507" s="12"/>
      <c r="U507" s="12"/>
      <c r="V507" s="12"/>
      <c r="W507" s="12"/>
      <c r="X507" s="12"/>
    </row>
    <row r="508" customFormat="false" ht="15.75" hidden="false" customHeight="false" outlineLevel="0" collapsed="false">
      <c r="A508" s="12"/>
      <c r="B508" s="34"/>
      <c r="C508" s="12"/>
      <c r="D508" s="12"/>
      <c r="E508" s="12"/>
      <c r="F508" s="12"/>
      <c r="G508" s="18"/>
      <c r="H508" s="35"/>
      <c r="I508" s="12"/>
      <c r="M508" s="12"/>
      <c r="N508" s="18"/>
      <c r="O508" s="12"/>
      <c r="P508" s="12"/>
      <c r="Q508" s="12"/>
      <c r="R508" s="36"/>
      <c r="S508" s="36"/>
      <c r="T508" s="12"/>
      <c r="U508" s="12"/>
      <c r="V508" s="12"/>
      <c r="W508" s="12"/>
      <c r="X508" s="12"/>
    </row>
    <row r="509" customFormat="false" ht="15.75" hidden="false" customHeight="false" outlineLevel="0" collapsed="false">
      <c r="A509" s="12"/>
      <c r="B509" s="34"/>
      <c r="C509" s="12"/>
      <c r="D509" s="12"/>
      <c r="E509" s="12"/>
      <c r="F509" s="12"/>
      <c r="G509" s="18"/>
      <c r="H509" s="35"/>
      <c r="I509" s="12"/>
      <c r="M509" s="12"/>
      <c r="N509" s="18"/>
      <c r="O509" s="12"/>
      <c r="P509" s="12"/>
      <c r="Q509" s="12"/>
      <c r="R509" s="36"/>
      <c r="S509" s="36"/>
      <c r="T509" s="12"/>
      <c r="U509" s="12"/>
      <c r="V509" s="12"/>
      <c r="W509" s="12"/>
      <c r="X509" s="12"/>
    </row>
    <row r="510" customFormat="false" ht="15.75" hidden="false" customHeight="false" outlineLevel="0" collapsed="false">
      <c r="A510" s="12"/>
      <c r="B510" s="34"/>
      <c r="C510" s="12"/>
      <c r="D510" s="12"/>
      <c r="E510" s="12"/>
      <c r="F510" s="12"/>
      <c r="G510" s="18"/>
      <c r="H510" s="35"/>
      <c r="I510" s="12"/>
      <c r="M510" s="12"/>
      <c r="N510" s="18"/>
      <c r="O510" s="12"/>
      <c r="P510" s="12"/>
      <c r="Q510" s="12"/>
      <c r="R510" s="36"/>
      <c r="S510" s="36"/>
      <c r="T510" s="12"/>
      <c r="U510" s="12"/>
      <c r="V510" s="12"/>
      <c r="W510" s="12"/>
      <c r="X510" s="12"/>
    </row>
    <row r="511" customFormat="false" ht="15.75" hidden="false" customHeight="false" outlineLevel="0" collapsed="false">
      <c r="A511" s="12"/>
      <c r="B511" s="34"/>
      <c r="C511" s="12"/>
      <c r="D511" s="12"/>
      <c r="E511" s="12"/>
      <c r="F511" s="12"/>
      <c r="G511" s="18"/>
      <c r="H511" s="35"/>
      <c r="I511" s="12"/>
      <c r="M511" s="12"/>
      <c r="N511" s="18"/>
      <c r="O511" s="12"/>
      <c r="P511" s="12"/>
      <c r="Q511" s="12"/>
      <c r="R511" s="36"/>
      <c r="S511" s="36"/>
      <c r="T511" s="12"/>
      <c r="U511" s="12"/>
      <c r="V511" s="12"/>
      <c r="W511" s="12"/>
      <c r="X511" s="12"/>
    </row>
    <row r="512" customFormat="false" ht="15.75" hidden="false" customHeight="false" outlineLevel="0" collapsed="false">
      <c r="A512" s="12"/>
      <c r="B512" s="34"/>
      <c r="C512" s="12"/>
      <c r="D512" s="12"/>
      <c r="E512" s="12"/>
      <c r="F512" s="12"/>
      <c r="G512" s="18"/>
      <c r="H512" s="35"/>
      <c r="I512" s="12"/>
      <c r="M512" s="12"/>
      <c r="N512" s="18"/>
      <c r="O512" s="12"/>
      <c r="P512" s="12"/>
      <c r="Q512" s="12"/>
      <c r="R512" s="36"/>
      <c r="S512" s="36"/>
      <c r="T512" s="12"/>
      <c r="U512" s="12"/>
      <c r="V512" s="12"/>
      <c r="W512" s="12"/>
      <c r="X512" s="12"/>
    </row>
    <row r="513" customFormat="false" ht="15.75" hidden="false" customHeight="false" outlineLevel="0" collapsed="false">
      <c r="A513" s="12"/>
      <c r="B513" s="34"/>
      <c r="C513" s="12"/>
      <c r="D513" s="12"/>
      <c r="E513" s="12"/>
      <c r="F513" s="12"/>
      <c r="G513" s="18"/>
      <c r="H513" s="35"/>
      <c r="I513" s="12"/>
      <c r="M513" s="12"/>
      <c r="N513" s="18"/>
      <c r="O513" s="12"/>
      <c r="P513" s="12"/>
      <c r="Q513" s="12"/>
      <c r="R513" s="36"/>
      <c r="S513" s="36"/>
      <c r="T513" s="12"/>
      <c r="U513" s="12"/>
      <c r="V513" s="12"/>
      <c r="W513" s="12"/>
      <c r="X513" s="12"/>
    </row>
    <row r="514" customFormat="false" ht="15.75" hidden="false" customHeight="false" outlineLevel="0" collapsed="false">
      <c r="A514" s="12"/>
      <c r="B514" s="34"/>
      <c r="C514" s="12"/>
      <c r="D514" s="12"/>
      <c r="E514" s="12"/>
      <c r="F514" s="12"/>
      <c r="G514" s="18"/>
      <c r="H514" s="35"/>
      <c r="I514" s="12"/>
      <c r="M514" s="12"/>
      <c r="N514" s="18"/>
      <c r="O514" s="12"/>
      <c r="P514" s="12"/>
      <c r="Q514" s="12"/>
      <c r="R514" s="36"/>
      <c r="S514" s="36"/>
      <c r="T514" s="12"/>
      <c r="U514" s="12"/>
      <c r="V514" s="12"/>
      <c r="W514" s="12"/>
      <c r="X514" s="12"/>
    </row>
    <row r="515" customFormat="false" ht="15.75" hidden="false" customHeight="false" outlineLevel="0" collapsed="false">
      <c r="A515" s="12"/>
      <c r="B515" s="34"/>
      <c r="C515" s="12"/>
      <c r="D515" s="12"/>
      <c r="E515" s="12"/>
      <c r="F515" s="12"/>
      <c r="G515" s="18"/>
      <c r="H515" s="35"/>
      <c r="I515" s="12"/>
      <c r="M515" s="12"/>
      <c r="N515" s="18"/>
      <c r="O515" s="12"/>
      <c r="P515" s="12"/>
      <c r="Q515" s="12"/>
      <c r="R515" s="36"/>
      <c r="S515" s="36"/>
      <c r="T515" s="12"/>
      <c r="U515" s="12"/>
      <c r="V515" s="12"/>
      <c r="W515" s="12"/>
      <c r="X515" s="12"/>
    </row>
    <row r="516" customFormat="false" ht="15.75" hidden="false" customHeight="false" outlineLevel="0" collapsed="false">
      <c r="A516" s="12"/>
      <c r="B516" s="34"/>
      <c r="C516" s="12"/>
      <c r="D516" s="12"/>
      <c r="E516" s="12"/>
      <c r="F516" s="12"/>
      <c r="G516" s="18"/>
      <c r="H516" s="35"/>
      <c r="I516" s="12"/>
      <c r="M516" s="12"/>
      <c r="N516" s="18"/>
      <c r="O516" s="12"/>
      <c r="P516" s="12"/>
      <c r="Q516" s="12"/>
      <c r="R516" s="36"/>
      <c r="S516" s="36"/>
      <c r="T516" s="12"/>
      <c r="U516" s="12"/>
      <c r="V516" s="12"/>
      <c r="W516" s="12"/>
      <c r="X516" s="12"/>
    </row>
    <row r="517" customFormat="false" ht="15.75" hidden="false" customHeight="false" outlineLevel="0" collapsed="false">
      <c r="A517" s="12"/>
      <c r="B517" s="34"/>
      <c r="C517" s="12"/>
      <c r="D517" s="12"/>
      <c r="E517" s="12"/>
      <c r="F517" s="12"/>
      <c r="G517" s="18"/>
      <c r="H517" s="35"/>
      <c r="I517" s="12"/>
      <c r="M517" s="12"/>
      <c r="N517" s="18"/>
      <c r="O517" s="12"/>
      <c r="P517" s="12"/>
      <c r="Q517" s="12"/>
      <c r="R517" s="36"/>
      <c r="S517" s="36"/>
      <c r="T517" s="12"/>
      <c r="U517" s="12"/>
      <c r="V517" s="12"/>
      <c r="W517" s="12"/>
      <c r="X517" s="12"/>
    </row>
    <row r="518" customFormat="false" ht="15.75" hidden="false" customHeight="false" outlineLevel="0" collapsed="false">
      <c r="A518" s="12"/>
      <c r="B518" s="34"/>
      <c r="C518" s="12"/>
      <c r="D518" s="12"/>
      <c r="E518" s="12"/>
      <c r="F518" s="12"/>
      <c r="G518" s="18"/>
      <c r="H518" s="35"/>
      <c r="I518" s="12"/>
      <c r="M518" s="12"/>
      <c r="N518" s="18"/>
      <c r="O518" s="12"/>
      <c r="P518" s="12"/>
      <c r="Q518" s="12"/>
      <c r="R518" s="36"/>
      <c r="S518" s="36"/>
      <c r="T518" s="12"/>
      <c r="U518" s="12"/>
      <c r="V518" s="12"/>
      <c r="W518" s="12"/>
      <c r="X518" s="12"/>
    </row>
    <row r="519" customFormat="false" ht="15.75" hidden="false" customHeight="false" outlineLevel="0" collapsed="false">
      <c r="A519" s="12"/>
      <c r="B519" s="34"/>
      <c r="C519" s="12"/>
      <c r="D519" s="12"/>
      <c r="E519" s="12"/>
      <c r="F519" s="12"/>
      <c r="G519" s="18"/>
      <c r="H519" s="35"/>
      <c r="I519" s="12"/>
      <c r="M519" s="12"/>
      <c r="N519" s="18"/>
      <c r="O519" s="12"/>
      <c r="P519" s="12"/>
      <c r="Q519" s="12"/>
      <c r="R519" s="36"/>
      <c r="S519" s="36"/>
      <c r="T519" s="12"/>
      <c r="U519" s="12"/>
      <c r="V519" s="12"/>
      <c r="W519" s="12"/>
      <c r="X519" s="12"/>
    </row>
    <row r="520" customFormat="false" ht="15.75" hidden="false" customHeight="false" outlineLevel="0" collapsed="false">
      <c r="A520" s="12"/>
      <c r="B520" s="34"/>
      <c r="C520" s="12"/>
      <c r="D520" s="12"/>
      <c r="E520" s="12"/>
      <c r="F520" s="12"/>
      <c r="G520" s="18"/>
      <c r="H520" s="35"/>
      <c r="I520" s="12"/>
      <c r="M520" s="12"/>
      <c r="N520" s="18"/>
      <c r="O520" s="12"/>
      <c r="P520" s="12"/>
      <c r="Q520" s="12"/>
      <c r="R520" s="36"/>
      <c r="S520" s="36"/>
      <c r="T520" s="12"/>
      <c r="U520" s="12"/>
      <c r="V520" s="12"/>
      <c r="W520" s="12"/>
      <c r="X520" s="12"/>
    </row>
    <row r="521" customFormat="false" ht="15.75" hidden="false" customHeight="false" outlineLevel="0" collapsed="false">
      <c r="A521" s="12"/>
      <c r="B521" s="34"/>
      <c r="C521" s="12"/>
      <c r="D521" s="12"/>
      <c r="E521" s="12"/>
      <c r="F521" s="12"/>
      <c r="G521" s="18"/>
      <c r="H521" s="35"/>
      <c r="I521" s="12"/>
      <c r="M521" s="12"/>
      <c r="N521" s="18"/>
      <c r="O521" s="12"/>
      <c r="P521" s="12"/>
      <c r="Q521" s="12"/>
      <c r="R521" s="36"/>
      <c r="S521" s="36"/>
      <c r="T521" s="12"/>
      <c r="U521" s="12"/>
      <c r="V521" s="12"/>
      <c r="W521" s="12"/>
      <c r="X521" s="12"/>
    </row>
    <row r="522" customFormat="false" ht="15.75" hidden="false" customHeight="false" outlineLevel="0" collapsed="false">
      <c r="A522" s="12"/>
      <c r="B522" s="34"/>
      <c r="C522" s="12"/>
      <c r="D522" s="12"/>
      <c r="E522" s="12"/>
      <c r="F522" s="12"/>
      <c r="G522" s="18"/>
      <c r="H522" s="35"/>
      <c r="I522" s="12"/>
      <c r="M522" s="12"/>
      <c r="N522" s="18"/>
      <c r="O522" s="12"/>
      <c r="P522" s="12"/>
      <c r="Q522" s="12"/>
      <c r="R522" s="36"/>
      <c r="S522" s="36"/>
      <c r="T522" s="12"/>
      <c r="U522" s="12"/>
      <c r="V522" s="12"/>
      <c r="W522" s="12"/>
      <c r="X522" s="12"/>
    </row>
    <row r="523" customFormat="false" ht="15.75" hidden="false" customHeight="false" outlineLevel="0" collapsed="false">
      <c r="A523" s="12"/>
      <c r="B523" s="34"/>
      <c r="C523" s="12"/>
      <c r="D523" s="12"/>
      <c r="E523" s="12"/>
      <c r="F523" s="12"/>
      <c r="G523" s="18"/>
      <c r="H523" s="35"/>
      <c r="I523" s="12"/>
      <c r="M523" s="12"/>
      <c r="N523" s="18"/>
      <c r="O523" s="12"/>
      <c r="P523" s="12"/>
      <c r="Q523" s="12"/>
      <c r="R523" s="36"/>
      <c r="S523" s="36"/>
      <c r="T523" s="12"/>
      <c r="U523" s="12"/>
      <c r="V523" s="12"/>
      <c r="W523" s="12"/>
      <c r="X523" s="12"/>
    </row>
    <row r="524" customFormat="false" ht="15.75" hidden="false" customHeight="false" outlineLevel="0" collapsed="false">
      <c r="A524" s="12"/>
      <c r="B524" s="34"/>
      <c r="C524" s="12"/>
      <c r="D524" s="12"/>
      <c r="E524" s="12"/>
      <c r="F524" s="12"/>
      <c r="G524" s="18"/>
      <c r="H524" s="35"/>
      <c r="I524" s="12"/>
      <c r="M524" s="12"/>
      <c r="N524" s="18"/>
      <c r="O524" s="12"/>
      <c r="P524" s="12"/>
      <c r="Q524" s="12"/>
      <c r="R524" s="36"/>
      <c r="S524" s="36"/>
      <c r="T524" s="12"/>
      <c r="U524" s="12"/>
      <c r="V524" s="12"/>
      <c r="W524" s="12"/>
      <c r="X524" s="12"/>
    </row>
    <row r="525" customFormat="false" ht="15.75" hidden="false" customHeight="false" outlineLevel="0" collapsed="false">
      <c r="A525" s="12"/>
      <c r="B525" s="34"/>
      <c r="C525" s="12"/>
      <c r="D525" s="12"/>
      <c r="E525" s="12"/>
      <c r="F525" s="12"/>
      <c r="G525" s="18"/>
      <c r="H525" s="35"/>
      <c r="I525" s="12"/>
      <c r="M525" s="12"/>
      <c r="N525" s="18"/>
      <c r="O525" s="12"/>
      <c r="P525" s="12"/>
      <c r="Q525" s="12"/>
      <c r="R525" s="36"/>
      <c r="S525" s="36"/>
      <c r="T525" s="12"/>
      <c r="U525" s="12"/>
      <c r="V525" s="12"/>
      <c r="W525" s="12"/>
      <c r="X525" s="12"/>
    </row>
    <row r="526" customFormat="false" ht="15.75" hidden="false" customHeight="false" outlineLevel="0" collapsed="false">
      <c r="A526" s="12"/>
      <c r="B526" s="34"/>
      <c r="C526" s="12"/>
      <c r="D526" s="12"/>
      <c r="E526" s="12"/>
      <c r="F526" s="12"/>
      <c r="G526" s="18"/>
      <c r="H526" s="35"/>
      <c r="I526" s="12"/>
      <c r="M526" s="12"/>
      <c r="N526" s="18"/>
      <c r="O526" s="12"/>
      <c r="P526" s="12"/>
      <c r="Q526" s="12"/>
      <c r="R526" s="36"/>
      <c r="S526" s="36"/>
      <c r="T526" s="12"/>
      <c r="U526" s="12"/>
      <c r="V526" s="12"/>
      <c r="W526" s="12"/>
      <c r="X526" s="12"/>
    </row>
    <row r="527" customFormat="false" ht="15.75" hidden="false" customHeight="false" outlineLevel="0" collapsed="false">
      <c r="A527" s="12"/>
      <c r="B527" s="34"/>
      <c r="C527" s="12"/>
      <c r="D527" s="12"/>
      <c r="E527" s="12"/>
      <c r="F527" s="12"/>
      <c r="G527" s="18"/>
      <c r="H527" s="35"/>
      <c r="I527" s="12"/>
      <c r="M527" s="12"/>
      <c r="N527" s="18"/>
      <c r="O527" s="12"/>
      <c r="P527" s="12"/>
      <c r="Q527" s="12"/>
      <c r="R527" s="36"/>
      <c r="S527" s="36"/>
      <c r="T527" s="12"/>
      <c r="U527" s="12"/>
      <c r="V527" s="12"/>
      <c r="W527" s="12"/>
      <c r="X527" s="12"/>
    </row>
    <row r="528" customFormat="false" ht="15.75" hidden="false" customHeight="false" outlineLevel="0" collapsed="false">
      <c r="A528" s="12"/>
      <c r="B528" s="34"/>
      <c r="C528" s="12"/>
      <c r="D528" s="12"/>
      <c r="E528" s="12"/>
      <c r="F528" s="12"/>
      <c r="G528" s="18"/>
      <c r="H528" s="35"/>
      <c r="I528" s="12"/>
      <c r="M528" s="12"/>
      <c r="N528" s="18"/>
      <c r="O528" s="12"/>
      <c r="P528" s="12"/>
      <c r="Q528" s="12"/>
      <c r="R528" s="36"/>
      <c r="S528" s="36"/>
      <c r="T528" s="12"/>
      <c r="U528" s="12"/>
      <c r="V528" s="12"/>
      <c r="W528" s="12"/>
      <c r="X528" s="12"/>
    </row>
    <row r="529" customFormat="false" ht="15.75" hidden="false" customHeight="false" outlineLevel="0" collapsed="false">
      <c r="A529" s="12"/>
      <c r="B529" s="34"/>
      <c r="C529" s="12"/>
      <c r="D529" s="12"/>
      <c r="E529" s="12"/>
      <c r="F529" s="12"/>
      <c r="G529" s="18"/>
      <c r="H529" s="35"/>
      <c r="I529" s="12"/>
      <c r="M529" s="12"/>
      <c r="N529" s="18"/>
      <c r="O529" s="12"/>
      <c r="P529" s="12"/>
      <c r="Q529" s="12"/>
      <c r="R529" s="36"/>
      <c r="S529" s="36"/>
      <c r="T529" s="12"/>
      <c r="U529" s="12"/>
      <c r="V529" s="12"/>
      <c r="W529" s="12"/>
      <c r="X529" s="12"/>
    </row>
    <row r="530" customFormat="false" ht="15.75" hidden="false" customHeight="false" outlineLevel="0" collapsed="false">
      <c r="A530" s="12"/>
      <c r="B530" s="34"/>
      <c r="C530" s="12"/>
      <c r="D530" s="12"/>
      <c r="E530" s="12"/>
      <c r="F530" s="12"/>
      <c r="G530" s="18"/>
      <c r="H530" s="35"/>
      <c r="I530" s="12"/>
      <c r="M530" s="12"/>
      <c r="N530" s="18"/>
      <c r="O530" s="12"/>
      <c r="P530" s="12"/>
      <c r="Q530" s="12"/>
      <c r="R530" s="36"/>
      <c r="S530" s="36"/>
      <c r="T530" s="12"/>
      <c r="U530" s="12"/>
      <c r="V530" s="12"/>
      <c r="W530" s="12"/>
      <c r="X530" s="12"/>
    </row>
    <row r="531" customFormat="false" ht="15.75" hidden="false" customHeight="false" outlineLevel="0" collapsed="false">
      <c r="A531" s="12"/>
      <c r="B531" s="34"/>
      <c r="C531" s="12"/>
      <c r="D531" s="12"/>
      <c r="E531" s="12"/>
      <c r="F531" s="12"/>
      <c r="G531" s="18"/>
      <c r="H531" s="35"/>
      <c r="I531" s="12"/>
      <c r="M531" s="12"/>
      <c r="N531" s="18"/>
      <c r="O531" s="12"/>
      <c r="P531" s="12"/>
      <c r="Q531" s="12"/>
      <c r="R531" s="36"/>
      <c r="S531" s="36"/>
      <c r="T531" s="12"/>
      <c r="U531" s="12"/>
      <c r="V531" s="12"/>
      <c r="W531" s="12"/>
      <c r="X531" s="12"/>
    </row>
    <row r="532" customFormat="false" ht="15.75" hidden="false" customHeight="false" outlineLevel="0" collapsed="false">
      <c r="A532" s="12"/>
      <c r="B532" s="34"/>
      <c r="C532" s="12"/>
      <c r="D532" s="12"/>
      <c r="E532" s="12"/>
      <c r="F532" s="12"/>
      <c r="G532" s="18"/>
      <c r="H532" s="35"/>
      <c r="I532" s="12"/>
      <c r="M532" s="12"/>
      <c r="N532" s="18"/>
      <c r="O532" s="12"/>
      <c r="P532" s="12"/>
      <c r="Q532" s="12"/>
      <c r="R532" s="36"/>
      <c r="S532" s="36"/>
      <c r="T532" s="12"/>
      <c r="U532" s="12"/>
      <c r="V532" s="12"/>
      <c r="W532" s="12"/>
      <c r="X532" s="12"/>
    </row>
    <row r="533" customFormat="false" ht="15.75" hidden="false" customHeight="false" outlineLevel="0" collapsed="false">
      <c r="A533" s="12"/>
      <c r="B533" s="34"/>
      <c r="C533" s="12"/>
      <c r="D533" s="12"/>
      <c r="E533" s="12"/>
      <c r="F533" s="12"/>
      <c r="G533" s="18"/>
      <c r="H533" s="35"/>
      <c r="I533" s="12"/>
      <c r="M533" s="12"/>
      <c r="N533" s="18"/>
      <c r="O533" s="12"/>
      <c r="P533" s="12"/>
      <c r="Q533" s="12"/>
      <c r="R533" s="36"/>
      <c r="S533" s="36"/>
      <c r="T533" s="12"/>
      <c r="U533" s="12"/>
      <c r="V533" s="12"/>
      <c r="W533" s="12"/>
      <c r="X533" s="12"/>
    </row>
    <row r="534" customFormat="false" ht="15.75" hidden="false" customHeight="false" outlineLevel="0" collapsed="false">
      <c r="A534" s="12"/>
      <c r="B534" s="34"/>
      <c r="C534" s="12"/>
      <c r="D534" s="12"/>
      <c r="E534" s="12"/>
      <c r="F534" s="12"/>
      <c r="G534" s="18"/>
      <c r="H534" s="35"/>
      <c r="I534" s="12"/>
      <c r="M534" s="12"/>
      <c r="N534" s="18"/>
      <c r="O534" s="12"/>
      <c r="P534" s="12"/>
      <c r="Q534" s="12"/>
      <c r="R534" s="36"/>
      <c r="S534" s="36"/>
      <c r="T534" s="12"/>
      <c r="U534" s="12"/>
      <c r="V534" s="12"/>
      <c r="W534" s="12"/>
      <c r="X534" s="12"/>
    </row>
    <row r="535" customFormat="false" ht="15.75" hidden="false" customHeight="false" outlineLevel="0" collapsed="false">
      <c r="A535" s="12"/>
      <c r="B535" s="34"/>
      <c r="C535" s="12"/>
      <c r="D535" s="12"/>
      <c r="E535" s="12"/>
      <c r="F535" s="12"/>
      <c r="G535" s="18"/>
      <c r="H535" s="35"/>
      <c r="I535" s="12"/>
      <c r="M535" s="12"/>
      <c r="N535" s="18"/>
      <c r="O535" s="12"/>
      <c r="P535" s="12"/>
      <c r="Q535" s="12"/>
      <c r="R535" s="36"/>
      <c r="S535" s="36"/>
      <c r="T535" s="12"/>
      <c r="U535" s="12"/>
      <c r="V535" s="12"/>
      <c r="W535" s="12"/>
      <c r="X535" s="12"/>
    </row>
    <row r="536" customFormat="false" ht="15.75" hidden="false" customHeight="false" outlineLevel="0" collapsed="false">
      <c r="A536" s="12"/>
      <c r="B536" s="34"/>
      <c r="C536" s="12"/>
      <c r="D536" s="12"/>
      <c r="E536" s="12"/>
      <c r="F536" s="12"/>
      <c r="G536" s="18"/>
      <c r="H536" s="35"/>
      <c r="I536" s="12"/>
      <c r="M536" s="12"/>
      <c r="N536" s="18"/>
      <c r="O536" s="12"/>
      <c r="P536" s="12"/>
      <c r="Q536" s="12"/>
      <c r="R536" s="36"/>
      <c r="S536" s="36"/>
      <c r="T536" s="12"/>
      <c r="U536" s="12"/>
      <c r="V536" s="12"/>
      <c r="W536" s="12"/>
      <c r="X536" s="12"/>
    </row>
    <row r="537" customFormat="false" ht="15.75" hidden="false" customHeight="false" outlineLevel="0" collapsed="false">
      <c r="A537" s="12"/>
      <c r="B537" s="34"/>
      <c r="C537" s="12"/>
      <c r="D537" s="12"/>
      <c r="E537" s="12"/>
      <c r="F537" s="12"/>
      <c r="G537" s="18"/>
      <c r="H537" s="35"/>
      <c r="I537" s="12"/>
      <c r="M537" s="12"/>
      <c r="N537" s="18"/>
      <c r="O537" s="12"/>
      <c r="P537" s="12"/>
      <c r="Q537" s="12"/>
      <c r="R537" s="36"/>
      <c r="S537" s="36"/>
      <c r="T537" s="12"/>
      <c r="U537" s="12"/>
      <c r="V537" s="12"/>
      <c r="W537" s="12"/>
      <c r="X537" s="12"/>
    </row>
    <row r="538" customFormat="false" ht="15.75" hidden="false" customHeight="false" outlineLevel="0" collapsed="false">
      <c r="A538" s="12"/>
      <c r="B538" s="34"/>
      <c r="C538" s="12"/>
      <c r="D538" s="12"/>
      <c r="E538" s="12"/>
      <c r="F538" s="12"/>
      <c r="G538" s="18"/>
      <c r="H538" s="35"/>
      <c r="I538" s="12"/>
      <c r="M538" s="12"/>
      <c r="N538" s="18"/>
      <c r="O538" s="12"/>
      <c r="P538" s="12"/>
      <c r="Q538" s="12"/>
      <c r="R538" s="36"/>
      <c r="S538" s="36"/>
      <c r="T538" s="12"/>
      <c r="U538" s="12"/>
      <c r="V538" s="12"/>
      <c r="W538" s="12"/>
      <c r="X538" s="12"/>
    </row>
    <row r="539" customFormat="false" ht="15.75" hidden="false" customHeight="false" outlineLevel="0" collapsed="false">
      <c r="A539" s="12"/>
      <c r="B539" s="34"/>
      <c r="C539" s="12"/>
      <c r="D539" s="12"/>
      <c r="E539" s="12"/>
      <c r="F539" s="12"/>
      <c r="G539" s="18"/>
      <c r="H539" s="35"/>
      <c r="I539" s="12"/>
      <c r="M539" s="12"/>
      <c r="N539" s="18"/>
      <c r="O539" s="12"/>
      <c r="P539" s="12"/>
      <c r="Q539" s="12"/>
      <c r="R539" s="36"/>
      <c r="S539" s="36"/>
      <c r="T539" s="12"/>
      <c r="U539" s="12"/>
      <c r="V539" s="12"/>
      <c r="W539" s="12"/>
      <c r="X539" s="12"/>
    </row>
    <row r="540" customFormat="false" ht="15.75" hidden="false" customHeight="false" outlineLevel="0" collapsed="false">
      <c r="A540" s="12"/>
      <c r="B540" s="34"/>
      <c r="C540" s="12"/>
      <c r="D540" s="12"/>
      <c r="E540" s="12"/>
      <c r="F540" s="12"/>
      <c r="G540" s="18"/>
      <c r="H540" s="35"/>
      <c r="I540" s="12"/>
      <c r="M540" s="12"/>
      <c r="N540" s="18"/>
      <c r="O540" s="12"/>
      <c r="P540" s="12"/>
      <c r="Q540" s="12"/>
      <c r="R540" s="36"/>
      <c r="S540" s="36"/>
      <c r="T540" s="12"/>
      <c r="U540" s="12"/>
      <c r="V540" s="12"/>
      <c r="W540" s="12"/>
      <c r="X540" s="12"/>
    </row>
    <row r="541" customFormat="false" ht="15.75" hidden="false" customHeight="false" outlineLevel="0" collapsed="false">
      <c r="A541" s="12"/>
      <c r="B541" s="34"/>
      <c r="C541" s="12"/>
      <c r="D541" s="12"/>
      <c r="E541" s="12"/>
      <c r="F541" s="12"/>
      <c r="G541" s="18"/>
      <c r="H541" s="35"/>
      <c r="I541" s="12"/>
      <c r="M541" s="12"/>
      <c r="N541" s="18"/>
      <c r="O541" s="12"/>
      <c r="P541" s="12"/>
      <c r="Q541" s="12"/>
      <c r="R541" s="36"/>
      <c r="S541" s="36"/>
      <c r="T541" s="12"/>
      <c r="U541" s="12"/>
      <c r="V541" s="12"/>
      <c r="W541" s="12"/>
      <c r="X541" s="12"/>
    </row>
    <row r="542" customFormat="false" ht="15.75" hidden="false" customHeight="false" outlineLevel="0" collapsed="false">
      <c r="A542" s="12"/>
      <c r="B542" s="34"/>
      <c r="C542" s="12"/>
      <c r="D542" s="12"/>
      <c r="E542" s="12"/>
      <c r="F542" s="12"/>
      <c r="G542" s="18"/>
      <c r="H542" s="35"/>
      <c r="I542" s="12"/>
      <c r="M542" s="12"/>
      <c r="N542" s="18"/>
      <c r="O542" s="12"/>
      <c r="P542" s="12"/>
      <c r="Q542" s="12"/>
      <c r="R542" s="36"/>
      <c r="S542" s="36"/>
      <c r="T542" s="12"/>
      <c r="U542" s="12"/>
      <c r="V542" s="12"/>
      <c r="W542" s="12"/>
      <c r="X542" s="12"/>
    </row>
    <row r="543" customFormat="false" ht="15.75" hidden="false" customHeight="false" outlineLevel="0" collapsed="false">
      <c r="A543" s="12"/>
      <c r="B543" s="34"/>
      <c r="C543" s="12"/>
      <c r="D543" s="12"/>
      <c r="E543" s="12"/>
      <c r="F543" s="12"/>
      <c r="G543" s="18"/>
      <c r="H543" s="35"/>
      <c r="I543" s="12"/>
      <c r="M543" s="12"/>
      <c r="N543" s="18"/>
      <c r="O543" s="12"/>
      <c r="P543" s="12"/>
      <c r="Q543" s="12"/>
      <c r="R543" s="36"/>
      <c r="S543" s="36"/>
      <c r="T543" s="12"/>
      <c r="U543" s="12"/>
      <c r="V543" s="12"/>
      <c r="W543" s="12"/>
      <c r="X543" s="12"/>
    </row>
    <row r="544" customFormat="false" ht="15.75" hidden="false" customHeight="false" outlineLevel="0" collapsed="false">
      <c r="A544" s="12"/>
      <c r="B544" s="34"/>
      <c r="C544" s="12"/>
      <c r="D544" s="12"/>
      <c r="E544" s="12"/>
      <c r="F544" s="12"/>
      <c r="G544" s="18"/>
      <c r="H544" s="35"/>
      <c r="I544" s="12"/>
      <c r="M544" s="12"/>
      <c r="N544" s="18"/>
      <c r="O544" s="12"/>
      <c r="P544" s="12"/>
      <c r="Q544" s="12"/>
      <c r="R544" s="36"/>
      <c r="S544" s="36"/>
      <c r="T544" s="12"/>
      <c r="U544" s="12"/>
      <c r="V544" s="12"/>
      <c r="W544" s="12"/>
      <c r="X544" s="12"/>
    </row>
    <row r="545" customFormat="false" ht="15.75" hidden="false" customHeight="false" outlineLevel="0" collapsed="false">
      <c r="A545" s="12"/>
      <c r="B545" s="34"/>
      <c r="C545" s="12"/>
      <c r="D545" s="12"/>
      <c r="E545" s="12"/>
      <c r="F545" s="12"/>
      <c r="G545" s="18"/>
      <c r="H545" s="35"/>
      <c r="I545" s="12"/>
      <c r="M545" s="12"/>
      <c r="N545" s="18"/>
      <c r="O545" s="12"/>
      <c r="P545" s="12"/>
      <c r="Q545" s="12"/>
      <c r="R545" s="36"/>
      <c r="S545" s="36"/>
      <c r="T545" s="12"/>
      <c r="U545" s="12"/>
      <c r="V545" s="12"/>
      <c r="W545" s="12"/>
      <c r="X545" s="12"/>
    </row>
    <row r="546" customFormat="false" ht="15.75" hidden="false" customHeight="false" outlineLevel="0" collapsed="false">
      <c r="A546" s="12"/>
      <c r="B546" s="34"/>
      <c r="C546" s="12"/>
      <c r="D546" s="12"/>
      <c r="E546" s="12"/>
      <c r="F546" s="12"/>
      <c r="G546" s="18"/>
      <c r="H546" s="35"/>
      <c r="I546" s="12"/>
      <c r="M546" s="12"/>
      <c r="N546" s="18"/>
      <c r="O546" s="12"/>
      <c r="P546" s="12"/>
      <c r="Q546" s="12"/>
      <c r="R546" s="36"/>
      <c r="S546" s="36"/>
      <c r="T546" s="12"/>
      <c r="U546" s="12"/>
      <c r="V546" s="12"/>
      <c r="W546" s="12"/>
      <c r="X546" s="12"/>
    </row>
    <row r="547" customFormat="false" ht="15.75" hidden="false" customHeight="false" outlineLevel="0" collapsed="false">
      <c r="A547" s="12"/>
      <c r="B547" s="34"/>
      <c r="C547" s="12"/>
      <c r="D547" s="12"/>
      <c r="E547" s="12"/>
      <c r="F547" s="12"/>
      <c r="G547" s="18"/>
      <c r="H547" s="35"/>
      <c r="I547" s="12"/>
      <c r="M547" s="12"/>
      <c r="N547" s="18"/>
      <c r="O547" s="12"/>
      <c r="P547" s="12"/>
      <c r="Q547" s="12"/>
      <c r="R547" s="36"/>
      <c r="S547" s="36"/>
      <c r="T547" s="12"/>
      <c r="U547" s="12"/>
      <c r="V547" s="12"/>
      <c r="W547" s="12"/>
      <c r="X547" s="12"/>
    </row>
    <row r="548" customFormat="false" ht="15.75" hidden="false" customHeight="false" outlineLevel="0" collapsed="false">
      <c r="A548" s="12"/>
      <c r="B548" s="34"/>
      <c r="C548" s="12"/>
      <c r="D548" s="12"/>
      <c r="E548" s="12"/>
      <c r="F548" s="12"/>
      <c r="G548" s="18"/>
      <c r="H548" s="35"/>
      <c r="I548" s="12"/>
      <c r="M548" s="12"/>
      <c r="N548" s="18"/>
      <c r="O548" s="12"/>
      <c r="P548" s="12"/>
      <c r="Q548" s="12"/>
      <c r="R548" s="36"/>
      <c r="S548" s="36"/>
      <c r="T548" s="12"/>
      <c r="U548" s="12"/>
      <c r="V548" s="12"/>
      <c r="W548" s="12"/>
      <c r="X548" s="12"/>
    </row>
    <row r="549" customFormat="false" ht="15.75" hidden="false" customHeight="false" outlineLevel="0" collapsed="false">
      <c r="A549" s="12"/>
      <c r="B549" s="34"/>
      <c r="C549" s="12"/>
      <c r="D549" s="12"/>
      <c r="E549" s="12"/>
      <c r="F549" s="12"/>
      <c r="G549" s="18"/>
      <c r="H549" s="35"/>
      <c r="I549" s="12"/>
      <c r="M549" s="12"/>
      <c r="N549" s="18"/>
      <c r="O549" s="12"/>
      <c r="P549" s="12"/>
      <c r="Q549" s="12"/>
      <c r="R549" s="36"/>
      <c r="S549" s="36"/>
      <c r="T549" s="12"/>
      <c r="U549" s="12"/>
      <c r="V549" s="12"/>
      <c r="W549" s="12"/>
      <c r="X549" s="12"/>
    </row>
    <row r="550" customFormat="false" ht="15.75" hidden="false" customHeight="false" outlineLevel="0" collapsed="false">
      <c r="A550" s="12"/>
      <c r="B550" s="34"/>
      <c r="C550" s="12"/>
      <c r="D550" s="12"/>
      <c r="E550" s="12"/>
      <c r="F550" s="12"/>
      <c r="G550" s="18"/>
      <c r="H550" s="35"/>
      <c r="I550" s="12"/>
      <c r="M550" s="12"/>
      <c r="N550" s="18"/>
      <c r="O550" s="12"/>
      <c r="P550" s="12"/>
      <c r="Q550" s="12"/>
      <c r="R550" s="36"/>
      <c r="S550" s="36"/>
      <c r="T550" s="12"/>
      <c r="U550" s="12"/>
      <c r="V550" s="12"/>
      <c r="W550" s="12"/>
      <c r="X550" s="12"/>
    </row>
    <row r="551" customFormat="false" ht="15.75" hidden="false" customHeight="false" outlineLevel="0" collapsed="false">
      <c r="A551" s="12"/>
      <c r="B551" s="34"/>
      <c r="C551" s="12"/>
      <c r="D551" s="12"/>
      <c r="E551" s="12"/>
      <c r="F551" s="12"/>
      <c r="G551" s="18"/>
      <c r="H551" s="35"/>
      <c r="I551" s="12"/>
      <c r="M551" s="12"/>
      <c r="N551" s="18"/>
      <c r="O551" s="12"/>
      <c r="P551" s="12"/>
      <c r="Q551" s="12"/>
      <c r="R551" s="36"/>
      <c r="S551" s="36"/>
      <c r="T551" s="12"/>
      <c r="U551" s="12"/>
      <c r="V551" s="12"/>
      <c r="W551" s="12"/>
      <c r="X551" s="12"/>
    </row>
    <row r="552" customFormat="false" ht="15.75" hidden="false" customHeight="false" outlineLevel="0" collapsed="false">
      <c r="A552" s="12"/>
      <c r="B552" s="34"/>
      <c r="C552" s="12"/>
      <c r="D552" s="12"/>
      <c r="E552" s="12"/>
      <c r="F552" s="12"/>
      <c r="G552" s="18"/>
      <c r="H552" s="35"/>
      <c r="I552" s="12"/>
      <c r="M552" s="12"/>
      <c r="N552" s="18"/>
      <c r="O552" s="12"/>
      <c r="P552" s="12"/>
      <c r="Q552" s="12"/>
      <c r="R552" s="36"/>
      <c r="S552" s="36"/>
      <c r="T552" s="12"/>
      <c r="U552" s="12"/>
      <c r="V552" s="12"/>
      <c r="W552" s="12"/>
      <c r="X552" s="12"/>
    </row>
    <row r="553" customFormat="false" ht="15.75" hidden="false" customHeight="false" outlineLevel="0" collapsed="false">
      <c r="A553" s="12"/>
      <c r="B553" s="34"/>
      <c r="C553" s="12"/>
      <c r="D553" s="12"/>
      <c r="E553" s="12"/>
      <c r="F553" s="12"/>
      <c r="G553" s="18"/>
      <c r="H553" s="35"/>
      <c r="I553" s="12"/>
      <c r="M553" s="12"/>
      <c r="N553" s="18"/>
      <c r="O553" s="12"/>
      <c r="P553" s="12"/>
      <c r="Q553" s="12"/>
      <c r="R553" s="36"/>
      <c r="S553" s="36"/>
      <c r="T553" s="12"/>
      <c r="U553" s="12"/>
      <c r="V553" s="12"/>
      <c r="W553" s="12"/>
      <c r="X553" s="12"/>
    </row>
    <row r="554" customFormat="false" ht="15.75" hidden="false" customHeight="false" outlineLevel="0" collapsed="false">
      <c r="A554" s="12"/>
      <c r="B554" s="34"/>
      <c r="C554" s="12"/>
      <c r="D554" s="12"/>
      <c r="E554" s="12"/>
      <c r="F554" s="12"/>
      <c r="G554" s="18"/>
      <c r="H554" s="35"/>
      <c r="I554" s="12"/>
      <c r="M554" s="12"/>
      <c r="N554" s="18"/>
      <c r="O554" s="12"/>
      <c r="P554" s="12"/>
      <c r="Q554" s="12"/>
      <c r="R554" s="36"/>
      <c r="S554" s="36"/>
      <c r="T554" s="12"/>
      <c r="U554" s="12"/>
      <c r="V554" s="12"/>
      <c r="W554" s="12"/>
      <c r="X554" s="12"/>
    </row>
    <row r="555" customFormat="false" ht="15.75" hidden="false" customHeight="false" outlineLevel="0" collapsed="false">
      <c r="A555" s="12"/>
      <c r="B555" s="34"/>
      <c r="C555" s="12"/>
      <c r="D555" s="12"/>
      <c r="E555" s="12"/>
      <c r="F555" s="12"/>
      <c r="G555" s="18"/>
      <c r="H555" s="35"/>
      <c r="I555" s="12"/>
      <c r="M555" s="12"/>
      <c r="N555" s="18"/>
      <c r="O555" s="12"/>
      <c r="P555" s="12"/>
      <c r="Q555" s="12"/>
      <c r="R555" s="36"/>
      <c r="S555" s="36"/>
      <c r="T555" s="12"/>
      <c r="U555" s="12"/>
      <c r="V555" s="12"/>
      <c r="W555" s="12"/>
      <c r="X555" s="12"/>
    </row>
    <row r="556" customFormat="false" ht="15.75" hidden="false" customHeight="false" outlineLevel="0" collapsed="false">
      <c r="A556" s="12"/>
      <c r="B556" s="34"/>
      <c r="C556" s="12"/>
      <c r="D556" s="12"/>
      <c r="E556" s="12"/>
      <c r="F556" s="12"/>
      <c r="G556" s="18"/>
      <c r="H556" s="35"/>
      <c r="I556" s="12"/>
      <c r="M556" s="12"/>
      <c r="N556" s="18"/>
      <c r="O556" s="12"/>
      <c r="P556" s="12"/>
      <c r="Q556" s="12"/>
      <c r="R556" s="36"/>
      <c r="S556" s="36"/>
      <c r="T556" s="12"/>
      <c r="U556" s="12"/>
      <c r="V556" s="12"/>
      <c r="W556" s="12"/>
      <c r="X556" s="12"/>
    </row>
    <row r="557" customFormat="false" ht="15.75" hidden="false" customHeight="false" outlineLevel="0" collapsed="false">
      <c r="A557" s="12"/>
      <c r="B557" s="34"/>
      <c r="C557" s="12"/>
      <c r="D557" s="12"/>
      <c r="E557" s="12"/>
      <c r="F557" s="12"/>
      <c r="G557" s="18"/>
      <c r="H557" s="35"/>
      <c r="I557" s="12"/>
      <c r="M557" s="12"/>
      <c r="N557" s="18"/>
      <c r="O557" s="12"/>
      <c r="P557" s="12"/>
      <c r="Q557" s="12"/>
      <c r="R557" s="36"/>
      <c r="S557" s="36"/>
      <c r="T557" s="12"/>
      <c r="U557" s="12"/>
      <c r="V557" s="12"/>
      <c r="W557" s="12"/>
      <c r="X557" s="12"/>
    </row>
    <row r="558" customFormat="false" ht="15.75" hidden="false" customHeight="false" outlineLevel="0" collapsed="false">
      <c r="A558" s="12"/>
      <c r="B558" s="34"/>
      <c r="C558" s="12"/>
      <c r="D558" s="12"/>
      <c r="E558" s="12"/>
      <c r="F558" s="12"/>
      <c r="G558" s="18"/>
      <c r="H558" s="35"/>
      <c r="I558" s="12"/>
      <c r="M558" s="12"/>
      <c r="N558" s="18"/>
      <c r="O558" s="12"/>
      <c r="P558" s="12"/>
      <c r="Q558" s="12"/>
      <c r="R558" s="36"/>
      <c r="S558" s="36"/>
      <c r="T558" s="12"/>
      <c r="U558" s="12"/>
      <c r="V558" s="12"/>
      <c r="W558" s="12"/>
      <c r="X558" s="12"/>
    </row>
    <row r="559" customFormat="false" ht="15.75" hidden="false" customHeight="false" outlineLevel="0" collapsed="false">
      <c r="A559" s="12"/>
      <c r="B559" s="34"/>
      <c r="C559" s="12"/>
      <c r="D559" s="12"/>
      <c r="E559" s="12"/>
      <c r="F559" s="12"/>
      <c r="G559" s="18"/>
      <c r="H559" s="35"/>
      <c r="I559" s="12"/>
      <c r="M559" s="12"/>
      <c r="N559" s="18"/>
      <c r="O559" s="12"/>
      <c r="P559" s="12"/>
      <c r="Q559" s="12"/>
      <c r="R559" s="36"/>
      <c r="S559" s="36"/>
      <c r="T559" s="12"/>
      <c r="U559" s="12"/>
      <c r="V559" s="12"/>
      <c r="W559" s="12"/>
      <c r="X559" s="12"/>
    </row>
    <row r="560" customFormat="false" ht="15.75" hidden="false" customHeight="false" outlineLevel="0" collapsed="false">
      <c r="A560" s="12"/>
      <c r="B560" s="34"/>
      <c r="C560" s="12"/>
      <c r="D560" s="12"/>
      <c r="E560" s="12"/>
      <c r="F560" s="12"/>
      <c r="G560" s="18"/>
      <c r="H560" s="35"/>
      <c r="I560" s="12"/>
      <c r="M560" s="12"/>
      <c r="N560" s="18"/>
      <c r="O560" s="12"/>
      <c r="P560" s="12"/>
      <c r="Q560" s="12"/>
      <c r="R560" s="36"/>
      <c r="S560" s="36"/>
      <c r="T560" s="12"/>
      <c r="U560" s="12"/>
      <c r="V560" s="12"/>
      <c r="W560" s="12"/>
      <c r="X560" s="12"/>
    </row>
    <row r="561" customFormat="false" ht="15.75" hidden="false" customHeight="false" outlineLevel="0" collapsed="false">
      <c r="A561" s="12"/>
      <c r="B561" s="34"/>
      <c r="C561" s="12"/>
      <c r="D561" s="12"/>
      <c r="E561" s="12"/>
      <c r="F561" s="12"/>
      <c r="G561" s="18"/>
      <c r="H561" s="35"/>
      <c r="I561" s="12"/>
      <c r="M561" s="12"/>
      <c r="N561" s="18"/>
      <c r="O561" s="12"/>
      <c r="P561" s="12"/>
      <c r="Q561" s="12"/>
      <c r="R561" s="36"/>
      <c r="S561" s="36"/>
      <c r="T561" s="12"/>
      <c r="U561" s="12"/>
      <c r="V561" s="12"/>
      <c r="W561" s="12"/>
      <c r="X561" s="12"/>
    </row>
    <row r="562" customFormat="false" ht="15.75" hidden="false" customHeight="false" outlineLevel="0" collapsed="false">
      <c r="A562" s="12"/>
      <c r="B562" s="34"/>
      <c r="C562" s="12"/>
      <c r="D562" s="12"/>
      <c r="E562" s="12"/>
      <c r="F562" s="12"/>
      <c r="G562" s="18"/>
      <c r="H562" s="35"/>
      <c r="I562" s="12"/>
      <c r="M562" s="12"/>
      <c r="N562" s="18"/>
      <c r="O562" s="12"/>
      <c r="P562" s="12"/>
      <c r="Q562" s="12"/>
      <c r="R562" s="36"/>
      <c r="S562" s="36"/>
      <c r="T562" s="12"/>
      <c r="U562" s="12"/>
      <c r="V562" s="12"/>
      <c r="W562" s="12"/>
      <c r="X562" s="12"/>
    </row>
    <row r="563" customFormat="false" ht="15.75" hidden="false" customHeight="false" outlineLevel="0" collapsed="false">
      <c r="A563" s="12"/>
      <c r="B563" s="34"/>
      <c r="C563" s="12"/>
      <c r="D563" s="12"/>
      <c r="E563" s="12"/>
      <c r="F563" s="12"/>
      <c r="G563" s="18"/>
      <c r="H563" s="35"/>
      <c r="I563" s="12"/>
      <c r="M563" s="12"/>
      <c r="N563" s="18"/>
      <c r="O563" s="12"/>
      <c r="P563" s="12"/>
      <c r="Q563" s="12"/>
      <c r="R563" s="36"/>
      <c r="S563" s="36"/>
      <c r="T563" s="12"/>
      <c r="U563" s="12"/>
      <c r="V563" s="12"/>
      <c r="W563" s="12"/>
      <c r="X563" s="12"/>
    </row>
    <row r="564" customFormat="false" ht="15.75" hidden="false" customHeight="false" outlineLevel="0" collapsed="false">
      <c r="A564" s="12"/>
      <c r="B564" s="34"/>
      <c r="C564" s="12"/>
      <c r="D564" s="12"/>
      <c r="E564" s="12"/>
      <c r="F564" s="12"/>
      <c r="G564" s="18"/>
      <c r="H564" s="35"/>
      <c r="I564" s="12"/>
      <c r="M564" s="12"/>
      <c r="N564" s="18"/>
      <c r="O564" s="12"/>
      <c r="P564" s="12"/>
      <c r="Q564" s="12"/>
      <c r="R564" s="36"/>
      <c r="S564" s="36"/>
      <c r="T564" s="12"/>
      <c r="U564" s="12"/>
      <c r="V564" s="12"/>
      <c r="W564" s="12"/>
      <c r="X564" s="12"/>
    </row>
    <row r="565" customFormat="false" ht="15.75" hidden="false" customHeight="false" outlineLevel="0" collapsed="false">
      <c r="A565" s="12"/>
      <c r="B565" s="34"/>
      <c r="C565" s="12"/>
      <c r="D565" s="12"/>
      <c r="E565" s="12"/>
      <c r="F565" s="12"/>
      <c r="G565" s="18"/>
      <c r="H565" s="35"/>
      <c r="I565" s="12"/>
      <c r="M565" s="12"/>
      <c r="N565" s="18"/>
      <c r="O565" s="12"/>
      <c r="P565" s="12"/>
      <c r="Q565" s="12"/>
      <c r="R565" s="36"/>
      <c r="S565" s="36"/>
      <c r="T565" s="12"/>
      <c r="U565" s="12"/>
      <c r="V565" s="12"/>
      <c r="W565" s="12"/>
      <c r="X565" s="12"/>
    </row>
    <row r="566" customFormat="false" ht="15.75" hidden="false" customHeight="false" outlineLevel="0" collapsed="false">
      <c r="A566" s="12"/>
      <c r="B566" s="34"/>
      <c r="C566" s="12"/>
      <c r="D566" s="12"/>
      <c r="E566" s="12"/>
      <c r="F566" s="12"/>
      <c r="G566" s="18"/>
      <c r="H566" s="35"/>
      <c r="I566" s="12"/>
      <c r="M566" s="12"/>
      <c r="N566" s="18"/>
      <c r="O566" s="12"/>
      <c r="P566" s="12"/>
      <c r="Q566" s="12"/>
      <c r="R566" s="36"/>
      <c r="S566" s="36"/>
      <c r="T566" s="12"/>
      <c r="U566" s="12"/>
      <c r="V566" s="12"/>
      <c r="W566" s="12"/>
      <c r="X566" s="12"/>
    </row>
    <row r="567" customFormat="false" ht="15.75" hidden="false" customHeight="false" outlineLevel="0" collapsed="false">
      <c r="A567" s="12"/>
      <c r="B567" s="34"/>
      <c r="C567" s="12"/>
      <c r="D567" s="12"/>
      <c r="E567" s="12"/>
      <c r="F567" s="12"/>
      <c r="G567" s="18"/>
      <c r="H567" s="35"/>
      <c r="I567" s="12"/>
      <c r="M567" s="12"/>
      <c r="N567" s="18"/>
      <c r="O567" s="12"/>
      <c r="P567" s="12"/>
      <c r="Q567" s="12"/>
      <c r="R567" s="36"/>
      <c r="S567" s="36"/>
      <c r="T567" s="12"/>
      <c r="U567" s="12"/>
      <c r="V567" s="12"/>
      <c r="W567" s="12"/>
      <c r="X567" s="12"/>
    </row>
    <row r="568" customFormat="false" ht="15.75" hidden="false" customHeight="false" outlineLevel="0" collapsed="false">
      <c r="A568" s="12"/>
      <c r="B568" s="34"/>
      <c r="C568" s="12"/>
      <c r="D568" s="12"/>
      <c r="E568" s="12"/>
      <c r="F568" s="12"/>
      <c r="G568" s="18"/>
      <c r="H568" s="35"/>
      <c r="I568" s="12"/>
      <c r="M568" s="12"/>
      <c r="N568" s="18"/>
      <c r="O568" s="12"/>
      <c r="P568" s="12"/>
      <c r="Q568" s="12"/>
      <c r="R568" s="36"/>
      <c r="S568" s="36"/>
      <c r="T568" s="12"/>
      <c r="U568" s="12"/>
      <c r="V568" s="12"/>
      <c r="W568" s="12"/>
      <c r="X568" s="12"/>
    </row>
    <row r="569" customFormat="false" ht="15.75" hidden="false" customHeight="false" outlineLevel="0" collapsed="false">
      <c r="A569" s="12"/>
      <c r="B569" s="34"/>
      <c r="C569" s="12"/>
      <c r="D569" s="12"/>
      <c r="E569" s="12"/>
      <c r="F569" s="12"/>
      <c r="G569" s="18"/>
      <c r="H569" s="35"/>
      <c r="I569" s="12"/>
      <c r="M569" s="12"/>
      <c r="N569" s="18"/>
      <c r="O569" s="12"/>
      <c r="P569" s="12"/>
      <c r="Q569" s="12"/>
      <c r="R569" s="36"/>
      <c r="S569" s="36"/>
      <c r="T569" s="12"/>
      <c r="U569" s="12"/>
      <c r="V569" s="12"/>
      <c r="W569" s="12"/>
      <c r="X569" s="12"/>
    </row>
    <row r="570" customFormat="false" ht="15.75" hidden="false" customHeight="false" outlineLevel="0" collapsed="false">
      <c r="A570" s="12"/>
      <c r="B570" s="34"/>
      <c r="C570" s="12"/>
      <c r="D570" s="12"/>
      <c r="E570" s="12"/>
      <c r="F570" s="12"/>
      <c r="G570" s="18"/>
      <c r="H570" s="35"/>
      <c r="I570" s="12"/>
      <c r="M570" s="12"/>
      <c r="N570" s="18"/>
      <c r="O570" s="12"/>
      <c r="P570" s="12"/>
      <c r="Q570" s="12"/>
      <c r="R570" s="36"/>
      <c r="S570" s="36"/>
      <c r="T570" s="12"/>
      <c r="U570" s="12"/>
      <c r="V570" s="12"/>
      <c r="W570" s="12"/>
      <c r="X570" s="12"/>
    </row>
    <row r="571" customFormat="false" ht="15.75" hidden="false" customHeight="false" outlineLevel="0" collapsed="false">
      <c r="A571" s="12"/>
      <c r="B571" s="34"/>
      <c r="C571" s="12"/>
      <c r="D571" s="12"/>
      <c r="E571" s="12"/>
      <c r="F571" s="12"/>
      <c r="G571" s="18"/>
      <c r="H571" s="35"/>
      <c r="I571" s="12"/>
      <c r="M571" s="12"/>
      <c r="N571" s="18"/>
      <c r="O571" s="12"/>
      <c r="P571" s="12"/>
      <c r="Q571" s="12"/>
      <c r="R571" s="36"/>
      <c r="S571" s="36"/>
      <c r="T571" s="12"/>
      <c r="U571" s="12"/>
      <c r="V571" s="12"/>
      <c r="W571" s="12"/>
      <c r="X571" s="12"/>
    </row>
    <row r="572" customFormat="false" ht="15.75" hidden="false" customHeight="false" outlineLevel="0" collapsed="false">
      <c r="A572" s="12"/>
      <c r="B572" s="34"/>
      <c r="C572" s="12"/>
      <c r="D572" s="12"/>
      <c r="E572" s="12"/>
      <c r="F572" s="12"/>
      <c r="G572" s="18"/>
      <c r="H572" s="35"/>
      <c r="I572" s="12"/>
      <c r="M572" s="12"/>
      <c r="N572" s="18"/>
      <c r="O572" s="12"/>
      <c r="P572" s="12"/>
      <c r="Q572" s="12"/>
      <c r="R572" s="36"/>
      <c r="S572" s="36"/>
      <c r="T572" s="12"/>
      <c r="U572" s="12"/>
      <c r="V572" s="12"/>
      <c r="W572" s="12"/>
      <c r="X572" s="12"/>
    </row>
    <row r="573" customFormat="false" ht="15.75" hidden="false" customHeight="false" outlineLevel="0" collapsed="false">
      <c r="A573" s="12"/>
      <c r="B573" s="34"/>
      <c r="C573" s="12"/>
      <c r="D573" s="12"/>
      <c r="E573" s="12"/>
      <c r="F573" s="12"/>
      <c r="G573" s="18"/>
      <c r="H573" s="35"/>
      <c r="I573" s="12"/>
      <c r="M573" s="12"/>
      <c r="N573" s="18"/>
      <c r="O573" s="12"/>
      <c r="P573" s="12"/>
      <c r="Q573" s="12"/>
      <c r="R573" s="36"/>
      <c r="S573" s="36"/>
      <c r="T573" s="12"/>
      <c r="U573" s="12"/>
      <c r="V573" s="12"/>
      <c r="W573" s="12"/>
      <c r="X573" s="12"/>
    </row>
    <row r="574" customFormat="false" ht="15.75" hidden="false" customHeight="false" outlineLevel="0" collapsed="false">
      <c r="A574" s="12"/>
      <c r="B574" s="34"/>
      <c r="C574" s="12"/>
      <c r="D574" s="12"/>
      <c r="E574" s="12"/>
      <c r="F574" s="12"/>
      <c r="G574" s="18"/>
      <c r="H574" s="35"/>
      <c r="I574" s="12"/>
      <c r="M574" s="12"/>
      <c r="N574" s="18"/>
      <c r="O574" s="12"/>
      <c r="P574" s="12"/>
      <c r="Q574" s="12"/>
      <c r="R574" s="36"/>
      <c r="S574" s="36"/>
      <c r="T574" s="12"/>
      <c r="U574" s="12"/>
      <c r="V574" s="12"/>
      <c r="W574" s="12"/>
      <c r="X574" s="12"/>
    </row>
    <row r="575" customFormat="false" ht="15.75" hidden="false" customHeight="false" outlineLevel="0" collapsed="false">
      <c r="A575" s="12"/>
      <c r="B575" s="34"/>
      <c r="C575" s="12"/>
      <c r="D575" s="12"/>
      <c r="E575" s="12"/>
      <c r="F575" s="12"/>
      <c r="G575" s="18"/>
      <c r="H575" s="35"/>
      <c r="I575" s="12"/>
      <c r="M575" s="12"/>
      <c r="N575" s="18"/>
      <c r="O575" s="12"/>
      <c r="P575" s="12"/>
      <c r="Q575" s="12"/>
      <c r="R575" s="36"/>
      <c r="S575" s="36"/>
      <c r="T575" s="12"/>
      <c r="U575" s="12"/>
      <c r="V575" s="12"/>
      <c r="W575" s="12"/>
      <c r="X575" s="12"/>
    </row>
    <row r="576" customFormat="false" ht="15.75" hidden="false" customHeight="false" outlineLevel="0" collapsed="false">
      <c r="A576" s="12"/>
      <c r="B576" s="34"/>
      <c r="C576" s="12"/>
      <c r="D576" s="12"/>
      <c r="E576" s="12"/>
      <c r="F576" s="12"/>
      <c r="G576" s="18"/>
      <c r="H576" s="35"/>
      <c r="I576" s="12"/>
      <c r="M576" s="12"/>
      <c r="N576" s="18"/>
      <c r="O576" s="12"/>
      <c r="P576" s="12"/>
      <c r="Q576" s="12"/>
      <c r="R576" s="36"/>
      <c r="S576" s="36"/>
      <c r="T576" s="12"/>
      <c r="U576" s="12"/>
      <c r="V576" s="12"/>
      <c r="W576" s="12"/>
      <c r="X576" s="12"/>
    </row>
    <row r="577" customFormat="false" ht="15.75" hidden="false" customHeight="false" outlineLevel="0" collapsed="false">
      <c r="A577" s="12"/>
      <c r="B577" s="34"/>
      <c r="C577" s="12"/>
      <c r="D577" s="12"/>
      <c r="E577" s="12"/>
      <c r="F577" s="12"/>
      <c r="G577" s="18"/>
      <c r="H577" s="35"/>
      <c r="I577" s="12"/>
      <c r="M577" s="12"/>
      <c r="N577" s="18"/>
      <c r="O577" s="12"/>
      <c r="P577" s="12"/>
      <c r="Q577" s="12"/>
      <c r="R577" s="36"/>
      <c r="S577" s="36"/>
      <c r="T577" s="12"/>
      <c r="U577" s="12"/>
      <c r="V577" s="12"/>
      <c r="W577" s="12"/>
      <c r="X577" s="12"/>
    </row>
    <row r="578" customFormat="false" ht="15.75" hidden="false" customHeight="false" outlineLevel="0" collapsed="false">
      <c r="A578" s="12"/>
      <c r="B578" s="34"/>
      <c r="C578" s="12"/>
      <c r="D578" s="12"/>
      <c r="E578" s="12"/>
      <c r="F578" s="12"/>
      <c r="G578" s="18"/>
      <c r="H578" s="35"/>
      <c r="I578" s="12"/>
      <c r="M578" s="12"/>
      <c r="N578" s="18"/>
      <c r="O578" s="12"/>
      <c r="P578" s="12"/>
      <c r="Q578" s="12"/>
      <c r="R578" s="36"/>
      <c r="S578" s="36"/>
      <c r="T578" s="12"/>
      <c r="U578" s="12"/>
      <c r="V578" s="12"/>
      <c r="W578" s="12"/>
      <c r="X578" s="12"/>
    </row>
    <row r="579" customFormat="false" ht="15.75" hidden="false" customHeight="false" outlineLevel="0" collapsed="false">
      <c r="A579" s="12"/>
      <c r="B579" s="34"/>
      <c r="C579" s="12"/>
      <c r="D579" s="12"/>
      <c r="E579" s="12"/>
      <c r="F579" s="12"/>
      <c r="G579" s="18"/>
      <c r="H579" s="35"/>
      <c r="I579" s="12"/>
      <c r="M579" s="12"/>
      <c r="N579" s="18"/>
      <c r="O579" s="12"/>
      <c r="P579" s="12"/>
      <c r="Q579" s="12"/>
      <c r="R579" s="36"/>
      <c r="S579" s="36"/>
      <c r="T579" s="12"/>
      <c r="U579" s="12"/>
      <c r="V579" s="12"/>
      <c r="W579" s="12"/>
      <c r="X579" s="12"/>
    </row>
    <row r="580" customFormat="false" ht="15.75" hidden="false" customHeight="false" outlineLevel="0" collapsed="false">
      <c r="A580" s="12"/>
      <c r="B580" s="34"/>
      <c r="C580" s="12"/>
      <c r="D580" s="12"/>
      <c r="E580" s="12"/>
      <c r="F580" s="12"/>
      <c r="G580" s="18"/>
      <c r="H580" s="35"/>
      <c r="I580" s="12"/>
      <c r="M580" s="12"/>
      <c r="N580" s="18"/>
      <c r="O580" s="12"/>
      <c r="P580" s="12"/>
      <c r="Q580" s="12"/>
      <c r="R580" s="36"/>
      <c r="S580" s="36"/>
      <c r="T580" s="12"/>
      <c r="U580" s="12"/>
      <c r="V580" s="12"/>
      <c r="W580" s="12"/>
      <c r="X580" s="12"/>
    </row>
    <row r="581" customFormat="false" ht="15.75" hidden="false" customHeight="false" outlineLevel="0" collapsed="false">
      <c r="A581" s="12"/>
      <c r="B581" s="34"/>
      <c r="C581" s="12"/>
      <c r="D581" s="12"/>
      <c r="E581" s="12"/>
      <c r="F581" s="12"/>
      <c r="G581" s="18"/>
      <c r="H581" s="35"/>
      <c r="I581" s="12"/>
      <c r="M581" s="12"/>
      <c r="N581" s="18"/>
      <c r="O581" s="12"/>
      <c r="P581" s="12"/>
      <c r="Q581" s="12"/>
      <c r="R581" s="36"/>
      <c r="S581" s="36"/>
      <c r="T581" s="12"/>
      <c r="U581" s="12"/>
      <c r="V581" s="12"/>
      <c r="W581" s="12"/>
      <c r="X581" s="12"/>
    </row>
    <row r="582" customFormat="false" ht="15.75" hidden="false" customHeight="false" outlineLevel="0" collapsed="false">
      <c r="A582" s="12"/>
      <c r="B582" s="34"/>
      <c r="C582" s="12"/>
      <c r="D582" s="12"/>
      <c r="E582" s="12"/>
      <c r="F582" s="12"/>
      <c r="G582" s="18"/>
      <c r="H582" s="35"/>
      <c r="I582" s="12"/>
      <c r="M582" s="12"/>
      <c r="N582" s="18"/>
      <c r="O582" s="12"/>
      <c r="P582" s="12"/>
      <c r="Q582" s="12"/>
      <c r="R582" s="36"/>
      <c r="S582" s="36"/>
      <c r="T582" s="12"/>
      <c r="U582" s="12"/>
      <c r="V582" s="12"/>
      <c r="W582" s="12"/>
      <c r="X582" s="12"/>
    </row>
    <row r="583" customFormat="false" ht="15.75" hidden="false" customHeight="false" outlineLevel="0" collapsed="false">
      <c r="A583" s="12"/>
      <c r="B583" s="34"/>
      <c r="C583" s="12"/>
      <c r="D583" s="12"/>
      <c r="E583" s="12"/>
      <c r="F583" s="12"/>
      <c r="G583" s="18"/>
      <c r="H583" s="35"/>
      <c r="I583" s="12"/>
      <c r="M583" s="12"/>
      <c r="N583" s="18"/>
      <c r="O583" s="12"/>
      <c r="P583" s="12"/>
      <c r="Q583" s="12"/>
      <c r="R583" s="36"/>
      <c r="S583" s="36"/>
      <c r="T583" s="12"/>
      <c r="U583" s="12"/>
      <c r="V583" s="12"/>
      <c r="W583" s="12"/>
      <c r="X583" s="12"/>
    </row>
    <row r="584" customFormat="false" ht="15.75" hidden="false" customHeight="false" outlineLevel="0" collapsed="false">
      <c r="A584" s="12"/>
      <c r="B584" s="34"/>
      <c r="C584" s="12"/>
      <c r="D584" s="12"/>
      <c r="E584" s="12"/>
      <c r="F584" s="12"/>
      <c r="G584" s="18"/>
      <c r="H584" s="35"/>
      <c r="I584" s="12"/>
      <c r="M584" s="12"/>
      <c r="N584" s="18"/>
      <c r="O584" s="12"/>
      <c r="P584" s="12"/>
      <c r="Q584" s="12"/>
      <c r="R584" s="36"/>
      <c r="S584" s="36"/>
      <c r="T584" s="12"/>
      <c r="U584" s="12"/>
      <c r="V584" s="12"/>
      <c r="W584" s="12"/>
      <c r="X584" s="12"/>
    </row>
    <row r="585" customFormat="false" ht="15.75" hidden="false" customHeight="false" outlineLevel="0" collapsed="false">
      <c r="A585" s="12"/>
      <c r="B585" s="34"/>
      <c r="C585" s="12"/>
      <c r="D585" s="12"/>
      <c r="E585" s="12"/>
      <c r="F585" s="12"/>
      <c r="G585" s="18"/>
      <c r="H585" s="35"/>
      <c r="I585" s="12"/>
      <c r="M585" s="12"/>
      <c r="N585" s="18"/>
      <c r="O585" s="12"/>
      <c r="P585" s="12"/>
      <c r="Q585" s="12"/>
      <c r="R585" s="36"/>
      <c r="S585" s="36"/>
      <c r="T585" s="12"/>
      <c r="U585" s="12"/>
      <c r="V585" s="12"/>
      <c r="W585" s="12"/>
      <c r="X585" s="12"/>
    </row>
    <row r="586" customFormat="false" ht="15.75" hidden="false" customHeight="false" outlineLevel="0" collapsed="false">
      <c r="A586" s="12"/>
      <c r="B586" s="34"/>
      <c r="C586" s="12"/>
      <c r="D586" s="12"/>
      <c r="E586" s="12"/>
      <c r="F586" s="12"/>
      <c r="G586" s="18"/>
      <c r="H586" s="35"/>
      <c r="I586" s="12"/>
      <c r="M586" s="12"/>
      <c r="N586" s="18"/>
      <c r="O586" s="12"/>
      <c r="P586" s="12"/>
      <c r="Q586" s="12"/>
      <c r="R586" s="36"/>
      <c r="S586" s="36"/>
      <c r="T586" s="12"/>
      <c r="U586" s="12"/>
      <c r="V586" s="12"/>
      <c r="W586" s="12"/>
      <c r="X586" s="12"/>
    </row>
    <row r="587" customFormat="false" ht="15.75" hidden="false" customHeight="false" outlineLevel="0" collapsed="false">
      <c r="A587" s="12"/>
      <c r="B587" s="34"/>
      <c r="C587" s="12"/>
      <c r="D587" s="12"/>
      <c r="E587" s="12"/>
      <c r="F587" s="12"/>
      <c r="G587" s="18"/>
      <c r="H587" s="35"/>
      <c r="I587" s="12"/>
      <c r="M587" s="12"/>
      <c r="N587" s="18"/>
      <c r="O587" s="12"/>
      <c r="P587" s="12"/>
      <c r="Q587" s="12"/>
      <c r="R587" s="36"/>
      <c r="S587" s="36"/>
      <c r="T587" s="12"/>
      <c r="U587" s="12"/>
      <c r="V587" s="12"/>
      <c r="W587" s="12"/>
      <c r="X587" s="12"/>
    </row>
    <row r="588" customFormat="false" ht="15.75" hidden="false" customHeight="false" outlineLevel="0" collapsed="false">
      <c r="A588" s="12"/>
      <c r="B588" s="34"/>
      <c r="C588" s="12"/>
      <c r="D588" s="12"/>
      <c r="E588" s="12"/>
      <c r="F588" s="12"/>
      <c r="G588" s="18"/>
      <c r="H588" s="35"/>
      <c r="I588" s="12"/>
      <c r="M588" s="12"/>
      <c r="N588" s="18"/>
      <c r="O588" s="12"/>
      <c r="P588" s="12"/>
      <c r="Q588" s="12"/>
      <c r="R588" s="36"/>
      <c r="S588" s="36"/>
      <c r="T588" s="12"/>
      <c r="U588" s="12"/>
      <c r="V588" s="12"/>
      <c r="W588" s="12"/>
      <c r="X588" s="12"/>
    </row>
    <row r="589" customFormat="false" ht="15.75" hidden="false" customHeight="false" outlineLevel="0" collapsed="false">
      <c r="A589" s="12"/>
      <c r="B589" s="34"/>
      <c r="C589" s="12"/>
      <c r="D589" s="12"/>
      <c r="E589" s="12"/>
      <c r="F589" s="12"/>
      <c r="G589" s="18"/>
      <c r="H589" s="35"/>
      <c r="I589" s="12"/>
      <c r="M589" s="12"/>
      <c r="N589" s="18"/>
      <c r="O589" s="12"/>
      <c r="P589" s="12"/>
      <c r="Q589" s="12"/>
      <c r="R589" s="36"/>
      <c r="S589" s="36"/>
      <c r="T589" s="12"/>
      <c r="U589" s="12"/>
      <c r="V589" s="12"/>
      <c r="W589" s="12"/>
      <c r="X589" s="12"/>
    </row>
    <row r="590" customFormat="false" ht="15.75" hidden="false" customHeight="false" outlineLevel="0" collapsed="false">
      <c r="A590" s="12"/>
      <c r="B590" s="34"/>
      <c r="C590" s="12"/>
      <c r="D590" s="12"/>
      <c r="E590" s="12"/>
      <c r="F590" s="12"/>
      <c r="G590" s="18"/>
      <c r="H590" s="35"/>
      <c r="I590" s="12"/>
      <c r="M590" s="12"/>
      <c r="N590" s="18"/>
      <c r="O590" s="12"/>
      <c r="P590" s="12"/>
      <c r="Q590" s="12"/>
      <c r="R590" s="36"/>
      <c r="S590" s="36"/>
      <c r="T590" s="12"/>
      <c r="U590" s="12"/>
      <c r="V590" s="12"/>
      <c r="W590" s="12"/>
      <c r="X590" s="12"/>
    </row>
    <row r="591" customFormat="false" ht="15.75" hidden="false" customHeight="false" outlineLevel="0" collapsed="false">
      <c r="A591" s="12"/>
      <c r="B591" s="34"/>
      <c r="C591" s="12"/>
      <c r="D591" s="12"/>
      <c r="E591" s="12"/>
      <c r="F591" s="12"/>
      <c r="G591" s="18"/>
      <c r="H591" s="35"/>
      <c r="I591" s="12"/>
      <c r="M591" s="12"/>
      <c r="N591" s="18"/>
      <c r="O591" s="12"/>
      <c r="P591" s="12"/>
      <c r="Q591" s="12"/>
      <c r="R591" s="36"/>
      <c r="S591" s="36"/>
      <c r="T591" s="12"/>
      <c r="U591" s="12"/>
      <c r="V591" s="12"/>
      <c r="W591" s="12"/>
      <c r="X591" s="12"/>
    </row>
    <row r="592" customFormat="false" ht="15.75" hidden="false" customHeight="false" outlineLevel="0" collapsed="false">
      <c r="A592" s="12"/>
      <c r="B592" s="34"/>
      <c r="C592" s="12"/>
      <c r="D592" s="12"/>
      <c r="E592" s="12"/>
      <c r="F592" s="12"/>
      <c r="G592" s="18"/>
      <c r="H592" s="35"/>
      <c r="I592" s="12"/>
      <c r="M592" s="12"/>
      <c r="N592" s="18"/>
      <c r="O592" s="12"/>
      <c r="P592" s="12"/>
      <c r="Q592" s="12"/>
      <c r="R592" s="36"/>
      <c r="S592" s="36"/>
      <c r="T592" s="12"/>
      <c r="U592" s="12"/>
      <c r="V592" s="12"/>
      <c r="W592" s="12"/>
      <c r="X592" s="12"/>
    </row>
    <row r="593" customFormat="false" ht="15.75" hidden="false" customHeight="false" outlineLevel="0" collapsed="false">
      <c r="A593" s="12"/>
      <c r="B593" s="34"/>
      <c r="C593" s="12"/>
      <c r="D593" s="12"/>
      <c r="E593" s="12"/>
      <c r="F593" s="12"/>
      <c r="G593" s="18"/>
      <c r="H593" s="35"/>
      <c r="I593" s="12"/>
      <c r="M593" s="12"/>
      <c r="N593" s="18"/>
      <c r="O593" s="12"/>
      <c r="P593" s="12"/>
      <c r="Q593" s="12"/>
      <c r="R593" s="36"/>
      <c r="S593" s="36"/>
      <c r="T593" s="12"/>
      <c r="U593" s="12"/>
      <c r="V593" s="12"/>
      <c r="W593" s="12"/>
      <c r="X593" s="12"/>
    </row>
    <row r="594" customFormat="false" ht="15.75" hidden="false" customHeight="false" outlineLevel="0" collapsed="false">
      <c r="A594" s="12"/>
      <c r="B594" s="34"/>
      <c r="C594" s="12"/>
      <c r="D594" s="12"/>
      <c r="E594" s="12"/>
      <c r="F594" s="12"/>
      <c r="G594" s="18"/>
      <c r="H594" s="35"/>
      <c r="I594" s="12"/>
      <c r="M594" s="12"/>
      <c r="N594" s="18"/>
      <c r="O594" s="12"/>
      <c r="P594" s="12"/>
      <c r="Q594" s="12"/>
      <c r="R594" s="36"/>
      <c r="S594" s="36"/>
      <c r="T594" s="12"/>
      <c r="U594" s="12"/>
      <c r="V594" s="12"/>
      <c r="W594" s="12"/>
      <c r="X594" s="12"/>
    </row>
    <row r="595" customFormat="false" ht="15.75" hidden="false" customHeight="false" outlineLevel="0" collapsed="false">
      <c r="A595" s="12"/>
      <c r="B595" s="34"/>
      <c r="C595" s="12"/>
      <c r="D595" s="12"/>
      <c r="E595" s="12"/>
      <c r="F595" s="12"/>
      <c r="G595" s="18"/>
      <c r="H595" s="35"/>
      <c r="I595" s="12"/>
      <c r="M595" s="12"/>
      <c r="N595" s="18"/>
      <c r="O595" s="12"/>
      <c r="P595" s="12"/>
      <c r="Q595" s="12"/>
      <c r="R595" s="36"/>
      <c r="S595" s="36"/>
      <c r="T595" s="12"/>
      <c r="U595" s="12"/>
      <c r="V595" s="12"/>
      <c r="W595" s="12"/>
      <c r="X595" s="12"/>
    </row>
    <row r="596" customFormat="false" ht="15.75" hidden="false" customHeight="false" outlineLevel="0" collapsed="false">
      <c r="A596" s="12"/>
      <c r="B596" s="34"/>
      <c r="C596" s="12"/>
      <c r="D596" s="12"/>
      <c r="E596" s="12"/>
      <c r="F596" s="12"/>
      <c r="G596" s="18"/>
      <c r="H596" s="35"/>
      <c r="I596" s="12"/>
      <c r="M596" s="12"/>
      <c r="N596" s="18"/>
      <c r="O596" s="12"/>
      <c r="P596" s="12"/>
      <c r="Q596" s="12"/>
      <c r="R596" s="36"/>
      <c r="S596" s="36"/>
      <c r="T596" s="12"/>
      <c r="U596" s="12"/>
      <c r="V596" s="12"/>
      <c r="W596" s="12"/>
      <c r="X596" s="12"/>
    </row>
    <row r="597" customFormat="false" ht="15.75" hidden="false" customHeight="false" outlineLevel="0" collapsed="false">
      <c r="A597" s="12"/>
      <c r="B597" s="34"/>
      <c r="C597" s="12"/>
      <c r="D597" s="12"/>
      <c r="E597" s="12"/>
      <c r="F597" s="12"/>
      <c r="G597" s="18"/>
      <c r="H597" s="35"/>
      <c r="I597" s="12"/>
      <c r="M597" s="12"/>
      <c r="N597" s="18"/>
      <c r="O597" s="12"/>
      <c r="P597" s="12"/>
      <c r="Q597" s="12"/>
      <c r="R597" s="36"/>
      <c r="S597" s="36"/>
      <c r="T597" s="12"/>
      <c r="U597" s="12"/>
      <c r="V597" s="12"/>
      <c r="W597" s="12"/>
      <c r="X597" s="12"/>
    </row>
    <row r="598" customFormat="false" ht="15.75" hidden="false" customHeight="false" outlineLevel="0" collapsed="false">
      <c r="A598" s="12"/>
      <c r="B598" s="34"/>
      <c r="C598" s="12"/>
      <c r="D598" s="12"/>
      <c r="E598" s="12"/>
      <c r="F598" s="12"/>
      <c r="G598" s="18"/>
      <c r="H598" s="35"/>
      <c r="I598" s="12"/>
      <c r="M598" s="12"/>
      <c r="N598" s="18"/>
      <c r="O598" s="12"/>
      <c r="P598" s="12"/>
      <c r="Q598" s="12"/>
      <c r="R598" s="36"/>
      <c r="S598" s="36"/>
      <c r="T598" s="12"/>
      <c r="U598" s="12"/>
      <c r="V598" s="12"/>
      <c r="W598" s="12"/>
      <c r="X598" s="12"/>
    </row>
    <row r="599" customFormat="false" ht="15.75" hidden="false" customHeight="false" outlineLevel="0" collapsed="false">
      <c r="A599" s="12"/>
      <c r="B599" s="34"/>
      <c r="C599" s="12"/>
      <c r="D599" s="12"/>
      <c r="E599" s="12"/>
      <c r="F599" s="12"/>
      <c r="G599" s="18"/>
      <c r="H599" s="35"/>
      <c r="I599" s="12"/>
      <c r="M599" s="12"/>
      <c r="N599" s="18"/>
      <c r="O599" s="12"/>
      <c r="P599" s="12"/>
      <c r="Q599" s="12"/>
      <c r="R599" s="36"/>
      <c r="S599" s="36"/>
      <c r="T599" s="12"/>
      <c r="U599" s="12"/>
      <c r="V599" s="12"/>
      <c r="W599" s="12"/>
      <c r="X599" s="12"/>
    </row>
    <row r="600" customFormat="false" ht="15.75" hidden="false" customHeight="false" outlineLevel="0" collapsed="false">
      <c r="A600" s="12"/>
      <c r="B600" s="34"/>
      <c r="C600" s="12"/>
      <c r="D600" s="12"/>
      <c r="E600" s="12"/>
      <c r="F600" s="12"/>
      <c r="G600" s="18"/>
      <c r="H600" s="35"/>
      <c r="I600" s="12"/>
      <c r="M600" s="12"/>
      <c r="N600" s="18"/>
      <c r="O600" s="12"/>
      <c r="P600" s="12"/>
      <c r="Q600" s="12"/>
      <c r="R600" s="36"/>
      <c r="S600" s="36"/>
      <c r="T600" s="12"/>
      <c r="U600" s="12"/>
      <c r="V600" s="12"/>
      <c r="W600" s="12"/>
      <c r="X600" s="12"/>
    </row>
    <row r="601" customFormat="false" ht="15.75" hidden="false" customHeight="false" outlineLevel="0" collapsed="false">
      <c r="A601" s="12"/>
      <c r="B601" s="34"/>
      <c r="C601" s="12"/>
      <c r="D601" s="12"/>
      <c r="E601" s="12"/>
      <c r="F601" s="12"/>
      <c r="G601" s="18"/>
      <c r="H601" s="35"/>
      <c r="I601" s="12"/>
      <c r="M601" s="12"/>
      <c r="N601" s="18"/>
      <c r="O601" s="12"/>
      <c r="P601" s="12"/>
      <c r="Q601" s="12"/>
      <c r="R601" s="36"/>
      <c r="S601" s="36"/>
      <c r="T601" s="12"/>
      <c r="U601" s="12"/>
      <c r="V601" s="12"/>
      <c r="W601" s="12"/>
      <c r="X601" s="12"/>
    </row>
    <row r="602" customFormat="false" ht="15.75" hidden="false" customHeight="false" outlineLevel="0" collapsed="false">
      <c r="A602" s="12"/>
      <c r="B602" s="34"/>
      <c r="C602" s="12"/>
      <c r="D602" s="12"/>
      <c r="E602" s="12"/>
      <c r="F602" s="12"/>
      <c r="G602" s="18"/>
      <c r="H602" s="35"/>
      <c r="I602" s="12"/>
      <c r="M602" s="12"/>
      <c r="N602" s="18"/>
      <c r="O602" s="12"/>
      <c r="P602" s="12"/>
      <c r="Q602" s="12"/>
      <c r="R602" s="36"/>
      <c r="S602" s="36"/>
      <c r="T602" s="12"/>
      <c r="U602" s="12"/>
      <c r="V602" s="12"/>
      <c r="W602" s="12"/>
      <c r="X602" s="12"/>
    </row>
    <row r="603" customFormat="false" ht="15.75" hidden="false" customHeight="false" outlineLevel="0" collapsed="false">
      <c r="A603" s="12"/>
      <c r="B603" s="34"/>
      <c r="C603" s="12"/>
      <c r="D603" s="12"/>
      <c r="E603" s="12"/>
      <c r="F603" s="12"/>
      <c r="G603" s="18"/>
      <c r="H603" s="35"/>
      <c r="I603" s="12"/>
      <c r="M603" s="12"/>
      <c r="N603" s="18"/>
      <c r="O603" s="12"/>
      <c r="P603" s="12"/>
      <c r="Q603" s="12"/>
      <c r="R603" s="36"/>
      <c r="S603" s="36"/>
      <c r="T603" s="12"/>
      <c r="U603" s="12"/>
      <c r="V603" s="12"/>
      <c r="W603" s="12"/>
      <c r="X603" s="12"/>
    </row>
    <row r="604" customFormat="false" ht="15.75" hidden="false" customHeight="false" outlineLevel="0" collapsed="false">
      <c r="A604" s="12"/>
      <c r="B604" s="34"/>
      <c r="C604" s="12"/>
      <c r="D604" s="12"/>
      <c r="E604" s="12"/>
      <c r="F604" s="12"/>
      <c r="G604" s="18"/>
      <c r="H604" s="35"/>
      <c r="I604" s="12"/>
      <c r="M604" s="12"/>
      <c r="N604" s="18"/>
      <c r="O604" s="12"/>
      <c r="P604" s="12"/>
      <c r="Q604" s="12"/>
      <c r="R604" s="36"/>
      <c r="S604" s="36"/>
      <c r="T604" s="12"/>
      <c r="U604" s="12"/>
      <c r="V604" s="12"/>
      <c r="W604" s="12"/>
      <c r="X604" s="12"/>
    </row>
    <row r="605" customFormat="false" ht="15.75" hidden="false" customHeight="false" outlineLevel="0" collapsed="false">
      <c r="A605" s="12"/>
      <c r="B605" s="34"/>
      <c r="C605" s="12"/>
      <c r="D605" s="12"/>
      <c r="E605" s="12"/>
      <c r="F605" s="12"/>
      <c r="G605" s="18"/>
      <c r="H605" s="35"/>
      <c r="I605" s="12"/>
      <c r="M605" s="12"/>
      <c r="N605" s="18"/>
      <c r="O605" s="12"/>
      <c r="P605" s="12"/>
      <c r="Q605" s="12"/>
      <c r="R605" s="36"/>
      <c r="S605" s="36"/>
      <c r="T605" s="12"/>
      <c r="U605" s="12"/>
      <c r="V605" s="12"/>
      <c r="W605" s="12"/>
      <c r="X605" s="12"/>
    </row>
    <row r="606" customFormat="false" ht="15.75" hidden="false" customHeight="false" outlineLevel="0" collapsed="false">
      <c r="A606" s="12"/>
      <c r="B606" s="34"/>
      <c r="C606" s="12"/>
      <c r="D606" s="12"/>
      <c r="E606" s="12"/>
      <c r="F606" s="12"/>
      <c r="G606" s="18"/>
      <c r="H606" s="35"/>
      <c r="I606" s="12"/>
      <c r="M606" s="12"/>
      <c r="N606" s="18"/>
      <c r="O606" s="12"/>
      <c r="P606" s="12"/>
      <c r="Q606" s="12"/>
      <c r="R606" s="36"/>
      <c r="S606" s="36"/>
      <c r="T606" s="12"/>
      <c r="U606" s="12"/>
      <c r="V606" s="12"/>
      <c r="W606" s="12"/>
      <c r="X606" s="12"/>
    </row>
    <row r="607" customFormat="false" ht="15.75" hidden="false" customHeight="false" outlineLevel="0" collapsed="false">
      <c r="A607" s="12"/>
      <c r="B607" s="34"/>
      <c r="C607" s="12"/>
      <c r="D607" s="12"/>
      <c r="E607" s="12"/>
      <c r="F607" s="12"/>
      <c r="G607" s="18"/>
      <c r="H607" s="35"/>
      <c r="I607" s="12"/>
      <c r="M607" s="12"/>
      <c r="N607" s="18"/>
      <c r="O607" s="12"/>
      <c r="P607" s="12"/>
      <c r="Q607" s="12"/>
      <c r="R607" s="36"/>
      <c r="S607" s="36"/>
      <c r="T607" s="12"/>
      <c r="U607" s="12"/>
      <c r="V607" s="12"/>
      <c r="W607" s="12"/>
      <c r="X607" s="12"/>
    </row>
    <row r="608" customFormat="false" ht="15.75" hidden="false" customHeight="false" outlineLevel="0" collapsed="false">
      <c r="A608" s="12"/>
      <c r="B608" s="34"/>
      <c r="C608" s="12"/>
      <c r="D608" s="12"/>
      <c r="E608" s="12"/>
      <c r="F608" s="12"/>
      <c r="G608" s="18"/>
      <c r="H608" s="35"/>
      <c r="I608" s="12"/>
      <c r="M608" s="12"/>
      <c r="N608" s="18"/>
      <c r="O608" s="12"/>
      <c r="P608" s="12"/>
      <c r="Q608" s="12"/>
      <c r="R608" s="36"/>
      <c r="S608" s="36"/>
      <c r="T608" s="12"/>
      <c r="U608" s="12"/>
      <c r="V608" s="12"/>
      <c r="W608" s="12"/>
      <c r="X608" s="12"/>
    </row>
    <row r="609" customFormat="false" ht="15.75" hidden="false" customHeight="false" outlineLevel="0" collapsed="false">
      <c r="A609" s="12"/>
      <c r="B609" s="34"/>
      <c r="C609" s="12"/>
      <c r="D609" s="12"/>
      <c r="E609" s="12"/>
      <c r="F609" s="12"/>
      <c r="G609" s="18"/>
      <c r="H609" s="35"/>
      <c r="I609" s="12"/>
      <c r="M609" s="12"/>
      <c r="N609" s="18"/>
      <c r="O609" s="12"/>
      <c r="P609" s="12"/>
      <c r="Q609" s="12"/>
      <c r="R609" s="36"/>
      <c r="S609" s="36"/>
      <c r="T609" s="12"/>
      <c r="U609" s="12"/>
      <c r="V609" s="12"/>
      <c r="W609" s="12"/>
      <c r="X609" s="12"/>
    </row>
    <row r="610" customFormat="false" ht="15.75" hidden="false" customHeight="false" outlineLevel="0" collapsed="false">
      <c r="A610" s="12"/>
      <c r="B610" s="34"/>
      <c r="C610" s="12"/>
      <c r="D610" s="12"/>
      <c r="E610" s="12"/>
      <c r="F610" s="12"/>
      <c r="G610" s="18"/>
      <c r="H610" s="35"/>
      <c r="I610" s="12"/>
      <c r="M610" s="12"/>
      <c r="N610" s="18"/>
      <c r="O610" s="12"/>
      <c r="P610" s="12"/>
      <c r="Q610" s="12"/>
      <c r="R610" s="36"/>
      <c r="S610" s="36"/>
      <c r="T610" s="12"/>
      <c r="U610" s="12"/>
      <c r="V610" s="12"/>
      <c r="W610" s="12"/>
      <c r="X610" s="12"/>
    </row>
    <row r="611" customFormat="false" ht="15.75" hidden="false" customHeight="false" outlineLevel="0" collapsed="false">
      <c r="A611" s="12"/>
      <c r="B611" s="34"/>
      <c r="C611" s="12"/>
      <c r="D611" s="12"/>
      <c r="E611" s="12"/>
      <c r="F611" s="12"/>
      <c r="G611" s="18"/>
      <c r="H611" s="35"/>
      <c r="I611" s="12"/>
      <c r="M611" s="12"/>
      <c r="N611" s="18"/>
      <c r="O611" s="12"/>
      <c r="P611" s="12"/>
      <c r="Q611" s="12"/>
      <c r="R611" s="36"/>
      <c r="S611" s="36"/>
      <c r="T611" s="12"/>
      <c r="U611" s="12"/>
      <c r="V611" s="12"/>
      <c r="W611" s="12"/>
      <c r="X611" s="12"/>
    </row>
    <row r="612" customFormat="false" ht="15.75" hidden="false" customHeight="false" outlineLevel="0" collapsed="false">
      <c r="A612" s="12"/>
      <c r="B612" s="34"/>
      <c r="C612" s="12"/>
      <c r="D612" s="12"/>
      <c r="E612" s="12"/>
      <c r="F612" s="12"/>
      <c r="G612" s="18"/>
      <c r="H612" s="35"/>
      <c r="I612" s="12"/>
      <c r="M612" s="12"/>
      <c r="N612" s="18"/>
      <c r="O612" s="12"/>
      <c r="P612" s="12"/>
      <c r="Q612" s="12"/>
      <c r="R612" s="36"/>
      <c r="S612" s="36"/>
      <c r="T612" s="12"/>
      <c r="U612" s="12"/>
      <c r="V612" s="12"/>
      <c r="W612" s="12"/>
      <c r="X612" s="12"/>
    </row>
    <row r="613" customFormat="false" ht="15.75" hidden="false" customHeight="false" outlineLevel="0" collapsed="false">
      <c r="A613" s="12"/>
      <c r="B613" s="34"/>
      <c r="C613" s="12"/>
      <c r="D613" s="12"/>
      <c r="E613" s="12"/>
      <c r="F613" s="12"/>
      <c r="G613" s="18"/>
      <c r="H613" s="35"/>
      <c r="I613" s="12"/>
      <c r="M613" s="12"/>
      <c r="N613" s="18"/>
      <c r="O613" s="12"/>
      <c r="P613" s="12"/>
      <c r="Q613" s="12"/>
      <c r="R613" s="36"/>
      <c r="S613" s="36"/>
      <c r="T613" s="12"/>
      <c r="U613" s="12"/>
      <c r="V613" s="12"/>
      <c r="W613" s="12"/>
      <c r="X613" s="12"/>
    </row>
    <row r="614" customFormat="false" ht="15.75" hidden="false" customHeight="false" outlineLevel="0" collapsed="false">
      <c r="A614" s="12"/>
      <c r="B614" s="34"/>
      <c r="C614" s="12"/>
      <c r="D614" s="12"/>
      <c r="E614" s="12"/>
      <c r="F614" s="12"/>
      <c r="G614" s="18"/>
      <c r="H614" s="35"/>
      <c r="I614" s="12"/>
      <c r="M614" s="12"/>
      <c r="N614" s="18"/>
      <c r="O614" s="12"/>
      <c r="P614" s="12"/>
      <c r="Q614" s="12"/>
      <c r="R614" s="36"/>
      <c r="S614" s="36"/>
      <c r="T614" s="12"/>
      <c r="U614" s="12"/>
      <c r="V614" s="12"/>
      <c r="W614" s="12"/>
      <c r="X614" s="12"/>
    </row>
    <row r="615" customFormat="false" ht="15.75" hidden="false" customHeight="false" outlineLevel="0" collapsed="false">
      <c r="A615" s="12"/>
      <c r="B615" s="34"/>
      <c r="C615" s="12"/>
      <c r="D615" s="12"/>
      <c r="E615" s="12"/>
      <c r="F615" s="12"/>
      <c r="G615" s="18"/>
      <c r="H615" s="35"/>
      <c r="I615" s="12"/>
      <c r="M615" s="12"/>
      <c r="N615" s="18"/>
      <c r="O615" s="12"/>
      <c r="P615" s="12"/>
      <c r="Q615" s="12"/>
      <c r="R615" s="36"/>
      <c r="S615" s="36"/>
      <c r="T615" s="12"/>
      <c r="U615" s="12"/>
      <c r="V615" s="12"/>
      <c r="W615" s="12"/>
      <c r="X615" s="12"/>
    </row>
    <row r="616" customFormat="false" ht="15.75" hidden="false" customHeight="false" outlineLevel="0" collapsed="false">
      <c r="A616" s="12"/>
      <c r="B616" s="34"/>
      <c r="C616" s="12"/>
      <c r="D616" s="12"/>
      <c r="E616" s="12"/>
      <c r="F616" s="12"/>
      <c r="G616" s="18"/>
      <c r="H616" s="35"/>
      <c r="I616" s="12"/>
      <c r="M616" s="12"/>
      <c r="N616" s="18"/>
      <c r="O616" s="12"/>
      <c r="P616" s="12"/>
      <c r="Q616" s="12"/>
      <c r="R616" s="36"/>
      <c r="S616" s="36"/>
      <c r="T616" s="12"/>
      <c r="U616" s="12"/>
      <c r="V616" s="12"/>
      <c r="W616" s="12"/>
      <c r="X616" s="12"/>
    </row>
    <row r="617" customFormat="false" ht="15.75" hidden="false" customHeight="false" outlineLevel="0" collapsed="false">
      <c r="A617" s="12"/>
      <c r="B617" s="34"/>
      <c r="C617" s="12"/>
      <c r="D617" s="12"/>
      <c r="E617" s="12"/>
      <c r="F617" s="12"/>
      <c r="G617" s="18"/>
      <c r="H617" s="35"/>
      <c r="I617" s="12"/>
      <c r="M617" s="12"/>
      <c r="N617" s="18"/>
      <c r="O617" s="12"/>
      <c r="P617" s="12"/>
      <c r="Q617" s="12"/>
      <c r="R617" s="36"/>
      <c r="S617" s="36"/>
      <c r="T617" s="12"/>
      <c r="U617" s="12"/>
      <c r="V617" s="12"/>
      <c r="W617" s="12"/>
      <c r="X617" s="12"/>
    </row>
    <row r="618" customFormat="false" ht="15.75" hidden="false" customHeight="false" outlineLevel="0" collapsed="false">
      <c r="A618" s="12"/>
      <c r="B618" s="34"/>
      <c r="C618" s="12"/>
      <c r="D618" s="12"/>
      <c r="E618" s="12"/>
      <c r="F618" s="12"/>
      <c r="G618" s="18"/>
      <c r="H618" s="35"/>
      <c r="I618" s="12"/>
      <c r="M618" s="12"/>
      <c r="N618" s="18"/>
      <c r="O618" s="12"/>
      <c r="P618" s="12"/>
      <c r="Q618" s="12"/>
      <c r="R618" s="36"/>
      <c r="S618" s="36"/>
      <c r="T618" s="12"/>
      <c r="U618" s="12"/>
      <c r="V618" s="12"/>
      <c r="W618" s="12"/>
      <c r="X618" s="12"/>
    </row>
    <row r="619" customFormat="false" ht="15.75" hidden="false" customHeight="false" outlineLevel="0" collapsed="false">
      <c r="A619" s="12"/>
      <c r="B619" s="34"/>
      <c r="C619" s="12"/>
      <c r="D619" s="12"/>
      <c r="E619" s="12"/>
      <c r="F619" s="12"/>
      <c r="G619" s="18"/>
      <c r="H619" s="35"/>
      <c r="I619" s="12"/>
      <c r="M619" s="12"/>
      <c r="N619" s="18"/>
      <c r="O619" s="12"/>
      <c r="P619" s="12"/>
      <c r="Q619" s="12"/>
      <c r="R619" s="36"/>
      <c r="S619" s="36"/>
      <c r="T619" s="12"/>
      <c r="U619" s="12"/>
      <c r="V619" s="12"/>
      <c r="W619" s="12"/>
      <c r="X619" s="12"/>
    </row>
    <row r="620" customFormat="false" ht="15.75" hidden="false" customHeight="false" outlineLevel="0" collapsed="false">
      <c r="A620" s="12"/>
      <c r="B620" s="34"/>
      <c r="C620" s="12"/>
      <c r="D620" s="12"/>
      <c r="E620" s="12"/>
      <c r="F620" s="12"/>
      <c r="G620" s="18"/>
      <c r="H620" s="35"/>
      <c r="I620" s="12"/>
      <c r="M620" s="12"/>
      <c r="N620" s="18"/>
      <c r="O620" s="12"/>
      <c r="P620" s="12"/>
      <c r="Q620" s="12"/>
      <c r="R620" s="36"/>
      <c r="S620" s="36"/>
      <c r="T620" s="12"/>
      <c r="U620" s="12"/>
      <c r="V620" s="12"/>
      <c r="W620" s="12"/>
      <c r="X620" s="12"/>
    </row>
    <row r="621" customFormat="false" ht="15.75" hidden="false" customHeight="false" outlineLevel="0" collapsed="false">
      <c r="A621" s="12"/>
      <c r="B621" s="34"/>
      <c r="C621" s="12"/>
      <c r="D621" s="12"/>
      <c r="E621" s="12"/>
      <c r="F621" s="12"/>
      <c r="G621" s="18"/>
      <c r="H621" s="35"/>
      <c r="I621" s="12"/>
      <c r="M621" s="12"/>
      <c r="N621" s="18"/>
      <c r="O621" s="12"/>
      <c r="P621" s="12"/>
      <c r="Q621" s="12"/>
      <c r="R621" s="36"/>
      <c r="S621" s="36"/>
      <c r="T621" s="12"/>
      <c r="U621" s="12"/>
      <c r="V621" s="12"/>
      <c r="W621" s="12"/>
      <c r="X621" s="12"/>
    </row>
    <row r="622" customFormat="false" ht="15.75" hidden="false" customHeight="false" outlineLevel="0" collapsed="false">
      <c r="A622" s="12"/>
      <c r="B622" s="34"/>
      <c r="C622" s="12"/>
      <c r="D622" s="12"/>
      <c r="E622" s="12"/>
      <c r="F622" s="12"/>
      <c r="G622" s="18"/>
      <c r="H622" s="35"/>
      <c r="I622" s="12"/>
      <c r="M622" s="12"/>
      <c r="N622" s="18"/>
      <c r="O622" s="12"/>
      <c r="P622" s="12"/>
      <c r="Q622" s="12"/>
      <c r="R622" s="36"/>
      <c r="S622" s="36"/>
      <c r="T622" s="12"/>
      <c r="U622" s="12"/>
      <c r="V622" s="12"/>
      <c r="W622" s="12"/>
      <c r="X622" s="12"/>
    </row>
    <row r="623" customFormat="false" ht="15.75" hidden="false" customHeight="false" outlineLevel="0" collapsed="false">
      <c r="A623" s="12"/>
      <c r="B623" s="34"/>
      <c r="C623" s="12"/>
      <c r="D623" s="12"/>
      <c r="E623" s="12"/>
      <c r="F623" s="12"/>
      <c r="G623" s="18"/>
      <c r="H623" s="35"/>
      <c r="I623" s="12"/>
      <c r="M623" s="12"/>
      <c r="N623" s="18"/>
      <c r="O623" s="12"/>
      <c r="P623" s="12"/>
      <c r="Q623" s="12"/>
      <c r="R623" s="36"/>
      <c r="S623" s="36"/>
      <c r="T623" s="12"/>
      <c r="U623" s="12"/>
      <c r="V623" s="12"/>
      <c r="W623" s="12"/>
      <c r="X623" s="12"/>
    </row>
    <row r="624" customFormat="false" ht="15.75" hidden="false" customHeight="false" outlineLevel="0" collapsed="false">
      <c r="A624" s="12"/>
      <c r="B624" s="34"/>
      <c r="C624" s="12"/>
      <c r="D624" s="12"/>
      <c r="E624" s="12"/>
      <c r="F624" s="12"/>
      <c r="G624" s="18"/>
      <c r="H624" s="35"/>
      <c r="I624" s="12"/>
      <c r="M624" s="12"/>
      <c r="N624" s="18"/>
      <c r="O624" s="12"/>
      <c r="P624" s="12"/>
      <c r="Q624" s="12"/>
      <c r="R624" s="36"/>
      <c r="S624" s="36"/>
      <c r="T624" s="12"/>
      <c r="U624" s="12"/>
      <c r="V624" s="12"/>
      <c r="W624" s="12"/>
      <c r="X624" s="12"/>
    </row>
    <row r="625" customFormat="false" ht="15.75" hidden="false" customHeight="false" outlineLevel="0" collapsed="false">
      <c r="A625" s="12"/>
      <c r="B625" s="34"/>
      <c r="C625" s="12"/>
      <c r="D625" s="12"/>
      <c r="E625" s="12"/>
      <c r="F625" s="12"/>
      <c r="G625" s="18"/>
      <c r="H625" s="35"/>
      <c r="I625" s="12"/>
      <c r="M625" s="12"/>
      <c r="N625" s="18"/>
      <c r="O625" s="12"/>
      <c r="P625" s="12"/>
      <c r="Q625" s="12"/>
      <c r="R625" s="36"/>
      <c r="S625" s="36"/>
      <c r="T625" s="12"/>
      <c r="U625" s="12"/>
      <c r="V625" s="12"/>
      <c r="W625" s="12"/>
      <c r="X625" s="12"/>
    </row>
    <row r="626" customFormat="false" ht="15.75" hidden="false" customHeight="false" outlineLevel="0" collapsed="false">
      <c r="A626" s="12"/>
      <c r="B626" s="34"/>
      <c r="C626" s="12"/>
      <c r="D626" s="12"/>
      <c r="E626" s="12"/>
      <c r="F626" s="12"/>
      <c r="G626" s="18"/>
      <c r="H626" s="35"/>
      <c r="I626" s="12"/>
      <c r="M626" s="12"/>
      <c r="N626" s="18"/>
      <c r="O626" s="12"/>
      <c r="P626" s="12"/>
      <c r="Q626" s="12"/>
      <c r="R626" s="36"/>
      <c r="S626" s="36"/>
      <c r="T626" s="12"/>
      <c r="U626" s="12"/>
      <c r="V626" s="12"/>
      <c r="W626" s="12"/>
      <c r="X626" s="12"/>
    </row>
    <row r="627" customFormat="false" ht="15.75" hidden="false" customHeight="false" outlineLevel="0" collapsed="false">
      <c r="A627" s="12"/>
      <c r="B627" s="34"/>
      <c r="C627" s="12"/>
      <c r="D627" s="12"/>
      <c r="E627" s="12"/>
      <c r="F627" s="12"/>
      <c r="G627" s="18"/>
      <c r="H627" s="35"/>
      <c r="I627" s="12"/>
      <c r="M627" s="12"/>
      <c r="N627" s="18"/>
      <c r="O627" s="12"/>
      <c r="P627" s="12"/>
      <c r="Q627" s="12"/>
      <c r="R627" s="36"/>
      <c r="S627" s="36"/>
      <c r="T627" s="12"/>
      <c r="U627" s="12"/>
      <c r="V627" s="12"/>
      <c r="W627" s="12"/>
      <c r="X627" s="12"/>
    </row>
    <row r="628" customFormat="false" ht="15.75" hidden="false" customHeight="false" outlineLevel="0" collapsed="false">
      <c r="A628" s="12"/>
      <c r="B628" s="34"/>
      <c r="C628" s="12"/>
      <c r="D628" s="12"/>
      <c r="E628" s="12"/>
      <c r="F628" s="12"/>
      <c r="G628" s="18"/>
      <c r="H628" s="35"/>
      <c r="I628" s="12"/>
      <c r="M628" s="12"/>
      <c r="N628" s="18"/>
      <c r="O628" s="12"/>
      <c r="P628" s="12"/>
      <c r="Q628" s="12"/>
      <c r="R628" s="36"/>
      <c r="S628" s="36"/>
      <c r="T628" s="12"/>
      <c r="U628" s="12"/>
      <c r="V628" s="12"/>
      <c r="W628" s="12"/>
      <c r="X628" s="12"/>
    </row>
    <row r="629" customFormat="false" ht="15.75" hidden="false" customHeight="false" outlineLevel="0" collapsed="false">
      <c r="A629" s="12"/>
      <c r="B629" s="34"/>
      <c r="C629" s="12"/>
      <c r="D629" s="12"/>
      <c r="E629" s="12"/>
      <c r="F629" s="12"/>
      <c r="G629" s="18"/>
      <c r="H629" s="35"/>
      <c r="I629" s="12"/>
      <c r="M629" s="12"/>
      <c r="N629" s="18"/>
      <c r="O629" s="12"/>
      <c r="P629" s="12"/>
      <c r="Q629" s="12"/>
      <c r="R629" s="36"/>
      <c r="S629" s="36"/>
      <c r="T629" s="12"/>
      <c r="U629" s="12"/>
      <c r="V629" s="12"/>
      <c r="W629" s="12"/>
      <c r="X629" s="12"/>
    </row>
    <row r="630" customFormat="false" ht="15.75" hidden="false" customHeight="false" outlineLevel="0" collapsed="false">
      <c r="A630" s="12"/>
      <c r="B630" s="34"/>
      <c r="C630" s="12"/>
      <c r="D630" s="12"/>
      <c r="E630" s="12"/>
      <c r="F630" s="12"/>
      <c r="G630" s="18"/>
      <c r="H630" s="35"/>
      <c r="I630" s="12"/>
      <c r="M630" s="12"/>
      <c r="N630" s="18"/>
      <c r="O630" s="12"/>
      <c r="P630" s="12"/>
      <c r="Q630" s="12"/>
      <c r="R630" s="36"/>
      <c r="S630" s="36"/>
      <c r="T630" s="12"/>
      <c r="U630" s="12"/>
      <c r="V630" s="12"/>
      <c r="W630" s="12"/>
      <c r="X630" s="12"/>
    </row>
    <row r="631" customFormat="false" ht="15.75" hidden="false" customHeight="false" outlineLevel="0" collapsed="false">
      <c r="A631" s="12"/>
      <c r="B631" s="34"/>
      <c r="C631" s="12"/>
      <c r="D631" s="12"/>
      <c r="E631" s="12"/>
      <c r="F631" s="12"/>
      <c r="G631" s="18"/>
      <c r="H631" s="35"/>
      <c r="I631" s="12"/>
      <c r="M631" s="12"/>
      <c r="N631" s="18"/>
      <c r="O631" s="12"/>
      <c r="P631" s="12"/>
      <c r="Q631" s="12"/>
      <c r="R631" s="36"/>
      <c r="S631" s="36"/>
      <c r="T631" s="12"/>
      <c r="U631" s="12"/>
      <c r="V631" s="12"/>
      <c r="W631" s="12"/>
      <c r="X631" s="12"/>
    </row>
    <row r="632" customFormat="false" ht="15.75" hidden="false" customHeight="false" outlineLevel="0" collapsed="false">
      <c r="A632" s="12"/>
      <c r="B632" s="34"/>
      <c r="C632" s="12"/>
      <c r="D632" s="12"/>
      <c r="E632" s="12"/>
      <c r="F632" s="12"/>
      <c r="G632" s="18"/>
      <c r="H632" s="35"/>
      <c r="I632" s="12"/>
      <c r="M632" s="12"/>
      <c r="N632" s="18"/>
      <c r="O632" s="12"/>
      <c r="P632" s="12"/>
      <c r="Q632" s="12"/>
      <c r="R632" s="36"/>
      <c r="S632" s="36"/>
      <c r="T632" s="12"/>
      <c r="U632" s="12"/>
      <c r="V632" s="12"/>
      <c r="W632" s="12"/>
      <c r="X632" s="12"/>
    </row>
    <row r="633" customFormat="false" ht="15.75" hidden="false" customHeight="false" outlineLevel="0" collapsed="false">
      <c r="A633" s="12"/>
      <c r="B633" s="34"/>
      <c r="C633" s="12"/>
      <c r="D633" s="12"/>
      <c r="E633" s="12"/>
      <c r="F633" s="12"/>
      <c r="G633" s="18"/>
      <c r="H633" s="35"/>
      <c r="I633" s="12"/>
      <c r="M633" s="12"/>
      <c r="N633" s="18"/>
      <c r="O633" s="12"/>
      <c r="P633" s="12"/>
      <c r="Q633" s="12"/>
      <c r="R633" s="36"/>
      <c r="S633" s="36"/>
      <c r="T633" s="12"/>
      <c r="U633" s="12"/>
      <c r="V633" s="12"/>
      <c r="W633" s="12"/>
      <c r="X633" s="12"/>
    </row>
    <row r="634" customFormat="false" ht="15.75" hidden="false" customHeight="false" outlineLevel="0" collapsed="false">
      <c r="A634" s="12"/>
      <c r="B634" s="34"/>
      <c r="C634" s="12"/>
      <c r="D634" s="12"/>
      <c r="E634" s="12"/>
      <c r="F634" s="12"/>
      <c r="G634" s="18"/>
      <c r="H634" s="35"/>
      <c r="I634" s="12"/>
      <c r="M634" s="12"/>
      <c r="N634" s="18"/>
      <c r="O634" s="12"/>
      <c r="P634" s="12"/>
      <c r="Q634" s="12"/>
      <c r="R634" s="36"/>
      <c r="S634" s="36"/>
      <c r="T634" s="12"/>
      <c r="U634" s="12"/>
      <c r="V634" s="12"/>
      <c r="W634" s="12"/>
      <c r="X634" s="12"/>
    </row>
    <row r="635" customFormat="false" ht="15.75" hidden="false" customHeight="false" outlineLevel="0" collapsed="false">
      <c r="A635" s="12"/>
      <c r="B635" s="34"/>
      <c r="C635" s="12"/>
      <c r="D635" s="12"/>
      <c r="E635" s="12"/>
      <c r="F635" s="12"/>
      <c r="G635" s="18"/>
      <c r="H635" s="35"/>
      <c r="I635" s="12"/>
      <c r="M635" s="12"/>
      <c r="N635" s="18"/>
      <c r="O635" s="12"/>
      <c r="P635" s="12"/>
      <c r="Q635" s="12"/>
      <c r="R635" s="36"/>
      <c r="S635" s="36"/>
      <c r="T635" s="12"/>
      <c r="U635" s="12"/>
      <c r="V635" s="12"/>
      <c r="W635" s="12"/>
      <c r="X635" s="12"/>
    </row>
    <row r="636" customFormat="false" ht="15.75" hidden="false" customHeight="false" outlineLevel="0" collapsed="false">
      <c r="A636" s="12"/>
      <c r="B636" s="34"/>
      <c r="C636" s="12"/>
      <c r="D636" s="12"/>
      <c r="E636" s="12"/>
      <c r="F636" s="12"/>
      <c r="G636" s="18"/>
      <c r="H636" s="35"/>
      <c r="I636" s="12"/>
      <c r="M636" s="12"/>
      <c r="N636" s="18"/>
      <c r="O636" s="12"/>
      <c r="P636" s="12"/>
      <c r="Q636" s="12"/>
      <c r="R636" s="36"/>
      <c r="S636" s="36"/>
      <c r="T636" s="12"/>
      <c r="U636" s="12"/>
      <c r="V636" s="12"/>
      <c r="W636" s="12"/>
      <c r="X636" s="12"/>
    </row>
    <row r="637" customFormat="false" ht="15.75" hidden="false" customHeight="false" outlineLevel="0" collapsed="false">
      <c r="A637" s="12"/>
      <c r="B637" s="34"/>
      <c r="C637" s="12"/>
      <c r="D637" s="12"/>
      <c r="E637" s="12"/>
      <c r="F637" s="12"/>
      <c r="G637" s="18"/>
      <c r="H637" s="35"/>
      <c r="I637" s="12"/>
      <c r="M637" s="12"/>
      <c r="N637" s="18"/>
      <c r="O637" s="12"/>
      <c r="P637" s="12"/>
      <c r="Q637" s="12"/>
      <c r="R637" s="36"/>
      <c r="S637" s="36"/>
      <c r="T637" s="12"/>
      <c r="U637" s="12"/>
      <c r="V637" s="12"/>
      <c r="W637" s="12"/>
      <c r="X637" s="12"/>
    </row>
    <row r="638" customFormat="false" ht="15.75" hidden="false" customHeight="false" outlineLevel="0" collapsed="false">
      <c r="A638" s="12"/>
      <c r="B638" s="34"/>
      <c r="C638" s="12"/>
      <c r="D638" s="12"/>
      <c r="E638" s="12"/>
      <c r="F638" s="12"/>
      <c r="G638" s="18"/>
      <c r="H638" s="35"/>
      <c r="I638" s="12"/>
      <c r="M638" s="12"/>
      <c r="N638" s="18"/>
      <c r="O638" s="12"/>
      <c r="P638" s="12"/>
      <c r="Q638" s="12"/>
      <c r="R638" s="36"/>
      <c r="S638" s="36"/>
      <c r="T638" s="12"/>
      <c r="U638" s="12"/>
      <c r="V638" s="12"/>
      <c r="W638" s="12"/>
      <c r="X638" s="12"/>
    </row>
    <row r="639" customFormat="false" ht="15.75" hidden="false" customHeight="false" outlineLevel="0" collapsed="false">
      <c r="A639" s="12"/>
      <c r="B639" s="34"/>
      <c r="C639" s="12"/>
      <c r="D639" s="12"/>
      <c r="E639" s="12"/>
      <c r="F639" s="12"/>
      <c r="G639" s="18"/>
      <c r="H639" s="35"/>
      <c r="I639" s="12"/>
      <c r="M639" s="12"/>
      <c r="N639" s="18"/>
      <c r="O639" s="12"/>
      <c r="P639" s="12"/>
      <c r="Q639" s="12"/>
      <c r="R639" s="36"/>
      <c r="S639" s="36"/>
      <c r="T639" s="12"/>
      <c r="U639" s="12"/>
      <c r="V639" s="12"/>
      <c r="W639" s="12"/>
      <c r="X639" s="12"/>
    </row>
    <row r="640" customFormat="false" ht="15.75" hidden="false" customHeight="false" outlineLevel="0" collapsed="false">
      <c r="A640" s="12"/>
      <c r="B640" s="34"/>
      <c r="C640" s="12"/>
      <c r="D640" s="12"/>
      <c r="E640" s="12"/>
      <c r="F640" s="12"/>
      <c r="G640" s="18"/>
      <c r="H640" s="35"/>
      <c r="I640" s="12"/>
      <c r="M640" s="12"/>
      <c r="N640" s="18"/>
      <c r="O640" s="12"/>
      <c r="P640" s="12"/>
      <c r="Q640" s="12"/>
      <c r="R640" s="36"/>
      <c r="S640" s="36"/>
      <c r="T640" s="12"/>
      <c r="U640" s="12"/>
      <c r="V640" s="12"/>
      <c r="W640" s="12"/>
      <c r="X640" s="12"/>
    </row>
    <row r="641" customFormat="false" ht="15.75" hidden="false" customHeight="false" outlineLevel="0" collapsed="false">
      <c r="A641" s="12"/>
      <c r="B641" s="34"/>
      <c r="C641" s="12"/>
      <c r="D641" s="12"/>
      <c r="E641" s="12"/>
      <c r="F641" s="12"/>
      <c r="G641" s="18"/>
      <c r="H641" s="35"/>
      <c r="I641" s="12"/>
      <c r="M641" s="12"/>
      <c r="N641" s="18"/>
      <c r="O641" s="12"/>
      <c r="P641" s="12"/>
      <c r="Q641" s="12"/>
      <c r="R641" s="36"/>
      <c r="S641" s="36"/>
      <c r="T641" s="12"/>
      <c r="U641" s="12"/>
      <c r="V641" s="12"/>
      <c r="W641" s="12"/>
      <c r="X641" s="12"/>
    </row>
    <row r="642" customFormat="false" ht="15.75" hidden="false" customHeight="false" outlineLevel="0" collapsed="false">
      <c r="A642" s="12"/>
      <c r="B642" s="34"/>
      <c r="C642" s="12"/>
      <c r="D642" s="12"/>
      <c r="E642" s="12"/>
      <c r="F642" s="12"/>
      <c r="G642" s="18"/>
      <c r="H642" s="35"/>
      <c r="I642" s="12"/>
      <c r="M642" s="12"/>
      <c r="N642" s="18"/>
      <c r="O642" s="12"/>
      <c r="P642" s="12"/>
      <c r="Q642" s="12"/>
      <c r="R642" s="36"/>
      <c r="S642" s="36"/>
      <c r="T642" s="12"/>
      <c r="U642" s="12"/>
      <c r="V642" s="12"/>
      <c r="W642" s="12"/>
      <c r="X642" s="12"/>
    </row>
    <row r="643" customFormat="false" ht="15.75" hidden="false" customHeight="false" outlineLevel="0" collapsed="false">
      <c r="A643" s="12"/>
      <c r="B643" s="34"/>
      <c r="C643" s="12"/>
      <c r="D643" s="12"/>
      <c r="E643" s="12"/>
      <c r="F643" s="12"/>
      <c r="G643" s="18"/>
      <c r="H643" s="35"/>
      <c r="I643" s="12"/>
      <c r="M643" s="12"/>
      <c r="N643" s="18"/>
      <c r="O643" s="12"/>
      <c r="P643" s="12"/>
      <c r="Q643" s="12"/>
      <c r="R643" s="36"/>
      <c r="S643" s="36"/>
      <c r="T643" s="12"/>
      <c r="U643" s="12"/>
      <c r="V643" s="12"/>
      <c r="W643" s="12"/>
      <c r="X643" s="12"/>
    </row>
    <row r="644" customFormat="false" ht="15.75" hidden="false" customHeight="false" outlineLevel="0" collapsed="false">
      <c r="A644" s="12"/>
      <c r="B644" s="34"/>
      <c r="C644" s="12"/>
      <c r="D644" s="12"/>
      <c r="E644" s="12"/>
      <c r="F644" s="12"/>
      <c r="G644" s="18"/>
      <c r="H644" s="35"/>
      <c r="I644" s="12"/>
      <c r="M644" s="12"/>
      <c r="N644" s="18"/>
      <c r="O644" s="12"/>
      <c r="P644" s="12"/>
      <c r="Q644" s="12"/>
      <c r="R644" s="36"/>
      <c r="S644" s="36"/>
      <c r="T644" s="12"/>
      <c r="U644" s="12"/>
      <c r="V644" s="12"/>
      <c r="W644" s="12"/>
      <c r="X644" s="12"/>
    </row>
    <row r="645" customFormat="false" ht="15.75" hidden="false" customHeight="false" outlineLevel="0" collapsed="false">
      <c r="A645" s="12"/>
      <c r="B645" s="34"/>
      <c r="C645" s="12"/>
      <c r="D645" s="12"/>
      <c r="E645" s="12"/>
      <c r="F645" s="12"/>
      <c r="G645" s="18"/>
      <c r="H645" s="35"/>
      <c r="I645" s="12"/>
      <c r="M645" s="12"/>
      <c r="N645" s="18"/>
      <c r="O645" s="12"/>
      <c r="P645" s="12"/>
      <c r="Q645" s="12"/>
      <c r="R645" s="36"/>
      <c r="S645" s="36"/>
      <c r="T645" s="12"/>
      <c r="U645" s="12"/>
      <c r="V645" s="12"/>
      <c r="W645" s="12"/>
      <c r="X645" s="12"/>
    </row>
    <row r="646" customFormat="false" ht="15.75" hidden="false" customHeight="false" outlineLevel="0" collapsed="false">
      <c r="A646" s="12"/>
      <c r="B646" s="34"/>
      <c r="C646" s="12"/>
      <c r="D646" s="12"/>
      <c r="E646" s="12"/>
      <c r="F646" s="12"/>
      <c r="G646" s="18"/>
      <c r="H646" s="35"/>
      <c r="I646" s="12"/>
      <c r="M646" s="12"/>
      <c r="N646" s="18"/>
      <c r="O646" s="12"/>
      <c r="P646" s="12"/>
      <c r="Q646" s="12"/>
      <c r="R646" s="36"/>
      <c r="S646" s="36"/>
      <c r="T646" s="12"/>
      <c r="U646" s="12"/>
      <c r="V646" s="12"/>
      <c r="W646" s="12"/>
      <c r="X646" s="12"/>
    </row>
    <row r="647" customFormat="false" ht="15.75" hidden="false" customHeight="false" outlineLevel="0" collapsed="false">
      <c r="A647" s="12"/>
      <c r="B647" s="34"/>
      <c r="C647" s="12"/>
      <c r="D647" s="12"/>
      <c r="E647" s="12"/>
      <c r="F647" s="12"/>
      <c r="G647" s="18"/>
      <c r="H647" s="35"/>
      <c r="I647" s="12"/>
      <c r="M647" s="12"/>
      <c r="N647" s="18"/>
      <c r="O647" s="12"/>
      <c r="P647" s="12"/>
      <c r="Q647" s="12"/>
      <c r="R647" s="36"/>
      <c r="S647" s="36"/>
      <c r="T647" s="12"/>
      <c r="U647" s="12"/>
      <c r="V647" s="12"/>
      <c r="W647" s="12"/>
      <c r="X647" s="12"/>
    </row>
    <row r="648" customFormat="false" ht="15.75" hidden="false" customHeight="false" outlineLevel="0" collapsed="false">
      <c r="A648" s="12"/>
      <c r="B648" s="34"/>
      <c r="C648" s="12"/>
      <c r="D648" s="12"/>
      <c r="E648" s="12"/>
      <c r="F648" s="12"/>
      <c r="G648" s="18"/>
      <c r="H648" s="35"/>
      <c r="I648" s="12"/>
      <c r="M648" s="12"/>
      <c r="N648" s="18"/>
      <c r="O648" s="12"/>
      <c r="P648" s="12"/>
      <c r="Q648" s="12"/>
      <c r="R648" s="36"/>
      <c r="S648" s="36"/>
      <c r="T648" s="12"/>
      <c r="U648" s="12"/>
      <c r="V648" s="12"/>
      <c r="W648" s="12"/>
      <c r="X648" s="12"/>
    </row>
    <row r="649" customFormat="false" ht="15.75" hidden="false" customHeight="false" outlineLevel="0" collapsed="false">
      <c r="A649" s="12"/>
      <c r="B649" s="34"/>
      <c r="C649" s="12"/>
      <c r="D649" s="12"/>
      <c r="E649" s="12"/>
      <c r="F649" s="12"/>
      <c r="G649" s="18"/>
      <c r="H649" s="35"/>
      <c r="I649" s="12"/>
      <c r="M649" s="12"/>
      <c r="N649" s="18"/>
      <c r="O649" s="12"/>
      <c r="P649" s="12"/>
      <c r="Q649" s="12"/>
      <c r="R649" s="36"/>
      <c r="S649" s="36"/>
      <c r="T649" s="12"/>
      <c r="U649" s="12"/>
      <c r="V649" s="12"/>
      <c r="W649" s="12"/>
      <c r="X649" s="12"/>
    </row>
    <row r="650" customFormat="false" ht="15.75" hidden="false" customHeight="false" outlineLevel="0" collapsed="false">
      <c r="A650" s="12"/>
      <c r="B650" s="34"/>
      <c r="C650" s="12"/>
      <c r="D650" s="12"/>
      <c r="E650" s="12"/>
      <c r="F650" s="12"/>
      <c r="G650" s="18"/>
      <c r="H650" s="35"/>
      <c r="I650" s="12"/>
      <c r="M650" s="12"/>
      <c r="N650" s="18"/>
      <c r="O650" s="12"/>
      <c r="P650" s="12"/>
      <c r="Q650" s="12"/>
      <c r="R650" s="36"/>
      <c r="S650" s="36"/>
      <c r="T650" s="12"/>
      <c r="U650" s="12"/>
      <c r="V650" s="12"/>
      <c r="W650" s="12"/>
      <c r="X650" s="12"/>
    </row>
    <row r="651" customFormat="false" ht="15.75" hidden="false" customHeight="false" outlineLevel="0" collapsed="false">
      <c r="A651" s="12"/>
      <c r="B651" s="34"/>
      <c r="C651" s="12"/>
      <c r="D651" s="12"/>
      <c r="E651" s="12"/>
      <c r="F651" s="12"/>
      <c r="G651" s="18"/>
      <c r="H651" s="35"/>
      <c r="I651" s="12"/>
      <c r="M651" s="12"/>
      <c r="N651" s="18"/>
      <c r="O651" s="12"/>
      <c r="P651" s="12"/>
      <c r="Q651" s="12"/>
      <c r="R651" s="36"/>
      <c r="S651" s="36"/>
      <c r="T651" s="12"/>
      <c r="U651" s="12"/>
      <c r="V651" s="12"/>
      <c r="W651" s="12"/>
      <c r="X651" s="12"/>
    </row>
    <row r="652" customFormat="false" ht="15.75" hidden="false" customHeight="false" outlineLevel="0" collapsed="false">
      <c r="A652" s="12"/>
      <c r="B652" s="34"/>
      <c r="C652" s="12"/>
      <c r="D652" s="12"/>
      <c r="E652" s="12"/>
      <c r="F652" s="12"/>
      <c r="G652" s="18"/>
      <c r="H652" s="35"/>
      <c r="I652" s="12"/>
      <c r="M652" s="12"/>
      <c r="N652" s="18"/>
      <c r="O652" s="12"/>
      <c r="P652" s="12"/>
      <c r="Q652" s="12"/>
      <c r="R652" s="36"/>
      <c r="S652" s="36"/>
      <c r="T652" s="12"/>
      <c r="U652" s="12"/>
      <c r="V652" s="12"/>
      <c r="W652" s="12"/>
      <c r="X652" s="12"/>
    </row>
    <row r="653" customFormat="false" ht="15.75" hidden="false" customHeight="false" outlineLevel="0" collapsed="false">
      <c r="A653" s="12"/>
      <c r="B653" s="34"/>
      <c r="C653" s="12"/>
      <c r="D653" s="12"/>
      <c r="E653" s="12"/>
      <c r="F653" s="12"/>
      <c r="G653" s="18"/>
      <c r="H653" s="35"/>
      <c r="I653" s="12"/>
      <c r="M653" s="12"/>
      <c r="N653" s="18"/>
      <c r="O653" s="12"/>
      <c r="P653" s="12"/>
      <c r="Q653" s="12"/>
      <c r="R653" s="36"/>
      <c r="S653" s="36"/>
      <c r="T653" s="12"/>
      <c r="U653" s="12"/>
      <c r="V653" s="12"/>
      <c r="W653" s="12"/>
      <c r="X653" s="12"/>
    </row>
    <row r="654" customFormat="false" ht="15.75" hidden="false" customHeight="false" outlineLevel="0" collapsed="false">
      <c r="A654" s="12"/>
      <c r="B654" s="34"/>
      <c r="C654" s="12"/>
      <c r="D654" s="12"/>
      <c r="E654" s="12"/>
      <c r="F654" s="12"/>
      <c r="G654" s="18"/>
      <c r="H654" s="35"/>
      <c r="I654" s="12"/>
      <c r="M654" s="12"/>
      <c r="N654" s="18"/>
      <c r="O654" s="12"/>
      <c r="P654" s="12"/>
      <c r="Q654" s="12"/>
      <c r="R654" s="36"/>
      <c r="S654" s="36"/>
      <c r="T654" s="12"/>
      <c r="U654" s="12"/>
      <c r="V654" s="12"/>
      <c r="W654" s="12"/>
      <c r="X654" s="12"/>
    </row>
    <row r="655" customFormat="false" ht="15.75" hidden="false" customHeight="false" outlineLevel="0" collapsed="false">
      <c r="A655" s="12"/>
      <c r="B655" s="34"/>
      <c r="C655" s="12"/>
      <c r="D655" s="12"/>
      <c r="E655" s="12"/>
      <c r="F655" s="12"/>
      <c r="G655" s="18"/>
      <c r="H655" s="35"/>
      <c r="I655" s="12"/>
      <c r="M655" s="12"/>
      <c r="N655" s="18"/>
      <c r="O655" s="12"/>
      <c r="P655" s="12"/>
      <c r="Q655" s="12"/>
      <c r="R655" s="36"/>
      <c r="S655" s="36"/>
      <c r="T655" s="12"/>
      <c r="U655" s="12"/>
      <c r="V655" s="12"/>
      <c r="W655" s="12"/>
      <c r="X655" s="12"/>
    </row>
    <row r="656" customFormat="false" ht="15.75" hidden="false" customHeight="false" outlineLevel="0" collapsed="false">
      <c r="A656" s="12"/>
      <c r="B656" s="34"/>
      <c r="C656" s="12"/>
      <c r="D656" s="12"/>
      <c r="E656" s="12"/>
      <c r="F656" s="12"/>
      <c r="G656" s="18"/>
      <c r="H656" s="35"/>
      <c r="I656" s="12"/>
      <c r="M656" s="12"/>
      <c r="N656" s="18"/>
      <c r="O656" s="12"/>
      <c r="P656" s="12"/>
      <c r="Q656" s="12"/>
      <c r="R656" s="36"/>
      <c r="S656" s="36"/>
      <c r="T656" s="12"/>
      <c r="U656" s="12"/>
      <c r="V656" s="12"/>
      <c r="W656" s="12"/>
      <c r="X656" s="12"/>
    </row>
    <row r="657" customFormat="false" ht="15.75" hidden="false" customHeight="false" outlineLevel="0" collapsed="false">
      <c r="A657" s="12"/>
      <c r="B657" s="34"/>
      <c r="C657" s="12"/>
      <c r="D657" s="12"/>
      <c r="E657" s="12"/>
      <c r="F657" s="12"/>
      <c r="G657" s="18"/>
      <c r="H657" s="35"/>
      <c r="I657" s="12"/>
      <c r="M657" s="12"/>
      <c r="N657" s="18"/>
      <c r="O657" s="12"/>
      <c r="P657" s="12"/>
      <c r="Q657" s="12"/>
      <c r="R657" s="36"/>
      <c r="S657" s="36"/>
      <c r="T657" s="12"/>
      <c r="U657" s="12"/>
      <c r="V657" s="12"/>
      <c r="W657" s="12"/>
      <c r="X657" s="12"/>
    </row>
    <row r="658" customFormat="false" ht="15.75" hidden="false" customHeight="false" outlineLevel="0" collapsed="false">
      <c r="A658" s="12"/>
      <c r="B658" s="34"/>
      <c r="C658" s="12"/>
      <c r="D658" s="12"/>
      <c r="E658" s="12"/>
      <c r="F658" s="12"/>
      <c r="G658" s="18"/>
      <c r="H658" s="35"/>
      <c r="I658" s="12"/>
      <c r="M658" s="12"/>
      <c r="N658" s="18"/>
      <c r="O658" s="12"/>
      <c r="P658" s="12"/>
      <c r="Q658" s="12"/>
      <c r="R658" s="36"/>
      <c r="S658" s="36"/>
      <c r="T658" s="12"/>
      <c r="U658" s="12"/>
      <c r="V658" s="12"/>
      <c r="W658" s="12"/>
      <c r="X658" s="12"/>
    </row>
    <row r="659" customFormat="false" ht="15.75" hidden="false" customHeight="false" outlineLevel="0" collapsed="false">
      <c r="A659" s="12"/>
      <c r="B659" s="34"/>
      <c r="C659" s="12"/>
      <c r="D659" s="12"/>
      <c r="E659" s="12"/>
      <c r="F659" s="12"/>
      <c r="G659" s="18"/>
      <c r="H659" s="35"/>
      <c r="I659" s="12"/>
      <c r="M659" s="12"/>
      <c r="N659" s="18"/>
      <c r="O659" s="12"/>
      <c r="P659" s="12"/>
      <c r="Q659" s="12"/>
      <c r="R659" s="36"/>
      <c r="S659" s="36"/>
      <c r="T659" s="12"/>
      <c r="U659" s="12"/>
      <c r="V659" s="12"/>
      <c r="W659" s="12"/>
      <c r="X659" s="12"/>
    </row>
    <row r="660" customFormat="false" ht="15.75" hidden="false" customHeight="false" outlineLevel="0" collapsed="false">
      <c r="A660" s="12"/>
      <c r="B660" s="34"/>
      <c r="C660" s="12"/>
      <c r="D660" s="12"/>
      <c r="E660" s="12"/>
      <c r="F660" s="12"/>
      <c r="G660" s="18"/>
      <c r="H660" s="35"/>
      <c r="I660" s="12"/>
      <c r="M660" s="12"/>
      <c r="N660" s="18"/>
      <c r="O660" s="12"/>
      <c r="P660" s="12"/>
      <c r="Q660" s="12"/>
      <c r="R660" s="36"/>
      <c r="S660" s="36"/>
      <c r="T660" s="12"/>
      <c r="U660" s="12"/>
      <c r="V660" s="12"/>
      <c r="W660" s="12"/>
      <c r="X660" s="12"/>
    </row>
    <row r="661" customFormat="false" ht="15.75" hidden="false" customHeight="false" outlineLevel="0" collapsed="false">
      <c r="A661" s="12"/>
      <c r="B661" s="34"/>
      <c r="C661" s="12"/>
      <c r="D661" s="12"/>
      <c r="E661" s="12"/>
      <c r="F661" s="12"/>
      <c r="G661" s="18"/>
      <c r="H661" s="35"/>
      <c r="I661" s="12"/>
      <c r="M661" s="12"/>
      <c r="N661" s="18"/>
      <c r="O661" s="12"/>
      <c r="P661" s="12"/>
      <c r="Q661" s="12"/>
      <c r="R661" s="36"/>
      <c r="S661" s="36"/>
      <c r="T661" s="12"/>
      <c r="U661" s="12"/>
      <c r="V661" s="12"/>
      <c r="W661" s="12"/>
      <c r="X661" s="12"/>
    </row>
    <row r="662" customFormat="false" ht="15.75" hidden="false" customHeight="false" outlineLevel="0" collapsed="false">
      <c r="A662" s="12"/>
      <c r="B662" s="34"/>
      <c r="C662" s="12"/>
      <c r="D662" s="12"/>
      <c r="E662" s="12"/>
      <c r="F662" s="12"/>
      <c r="G662" s="18"/>
      <c r="H662" s="35"/>
      <c r="I662" s="12"/>
      <c r="M662" s="12"/>
      <c r="N662" s="18"/>
      <c r="O662" s="12"/>
      <c r="P662" s="12"/>
      <c r="Q662" s="12"/>
      <c r="R662" s="36"/>
      <c r="S662" s="36"/>
      <c r="T662" s="12"/>
      <c r="U662" s="12"/>
      <c r="V662" s="12"/>
      <c r="W662" s="12"/>
      <c r="X662" s="12"/>
    </row>
    <row r="663" customFormat="false" ht="15.75" hidden="false" customHeight="false" outlineLevel="0" collapsed="false">
      <c r="A663" s="12"/>
      <c r="B663" s="34"/>
      <c r="C663" s="12"/>
      <c r="D663" s="12"/>
      <c r="E663" s="12"/>
      <c r="F663" s="12"/>
      <c r="G663" s="18"/>
      <c r="H663" s="35"/>
      <c r="I663" s="12"/>
      <c r="M663" s="12"/>
      <c r="N663" s="18"/>
      <c r="O663" s="12"/>
      <c r="P663" s="12"/>
      <c r="Q663" s="12"/>
      <c r="R663" s="36"/>
      <c r="S663" s="36"/>
      <c r="T663" s="12"/>
      <c r="U663" s="12"/>
      <c r="V663" s="12"/>
      <c r="W663" s="12"/>
      <c r="X663" s="12"/>
    </row>
    <row r="664" customFormat="false" ht="15.75" hidden="false" customHeight="false" outlineLevel="0" collapsed="false">
      <c r="A664" s="12"/>
      <c r="B664" s="34"/>
      <c r="C664" s="12"/>
      <c r="D664" s="12"/>
      <c r="E664" s="12"/>
      <c r="F664" s="12"/>
      <c r="G664" s="18"/>
      <c r="H664" s="35"/>
      <c r="I664" s="12"/>
      <c r="M664" s="12"/>
      <c r="N664" s="18"/>
      <c r="O664" s="12"/>
      <c r="P664" s="12"/>
      <c r="Q664" s="12"/>
      <c r="R664" s="36"/>
      <c r="S664" s="36"/>
      <c r="T664" s="12"/>
      <c r="U664" s="12"/>
      <c r="V664" s="12"/>
      <c r="W664" s="12"/>
      <c r="X664" s="12"/>
    </row>
    <row r="665" customFormat="false" ht="15.75" hidden="false" customHeight="false" outlineLevel="0" collapsed="false">
      <c r="A665" s="12"/>
      <c r="B665" s="34"/>
      <c r="C665" s="12"/>
      <c r="D665" s="12"/>
      <c r="E665" s="12"/>
      <c r="F665" s="12"/>
      <c r="G665" s="18"/>
      <c r="H665" s="35"/>
      <c r="I665" s="12"/>
      <c r="M665" s="12"/>
      <c r="N665" s="18"/>
      <c r="O665" s="12"/>
      <c r="P665" s="12"/>
      <c r="Q665" s="12"/>
      <c r="R665" s="36"/>
      <c r="S665" s="36"/>
      <c r="T665" s="12"/>
      <c r="U665" s="12"/>
      <c r="V665" s="12"/>
      <c r="W665" s="12"/>
      <c r="X665" s="12"/>
    </row>
    <row r="666" customFormat="false" ht="15.75" hidden="false" customHeight="false" outlineLevel="0" collapsed="false">
      <c r="A666" s="12"/>
      <c r="B666" s="34"/>
      <c r="C666" s="12"/>
      <c r="D666" s="12"/>
      <c r="E666" s="12"/>
      <c r="F666" s="12"/>
      <c r="G666" s="18"/>
      <c r="H666" s="35"/>
      <c r="I666" s="12"/>
      <c r="M666" s="12"/>
      <c r="N666" s="18"/>
      <c r="O666" s="12"/>
      <c r="P666" s="12"/>
      <c r="Q666" s="12"/>
      <c r="R666" s="36"/>
      <c r="S666" s="36"/>
      <c r="T666" s="12"/>
      <c r="U666" s="12"/>
      <c r="V666" s="12"/>
      <c r="W666" s="12"/>
      <c r="X666" s="12"/>
    </row>
    <row r="667" customFormat="false" ht="15.75" hidden="false" customHeight="false" outlineLevel="0" collapsed="false">
      <c r="A667" s="12"/>
      <c r="B667" s="34"/>
      <c r="C667" s="12"/>
      <c r="D667" s="12"/>
      <c r="E667" s="12"/>
      <c r="F667" s="12"/>
      <c r="G667" s="18"/>
      <c r="H667" s="35"/>
      <c r="I667" s="12"/>
      <c r="M667" s="12"/>
      <c r="N667" s="18"/>
      <c r="O667" s="12"/>
      <c r="P667" s="12"/>
      <c r="Q667" s="12"/>
      <c r="R667" s="36"/>
      <c r="S667" s="36"/>
      <c r="T667" s="12"/>
      <c r="U667" s="12"/>
      <c r="V667" s="12"/>
      <c r="W667" s="12"/>
      <c r="X667" s="12"/>
    </row>
    <row r="668" customFormat="false" ht="15.75" hidden="false" customHeight="false" outlineLevel="0" collapsed="false">
      <c r="A668" s="12"/>
      <c r="B668" s="34"/>
      <c r="C668" s="12"/>
      <c r="D668" s="12"/>
      <c r="E668" s="12"/>
      <c r="F668" s="12"/>
      <c r="G668" s="18"/>
      <c r="H668" s="35"/>
      <c r="I668" s="12"/>
      <c r="M668" s="12"/>
      <c r="N668" s="18"/>
      <c r="O668" s="12"/>
      <c r="P668" s="12"/>
      <c r="Q668" s="12"/>
      <c r="R668" s="36"/>
      <c r="S668" s="36"/>
      <c r="T668" s="12"/>
      <c r="U668" s="12"/>
      <c r="V668" s="12"/>
      <c r="W668" s="12"/>
      <c r="X668" s="12"/>
    </row>
    <row r="669" customFormat="false" ht="15.75" hidden="false" customHeight="false" outlineLevel="0" collapsed="false">
      <c r="A669" s="12"/>
      <c r="B669" s="34"/>
      <c r="C669" s="12"/>
      <c r="D669" s="12"/>
      <c r="E669" s="12"/>
      <c r="F669" s="12"/>
      <c r="G669" s="18"/>
      <c r="H669" s="35"/>
      <c r="I669" s="12"/>
      <c r="M669" s="12"/>
      <c r="N669" s="18"/>
      <c r="O669" s="12"/>
      <c r="P669" s="12"/>
      <c r="Q669" s="12"/>
      <c r="R669" s="36"/>
      <c r="S669" s="36"/>
      <c r="T669" s="12"/>
      <c r="U669" s="12"/>
      <c r="V669" s="12"/>
      <c r="W669" s="12"/>
      <c r="X669" s="12"/>
    </row>
    <row r="670" customFormat="false" ht="15.75" hidden="false" customHeight="false" outlineLevel="0" collapsed="false">
      <c r="A670" s="12"/>
      <c r="B670" s="34"/>
      <c r="C670" s="12"/>
      <c r="D670" s="12"/>
      <c r="E670" s="12"/>
      <c r="F670" s="12"/>
      <c r="G670" s="18"/>
      <c r="H670" s="35"/>
      <c r="I670" s="12"/>
      <c r="M670" s="12"/>
      <c r="N670" s="18"/>
      <c r="O670" s="12"/>
      <c r="P670" s="12"/>
      <c r="Q670" s="12"/>
      <c r="R670" s="36"/>
      <c r="S670" s="36"/>
      <c r="T670" s="12"/>
      <c r="U670" s="12"/>
      <c r="V670" s="12"/>
      <c r="W670" s="12"/>
      <c r="X670" s="12"/>
    </row>
    <row r="671" customFormat="false" ht="15.75" hidden="false" customHeight="false" outlineLevel="0" collapsed="false">
      <c r="A671" s="12"/>
      <c r="B671" s="34"/>
      <c r="C671" s="12"/>
      <c r="D671" s="12"/>
      <c r="E671" s="12"/>
      <c r="F671" s="12"/>
      <c r="G671" s="18"/>
      <c r="H671" s="35"/>
      <c r="I671" s="12"/>
      <c r="M671" s="12"/>
      <c r="N671" s="18"/>
      <c r="O671" s="12"/>
      <c r="P671" s="12"/>
      <c r="Q671" s="12"/>
      <c r="R671" s="36"/>
      <c r="S671" s="36"/>
      <c r="T671" s="12"/>
      <c r="U671" s="12"/>
      <c r="V671" s="12"/>
      <c r="W671" s="12"/>
      <c r="X671" s="12"/>
    </row>
    <row r="672" customFormat="false" ht="15.75" hidden="false" customHeight="false" outlineLevel="0" collapsed="false">
      <c r="A672" s="12"/>
      <c r="B672" s="34"/>
      <c r="C672" s="12"/>
      <c r="D672" s="12"/>
      <c r="E672" s="12"/>
      <c r="F672" s="12"/>
      <c r="G672" s="18"/>
      <c r="H672" s="35"/>
      <c r="I672" s="12"/>
      <c r="M672" s="12"/>
      <c r="N672" s="18"/>
      <c r="O672" s="12"/>
      <c r="P672" s="12"/>
      <c r="Q672" s="12"/>
      <c r="R672" s="36"/>
      <c r="S672" s="36"/>
      <c r="T672" s="12"/>
      <c r="U672" s="12"/>
      <c r="V672" s="12"/>
      <c r="W672" s="12"/>
      <c r="X672" s="12"/>
    </row>
    <row r="673" customFormat="false" ht="15.75" hidden="false" customHeight="false" outlineLevel="0" collapsed="false">
      <c r="A673" s="12"/>
      <c r="B673" s="34"/>
      <c r="C673" s="12"/>
      <c r="D673" s="12"/>
      <c r="E673" s="12"/>
      <c r="F673" s="12"/>
      <c r="G673" s="18"/>
      <c r="H673" s="35"/>
      <c r="I673" s="12"/>
      <c r="M673" s="12"/>
      <c r="N673" s="18"/>
      <c r="O673" s="12"/>
      <c r="P673" s="12"/>
      <c r="Q673" s="12"/>
      <c r="R673" s="36"/>
      <c r="S673" s="36"/>
      <c r="T673" s="12"/>
      <c r="U673" s="12"/>
      <c r="V673" s="12"/>
      <c r="W673" s="12"/>
      <c r="X673" s="12"/>
    </row>
    <row r="674" customFormat="false" ht="15.75" hidden="false" customHeight="false" outlineLevel="0" collapsed="false">
      <c r="A674" s="12"/>
      <c r="B674" s="34"/>
      <c r="C674" s="12"/>
      <c r="D674" s="12"/>
      <c r="E674" s="12"/>
      <c r="F674" s="12"/>
      <c r="G674" s="18"/>
      <c r="H674" s="35"/>
      <c r="I674" s="12"/>
      <c r="M674" s="12"/>
      <c r="N674" s="18"/>
      <c r="O674" s="12"/>
      <c r="P674" s="12"/>
      <c r="Q674" s="12"/>
      <c r="R674" s="36"/>
      <c r="S674" s="36"/>
      <c r="T674" s="12"/>
      <c r="U674" s="12"/>
      <c r="V674" s="12"/>
      <c r="W674" s="12"/>
      <c r="X674" s="12"/>
    </row>
    <row r="675" customFormat="false" ht="15.75" hidden="false" customHeight="false" outlineLevel="0" collapsed="false">
      <c r="A675" s="12"/>
      <c r="B675" s="34"/>
      <c r="C675" s="12"/>
      <c r="D675" s="12"/>
      <c r="E675" s="12"/>
      <c r="F675" s="12"/>
      <c r="G675" s="18"/>
      <c r="H675" s="35"/>
      <c r="I675" s="12"/>
      <c r="M675" s="12"/>
      <c r="N675" s="18"/>
      <c r="O675" s="12"/>
      <c r="P675" s="12"/>
      <c r="Q675" s="12"/>
      <c r="R675" s="36"/>
      <c r="S675" s="36"/>
      <c r="T675" s="12"/>
      <c r="U675" s="12"/>
      <c r="V675" s="12"/>
      <c r="W675" s="12"/>
      <c r="X675" s="12"/>
    </row>
    <row r="676" customFormat="false" ht="15.75" hidden="false" customHeight="false" outlineLevel="0" collapsed="false">
      <c r="A676" s="12"/>
      <c r="B676" s="34"/>
      <c r="C676" s="12"/>
      <c r="D676" s="12"/>
      <c r="E676" s="12"/>
      <c r="F676" s="12"/>
      <c r="G676" s="18"/>
      <c r="H676" s="35"/>
      <c r="I676" s="12"/>
      <c r="M676" s="12"/>
      <c r="N676" s="18"/>
      <c r="O676" s="12"/>
      <c r="P676" s="12"/>
      <c r="Q676" s="12"/>
      <c r="R676" s="36"/>
      <c r="S676" s="36"/>
      <c r="T676" s="12"/>
      <c r="U676" s="12"/>
      <c r="V676" s="12"/>
      <c r="W676" s="12"/>
      <c r="X676" s="12"/>
    </row>
    <row r="677" customFormat="false" ht="15.75" hidden="false" customHeight="false" outlineLevel="0" collapsed="false">
      <c r="A677" s="12"/>
      <c r="B677" s="34"/>
      <c r="C677" s="12"/>
      <c r="D677" s="12"/>
      <c r="E677" s="12"/>
      <c r="F677" s="12"/>
      <c r="G677" s="18"/>
      <c r="H677" s="35"/>
      <c r="I677" s="12"/>
      <c r="M677" s="12"/>
      <c r="N677" s="18"/>
      <c r="O677" s="12"/>
      <c r="P677" s="12"/>
      <c r="Q677" s="12"/>
      <c r="R677" s="36"/>
      <c r="S677" s="36"/>
      <c r="T677" s="12"/>
      <c r="U677" s="12"/>
      <c r="V677" s="12"/>
      <c r="W677" s="12"/>
      <c r="X677" s="12"/>
    </row>
    <row r="678" customFormat="false" ht="15.75" hidden="false" customHeight="false" outlineLevel="0" collapsed="false">
      <c r="A678" s="12"/>
      <c r="B678" s="34"/>
      <c r="C678" s="12"/>
      <c r="D678" s="12"/>
      <c r="E678" s="12"/>
      <c r="F678" s="12"/>
      <c r="G678" s="18"/>
      <c r="H678" s="35"/>
      <c r="I678" s="12"/>
      <c r="M678" s="12"/>
      <c r="N678" s="18"/>
      <c r="O678" s="12"/>
      <c r="P678" s="12"/>
      <c r="Q678" s="12"/>
      <c r="R678" s="36"/>
      <c r="S678" s="36"/>
      <c r="T678" s="12"/>
      <c r="U678" s="12"/>
      <c r="V678" s="12"/>
      <c r="W678" s="12"/>
      <c r="X678" s="12"/>
    </row>
    <row r="679" customFormat="false" ht="15.75" hidden="false" customHeight="false" outlineLevel="0" collapsed="false">
      <c r="A679" s="12"/>
      <c r="B679" s="34"/>
      <c r="C679" s="12"/>
      <c r="D679" s="12"/>
      <c r="E679" s="12"/>
      <c r="F679" s="12"/>
      <c r="G679" s="18"/>
      <c r="H679" s="35"/>
      <c r="I679" s="12"/>
      <c r="M679" s="12"/>
      <c r="N679" s="18"/>
      <c r="O679" s="12"/>
      <c r="P679" s="12"/>
      <c r="Q679" s="12"/>
      <c r="R679" s="36"/>
      <c r="S679" s="36"/>
      <c r="T679" s="12"/>
      <c r="U679" s="12"/>
      <c r="V679" s="12"/>
      <c r="W679" s="12"/>
      <c r="X679" s="12"/>
    </row>
    <row r="680" customFormat="false" ht="15.75" hidden="false" customHeight="false" outlineLevel="0" collapsed="false">
      <c r="A680" s="12"/>
      <c r="B680" s="34"/>
      <c r="C680" s="12"/>
      <c r="D680" s="12"/>
      <c r="E680" s="12"/>
      <c r="F680" s="12"/>
      <c r="G680" s="18"/>
      <c r="H680" s="35"/>
      <c r="I680" s="12"/>
      <c r="M680" s="12"/>
      <c r="N680" s="18"/>
      <c r="O680" s="12"/>
      <c r="P680" s="12"/>
      <c r="Q680" s="12"/>
      <c r="R680" s="36"/>
      <c r="S680" s="36"/>
      <c r="T680" s="12"/>
      <c r="U680" s="12"/>
      <c r="V680" s="12"/>
      <c r="W680" s="12"/>
      <c r="X680" s="12"/>
    </row>
    <row r="681" customFormat="false" ht="15.75" hidden="false" customHeight="false" outlineLevel="0" collapsed="false">
      <c r="A681" s="12"/>
      <c r="B681" s="34"/>
      <c r="C681" s="12"/>
      <c r="D681" s="12"/>
      <c r="E681" s="12"/>
      <c r="F681" s="12"/>
      <c r="G681" s="18"/>
      <c r="H681" s="35"/>
      <c r="I681" s="12"/>
      <c r="M681" s="12"/>
      <c r="N681" s="18"/>
      <c r="O681" s="12"/>
      <c r="P681" s="12"/>
      <c r="Q681" s="12"/>
      <c r="R681" s="36"/>
      <c r="S681" s="36"/>
      <c r="T681" s="12"/>
      <c r="U681" s="12"/>
      <c r="V681" s="12"/>
      <c r="W681" s="12"/>
      <c r="X681" s="12"/>
    </row>
    <row r="682" customFormat="false" ht="15.75" hidden="false" customHeight="false" outlineLevel="0" collapsed="false">
      <c r="A682" s="12"/>
      <c r="B682" s="34"/>
      <c r="C682" s="12"/>
      <c r="D682" s="12"/>
      <c r="E682" s="12"/>
      <c r="F682" s="12"/>
      <c r="G682" s="18"/>
      <c r="H682" s="35"/>
      <c r="I682" s="12"/>
      <c r="M682" s="12"/>
      <c r="N682" s="18"/>
      <c r="O682" s="12"/>
      <c r="P682" s="12"/>
      <c r="Q682" s="12"/>
      <c r="R682" s="36"/>
      <c r="S682" s="36"/>
      <c r="T682" s="12"/>
      <c r="U682" s="12"/>
      <c r="V682" s="12"/>
      <c r="W682" s="12"/>
      <c r="X682" s="12"/>
    </row>
    <row r="683" customFormat="false" ht="15.75" hidden="false" customHeight="false" outlineLevel="0" collapsed="false">
      <c r="A683" s="12"/>
      <c r="B683" s="34"/>
      <c r="C683" s="12"/>
      <c r="D683" s="12"/>
      <c r="E683" s="12"/>
      <c r="F683" s="12"/>
      <c r="G683" s="18"/>
      <c r="H683" s="35"/>
      <c r="I683" s="12"/>
      <c r="M683" s="12"/>
      <c r="N683" s="18"/>
      <c r="O683" s="12"/>
      <c r="P683" s="12"/>
      <c r="Q683" s="12"/>
      <c r="R683" s="36"/>
      <c r="S683" s="36"/>
      <c r="T683" s="12"/>
      <c r="U683" s="12"/>
      <c r="V683" s="12"/>
      <c r="W683" s="12"/>
      <c r="X683" s="12"/>
    </row>
    <row r="684" customFormat="false" ht="15.75" hidden="false" customHeight="false" outlineLevel="0" collapsed="false">
      <c r="A684" s="12"/>
      <c r="B684" s="34"/>
      <c r="C684" s="12"/>
      <c r="D684" s="12"/>
      <c r="E684" s="12"/>
      <c r="F684" s="12"/>
      <c r="G684" s="18"/>
      <c r="H684" s="35"/>
      <c r="I684" s="12"/>
      <c r="M684" s="12"/>
      <c r="N684" s="18"/>
      <c r="O684" s="12"/>
      <c r="P684" s="12"/>
      <c r="Q684" s="12"/>
      <c r="R684" s="36"/>
      <c r="S684" s="36"/>
      <c r="T684" s="12"/>
      <c r="U684" s="12"/>
      <c r="V684" s="12"/>
      <c r="W684" s="12"/>
      <c r="X684" s="12"/>
    </row>
    <row r="685" customFormat="false" ht="15.75" hidden="false" customHeight="false" outlineLevel="0" collapsed="false">
      <c r="A685" s="12"/>
      <c r="B685" s="34"/>
      <c r="C685" s="12"/>
      <c r="D685" s="12"/>
      <c r="E685" s="12"/>
      <c r="F685" s="12"/>
      <c r="G685" s="18"/>
      <c r="H685" s="35"/>
      <c r="I685" s="12"/>
      <c r="M685" s="12"/>
      <c r="N685" s="18"/>
      <c r="O685" s="12"/>
      <c r="P685" s="12"/>
      <c r="Q685" s="12"/>
      <c r="R685" s="36"/>
      <c r="S685" s="36"/>
      <c r="T685" s="12"/>
      <c r="U685" s="12"/>
      <c r="V685" s="12"/>
      <c r="W685" s="12"/>
      <c r="X685" s="12"/>
    </row>
    <row r="686" customFormat="false" ht="15.75" hidden="false" customHeight="false" outlineLevel="0" collapsed="false">
      <c r="A686" s="12"/>
      <c r="B686" s="34"/>
      <c r="C686" s="12"/>
      <c r="D686" s="12"/>
      <c r="E686" s="12"/>
      <c r="F686" s="12"/>
      <c r="G686" s="18"/>
      <c r="H686" s="35"/>
      <c r="I686" s="12"/>
      <c r="M686" s="12"/>
      <c r="N686" s="18"/>
      <c r="O686" s="12"/>
      <c r="P686" s="12"/>
      <c r="Q686" s="12"/>
      <c r="R686" s="36"/>
      <c r="S686" s="36"/>
      <c r="T686" s="12"/>
      <c r="U686" s="12"/>
      <c r="V686" s="12"/>
      <c r="W686" s="12"/>
      <c r="X686" s="12"/>
    </row>
    <row r="687" customFormat="false" ht="15.75" hidden="false" customHeight="false" outlineLevel="0" collapsed="false">
      <c r="A687" s="12"/>
      <c r="B687" s="34"/>
      <c r="C687" s="12"/>
      <c r="D687" s="12"/>
      <c r="E687" s="12"/>
      <c r="F687" s="12"/>
      <c r="G687" s="18"/>
      <c r="H687" s="35"/>
      <c r="I687" s="12"/>
      <c r="M687" s="12"/>
      <c r="N687" s="18"/>
      <c r="O687" s="12"/>
      <c r="P687" s="12"/>
      <c r="Q687" s="12"/>
      <c r="R687" s="36"/>
      <c r="S687" s="36"/>
      <c r="T687" s="12"/>
      <c r="U687" s="12"/>
      <c r="V687" s="12"/>
      <c r="W687" s="12"/>
      <c r="X687" s="12"/>
    </row>
    <row r="688" customFormat="false" ht="15.75" hidden="false" customHeight="false" outlineLevel="0" collapsed="false">
      <c r="A688" s="12"/>
      <c r="B688" s="34"/>
      <c r="C688" s="12"/>
      <c r="D688" s="12"/>
      <c r="E688" s="12"/>
      <c r="F688" s="12"/>
      <c r="G688" s="18"/>
      <c r="H688" s="35"/>
      <c r="I688" s="12"/>
      <c r="M688" s="12"/>
      <c r="N688" s="18"/>
      <c r="O688" s="12"/>
      <c r="P688" s="12"/>
      <c r="Q688" s="12"/>
      <c r="R688" s="36"/>
      <c r="S688" s="36"/>
      <c r="T688" s="12"/>
      <c r="U688" s="12"/>
      <c r="V688" s="12"/>
      <c r="W688" s="12"/>
      <c r="X688" s="12"/>
    </row>
    <row r="689" customFormat="false" ht="15.75" hidden="false" customHeight="false" outlineLevel="0" collapsed="false">
      <c r="A689" s="12"/>
      <c r="B689" s="34"/>
      <c r="C689" s="12"/>
      <c r="D689" s="12"/>
      <c r="E689" s="12"/>
      <c r="F689" s="12"/>
      <c r="G689" s="18"/>
      <c r="H689" s="35"/>
      <c r="I689" s="12"/>
      <c r="M689" s="12"/>
      <c r="N689" s="18"/>
      <c r="O689" s="12"/>
      <c r="P689" s="12"/>
      <c r="Q689" s="12"/>
      <c r="R689" s="36"/>
      <c r="S689" s="36"/>
      <c r="T689" s="12"/>
      <c r="U689" s="12"/>
      <c r="V689" s="12"/>
      <c r="W689" s="12"/>
      <c r="X689" s="12"/>
    </row>
    <row r="690" customFormat="false" ht="15.75" hidden="false" customHeight="false" outlineLevel="0" collapsed="false">
      <c r="A690" s="12"/>
      <c r="B690" s="34"/>
      <c r="C690" s="12"/>
      <c r="D690" s="12"/>
      <c r="E690" s="12"/>
      <c r="F690" s="12"/>
      <c r="G690" s="18"/>
      <c r="H690" s="35"/>
      <c r="I690" s="12"/>
      <c r="M690" s="12"/>
      <c r="N690" s="18"/>
      <c r="O690" s="12"/>
      <c r="P690" s="12"/>
      <c r="Q690" s="12"/>
      <c r="R690" s="36"/>
      <c r="S690" s="36"/>
      <c r="T690" s="12"/>
      <c r="U690" s="12"/>
      <c r="V690" s="12"/>
      <c r="W690" s="12"/>
      <c r="X690" s="12"/>
    </row>
    <row r="691" customFormat="false" ht="15.75" hidden="false" customHeight="false" outlineLevel="0" collapsed="false">
      <c r="A691" s="12"/>
      <c r="B691" s="34"/>
      <c r="C691" s="12"/>
      <c r="D691" s="12"/>
      <c r="E691" s="12"/>
      <c r="F691" s="12"/>
      <c r="G691" s="18"/>
      <c r="H691" s="35"/>
      <c r="I691" s="12"/>
      <c r="M691" s="12"/>
      <c r="N691" s="18"/>
      <c r="O691" s="12"/>
      <c r="P691" s="12"/>
      <c r="Q691" s="12"/>
      <c r="R691" s="36"/>
      <c r="S691" s="36"/>
      <c r="T691" s="12"/>
      <c r="U691" s="12"/>
      <c r="V691" s="12"/>
      <c r="W691" s="12"/>
      <c r="X691" s="12"/>
    </row>
    <row r="692" customFormat="false" ht="15.75" hidden="false" customHeight="false" outlineLevel="0" collapsed="false">
      <c r="A692" s="12"/>
      <c r="B692" s="34"/>
      <c r="C692" s="12"/>
      <c r="D692" s="12"/>
      <c r="E692" s="12"/>
      <c r="F692" s="12"/>
      <c r="G692" s="18"/>
      <c r="H692" s="35"/>
      <c r="I692" s="12"/>
      <c r="M692" s="12"/>
      <c r="N692" s="18"/>
      <c r="O692" s="12"/>
      <c r="P692" s="12"/>
      <c r="Q692" s="12"/>
      <c r="R692" s="36"/>
      <c r="S692" s="36"/>
      <c r="T692" s="12"/>
      <c r="U692" s="12"/>
      <c r="V692" s="12"/>
      <c r="W692" s="12"/>
      <c r="X692" s="12"/>
    </row>
    <row r="693" customFormat="false" ht="15.75" hidden="false" customHeight="false" outlineLevel="0" collapsed="false">
      <c r="A693" s="12"/>
      <c r="B693" s="34"/>
      <c r="C693" s="12"/>
      <c r="D693" s="12"/>
      <c r="E693" s="12"/>
      <c r="F693" s="12"/>
      <c r="G693" s="18"/>
      <c r="H693" s="35"/>
      <c r="I693" s="12"/>
      <c r="M693" s="12"/>
      <c r="N693" s="18"/>
      <c r="O693" s="12"/>
      <c r="P693" s="12"/>
      <c r="Q693" s="12"/>
      <c r="R693" s="36"/>
      <c r="S693" s="36"/>
      <c r="T693" s="12"/>
      <c r="U693" s="12"/>
      <c r="V693" s="12"/>
      <c r="W693" s="12"/>
      <c r="X693" s="12"/>
    </row>
    <row r="694" customFormat="false" ht="15.75" hidden="false" customHeight="false" outlineLevel="0" collapsed="false">
      <c r="A694" s="12"/>
      <c r="B694" s="34"/>
      <c r="C694" s="12"/>
      <c r="D694" s="12"/>
      <c r="E694" s="12"/>
      <c r="F694" s="12"/>
      <c r="G694" s="18"/>
      <c r="H694" s="35"/>
      <c r="I694" s="12"/>
      <c r="M694" s="12"/>
      <c r="N694" s="18"/>
      <c r="O694" s="12"/>
      <c r="P694" s="12"/>
      <c r="Q694" s="12"/>
      <c r="R694" s="36"/>
      <c r="S694" s="36"/>
      <c r="T694" s="12"/>
      <c r="U694" s="12"/>
      <c r="V694" s="12"/>
      <c r="W694" s="12"/>
      <c r="X694" s="12"/>
    </row>
    <row r="695" customFormat="false" ht="15.75" hidden="false" customHeight="false" outlineLevel="0" collapsed="false">
      <c r="A695" s="12"/>
      <c r="B695" s="34"/>
      <c r="C695" s="12"/>
      <c r="D695" s="12"/>
      <c r="E695" s="12"/>
      <c r="F695" s="12"/>
      <c r="G695" s="18"/>
      <c r="H695" s="35"/>
      <c r="I695" s="12"/>
      <c r="M695" s="12"/>
      <c r="N695" s="18"/>
      <c r="O695" s="12"/>
      <c r="P695" s="12"/>
      <c r="Q695" s="12"/>
      <c r="R695" s="36"/>
      <c r="S695" s="36"/>
      <c r="T695" s="12"/>
      <c r="U695" s="12"/>
      <c r="V695" s="12"/>
      <c r="W695" s="12"/>
      <c r="X695" s="12"/>
    </row>
    <row r="696" customFormat="false" ht="15.75" hidden="false" customHeight="false" outlineLevel="0" collapsed="false">
      <c r="A696" s="12"/>
      <c r="B696" s="34"/>
      <c r="C696" s="12"/>
      <c r="D696" s="12"/>
      <c r="E696" s="12"/>
      <c r="F696" s="12"/>
      <c r="G696" s="18"/>
      <c r="H696" s="35"/>
      <c r="I696" s="12"/>
      <c r="M696" s="12"/>
      <c r="N696" s="18"/>
      <c r="O696" s="12"/>
      <c r="P696" s="12"/>
      <c r="Q696" s="12"/>
      <c r="R696" s="36"/>
      <c r="S696" s="36"/>
      <c r="T696" s="12"/>
      <c r="U696" s="12"/>
      <c r="V696" s="12"/>
      <c r="W696" s="12"/>
      <c r="X696" s="12"/>
    </row>
    <row r="697" customFormat="false" ht="15.75" hidden="false" customHeight="false" outlineLevel="0" collapsed="false">
      <c r="A697" s="12"/>
      <c r="B697" s="34"/>
      <c r="C697" s="12"/>
      <c r="D697" s="12"/>
      <c r="E697" s="12"/>
      <c r="F697" s="12"/>
      <c r="G697" s="18"/>
      <c r="H697" s="35"/>
      <c r="I697" s="12"/>
      <c r="M697" s="12"/>
      <c r="N697" s="18"/>
      <c r="O697" s="12"/>
      <c r="P697" s="12"/>
      <c r="Q697" s="12"/>
      <c r="R697" s="36"/>
      <c r="S697" s="36"/>
      <c r="T697" s="12"/>
      <c r="U697" s="12"/>
      <c r="V697" s="12"/>
      <c r="W697" s="12"/>
      <c r="X697" s="12"/>
    </row>
    <row r="698" customFormat="false" ht="15.75" hidden="false" customHeight="false" outlineLevel="0" collapsed="false">
      <c r="A698" s="12"/>
      <c r="B698" s="34"/>
      <c r="C698" s="12"/>
      <c r="D698" s="12"/>
      <c r="E698" s="12"/>
      <c r="F698" s="12"/>
      <c r="G698" s="18"/>
      <c r="H698" s="35"/>
      <c r="I698" s="12"/>
      <c r="M698" s="12"/>
      <c r="N698" s="18"/>
      <c r="O698" s="12"/>
      <c r="P698" s="12"/>
      <c r="Q698" s="12"/>
      <c r="R698" s="36"/>
      <c r="S698" s="36"/>
      <c r="T698" s="12"/>
      <c r="U698" s="12"/>
      <c r="V698" s="12"/>
      <c r="W698" s="12"/>
      <c r="X698" s="12"/>
    </row>
    <row r="699" customFormat="false" ht="15.75" hidden="false" customHeight="false" outlineLevel="0" collapsed="false">
      <c r="A699" s="12"/>
      <c r="B699" s="34"/>
      <c r="C699" s="12"/>
      <c r="D699" s="12"/>
      <c r="E699" s="12"/>
      <c r="F699" s="12"/>
      <c r="G699" s="18"/>
      <c r="H699" s="35"/>
      <c r="I699" s="12"/>
      <c r="M699" s="12"/>
      <c r="N699" s="18"/>
      <c r="O699" s="12"/>
      <c r="P699" s="12"/>
      <c r="Q699" s="12"/>
      <c r="R699" s="36"/>
      <c r="S699" s="36"/>
      <c r="T699" s="12"/>
      <c r="U699" s="12"/>
      <c r="V699" s="12"/>
      <c r="W699" s="12"/>
      <c r="X699" s="12"/>
    </row>
    <row r="700" customFormat="false" ht="15.75" hidden="false" customHeight="false" outlineLevel="0" collapsed="false">
      <c r="A700" s="12"/>
      <c r="B700" s="34"/>
      <c r="C700" s="12"/>
      <c r="D700" s="12"/>
      <c r="E700" s="12"/>
      <c r="F700" s="12"/>
      <c r="G700" s="18"/>
      <c r="H700" s="35"/>
      <c r="I700" s="12"/>
      <c r="M700" s="12"/>
      <c r="N700" s="18"/>
      <c r="O700" s="12"/>
      <c r="P700" s="12"/>
      <c r="Q700" s="12"/>
      <c r="R700" s="36"/>
      <c r="S700" s="36"/>
      <c r="T700" s="12"/>
      <c r="U700" s="12"/>
      <c r="V700" s="12"/>
      <c r="W700" s="12"/>
      <c r="X700" s="12"/>
    </row>
    <row r="701" customFormat="false" ht="15.75" hidden="false" customHeight="false" outlineLevel="0" collapsed="false">
      <c r="A701" s="12"/>
      <c r="B701" s="34"/>
      <c r="C701" s="12"/>
      <c r="D701" s="12"/>
      <c r="E701" s="12"/>
      <c r="F701" s="12"/>
      <c r="G701" s="18"/>
      <c r="H701" s="35"/>
      <c r="I701" s="12"/>
      <c r="M701" s="12"/>
      <c r="N701" s="18"/>
      <c r="O701" s="12"/>
      <c r="P701" s="12"/>
      <c r="Q701" s="12"/>
      <c r="R701" s="36"/>
      <c r="S701" s="36"/>
      <c r="T701" s="12"/>
      <c r="U701" s="12"/>
      <c r="V701" s="12"/>
      <c r="W701" s="12"/>
      <c r="X701" s="12"/>
    </row>
    <row r="702" customFormat="false" ht="15.75" hidden="false" customHeight="false" outlineLevel="0" collapsed="false">
      <c r="A702" s="12"/>
      <c r="B702" s="34"/>
      <c r="C702" s="12"/>
      <c r="D702" s="12"/>
      <c r="E702" s="12"/>
      <c r="F702" s="12"/>
      <c r="G702" s="18"/>
      <c r="H702" s="35"/>
      <c r="I702" s="12"/>
      <c r="M702" s="12"/>
      <c r="N702" s="18"/>
      <c r="O702" s="12"/>
      <c r="P702" s="12"/>
      <c r="Q702" s="12"/>
      <c r="R702" s="36"/>
      <c r="S702" s="36"/>
      <c r="T702" s="12"/>
      <c r="U702" s="12"/>
      <c r="V702" s="12"/>
      <c r="W702" s="12"/>
      <c r="X702" s="12"/>
    </row>
    <row r="703" customFormat="false" ht="15.75" hidden="false" customHeight="false" outlineLevel="0" collapsed="false">
      <c r="A703" s="12"/>
      <c r="B703" s="34"/>
      <c r="C703" s="12"/>
      <c r="D703" s="12"/>
      <c r="E703" s="12"/>
      <c r="F703" s="12"/>
      <c r="G703" s="18"/>
      <c r="H703" s="35"/>
      <c r="I703" s="12"/>
      <c r="M703" s="12"/>
      <c r="N703" s="18"/>
      <c r="O703" s="12"/>
      <c r="P703" s="12"/>
      <c r="Q703" s="12"/>
      <c r="R703" s="36"/>
      <c r="S703" s="36"/>
      <c r="T703" s="12"/>
      <c r="U703" s="12"/>
      <c r="V703" s="12"/>
      <c r="W703" s="12"/>
      <c r="X703" s="12"/>
    </row>
    <row r="704" customFormat="false" ht="15.75" hidden="false" customHeight="false" outlineLevel="0" collapsed="false">
      <c r="A704" s="12"/>
      <c r="B704" s="34"/>
      <c r="C704" s="12"/>
      <c r="D704" s="12"/>
      <c r="E704" s="12"/>
      <c r="F704" s="12"/>
      <c r="G704" s="18"/>
      <c r="H704" s="35"/>
      <c r="I704" s="12"/>
      <c r="M704" s="12"/>
      <c r="N704" s="18"/>
      <c r="O704" s="12"/>
      <c r="P704" s="12"/>
      <c r="Q704" s="12"/>
      <c r="R704" s="36"/>
      <c r="S704" s="36"/>
      <c r="T704" s="12"/>
      <c r="U704" s="12"/>
      <c r="V704" s="12"/>
      <c r="W704" s="12"/>
      <c r="X704" s="12"/>
    </row>
    <row r="705" customFormat="false" ht="15.75" hidden="false" customHeight="false" outlineLevel="0" collapsed="false">
      <c r="A705" s="12"/>
      <c r="B705" s="34"/>
      <c r="C705" s="12"/>
      <c r="D705" s="12"/>
      <c r="E705" s="12"/>
      <c r="F705" s="12"/>
      <c r="G705" s="18"/>
      <c r="H705" s="35"/>
      <c r="I705" s="12"/>
      <c r="M705" s="12"/>
      <c r="N705" s="18"/>
      <c r="O705" s="12"/>
      <c r="P705" s="12"/>
      <c r="Q705" s="12"/>
      <c r="R705" s="36"/>
      <c r="S705" s="36"/>
      <c r="T705" s="12"/>
      <c r="U705" s="12"/>
      <c r="V705" s="12"/>
      <c r="W705" s="12"/>
      <c r="X705" s="12"/>
    </row>
    <row r="706" customFormat="false" ht="15.75" hidden="false" customHeight="false" outlineLevel="0" collapsed="false">
      <c r="A706" s="12"/>
      <c r="B706" s="34"/>
      <c r="C706" s="12"/>
      <c r="D706" s="12"/>
      <c r="E706" s="12"/>
      <c r="F706" s="12"/>
      <c r="G706" s="18"/>
      <c r="H706" s="35"/>
      <c r="I706" s="12"/>
      <c r="M706" s="12"/>
      <c r="N706" s="18"/>
      <c r="O706" s="12"/>
      <c r="P706" s="12"/>
      <c r="Q706" s="12"/>
      <c r="R706" s="36"/>
      <c r="S706" s="36"/>
      <c r="T706" s="12"/>
      <c r="U706" s="12"/>
      <c r="V706" s="12"/>
      <c r="W706" s="12"/>
      <c r="X706" s="12"/>
    </row>
    <row r="707" customFormat="false" ht="15.75" hidden="false" customHeight="false" outlineLevel="0" collapsed="false">
      <c r="A707" s="12"/>
      <c r="B707" s="34"/>
      <c r="C707" s="12"/>
      <c r="D707" s="12"/>
      <c r="E707" s="12"/>
      <c r="F707" s="12"/>
      <c r="G707" s="18"/>
      <c r="H707" s="35"/>
      <c r="I707" s="12"/>
      <c r="M707" s="12"/>
      <c r="N707" s="18"/>
      <c r="O707" s="12"/>
      <c r="P707" s="12"/>
      <c r="Q707" s="12"/>
      <c r="R707" s="36"/>
      <c r="S707" s="36"/>
      <c r="T707" s="12"/>
      <c r="U707" s="12"/>
      <c r="V707" s="12"/>
      <c r="W707" s="12"/>
      <c r="X707" s="12"/>
    </row>
    <row r="708" customFormat="false" ht="15.75" hidden="false" customHeight="false" outlineLevel="0" collapsed="false">
      <c r="A708" s="12"/>
      <c r="B708" s="34"/>
      <c r="C708" s="12"/>
      <c r="D708" s="12"/>
      <c r="E708" s="12"/>
      <c r="F708" s="12"/>
      <c r="G708" s="18"/>
      <c r="H708" s="35"/>
      <c r="I708" s="12"/>
      <c r="M708" s="12"/>
      <c r="N708" s="18"/>
      <c r="O708" s="12"/>
      <c r="P708" s="12"/>
      <c r="Q708" s="12"/>
      <c r="R708" s="36"/>
      <c r="S708" s="36"/>
      <c r="T708" s="12"/>
      <c r="U708" s="12"/>
      <c r="V708" s="12"/>
      <c r="W708" s="12"/>
      <c r="X708" s="12"/>
    </row>
    <row r="709" customFormat="false" ht="15.75" hidden="false" customHeight="false" outlineLevel="0" collapsed="false">
      <c r="A709" s="12"/>
      <c r="B709" s="34"/>
      <c r="C709" s="12"/>
      <c r="D709" s="12"/>
      <c r="E709" s="12"/>
      <c r="F709" s="12"/>
      <c r="G709" s="18"/>
      <c r="H709" s="35"/>
      <c r="I709" s="12"/>
      <c r="M709" s="12"/>
      <c r="N709" s="18"/>
      <c r="O709" s="12"/>
      <c r="P709" s="12"/>
      <c r="Q709" s="12"/>
      <c r="R709" s="36"/>
      <c r="S709" s="36"/>
      <c r="T709" s="12"/>
      <c r="U709" s="12"/>
      <c r="V709" s="12"/>
      <c r="W709" s="12"/>
      <c r="X709" s="12"/>
    </row>
    <row r="710" customFormat="false" ht="15.75" hidden="false" customHeight="false" outlineLevel="0" collapsed="false">
      <c r="A710" s="12"/>
      <c r="B710" s="34"/>
      <c r="C710" s="12"/>
      <c r="D710" s="12"/>
      <c r="E710" s="12"/>
      <c r="F710" s="12"/>
      <c r="G710" s="18"/>
      <c r="H710" s="35"/>
      <c r="I710" s="12"/>
      <c r="M710" s="12"/>
      <c r="N710" s="18"/>
      <c r="O710" s="12"/>
      <c r="P710" s="12"/>
      <c r="Q710" s="12"/>
      <c r="R710" s="36"/>
      <c r="S710" s="36"/>
      <c r="T710" s="12"/>
      <c r="U710" s="12"/>
      <c r="V710" s="12"/>
      <c r="W710" s="12"/>
      <c r="X710" s="12"/>
    </row>
    <row r="711" customFormat="false" ht="15.75" hidden="false" customHeight="false" outlineLevel="0" collapsed="false">
      <c r="A711" s="12"/>
      <c r="B711" s="34"/>
      <c r="C711" s="12"/>
      <c r="D711" s="12"/>
      <c r="E711" s="12"/>
      <c r="F711" s="12"/>
      <c r="G711" s="18"/>
      <c r="H711" s="35"/>
      <c r="I711" s="12"/>
      <c r="M711" s="12"/>
      <c r="N711" s="18"/>
      <c r="O711" s="12"/>
      <c r="P711" s="12"/>
      <c r="Q711" s="12"/>
      <c r="R711" s="36"/>
      <c r="S711" s="36"/>
      <c r="T711" s="12"/>
      <c r="U711" s="12"/>
      <c r="V711" s="12"/>
      <c r="W711" s="12"/>
      <c r="X711" s="12"/>
    </row>
    <row r="712" customFormat="false" ht="15.75" hidden="false" customHeight="false" outlineLevel="0" collapsed="false">
      <c r="A712" s="12"/>
      <c r="B712" s="34"/>
      <c r="C712" s="12"/>
      <c r="D712" s="12"/>
      <c r="E712" s="12"/>
      <c r="F712" s="12"/>
      <c r="G712" s="18"/>
      <c r="H712" s="35"/>
      <c r="I712" s="12"/>
      <c r="M712" s="12"/>
      <c r="N712" s="18"/>
      <c r="O712" s="12"/>
      <c r="P712" s="12"/>
      <c r="Q712" s="12"/>
      <c r="R712" s="36"/>
      <c r="S712" s="36"/>
      <c r="T712" s="12"/>
      <c r="U712" s="12"/>
      <c r="V712" s="12"/>
      <c r="W712" s="12"/>
      <c r="X712" s="12"/>
    </row>
    <row r="713" customFormat="false" ht="15.75" hidden="false" customHeight="false" outlineLevel="0" collapsed="false">
      <c r="A713" s="12"/>
      <c r="B713" s="34"/>
      <c r="C713" s="12"/>
      <c r="D713" s="12"/>
      <c r="E713" s="12"/>
      <c r="F713" s="12"/>
      <c r="G713" s="18"/>
      <c r="H713" s="35"/>
      <c r="I713" s="12"/>
      <c r="M713" s="12"/>
      <c r="N713" s="18"/>
      <c r="O713" s="12"/>
      <c r="P713" s="12"/>
      <c r="Q713" s="12"/>
      <c r="R713" s="36"/>
      <c r="S713" s="36"/>
      <c r="T713" s="12"/>
      <c r="U713" s="12"/>
      <c r="V713" s="12"/>
      <c r="W713" s="12"/>
      <c r="X713" s="12"/>
    </row>
    <row r="714" customFormat="false" ht="15.75" hidden="false" customHeight="false" outlineLevel="0" collapsed="false">
      <c r="A714" s="12"/>
      <c r="B714" s="34"/>
      <c r="C714" s="12"/>
      <c r="D714" s="12"/>
      <c r="E714" s="12"/>
      <c r="F714" s="12"/>
      <c r="G714" s="18"/>
      <c r="H714" s="35"/>
      <c r="I714" s="12"/>
      <c r="M714" s="12"/>
      <c r="N714" s="18"/>
      <c r="O714" s="12"/>
      <c r="P714" s="12"/>
      <c r="Q714" s="12"/>
      <c r="R714" s="36"/>
      <c r="S714" s="36"/>
      <c r="T714" s="12"/>
      <c r="U714" s="12"/>
      <c r="V714" s="12"/>
      <c r="W714" s="12"/>
      <c r="X714" s="12"/>
    </row>
    <row r="715" customFormat="false" ht="15.75" hidden="false" customHeight="false" outlineLevel="0" collapsed="false">
      <c r="A715" s="12"/>
      <c r="B715" s="34"/>
      <c r="C715" s="12"/>
      <c r="D715" s="12"/>
      <c r="E715" s="12"/>
      <c r="F715" s="12"/>
      <c r="G715" s="18"/>
      <c r="H715" s="35"/>
      <c r="I715" s="12"/>
      <c r="M715" s="12"/>
      <c r="N715" s="18"/>
      <c r="O715" s="12"/>
      <c r="P715" s="12"/>
      <c r="Q715" s="12"/>
      <c r="R715" s="36"/>
      <c r="S715" s="36"/>
      <c r="T715" s="12"/>
      <c r="U715" s="12"/>
      <c r="V715" s="12"/>
      <c r="W715" s="12"/>
      <c r="X715" s="12"/>
    </row>
    <row r="716" customFormat="false" ht="15.75" hidden="false" customHeight="false" outlineLevel="0" collapsed="false">
      <c r="A716" s="12"/>
      <c r="B716" s="34"/>
      <c r="C716" s="12"/>
      <c r="D716" s="12"/>
      <c r="E716" s="12"/>
      <c r="F716" s="12"/>
      <c r="G716" s="18"/>
      <c r="H716" s="35"/>
      <c r="I716" s="12"/>
      <c r="M716" s="12"/>
      <c r="N716" s="18"/>
      <c r="O716" s="12"/>
      <c r="P716" s="12"/>
      <c r="Q716" s="12"/>
      <c r="R716" s="36"/>
      <c r="S716" s="36"/>
      <c r="T716" s="12"/>
      <c r="U716" s="12"/>
      <c r="V716" s="12"/>
      <c r="W716" s="12"/>
      <c r="X716" s="12"/>
    </row>
    <row r="717" customFormat="false" ht="15.75" hidden="false" customHeight="false" outlineLevel="0" collapsed="false">
      <c r="A717" s="12"/>
      <c r="B717" s="34"/>
      <c r="C717" s="12"/>
      <c r="D717" s="12"/>
      <c r="E717" s="12"/>
      <c r="F717" s="12"/>
      <c r="G717" s="18"/>
      <c r="H717" s="35"/>
      <c r="I717" s="12"/>
      <c r="M717" s="12"/>
      <c r="N717" s="18"/>
      <c r="O717" s="12"/>
      <c r="P717" s="12"/>
      <c r="Q717" s="12"/>
      <c r="R717" s="36"/>
      <c r="S717" s="36"/>
      <c r="T717" s="12"/>
      <c r="U717" s="12"/>
      <c r="V717" s="12"/>
      <c r="W717" s="12"/>
      <c r="X717" s="12"/>
    </row>
    <row r="718" customFormat="false" ht="15.75" hidden="false" customHeight="false" outlineLevel="0" collapsed="false">
      <c r="A718" s="12"/>
      <c r="B718" s="34"/>
      <c r="C718" s="12"/>
      <c r="D718" s="12"/>
      <c r="E718" s="12"/>
      <c r="F718" s="12"/>
      <c r="G718" s="18"/>
      <c r="H718" s="35"/>
      <c r="I718" s="12"/>
      <c r="M718" s="12"/>
      <c r="N718" s="18"/>
      <c r="O718" s="12"/>
      <c r="P718" s="12"/>
      <c r="Q718" s="12"/>
      <c r="R718" s="36"/>
      <c r="S718" s="36"/>
      <c r="T718" s="12"/>
      <c r="U718" s="12"/>
      <c r="V718" s="12"/>
      <c r="W718" s="12"/>
      <c r="X718" s="12"/>
    </row>
    <row r="719" customFormat="false" ht="15.75" hidden="false" customHeight="false" outlineLevel="0" collapsed="false">
      <c r="A719" s="12"/>
      <c r="B719" s="34"/>
      <c r="C719" s="12"/>
      <c r="D719" s="12"/>
      <c r="E719" s="12"/>
      <c r="F719" s="12"/>
      <c r="G719" s="18"/>
      <c r="H719" s="35"/>
      <c r="I719" s="12"/>
      <c r="M719" s="12"/>
      <c r="N719" s="18"/>
      <c r="O719" s="12"/>
      <c r="P719" s="12"/>
      <c r="Q719" s="12"/>
      <c r="R719" s="36"/>
      <c r="S719" s="36"/>
      <c r="T719" s="12"/>
      <c r="U719" s="12"/>
      <c r="V719" s="12"/>
      <c r="W719" s="12"/>
      <c r="X719" s="12"/>
    </row>
    <row r="720" customFormat="false" ht="15.75" hidden="false" customHeight="false" outlineLevel="0" collapsed="false">
      <c r="A720" s="12"/>
      <c r="B720" s="34"/>
      <c r="C720" s="12"/>
      <c r="D720" s="12"/>
      <c r="E720" s="12"/>
      <c r="F720" s="12"/>
      <c r="G720" s="18"/>
      <c r="H720" s="35"/>
      <c r="I720" s="12"/>
      <c r="M720" s="12"/>
      <c r="N720" s="18"/>
      <c r="O720" s="12"/>
      <c r="P720" s="12"/>
      <c r="Q720" s="12"/>
      <c r="R720" s="36"/>
      <c r="S720" s="36"/>
      <c r="T720" s="12"/>
      <c r="U720" s="12"/>
      <c r="V720" s="12"/>
      <c r="W720" s="12"/>
      <c r="X720" s="12"/>
    </row>
    <row r="721" customFormat="false" ht="15.75" hidden="false" customHeight="false" outlineLevel="0" collapsed="false">
      <c r="A721" s="12"/>
      <c r="B721" s="34"/>
      <c r="C721" s="12"/>
      <c r="D721" s="12"/>
      <c r="E721" s="12"/>
      <c r="F721" s="12"/>
      <c r="G721" s="18"/>
      <c r="H721" s="35"/>
      <c r="I721" s="12"/>
      <c r="M721" s="12"/>
      <c r="N721" s="18"/>
      <c r="O721" s="12"/>
      <c r="P721" s="12"/>
      <c r="Q721" s="12"/>
      <c r="R721" s="36"/>
      <c r="S721" s="36"/>
      <c r="T721" s="12"/>
      <c r="U721" s="12"/>
      <c r="V721" s="12"/>
      <c r="W721" s="12"/>
      <c r="X721" s="12"/>
    </row>
    <row r="722" customFormat="false" ht="15.75" hidden="false" customHeight="false" outlineLevel="0" collapsed="false">
      <c r="A722" s="12"/>
      <c r="B722" s="34"/>
      <c r="C722" s="12"/>
      <c r="D722" s="12"/>
      <c r="E722" s="12"/>
      <c r="F722" s="12"/>
      <c r="G722" s="18"/>
      <c r="H722" s="35"/>
      <c r="I722" s="12"/>
      <c r="M722" s="12"/>
      <c r="N722" s="18"/>
      <c r="O722" s="12"/>
      <c r="P722" s="12"/>
      <c r="Q722" s="12"/>
      <c r="R722" s="36"/>
      <c r="S722" s="36"/>
      <c r="T722" s="12"/>
      <c r="U722" s="12"/>
      <c r="V722" s="12"/>
      <c r="W722" s="12"/>
      <c r="X722" s="12"/>
    </row>
    <row r="723" customFormat="false" ht="15.75" hidden="false" customHeight="false" outlineLevel="0" collapsed="false">
      <c r="A723" s="12"/>
      <c r="B723" s="34"/>
      <c r="C723" s="12"/>
      <c r="D723" s="12"/>
      <c r="E723" s="12"/>
      <c r="F723" s="12"/>
      <c r="G723" s="18"/>
      <c r="H723" s="35"/>
      <c r="I723" s="12"/>
      <c r="M723" s="12"/>
      <c r="N723" s="18"/>
      <c r="O723" s="12"/>
      <c r="P723" s="12"/>
      <c r="Q723" s="12"/>
      <c r="R723" s="36"/>
      <c r="S723" s="36"/>
      <c r="T723" s="12"/>
      <c r="U723" s="12"/>
      <c r="V723" s="12"/>
      <c r="W723" s="12"/>
      <c r="X723" s="12"/>
    </row>
    <row r="724" customFormat="false" ht="15.75" hidden="false" customHeight="false" outlineLevel="0" collapsed="false">
      <c r="A724" s="12"/>
      <c r="B724" s="34"/>
      <c r="C724" s="12"/>
      <c r="D724" s="12"/>
      <c r="E724" s="12"/>
      <c r="F724" s="12"/>
      <c r="G724" s="18"/>
      <c r="H724" s="35"/>
      <c r="I724" s="12"/>
      <c r="M724" s="12"/>
      <c r="N724" s="18"/>
      <c r="O724" s="12"/>
      <c r="P724" s="12"/>
      <c r="Q724" s="12"/>
      <c r="R724" s="36"/>
      <c r="S724" s="36"/>
      <c r="T724" s="12"/>
      <c r="U724" s="12"/>
      <c r="V724" s="12"/>
      <c r="W724" s="12"/>
      <c r="X724" s="12"/>
    </row>
    <row r="725" customFormat="false" ht="15.75" hidden="false" customHeight="false" outlineLevel="0" collapsed="false">
      <c r="A725" s="12"/>
      <c r="B725" s="34"/>
      <c r="C725" s="12"/>
      <c r="D725" s="12"/>
      <c r="E725" s="12"/>
      <c r="F725" s="12"/>
      <c r="G725" s="18"/>
      <c r="H725" s="35"/>
      <c r="I725" s="12"/>
      <c r="M725" s="12"/>
      <c r="N725" s="18"/>
      <c r="O725" s="12"/>
      <c r="P725" s="12"/>
      <c r="Q725" s="12"/>
      <c r="R725" s="36"/>
      <c r="S725" s="36"/>
      <c r="T725" s="12"/>
      <c r="U725" s="12"/>
      <c r="V725" s="12"/>
      <c r="W725" s="12"/>
      <c r="X725" s="12"/>
    </row>
    <row r="726" customFormat="false" ht="15.75" hidden="false" customHeight="false" outlineLevel="0" collapsed="false">
      <c r="A726" s="12"/>
      <c r="B726" s="34"/>
      <c r="C726" s="12"/>
      <c r="D726" s="12"/>
      <c r="E726" s="12"/>
      <c r="F726" s="12"/>
      <c r="G726" s="18"/>
      <c r="H726" s="35"/>
      <c r="I726" s="12"/>
      <c r="M726" s="12"/>
      <c r="N726" s="18"/>
      <c r="O726" s="12"/>
      <c r="P726" s="12"/>
      <c r="Q726" s="12"/>
      <c r="R726" s="36"/>
      <c r="S726" s="36"/>
      <c r="T726" s="12"/>
      <c r="U726" s="12"/>
      <c r="V726" s="12"/>
      <c r="W726" s="12"/>
      <c r="X726" s="12"/>
    </row>
    <row r="727" customFormat="false" ht="15.75" hidden="false" customHeight="false" outlineLevel="0" collapsed="false">
      <c r="A727" s="12"/>
      <c r="B727" s="34"/>
      <c r="C727" s="12"/>
      <c r="D727" s="12"/>
      <c r="E727" s="12"/>
      <c r="F727" s="12"/>
      <c r="G727" s="18"/>
      <c r="H727" s="35"/>
      <c r="I727" s="12"/>
      <c r="M727" s="12"/>
      <c r="N727" s="18"/>
      <c r="O727" s="12"/>
      <c r="P727" s="12"/>
      <c r="Q727" s="12"/>
      <c r="R727" s="36"/>
      <c r="S727" s="36"/>
      <c r="T727" s="12"/>
      <c r="U727" s="12"/>
      <c r="V727" s="12"/>
      <c r="W727" s="12"/>
      <c r="X727" s="12"/>
    </row>
    <row r="728" customFormat="false" ht="15.75" hidden="false" customHeight="false" outlineLevel="0" collapsed="false">
      <c r="A728" s="12"/>
      <c r="B728" s="34"/>
      <c r="C728" s="12"/>
      <c r="D728" s="12"/>
      <c r="E728" s="12"/>
      <c r="F728" s="12"/>
      <c r="G728" s="18"/>
      <c r="H728" s="35"/>
      <c r="I728" s="12"/>
      <c r="M728" s="12"/>
      <c r="N728" s="18"/>
      <c r="O728" s="12"/>
      <c r="P728" s="12"/>
      <c r="Q728" s="12"/>
      <c r="R728" s="36"/>
      <c r="S728" s="36"/>
      <c r="T728" s="12"/>
      <c r="U728" s="12"/>
      <c r="V728" s="12"/>
      <c r="W728" s="12"/>
      <c r="X728" s="12"/>
    </row>
    <row r="729" customFormat="false" ht="15.75" hidden="false" customHeight="false" outlineLevel="0" collapsed="false">
      <c r="A729" s="12"/>
      <c r="B729" s="34"/>
      <c r="C729" s="12"/>
      <c r="D729" s="12"/>
      <c r="E729" s="12"/>
      <c r="F729" s="12"/>
      <c r="G729" s="18"/>
      <c r="H729" s="35"/>
      <c r="I729" s="12"/>
      <c r="M729" s="12"/>
      <c r="N729" s="18"/>
      <c r="O729" s="12"/>
      <c r="P729" s="12"/>
      <c r="Q729" s="12"/>
      <c r="R729" s="36"/>
      <c r="S729" s="36"/>
      <c r="T729" s="12"/>
      <c r="U729" s="12"/>
      <c r="V729" s="12"/>
      <c r="W729" s="12"/>
      <c r="X729" s="12"/>
    </row>
    <row r="730" customFormat="false" ht="15.75" hidden="false" customHeight="false" outlineLevel="0" collapsed="false">
      <c r="A730" s="12"/>
      <c r="B730" s="34"/>
      <c r="C730" s="12"/>
      <c r="D730" s="12"/>
      <c r="E730" s="12"/>
      <c r="F730" s="12"/>
      <c r="G730" s="18"/>
      <c r="H730" s="35"/>
      <c r="I730" s="12"/>
      <c r="M730" s="12"/>
      <c r="N730" s="18"/>
      <c r="O730" s="12"/>
      <c r="P730" s="12"/>
      <c r="Q730" s="12"/>
      <c r="R730" s="36"/>
      <c r="S730" s="36"/>
      <c r="T730" s="12"/>
      <c r="U730" s="12"/>
      <c r="V730" s="12"/>
      <c r="W730" s="12"/>
      <c r="X730" s="12"/>
    </row>
    <row r="731" customFormat="false" ht="15.75" hidden="false" customHeight="false" outlineLevel="0" collapsed="false">
      <c r="A731" s="12"/>
      <c r="B731" s="34"/>
      <c r="C731" s="12"/>
      <c r="D731" s="12"/>
      <c r="E731" s="12"/>
      <c r="F731" s="12"/>
      <c r="G731" s="18"/>
      <c r="H731" s="35"/>
      <c r="I731" s="12"/>
      <c r="M731" s="12"/>
      <c r="N731" s="18"/>
      <c r="O731" s="12"/>
      <c r="P731" s="12"/>
      <c r="Q731" s="12"/>
      <c r="R731" s="36"/>
      <c r="S731" s="36"/>
      <c r="T731" s="12"/>
      <c r="U731" s="12"/>
      <c r="V731" s="12"/>
      <c r="W731" s="12"/>
      <c r="X731" s="12"/>
    </row>
    <row r="732" customFormat="false" ht="15.75" hidden="false" customHeight="false" outlineLevel="0" collapsed="false">
      <c r="A732" s="12"/>
      <c r="B732" s="34"/>
      <c r="C732" s="12"/>
      <c r="D732" s="12"/>
      <c r="E732" s="12"/>
      <c r="F732" s="12"/>
      <c r="G732" s="18"/>
      <c r="H732" s="35"/>
      <c r="I732" s="12"/>
      <c r="M732" s="12"/>
      <c r="N732" s="18"/>
      <c r="O732" s="12"/>
      <c r="P732" s="12"/>
      <c r="Q732" s="12"/>
      <c r="R732" s="36"/>
      <c r="S732" s="36"/>
      <c r="T732" s="12"/>
      <c r="U732" s="12"/>
      <c r="V732" s="12"/>
      <c r="W732" s="12"/>
      <c r="X732" s="12"/>
    </row>
    <row r="733" customFormat="false" ht="15.75" hidden="false" customHeight="false" outlineLevel="0" collapsed="false">
      <c r="A733" s="12"/>
      <c r="B733" s="34"/>
      <c r="C733" s="12"/>
      <c r="D733" s="12"/>
      <c r="E733" s="12"/>
      <c r="F733" s="12"/>
      <c r="G733" s="18"/>
      <c r="H733" s="35"/>
      <c r="I733" s="12"/>
      <c r="M733" s="12"/>
      <c r="N733" s="18"/>
      <c r="O733" s="12"/>
      <c r="P733" s="12"/>
      <c r="Q733" s="12"/>
      <c r="R733" s="36"/>
      <c r="S733" s="36"/>
      <c r="T733" s="12"/>
      <c r="U733" s="12"/>
      <c r="V733" s="12"/>
      <c r="W733" s="12"/>
      <c r="X733" s="12"/>
    </row>
    <row r="734" customFormat="false" ht="15.75" hidden="false" customHeight="false" outlineLevel="0" collapsed="false">
      <c r="A734" s="12"/>
      <c r="B734" s="34"/>
      <c r="C734" s="12"/>
      <c r="D734" s="12"/>
      <c r="E734" s="12"/>
      <c r="F734" s="12"/>
      <c r="G734" s="18"/>
      <c r="H734" s="35"/>
      <c r="I734" s="12"/>
      <c r="M734" s="12"/>
      <c r="N734" s="18"/>
      <c r="O734" s="12"/>
      <c r="P734" s="12"/>
      <c r="Q734" s="12"/>
      <c r="R734" s="36"/>
      <c r="S734" s="36"/>
      <c r="T734" s="12"/>
      <c r="U734" s="12"/>
      <c r="V734" s="12"/>
      <c r="W734" s="12"/>
      <c r="X734" s="12"/>
    </row>
    <row r="735" customFormat="false" ht="15.75" hidden="false" customHeight="false" outlineLevel="0" collapsed="false">
      <c r="A735" s="12"/>
      <c r="B735" s="34"/>
      <c r="C735" s="12"/>
      <c r="D735" s="12"/>
      <c r="E735" s="12"/>
      <c r="F735" s="12"/>
      <c r="G735" s="18"/>
      <c r="H735" s="35"/>
      <c r="I735" s="12"/>
      <c r="M735" s="12"/>
      <c r="N735" s="18"/>
      <c r="O735" s="12"/>
      <c r="P735" s="12"/>
      <c r="Q735" s="12"/>
      <c r="R735" s="36"/>
      <c r="S735" s="36"/>
      <c r="T735" s="12"/>
      <c r="U735" s="12"/>
      <c r="V735" s="12"/>
      <c r="W735" s="12"/>
      <c r="X735" s="12"/>
    </row>
    <row r="736" customFormat="false" ht="15.75" hidden="false" customHeight="false" outlineLevel="0" collapsed="false">
      <c r="A736" s="12"/>
      <c r="B736" s="34"/>
      <c r="C736" s="12"/>
      <c r="D736" s="12"/>
      <c r="E736" s="12"/>
      <c r="F736" s="12"/>
      <c r="G736" s="18"/>
      <c r="H736" s="35"/>
      <c r="I736" s="12"/>
      <c r="M736" s="12"/>
      <c r="N736" s="18"/>
      <c r="O736" s="12"/>
      <c r="P736" s="12"/>
      <c r="Q736" s="12"/>
      <c r="R736" s="36"/>
      <c r="S736" s="36"/>
      <c r="T736" s="12"/>
      <c r="U736" s="12"/>
      <c r="V736" s="12"/>
      <c r="W736" s="12"/>
      <c r="X736" s="12"/>
    </row>
    <row r="737" customFormat="false" ht="15.75" hidden="false" customHeight="false" outlineLevel="0" collapsed="false">
      <c r="A737" s="12"/>
      <c r="B737" s="34"/>
      <c r="C737" s="12"/>
      <c r="D737" s="12"/>
      <c r="E737" s="12"/>
      <c r="F737" s="12"/>
      <c r="G737" s="18"/>
      <c r="H737" s="35"/>
      <c r="I737" s="12"/>
      <c r="M737" s="12"/>
      <c r="N737" s="18"/>
      <c r="O737" s="12"/>
      <c r="P737" s="12"/>
      <c r="Q737" s="12"/>
      <c r="R737" s="36"/>
      <c r="S737" s="36"/>
      <c r="T737" s="12"/>
      <c r="U737" s="12"/>
      <c r="V737" s="12"/>
      <c r="W737" s="12"/>
      <c r="X737" s="12"/>
    </row>
    <row r="738" customFormat="false" ht="15.75" hidden="false" customHeight="false" outlineLevel="0" collapsed="false">
      <c r="A738" s="12"/>
      <c r="B738" s="34"/>
      <c r="C738" s="12"/>
      <c r="D738" s="12"/>
      <c r="E738" s="12"/>
      <c r="F738" s="12"/>
      <c r="G738" s="18"/>
      <c r="H738" s="35"/>
      <c r="I738" s="12"/>
      <c r="M738" s="12"/>
      <c r="N738" s="18"/>
      <c r="O738" s="12"/>
      <c r="P738" s="12"/>
      <c r="Q738" s="12"/>
      <c r="R738" s="36"/>
      <c r="S738" s="36"/>
      <c r="T738" s="12"/>
      <c r="U738" s="12"/>
      <c r="V738" s="12"/>
      <c r="W738" s="12"/>
      <c r="X738" s="12"/>
    </row>
    <row r="739" customFormat="false" ht="15.75" hidden="false" customHeight="false" outlineLevel="0" collapsed="false">
      <c r="A739" s="12"/>
      <c r="B739" s="34"/>
      <c r="C739" s="12"/>
      <c r="D739" s="12"/>
      <c r="E739" s="12"/>
      <c r="F739" s="12"/>
      <c r="G739" s="18"/>
      <c r="H739" s="35"/>
      <c r="I739" s="12"/>
      <c r="M739" s="12"/>
      <c r="N739" s="18"/>
      <c r="O739" s="12"/>
      <c r="P739" s="12"/>
      <c r="Q739" s="12"/>
      <c r="R739" s="36"/>
      <c r="S739" s="36"/>
      <c r="T739" s="12"/>
      <c r="U739" s="12"/>
      <c r="V739" s="12"/>
      <c r="W739" s="12"/>
      <c r="X739" s="12"/>
    </row>
    <row r="740" customFormat="false" ht="15.75" hidden="false" customHeight="false" outlineLevel="0" collapsed="false">
      <c r="A740" s="12"/>
      <c r="B740" s="34"/>
      <c r="C740" s="12"/>
      <c r="D740" s="12"/>
      <c r="E740" s="12"/>
      <c r="F740" s="12"/>
      <c r="G740" s="18"/>
      <c r="H740" s="35"/>
      <c r="I740" s="12"/>
      <c r="M740" s="12"/>
      <c r="N740" s="18"/>
      <c r="O740" s="12"/>
      <c r="P740" s="12"/>
      <c r="Q740" s="12"/>
      <c r="R740" s="36"/>
      <c r="S740" s="36"/>
      <c r="T740" s="12"/>
      <c r="U740" s="12"/>
      <c r="V740" s="12"/>
      <c r="W740" s="12"/>
      <c r="X740" s="12"/>
    </row>
    <row r="741" customFormat="false" ht="15.75" hidden="false" customHeight="false" outlineLevel="0" collapsed="false">
      <c r="A741" s="12"/>
      <c r="B741" s="34"/>
      <c r="C741" s="12"/>
      <c r="D741" s="12"/>
      <c r="E741" s="12"/>
      <c r="F741" s="12"/>
      <c r="G741" s="18"/>
      <c r="H741" s="35"/>
      <c r="I741" s="12"/>
      <c r="M741" s="12"/>
      <c r="N741" s="18"/>
      <c r="O741" s="12"/>
      <c r="P741" s="12"/>
      <c r="Q741" s="12"/>
      <c r="R741" s="36"/>
      <c r="S741" s="36"/>
      <c r="T741" s="12"/>
      <c r="U741" s="12"/>
      <c r="V741" s="12"/>
      <c r="W741" s="12"/>
      <c r="X741" s="12"/>
    </row>
    <row r="742" customFormat="false" ht="15.75" hidden="false" customHeight="false" outlineLevel="0" collapsed="false">
      <c r="A742" s="12"/>
      <c r="B742" s="34"/>
      <c r="C742" s="12"/>
      <c r="D742" s="12"/>
      <c r="E742" s="12"/>
      <c r="F742" s="12"/>
      <c r="G742" s="18"/>
      <c r="H742" s="35"/>
      <c r="I742" s="12"/>
      <c r="M742" s="12"/>
      <c r="N742" s="18"/>
      <c r="O742" s="12"/>
      <c r="P742" s="12"/>
      <c r="Q742" s="12"/>
      <c r="R742" s="36"/>
      <c r="S742" s="36"/>
      <c r="T742" s="12"/>
      <c r="U742" s="12"/>
      <c r="V742" s="12"/>
      <c r="W742" s="12"/>
      <c r="X742" s="12"/>
    </row>
    <row r="743" customFormat="false" ht="15.75" hidden="false" customHeight="false" outlineLevel="0" collapsed="false">
      <c r="A743" s="12"/>
      <c r="B743" s="34"/>
      <c r="C743" s="12"/>
      <c r="D743" s="12"/>
      <c r="E743" s="12"/>
      <c r="F743" s="12"/>
      <c r="G743" s="18"/>
      <c r="H743" s="35"/>
      <c r="I743" s="12"/>
      <c r="M743" s="12"/>
      <c r="N743" s="18"/>
      <c r="O743" s="12"/>
      <c r="P743" s="12"/>
      <c r="Q743" s="12"/>
      <c r="R743" s="36"/>
      <c r="S743" s="36"/>
      <c r="T743" s="12"/>
      <c r="U743" s="12"/>
      <c r="V743" s="12"/>
      <c r="W743" s="12"/>
      <c r="X743" s="12"/>
    </row>
    <row r="744" customFormat="false" ht="15.75" hidden="false" customHeight="false" outlineLevel="0" collapsed="false">
      <c r="A744" s="12"/>
      <c r="B744" s="34"/>
      <c r="C744" s="12"/>
      <c r="D744" s="12"/>
      <c r="E744" s="12"/>
      <c r="F744" s="12"/>
      <c r="G744" s="18"/>
      <c r="H744" s="35"/>
      <c r="I744" s="12"/>
      <c r="M744" s="12"/>
      <c r="N744" s="18"/>
      <c r="O744" s="12"/>
      <c r="P744" s="12"/>
      <c r="Q744" s="12"/>
      <c r="R744" s="36"/>
      <c r="S744" s="36"/>
      <c r="T744" s="12"/>
      <c r="U744" s="12"/>
      <c r="V744" s="12"/>
      <c r="W744" s="12"/>
      <c r="X744" s="12"/>
    </row>
    <row r="745" customFormat="false" ht="15.75" hidden="false" customHeight="false" outlineLevel="0" collapsed="false">
      <c r="A745" s="12"/>
      <c r="B745" s="34"/>
      <c r="C745" s="12"/>
      <c r="D745" s="12"/>
      <c r="E745" s="12"/>
      <c r="F745" s="12"/>
      <c r="G745" s="18"/>
      <c r="H745" s="35"/>
      <c r="I745" s="12"/>
      <c r="M745" s="12"/>
      <c r="N745" s="18"/>
      <c r="O745" s="12"/>
      <c r="P745" s="12"/>
      <c r="Q745" s="12"/>
      <c r="R745" s="36"/>
      <c r="S745" s="36"/>
      <c r="T745" s="12"/>
      <c r="U745" s="12"/>
      <c r="V745" s="12"/>
      <c r="W745" s="12"/>
      <c r="X745" s="12"/>
    </row>
    <row r="746" customFormat="false" ht="15.75" hidden="false" customHeight="false" outlineLevel="0" collapsed="false">
      <c r="A746" s="12"/>
      <c r="B746" s="34"/>
      <c r="C746" s="12"/>
      <c r="D746" s="12"/>
      <c r="E746" s="12"/>
      <c r="F746" s="12"/>
      <c r="G746" s="18"/>
      <c r="H746" s="35"/>
      <c r="I746" s="12"/>
      <c r="M746" s="12"/>
      <c r="N746" s="18"/>
      <c r="O746" s="12"/>
      <c r="P746" s="12"/>
      <c r="Q746" s="12"/>
      <c r="R746" s="36"/>
      <c r="S746" s="36"/>
      <c r="T746" s="12"/>
      <c r="U746" s="12"/>
      <c r="V746" s="12"/>
      <c r="W746" s="12"/>
      <c r="X746" s="12"/>
    </row>
    <row r="747" customFormat="false" ht="15.75" hidden="false" customHeight="false" outlineLevel="0" collapsed="false">
      <c r="A747" s="12"/>
      <c r="B747" s="34"/>
      <c r="C747" s="12"/>
      <c r="D747" s="12"/>
      <c r="E747" s="12"/>
      <c r="F747" s="12"/>
      <c r="G747" s="18"/>
      <c r="H747" s="35"/>
      <c r="I747" s="12"/>
      <c r="M747" s="12"/>
      <c r="N747" s="18"/>
      <c r="O747" s="12"/>
      <c r="P747" s="12"/>
      <c r="Q747" s="12"/>
      <c r="R747" s="36"/>
      <c r="S747" s="36"/>
      <c r="T747" s="12"/>
      <c r="U747" s="12"/>
      <c r="V747" s="12"/>
      <c r="W747" s="12"/>
      <c r="X747" s="12"/>
    </row>
    <row r="748" customFormat="false" ht="15.75" hidden="false" customHeight="false" outlineLevel="0" collapsed="false">
      <c r="A748" s="12"/>
      <c r="B748" s="34"/>
      <c r="C748" s="12"/>
      <c r="D748" s="12"/>
      <c r="E748" s="12"/>
      <c r="F748" s="12"/>
      <c r="G748" s="18"/>
      <c r="H748" s="35"/>
      <c r="I748" s="12"/>
      <c r="M748" s="12"/>
      <c r="N748" s="18"/>
      <c r="O748" s="12"/>
      <c r="P748" s="12"/>
      <c r="Q748" s="12"/>
      <c r="R748" s="36"/>
      <c r="S748" s="36"/>
      <c r="T748" s="12"/>
      <c r="U748" s="12"/>
      <c r="V748" s="12"/>
      <c r="W748" s="12"/>
      <c r="X748" s="12"/>
    </row>
    <row r="749" customFormat="false" ht="15.75" hidden="false" customHeight="false" outlineLevel="0" collapsed="false">
      <c r="A749" s="12"/>
      <c r="B749" s="34"/>
      <c r="C749" s="12"/>
      <c r="D749" s="12"/>
      <c r="E749" s="12"/>
      <c r="F749" s="12"/>
      <c r="G749" s="18"/>
      <c r="H749" s="35"/>
      <c r="I749" s="12"/>
      <c r="M749" s="12"/>
      <c r="N749" s="18"/>
      <c r="O749" s="12"/>
      <c r="P749" s="12"/>
      <c r="Q749" s="12"/>
      <c r="R749" s="36"/>
      <c r="S749" s="36"/>
      <c r="T749" s="12"/>
      <c r="U749" s="12"/>
      <c r="V749" s="12"/>
      <c r="W749" s="12"/>
      <c r="X749" s="12"/>
    </row>
    <row r="750" customFormat="false" ht="15.75" hidden="false" customHeight="false" outlineLevel="0" collapsed="false">
      <c r="A750" s="12"/>
      <c r="B750" s="34"/>
      <c r="C750" s="12"/>
      <c r="D750" s="12"/>
      <c r="E750" s="12"/>
      <c r="F750" s="12"/>
      <c r="G750" s="18"/>
      <c r="H750" s="35"/>
      <c r="I750" s="12"/>
      <c r="M750" s="12"/>
      <c r="N750" s="18"/>
      <c r="O750" s="12"/>
      <c r="P750" s="12"/>
      <c r="Q750" s="12"/>
      <c r="R750" s="36"/>
      <c r="S750" s="36"/>
      <c r="T750" s="12"/>
      <c r="U750" s="12"/>
      <c r="V750" s="12"/>
      <c r="W750" s="12"/>
      <c r="X750" s="12"/>
    </row>
    <row r="751" customFormat="false" ht="15.75" hidden="false" customHeight="false" outlineLevel="0" collapsed="false">
      <c r="A751" s="12"/>
      <c r="B751" s="34"/>
      <c r="C751" s="12"/>
      <c r="D751" s="12"/>
      <c r="E751" s="12"/>
      <c r="F751" s="12"/>
      <c r="G751" s="18"/>
      <c r="H751" s="35"/>
      <c r="I751" s="12"/>
      <c r="M751" s="12"/>
      <c r="N751" s="18"/>
      <c r="O751" s="12"/>
      <c r="P751" s="12"/>
      <c r="Q751" s="12"/>
      <c r="R751" s="36"/>
      <c r="S751" s="36"/>
      <c r="T751" s="12"/>
      <c r="U751" s="12"/>
      <c r="V751" s="12"/>
      <c r="W751" s="12"/>
      <c r="X751" s="12"/>
    </row>
    <row r="752" customFormat="false" ht="15.75" hidden="false" customHeight="false" outlineLevel="0" collapsed="false">
      <c r="A752" s="12"/>
      <c r="B752" s="34"/>
      <c r="C752" s="12"/>
      <c r="D752" s="12"/>
      <c r="E752" s="12"/>
      <c r="F752" s="12"/>
      <c r="G752" s="18"/>
      <c r="H752" s="35"/>
      <c r="I752" s="12"/>
      <c r="M752" s="12"/>
      <c r="N752" s="18"/>
      <c r="O752" s="12"/>
      <c r="P752" s="12"/>
      <c r="Q752" s="12"/>
      <c r="R752" s="36"/>
      <c r="S752" s="36"/>
      <c r="T752" s="12"/>
      <c r="U752" s="12"/>
      <c r="V752" s="12"/>
      <c r="W752" s="12"/>
      <c r="X752" s="12"/>
    </row>
    <row r="753" customFormat="false" ht="15.75" hidden="false" customHeight="false" outlineLevel="0" collapsed="false">
      <c r="A753" s="12"/>
      <c r="B753" s="34"/>
      <c r="C753" s="12"/>
      <c r="D753" s="12"/>
      <c r="E753" s="12"/>
      <c r="F753" s="12"/>
      <c r="G753" s="18"/>
      <c r="H753" s="35"/>
      <c r="I753" s="12"/>
      <c r="M753" s="12"/>
      <c r="N753" s="18"/>
      <c r="O753" s="12"/>
      <c r="P753" s="12"/>
      <c r="Q753" s="12"/>
      <c r="R753" s="36"/>
      <c r="S753" s="36"/>
      <c r="T753" s="12"/>
      <c r="U753" s="12"/>
      <c r="V753" s="12"/>
      <c r="W753" s="12"/>
      <c r="X753" s="12"/>
    </row>
    <row r="754" customFormat="false" ht="15.75" hidden="false" customHeight="false" outlineLevel="0" collapsed="false">
      <c r="A754" s="12"/>
      <c r="B754" s="34"/>
      <c r="C754" s="12"/>
      <c r="D754" s="12"/>
      <c r="E754" s="12"/>
      <c r="F754" s="12"/>
      <c r="G754" s="18"/>
      <c r="H754" s="35"/>
      <c r="I754" s="12"/>
      <c r="M754" s="12"/>
      <c r="N754" s="18"/>
      <c r="O754" s="12"/>
      <c r="P754" s="12"/>
      <c r="Q754" s="12"/>
      <c r="R754" s="36"/>
      <c r="S754" s="36"/>
      <c r="T754" s="12"/>
      <c r="U754" s="12"/>
      <c r="V754" s="12"/>
      <c r="W754" s="12"/>
      <c r="X754" s="12"/>
    </row>
    <row r="755" customFormat="false" ht="15.75" hidden="false" customHeight="false" outlineLevel="0" collapsed="false">
      <c r="A755" s="12"/>
      <c r="B755" s="34"/>
      <c r="C755" s="12"/>
      <c r="D755" s="12"/>
      <c r="E755" s="12"/>
      <c r="F755" s="12"/>
      <c r="G755" s="18"/>
      <c r="H755" s="35"/>
      <c r="I755" s="12"/>
      <c r="M755" s="12"/>
      <c r="N755" s="18"/>
      <c r="O755" s="12"/>
      <c r="P755" s="12"/>
      <c r="Q755" s="12"/>
      <c r="R755" s="36"/>
      <c r="S755" s="36"/>
      <c r="T755" s="12"/>
      <c r="U755" s="12"/>
      <c r="V755" s="12"/>
      <c r="W755" s="12"/>
      <c r="X755" s="12"/>
    </row>
    <row r="756" customFormat="false" ht="15.75" hidden="false" customHeight="false" outlineLevel="0" collapsed="false">
      <c r="A756" s="12"/>
      <c r="B756" s="34"/>
      <c r="C756" s="12"/>
      <c r="D756" s="12"/>
      <c r="E756" s="12"/>
      <c r="F756" s="12"/>
      <c r="G756" s="18"/>
      <c r="H756" s="35"/>
      <c r="I756" s="12"/>
      <c r="M756" s="12"/>
      <c r="N756" s="18"/>
      <c r="O756" s="12"/>
      <c r="P756" s="12"/>
      <c r="Q756" s="12"/>
      <c r="R756" s="36"/>
      <c r="S756" s="36"/>
      <c r="T756" s="12"/>
      <c r="U756" s="12"/>
      <c r="V756" s="12"/>
      <c r="W756" s="12"/>
      <c r="X756" s="12"/>
    </row>
    <row r="757" customFormat="false" ht="15.75" hidden="false" customHeight="false" outlineLevel="0" collapsed="false">
      <c r="A757" s="12"/>
      <c r="B757" s="34"/>
      <c r="C757" s="12"/>
      <c r="D757" s="12"/>
      <c r="E757" s="12"/>
      <c r="F757" s="12"/>
      <c r="G757" s="18"/>
      <c r="H757" s="35"/>
      <c r="I757" s="12"/>
      <c r="M757" s="12"/>
      <c r="N757" s="18"/>
      <c r="O757" s="12"/>
      <c r="P757" s="12"/>
      <c r="Q757" s="12"/>
      <c r="R757" s="36"/>
      <c r="S757" s="36"/>
      <c r="T757" s="12"/>
      <c r="U757" s="12"/>
      <c r="V757" s="12"/>
      <c r="W757" s="12"/>
      <c r="X757" s="12"/>
    </row>
    <row r="758" customFormat="false" ht="15.75" hidden="false" customHeight="false" outlineLevel="0" collapsed="false">
      <c r="A758" s="12"/>
      <c r="B758" s="34"/>
      <c r="C758" s="12"/>
      <c r="D758" s="12"/>
      <c r="E758" s="12"/>
      <c r="F758" s="12"/>
      <c r="G758" s="18"/>
      <c r="H758" s="35"/>
      <c r="I758" s="12"/>
      <c r="M758" s="12"/>
      <c r="N758" s="18"/>
      <c r="O758" s="12"/>
      <c r="P758" s="12"/>
      <c r="Q758" s="12"/>
      <c r="R758" s="36"/>
      <c r="S758" s="36"/>
      <c r="T758" s="12"/>
      <c r="U758" s="12"/>
      <c r="V758" s="12"/>
      <c r="W758" s="12"/>
      <c r="X758" s="12"/>
    </row>
    <row r="759" customFormat="false" ht="15.75" hidden="false" customHeight="false" outlineLevel="0" collapsed="false">
      <c r="A759" s="12"/>
      <c r="B759" s="34"/>
      <c r="C759" s="12"/>
      <c r="D759" s="12"/>
      <c r="E759" s="12"/>
      <c r="F759" s="12"/>
      <c r="G759" s="18"/>
      <c r="H759" s="35"/>
      <c r="I759" s="12"/>
      <c r="M759" s="12"/>
      <c r="N759" s="18"/>
      <c r="O759" s="12"/>
      <c r="P759" s="12"/>
      <c r="Q759" s="12"/>
      <c r="R759" s="36"/>
      <c r="S759" s="36"/>
      <c r="T759" s="12"/>
      <c r="U759" s="12"/>
      <c r="V759" s="12"/>
      <c r="W759" s="12"/>
      <c r="X759" s="12"/>
    </row>
    <row r="760" customFormat="false" ht="15.75" hidden="false" customHeight="false" outlineLevel="0" collapsed="false">
      <c r="A760" s="12"/>
      <c r="B760" s="34"/>
      <c r="C760" s="12"/>
      <c r="D760" s="12"/>
      <c r="E760" s="12"/>
      <c r="F760" s="12"/>
      <c r="G760" s="18"/>
      <c r="H760" s="35"/>
      <c r="I760" s="12"/>
      <c r="M760" s="12"/>
      <c r="N760" s="18"/>
      <c r="O760" s="12"/>
      <c r="P760" s="12"/>
      <c r="Q760" s="12"/>
      <c r="R760" s="36"/>
      <c r="S760" s="36"/>
      <c r="T760" s="12"/>
      <c r="U760" s="12"/>
      <c r="V760" s="12"/>
      <c r="W760" s="12"/>
      <c r="X760" s="12"/>
    </row>
    <row r="761" customFormat="false" ht="15.75" hidden="false" customHeight="false" outlineLevel="0" collapsed="false">
      <c r="A761" s="12"/>
      <c r="B761" s="34"/>
      <c r="C761" s="12"/>
      <c r="D761" s="12"/>
      <c r="E761" s="12"/>
      <c r="F761" s="12"/>
      <c r="G761" s="18"/>
      <c r="H761" s="35"/>
      <c r="I761" s="12"/>
      <c r="M761" s="12"/>
      <c r="N761" s="18"/>
      <c r="O761" s="12"/>
      <c r="P761" s="12"/>
      <c r="Q761" s="12"/>
      <c r="R761" s="36"/>
      <c r="S761" s="36"/>
      <c r="T761" s="12"/>
      <c r="U761" s="12"/>
      <c r="V761" s="12"/>
      <c r="W761" s="12"/>
      <c r="X761" s="12"/>
    </row>
    <row r="762" customFormat="false" ht="15.75" hidden="false" customHeight="false" outlineLevel="0" collapsed="false">
      <c r="A762" s="12"/>
      <c r="B762" s="34"/>
      <c r="C762" s="12"/>
      <c r="D762" s="12"/>
      <c r="E762" s="12"/>
      <c r="F762" s="12"/>
      <c r="G762" s="18"/>
      <c r="H762" s="35"/>
      <c r="I762" s="12"/>
      <c r="M762" s="12"/>
      <c r="N762" s="18"/>
      <c r="O762" s="12"/>
      <c r="P762" s="12"/>
      <c r="Q762" s="12"/>
      <c r="R762" s="36"/>
      <c r="S762" s="36"/>
      <c r="T762" s="12"/>
      <c r="U762" s="12"/>
      <c r="V762" s="12"/>
      <c r="W762" s="12"/>
      <c r="X762" s="12"/>
    </row>
    <row r="763" customFormat="false" ht="15.75" hidden="false" customHeight="false" outlineLevel="0" collapsed="false">
      <c r="A763" s="12"/>
      <c r="B763" s="34"/>
      <c r="C763" s="12"/>
      <c r="D763" s="12"/>
      <c r="E763" s="12"/>
      <c r="F763" s="12"/>
      <c r="G763" s="18"/>
      <c r="H763" s="35"/>
      <c r="I763" s="12"/>
      <c r="M763" s="12"/>
      <c r="N763" s="18"/>
      <c r="O763" s="12"/>
      <c r="P763" s="12"/>
      <c r="Q763" s="12"/>
      <c r="R763" s="36"/>
      <c r="S763" s="36"/>
      <c r="T763" s="12"/>
      <c r="U763" s="12"/>
      <c r="V763" s="12"/>
      <c r="W763" s="12"/>
      <c r="X763" s="12"/>
    </row>
    <row r="764" customFormat="false" ht="15.75" hidden="false" customHeight="false" outlineLevel="0" collapsed="false">
      <c r="A764" s="12"/>
      <c r="B764" s="34"/>
      <c r="C764" s="12"/>
      <c r="D764" s="12"/>
      <c r="E764" s="12"/>
      <c r="F764" s="12"/>
      <c r="G764" s="18"/>
      <c r="H764" s="35"/>
      <c r="I764" s="12"/>
      <c r="M764" s="12"/>
      <c r="N764" s="18"/>
      <c r="O764" s="12"/>
      <c r="P764" s="12"/>
      <c r="Q764" s="12"/>
      <c r="R764" s="36"/>
      <c r="S764" s="36"/>
      <c r="T764" s="12"/>
      <c r="U764" s="12"/>
      <c r="V764" s="12"/>
      <c r="W764" s="12"/>
      <c r="X764" s="12"/>
    </row>
    <row r="765" customFormat="false" ht="15.75" hidden="false" customHeight="false" outlineLevel="0" collapsed="false">
      <c r="A765" s="12"/>
      <c r="B765" s="34"/>
      <c r="C765" s="12"/>
      <c r="D765" s="12"/>
      <c r="E765" s="12"/>
      <c r="F765" s="12"/>
      <c r="G765" s="18"/>
      <c r="H765" s="35"/>
      <c r="I765" s="12"/>
      <c r="M765" s="12"/>
      <c r="N765" s="18"/>
      <c r="O765" s="12"/>
      <c r="P765" s="12"/>
      <c r="Q765" s="12"/>
      <c r="R765" s="36"/>
      <c r="S765" s="36"/>
      <c r="T765" s="12"/>
      <c r="U765" s="12"/>
      <c r="V765" s="12"/>
      <c r="W765" s="12"/>
      <c r="X765" s="12"/>
    </row>
    <row r="766" customFormat="false" ht="15.75" hidden="false" customHeight="false" outlineLevel="0" collapsed="false">
      <c r="A766" s="12"/>
      <c r="B766" s="34"/>
      <c r="C766" s="12"/>
      <c r="D766" s="12"/>
      <c r="E766" s="12"/>
      <c r="F766" s="12"/>
      <c r="G766" s="18"/>
      <c r="H766" s="35"/>
      <c r="I766" s="12"/>
      <c r="M766" s="12"/>
      <c r="N766" s="18"/>
      <c r="O766" s="12"/>
      <c r="P766" s="12"/>
      <c r="Q766" s="12"/>
      <c r="R766" s="36"/>
      <c r="S766" s="36"/>
      <c r="T766" s="12"/>
      <c r="U766" s="12"/>
      <c r="V766" s="12"/>
      <c r="W766" s="12"/>
      <c r="X766" s="12"/>
    </row>
    <row r="767" customFormat="false" ht="15.75" hidden="false" customHeight="false" outlineLevel="0" collapsed="false">
      <c r="A767" s="12"/>
      <c r="B767" s="34"/>
      <c r="C767" s="12"/>
      <c r="D767" s="12"/>
      <c r="E767" s="12"/>
      <c r="F767" s="12"/>
      <c r="G767" s="18"/>
      <c r="H767" s="35"/>
      <c r="I767" s="12"/>
      <c r="M767" s="12"/>
      <c r="N767" s="18"/>
      <c r="O767" s="12"/>
      <c r="P767" s="12"/>
      <c r="Q767" s="12"/>
      <c r="R767" s="36"/>
      <c r="S767" s="36"/>
      <c r="T767" s="12"/>
      <c r="U767" s="12"/>
      <c r="V767" s="12"/>
      <c r="W767" s="12"/>
      <c r="X767" s="12"/>
    </row>
    <row r="768" customFormat="false" ht="15.75" hidden="false" customHeight="false" outlineLevel="0" collapsed="false">
      <c r="A768" s="12"/>
      <c r="B768" s="34"/>
      <c r="C768" s="12"/>
      <c r="D768" s="12"/>
      <c r="E768" s="12"/>
      <c r="F768" s="12"/>
      <c r="G768" s="18"/>
      <c r="H768" s="35"/>
      <c r="I768" s="12"/>
      <c r="M768" s="12"/>
      <c r="N768" s="18"/>
      <c r="O768" s="12"/>
      <c r="P768" s="12"/>
      <c r="Q768" s="12"/>
      <c r="R768" s="36"/>
      <c r="S768" s="36"/>
      <c r="T768" s="12"/>
      <c r="U768" s="12"/>
      <c r="V768" s="12"/>
      <c r="W768" s="12"/>
      <c r="X768" s="12"/>
    </row>
    <row r="769" customFormat="false" ht="15.75" hidden="false" customHeight="false" outlineLevel="0" collapsed="false">
      <c r="A769" s="12"/>
      <c r="B769" s="34"/>
      <c r="C769" s="12"/>
      <c r="D769" s="12"/>
      <c r="E769" s="12"/>
      <c r="F769" s="12"/>
      <c r="G769" s="18"/>
      <c r="H769" s="35"/>
      <c r="I769" s="12"/>
      <c r="M769" s="12"/>
      <c r="N769" s="18"/>
      <c r="O769" s="12"/>
      <c r="P769" s="12"/>
      <c r="Q769" s="12"/>
      <c r="R769" s="36"/>
      <c r="S769" s="36"/>
      <c r="T769" s="12"/>
      <c r="U769" s="12"/>
      <c r="V769" s="12"/>
      <c r="W769" s="12"/>
      <c r="X769" s="12"/>
    </row>
    <row r="770" customFormat="false" ht="15.75" hidden="false" customHeight="false" outlineLevel="0" collapsed="false">
      <c r="A770" s="12"/>
      <c r="B770" s="34"/>
      <c r="C770" s="12"/>
      <c r="D770" s="12"/>
      <c r="E770" s="12"/>
      <c r="F770" s="12"/>
      <c r="G770" s="18"/>
      <c r="H770" s="35"/>
      <c r="I770" s="12"/>
      <c r="M770" s="12"/>
      <c r="N770" s="18"/>
      <c r="O770" s="12"/>
      <c r="P770" s="12"/>
      <c r="Q770" s="12"/>
      <c r="R770" s="36"/>
      <c r="S770" s="36"/>
      <c r="T770" s="12"/>
      <c r="U770" s="12"/>
      <c r="V770" s="12"/>
      <c r="W770" s="12"/>
      <c r="X770" s="12"/>
    </row>
    <row r="771" customFormat="false" ht="15.75" hidden="false" customHeight="false" outlineLevel="0" collapsed="false">
      <c r="A771" s="12"/>
      <c r="B771" s="34"/>
      <c r="C771" s="12"/>
      <c r="D771" s="12"/>
      <c r="E771" s="12"/>
      <c r="F771" s="12"/>
      <c r="G771" s="18"/>
      <c r="H771" s="35"/>
      <c r="I771" s="12"/>
      <c r="M771" s="12"/>
      <c r="N771" s="18"/>
      <c r="O771" s="12"/>
      <c r="P771" s="12"/>
      <c r="Q771" s="12"/>
      <c r="R771" s="36"/>
      <c r="S771" s="36"/>
      <c r="T771" s="12"/>
      <c r="U771" s="12"/>
      <c r="V771" s="12"/>
      <c r="W771" s="12"/>
      <c r="X771" s="12"/>
    </row>
    <row r="772" customFormat="false" ht="15.75" hidden="false" customHeight="false" outlineLevel="0" collapsed="false">
      <c r="A772" s="12"/>
      <c r="B772" s="34"/>
      <c r="C772" s="12"/>
      <c r="D772" s="12"/>
      <c r="E772" s="12"/>
      <c r="F772" s="12"/>
      <c r="G772" s="18"/>
      <c r="H772" s="35"/>
      <c r="I772" s="12"/>
      <c r="M772" s="12"/>
      <c r="N772" s="18"/>
      <c r="O772" s="12"/>
      <c r="P772" s="12"/>
      <c r="Q772" s="12"/>
      <c r="R772" s="36"/>
      <c r="S772" s="36"/>
      <c r="T772" s="12"/>
      <c r="U772" s="12"/>
      <c r="V772" s="12"/>
      <c r="W772" s="12"/>
      <c r="X772" s="12"/>
    </row>
    <row r="773" customFormat="false" ht="15.75" hidden="false" customHeight="false" outlineLevel="0" collapsed="false">
      <c r="A773" s="12"/>
      <c r="B773" s="34"/>
      <c r="C773" s="12"/>
      <c r="D773" s="12"/>
      <c r="E773" s="12"/>
      <c r="F773" s="12"/>
      <c r="G773" s="18"/>
      <c r="H773" s="35"/>
      <c r="I773" s="12"/>
      <c r="M773" s="12"/>
      <c r="N773" s="18"/>
      <c r="O773" s="12"/>
      <c r="P773" s="12"/>
      <c r="Q773" s="12"/>
      <c r="R773" s="36"/>
      <c r="S773" s="36"/>
      <c r="T773" s="12"/>
      <c r="U773" s="12"/>
      <c r="V773" s="12"/>
      <c r="W773" s="12"/>
      <c r="X773" s="12"/>
    </row>
    <row r="774" customFormat="false" ht="15.75" hidden="false" customHeight="false" outlineLevel="0" collapsed="false">
      <c r="A774" s="12"/>
      <c r="B774" s="34"/>
      <c r="C774" s="12"/>
      <c r="D774" s="12"/>
      <c r="E774" s="12"/>
      <c r="F774" s="12"/>
      <c r="G774" s="18"/>
      <c r="H774" s="35"/>
      <c r="I774" s="12"/>
      <c r="M774" s="12"/>
      <c r="N774" s="18"/>
      <c r="O774" s="12"/>
      <c r="P774" s="12"/>
      <c r="Q774" s="12"/>
      <c r="R774" s="36"/>
      <c r="S774" s="36"/>
      <c r="T774" s="12"/>
      <c r="U774" s="12"/>
      <c r="V774" s="12"/>
      <c r="W774" s="12"/>
      <c r="X774" s="12"/>
    </row>
    <row r="775" customFormat="false" ht="15.75" hidden="false" customHeight="false" outlineLevel="0" collapsed="false">
      <c r="A775" s="12"/>
      <c r="B775" s="34"/>
      <c r="C775" s="12"/>
      <c r="D775" s="12"/>
      <c r="E775" s="12"/>
      <c r="F775" s="12"/>
      <c r="G775" s="18"/>
      <c r="H775" s="35"/>
      <c r="I775" s="12"/>
      <c r="M775" s="12"/>
      <c r="N775" s="18"/>
      <c r="O775" s="12"/>
      <c r="P775" s="12"/>
      <c r="Q775" s="12"/>
      <c r="R775" s="36"/>
      <c r="S775" s="36"/>
      <c r="T775" s="12"/>
      <c r="U775" s="12"/>
      <c r="V775" s="12"/>
      <c r="W775" s="12"/>
      <c r="X775" s="12"/>
    </row>
    <row r="776" customFormat="false" ht="15.75" hidden="false" customHeight="false" outlineLevel="0" collapsed="false">
      <c r="A776" s="12"/>
      <c r="B776" s="34"/>
      <c r="C776" s="12"/>
      <c r="D776" s="12"/>
      <c r="E776" s="12"/>
      <c r="F776" s="12"/>
      <c r="G776" s="18"/>
      <c r="H776" s="35"/>
      <c r="I776" s="12"/>
      <c r="M776" s="12"/>
      <c r="N776" s="18"/>
      <c r="O776" s="12"/>
      <c r="P776" s="12"/>
      <c r="Q776" s="12"/>
      <c r="R776" s="36"/>
      <c r="S776" s="36"/>
      <c r="T776" s="12"/>
      <c r="U776" s="12"/>
      <c r="V776" s="12"/>
      <c r="W776" s="12"/>
      <c r="X776" s="12"/>
    </row>
    <row r="777" customFormat="false" ht="15.75" hidden="false" customHeight="false" outlineLevel="0" collapsed="false">
      <c r="A777" s="12"/>
      <c r="B777" s="34"/>
      <c r="C777" s="12"/>
      <c r="D777" s="12"/>
      <c r="E777" s="12"/>
      <c r="F777" s="12"/>
      <c r="G777" s="18"/>
      <c r="H777" s="35"/>
      <c r="I777" s="12"/>
      <c r="M777" s="12"/>
      <c r="N777" s="18"/>
      <c r="O777" s="12"/>
      <c r="P777" s="12"/>
      <c r="Q777" s="12"/>
      <c r="R777" s="36"/>
      <c r="S777" s="36"/>
      <c r="T777" s="12"/>
      <c r="U777" s="12"/>
      <c r="V777" s="12"/>
      <c r="W777" s="12"/>
      <c r="X777" s="12"/>
    </row>
    <row r="778" customFormat="false" ht="15.75" hidden="false" customHeight="false" outlineLevel="0" collapsed="false">
      <c r="A778" s="12"/>
      <c r="B778" s="34"/>
      <c r="C778" s="12"/>
      <c r="D778" s="12"/>
      <c r="E778" s="12"/>
      <c r="F778" s="12"/>
      <c r="G778" s="18"/>
      <c r="H778" s="35"/>
      <c r="I778" s="12"/>
      <c r="M778" s="12"/>
      <c r="N778" s="18"/>
      <c r="O778" s="12"/>
      <c r="P778" s="12"/>
      <c r="Q778" s="12"/>
      <c r="R778" s="36"/>
      <c r="S778" s="36"/>
      <c r="T778" s="12"/>
      <c r="U778" s="12"/>
      <c r="V778" s="12"/>
      <c r="W778" s="12"/>
      <c r="X778" s="12"/>
    </row>
    <row r="1048575" customFormat="false" ht="12.8" hidden="false" customHeight="true" outlineLevel="0" collapsed="false"/>
    <row r="1048576" customFormat="false" ht="12.8" hidden="false" customHeight="true" outlineLevel="0" collapsed="false"/>
  </sheetData>
  <conditionalFormatting sqref="R2:S778">
    <cfRule type="expression" priority="2" aboveAverage="0" equalAverage="0" bottom="0" percent="0" rank="0" text="" dxfId="0">
      <formula>LEN(TRIM(R2))&gt;0</formula>
    </cfRule>
  </conditionalFormatting>
  <conditionalFormatting sqref="Q2:Q778">
    <cfRule type="expression" priority="3" aboveAverage="0" equalAverage="0" bottom="0" percent="0" rank="0" text="" dxfId="0">
      <formula>LEN(TRIM(Q2))&gt;0</formula>
    </cfRule>
  </conditionalFormatting>
  <conditionalFormatting sqref="G2:G778 N2:N778">
    <cfRule type="containsText" priority="4" operator="containsText" aboveAverage="0" equalAverage="0" bottom="0" percent="0" rank="0" text="x" dxfId="0">
      <formula>NOT(ISERROR(SEARCH("x",G2)))</formula>
    </cfRule>
  </conditionalFormatting>
  <conditionalFormatting sqref="T2:T778">
    <cfRule type="expression" priority="5" aboveAverage="0" equalAverage="0" bottom="0" percent="0" rank="0" text="" dxfId="0">
      <formula>LEN(TRIM(T2))&gt;0</formula>
    </cfRule>
  </conditionalFormatting>
  <conditionalFormatting sqref="W2:W778">
    <cfRule type="expression" priority="6" aboveAverage="0" equalAverage="0" bottom="0" percent="0" rank="0" text="" dxfId="0">
      <formula>LEN(TRIM(W2))&gt;0</formula>
    </cfRule>
  </conditionalFormatting>
  <conditionalFormatting sqref="X2:X778">
    <cfRule type="cellIs" priority="7" operator="equal" aboveAverage="0" equalAverage="0" bottom="0" percent="0" rank="0" text="" dxfId="0">
      <formula>"Completo"</formula>
    </cfRule>
    <cfRule type="cellIs" priority="8" operator="equal" aboveAverage="0" equalAverage="0" bottom="0" percent="0" rank="0" text="" dxfId="1">
      <formula>"No aplica"</formula>
    </cfRule>
  </conditionalFormatting>
  <conditionalFormatting sqref="G2:I778 O2:P778 U2:V778 X2:X778">
    <cfRule type="cellIs" priority="9" operator="equal" aboveAverage="0" equalAverage="0" bottom="0" percent="0" rank="0" text="" dxfId="0">
      <formula>"Completo"</formula>
    </cfRule>
    <cfRule type="cellIs" priority="10" operator="equal" aboveAverage="0" equalAverage="0" bottom="0" percent="0" rank="0" text="" dxfId="1">
      <formula>"No Aplica"</formula>
    </cfRule>
  </conditionalFormatting>
  <dataValidations count="5">
    <dataValidation allowBlank="true" errorStyle="stop" operator="between" showDropDown="false" showErrorMessage="false" showInputMessage="false" sqref="T2:T778" type="list">
      <formula1>LEYENDA!$A$23:$A$24</formula1>
      <formula2>0</formula2>
    </dataValidation>
    <dataValidation allowBlank="true" errorStyle="stop" operator="between" showDropDown="false" showErrorMessage="true" showInputMessage="false" sqref="D2:D778" type="list">
      <formula1>LEYENDA!$B$2:$D$2</formula1>
      <formula2>0</formula2>
    </dataValidation>
    <dataValidation allowBlank="true" errorStyle="stop" operator="between" showDropDown="false" showErrorMessage="false" showInputMessage="false" sqref="R2:R778" type="list">
      <formula1>LEYENDA!$A$15:$A$19</formula1>
      <formula2>0</formula2>
    </dataValidation>
    <dataValidation allowBlank="true" errorStyle="stop" operator="between" showDropDown="false" showErrorMessage="true" showInputMessage="false" sqref="H2:I778 O2:P778 U2:V778 X2:X778" type="list">
      <formula1>LEYENDA!$B$1:$C$1</formula1>
      <formula2>0</formula2>
    </dataValidation>
    <dataValidation allowBlank="true" errorStyle="stop" operator="between" showDropDown="false" showErrorMessage="false" showInputMessage="false" sqref="E2:E778" type="list">
      <formula1>LEYENDA!$A$8:$A$12</formula1>
      <formula2>0</formula2>
    </dataValidation>
  </dataValidations>
  <hyperlinks>
    <hyperlink ref="U3" r:id="rId1" display="Completo"/>
    <hyperlink ref="V3" r:id="rId2" display="Completo"/>
    <hyperlink ref="U5" r:id="rId3" display="Completo"/>
    <hyperlink ref="V5" r:id="rId4" display="Completo"/>
    <hyperlink ref="P6" r:id="rId5" display="Completo"/>
    <hyperlink ref="U6" r:id="rId6" display="Completo"/>
    <hyperlink ref="V6" r:id="rId7" display="Completo"/>
    <hyperlink ref="P11" r:id="rId8" display="Completo"/>
    <hyperlink ref="U12" r:id="rId9" display="Completo"/>
    <hyperlink ref="V12" r:id="rId10" display="Completo"/>
    <hyperlink ref="U17" r:id="rId11" display="Completo"/>
    <hyperlink ref="V17" r:id="rId12" display="Completo"/>
    <hyperlink ref="U26" r:id="rId13" display="Completo"/>
    <hyperlink ref="V26" r:id="rId14" display="Completo"/>
    <hyperlink ref="P31" r:id="rId15" display="Completo"/>
    <hyperlink ref="P32" r:id="rId16" display="Completo"/>
    <hyperlink ref="U32" r:id="rId17" display="Completo"/>
    <hyperlink ref="V32" r:id="rId18" display="Completo"/>
    <hyperlink ref="P38" r:id="rId19" display="Completo"/>
    <hyperlink ref="U38" r:id="rId20" display="Completo"/>
    <hyperlink ref="V38" r:id="rId21" display="Completo"/>
    <hyperlink ref="P39" r:id="rId22" display="Completo"/>
    <hyperlink ref="U39" r:id="rId23" display="Completo"/>
    <hyperlink ref="V39" r:id="rId24" display="Completo"/>
    <hyperlink ref="P43" r:id="rId25" display="Completo"/>
    <hyperlink ref="U43" r:id="rId26" display="Completo"/>
    <hyperlink ref="V43" r:id="rId27" display="Completo"/>
    <hyperlink ref="P45" r:id="rId28" display="Completo"/>
    <hyperlink ref="U45" r:id="rId29" display="Completo"/>
    <hyperlink ref="V45" r:id="rId30" display="Completo"/>
    <hyperlink ref="P53" r:id="rId31" display="Completo"/>
    <hyperlink ref="U53" r:id="rId32" display="Completo"/>
    <hyperlink ref="V53" r:id="rId33" display="Completo"/>
    <hyperlink ref="U54" r:id="rId34" display="Completo"/>
    <hyperlink ref="V54" r:id="rId35" display="Completo"/>
    <hyperlink ref="P55" r:id="rId36" display="Completo"/>
    <hyperlink ref="U55" r:id="rId37" display="Completo"/>
    <hyperlink ref="V55" r:id="rId38" display="Completo"/>
    <hyperlink ref="P58" r:id="rId39" display="Completo"/>
    <hyperlink ref="U58" r:id="rId40" display="Completo"/>
    <hyperlink ref="V58" r:id="rId41" display="Completo"/>
    <hyperlink ref="P59" r:id="rId42" display="Completo"/>
    <hyperlink ref="U59" r:id="rId43" display="Completo"/>
    <hyperlink ref="V59" r:id="rId44" display="Completo"/>
    <hyperlink ref="P60" r:id="rId45" display="Completo"/>
    <hyperlink ref="U60" r:id="rId46" display="Completo"/>
    <hyperlink ref="P61" r:id="rId47" display="Completo"/>
    <hyperlink ref="U61" r:id="rId48" display="Completo"/>
    <hyperlink ref="V61" r:id="rId49" display="Completo"/>
    <hyperlink ref="P62" r:id="rId50" display="Completo"/>
    <hyperlink ref="U62" r:id="rId51" display="Completo"/>
    <hyperlink ref="V62" r:id="rId52" display="Completo"/>
    <hyperlink ref="P63" r:id="rId53" display="Completo"/>
    <hyperlink ref="U63" r:id="rId54" display="Completo"/>
    <hyperlink ref="V63" r:id="rId55" display="Completo"/>
    <hyperlink ref="P64" r:id="rId56" display="Completo"/>
    <hyperlink ref="U64" r:id="rId57" display="Completo"/>
    <hyperlink ref="V64" r:id="rId58" display="Completo"/>
    <hyperlink ref="P65" r:id="rId59" display="Completo"/>
    <hyperlink ref="U65" r:id="rId60" display="Completo"/>
    <hyperlink ref="V65" r:id="rId61" display="Completo"/>
    <hyperlink ref="P66" r:id="rId62" display="Completo"/>
    <hyperlink ref="U66" r:id="rId63" display="Completo"/>
    <hyperlink ref="V66" r:id="rId64" display="Completo"/>
    <hyperlink ref="U67" r:id="rId65" display="Completo"/>
    <hyperlink ref="V67" r:id="rId66" display="Completo"/>
  </hyperlinks>
  <printOptions headings="false" gridLines="true" gridLinesSet="true" horizontalCentered="true" verticalCentered="false"/>
  <pageMargins left="0.7" right="0.7" top="0.75" bottom="0.75" header="0.511811023622047" footer="0.511811023622047"/>
  <pageSetup paperSize="9" scale="100" fitToWidth="1" fitToHeight="0" pageOrder="overThenDown" orientation="landscape" blackAndWhite="false" draft="false" cellComments="none" horizontalDpi="300" verticalDpi="300" copies="1"/>
  <headerFooter differentFirst="false" differentOddEven="false">
    <oddHeader/>
    <oddFooter/>
  </headerFooter>
  <drawing r:id="rId67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AF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6" ySplit="3" topLeftCell="G4" activePane="bottomRight" state="frozen"/>
      <selection pane="topLeft" activeCell="A1" activeCellId="0" sqref="A1"/>
      <selection pane="topRight" activeCell="G1" activeCellId="0" sqref="G1"/>
      <selection pane="bottomLeft" activeCell="A4" activeCellId="0" sqref="A4"/>
      <selection pane="bottomRight" activeCell="G1" activeCellId="0" sqref="G1"/>
    </sheetView>
  </sheetViews>
  <sheetFormatPr defaultColWidth="12.6328125" defaultRowHeight="15.75" zeroHeight="false" outlineLevelRow="0" outlineLevelCol="0"/>
  <cols>
    <col collapsed="false" customWidth="true" hidden="false" outlineLevel="0" max="1" min="1" style="1" width="10.25"/>
    <col collapsed="false" customWidth="true" hidden="false" outlineLevel="0" max="2" min="2" style="1" width="10.38"/>
    <col collapsed="false" customWidth="true" hidden="false" outlineLevel="0" max="3" min="3" style="1" width="16.89"/>
    <col collapsed="false" customWidth="true" hidden="false" outlineLevel="0" max="4" min="4" style="1" width="11.25"/>
    <col collapsed="false" customWidth="true" hidden="false" outlineLevel="0" max="5" min="5" style="1" width="17.13"/>
    <col collapsed="false" customWidth="true" hidden="false" outlineLevel="0" max="6" min="6" style="1" width="31.25"/>
    <col collapsed="false" customWidth="true" hidden="false" outlineLevel="0" max="7" min="7" style="1" width="15.88"/>
    <col collapsed="false" customWidth="true" hidden="false" outlineLevel="0" max="8" min="8" style="1" width="10.88"/>
    <col collapsed="false" customWidth="true" hidden="false" outlineLevel="0" max="9" min="9" style="1" width="12.88"/>
    <col collapsed="false" customWidth="true" hidden="false" outlineLevel="0" max="10" min="10" style="1" width="12"/>
    <col collapsed="false" customWidth="true" hidden="false" outlineLevel="0" max="11" min="11" style="1" width="10"/>
    <col collapsed="false" customWidth="true" hidden="false" outlineLevel="0" max="12" min="12" style="1" width="12.25"/>
    <col collapsed="false" customWidth="true" hidden="false" outlineLevel="0" max="13" min="13" style="1" width="26.12"/>
    <col collapsed="false" customWidth="true" hidden="false" outlineLevel="0" max="14" min="14" style="1" width="18"/>
    <col collapsed="false" customWidth="true" hidden="false" outlineLevel="0" max="16" min="15" style="1" width="10.63"/>
    <col collapsed="false" customWidth="true" hidden="false" outlineLevel="0" max="17" min="17" style="1" width="8.5"/>
    <col collapsed="false" customWidth="true" hidden="false" outlineLevel="0" max="19" min="19" style="1" width="25.38"/>
    <col collapsed="false" customWidth="true" hidden="false" outlineLevel="0" max="20" min="20" style="1" width="17.88"/>
    <col collapsed="false" customWidth="true" hidden="false" outlineLevel="0" max="21" min="21" style="1" width="10.13"/>
    <col collapsed="false" customWidth="true" hidden="false" outlineLevel="0" max="22" min="22" style="1" width="11.12"/>
    <col collapsed="false" customWidth="true" hidden="false" outlineLevel="0" max="23" min="23" style="1" width="24.88"/>
  </cols>
  <sheetData>
    <row r="1" customFormat="false" ht="68" hidden="false" customHeight="false" outlineLevel="0" collapsed="false">
      <c r="A1" s="2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/>
      <c r="J1" s="4" t="s">
        <v>8</v>
      </c>
      <c r="K1" s="2"/>
      <c r="L1" s="2" t="s">
        <v>9</v>
      </c>
      <c r="M1" s="2" t="s">
        <v>10</v>
      </c>
      <c r="N1" s="4" t="s">
        <v>11</v>
      </c>
      <c r="O1" s="3" t="s">
        <v>12</v>
      </c>
      <c r="P1" s="7" t="s">
        <v>13</v>
      </c>
      <c r="Q1" s="7" t="s">
        <v>14</v>
      </c>
      <c r="R1" s="7" t="s">
        <v>15</v>
      </c>
      <c r="S1" s="7" t="s">
        <v>16</v>
      </c>
      <c r="T1" s="7" t="s">
        <v>17</v>
      </c>
      <c r="U1" s="8" t="s">
        <v>18</v>
      </c>
      <c r="V1" s="9" t="s">
        <v>19</v>
      </c>
      <c r="W1" s="9" t="s">
        <v>20</v>
      </c>
      <c r="X1" s="10" t="s">
        <v>15</v>
      </c>
      <c r="Y1" s="11" t="s">
        <v>21</v>
      </c>
      <c r="Z1" s="11" t="s">
        <v>22</v>
      </c>
      <c r="AA1" s="12"/>
      <c r="AB1" s="12"/>
      <c r="AC1" s="12"/>
      <c r="AD1" s="12"/>
      <c r="AE1" s="12"/>
      <c r="AF1" s="12"/>
    </row>
    <row r="2" customFormat="false" ht="15.75" hidden="false" customHeight="false" outlineLevel="0" collapsed="false">
      <c r="A2" s="61" t="n">
        <v>6480</v>
      </c>
      <c r="B2" s="29" t="n">
        <v>44713</v>
      </c>
      <c r="C2" s="21" t="s">
        <v>2976</v>
      </c>
      <c r="D2" s="21" t="s">
        <v>24</v>
      </c>
      <c r="E2" s="21" t="s">
        <v>25</v>
      </c>
      <c r="F2" s="21" t="s">
        <v>2977</v>
      </c>
      <c r="G2" s="30" t="s">
        <v>2978</v>
      </c>
      <c r="H2" s="45" t="str">
        <f aca="false">HYPERLINK("https://photos.app.goo.gl/JQeGZzCRfNCf9Pzg7", "Completo")</f>
        <v>Completo</v>
      </c>
      <c r="I2" s="21" t="s">
        <v>28</v>
      </c>
      <c r="J2" s="21"/>
      <c r="K2" s="21"/>
      <c r="L2" s="21"/>
      <c r="M2" s="21"/>
      <c r="N2" s="30"/>
      <c r="O2" s="21"/>
      <c r="P2" s="66"/>
      <c r="Q2" s="21"/>
      <c r="R2" s="32"/>
      <c r="S2" s="32"/>
      <c r="T2" s="21"/>
      <c r="U2" s="66"/>
      <c r="V2" s="21"/>
      <c r="W2" s="21"/>
      <c r="X2" s="21" t="s">
        <v>28</v>
      </c>
    </row>
    <row r="3" customFormat="false" ht="15.75" hidden="false" customHeight="false" outlineLevel="0" collapsed="false">
      <c r="A3" s="61" t="n">
        <v>6481</v>
      </c>
      <c r="B3" s="29" t="n">
        <v>44713</v>
      </c>
      <c r="C3" s="21" t="s">
        <v>205</v>
      </c>
      <c r="D3" s="21" t="s">
        <v>24</v>
      </c>
      <c r="E3" s="21" t="s">
        <v>34</v>
      </c>
      <c r="F3" s="21" t="s">
        <v>2979</v>
      </c>
      <c r="G3" s="30"/>
      <c r="H3" s="31" t="s">
        <v>28</v>
      </c>
      <c r="I3" s="21"/>
      <c r="J3" s="21"/>
      <c r="K3" s="21"/>
      <c r="L3" s="21"/>
      <c r="M3" s="21"/>
      <c r="N3" s="30"/>
      <c r="O3" s="21"/>
      <c r="P3" s="66"/>
      <c r="Q3" s="21"/>
      <c r="R3" s="32"/>
      <c r="S3" s="32"/>
      <c r="T3" s="21"/>
      <c r="U3" s="66"/>
      <c r="V3" s="21"/>
      <c r="W3" s="21"/>
      <c r="X3" s="21" t="s">
        <v>28</v>
      </c>
    </row>
    <row r="4" customFormat="false" ht="15.75" hidden="false" customHeight="false" outlineLevel="0" collapsed="false">
      <c r="A4" s="61" t="n">
        <v>6482</v>
      </c>
      <c r="B4" s="29" t="n">
        <v>44713</v>
      </c>
      <c r="C4" s="21" t="s">
        <v>1569</v>
      </c>
      <c r="D4" s="21" t="s">
        <v>24</v>
      </c>
      <c r="E4" s="21" t="s">
        <v>25</v>
      </c>
      <c r="F4" s="21" t="s">
        <v>1554</v>
      </c>
      <c r="G4" s="30" t="s">
        <v>2980</v>
      </c>
      <c r="H4" s="45" t="str">
        <f aca="false">HYPERLINK("https://photos.app.goo.gl/rvVosAxSX8EJ46dG9", "Completo")</f>
        <v>Completo</v>
      </c>
      <c r="I4" s="21" t="s">
        <v>28</v>
      </c>
      <c r="J4" s="21"/>
      <c r="K4" s="21"/>
      <c r="L4" s="21"/>
      <c r="M4" s="21"/>
      <c r="N4" s="30"/>
      <c r="O4" s="21" t="s">
        <v>28</v>
      </c>
      <c r="P4" s="74" t="s">
        <v>28</v>
      </c>
      <c r="Q4" s="21" t="s">
        <v>2981</v>
      </c>
      <c r="R4" s="32" t="s">
        <v>2850</v>
      </c>
      <c r="S4" s="32" t="s">
        <v>36</v>
      </c>
      <c r="T4" s="21" t="s">
        <v>74</v>
      </c>
      <c r="U4" s="74" t="s">
        <v>28</v>
      </c>
      <c r="V4" s="74" t="s">
        <v>28</v>
      </c>
      <c r="W4" s="21" t="s">
        <v>36</v>
      </c>
      <c r="X4" s="21" t="s">
        <v>28</v>
      </c>
    </row>
    <row r="5" customFormat="false" ht="15.75" hidden="false" customHeight="false" outlineLevel="0" collapsed="false">
      <c r="A5" s="61" t="n">
        <v>6483</v>
      </c>
      <c r="B5" s="29" t="n">
        <v>44714</v>
      </c>
      <c r="C5" s="21" t="s">
        <v>716</v>
      </c>
      <c r="D5" s="21" t="s">
        <v>24</v>
      </c>
      <c r="E5" s="21" t="s">
        <v>25</v>
      </c>
      <c r="F5" s="21" t="s">
        <v>2982</v>
      </c>
      <c r="G5" s="30"/>
      <c r="H5" s="45" t="str">
        <f aca="false">HYPERLINK("https://photos.app.goo.gl/SXJTSfbX6H16N1Pb9", "Completo")</f>
        <v>Completo</v>
      </c>
      <c r="I5" s="21" t="s">
        <v>28</v>
      </c>
      <c r="J5" s="21"/>
      <c r="K5" s="21"/>
      <c r="L5" s="21"/>
      <c r="M5" s="21"/>
      <c r="N5" s="30"/>
      <c r="O5" s="21" t="s">
        <v>28</v>
      </c>
      <c r="P5" s="66" t="s">
        <v>28</v>
      </c>
      <c r="Q5" s="21" t="s">
        <v>2983</v>
      </c>
      <c r="R5" s="32" t="s">
        <v>2850</v>
      </c>
      <c r="S5" s="32" t="s">
        <v>36</v>
      </c>
      <c r="T5" s="21"/>
      <c r="U5" s="21"/>
      <c r="V5" s="21"/>
      <c r="W5" s="21"/>
      <c r="X5" s="21" t="s">
        <v>28</v>
      </c>
    </row>
    <row r="6" customFormat="false" ht="15.75" hidden="false" customHeight="false" outlineLevel="0" collapsed="false">
      <c r="A6" s="63" t="n">
        <v>1426274</v>
      </c>
      <c r="B6" s="29" t="n">
        <v>44714</v>
      </c>
      <c r="C6" s="21" t="s">
        <v>716</v>
      </c>
      <c r="D6" s="21" t="s">
        <v>24</v>
      </c>
      <c r="E6" s="21" t="s">
        <v>25</v>
      </c>
      <c r="F6" s="21" t="s">
        <v>2984</v>
      </c>
      <c r="G6" s="30"/>
      <c r="H6" s="45" t="str">
        <f aca="false">HYPERLINK("https://photos.app.goo.gl/g83HUNmpCKMRw7gK9", "Completo")</f>
        <v>Completo</v>
      </c>
      <c r="I6" s="21" t="s">
        <v>28</v>
      </c>
      <c r="J6" s="21"/>
      <c r="K6" s="21"/>
      <c r="L6" s="21"/>
      <c r="M6" s="21"/>
      <c r="N6" s="30"/>
      <c r="O6" s="21" t="s">
        <v>28</v>
      </c>
      <c r="P6" s="74" t="s">
        <v>28</v>
      </c>
      <c r="Q6" s="65" t="s">
        <v>2985</v>
      </c>
      <c r="R6" s="32" t="s">
        <v>2850</v>
      </c>
      <c r="S6" s="32" t="s">
        <v>36</v>
      </c>
      <c r="T6" s="21"/>
      <c r="U6" s="66"/>
      <c r="V6" s="66"/>
      <c r="W6" s="21"/>
      <c r="X6" s="21" t="s">
        <v>28</v>
      </c>
    </row>
    <row r="7" customFormat="false" ht="15.75" hidden="false" customHeight="false" outlineLevel="0" collapsed="false">
      <c r="A7" s="61" t="n">
        <v>6484</v>
      </c>
      <c r="B7" s="29" t="n">
        <v>44715</v>
      </c>
      <c r="C7" s="21" t="s">
        <v>2986</v>
      </c>
      <c r="D7" s="21" t="s">
        <v>24</v>
      </c>
      <c r="E7" s="21" t="s">
        <v>25</v>
      </c>
      <c r="F7" s="21" t="s">
        <v>2987</v>
      </c>
      <c r="G7" s="30"/>
      <c r="H7" s="45" t="str">
        <f aca="false">HYPERLINK("https://photos.app.goo.gl/EV4M6d2fHQQUX5pu9", "Completo")</f>
        <v>Completo</v>
      </c>
      <c r="I7" s="21" t="s">
        <v>28</v>
      </c>
      <c r="J7" s="21"/>
      <c r="K7" s="21"/>
      <c r="L7" s="21"/>
      <c r="M7" s="21"/>
      <c r="N7" s="30"/>
      <c r="O7" s="21"/>
      <c r="P7" s="66"/>
      <c r="Q7" s="21"/>
      <c r="R7" s="32"/>
      <c r="S7" s="32"/>
      <c r="T7" s="21"/>
      <c r="U7" s="66"/>
      <c r="V7" s="66"/>
      <c r="W7" s="21"/>
      <c r="X7" s="21" t="s">
        <v>28</v>
      </c>
    </row>
    <row r="8" customFormat="false" ht="15.75" hidden="false" customHeight="false" outlineLevel="0" collapsed="false">
      <c r="A8" s="61" t="n">
        <v>6485</v>
      </c>
      <c r="B8" s="29" t="n">
        <v>44718</v>
      </c>
      <c r="C8" s="21" t="s">
        <v>2988</v>
      </c>
      <c r="D8" s="21" t="s">
        <v>24</v>
      </c>
      <c r="E8" s="21" t="s">
        <v>25</v>
      </c>
      <c r="F8" s="21" t="s">
        <v>2989</v>
      </c>
      <c r="G8" s="30"/>
      <c r="H8" s="45" t="str">
        <f aca="false">HYPERLINK("https://photos.app.goo.gl/LmWVifjGR1ZCG3d59", "Completo")</f>
        <v>Completo</v>
      </c>
      <c r="I8" s="21" t="s">
        <v>28</v>
      </c>
      <c r="J8" s="21"/>
      <c r="K8" s="21"/>
      <c r="L8" s="21"/>
      <c r="M8" s="21"/>
      <c r="N8" s="30"/>
      <c r="O8" s="21"/>
      <c r="P8" s="21"/>
      <c r="Q8" s="21"/>
      <c r="R8" s="32"/>
      <c r="S8" s="32"/>
      <c r="T8" s="21" t="s">
        <v>74</v>
      </c>
      <c r="U8" s="46" t="s">
        <v>28</v>
      </c>
      <c r="V8" s="46" t="s">
        <v>28</v>
      </c>
      <c r="W8" s="21" t="s">
        <v>36</v>
      </c>
      <c r="X8" s="21" t="s">
        <v>28</v>
      </c>
    </row>
    <row r="9" customFormat="false" ht="15.75" hidden="false" customHeight="false" outlineLevel="0" collapsed="false">
      <c r="A9" s="61" t="s">
        <v>2990</v>
      </c>
      <c r="B9" s="29" t="n">
        <v>44718</v>
      </c>
      <c r="C9" s="21" t="s">
        <v>2594</v>
      </c>
      <c r="D9" s="21" t="s">
        <v>290</v>
      </c>
      <c r="E9" s="21" t="s">
        <v>25</v>
      </c>
      <c r="F9" s="21" t="s">
        <v>2991</v>
      </c>
      <c r="G9" s="30" t="s">
        <v>2992</v>
      </c>
      <c r="H9" s="45" t="str">
        <f aca="false">HYPERLINK("https://photos.app.goo.gl/son4CTs3JnY6pziu8", "Completo")</f>
        <v>Completo</v>
      </c>
      <c r="I9" s="21" t="s">
        <v>28</v>
      </c>
      <c r="J9" s="21"/>
      <c r="K9" s="21"/>
      <c r="L9" s="21"/>
      <c r="M9" s="21"/>
      <c r="N9" s="30"/>
      <c r="O9" s="21"/>
      <c r="P9" s="66"/>
      <c r="Q9" s="21"/>
      <c r="R9" s="32" t="s">
        <v>25</v>
      </c>
      <c r="S9" s="32"/>
      <c r="T9" s="21" t="s">
        <v>74</v>
      </c>
      <c r="U9" s="74" t="s">
        <v>28</v>
      </c>
      <c r="V9" s="74" t="s">
        <v>28</v>
      </c>
      <c r="W9" s="21" t="s">
        <v>36</v>
      </c>
      <c r="X9" s="21" t="s">
        <v>28</v>
      </c>
    </row>
    <row r="10" customFormat="false" ht="15.75" hidden="false" customHeight="false" outlineLevel="0" collapsed="false">
      <c r="A10" s="61" t="n">
        <v>6486</v>
      </c>
      <c r="B10" s="29" t="n">
        <v>44718</v>
      </c>
      <c r="C10" s="21" t="s">
        <v>84</v>
      </c>
      <c r="D10" s="21" t="s">
        <v>24</v>
      </c>
      <c r="E10" s="21" t="s">
        <v>34</v>
      </c>
      <c r="F10" s="21" t="s">
        <v>2993</v>
      </c>
      <c r="G10" s="30"/>
      <c r="H10" s="31"/>
      <c r="I10" s="21"/>
      <c r="J10" s="21"/>
      <c r="K10" s="21"/>
      <c r="L10" s="21"/>
      <c r="M10" s="21"/>
      <c r="N10" s="30"/>
      <c r="O10" s="21"/>
      <c r="P10" s="21"/>
      <c r="Q10" s="21"/>
      <c r="R10" s="32"/>
      <c r="S10" s="32"/>
      <c r="T10" s="21"/>
      <c r="U10" s="21" t="s">
        <v>37</v>
      </c>
      <c r="V10" s="21" t="s">
        <v>37</v>
      </c>
      <c r="W10" s="21"/>
      <c r="X10" s="21" t="s">
        <v>28</v>
      </c>
    </row>
    <row r="11" customFormat="false" ht="15.75" hidden="false" customHeight="false" outlineLevel="0" collapsed="false">
      <c r="A11" s="61" t="n">
        <v>6487</v>
      </c>
      <c r="B11" s="29" t="n">
        <v>44721</v>
      </c>
      <c r="C11" s="21" t="s">
        <v>2994</v>
      </c>
      <c r="D11" s="21" t="s">
        <v>24</v>
      </c>
      <c r="E11" s="21" t="s">
        <v>25</v>
      </c>
      <c r="F11" s="21" t="s">
        <v>1733</v>
      </c>
      <c r="G11" s="30" t="s">
        <v>2995</v>
      </c>
      <c r="H11" s="45" t="str">
        <f aca="false">HYPERLINK("https://photos.app.goo.gl/7ppFMyLiVomjeUz87", "Completo")</f>
        <v>Completo</v>
      </c>
      <c r="I11" s="21" t="s">
        <v>28</v>
      </c>
      <c r="J11" s="21"/>
      <c r="K11" s="21"/>
      <c r="L11" s="21"/>
      <c r="M11" s="21"/>
      <c r="N11" s="30"/>
      <c r="O11" s="21"/>
      <c r="P11" s="21"/>
      <c r="Q11" s="21"/>
      <c r="R11" s="32"/>
      <c r="S11" s="32"/>
      <c r="T11" s="21"/>
      <c r="U11" s="21"/>
      <c r="V11" s="21"/>
      <c r="W11" s="21"/>
      <c r="X11" s="21" t="s">
        <v>28</v>
      </c>
    </row>
    <row r="12" customFormat="false" ht="15.75" hidden="false" customHeight="false" outlineLevel="0" collapsed="false">
      <c r="A12" s="61" t="n">
        <v>6488</v>
      </c>
      <c r="B12" s="29" t="n">
        <v>44721</v>
      </c>
      <c r="C12" s="21" t="s">
        <v>357</v>
      </c>
      <c r="D12" s="21" t="s">
        <v>24</v>
      </c>
      <c r="E12" s="21" t="s">
        <v>25</v>
      </c>
      <c r="F12" s="21" t="s">
        <v>2996</v>
      </c>
      <c r="G12" s="30"/>
      <c r="H12" s="45" t="str">
        <f aca="false">HYPERLINK("https://photos.app.goo.gl/Rmodity8FLd8wTUd8", "Completo")</f>
        <v>Completo</v>
      </c>
      <c r="I12" s="21" t="s">
        <v>28</v>
      </c>
      <c r="J12" s="21"/>
      <c r="K12" s="21"/>
      <c r="L12" s="21"/>
      <c r="M12" s="21"/>
      <c r="N12" s="30"/>
      <c r="O12" s="21" t="s">
        <v>37</v>
      </c>
      <c r="P12" s="74" t="s">
        <v>28</v>
      </c>
      <c r="Q12" s="21" t="s">
        <v>2981</v>
      </c>
      <c r="R12" s="32" t="s">
        <v>2850</v>
      </c>
      <c r="S12" s="32" t="s">
        <v>2997</v>
      </c>
      <c r="T12" s="21" t="s">
        <v>74</v>
      </c>
      <c r="U12" s="75" t="s">
        <v>28</v>
      </c>
      <c r="V12" s="74" t="s">
        <v>28</v>
      </c>
      <c r="W12" s="21" t="s">
        <v>36</v>
      </c>
      <c r="X12" s="21" t="s">
        <v>28</v>
      </c>
    </row>
    <row r="13" customFormat="false" ht="15.75" hidden="false" customHeight="false" outlineLevel="0" collapsed="false">
      <c r="A13" s="61" t="n">
        <v>6489</v>
      </c>
      <c r="B13" s="29" t="n">
        <v>44722</v>
      </c>
      <c r="C13" s="21" t="s">
        <v>2998</v>
      </c>
      <c r="D13" s="21" t="s">
        <v>24</v>
      </c>
      <c r="E13" s="21" t="s">
        <v>25</v>
      </c>
      <c r="F13" s="21" t="s">
        <v>2999</v>
      </c>
      <c r="G13" s="30" t="s">
        <v>3000</v>
      </c>
      <c r="H13" s="45" t="str">
        <f aca="false">HYPERLINK("https://photos.app.goo.gl/GtNBALwR5ZhR4G9y6", "Completo")</f>
        <v>Completo</v>
      </c>
      <c r="I13" s="21" t="s">
        <v>28</v>
      </c>
      <c r="J13" s="21"/>
      <c r="K13" s="21"/>
      <c r="L13" s="21"/>
      <c r="M13" s="21"/>
      <c r="N13" s="30"/>
      <c r="O13" s="21" t="s">
        <v>28</v>
      </c>
      <c r="P13" s="74" t="s">
        <v>28</v>
      </c>
      <c r="Q13" s="21" t="s">
        <v>2981</v>
      </c>
      <c r="R13" s="32" t="s">
        <v>2850</v>
      </c>
      <c r="S13" s="32" t="s">
        <v>36</v>
      </c>
      <c r="T13" s="21" t="s">
        <v>74</v>
      </c>
      <c r="U13" s="74" t="s">
        <v>28</v>
      </c>
      <c r="V13" s="74" t="s">
        <v>28</v>
      </c>
      <c r="W13" s="21" t="s">
        <v>36</v>
      </c>
      <c r="X13" s="21" t="s">
        <v>28</v>
      </c>
    </row>
    <row r="14" customFormat="false" ht="15.75" hidden="false" customHeight="false" outlineLevel="0" collapsed="false">
      <c r="A14" s="61" t="n">
        <v>6490</v>
      </c>
      <c r="B14" s="29" t="n">
        <v>44722</v>
      </c>
      <c r="C14" s="21" t="s">
        <v>1561</v>
      </c>
      <c r="D14" s="21" t="s">
        <v>24</v>
      </c>
      <c r="E14" s="21" t="s">
        <v>25</v>
      </c>
      <c r="F14" s="21" t="s">
        <v>3001</v>
      </c>
      <c r="G14" s="30" t="s">
        <v>3002</v>
      </c>
      <c r="H14" s="45" t="str">
        <f aca="false">HYPERLINK("https://photos.app.goo.gl/7R7Yjx2TCbbp7VUo8", "Completo")</f>
        <v>Completo</v>
      </c>
      <c r="I14" s="21" t="s">
        <v>28</v>
      </c>
      <c r="J14" s="21"/>
      <c r="K14" s="21"/>
      <c r="L14" s="21"/>
      <c r="M14" s="21"/>
      <c r="N14" s="30"/>
      <c r="O14" s="21" t="s">
        <v>28</v>
      </c>
      <c r="P14" s="74" t="s">
        <v>28</v>
      </c>
      <c r="Q14" s="21" t="s">
        <v>3003</v>
      </c>
      <c r="R14" s="32" t="s">
        <v>25</v>
      </c>
      <c r="S14" s="32" t="s">
        <v>36</v>
      </c>
      <c r="T14" s="21" t="s">
        <v>74</v>
      </c>
      <c r="U14" s="74" t="s">
        <v>28</v>
      </c>
      <c r="V14" s="74" t="s">
        <v>28</v>
      </c>
      <c r="W14" s="21" t="s">
        <v>36</v>
      </c>
      <c r="X14" s="21" t="s">
        <v>28</v>
      </c>
    </row>
    <row r="15" customFormat="false" ht="15.75" hidden="false" customHeight="false" outlineLevel="0" collapsed="false">
      <c r="A15" s="61" t="n">
        <v>6491</v>
      </c>
      <c r="B15" s="29" t="n">
        <v>44722</v>
      </c>
      <c r="C15" s="21" t="s">
        <v>1561</v>
      </c>
      <c r="D15" s="21" t="s">
        <v>24</v>
      </c>
      <c r="E15" s="21" t="s">
        <v>25</v>
      </c>
      <c r="F15" s="21" t="s">
        <v>1733</v>
      </c>
      <c r="G15" s="30" t="s">
        <v>3004</v>
      </c>
      <c r="H15" s="45" t="str">
        <f aca="false">HYPERLINK("https://photos.app.goo.gl/JwG9cxL52KCBkm886", "Completo")</f>
        <v>Completo</v>
      </c>
      <c r="I15" s="21" t="s">
        <v>28</v>
      </c>
      <c r="J15" s="21"/>
      <c r="K15" s="21"/>
      <c r="L15" s="21"/>
      <c r="M15" s="21"/>
      <c r="N15" s="30"/>
      <c r="O15" s="21" t="s">
        <v>28</v>
      </c>
      <c r="P15" s="74" t="s">
        <v>28</v>
      </c>
      <c r="Q15" s="21" t="s">
        <v>3005</v>
      </c>
      <c r="R15" s="32" t="s">
        <v>2850</v>
      </c>
      <c r="S15" s="32" t="s">
        <v>36</v>
      </c>
      <c r="T15" s="21" t="s">
        <v>74</v>
      </c>
      <c r="U15" s="74" t="s">
        <v>28</v>
      </c>
      <c r="V15" s="74" t="s">
        <v>28</v>
      </c>
      <c r="W15" s="21" t="s">
        <v>36</v>
      </c>
      <c r="X15" s="21" t="s">
        <v>28</v>
      </c>
    </row>
    <row r="16" customFormat="false" ht="15.75" hidden="false" customHeight="false" outlineLevel="0" collapsed="false">
      <c r="A16" s="61" t="n">
        <v>6492</v>
      </c>
      <c r="B16" s="29" t="n">
        <v>44722</v>
      </c>
      <c r="C16" s="21" t="s">
        <v>205</v>
      </c>
      <c r="D16" s="21" t="s">
        <v>24</v>
      </c>
      <c r="E16" s="21" t="s">
        <v>34</v>
      </c>
      <c r="F16" s="21" t="s">
        <v>3006</v>
      </c>
      <c r="G16" s="30"/>
      <c r="H16" s="31"/>
      <c r="I16" s="21"/>
      <c r="J16" s="21"/>
      <c r="K16" s="21"/>
      <c r="L16" s="21"/>
      <c r="M16" s="21"/>
      <c r="N16" s="30"/>
      <c r="O16" s="21"/>
      <c r="P16" s="21"/>
      <c r="Q16" s="21"/>
      <c r="R16" s="32"/>
      <c r="S16" s="32"/>
      <c r="T16" s="21"/>
      <c r="U16" s="21" t="s">
        <v>37</v>
      </c>
      <c r="V16" s="21" t="s">
        <v>37</v>
      </c>
      <c r="W16" s="21"/>
      <c r="X16" s="21" t="s">
        <v>28</v>
      </c>
    </row>
    <row r="17" customFormat="false" ht="15.75" hidden="false" customHeight="false" outlineLevel="0" collapsed="false">
      <c r="A17" s="61" t="n">
        <v>6493</v>
      </c>
      <c r="B17" s="29" t="n">
        <v>44725</v>
      </c>
      <c r="C17" s="21" t="s">
        <v>1561</v>
      </c>
      <c r="D17" s="21" t="s">
        <v>24</v>
      </c>
      <c r="E17" s="21" t="s">
        <v>25</v>
      </c>
      <c r="F17" s="21" t="s">
        <v>2261</v>
      </c>
      <c r="G17" s="30"/>
      <c r="H17" s="45" t="str">
        <f aca="false">HYPERLINK("https://photos.app.goo.gl/CwcX5T4Dk8w9hgZc8", "Completo")</f>
        <v>Completo</v>
      </c>
      <c r="I17" s="21" t="s">
        <v>28</v>
      </c>
      <c r="J17" s="21"/>
      <c r="K17" s="21"/>
      <c r="L17" s="21"/>
      <c r="M17" s="21"/>
      <c r="N17" s="30"/>
      <c r="O17" s="21" t="s">
        <v>28</v>
      </c>
      <c r="P17" s="74" t="s">
        <v>28</v>
      </c>
      <c r="Q17" s="21" t="s">
        <v>2981</v>
      </c>
      <c r="R17" s="32" t="s">
        <v>2850</v>
      </c>
      <c r="S17" s="32" t="s">
        <v>36</v>
      </c>
      <c r="T17" s="21" t="s">
        <v>74</v>
      </c>
      <c r="U17" s="74" t="s">
        <v>28</v>
      </c>
      <c r="V17" s="74" t="s">
        <v>28</v>
      </c>
      <c r="W17" s="21" t="s">
        <v>36</v>
      </c>
      <c r="X17" s="21" t="s">
        <v>28</v>
      </c>
    </row>
    <row r="18" customFormat="false" ht="15.75" hidden="false" customHeight="false" outlineLevel="0" collapsed="false">
      <c r="A18" s="61" t="n">
        <v>6494</v>
      </c>
      <c r="B18" s="29" t="n">
        <v>44725</v>
      </c>
      <c r="C18" s="21" t="s">
        <v>1561</v>
      </c>
      <c r="D18" s="21" t="s">
        <v>24</v>
      </c>
      <c r="E18" s="21" t="s">
        <v>25</v>
      </c>
      <c r="F18" s="21" t="s">
        <v>2261</v>
      </c>
      <c r="G18" s="30"/>
      <c r="H18" s="45" t="str">
        <f aca="false">HYPERLINK("https://photos.app.goo.gl/CwcX5T4Dk8w9hgZc8", "Completo")</f>
        <v>Completo</v>
      </c>
      <c r="I18" s="21" t="s">
        <v>28</v>
      </c>
      <c r="J18" s="21"/>
      <c r="K18" s="21"/>
      <c r="L18" s="21"/>
      <c r="M18" s="21"/>
      <c r="N18" s="30"/>
      <c r="O18" s="21" t="s">
        <v>28</v>
      </c>
      <c r="P18" s="74" t="s">
        <v>28</v>
      </c>
      <c r="Q18" s="21" t="s">
        <v>2981</v>
      </c>
      <c r="R18" s="32" t="s">
        <v>2850</v>
      </c>
      <c r="S18" s="32" t="s">
        <v>36</v>
      </c>
      <c r="T18" s="21" t="s">
        <v>74</v>
      </c>
      <c r="U18" s="74" t="s">
        <v>28</v>
      </c>
      <c r="V18" s="74" t="s">
        <v>28</v>
      </c>
      <c r="W18" s="21" t="s">
        <v>36</v>
      </c>
      <c r="X18" s="21" t="s">
        <v>28</v>
      </c>
    </row>
    <row r="19" customFormat="false" ht="15.75" hidden="false" customHeight="false" outlineLevel="0" collapsed="false">
      <c r="A19" s="61" t="n">
        <v>6495</v>
      </c>
      <c r="B19" s="29" t="n">
        <v>44725</v>
      </c>
      <c r="C19" s="21" t="s">
        <v>1561</v>
      </c>
      <c r="D19" s="21" t="s">
        <v>24</v>
      </c>
      <c r="E19" s="21" t="s">
        <v>25</v>
      </c>
      <c r="F19" s="21" t="s">
        <v>2261</v>
      </c>
      <c r="G19" s="30"/>
      <c r="H19" s="45" t="str">
        <f aca="false">HYPERLINK("https://photos.app.goo.gl/CwcX5T4Dk8w9hgZc8", "Completo")</f>
        <v>Completo</v>
      </c>
      <c r="I19" s="21" t="s">
        <v>28</v>
      </c>
      <c r="J19" s="21"/>
      <c r="K19" s="21"/>
      <c r="L19" s="21"/>
      <c r="M19" s="21"/>
      <c r="N19" s="30"/>
      <c r="O19" s="21" t="s">
        <v>28</v>
      </c>
      <c r="P19" s="21" t="s">
        <v>37</v>
      </c>
      <c r="Q19" s="21" t="s">
        <v>2981</v>
      </c>
      <c r="R19" s="32" t="s">
        <v>74</v>
      </c>
      <c r="S19" s="32" t="s">
        <v>36</v>
      </c>
      <c r="T19" s="21" t="s">
        <v>74</v>
      </c>
      <c r="U19" s="74" t="s">
        <v>28</v>
      </c>
      <c r="V19" s="74" t="s">
        <v>28</v>
      </c>
      <c r="W19" s="21" t="s">
        <v>36</v>
      </c>
      <c r="X19" s="21" t="s">
        <v>28</v>
      </c>
    </row>
    <row r="20" customFormat="false" ht="15.75" hidden="false" customHeight="false" outlineLevel="0" collapsed="false">
      <c r="A20" s="61" t="n">
        <v>6496</v>
      </c>
      <c r="B20" s="29" t="n">
        <v>44725</v>
      </c>
      <c r="C20" s="21" t="s">
        <v>1561</v>
      </c>
      <c r="D20" s="21" t="s">
        <v>24</v>
      </c>
      <c r="E20" s="21" t="s">
        <v>25</v>
      </c>
      <c r="F20" s="21" t="s">
        <v>2261</v>
      </c>
      <c r="G20" s="30"/>
      <c r="H20" s="45" t="str">
        <f aca="false">HYPERLINK("https://photos.app.goo.gl/CwcX5T4Dk8w9hgZc8", "Completo")</f>
        <v>Completo</v>
      </c>
      <c r="I20" s="21" t="s">
        <v>28</v>
      </c>
      <c r="J20" s="21"/>
      <c r="K20" s="21"/>
      <c r="L20" s="21"/>
      <c r="M20" s="21"/>
      <c r="N20" s="30"/>
      <c r="O20" s="21" t="s">
        <v>28</v>
      </c>
      <c r="P20" s="74" t="s">
        <v>28</v>
      </c>
      <c r="Q20" s="21" t="s">
        <v>3007</v>
      </c>
      <c r="R20" s="32" t="s">
        <v>2850</v>
      </c>
      <c r="S20" s="32" t="s">
        <v>36</v>
      </c>
      <c r="T20" s="21" t="s">
        <v>74</v>
      </c>
      <c r="U20" s="74" t="s">
        <v>28</v>
      </c>
      <c r="V20" s="74" t="s">
        <v>28</v>
      </c>
      <c r="W20" s="21" t="s">
        <v>36</v>
      </c>
      <c r="X20" s="21" t="s">
        <v>28</v>
      </c>
    </row>
    <row r="21" customFormat="false" ht="15.75" hidden="false" customHeight="false" outlineLevel="0" collapsed="false">
      <c r="A21" s="61" t="n">
        <v>6497</v>
      </c>
      <c r="B21" s="29" t="n">
        <v>44725</v>
      </c>
      <c r="C21" s="21" t="s">
        <v>1561</v>
      </c>
      <c r="D21" s="21" t="s">
        <v>24</v>
      </c>
      <c r="E21" s="21" t="s">
        <v>25</v>
      </c>
      <c r="F21" s="21" t="s">
        <v>3008</v>
      </c>
      <c r="G21" s="30"/>
      <c r="H21" s="45" t="str">
        <f aca="false">HYPERLINK("https://photos.app.goo.gl/XxHQDbwTkY2npLXu6", "Completo")</f>
        <v>Completo</v>
      </c>
      <c r="I21" s="21" t="s">
        <v>28</v>
      </c>
      <c r="J21" s="21"/>
      <c r="K21" s="21"/>
      <c r="L21" s="21"/>
      <c r="M21" s="21"/>
      <c r="N21" s="30"/>
      <c r="O21" s="21" t="s">
        <v>37</v>
      </c>
      <c r="P21" s="66" t="s">
        <v>37</v>
      </c>
      <c r="Q21" s="21"/>
      <c r="R21" s="32" t="s">
        <v>25</v>
      </c>
      <c r="S21" s="32" t="s">
        <v>36</v>
      </c>
      <c r="T21" s="21"/>
      <c r="U21" s="21" t="s">
        <v>37</v>
      </c>
      <c r="V21" s="21" t="s">
        <v>37</v>
      </c>
      <c r="W21" s="21"/>
      <c r="X21" s="21" t="s">
        <v>28</v>
      </c>
    </row>
    <row r="22" customFormat="false" ht="15.75" hidden="false" customHeight="false" outlineLevel="0" collapsed="false">
      <c r="A22" s="61" t="n">
        <v>6498</v>
      </c>
      <c r="B22" s="29" t="n">
        <v>44725</v>
      </c>
      <c r="C22" s="21" t="s">
        <v>389</v>
      </c>
      <c r="D22" s="21" t="s">
        <v>24</v>
      </c>
      <c r="E22" s="21" t="s">
        <v>25</v>
      </c>
      <c r="F22" s="21" t="s">
        <v>3009</v>
      </c>
      <c r="G22" s="30"/>
      <c r="H22" s="45" t="str">
        <f aca="false">HYPERLINK("https://photos.app.goo.gl/bS4pKD1wdXGgG161A", "Completo")</f>
        <v>Completo</v>
      </c>
      <c r="I22" s="21" t="s">
        <v>28</v>
      </c>
      <c r="J22" s="21"/>
      <c r="K22" s="21"/>
      <c r="L22" s="21"/>
      <c r="M22" s="21"/>
      <c r="N22" s="30"/>
      <c r="O22" s="21" t="s">
        <v>28</v>
      </c>
      <c r="P22" s="74" t="s">
        <v>28</v>
      </c>
      <c r="Q22" s="21" t="s">
        <v>3010</v>
      </c>
      <c r="R22" s="32" t="s">
        <v>74</v>
      </c>
      <c r="S22" s="32" t="s">
        <v>36</v>
      </c>
      <c r="T22" s="21" t="s">
        <v>74</v>
      </c>
      <c r="U22" s="74" t="s">
        <v>28</v>
      </c>
      <c r="V22" s="74" t="s">
        <v>28</v>
      </c>
      <c r="W22" s="21" t="s">
        <v>36</v>
      </c>
      <c r="X22" s="21" t="s">
        <v>28</v>
      </c>
    </row>
    <row r="23" customFormat="false" ht="15.75" hidden="false" customHeight="false" outlineLevel="0" collapsed="false">
      <c r="A23" s="61" t="n">
        <v>6499</v>
      </c>
      <c r="B23" s="29" t="n">
        <v>44725</v>
      </c>
      <c r="C23" s="21" t="s">
        <v>389</v>
      </c>
      <c r="D23" s="21" t="s">
        <v>24</v>
      </c>
      <c r="E23" s="21" t="s">
        <v>25</v>
      </c>
      <c r="F23" s="21" t="s">
        <v>3011</v>
      </c>
      <c r="G23" s="30"/>
      <c r="H23" s="45" t="str">
        <f aca="false">HYPERLINK("https://photos.app.goo.gl/bv1sFcCKPRYnWqJt7", "Completo")</f>
        <v>Completo</v>
      </c>
      <c r="I23" s="21" t="s">
        <v>28</v>
      </c>
      <c r="J23" s="21"/>
      <c r="K23" s="21"/>
      <c r="L23" s="21"/>
      <c r="M23" s="21"/>
      <c r="N23" s="30"/>
      <c r="O23" s="21"/>
      <c r="P23" s="66"/>
      <c r="Q23" s="21"/>
      <c r="R23" s="32"/>
      <c r="S23" s="32"/>
      <c r="T23" s="21"/>
      <c r="U23" s="66" t="s">
        <v>37</v>
      </c>
      <c r="V23" s="66" t="s">
        <v>37</v>
      </c>
      <c r="W23" s="21"/>
      <c r="X23" s="21" t="s">
        <v>37</v>
      </c>
    </row>
    <row r="24" customFormat="false" ht="15.75" hidden="false" customHeight="false" outlineLevel="0" collapsed="false">
      <c r="A24" s="63" t="n">
        <v>1558857</v>
      </c>
      <c r="B24" s="29" t="n">
        <v>44726</v>
      </c>
      <c r="C24" s="21" t="s">
        <v>1162</v>
      </c>
      <c r="D24" s="21" t="s">
        <v>290</v>
      </c>
      <c r="E24" s="21" t="s">
        <v>25</v>
      </c>
      <c r="F24" s="21" t="s">
        <v>3012</v>
      </c>
      <c r="G24" s="30" t="s">
        <v>3013</v>
      </c>
      <c r="H24" s="45" t="str">
        <f aca="false">HYPERLINK("https://photos.app.goo.gl/2kpgPvpxvVpdKVab6", "Completo")</f>
        <v>Completo</v>
      </c>
      <c r="I24" s="21" t="s">
        <v>28</v>
      </c>
      <c r="J24" s="21"/>
      <c r="K24" s="21"/>
      <c r="L24" s="21"/>
      <c r="M24" s="21"/>
      <c r="N24" s="30"/>
      <c r="O24" s="21" t="s">
        <v>28</v>
      </c>
      <c r="P24" s="74" t="s">
        <v>28</v>
      </c>
      <c r="Q24" s="21" t="s">
        <v>2981</v>
      </c>
      <c r="R24" s="32" t="s">
        <v>2850</v>
      </c>
      <c r="S24" s="32"/>
      <c r="T24" s="21" t="s">
        <v>74</v>
      </c>
      <c r="U24" s="46" t="str">
        <f aca="false">HYPERLINK("https://drive.google.com/file/d/1Bz2KIndbj8cI3X-EY8XawmpW0159b0Gs/view?usp=drivesdk", "Completo")</f>
        <v>Completo</v>
      </c>
      <c r="V24" s="46" t="str">
        <f aca="false">HYPERLINK("https://photos.app.goo.gl/3iyFSbeN954icjyd6", "Completo")</f>
        <v>Completo</v>
      </c>
      <c r="W24" s="21" t="s">
        <v>36</v>
      </c>
      <c r="X24" s="21" t="s">
        <v>28</v>
      </c>
    </row>
    <row r="25" customFormat="false" ht="15.75" hidden="false" customHeight="false" outlineLevel="0" collapsed="false">
      <c r="A25" s="61" t="s">
        <v>3014</v>
      </c>
      <c r="B25" s="29" t="n">
        <v>44726</v>
      </c>
      <c r="C25" s="21" t="s">
        <v>1162</v>
      </c>
      <c r="D25" s="21" t="s">
        <v>290</v>
      </c>
      <c r="E25" s="21" t="s">
        <v>25</v>
      </c>
      <c r="F25" s="21" t="s">
        <v>3012</v>
      </c>
      <c r="G25" s="30" t="s">
        <v>3015</v>
      </c>
      <c r="H25" s="45" t="str">
        <f aca="false">HYPERLINK("https://photos.app.goo.gl/aYfAMyHqGdzMudwEA", "Completo")</f>
        <v>Completo</v>
      </c>
      <c r="I25" s="21" t="s">
        <v>28</v>
      </c>
      <c r="J25" s="21"/>
      <c r="K25" s="21"/>
      <c r="L25" s="21"/>
      <c r="M25" s="21"/>
      <c r="N25" s="30"/>
      <c r="O25" s="21" t="s">
        <v>28</v>
      </c>
      <c r="P25" s="74" t="s">
        <v>28</v>
      </c>
      <c r="Q25" s="21" t="s">
        <v>2981</v>
      </c>
      <c r="R25" s="32" t="s">
        <v>2850</v>
      </c>
      <c r="S25" s="32" t="s">
        <v>36</v>
      </c>
      <c r="T25" s="21" t="s">
        <v>74</v>
      </c>
      <c r="U25" s="74" t="s">
        <v>28</v>
      </c>
      <c r="V25" s="74" t="s">
        <v>28</v>
      </c>
      <c r="W25" s="21" t="s">
        <v>36</v>
      </c>
      <c r="X25" s="21" t="s">
        <v>37</v>
      </c>
    </row>
    <row r="26" customFormat="false" ht="15.75" hidden="false" customHeight="false" outlineLevel="0" collapsed="false">
      <c r="A26" s="61" t="n">
        <v>6500</v>
      </c>
      <c r="B26" s="29" t="n">
        <v>44726</v>
      </c>
      <c r="C26" s="21" t="s">
        <v>1290</v>
      </c>
      <c r="D26" s="21" t="s">
        <v>24</v>
      </c>
      <c r="E26" s="21" t="s">
        <v>25</v>
      </c>
      <c r="F26" s="21" t="s">
        <v>3016</v>
      </c>
      <c r="G26" s="30"/>
      <c r="H26" s="45" t="str">
        <f aca="false">HYPERLINK("https://photos.app.goo.gl/3u7Eq6C6DTXEHsMn6", "Completo")</f>
        <v>Completo</v>
      </c>
      <c r="I26" s="21" t="s">
        <v>28</v>
      </c>
      <c r="J26" s="21"/>
      <c r="K26" s="21"/>
      <c r="L26" s="21"/>
      <c r="M26" s="21"/>
      <c r="N26" s="30"/>
      <c r="O26" s="21"/>
      <c r="P26" s="21"/>
      <c r="Q26" s="21"/>
      <c r="R26" s="32"/>
      <c r="S26" s="32"/>
      <c r="T26" s="21"/>
      <c r="U26" s="21" t="s">
        <v>37</v>
      </c>
      <c r="V26" s="21" t="s">
        <v>37</v>
      </c>
      <c r="W26" s="21"/>
      <c r="X26" s="21" t="s">
        <v>28</v>
      </c>
    </row>
    <row r="27" customFormat="false" ht="15.75" hidden="false" customHeight="false" outlineLevel="0" collapsed="false">
      <c r="A27" s="61" t="n">
        <v>6501</v>
      </c>
      <c r="B27" s="29" t="n">
        <v>44727</v>
      </c>
      <c r="C27" s="21" t="s">
        <v>3017</v>
      </c>
      <c r="D27" s="21" t="s">
        <v>24</v>
      </c>
      <c r="E27" s="21" t="s">
        <v>25</v>
      </c>
      <c r="F27" s="21" t="s">
        <v>3018</v>
      </c>
      <c r="G27" s="30"/>
      <c r="H27" s="45" t="str">
        <f aca="false">HYPERLINK("https://photos.app.goo.gl/JzH7zuE2fuoMsjCE6", "Completo")</f>
        <v>Completo</v>
      </c>
      <c r="I27" s="21" t="s">
        <v>28</v>
      </c>
      <c r="J27" s="21"/>
      <c r="K27" s="21"/>
      <c r="L27" s="21"/>
      <c r="M27" s="21"/>
      <c r="N27" s="30"/>
      <c r="O27" s="21"/>
      <c r="P27" s="66"/>
      <c r="Q27" s="21"/>
      <c r="R27" s="32"/>
      <c r="S27" s="32"/>
      <c r="T27" s="21"/>
      <c r="U27" s="66"/>
      <c r="V27" s="66"/>
      <c r="W27" s="21"/>
      <c r="X27" s="21" t="s">
        <v>28</v>
      </c>
    </row>
    <row r="28" customFormat="false" ht="15.75" hidden="false" customHeight="false" outlineLevel="0" collapsed="false">
      <c r="A28" s="61" t="n">
        <v>6502</v>
      </c>
      <c r="B28" s="29" t="n">
        <v>44727</v>
      </c>
      <c r="C28" s="21" t="s">
        <v>3017</v>
      </c>
      <c r="D28" s="21" t="s">
        <v>24</v>
      </c>
      <c r="E28" s="21" t="s">
        <v>25</v>
      </c>
      <c r="F28" s="21" t="s">
        <v>3018</v>
      </c>
      <c r="G28" s="30"/>
      <c r="H28" s="45" t="str">
        <f aca="false">HYPERLINK("https://photos.app.goo.gl/aDhnjhar4UhTryKz9", "Completo")</f>
        <v>Completo</v>
      </c>
      <c r="I28" s="21" t="s">
        <v>28</v>
      </c>
      <c r="J28" s="21"/>
      <c r="K28" s="21"/>
      <c r="L28" s="21"/>
      <c r="M28" s="21"/>
      <c r="N28" s="30"/>
      <c r="O28" s="21"/>
      <c r="P28" s="66"/>
      <c r="Q28" s="21"/>
      <c r="R28" s="32"/>
      <c r="S28" s="32"/>
      <c r="T28" s="21"/>
      <c r="U28" s="66"/>
      <c r="V28" s="66"/>
      <c r="W28" s="21"/>
      <c r="X28" s="21" t="s">
        <v>28</v>
      </c>
    </row>
    <row r="29" customFormat="false" ht="15.75" hidden="false" customHeight="false" outlineLevel="0" collapsed="false">
      <c r="A29" s="61" t="n">
        <v>6503</v>
      </c>
      <c r="B29" s="29" t="n">
        <v>44727</v>
      </c>
      <c r="C29" s="21" t="s">
        <v>3019</v>
      </c>
      <c r="D29" s="21" t="s">
        <v>24</v>
      </c>
      <c r="E29" s="21" t="s">
        <v>34</v>
      </c>
      <c r="F29" s="21" t="s">
        <v>3020</v>
      </c>
      <c r="G29" s="30"/>
      <c r="H29" s="31"/>
      <c r="I29" s="21"/>
      <c r="J29" s="21"/>
      <c r="K29" s="21"/>
      <c r="L29" s="21"/>
      <c r="M29" s="21"/>
      <c r="N29" s="30"/>
      <c r="O29" s="21"/>
      <c r="P29" s="21"/>
      <c r="Q29" s="21"/>
      <c r="R29" s="32"/>
      <c r="S29" s="32"/>
      <c r="T29" s="21"/>
      <c r="U29" s="66" t="s">
        <v>37</v>
      </c>
      <c r="V29" s="66" t="s">
        <v>37</v>
      </c>
      <c r="W29" s="21"/>
      <c r="X29" s="21" t="s">
        <v>28</v>
      </c>
    </row>
    <row r="30" customFormat="false" ht="15.75" hidden="false" customHeight="false" outlineLevel="0" collapsed="false">
      <c r="A30" s="61" t="n">
        <v>6504</v>
      </c>
      <c r="B30" s="29" t="n">
        <v>44727</v>
      </c>
      <c r="C30" s="21" t="s">
        <v>841</v>
      </c>
      <c r="D30" s="21" t="s">
        <v>24</v>
      </c>
      <c r="E30" s="21" t="s">
        <v>25</v>
      </c>
      <c r="F30" s="21" t="s">
        <v>3021</v>
      </c>
      <c r="G30" s="30"/>
      <c r="H30" s="45" t="str">
        <f aca="false">HYPERLINK("https://photos.app.goo.gl/h6ogRY8LaZ5vft9t6", "Completo")</f>
        <v>Completo</v>
      </c>
      <c r="I30" s="21" t="s">
        <v>28</v>
      </c>
      <c r="J30" s="21"/>
      <c r="K30" s="21"/>
      <c r="L30" s="21"/>
      <c r="M30" s="21"/>
      <c r="N30" s="30"/>
      <c r="O30" s="21"/>
      <c r="P30" s="21"/>
      <c r="Q30" s="21"/>
      <c r="R30" s="32"/>
      <c r="S30" s="32"/>
      <c r="T30" s="21"/>
      <c r="U30" s="66" t="s">
        <v>37</v>
      </c>
      <c r="V30" s="66" t="s">
        <v>37</v>
      </c>
      <c r="W30" s="21"/>
      <c r="X30" s="21" t="s">
        <v>37</v>
      </c>
    </row>
    <row r="31" customFormat="false" ht="15.75" hidden="false" customHeight="false" outlineLevel="0" collapsed="false">
      <c r="A31" s="61" t="n">
        <v>6505</v>
      </c>
      <c r="B31" s="29" t="n">
        <v>44727</v>
      </c>
      <c r="C31" s="21" t="s">
        <v>613</v>
      </c>
      <c r="D31" s="21" t="s">
        <v>24</v>
      </c>
      <c r="E31" s="21" t="s">
        <v>25</v>
      </c>
      <c r="F31" s="21" t="s">
        <v>1075</v>
      </c>
      <c r="G31" s="30" t="s">
        <v>3022</v>
      </c>
      <c r="H31" s="45" t="str">
        <f aca="false">HYPERLINK("https://photos.app.goo.gl/4qLMhjzVCdSsSJr28", "Completo")</f>
        <v>Completo</v>
      </c>
      <c r="I31" s="21" t="s">
        <v>28</v>
      </c>
      <c r="J31" s="21"/>
      <c r="K31" s="21"/>
      <c r="L31" s="21"/>
      <c r="M31" s="21"/>
      <c r="N31" s="30"/>
      <c r="O31" s="21"/>
      <c r="P31" s="21"/>
      <c r="Q31" s="21"/>
      <c r="R31" s="32"/>
      <c r="S31" s="32"/>
      <c r="T31" s="21" t="s">
        <v>74</v>
      </c>
      <c r="U31" s="74" t="s">
        <v>28</v>
      </c>
      <c r="V31" s="74" t="s">
        <v>28</v>
      </c>
      <c r="W31" s="21" t="s">
        <v>36</v>
      </c>
      <c r="X31" s="21" t="s">
        <v>28</v>
      </c>
    </row>
    <row r="32" customFormat="false" ht="15.75" hidden="false" customHeight="false" outlineLevel="0" collapsed="false">
      <c r="A32" s="61" t="n">
        <v>6506</v>
      </c>
      <c r="B32" s="29" t="n">
        <v>44727</v>
      </c>
      <c r="C32" s="21" t="s">
        <v>1666</v>
      </c>
      <c r="D32" s="21" t="s">
        <v>24</v>
      </c>
      <c r="E32" s="21" t="s">
        <v>25</v>
      </c>
      <c r="F32" s="21" t="s">
        <v>3023</v>
      </c>
      <c r="G32" s="30" t="s">
        <v>3024</v>
      </c>
      <c r="H32" s="45" t="str">
        <f aca="false">HYPERLINK("https://photos.app.goo.gl/ENVMM8andJXxiAts5", "Completo")</f>
        <v>Completo</v>
      </c>
      <c r="I32" s="21" t="s">
        <v>28</v>
      </c>
      <c r="J32" s="21"/>
      <c r="K32" s="21"/>
      <c r="L32" s="21"/>
      <c r="M32" s="21"/>
      <c r="N32" s="30"/>
      <c r="O32" s="21"/>
      <c r="P32" s="21"/>
      <c r="Q32" s="21"/>
      <c r="R32" s="32"/>
      <c r="S32" s="32"/>
      <c r="T32" s="21"/>
      <c r="U32" s="21" t="s">
        <v>37</v>
      </c>
      <c r="V32" s="21" t="s">
        <v>37</v>
      </c>
      <c r="W32" s="21"/>
      <c r="X32" s="21" t="s">
        <v>28</v>
      </c>
    </row>
    <row r="33" customFormat="false" ht="15.75" hidden="false" customHeight="false" outlineLevel="0" collapsed="false">
      <c r="A33" s="61" t="n">
        <v>6507</v>
      </c>
      <c r="B33" s="29" t="n">
        <v>44727</v>
      </c>
      <c r="C33" s="21" t="s">
        <v>1666</v>
      </c>
      <c r="D33" s="21" t="s">
        <v>24</v>
      </c>
      <c r="E33" s="21" t="s">
        <v>25</v>
      </c>
      <c r="F33" s="21" t="s">
        <v>1211</v>
      </c>
      <c r="G33" s="30" t="s">
        <v>3025</v>
      </c>
      <c r="H33" s="45" t="str">
        <f aca="false">HYPERLINK("https://photos.app.goo.gl/X8cZZqwgy8YKFRRp9", "Completo")</f>
        <v>Completo</v>
      </c>
      <c r="I33" s="21" t="s">
        <v>28</v>
      </c>
      <c r="J33" s="21"/>
      <c r="K33" s="21"/>
      <c r="L33" s="21"/>
      <c r="M33" s="21"/>
      <c r="N33" s="30"/>
      <c r="O33" s="21"/>
      <c r="P33" s="66"/>
      <c r="Q33" s="21"/>
      <c r="R33" s="32"/>
      <c r="S33" s="32"/>
      <c r="T33" s="21"/>
      <c r="U33" s="66" t="s">
        <v>37</v>
      </c>
      <c r="V33" s="66" t="s">
        <v>37</v>
      </c>
      <c r="W33" s="21"/>
      <c r="X33" s="21" t="s">
        <v>28</v>
      </c>
    </row>
    <row r="34" customFormat="false" ht="15.75" hidden="false" customHeight="false" outlineLevel="0" collapsed="false">
      <c r="A34" s="61" t="n">
        <v>6508</v>
      </c>
      <c r="B34" s="29" t="n">
        <v>44728</v>
      </c>
      <c r="C34" s="21" t="s">
        <v>841</v>
      </c>
      <c r="D34" s="21" t="s">
        <v>24</v>
      </c>
      <c r="E34" s="21" t="s">
        <v>34</v>
      </c>
      <c r="F34" s="21" t="s">
        <v>3026</v>
      </c>
      <c r="G34" s="30"/>
      <c r="H34" s="31"/>
      <c r="I34" s="21"/>
      <c r="J34" s="21"/>
      <c r="K34" s="21"/>
      <c r="L34" s="21"/>
      <c r="M34" s="21"/>
      <c r="N34" s="30"/>
      <c r="O34" s="21"/>
      <c r="P34" s="21"/>
      <c r="Q34" s="21"/>
      <c r="R34" s="32"/>
      <c r="S34" s="32"/>
      <c r="T34" s="21"/>
      <c r="U34" s="21" t="s">
        <v>37</v>
      </c>
      <c r="V34" s="21" t="s">
        <v>37</v>
      </c>
      <c r="W34" s="21"/>
      <c r="X34" s="21" t="s">
        <v>28</v>
      </c>
    </row>
    <row r="35" customFormat="false" ht="15.75" hidden="false" customHeight="false" outlineLevel="0" collapsed="false">
      <c r="A35" s="61" t="n">
        <v>6509</v>
      </c>
      <c r="B35" s="29" t="n">
        <v>44728</v>
      </c>
      <c r="C35" s="21" t="s">
        <v>3027</v>
      </c>
      <c r="D35" s="21" t="s">
        <v>24</v>
      </c>
      <c r="E35" s="21" t="s">
        <v>25</v>
      </c>
      <c r="F35" s="21" t="s">
        <v>3028</v>
      </c>
      <c r="G35" s="30"/>
      <c r="H35" s="31"/>
      <c r="I35" s="21" t="s">
        <v>28</v>
      </c>
      <c r="J35" s="21"/>
      <c r="K35" s="21"/>
      <c r="L35" s="21"/>
      <c r="M35" s="21"/>
      <c r="N35" s="30"/>
      <c r="O35" s="21"/>
      <c r="P35" s="21"/>
      <c r="Q35" s="21"/>
      <c r="R35" s="32"/>
      <c r="S35" s="32"/>
      <c r="T35" s="21"/>
      <c r="U35" s="21" t="s">
        <v>37</v>
      </c>
      <c r="V35" s="21" t="s">
        <v>37</v>
      </c>
      <c r="W35" s="21"/>
      <c r="X35" s="21" t="s">
        <v>28</v>
      </c>
    </row>
    <row r="36" customFormat="false" ht="15.75" hidden="false" customHeight="false" outlineLevel="0" collapsed="false">
      <c r="A36" s="61" t="n">
        <v>6510</v>
      </c>
      <c r="B36" s="29" t="n">
        <v>44729</v>
      </c>
      <c r="C36" s="21" t="s">
        <v>841</v>
      </c>
      <c r="D36" s="21" t="s">
        <v>24</v>
      </c>
      <c r="E36" s="21" t="s">
        <v>34</v>
      </c>
      <c r="F36" s="21" t="s">
        <v>3029</v>
      </c>
      <c r="G36" s="30"/>
      <c r="H36" s="31" t="s">
        <v>37</v>
      </c>
      <c r="I36" s="21"/>
      <c r="J36" s="21"/>
      <c r="K36" s="21"/>
      <c r="L36" s="21"/>
      <c r="M36" s="21"/>
      <c r="N36" s="30"/>
      <c r="O36" s="21"/>
      <c r="P36" s="21"/>
      <c r="Q36" s="21"/>
      <c r="R36" s="32"/>
      <c r="S36" s="32"/>
      <c r="T36" s="21"/>
      <c r="U36" s="21" t="s">
        <v>37</v>
      </c>
      <c r="V36" s="21" t="s">
        <v>37</v>
      </c>
      <c r="W36" s="21"/>
      <c r="X36" s="21" t="s">
        <v>28</v>
      </c>
    </row>
    <row r="37" customFormat="false" ht="15.75" hidden="false" customHeight="false" outlineLevel="0" collapsed="false">
      <c r="A37" s="61" t="n">
        <v>6511</v>
      </c>
      <c r="B37" s="29" t="n">
        <v>44733</v>
      </c>
      <c r="C37" s="21" t="s">
        <v>205</v>
      </c>
      <c r="D37" s="21" t="s">
        <v>24</v>
      </c>
      <c r="E37" s="21" t="s">
        <v>34</v>
      </c>
      <c r="F37" s="21" t="s">
        <v>3006</v>
      </c>
      <c r="G37" s="30"/>
      <c r="H37" s="31"/>
      <c r="I37" s="21"/>
      <c r="J37" s="21"/>
      <c r="K37" s="21"/>
      <c r="L37" s="21"/>
      <c r="M37" s="21"/>
      <c r="N37" s="30"/>
      <c r="O37" s="21"/>
      <c r="P37" s="21"/>
      <c r="Q37" s="21"/>
      <c r="R37" s="32"/>
      <c r="S37" s="32"/>
      <c r="T37" s="21"/>
      <c r="U37" s="21" t="s">
        <v>37</v>
      </c>
      <c r="V37" s="21" t="s">
        <v>37</v>
      </c>
      <c r="W37" s="21"/>
      <c r="X37" s="21" t="s">
        <v>28</v>
      </c>
    </row>
    <row r="38" customFormat="false" ht="15.75" hidden="false" customHeight="false" outlineLevel="0" collapsed="false">
      <c r="A38" s="76" t="n">
        <v>345888</v>
      </c>
      <c r="B38" s="29" t="n">
        <v>44733</v>
      </c>
      <c r="C38" s="21" t="s">
        <v>3030</v>
      </c>
      <c r="D38" s="21" t="s">
        <v>290</v>
      </c>
      <c r="E38" s="21" t="s">
        <v>25</v>
      </c>
      <c r="F38" s="21" t="s">
        <v>600</v>
      </c>
      <c r="G38" s="30" t="s">
        <v>3031</v>
      </c>
      <c r="H38" s="45" t="str">
        <f aca="false">HYPERLINK("https://photos.app.goo.gl/f88QRUKwmoTErwRE9", "Completo")</f>
        <v>Completo</v>
      </c>
      <c r="I38" s="21" t="s">
        <v>28</v>
      </c>
      <c r="J38" s="21"/>
      <c r="K38" s="21"/>
      <c r="L38" s="21"/>
      <c r="M38" s="21"/>
      <c r="N38" s="30"/>
      <c r="O38" s="21" t="s">
        <v>28</v>
      </c>
      <c r="P38" s="46" t="str">
        <f aca="false">HYPERLINK("https://photos.app.goo.gl/EYNQbdUP67eKsbR59", "Completo")</f>
        <v>Completo</v>
      </c>
      <c r="Q38" s="21" t="s">
        <v>702</v>
      </c>
      <c r="R38" s="32" t="s">
        <v>2766</v>
      </c>
      <c r="S38" s="32"/>
      <c r="T38" s="21"/>
      <c r="U38" s="21"/>
      <c r="V38" s="21"/>
      <c r="W38" s="21"/>
      <c r="X38" s="21" t="s">
        <v>28</v>
      </c>
    </row>
    <row r="39" customFormat="false" ht="15.75" hidden="false" customHeight="false" outlineLevel="0" collapsed="false">
      <c r="A39" s="61" t="n">
        <v>6512</v>
      </c>
      <c r="B39" s="29" t="n">
        <v>44733</v>
      </c>
      <c r="C39" s="21" t="s">
        <v>1561</v>
      </c>
      <c r="D39" s="21" t="s">
        <v>24</v>
      </c>
      <c r="E39" s="21" t="s">
        <v>34</v>
      </c>
      <c r="F39" s="21" t="s">
        <v>3032</v>
      </c>
      <c r="G39" s="30"/>
      <c r="H39" s="31"/>
      <c r="I39" s="21"/>
      <c r="J39" s="21"/>
      <c r="K39" s="21"/>
      <c r="L39" s="21"/>
      <c r="M39" s="21"/>
      <c r="N39" s="77"/>
      <c r="O39" s="21"/>
      <c r="P39" s="66"/>
      <c r="Q39" s="21"/>
      <c r="R39" s="32"/>
      <c r="S39" s="32"/>
      <c r="T39" s="21"/>
      <c r="U39" s="21" t="s">
        <v>37</v>
      </c>
      <c r="V39" s="21" t="s">
        <v>37</v>
      </c>
      <c r="W39" s="21"/>
      <c r="X39" s="21" t="s">
        <v>28</v>
      </c>
    </row>
    <row r="40" customFormat="false" ht="15.75" hidden="false" customHeight="false" outlineLevel="0" collapsed="false">
      <c r="A40" s="61" t="n">
        <v>6513</v>
      </c>
      <c r="B40" s="29" t="n">
        <v>44734</v>
      </c>
      <c r="C40" s="21" t="s">
        <v>3033</v>
      </c>
      <c r="D40" s="21" t="s">
        <v>24</v>
      </c>
      <c r="E40" s="21" t="s">
        <v>25</v>
      </c>
      <c r="F40" s="21" t="s">
        <v>3034</v>
      </c>
      <c r="G40" s="30"/>
      <c r="H40" s="45" t="str">
        <f aca="false">HYPERLINK("https://photos.app.goo.gl/UveCqUthPSa3k6vi8", "Completo")</f>
        <v>Completo</v>
      </c>
      <c r="I40" s="21" t="s">
        <v>28</v>
      </c>
      <c r="J40" s="21" t="n">
        <v>1140663478</v>
      </c>
      <c r="K40" s="21" t="s">
        <v>2666</v>
      </c>
      <c r="L40" s="21"/>
      <c r="M40" s="21"/>
      <c r="N40" s="30"/>
      <c r="O40" s="21"/>
      <c r="P40" s="21"/>
      <c r="Q40" s="21"/>
      <c r="R40" s="32"/>
      <c r="S40" s="32"/>
      <c r="T40" s="21"/>
      <c r="U40" s="21" t="s">
        <v>37</v>
      </c>
      <c r="V40" s="21" t="s">
        <v>37</v>
      </c>
      <c r="W40" s="21" t="s">
        <v>3035</v>
      </c>
      <c r="X40" s="21" t="s">
        <v>37</v>
      </c>
    </row>
    <row r="41" customFormat="false" ht="15.75" hidden="false" customHeight="false" outlineLevel="0" collapsed="false">
      <c r="A41" s="61" t="n">
        <v>6514</v>
      </c>
      <c r="B41" s="29" t="n">
        <v>44735</v>
      </c>
      <c r="C41" s="21" t="s">
        <v>1290</v>
      </c>
      <c r="D41" s="21" t="s">
        <v>24</v>
      </c>
      <c r="E41" s="21" t="s">
        <v>25</v>
      </c>
      <c r="F41" s="21" t="s">
        <v>3036</v>
      </c>
      <c r="G41" s="30"/>
      <c r="H41" s="45" t="str">
        <f aca="false">HYPERLINK("https://photos.app.goo.gl/FYdeVEWunXBStDrJ8", "Completo")</f>
        <v>Completo</v>
      </c>
      <c r="I41" s="21" t="s">
        <v>28</v>
      </c>
      <c r="J41" s="21"/>
      <c r="K41" s="21"/>
      <c r="L41" s="21"/>
      <c r="M41" s="21"/>
      <c r="N41" s="30"/>
      <c r="O41" s="21"/>
      <c r="P41" s="21"/>
      <c r="Q41" s="21"/>
      <c r="R41" s="32"/>
      <c r="S41" s="32"/>
      <c r="T41" s="21"/>
      <c r="U41" s="21" t="s">
        <v>37</v>
      </c>
      <c r="V41" s="21" t="s">
        <v>37</v>
      </c>
      <c r="W41" s="21" t="s">
        <v>3037</v>
      </c>
      <c r="X41" s="21" t="s">
        <v>28</v>
      </c>
    </row>
    <row r="42" customFormat="false" ht="15.75" hidden="false" customHeight="false" outlineLevel="0" collapsed="false">
      <c r="A42" s="61" t="n">
        <v>6515</v>
      </c>
      <c r="B42" s="29" t="n">
        <v>44735</v>
      </c>
      <c r="C42" s="21" t="s">
        <v>1259</v>
      </c>
      <c r="D42" s="21" t="s">
        <v>24</v>
      </c>
      <c r="E42" s="21" t="s">
        <v>25</v>
      </c>
      <c r="F42" s="21" t="s">
        <v>3038</v>
      </c>
      <c r="G42" s="30" t="s">
        <v>3039</v>
      </c>
      <c r="H42" s="45" t="str">
        <f aca="false">HYPERLINK("https://photos.app.goo.gl/XsvygKtTgXyJfDxBA", "Completo")</f>
        <v>Completo</v>
      </c>
      <c r="I42" s="21" t="s">
        <v>28</v>
      </c>
      <c r="J42" s="21"/>
      <c r="K42" s="21"/>
      <c r="L42" s="21"/>
      <c r="M42" s="21"/>
      <c r="N42" s="30"/>
      <c r="O42" s="21"/>
      <c r="P42" s="66"/>
      <c r="Q42" s="21"/>
      <c r="R42" s="32"/>
      <c r="S42" s="32"/>
      <c r="T42" s="21"/>
      <c r="U42" s="21" t="s">
        <v>37</v>
      </c>
      <c r="V42" s="21" t="s">
        <v>37</v>
      </c>
      <c r="W42" s="21"/>
      <c r="X42" s="21" t="s">
        <v>28</v>
      </c>
    </row>
    <row r="43" customFormat="false" ht="15.75" hidden="false" customHeight="false" outlineLevel="0" collapsed="false">
      <c r="A43" s="61" t="n">
        <v>6516</v>
      </c>
      <c r="B43" s="29" t="n">
        <v>44735</v>
      </c>
      <c r="C43" s="21" t="s">
        <v>1259</v>
      </c>
      <c r="D43" s="21" t="s">
        <v>24</v>
      </c>
      <c r="E43" s="21" t="s">
        <v>25</v>
      </c>
      <c r="F43" s="21" t="s">
        <v>3040</v>
      </c>
      <c r="G43" s="30"/>
      <c r="H43" s="21" t="s">
        <v>37</v>
      </c>
      <c r="I43" s="21" t="s">
        <v>28</v>
      </c>
      <c r="J43" s="21"/>
      <c r="K43" s="21"/>
      <c r="L43" s="21"/>
      <c r="M43" s="21"/>
      <c r="N43" s="30"/>
      <c r="O43" s="21"/>
      <c r="P43" s="21"/>
      <c r="Q43" s="21"/>
      <c r="R43" s="32"/>
      <c r="S43" s="32"/>
      <c r="T43" s="21"/>
      <c r="U43" s="21" t="s">
        <v>37</v>
      </c>
      <c r="V43" s="21" t="s">
        <v>37</v>
      </c>
      <c r="W43" s="21"/>
      <c r="X43" s="21" t="s">
        <v>28</v>
      </c>
    </row>
    <row r="44" customFormat="false" ht="15.75" hidden="false" customHeight="false" outlineLevel="0" collapsed="false">
      <c r="A44" s="61" t="n">
        <v>6517</v>
      </c>
      <c r="B44" s="29" t="n">
        <v>44735</v>
      </c>
      <c r="C44" s="21" t="s">
        <v>1259</v>
      </c>
      <c r="D44" s="21" t="s">
        <v>24</v>
      </c>
      <c r="E44" s="21" t="s">
        <v>25</v>
      </c>
      <c r="F44" s="21" t="s">
        <v>3041</v>
      </c>
      <c r="G44" s="30"/>
      <c r="H44" s="45" t="str">
        <f aca="false">HYPERLINK("https://photos.app.goo.gl/818pgVuktEfoK4T37", "Completo")</f>
        <v>Completo</v>
      </c>
      <c r="I44" s="21" t="s">
        <v>28</v>
      </c>
      <c r="J44" s="21"/>
      <c r="K44" s="21"/>
      <c r="L44" s="21"/>
      <c r="M44" s="21"/>
      <c r="N44" s="30"/>
      <c r="O44" s="21"/>
      <c r="P44" s="21"/>
      <c r="Q44" s="21"/>
      <c r="R44" s="32"/>
      <c r="S44" s="32"/>
      <c r="T44" s="21"/>
      <c r="U44" s="21" t="s">
        <v>37</v>
      </c>
      <c r="V44" s="21" t="s">
        <v>37</v>
      </c>
      <c r="W44" s="21"/>
      <c r="X44" s="21" t="s">
        <v>28</v>
      </c>
    </row>
    <row r="45" customFormat="false" ht="15.75" hidden="false" customHeight="false" outlineLevel="0" collapsed="false">
      <c r="A45" s="61" t="n">
        <v>6518</v>
      </c>
      <c r="B45" s="29" t="n">
        <v>44735</v>
      </c>
      <c r="C45" s="21" t="s">
        <v>3030</v>
      </c>
      <c r="D45" s="21" t="s">
        <v>24</v>
      </c>
      <c r="E45" s="21" t="s">
        <v>34</v>
      </c>
      <c r="F45" s="21" t="s">
        <v>902</v>
      </c>
      <c r="G45" s="30"/>
      <c r="H45" s="31"/>
      <c r="I45" s="21"/>
      <c r="J45" s="21"/>
      <c r="K45" s="21"/>
      <c r="L45" s="21"/>
      <c r="M45" s="21"/>
      <c r="N45" s="30"/>
      <c r="O45" s="21"/>
      <c r="P45" s="21"/>
      <c r="Q45" s="21"/>
      <c r="R45" s="32"/>
      <c r="S45" s="32"/>
      <c r="T45" s="21"/>
      <c r="U45" s="21"/>
      <c r="V45" s="21"/>
      <c r="W45" s="21"/>
      <c r="X45" s="21" t="s">
        <v>28</v>
      </c>
    </row>
    <row r="46" customFormat="false" ht="15.75" hidden="false" customHeight="false" outlineLevel="0" collapsed="false">
      <c r="A46" s="61" t="n">
        <v>6519</v>
      </c>
      <c r="B46" s="29" t="n">
        <v>44736</v>
      </c>
      <c r="C46" s="21" t="s">
        <v>1259</v>
      </c>
      <c r="D46" s="21" t="s">
        <v>24</v>
      </c>
      <c r="E46" s="21" t="s">
        <v>34</v>
      </c>
      <c r="F46" s="21" t="s">
        <v>3042</v>
      </c>
      <c r="G46" s="30"/>
      <c r="H46" s="31" t="s">
        <v>28</v>
      </c>
      <c r="I46" s="21"/>
      <c r="J46" s="21"/>
      <c r="K46" s="21"/>
      <c r="L46" s="21"/>
      <c r="M46" s="21"/>
      <c r="N46" s="30"/>
      <c r="O46" s="21"/>
      <c r="P46" s="21"/>
      <c r="Q46" s="21"/>
      <c r="R46" s="32"/>
      <c r="S46" s="32"/>
      <c r="T46" s="21"/>
      <c r="U46" s="21" t="s">
        <v>37</v>
      </c>
      <c r="V46" s="21" t="s">
        <v>37</v>
      </c>
      <c r="W46" s="21"/>
      <c r="X46" s="21" t="s">
        <v>28</v>
      </c>
    </row>
    <row r="47" customFormat="false" ht="15.75" hidden="false" customHeight="false" outlineLevel="0" collapsed="false">
      <c r="A47" s="61" t="n">
        <v>6520</v>
      </c>
      <c r="B47" s="29" t="n">
        <v>44737</v>
      </c>
      <c r="C47" s="21" t="s">
        <v>3043</v>
      </c>
      <c r="D47" s="21" t="s">
        <v>24</v>
      </c>
      <c r="E47" s="21" t="s">
        <v>25</v>
      </c>
      <c r="F47" s="21" t="s">
        <v>3044</v>
      </c>
      <c r="G47" s="30"/>
      <c r="H47" s="45" t="str">
        <f aca="false">HYPERLINK("https://photos.app.goo.gl/bmgX7kD6taJYskRx5", "Completo")</f>
        <v>Completo</v>
      </c>
      <c r="I47" s="21" t="s">
        <v>28</v>
      </c>
      <c r="J47" s="21"/>
      <c r="K47" s="21"/>
      <c r="L47" s="21"/>
      <c r="M47" s="21" t="s">
        <v>3045</v>
      </c>
      <c r="N47" s="30"/>
      <c r="O47" s="21"/>
      <c r="P47" s="21"/>
      <c r="Q47" s="21"/>
      <c r="R47" s="32"/>
      <c r="S47" s="32"/>
      <c r="T47" s="21"/>
      <c r="U47" s="21"/>
      <c r="V47" s="21"/>
      <c r="W47" s="21"/>
      <c r="X47" s="21" t="s">
        <v>37</v>
      </c>
    </row>
    <row r="48" customFormat="false" ht="15.75" hidden="false" customHeight="false" outlineLevel="0" collapsed="false">
      <c r="A48" s="61" t="n">
        <v>6521</v>
      </c>
      <c r="B48" s="29" t="n">
        <v>44739</v>
      </c>
      <c r="C48" s="21" t="s">
        <v>188</v>
      </c>
      <c r="D48" s="21" t="s">
        <v>24</v>
      </c>
      <c r="E48" s="21" t="s">
        <v>34</v>
      </c>
      <c r="F48" s="21" t="s">
        <v>3046</v>
      </c>
      <c r="G48" s="30"/>
      <c r="H48" s="31"/>
      <c r="I48" s="21"/>
      <c r="J48" s="21"/>
      <c r="K48" s="21"/>
      <c r="L48" s="21"/>
      <c r="M48" s="21"/>
      <c r="N48" s="30"/>
      <c r="O48" s="21"/>
      <c r="P48" s="21"/>
      <c r="Q48" s="21"/>
      <c r="R48" s="32"/>
      <c r="S48" s="32"/>
      <c r="T48" s="21"/>
      <c r="U48" s="21"/>
      <c r="V48" s="21"/>
      <c r="W48" s="21"/>
      <c r="X48" s="21" t="s">
        <v>28</v>
      </c>
    </row>
    <row r="49" customFormat="false" ht="15.75" hidden="false" customHeight="false" outlineLevel="0" collapsed="false">
      <c r="A49" s="61" t="n">
        <v>6522</v>
      </c>
      <c r="B49" s="29" t="n">
        <v>44739</v>
      </c>
      <c r="C49" s="21" t="s">
        <v>819</v>
      </c>
      <c r="D49" s="21" t="s">
        <v>24</v>
      </c>
      <c r="E49" s="21" t="s">
        <v>25</v>
      </c>
      <c r="F49" s="21" t="s">
        <v>3047</v>
      </c>
      <c r="G49" s="30" t="s">
        <v>3048</v>
      </c>
      <c r="H49" s="45" t="str">
        <f aca="false">HYPERLINK("https://photos.app.goo.gl/axxXbvKy2nwR1dy89", "Completo")</f>
        <v>Completo</v>
      </c>
      <c r="I49" s="21" t="s">
        <v>28</v>
      </c>
      <c r="J49" s="21" t="s">
        <v>3049</v>
      </c>
      <c r="K49" s="21"/>
      <c r="L49" s="21"/>
      <c r="M49" s="21"/>
      <c r="N49" s="30"/>
      <c r="O49" s="21" t="s">
        <v>28</v>
      </c>
      <c r="P49" s="66" t="s">
        <v>28</v>
      </c>
      <c r="Q49" s="21" t="s">
        <v>2803</v>
      </c>
      <c r="R49" s="32" t="s">
        <v>2850</v>
      </c>
      <c r="S49" s="32" t="s">
        <v>36</v>
      </c>
      <c r="T49" s="21" t="s">
        <v>74</v>
      </c>
      <c r="U49" s="74" t="s">
        <v>28</v>
      </c>
      <c r="V49" s="74" t="s">
        <v>28</v>
      </c>
      <c r="W49" s="21" t="s">
        <v>36</v>
      </c>
      <c r="X49" s="21" t="s">
        <v>28</v>
      </c>
    </row>
    <row r="50" customFormat="false" ht="15.75" hidden="false" customHeight="false" outlineLevel="0" collapsed="false">
      <c r="A50" s="61" t="n">
        <v>6523</v>
      </c>
      <c r="B50" s="29" t="n">
        <v>44739</v>
      </c>
      <c r="C50" s="21" t="s">
        <v>819</v>
      </c>
      <c r="D50" s="21" t="s">
        <v>24</v>
      </c>
      <c r="E50" s="21" t="s">
        <v>25</v>
      </c>
      <c r="F50" s="21" t="s">
        <v>2420</v>
      </c>
      <c r="G50" s="30" t="s">
        <v>3050</v>
      </c>
      <c r="H50" s="45" t="str">
        <f aca="false">HYPERLINK("https://photos.app.goo.gl/KeaP467SbJ9bbcLN9", "Completo")</f>
        <v>Completo</v>
      </c>
      <c r="I50" s="21" t="s">
        <v>28</v>
      </c>
      <c r="J50" s="21"/>
      <c r="K50" s="21"/>
      <c r="L50" s="21"/>
      <c r="M50" s="21"/>
      <c r="N50" s="30"/>
      <c r="O50" s="21" t="s">
        <v>28</v>
      </c>
      <c r="P50" s="74" t="s">
        <v>28</v>
      </c>
      <c r="Q50" s="21" t="s">
        <v>2515</v>
      </c>
      <c r="R50" s="32" t="s">
        <v>2766</v>
      </c>
      <c r="S50" s="32" t="s">
        <v>36</v>
      </c>
      <c r="T50" s="21" t="s">
        <v>74</v>
      </c>
      <c r="U50" s="74" t="s">
        <v>28</v>
      </c>
      <c r="V50" s="74" t="s">
        <v>28</v>
      </c>
      <c r="W50" s="21" t="s">
        <v>36</v>
      </c>
      <c r="X50" s="21" t="s">
        <v>28</v>
      </c>
    </row>
    <row r="51" customFormat="false" ht="15.75" hidden="false" customHeight="false" outlineLevel="0" collapsed="false">
      <c r="A51" s="61" t="n">
        <v>6524</v>
      </c>
      <c r="B51" s="29" t="n">
        <v>44739</v>
      </c>
      <c r="C51" s="21" t="s">
        <v>819</v>
      </c>
      <c r="D51" s="21" t="s">
        <v>24</v>
      </c>
      <c r="E51" s="21" t="s">
        <v>25</v>
      </c>
      <c r="F51" s="21" t="s">
        <v>3051</v>
      </c>
      <c r="G51" s="30" t="s">
        <v>3052</v>
      </c>
      <c r="H51" s="45" t="str">
        <f aca="false">HYPERLINK("https://photos.app.goo.gl/9K5x3HriPkmLbDUT8", "Completo")</f>
        <v>Completo</v>
      </c>
      <c r="I51" s="21" t="s">
        <v>28</v>
      </c>
      <c r="J51" s="21"/>
      <c r="K51" s="21"/>
      <c r="L51" s="21"/>
      <c r="M51" s="21"/>
      <c r="N51" s="30"/>
      <c r="O51" s="21" t="s">
        <v>28</v>
      </c>
      <c r="P51" s="74" t="s">
        <v>28</v>
      </c>
      <c r="Q51" s="21" t="s">
        <v>2515</v>
      </c>
      <c r="R51" s="32" t="s">
        <v>2766</v>
      </c>
      <c r="S51" s="32" t="s">
        <v>36</v>
      </c>
      <c r="T51" s="21" t="s">
        <v>74</v>
      </c>
      <c r="U51" s="74" t="s">
        <v>28</v>
      </c>
      <c r="V51" s="74" t="s">
        <v>28</v>
      </c>
      <c r="W51" s="21" t="s">
        <v>36</v>
      </c>
      <c r="X51" s="21" t="s">
        <v>28</v>
      </c>
    </row>
    <row r="52" customFormat="false" ht="15.75" hidden="false" customHeight="false" outlineLevel="0" collapsed="false">
      <c r="A52" s="61" t="n">
        <v>6525</v>
      </c>
      <c r="B52" s="29" t="n">
        <v>44739</v>
      </c>
      <c r="C52" s="21" t="s">
        <v>133</v>
      </c>
      <c r="D52" s="21" t="s">
        <v>24</v>
      </c>
      <c r="E52" s="21" t="s">
        <v>25</v>
      </c>
      <c r="F52" s="21" t="s">
        <v>3053</v>
      </c>
      <c r="G52" s="30" t="s">
        <v>3054</v>
      </c>
      <c r="H52" s="45" t="str">
        <f aca="false">HYPERLINK("https://photos.app.goo.gl/oySC4LMMVtcwT7J8A", "Completo")</f>
        <v>Completo</v>
      </c>
      <c r="I52" s="21" t="s">
        <v>28</v>
      </c>
      <c r="J52" s="21"/>
      <c r="K52" s="21"/>
      <c r="L52" s="21"/>
      <c r="M52" s="78"/>
      <c r="N52" s="30" t="s">
        <v>3054</v>
      </c>
      <c r="O52" s="21" t="s">
        <v>28</v>
      </c>
      <c r="P52" s="74" t="s">
        <v>28</v>
      </c>
      <c r="Q52" s="21" t="s">
        <v>2981</v>
      </c>
      <c r="R52" s="32" t="s">
        <v>2850</v>
      </c>
      <c r="S52" s="32" t="s">
        <v>36</v>
      </c>
      <c r="T52" s="21"/>
      <c r="U52" s="21"/>
      <c r="V52" s="21"/>
      <c r="W52" s="21"/>
      <c r="X52" s="21" t="s">
        <v>28</v>
      </c>
    </row>
    <row r="53" customFormat="false" ht="15.75" hidden="false" customHeight="false" outlineLevel="0" collapsed="false">
      <c r="A53" s="61" t="n">
        <v>6526</v>
      </c>
      <c r="B53" s="29" t="n">
        <v>44739</v>
      </c>
      <c r="C53" s="21" t="s">
        <v>133</v>
      </c>
      <c r="D53" s="21" t="s">
        <v>24</v>
      </c>
      <c r="E53" s="21" t="s">
        <v>25</v>
      </c>
      <c r="F53" s="21" t="s">
        <v>3055</v>
      </c>
      <c r="G53" s="30" t="s">
        <v>3054</v>
      </c>
      <c r="H53" s="45" t="str">
        <f aca="false">HYPERLINK("https://photos.app.goo.gl/7LJW881kbC22j5hp8", "Completo")</f>
        <v>Completo</v>
      </c>
      <c r="I53" s="21" t="s">
        <v>28</v>
      </c>
      <c r="J53" s="21"/>
      <c r="K53" s="21"/>
      <c r="L53" s="21"/>
      <c r="M53" s="21"/>
      <c r="N53" s="30" t="s">
        <v>3056</v>
      </c>
      <c r="O53" s="21" t="s">
        <v>28</v>
      </c>
      <c r="P53" s="74" t="s">
        <v>28</v>
      </c>
      <c r="Q53" s="21" t="s">
        <v>201</v>
      </c>
      <c r="R53" s="32" t="s">
        <v>25</v>
      </c>
      <c r="S53" s="32"/>
      <c r="T53" s="21"/>
      <c r="U53" s="21"/>
      <c r="V53" s="21"/>
      <c r="W53" s="21"/>
      <c r="X53" s="21" t="s">
        <v>28</v>
      </c>
    </row>
    <row r="54" customFormat="false" ht="15.75" hidden="false" customHeight="false" outlineLevel="0" collapsed="false">
      <c r="A54" s="61" t="n">
        <v>6527</v>
      </c>
      <c r="B54" s="29" t="n">
        <v>44739</v>
      </c>
      <c r="C54" s="21" t="s">
        <v>133</v>
      </c>
      <c r="D54" s="21" t="s">
        <v>24</v>
      </c>
      <c r="E54" s="21" t="s">
        <v>25</v>
      </c>
      <c r="F54" s="21" t="s">
        <v>3055</v>
      </c>
      <c r="G54" s="30" t="s">
        <v>3054</v>
      </c>
      <c r="H54" s="45" t="str">
        <f aca="false">HYPERLINK("https://photos.app.goo.gl/oJdb27xQxnAFAN9X8", "Completo")</f>
        <v>Completo</v>
      </c>
      <c r="I54" s="21" t="s">
        <v>28</v>
      </c>
      <c r="J54" s="21"/>
      <c r="K54" s="21"/>
      <c r="L54" s="21"/>
      <c r="M54" s="21"/>
      <c r="N54" s="30" t="s">
        <v>3054</v>
      </c>
      <c r="O54" s="21" t="s">
        <v>28</v>
      </c>
      <c r="P54" s="21" t="s">
        <v>28</v>
      </c>
      <c r="Q54" s="21" t="s">
        <v>201</v>
      </c>
      <c r="R54" s="32" t="s">
        <v>25</v>
      </c>
      <c r="S54" s="32"/>
      <c r="T54" s="21"/>
      <c r="U54" s="21"/>
      <c r="V54" s="21"/>
      <c r="W54" s="21"/>
      <c r="X54" s="21" t="s">
        <v>28</v>
      </c>
    </row>
    <row r="55" customFormat="false" ht="15.75" hidden="false" customHeight="false" outlineLevel="0" collapsed="false">
      <c r="A55" s="61" t="n">
        <v>6528</v>
      </c>
      <c r="B55" s="29" t="n">
        <v>44739</v>
      </c>
      <c r="C55" s="21" t="s">
        <v>133</v>
      </c>
      <c r="D55" s="21" t="s">
        <v>24</v>
      </c>
      <c r="E55" s="21" t="s">
        <v>25</v>
      </c>
      <c r="F55" s="21" t="s">
        <v>3055</v>
      </c>
      <c r="G55" s="30" t="s">
        <v>3054</v>
      </c>
      <c r="H55" s="45" t="str">
        <f aca="false">HYPERLINK("https://photos.app.goo.gl/q6dksrDKCFzMDNMV8", "Completo")</f>
        <v>Completo</v>
      </c>
      <c r="I55" s="21" t="s">
        <v>28</v>
      </c>
      <c r="J55" s="21"/>
      <c r="K55" s="21"/>
      <c r="L55" s="21"/>
      <c r="M55" s="21"/>
      <c r="N55" s="30" t="s">
        <v>3054</v>
      </c>
      <c r="O55" s="21" t="s">
        <v>28</v>
      </c>
      <c r="P55" s="74" t="s">
        <v>28</v>
      </c>
      <c r="Q55" s="21" t="s">
        <v>73</v>
      </c>
      <c r="R55" s="32" t="s">
        <v>2766</v>
      </c>
      <c r="S55" s="32" t="s">
        <v>36</v>
      </c>
      <c r="T55" s="21"/>
      <c r="U55" s="21"/>
      <c r="V55" s="21"/>
      <c r="W55" s="21"/>
      <c r="X55" s="21" t="s">
        <v>28</v>
      </c>
    </row>
    <row r="56" customFormat="false" ht="15.75" hidden="false" customHeight="false" outlineLevel="0" collapsed="false">
      <c r="A56" s="61" t="n">
        <v>6529</v>
      </c>
      <c r="B56" s="29" t="n">
        <v>44739</v>
      </c>
      <c r="C56" s="21" t="s">
        <v>133</v>
      </c>
      <c r="D56" s="21" t="s">
        <v>24</v>
      </c>
      <c r="E56" s="21" t="s">
        <v>25</v>
      </c>
      <c r="F56" s="21" t="s">
        <v>3055</v>
      </c>
      <c r="G56" s="30" t="s">
        <v>3054</v>
      </c>
      <c r="H56" s="45" t="str">
        <f aca="false">HYPERLINK("https://photos.app.goo.gl/MWjV5CzMvc3tsTY89", "Completo")</f>
        <v>Completo</v>
      </c>
      <c r="I56" s="21" t="s">
        <v>28</v>
      </c>
      <c r="J56" s="21"/>
      <c r="K56" s="21"/>
      <c r="L56" s="21"/>
      <c r="M56" s="21"/>
      <c r="N56" s="30" t="s">
        <v>3054</v>
      </c>
      <c r="O56" s="21" t="s">
        <v>28</v>
      </c>
      <c r="P56" s="21" t="s">
        <v>28</v>
      </c>
      <c r="Q56" s="21" t="s">
        <v>201</v>
      </c>
      <c r="R56" s="32" t="s">
        <v>25</v>
      </c>
      <c r="S56" s="32"/>
      <c r="T56" s="21"/>
      <c r="U56" s="21"/>
      <c r="V56" s="21"/>
      <c r="W56" s="21"/>
      <c r="X56" s="21" t="s">
        <v>28</v>
      </c>
    </row>
    <row r="57" customFormat="false" ht="15.75" hidden="false" customHeight="false" outlineLevel="0" collapsed="false">
      <c r="A57" s="61" t="n">
        <v>6530</v>
      </c>
      <c r="B57" s="29" t="n">
        <v>44739</v>
      </c>
      <c r="C57" s="21" t="s">
        <v>133</v>
      </c>
      <c r="D57" s="21" t="s">
        <v>24</v>
      </c>
      <c r="E57" s="21" t="s">
        <v>25</v>
      </c>
      <c r="F57" s="21" t="s">
        <v>3055</v>
      </c>
      <c r="G57" s="30" t="s">
        <v>3054</v>
      </c>
      <c r="H57" s="45" t="str">
        <f aca="false">HYPERLINK("https://photos.app.goo.gl/3hMJffyunexf1ZWo6", "Completo")</f>
        <v>Completo</v>
      </c>
      <c r="I57" s="21" t="s">
        <v>28</v>
      </c>
      <c r="J57" s="21"/>
      <c r="K57" s="21"/>
      <c r="L57" s="21"/>
      <c r="M57" s="21"/>
      <c r="N57" s="30" t="s">
        <v>3054</v>
      </c>
      <c r="O57" s="21" t="s">
        <v>28</v>
      </c>
      <c r="P57" s="74" t="s">
        <v>28</v>
      </c>
      <c r="Q57" s="21" t="s">
        <v>201</v>
      </c>
      <c r="R57" s="32" t="s">
        <v>25</v>
      </c>
      <c r="S57" s="32"/>
      <c r="T57" s="21"/>
      <c r="U57" s="21"/>
      <c r="V57" s="21"/>
      <c r="W57" s="21"/>
      <c r="X57" s="21" t="s">
        <v>28</v>
      </c>
    </row>
    <row r="58" customFormat="false" ht="15.75" hidden="false" customHeight="false" outlineLevel="0" collapsed="false">
      <c r="A58" s="61" t="n">
        <v>6531</v>
      </c>
      <c r="B58" s="29" t="n">
        <v>44739</v>
      </c>
      <c r="C58" s="21" t="s">
        <v>133</v>
      </c>
      <c r="D58" s="21" t="s">
        <v>24</v>
      </c>
      <c r="E58" s="21" t="s">
        <v>25</v>
      </c>
      <c r="F58" s="21" t="s">
        <v>3055</v>
      </c>
      <c r="G58" s="30" t="s">
        <v>3054</v>
      </c>
      <c r="H58" s="45" t="str">
        <f aca="false">HYPERLINK("https://photos.app.goo.gl/RzH1sov2HUgAV6ew6", "Completo")</f>
        <v>Completo</v>
      </c>
      <c r="I58" s="21" t="s">
        <v>28</v>
      </c>
      <c r="J58" s="21"/>
      <c r="K58" s="21"/>
      <c r="L58" s="21"/>
      <c r="M58" s="78"/>
      <c r="N58" s="30" t="s">
        <v>3054</v>
      </c>
      <c r="O58" s="21" t="s">
        <v>28</v>
      </c>
      <c r="P58" s="74" t="s">
        <v>28</v>
      </c>
      <c r="Q58" s="21" t="s">
        <v>201</v>
      </c>
      <c r="R58" s="32" t="s">
        <v>25</v>
      </c>
      <c r="S58" s="32"/>
      <c r="T58" s="21"/>
      <c r="U58" s="21"/>
      <c r="V58" s="21"/>
      <c r="W58" s="21"/>
      <c r="X58" s="21" t="s">
        <v>28</v>
      </c>
    </row>
    <row r="59" customFormat="false" ht="15.75" hidden="false" customHeight="false" outlineLevel="0" collapsed="false">
      <c r="A59" s="61" t="n">
        <v>6532</v>
      </c>
      <c r="B59" s="29" t="n">
        <v>44740</v>
      </c>
      <c r="C59" s="21" t="s">
        <v>23</v>
      </c>
      <c r="D59" s="21" t="s">
        <v>24</v>
      </c>
      <c r="E59" s="21" t="s">
        <v>34</v>
      </c>
      <c r="F59" s="21" t="s">
        <v>2810</v>
      </c>
      <c r="G59" s="30"/>
      <c r="H59" s="31" t="s">
        <v>37</v>
      </c>
      <c r="I59" s="21"/>
      <c r="J59" s="21"/>
      <c r="K59" s="21"/>
      <c r="L59" s="21"/>
      <c r="M59" s="21"/>
      <c r="N59" s="30"/>
      <c r="O59" s="21"/>
      <c r="P59" s="21"/>
      <c r="Q59" s="21"/>
      <c r="R59" s="32"/>
      <c r="S59" s="32"/>
      <c r="T59" s="21"/>
      <c r="U59" s="21"/>
      <c r="V59" s="21"/>
      <c r="W59" s="21"/>
      <c r="X59" s="21" t="s">
        <v>28</v>
      </c>
    </row>
    <row r="60" customFormat="false" ht="15.75" hidden="false" customHeight="false" outlineLevel="0" collapsed="false">
      <c r="A60" s="61" t="n">
        <v>6533</v>
      </c>
      <c r="B60" s="29" t="n">
        <v>44740</v>
      </c>
      <c r="C60" s="21" t="s">
        <v>23</v>
      </c>
      <c r="D60" s="21" t="s">
        <v>24</v>
      </c>
      <c r="E60" s="21" t="s">
        <v>34</v>
      </c>
      <c r="F60" s="21" t="s">
        <v>2810</v>
      </c>
      <c r="G60" s="30"/>
      <c r="H60" s="31" t="s">
        <v>37</v>
      </c>
      <c r="I60" s="21"/>
      <c r="J60" s="21"/>
      <c r="K60" s="21"/>
      <c r="L60" s="21"/>
      <c r="M60" s="21"/>
      <c r="N60" s="30"/>
      <c r="O60" s="21"/>
      <c r="P60" s="21"/>
      <c r="Q60" s="21"/>
      <c r="R60" s="32"/>
      <c r="S60" s="32"/>
      <c r="T60" s="21"/>
      <c r="U60" s="21"/>
      <c r="V60" s="21"/>
      <c r="W60" s="21"/>
      <c r="X60" s="21" t="s">
        <v>28</v>
      </c>
    </row>
    <row r="61" customFormat="false" ht="15.75" hidden="false" customHeight="false" outlineLevel="0" collapsed="false">
      <c r="A61" s="61" t="n">
        <v>6534</v>
      </c>
      <c r="B61" s="29" t="n">
        <v>44740</v>
      </c>
      <c r="C61" s="21" t="s">
        <v>1561</v>
      </c>
      <c r="D61" s="21" t="s">
        <v>24</v>
      </c>
      <c r="E61" s="21" t="s">
        <v>25</v>
      </c>
      <c r="F61" s="21" t="s">
        <v>3057</v>
      </c>
      <c r="G61" s="30" t="s">
        <v>3058</v>
      </c>
      <c r="H61" s="45" t="str">
        <f aca="false">HYPERLINK("https://photos.app.goo.gl/i4MZWGRCda5p6wC38", "Completo")</f>
        <v>Completo</v>
      </c>
      <c r="I61" s="21" t="s">
        <v>28</v>
      </c>
      <c r="J61" s="21"/>
      <c r="K61" s="21"/>
      <c r="L61" s="21"/>
      <c r="M61" s="21"/>
      <c r="N61" s="30" t="s">
        <v>3058</v>
      </c>
      <c r="O61" s="21" t="s">
        <v>28</v>
      </c>
      <c r="P61" s="55" t="s">
        <v>28</v>
      </c>
      <c r="Q61" s="21" t="s">
        <v>1062</v>
      </c>
      <c r="R61" s="32" t="s">
        <v>25</v>
      </c>
      <c r="S61" s="32"/>
      <c r="T61" s="21"/>
      <c r="U61" s="21"/>
      <c r="V61" s="21"/>
      <c r="W61" s="21"/>
      <c r="X61" s="21" t="s">
        <v>28</v>
      </c>
    </row>
    <row r="62" customFormat="false" ht="15.75" hidden="false" customHeight="false" outlineLevel="0" collapsed="false">
      <c r="A62" s="61" t="n">
        <v>6535</v>
      </c>
      <c r="B62" s="29" t="n">
        <v>44740</v>
      </c>
      <c r="C62" s="21" t="s">
        <v>3059</v>
      </c>
      <c r="D62" s="21" t="s">
        <v>24</v>
      </c>
      <c r="E62" s="21" t="s">
        <v>25</v>
      </c>
      <c r="F62" s="21" t="s">
        <v>3060</v>
      </c>
      <c r="G62" s="30"/>
      <c r="H62" s="45" t="str">
        <f aca="false">HYPERLINK("https://photos.app.goo.gl/3coavDFM3UUpL9cG8", "Completo")</f>
        <v>Completo</v>
      </c>
      <c r="I62" s="21" t="s">
        <v>28</v>
      </c>
      <c r="J62" s="21"/>
      <c r="K62" s="21"/>
      <c r="L62" s="21"/>
      <c r="M62" s="21"/>
      <c r="N62" s="30"/>
      <c r="O62" s="21"/>
      <c r="P62" s="21"/>
      <c r="Q62" s="21"/>
      <c r="R62" s="32"/>
      <c r="S62" s="32"/>
      <c r="T62" s="21"/>
      <c r="U62" s="21"/>
      <c r="V62" s="21"/>
      <c r="W62" s="21"/>
      <c r="X62" s="21" t="s">
        <v>28</v>
      </c>
    </row>
    <row r="63" customFormat="false" ht="15.75" hidden="false" customHeight="false" outlineLevel="0" collapsed="false">
      <c r="A63" s="61" t="n">
        <v>6536</v>
      </c>
      <c r="B63" s="29" t="n">
        <v>44740</v>
      </c>
      <c r="C63" s="21" t="s">
        <v>82</v>
      </c>
      <c r="D63" s="21" t="s">
        <v>24</v>
      </c>
      <c r="E63" s="21" t="s">
        <v>25</v>
      </c>
      <c r="F63" s="21" t="s">
        <v>3061</v>
      </c>
      <c r="G63" s="30"/>
      <c r="H63" s="45" t="str">
        <f aca="false">HYPERLINK("https://photos.app.goo.gl/jGQ353oLfJJR8iwE7", "Completo")</f>
        <v>Completo</v>
      </c>
      <c r="I63" s="21" t="s">
        <v>28</v>
      </c>
      <c r="J63" s="21"/>
      <c r="K63" s="21"/>
      <c r="L63" s="21"/>
      <c r="M63" s="21"/>
      <c r="N63" s="30"/>
      <c r="O63" s="21"/>
      <c r="P63" s="21"/>
      <c r="Q63" s="21"/>
      <c r="R63" s="32"/>
      <c r="S63" s="32"/>
      <c r="T63" s="21"/>
      <c r="U63" s="21"/>
      <c r="V63" s="21"/>
      <c r="W63" s="21"/>
      <c r="X63" s="21" t="s">
        <v>28</v>
      </c>
    </row>
    <row r="64" customFormat="false" ht="15.75" hidden="false" customHeight="false" outlineLevel="0" collapsed="false">
      <c r="A64" s="61" t="n">
        <v>6537</v>
      </c>
      <c r="B64" s="29" t="n">
        <v>44740</v>
      </c>
      <c r="C64" s="21" t="s">
        <v>1290</v>
      </c>
      <c r="D64" s="21" t="s">
        <v>24</v>
      </c>
      <c r="E64" s="21" t="s">
        <v>25</v>
      </c>
      <c r="F64" s="21" t="s">
        <v>3062</v>
      </c>
      <c r="G64" s="30"/>
      <c r="H64" s="31"/>
      <c r="I64" s="21"/>
      <c r="J64" s="21"/>
      <c r="K64" s="21"/>
      <c r="L64" s="21"/>
      <c r="M64" s="21"/>
      <c r="N64" s="30"/>
      <c r="O64" s="21"/>
      <c r="P64" s="21"/>
      <c r="Q64" s="21"/>
      <c r="R64" s="32"/>
      <c r="S64" s="32"/>
      <c r="T64" s="21"/>
      <c r="U64" s="21"/>
      <c r="V64" s="21"/>
      <c r="W64" s="21"/>
      <c r="X64" s="21" t="s">
        <v>28</v>
      </c>
    </row>
    <row r="65" customFormat="false" ht="15.75" hidden="false" customHeight="false" outlineLevel="0" collapsed="false">
      <c r="A65" s="61" t="n">
        <v>6538</v>
      </c>
      <c r="B65" s="29" t="n">
        <v>44741</v>
      </c>
      <c r="C65" s="21" t="s">
        <v>841</v>
      </c>
      <c r="D65" s="21" t="s">
        <v>24</v>
      </c>
      <c r="E65" s="21" t="s">
        <v>34</v>
      </c>
      <c r="F65" s="21" t="s">
        <v>3063</v>
      </c>
      <c r="G65" s="30"/>
      <c r="H65" s="31" t="s">
        <v>37</v>
      </c>
      <c r="I65" s="21"/>
      <c r="J65" s="21"/>
      <c r="K65" s="21"/>
      <c r="L65" s="21"/>
      <c r="M65" s="21"/>
      <c r="N65" s="30"/>
      <c r="O65" s="21"/>
      <c r="P65" s="21"/>
      <c r="Q65" s="21"/>
      <c r="R65" s="32"/>
      <c r="S65" s="32"/>
      <c r="T65" s="21"/>
      <c r="U65" s="21"/>
      <c r="V65" s="21"/>
      <c r="W65" s="21"/>
      <c r="X65" s="21" t="s">
        <v>28</v>
      </c>
    </row>
    <row r="66" customFormat="false" ht="15.75" hidden="false" customHeight="false" outlineLevel="0" collapsed="false">
      <c r="A66" s="61" t="n">
        <v>6539</v>
      </c>
      <c r="B66" s="29" t="n">
        <v>44741</v>
      </c>
      <c r="C66" s="21" t="s">
        <v>2837</v>
      </c>
      <c r="D66" s="21" t="s">
        <v>24</v>
      </c>
      <c r="E66" s="21" t="s">
        <v>25</v>
      </c>
      <c r="F66" s="21" t="s">
        <v>3064</v>
      </c>
      <c r="G66" s="30" t="s">
        <v>3065</v>
      </c>
      <c r="H66" s="45" t="str">
        <f aca="false">HYPERLINK("https://photos.app.goo.gl/buwsZHfbQg7rFctd8", "Completo")</f>
        <v>Completo</v>
      </c>
      <c r="I66" s="21" t="s">
        <v>28</v>
      </c>
      <c r="J66" s="21"/>
      <c r="K66" s="21"/>
      <c r="L66" s="21"/>
      <c r="M66" s="21"/>
      <c r="N66" s="30"/>
      <c r="O66" s="21"/>
      <c r="P66" s="21"/>
      <c r="Q66" s="21"/>
      <c r="R66" s="32"/>
      <c r="S66" s="32"/>
      <c r="T66" s="21" t="s">
        <v>74</v>
      </c>
      <c r="U66" s="74" t="s">
        <v>28</v>
      </c>
      <c r="V66" s="74" t="s">
        <v>28</v>
      </c>
      <c r="W66" s="21" t="s">
        <v>36</v>
      </c>
      <c r="X66" s="21" t="s">
        <v>28</v>
      </c>
    </row>
    <row r="67" customFormat="false" ht="15.75" hidden="false" customHeight="false" outlineLevel="0" collapsed="false">
      <c r="A67" s="61" t="n">
        <v>6540</v>
      </c>
      <c r="B67" s="29" t="n">
        <v>44741</v>
      </c>
      <c r="C67" s="21" t="s">
        <v>2837</v>
      </c>
      <c r="D67" s="21" t="s">
        <v>24</v>
      </c>
      <c r="E67" s="21" t="s">
        <v>25</v>
      </c>
      <c r="F67" s="21" t="s">
        <v>3064</v>
      </c>
      <c r="G67" s="30" t="s">
        <v>3066</v>
      </c>
      <c r="H67" s="45" t="str">
        <f aca="false">HYPERLINK("https://photos.app.goo.gl/NNn7vA2UhBboVTQL6", "Completo")</f>
        <v>Completo</v>
      </c>
      <c r="I67" s="21" t="s">
        <v>28</v>
      </c>
      <c r="J67" s="21"/>
      <c r="K67" s="21"/>
      <c r="L67" s="21"/>
      <c r="M67" s="21"/>
      <c r="N67" s="30"/>
      <c r="O67" s="21" t="s">
        <v>28</v>
      </c>
      <c r="P67" s="74" t="s">
        <v>28</v>
      </c>
      <c r="Q67" s="21" t="s">
        <v>2803</v>
      </c>
      <c r="R67" s="32" t="s">
        <v>2766</v>
      </c>
      <c r="S67" s="32"/>
      <c r="T67" s="21" t="s">
        <v>74</v>
      </c>
      <c r="U67" s="74" t="s">
        <v>28</v>
      </c>
      <c r="V67" s="74" t="s">
        <v>28</v>
      </c>
      <c r="W67" s="21" t="s">
        <v>36</v>
      </c>
      <c r="X67" s="21" t="s">
        <v>28</v>
      </c>
    </row>
    <row r="68" customFormat="false" ht="15.75" hidden="false" customHeight="false" outlineLevel="0" collapsed="false">
      <c r="A68" s="61" t="n">
        <v>6541</v>
      </c>
      <c r="B68" s="29" t="n">
        <v>44741</v>
      </c>
      <c r="C68" s="21" t="s">
        <v>2837</v>
      </c>
      <c r="D68" s="21" t="s">
        <v>24</v>
      </c>
      <c r="E68" s="21" t="s">
        <v>25</v>
      </c>
      <c r="F68" s="21" t="s">
        <v>3064</v>
      </c>
      <c r="G68" s="30" t="s">
        <v>3065</v>
      </c>
      <c r="H68" s="45" t="str">
        <f aca="false">HYPERLINK("https://photos.app.goo.gl/g2nRkNSEKR24ZvVg9", "Completo")</f>
        <v>Completo</v>
      </c>
      <c r="I68" s="21" t="s">
        <v>28</v>
      </c>
      <c r="J68" s="21"/>
      <c r="K68" s="21"/>
      <c r="L68" s="21"/>
      <c r="M68" s="21"/>
      <c r="N68" s="30"/>
      <c r="O68" s="21" t="s">
        <v>28</v>
      </c>
      <c r="P68" s="74" t="s">
        <v>28</v>
      </c>
      <c r="Q68" s="21" t="s">
        <v>201</v>
      </c>
      <c r="R68" s="32" t="s">
        <v>2766</v>
      </c>
      <c r="S68" s="32"/>
      <c r="T68" s="21" t="s">
        <v>74</v>
      </c>
      <c r="U68" s="74" t="s">
        <v>28</v>
      </c>
      <c r="V68" s="74" t="s">
        <v>28</v>
      </c>
      <c r="W68" s="21" t="s">
        <v>36</v>
      </c>
      <c r="X68" s="21" t="s">
        <v>28</v>
      </c>
    </row>
    <row r="69" customFormat="false" ht="15.75" hidden="false" customHeight="false" outlineLevel="0" collapsed="false">
      <c r="A69" s="61" t="n">
        <v>6542</v>
      </c>
      <c r="B69" s="29" t="n">
        <v>44741</v>
      </c>
      <c r="C69" s="21" t="s">
        <v>2837</v>
      </c>
      <c r="D69" s="21" t="s">
        <v>24</v>
      </c>
      <c r="E69" s="21" t="s">
        <v>25</v>
      </c>
      <c r="F69" s="21" t="s">
        <v>3064</v>
      </c>
      <c r="G69" s="30" t="s">
        <v>3065</v>
      </c>
      <c r="H69" s="45" t="str">
        <f aca="false">HYPERLINK("https://photos.app.goo.gl/XwocvxsV8diy4PMx5", "Completo")</f>
        <v>Completo</v>
      </c>
      <c r="I69" s="21" t="s">
        <v>28</v>
      </c>
      <c r="J69" s="21"/>
      <c r="K69" s="21"/>
      <c r="L69" s="21"/>
      <c r="M69" s="21"/>
      <c r="N69" s="30"/>
      <c r="O69" s="21"/>
      <c r="P69" s="66"/>
      <c r="Q69" s="21"/>
      <c r="R69" s="32"/>
      <c r="S69" s="32"/>
      <c r="T69" s="21" t="s">
        <v>74</v>
      </c>
      <c r="U69" s="74" t="s">
        <v>28</v>
      </c>
      <c r="V69" s="74" t="s">
        <v>28</v>
      </c>
      <c r="W69" s="21" t="s">
        <v>36</v>
      </c>
      <c r="X69" s="21" t="s">
        <v>28</v>
      </c>
    </row>
    <row r="70" customFormat="false" ht="15.75" hidden="false" customHeight="false" outlineLevel="0" collapsed="false">
      <c r="A70" s="61" t="n">
        <v>6543</v>
      </c>
      <c r="B70" s="29" t="n">
        <v>44742</v>
      </c>
      <c r="C70" s="21" t="s">
        <v>3067</v>
      </c>
      <c r="D70" s="21" t="s">
        <v>24</v>
      </c>
      <c r="E70" s="21" t="s">
        <v>25</v>
      </c>
      <c r="F70" s="21" t="s">
        <v>3068</v>
      </c>
      <c r="G70" s="30" t="s">
        <v>3069</v>
      </c>
      <c r="H70" s="45" t="str">
        <f aca="false">HYPERLINK("https://photos.app.goo.gl/n47M5AKngDqRDm1Y7", "Completo")</f>
        <v>Completo</v>
      </c>
      <c r="I70" s="21" t="s">
        <v>28</v>
      </c>
      <c r="J70" s="21"/>
      <c r="K70" s="21"/>
      <c r="L70" s="21"/>
      <c r="M70" s="21"/>
      <c r="N70" s="30"/>
      <c r="O70" s="21" t="s">
        <v>28</v>
      </c>
      <c r="P70" s="74" t="s">
        <v>28</v>
      </c>
      <c r="Q70" s="21" t="s">
        <v>201</v>
      </c>
      <c r="R70" s="32" t="s">
        <v>2766</v>
      </c>
      <c r="S70" s="32"/>
      <c r="T70" s="21" t="s">
        <v>74</v>
      </c>
      <c r="U70" s="46" t="s">
        <v>28</v>
      </c>
      <c r="V70" s="46" t="s">
        <v>28</v>
      </c>
      <c r="W70" s="21" t="s">
        <v>36</v>
      </c>
      <c r="X70" s="21" t="s">
        <v>28</v>
      </c>
    </row>
    <row r="71" customFormat="false" ht="15.75" hidden="false" customHeight="false" outlineLevel="0" collapsed="false">
      <c r="A71" s="61" t="n">
        <v>6544</v>
      </c>
      <c r="B71" s="29" t="n">
        <v>44742</v>
      </c>
      <c r="C71" s="21" t="s">
        <v>3067</v>
      </c>
      <c r="D71" s="21" t="s">
        <v>24</v>
      </c>
      <c r="E71" s="21" t="s">
        <v>25</v>
      </c>
      <c r="F71" s="21" t="s">
        <v>3070</v>
      </c>
      <c r="G71" s="30" t="s">
        <v>3071</v>
      </c>
      <c r="H71" s="45" t="str">
        <f aca="false">HYPERLINK("https://photos.app.goo.gl/6QdRmHj8xVLMP9vw5", "Completo")</f>
        <v>Completo</v>
      </c>
      <c r="I71" s="21" t="s">
        <v>28</v>
      </c>
      <c r="J71" s="21"/>
      <c r="K71" s="21"/>
      <c r="L71" s="21"/>
      <c r="M71" s="21"/>
      <c r="N71" s="30"/>
      <c r="O71" s="21" t="s">
        <v>28</v>
      </c>
      <c r="P71" s="74" t="s">
        <v>28</v>
      </c>
      <c r="Q71" s="21" t="s">
        <v>2981</v>
      </c>
      <c r="R71" s="32" t="s">
        <v>2850</v>
      </c>
      <c r="S71" s="32"/>
      <c r="T71" s="21" t="s">
        <v>74</v>
      </c>
      <c r="U71" s="46" t="s">
        <v>28</v>
      </c>
      <c r="V71" s="46" t="s">
        <v>28</v>
      </c>
      <c r="W71" s="21" t="s">
        <v>36</v>
      </c>
      <c r="X71" s="21" t="s">
        <v>28</v>
      </c>
    </row>
    <row r="72" customFormat="false" ht="15.75" hidden="false" customHeight="false" outlineLevel="0" collapsed="false">
      <c r="A72" s="61" t="n">
        <v>6545</v>
      </c>
      <c r="B72" s="29" t="n">
        <v>44742</v>
      </c>
      <c r="C72" s="21" t="s">
        <v>3072</v>
      </c>
      <c r="D72" s="21" t="s">
        <v>24</v>
      </c>
      <c r="E72" s="21" t="s">
        <v>25</v>
      </c>
      <c r="F72" s="21" t="s">
        <v>3073</v>
      </c>
      <c r="G72" s="30"/>
      <c r="H72" s="45" t="str">
        <f aca="false">HYPERLINK("https://photos.app.goo.gl/kT57AyTr6rXGyxJ28", "Completo")</f>
        <v>Completo</v>
      </c>
      <c r="I72" s="21" t="s">
        <v>28</v>
      </c>
      <c r="J72" s="21" t="s">
        <v>3074</v>
      </c>
      <c r="K72" s="21"/>
      <c r="L72" s="21" t="s">
        <v>3075</v>
      </c>
      <c r="M72" s="21"/>
      <c r="N72" s="30"/>
      <c r="O72" s="21"/>
      <c r="P72" s="66"/>
      <c r="Q72" s="21"/>
      <c r="R72" s="32"/>
      <c r="S72" s="32"/>
      <c r="T72" s="21"/>
      <c r="U72" s="66"/>
      <c r="V72" s="66"/>
      <c r="W72" s="21"/>
      <c r="X72" s="21" t="s">
        <v>28</v>
      </c>
    </row>
    <row r="73" customFormat="false" ht="15.75" hidden="false" customHeight="false" outlineLevel="0" collapsed="false">
      <c r="A73" s="61"/>
      <c r="B73" s="29"/>
      <c r="C73" s="21"/>
      <c r="D73" s="21"/>
      <c r="E73" s="21"/>
      <c r="F73" s="21"/>
      <c r="G73" s="30"/>
      <c r="H73" s="31" t="s">
        <v>28</v>
      </c>
      <c r="I73" s="21"/>
      <c r="J73" s="21"/>
      <c r="K73" s="21"/>
      <c r="L73" s="21"/>
      <c r="M73" s="21"/>
      <c r="N73" s="30"/>
      <c r="O73" s="21"/>
      <c r="P73" s="21"/>
      <c r="Q73" s="21"/>
      <c r="R73" s="32"/>
      <c r="S73" s="32"/>
      <c r="T73" s="21"/>
      <c r="U73" s="21"/>
      <c r="V73" s="21"/>
      <c r="W73" s="21"/>
      <c r="X73" s="21"/>
    </row>
    <row r="74" customFormat="false" ht="15.75" hidden="false" customHeight="false" outlineLevel="0" collapsed="false">
      <c r="A74" s="61"/>
      <c r="B74" s="29"/>
      <c r="C74" s="21"/>
      <c r="D74" s="21"/>
      <c r="E74" s="21"/>
      <c r="F74" s="21"/>
      <c r="G74" s="30"/>
      <c r="H74" s="31"/>
      <c r="I74" s="21"/>
      <c r="J74" s="21"/>
      <c r="K74" s="21"/>
      <c r="L74" s="21"/>
      <c r="M74" s="21"/>
      <c r="N74" s="30"/>
      <c r="O74" s="21"/>
      <c r="P74" s="21"/>
      <c r="Q74" s="21"/>
      <c r="R74" s="32"/>
      <c r="S74" s="32"/>
      <c r="T74" s="21"/>
      <c r="U74" s="21"/>
      <c r="V74" s="21"/>
      <c r="W74" s="21"/>
      <c r="X74" s="21"/>
    </row>
    <row r="75" customFormat="false" ht="15.75" hidden="false" customHeight="false" outlineLevel="0" collapsed="false">
      <c r="A75" s="61"/>
      <c r="B75" s="29"/>
      <c r="C75" s="21"/>
      <c r="D75" s="21"/>
      <c r="E75" s="21"/>
      <c r="F75" s="21"/>
      <c r="G75" s="30"/>
      <c r="H75" s="31"/>
      <c r="I75" s="21"/>
      <c r="J75" s="21"/>
      <c r="K75" s="21"/>
      <c r="L75" s="21"/>
      <c r="M75" s="21"/>
      <c r="N75" s="30"/>
      <c r="O75" s="21"/>
      <c r="P75" s="21"/>
      <c r="Q75" s="21"/>
      <c r="R75" s="32"/>
      <c r="S75" s="32"/>
      <c r="T75" s="21"/>
      <c r="U75" s="21"/>
      <c r="V75" s="21"/>
      <c r="W75" s="21"/>
      <c r="X75" s="21"/>
    </row>
    <row r="76" customFormat="false" ht="15.75" hidden="false" customHeight="false" outlineLevel="0" collapsed="false">
      <c r="A76" s="61"/>
      <c r="B76" s="29"/>
      <c r="C76" s="21"/>
      <c r="D76" s="21"/>
      <c r="E76" s="21"/>
      <c r="F76" s="21"/>
      <c r="G76" s="30"/>
      <c r="H76" s="31"/>
      <c r="I76" s="21"/>
      <c r="J76" s="21"/>
      <c r="K76" s="21"/>
      <c r="L76" s="21"/>
      <c r="M76" s="21"/>
      <c r="N76" s="30"/>
      <c r="O76" s="21"/>
      <c r="P76" s="21"/>
      <c r="Q76" s="21"/>
      <c r="R76" s="32"/>
      <c r="S76" s="32"/>
      <c r="T76" s="21"/>
      <c r="U76" s="21"/>
      <c r="V76" s="21"/>
      <c r="W76" s="21"/>
      <c r="X76" s="21"/>
    </row>
    <row r="77" customFormat="false" ht="15.75" hidden="false" customHeight="false" outlineLevel="0" collapsed="false">
      <c r="A77" s="61"/>
      <c r="B77" s="29"/>
      <c r="C77" s="21"/>
      <c r="D77" s="21"/>
      <c r="E77" s="21"/>
      <c r="F77" s="21"/>
      <c r="G77" s="30"/>
      <c r="H77" s="31"/>
      <c r="I77" s="21"/>
      <c r="J77" s="21"/>
      <c r="K77" s="21"/>
      <c r="L77" s="21"/>
      <c r="M77" s="21"/>
      <c r="N77" s="30"/>
      <c r="O77" s="21"/>
      <c r="P77" s="21"/>
      <c r="Q77" s="21"/>
      <c r="R77" s="32"/>
      <c r="S77" s="32"/>
      <c r="T77" s="21"/>
      <c r="U77" s="21"/>
      <c r="V77" s="21"/>
      <c r="W77" s="21"/>
      <c r="X77" s="21"/>
    </row>
    <row r="78" customFormat="false" ht="15.75" hidden="false" customHeight="false" outlineLevel="0" collapsed="false">
      <c r="A78" s="61"/>
      <c r="B78" s="29"/>
      <c r="C78" s="21"/>
      <c r="D78" s="21"/>
      <c r="E78" s="21"/>
      <c r="F78" s="21"/>
      <c r="G78" s="30"/>
      <c r="H78" s="31"/>
      <c r="I78" s="21"/>
      <c r="J78" s="21"/>
      <c r="K78" s="21"/>
      <c r="L78" s="21"/>
      <c r="M78" s="21"/>
      <c r="N78" s="30"/>
      <c r="O78" s="21"/>
      <c r="P78" s="21"/>
      <c r="Q78" s="21"/>
      <c r="R78" s="32"/>
      <c r="S78" s="32"/>
      <c r="T78" s="21"/>
      <c r="U78" s="21"/>
      <c r="V78" s="21"/>
      <c r="W78" s="21"/>
      <c r="X78" s="21"/>
    </row>
    <row r="79" customFormat="false" ht="15.75" hidden="false" customHeight="false" outlineLevel="0" collapsed="false">
      <c r="A79" s="61"/>
      <c r="B79" s="29"/>
      <c r="C79" s="21"/>
      <c r="D79" s="21"/>
      <c r="E79" s="21"/>
      <c r="F79" s="21"/>
      <c r="G79" s="30"/>
      <c r="H79" s="31"/>
      <c r="I79" s="21"/>
      <c r="J79" s="21"/>
      <c r="K79" s="21"/>
      <c r="L79" s="21"/>
      <c r="M79" s="21"/>
      <c r="N79" s="30"/>
      <c r="O79" s="21"/>
      <c r="P79" s="21"/>
      <c r="Q79" s="21"/>
      <c r="R79" s="32"/>
      <c r="S79" s="32"/>
      <c r="T79" s="21"/>
      <c r="U79" s="21"/>
      <c r="V79" s="21"/>
      <c r="W79" s="21"/>
      <c r="X79" s="21"/>
    </row>
    <row r="80" customFormat="false" ht="15.75" hidden="false" customHeight="false" outlineLevel="0" collapsed="false">
      <c r="A80" s="61"/>
      <c r="B80" s="29"/>
      <c r="C80" s="21"/>
      <c r="D80" s="21"/>
      <c r="E80" s="21"/>
      <c r="F80" s="21"/>
      <c r="G80" s="30"/>
      <c r="H80" s="31"/>
      <c r="I80" s="21"/>
      <c r="J80" s="21"/>
      <c r="K80" s="21"/>
      <c r="L80" s="21"/>
      <c r="M80" s="21"/>
      <c r="N80" s="30"/>
      <c r="O80" s="21"/>
      <c r="P80" s="21"/>
      <c r="Q80" s="21"/>
      <c r="R80" s="32"/>
      <c r="S80" s="32"/>
      <c r="T80" s="21"/>
      <c r="U80" s="21"/>
      <c r="V80" s="21"/>
      <c r="W80" s="21"/>
      <c r="X80" s="21"/>
    </row>
    <row r="81" customFormat="false" ht="15.75" hidden="false" customHeight="false" outlineLevel="0" collapsed="false">
      <c r="A81" s="61"/>
      <c r="B81" s="29"/>
      <c r="C81" s="21"/>
      <c r="D81" s="21"/>
      <c r="E81" s="21"/>
      <c r="F81" s="21"/>
      <c r="G81" s="30"/>
      <c r="H81" s="31"/>
      <c r="I81" s="21"/>
      <c r="J81" s="21"/>
      <c r="K81" s="21"/>
      <c r="L81" s="21"/>
      <c r="M81" s="21"/>
      <c r="N81" s="30"/>
      <c r="O81" s="21"/>
      <c r="P81" s="21"/>
      <c r="Q81" s="21"/>
      <c r="R81" s="32"/>
      <c r="S81" s="32"/>
      <c r="T81" s="21"/>
      <c r="U81" s="21"/>
      <c r="V81" s="21"/>
      <c r="W81" s="21"/>
      <c r="X81" s="21"/>
    </row>
    <row r="82" customFormat="false" ht="15.75" hidden="false" customHeight="false" outlineLevel="0" collapsed="false">
      <c r="A82" s="61"/>
      <c r="B82" s="29"/>
      <c r="C82" s="21"/>
      <c r="D82" s="21"/>
      <c r="E82" s="21"/>
      <c r="F82" s="21"/>
      <c r="G82" s="30"/>
      <c r="H82" s="31"/>
      <c r="I82" s="21"/>
      <c r="J82" s="21"/>
      <c r="K82" s="21"/>
      <c r="L82" s="21"/>
      <c r="M82" s="21"/>
      <c r="N82" s="30"/>
      <c r="O82" s="21"/>
      <c r="P82" s="21"/>
      <c r="Q82" s="21"/>
      <c r="R82" s="32"/>
      <c r="S82" s="32"/>
      <c r="T82" s="21"/>
      <c r="U82" s="21"/>
      <c r="V82" s="21"/>
      <c r="W82" s="21"/>
      <c r="X82" s="21"/>
    </row>
    <row r="83" customFormat="false" ht="15.75" hidden="false" customHeight="false" outlineLevel="0" collapsed="false">
      <c r="A83" s="61"/>
      <c r="B83" s="29"/>
      <c r="C83" s="21"/>
      <c r="D83" s="21"/>
      <c r="E83" s="21"/>
      <c r="F83" s="21"/>
      <c r="G83" s="30"/>
      <c r="H83" s="31"/>
      <c r="I83" s="21"/>
      <c r="J83" s="21"/>
      <c r="K83" s="21"/>
      <c r="L83" s="21"/>
      <c r="M83" s="21"/>
      <c r="N83" s="30"/>
      <c r="O83" s="21"/>
      <c r="P83" s="21"/>
      <c r="Q83" s="21"/>
      <c r="R83" s="32"/>
      <c r="S83" s="32"/>
      <c r="T83" s="21"/>
      <c r="U83" s="21"/>
      <c r="V83" s="21"/>
      <c r="W83" s="21"/>
      <c r="X83" s="21"/>
    </row>
    <row r="84" customFormat="false" ht="15.75" hidden="false" customHeight="false" outlineLevel="0" collapsed="false">
      <c r="A84" s="61"/>
      <c r="B84" s="29"/>
      <c r="C84" s="21"/>
      <c r="D84" s="21"/>
      <c r="E84" s="21"/>
      <c r="F84" s="21"/>
      <c r="G84" s="30"/>
      <c r="H84" s="31"/>
      <c r="I84" s="21"/>
      <c r="J84" s="21"/>
      <c r="K84" s="21"/>
      <c r="L84" s="21"/>
      <c r="M84" s="21"/>
      <c r="N84" s="30"/>
      <c r="O84" s="21"/>
      <c r="P84" s="21"/>
      <c r="Q84" s="21"/>
      <c r="R84" s="32"/>
      <c r="S84" s="32"/>
      <c r="T84" s="21"/>
      <c r="U84" s="21"/>
      <c r="V84" s="21"/>
      <c r="W84" s="21"/>
      <c r="X84" s="21"/>
    </row>
    <row r="85" customFormat="false" ht="15.75" hidden="false" customHeight="false" outlineLevel="0" collapsed="false">
      <c r="A85" s="61"/>
      <c r="B85" s="29"/>
      <c r="C85" s="21"/>
      <c r="D85" s="21"/>
      <c r="E85" s="21"/>
      <c r="F85" s="21"/>
      <c r="G85" s="30"/>
      <c r="H85" s="31"/>
      <c r="I85" s="21"/>
      <c r="J85" s="21"/>
      <c r="K85" s="21"/>
      <c r="L85" s="21"/>
      <c r="M85" s="21"/>
      <c r="N85" s="30"/>
      <c r="O85" s="21"/>
      <c r="P85" s="21"/>
      <c r="Q85" s="21"/>
      <c r="R85" s="32"/>
      <c r="S85" s="32"/>
      <c r="T85" s="21"/>
      <c r="U85" s="21"/>
      <c r="V85" s="21"/>
      <c r="W85" s="21"/>
      <c r="X85" s="21"/>
    </row>
    <row r="86" customFormat="false" ht="15.75" hidden="false" customHeight="false" outlineLevel="0" collapsed="false">
      <c r="A86" s="61"/>
      <c r="B86" s="29"/>
      <c r="C86" s="21"/>
      <c r="D86" s="21"/>
      <c r="E86" s="21"/>
      <c r="F86" s="21"/>
      <c r="G86" s="30"/>
      <c r="H86" s="31"/>
      <c r="I86" s="21"/>
      <c r="J86" s="21"/>
      <c r="K86" s="21"/>
      <c r="L86" s="21"/>
      <c r="M86" s="21"/>
      <c r="N86" s="30"/>
      <c r="O86" s="21"/>
      <c r="P86" s="21"/>
      <c r="Q86" s="21"/>
      <c r="R86" s="32"/>
      <c r="S86" s="32"/>
      <c r="T86" s="21"/>
      <c r="U86" s="21"/>
      <c r="V86" s="21"/>
      <c r="W86" s="21"/>
      <c r="X86" s="21"/>
    </row>
    <row r="87" customFormat="false" ht="15.75" hidden="false" customHeight="false" outlineLevel="0" collapsed="false">
      <c r="A87" s="61"/>
      <c r="B87" s="29"/>
      <c r="C87" s="21"/>
      <c r="D87" s="21"/>
      <c r="E87" s="21"/>
      <c r="F87" s="21"/>
      <c r="G87" s="30"/>
      <c r="H87" s="31"/>
      <c r="I87" s="21"/>
      <c r="J87" s="21"/>
      <c r="K87" s="21"/>
      <c r="L87" s="21"/>
      <c r="M87" s="21"/>
      <c r="N87" s="30"/>
      <c r="O87" s="21"/>
      <c r="P87" s="21"/>
      <c r="Q87" s="21"/>
      <c r="R87" s="32"/>
      <c r="S87" s="32"/>
      <c r="T87" s="21"/>
      <c r="U87" s="21"/>
      <c r="V87" s="21"/>
      <c r="W87" s="21"/>
      <c r="X87" s="21"/>
    </row>
    <row r="88" customFormat="false" ht="15.75" hidden="false" customHeight="false" outlineLevel="0" collapsed="false">
      <c r="A88" s="61"/>
      <c r="B88" s="29"/>
      <c r="C88" s="21"/>
      <c r="D88" s="21"/>
      <c r="E88" s="21"/>
      <c r="F88" s="21"/>
      <c r="G88" s="30"/>
      <c r="H88" s="31"/>
      <c r="I88" s="21"/>
      <c r="J88" s="21"/>
      <c r="K88" s="21"/>
      <c r="L88" s="21"/>
      <c r="M88" s="21"/>
      <c r="N88" s="30"/>
      <c r="O88" s="21"/>
      <c r="P88" s="21"/>
      <c r="Q88" s="21"/>
      <c r="R88" s="32"/>
      <c r="S88" s="32"/>
      <c r="T88" s="21"/>
      <c r="U88" s="21"/>
      <c r="V88" s="21"/>
      <c r="W88" s="21"/>
      <c r="X88" s="21"/>
    </row>
    <row r="89" customFormat="false" ht="15.75" hidden="false" customHeight="false" outlineLevel="0" collapsed="false">
      <c r="A89" s="61"/>
      <c r="B89" s="29"/>
      <c r="C89" s="21"/>
      <c r="D89" s="21"/>
      <c r="E89" s="21"/>
      <c r="F89" s="21"/>
      <c r="G89" s="30"/>
      <c r="H89" s="31"/>
      <c r="I89" s="21"/>
      <c r="J89" s="21"/>
      <c r="K89" s="21"/>
      <c r="L89" s="21"/>
      <c r="M89" s="21"/>
      <c r="N89" s="30"/>
      <c r="O89" s="21"/>
      <c r="P89" s="21"/>
      <c r="Q89" s="21"/>
      <c r="R89" s="32"/>
      <c r="S89" s="32"/>
      <c r="T89" s="21"/>
      <c r="U89" s="21"/>
      <c r="V89" s="21"/>
      <c r="W89" s="21"/>
      <c r="X89" s="21"/>
    </row>
    <row r="90" customFormat="false" ht="15.75" hidden="false" customHeight="false" outlineLevel="0" collapsed="false">
      <c r="A90" s="61"/>
      <c r="B90" s="29"/>
      <c r="C90" s="21"/>
      <c r="D90" s="21"/>
      <c r="E90" s="21"/>
      <c r="F90" s="21"/>
      <c r="G90" s="30"/>
      <c r="H90" s="31"/>
      <c r="I90" s="21"/>
      <c r="J90" s="21"/>
      <c r="K90" s="21"/>
      <c r="L90" s="21"/>
      <c r="M90" s="21"/>
      <c r="N90" s="30"/>
      <c r="O90" s="21"/>
      <c r="P90" s="21"/>
      <c r="Q90" s="21"/>
      <c r="R90" s="32"/>
      <c r="S90" s="32"/>
      <c r="T90" s="21"/>
      <c r="U90" s="21"/>
      <c r="V90" s="21"/>
      <c r="W90" s="21"/>
      <c r="X90" s="21"/>
    </row>
    <row r="91" customFormat="false" ht="15.75" hidden="false" customHeight="false" outlineLevel="0" collapsed="false">
      <c r="A91" s="61"/>
      <c r="B91" s="29"/>
      <c r="C91" s="21"/>
      <c r="D91" s="21"/>
      <c r="E91" s="21"/>
      <c r="F91" s="21"/>
      <c r="G91" s="30"/>
      <c r="H91" s="31"/>
      <c r="I91" s="21"/>
      <c r="J91" s="21"/>
      <c r="K91" s="21"/>
      <c r="L91" s="21"/>
      <c r="M91" s="21"/>
      <c r="N91" s="30"/>
      <c r="O91" s="21"/>
      <c r="P91" s="21"/>
      <c r="Q91" s="21"/>
      <c r="R91" s="32"/>
      <c r="S91" s="32"/>
      <c r="T91" s="21"/>
      <c r="U91" s="21"/>
      <c r="V91" s="21"/>
      <c r="W91" s="21"/>
      <c r="X91" s="21"/>
    </row>
    <row r="92" customFormat="false" ht="15.75" hidden="false" customHeight="false" outlineLevel="0" collapsed="false">
      <c r="A92" s="61"/>
      <c r="B92" s="29"/>
      <c r="C92" s="21"/>
      <c r="D92" s="21"/>
      <c r="E92" s="21"/>
      <c r="F92" s="21"/>
      <c r="G92" s="30"/>
      <c r="H92" s="31"/>
      <c r="I92" s="21"/>
      <c r="J92" s="21"/>
      <c r="K92" s="21"/>
      <c r="L92" s="21"/>
      <c r="M92" s="21"/>
      <c r="N92" s="30"/>
      <c r="O92" s="21"/>
      <c r="P92" s="21"/>
      <c r="Q92" s="21"/>
      <c r="R92" s="32"/>
      <c r="S92" s="32"/>
      <c r="T92" s="21"/>
      <c r="U92" s="21"/>
      <c r="V92" s="21"/>
      <c r="W92" s="21"/>
      <c r="X92" s="21"/>
    </row>
    <row r="93" customFormat="false" ht="15.75" hidden="false" customHeight="false" outlineLevel="0" collapsed="false">
      <c r="A93" s="61"/>
      <c r="B93" s="29"/>
      <c r="C93" s="21"/>
      <c r="D93" s="21"/>
      <c r="E93" s="21"/>
      <c r="F93" s="21"/>
      <c r="G93" s="30"/>
      <c r="H93" s="31"/>
      <c r="I93" s="21"/>
      <c r="J93" s="21"/>
      <c r="K93" s="21"/>
      <c r="L93" s="21"/>
      <c r="M93" s="21"/>
      <c r="N93" s="30"/>
      <c r="O93" s="21"/>
      <c r="P93" s="21"/>
      <c r="Q93" s="21"/>
      <c r="R93" s="32"/>
      <c r="S93" s="32"/>
      <c r="T93" s="21"/>
      <c r="U93" s="21"/>
      <c r="V93" s="21"/>
      <c r="W93" s="21"/>
      <c r="X93" s="21"/>
    </row>
    <row r="94" customFormat="false" ht="15.75" hidden="false" customHeight="false" outlineLevel="0" collapsed="false">
      <c r="A94" s="61"/>
      <c r="B94" s="29"/>
      <c r="C94" s="21"/>
      <c r="D94" s="21"/>
      <c r="E94" s="21"/>
      <c r="F94" s="21"/>
      <c r="G94" s="30"/>
      <c r="H94" s="31"/>
      <c r="I94" s="21"/>
      <c r="J94" s="21"/>
      <c r="K94" s="21"/>
      <c r="L94" s="21"/>
      <c r="M94" s="21"/>
      <c r="N94" s="30"/>
      <c r="O94" s="21"/>
      <c r="P94" s="21"/>
      <c r="Q94" s="21"/>
      <c r="R94" s="32"/>
      <c r="S94" s="32"/>
      <c r="T94" s="21"/>
      <c r="U94" s="21"/>
      <c r="V94" s="21"/>
      <c r="W94" s="21"/>
      <c r="X94" s="21"/>
    </row>
    <row r="95" customFormat="false" ht="15.75" hidden="false" customHeight="false" outlineLevel="0" collapsed="false">
      <c r="A95" s="61"/>
      <c r="B95" s="29"/>
      <c r="C95" s="21"/>
      <c r="D95" s="21"/>
      <c r="E95" s="21"/>
      <c r="F95" s="21"/>
      <c r="G95" s="30"/>
      <c r="H95" s="31"/>
      <c r="I95" s="21"/>
      <c r="J95" s="21"/>
      <c r="K95" s="21"/>
      <c r="L95" s="21"/>
      <c r="M95" s="21"/>
      <c r="N95" s="30"/>
      <c r="O95" s="21"/>
      <c r="P95" s="21"/>
      <c r="Q95" s="21"/>
      <c r="R95" s="32"/>
      <c r="S95" s="32"/>
      <c r="T95" s="21"/>
      <c r="U95" s="21"/>
      <c r="V95" s="21"/>
      <c r="W95" s="21"/>
      <c r="X95" s="21"/>
    </row>
    <row r="96" customFormat="false" ht="15.75" hidden="false" customHeight="false" outlineLevel="0" collapsed="false">
      <c r="A96" s="61"/>
      <c r="B96" s="29"/>
      <c r="C96" s="21"/>
      <c r="D96" s="21"/>
      <c r="E96" s="21"/>
      <c r="F96" s="21"/>
      <c r="G96" s="30"/>
      <c r="H96" s="31"/>
      <c r="I96" s="21"/>
      <c r="J96" s="21"/>
      <c r="K96" s="21"/>
      <c r="L96" s="21"/>
      <c r="M96" s="21"/>
      <c r="N96" s="30"/>
      <c r="O96" s="21"/>
      <c r="P96" s="21"/>
      <c r="Q96" s="21"/>
      <c r="R96" s="32"/>
      <c r="S96" s="32"/>
      <c r="T96" s="21"/>
      <c r="U96" s="21"/>
      <c r="V96" s="21"/>
      <c r="W96" s="21"/>
      <c r="X96" s="21"/>
    </row>
    <row r="97" customFormat="false" ht="15.75" hidden="false" customHeight="false" outlineLevel="0" collapsed="false">
      <c r="A97" s="61"/>
      <c r="B97" s="29"/>
      <c r="C97" s="21"/>
      <c r="D97" s="21"/>
      <c r="E97" s="21"/>
      <c r="F97" s="21"/>
      <c r="G97" s="30"/>
      <c r="H97" s="31"/>
      <c r="I97" s="21"/>
      <c r="J97" s="21"/>
      <c r="K97" s="21"/>
      <c r="L97" s="21"/>
      <c r="M97" s="21"/>
      <c r="N97" s="30"/>
      <c r="O97" s="21"/>
      <c r="P97" s="21"/>
      <c r="Q97" s="21"/>
      <c r="R97" s="32"/>
      <c r="S97" s="32"/>
      <c r="T97" s="21"/>
      <c r="U97" s="21"/>
      <c r="V97" s="21"/>
      <c r="W97" s="21"/>
      <c r="X97" s="21"/>
    </row>
    <row r="98" customFormat="false" ht="15.75" hidden="false" customHeight="false" outlineLevel="0" collapsed="false">
      <c r="A98" s="61"/>
      <c r="B98" s="29"/>
      <c r="C98" s="21"/>
      <c r="D98" s="21"/>
      <c r="E98" s="21"/>
      <c r="F98" s="21"/>
      <c r="G98" s="30"/>
      <c r="H98" s="31"/>
      <c r="I98" s="21"/>
      <c r="J98" s="21"/>
      <c r="K98" s="21"/>
      <c r="L98" s="21"/>
      <c r="M98" s="21"/>
      <c r="N98" s="30"/>
      <c r="O98" s="21"/>
      <c r="P98" s="21"/>
      <c r="Q98" s="21"/>
      <c r="R98" s="32"/>
      <c r="S98" s="32"/>
      <c r="T98" s="21"/>
      <c r="U98" s="21"/>
      <c r="V98" s="21"/>
      <c r="W98" s="21"/>
      <c r="X98" s="21"/>
    </row>
    <row r="99" customFormat="false" ht="15.75" hidden="false" customHeight="false" outlineLevel="0" collapsed="false">
      <c r="A99" s="61"/>
      <c r="B99" s="29"/>
      <c r="C99" s="21"/>
      <c r="D99" s="21"/>
      <c r="E99" s="21"/>
      <c r="F99" s="21"/>
      <c r="G99" s="30"/>
      <c r="H99" s="31"/>
      <c r="I99" s="21"/>
      <c r="J99" s="21"/>
      <c r="K99" s="21"/>
      <c r="L99" s="21"/>
      <c r="M99" s="21"/>
      <c r="N99" s="30"/>
      <c r="O99" s="21"/>
      <c r="P99" s="21"/>
      <c r="Q99" s="21"/>
      <c r="R99" s="32"/>
      <c r="S99" s="32"/>
      <c r="T99" s="21"/>
      <c r="U99" s="21"/>
      <c r="V99" s="21"/>
      <c r="W99" s="21"/>
      <c r="X99" s="21"/>
    </row>
    <row r="100" customFormat="false" ht="15.75" hidden="false" customHeight="false" outlineLevel="0" collapsed="false">
      <c r="A100" s="61"/>
      <c r="B100" s="29"/>
      <c r="C100" s="21"/>
      <c r="D100" s="21"/>
      <c r="E100" s="21"/>
      <c r="F100" s="21"/>
      <c r="G100" s="30"/>
      <c r="H100" s="31"/>
      <c r="I100" s="21"/>
      <c r="J100" s="21"/>
      <c r="K100" s="21"/>
      <c r="L100" s="21"/>
      <c r="M100" s="21"/>
      <c r="N100" s="30"/>
      <c r="O100" s="21"/>
      <c r="P100" s="21"/>
      <c r="Q100" s="21"/>
      <c r="R100" s="32"/>
      <c r="S100" s="32"/>
      <c r="T100" s="21"/>
      <c r="U100" s="21"/>
      <c r="V100" s="21"/>
      <c r="W100" s="21"/>
      <c r="X100" s="21"/>
    </row>
    <row r="101" customFormat="false" ht="15.75" hidden="false" customHeight="false" outlineLevel="0" collapsed="false">
      <c r="A101" s="61"/>
      <c r="B101" s="29"/>
      <c r="C101" s="21"/>
      <c r="D101" s="21"/>
      <c r="E101" s="21"/>
      <c r="F101" s="21"/>
      <c r="G101" s="30"/>
      <c r="H101" s="31"/>
      <c r="I101" s="21"/>
      <c r="J101" s="21"/>
      <c r="K101" s="21"/>
      <c r="L101" s="21"/>
      <c r="M101" s="21"/>
      <c r="N101" s="30"/>
      <c r="O101" s="21"/>
      <c r="P101" s="21"/>
      <c r="Q101" s="21"/>
      <c r="R101" s="32"/>
      <c r="S101" s="32"/>
      <c r="T101" s="21"/>
      <c r="U101" s="21"/>
      <c r="V101" s="21"/>
      <c r="W101" s="21"/>
      <c r="X101" s="21"/>
    </row>
    <row r="102" customFormat="false" ht="15.75" hidden="false" customHeight="false" outlineLevel="0" collapsed="false">
      <c r="A102" s="61"/>
      <c r="B102" s="29"/>
      <c r="C102" s="21"/>
      <c r="D102" s="21"/>
      <c r="E102" s="21"/>
      <c r="F102" s="21"/>
      <c r="G102" s="30"/>
      <c r="H102" s="31"/>
      <c r="I102" s="21"/>
      <c r="J102" s="21"/>
      <c r="K102" s="21"/>
      <c r="L102" s="21"/>
      <c r="M102" s="21"/>
      <c r="N102" s="30"/>
      <c r="O102" s="21"/>
      <c r="P102" s="21"/>
      <c r="Q102" s="21"/>
      <c r="R102" s="32"/>
      <c r="S102" s="32"/>
      <c r="T102" s="21"/>
      <c r="U102" s="21"/>
      <c r="V102" s="21"/>
      <c r="W102" s="21"/>
      <c r="X102" s="21"/>
    </row>
    <row r="103" customFormat="false" ht="15.75" hidden="false" customHeight="false" outlineLevel="0" collapsed="false">
      <c r="A103" s="61"/>
      <c r="B103" s="29"/>
      <c r="C103" s="21"/>
      <c r="D103" s="21"/>
      <c r="E103" s="21"/>
      <c r="F103" s="21"/>
      <c r="G103" s="30"/>
      <c r="H103" s="31"/>
      <c r="I103" s="21"/>
      <c r="J103" s="21"/>
      <c r="K103" s="21"/>
      <c r="L103" s="21"/>
      <c r="M103" s="21"/>
      <c r="N103" s="30"/>
      <c r="O103" s="21"/>
      <c r="P103" s="21"/>
      <c r="Q103" s="21"/>
      <c r="R103" s="32"/>
      <c r="S103" s="32"/>
      <c r="T103" s="21"/>
      <c r="U103" s="21"/>
      <c r="V103" s="21"/>
      <c r="W103" s="21"/>
      <c r="X103" s="21"/>
    </row>
    <row r="104" customFormat="false" ht="15.75" hidden="false" customHeight="false" outlineLevel="0" collapsed="false">
      <c r="A104" s="61"/>
      <c r="B104" s="29"/>
      <c r="C104" s="21"/>
      <c r="D104" s="21"/>
      <c r="E104" s="21"/>
      <c r="F104" s="21"/>
      <c r="G104" s="30"/>
      <c r="H104" s="31"/>
      <c r="I104" s="21"/>
      <c r="J104" s="21"/>
      <c r="K104" s="21"/>
      <c r="L104" s="21"/>
      <c r="M104" s="21"/>
      <c r="N104" s="30"/>
      <c r="O104" s="21"/>
      <c r="P104" s="21"/>
      <c r="Q104" s="21"/>
      <c r="R104" s="32"/>
      <c r="S104" s="32"/>
      <c r="T104" s="21"/>
      <c r="U104" s="21"/>
      <c r="V104" s="21"/>
      <c r="W104" s="21"/>
      <c r="X104" s="21"/>
    </row>
    <row r="105" customFormat="false" ht="15.75" hidden="false" customHeight="false" outlineLevel="0" collapsed="false">
      <c r="A105" s="61"/>
      <c r="B105" s="29"/>
      <c r="C105" s="21"/>
      <c r="D105" s="21"/>
      <c r="E105" s="21"/>
      <c r="F105" s="21"/>
      <c r="G105" s="30"/>
      <c r="H105" s="31"/>
      <c r="I105" s="21"/>
      <c r="J105" s="21"/>
      <c r="K105" s="21"/>
      <c r="L105" s="21"/>
      <c r="M105" s="21"/>
      <c r="N105" s="30"/>
      <c r="O105" s="21"/>
      <c r="P105" s="21"/>
      <c r="Q105" s="21"/>
      <c r="R105" s="32"/>
      <c r="S105" s="32"/>
      <c r="T105" s="21"/>
      <c r="U105" s="21"/>
      <c r="V105" s="21"/>
      <c r="W105" s="21"/>
      <c r="X105" s="21"/>
    </row>
    <row r="106" customFormat="false" ht="15.75" hidden="false" customHeight="false" outlineLevel="0" collapsed="false">
      <c r="A106" s="61"/>
      <c r="B106" s="29"/>
      <c r="C106" s="21"/>
      <c r="D106" s="21"/>
      <c r="E106" s="21"/>
      <c r="F106" s="21"/>
      <c r="G106" s="30"/>
      <c r="H106" s="31"/>
      <c r="I106" s="21"/>
      <c r="J106" s="21"/>
      <c r="K106" s="21"/>
      <c r="L106" s="21"/>
      <c r="M106" s="21"/>
      <c r="N106" s="30"/>
      <c r="O106" s="21"/>
      <c r="P106" s="21"/>
      <c r="Q106" s="21"/>
      <c r="R106" s="32"/>
      <c r="S106" s="32"/>
      <c r="T106" s="21"/>
      <c r="U106" s="21"/>
      <c r="V106" s="21"/>
      <c r="W106" s="21"/>
      <c r="X106" s="21"/>
    </row>
    <row r="107" customFormat="false" ht="15.75" hidden="false" customHeight="false" outlineLevel="0" collapsed="false">
      <c r="A107" s="61"/>
      <c r="B107" s="29"/>
      <c r="C107" s="21"/>
      <c r="D107" s="21"/>
      <c r="E107" s="21"/>
      <c r="F107" s="21"/>
      <c r="G107" s="30"/>
      <c r="H107" s="31"/>
      <c r="I107" s="21"/>
      <c r="J107" s="21"/>
      <c r="K107" s="21"/>
      <c r="L107" s="21"/>
      <c r="M107" s="21"/>
      <c r="N107" s="30"/>
      <c r="O107" s="21"/>
      <c r="P107" s="21"/>
      <c r="Q107" s="21"/>
      <c r="R107" s="32"/>
      <c r="S107" s="32"/>
      <c r="T107" s="21"/>
      <c r="U107" s="21"/>
      <c r="V107" s="21"/>
      <c r="W107" s="21"/>
      <c r="X107" s="21"/>
    </row>
    <row r="108" customFormat="false" ht="15.75" hidden="false" customHeight="false" outlineLevel="0" collapsed="false">
      <c r="A108" s="61"/>
      <c r="B108" s="29"/>
      <c r="C108" s="21"/>
      <c r="D108" s="21"/>
      <c r="E108" s="21"/>
      <c r="F108" s="21"/>
      <c r="G108" s="30"/>
      <c r="H108" s="31"/>
      <c r="I108" s="21"/>
      <c r="J108" s="21"/>
      <c r="K108" s="21"/>
      <c r="L108" s="21"/>
      <c r="M108" s="21"/>
      <c r="N108" s="30"/>
      <c r="O108" s="21"/>
      <c r="P108" s="21"/>
      <c r="Q108" s="21"/>
      <c r="R108" s="32"/>
      <c r="S108" s="32"/>
      <c r="T108" s="21"/>
      <c r="U108" s="21"/>
      <c r="V108" s="21"/>
      <c r="W108" s="21"/>
      <c r="X108" s="21"/>
    </row>
    <row r="109" customFormat="false" ht="15.75" hidden="false" customHeight="false" outlineLevel="0" collapsed="false">
      <c r="A109" s="61"/>
      <c r="B109" s="29"/>
      <c r="C109" s="21"/>
      <c r="D109" s="21"/>
      <c r="E109" s="21"/>
      <c r="F109" s="21"/>
      <c r="G109" s="30"/>
      <c r="H109" s="31"/>
      <c r="I109" s="21"/>
      <c r="J109" s="21"/>
      <c r="K109" s="21"/>
      <c r="L109" s="21"/>
      <c r="M109" s="21"/>
      <c r="N109" s="30"/>
      <c r="O109" s="21"/>
      <c r="P109" s="21"/>
      <c r="Q109" s="21"/>
      <c r="R109" s="32"/>
      <c r="S109" s="32"/>
      <c r="T109" s="21"/>
      <c r="U109" s="21"/>
      <c r="V109" s="21"/>
      <c r="W109" s="21"/>
      <c r="X109" s="21"/>
    </row>
    <row r="110" customFormat="false" ht="15.75" hidden="false" customHeight="false" outlineLevel="0" collapsed="false">
      <c r="A110" s="61"/>
      <c r="B110" s="29"/>
      <c r="C110" s="21"/>
      <c r="D110" s="21"/>
      <c r="E110" s="21"/>
      <c r="F110" s="21"/>
      <c r="G110" s="30"/>
      <c r="H110" s="31"/>
      <c r="I110" s="21"/>
      <c r="J110" s="21"/>
      <c r="K110" s="21"/>
      <c r="L110" s="21"/>
      <c r="M110" s="21"/>
      <c r="N110" s="30"/>
      <c r="O110" s="21"/>
      <c r="P110" s="21"/>
      <c r="Q110" s="21"/>
      <c r="R110" s="32"/>
      <c r="S110" s="32"/>
      <c r="T110" s="21"/>
      <c r="U110" s="21"/>
      <c r="V110" s="21"/>
      <c r="W110" s="21"/>
      <c r="X110" s="21"/>
    </row>
    <row r="111" customFormat="false" ht="15.75" hidden="false" customHeight="false" outlineLevel="0" collapsed="false">
      <c r="A111" s="61"/>
      <c r="B111" s="29"/>
      <c r="C111" s="21"/>
      <c r="D111" s="21"/>
      <c r="E111" s="21"/>
      <c r="F111" s="21"/>
      <c r="G111" s="30"/>
      <c r="H111" s="31"/>
      <c r="I111" s="21"/>
      <c r="J111" s="21"/>
      <c r="K111" s="21"/>
      <c r="L111" s="21"/>
      <c r="M111" s="21"/>
      <c r="N111" s="30"/>
      <c r="O111" s="21"/>
      <c r="P111" s="21"/>
      <c r="Q111" s="21"/>
      <c r="R111" s="32"/>
      <c r="S111" s="32"/>
      <c r="T111" s="21"/>
      <c r="U111" s="21"/>
      <c r="V111" s="21"/>
      <c r="W111" s="21"/>
      <c r="X111" s="21"/>
    </row>
    <row r="112" customFormat="false" ht="15.75" hidden="false" customHeight="false" outlineLevel="0" collapsed="false">
      <c r="A112" s="61"/>
      <c r="B112" s="29"/>
      <c r="C112" s="21"/>
      <c r="D112" s="21"/>
      <c r="E112" s="21"/>
      <c r="F112" s="21"/>
      <c r="G112" s="30"/>
      <c r="H112" s="31"/>
      <c r="I112" s="21"/>
      <c r="J112" s="21"/>
      <c r="K112" s="21"/>
      <c r="L112" s="21"/>
      <c r="M112" s="21"/>
      <c r="N112" s="30"/>
      <c r="O112" s="21"/>
      <c r="P112" s="21"/>
      <c r="Q112" s="21"/>
      <c r="R112" s="32"/>
      <c r="S112" s="32"/>
      <c r="T112" s="21"/>
      <c r="U112" s="21"/>
      <c r="V112" s="21"/>
      <c r="W112" s="21"/>
      <c r="X112" s="21"/>
    </row>
    <row r="113" customFormat="false" ht="15.75" hidden="false" customHeight="false" outlineLevel="0" collapsed="false">
      <c r="A113" s="61"/>
      <c r="B113" s="29"/>
      <c r="C113" s="21"/>
      <c r="D113" s="21"/>
      <c r="E113" s="21"/>
      <c r="F113" s="21"/>
      <c r="G113" s="30"/>
      <c r="H113" s="31"/>
      <c r="I113" s="21"/>
      <c r="J113" s="21"/>
      <c r="K113" s="21"/>
      <c r="L113" s="21"/>
      <c r="M113" s="21"/>
      <c r="N113" s="30"/>
      <c r="O113" s="21"/>
      <c r="P113" s="21"/>
      <c r="Q113" s="21"/>
      <c r="R113" s="32"/>
      <c r="S113" s="32"/>
      <c r="T113" s="21"/>
      <c r="U113" s="21"/>
      <c r="V113" s="21"/>
      <c r="W113" s="21"/>
      <c r="X113" s="21"/>
    </row>
    <row r="114" customFormat="false" ht="15.75" hidden="false" customHeight="false" outlineLevel="0" collapsed="false">
      <c r="A114" s="61"/>
      <c r="B114" s="29"/>
      <c r="C114" s="21"/>
      <c r="D114" s="21"/>
      <c r="E114" s="21"/>
      <c r="F114" s="21"/>
      <c r="G114" s="30"/>
      <c r="H114" s="31"/>
      <c r="I114" s="21"/>
      <c r="J114" s="21"/>
      <c r="K114" s="21"/>
      <c r="L114" s="21"/>
      <c r="M114" s="21"/>
      <c r="N114" s="30"/>
      <c r="O114" s="21"/>
      <c r="P114" s="21"/>
      <c r="Q114" s="21"/>
      <c r="R114" s="32"/>
      <c r="S114" s="32"/>
      <c r="T114" s="21"/>
      <c r="U114" s="21"/>
      <c r="V114" s="21"/>
      <c r="W114" s="21"/>
      <c r="X114" s="21"/>
    </row>
    <row r="115" customFormat="false" ht="15.75" hidden="false" customHeight="false" outlineLevel="0" collapsed="false">
      <c r="A115" s="61"/>
      <c r="B115" s="29"/>
      <c r="C115" s="21"/>
      <c r="D115" s="21"/>
      <c r="E115" s="21"/>
      <c r="F115" s="21"/>
      <c r="G115" s="30"/>
      <c r="H115" s="31"/>
      <c r="I115" s="21"/>
      <c r="J115" s="21"/>
      <c r="K115" s="21"/>
      <c r="L115" s="21"/>
      <c r="M115" s="21"/>
      <c r="N115" s="30"/>
      <c r="O115" s="21"/>
      <c r="P115" s="21"/>
      <c r="Q115" s="21"/>
      <c r="R115" s="32"/>
      <c r="S115" s="32"/>
      <c r="T115" s="21"/>
      <c r="U115" s="21"/>
      <c r="V115" s="21"/>
      <c r="W115" s="21"/>
      <c r="X115" s="21"/>
    </row>
    <row r="116" customFormat="false" ht="15.75" hidden="false" customHeight="false" outlineLevel="0" collapsed="false">
      <c r="A116" s="61"/>
      <c r="B116" s="29"/>
      <c r="C116" s="21"/>
      <c r="D116" s="21"/>
      <c r="E116" s="21"/>
      <c r="F116" s="21"/>
      <c r="G116" s="30"/>
      <c r="H116" s="31"/>
      <c r="I116" s="21"/>
      <c r="J116" s="21"/>
      <c r="K116" s="21"/>
      <c r="L116" s="21"/>
      <c r="M116" s="21"/>
      <c r="N116" s="30"/>
      <c r="O116" s="21"/>
      <c r="P116" s="21"/>
      <c r="Q116" s="21"/>
      <c r="R116" s="32"/>
      <c r="S116" s="32"/>
      <c r="T116" s="21"/>
      <c r="U116" s="21"/>
      <c r="V116" s="21"/>
      <c r="W116" s="21"/>
      <c r="X116" s="21"/>
    </row>
    <row r="117" customFormat="false" ht="15.75" hidden="false" customHeight="false" outlineLevel="0" collapsed="false">
      <c r="A117" s="61"/>
      <c r="B117" s="29"/>
      <c r="C117" s="21"/>
      <c r="D117" s="21"/>
      <c r="E117" s="21"/>
      <c r="F117" s="21"/>
      <c r="G117" s="30"/>
      <c r="H117" s="31"/>
      <c r="I117" s="21"/>
      <c r="J117" s="21"/>
      <c r="K117" s="21"/>
      <c r="L117" s="21"/>
      <c r="M117" s="21"/>
      <c r="N117" s="30"/>
      <c r="O117" s="21"/>
      <c r="P117" s="21"/>
      <c r="Q117" s="21"/>
      <c r="R117" s="32"/>
      <c r="S117" s="32"/>
      <c r="T117" s="21"/>
      <c r="U117" s="21"/>
      <c r="V117" s="21"/>
      <c r="W117" s="21"/>
      <c r="X117" s="21"/>
    </row>
    <row r="118" customFormat="false" ht="15.75" hidden="false" customHeight="false" outlineLevel="0" collapsed="false">
      <c r="A118" s="61"/>
      <c r="B118" s="29"/>
      <c r="C118" s="21"/>
      <c r="D118" s="21"/>
      <c r="E118" s="21"/>
      <c r="F118" s="21"/>
      <c r="G118" s="30"/>
      <c r="H118" s="31"/>
      <c r="I118" s="21"/>
      <c r="J118" s="21"/>
      <c r="K118" s="21"/>
      <c r="L118" s="21"/>
      <c r="M118" s="21"/>
      <c r="N118" s="30"/>
      <c r="O118" s="21"/>
      <c r="P118" s="21"/>
      <c r="Q118" s="21"/>
      <c r="R118" s="32"/>
      <c r="S118" s="32"/>
      <c r="T118" s="21"/>
      <c r="U118" s="21"/>
      <c r="V118" s="21"/>
      <c r="W118" s="21"/>
      <c r="X118" s="21"/>
    </row>
    <row r="119" customFormat="false" ht="15.75" hidden="false" customHeight="false" outlineLevel="0" collapsed="false">
      <c r="A119" s="61"/>
      <c r="B119" s="29"/>
      <c r="C119" s="21"/>
      <c r="D119" s="21"/>
      <c r="E119" s="21"/>
      <c r="F119" s="21"/>
      <c r="G119" s="30"/>
      <c r="H119" s="31"/>
      <c r="I119" s="21"/>
      <c r="J119" s="21"/>
      <c r="K119" s="21"/>
      <c r="L119" s="21"/>
      <c r="M119" s="21"/>
      <c r="N119" s="30"/>
      <c r="O119" s="21"/>
      <c r="P119" s="21"/>
      <c r="Q119" s="21"/>
      <c r="R119" s="32"/>
      <c r="S119" s="32"/>
      <c r="T119" s="21"/>
      <c r="U119" s="21"/>
      <c r="V119" s="21"/>
      <c r="W119" s="21"/>
      <c r="X119" s="21"/>
    </row>
    <row r="120" customFormat="false" ht="15.75" hidden="false" customHeight="false" outlineLevel="0" collapsed="false">
      <c r="A120" s="61"/>
      <c r="B120" s="29"/>
      <c r="C120" s="21"/>
      <c r="D120" s="21"/>
      <c r="E120" s="21"/>
      <c r="F120" s="21"/>
      <c r="G120" s="30"/>
      <c r="H120" s="31"/>
      <c r="I120" s="21"/>
      <c r="J120" s="21"/>
      <c r="K120" s="21"/>
      <c r="L120" s="21"/>
      <c r="M120" s="21"/>
      <c r="N120" s="30"/>
      <c r="O120" s="21"/>
      <c r="P120" s="21"/>
      <c r="Q120" s="21"/>
      <c r="R120" s="32"/>
      <c r="S120" s="32"/>
      <c r="T120" s="21"/>
      <c r="U120" s="21"/>
      <c r="V120" s="21"/>
      <c r="W120" s="21"/>
      <c r="X120" s="21"/>
    </row>
    <row r="121" customFormat="false" ht="15.75" hidden="false" customHeight="false" outlineLevel="0" collapsed="false">
      <c r="A121" s="61"/>
      <c r="B121" s="29"/>
      <c r="C121" s="21"/>
      <c r="D121" s="21"/>
      <c r="E121" s="21"/>
      <c r="F121" s="21"/>
      <c r="G121" s="30"/>
      <c r="H121" s="31"/>
      <c r="I121" s="21"/>
      <c r="J121" s="21"/>
      <c r="K121" s="21"/>
      <c r="L121" s="21"/>
      <c r="M121" s="21"/>
      <c r="N121" s="30"/>
      <c r="O121" s="21"/>
      <c r="P121" s="21"/>
      <c r="Q121" s="21"/>
      <c r="R121" s="32"/>
      <c r="S121" s="32"/>
      <c r="T121" s="21"/>
      <c r="U121" s="21"/>
      <c r="V121" s="21"/>
      <c r="W121" s="21"/>
      <c r="X121" s="21"/>
    </row>
    <row r="122" customFormat="false" ht="15.75" hidden="false" customHeight="false" outlineLevel="0" collapsed="false">
      <c r="A122" s="61"/>
      <c r="B122" s="29"/>
      <c r="C122" s="21"/>
      <c r="D122" s="21"/>
      <c r="E122" s="21"/>
      <c r="F122" s="21"/>
      <c r="G122" s="30"/>
      <c r="H122" s="31"/>
      <c r="I122" s="21"/>
      <c r="J122" s="21"/>
      <c r="K122" s="21"/>
      <c r="L122" s="21"/>
      <c r="M122" s="21"/>
      <c r="N122" s="30"/>
      <c r="O122" s="21"/>
      <c r="P122" s="21"/>
      <c r="Q122" s="21"/>
      <c r="R122" s="32"/>
      <c r="S122" s="32"/>
      <c r="T122" s="21"/>
      <c r="U122" s="21"/>
      <c r="V122" s="21"/>
      <c r="W122" s="21"/>
      <c r="X122" s="21"/>
    </row>
    <row r="123" customFormat="false" ht="15.75" hidden="false" customHeight="false" outlineLevel="0" collapsed="false">
      <c r="A123" s="61"/>
      <c r="B123" s="29"/>
      <c r="C123" s="21"/>
      <c r="D123" s="21"/>
      <c r="E123" s="21"/>
      <c r="F123" s="21"/>
      <c r="G123" s="30"/>
      <c r="H123" s="31"/>
      <c r="I123" s="21"/>
      <c r="J123" s="21"/>
      <c r="K123" s="21"/>
      <c r="L123" s="21"/>
      <c r="M123" s="21"/>
      <c r="N123" s="30"/>
      <c r="O123" s="21"/>
      <c r="P123" s="21"/>
      <c r="Q123" s="21"/>
      <c r="R123" s="32"/>
      <c r="S123" s="32"/>
      <c r="T123" s="21"/>
      <c r="U123" s="21"/>
      <c r="V123" s="21"/>
      <c r="W123" s="21"/>
      <c r="X123" s="21"/>
    </row>
    <row r="124" customFormat="false" ht="15.75" hidden="false" customHeight="false" outlineLevel="0" collapsed="false">
      <c r="A124" s="61"/>
      <c r="B124" s="29"/>
      <c r="C124" s="21"/>
      <c r="D124" s="21"/>
      <c r="E124" s="21"/>
      <c r="F124" s="21"/>
      <c r="G124" s="30"/>
      <c r="H124" s="31"/>
      <c r="I124" s="21"/>
      <c r="J124" s="21"/>
      <c r="K124" s="21"/>
      <c r="L124" s="21"/>
      <c r="M124" s="21"/>
      <c r="N124" s="30"/>
      <c r="O124" s="21"/>
      <c r="P124" s="21"/>
      <c r="Q124" s="21"/>
      <c r="R124" s="32"/>
      <c r="S124" s="32"/>
      <c r="T124" s="21"/>
      <c r="U124" s="21"/>
      <c r="V124" s="21"/>
      <c r="W124" s="21"/>
      <c r="X124" s="21"/>
    </row>
    <row r="125" customFormat="false" ht="15.75" hidden="false" customHeight="false" outlineLevel="0" collapsed="false">
      <c r="A125" s="61"/>
      <c r="B125" s="29"/>
      <c r="C125" s="21"/>
      <c r="D125" s="21"/>
      <c r="E125" s="21"/>
      <c r="F125" s="21"/>
      <c r="G125" s="30"/>
      <c r="H125" s="31"/>
      <c r="I125" s="21"/>
      <c r="J125" s="21"/>
      <c r="K125" s="21"/>
      <c r="L125" s="21"/>
      <c r="M125" s="21"/>
      <c r="N125" s="30"/>
      <c r="O125" s="21"/>
      <c r="P125" s="21"/>
      <c r="Q125" s="21"/>
      <c r="R125" s="32"/>
      <c r="S125" s="32"/>
      <c r="T125" s="21"/>
      <c r="U125" s="21"/>
      <c r="V125" s="21"/>
      <c r="W125" s="21"/>
      <c r="X125" s="21"/>
    </row>
    <row r="126" customFormat="false" ht="15.75" hidden="false" customHeight="false" outlineLevel="0" collapsed="false">
      <c r="A126" s="61"/>
      <c r="B126" s="29"/>
      <c r="C126" s="21"/>
      <c r="D126" s="21"/>
      <c r="E126" s="21"/>
      <c r="F126" s="21"/>
      <c r="G126" s="30"/>
      <c r="H126" s="31"/>
      <c r="I126" s="21"/>
      <c r="J126" s="21"/>
      <c r="K126" s="21"/>
      <c r="L126" s="21"/>
      <c r="M126" s="21"/>
      <c r="N126" s="30"/>
      <c r="O126" s="21"/>
      <c r="P126" s="21"/>
      <c r="Q126" s="21"/>
      <c r="R126" s="32"/>
      <c r="S126" s="32"/>
      <c r="T126" s="21"/>
      <c r="U126" s="21"/>
      <c r="V126" s="21"/>
      <c r="W126" s="21"/>
      <c r="X126" s="21"/>
    </row>
    <row r="127" customFormat="false" ht="15.75" hidden="false" customHeight="false" outlineLevel="0" collapsed="false">
      <c r="A127" s="61"/>
      <c r="B127" s="29"/>
      <c r="C127" s="21"/>
      <c r="D127" s="21"/>
      <c r="E127" s="21"/>
      <c r="F127" s="21"/>
      <c r="G127" s="30"/>
      <c r="H127" s="31"/>
      <c r="I127" s="21"/>
      <c r="J127" s="21"/>
      <c r="K127" s="21"/>
      <c r="L127" s="21"/>
      <c r="M127" s="21"/>
      <c r="N127" s="30"/>
      <c r="O127" s="21"/>
      <c r="P127" s="21"/>
      <c r="Q127" s="21"/>
      <c r="R127" s="32"/>
      <c r="S127" s="32"/>
      <c r="T127" s="21"/>
      <c r="U127" s="21"/>
      <c r="V127" s="21"/>
      <c r="W127" s="21"/>
      <c r="X127" s="21"/>
    </row>
    <row r="128" customFormat="false" ht="15.75" hidden="false" customHeight="false" outlineLevel="0" collapsed="false">
      <c r="A128" s="61"/>
      <c r="B128" s="29"/>
      <c r="C128" s="21"/>
      <c r="D128" s="21"/>
      <c r="E128" s="21"/>
      <c r="F128" s="21"/>
      <c r="G128" s="30"/>
      <c r="H128" s="31"/>
      <c r="I128" s="21"/>
      <c r="J128" s="21"/>
      <c r="K128" s="21"/>
      <c r="L128" s="21"/>
      <c r="M128" s="21"/>
      <c r="N128" s="30"/>
      <c r="O128" s="21"/>
      <c r="P128" s="21"/>
      <c r="Q128" s="21"/>
      <c r="R128" s="32"/>
      <c r="S128" s="32"/>
      <c r="T128" s="21"/>
      <c r="U128" s="21"/>
      <c r="V128" s="21"/>
      <c r="W128" s="21"/>
      <c r="X128" s="21"/>
    </row>
    <row r="129" customFormat="false" ht="15.75" hidden="false" customHeight="false" outlineLevel="0" collapsed="false">
      <c r="A129" s="61"/>
      <c r="B129" s="29"/>
      <c r="C129" s="21"/>
      <c r="D129" s="21"/>
      <c r="E129" s="21"/>
      <c r="F129" s="21"/>
      <c r="G129" s="30"/>
      <c r="H129" s="31"/>
      <c r="I129" s="21"/>
      <c r="J129" s="21"/>
      <c r="K129" s="21"/>
      <c r="L129" s="21"/>
      <c r="M129" s="21"/>
      <c r="N129" s="30"/>
      <c r="O129" s="21"/>
      <c r="P129" s="21"/>
      <c r="Q129" s="21"/>
      <c r="R129" s="32"/>
      <c r="S129" s="32"/>
      <c r="T129" s="21"/>
      <c r="U129" s="21"/>
      <c r="V129" s="21"/>
      <c r="W129" s="21"/>
      <c r="X129" s="21"/>
    </row>
    <row r="130" customFormat="false" ht="15.75" hidden="false" customHeight="false" outlineLevel="0" collapsed="false">
      <c r="A130" s="61"/>
      <c r="B130" s="29"/>
      <c r="C130" s="21"/>
      <c r="D130" s="21"/>
      <c r="E130" s="21"/>
      <c r="F130" s="21"/>
      <c r="G130" s="30"/>
      <c r="H130" s="31"/>
      <c r="I130" s="21"/>
      <c r="J130" s="21"/>
      <c r="K130" s="21"/>
      <c r="L130" s="21"/>
      <c r="M130" s="21"/>
      <c r="N130" s="30"/>
      <c r="O130" s="21"/>
      <c r="P130" s="21"/>
      <c r="Q130" s="21"/>
      <c r="R130" s="32"/>
      <c r="S130" s="32"/>
      <c r="T130" s="21"/>
      <c r="U130" s="21"/>
      <c r="V130" s="21"/>
      <c r="W130" s="21"/>
      <c r="X130" s="21"/>
    </row>
    <row r="131" customFormat="false" ht="15.75" hidden="false" customHeight="false" outlineLevel="0" collapsed="false">
      <c r="A131" s="61"/>
      <c r="B131" s="29"/>
      <c r="C131" s="21"/>
      <c r="D131" s="21"/>
      <c r="E131" s="21"/>
      <c r="F131" s="21"/>
      <c r="G131" s="30"/>
      <c r="H131" s="31"/>
      <c r="I131" s="21"/>
      <c r="J131" s="21"/>
      <c r="K131" s="21"/>
      <c r="L131" s="21"/>
      <c r="M131" s="21"/>
      <c r="N131" s="30"/>
      <c r="O131" s="21"/>
      <c r="P131" s="21"/>
      <c r="Q131" s="21"/>
      <c r="R131" s="32"/>
      <c r="S131" s="32"/>
      <c r="T131" s="21"/>
      <c r="U131" s="21"/>
      <c r="V131" s="21"/>
      <c r="W131" s="21"/>
      <c r="X131" s="21"/>
    </row>
    <row r="132" customFormat="false" ht="15.75" hidden="false" customHeight="false" outlineLevel="0" collapsed="false">
      <c r="A132" s="61"/>
      <c r="B132" s="29"/>
      <c r="C132" s="21"/>
      <c r="D132" s="21"/>
      <c r="E132" s="21"/>
      <c r="F132" s="21"/>
      <c r="G132" s="30"/>
      <c r="H132" s="31"/>
      <c r="I132" s="21"/>
      <c r="J132" s="21"/>
      <c r="K132" s="21"/>
      <c r="L132" s="21"/>
      <c r="M132" s="21"/>
      <c r="N132" s="30"/>
      <c r="O132" s="21"/>
      <c r="P132" s="21"/>
      <c r="Q132" s="21"/>
      <c r="R132" s="32"/>
      <c r="S132" s="32"/>
      <c r="T132" s="21"/>
      <c r="U132" s="21"/>
      <c r="V132" s="21"/>
      <c r="W132" s="21"/>
      <c r="X132" s="21"/>
    </row>
    <row r="133" customFormat="false" ht="15.75" hidden="false" customHeight="false" outlineLevel="0" collapsed="false">
      <c r="A133" s="61"/>
      <c r="B133" s="29"/>
      <c r="C133" s="21"/>
      <c r="D133" s="21"/>
      <c r="E133" s="21"/>
      <c r="F133" s="21"/>
      <c r="G133" s="30"/>
      <c r="H133" s="31"/>
      <c r="I133" s="21"/>
      <c r="J133" s="21"/>
      <c r="K133" s="21"/>
      <c r="L133" s="21"/>
      <c r="M133" s="21"/>
      <c r="N133" s="30"/>
      <c r="O133" s="21"/>
      <c r="P133" s="21"/>
      <c r="Q133" s="21"/>
      <c r="R133" s="32"/>
      <c r="S133" s="32"/>
      <c r="T133" s="21"/>
      <c r="U133" s="21"/>
      <c r="V133" s="21"/>
      <c r="W133" s="21"/>
      <c r="X133" s="21"/>
    </row>
    <row r="134" customFormat="false" ht="15.75" hidden="false" customHeight="false" outlineLevel="0" collapsed="false">
      <c r="A134" s="61"/>
      <c r="B134" s="29"/>
      <c r="C134" s="21"/>
      <c r="D134" s="21"/>
      <c r="E134" s="21"/>
      <c r="F134" s="21"/>
      <c r="G134" s="30"/>
      <c r="H134" s="31"/>
      <c r="I134" s="21"/>
      <c r="J134" s="21"/>
      <c r="K134" s="21"/>
      <c r="L134" s="21"/>
      <c r="M134" s="21"/>
      <c r="N134" s="30"/>
      <c r="O134" s="21"/>
      <c r="P134" s="21"/>
      <c r="Q134" s="21"/>
      <c r="R134" s="32"/>
      <c r="S134" s="32"/>
      <c r="T134" s="21"/>
      <c r="U134" s="21"/>
      <c r="V134" s="21"/>
      <c r="W134" s="21"/>
      <c r="X134" s="21"/>
    </row>
    <row r="135" customFormat="false" ht="15.75" hidden="false" customHeight="false" outlineLevel="0" collapsed="false">
      <c r="A135" s="61"/>
      <c r="B135" s="29"/>
      <c r="C135" s="21"/>
      <c r="D135" s="21"/>
      <c r="E135" s="21"/>
      <c r="F135" s="21"/>
      <c r="G135" s="30"/>
      <c r="H135" s="31"/>
      <c r="I135" s="21"/>
      <c r="J135" s="21"/>
      <c r="K135" s="21"/>
      <c r="L135" s="21"/>
      <c r="M135" s="21"/>
      <c r="N135" s="30"/>
      <c r="O135" s="21"/>
      <c r="P135" s="21"/>
      <c r="Q135" s="21"/>
      <c r="R135" s="32"/>
      <c r="S135" s="32"/>
      <c r="T135" s="21"/>
      <c r="U135" s="21"/>
      <c r="V135" s="21"/>
      <c r="W135" s="21"/>
      <c r="X135" s="21"/>
    </row>
    <row r="136" customFormat="false" ht="15.75" hidden="false" customHeight="false" outlineLevel="0" collapsed="false">
      <c r="A136" s="61"/>
      <c r="B136" s="29"/>
      <c r="C136" s="21"/>
      <c r="D136" s="21"/>
      <c r="E136" s="21"/>
      <c r="F136" s="21"/>
      <c r="G136" s="30"/>
      <c r="H136" s="31"/>
      <c r="I136" s="21"/>
      <c r="J136" s="21"/>
      <c r="K136" s="21"/>
      <c r="L136" s="21"/>
      <c r="M136" s="21"/>
      <c r="N136" s="30"/>
      <c r="O136" s="21"/>
      <c r="P136" s="21"/>
      <c r="Q136" s="21"/>
      <c r="R136" s="32"/>
      <c r="S136" s="32"/>
      <c r="T136" s="21"/>
      <c r="U136" s="21"/>
      <c r="V136" s="21"/>
      <c r="W136" s="21"/>
      <c r="X136" s="21"/>
    </row>
    <row r="137" customFormat="false" ht="15.75" hidden="false" customHeight="false" outlineLevel="0" collapsed="false">
      <c r="A137" s="61"/>
      <c r="B137" s="29"/>
      <c r="C137" s="21"/>
      <c r="D137" s="21"/>
      <c r="E137" s="21"/>
      <c r="F137" s="21"/>
      <c r="G137" s="30"/>
      <c r="H137" s="31"/>
      <c r="I137" s="21"/>
      <c r="J137" s="21"/>
      <c r="K137" s="21"/>
      <c r="L137" s="21"/>
      <c r="M137" s="21"/>
      <c r="N137" s="30"/>
      <c r="O137" s="21"/>
      <c r="P137" s="21"/>
      <c r="Q137" s="21"/>
      <c r="R137" s="32"/>
      <c r="S137" s="32"/>
      <c r="T137" s="21"/>
      <c r="U137" s="21"/>
      <c r="V137" s="21"/>
      <c r="W137" s="21"/>
      <c r="X137" s="21"/>
    </row>
    <row r="138" customFormat="false" ht="15.75" hidden="false" customHeight="false" outlineLevel="0" collapsed="false">
      <c r="A138" s="61"/>
      <c r="B138" s="29"/>
      <c r="C138" s="21"/>
      <c r="D138" s="21"/>
      <c r="E138" s="21"/>
      <c r="F138" s="21"/>
      <c r="G138" s="30"/>
      <c r="H138" s="31"/>
      <c r="I138" s="21"/>
      <c r="J138" s="21"/>
      <c r="K138" s="21"/>
      <c r="L138" s="21"/>
      <c r="M138" s="21"/>
      <c r="N138" s="30"/>
      <c r="O138" s="21"/>
      <c r="P138" s="21"/>
      <c r="Q138" s="21"/>
      <c r="R138" s="32"/>
      <c r="S138" s="32"/>
      <c r="T138" s="21"/>
      <c r="U138" s="21"/>
      <c r="V138" s="21"/>
      <c r="W138" s="21"/>
      <c r="X138" s="21"/>
    </row>
    <row r="139" customFormat="false" ht="15.75" hidden="false" customHeight="false" outlineLevel="0" collapsed="false">
      <c r="A139" s="61"/>
      <c r="B139" s="29"/>
      <c r="C139" s="21"/>
      <c r="D139" s="21"/>
      <c r="E139" s="21"/>
      <c r="F139" s="21"/>
      <c r="G139" s="30"/>
      <c r="H139" s="31"/>
      <c r="I139" s="21"/>
      <c r="J139" s="21"/>
      <c r="K139" s="21"/>
      <c r="L139" s="21"/>
      <c r="M139" s="21"/>
      <c r="N139" s="30"/>
      <c r="O139" s="21"/>
      <c r="P139" s="21"/>
      <c r="Q139" s="21"/>
      <c r="R139" s="32"/>
      <c r="S139" s="32"/>
      <c r="T139" s="21"/>
      <c r="U139" s="21"/>
      <c r="V139" s="21"/>
      <c r="W139" s="21"/>
      <c r="X139" s="21"/>
    </row>
    <row r="140" customFormat="false" ht="15.75" hidden="false" customHeight="false" outlineLevel="0" collapsed="false">
      <c r="A140" s="61"/>
      <c r="B140" s="29"/>
      <c r="C140" s="21"/>
      <c r="D140" s="21"/>
      <c r="E140" s="21"/>
      <c r="F140" s="21"/>
      <c r="G140" s="30"/>
      <c r="H140" s="31"/>
      <c r="I140" s="21"/>
      <c r="J140" s="21"/>
      <c r="K140" s="21"/>
      <c r="L140" s="21"/>
      <c r="M140" s="21"/>
      <c r="N140" s="30"/>
      <c r="O140" s="21"/>
      <c r="P140" s="21"/>
      <c r="Q140" s="21"/>
      <c r="R140" s="32"/>
      <c r="S140" s="32"/>
      <c r="T140" s="21"/>
      <c r="U140" s="21"/>
      <c r="V140" s="21"/>
      <c r="W140" s="21"/>
      <c r="X140" s="21"/>
    </row>
    <row r="141" customFormat="false" ht="15.75" hidden="false" customHeight="false" outlineLevel="0" collapsed="false">
      <c r="A141" s="61"/>
      <c r="B141" s="29"/>
      <c r="C141" s="21"/>
      <c r="D141" s="21"/>
      <c r="E141" s="21"/>
      <c r="F141" s="21"/>
      <c r="G141" s="30"/>
      <c r="H141" s="31"/>
      <c r="I141" s="21"/>
      <c r="J141" s="21"/>
      <c r="K141" s="21"/>
      <c r="L141" s="21"/>
      <c r="M141" s="21"/>
      <c r="N141" s="30"/>
      <c r="O141" s="21"/>
      <c r="P141" s="21"/>
      <c r="Q141" s="21"/>
      <c r="R141" s="32"/>
      <c r="S141" s="32"/>
      <c r="T141" s="21"/>
      <c r="U141" s="21"/>
      <c r="V141" s="21"/>
      <c r="W141" s="21"/>
      <c r="X141" s="21"/>
    </row>
    <row r="142" customFormat="false" ht="15.75" hidden="false" customHeight="false" outlineLevel="0" collapsed="false">
      <c r="A142" s="61"/>
      <c r="B142" s="29"/>
      <c r="C142" s="21"/>
      <c r="D142" s="21"/>
      <c r="E142" s="21"/>
      <c r="F142" s="21"/>
      <c r="G142" s="30"/>
      <c r="H142" s="31"/>
      <c r="I142" s="21"/>
      <c r="J142" s="21"/>
      <c r="K142" s="21"/>
      <c r="L142" s="21"/>
      <c r="M142" s="21"/>
      <c r="N142" s="30"/>
      <c r="O142" s="21"/>
      <c r="P142" s="21"/>
      <c r="Q142" s="21"/>
      <c r="R142" s="32"/>
      <c r="S142" s="32"/>
      <c r="T142" s="21"/>
      <c r="U142" s="21"/>
      <c r="V142" s="21"/>
      <c r="W142" s="21"/>
      <c r="X142" s="21"/>
    </row>
    <row r="143" customFormat="false" ht="15.75" hidden="false" customHeight="false" outlineLevel="0" collapsed="false">
      <c r="A143" s="61"/>
      <c r="B143" s="29"/>
      <c r="C143" s="21"/>
      <c r="D143" s="21"/>
      <c r="E143" s="21"/>
      <c r="F143" s="21"/>
      <c r="G143" s="30"/>
      <c r="H143" s="31"/>
      <c r="I143" s="21"/>
      <c r="J143" s="21"/>
      <c r="K143" s="21"/>
      <c r="L143" s="21"/>
      <c r="M143" s="21"/>
      <c r="N143" s="30"/>
      <c r="O143" s="21"/>
      <c r="P143" s="21"/>
      <c r="Q143" s="21"/>
      <c r="R143" s="32"/>
      <c r="S143" s="32"/>
      <c r="T143" s="21"/>
      <c r="U143" s="21"/>
      <c r="V143" s="21"/>
      <c r="W143" s="21"/>
      <c r="X143" s="21"/>
    </row>
    <row r="144" customFormat="false" ht="15.75" hidden="false" customHeight="false" outlineLevel="0" collapsed="false">
      <c r="A144" s="61"/>
      <c r="B144" s="29"/>
      <c r="C144" s="21"/>
      <c r="D144" s="21"/>
      <c r="E144" s="21"/>
      <c r="F144" s="21"/>
      <c r="G144" s="30"/>
      <c r="H144" s="31"/>
      <c r="I144" s="21"/>
      <c r="J144" s="21"/>
      <c r="K144" s="21"/>
      <c r="L144" s="21"/>
      <c r="M144" s="21"/>
      <c r="N144" s="30"/>
      <c r="O144" s="21"/>
      <c r="P144" s="21"/>
      <c r="Q144" s="21"/>
      <c r="R144" s="32"/>
      <c r="S144" s="32"/>
      <c r="T144" s="21"/>
      <c r="U144" s="21"/>
      <c r="V144" s="21"/>
      <c r="W144" s="21"/>
      <c r="X144" s="21"/>
    </row>
    <row r="145" customFormat="false" ht="15.75" hidden="false" customHeight="false" outlineLevel="0" collapsed="false">
      <c r="A145" s="61"/>
      <c r="B145" s="29"/>
      <c r="C145" s="21"/>
      <c r="D145" s="21"/>
      <c r="E145" s="21"/>
      <c r="F145" s="21"/>
      <c r="G145" s="30"/>
      <c r="H145" s="31"/>
      <c r="I145" s="21"/>
      <c r="J145" s="21"/>
      <c r="K145" s="21"/>
      <c r="L145" s="21"/>
      <c r="M145" s="21"/>
      <c r="N145" s="30"/>
      <c r="O145" s="21"/>
      <c r="P145" s="21"/>
      <c r="Q145" s="21"/>
      <c r="R145" s="32"/>
      <c r="S145" s="32"/>
      <c r="T145" s="21"/>
      <c r="U145" s="21"/>
      <c r="V145" s="21"/>
      <c r="W145" s="21"/>
      <c r="X145" s="21"/>
    </row>
    <row r="146" customFormat="false" ht="15.75" hidden="false" customHeight="false" outlineLevel="0" collapsed="false">
      <c r="A146" s="61"/>
      <c r="B146" s="29"/>
      <c r="C146" s="21"/>
      <c r="D146" s="21"/>
      <c r="E146" s="21"/>
      <c r="F146" s="21"/>
      <c r="G146" s="30"/>
      <c r="H146" s="31"/>
      <c r="I146" s="21"/>
      <c r="J146" s="21"/>
      <c r="K146" s="21"/>
      <c r="L146" s="21"/>
      <c r="M146" s="21"/>
      <c r="N146" s="30"/>
      <c r="O146" s="21"/>
      <c r="P146" s="21"/>
      <c r="Q146" s="21"/>
      <c r="R146" s="32"/>
      <c r="S146" s="32"/>
      <c r="T146" s="21"/>
      <c r="U146" s="21"/>
      <c r="V146" s="21"/>
      <c r="W146" s="21"/>
      <c r="X146" s="21"/>
    </row>
    <row r="147" customFormat="false" ht="15.75" hidden="false" customHeight="false" outlineLevel="0" collapsed="false">
      <c r="A147" s="61"/>
      <c r="B147" s="29"/>
      <c r="C147" s="21"/>
      <c r="D147" s="21"/>
      <c r="E147" s="21"/>
      <c r="F147" s="21"/>
      <c r="G147" s="30"/>
      <c r="H147" s="31"/>
      <c r="I147" s="21"/>
      <c r="J147" s="21"/>
      <c r="K147" s="21"/>
      <c r="L147" s="21"/>
      <c r="M147" s="21"/>
      <c r="N147" s="30"/>
      <c r="O147" s="21"/>
      <c r="P147" s="21"/>
      <c r="Q147" s="21"/>
      <c r="R147" s="32"/>
      <c r="S147" s="32"/>
      <c r="T147" s="21"/>
      <c r="U147" s="21"/>
      <c r="V147" s="21"/>
      <c r="W147" s="21"/>
      <c r="X147" s="21"/>
    </row>
    <row r="148" customFormat="false" ht="15.75" hidden="false" customHeight="false" outlineLevel="0" collapsed="false">
      <c r="A148" s="61"/>
      <c r="B148" s="29"/>
      <c r="C148" s="21"/>
      <c r="D148" s="21"/>
      <c r="E148" s="21"/>
      <c r="F148" s="21"/>
      <c r="G148" s="30"/>
      <c r="H148" s="31"/>
      <c r="I148" s="21"/>
      <c r="J148" s="21"/>
      <c r="K148" s="21"/>
      <c r="L148" s="21"/>
      <c r="M148" s="21"/>
      <c r="N148" s="30"/>
      <c r="O148" s="21"/>
      <c r="P148" s="21"/>
      <c r="Q148" s="21"/>
      <c r="R148" s="32"/>
      <c r="S148" s="32"/>
      <c r="T148" s="21"/>
      <c r="U148" s="21"/>
      <c r="V148" s="21"/>
      <c r="W148" s="21"/>
      <c r="X148" s="21"/>
    </row>
    <row r="149" customFormat="false" ht="15.75" hidden="false" customHeight="false" outlineLevel="0" collapsed="false">
      <c r="A149" s="61"/>
      <c r="B149" s="29"/>
      <c r="C149" s="21"/>
      <c r="D149" s="21"/>
      <c r="E149" s="21"/>
      <c r="F149" s="21"/>
      <c r="G149" s="30"/>
      <c r="H149" s="31"/>
      <c r="I149" s="21"/>
      <c r="J149" s="21"/>
      <c r="K149" s="21"/>
      <c r="L149" s="21"/>
      <c r="M149" s="21"/>
      <c r="N149" s="30"/>
      <c r="O149" s="21"/>
      <c r="P149" s="21"/>
      <c r="Q149" s="21"/>
      <c r="R149" s="32"/>
      <c r="S149" s="32"/>
      <c r="T149" s="21"/>
      <c r="U149" s="21"/>
      <c r="V149" s="21"/>
      <c r="W149" s="21"/>
      <c r="X149" s="21"/>
    </row>
    <row r="150" customFormat="false" ht="15.75" hidden="false" customHeight="false" outlineLevel="0" collapsed="false">
      <c r="A150" s="61"/>
      <c r="B150" s="29"/>
      <c r="C150" s="21"/>
      <c r="D150" s="21"/>
      <c r="E150" s="21"/>
      <c r="F150" s="21"/>
      <c r="G150" s="30"/>
      <c r="H150" s="31"/>
      <c r="I150" s="21"/>
      <c r="J150" s="21"/>
      <c r="K150" s="21"/>
      <c r="L150" s="21"/>
      <c r="M150" s="21"/>
      <c r="N150" s="30"/>
      <c r="O150" s="21"/>
      <c r="P150" s="21"/>
      <c r="Q150" s="21"/>
      <c r="R150" s="32"/>
      <c r="S150" s="32"/>
      <c r="T150" s="21"/>
      <c r="U150" s="21"/>
      <c r="V150" s="21"/>
      <c r="W150" s="21"/>
      <c r="X150" s="21"/>
    </row>
    <row r="151" customFormat="false" ht="15.75" hidden="false" customHeight="false" outlineLevel="0" collapsed="false">
      <c r="A151" s="61"/>
      <c r="B151" s="29"/>
      <c r="C151" s="21"/>
      <c r="D151" s="21"/>
      <c r="E151" s="21"/>
      <c r="F151" s="21"/>
      <c r="G151" s="30"/>
      <c r="H151" s="31"/>
      <c r="I151" s="21"/>
      <c r="J151" s="21"/>
      <c r="K151" s="21"/>
      <c r="L151" s="21"/>
      <c r="M151" s="21"/>
      <c r="N151" s="30"/>
      <c r="O151" s="21"/>
      <c r="P151" s="21"/>
      <c r="Q151" s="21"/>
      <c r="R151" s="32"/>
      <c r="S151" s="32"/>
      <c r="T151" s="21"/>
      <c r="U151" s="21"/>
      <c r="V151" s="21"/>
      <c r="W151" s="21"/>
      <c r="X151" s="21"/>
    </row>
    <row r="152" customFormat="false" ht="15.75" hidden="false" customHeight="false" outlineLevel="0" collapsed="false">
      <c r="A152" s="61"/>
      <c r="B152" s="29"/>
      <c r="C152" s="21"/>
      <c r="D152" s="21"/>
      <c r="E152" s="21"/>
      <c r="F152" s="21"/>
      <c r="G152" s="30"/>
      <c r="H152" s="31"/>
      <c r="I152" s="21"/>
      <c r="J152" s="21"/>
      <c r="K152" s="21"/>
      <c r="L152" s="21"/>
      <c r="M152" s="21"/>
      <c r="N152" s="30"/>
      <c r="O152" s="21"/>
      <c r="P152" s="21"/>
      <c r="Q152" s="21"/>
      <c r="R152" s="32"/>
      <c r="S152" s="32"/>
      <c r="T152" s="21"/>
      <c r="U152" s="21"/>
      <c r="V152" s="21"/>
      <c r="W152" s="21"/>
      <c r="X152" s="21"/>
    </row>
    <row r="153" customFormat="false" ht="15.75" hidden="false" customHeight="false" outlineLevel="0" collapsed="false">
      <c r="A153" s="61"/>
      <c r="B153" s="29"/>
      <c r="C153" s="21"/>
      <c r="D153" s="21"/>
      <c r="E153" s="21"/>
      <c r="F153" s="21"/>
      <c r="G153" s="30"/>
      <c r="H153" s="31"/>
      <c r="I153" s="21"/>
      <c r="J153" s="21"/>
      <c r="K153" s="21"/>
      <c r="L153" s="21"/>
      <c r="M153" s="21"/>
      <c r="N153" s="30"/>
      <c r="O153" s="21"/>
      <c r="P153" s="21"/>
      <c r="Q153" s="21"/>
      <c r="R153" s="32"/>
      <c r="S153" s="32"/>
      <c r="T153" s="21"/>
      <c r="U153" s="21"/>
      <c r="V153" s="21"/>
      <c r="W153" s="21"/>
      <c r="X153" s="21"/>
    </row>
    <row r="154" customFormat="false" ht="15.75" hidden="false" customHeight="false" outlineLevel="0" collapsed="false">
      <c r="A154" s="61"/>
      <c r="B154" s="29"/>
      <c r="C154" s="21"/>
      <c r="D154" s="21"/>
      <c r="E154" s="21"/>
      <c r="F154" s="21"/>
      <c r="G154" s="30"/>
      <c r="H154" s="31"/>
      <c r="I154" s="21"/>
      <c r="J154" s="21"/>
      <c r="K154" s="21"/>
      <c r="L154" s="21"/>
      <c r="M154" s="21"/>
      <c r="N154" s="30"/>
      <c r="O154" s="21"/>
      <c r="P154" s="21"/>
      <c r="Q154" s="21"/>
      <c r="R154" s="32"/>
      <c r="S154" s="32"/>
      <c r="T154" s="21"/>
      <c r="U154" s="21"/>
      <c r="V154" s="21"/>
      <c r="W154" s="21"/>
      <c r="X154" s="21"/>
    </row>
    <row r="155" customFormat="false" ht="15.75" hidden="false" customHeight="false" outlineLevel="0" collapsed="false">
      <c r="A155" s="61"/>
      <c r="B155" s="29"/>
      <c r="C155" s="21"/>
      <c r="D155" s="21"/>
      <c r="E155" s="21"/>
      <c r="F155" s="21"/>
      <c r="G155" s="30"/>
      <c r="H155" s="31"/>
      <c r="I155" s="21"/>
      <c r="J155" s="21"/>
      <c r="K155" s="21"/>
      <c r="L155" s="21"/>
      <c r="M155" s="21"/>
      <c r="N155" s="30"/>
      <c r="O155" s="21"/>
      <c r="P155" s="21"/>
      <c r="Q155" s="21"/>
      <c r="R155" s="32"/>
      <c r="S155" s="32"/>
      <c r="T155" s="21"/>
      <c r="U155" s="21"/>
      <c r="V155" s="21"/>
      <c r="W155" s="21"/>
      <c r="X155" s="21"/>
    </row>
    <row r="156" customFormat="false" ht="15.75" hidden="false" customHeight="false" outlineLevel="0" collapsed="false">
      <c r="A156" s="61"/>
      <c r="B156" s="29"/>
      <c r="C156" s="21"/>
      <c r="D156" s="21"/>
      <c r="E156" s="21"/>
      <c r="F156" s="21"/>
      <c r="G156" s="30"/>
      <c r="H156" s="31"/>
      <c r="I156" s="21"/>
      <c r="J156" s="21"/>
      <c r="K156" s="21"/>
      <c r="L156" s="21"/>
      <c r="M156" s="21"/>
      <c r="N156" s="30"/>
      <c r="O156" s="21"/>
      <c r="P156" s="21"/>
      <c r="Q156" s="21"/>
      <c r="R156" s="32"/>
      <c r="S156" s="32"/>
      <c r="T156" s="21"/>
      <c r="U156" s="21"/>
      <c r="V156" s="21"/>
      <c r="W156" s="21"/>
      <c r="X156" s="21"/>
    </row>
    <row r="157" customFormat="false" ht="15.75" hidden="false" customHeight="false" outlineLevel="0" collapsed="false">
      <c r="A157" s="61"/>
      <c r="B157" s="29"/>
      <c r="C157" s="21"/>
      <c r="D157" s="21"/>
      <c r="E157" s="21"/>
      <c r="F157" s="21"/>
      <c r="G157" s="30"/>
      <c r="H157" s="31"/>
      <c r="I157" s="21"/>
      <c r="J157" s="21"/>
      <c r="K157" s="21"/>
      <c r="L157" s="21"/>
      <c r="M157" s="21"/>
      <c r="N157" s="30"/>
      <c r="O157" s="21"/>
      <c r="P157" s="21"/>
      <c r="Q157" s="21"/>
      <c r="R157" s="32"/>
      <c r="S157" s="32"/>
      <c r="T157" s="21"/>
      <c r="U157" s="21"/>
      <c r="V157" s="21"/>
      <c r="W157" s="21"/>
      <c r="X157" s="21"/>
    </row>
    <row r="158" customFormat="false" ht="15.75" hidden="false" customHeight="false" outlineLevel="0" collapsed="false">
      <c r="A158" s="61"/>
      <c r="B158" s="29"/>
      <c r="C158" s="21"/>
      <c r="D158" s="21"/>
      <c r="E158" s="21"/>
      <c r="F158" s="21"/>
      <c r="G158" s="30"/>
      <c r="H158" s="31"/>
      <c r="I158" s="21"/>
      <c r="J158" s="21"/>
      <c r="K158" s="21"/>
      <c r="L158" s="21"/>
      <c r="M158" s="21"/>
      <c r="N158" s="30"/>
      <c r="O158" s="21"/>
      <c r="P158" s="21"/>
      <c r="Q158" s="21"/>
      <c r="R158" s="32"/>
      <c r="S158" s="32"/>
      <c r="T158" s="21"/>
      <c r="U158" s="21"/>
      <c r="V158" s="21"/>
      <c r="W158" s="21"/>
      <c r="X158" s="21"/>
    </row>
    <row r="159" customFormat="false" ht="15.75" hidden="false" customHeight="false" outlineLevel="0" collapsed="false">
      <c r="A159" s="61"/>
      <c r="B159" s="29"/>
      <c r="C159" s="21"/>
      <c r="D159" s="21"/>
      <c r="E159" s="21"/>
      <c r="F159" s="21"/>
      <c r="G159" s="30"/>
      <c r="H159" s="31"/>
      <c r="I159" s="21"/>
      <c r="J159" s="21"/>
      <c r="K159" s="21"/>
      <c r="L159" s="21"/>
      <c r="M159" s="21"/>
      <c r="N159" s="30"/>
      <c r="O159" s="21"/>
      <c r="P159" s="21"/>
      <c r="Q159" s="21"/>
      <c r="R159" s="32"/>
      <c r="S159" s="32"/>
      <c r="T159" s="21"/>
      <c r="U159" s="21"/>
      <c r="V159" s="21"/>
      <c r="W159" s="21"/>
      <c r="X159" s="21"/>
    </row>
    <row r="160" customFormat="false" ht="15.75" hidden="false" customHeight="false" outlineLevel="0" collapsed="false">
      <c r="A160" s="61"/>
      <c r="B160" s="29"/>
      <c r="C160" s="21"/>
      <c r="D160" s="21"/>
      <c r="E160" s="21"/>
      <c r="F160" s="21"/>
      <c r="G160" s="30"/>
      <c r="H160" s="31"/>
      <c r="I160" s="21"/>
      <c r="J160" s="21"/>
      <c r="K160" s="21"/>
      <c r="L160" s="21"/>
      <c r="M160" s="21"/>
      <c r="N160" s="30"/>
      <c r="O160" s="21"/>
      <c r="P160" s="21"/>
      <c r="Q160" s="21"/>
      <c r="R160" s="32"/>
      <c r="S160" s="32"/>
      <c r="T160" s="21"/>
      <c r="U160" s="21"/>
      <c r="V160" s="21"/>
      <c r="W160" s="21"/>
      <c r="X160" s="21"/>
    </row>
    <row r="161" customFormat="false" ht="15.75" hidden="false" customHeight="false" outlineLevel="0" collapsed="false">
      <c r="A161" s="61"/>
      <c r="B161" s="29"/>
      <c r="C161" s="21"/>
      <c r="D161" s="21"/>
      <c r="E161" s="21"/>
      <c r="F161" s="21"/>
      <c r="G161" s="30"/>
      <c r="H161" s="31"/>
      <c r="I161" s="21"/>
      <c r="J161" s="21"/>
      <c r="K161" s="21"/>
      <c r="L161" s="21"/>
      <c r="M161" s="21"/>
      <c r="N161" s="30"/>
      <c r="O161" s="21"/>
      <c r="P161" s="21"/>
      <c r="Q161" s="21"/>
      <c r="R161" s="32"/>
      <c r="S161" s="32"/>
      <c r="T161" s="21"/>
      <c r="U161" s="21"/>
      <c r="V161" s="21"/>
      <c r="W161" s="21"/>
      <c r="X161" s="21"/>
    </row>
    <row r="162" customFormat="false" ht="15.75" hidden="false" customHeight="false" outlineLevel="0" collapsed="false">
      <c r="A162" s="61"/>
      <c r="B162" s="29"/>
      <c r="C162" s="21"/>
      <c r="D162" s="21"/>
      <c r="E162" s="21"/>
      <c r="F162" s="21"/>
      <c r="G162" s="30"/>
      <c r="H162" s="31"/>
      <c r="I162" s="21"/>
      <c r="J162" s="21"/>
      <c r="K162" s="21"/>
      <c r="L162" s="21"/>
      <c r="M162" s="21"/>
      <c r="N162" s="30"/>
      <c r="O162" s="21"/>
      <c r="P162" s="21"/>
      <c r="Q162" s="21"/>
      <c r="R162" s="32"/>
      <c r="S162" s="32"/>
      <c r="T162" s="21"/>
      <c r="U162" s="21"/>
      <c r="V162" s="21"/>
      <c r="W162" s="21"/>
      <c r="X162" s="21"/>
    </row>
    <row r="163" customFormat="false" ht="15.75" hidden="false" customHeight="false" outlineLevel="0" collapsed="false">
      <c r="A163" s="61"/>
      <c r="B163" s="29"/>
      <c r="C163" s="21"/>
      <c r="D163" s="21"/>
      <c r="E163" s="21"/>
      <c r="F163" s="21"/>
      <c r="G163" s="30"/>
      <c r="H163" s="31"/>
      <c r="I163" s="21"/>
      <c r="J163" s="21"/>
      <c r="K163" s="21"/>
      <c r="L163" s="21"/>
      <c r="M163" s="21"/>
      <c r="N163" s="30"/>
      <c r="O163" s="21"/>
      <c r="P163" s="21"/>
      <c r="Q163" s="21"/>
      <c r="R163" s="32"/>
      <c r="S163" s="32"/>
      <c r="T163" s="21"/>
      <c r="U163" s="21"/>
      <c r="V163" s="21"/>
      <c r="W163" s="21"/>
      <c r="X163" s="21"/>
    </row>
    <row r="164" customFormat="false" ht="15.75" hidden="false" customHeight="false" outlineLevel="0" collapsed="false">
      <c r="A164" s="61"/>
      <c r="B164" s="29"/>
      <c r="C164" s="21"/>
      <c r="D164" s="21"/>
      <c r="E164" s="21"/>
      <c r="F164" s="21"/>
      <c r="G164" s="30"/>
      <c r="H164" s="31"/>
      <c r="I164" s="21"/>
      <c r="J164" s="21"/>
      <c r="K164" s="21"/>
      <c r="L164" s="21"/>
      <c r="M164" s="21"/>
      <c r="N164" s="30"/>
      <c r="O164" s="21"/>
      <c r="P164" s="21"/>
      <c r="Q164" s="21"/>
      <c r="R164" s="32"/>
      <c r="S164" s="32"/>
      <c r="T164" s="21"/>
      <c r="U164" s="21"/>
      <c r="V164" s="21"/>
      <c r="W164" s="21"/>
      <c r="X164" s="21"/>
    </row>
    <row r="165" customFormat="false" ht="15.75" hidden="false" customHeight="false" outlineLevel="0" collapsed="false">
      <c r="A165" s="61"/>
      <c r="B165" s="29"/>
      <c r="C165" s="21"/>
      <c r="D165" s="21"/>
      <c r="E165" s="21"/>
      <c r="F165" s="21"/>
      <c r="G165" s="30"/>
      <c r="H165" s="31"/>
      <c r="I165" s="21"/>
      <c r="J165" s="21"/>
      <c r="K165" s="21"/>
      <c r="L165" s="21"/>
      <c r="M165" s="21"/>
      <c r="N165" s="30"/>
      <c r="O165" s="21"/>
      <c r="P165" s="21"/>
      <c r="Q165" s="21"/>
      <c r="R165" s="32"/>
      <c r="S165" s="32"/>
      <c r="T165" s="21"/>
      <c r="U165" s="21"/>
      <c r="V165" s="21"/>
      <c r="W165" s="21"/>
      <c r="X165" s="21"/>
    </row>
    <row r="166" customFormat="false" ht="15.75" hidden="false" customHeight="false" outlineLevel="0" collapsed="false">
      <c r="A166" s="61"/>
      <c r="B166" s="29"/>
      <c r="C166" s="21"/>
      <c r="D166" s="21"/>
      <c r="E166" s="21"/>
      <c r="F166" s="21"/>
      <c r="G166" s="30"/>
      <c r="H166" s="31"/>
      <c r="I166" s="21"/>
      <c r="J166" s="21"/>
      <c r="K166" s="21"/>
      <c r="L166" s="21"/>
      <c r="M166" s="21"/>
      <c r="N166" s="30"/>
      <c r="O166" s="21"/>
      <c r="P166" s="21"/>
      <c r="Q166" s="21"/>
      <c r="R166" s="32"/>
      <c r="S166" s="32"/>
      <c r="T166" s="21"/>
      <c r="U166" s="21"/>
      <c r="V166" s="21"/>
      <c r="W166" s="21"/>
      <c r="X166" s="21"/>
    </row>
    <row r="167" customFormat="false" ht="15.75" hidden="false" customHeight="false" outlineLevel="0" collapsed="false">
      <c r="A167" s="61"/>
      <c r="B167" s="29"/>
      <c r="C167" s="21"/>
      <c r="D167" s="21"/>
      <c r="E167" s="21"/>
      <c r="F167" s="21"/>
      <c r="G167" s="30"/>
      <c r="H167" s="31"/>
      <c r="I167" s="21"/>
      <c r="J167" s="21"/>
      <c r="K167" s="21"/>
      <c r="L167" s="21"/>
      <c r="M167" s="21"/>
      <c r="N167" s="30"/>
      <c r="O167" s="21"/>
      <c r="P167" s="21"/>
      <c r="Q167" s="21"/>
      <c r="R167" s="32"/>
      <c r="S167" s="32"/>
      <c r="T167" s="21"/>
      <c r="U167" s="21"/>
      <c r="V167" s="21"/>
      <c r="W167" s="21"/>
      <c r="X167" s="21"/>
    </row>
    <row r="168" customFormat="false" ht="15.75" hidden="false" customHeight="false" outlineLevel="0" collapsed="false">
      <c r="A168" s="61"/>
      <c r="B168" s="29"/>
      <c r="C168" s="21"/>
      <c r="D168" s="21"/>
      <c r="E168" s="21"/>
      <c r="F168" s="21"/>
      <c r="G168" s="30"/>
      <c r="H168" s="31"/>
      <c r="I168" s="21"/>
      <c r="J168" s="21"/>
      <c r="K168" s="21"/>
      <c r="L168" s="21"/>
      <c r="M168" s="21"/>
      <c r="N168" s="30"/>
      <c r="O168" s="21"/>
      <c r="P168" s="21"/>
      <c r="Q168" s="21"/>
      <c r="R168" s="32"/>
      <c r="S168" s="32"/>
      <c r="T168" s="21"/>
      <c r="U168" s="21"/>
      <c r="V168" s="21"/>
      <c r="W168" s="21"/>
      <c r="X168" s="21"/>
    </row>
    <row r="169" customFormat="false" ht="15.75" hidden="false" customHeight="false" outlineLevel="0" collapsed="false">
      <c r="A169" s="61"/>
      <c r="B169" s="29"/>
      <c r="C169" s="21"/>
      <c r="D169" s="21"/>
      <c r="E169" s="21"/>
      <c r="F169" s="21"/>
      <c r="G169" s="30"/>
      <c r="H169" s="31"/>
      <c r="I169" s="21"/>
      <c r="J169" s="21"/>
      <c r="K169" s="21"/>
      <c r="L169" s="21"/>
      <c r="M169" s="21"/>
      <c r="N169" s="30"/>
      <c r="O169" s="21"/>
      <c r="P169" s="21"/>
      <c r="Q169" s="21"/>
      <c r="R169" s="32"/>
      <c r="S169" s="32"/>
      <c r="T169" s="21"/>
      <c r="U169" s="21"/>
      <c r="V169" s="21"/>
      <c r="W169" s="21"/>
      <c r="X169" s="21"/>
    </row>
    <row r="170" customFormat="false" ht="15.75" hidden="false" customHeight="false" outlineLevel="0" collapsed="false">
      <c r="A170" s="61"/>
      <c r="B170" s="29"/>
      <c r="C170" s="21"/>
      <c r="D170" s="21"/>
      <c r="E170" s="21"/>
      <c r="F170" s="21"/>
      <c r="G170" s="30"/>
      <c r="H170" s="31"/>
      <c r="I170" s="21"/>
      <c r="J170" s="21"/>
      <c r="K170" s="21"/>
      <c r="L170" s="21"/>
      <c r="M170" s="21"/>
      <c r="N170" s="30"/>
      <c r="O170" s="21"/>
      <c r="P170" s="21"/>
      <c r="Q170" s="21"/>
      <c r="R170" s="32"/>
      <c r="S170" s="32"/>
      <c r="T170" s="21"/>
      <c r="U170" s="21"/>
      <c r="V170" s="21"/>
      <c r="W170" s="21"/>
      <c r="X170" s="21"/>
    </row>
    <row r="171" customFormat="false" ht="15.75" hidden="false" customHeight="false" outlineLevel="0" collapsed="false">
      <c r="A171" s="61"/>
      <c r="B171" s="29"/>
      <c r="C171" s="21"/>
      <c r="D171" s="21"/>
      <c r="E171" s="21"/>
      <c r="F171" s="21"/>
      <c r="G171" s="30"/>
      <c r="H171" s="31"/>
      <c r="I171" s="21"/>
      <c r="J171" s="21"/>
      <c r="K171" s="21"/>
      <c r="L171" s="21"/>
      <c r="M171" s="21"/>
      <c r="N171" s="30"/>
      <c r="O171" s="21"/>
      <c r="P171" s="21"/>
      <c r="Q171" s="21"/>
      <c r="R171" s="32"/>
      <c r="S171" s="32"/>
      <c r="T171" s="21"/>
      <c r="U171" s="21"/>
      <c r="V171" s="21"/>
      <c r="W171" s="21"/>
      <c r="X171" s="21"/>
    </row>
    <row r="172" customFormat="false" ht="15.75" hidden="false" customHeight="false" outlineLevel="0" collapsed="false">
      <c r="A172" s="61"/>
      <c r="B172" s="29"/>
      <c r="C172" s="21"/>
      <c r="D172" s="21"/>
      <c r="E172" s="21"/>
      <c r="F172" s="21"/>
      <c r="G172" s="30"/>
      <c r="H172" s="31"/>
      <c r="I172" s="21"/>
      <c r="J172" s="21"/>
      <c r="K172" s="21"/>
      <c r="L172" s="21"/>
      <c r="M172" s="21"/>
      <c r="N172" s="30"/>
      <c r="O172" s="21"/>
      <c r="P172" s="21"/>
      <c r="Q172" s="21"/>
      <c r="R172" s="32"/>
      <c r="S172" s="32"/>
      <c r="T172" s="21"/>
      <c r="U172" s="21"/>
      <c r="V172" s="21"/>
      <c r="W172" s="21"/>
      <c r="X172" s="21"/>
    </row>
    <row r="173" customFormat="false" ht="15.75" hidden="false" customHeight="false" outlineLevel="0" collapsed="false">
      <c r="A173" s="61"/>
      <c r="B173" s="29"/>
      <c r="C173" s="21"/>
      <c r="D173" s="21"/>
      <c r="E173" s="21"/>
      <c r="F173" s="21"/>
      <c r="G173" s="30"/>
      <c r="H173" s="31"/>
      <c r="I173" s="21"/>
      <c r="J173" s="21"/>
      <c r="K173" s="21"/>
      <c r="L173" s="21"/>
      <c r="M173" s="21"/>
      <c r="N173" s="30"/>
      <c r="O173" s="21"/>
      <c r="P173" s="21"/>
      <c r="Q173" s="21"/>
      <c r="R173" s="32"/>
      <c r="S173" s="32"/>
      <c r="T173" s="21"/>
      <c r="U173" s="21"/>
      <c r="V173" s="21"/>
      <c r="W173" s="21"/>
      <c r="X173" s="21"/>
    </row>
    <row r="174" customFormat="false" ht="15.75" hidden="false" customHeight="false" outlineLevel="0" collapsed="false">
      <c r="A174" s="61"/>
      <c r="B174" s="29"/>
      <c r="C174" s="21"/>
      <c r="D174" s="21"/>
      <c r="E174" s="21"/>
      <c r="F174" s="21"/>
      <c r="G174" s="30"/>
      <c r="H174" s="31"/>
      <c r="I174" s="21"/>
      <c r="J174" s="21"/>
      <c r="K174" s="21"/>
      <c r="L174" s="21"/>
      <c r="M174" s="21"/>
      <c r="N174" s="30"/>
      <c r="O174" s="21"/>
      <c r="P174" s="21"/>
      <c r="Q174" s="21"/>
      <c r="R174" s="32"/>
      <c r="S174" s="32"/>
      <c r="T174" s="21"/>
      <c r="U174" s="21"/>
      <c r="V174" s="21"/>
      <c r="W174" s="21"/>
      <c r="X174" s="21"/>
    </row>
    <row r="175" customFormat="false" ht="15.75" hidden="false" customHeight="false" outlineLevel="0" collapsed="false">
      <c r="A175" s="61"/>
      <c r="B175" s="29"/>
      <c r="C175" s="21"/>
      <c r="D175" s="21"/>
      <c r="E175" s="21"/>
      <c r="F175" s="21"/>
      <c r="G175" s="30"/>
      <c r="H175" s="31"/>
      <c r="I175" s="21"/>
      <c r="J175" s="21"/>
      <c r="K175" s="21"/>
      <c r="L175" s="21"/>
      <c r="M175" s="21"/>
      <c r="N175" s="30"/>
      <c r="O175" s="21"/>
      <c r="P175" s="21"/>
      <c r="Q175" s="21"/>
      <c r="R175" s="32"/>
      <c r="S175" s="32"/>
      <c r="T175" s="21"/>
      <c r="U175" s="21"/>
      <c r="V175" s="21"/>
      <c r="W175" s="21"/>
      <c r="X175" s="21"/>
    </row>
    <row r="176" customFormat="false" ht="15.75" hidden="false" customHeight="false" outlineLevel="0" collapsed="false">
      <c r="A176" s="61"/>
      <c r="B176" s="29"/>
      <c r="C176" s="21"/>
      <c r="D176" s="21"/>
      <c r="E176" s="21"/>
      <c r="F176" s="21"/>
      <c r="G176" s="30"/>
      <c r="H176" s="31"/>
      <c r="I176" s="21"/>
      <c r="J176" s="21"/>
      <c r="K176" s="21"/>
      <c r="L176" s="21"/>
      <c r="M176" s="21"/>
      <c r="N176" s="30"/>
      <c r="O176" s="21"/>
      <c r="P176" s="21"/>
      <c r="Q176" s="21"/>
      <c r="R176" s="32"/>
      <c r="S176" s="32"/>
      <c r="T176" s="21"/>
      <c r="U176" s="21"/>
      <c r="V176" s="21"/>
      <c r="W176" s="21"/>
      <c r="X176" s="21"/>
    </row>
    <row r="177" customFormat="false" ht="15.75" hidden="false" customHeight="false" outlineLevel="0" collapsed="false">
      <c r="A177" s="61"/>
      <c r="B177" s="29"/>
      <c r="C177" s="21"/>
      <c r="D177" s="21"/>
      <c r="E177" s="21"/>
      <c r="F177" s="21"/>
      <c r="G177" s="30"/>
      <c r="H177" s="31"/>
      <c r="I177" s="21"/>
      <c r="J177" s="21"/>
      <c r="K177" s="21"/>
      <c r="L177" s="21"/>
      <c r="M177" s="21"/>
      <c r="N177" s="30"/>
      <c r="O177" s="21"/>
      <c r="P177" s="21"/>
      <c r="Q177" s="21"/>
      <c r="R177" s="32"/>
      <c r="S177" s="32"/>
      <c r="T177" s="21"/>
      <c r="U177" s="21"/>
      <c r="V177" s="21"/>
      <c r="W177" s="21"/>
      <c r="X177" s="21"/>
    </row>
    <row r="178" customFormat="false" ht="15.75" hidden="false" customHeight="false" outlineLevel="0" collapsed="false">
      <c r="A178" s="61"/>
      <c r="B178" s="29"/>
      <c r="C178" s="21"/>
      <c r="D178" s="21"/>
      <c r="E178" s="21"/>
      <c r="F178" s="21"/>
      <c r="G178" s="30"/>
      <c r="H178" s="31"/>
      <c r="I178" s="21"/>
      <c r="J178" s="21"/>
      <c r="K178" s="21"/>
      <c r="L178" s="21"/>
      <c r="M178" s="21"/>
      <c r="N178" s="30"/>
      <c r="O178" s="21"/>
      <c r="P178" s="21"/>
      <c r="Q178" s="21"/>
      <c r="R178" s="32"/>
      <c r="S178" s="32"/>
      <c r="T178" s="21"/>
      <c r="U178" s="21"/>
      <c r="V178" s="21"/>
      <c r="W178" s="21"/>
      <c r="X178" s="21"/>
    </row>
    <row r="179" customFormat="false" ht="15.75" hidden="false" customHeight="false" outlineLevel="0" collapsed="false">
      <c r="A179" s="61"/>
      <c r="B179" s="29"/>
      <c r="C179" s="21"/>
      <c r="D179" s="21"/>
      <c r="E179" s="21"/>
      <c r="F179" s="21"/>
      <c r="G179" s="30"/>
      <c r="H179" s="31"/>
      <c r="I179" s="21"/>
      <c r="J179" s="21"/>
      <c r="K179" s="21"/>
      <c r="L179" s="21"/>
      <c r="M179" s="21"/>
      <c r="N179" s="30"/>
      <c r="O179" s="21"/>
      <c r="P179" s="21"/>
      <c r="Q179" s="21"/>
      <c r="R179" s="32"/>
      <c r="S179" s="32"/>
      <c r="T179" s="21"/>
      <c r="U179" s="21"/>
      <c r="V179" s="21"/>
      <c r="W179" s="21"/>
      <c r="X179" s="21"/>
    </row>
    <row r="180" customFormat="false" ht="15.75" hidden="false" customHeight="false" outlineLevel="0" collapsed="false">
      <c r="A180" s="61"/>
      <c r="B180" s="29"/>
      <c r="C180" s="21"/>
      <c r="D180" s="21"/>
      <c r="E180" s="21"/>
      <c r="F180" s="21"/>
      <c r="G180" s="30"/>
      <c r="H180" s="31"/>
      <c r="I180" s="21"/>
      <c r="J180" s="21"/>
      <c r="K180" s="21"/>
      <c r="L180" s="21"/>
      <c r="M180" s="21"/>
      <c r="N180" s="30"/>
      <c r="O180" s="21"/>
      <c r="P180" s="21"/>
      <c r="Q180" s="21"/>
      <c r="R180" s="32"/>
      <c r="S180" s="32"/>
      <c r="T180" s="21"/>
      <c r="U180" s="21"/>
      <c r="V180" s="21"/>
      <c r="W180" s="21"/>
      <c r="X180" s="21"/>
    </row>
    <row r="181" customFormat="false" ht="15.75" hidden="false" customHeight="false" outlineLevel="0" collapsed="false">
      <c r="A181" s="61"/>
      <c r="B181" s="29"/>
      <c r="C181" s="21"/>
      <c r="D181" s="21"/>
      <c r="E181" s="21"/>
      <c r="F181" s="21"/>
      <c r="G181" s="30"/>
      <c r="H181" s="31"/>
      <c r="I181" s="21"/>
      <c r="J181" s="21"/>
      <c r="K181" s="21"/>
      <c r="L181" s="21"/>
      <c r="M181" s="21"/>
      <c r="N181" s="30"/>
      <c r="O181" s="21"/>
      <c r="P181" s="21"/>
      <c r="Q181" s="21"/>
      <c r="R181" s="32"/>
      <c r="S181" s="32"/>
      <c r="T181" s="21"/>
      <c r="U181" s="21"/>
      <c r="V181" s="21"/>
      <c r="W181" s="21"/>
      <c r="X181" s="21"/>
    </row>
    <row r="182" customFormat="false" ht="15.75" hidden="false" customHeight="false" outlineLevel="0" collapsed="false">
      <c r="A182" s="61"/>
      <c r="B182" s="29"/>
      <c r="C182" s="21"/>
      <c r="D182" s="21"/>
      <c r="E182" s="21"/>
      <c r="F182" s="21"/>
      <c r="G182" s="30"/>
      <c r="H182" s="31"/>
      <c r="I182" s="21"/>
      <c r="J182" s="21"/>
      <c r="K182" s="21"/>
      <c r="L182" s="21"/>
      <c r="M182" s="21"/>
      <c r="N182" s="30"/>
      <c r="O182" s="21"/>
      <c r="P182" s="21"/>
      <c r="Q182" s="21"/>
      <c r="R182" s="32"/>
      <c r="S182" s="32"/>
      <c r="T182" s="21"/>
      <c r="U182" s="21"/>
      <c r="V182" s="21"/>
      <c r="W182" s="21"/>
      <c r="X182" s="21"/>
    </row>
    <row r="183" customFormat="false" ht="15.75" hidden="false" customHeight="false" outlineLevel="0" collapsed="false">
      <c r="A183" s="61"/>
      <c r="B183" s="29"/>
      <c r="C183" s="21"/>
      <c r="D183" s="21"/>
      <c r="E183" s="21"/>
      <c r="F183" s="21"/>
      <c r="G183" s="30"/>
      <c r="H183" s="31"/>
      <c r="I183" s="21"/>
      <c r="J183" s="21"/>
      <c r="K183" s="21"/>
      <c r="L183" s="21"/>
      <c r="M183" s="21"/>
      <c r="N183" s="30"/>
      <c r="O183" s="21"/>
      <c r="P183" s="21"/>
      <c r="Q183" s="21"/>
      <c r="R183" s="32"/>
      <c r="S183" s="32"/>
      <c r="T183" s="21"/>
      <c r="U183" s="21"/>
      <c r="V183" s="21"/>
      <c r="W183" s="21"/>
      <c r="X183" s="21"/>
    </row>
    <row r="184" customFormat="false" ht="15.75" hidden="false" customHeight="false" outlineLevel="0" collapsed="false">
      <c r="A184" s="61"/>
      <c r="B184" s="29"/>
      <c r="C184" s="21"/>
      <c r="D184" s="21"/>
      <c r="E184" s="21"/>
      <c r="F184" s="21"/>
      <c r="G184" s="30"/>
      <c r="H184" s="31"/>
      <c r="I184" s="21"/>
      <c r="J184" s="21"/>
      <c r="K184" s="21"/>
      <c r="L184" s="21"/>
      <c r="M184" s="21"/>
      <c r="N184" s="30"/>
      <c r="O184" s="21"/>
      <c r="P184" s="21"/>
      <c r="Q184" s="21"/>
      <c r="R184" s="32"/>
      <c r="S184" s="32"/>
      <c r="T184" s="21"/>
      <c r="U184" s="21"/>
      <c r="V184" s="21"/>
      <c r="W184" s="21"/>
      <c r="X184" s="21"/>
    </row>
    <row r="185" customFormat="false" ht="15.75" hidden="false" customHeight="false" outlineLevel="0" collapsed="false">
      <c r="A185" s="61"/>
      <c r="B185" s="29"/>
      <c r="C185" s="21"/>
      <c r="D185" s="21"/>
      <c r="E185" s="21"/>
      <c r="F185" s="21"/>
      <c r="G185" s="30"/>
      <c r="H185" s="31"/>
      <c r="I185" s="21"/>
      <c r="J185" s="21"/>
      <c r="K185" s="21"/>
      <c r="L185" s="21"/>
      <c r="M185" s="21"/>
      <c r="N185" s="30"/>
      <c r="O185" s="21"/>
      <c r="P185" s="21"/>
      <c r="Q185" s="21"/>
      <c r="R185" s="32"/>
      <c r="S185" s="32"/>
      <c r="T185" s="21"/>
      <c r="U185" s="21"/>
      <c r="V185" s="21"/>
      <c r="W185" s="21"/>
      <c r="X185" s="21"/>
    </row>
    <row r="186" customFormat="false" ht="15.75" hidden="false" customHeight="false" outlineLevel="0" collapsed="false">
      <c r="A186" s="61"/>
      <c r="B186" s="29"/>
      <c r="C186" s="21"/>
      <c r="D186" s="21"/>
      <c r="E186" s="21"/>
      <c r="F186" s="21"/>
      <c r="G186" s="30"/>
      <c r="H186" s="31"/>
      <c r="I186" s="21"/>
      <c r="J186" s="21"/>
      <c r="K186" s="21"/>
      <c r="L186" s="21"/>
      <c r="M186" s="21"/>
      <c r="N186" s="30"/>
      <c r="O186" s="21"/>
      <c r="P186" s="21"/>
      <c r="Q186" s="21"/>
      <c r="R186" s="32"/>
      <c r="S186" s="32"/>
      <c r="T186" s="21"/>
      <c r="U186" s="21"/>
      <c r="V186" s="21"/>
      <c r="W186" s="21"/>
      <c r="X186" s="21"/>
    </row>
    <row r="187" customFormat="false" ht="15.75" hidden="false" customHeight="false" outlineLevel="0" collapsed="false">
      <c r="A187" s="61"/>
      <c r="B187" s="29"/>
      <c r="C187" s="21"/>
      <c r="D187" s="21"/>
      <c r="E187" s="21"/>
      <c r="F187" s="21"/>
      <c r="G187" s="30"/>
      <c r="H187" s="31"/>
      <c r="I187" s="21"/>
      <c r="J187" s="21"/>
      <c r="K187" s="21"/>
      <c r="L187" s="21"/>
      <c r="M187" s="21"/>
      <c r="N187" s="30"/>
      <c r="O187" s="21"/>
      <c r="P187" s="21"/>
      <c r="Q187" s="21"/>
      <c r="R187" s="32"/>
      <c r="S187" s="32"/>
      <c r="T187" s="21"/>
      <c r="U187" s="21"/>
      <c r="V187" s="21"/>
      <c r="W187" s="21"/>
      <c r="X187" s="21"/>
    </row>
    <row r="188" customFormat="false" ht="15.75" hidden="false" customHeight="false" outlineLevel="0" collapsed="false">
      <c r="A188" s="61"/>
      <c r="B188" s="29"/>
      <c r="C188" s="21"/>
      <c r="D188" s="21"/>
      <c r="E188" s="21"/>
      <c r="F188" s="21"/>
      <c r="G188" s="30"/>
      <c r="H188" s="31"/>
      <c r="I188" s="21"/>
      <c r="J188" s="21"/>
      <c r="K188" s="21"/>
      <c r="L188" s="21"/>
      <c r="M188" s="21"/>
      <c r="N188" s="30"/>
      <c r="O188" s="21"/>
      <c r="P188" s="21"/>
      <c r="Q188" s="21"/>
      <c r="R188" s="32"/>
      <c r="S188" s="32"/>
      <c r="T188" s="21"/>
      <c r="U188" s="21"/>
      <c r="V188" s="21"/>
      <c r="W188" s="21"/>
      <c r="X188" s="21"/>
    </row>
    <row r="189" customFormat="false" ht="15.75" hidden="false" customHeight="false" outlineLevel="0" collapsed="false">
      <c r="A189" s="61"/>
      <c r="B189" s="29"/>
      <c r="C189" s="21"/>
      <c r="D189" s="21"/>
      <c r="E189" s="21"/>
      <c r="F189" s="21"/>
      <c r="G189" s="30"/>
      <c r="H189" s="31"/>
      <c r="I189" s="21"/>
      <c r="J189" s="21"/>
      <c r="K189" s="21"/>
      <c r="L189" s="21"/>
      <c r="M189" s="21"/>
      <c r="N189" s="30"/>
      <c r="O189" s="21"/>
      <c r="P189" s="21"/>
      <c r="Q189" s="21"/>
      <c r="R189" s="32"/>
      <c r="S189" s="32"/>
      <c r="T189" s="21"/>
      <c r="U189" s="21"/>
      <c r="V189" s="21"/>
      <c r="W189" s="21"/>
      <c r="X189" s="21"/>
    </row>
    <row r="190" customFormat="false" ht="15.75" hidden="false" customHeight="false" outlineLevel="0" collapsed="false">
      <c r="A190" s="61"/>
      <c r="B190" s="29"/>
      <c r="C190" s="21"/>
      <c r="D190" s="21"/>
      <c r="E190" s="21"/>
      <c r="F190" s="21"/>
      <c r="G190" s="30"/>
      <c r="H190" s="31"/>
      <c r="I190" s="21"/>
      <c r="J190" s="21"/>
      <c r="K190" s="21"/>
      <c r="L190" s="21"/>
      <c r="M190" s="21"/>
      <c r="N190" s="30"/>
      <c r="O190" s="21"/>
      <c r="P190" s="21"/>
      <c r="Q190" s="21"/>
      <c r="R190" s="32"/>
      <c r="S190" s="32"/>
      <c r="T190" s="21"/>
      <c r="U190" s="21"/>
      <c r="V190" s="21"/>
      <c r="W190" s="21"/>
      <c r="X190" s="21"/>
    </row>
    <row r="191" customFormat="false" ht="15.75" hidden="false" customHeight="false" outlineLevel="0" collapsed="false">
      <c r="A191" s="12"/>
      <c r="B191" s="34"/>
      <c r="C191" s="12"/>
      <c r="D191" s="12"/>
      <c r="E191" s="12"/>
      <c r="F191" s="12"/>
      <c r="G191" s="18"/>
      <c r="H191" s="35"/>
      <c r="I191" s="12"/>
      <c r="M191" s="12"/>
      <c r="N191" s="18"/>
      <c r="O191" s="12"/>
      <c r="P191" s="12"/>
      <c r="Q191" s="12"/>
      <c r="R191" s="36"/>
      <c r="S191" s="36"/>
      <c r="T191" s="12"/>
      <c r="U191" s="12"/>
      <c r="V191" s="12"/>
      <c r="W191" s="12"/>
      <c r="X191" s="12"/>
    </row>
    <row r="192" customFormat="false" ht="15.75" hidden="false" customHeight="false" outlineLevel="0" collapsed="false">
      <c r="A192" s="12"/>
      <c r="B192" s="34"/>
      <c r="C192" s="12"/>
      <c r="D192" s="12"/>
      <c r="E192" s="12"/>
      <c r="F192" s="12"/>
      <c r="G192" s="18"/>
      <c r="H192" s="35"/>
      <c r="I192" s="12"/>
      <c r="M192" s="12"/>
      <c r="N192" s="18"/>
      <c r="O192" s="12"/>
      <c r="P192" s="12"/>
      <c r="Q192" s="12"/>
      <c r="R192" s="36"/>
      <c r="S192" s="36"/>
      <c r="T192" s="12"/>
      <c r="U192" s="12"/>
      <c r="V192" s="12"/>
      <c r="W192" s="12"/>
      <c r="X192" s="12"/>
    </row>
    <row r="193" customFormat="false" ht="15.75" hidden="false" customHeight="false" outlineLevel="0" collapsed="false">
      <c r="A193" s="12"/>
      <c r="B193" s="34"/>
      <c r="C193" s="12"/>
      <c r="D193" s="12"/>
      <c r="E193" s="12"/>
      <c r="F193" s="12"/>
      <c r="G193" s="18"/>
      <c r="H193" s="35"/>
      <c r="I193" s="12"/>
      <c r="M193" s="12"/>
      <c r="N193" s="18"/>
      <c r="O193" s="12"/>
      <c r="P193" s="12"/>
      <c r="Q193" s="12"/>
      <c r="R193" s="36"/>
      <c r="S193" s="36"/>
      <c r="T193" s="12"/>
      <c r="U193" s="12"/>
      <c r="V193" s="12"/>
      <c r="W193" s="12"/>
      <c r="X193" s="12"/>
    </row>
    <row r="194" customFormat="false" ht="15.75" hidden="false" customHeight="false" outlineLevel="0" collapsed="false">
      <c r="A194" s="12"/>
      <c r="B194" s="34"/>
      <c r="C194" s="12"/>
      <c r="D194" s="12"/>
      <c r="E194" s="12"/>
      <c r="F194" s="12"/>
      <c r="G194" s="18"/>
      <c r="H194" s="35"/>
      <c r="I194" s="12"/>
      <c r="M194" s="12"/>
      <c r="N194" s="18"/>
      <c r="O194" s="12"/>
      <c r="P194" s="12"/>
      <c r="Q194" s="12"/>
      <c r="R194" s="36"/>
      <c r="S194" s="36"/>
      <c r="T194" s="12"/>
      <c r="U194" s="12"/>
      <c r="V194" s="12"/>
      <c r="W194" s="12"/>
      <c r="X194" s="12"/>
    </row>
    <row r="195" customFormat="false" ht="15.75" hidden="false" customHeight="false" outlineLevel="0" collapsed="false">
      <c r="A195" s="12"/>
      <c r="B195" s="34"/>
      <c r="C195" s="12"/>
      <c r="D195" s="12"/>
      <c r="E195" s="12"/>
      <c r="F195" s="12"/>
      <c r="G195" s="18"/>
      <c r="H195" s="35"/>
      <c r="I195" s="12"/>
      <c r="M195" s="12"/>
      <c r="N195" s="18"/>
      <c r="O195" s="12"/>
      <c r="P195" s="12"/>
      <c r="Q195" s="12"/>
      <c r="R195" s="36"/>
      <c r="S195" s="36"/>
      <c r="T195" s="12"/>
      <c r="U195" s="12"/>
      <c r="V195" s="12"/>
      <c r="W195" s="12"/>
      <c r="X195" s="12"/>
    </row>
    <row r="196" customFormat="false" ht="15.75" hidden="false" customHeight="false" outlineLevel="0" collapsed="false">
      <c r="A196" s="12"/>
      <c r="B196" s="34"/>
      <c r="C196" s="12"/>
      <c r="D196" s="12"/>
      <c r="E196" s="12"/>
      <c r="F196" s="12"/>
      <c r="G196" s="18"/>
      <c r="H196" s="35"/>
      <c r="I196" s="12"/>
      <c r="M196" s="12"/>
      <c r="N196" s="18"/>
      <c r="O196" s="12"/>
      <c r="P196" s="12"/>
      <c r="Q196" s="12"/>
      <c r="R196" s="36"/>
      <c r="S196" s="36"/>
      <c r="T196" s="12"/>
      <c r="U196" s="12"/>
      <c r="V196" s="12"/>
      <c r="W196" s="12"/>
      <c r="X196" s="12"/>
    </row>
    <row r="197" customFormat="false" ht="15.75" hidden="false" customHeight="false" outlineLevel="0" collapsed="false">
      <c r="A197" s="12"/>
      <c r="B197" s="34"/>
      <c r="C197" s="12"/>
      <c r="D197" s="12"/>
      <c r="E197" s="12"/>
      <c r="F197" s="12"/>
      <c r="G197" s="18"/>
      <c r="H197" s="35"/>
      <c r="I197" s="12"/>
      <c r="M197" s="12"/>
      <c r="N197" s="18"/>
      <c r="O197" s="12"/>
      <c r="P197" s="12"/>
      <c r="Q197" s="12"/>
      <c r="R197" s="36"/>
      <c r="S197" s="36"/>
      <c r="T197" s="12"/>
      <c r="U197" s="12"/>
      <c r="V197" s="12"/>
      <c r="W197" s="12"/>
      <c r="X197" s="12"/>
    </row>
    <row r="198" customFormat="false" ht="15.75" hidden="false" customHeight="false" outlineLevel="0" collapsed="false">
      <c r="A198" s="12"/>
      <c r="B198" s="34"/>
      <c r="C198" s="12"/>
      <c r="D198" s="12"/>
      <c r="E198" s="12"/>
      <c r="F198" s="12"/>
      <c r="G198" s="18"/>
      <c r="H198" s="35"/>
      <c r="I198" s="12"/>
      <c r="M198" s="12"/>
      <c r="N198" s="18"/>
      <c r="O198" s="12"/>
      <c r="P198" s="12"/>
      <c r="Q198" s="12"/>
      <c r="R198" s="36"/>
      <c r="S198" s="36"/>
      <c r="T198" s="12"/>
      <c r="U198" s="12"/>
      <c r="V198" s="12"/>
      <c r="W198" s="12"/>
      <c r="X198" s="12"/>
    </row>
    <row r="199" customFormat="false" ht="15.75" hidden="false" customHeight="false" outlineLevel="0" collapsed="false">
      <c r="A199" s="12"/>
      <c r="B199" s="34"/>
      <c r="C199" s="12"/>
      <c r="D199" s="12"/>
      <c r="E199" s="12"/>
      <c r="F199" s="12"/>
      <c r="G199" s="18"/>
      <c r="H199" s="35"/>
      <c r="I199" s="12"/>
      <c r="M199" s="12"/>
      <c r="N199" s="18"/>
      <c r="O199" s="12"/>
      <c r="P199" s="12"/>
      <c r="Q199" s="12"/>
      <c r="R199" s="36"/>
      <c r="S199" s="36"/>
      <c r="T199" s="12"/>
      <c r="U199" s="12"/>
      <c r="V199" s="12"/>
      <c r="W199" s="12"/>
      <c r="X199" s="12"/>
    </row>
    <row r="200" customFormat="false" ht="15.75" hidden="false" customHeight="false" outlineLevel="0" collapsed="false">
      <c r="A200" s="12"/>
      <c r="B200" s="34"/>
      <c r="C200" s="12"/>
      <c r="D200" s="12"/>
      <c r="E200" s="12"/>
      <c r="F200" s="12"/>
      <c r="G200" s="18"/>
      <c r="H200" s="35"/>
      <c r="I200" s="12"/>
      <c r="M200" s="12"/>
      <c r="N200" s="18"/>
      <c r="O200" s="12"/>
      <c r="P200" s="12"/>
      <c r="Q200" s="12"/>
      <c r="R200" s="36"/>
      <c r="S200" s="36"/>
      <c r="T200" s="12"/>
      <c r="U200" s="12"/>
      <c r="V200" s="12"/>
      <c r="W200" s="12"/>
      <c r="X200" s="12"/>
    </row>
    <row r="201" customFormat="false" ht="15.75" hidden="false" customHeight="false" outlineLevel="0" collapsed="false">
      <c r="A201" s="12"/>
      <c r="B201" s="34"/>
      <c r="C201" s="12"/>
      <c r="D201" s="12"/>
      <c r="E201" s="12"/>
      <c r="F201" s="12"/>
      <c r="G201" s="18"/>
      <c r="H201" s="35"/>
      <c r="I201" s="12"/>
      <c r="M201" s="12"/>
      <c r="N201" s="18"/>
      <c r="O201" s="12"/>
      <c r="P201" s="12"/>
      <c r="Q201" s="12"/>
      <c r="R201" s="36"/>
      <c r="S201" s="36"/>
      <c r="T201" s="12"/>
      <c r="U201" s="12"/>
      <c r="V201" s="12"/>
      <c r="W201" s="12"/>
      <c r="X201" s="12"/>
    </row>
    <row r="202" customFormat="false" ht="15.75" hidden="false" customHeight="false" outlineLevel="0" collapsed="false">
      <c r="A202" s="12"/>
      <c r="B202" s="34"/>
      <c r="C202" s="12"/>
      <c r="D202" s="12"/>
      <c r="E202" s="12"/>
      <c r="F202" s="12"/>
      <c r="G202" s="18"/>
      <c r="H202" s="35"/>
      <c r="I202" s="12"/>
      <c r="M202" s="12"/>
      <c r="N202" s="18"/>
      <c r="O202" s="12"/>
      <c r="P202" s="12"/>
      <c r="Q202" s="12"/>
      <c r="R202" s="36"/>
      <c r="S202" s="36"/>
      <c r="T202" s="12"/>
      <c r="U202" s="12"/>
      <c r="V202" s="12"/>
      <c r="W202" s="12"/>
      <c r="X202" s="12"/>
    </row>
    <row r="203" customFormat="false" ht="15.75" hidden="false" customHeight="false" outlineLevel="0" collapsed="false">
      <c r="A203" s="12"/>
      <c r="B203" s="34"/>
      <c r="C203" s="12"/>
      <c r="D203" s="12"/>
      <c r="E203" s="12"/>
      <c r="F203" s="12"/>
      <c r="G203" s="18"/>
      <c r="H203" s="35"/>
      <c r="I203" s="12"/>
      <c r="M203" s="12"/>
      <c r="N203" s="18"/>
      <c r="O203" s="12"/>
      <c r="P203" s="12"/>
      <c r="Q203" s="12"/>
      <c r="R203" s="36"/>
      <c r="S203" s="36"/>
      <c r="T203" s="12"/>
      <c r="U203" s="12"/>
      <c r="V203" s="12"/>
      <c r="W203" s="12"/>
      <c r="X203" s="12"/>
    </row>
    <row r="204" customFormat="false" ht="15.75" hidden="false" customHeight="false" outlineLevel="0" collapsed="false">
      <c r="A204" s="12"/>
      <c r="B204" s="34"/>
      <c r="C204" s="12"/>
      <c r="D204" s="12"/>
      <c r="E204" s="12"/>
      <c r="F204" s="12"/>
      <c r="G204" s="18"/>
      <c r="H204" s="35"/>
      <c r="I204" s="12"/>
      <c r="M204" s="12"/>
      <c r="N204" s="18"/>
      <c r="O204" s="12"/>
      <c r="P204" s="12"/>
      <c r="Q204" s="12"/>
      <c r="R204" s="36"/>
      <c r="S204" s="36"/>
      <c r="T204" s="12"/>
      <c r="U204" s="12"/>
      <c r="V204" s="12"/>
      <c r="W204" s="12"/>
      <c r="X204" s="12"/>
    </row>
    <row r="205" customFormat="false" ht="15.75" hidden="false" customHeight="false" outlineLevel="0" collapsed="false">
      <c r="A205" s="12"/>
      <c r="B205" s="34"/>
      <c r="C205" s="12"/>
      <c r="D205" s="12"/>
      <c r="E205" s="12"/>
      <c r="F205" s="12"/>
      <c r="G205" s="18"/>
      <c r="H205" s="35"/>
      <c r="I205" s="12"/>
      <c r="M205" s="12"/>
      <c r="N205" s="18"/>
      <c r="O205" s="12"/>
      <c r="P205" s="12"/>
      <c r="Q205" s="12"/>
      <c r="R205" s="36"/>
      <c r="S205" s="36"/>
      <c r="T205" s="12"/>
      <c r="U205" s="12"/>
      <c r="V205" s="12"/>
      <c r="W205" s="12"/>
      <c r="X205" s="12"/>
    </row>
    <row r="206" customFormat="false" ht="15.75" hidden="false" customHeight="false" outlineLevel="0" collapsed="false">
      <c r="A206" s="12"/>
      <c r="B206" s="34"/>
      <c r="C206" s="12"/>
      <c r="D206" s="12"/>
      <c r="E206" s="12"/>
      <c r="F206" s="12"/>
      <c r="G206" s="18"/>
      <c r="H206" s="35"/>
      <c r="I206" s="12"/>
      <c r="M206" s="12"/>
      <c r="N206" s="18"/>
      <c r="O206" s="12"/>
      <c r="P206" s="12"/>
      <c r="Q206" s="12"/>
      <c r="R206" s="36"/>
      <c r="S206" s="36"/>
      <c r="T206" s="12"/>
      <c r="U206" s="12"/>
      <c r="V206" s="12"/>
      <c r="W206" s="12"/>
      <c r="X206" s="12"/>
    </row>
    <row r="207" customFormat="false" ht="15.75" hidden="false" customHeight="false" outlineLevel="0" collapsed="false">
      <c r="A207" s="12"/>
      <c r="B207" s="34"/>
      <c r="C207" s="12"/>
      <c r="D207" s="12"/>
      <c r="E207" s="12"/>
      <c r="F207" s="12"/>
      <c r="G207" s="18"/>
      <c r="H207" s="35"/>
      <c r="I207" s="12"/>
      <c r="M207" s="12"/>
      <c r="N207" s="18"/>
      <c r="O207" s="12"/>
      <c r="P207" s="12"/>
      <c r="Q207" s="12"/>
      <c r="R207" s="36"/>
      <c r="S207" s="36"/>
      <c r="T207" s="12"/>
      <c r="U207" s="12"/>
      <c r="V207" s="12"/>
      <c r="W207" s="12"/>
      <c r="X207" s="12"/>
    </row>
    <row r="208" customFormat="false" ht="15.75" hidden="false" customHeight="false" outlineLevel="0" collapsed="false">
      <c r="A208" s="12"/>
      <c r="B208" s="34"/>
      <c r="C208" s="12"/>
      <c r="D208" s="12"/>
      <c r="E208" s="12"/>
      <c r="F208" s="12"/>
      <c r="G208" s="18"/>
      <c r="H208" s="35"/>
      <c r="I208" s="12"/>
      <c r="M208" s="12"/>
      <c r="N208" s="18"/>
      <c r="O208" s="12"/>
      <c r="P208" s="12"/>
      <c r="Q208" s="12"/>
      <c r="R208" s="36"/>
      <c r="S208" s="36"/>
      <c r="T208" s="12"/>
      <c r="U208" s="12"/>
      <c r="V208" s="12"/>
      <c r="W208" s="12"/>
      <c r="X208" s="12"/>
    </row>
    <row r="209" customFormat="false" ht="15.75" hidden="false" customHeight="false" outlineLevel="0" collapsed="false">
      <c r="A209" s="12"/>
      <c r="B209" s="34"/>
      <c r="C209" s="12"/>
      <c r="D209" s="12"/>
      <c r="E209" s="12"/>
      <c r="F209" s="12"/>
      <c r="G209" s="18"/>
      <c r="H209" s="35"/>
      <c r="I209" s="12"/>
      <c r="M209" s="12"/>
      <c r="N209" s="18"/>
      <c r="O209" s="12"/>
      <c r="P209" s="12"/>
      <c r="Q209" s="12"/>
      <c r="R209" s="36"/>
      <c r="S209" s="36"/>
      <c r="T209" s="12"/>
      <c r="U209" s="12"/>
      <c r="V209" s="12"/>
      <c r="W209" s="12"/>
      <c r="X209" s="12"/>
    </row>
    <row r="210" customFormat="false" ht="15.75" hidden="false" customHeight="false" outlineLevel="0" collapsed="false">
      <c r="A210" s="12"/>
      <c r="B210" s="34"/>
      <c r="C210" s="12"/>
      <c r="D210" s="12"/>
      <c r="E210" s="12"/>
      <c r="F210" s="12"/>
      <c r="G210" s="18"/>
      <c r="H210" s="35"/>
      <c r="I210" s="12"/>
      <c r="M210" s="12"/>
      <c r="N210" s="18"/>
      <c r="O210" s="12"/>
      <c r="P210" s="12"/>
      <c r="Q210" s="12"/>
      <c r="R210" s="36"/>
      <c r="S210" s="36"/>
      <c r="T210" s="12"/>
      <c r="U210" s="12"/>
      <c r="V210" s="12"/>
      <c r="W210" s="12"/>
      <c r="X210" s="12"/>
    </row>
    <row r="211" customFormat="false" ht="15.75" hidden="false" customHeight="false" outlineLevel="0" collapsed="false">
      <c r="A211" s="12"/>
      <c r="B211" s="34"/>
      <c r="C211" s="12"/>
      <c r="D211" s="12"/>
      <c r="E211" s="12"/>
      <c r="F211" s="12"/>
      <c r="G211" s="18"/>
      <c r="H211" s="35"/>
      <c r="I211" s="12"/>
      <c r="M211" s="12"/>
      <c r="N211" s="18"/>
      <c r="O211" s="12"/>
      <c r="P211" s="12"/>
      <c r="Q211" s="12"/>
      <c r="R211" s="36"/>
      <c r="S211" s="36"/>
      <c r="T211" s="12"/>
      <c r="U211" s="12"/>
      <c r="V211" s="12"/>
      <c r="W211" s="12"/>
      <c r="X211" s="12"/>
    </row>
    <row r="212" customFormat="false" ht="15.75" hidden="false" customHeight="false" outlineLevel="0" collapsed="false">
      <c r="A212" s="12"/>
      <c r="B212" s="34"/>
      <c r="C212" s="12"/>
      <c r="D212" s="12"/>
      <c r="E212" s="12"/>
      <c r="F212" s="12"/>
      <c r="G212" s="18"/>
      <c r="H212" s="35"/>
      <c r="I212" s="12"/>
      <c r="M212" s="12"/>
      <c r="N212" s="18"/>
      <c r="O212" s="12"/>
      <c r="P212" s="12"/>
      <c r="Q212" s="12"/>
      <c r="R212" s="36"/>
      <c r="S212" s="36"/>
      <c r="T212" s="12"/>
      <c r="U212" s="12"/>
      <c r="V212" s="12"/>
      <c r="W212" s="12"/>
      <c r="X212" s="12"/>
    </row>
    <row r="213" customFormat="false" ht="15.75" hidden="false" customHeight="false" outlineLevel="0" collapsed="false">
      <c r="A213" s="12"/>
      <c r="B213" s="34"/>
      <c r="C213" s="12"/>
      <c r="D213" s="12"/>
      <c r="E213" s="12"/>
      <c r="F213" s="12"/>
      <c r="G213" s="18"/>
      <c r="H213" s="35"/>
      <c r="I213" s="12"/>
      <c r="M213" s="12"/>
      <c r="N213" s="18"/>
      <c r="O213" s="12"/>
      <c r="P213" s="12"/>
      <c r="Q213" s="12"/>
      <c r="R213" s="36"/>
      <c r="S213" s="36"/>
      <c r="T213" s="12"/>
      <c r="U213" s="12"/>
      <c r="V213" s="12"/>
      <c r="W213" s="12"/>
      <c r="X213" s="12"/>
    </row>
    <row r="214" customFormat="false" ht="15.75" hidden="false" customHeight="false" outlineLevel="0" collapsed="false">
      <c r="A214" s="12"/>
      <c r="B214" s="34"/>
      <c r="C214" s="12"/>
      <c r="D214" s="12"/>
      <c r="E214" s="12"/>
      <c r="F214" s="12"/>
      <c r="G214" s="18"/>
      <c r="H214" s="35"/>
      <c r="I214" s="12"/>
      <c r="M214" s="12"/>
      <c r="N214" s="18"/>
      <c r="O214" s="12"/>
      <c r="P214" s="12"/>
      <c r="Q214" s="12"/>
      <c r="R214" s="36"/>
      <c r="S214" s="36"/>
      <c r="T214" s="12"/>
      <c r="U214" s="12"/>
      <c r="V214" s="12"/>
      <c r="W214" s="12"/>
      <c r="X214" s="12"/>
    </row>
    <row r="215" customFormat="false" ht="15.75" hidden="false" customHeight="false" outlineLevel="0" collapsed="false">
      <c r="A215" s="12"/>
      <c r="B215" s="34"/>
      <c r="C215" s="12"/>
      <c r="D215" s="12"/>
      <c r="E215" s="12"/>
      <c r="F215" s="12"/>
      <c r="G215" s="18"/>
      <c r="H215" s="35"/>
      <c r="I215" s="12"/>
      <c r="M215" s="12"/>
      <c r="N215" s="18"/>
      <c r="O215" s="12"/>
      <c r="P215" s="12"/>
      <c r="Q215" s="12"/>
      <c r="R215" s="36"/>
      <c r="S215" s="36"/>
      <c r="T215" s="12"/>
      <c r="U215" s="12"/>
      <c r="V215" s="12"/>
      <c r="W215" s="12"/>
      <c r="X215" s="12"/>
    </row>
    <row r="216" customFormat="false" ht="15.75" hidden="false" customHeight="false" outlineLevel="0" collapsed="false">
      <c r="A216" s="12"/>
      <c r="B216" s="34"/>
      <c r="C216" s="12"/>
      <c r="D216" s="12"/>
      <c r="E216" s="12"/>
      <c r="F216" s="12"/>
      <c r="G216" s="18"/>
      <c r="H216" s="35"/>
      <c r="I216" s="12"/>
      <c r="M216" s="12"/>
      <c r="N216" s="18"/>
      <c r="O216" s="12"/>
      <c r="P216" s="12"/>
      <c r="Q216" s="12"/>
      <c r="R216" s="36"/>
      <c r="S216" s="36"/>
      <c r="T216" s="12"/>
      <c r="U216" s="12"/>
      <c r="V216" s="12"/>
      <c r="W216" s="12"/>
      <c r="X216" s="12"/>
    </row>
    <row r="217" customFormat="false" ht="15.75" hidden="false" customHeight="false" outlineLevel="0" collapsed="false">
      <c r="A217" s="12"/>
      <c r="B217" s="34"/>
      <c r="C217" s="12"/>
      <c r="D217" s="12"/>
      <c r="E217" s="12"/>
      <c r="F217" s="12"/>
      <c r="G217" s="18"/>
      <c r="H217" s="35"/>
      <c r="I217" s="12"/>
      <c r="M217" s="12"/>
      <c r="N217" s="18"/>
      <c r="O217" s="12"/>
      <c r="P217" s="12"/>
      <c r="Q217" s="12"/>
      <c r="R217" s="36"/>
      <c r="S217" s="36"/>
      <c r="T217" s="12"/>
      <c r="U217" s="12"/>
      <c r="V217" s="12"/>
      <c r="W217" s="12"/>
      <c r="X217" s="12"/>
    </row>
    <row r="218" customFormat="false" ht="15.75" hidden="false" customHeight="false" outlineLevel="0" collapsed="false">
      <c r="A218" s="12"/>
      <c r="B218" s="34"/>
      <c r="C218" s="12"/>
      <c r="D218" s="12"/>
      <c r="E218" s="12"/>
      <c r="F218" s="12"/>
      <c r="G218" s="18"/>
      <c r="H218" s="35"/>
      <c r="I218" s="12"/>
      <c r="M218" s="12"/>
      <c r="N218" s="18"/>
      <c r="O218" s="12"/>
      <c r="P218" s="12"/>
      <c r="Q218" s="12"/>
      <c r="R218" s="36"/>
      <c r="S218" s="36"/>
      <c r="T218" s="12"/>
      <c r="U218" s="12"/>
      <c r="V218" s="12"/>
      <c r="W218" s="12"/>
      <c r="X218" s="12"/>
    </row>
    <row r="219" customFormat="false" ht="15.75" hidden="false" customHeight="false" outlineLevel="0" collapsed="false">
      <c r="A219" s="12"/>
      <c r="B219" s="34"/>
      <c r="C219" s="12"/>
      <c r="D219" s="12"/>
      <c r="E219" s="12"/>
      <c r="F219" s="12"/>
      <c r="G219" s="18"/>
      <c r="H219" s="35"/>
      <c r="I219" s="12"/>
      <c r="M219" s="12"/>
      <c r="N219" s="18"/>
      <c r="O219" s="12"/>
      <c r="P219" s="12"/>
      <c r="Q219" s="12"/>
      <c r="R219" s="36"/>
      <c r="S219" s="36"/>
      <c r="T219" s="12"/>
      <c r="U219" s="12"/>
      <c r="V219" s="12"/>
      <c r="W219" s="12"/>
      <c r="X219" s="12"/>
    </row>
    <row r="220" customFormat="false" ht="15.75" hidden="false" customHeight="false" outlineLevel="0" collapsed="false">
      <c r="A220" s="12"/>
      <c r="B220" s="34"/>
      <c r="C220" s="12"/>
      <c r="D220" s="12"/>
      <c r="E220" s="12"/>
      <c r="F220" s="12"/>
      <c r="G220" s="18"/>
      <c r="H220" s="35"/>
      <c r="I220" s="12"/>
      <c r="M220" s="12"/>
      <c r="N220" s="18"/>
      <c r="O220" s="12"/>
      <c r="P220" s="12"/>
      <c r="Q220" s="12"/>
      <c r="R220" s="36"/>
      <c r="S220" s="36"/>
      <c r="T220" s="12"/>
      <c r="U220" s="12"/>
      <c r="V220" s="12"/>
      <c r="W220" s="12"/>
      <c r="X220" s="12"/>
    </row>
    <row r="221" customFormat="false" ht="15.75" hidden="false" customHeight="false" outlineLevel="0" collapsed="false">
      <c r="A221" s="12"/>
      <c r="B221" s="34"/>
      <c r="C221" s="12"/>
      <c r="D221" s="12"/>
      <c r="E221" s="12"/>
      <c r="F221" s="12"/>
      <c r="G221" s="18"/>
      <c r="H221" s="35"/>
      <c r="I221" s="12"/>
      <c r="M221" s="12"/>
      <c r="N221" s="18"/>
      <c r="O221" s="12"/>
      <c r="P221" s="12"/>
      <c r="Q221" s="12"/>
      <c r="R221" s="36"/>
      <c r="S221" s="36"/>
      <c r="T221" s="12"/>
      <c r="U221" s="12"/>
      <c r="V221" s="12"/>
      <c r="W221" s="12"/>
      <c r="X221" s="12"/>
    </row>
    <row r="222" customFormat="false" ht="15.75" hidden="false" customHeight="false" outlineLevel="0" collapsed="false">
      <c r="A222" s="12"/>
      <c r="B222" s="34"/>
      <c r="C222" s="12"/>
      <c r="D222" s="12"/>
      <c r="E222" s="12"/>
      <c r="F222" s="12"/>
      <c r="G222" s="18"/>
      <c r="H222" s="35"/>
      <c r="I222" s="12"/>
      <c r="M222" s="12"/>
      <c r="N222" s="18"/>
      <c r="O222" s="12"/>
      <c r="P222" s="12"/>
      <c r="Q222" s="12"/>
      <c r="R222" s="36"/>
      <c r="S222" s="36"/>
      <c r="T222" s="12"/>
      <c r="U222" s="12"/>
      <c r="V222" s="12"/>
      <c r="W222" s="12"/>
      <c r="X222" s="12"/>
    </row>
    <row r="223" customFormat="false" ht="15.75" hidden="false" customHeight="false" outlineLevel="0" collapsed="false">
      <c r="A223" s="12"/>
      <c r="B223" s="34"/>
      <c r="C223" s="12"/>
      <c r="D223" s="12"/>
      <c r="E223" s="12"/>
      <c r="F223" s="12"/>
      <c r="G223" s="18"/>
      <c r="H223" s="35"/>
      <c r="I223" s="12"/>
      <c r="M223" s="12"/>
      <c r="N223" s="18"/>
      <c r="O223" s="12"/>
      <c r="P223" s="12"/>
      <c r="Q223" s="12"/>
      <c r="R223" s="36"/>
      <c r="S223" s="36"/>
      <c r="T223" s="12"/>
      <c r="U223" s="12"/>
      <c r="V223" s="12"/>
      <c r="W223" s="12"/>
      <c r="X223" s="12"/>
    </row>
    <row r="224" customFormat="false" ht="15.75" hidden="false" customHeight="false" outlineLevel="0" collapsed="false">
      <c r="A224" s="12"/>
      <c r="B224" s="34"/>
      <c r="C224" s="12"/>
      <c r="D224" s="12"/>
      <c r="E224" s="12"/>
      <c r="F224" s="12"/>
      <c r="G224" s="18"/>
      <c r="H224" s="35"/>
      <c r="I224" s="12"/>
      <c r="M224" s="12"/>
      <c r="N224" s="18"/>
      <c r="O224" s="12"/>
      <c r="P224" s="12"/>
      <c r="Q224" s="12"/>
      <c r="R224" s="36"/>
      <c r="S224" s="36"/>
      <c r="T224" s="12"/>
      <c r="U224" s="12"/>
      <c r="V224" s="12"/>
      <c r="W224" s="12"/>
      <c r="X224" s="12"/>
    </row>
    <row r="225" customFormat="false" ht="15.75" hidden="false" customHeight="false" outlineLevel="0" collapsed="false">
      <c r="A225" s="12"/>
      <c r="B225" s="34"/>
      <c r="C225" s="12"/>
      <c r="D225" s="12"/>
      <c r="E225" s="12"/>
      <c r="F225" s="12"/>
      <c r="G225" s="18"/>
      <c r="H225" s="35"/>
      <c r="I225" s="12"/>
      <c r="M225" s="12"/>
      <c r="N225" s="18"/>
      <c r="O225" s="12"/>
      <c r="P225" s="12"/>
      <c r="Q225" s="12"/>
      <c r="R225" s="36"/>
      <c r="S225" s="36"/>
      <c r="T225" s="12"/>
      <c r="U225" s="12"/>
      <c r="V225" s="12"/>
      <c r="W225" s="12"/>
      <c r="X225" s="12"/>
    </row>
    <row r="226" customFormat="false" ht="15.75" hidden="false" customHeight="false" outlineLevel="0" collapsed="false">
      <c r="A226" s="12"/>
      <c r="B226" s="34"/>
      <c r="C226" s="12"/>
      <c r="D226" s="12"/>
      <c r="E226" s="12"/>
      <c r="F226" s="12"/>
      <c r="G226" s="18"/>
      <c r="H226" s="35"/>
      <c r="I226" s="12"/>
      <c r="M226" s="12"/>
      <c r="N226" s="18"/>
      <c r="O226" s="12"/>
      <c r="P226" s="12"/>
      <c r="Q226" s="12"/>
      <c r="R226" s="36"/>
      <c r="S226" s="36"/>
      <c r="T226" s="12"/>
      <c r="U226" s="12"/>
      <c r="V226" s="12"/>
      <c r="W226" s="12"/>
      <c r="X226" s="12"/>
    </row>
    <row r="227" customFormat="false" ht="15.75" hidden="false" customHeight="false" outlineLevel="0" collapsed="false">
      <c r="A227" s="12"/>
      <c r="B227" s="34"/>
      <c r="C227" s="12"/>
      <c r="D227" s="12"/>
      <c r="E227" s="12"/>
      <c r="F227" s="12"/>
      <c r="G227" s="18"/>
      <c r="H227" s="35"/>
      <c r="I227" s="12"/>
      <c r="M227" s="12"/>
      <c r="N227" s="18"/>
      <c r="O227" s="12"/>
      <c r="P227" s="12"/>
      <c r="Q227" s="12"/>
      <c r="R227" s="36"/>
      <c r="S227" s="36"/>
      <c r="T227" s="12"/>
      <c r="U227" s="12"/>
      <c r="V227" s="12"/>
      <c r="W227" s="12"/>
      <c r="X227" s="12"/>
    </row>
    <row r="228" customFormat="false" ht="15.75" hidden="false" customHeight="false" outlineLevel="0" collapsed="false">
      <c r="A228" s="12"/>
      <c r="B228" s="34"/>
      <c r="C228" s="12"/>
      <c r="D228" s="12"/>
      <c r="E228" s="12"/>
      <c r="F228" s="12"/>
      <c r="G228" s="18"/>
      <c r="H228" s="35"/>
      <c r="I228" s="12"/>
      <c r="M228" s="12"/>
      <c r="N228" s="18"/>
      <c r="O228" s="12"/>
      <c r="P228" s="12"/>
      <c r="Q228" s="12"/>
      <c r="R228" s="36"/>
      <c r="S228" s="36"/>
      <c r="T228" s="12"/>
      <c r="U228" s="12"/>
      <c r="V228" s="12"/>
      <c r="W228" s="12"/>
      <c r="X228" s="12"/>
    </row>
    <row r="229" customFormat="false" ht="15.75" hidden="false" customHeight="false" outlineLevel="0" collapsed="false">
      <c r="A229" s="12"/>
      <c r="B229" s="34"/>
      <c r="C229" s="12"/>
      <c r="D229" s="12"/>
      <c r="E229" s="12"/>
      <c r="F229" s="12"/>
      <c r="G229" s="18"/>
      <c r="H229" s="35"/>
      <c r="I229" s="12"/>
      <c r="M229" s="12"/>
      <c r="N229" s="18"/>
      <c r="O229" s="12"/>
      <c r="P229" s="12"/>
      <c r="Q229" s="12"/>
      <c r="R229" s="36"/>
      <c r="S229" s="36"/>
      <c r="T229" s="12"/>
      <c r="U229" s="12"/>
      <c r="V229" s="12"/>
      <c r="W229" s="12"/>
      <c r="X229" s="12"/>
    </row>
    <row r="230" customFormat="false" ht="15.75" hidden="false" customHeight="false" outlineLevel="0" collapsed="false">
      <c r="A230" s="12"/>
      <c r="B230" s="34"/>
      <c r="C230" s="12"/>
      <c r="D230" s="12"/>
      <c r="E230" s="12"/>
      <c r="F230" s="12"/>
      <c r="G230" s="18"/>
      <c r="H230" s="35"/>
      <c r="I230" s="12"/>
      <c r="M230" s="12"/>
      <c r="N230" s="18"/>
      <c r="O230" s="12"/>
      <c r="P230" s="12"/>
      <c r="Q230" s="12"/>
      <c r="R230" s="36"/>
      <c r="S230" s="36"/>
      <c r="T230" s="12"/>
      <c r="U230" s="12"/>
      <c r="V230" s="12"/>
      <c r="W230" s="12"/>
      <c r="X230" s="12"/>
    </row>
    <row r="231" customFormat="false" ht="15.75" hidden="false" customHeight="false" outlineLevel="0" collapsed="false">
      <c r="A231" s="12"/>
      <c r="B231" s="34"/>
      <c r="C231" s="12"/>
      <c r="D231" s="12"/>
      <c r="E231" s="12"/>
      <c r="F231" s="12"/>
      <c r="G231" s="18"/>
      <c r="H231" s="35"/>
      <c r="I231" s="12"/>
      <c r="M231" s="12"/>
      <c r="N231" s="18"/>
      <c r="O231" s="12"/>
      <c r="P231" s="12"/>
      <c r="Q231" s="12"/>
      <c r="R231" s="36"/>
      <c r="S231" s="36"/>
      <c r="T231" s="12"/>
      <c r="U231" s="12"/>
      <c r="V231" s="12"/>
      <c r="W231" s="12"/>
      <c r="X231" s="12"/>
    </row>
    <row r="232" customFormat="false" ht="15.75" hidden="false" customHeight="false" outlineLevel="0" collapsed="false">
      <c r="A232" s="12"/>
      <c r="B232" s="34"/>
      <c r="C232" s="12"/>
      <c r="D232" s="12"/>
      <c r="E232" s="12"/>
      <c r="F232" s="12"/>
      <c r="G232" s="18"/>
      <c r="H232" s="35"/>
      <c r="I232" s="12"/>
      <c r="M232" s="12"/>
      <c r="N232" s="18"/>
      <c r="O232" s="12"/>
      <c r="P232" s="12"/>
      <c r="Q232" s="12"/>
      <c r="R232" s="36"/>
      <c r="S232" s="36"/>
      <c r="T232" s="12"/>
      <c r="U232" s="12"/>
      <c r="V232" s="12"/>
      <c r="W232" s="12"/>
      <c r="X232" s="12"/>
    </row>
    <row r="233" customFormat="false" ht="15.75" hidden="false" customHeight="false" outlineLevel="0" collapsed="false">
      <c r="A233" s="12"/>
      <c r="B233" s="34"/>
      <c r="C233" s="12"/>
      <c r="D233" s="12"/>
      <c r="E233" s="12"/>
      <c r="F233" s="12"/>
      <c r="G233" s="18"/>
      <c r="H233" s="35"/>
      <c r="I233" s="12"/>
      <c r="M233" s="12"/>
      <c r="N233" s="18"/>
      <c r="O233" s="12"/>
      <c r="P233" s="12"/>
      <c r="Q233" s="12"/>
      <c r="R233" s="36"/>
      <c r="S233" s="36"/>
      <c r="T233" s="12"/>
      <c r="U233" s="12"/>
      <c r="V233" s="12"/>
      <c r="W233" s="12"/>
      <c r="X233" s="12"/>
    </row>
    <row r="234" customFormat="false" ht="15.75" hidden="false" customHeight="false" outlineLevel="0" collapsed="false">
      <c r="A234" s="12"/>
      <c r="B234" s="34"/>
      <c r="C234" s="12"/>
      <c r="D234" s="12"/>
      <c r="E234" s="12"/>
      <c r="F234" s="12"/>
      <c r="G234" s="18"/>
      <c r="H234" s="35"/>
      <c r="I234" s="12"/>
      <c r="M234" s="12"/>
      <c r="N234" s="18"/>
      <c r="O234" s="12"/>
      <c r="P234" s="12"/>
      <c r="Q234" s="12"/>
      <c r="R234" s="36"/>
      <c r="S234" s="36"/>
      <c r="T234" s="12"/>
      <c r="U234" s="12"/>
      <c r="V234" s="12"/>
      <c r="W234" s="12"/>
      <c r="X234" s="12"/>
    </row>
    <row r="235" customFormat="false" ht="15.75" hidden="false" customHeight="false" outlineLevel="0" collapsed="false">
      <c r="A235" s="12"/>
      <c r="B235" s="34"/>
      <c r="C235" s="12"/>
      <c r="D235" s="12"/>
      <c r="E235" s="12"/>
      <c r="F235" s="12"/>
      <c r="G235" s="18"/>
      <c r="H235" s="35"/>
      <c r="I235" s="12"/>
      <c r="M235" s="12"/>
      <c r="N235" s="18"/>
      <c r="O235" s="12"/>
      <c r="P235" s="12"/>
      <c r="Q235" s="12"/>
      <c r="R235" s="36"/>
      <c r="S235" s="36"/>
      <c r="T235" s="12"/>
      <c r="U235" s="12"/>
      <c r="V235" s="12"/>
      <c r="W235" s="12"/>
      <c r="X235" s="12"/>
    </row>
    <row r="236" customFormat="false" ht="15.75" hidden="false" customHeight="false" outlineLevel="0" collapsed="false">
      <c r="A236" s="12"/>
      <c r="B236" s="34"/>
      <c r="C236" s="12"/>
      <c r="D236" s="12"/>
      <c r="E236" s="12"/>
      <c r="F236" s="12"/>
      <c r="G236" s="18"/>
      <c r="H236" s="35"/>
      <c r="I236" s="12"/>
      <c r="M236" s="12"/>
      <c r="N236" s="18"/>
      <c r="O236" s="12"/>
      <c r="P236" s="12"/>
      <c r="Q236" s="12"/>
      <c r="R236" s="36"/>
      <c r="S236" s="36"/>
      <c r="T236" s="12"/>
      <c r="U236" s="12"/>
      <c r="V236" s="12"/>
      <c r="W236" s="12"/>
      <c r="X236" s="12"/>
    </row>
    <row r="237" customFormat="false" ht="15.75" hidden="false" customHeight="false" outlineLevel="0" collapsed="false">
      <c r="A237" s="12"/>
      <c r="B237" s="34"/>
      <c r="C237" s="12"/>
      <c r="D237" s="12"/>
      <c r="E237" s="12"/>
      <c r="F237" s="12"/>
      <c r="G237" s="18"/>
      <c r="H237" s="35"/>
      <c r="I237" s="12"/>
      <c r="M237" s="12"/>
      <c r="N237" s="18"/>
      <c r="O237" s="12"/>
      <c r="P237" s="12"/>
      <c r="Q237" s="12"/>
      <c r="R237" s="36"/>
      <c r="S237" s="36"/>
      <c r="T237" s="12"/>
      <c r="U237" s="12"/>
      <c r="V237" s="12"/>
      <c r="W237" s="12"/>
      <c r="X237" s="12"/>
    </row>
    <row r="238" customFormat="false" ht="15.75" hidden="false" customHeight="false" outlineLevel="0" collapsed="false">
      <c r="A238" s="12"/>
      <c r="B238" s="34"/>
      <c r="C238" s="12"/>
      <c r="D238" s="12"/>
      <c r="E238" s="12"/>
      <c r="F238" s="12"/>
      <c r="G238" s="18"/>
      <c r="H238" s="35"/>
      <c r="I238" s="12"/>
      <c r="M238" s="12"/>
      <c r="N238" s="18"/>
      <c r="O238" s="12"/>
      <c r="P238" s="12"/>
      <c r="Q238" s="12"/>
      <c r="R238" s="36"/>
      <c r="S238" s="36"/>
      <c r="T238" s="12"/>
      <c r="U238" s="12"/>
      <c r="V238" s="12"/>
      <c r="W238" s="12"/>
      <c r="X238" s="12"/>
    </row>
    <row r="239" customFormat="false" ht="15.75" hidden="false" customHeight="false" outlineLevel="0" collapsed="false">
      <c r="A239" s="12"/>
      <c r="B239" s="34"/>
      <c r="C239" s="12"/>
      <c r="D239" s="12"/>
      <c r="E239" s="12"/>
      <c r="F239" s="12"/>
      <c r="G239" s="18"/>
      <c r="H239" s="35"/>
      <c r="I239" s="12"/>
      <c r="M239" s="12"/>
      <c r="N239" s="18"/>
      <c r="O239" s="12"/>
      <c r="P239" s="12"/>
      <c r="Q239" s="12"/>
      <c r="R239" s="36"/>
      <c r="S239" s="36"/>
      <c r="T239" s="12"/>
      <c r="U239" s="12"/>
      <c r="V239" s="12"/>
      <c r="W239" s="12"/>
      <c r="X239" s="12"/>
    </row>
    <row r="240" customFormat="false" ht="15.75" hidden="false" customHeight="false" outlineLevel="0" collapsed="false">
      <c r="A240" s="12"/>
      <c r="B240" s="34"/>
      <c r="C240" s="12"/>
      <c r="D240" s="12"/>
      <c r="E240" s="12"/>
      <c r="F240" s="12"/>
      <c r="G240" s="18"/>
      <c r="H240" s="35"/>
      <c r="I240" s="12"/>
      <c r="M240" s="12"/>
      <c r="N240" s="18"/>
      <c r="O240" s="12"/>
      <c r="P240" s="12"/>
      <c r="Q240" s="12"/>
      <c r="R240" s="36"/>
      <c r="S240" s="36"/>
      <c r="T240" s="12"/>
      <c r="U240" s="12"/>
      <c r="V240" s="12"/>
      <c r="W240" s="12"/>
      <c r="X240" s="12"/>
    </row>
    <row r="241" customFormat="false" ht="15.75" hidden="false" customHeight="false" outlineLevel="0" collapsed="false">
      <c r="A241" s="12"/>
      <c r="B241" s="34"/>
      <c r="C241" s="12"/>
      <c r="D241" s="12"/>
      <c r="E241" s="12"/>
      <c r="F241" s="12"/>
      <c r="G241" s="18"/>
      <c r="H241" s="35"/>
      <c r="I241" s="12"/>
      <c r="M241" s="12"/>
      <c r="N241" s="18"/>
      <c r="O241" s="12"/>
      <c r="P241" s="12"/>
      <c r="Q241" s="12"/>
      <c r="R241" s="36"/>
      <c r="S241" s="36"/>
      <c r="T241" s="12"/>
      <c r="U241" s="12"/>
      <c r="V241" s="12"/>
      <c r="W241" s="12"/>
      <c r="X241" s="12"/>
    </row>
    <row r="242" customFormat="false" ht="15.75" hidden="false" customHeight="false" outlineLevel="0" collapsed="false">
      <c r="A242" s="12"/>
      <c r="B242" s="34"/>
      <c r="C242" s="12"/>
      <c r="D242" s="12"/>
      <c r="E242" s="12"/>
      <c r="F242" s="12"/>
      <c r="G242" s="18"/>
      <c r="H242" s="35"/>
      <c r="I242" s="12"/>
      <c r="M242" s="12"/>
      <c r="N242" s="18"/>
      <c r="O242" s="12"/>
      <c r="P242" s="12"/>
      <c r="Q242" s="12"/>
      <c r="R242" s="36"/>
      <c r="S242" s="36"/>
      <c r="T242" s="12"/>
      <c r="U242" s="12"/>
      <c r="V242" s="12"/>
      <c r="W242" s="12"/>
      <c r="X242" s="12"/>
    </row>
    <row r="243" customFormat="false" ht="15.75" hidden="false" customHeight="false" outlineLevel="0" collapsed="false">
      <c r="A243" s="12"/>
      <c r="B243" s="34"/>
      <c r="C243" s="12"/>
      <c r="D243" s="12"/>
      <c r="E243" s="12"/>
      <c r="F243" s="12"/>
      <c r="G243" s="18"/>
      <c r="H243" s="35"/>
      <c r="I243" s="12"/>
      <c r="M243" s="12"/>
      <c r="N243" s="18"/>
      <c r="O243" s="12"/>
      <c r="P243" s="12"/>
      <c r="Q243" s="12"/>
      <c r="R243" s="36"/>
      <c r="S243" s="36"/>
      <c r="T243" s="12"/>
      <c r="U243" s="12"/>
      <c r="V243" s="12"/>
      <c r="W243" s="12"/>
      <c r="X243" s="12"/>
    </row>
    <row r="244" customFormat="false" ht="15.75" hidden="false" customHeight="false" outlineLevel="0" collapsed="false">
      <c r="A244" s="12"/>
      <c r="B244" s="34"/>
      <c r="C244" s="12"/>
      <c r="D244" s="12"/>
      <c r="E244" s="12"/>
      <c r="F244" s="12"/>
      <c r="G244" s="18"/>
      <c r="H244" s="35"/>
      <c r="I244" s="12"/>
      <c r="M244" s="12"/>
      <c r="N244" s="18"/>
      <c r="O244" s="12"/>
      <c r="P244" s="12"/>
      <c r="Q244" s="12"/>
      <c r="R244" s="36"/>
      <c r="S244" s="36"/>
      <c r="T244" s="12"/>
      <c r="U244" s="12"/>
      <c r="V244" s="12"/>
      <c r="W244" s="12"/>
      <c r="X244" s="12"/>
    </row>
    <row r="245" customFormat="false" ht="15.75" hidden="false" customHeight="false" outlineLevel="0" collapsed="false">
      <c r="A245" s="12"/>
      <c r="B245" s="34"/>
      <c r="C245" s="12"/>
      <c r="D245" s="12"/>
      <c r="E245" s="12"/>
      <c r="F245" s="12"/>
      <c r="G245" s="18"/>
      <c r="H245" s="35"/>
      <c r="I245" s="12"/>
      <c r="M245" s="12"/>
      <c r="N245" s="18"/>
      <c r="O245" s="12"/>
      <c r="P245" s="12"/>
      <c r="Q245" s="12"/>
      <c r="R245" s="36"/>
      <c r="S245" s="36"/>
      <c r="T245" s="12"/>
      <c r="U245" s="12"/>
      <c r="V245" s="12"/>
      <c r="W245" s="12"/>
      <c r="X245" s="12"/>
    </row>
    <row r="246" customFormat="false" ht="15.75" hidden="false" customHeight="false" outlineLevel="0" collapsed="false">
      <c r="A246" s="12"/>
      <c r="B246" s="34"/>
      <c r="C246" s="12"/>
      <c r="D246" s="12"/>
      <c r="E246" s="12"/>
      <c r="F246" s="12"/>
      <c r="G246" s="18"/>
      <c r="H246" s="35"/>
      <c r="I246" s="12"/>
      <c r="M246" s="12"/>
      <c r="N246" s="18"/>
      <c r="O246" s="12"/>
      <c r="P246" s="12"/>
      <c r="Q246" s="12"/>
      <c r="R246" s="36"/>
      <c r="S246" s="36"/>
      <c r="T246" s="12"/>
      <c r="U246" s="12"/>
      <c r="V246" s="12"/>
      <c r="W246" s="12"/>
      <c r="X246" s="12"/>
    </row>
    <row r="247" customFormat="false" ht="15.75" hidden="false" customHeight="false" outlineLevel="0" collapsed="false">
      <c r="A247" s="12"/>
      <c r="B247" s="34"/>
      <c r="C247" s="12"/>
      <c r="D247" s="12"/>
      <c r="E247" s="12"/>
      <c r="F247" s="12"/>
      <c r="G247" s="18"/>
      <c r="H247" s="35"/>
      <c r="I247" s="12"/>
      <c r="M247" s="12"/>
      <c r="N247" s="18"/>
      <c r="O247" s="12"/>
      <c r="P247" s="12"/>
      <c r="Q247" s="12"/>
      <c r="R247" s="36"/>
      <c r="S247" s="36"/>
      <c r="T247" s="12"/>
      <c r="U247" s="12"/>
      <c r="V247" s="12"/>
      <c r="W247" s="12"/>
      <c r="X247" s="12"/>
    </row>
    <row r="248" customFormat="false" ht="15.75" hidden="false" customHeight="false" outlineLevel="0" collapsed="false">
      <c r="A248" s="12"/>
      <c r="B248" s="34"/>
      <c r="C248" s="12"/>
      <c r="D248" s="12"/>
      <c r="E248" s="12"/>
      <c r="F248" s="12"/>
      <c r="G248" s="18"/>
      <c r="H248" s="35"/>
      <c r="I248" s="12"/>
      <c r="M248" s="12"/>
      <c r="N248" s="18"/>
      <c r="O248" s="12"/>
      <c r="P248" s="12"/>
      <c r="Q248" s="12"/>
      <c r="R248" s="36"/>
      <c r="S248" s="36"/>
      <c r="T248" s="12"/>
      <c r="U248" s="12"/>
      <c r="V248" s="12"/>
      <c r="W248" s="12"/>
      <c r="X248" s="12"/>
    </row>
    <row r="249" customFormat="false" ht="15.75" hidden="false" customHeight="false" outlineLevel="0" collapsed="false">
      <c r="A249" s="12"/>
      <c r="B249" s="34"/>
      <c r="C249" s="12"/>
      <c r="D249" s="12"/>
      <c r="E249" s="12"/>
      <c r="F249" s="12"/>
      <c r="G249" s="18"/>
      <c r="H249" s="35"/>
      <c r="I249" s="12"/>
      <c r="M249" s="12"/>
      <c r="N249" s="18"/>
      <c r="O249" s="12"/>
      <c r="P249" s="12"/>
      <c r="Q249" s="12"/>
      <c r="R249" s="36"/>
      <c r="S249" s="36"/>
      <c r="T249" s="12"/>
      <c r="U249" s="12"/>
      <c r="V249" s="12"/>
      <c r="W249" s="12"/>
      <c r="X249" s="12"/>
    </row>
    <row r="250" customFormat="false" ht="15.75" hidden="false" customHeight="false" outlineLevel="0" collapsed="false">
      <c r="A250" s="12"/>
      <c r="B250" s="34"/>
      <c r="C250" s="12"/>
      <c r="D250" s="12"/>
      <c r="E250" s="12"/>
      <c r="F250" s="12"/>
      <c r="G250" s="18"/>
      <c r="H250" s="35"/>
      <c r="I250" s="12"/>
      <c r="M250" s="12"/>
      <c r="N250" s="18"/>
      <c r="O250" s="12"/>
      <c r="P250" s="12"/>
      <c r="Q250" s="12"/>
      <c r="R250" s="36"/>
      <c r="S250" s="36"/>
      <c r="T250" s="12"/>
      <c r="U250" s="12"/>
      <c r="V250" s="12"/>
      <c r="W250" s="12"/>
      <c r="X250" s="12"/>
    </row>
    <row r="251" customFormat="false" ht="15.75" hidden="false" customHeight="false" outlineLevel="0" collapsed="false">
      <c r="A251" s="12"/>
      <c r="B251" s="34"/>
      <c r="C251" s="12"/>
      <c r="D251" s="12"/>
      <c r="E251" s="12"/>
      <c r="F251" s="12"/>
      <c r="G251" s="18"/>
      <c r="H251" s="35"/>
      <c r="I251" s="12"/>
      <c r="M251" s="12"/>
      <c r="N251" s="18"/>
      <c r="O251" s="12"/>
      <c r="P251" s="12"/>
      <c r="Q251" s="12"/>
      <c r="R251" s="36"/>
      <c r="S251" s="36"/>
      <c r="T251" s="12"/>
      <c r="U251" s="12"/>
      <c r="V251" s="12"/>
      <c r="W251" s="12"/>
      <c r="X251" s="12"/>
    </row>
    <row r="252" customFormat="false" ht="15.75" hidden="false" customHeight="false" outlineLevel="0" collapsed="false">
      <c r="A252" s="12"/>
      <c r="B252" s="34"/>
      <c r="C252" s="12"/>
      <c r="D252" s="12"/>
      <c r="E252" s="12"/>
      <c r="F252" s="12"/>
      <c r="G252" s="18"/>
      <c r="H252" s="35"/>
      <c r="I252" s="12"/>
      <c r="M252" s="12"/>
      <c r="N252" s="18"/>
      <c r="O252" s="12"/>
      <c r="P252" s="12"/>
      <c r="Q252" s="12"/>
      <c r="R252" s="36"/>
      <c r="S252" s="36"/>
      <c r="T252" s="12"/>
      <c r="U252" s="12"/>
      <c r="V252" s="12"/>
      <c r="W252" s="12"/>
      <c r="X252" s="12"/>
    </row>
    <row r="253" customFormat="false" ht="15.75" hidden="false" customHeight="false" outlineLevel="0" collapsed="false">
      <c r="A253" s="12"/>
      <c r="B253" s="34"/>
      <c r="C253" s="12"/>
      <c r="D253" s="12"/>
      <c r="E253" s="12"/>
      <c r="F253" s="12"/>
      <c r="G253" s="18"/>
      <c r="H253" s="35"/>
      <c r="I253" s="12"/>
      <c r="M253" s="12"/>
      <c r="N253" s="18"/>
      <c r="O253" s="12"/>
      <c r="P253" s="12"/>
      <c r="Q253" s="12"/>
      <c r="R253" s="36"/>
      <c r="S253" s="36"/>
      <c r="T253" s="12"/>
      <c r="U253" s="12"/>
      <c r="V253" s="12"/>
      <c r="W253" s="12"/>
      <c r="X253" s="12"/>
    </row>
    <row r="254" customFormat="false" ht="15.75" hidden="false" customHeight="false" outlineLevel="0" collapsed="false">
      <c r="A254" s="12"/>
      <c r="B254" s="34"/>
      <c r="C254" s="12"/>
      <c r="D254" s="12"/>
      <c r="E254" s="12"/>
      <c r="F254" s="12"/>
      <c r="G254" s="18"/>
      <c r="H254" s="35"/>
      <c r="I254" s="12"/>
      <c r="M254" s="12"/>
      <c r="N254" s="18"/>
      <c r="O254" s="12"/>
      <c r="P254" s="12"/>
      <c r="Q254" s="12"/>
      <c r="R254" s="36"/>
      <c r="S254" s="36"/>
      <c r="T254" s="12"/>
      <c r="U254" s="12"/>
      <c r="V254" s="12"/>
      <c r="W254" s="12"/>
      <c r="X254" s="12"/>
    </row>
    <row r="255" customFormat="false" ht="15.75" hidden="false" customHeight="false" outlineLevel="0" collapsed="false">
      <c r="A255" s="12"/>
      <c r="B255" s="34"/>
      <c r="C255" s="12"/>
      <c r="D255" s="12"/>
      <c r="E255" s="12"/>
      <c r="F255" s="12"/>
      <c r="G255" s="18"/>
      <c r="H255" s="35"/>
      <c r="I255" s="12"/>
      <c r="M255" s="12"/>
      <c r="N255" s="18"/>
      <c r="O255" s="12"/>
      <c r="P255" s="12"/>
      <c r="Q255" s="12"/>
      <c r="R255" s="36"/>
      <c r="S255" s="36"/>
      <c r="T255" s="12"/>
      <c r="U255" s="12"/>
      <c r="V255" s="12"/>
      <c r="W255" s="12"/>
      <c r="X255" s="12"/>
    </row>
    <row r="256" customFormat="false" ht="15.75" hidden="false" customHeight="false" outlineLevel="0" collapsed="false">
      <c r="A256" s="12"/>
      <c r="B256" s="34"/>
      <c r="C256" s="12"/>
      <c r="D256" s="12"/>
      <c r="E256" s="12"/>
      <c r="F256" s="12"/>
      <c r="G256" s="18"/>
      <c r="H256" s="35"/>
      <c r="I256" s="12"/>
      <c r="M256" s="12"/>
      <c r="N256" s="18"/>
      <c r="O256" s="12"/>
      <c r="P256" s="12"/>
      <c r="Q256" s="12"/>
      <c r="R256" s="36"/>
      <c r="S256" s="36"/>
      <c r="T256" s="12"/>
      <c r="U256" s="12"/>
      <c r="V256" s="12"/>
      <c r="W256" s="12"/>
      <c r="X256" s="12"/>
    </row>
    <row r="257" customFormat="false" ht="15.75" hidden="false" customHeight="false" outlineLevel="0" collapsed="false">
      <c r="A257" s="12"/>
      <c r="B257" s="34"/>
      <c r="C257" s="12"/>
      <c r="D257" s="12"/>
      <c r="E257" s="12"/>
      <c r="F257" s="12"/>
      <c r="G257" s="18"/>
      <c r="H257" s="35"/>
      <c r="I257" s="12"/>
      <c r="M257" s="12"/>
      <c r="N257" s="18"/>
      <c r="O257" s="12"/>
      <c r="P257" s="12"/>
      <c r="Q257" s="12"/>
      <c r="R257" s="36"/>
      <c r="S257" s="36"/>
      <c r="T257" s="12"/>
      <c r="U257" s="12"/>
      <c r="V257" s="12"/>
      <c r="W257" s="12"/>
      <c r="X257" s="12"/>
    </row>
    <row r="258" customFormat="false" ht="15.75" hidden="false" customHeight="false" outlineLevel="0" collapsed="false">
      <c r="A258" s="12"/>
      <c r="B258" s="34"/>
      <c r="C258" s="12"/>
      <c r="D258" s="12"/>
      <c r="E258" s="12"/>
      <c r="F258" s="12"/>
      <c r="G258" s="18"/>
      <c r="H258" s="35"/>
      <c r="I258" s="12"/>
      <c r="M258" s="12"/>
      <c r="N258" s="18"/>
      <c r="O258" s="12"/>
      <c r="P258" s="12"/>
      <c r="Q258" s="12"/>
      <c r="R258" s="36"/>
      <c r="S258" s="36"/>
      <c r="T258" s="12"/>
      <c r="U258" s="12"/>
      <c r="V258" s="12"/>
      <c r="W258" s="12"/>
      <c r="X258" s="12"/>
    </row>
    <row r="259" customFormat="false" ht="15.75" hidden="false" customHeight="false" outlineLevel="0" collapsed="false">
      <c r="A259" s="12"/>
      <c r="B259" s="34"/>
      <c r="C259" s="12"/>
      <c r="D259" s="12"/>
      <c r="E259" s="12"/>
      <c r="F259" s="12"/>
      <c r="G259" s="18"/>
      <c r="H259" s="35"/>
      <c r="I259" s="12"/>
      <c r="M259" s="12"/>
      <c r="N259" s="18"/>
      <c r="O259" s="12"/>
      <c r="P259" s="12"/>
      <c r="Q259" s="12"/>
      <c r="R259" s="36"/>
      <c r="S259" s="36"/>
      <c r="T259" s="12"/>
      <c r="U259" s="12"/>
      <c r="V259" s="12"/>
      <c r="W259" s="12"/>
      <c r="X259" s="12"/>
    </row>
    <row r="260" customFormat="false" ht="15.75" hidden="false" customHeight="false" outlineLevel="0" collapsed="false">
      <c r="A260" s="12"/>
      <c r="B260" s="34"/>
      <c r="C260" s="12"/>
      <c r="D260" s="12"/>
      <c r="E260" s="12"/>
      <c r="F260" s="12"/>
      <c r="G260" s="18"/>
      <c r="H260" s="35"/>
      <c r="I260" s="12"/>
      <c r="M260" s="12"/>
      <c r="N260" s="18"/>
      <c r="O260" s="12"/>
      <c r="P260" s="12"/>
      <c r="Q260" s="12"/>
      <c r="R260" s="36"/>
      <c r="S260" s="36"/>
      <c r="T260" s="12"/>
      <c r="U260" s="12"/>
      <c r="V260" s="12"/>
      <c r="W260" s="12"/>
      <c r="X260" s="12"/>
    </row>
    <row r="261" customFormat="false" ht="15.75" hidden="false" customHeight="false" outlineLevel="0" collapsed="false">
      <c r="A261" s="12"/>
      <c r="B261" s="34"/>
      <c r="C261" s="12"/>
      <c r="D261" s="12"/>
      <c r="E261" s="12"/>
      <c r="F261" s="12"/>
      <c r="G261" s="18"/>
      <c r="H261" s="35"/>
      <c r="I261" s="12"/>
      <c r="M261" s="12"/>
      <c r="N261" s="18"/>
      <c r="O261" s="12"/>
      <c r="P261" s="12"/>
      <c r="Q261" s="12"/>
      <c r="R261" s="36"/>
      <c r="S261" s="36"/>
      <c r="T261" s="12"/>
      <c r="U261" s="12"/>
      <c r="V261" s="12"/>
      <c r="W261" s="12"/>
      <c r="X261" s="12"/>
    </row>
    <row r="262" customFormat="false" ht="15.75" hidden="false" customHeight="false" outlineLevel="0" collapsed="false">
      <c r="A262" s="12"/>
      <c r="B262" s="34"/>
      <c r="C262" s="12"/>
      <c r="D262" s="12"/>
      <c r="E262" s="12"/>
      <c r="F262" s="12"/>
      <c r="G262" s="18"/>
      <c r="H262" s="35"/>
      <c r="I262" s="12"/>
      <c r="M262" s="12"/>
      <c r="N262" s="18"/>
      <c r="O262" s="12"/>
      <c r="P262" s="12"/>
      <c r="Q262" s="12"/>
      <c r="R262" s="36"/>
      <c r="S262" s="36"/>
      <c r="T262" s="12"/>
      <c r="U262" s="12"/>
      <c r="V262" s="12"/>
      <c r="W262" s="12"/>
      <c r="X262" s="12"/>
    </row>
    <row r="263" customFormat="false" ht="15.75" hidden="false" customHeight="false" outlineLevel="0" collapsed="false">
      <c r="A263" s="12"/>
      <c r="B263" s="34"/>
      <c r="C263" s="12"/>
      <c r="D263" s="12"/>
      <c r="E263" s="12"/>
      <c r="F263" s="12"/>
      <c r="G263" s="18"/>
      <c r="H263" s="35"/>
      <c r="I263" s="12"/>
      <c r="M263" s="12"/>
      <c r="N263" s="18"/>
      <c r="O263" s="12"/>
      <c r="P263" s="12"/>
      <c r="Q263" s="12"/>
      <c r="R263" s="36"/>
      <c r="S263" s="36"/>
      <c r="T263" s="12"/>
      <c r="U263" s="12"/>
      <c r="V263" s="12"/>
      <c r="W263" s="12"/>
      <c r="X263" s="12"/>
    </row>
    <row r="264" customFormat="false" ht="15.75" hidden="false" customHeight="false" outlineLevel="0" collapsed="false">
      <c r="A264" s="12"/>
      <c r="B264" s="34"/>
      <c r="C264" s="12"/>
      <c r="D264" s="12"/>
      <c r="E264" s="12"/>
      <c r="F264" s="12"/>
      <c r="G264" s="18"/>
      <c r="H264" s="35"/>
      <c r="I264" s="12"/>
      <c r="M264" s="12"/>
      <c r="N264" s="18"/>
      <c r="O264" s="12"/>
      <c r="P264" s="12"/>
      <c r="Q264" s="12"/>
      <c r="R264" s="36"/>
      <c r="S264" s="36"/>
      <c r="T264" s="12"/>
      <c r="U264" s="12"/>
      <c r="V264" s="12"/>
      <c r="W264" s="12"/>
      <c r="X264" s="12"/>
    </row>
    <row r="265" customFormat="false" ht="15.75" hidden="false" customHeight="false" outlineLevel="0" collapsed="false">
      <c r="A265" s="12"/>
      <c r="B265" s="34"/>
      <c r="C265" s="12"/>
      <c r="D265" s="12"/>
      <c r="E265" s="12"/>
      <c r="F265" s="12"/>
      <c r="G265" s="18"/>
      <c r="H265" s="35"/>
      <c r="I265" s="12"/>
      <c r="M265" s="12"/>
      <c r="N265" s="18"/>
      <c r="O265" s="12"/>
      <c r="P265" s="12"/>
      <c r="Q265" s="12"/>
      <c r="R265" s="36"/>
      <c r="S265" s="36"/>
      <c r="T265" s="12"/>
      <c r="U265" s="12"/>
      <c r="V265" s="12"/>
      <c r="W265" s="12"/>
      <c r="X265" s="12"/>
    </row>
    <row r="266" customFormat="false" ht="15.75" hidden="false" customHeight="false" outlineLevel="0" collapsed="false">
      <c r="A266" s="12"/>
      <c r="B266" s="34"/>
      <c r="C266" s="12"/>
      <c r="D266" s="12"/>
      <c r="E266" s="12"/>
      <c r="F266" s="12"/>
      <c r="G266" s="18"/>
      <c r="H266" s="35"/>
      <c r="I266" s="12"/>
      <c r="M266" s="12"/>
      <c r="N266" s="18"/>
      <c r="O266" s="12"/>
      <c r="P266" s="12"/>
      <c r="Q266" s="12"/>
      <c r="R266" s="36"/>
      <c r="S266" s="36"/>
      <c r="T266" s="12"/>
      <c r="U266" s="12"/>
      <c r="V266" s="12"/>
      <c r="W266" s="12"/>
      <c r="X266" s="12"/>
    </row>
    <row r="267" customFormat="false" ht="15.75" hidden="false" customHeight="false" outlineLevel="0" collapsed="false">
      <c r="A267" s="12"/>
      <c r="B267" s="34"/>
      <c r="C267" s="12"/>
      <c r="D267" s="12"/>
      <c r="E267" s="12"/>
      <c r="F267" s="12"/>
      <c r="G267" s="18"/>
      <c r="H267" s="35"/>
      <c r="I267" s="12"/>
      <c r="M267" s="12"/>
      <c r="N267" s="18"/>
      <c r="O267" s="12"/>
      <c r="P267" s="12"/>
      <c r="Q267" s="12"/>
      <c r="R267" s="36"/>
      <c r="S267" s="36"/>
      <c r="T267" s="12"/>
      <c r="U267" s="12"/>
      <c r="V267" s="12"/>
      <c r="W267" s="12"/>
      <c r="X267" s="12"/>
    </row>
    <row r="268" customFormat="false" ht="15.75" hidden="false" customHeight="false" outlineLevel="0" collapsed="false">
      <c r="A268" s="12"/>
      <c r="B268" s="34"/>
      <c r="C268" s="12"/>
      <c r="D268" s="12"/>
      <c r="E268" s="12"/>
      <c r="F268" s="12"/>
      <c r="G268" s="18"/>
      <c r="H268" s="35"/>
      <c r="I268" s="12"/>
      <c r="M268" s="12"/>
      <c r="N268" s="18"/>
      <c r="O268" s="12"/>
      <c r="P268" s="12"/>
      <c r="Q268" s="12"/>
      <c r="R268" s="36"/>
      <c r="S268" s="36"/>
      <c r="T268" s="12"/>
      <c r="U268" s="12"/>
      <c r="V268" s="12"/>
      <c r="W268" s="12"/>
      <c r="X268" s="12"/>
    </row>
    <row r="269" customFormat="false" ht="15.75" hidden="false" customHeight="false" outlineLevel="0" collapsed="false">
      <c r="A269" s="12"/>
      <c r="B269" s="34"/>
      <c r="C269" s="12"/>
      <c r="D269" s="12"/>
      <c r="E269" s="12"/>
      <c r="F269" s="12"/>
      <c r="G269" s="18"/>
      <c r="H269" s="35"/>
      <c r="I269" s="12"/>
      <c r="M269" s="12"/>
      <c r="N269" s="18"/>
      <c r="O269" s="12"/>
      <c r="P269" s="12"/>
      <c r="Q269" s="12"/>
      <c r="R269" s="36"/>
      <c r="S269" s="36"/>
      <c r="T269" s="12"/>
      <c r="U269" s="12"/>
      <c r="V269" s="12"/>
      <c r="W269" s="12"/>
      <c r="X269" s="12"/>
    </row>
    <row r="270" customFormat="false" ht="15.75" hidden="false" customHeight="false" outlineLevel="0" collapsed="false">
      <c r="A270" s="12"/>
      <c r="B270" s="34"/>
      <c r="C270" s="12"/>
      <c r="D270" s="12"/>
      <c r="E270" s="12"/>
      <c r="F270" s="12"/>
      <c r="G270" s="18"/>
      <c r="H270" s="35"/>
      <c r="I270" s="12"/>
      <c r="M270" s="12"/>
      <c r="N270" s="18"/>
      <c r="O270" s="12"/>
      <c r="P270" s="12"/>
      <c r="Q270" s="12"/>
      <c r="R270" s="36"/>
      <c r="S270" s="36"/>
      <c r="T270" s="12"/>
      <c r="U270" s="12"/>
      <c r="V270" s="12"/>
      <c r="W270" s="12"/>
      <c r="X270" s="12"/>
    </row>
    <row r="271" customFormat="false" ht="15.75" hidden="false" customHeight="false" outlineLevel="0" collapsed="false">
      <c r="A271" s="12"/>
      <c r="B271" s="34"/>
      <c r="C271" s="12"/>
      <c r="D271" s="12"/>
      <c r="E271" s="12"/>
      <c r="F271" s="12"/>
      <c r="G271" s="18"/>
      <c r="H271" s="35"/>
      <c r="I271" s="12"/>
      <c r="M271" s="12"/>
      <c r="N271" s="18"/>
      <c r="O271" s="12"/>
      <c r="P271" s="12"/>
      <c r="Q271" s="12"/>
      <c r="R271" s="36"/>
      <c r="S271" s="36"/>
      <c r="T271" s="12"/>
      <c r="U271" s="12"/>
      <c r="V271" s="12"/>
      <c r="W271" s="12"/>
      <c r="X271" s="12"/>
    </row>
    <row r="272" customFormat="false" ht="15.75" hidden="false" customHeight="false" outlineLevel="0" collapsed="false">
      <c r="A272" s="12"/>
      <c r="B272" s="34"/>
      <c r="C272" s="12"/>
      <c r="D272" s="12"/>
      <c r="E272" s="12"/>
      <c r="F272" s="12"/>
      <c r="G272" s="18"/>
      <c r="H272" s="35"/>
      <c r="I272" s="12"/>
      <c r="M272" s="12"/>
      <c r="N272" s="18"/>
      <c r="O272" s="12"/>
      <c r="P272" s="12"/>
      <c r="Q272" s="12"/>
      <c r="R272" s="36"/>
      <c r="S272" s="36"/>
      <c r="T272" s="12"/>
      <c r="U272" s="12"/>
      <c r="V272" s="12"/>
      <c r="W272" s="12"/>
      <c r="X272" s="12"/>
    </row>
    <row r="273" customFormat="false" ht="15.75" hidden="false" customHeight="false" outlineLevel="0" collapsed="false">
      <c r="A273" s="12"/>
      <c r="B273" s="34"/>
      <c r="C273" s="12"/>
      <c r="D273" s="12"/>
      <c r="E273" s="12"/>
      <c r="F273" s="12"/>
      <c r="G273" s="18"/>
      <c r="H273" s="35"/>
      <c r="I273" s="12"/>
      <c r="M273" s="12"/>
      <c r="N273" s="18"/>
      <c r="O273" s="12"/>
      <c r="P273" s="12"/>
      <c r="Q273" s="12"/>
      <c r="R273" s="36"/>
      <c r="S273" s="36"/>
      <c r="T273" s="12"/>
      <c r="U273" s="12"/>
      <c r="V273" s="12"/>
      <c r="W273" s="12"/>
      <c r="X273" s="12"/>
    </row>
    <row r="274" customFormat="false" ht="15.75" hidden="false" customHeight="false" outlineLevel="0" collapsed="false">
      <c r="A274" s="12"/>
      <c r="B274" s="34"/>
      <c r="C274" s="12"/>
      <c r="D274" s="12"/>
      <c r="E274" s="12"/>
      <c r="F274" s="12"/>
      <c r="G274" s="18"/>
      <c r="H274" s="35"/>
      <c r="I274" s="12"/>
      <c r="M274" s="12"/>
      <c r="N274" s="18"/>
      <c r="O274" s="12"/>
      <c r="P274" s="12"/>
      <c r="Q274" s="12"/>
      <c r="R274" s="36"/>
      <c r="S274" s="36"/>
      <c r="T274" s="12"/>
      <c r="U274" s="12"/>
      <c r="V274" s="12"/>
      <c r="W274" s="12"/>
      <c r="X274" s="12"/>
    </row>
    <row r="275" customFormat="false" ht="15.75" hidden="false" customHeight="false" outlineLevel="0" collapsed="false">
      <c r="A275" s="12"/>
      <c r="B275" s="34"/>
      <c r="C275" s="12"/>
      <c r="D275" s="12"/>
      <c r="E275" s="12"/>
      <c r="F275" s="12"/>
      <c r="G275" s="18"/>
      <c r="H275" s="35"/>
      <c r="I275" s="12"/>
      <c r="M275" s="12"/>
      <c r="N275" s="18"/>
      <c r="O275" s="12"/>
      <c r="P275" s="12"/>
      <c r="Q275" s="12"/>
      <c r="R275" s="36"/>
      <c r="S275" s="36"/>
      <c r="T275" s="12"/>
      <c r="U275" s="12"/>
      <c r="V275" s="12"/>
      <c r="W275" s="12"/>
      <c r="X275" s="12"/>
    </row>
    <row r="276" customFormat="false" ht="15.75" hidden="false" customHeight="false" outlineLevel="0" collapsed="false">
      <c r="A276" s="12"/>
      <c r="B276" s="34"/>
      <c r="C276" s="12"/>
      <c r="D276" s="12"/>
      <c r="E276" s="12"/>
      <c r="F276" s="12"/>
      <c r="G276" s="18"/>
      <c r="H276" s="35"/>
      <c r="I276" s="12"/>
      <c r="M276" s="12"/>
      <c r="N276" s="18"/>
      <c r="O276" s="12"/>
      <c r="P276" s="12"/>
      <c r="Q276" s="12"/>
      <c r="R276" s="36"/>
      <c r="S276" s="36"/>
      <c r="T276" s="12"/>
      <c r="U276" s="12"/>
      <c r="V276" s="12"/>
      <c r="W276" s="12"/>
      <c r="X276" s="12"/>
    </row>
    <row r="277" customFormat="false" ht="15.75" hidden="false" customHeight="false" outlineLevel="0" collapsed="false">
      <c r="A277" s="12"/>
      <c r="B277" s="34"/>
      <c r="C277" s="12"/>
      <c r="D277" s="12"/>
      <c r="E277" s="12"/>
      <c r="F277" s="12"/>
      <c r="G277" s="18"/>
      <c r="H277" s="35"/>
      <c r="I277" s="12"/>
      <c r="M277" s="12"/>
      <c r="N277" s="18"/>
      <c r="O277" s="12"/>
      <c r="P277" s="12"/>
      <c r="Q277" s="12"/>
      <c r="R277" s="36"/>
      <c r="S277" s="36"/>
      <c r="T277" s="12"/>
      <c r="U277" s="12"/>
      <c r="V277" s="12"/>
      <c r="W277" s="12"/>
      <c r="X277" s="12"/>
    </row>
    <row r="278" customFormat="false" ht="15.75" hidden="false" customHeight="false" outlineLevel="0" collapsed="false">
      <c r="A278" s="12"/>
      <c r="B278" s="34"/>
      <c r="C278" s="12"/>
      <c r="D278" s="12"/>
      <c r="E278" s="12"/>
      <c r="F278" s="12"/>
      <c r="G278" s="18"/>
      <c r="H278" s="35"/>
      <c r="I278" s="12"/>
      <c r="M278" s="12"/>
      <c r="N278" s="18"/>
      <c r="O278" s="12"/>
      <c r="P278" s="12"/>
      <c r="Q278" s="12"/>
      <c r="R278" s="36"/>
      <c r="S278" s="36"/>
      <c r="T278" s="12"/>
      <c r="U278" s="12"/>
      <c r="V278" s="12"/>
      <c r="W278" s="12"/>
      <c r="X278" s="12"/>
    </row>
    <row r="279" customFormat="false" ht="15.75" hidden="false" customHeight="false" outlineLevel="0" collapsed="false">
      <c r="A279" s="12"/>
      <c r="B279" s="34"/>
      <c r="C279" s="12"/>
      <c r="D279" s="12"/>
      <c r="E279" s="12"/>
      <c r="F279" s="12"/>
      <c r="G279" s="18"/>
      <c r="H279" s="35"/>
      <c r="I279" s="12"/>
      <c r="M279" s="12"/>
      <c r="N279" s="18"/>
      <c r="O279" s="12"/>
      <c r="P279" s="12"/>
      <c r="Q279" s="12"/>
      <c r="R279" s="36"/>
      <c r="S279" s="36"/>
      <c r="T279" s="12"/>
      <c r="U279" s="12"/>
      <c r="V279" s="12"/>
      <c r="W279" s="12"/>
      <c r="X279" s="12"/>
    </row>
    <row r="280" customFormat="false" ht="15.75" hidden="false" customHeight="false" outlineLevel="0" collapsed="false">
      <c r="A280" s="12"/>
      <c r="B280" s="34"/>
      <c r="C280" s="12"/>
      <c r="D280" s="12"/>
      <c r="E280" s="12"/>
      <c r="F280" s="12"/>
      <c r="G280" s="18"/>
      <c r="H280" s="35"/>
      <c r="I280" s="12"/>
      <c r="M280" s="12"/>
      <c r="N280" s="18"/>
      <c r="O280" s="12"/>
      <c r="P280" s="12"/>
      <c r="Q280" s="12"/>
      <c r="R280" s="36"/>
      <c r="S280" s="36"/>
      <c r="T280" s="12"/>
      <c r="U280" s="12"/>
      <c r="V280" s="12"/>
      <c r="W280" s="12"/>
      <c r="X280" s="12"/>
    </row>
    <row r="281" customFormat="false" ht="15.75" hidden="false" customHeight="false" outlineLevel="0" collapsed="false">
      <c r="A281" s="12"/>
      <c r="B281" s="34"/>
      <c r="C281" s="12"/>
      <c r="D281" s="12"/>
      <c r="E281" s="12"/>
      <c r="F281" s="12"/>
      <c r="G281" s="18"/>
      <c r="H281" s="35"/>
      <c r="I281" s="12"/>
      <c r="M281" s="12"/>
      <c r="N281" s="18"/>
      <c r="O281" s="12"/>
      <c r="P281" s="12"/>
      <c r="Q281" s="12"/>
      <c r="R281" s="36"/>
      <c r="S281" s="36"/>
      <c r="T281" s="12"/>
      <c r="U281" s="12"/>
      <c r="V281" s="12"/>
      <c r="W281" s="12"/>
      <c r="X281" s="12"/>
    </row>
    <row r="282" customFormat="false" ht="15.75" hidden="false" customHeight="false" outlineLevel="0" collapsed="false">
      <c r="A282" s="12"/>
      <c r="B282" s="34"/>
      <c r="C282" s="12"/>
      <c r="D282" s="12"/>
      <c r="E282" s="12"/>
      <c r="F282" s="12"/>
      <c r="G282" s="18"/>
      <c r="H282" s="35"/>
      <c r="I282" s="12"/>
      <c r="M282" s="12"/>
      <c r="N282" s="18"/>
      <c r="O282" s="12"/>
      <c r="P282" s="12"/>
      <c r="Q282" s="12"/>
      <c r="R282" s="36"/>
      <c r="S282" s="36"/>
      <c r="T282" s="12"/>
      <c r="U282" s="12"/>
      <c r="V282" s="12"/>
      <c r="W282" s="12"/>
      <c r="X282" s="12"/>
    </row>
    <row r="283" customFormat="false" ht="15.75" hidden="false" customHeight="false" outlineLevel="0" collapsed="false">
      <c r="A283" s="12"/>
      <c r="B283" s="34"/>
      <c r="C283" s="12"/>
      <c r="D283" s="12"/>
      <c r="E283" s="12"/>
      <c r="F283" s="12"/>
      <c r="G283" s="18"/>
      <c r="H283" s="35"/>
      <c r="I283" s="12"/>
      <c r="M283" s="12"/>
      <c r="N283" s="18"/>
      <c r="O283" s="12"/>
      <c r="P283" s="12"/>
      <c r="Q283" s="12"/>
      <c r="R283" s="36"/>
      <c r="S283" s="36"/>
      <c r="T283" s="12"/>
      <c r="U283" s="12"/>
      <c r="V283" s="12"/>
      <c r="W283" s="12"/>
      <c r="X283" s="12"/>
    </row>
    <row r="284" customFormat="false" ht="15.75" hidden="false" customHeight="false" outlineLevel="0" collapsed="false">
      <c r="A284" s="12"/>
      <c r="B284" s="34"/>
      <c r="C284" s="12"/>
      <c r="D284" s="12"/>
      <c r="E284" s="12"/>
      <c r="F284" s="12"/>
      <c r="G284" s="18"/>
      <c r="H284" s="35"/>
      <c r="I284" s="12"/>
      <c r="M284" s="12"/>
      <c r="N284" s="18"/>
      <c r="O284" s="12"/>
      <c r="P284" s="12"/>
      <c r="Q284" s="12"/>
      <c r="R284" s="36"/>
      <c r="S284" s="36"/>
      <c r="T284" s="12"/>
      <c r="U284" s="12"/>
      <c r="V284" s="12"/>
      <c r="W284" s="12"/>
      <c r="X284" s="12"/>
    </row>
    <row r="285" customFormat="false" ht="15.75" hidden="false" customHeight="false" outlineLevel="0" collapsed="false">
      <c r="A285" s="12"/>
      <c r="B285" s="34"/>
      <c r="C285" s="12"/>
      <c r="D285" s="12"/>
      <c r="E285" s="12"/>
      <c r="F285" s="12"/>
      <c r="G285" s="18"/>
      <c r="H285" s="35"/>
      <c r="I285" s="12"/>
      <c r="M285" s="12"/>
      <c r="N285" s="18"/>
      <c r="O285" s="12"/>
      <c r="P285" s="12"/>
      <c r="Q285" s="12"/>
      <c r="R285" s="36"/>
      <c r="S285" s="36"/>
      <c r="T285" s="12"/>
      <c r="U285" s="12"/>
      <c r="V285" s="12"/>
      <c r="W285" s="12"/>
      <c r="X285" s="12"/>
    </row>
    <row r="286" customFormat="false" ht="15.75" hidden="false" customHeight="false" outlineLevel="0" collapsed="false">
      <c r="A286" s="12"/>
      <c r="B286" s="34"/>
      <c r="C286" s="12"/>
      <c r="D286" s="12"/>
      <c r="E286" s="12"/>
      <c r="F286" s="12"/>
      <c r="G286" s="18"/>
      <c r="H286" s="35"/>
      <c r="I286" s="12"/>
      <c r="M286" s="12"/>
      <c r="N286" s="18"/>
      <c r="O286" s="12"/>
      <c r="P286" s="12"/>
      <c r="Q286" s="12"/>
      <c r="R286" s="36"/>
      <c r="S286" s="36"/>
      <c r="T286" s="12"/>
      <c r="U286" s="12"/>
      <c r="V286" s="12"/>
      <c r="W286" s="12"/>
      <c r="X286" s="12"/>
    </row>
    <row r="287" customFormat="false" ht="15.75" hidden="false" customHeight="false" outlineLevel="0" collapsed="false">
      <c r="A287" s="12"/>
      <c r="B287" s="34"/>
      <c r="C287" s="12"/>
      <c r="D287" s="12"/>
      <c r="E287" s="12"/>
      <c r="F287" s="12"/>
      <c r="G287" s="18"/>
      <c r="H287" s="35"/>
      <c r="I287" s="12"/>
      <c r="M287" s="12"/>
      <c r="N287" s="18"/>
      <c r="O287" s="12"/>
      <c r="P287" s="12"/>
      <c r="Q287" s="12"/>
      <c r="R287" s="36"/>
      <c r="S287" s="36"/>
      <c r="T287" s="12"/>
      <c r="U287" s="12"/>
      <c r="V287" s="12"/>
      <c r="W287" s="12"/>
      <c r="X287" s="12"/>
    </row>
    <row r="288" customFormat="false" ht="15.75" hidden="false" customHeight="false" outlineLevel="0" collapsed="false">
      <c r="A288" s="12"/>
      <c r="B288" s="34"/>
      <c r="C288" s="12"/>
      <c r="D288" s="12"/>
      <c r="E288" s="12"/>
      <c r="F288" s="12"/>
      <c r="G288" s="18"/>
      <c r="H288" s="35"/>
      <c r="I288" s="12"/>
      <c r="M288" s="12"/>
      <c r="N288" s="18"/>
      <c r="O288" s="12"/>
      <c r="P288" s="12"/>
      <c r="Q288" s="12"/>
      <c r="R288" s="36"/>
      <c r="S288" s="36"/>
      <c r="T288" s="12"/>
      <c r="U288" s="12"/>
      <c r="V288" s="12"/>
      <c r="W288" s="12"/>
      <c r="X288" s="12"/>
    </row>
    <row r="289" customFormat="false" ht="15.75" hidden="false" customHeight="false" outlineLevel="0" collapsed="false">
      <c r="A289" s="12"/>
      <c r="B289" s="34"/>
      <c r="C289" s="12"/>
      <c r="D289" s="12"/>
      <c r="E289" s="12"/>
      <c r="F289" s="12"/>
      <c r="G289" s="18"/>
      <c r="H289" s="35"/>
      <c r="I289" s="12"/>
      <c r="M289" s="12"/>
      <c r="N289" s="18"/>
      <c r="O289" s="12"/>
      <c r="P289" s="12"/>
      <c r="Q289" s="12"/>
      <c r="R289" s="36"/>
      <c r="S289" s="36"/>
      <c r="T289" s="12"/>
      <c r="U289" s="12"/>
      <c r="V289" s="12"/>
      <c r="W289" s="12"/>
      <c r="X289" s="12"/>
    </row>
    <row r="290" customFormat="false" ht="15.75" hidden="false" customHeight="false" outlineLevel="0" collapsed="false">
      <c r="A290" s="12"/>
      <c r="B290" s="34"/>
      <c r="C290" s="12"/>
      <c r="D290" s="12"/>
      <c r="E290" s="12"/>
      <c r="F290" s="12"/>
      <c r="G290" s="18"/>
      <c r="H290" s="35"/>
      <c r="I290" s="12"/>
      <c r="M290" s="12"/>
      <c r="N290" s="18"/>
      <c r="O290" s="12"/>
      <c r="P290" s="12"/>
      <c r="Q290" s="12"/>
      <c r="R290" s="36"/>
      <c r="S290" s="36"/>
      <c r="T290" s="12"/>
      <c r="U290" s="12"/>
      <c r="V290" s="12"/>
      <c r="W290" s="12"/>
      <c r="X290" s="12"/>
    </row>
    <row r="291" customFormat="false" ht="15.75" hidden="false" customHeight="false" outlineLevel="0" collapsed="false">
      <c r="A291" s="12"/>
      <c r="B291" s="34"/>
      <c r="C291" s="12"/>
      <c r="D291" s="12"/>
      <c r="E291" s="12"/>
      <c r="F291" s="12"/>
      <c r="G291" s="18"/>
      <c r="H291" s="35"/>
      <c r="I291" s="12"/>
      <c r="M291" s="12"/>
      <c r="N291" s="18"/>
      <c r="O291" s="12"/>
      <c r="P291" s="12"/>
      <c r="Q291" s="12"/>
      <c r="R291" s="36"/>
      <c r="S291" s="36"/>
      <c r="T291" s="12"/>
      <c r="U291" s="12"/>
      <c r="V291" s="12"/>
      <c r="W291" s="12"/>
      <c r="X291" s="12"/>
    </row>
    <row r="292" customFormat="false" ht="15.75" hidden="false" customHeight="false" outlineLevel="0" collapsed="false">
      <c r="A292" s="12"/>
      <c r="B292" s="34"/>
      <c r="C292" s="12"/>
      <c r="D292" s="12"/>
      <c r="E292" s="12"/>
      <c r="F292" s="12"/>
      <c r="G292" s="18"/>
      <c r="H292" s="35"/>
      <c r="I292" s="12"/>
      <c r="M292" s="12"/>
      <c r="N292" s="18"/>
      <c r="O292" s="12"/>
      <c r="P292" s="12"/>
      <c r="Q292" s="12"/>
      <c r="R292" s="36"/>
      <c r="S292" s="36"/>
      <c r="T292" s="12"/>
      <c r="U292" s="12"/>
      <c r="V292" s="12"/>
      <c r="W292" s="12"/>
      <c r="X292" s="12"/>
    </row>
    <row r="293" customFormat="false" ht="15.75" hidden="false" customHeight="false" outlineLevel="0" collapsed="false">
      <c r="A293" s="12"/>
      <c r="B293" s="34"/>
      <c r="C293" s="12"/>
      <c r="D293" s="12"/>
      <c r="E293" s="12"/>
      <c r="F293" s="12"/>
      <c r="G293" s="18"/>
      <c r="H293" s="35"/>
      <c r="I293" s="12"/>
      <c r="M293" s="12"/>
      <c r="N293" s="18"/>
      <c r="O293" s="12"/>
      <c r="P293" s="12"/>
      <c r="Q293" s="12"/>
      <c r="R293" s="36"/>
      <c r="S293" s="36"/>
      <c r="T293" s="12"/>
      <c r="U293" s="12"/>
      <c r="V293" s="12"/>
      <c r="W293" s="12"/>
      <c r="X293" s="12"/>
    </row>
    <row r="294" customFormat="false" ht="15.75" hidden="false" customHeight="false" outlineLevel="0" collapsed="false">
      <c r="A294" s="12"/>
      <c r="B294" s="34"/>
      <c r="C294" s="12"/>
      <c r="D294" s="12"/>
      <c r="E294" s="12"/>
      <c r="F294" s="12"/>
      <c r="G294" s="18"/>
      <c r="H294" s="35"/>
      <c r="I294" s="12"/>
      <c r="M294" s="12"/>
      <c r="N294" s="18"/>
      <c r="O294" s="12"/>
      <c r="P294" s="12"/>
      <c r="Q294" s="12"/>
      <c r="R294" s="36"/>
      <c r="S294" s="36"/>
      <c r="T294" s="12"/>
      <c r="U294" s="12"/>
      <c r="V294" s="12"/>
      <c r="W294" s="12"/>
      <c r="X294" s="12"/>
    </row>
    <row r="295" customFormat="false" ht="15.75" hidden="false" customHeight="false" outlineLevel="0" collapsed="false">
      <c r="A295" s="12"/>
      <c r="B295" s="34"/>
      <c r="C295" s="12"/>
      <c r="D295" s="12"/>
      <c r="E295" s="12"/>
      <c r="F295" s="12"/>
      <c r="G295" s="18"/>
      <c r="H295" s="35"/>
      <c r="I295" s="12"/>
      <c r="M295" s="12"/>
      <c r="N295" s="18"/>
      <c r="O295" s="12"/>
      <c r="P295" s="12"/>
      <c r="Q295" s="12"/>
      <c r="R295" s="36"/>
      <c r="S295" s="36"/>
      <c r="T295" s="12"/>
      <c r="U295" s="12"/>
      <c r="V295" s="12"/>
      <c r="W295" s="12"/>
      <c r="X295" s="12"/>
    </row>
    <row r="296" customFormat="false" ht="15.75" hidden="false" customHeight="false" outlineLevel="0" collapsed="false">
      <c r="A296" s="12"/>
      <c r="B296" s="34"/>
      <c r="C296" s="12"/>
      <c r="D296" s="12"/>
      <c r="E296" s="12"/>
      <c r="F296" s="12"/>
      <c r="G296" s="18"/>
      <c r="H296" s="35"/>
      <c r="I296" s="12"/>
      <c r="M296" s="12"/>
      <c r="N296" s="18"/>
      <c r="O296" s="12"/>
      <c r="P296" s="12"/>
      <c r="Q296" s="12"/>
      <c r="R296" s="36"/>
      <c r="S296" s="36"/>
      <c r="T296" s="12"/>
      <c r="U296" s="12"/>
      <c r="V296" s="12"/>
      <c r="W296" s="12"/>
      <c r="X296" s="12"/>
    </row>
    <row r="297" customFormat="false" ht="15.75" hidden="false" customHeight="false" outlineLevel="0" collapsed="false">
      <c r="A297" s="12"/>
      <c r="B297" s="34"/>
      <c r="C297" s="12"/>
      <c r="D297" s="12"/>
      <c r="E297" s="12"/>
      <c r="F297" s="12"/>
      <c r="G297" s="18"/>
      <c r="H297" s="35"/>
      <c r="I297" s="12"/>
      <c r="M297" s="12"/>
      <c r="N297" s="18"/>
      <c r="O297" s="12"/>
      <c r="P297" s="12"/>
      <c r="Q297" s="12"/>
      <c r="R297" s="36"/>
      <c r="S297" s="36"/>
      <c r="T297" s="12"/>
      <c r="U297" s="12"/>
      <c r="V297" s="12"/>
      <c r="W297" s="12"/>
      <c r="X297" s="12"/>
    </row>
    <row r="298" customFormat="false" ht="15.75" hidden="false" customHeight="false" outlineLevel="0" collapsed="false">
      <c r="A298" s="12"/>
      <c r="B298" s="34"/>
      <c r="C298" s="12"/>
      <c r="D298" s="12"/>
      <c r="E298" s="12"/>
      <c r="F298" s="12"/>
      <c r="G298" s="18"/>
      <c r="H298" s="35"/>
      <c r="I298" s="12"/>
      <c r="M298" s="12"/>
      <c r="N298" s="18"/>
      <c r="O298" s="12"/>
      <c r="P298" s="12"/>
      <c r="Q298" s="12"/>
      <c r="R298" s="36"/>
      <c r="S298" s="36"/>
      <c r="T298" s="12"/>
      <c r="U298" s="12"/>
      <c r="V298" s="12"/>
      <c r="W298" s="12"/>
      <c r="X298" s="12"/>
    </row>
    <row r="299" customFormat="false" ht="15.75" hidden="false" customHeight="false" outlineLevel="0" collapsed="false">
      <c r="A299" s="12"/>
      <c r="B299" s="34"/>
      <c r="C299" s="12"/>
      <c r="D299" s="12"/>
      <c r="E299" s="12"/>
      <c r="F299" s="12"/>
      <c r="G299" s="18"/>
      <c r="H299" s="35"/>
      <c r="I299" s="12"/>
      <c r="M299" s="12"/>
      <c r="N299" s="18"/>
      <c r="O299" s="12"/>
      <c r="P299" s="12"/>
      <c r="Q299" s="12"/>
      <c r="R299" s="36"/>
      <c r="S299" s="36"/>
      <c r="T299" s="12"/>
      <c r="U299" s="12"/>
      <c r="V299" s="12"/>
      <c r="W299" s="12"/>
      <c r="X299" s="12"/>
    </row>
    <row r="300" customFormat="false" ht="15.75" hidden="false" customHeight="false" outlineLevel="0" collapsed="false">
      <c r="A300" s="12"/>
      <c r="B300" s="34"/>
      <c r="C300" s="12"/>
      <c r="D300" s="12"/>
      <c r="E300" s="12"/>
      <c r="F300" s="12"/>
      <c r="G300" s="18"/>
      <c r="H300" s="35"/>
      <c r="I300" s="12"/>
      <c r="M300" s="12"/>
      <c r="N300" s="18"/>
      <c r="O300" s="12"/>
      <c r="P300" s="12"/>
      <c r="Q300" s="12"/>
      <c r="R300" s="36"/>
      <c r="S300" s="36"/>
      <c r="T300" s="12"/>
      <c r="U300" s="12"/>
      <c r="V300" s="12"/>
      <c r="W300" s="12"/>
      <c r="X300" s="12"/>
    </row>
    <row r="301" customFormat="false" ht="15.75" hidden="false" customHeight="false" outlineLevel="0" collapsed="false">
      <c r="A301" s="12"/>
      <c r="B301" s="34"/>
      <c r="C301" s="12"/>
      <c r="D301" s="12"/>
      <c r="E301" s="12"/>
      <c r="F301" s="12"/>
      <c r="G301" s="18"/>
      <c r="H301" s="35"/>
      <c r="I301" s="12"/>
      <c r="M301" s="12"/>
      <c r="N301" s="18"/>
      <c r="O301" s="12"/>
      <c r="P301" s="12"/>
      <c r="Q301" s="12"/>
      <c r="R301" s="36"/>
      <c r="S301" s="36"/>
      <c r="T301" s="12"/>
      <c r="U301" s="12"/>
      <c r="V301" s="12"/>
      <c r="W301" s="12"/>
      <c r="X301" s="12"/>
    </row>
    <row r="302" customFormat="false" ht="15.75" hidden="false" customHeight="false" outlineLevel="0" collapsed="false">
      <c r="A302" s="12"/>
      <c r="B302" s="34"/>
      <c r="C302" s="12"/>
      <c r="D302" s="12"/>
      <c r="E302" s="12"/>
      <c r="F302" s="12"/>
      <c r="G302" s="18"/>
      <c r="H302" s="35"/>
      <c r="I302" s="12"/>
      <c r="M302" s="12"/>
      <c r="N302" s="18"/>
      <c r="O302" s="12"/>
      <c r="P302" s="12"/>
      <c r="Q302" s="12"/>
      <c r="R302" s="36"/>
      <c r="S302" s="36"/>
      <c r="T302" s="12"/>
      <c r="U302" s="12"/>
      <c r="V302" s="12"/>
      <c r="W302" s="12"/>
      <c r="X302" s="12"/>
    </row>
    <row r="303" customFormat="false" ht="15.75" hidden="false" customHeight="false" outlineLevel="0" collapsed="false">
      <c r="A303" s="12"/>
      <c r="B303" s="34"/>
      <c r="C303" s="12"/>
      <c r="D303" s="12"/>
      <c r="E303" s="12"/>
      <c r="F303" s="12"/>
      <c r="G303" s="18"/>
      <c r="H303" s="35"/>
      <c r="I303" s="12"/>
      <c r="M303" s="12"/>
      <c r="N303" s="18"/>
      <c r="O303" s="12"/>
      <c r="P303" s="12"/>
      <c r="Q303" s="12"/>
      <c r="R303" s="36"/>
      <c r="S303" s="36"/>
      <c r="T303" s="12"/>
      <c r="U303" s="12"/>
      <c r="V303" s="12"/>
      <c r="W303" s="12"/>
      <c r="X303" s="12"/>
    </row>
    <row r="304" customFormat="false" ht="15.75" hidden="false" customHeight="false" outlineLevel="0" collapsed="false">
      <c r="A304" s="12"/>
      <c r="B304" s="34"/>
      <c r="C304" s="12"/>
      <c r="D304" s="12"/>
      <c r="E304" s="12"/>
      <c r="F304" s="12"/>
      <c r="G304" s="18"/>
      <c r="H304" s="35"/>
      <c r="I304" s="12"/>
      <c r="M304" s="12"/>
      <c r="N304" s="18"/>
      <c r="O304" s="12"/>
      <c r="P304" s="12"/>
      <c r="Q304" s="12"/>
      <c r="R304" s="36"/>
      <c r="S304" s="36"/>
      <c r="T304" s="12"/>
      <c r="U304" s="12"/>
      <c r="V304" s="12"/>
      <c r="W304" s="12"/>
      <c r="X304" s="12"/>
    </row>
    <row r="305" customFormat="false" ht="15.75" hidden="false" customHeight="false" outlineLevel="0" collapsed="false">
      <c r="A305" s="12"/>
      <c r="B305" s="34"/>
      <c r="C305" s="12"/>
      <c r="D305" s="12"/>
      <c r="E305" s="12"/>
      <c r="F305" s="12"/>
      <c r="G305" s="18"/>
      <c r="H305" s="35"/>
      <c r="I305" s="12"/>
      <c r="M305" s="12"/>
      <c r="N305" s="18"/>
      <c r="O305" s="12"/>
      <c r="P305" s="12"/>
      <c r="Q305" s="12"/>
      <c r="R305" s="36"/>
      <c r="S305" s="36"/>
      <c r="T305" s="12"/>
      <c r="U305" s="12"/>
      <c r="V305" s="12"/>
      <c r="W305" s="12"/>
      <c r="X305" s="12"/>
    </row>
    <row r="306" customFormat="false" ht="15.75" hidden="false" customHeight="false" outlineLevel="0" collapsed="false">
      <c r="A306" s="12"/>
      <c r="B306" s="34"/>
      <c r="C306" s="12"/>
      <c r="D306" s="12"/>
      <c r="E306" s="12"/>
      <c r="F306" s="12"/>
      <c r="G306" s="18"/>
      <c r="H306" s="35"/>
      <c r="I306" s="12"/>
      <c r="M306" s="12"/>
      <c r="N306" s="18"/>
      <c r="O306" s="12"/>
      <c r="P306" s="12"/>
      <c r="Q306" s="12"/>
      <c r="R306" s="36"/>
      <c r="S306" s="36"/>
      <c r="T306" s="12"/>
      <c r="U306" s="12"/>
      <c r="V306" s="12"/>
      <c r="W306" s="12"/>
      <c r="X306" s="12"/>
    </row>
    <row r="307" customFormat="false" ht="15.75" hidden="false" customHeight="false" outlineLevel="0" collapsed="false">
      <c r="A307" s="12"/>
      <c r="B307" s="34"/>
      <c r="C307" s="12"/>
      <c r="D307" s="12"/>
      <c r="E307" s="12"/>
      <c r="F307" s="12"/>
      <c r="G307" s="18"/>
      <c r="H307" s="35"/>
      <c r="I307" s="12"/>
      <c r="M307" s="12"/>
      <c r="N307" s="18"/>
      <c r="O307" s="12"/>
      <c r="P307" s="12"/>
      <c r="Q307" s="12"/>
      <c r="R307" s="36"/>
      <c r="S307" s="36"/>
      <c r="T307" s="12"/>
      <c r="U307" s="12"/>
      <c r="V307" s="12"/>
      <c r="W307" s="12"/>
      <c r="X307" s="12"/>
    </row>
    <row r="308" customFormat="false" ht="15.75" hidden="false" customHeight="false" outlineLevel="0" collapsed="false">
      <c r="A308" s="12"/>
      <c r="B308" s="34"/>
      <c r="C308" s="12"/>
      <c r="D308" s="12"/>
      <c r="E308" s="12"/>
      <c r="F308" s="12"/>
      <c r="G308" s="18"/>
      <c r="H308" s="35"/>
      <c r="I308" s="12"/>
      <c r="M308" s="12"/>
      <c r="N308" s="18"/>
      <c r="O308" s="12"/>
      <c r="P308" s="12"/>
      <c r="Q308" s="12"/>
      <c r="R308" s="36"/>
      <c r="S308" s="36"/>
      <c r="T308" s="12"/>
      <c r="U308" s="12"/>
      <c r="V308" s="12"/>
      <c r="W308" s="12"/>
      <c r="X308" s="12"/>
    </row>
    <row r="309" customFormat="false" ht="15.75" hidden="false" customHeight="false" outlineLevel="0" collapsed="false">
      <c r="A309" s="12"/>
      <c r="B309" s="34"/>
      <c r="C309" s="12"/>
      <c r="D309" s="12"/>
      <c r="E309" s="12"/>
      <c r="F309" s="12"/>
      <c r="G309" s="18"/>
      <c r="H309" s="35"/>
      <c r="I309" s="12"/>
      <c r="M309" s="12"/>
      <c r="N309" s="18"/>
      <c r="O309" s="12"/>
      <c r="P309" s="12"/>
      <c r="Q309" s="12"/>
      <c r="R309" s="36"/>
      <c r="S309" s="36"/>
      <c r="T309" s="12"/>
      <c r="U309" s="12"/>
      <c r="V309" s="12"/>
      <c r="W309" s="12"/>
      <c r="X309" s="12"/>
    </row>
    <row r="310" customFormat="false" ht="15.75" hidden="false" customHeight="false" outlineLevel="0" collapsed="false">
      <c r="A310" s="12"/>
      <c r="B310" s="34"/>
      <c r="C310" s="12"/>
      <c r="D310" s="12"/>
      <c r="E310" s="12"/>
      <c r="F310" s="12"/>
      <c r="G310" s="18"/>
      <c r="H310" s="35"/>
      <c r="I310" s="12"/>
      <c r="M310" s="12"/>
      <c r="N310" s="18"/>
      <c r="O310" s="12"/>
      <c r="P310" s="12"/>
      <c r="Q310" s="12"/>
      <c r="R310" s="36"/>
      <c r="S310" s="36"/>
      <c r="T310" s="12"/>
      <c r="U310" s="12"/>
      <c r="V310" s="12"/>
      <c r="W310" s="12"/>
      <c r="X310" s="12"/>
    </row>
    <row r="311" customFormat="false" ht="15.75" hidden="false" customHeight="false" outlineLevel="0" collapsed="false">
      <c r="A311" s="12"/>
      <c r="B311" s="34"/>
      <c r="C311" s="12"/>
      <c r="D311" s="12"/>
      <c r="E311" s="12"/>
      <c r="F311" s="12"/>
      <c r="G311" s="18"/>
      <c r="H311" s="35"/>
      <c r="I311" s="12"/>
      <c r="M311" s="12"/>
      <c r="N311" s="18"/>
      <c r="O311" s="12"/>
      <c r="P311" s="12"/>
      <c r="Q311" s="12"/>
      <c r="R311" s="36"/>
      <c r="S311" s="36"/>
      <c r="T311" s="12"/>
      <c r="U311" s="12"/>
      <c r="V311" s="12"/>
      <c r="W311" s="12"/>
      <c r="X311" s="12"/>
    </row>
    <row r="312" customFormat="false" ht="15.75" hidden="false" customHeight="false" outlineLevel="0" collapsed="false">
      <c r="A312" s="12"/>
      <c r="B312" s="34"/>
      <c r="C312" s="12"/>
      <c r="D312" s="12"/>
      <c r="E312" s="12"/>
      <c r="F312" s="12"/>
      <c r="G312" s="18"/>
      <c r="H312" s="35"/>
      <c r="I312" s="12"/>
      <c r="M312" s="12"/>
      <c r="N312" s="18"/>
      <c r="O312" s="12"/>
      <c r="P312" s="12"/>
      <c r="Q312" s="12"/>
      <c r="R312" s="36"/>
      <c r="S312" s="36"/>
      <c r="T312" s="12"/>
      <c r="U312" s="12"/>
      <c r="V312" s="12"/>
      <c r="W312" s="12"/>
      <c r="X312" s="12"/>
    </row>
    <row r="313" customFormat="false" ht="15.75" hidden="false" customHeight="false" outlineLevel="0" collapsed="false">
      <c r="A313" s="12"/>
      <c r="B313" s="34"/>
      <c r="C313" s="12"/>
      <c r="D313" s="12"/>
      <c r="E313" s="12"/>
      <c r="F313" s="12"/>
      <c r="G313" s="18"/>
      <c r="H313" s="35"/>
      <c r="I313" s="12"/>
      <c r="M313" s="12"/>
      <c r="N313" s="18"/>
      <c r="O313" s="12"/>
      <c r="P313" s="12"/>
      <c r="Q313" s="12"/>
      <c r="R313" s="36"/>
      <c r="S313" s="36"/>
      <c r="T313" s="12"/>
      <c r="U313" s="12"/>
      <c r="V313" s="12"/>
      <c r="W313" s="12"/>
      <c r="X313" s="12"/>
    </row>
    <row r="314" customFormat="false" ht="15.75" hidden="false" customHeight="false" outlineLevel="0" collapsed="false">
      <c r="A314" s="12"/>
      <c r="B314" s="34"/>
      <c r="C314" s="12"/>
      <c r="D314" s="12"/>
      <c r="E314" s="12"/>
      <c r="F314" s="12"/>
      <c r="G314" s="18"/>
      <c r="H314" s="35"/>
      <c r="I314" s="12"/>
      <c r="M314" s="12"/>
      <c r="N314" s="18"/>
      <c r="O314" s="12"/>
      <c r="P314" s="12"/>
      <c r="Q314" s="12"/>
      <c r="R314" s="36"/>
      <c r="S314" s="36"/>
      <c r="T314" s="12"/>
      <c r="U314" s="12"/>
      <c r="V314" s="12"/>
      <c r="W314" s="12"/>
      <c r="X314" s="12"/>
    </row>
    <row r="315" customFormat="false" ht="15.75" hidden="false" customHeight="false" outlineLevel="0" collapsed="false">
      <c r="A315" s="12"/>
      <c r="B315" s="34"/>
      <c r="C315" s="12"/>
      <c r="D315" s="12"/>
      <c r="E315" s="12"/>
      <c r="F315" s="12"/>
      <c r="G315" s="18"/>
      <c r="H315" s="35"/>
      <c r="I315" s="12"/>
      <c r="M315" s="12"/>
      <c r="N315" s="18"/>
      <c r="O315" s="12"/>
      <c r="P315" s="12"/>
      <c r="Q315" s="12"/>
      <c r="R315" s="36"/>
      <c r="S315" s="36"/>
      <c r="T315" s="12"/>
      <c r="U315" s="12"/>
      <c r="V315" s="12"/>
      <c r="W315" s="12"/>
      <c r="X315" s="12"/>
    </row>
    <row r="316" customFormat="false" ht="15.75" hidden="false" customHeight="false" outlineLevel="0" collapsed="false">
      <c r="A316" s="12"/>
      <c r="B316" s="34"/>
      <c r="C316" s="12"/>
      <c r="D316" s="12"/>
      <c r="E316" s="12"/>
      <c r="F316" s="12"/>
      <c r="G316" s="18"/>
      <c r="H316" s="35"/>
      <c r="I316" s="12"/>
      <c r="M316" s="12"/>
      <c r="N316" s="18"/>
      <c r="O316" s="12"/>
      <c r="P316" s="12"/>
      <c r="Q316" s="12"/>
      <c r="R316" s="36"/>
      <c r="S316" s="36"/>
      <c r="T316" s="12"/>
      <c r="U316" s="12"/>
      <c r="V316" s="12"/>
      <c r="W316" s="12"/>
      <c r="X316" s="12"/>
    </row>
    <row r="317" customFormat="false" ht="15.75" hidden="false" customHeight="false" outlineLevel="0" collapsed="false">
      <c r="A317" s="12"/>
      <c r="B317" s="34"/>
      <c r="C317" s="12"/>
      <c r="D317" s="12"/>
      <c r="E317" s="12"/>
      <c r="F317" s="12"/>
      <c r="G317" s="18"/>
      <c r="H317" s="35"/>
      <c r="I317" s="12"/>
      <c r="M317" s="12"/>
      <c r="N317" s="18"/>
      <c r="O317" s="12"/>
      <c r="P317" s="12"/>
      <c r="Q317" s="12"/>
      <c r="R317" s="36"/>
      <c r="S317" s="36"/>
      <c r="T317" s="12"/>
      <c r="U317" s="12"/>
      <c r="V317" s="12"/>
      <c r="W317" s="12"/>
      <c r="X317" s="12"/>
    </row>
    <row r="318" customFormat="false" ht="15.75" hidden="false" customHeight="false" outlineLevel="0" collapsed="false">
      <c r="A318" s="12"/>
      <c r="B318" s="34"/>
      <c r="C318" s="12"/>
      <c r="D318" s="12"/>
      <c r="E318" s="12"/>
      <c r="F318" s="12"/>
      <c r="G318" s="18"/>
      <c r="H318" s="35"/>
      <c r="I318" s="12"/>
      <c r="M318" s="12"/>
      <c r="N318" s="18"/>
      <c r="O318" s="12"/>
      <c r="P318" s="12"/>
      <c r="Q318" s="12"/>
      <c r="R318" s="36"/>
      <c r="S318" s="36"/>
      <c r="T318" s="12"/>
      <c r="U318" s="12"/>
      <c r="V318" s="12"/>
      <c r="W318" s="12"/>
      <c r="X318" s="12"/>
    </row>
    <row r="319" customFormat="false" ht="15.75" hidden="false" customHeight="false" outlineLevel="0" collapsed="false">
      <c r="A319" s="12"/>
      <c r="B319" s="34"/>
      <c r="C319" s="12"/>
      <c r="D319" s="12"/>
      <c r="E319" s="12"/>
      <c r="F319" s="12"/>
      <c r="G319" s="18"/>
      <c r="H319" s="35"/>
      <c r="I319" s="12"/>
      <c r="M319" s="12"/>
      <c r="N319" s="18"/>
      <c r="O319" s="12"/>
      <c r="P319" s="12"/>
      <c r="Q319" s="12"/>
      <c r="R319" s="36"/>
      <c r="S319" s="36"/>
      <c r="T319" s="12"/>
      <c r="U319" s="12"/>
      <c r="V319" s="12"/>
      <c r="W319" s="12"/>
      <c r="X319" s="12"/>
    </row>
    <row r="320" customFormat="false" ht="15.75" hidden="false" customHeight="false" outlineLevel="0" collapsed="false">
      <c r="A320" s="12"/>
      <c r="B320" s="34"/>
      <c r="C320" s="12"/>
      <c r="D320" s="12"/>
      <c r="E320" s="12"/>
      <c r="F320" s="12"/>
      <c r="G320" s="18"/>
      <c r="H320" s="35"/>
      <c r="I320" s="12"/>
      <c r="M320" s="12"/>
      <c r="N320" s="18"/>
      <c r="O320" s="12"/>
      <c r="P320" s="12"/>
      <c r="Q320" s="12"/>
      <c r="R320" s="36"/>
      <c r="S320" s="36"/>
      <c r="T320" s="12"/>
      <c r="U320" s="12"/>
      <c r="V320" s="12"/>
      <c r="W320" s="12"/>
      <c r="X320" s="12"/>
    </row>
    <row r="321" customFormat="false" ht="15.75" hidden="false" customHeight="false" outlineLevel="0" collapsed="false">
      <c r="A321" s="12"/>
      <c r="B321" s="34"/>
      <c r="C321" s="12"/>
      <c r="D321" s="12"/>
      <c r="E321" s="12"/>
      <c r="F321" s="12"/>
      <c r="G321" s="18"/>
      <c r="H321" s="35"/>
      <c r="I321" s="12"/>
      <c r="M321" s="12"/>
      <c r="N321" s="18"/>
      <c r="O321" s="12"/>
      <c r="P321" s="12"/>
      <c r="Q321" s="12"/>
      <c r="R321" s="36"/>
      <c r="S321" s="36"/>
      <c r="T321" s="12"/>
      <c r="U321" s="12"/>
      <c r="V321" s="12"/>
      <c r="W321" s="12"/>
      <c r="X321" s="12"/>
    </row>
    <row r="322" customFormat="false" ht="15.75" hidden="false" customHeight="false" outlineLevel="0" collapsed="false">
      <c r="A322" s="12"/>
      <c r="B322" s="34"/>
      <c r="C322" s="12"/>
      <c r="D322" s="12"/>
      <c r="E322" s="12"/>
      <c r="F322" s="12"/>
      <c r="G322" s="18"/>
      <c r="H322" s="35"/>
      <c r="I322" s="12"/>
      <c r="M322" s="12"/>
      <c r="N322" s="18"/>
      <c r="O322" s="12"/>
      <c r="P322" s="12"/>
      <c r="Q322" s="12"/>
      <c r="R322" s="36"/>
      <c r="S322" s="36"/>
      <c r="T322" s="12"/>
      <c r="U322" s="12"/>
      <c r="V322" s="12"/>
      <c r="W322" s="12"/>
      <c r="X322" s="12"/>
    </row>
    <row r="323" customFormat="false" ht="15.75" hidden="false" customHeight="false" outlineLevel="0" collapsed="false">
      <c r="A323" s="12"/>
      <c r="B323" s="34"/>
      <c r="C323" s="12"/>
      <c r="D323" s="12"/>
      <c r="E323" s="12"/>
      <c r="F323" s="12"/>
      <c r="G323" s="18"/>
      <c r="H323" s="35"/>
      <c r="I323" s="12"/>
      <c r="M323" s="12"/>
      <c r="N323" s="18"/>
      <c r="O323" s="12"/>
      <c r="P323" s="12"/>
      <c r="Q323" s="12"/>
      <c r="R323" s="36"/>
      <c r="S323" s="36"/>
      <c r="T323" s="12"/>
      <c r="U323" s="12"/>
      <c r="V323" s="12"/>
      <c r="W323" s="12"/>
      <c r="X323" s="12"/>
    </row>
    <row r="324" customFormat="false" ht="15.75" hidden="false" customHeight="false" outlineLevel="0" collapsed="false">
      <c r="A324" s="12"/>
      <c r="B324" s="34"/>
      <c r="C324" s="12"/>
      <c r="D324" s="12"/>
      <c r="E324" s="12"/>
      <c r="F324" s="12"/>
      <c r="G324" s="18"/>
      <c r="H324" s="35"/>
      <c r="I324" s="12"/>
      <c r="M324" s="12"/>
      <c r="N324" s="18"/>
      <c r="O324" s="12"/>
      <c r="P324" s="12"/>
      <c r="Q324" s="12"/>
      <c r="R324" s="36"/>
      <c r="S324" s="36"/>
      <c r="T324" s="12"/>
      <c r="U324" s="12"/>
      <c r="V324" s="12"/>
      <c r="W324" s="12"/>
      <c r="X324" s="12"/>
    </row>
    <row r="325" customFormat="false" ht="15.75" hidden="false" customHeight="false" outlineLevel="0" collapsed="false">
      <c r="A325" s="12"/>
      <c r="B325" s="34"/>
      <c r="C325" s="12"/>
      <c r="D325" s="12"/>
      <c r="E325" s="12"/>
      <c r="F325" s="12"/>
      <c r="G325" s="18"/>
      <c r="H325" s="35"/>
      <c r="I325" s="12"/>
      <c r="M325" s="12"/>
      <c r="N325" s="18"/>
      <c r="O325" s="12"/>
      <c r="P325" s="12"/>
      <c r="Q325" s="12"/>
      <c r="R325" s="36"/>
      <c r="S325" s="36"/>
      <c r="T325" s="12"/>
      <c r="U325" s="12"/>
      <c r="V325" s="12"/>
      <c r="W325" s="12"/>
      <c r="X325" s="12"/>
    </row>
    <row r="326" customFormat="false" ht="15.75" hidden="false" customHeight="false" outlineLevel="0" collapsed="false">
      <c r="A326" s="12"/>
      <c r="B326" s="34"/>
      <c r="C326" s="12"/>
      <c r="D326" s="12"/>
      <c r="E326" s="12"/>
      <c r="F326" s="12"/>
      <c r="G326" s="18"/>
      <c r="H326" s="35"/>
      <c r="I326" s="12"/>
      <c r="M326" s="12"/>
      <c r="N326" s="18"/>
      <c r="O326" s="12"/>
      <c r="P326" s="12"/>
      <c r="Q326" s="12"/>
      <c r="R326" s="36"/>
      <c r="S326" s="36"/>
      <c r="T326" s="12"/>
      <c r="U326" s="12"/>
      <c r="V326" s="12"/>
      <c r="W326" s="12"/>
      <c r="X326" s="12"/>
    </row>
    <row r="327" customFormat="false" ht="15.75" hidden="false" customHeight="false" outlineLevel="0" collapsed="false">
      <c r="A327" s="12"/>
      <c r="B327" s="34"/>
      <c r="C327" s="12"/>
      <c r="D327" s="12"/>
      <c r="E327" s="12"/>
      <c r="F327" s="12"/>
      <c r="G327" s="18"/>
      <c r="H327" s="35"/>
      <c r="I327" s="12"/>
      <c r="M327" s="12"/>
      <c r="N327" s="18"/>
      <c r="O327" s="12"/>
      <c r="P327" s="12"/>
      <c r="Q327" s="12"/>
      <c r="R327" s="36"/>
      <c r="S327" s="36"/>
      <c r="T327" s="12"/>
      <c r="U327" s="12"/>
      <c r="V327" s="12"/>
      <c r="W327" s="12"/>
      <c r="X327" s="12"/>
    </row>
    <row r="328" customFormat="false" ht="15.75" hidden="false" customHeight="false" outlineLevel="0" collapsed="false">
      <c r="A328" s="12"/>
      <c r="B328" s="34"/>
      <c r="C328" s="12"/>
      <c r="D328" s="12"/>
      <c r="E328" s="12"/>
      <c r="F328" s="12"/>
      <c r="G328" s="18"/>
      <c r="H328" s="35"/>
      <c r="I328" s="12"/>
      <c r="M328" s="12"/>
      <c r="N328" s="18"/>
      <c r="O328" s="12"/>
      <c r="P328" s="12"/>
      <c r="Q328" s="12"/>
      <c r="R328" s="36"/>
      <c r="S328" s="36"/>
      <c r="T328" s="12"/>
      <c r="U328" s="12"/>
      <c r="V328" s="12"/>
      <c r="W328" s="12"/>
      <c r="X328" s="12"/>
    </row>
    <row r="329" customFormat="false" ht="15.75" hidden="false" customHeight="false" outlineLevel="0" collapsed="false">
      <c r="A329" s="12"/>
      <c r="B329" s="34"/>
      <c r="C329" s="12"/>
      <c r="D329" s="12"/>
      <c r="E329" s="12"/>
      <c r="F329" s="12"/>
      <c r="G329" s="18"/>
      <c r="H329" s="35"/>
      <c r="I329" s="12"/>
      <c r="M329" s="12"/>
      <c r="N329" s="18"/>
      <c r="O329" s="12"/>
      <c r="P329" s="12"/>
      <c r="Q329" s="12"/>
      <c r="R329" s="36"/>
      <c r="S329" s="36"/>
      <c r="T329" s="12"/>
      <c r="U329" s="12"/>
      <c r="V329" s="12"/>
      <c r="W329" s="12"/>
      <c r="X329" s="12"/>
    </row>
    <row r="330" customFormat="false" ht="15.75" hidden="false" customHeight="false" outlineLevel="0" collapsed="false">
      <c r="A330" s="12"/>
      <c r="B330" s="34"/>
      <c r="C330" s="12"/>
      <c r="D330" s="12"/>
      <c r="E330" s="12"/>
      <c r="F330" s="12"/>
      <c r="G330" s="18"/>
      <c r="H330" s="35"/>
      <c r="I330" s="12"/>
      <c r="M330" s="12"/>
      <c r="N330" s="18"/>
      <c r="O330" s="12"/>
      <c r="P330" s="12"/>
      <c r="Q330" s="12"/>
      <c r="R330" s="36"/>
      <c r="S330" s="36"/>
      <c r="T330" s="12"/>
      <c r="U330" s="12"/>
      <c r="V330" s="12"/>
      <c r="W330" s="12"/>
      <c r="X330" s="12"/>
    </row>
    <row r="331" customFormat="false" ht="15.75" hidden="false" customHeight="false" outlineLevel="0" collapsed="false">
      <c r="A331" s="12"/>
      <c r="B331" s="34"/>
      <c r="C331" s="12"/>
      <c r="D331" s="12"/>
      <c r="E331" s="12"/>
      <c r="F331" s="12"/>
      <c r="G331" s="18"/>
      <c r="H331" s="35"/>
      <c r="I331" s="12"/>
      <c r="M331" s="12"/>
      <c r="N331" s="18"/>
      <c r="O331" s="12"/>
      <c r="P331" s="12"/>
      <c r="Q331" s="12"/>
      <c r="R331" s="36"/>
      <c r="S331" s="36"/>
      <c r="T331" s="12"/>
      <c r="U331" s="12"/>
      <c r="V331" s="12"/>
      <c r="W331" s="12"/>
      <c r="X331" s="12"/>
    </row>
    <row r="332" customFormat="false" ht="15.75" hidden="false" customHeight="false" outlineLevel="0" collapsed="false">
      <c r="A332" s="12"/>
      <c r="B332" s="34"/>
      <c r="C332" s="12"/>
      <c r="D332" s="12"/>
      <c r="E332" s="12"/>
      <c r="F332" s="12"/>
      <c r="G332" s="18"/>
      <c r="H332" s="35"/>
      <c r="I332" s="12"/>
      <c r="M332" s="12"/>
      <c r="N332" s="18"/>
      <c r="O332" s="12"/>
      <c r="P332" s="12"/>
      <c r="Q332" s="12"/>
      <c r="R332" s="36"/>
      <c r="S332" s="36"/>
      <c r="T332" s="12"/>
      <c r="U332" s="12"/>
      <c r="V332" s="12"/>
      <c r="W332" s="12"/>
      <c r="X332" s="12"/>
    </row>
    <row r="333" customFormat="false" ht="15.75" hidden="false" customHeight="false" outlineLevel="0" collapsed="false">
      <c r="A333" s="12"/>
      <c r="B333" s="34"/>
      <c r="C333" s="12"/>
      <c r="D333" s="12"/>
      <c r="E333" s="12"/>
      <c r="F333" s="12"/>
      <c r="G333" s="18"/>
      <c r="H333" s="35"/>
      <c r="I333" s="12"/>
      <c r="M333" s="12"/>
      <c r="N333" s="18"/>
      <c r="O333" s="12"/>
      <c r="P333" s="12"/>
      <c r="Q333" s="12"/>
      <c r="R333" s="36"/>
      <c r="S333" s="36"/>
      <c r="T333" s="12"/>
      <c r="U333" s="12"/>
      <c r="V333" s="12"/>
      <c r="W333" s="12"/>
      <c r="X333" s="12"/>
    </row>
    <row r="334" customFormat="false" ht="15.75" hidden="false" customHeight="false" outlineLevel="0" collapsed="false">
      <c r="A334" s="12"/>
      <c r="B334" s="34"/>
      <c r="C334" s="12"/>
      <c r="D334" s="12"/>
      <c r="E334" s="12"/>
      <c r="F334" s="12"/>
      <c r="G334" s="18"/>
      <c r="H334" s="35"/>
      <c r="I334" s="12"/>
      <c r="M334" s="12"/>
      <c r="N334" s="18"/>
      <c r="O334" s="12"/>
      <c r="P334" s="12"/>
      <c r="Q334" s="12"/>
      <c r="R334" s="36"/>
      <c r="S334" s="36"/>
      <c r="T334" s="12"/>
      <c r="U334" s="12"/>
      <c r="V334" s="12"/>
      <c r="W334" s="12"/>
      <c r="X334" s="12"/>
    </row>
    <row r="335" customFormat="false" ht="15.75" hidden="false" customHeight="false" outlineLevel="0" collapsed="false">
      <c r="A335" s="12"/>
      <c r="B335" s="34"/>
      <c r="C335" s="12"/>
      <c r="D335" s="12"/>
      <c r="E335" s="12"/>
      <c r="F335" s="12"/>
      <c r="G335" s="18"/>
      <c r="H335" s="35"/>
      <c r="I335" s="12"/>
      <c r="M335" s="12"/>
      <c r="N335" s="18"/>
      <c r="O335" s="12"/>
      <c r="P335" s="12"/>
      <c r="Q335" s="12"/>
      <c r="R335" s="36"/>
      <c r="S335" s="36"/>
      <c r="T335" s="12"/>
      <c r="U335" s="12"/>
      <c r="V335" s="12"/>
      <c r="W335" s="12"/>
      <c r="X335" s="12"/>
    </row>
    <row r="336" customFormat="false" ht="15.75" hidden="false" customHeight="false" outlineLevel="0" collapsed="false">
      <c r="A336" s="12"/>
      <c r="B336" s="34"/>
      <c r="C336" s="12"/>
      <c r="D336" s="12"/>
      <c r="E336" s="12"/>
      <c r="F336" s="12"/>
      <c r="G336" s="18"/>
      <c r="H336" s="35"/>
      <c r="I336" s="12"/>
      <c r="M336" s="12"/>
      <c r="N336" s="18"/>
      <c r="O336" s="12"/>
      <c r="P336" s="12"/>
      <c r="Q336" s="12"/>
      <c r="R336" s="36"/>
      <c r="S336" s="36"/>
      <c r="T336" s="12"/>
      <c r="U336" s="12"/>
      <c r="V336" s="12"/>
      <c r="W336" s="12"/>
      <c r="X336" s="12"/>
    </row>
    <row r="337" customFormat="false" ht="15.75" hidden="false" customHeight="false" outlineLevel="0" collapsed="false">
      <c r="A337" s="12"/>
      <c r="B337" s="34"/>
      <c r="C337" s="12"/>
      <c r="D337" s="12"/>
      <c r="E337" s="12"/>
      <c r="F337" s="12"/>
      <c r="G337" s="18"/>
      <c r="H337" s="35"/>
      <c r="I337" s="12"/>
      <c r="M337" s="12"/>
      <c r="N337" s="18"/>
      <c r="O337" s="12"/>
      <c r="P337" s="12"/>
      <c r="Q337" s="12"/>
      <c r="R337" s="36"/>
      <c r="S337" s="36"/>
      <c r="T337" s="12"/>
      <c r="U337" s="12"/>
      <c r="V337" s="12"/>
      <c r="W337" s="12"/>
      <c r="X337" s="12"/>
    </row>
    <row r="338" customFormat="false" ht="15.75" hidden="false" customHeight="false" outlineLevel="0" collapsed="false">
      <c r="A338" s="12"/>
      <c r="B338" s="34"/>
      <c r="C338" s="12"/>
      <c r="D338" s="12"/>
      <c r="E338" s="12"/>
      <c r="F338" s="12"/>
      <c r="G338" s="18"/>
      <c r="H338" s="35"/>
      <c r="I338" s="12"/>
      <c r="M338" s="12"/>
      <c r="N338" s="18"/>
      <c r="O338" s="12"/>
      <c r="P338" s="12"/>
      <c r="Q338" s="12"/>
      <c r="R338" s="36"/>
      <c r="S338" s="36"/>
      <c r="T338" s="12"/>
      <c r="U338" s="12"/>
      <c r="V338" s="12"/>
      <c r="W338" s="12"/>
      <c r="X338" s="12"/>
    </row>
    <row r="339" customFormat="false" ht="15.75" hidden="false" customHeight="false" outlineLevel="0" collapsed="false">
      <c r="A339" s="12"/>
      <c r="B339" s="34"/>
      <c r="C339" s="12"/>
      <c r="D339" s="12"/>
      <c r="E339" s="12"/>
      <c r="F339" s="12"/>
      <c r="G339" s="18"/>
      <c r="H339" s="35"/>
      <c r="I339" s="12"/>
      <c r="M339" s="12"/>
      <c r="N339" s="18"/>
      <c r="O339" s="12"/>
      <c r="P339" s="12"/>
      <c r="Q339" s="12"/>
      <c r="R339" s="36"/>
      <c r="S339" s="36"/>
      <c r="T339" s="12"/>
      <c r="U339" s="12"/>
      <c r="V339" s="12"/>
      <c r="W339" s="12"/>
      <c r="X339" s="12"/>
    </row>
    <row r="340" customFormat="false" ht="15.75" hidden="false" customHeight="false" outlineLevel="0" collapsed="false">
      <c r="A340" s="12"/>
      <c r="B340" s="34"/>
      <c r="C340" s="12"/>
      <c r="D340" s="12"/>
      <c r="E340" s="12"/>
      <c r="F340" s="12"/>
      <c r="G340" s="18"/>
      <c r="H340" s="35"/>
      <c r="I340" s="12"/>
      <c r="M340" s="12"/>
      <c r="N340" s="18"/>
      <c r="O340" s="12"/>
      <c r="P340" s="12"/>
      <c r="Q340" s="12"/>
      <c r="R340" s="36"/>
      <c r="S340" s="36"/>
      <c r="T340" s="12"/>
      <c r="U340" s="12"/>
      <c r="V340" s="12"/>
      <c r="W340" s="12"/>
      <c r="X340" s="12"/>
    </row>
    <row r="341" customFormat="false" ht="15.75" hidden="false" customHeight="false" outlineLevel="0" collapsed="false">
      <c r="A341" s="12"/>
      <c r="B341" s="34"/>
      <c r="C341" s="12"/>
      <c r="D341" s="12"/>
      <c r="E341" s="12"/>
      <c r="F341" s="12"/>
      <c r="G341" s="18"/>
      <c r="H341" s="35"/>
      <c r="I341" s="12"/>
      <c r="M341" s="12"/>
      <c r="N341" s="18"/>
      <c r="O341" s="12"/>
      <c r="P341" s="12"/>
      <c r="Q341" s="12"/>
      <c r="R341" s="36"/>
      <c r="S341" s="36"/>
      <c r="T341" s="12"/>
      <c r="U341" s="12"/>
      <c r="V341" s="12"/>
      <c r="W341" s="12"/>
      <c r="X341" s="12"/>
    </row>
    <row r="342" customFormat="false" ht="15.75" hidden="false" customHeight="false" outlineLevel="0" collapsed="false">
      <c r="A342" s="12"/>
      <c r="B342" s="34"/>
      <c r="C342" s="12"/>
      <c r="D342" s="12"/>
      <c r="E342" s="12"/>
      <c r="F342" s="12"/>
      <c r="G342" s="18"/>
      <c r="H342" s="35"/>
      <c r="I342" s="12"/>
      <c r="M342" s="12"/>
      <c r="N342" s="18"/>
      <c r="O342" s="12"/>
      <c r="P342" s="12"/>
      <c r="Q342" s="12"/>
      <c r="R342" s="36"/>
      <c r="S342" s="36"/>
      <c r="T342" s="12"/>
      <c r="U342" s="12"/>
      <c r="V342" s="12"/>
      <c r="W342" s="12"/>
      <c r="X342" s="12"/>
    </row>
    <row r="343" customFormat="false" ht="15.75" hidden="false" customHeight="false" outlineLevel="0" collapsed="false">
      <c r="A343" s="12"/>
      <c r="B343" s="34"/>
      <c r="C343" s="12"/>
      <c r="D343" s="12"/>
      <c r="E343" s="12"/>
      <c r="F343" s="12"/>
      <c r="G343" s="18"/>
      <c r="H343" s="35"/>
      <c r="I343" s="12"/>
      <c r="M343" s="12"/>
      <c r="N343" s="18"/>
      <c r="O343" s="12"/>
      <c r="P343" s="12"/>
      <c r="Q343" s="12"/>
      <c r="R343" s="36"/>
      <c r="S343" s="36"/>
      <c r="T343" s="12"/>
      <c r="U343" s="12"/>
      <c r="V343" s="12"/>
      <c r="W343" s="12"/>
      <c r="X343" s="12"/>
    </row>
    <row r="344" customFormat="false" ht="15.75" hidden="false" customHeight="false" outlineLevel="0" collapsed="false">
      <c r="A344" s="12"/>
      <c r="B344" s="34"/>
      <c r="C344" s="12"/>
      <c r="D344" s="12"/>
      <c r="E344" s="12"/>
      <c r="F344" s="12"/>
      <c r="G344" s="18"/>
      <c r="H344" s="35"/>
      <c r="I344" s="12"/>
      <c r="M344" s="12"/>
      <c r="N344" s="18"/>
      <c r="O344" s="12"/>
      <c r="P344" s="12"/>
      <c r="Q344" s="12"/>
      <c r="R344" s="36"/>
      <c r="S344" s="36"/>
      <c r="T344" s="12"/>
      <c r="U344" s="12"/>
      <c r="V344" s="12"/>
      <c r="W344" s="12"/>
      <c r="X344" s="12"/>
    </row>
    <row r="345" customFormat="false" ht="15.75" hidden="false" customHeight="false" outlineLevel="0" collapsed="false">
      <c r="A345" s="12"/>
      <c r="B345" s="34"/>
      <c r="C345" s="12"/>
      <c r="D345" s="12"/>
      <c r="E345" s="12"/>
      <c r="F345" s="12"/>
      <c r="G345" s="18"/>
      <c r="H345" s="35"/>
      <c r="I345" s="12"/>
      <c r="M345" s="12"/>
      <c r="N345" s="18"/>
      <c r="O345" s="12"/>
      <c r="P345" s="12"/>
      <c r="Q345" s="12"/>
      <c r="R345" s="36"/>
      <c r="S345" s="36"/>
      <c r="T345" s="12"/>
      <c r="U345" s="12"/>
      <c r="V345" s="12"/>
      <c r="W345" s="12"/>
      <c r="X345" s="12"/>
    </row>
    <row r="346" customFormat="false" ht="15.75" hidden="false" customHeight="false" outlineLevel="0" collapsed="false">
      <c r="A346" s="12"/>
      <c r="B346" s="34"/>
      <c r="C346" s="12"/>
      <c r="D346" s="12"/>
      <c r="E346" s="12"/>
      <c r="F346" s="12"/>
      <c r="G346" s="18"/>
      <c r="H346" s="35"/>
      <c r="I346" s="12"/>
      <c r="M346" s="12"/>
      <c r="N346" s="18"/>
      <c r="O346" s="12"/>
      <c r="P346" s="12"/>
      <c r="Q346" s="12"/>
      <c r="R346" s="36"/>
      <c r="S346" s="36"/>
      <c r="T346" s="12"/>
      <c r="U346" s="12"/>
      <c r="V346" s="12"/>
      <c r="W346" s="12"/>
      <c r="X346" s="12"/>
    </row>
    <row r="347" customFormat="false" ht="15.75" hidden="false" customHeight="false" outlineLevel="0" collapsed="false">
      <c r="A347" s="12"/>
      <c r="B347" s="34"/>
      <c r="C347" s="12"/>
      <c r="D347" s="12"/>
      <c r="E347" s="12"/>
      <c r="F347" s="12"/>
      <c r="G347" s="18"/>
      <c r="H347" s="35"/>
      <c r="I347" s="12"/>
      <c r="M347" s="12"/>
      <c r="N347" s="18"/>
      <c r="O347" s="12"/>
      <c r="P347" s="12"/>
      <c r="Q347" s="12"/>
      <c r="R347" s="36"/>
      <c r="S347" s="36"/>
      <c r="T347" s="12"/>
      <c r="U347" s="12"/>
      <c r="V347" s="12"/>
      <c r="W347" s="12"/>
      <c r="X347" s="12"/>
    </row>
    <row r="348" customFormat="false" ht="15.75" hidden="false" customHeight="false" outlineLevel="0" collapsed="false">
      <c r="A348" s="12"/>
      <c r="B348" s="34"/>
      <c r="C348" s="12"/>
      <c r="D348" s="12"/>
      <c r="E348" s="12"/>
      <c r="F348" s="12"/>
      <c r="G348" s="18"/>
      <c r="H348" s="35"/>
      <c r="I348" s="12"/>
      <c r="M348" s="12"/>
      <c r="N348" s="18"/>
      <c r="O348" s="12"/>
      <c r="P348" s="12"/>
      <c r="Q348" s="12"/>
      <c r="R348" s="36"/>
      <c r="S348" s="36"/>
      <c r="T348" s="12"/>
      <c r="U348" s="12"/>
      <c r="V348" s="12"/>
      <c r="W348" s="12"/>
      <c r="X348" s="12"/>
    </row>
    <row r="349" customFormat="false" ht="15.75" hidden="false" customHeight="false" outlineLevel="0" collapsed="false">
      <c r="A349" s="12"/>
      <c r="B349" s="34"/>
      <c r="C349" s="12"/>
      <c r="D349" s="12"/>
      <c r="E349" s="12"/>
      <c r="F349" s="12"/>
      <c r="G349" s="18"/>
      <c r="H349" s="35"/>
      <c r="I349" s="12"/>
      <c r="M349" s="12"/>
      <c r="N349" s="18"/>
      <c r="O349" s="12"/>
      <c r="P349" s="12"/>
      <c r="Q349" s="12"/>
      <c r="R349" s="36"/>
      <c r="S349" s="36"/>
      <c r="T349" s="12"/>
      <c r="U349" s="12"/>
      <c r="V349" s="12"/>
      <c r="W349" s="12"/>
      <c r="X349" s="12"/>
    </row>
    <row r="350" customFormat="false" ht="15.75" hidden="false" customHeight="false" outlineLevel="0" collapsed="false">
      <c r="A350" s="12"/>
      <c r="B350" s="34"/>
      <c r="C350" s="12"/>
      <c r="D350" s="12"/>
      <c r="E350" s="12"/>
      <c r="F350" s="12"/>
      <c r="G350" s="18"/>
      <c r="H350" s="35"/>
      <c r="I350" s="12"/>
      <c r="M350" s="12"/>
      <c r="N350" s="18"/>
      <c r="O350" s="12"/>
      <c r="P350" s="12"/>
      <c r="Q350" s="12"/>
      <c r="R350" s="36"/>
      <c r="S350" s="36"/>
      <c r="T350" s="12"/>
      <c r="U350" s="12"/>
      <c r="V350" s="12"/>
      <c r="W350" s="12"/>
      <c r="X350" s="12"/>
    </row>
    <row r="351" customFormat="false" ht="15.75" hidden="false" customHeight="false" outlineLevel="0" collapsed="false">
      <c r="A351" s="12"/>
      <c r="B351" s="34"/>
      <c r="C351" s="12"/>
      <c r="D351" s="12"/>
      <c r="E351" s="12"/>
      <c r="F351" s="12"/>
      <c r="G351" s="18"/>
      <c r="H351" s="35"/>
      <c r="I351" s="12"/>
      <c r="M351" s="12"/>
      <c r="N351" s="18"/>
      <c r="O351" s="12"/>
      <c r="P351" s="12"/>
      <c r="Q351" s="12"/>
      <c r="R351" s="36"/>
      <c r="S351" s="36"/>
      <c r="T351" s="12"/>
      <c r="U351" s="12"/>
      <c r="V351" s="12"/>
      <c r="W351" s="12"/>
      <c r="X351" s="12"/>
    </row>
    <row r="352" customFormat="false" ht="15.75" hidden="false" customHeight="false" outlineLevel="0" collapsed="false">
      <c r="A352" s="12"/>
      <c r="B352" s="34"/>
      <c r="C352" s="12"/>
      <c r="D352" s="12"/>
      <c r="E352" s="12"/>
      <c r="F352" s="12"/>
      <c r="G352" s="18"/>
      <c r="H352" s="35"/>
      <c r="I352" s="12"/>
      <c r="M352" s="12"/>
      <c r="N352" s="18"/>
      <c r="O352" s="12"/>
      <c r="P352" s="12"/>
      <c r="Q352" s="12"/>
      <c r="R352" s="36"/>
      <c r="S352" s="36"/>
      <c r="T352" s="12"/>
      <c r="U352" s="12"/>
      <c r="V352" s="12"/>
      <c r="W352" s="12"/>
      <c r="X352" s="12"/>
    </row>
    <row r="353" customFormat="false" ht="15.75" hidden="false" customHeight="false" outlineLevel="0" collapsed="false">
      <c r="A353" s="12"/>
      <c r="B353" s="34"/>
      <c r="C353" s="12"/>
      <c r="D353" s="12"/>
      <c r="E353" s="12"/>
      <c r="F353" s="12"/>
      <c r="G353" s="18"/>
      <c r="H353" s="35"/>
      <c r="I353" s="12"/>
      <c r="M353" s="12"/>
      <c r="N353" s="18"/>
      <c r="O353" s="12"/>
      <c r="P353" s="12"/>
      <c r="Q353" s="12"/>
      <c r="R353" s="36"/>
      <c r="S353" s="36"/>
      <c r="T353" s="12"/>
      <c r="U353" s="12"/>
      <c r="V353" s="12"/>
      <c r="W353" s="12"/>
      <c r="X353" s="12"/>
    </row>
    <row r="354" customFormat="false" ht="15.75" hidden="false" customHeight="false" outlineLevel="0" collapsed="false">
      <c r="A354" s="12"/>
      <c r="B354" s="34"/>
      <c r="C354" s="12"/>
      <c r="D354" s="12"/>
      <c r="E354" s="12"/>
      <c r="F354" s="12"/>
      <c r="G354" s="18"/>
      <c r="H354" s="35"/>
      <c r="I354" s="12"/>
      <c r="M354" s="12"/>
      <c r="N354" s="18"/>
      <c r="O354" s="12"/>
      <c r="P354" s="12"/>
      <c r="Q354" s="12"/>
      <c r="R354" s="36"/>
      <c r="S354" s="36"/>
      <c r="T354" s="12"/>
      <c r="U354" s="12"/>
      <c r="V354" s="12"/>
      <c r="W354" s="12"/>
      <c r="X354" s="12"/>
    </row>
    <row r="355" customFormat="false" ht="15.75" hidden="false" customHeight="false" outlineLevel="0" collapsed="false">
      <c r="A355" s="12"/>
      <c r="B355" s="34"/>
      <c r="C355" s="12"/>
      <c r="D355" s="12"/>
      <c r="E355" s="12"/>
      <c r="F355" s="12"/>
      <c r="G355" s="18"/>
      <c r="H355" s="35"/>
      <c r="I355" s="12"/>
      <c r="M355" s="12"/>
      <c r="N355" s="18"/>
      <c r="O355" s="12"/>
      <c r="P355" s="12"/>
      <c r="Q355" s="12"/>
      <c r="R355" s="36"/>
      <c r="S355" s="36"/>
      <c r="T355" s="12"/>
      <c r="U355" s="12"/>
      <c r="V355" s="12"/>
      <c r="W355" s="12"/>
      <c r="X355" s="12"/>
    </row>
    <row r="356" customFormat="false" ht="15.75" hidden="false" customHeight="false" outlineLevel="0" collapsed="false">
      <c r="A356" s="12"/>
      <c r="B356" s="34"/>
      <c r="C356" s="12"/>
      <c r="D356" s="12"/>
      <c r="E356" s="12"/>
      <c r="F356" s="12"/>
      <c r="G356" s="18"/>
      <c r="H356" s="35"/>
      <c r="I356" s="12"/>
      <c r="M356" s="12"/>
      <c r="N356" s="18"/>
      <c r="O356" s="12"/>
      <c r="P356" s="12"/>
      <c r="Q356" s="12"/>
      <c r="R356" s="36"/>
      <c r="S356" s="36"/>
      <c r="T356" s="12"/>
      <c r="U356" s="12"/>
      <c r="V356" s="12"/>
      <c r="W356" s="12"/>
      <c r="X356" s="12"/>
    </row>
    <row r="357" customFormat="false" ht="15.75" hidden="false" customHeight="false" outlineLevel="0" collapsed="false">
      <c r="A357" s="12"/>
      <c r="B357" s="34"/>
      <c r="C357" s="12"/>
      <c r="D357" s="12"/>
      <c r="E357" s="12"/>
      <c r="F357" s="12"/>
      <c r="G357" s="18"/>
      <c r="H357" s="35"/>
      <c r="I357" s="12"/>
      <c r="M357" s="12"/>
      <c r="N357" s="18"/>
      <c r="O357" s="12"/>
      <c r="P357" s="12"/>
      <c r="Q357" s="12"/>
      <c r="R357" s="36"/>
      <c r="S357" s="36"/>
      <c r="T357" s="12"/>
      <c r="U357" s="12"/>
      <c r="V357" s="12"/>
      <c r="W357" s="12"/>
      <c r="X357" s="12"/>
    </row>
    <row r="358" customFormat="false" ht="15.75" hidden="false" customHeight="false" outlineLevel="0" collapsed="false">
      <c r="A358" s="12"/>
      <c r="B358" s="34"/>
      <c r="C358" s="12"/>
      <c r="D358" s="12"/>
      <c r="E358" s="12"/>
      <c r="F358" s="12"/>
      <c r="G358" s="18"/>
      <c r="H358" s="35"/>
      <c r="I358" s="12"/>
      <c r="M358" s="12"/>
      <c r="N358" s="18"/>
      <c r="O358" s="12"/>
      <c r="P358" s="12"/>
      <c r="Q358" s="12"/>
      <c r="R358" s="36"/>
      <c r="S358" s="36"/>
      <c r="T358" s="12"/>
      <c r="U358" s="12"/>
      <c r="V358" s="12"/>
      <c r="W358" s="12"/>
      <c r="X358" s="12"/>
    </row>
    <row r="359" customFormat="false" ht="15.75" hidden="false" customHeight="false" outlineLevel="0" collapsed="false">
      <c r="A359" s="12"/>
      <c r="B359" s="34"/>
      <c r="C359" s="12"/>
      <c r="D359" s="12"/>
      <c r="E359" s="12"/>
      <c r="F359" s="12"/>
      <c r="G359" s="18"/>
      <c r="H359" s="35"/>
      <c r="I359" s="12"/>
      <c r="M359" s="12"/>
      <c r="N359" s="18"/>
      <c r="O359" s="12"/>
      <c r="P359" s="12"/>
      <c r="Q359" s="12"/>
      <c r="R359" s="36"/>
      <c r="S359" s="36"/>
      <c r="T359" s="12"/>
      <c r="U359" s="12"/>
      <c r="V359" s="12"/>
      <c r="W359" s="12"/>
      <c r="X359" s="12"/>
    </row>
    <row r="360" customFormat="false" ht="15.75" hidden="false" customHeight="false" outlineLevel="0" collapsed="false">
      <c r="A360" s="12"/>
      <c r="B360" s="34"/>
      <c r="C360" s="12"/>
      <c r="D360" s="12"/>
      <c r="E360" s="12"/>
      <c r="F360" s="12"/>
      <c r="G360" s="18"/>
      <c r="H360" s="35"/>
      <c r="I360" s="12"/>
      <c r="M360" s="12"/>
      <c r="N360" s="18"/>
      <c r="O360" s="12"/>
      <c r="P360" s="12"/>
      <c r="Q360" s="12"/>
      <c r="R360" s="36"/>
      <c r="S360" s="36"/>
      <c r="T360" s="12"/>
      <c r="U360" s="12"/>
      <c r="V360" s="12"/>
      <c r="W360" s="12"/>
      <c r="X360" s="12"/>
    </row>
    <row r="361" customFormat="false" ht="15.75" hidden="false" customHeight="false" outlineLevel="0" collapsed="false">
      <c r="A361" s="12"/>
      <c r="B361" s="34"/>
      <c r="C361" s="12"/>
      <c r="D361" s="12"/>
      <c r="E361" s="12"/>
      <c r="F361" s="12"/>
      <c r="G361" s="18"/>
      <c r="H361" s="35"/>
      <c r="I361" s="12"/>
      <c r="M361" s="12"/>
      <c r="N361" s="18"/>
      <c r="O361" s="12"/>
      <c r="P361" s="12"/>
      <c r="Q361" s="12"/>
      <c r="R361" s="36"/>
      <c r="S361" s="36"/>
      <c r="T361" s="12"/>
      <c r="U361" s="12"/>
      <c r="V361" s="12"/>
      <c r="W361" s="12"/>
      <c r="X361" s="12"/>
    </row>
    <row r="362" customFormat="false" ht="15.75" hidden="false" customHeight="false" outlineLevel="0" collapsed="false">
      <c r="A362" s="12"/>
      <c r="B362" s="34"/>
      <c r="C362" s="12"/>
      <c r="D362" s="12"/>
      <c r="E362" s="12"/>
      <c r="F362" s="12"/>
      <c r="G362" s="18"/>
      <c r="H362" s="35"/>
      <c r="I362" s="12"/>
      <c r="M362" s="12"/>
      <c r="N362" s="18"/>
      <c r="O362" s="12"/>
      <c r="P362" s="12"/>
      <c r="Q362" s="12"/>
      <c r="R362" s="36"/>
      <c r="S362" s="36"/>
      <c r="T362" s="12"/>
      <c r="U362" s="12"/>
      <c r="V362" s="12"/>
      <c r="W362" s="12"/>
      <c r="X362" s="12"/>
    </row>
    <row r="363" customFormat="false" ht="15.75" hidden="false" customHeight="false" outlineLevel="0" collapsed="false">
      <c r="A363" s="12"/>
      <c r="B363" s="34"/>
      <c r="C363" s="12"/>
      <c r="D363" s="12"/>
      <c r="E363" s="12"/>
      <c r="F363" s="12"/>
      <c r="G363" s="18"/>
      <c r="H363" s="35"/>
      <c r="I363" s="12"/>
      <c r="M363" s="12"/>
      <c r="N363" s="18"/>
      <c r="O363" s="12"/>
      <c r="P363" s="12"/>
      <c r="Q363" s="12"/>
      <c r="R363" s="36"/>
      <c r="S363" s="36"/>
      <c r="T363" s="12"/>
      <c r="U363" s="12"/>
      <c r="V363" s="12"/>
      <c r="W363" s="12"/>
      <c r="X363" s="12"/>
    </row>
    <row r="364" customFormat="false" ht="15.75" hidden="false" customHeight="false" outlineLevel="0" collapsed="false">
      <c r="A364" s="12"/>
      <c r="B364" s="34"/>
      <c r="C364" s="12"/>
      <c r="D364" s="12"/>
      <c r="E364" s="12"/>
      <c r="F364" s="12"/>
      <c r="G364" s="18"/>
      <c r="H364" s="35"/>
      <c r="I364" s="12"/>
      <c r="M364" s="12"/>
      <c r="N364" s="18"/>
      <c r="O364" s="12"/>
      <c r="P364" s="12"/>
      <c r="Q364" s="12"/>
      <c r="R364" s="36"/>
      <c r="S364" s="36"/>
      <c r="T364" s="12"/>
      <c r="U364" s="12"/>
      <c r="V364" s="12"/>
      <c r="W364" s="12"/>
      <c r="X364" s="12"/>
    </row>
    <row r="365" customFormat="false" ht="15.75" hidden="false" customHeight="false" outlineLevel="0" collapsed="false">
      <c r="A365" s="12"/>
      <c r="B365" s="34"/>
      <c r="C365" s="12"/>
      <c r="D365" s="12"/>
      <c r="E365" s="12"/>
      <c r="F365" s="12"/>
      <c r="G365" s="18"/>
      <c r="H365" s="35"/>
      <c r="I365" s="12"/>
      <c r="M365" s="12"/>
      <c r="N365" s="18"/>
      <c r="O365" s="12"/>
      <c r="P365" s="12"/>
      <c r="Q365" s="12"/>
      <c r="R365" s="36"/>
      <c r="S365" s="36"/>
      <c r="T365" s="12"/>
      <c r="U365" s="12"/>
      <c r="V365" s="12"/>
      <c r="W365" s="12"/>
      <c r="X365" s="12"/>
    </row>
    <row r="366" customFormat="false" ht="15.75" hidden="false" customHeight="false" outlineLevel="0" collapsed="false">
      <c r="A366" s="12"/>
      <c r="B366" s="34"/>
      <c r="C366" s="12"/>
      <c r="D366" s="12"/>
      <c r="E366" s="12"/>
      <c r="F366" s="12"/>
      <c r="G366" s="18"/>
      <c r="H366" s="35"/>
      <c r="I366" s="12"/>
      <c r="M366" s="12"/>
      <c r="N366" s="18"/>
      <c r="O366" s="12"/>
      <c r="P366" s="12"/>
      <c r="Q366" s="12"/>
      <c r="R366" s="36"/>
      <c r="S366" s="36"/>
      <c r="T366" s="12"/>
      <c r="U366" s="12"/>
      <c r="V366" s="12"/>
      <c r="W366" s="12"/>
      <c r="X366" s="12"/>
    </row>
    <row r="367" customFormat="false" ht="15.75" hidden="false" customHeight="false" outlineLevel="0" collapsed="false">
      <c r="A367" s="12"/>
      <c r="B367" s="34"/>
      <c r="C367" s="12"/>
      <c r="D367" s="12"/>
      <c r="E367" s="12"/>
      <c r="F367" s="12"/>
      <c r="G367" s="18"/>
      <c r="H367" s="35"/>
      <c r="I367" s="12"/>
      <c r="M367" s="12"/>
      <c r="N367" s="18"/>
      <c r="O367" s="12"/>
      <c r="P367" s="12"/>
      <c r="Q367" s="12"/>
      <c r="R367" s="36"/>
      <c r="S367" s="36"/>
      <c r="T367" s="12"/>
      <c r="U367" s="12"/>
      <c r="V367" s="12"/>
      <c r="W367" s="12"/>
      <c r="X367" s="12"/>
    </row>
    <row r="368" customFormat="false" ht="15.75" hidden="false" customHeight="false" outlineLevel="0" collapsed="false">
      <c r="A368" s="12"/>
      <c r="B368" s="34"/>
      <c r="C368" s="12"/>
      <c r="D368" s="12"/>
      <c r="E368" s="12"/>
      <c r="F368" s="12"/>
      <c r="G368" s="18"/>
      <c r="H368" s="35"/>
      <c r="I368" s="12"/>
      <c r="M368" s="12"/>
      <c r="N368" s="18"/>
      <c r="O368" s="12"/>
      <c r="P368" s="12"/>
      <c r="Q368" s="12"/>
      <c r="R368" s="36"/>
      <c r="S368" s="36"/>
      <c r="T368" s="12"/>
      <c r="U368" s="12"/>
      <c r="V368" s="12"/>
      <c r="W368" s="12"/>
      <c r="X368" s="12"/>
    </row>
    <row r="369" customFormat="false" ht="15.75" hidden="false" customHeight="false" outlineLevel="0" collapsed="false">
      <c r="A369" s="12"/>
      <c r="B369" s="34"/>
      <c r="C369" s="12"/>
      <c r="D369" s="12"/>
      <c r="E369" s="12"/>
      <c r="F369" s="12"/>
      <c r="G369" s="18"/>
      <c r="H369" s="35"/>
      <c r="I369" s="12"/>
      <c r="M369" s="12"/>
      <c r="N369" s="18"/>
      <c r="O369" s="12"/>
      <c r="P369" s="12"/>
      <c r="Q369" s="12"/>
      <c r="R369" s="36"/>
      <c r="S369" s="36"/>
      <c r="T369" s="12"/>
      <c r="U369" s="12"/>
      <c r="V369" s="12"/>
      <c r="W369" s="12"/>
      <c r="X369" s="12"/>
    </row>
    <row r="370" customFormat="false" ht="15.75" hidden="false" customHeight="false" outlineLevel="0" collapsed="false">
      <c r="A370" s="12"/>
      <c r="B370" s="34"/>
      <c r="C370" s="12"/>
      <c r="D370" s="12"/>
      <c r="E370" s="12"/>
      <c r="F370" s="12"/>
      <c r="G370" s="18"/>
      <c r="H370" s="35"/>
      <c r="I370" s="12"/>
      <c r="M370" s="12"/>
      <c r="N370" s="18"/>
      <c r="O370" s="12"/>
      <c r="P370" s="12"/>
      <c r="Q370" s="12"/>
      <c r="R370" s="36"/>
      <c r="S370" s="36"/>
      <c r="T370" s="12"/>
      <c r="U370" s="12"/>
      <c r="V370" s="12"/>
      <c r="W370" s="12"/>
      <c r="X370" s="12"/>
    </row>
    <row r="371" customFormat="false" ht="15.75" hidden="false" customHeight="false" outlineLevel="0" collapsed="false">
      <c r="A371" s="12"/>
      <c r="B371" s="34"/>
      <c r="C371" s="12"/>
      <c r="D371" s="12"/>
      <c r="E371" s="12"/>
      <c r="F371" s="12"/>
      <c r="G371" s="18"/>
      <c r="H371" s="35"/>
      <c r="I371" s="12"/>
      <c r="M371" s="12"/>
      <c r="N371" s="18"/>
      <c r="O371" s="12"/>
      <c r="P371" s="12"/>
      <c r="Q371" s="12"/>
      <c r="R371" s="36"/>
      <c r="S371" s="36"/>
      <c r="T371" s="12"/>
      <c r="U371" s="12"/>
      <c r="V371" s="12"/>
      <c r="W371" s="12"/>
      <c r="X371" s="12"/>
    </row>
    <row r="372" customFormat="false" ht="15.75" hidden="false" customHeight="false" outlineLevel="0" collapsed="false">
      <c r="A372" s="12"/>
      <c r="B372" s="34"/>
      <c r="C372" s="12"/>
      <c r="D372" s="12"/>
      <c r="E372" s="12"/>
      <c r="F372" s="12"/>
      <c r="G372" s="18"/>
      <c r="H372" s="35"/>
      <c r="I372" s="12"/>
      <c r="M372" s="12"/>
      <c r="N372" s="18"/>
      <c r="O372" s="12"/>
      <c r="P372" s="12"/>
      <c r="Q372" s="12"/>
      <c r="R372" s="36"/>
      <c r="S372" s="36"/>
      <c r="T372" s="12"/>
      <c r="U372" s="12"/>
      <c r="V372" s="12"/>
      <c r="W372" s="12"/>
      <c r="X372" s="12"/>
    </row>
    <row r="373" customFormat="false" ht="15.75" hidden="false" customHeight="false" outlineLevel="0" collapsed="false">
      <c r="A373" s="12"/>
      <c r="B373" s="34"/>
      <c r="C373" s="12"/>
      <c r="D373" s="12"/>
      <c r="E373" s="12"/>
      <c r="F373" s="12"/>
      <c r="G373" s="18"/>
      <c r="H373" s="35"/>
      <c r="I373" s="12"/>
      <c r="M373" s="12"/>
      <c r="N373" s="18"/>
      <c r="O373" s="12"/>
      <c r="P373" s="12"/>
      <c r="Q373" s="12"/>
      <c r="R373" s="36"/>
      <c r="S373" s="36"/>
      <c r="T373" s="12"/>
      <c r="U373" s="12"/>
      <c r="V373" s="12"/>
      <c r="W373" s="12"/>
      <c r="X373" s="12"/>
    </row>
    <row r="374" customFormat="false" ht="15.75" hidden="false" customHeight="false" outlineLevel="0" collapsed="false">
      <c r="A374" s="12"/>
      <c r="B374" s="34"/>
      <c r="C374" s="12"/>
      <c r="D374" s="12"/>
      <c r="E374" s="12"/>
      <c r="F374" s="12"/>
      <c r="G374" s="18"/>
      <c r="H374" s="35"/>
      <c r="I374" s="12"/>
      <c r="M374" s="12"/>
      <c r="N374" s="18"/>
      <c r="O374" s="12"/>
      <c r="P374" s="12"/>
      <c r="Q374" s="12"/>
      <c r="R374" s="36"/>
      <c r="S374" s="36"/>
      <c r="T374" s="12"/>
      <c r="U374" s="12"/>
      <c r="V374" s="12"/>
      <c r="W374" s="12"/>
      <c r="X374" s="12"/>
    </row>
    <row r="375" customFormat="false" ht="15.75" hidden="false" customHeight="false" outlineLevel="0" collapsed="false">
      <c r="A375" s="12"/>
      <c r="B375" s="34"/>
      <c r="C375" s="12"/>
      <c r="D375" s="12"/>
      <c r="E375" s="12"/>
      <c r="F375" s="12"/>
      <c r="G375" s="18"/>
      <c r="H375" s="35"/>
      <c r="I375" s="12"/>
      <c r="M375" s="12"/>
      <c r="N375" s="18"/>
      <c r="O375" s="12"/>
      <c r="P375" s="12"/>
      <c r="Q375" s="12"/>
      <c r="R375" s="36"/>
      <c r="S375" s="36"/>
      <c r="T375" s="12"/>
      <c r="U375" s="12"/>
      <c r="V375" s="12"/>
      <c r="W375" s="12"/>
      <c r="X375" s="12"/>
    </row>
    <row r="376" customFormat="false" ht="15.75" hidden="false" customHeight="false" outlineLevel="0" collapsed="false">
      <c r="A376" s="12"/>
      <c r="B376" s="34"/>
      <c r="C376" s="12"/>
      <c r="D376" s="12"/>
      <c r="E376" s="12"/>
      <c r="F376" s="12"/>
      <c r="G376" s="18"/>
      <c r="H376" s="35"/>
      <c r="I376" s="12"/>
      <c r="M376" s="12"/>
      <c r="N376" s="18"/>
      <c r="O376" s="12"/>
      <c r="P376" s="12"/>
      <c r="Q376" s="12"/>
      <c r="R376" s="36"/>
      <c r="S376" s="36"/>
      <c r="T376" s="12"/>
      <c r="U376" s="12"/>
      <c r="V376" s="12"/>
      <c r="W376" s="12"/>
      <c r="X376" s="12"/>
    </row>
    <row r="377" customFormat="false" ht="15.75" hidden="false" customHeight="false" outlineLevel="0" collapsed="false">
      <c r="A377" s="12"/>
      <c r="B377" s="34"/>
      <c r="C377" s="12"/>
      <c r="D377" s="12"/>
      <c r="E377" s="12"/>
      <c r="F377" s="12"/>
      <c r="G377" s="18"/>
      <c r="H377" s="35"/>
      <c r="I377" s="12"/>
      <c r="M377" s="12"/>
      <c r="N377" s="18"/>
      <c r="O377" s="12"/>
      <c r="P377" s="12"/>
      <c r="Q377" s="12"/>
      <c r="R377" s="36"/>
      <c r="S377" s="36"/>
      <c r="T377" s="12"/>
      <c r="U377" s="12"/>
      <c r="V377" s="12"/>
      <c r="W377" s="12"/>
      <c r="X377" s="12"/>
    </row>
    <row r="378" customFormat="false" ht="15.75" hidden="false" customHeight="false" outlineLevel="0" collapsed="false">
      <c r="A378" s="12"/>
      <c r="B378" s="34"/>
      <c r="C378" s="12"/>
      <c r="D378" s="12"/>
      <c r="E378" s="12"/>
      <c r="F378" s="12"/>
      <c r="G378" s="18"/>
      <c r="H378" s="35"/>
      <c r="I378" s="12"/>
      <c r="M378" s="12"/>
      <c r="N378" s="18"/>
      <c r="O378" s="12"/>
      <c r="P378" s="12"/>
      <c r="Q378" s="12"/>
      <c r="R378" s="36"/>
      <c r="S378" s="36"/>
      <c r="T378" s="12"/>
      <c r="U378" s="12"/>
      <c r="V378" s="12"/>
      <c r="W378" s="12"/>
      <c r="X378" s="12"/>
    </row>
    <row r="379" customFormat="false" ht="15.75" hidden="false" customHeight="false" outlineLevel="0" collapsed="false">
      <c r="A379" s="12"/>
      <c r="B379" s="34"/>
      <c r="C379" s="12"/>
      <c r="D379" s="12"/>
      <c r="E379" s="12"/>
      <c r="F379" s="12"/>
      <c r="G379" s="18"/>
      <c r="H379" s="35"/>
      <c r="I379" s="12"/>
      <c r="M379" s="12"/>
      <c r="N379" s="18"/>
      <c r="O379" s="12"/>
      <c r="P379" s="12"/>
      <c r="Q379" s="12"/>
      <c r="R379" s="36"/>
      <c r="S379" s="36"/>
      <c r="T379" s="12"/>
      <c r="U379" s="12"/>
      <c r="V379" s="12"/>
      <c r="W379" s="12"/>
      <c r="X379" s="12"/>
    </row>
    <row r="380" customFormat="false" ht="15.75" hidden="false" customHeight="false" outlineLevel="0" collapsed="false">
      <c r="A380" s="12"/>
      <c r="B380" s="34"/>
      <c r="C380" s="12"/>
      <c r="D380" s="12"/>
      <c r="E380" s="12"/>
      <c r="F380" s="12"/>
      <c r="G380" s="18"/>
      <c r="H380" s="35"/>
      <c r="I380" s="12"/>
      <c r="M380" s="12"/>
      <c r="N380" s="18"/>
      <c r="O380" s="12"/>
      <c r="P380" s="12"/>
      <c r="Q380" s="12"/>
      <c r="R380" s="36"/>
      <c r="S380" s="36"/>
      <c r="T380" s="12"/>
      <c r="U380" s="12"/>
      <c r="V380" s="12"/>
      <c r="W380" s="12"/>
      <c r="X380" s="12"/>
    </row>
    <row r="381" customFormat="false" ht="15.75" hidden="false" customHeight="false" outlineLevel="0" collapsed="false">
      <c r="A381" s="12"/>
      <c r="B381" s="34"/>
      <c r="C381" s="12"/>
      <c r="D381" s="12"/>
      <c r="E381" s="12"/>
      <c r="F381" s="12"/>
      <c r="G381" s="18"/>
      <c r="H381" s="35"/>
      <c r="I381" s="12"/>
      <c r="M381" s="12"/>
      <c r="N381" s="18"/>
      <c r="O381" s="12"/>
      <c r="P381" s="12"/>
      <c r="Q381" s="12"/>
      <c r="R381" s="36"/>
      <c r="S381" s="36"/>
      <c r="T381" s="12"/>
      <c r="U381" s="12"/>
      <c r="V381" s="12"/>
      <c r="W381" s="12"/>
      <c r="X381" s="12"/>
    </row>
    <row r="382" customFormat="false" ht="15.75" hidden="false" customHeight="false" outlineLevel="0" collapsed="false">
      <c r="A382" s="12"/>
      <c r="B382" s="34"/>
      <c r="C382" s="12"/>
      <c r="D382" s="12"/>
      <c r="E382" s="12"/>
      <c r="F382" s="12"/>
      <c r="G382" s="18"/>
      <c r="H382" s="35"/>
      <c r="I382" s="12"/>
      <c r="M382" s="12"/>
      <c r="N382" s="18"/>
      <c r="O382" s="12"/>
      <c r="P382" s="12"/>
      <c r="Q382" s="12"/>
      <c r="R382" s="36"/>
      <c r="S382" s="36"/>
      <c r="T382" s="12"/>
      <c r="U382" s="12"/>
      <c r="V382" s="12"/>
      <c r="W382" s="12"/>
      <c r="X382" s="12"/>
    </row>
    <row r="383" customFormat="false" ht="15.75" hidden="false" customHeight="false" outlineLevel="0" collapsed="false">
      <c r="A383" s="12"/>
      <c r="B383" s="34"/>
      <c r="C383" s="12"/>
      <c r="D383" s="12"/>
      <c r="E383" s="12"/>
      <c r="F383" s="12"/>
      <c r="G383" s="18"/>
      <c r="H383" s="35"/>
      <c r="I383" s="12"/>
      <c r="M383" s="12"/>
      <c r="N383" s="18"/>
      <c r="O383" s="12"/>
      <c r="P383" s="12"/>
      <c r="Q383" s="12"/>
      <c r="R383" s="36"/>
      <c r="S383" s="36"/>
      <c r="T383" s="12"/>
      <c r="U383" s="12"/>
      <c r="V383" s="12"/>
      <c r="W383" s="12"/>
      <c r="X383" s="12"/>
    </row>
    <row r="384" customFormat="false" ht="15.75" hidden="false" customHeight="false" outlineLevel="0" collapsed="false">
      <c r="A384" s="12"/>
      <c r="B384" s="34"/>
      <c r="C384" s="12"/>
      <c r="D384" s="12"/>
      <c r="E384" s="12"/>
      <c r="F384" s="12"/>
      <c r="G384" s="18"/>
      <c r="H384" s="35"/>
      <c r="I384" s="12"/>
      <c r="M384" s="12"/>
      <c r="N384" s="18"/>
      <c r="O384" s="12"/>
      <c r="P384" s="12"/>
      <c r="Q384" s="12"/>
      <c r="R384" s="36"/>
      <c r="S384" s="36"/>
      <c r="T384" s="12"/>
      <c r="U384" s="12"/>
      <c r="V384" s="12"/>
      <c r="W384" s="12"/>
      <c r="X384" s="12"/>
    </row>
    <row r="385" customFormat="false" ht="15.75" hidden="false" customHeight="false" outlineLevel="0" collapsed="false">
      <c r="A385" s="12"/>
      <c r="B385" s="34"/>
      <c r="C385" s="12"/>
      <c r="D385" s="12"/>
      <c r="E385" s="12"/>
      <c r="F385" s="12"/>
      <c r="G385" s="18"/>
      <c r="H385" s="35"/>
      <c r="I385" s="12"/>
      <c r="M385" s="12"/>
      <c r="N385" s="18"/>
      <c r="O385" s="12"/>
      <c r="P385" s="12"/>
      <c r="Q385" s="12"/>
      <c r="R385" s="36"/>
      <c r="S385" s="36"/>
      <c r="T385" s="12"/>
      <c r="U385" s="12"/>
      <c r="V385" s="12"/>
      <c r="W385" s="12"/>
      <c r="X385" s="12"/>
    </row>
    <row r="386" customFormat="false" ht="15.75" hidden="false" customHeight="false" outlineLevel="0" collapsed="false">
      <c r="A386" s="12"/>
      <c r="B386" s="34"/>
      <c r="C386" s="12"/>
      <c r="D386" s="12"/>
      <c r="E386" s="12"/>
      <c r="F386" s="12"/>
      <c r="G386" s="18"/>
      <c r="H386" s="35"/>
      <c r="I386" s="12"/>
      <c r="M386" s="12"/>
      <c r="N386" s="18"/>
      <c r="O386" s="12"/>
      <c r="P386" s="12"/>
      <c r="Q386" s="12"/>
      <c r="R386" s="36"/>
      <c r="S386" s="36"/>
      <c r="T386" s="12"/>
      <c r="U386" s="12"/>
      <c r="V386" s="12"/>
      <c r="W386" s="12"/>
      <c r="X386" s="12"/>
    </row>
    <row r="387" customFormat="false" ht="15.75" hidden="false" customHeight="false" outlineLevel="0" collapsed="false">
      <c r="A387" s="12"/>
      <c r="B387" s="34"/>
      <c r="C387" s="12"/>
      <c r="D387" s="12"/>
      <c r="E387" s="12"/>
      <c r="F387" s="12"/>
      <c r="G387" s="18"/>
      <c r="H387" s="35"/>
      <c r="I387" s="12"/>
      <c r="M387" s="12"/>
      <c r="N387" s="18"/>
      <c r="O387" s="12"/>
      <c r="P387" s="12"/>
      <c r="Q387" s="12"/>
      <c r="R387" s="36"/>
      <c r="S387" s="36"/>
      <c r="T387" s="12"/>
      <c r="U387" s="12"/>
      <c r="V387" s="12"/>
      <c r="W387" s="12"/>
      <c r="X387" s="12"/>
    </row>
    <row r="388" customFormat="false" ht="15.75" hidden="false" customHeight="false" outlineLevel="0" collapsed="false">
      <c r="A388" s="12"/>
      <c r="B388" s="34"/>
      <c r="C388" s="12"/>
      <c r="D388" s="12"/>
      <c r="E388" s="12"/>
      <c r="F388" s="12"/>
      <c r="G388" s="18"/>
      <c r="H388" s="35"/>
      <c r="I388" s="12"/>
      <c r="M388" s="12"/>
      <c r="N388" s="18"/>
      <c r="O388" s="12"/>
      <c r="P388" s="12"/>
      <c r="Q388" s="12"/>
      <c r="R388" s="36"/>
      <c r="S388" s="36"/>
      <c r="T388" s="12"/>
      <c r="U388" s="12"/>
      <c r="V388" s="12"/>
      <c r="W388" s="12"/>
      <c r="X388" s="12"/>
    </row>
    <row r="389" customFormat="false" ht="15.75" hidden="false" customHeight="false" outlineLevel="0" collapsed="false">
      <c r="A389" s="12"/>
      <c r="B389" s="34"/>
      <c r="C389" s="12"/>
      <c r="D389" s="12"/>
      <c r="E389" s="12"/>
      <c r="F389" s="12"/>
      <c r="G389" s="18"/>
      <c r="H389" s="35"/>
      <c r="I389" s="12"/>
      <c r="M389" s="12"/>
      <c r="N389" s="18"/>
      <c r="O389" s="12"/>
      <c r="P389" s="12"/>
      <c r="Q389" s="12"/>
      <c r="R389" s="36"/>
      <c r="S389" s="36"/>
      <c r="T389" s="12"/>
      <c r="U389" s="12"/>
      <c r="V389" s="12"/>
      <c r="W389" s="12"/>
      <c r="X389" s="12"/>
    </row>
    <row r="390" customFormat="false" ht="15.75" hidden="false" customHeight="false" outlineLevel="0" collapsed="false">
      <c r="A390" s="12"/>
      <c r="B390" s="34"/>
      <c r="C390" s="12"/>
      <c r="D390" s="12"/>
      <c r="E390" s="12"/>
      <c r="F390" s="12"/>
      <c r="G390" s="18"/>
      <c r="H390" s="35"/>
      <c r="I390" s="12"/>
      <c r="M390" s="12"/>
      <c r="N390" s="18"/>
      <c r="O390" s="12"/>
      <c r="P390" s="12"/>
      <c r="Q390" s="12"/>
      <c r="R390" s="36"/>
      <c r="S390" s="36"/>
      <c r="T390" s="12"/>
      <c r="U390" s="12"/>
      <c r="V390" s="12"/>
      <c r="W390" s="12"/>
      <c r="X390" s="12"/>
    </row>
    <row r="391" customFormat="false" ht="15.75" hidden="false" customHeight="false" outlineLevel="0" collapsed="false">
      <c r="A391" s="12"/>
      <c r="B391" s="34"/>
      <c r="C391" s="12"/>
      <c r="D391" s="12"/>
      <c r="E391" s="12"/>
      <c r="F391" s="12"/>
      <c r="G391" s="18"/>
      <c r="H391" s="35"/>
      <c r="I391" s="12"/>
      <c r="M391" s="12"/>
      <c r="N391" s="18"/>
      <c r="O391" s="12"/>
      <c r="P391" s="12"/>
      <c r="Q391" s="12"/>
      <c r="R391" s="36"/>
      <c r="S391" s="36"/>
      <c r="T391" s="12"/>
      <c r="U391" s="12"/>
      <c r="V391" s="12"/>
      <c r="W391" s="12"/>
      <c r="X391" s="12"/>
    </row>
    <row r="392" customFormat="false" ht="15.75" hidden="false" customHeight="false" outlineLevel="0" collapsed="false">
      <c r="A392" s="12"/>
      <c r="B392" s="34"/>
      <c r="C392" s="12"/>
      <c r="D392" s="12"/>
      <c r="E392" s="12"/>
      <c r="F392" s="12"/>
      <c r="G392" s="18"/>
      <c r="H392" s="35"/>
      <c r="I392" s="12"/>
      <c r="M392" s="12"/>
      <c r="N392" s="18"/>
      <c r="O392" s="12"/>
      <c r="P392" s="12"/>
      <c r="Q392" s="12"/>
      <c r="R392" s="36"/>
      <c r="S392" s="36"/>
      <c r="T392" s="12"/>
      <c r="U392" s="12"/>
      <c r="V392" s="12"/>
      <c r="W392" s="12"/>
      <c r="X392" s="12"/>
    </row>
    <row r="393" customFormat="false" ht="15.75" hidden="false" customHeight="false" outlineLevel="0" collapsed="false">
      <c r="A393" s="12"/>
      <c r="B393" s="34"/>
      <c r="C393" s="12"/>
      <c r="D393" s="12"/>
      <c r="E393" s="12"/>
      <c r="F393" s="12"/>
      <c r="G393" s="18"/>
      <c r="H393" s="35"/>
      <c r="I393" s="12"/>
      <c r="M393" s="12"/>
      <c r="N393" s="18"/>
      <c r="O393" s="12"/>
      <c r="P393" s="12"/>
      <c r="Q393" s="12"/>
      <c r="R393" s="36"/>
      <c r="S393" s="36"/>
      <c r="T393" s="12"/>
      <c r="U393" s="12"/>
      <c r="V393" s="12"/>
      <c r="W393" s="12"/>
      <c r="X393" s="12"/>
    </row>
    <row r="394" customFormat="false" ht="15.75" hidden="false" customHeight="false" outlineLevel="0" collapsed="false">
      <c r="A394" s="12"/>
      <c r="B394" s="34"/>
      <c r="C394" s="12"/>
      <c r="D394" s="12"/>
      <c r="E394" s="12"/>
      <c r="F394" s="12"/>
      <c r="G394" s="18"/>
      <c r="H394" s="35"/>
      <c r="I394" s="12"/>
      <c r="M394" s="12"/>
      <c r="N394" s="18"/>
      <c r="O394" s="12"/>
      <c r="P394" s="12"/>
      <c r="Q394" s="12"/>
      <c r="R394" s="36"/>
      <c r="S394" s="36"/>
      <c r="T394" s="12"/>
      <c r="U394" s="12"/>
      <c r="V394" s="12"/>
      <c r="W394" s="12"/>
      <c r="X394" s="12"/>
    </row>
    <row r="395" customFormat="false" ht="15.75" hidden="false" customHeight="false" outlineLevel="0" collapsed="false">
      <c r="A395" s="12"/>
      <c r="B395" s="34"/>
      <c r="C395" s="12"/>
      <c r="D395" s="12"/>
      <c r="E395" s="12"/>
      <c r="F395" s="12"/>
      <c r="G395" s="18"/>
      <c r="H395" s="35"/>
      <c r="I395" s="12"/>
      <c r="M395" s="12"/>
      <c r="N395" s="18"/>
      <c r="O395" s="12"/>
      <c r="P395" s="12"/>
      <c r="Q395" s="12"/>
      <c r="R395" s="36"/>
      <c r="S395" s="36"/>
      <c r="T395" s="12"/>
      <c r="U395" s="12"/>
      <c r="V395" s="12"/>
      <c r="W395" s="12"/>
      <c r="X395" s="12"/>
    </row>
    <row r="396" customFormat="false" ht="15.75" hidden="false" customHeight="false" outlineLevel="0" collapsed="false">
      <c r="A396" s="12"/>
      <c r="B396" s="34"/>
      <c r="C396" s="12"/>
      <c r="D396" s="12"/>
      <c r="E396" s="12"/>
      <c r="F396" s="12"/>
      <c r="G396" s="18"/>
      <c r="H396" s="35"/>
      <c r="I396" s="12"/>
      <c r="M396" s="12"/>
      <c r="N396" s="18"/>
      <c r="O396" s="12"/>
      <c r="P396" s="12"/>
      <c r="Q396" s="12"/>
      <c r="R396" s="36"/>
      <c r="S396" s="36"/>
      <c r="T396" s="12"/>
      <c r="U396" s="12"/>
      <c r="V396" s="12"/>
      <c r="W396" s="12"/>
      <c r="X396" s="12"/>
    </row>
    <row r="397" customFormat="false" ht="15.75" hidden="false" customHeight="false" outlineLevel="0" collapsed="false">
      <c r="A397" s="12"/>
      <c r="B397" s="34"/>
      <c r="C397" s="12"/>
      <c r="D397" s="12"/>
      <c r="E397" s="12"/>
      <c r="F397" s="12"/>
      <c r="G397" s="18"/>
      <c r="H397" s="35"/>
      <c r="I397" s="12"/>
      <c r="M397" s="12"/>
      <c r="N397" s="18"/>
      <c r="O397" s="12"/>
      <c r="P397" s="12"/>
      <c r="Q397" s="12"/>
      <c r="R397" s="36"/>
      <c r="S397" s="36"/>
      <c r="T397" s="12"/>
      <c r="U397" s="12"/>
      <c r="V397" s="12"/>
      <c r="W397" s="12"/>
      <c r="X397" s="12"/>
    </row>
    <row r="398" customFormat="false" ht="15.75" hidden="false" customHeight="false" outlineLevel="0" collapsed="false">
      <c r="A398" s="12"/>
      <c r="B398" s="34"/>
      <c r="C398" s="12"/>
      <c r="D398" s="12"/>
      <c r="E398" s="12"/>
      <c r="F398" s="12"/>
      <c r="G398" s="18"/>
      <c r="H398" s="35"/>
      <c r="I398" s="12"/>
      <c r="M398" s="12"/>
      <c r="N398" s="18"/>
      <c r="O398" s="12"/>
      <c r="P398" s="12"/>
      <c r="Q398" s="12"/>
      <c r="R398" s="36"/>
      <c r="S398" s="36"/>
      <c r="T398" s="12"/>
      <c r="U398" s="12"/>
      <c r="V398" s="12"/>
      <c r="W398" s="12"/>
      <c r="X398" s="12"/>
    </row>
    <row r="399" customFormat="false" ht="15.75" hidden="false" customHeight="false" outlineLevel="0" collapsed="false">
      <c r="A399" s="12"/>
      <c r="B399" s="34"/>
      <c r="C399" s="12"/>
      <c r="D399" s="12"/>
      <c r="E399" s="12"/>
      <c r="F399" s="12"/>
      <c r="G399" s="18"/>
      <c r="H399" s="35"/>
      <c r="I399" s="12"/>
      <c r="M399" s="12"/>
      <c r="N399" s="18"/>
      <c r="O399" s="12"/>
      <c r="P399" s="12"/>
      <c r="Q399" s="12"/>
      <c r="R399" s="36"/>
      <c r="S399" s="36"/>
      <c r="T399" s="12"/>
      <c r="U399" s="12"/>
      <c r="V399" s="12"/>
      <c r="W399" s="12"/>
      <c r="X399" s="12"/>
    </row>
    <row r="400" customFormat="false" ht="15.75" hidden="false" customHeight="false" outlineLevel="0" collapsed="false">
      <c r="A400" s="12"/>
      <c r="B400" s="34"/>
      <c r="C400" s="12"/>
      <c r="D400" s="12"/>
      <c r="E400" s="12"/>
      <c r="F400" s="12"/>
      <c r="G400" s="18"/>
      <c r="H400" s="35"/>
      <c r="I400" s="12"/>
      <c r="M400" s="12"/>
      <c r="N400" s="18"/>
      <c r="O400" s="12"/>
      <c r="P400" s="12"/>
      <c r="Q400" s="12"/>
      <c r="R400" s="36"/>
      <c r="S400" s="36"/>
      <c r="T400" s="12"/>
      <c r="U400" s="12"/>
      <c r="V400" s="12"/>
      <c r="W400" s="12"/>
      <c r="X400" s="12"/>
    </row>
    <row r="401" customFormat="false" ht="15.75" hidden="false" customHeight="false" outlineLevel="0" collapsed="false">
      <c r="A401" s="12"/>
      <c r="B401" s="34"/>
      <c r="C401" s="12"/>
      <c r="D401" s="12"/>
      <c r="E401" s="12"/>
      <c r="F401" s="12"/>
      <c r="G401" s="18"/>
      <c r="H401" s="35"/>
      <c r="I401" s="12"/>
      <c r="M401" s="12"/>
      <c r="N401" s="18"/>
      <c r="O401" s="12"/>
      <c r="P401" s="12"/>
      <c r="Q401" s="12"/>
      <c r="R401" s="36"/>
      <c r="S401" s="36"/>
      <c r="T401" s="12"/>
      <c r="U401" s="12"/>
      <c r="V401" s="12"/>
      <c r="W401" s="12"/>
      <c r="X401" s="12"/>
    </row>
    <row r="402" customFormat="false" ht="15.75" hidden="false" customHeight="false" outlineLevel="0" collapsed="false">
      <c r="A402" s="12"/>
      <c r="B402" s="34"/>
      <c r="C402" s="12"/>
      <c r="D402" s="12"/>
      <c r="E402" s="12"/>
      <c r="F402" s="12"/>
      <c r="G402" s="18"/>
      <c r="H402" s="35"/>
      <c r="I402" s="12"/>
      <c r="M402" s="12"/>
      <c r="N402" s="18"/>
      <c r="O402" s="12"/>
      <c r="P402" s="12"/>
      <c r="Q402" s="12"/>
      <c r="R402" s="36"/>
      <c r="S402" s="36"/>
      <c r="T402" s="12"/>
      <c r="U402" s="12"/>
      <c r="V402" s="12"/>
      <c r="W402" s="12"/>
      <c r="X402" s="12"/>
    </row>
    <row r="403" customFormat="false" ht="15.75" hidden="false" customHeight="false" outlineLevel="0" collapsed="false">
      <c r="A403" s="12"/>
      <c r="B403" s="34"/>
      <c r="C403" s="12"/>
      <c r="D403" s="12"/>
      <c r="E403" s="12"/>
      <c r="F403" s="12"/>
      <c r="G403" s="18"/>
      <c r="H403" s="35"/>
      <c r="I403" s="12"/>
      <c r="M403" s="12"/>
      <c r="N403" s="18"/>
      <c r="O403" s="12"/>
      <c r="P403" s="12"/>
      <c r="Q403" s="12"/>
      <c r="R403" s="36"/>
      <c r="S403" s="36"/>
      <c r="T403" s="12"/>
      <c r="U403" s="12"/>
      <c r="V403" s="12"/>
      <c r="W403" s="12"/>
      <c r="X403" s="12"/>
    </row>
    <row r="404" customFormat="false" ht="15.75" hidden="false" customHeight="false" outlineLevel="0" collapsed="false">
      <c r="A404" s="12"/>
      <c r="B404" s="34"/>
      <c r="C404" s="12"/>
      <c r="D404" s="12"/>
      <c r="E404" s="12"/>
      <c r="F404" s="12"/>
      <c r="G404" s="18"/>
      <c r="H404" s="35"/>
      <c r="I404" s="12"/>
      <c r="M404" s="12"/>
      <c r="N404" s="18"/>
      <c r="O404" s="12"/>
      <c r="P404" s="12"/>
      <c r="Q404" s="12"/>
      <c r="R404" s="36"/>
      <c r="S404" s="36"/>
      <c r="T404" s="12"/>
      <c r="U404" s="12"/>
      <c r="V404" s="12"/>
      <c r="W404" s="12"/>
      <c r="X404" s="12"/>
    </row>
    <row r="405" customFormat="false" ht="15.75" hidden="false" customHeight="false" outlineLevel="0" collapsed="false">
      <c r="A405" s="12"/>
      <c r="B405" s="34"/>
      <c r="C405" s="12"/>
      <c r="D405" s="12"/>
      <c r="E405" s="12"/>
      <c r="F405" s="12"/>
      <c r="G405" s="18"/>
      <c r="H405" s="35"/>
      <c r="I405" s="12"/>
      <c r="M405" s="12"/>
      <c r="N405" s="18"/>
      <c r="O405" s="12"/>
      <c r="P405" s="12"/>
      <c r="Q405" s="12"/>
      <c r="R405" s="36"/>
      <c r="S405" s="36"/>
      <c r="T405" s="12"/>
      <c r="U405" s="12"/>
      <c r="V405" s="12"/>
      <c r="W405" s="12"/>
      <c r="X405" s="12"/>
    </row>
    <row r="406" customFormat="false" ht="15.75" hidden="false" customHeight="false" outlineLevel="0" collapsed="false">
      <c r="A406" s="12"/>
      <c r="B406" s="34"/>
      <c r="C406" s="12"/>
      <c r="D406" s="12"/>
      <c r="E406" s="12"/>
      <c r="F406" s="12"/>
      <c r="G406" s="18"/>
      <c r="H406" s="35"/>
      <c r="I406" s="12"/>
      <c r="M406" s="12"/>
      <c r="N406" s="18"/>
      <c r="O406" s="12"/>
      <c r="P406" s="12"/>
      <c r="Q406" s="12"/>
      <c r="R406" s="36"/>
      <c r="S406" s="36"/>
      <c r="T406" s="12"/>
      <c r="U406" s="12"/>
      <c r="V406" s="12"/>
      <c r="W406" s="12"/>
      <c r="X406" s="12"/>
    </row>
    <row r="407" customFormat="false" ht="15.75" hidden="false" customHeight="false" outlineLevel="0" collapsed="false">
      <c r="A407" s="12"/>
      <c r="B407" s="34"/>
      <c r="C407" s="12"/>
      <c r="D407" s="12"/>
      <c r="E407" s="12"/>
      <c r="F407" s="12"/>
      <c r="G407" s="18"/>
      <c r="H407" s="35"/>
      <c r="I407" s="12"/>
      <c r="M407" s="12"/>
      <c r="N407" s="18"/>
      <c r="O407" s="12"/>
      <c r="P407" s="12"/>
      <c r="Q407" s="12"/>
      <c r="R407" s="36"/>
      <c r="S407" s="36"/>
      <c r="T407" s="12"/>
      <c r="U407" s="12"/>
      <c r="V407" s="12"/>
      <c r="W407" s="12"/>
      <c r="X407" s="12"/>
    </row>
    <row r="408" customFormat="false" ht="15.75" hidden="false" customHeight="false" outlineLevel="0" collapsed="false">
      <c r="A408" s="12"/>
      <c r="B408" s="34"/>
      <c r="C408" s="12"/>
      <c r="D408" s="12"/>
      <c r="E408" s="12"/>
      <c r="F408" s="12"/>
      <c r="G408" s="18"/>
      <c r="H408" s="35"/>
      <c r="I408" s="12"/>
      <c r="M408" s="12"/>
      <c r="N408" s="18"/>
      <c r="O408" s="12"/>
      <c r="P408" s="12"/>
      <c r="Q408" s="12"/>
      <c r="R408" s="36"/>
      <c r="S408" s="36"/>
      <c r="T408" s="12"/>
      <c r="U408" s="12"/>
      <c r="V408" s="12"/>
      <c r="W408" s="12"/>
      <c r="X408" s="12"/>
    </row>
    <row r="409" customFormat="false" ht="15.75" hidden="false" customHeight="false" outlineLevel="0" collapsed="false">
      <c r="A409" s="12"/>
      <c r="B409" s="34"/>
      <c r="C409" s="12"/>
      <c r="D409" s="12"/>
      <c r="E409" s="12"/>
      <c r="F409" s="12"/>
      <c r="G409" s="18"/>
      <c r="H409" s="35"/>
      <c r="I409" s="12"/>
      <c r="M409" s="12"/>
      <c r="N409" s="18"/>
      <c r="O409" s="12"/>
      <c r="P409" s="12"/>
      <c r="Q409" s="12"/>
      <c r="R409" s="36"/>
      <c r="S409" s="36"/>
      <c r="T409" s="12"/>
      <c r="U409" s="12"/>
      <c r="V409" s="12"/>
      <c r="W409" s="12"/>
      <c r="X409" s="12"/>
    </row>
    <row r="410" customFormat="false" ht="15.75" hidden="false" customHeight="false" outlineLevel="0" collapsed="false">
      <c r="A410" s="12"/>
      <c r="B410" s="34"/>
      <c r="C410" s="12"/>
      <c r="D410" s="12"/>
      <c r="E410" s="12"/>
      <c r="F410" s="12"/>
      <c r="G410" s="18"/>
      <c r="H410" s="35"/>
      <c r="I410" s="12"/>
      <c r="M410" s="12"/>
      <c r="N410" s="18"/>
      <c r="O410" s="12"/>
      <c r="P410" s="12"/>
      <c r="Q410" s="12"/>
      <c r="R410" s="36"/>
      <c r="S410" s="36"/>
      <c r="T410" s="12"/>
      <c r="U410" s="12"/>
      <c r="V410" s="12"/>
      <c r="W410" s="12"/>
      <c r="X410" s="12"/>
    </row>
    <row r="411" customFormat="false" ht="15.75" hidden="false" customHeight="false" outlineLevel="0" collapsed="false">
      <c r="A411" s="12"/>
      <c r="B411" s="34"/>
      <c r="C411" s="12"/>
      <c r="D411" s="12"/>
      <c r="E411" s="12"/>
      <c r="F411" s="12"/>
      <c r="G411" s="18"/>
      <c r="H411" s="35"/>
      <c r="I411" s="12"/>
      <c r="M411" s="12"/>
      <c r="N411" s="18"/>
      <c r="O411" s="12"/>
      <c r="P411" s="12"/>
      <c r="Q411" s="12"/>
      <c r="R411" s="36"/>
      <c r="S411" s="36"/>
      <c r="T411" s="12"/>
      <c r="U411" s="12"/>
      <c r="V411" s="12"/>
      <c r="W411" s="12"/>
      <c r="X411" s="12"/>
    </row>
    <row r="412" customFormat="false" ht="15.75" hidden="false" customHeight="false" outlineLevel="0" collapsed="false">
      <c r="A412" s="12"/>
      <c r="B412" s="34"/>
      <c r="C412" s="12"/>
      <c r="D412" s="12"/>
      <c r="E412" s="12"/>
      <c r="F412" s="12"/>
      <c r="G412" s="18"/>
      <c r="H412" s="35"/>
      <c r="I412" s="12"/>
      <c r="M412" s="12"/>
      <c r="N412" s="18"/>
      <c r="O412" s="12"/>
      <c r="P412" s="12"/>
      <c r="Q412" s="12"/>
      <c r="R412" s="36"/>
      <c r="S412" s="36"/>
      <c r="T412" s="12"/>
      <c r="U412" s="12"/>
      <c r="V412" s="12"/>
      <c r="W412" s="12"/>
      <c r="X412" s="12"/>
    </row>
    <row r="413" customFormat="false" ht="15.75" hidden="false" customHeight="false" outlineLevel="0" collapsed="false">
      <c r="A413" s="12"/>
      <c r="B413" s="34"/>
      <c r="C413" s="12"/>
      <c r="D413" s="12"/>
      <c r="E413" s="12"/>
      <c r="F413" s="12"/>
      <c r="G413" s="18"/>
      <c r="H413" s="35"/>
      <c r="I413" s="12"/>
      <c r="M413" s="12"/>
      <c r="N413" s="18"/>
      <c r="O413" s="12"/>
      <c r="P413" s="12"/>
      <c r="Q413" s="12"/>
      <c r="R413" s="36"/>
      <c r="S413" s="36"/>
      <c r="T413" s="12"/>
      <c r="U413" s="12"/>
      <c r="V413" s="12"/>
      <c r="W413" s="12"/>
      <c r="X413" s="12"/>
    </row>
    <row r="414" customFormat="false" ht="15.75" hidden="false" customHeight="false" outlineLevel="0" collapsed="false">
      <c r="A414" s="12"/>
      <c r="B414" s="34"/>
      <c r="C414" s="12"/>
      <c r="D414" s="12"/>
      <c r="E414" s="12"/>
      <c r="F414" s="12"/>
      <c r="G414" s="18"/>
      <c r="H414" s="35"/>
      <c r="I414" s="12"/>
      <c r="M414" s="12"/>
      <c r="N414" s="18"/>
      <c r="O414" s="12"/>
      <c r="P414" s="12"/>
      <c r="Q414" s="12"/>
      <c r="R414" s="36"/>
      <c r="S414" s="36"/>
      <c r="T414" s="12"/>
      <c r="U414" s="12"/>
      <c r="V414" s="12"/>
      <c r="W414" s="12"/>
      <c r="X414" s="12"/>
    </row>
    <row r="415" customFormat="false" ht="15.75" hidden="false" customHeight="false" outlineLevel="0" collapsed="false">
      <c r="A415" s="12"/>
      <c r="B415" s="34"/>
      <c r="C415" s="12"/>
      <c r="D415" s="12"/>
      <c r="E415" s="12"/>
      <c r="F415" s="12"/>
      <c r="G415" s="18"/>
      <c r="H415" s="35"/>
      <c r="I415" s="12"/>
      <c r="M415" s="12"/>
      <c r="N415" s="18"/>
      <c r="O415" s="12"/>
      <c r="P415" s="12"/>
      <c r="Q415" s="12"/>
      <c r="R415" s="36"/>
      <c r="S415" s="36"/>
      <c r="T415" s="12"/>
      <c r="U415" s="12"/>
      <c r="V415" s="12"/>
      <c r="W415" s="12"/>
      <c r="X415" s="12"/>
    </row>
    <row r="416" customFormat="false" ht="15.75" hidden="false" customHeight="false" outlineLevel="0" collapsed="false">
      <c r="A416" s="12"/>
      <c r="B416" s="34"/>
      <c r="C416" s="12"/>
      <c r="D416" s="12"/>
      <c r="E416" s="12"/>
      <c r="F416" s="12"/>
      <c r="G416" s="18"/>
      <c r="H416" s="35"/>
      <c r="I416" s="12"/>
      <c r="M416" s="12"/>
      <c r="N416" s="18"/>
      <c r="O416" s="12"/>
      <c r="P416" s="12"/>
      <c r="Q416" s="12"/>
      <c r="R416" s="36"/>
      <c r="S416" s="36"/>
      <c r="T416" s="12"/>
      <c r="U416" s="12"/>
      <c r="V416" s="12"/>
      <c r="W416" s="12"/>
      <c r="X416" s="12"/>
    </row>
    <row r="417" customFormat="false" ht="15.75" hidden="false" customHeight="false" outlineLevel="0" collapsed="false">
      <c r="A417" s="12"/>
      <c r="B417" s="34"/>
      <c r="C417" s="12"/>
      <c r="D417" s="12"/>
      <c r="E417" s="12"/>
      <c r="F417" s="12"/>
      <c r="G417" s="18"/>
      <c r="H417" s="35"/>
      <c r="I417" s="12"/>
      <c r="M417" s="12"/>
      <c r="N417" s="18"/>
      <c r="O417" s="12"/>
      <c r="P417" s="12"/>
      <c r="Q417" s="12"/>
      <c r="R417" s="36"/>
      <c r="S417" s="36"/>
      <c r="T417" s="12"/>
      <c r="U417" s="12"/>
      <c r="V417" s="12"/>
      <c r="W417" s="12"/>
      <c r="X417" s="12"/>
    </row>
    <row r="418" customFormat="false" ht="15.75" hidden="false" customHeight="false" outlineLevel="0" collapsed="false">
      <c r="A418" s="12"/>
      <c r="B418" s="34"/>
      <c r="C418" s="12"/>
      <c r="D418" s="12"/>
      <c r="E418" s="12"/>
      <c r="F418" s="12"/>
      <c r="G418" s="18"/>
      <c r="H418" s="35"/>
      <c r="I418" s="12"/>
      <c r="M418" s="12"/>
      <c r="N418" s="18"/>
      <c r="O418" s="12"/>
      <c r="P418" s="12"/>
      <c r="Q418" s="12"/>
      <c r="R418" s="36"/>
      <c r="S418" s="36"/>
      <c r="T418" s="12"/>
      <c r="U418" s="12"/>
      <c r="V418" s="12"/>
      <c r="W418" s="12"/>
      <c r="X418" s="12"/>
    </row>
    <row r="419" customFormat="false" ht="15.75" hidden="false" customHeight="false" outlineLevel="0" collapsed="false">
      <c r="A419" s="12"/>
      <c r="B419" s="34"/>
      <c r="C419" s="12"/>
      <c r="D419" s="12"/>
      <c r="E419" s="12"/>
      <c r="F419" s="12"/>
      <c r="G419" s="18"/>
      <c r="H419" s="35"/>
      <c r="I419" s="12"/>
      <c r="M419" s="12"/>
      <c r="N419" s="18"/>
      <c r="O419" s="12"/>
      <c r="P419" s="12"/>
      <c r="Q419" s="12"/>
      <c r="R419" s="36"/>
      <c r="S419" s="36"/>
      <c r="T419" s="12"/>
      <c r="U419" s="12"/>
      <c r="V419" s="12"/>
      <c r="W419" s="12"/>
      <c r="X419" s="12"/>
    </row>
    <row r="420" customFormat="false" ht="15.75" hidden="false" customHeight="false" outlineLevel="0" collapsed="false">
      <c r="A420" s="12"/>
      <c r="B420" s="34"/>
      <c r="C420" s="12"/>
      <c r="D420" s="12"/>
      <c r="E420" s="12"/>
      <c r="F420" s="12"/>
      <c r="G420" s="18"/>
      <c r="H420" s="35"/>
      <c r="I420" s="12"/>
      <c r="M420" s="12"/>
      <c r="N420" s="18"/>
      <c r="O420" s="12"/>
      <c r="P420" s="12"/>
      <c r="Q420" s="12"/>
      <c r="R420" s="36"/>
      <c r="S420" s="36"/>
      <c r="T420" s="12"/>
      <c r="U420" s="12"/>
      <c r="V420" s="12"/>
      <c r="W420" s="12"/>
      <c r="X420" s="12"/>
    </row>
    <row r="421" customFormat="false" ht="15.75" hidden="false" customHeight="false" outlineLevel="0" collapsed="false">
      <c r="A421" s="12"/>
      <c r="B421" s="34"/>
      <c r="C421" s="12"/>
      <c r="D421" s="12"/>
      <c r="E421" s="12"/>
      <c r="F421" s="12"/>
      <c r="G421" s="18"/>
      <c r="H421" s="35"/>
      <c r="I421" s="12"/>
      <c r="M421" s="12"/>
      <c r="N421" s="18"/>
      <c r="O421" s="12"/>
      <c r="P421" s="12"/>
      <c r="Q421" s="12"/>
      <c r="R421" s="36"/>
      <c r="S421" s="36"/>
      <c r="T421" s="12"/>
      <c r="U421" s="12"/>
      <c r="V421" s="12"/>
      <c r="W421" s="12"/>
      <c r="X421" s="12"/>
    </row>
    <row r="422" customFormat="false" ht="15.75" hidden="false" customHeight="false" outlineLevel="0" collapsed="false">
      <c r="A422" s="12"/>
      <c r="B422" s="34"/>
      <c r="C422" s="12"/>
      <c r="D422" s="12"/>
      <c r="E422" s="12"/>
      <c r="F422" s="12"/>
      <c r="G422" s="18"/>
      <c r="H422" s="35"/>
      <c r="I422" s="12"/>
      <c r="M422" s="12"/>
      <c r="N422" s="18"/>
      <c r="O422" s="12"/>
      <c r="P422" s="12"/>
      <c r="Q422" s="12"/>
      <c r="R422" s="36"/>
      <c r="S422" s="36"/>
      <c r="T422" s="12"/>
      <c r="U422" s="12"/>
      <c r="V422" s="12"/>
      <c r="W422" s="12"/>
      <c r="X422" s="12"/>
    </row>
    <row r="423" customFormat="false" ht="15.75" hidden="false" customHeight="false" outlineLevel="0" collapsed="false">
      <c r="A423" s="12"/>
      <c r="B423" s="34"/>
      <c r="C423" s="12"/>
      <c r="D423" s="12"/>
      <c r="E423" s="12"/>
      <c r="F423" s="12"/>
      <c r="G423" s="18"/>
      <c r="H423" s="35"/>
      <c r="I423" s="12"/>
      <c r="M423" s="12"/>
      <c r="N423" s="18"/>
      <c r="O423" s="12"/>
      <c r="P423" s="12"/>
      <c r="Q423" s="12"/>
      <c r="R423" s="36"/>
      <c r="S423" s="36"/>
      <c r="T423" s="12"/>
      <c r="U423" s="12"/>
      <c r="V423" s="12"/>
      <c r="W423" s="12"/>
      <c r="X423" s="12"/>
    </row>
    <row r="424" customFormat="false" ht="15.75" hidden="false" customHeight="false" outlineLevel="0" collapsed="false">
      <c r="A424" s="12"/>
      <c r="B424" s="34"/>
      <c r="C424" s="12"/>
      <c r="D424" s="12"/>
      <c r="E424" s="12"/>
      <c r="F424" s="12"/>
      <c r="G424" s="18"/>
      <c r="H424" s="35"/>
      <c r="I424" s="12"/>
      <c r="M424" s="12"/>
      <c r="N424" s="18"/>
      <c r="O424" s="12"/>
      <c r="P424" s="12"/>
      <c r="Q424" s="12"/>
      <c r="R424" s="36"/>
      <c r="S424" s="36"/>
      <c r="T424" s="12"/>
      <c r="U424" s="12"/>
      <c r="V424" s="12"/>
      <c r="W424" s="12"/>
      <c r="X424" s="12"/>
    </row>
    <row r="425" customFormat="false" ht="15.75" hidden="false" customHeight="false" outlineLevel="0" collapsed="false">
      <c r="A425" s="12"/>
      <c r="B425" s="34"/>
      <c r="C425" s="12"/>
      <c r="D425" s="12"/>
      <c r="E425" s="12"/>
      <c r="F425" s="12"/>
      <c r="G425" s="18"/>
      <c r="H425" s="35"/>
      <c r="I425" s="12"/>
      <c r="M425" s="12"/>
      <c r="N425" s="18"/>
      <c r="O425" s="12"/>
      <c r="P425" s="12"/>
      <c r="Q425" s="12"/>
      <c r="R425" s="36"/>
      <c r="S425" s="36"/>
      <c r="T425" s="12"/>
      <c r="U425" s="12"/>
      <c r="V425" s="12"/>
      <c r="W425" s="12"/>
      <c r="X425" s="12"/>
    </row>
    <row r="426" customFormat="false" ht="15.75" hidden="false" customHeight="false" outlineLevel="0" collapsed="false">
      <c r="A426" s="12"/>
      <c r="B426" s="34"/>
      <c r="C426" s="12"/>
      <c r="D426" s="12"/>
      <c r="E426" s="12"/>
      <c r="F426" s="12"/>
      <c r="G426" s="18"/>
      <c r="H426" s="35"/>
      <c r="I426" s="12"/>
      <c r="M426" s="12"/>
      <c r="N426" s="18"/>
      <c r="O426" s="12"/>
      <c r="P426" s="12"/>
      <c r="Q426" s="12"/>
      <c r="R426" s="36"/>
      <c r="S426" s="36"/>
      <c r="T426" s="12"/>
      <c r="U426" s="12"/>
      <c r="V426" s="12"/>
      <c r="W426" s="12"/>
      <c r="X426" s="12"/>
    </row>
    <row r="427" customFormat="false" ht="15.75" hidden="false" customHeight="false" outlineLevel="0" collapsed="false">
      <c r="A427" s="12"/>
      <c r="B427" s="34"/>
      <c r="C427" s="12"/>
      <c r="D427" s="12"/>
      <c r="E427" s="12"/>
      <c r="F427" s="12"/>
      <c r="G427" s="18"/>
      <c r="H427" s="35"/>
      <c r="I427" s="12"/>
      <c r="M427" s="12"/>
      <c r="N427" s="18"/>
      <c r="O427" s="12"/>
      <c r="P427" s="12"/>
      <c r="Q427" s="12"/>
      <c r="R427" s="36"/>
      <c r="S427" s="36"/>
      <c r="T427" s="12"/>
      <c r="U427" s="12"/>
      <c r="V427" s="12"/>
      <c r="W427" s="12"/>
      <c r="X427" s="12"/>
    </row>
    <row r="428" customFormat="false" ht="15.75" hidden="false" customHeight="false" outlineLevel="0" collapsed="false">
      <c r="A428" s="12"/>
      <c r="B428" s="34"/>
      <c r="C428" s="12"/>
      <c r="D428" s="12"/>
      <c r="E428" s="12"/>
      <c r="F428" s="12"/>
      <c r="G428" s="18"/>
      <c r="H428" s="35"/>
      <c r="I428" s="12"/>
      <c r="M428" s="12"/>
      <c r="N428" s="18"/>
      <c r="O428" s="12"/>
      <c r="P428" s="12"/>
      <c r="Q428" s="12"/>
      <c r="R428" s="36"/>
      <c r="S428" s="36"/>
      <c r="T428" s="12"/>
      <c r="U428" s="12"/>
      <c r="V428" s="12"/>
      <c r="W428" s="12"/>
      <c r="X428" s="12"/>
    </row>
    <row r="429" customFormat="false" ht="15.75" hidden="false" customHeight="false" outlineLevel="0" collapsed="false">
      <c r="A429" s="12"/>
      <c r="B429" s="34"/>
      <c r="C429" s="12"/>
      <c r="D429" s="12"/>
      <c r="E429" s="12"/>
      <c r="F429" s="12"/>
      <c r="G429" s="18"/>
      <c r="H429" s="35"/>
      <c r="I429" s="12"/>
      <c r="M429" s="12"/>
      <c r="N429" s="18"/>
      <c r="O429" s="12"/>
      <c r="P429" s="12"/>
      <c r="Q429" s="12"/>
      <c r="R429" s="36"/>
      <c r="S429" s="36"/>
      <c r="T429" s="12"/>
      <c r="U429" s="12"/>
      <c r="V429" s="12"/>
      <c r="W429" s="12"/>
      <c r="X429" s="12"/>
    </row>
    <row r="430" customFormat="false" ht="15.75" hidden="false" customHeight="false" outlineLevel="0" collapsed="false">
      <c r="A430" s="12"/>
      <c r="B430" s="34"/>
      <c r="C430" s="12"/>
      <c r="D430" s="12"/>
      <c r="E430" s="12"/>
      <c r="F430" s="12"/>
      <c r="G430" s="18"/>
      <c r="H430" s="35"/>
      <c r="I430" s="12"/>
      <c r="M430" s="12"/>
      <c r="N430" s="18"/>
      <c r="O430" s="12"/>
      <c r="P430" s="12"/>
      <c r="Q430" s="12"/>
      <c r="R430" s="36"/>
      <c r="S430" s="36"/>
      <c r="T430" s="12"/>
      <c r="U430" s="12"/>
      <c r="V430" s="12"/>
      <c r="W430" s="12"/>
      <c r="X430" s="12"/>
    </row>
    <row r="431" customFormat="false" ht="15.75" hidden="false" customHeight="false" outlineLevel="0" collapsed="false">
      <c r="A431" s="12"/>
      <c r="B431" s="34"/>
      <c r="C431" s="12"/>
      <c r="D431" s="12"/>
      <c r="E431" s="12"/>
      <c r="F431" s="12"/>
      <c r="G431" s="18"/>
      <c r="H431" s="35"/>
      <c r="I431" s="12"/>
      <c r="M431" s="12"/>
      <c r="N431" s="18"/>
      <c r="O431" s="12"/>
      <c r="P431" s="12"/>
      <c r="Q431" s="12"/>
      <c r="R431" s="36"/>
      <c r="S431" s="36"/>
      <c r="T431" s="12"/>
      <c r="U431" s="12"/>
      <c r="V431" s="12"/>
      <c r="W431" s="12"/>
      <c r="X431" s="12"/>
    </row>
    <row r="432" customFormat="false" ht="15.75" hidden="false" customHeight="false" outlineLevel="0" collapsed="false">
      <c r="A432" s="12"/>
      <c r="B432" s="34"/>
      <c r="C432" s="12"/>
      <c r="D432" s="12"/>
      <c r="E432" s="12"/>
      <c r="F432" s="12"/>
      <c r="G432" s="18"/>
      <c r="H432" s="35"/>
      <c r="I432" s="12"/>
      <c r="M432" s="12"/>
      <c r="N432" s="18"/>
      <c r="O432" s="12"/>
      <c r="P432" s="12"/>
      <c r="Q432" s="12"/>
      <c r="R432" s="36"/>
      <c r="S432" s="36"/>
      <c r="T432" s="12"/>
      <c r="U432" s="12"/>
      <c r="V432" s="12"/>
      <c r="W432" s="12"/>
      <c r="X432" s="12"/>
    </row>
    <row r="433" customFormat="false" ht="15.75" hidden="false" customHeight="false" outlineLevel="0" collapsed="false">
      <c r="A433" s="12"/>
      <c r="B433" s="34"/>
      <c r="C433" s="12"/>
      <c r="D433" s="12"/>
      <c r="E433" s="12"/>
      <c r="F433" s="12"/>
      <c r="G433" s="18"/>
      <c r="H433" s="35"/>
      <c r="I433" s="12"/>
      <c r="M433" s="12"/>
      <c r="N433" s="18"/>
      <c r="O433" s="12"/>
      <c r="P433" s="12"/>
      <c r="Q433" s="12"/>
      <c r="R433" s="36"/>
      <c r="S433" s="36"/>
      <c r="T433" s="12"/>
      <c r="U433" s="12"/>
      <c r="V433" s="12"/>
      <c r="W433" s="12"/>
      <c r="X433" s="12"/>
    </row>
    <row r="434" customFormat="false" ht="15.75" hidden="false" customHeight="false" outlineLevel="0" collapsed="false">
      <c r="A434" s="12"/>
      <c r="B434" s="34"/>
      <c r="C434" s="12"/>
      <c r="D434" s="12"/>
      <c r="E434" s="12"/>
      <c r="F434" s="12"/>
      <c r="G434" s="18"/>
      <c r="H434" s="35"/>
      <c r="I434" s="12"/>
      <c r="M434" s="12"/>
      <c r="N434" s="18"/>
      <c r="O434" s="12"/>
      <c r="P434" s="12"/>
      <c r="Q434" s="12"/>
      <c r="R434" s="36"/>
      <c r="S434" s="36"/>
      <c r="T434" s="12"/>
      <c r="U434" s="12"/>
      <c r="V434" s="12"/>
      <c r="W434" s="12"/>
      <c r="X434" s="12"/>
    </row>
    <row r="435" customFormat="false" ht="15.75" hidden="false" customHeight="false" outlineLevel="0" collapsed="false">
      <c r="A435" s="12"/>
      <c r="B435" s="34"/>
      <c r="C435" s="12"/>
      <c r="D435" s="12"/>
      <c r="E435" s="12"/>
      <c r="F435" s="12"/>
      <c r="G435" s="18"/>
      <c r="H435" s="35"/>
      <c r="I435" s="12"/>
      <c r="M435" s="12"/>
      <c r="N435" s="18"/>
      <c r="O435" s="12"/>
      <c r="P435" s="12"/>
      <c r="Q435" s="12"/>
      <c r="R435" s="36"/>
      <c r="S435" s="36"/>
      <c r="T435" s="12"/>
      <c r="U435" s="12"/>
      <c r="V435" s="12"/>
      <c r="W435" s="12"/>
      <c r="X435" s="12"/>
    </row>
    <row r="436" customFormat="false" ht="15.75" hidden="false" customHeight="false" outlineLevel="0" collapsed="false">
      <c r="A436" s="12"/>
      <c r="B436" s="34"/>
      <c r="C436" s="12"/>
      <c r="D436" s="12"/>
      <c r="E436" s="12"/>
      <c r="F436" s="12"/>
      <c r="G436" s="18"/>
      <c r="H436" s="35"/>
      <c r="I436" s="12"/>
      <c r="M436" s="12"/>
      <c r="N436" s="18"/>
      <c r="O436" s="12"/>
      <c r="P436" s="12"/>
      <c r="Q436" s="12"/>
      <c r="R436" s="36"/>
      <c r="S436" s="36"/>
      <c r="T436" s="12"/>
      <c r="U436" s="12"/>
      <c r="V436" s="12"/>
      <c r="W436" s="12"/>
      <c r="X436" s="12"/>
    </row>
    <row r="437" customFormat="false" ht="15.75" hidden="false" customHeight="false" outlineLevel="0" collapsed="false">
      <c r="A437" s="12"/>
      <c r="B437" s="34"/>
      <c r="C437" s="12"/>
      <c r="D437" s="12"/>
      <c r="E437" s="12"/>
      <c r="F437" s="12"/>
      <c r="G437" s="18"/>
      <c r="H437" s="35"/>
      <c r="I437" s="12"/>
      <c r="M437" s="12"/>
      <c r="N437" s="18"/>
      <c r="O437" s="12"/>
      <c r="P437" s="12"/>
      <c r="Q437" s="12"/>
      <c r="R437" s="36"/>
      <c r="S437" s="36"/>
      <c r="T437" s="12"/>
      <c r="U437" s="12"/>
      <c r="V437" s="12"/>
      <c r="W437" s="12"/>
      <c r="X437" s="12"/>
    </row>
    <row r="438" customFormat="false" ht="15.75" hidden="false" customHeight="false" outlineLevel="0" collapsed="false">
      <c r="A438" s="12"/>
      <c r="B438" s="34"/>
      <c r="C438" s="12"/>
      <c r="D438" s="12"/>
      <c r="E438" s="12"/>
      <c r="F438" s="12"/>
      <c r="G438" s="18"/>
      <c r="H438" s="35"/>
      <c r="I438" s="12"/>
      <c r="M438" s="12"/>
      <c r="N438" s="18"/>
      <c r="O438" s="12"/>
      <c r="P438" s="12"/>
      <c r="Q438" s="12"/>
      <c r="R438" s="36"/>
      <c r="S438" s="36"/>
      <c r="T438" s="12"/>
      <c r="U438" s="12"/>
      <c r="V438" s="12"/>
      <c r="W438" s="12"/>
      <c r="X438" s="12"/>
    </row>
    <row r="439" customFormat="false" ht="15.75" hidden="false" customHeight="false" outlineLevel="0" collapsed="false">
      <c r="A439" s="12"/>
      <c r="B439" s="34"/>
      <c r="C439" s="12"/>
      <c r="D439" s="12"/>
      <c r="E439" s="12"/>
      <c r="F439" s="12"/>
      <c r="G439" s="18"/>
      <c r="H439" s="35"/>
      <c r="I439" s="12"/>
      <c r="M439" s="12"/>
      <c r="N439" s="18"/>
      <c r="O439" s="12"/>
      <c r="P439" s="12"/>
      <c r="Q439" s="12"/>
      <c r="R439" s="36"/>
      <c r="S439" s="36"/>
      <c r="T439" s="12"/>
      <c r="U439" s="12"/>
      <c r="V439" s="12"/>
      <c r="W439" s="12"/>
      <c r="X439" s="12"/>
    </row>
    <row r="440" customFormat="false" ht="15.75" hidden="false" customHeight="false" outlineLevel="0" collapsed="false">
      <c r="A440" s="12"/>
      <c r="B440" s="34"/>
      <c r="C440" s="12"/>
      <c r="D440" s="12"/>
      <c r="E440" s="12"/>
      <c r="F440" s="12"/>
      <c r="G440" s="18"/>
      <c r="H440" s="35"/>
      <c r="I440" s="12"/>
      <c r="M440" s="12"/>
      <c r="N440" s="18"/>
      <c r="O440" s="12"/>
      <c r="P440" s="12"/>
      <c r="Q440" s="12"/>
      <c r="R440" s="36"/>
      <c r="S440" s="36"/>
      <c r="T440" s="12"/>
      <c r="U440" s="12"/>
      <c r="V440" s="12"/>
      <c r="W440" s="12"/>
      <c r="X440" s="12"/>
    </row>
    <row r="441" customFormat="false" ht="15.75" hidden="false" customHeight="false" outlineLevel="0" collapsed="false">
      <c r="A441" s="12"/>
      <c r="B441" s="34"/>
      <c r="C441" s="12"/>
      <c r="D441" s="12"/>
      <c r="E441" s="12"/>
      <c r="F441" s="12"/>
      <c r="G441" s="18"/>
      <c r="H441" s="35"/>
      <c r="I441" s="12"/>
      <c r="M441" s="12"/>
      <c r="N441" s="18"/>
      <c r="O441" s="12"/>
      <c r="P441" s="12"/>
      <c r="Q441" s="12"/>
      <c r="R441" s="36"/>
      <c r="S441" s="36"/>
      <c r="T441" s="12"/>
      <c r="U441" s="12"/>
      <c r="V441" s="12"/>
      <c r="W441" s="12"/>
      <c r="X441" s="12"/>
    </row>
    <row r="442" customFormat="false" ht="15.75" hidden="false" customHeight="false" outlineLevel="0" collapsed="false">
      <c r="A442" s="12"/>
      <c r="B442" s="34"/>
      <c r="C442" s="12"/>
      <c r="D442" s="12"/>
      <c r="E442" s="12"/>
      <c r="F442" s="12"/>
      <c r="G442" s="18"/>
      <c r="H442" s="35"/>
      <c r="I442" s="12"/>
      <c r="M442" s="12"/>
      <c r="N442" s="18"/>
      <c r="O442" s="12"/>
      <c r="P442" s="12"/>
      <c r="Q442" s="12"/>
      <c r="R442" s="36"/>
      <c r="S442" s="36"/>
      <c r="T442" s="12"/>
      <c r="U442" s="12"/>
      <c r="V442" s="12"/>
      <c r="W442" s="12"/>
      <c r="X442" s="12"/>
    </row>
    <row r="443" customFormat="false" ht="15.75" hidden="false" customHeight="false" outlineLevel="0" collapsed="false">
      <c r="A443" s="12"/>
      <c r="B443" s="34"/>
      <c r="C443" s="12"/>
      <c r="D443" s="12"/>
      <c r="E443" s="12"/>
      <c r="F443" s="12"/>
      <c r="G443" s="18"/>
      <c r="H443" s="35"/>
      <c r="I443" s="12"/>
      <c r="M443" s="12"/>
      <c r="N443" s="18"/>
      <c r="O443" s="12"/>
      <c r="P443" s="12"/>
      <c r="Q443" s="12"/>
      <c r="R443" s="36"/>
      <c r="S443" s="36"/>
      <c r="T443" s="12"/>
      <c r="U443" s="12"/>
      <c r="V443" s="12"/>
      <c r="W443" s="12"/>
      <c r="X443" s="12"/>
    </row>
    <row r="444" customFormat="false" ht="15.75" hidden="false" customHeight="false" outlineLevel="0" collapsed="false">
      <c r="A444" s="12"/>
      <c r="B444" s="34"/>
      <c r="C444" s="12"/>
      <c r="D444" s="12"/>
      <c r="E444" s="12"/>
      <c r="F444" s="12"/>
      <c r="G444" s="18"/>
      <c r="H444" s="35"/>
      <c r="I444" s="12"/>
      <c r="M444" s="12"/>
      <c r="N444" s="18"/>
      <c r="O444" s="12"/>
      <c r="P444" s="12"/>
      <c r="Q444" s="12"/>
      <c r="R444" s="36"/>
      <c r="S444" s="36"/>
      <c r="T444" s="12"/>
      <c r="U444" s="12"/>
      <c r="V444" s="12"/>
      <c r="W444" s="12"/>
      <c r="X444" s="12"/>
    </row>
    <row r="445" customFormat="false" ht="15.75" hidden="false" customHeight="false" outlineLevel="0" collapsed="false">
      <c r="A445" s="12"/>
      <c r="B445" s="34"/>
      <c r="C445" s="12"/>
      <c r="D445" s="12"/>
      <c r="E445" s="12"/>
      <c r="F445" s="12"/>
      <c r="G445" s="18"/>
      <c r="H445" s="35"/>
      <c r="I445" s="12"/>
      <c r="M445" s="12"/>
      <c r="N445" s="18"/>
      <c r="O445" s="12"/>
      <c r="P445" s="12"/>
      <c r="Q445" s="12"/>
      <c r="R445" s="36"/>
      <c r="S445" s="36"/>
      <c r="T445" s="12"/>
      <c r="U445" s="12"/>
      <c r="V445" s="12"/>
      <c r="W445" s="12"/>
      <c r="X445" s="12"/>
    </row>
    <row r="446" customFormat="false" ht="15.75" hidden="false" customHeight="false" outlineLevel="0" collapsed="false">
      <c r="A446" s="12"/>
      <c r="B446" s="34"/>
      <c r="C446" s="12"/>
      <c r="D446" s="12"/>
      <c r="E446" s="12"/>
      <c r="F446" s="12"/>
      <c r="G446" s="18"/>
      <c r="H446" s="35"/>
      <c r="I446" s="12"/>
      <c r="M446" s="12"/>
      <c r="N446" s="18"/>
      <c r="O446" s="12"/>
      <c r="P446" s="12"/>
      <c r="Q446" s="12"/>
      <c r="R446" s="36"/>
      <c r="S446" s="36"/>
      <c r="T446" s="12"/>
      <c r="U446" s="12"/>
      <c r="V446" s="12"/>
      <c r="W446" s="12"/>
      <c r="X446" s="12"/>
    </row>
    <row r="447" customFormat="false" ht="15.75" hidden="false" customHeight="false" outlineLevel="0" collapsed="false">
      <c r="A447" s="12"/>
      <c r="B447" s="34"/>
      <c r="C447" s="12"/>
      <c r="D447" s="12"/>
      <c r="E447" s="12"/>
      <c r="F447" s="12"/>
      <c r="G447" s="18"/>
      <c r="H447" s="35"/>
      <c r="I447" s="12"/>
      <c r="M447" s="12"/>
      <c r="N447" s="18"/>
      <c r="O447" s="12"/>
      <c r="P447" s="12"/>
      <c r="Q447" s="12"/>
      <c r="R447" s="36"/>
      <c r="S447" s="36"/>
      <c r="T447" s="12"/>
      <c r="U447" s="12"/>
      <c r="V447" s="12"/>
      <c r="W447" s="12"/>
      <c r="X447" s="12"/>
    </row>
    <row r="448" customFormat="false" ht="15.75" hidden="false" customHeight="false" outlineLevel="0" collapsed="false">
      <c r="A448" s="12"/>
      <c r="B448" s="34"/>
      <c r="C448" s="12"/>
      <c r="D448" s="12"/>
      <c r="E448" s="12"/>
      <c r="F448" s="12"/>
      <c r="G448" s="18"/>
      <c r="H448" s="35"/>
      <c r="I448" s="12"/>
      <c r="M448" s="12"/>
      <c r="N448" s="18"/>
      <c r="O448" s="12"/>
      <c r="P448" s="12"/>
      <c r="Q448" s="12"/>
      <c r="R448" s="36"/>
      <c r="S448" s="36"/>
      <c r="T448" s="12"/>
      <c r="U448" s="12"/>
      <c r="V448" s="12"/>
      <c r="W448" s="12"/>
      <c r="X448" s="12"/>
    </row>
    <row r="449" customFormat="false" ht="15.75" hidden="false" customHeight="false" outlineLevel="0" collapsed="false">
      <c r="A449" s="12"/>
      <c r="B449" s="34"/>
      <c r="C449" s="12"/>
      <c r="D449" s="12"/>
      <c r="E449" s="12"/>
      <c r="F449" s="12"/>
      <c r="G449" s="18"/>
      <c r="H449" s="35"/>
      <c r="I449" s="12"/>
      <c r="M449" s="12"/>
      <c r="N449" s="18"/>
      <c r="O449" s="12"/>
      <c r="P449" s="12"/>
      <c r="Q449" s="12"/>
      <c r="R449" s="36"/>
      <c r="S449" s="36"/>
      <c r="T449" s="12"/>
      <c r="U449" s="12"/>
      <c r="V449" s="12"/>
      <c r="W449" s="12"/>
      <c r="X449" s="12"/>
    </row>
    <row r="450" customFormat="false" ht="15.75" hidden="false" customHeight="false" outlineLevel="0" collapsed="false">
      <c r="A450" s="12"/>
      <c r="B450" s="34"/>
      <c r="C450" s="12"/>
      <c r="D450" s="12"/>
      <c r="E450" s="12"/>
      <c r="F450" s="12"/>
      <c r="G450" s="18"/>
      <c r="H450" s="35"/>
      <c r="I450" s="12"/>
      <c r="M450" s="12"/>
      <c r="N450" s="18"/>
      <c r="O450" s="12"/>
      <c r="P450" s="12"/>
      <c r="Q450" s="12"/>
      <c r="R450" s="36"/>
      <c r="S450" s="36"/>
      <c r="T450" s="12"/>
      <c r="U450" s="12"/>
      <c r="V450" s="12"/>
      <c r="W450" s="12"/>
      <c r="X450" s="12"/>
    </row>
    <row r="451" customFormat="false" ht="15.75" hidden="false" customHeight="false" outlineLevel="0" collapsed="false">
      <c r="A451" s="12"/>
      <c r="B451" s="34"/>
      <c r="C451" s="12"/>
      <c r="D451" s="12"/>
      <c r="E451" s="12"/>
      <c r="F451" s="12"/>
      <c r="G451" s="18"/>
      <c r="H451" s="35"/>
      <c r="I451" s="12"/>
      <c r="M451" s="12"/>
      <c r="N451" s="18"/>
      <c r="O451" s="12"/>
      <c r="P451" s="12"/>
      <c r="Q451" s="12"/>
      <c r="R451" s="36"/>
      <c r="S451" s="36"/>
      <c r="T451" s="12"/>
      <c r="U451" s="12"/>
      <c r="V451" s="12"/>
      <c r="W451" s="12"/>
      <c r="X451" s="12"/>
    </row>
    <row r="452" customFormat="false" ht="15.75" hidden="false" customHeight="false" outlineLevel="0" collapsed="false">
      <c r="A452" s="12"/>
      <c r="B452" s="34"/>
      <c r="C452" s="12"/>
      <c r="D452" s="12"/>
      <c r="E452" s="12"/>
      <c r="F452" s="12"/>
      <c r="G452" s="18"/>
      <c r="H452" s="35"/>
      <c r="I452" s="12"/>
      <c r="M452" s="12"/>
      <c r="N452" s="18"/>
      <c r="O452" s="12"/>
      <c r="P452" s="12"/>
      <c r="Q452" s="12"/>
      <c r="R452" s="36"/>
      <c r="S452" s="36"/>
      <c r="T452" s="12"/>
      <c r="U452" s="12"/>
      <c r="V452" s="12"/>
      <c r="W452" s="12"/>
      <c r="X452" s="12"/>
    </row>
    <row r="453" customFormat="false" ht="15.75" hidden="false" customHeight="false" outlineLevel="0" collapsed="false">
      <c r="A453" s="12"/>
      <c r="B453" s="34"/>
      <c r="C453" s="12"/>
      <c r="D453" s="12"/>
      <c r="E453" s="12"/>
      <c r="F453" s="12"/>
      <c r="G453" s="18"/>
      <c r="H453" s="35"/>
      <c r="I453" s="12"/>
      <c r="M453" s="12"/>
      <c r="N453" s="18"/>
      <c r="O453" s="12"/>
      <c r="P453" s="12"/>
      <c r="Q453" s="12"/>
      <c r="R453" s="36"/>
      <c r="S453" s="36"/>
      <c r="T453" s="12"/>
      <c r="U453" s="12"/>
      <c r="V453" s="12"/>
      <c r="W453" s="12"/>
      <c r="X453" s="12"/>
    </row>
    <row r="454" customFormat="false" ht="15.75" hidden="false" customHeight="false" outlineLevel="0" collapsed="false">
      <c r="A454" s="12"/>
      <c r="B454" s="34"/>
      <c r="C454" s="12"/>
      <c r="D454" s="12"/>
      <c r="E454" s="12"/>
      <c r="F454" s="12"/>
      <c r="G454" s="18"/>
      <c r="H454" s="35"/>
      <c r="I454" s="12"/>
      <c r="M454" s="12"/>
      <c r="N454" s="18"/>
      <c r="O454" s="12"/>
      <c r="P454" s="12"/>
      <c r="Q454" s="12"/>
      <c r="R454" s="36"/>
      <c r="S454" s="36"/>
      <c r="T454" s="12"/>
      <c r="U454" s="12"/>
      <c r="V454" s="12"/>
      <c r="W454" s="12"/>
      <c r="X454" s="12"/>
    </row>
    <row r="455" customFormat="false" ht="15.75" hidden="false" customHeight="false" outlineLevel="0" collapsed="false">
      <c r="A455" s="12"/>
      <c r="B455" s="34"/>
      <c r="C455" s="12"/>
      <c r="D455" s="12"/>
      <c r="E455" s="12"/>
      <c r="F455" s="12"/>
      <c r="G455" s="18"/>
      <c r="H455" s="35"/>
      <c r="I455" s="12"/>
      <c r="M455" s="12"/>
      <c r="N455" s="18"/>
      <c r="O455" s="12"/>
      <c r="P455" s="12"/>
      <c r="Q455" s="12"/>
      <c r="R455" s="36"/>
      <c r="S455" s="36"/>
      <c r="T455" s="12"/>
      <c r="U455" s="12"/>
      <c r="V455" s="12"/>
      <c r="W455" s="12"/>
      <c r="X455" s="12"/>
    </row>
    <row r="456" customFormat="false" ht="15.75" hidden="false" customHeight="false" outlineLevel="0" collapsed="false">
      <c r="A456" s="12"/>
      <c r="B456" s="34"/>
      <c r="C456" s="12"/>
      <c r="D456" s="12"/>
      <c r="E456" s="12"/>
      <c r="F456" s="12"/>
      <c r="G456" s="18"/>
      <c r="H456" s="35"/>
      <c r="I456" s="12"/>
      <c r="M456" s="12"/>
      <c r="N456" s="18"/>
      <c r="O456" s="12"/>
      <c r="P456" s="12"/>
      <c r="Q456" s="12"/>
      <c r="R456" s="36"/>
      <c r="S456" s="36"/>
      <c r="T456" s="12"/>
      <c r="U456" s="12"/>
      <c r="V456" s="12"/>
      <c r="W456" s="12"/>
      <c r="X456" s="12"/>
    </row>
    <row r="457" customFormat="false" ht="15.75" hidden="false" customHeight="false" outlineLevel="0" collapsed="false">
      <c r="A457" s="12"/>
      <c r="B457" s="34"/>
      <c r="C457" s="12"/>
      <c r="D457" s="12"/>
      <c r="E457" s="12"/>
      <c r="F457" s="12"/>
      <c r="G457" s="18"/>
      <c r="H457" s="35"/>
      <c r="I457" s="12"/>
      <c r="M457" s="12"/>
      <c r="N457" s="18"/>
      <c r="O457" s="12"/>
      <c r="P457" s="12"/>
      <c r="Q457" s="12"/>
      <c r="R457" s="36"/>
      <c r="S457" s="36"/>
      <c r="T457" s="12"/>
      <c r="U457" s="12"/>
      <c r="V457" s="12"/>
      <c r="W457" s="12"/>
      <c r="X457" s="12"/>
    </row>
    <row r="458" customFormat="false" ht="15.75" hidden="false" customHeight="false" outlineLevel="0" collapsed="false">
      <c r="A458" s="12"/>
      <c r="B458" s="34"/>
      <c r="C458" s="12"/>
      <c r="D458" s="12"/>
      <c r="E458" s="12"/>
      <c r="F458" s="12"/>
      <c r="G458" s="18"/>
      <c r="H458" s="35"/>
      <c r="I458" s="12"/>
      <c r="M458" s="12"/>
      <c r="N458" s="18"/>
      <c r="O458" s="12"/>
      <c r="P458" s="12"/>
      <c r="Q458" s="12"/>
      <c r="R458" s="36"/>
      <c r="S458" s="36"/>
      <c r="T458" s="12"/>
      <c r="U458" s="12"/>
      <c r="V458" s="12"/>
      <c r="W458" s="12"/>
      <c r="X458" s="12"/>
    </row>
    <row r="459" customFormat="false" ht="15.75" hidden="false" customHeight="false" outlineLevel="0" collapsed="false">
      <c r="A459" s="12"/>
      <c r="B459" s="34"/>
      <c r="C459" s="12"/>
      <c r="D459" s="12"/>
      <c r="E459" s="12"/>
      <c r="F459" s="12"/>
      <c r="G459" s="18"/>
      <c r="H459" s="35"/>
      <c r="I459" s="12"/>
      <c r="M459" s="12"/>
      <c r="N459" s="18"/>
      <c r="O459" s="12"/>
      <c r="P459" s="12"/>
      <c r="Q459" s="12"/>
      <c r="R459" s="36"/>
      <c r="S459" s="36"/>
      <c r="T459" s="12"/>
      <c r="U459" s="12"/>
      <c r="V459" s="12"/>
      <c r="W459" s="12"/>
      <c r="X459" s="12"/>
    </row>
    <row r="460" customFormat="false" ht="15.75" hidden="false" customHeight="false" outlineLevel="0" collapsed="false">
      <c r="A460" s="12"/>
      <c r="B460" s="34"/>
      <c r="C460" s="12"/>
      <c r="D460" s="12"/>
      <c r="E460" s="12"/>
      <c r="F460" s="12"/>
      <c r="G460" s="18"/>
      <c r="H460" s="35"/>
      <c r="I460" s="12"/>
      <c r="M460" s="12"/>
      <c r="N460" s="18"/>
      <c r="O460" s="12"/>
      <c r="P460" s="12"/>
      <c r="Q460" s="12"/>
      <c r="R460" s="36"/>
      <c r="S460" s="36"/>
      <c r="T460" s="12"/>
      <c r="U460" s="12"/>
      <c r="V460" s="12"/>
      <c r="W460" s="12"/>
      <c r="X460" s="12"/>
    </row>
    <row r="461" customFormat="false" ht="15.75" hidden="false" customHeight="false" outlineLevel="0" collapsed="false">
      <c r="A461" s="12"/>
      <c r="B461" s="34"/>
      <c r="C461" s="12"/>
      <c r="D461" s="12"/>
      <c r="E461" s="12"/>
      <c r="F461" s="12"/>
      <c r="G461" s="18"/>
      <c r="H461" s="35"/>
      <c r="I461" s="12"/>
      <c r="M461" s="12"/>
      <c r="N461" s="18"/>
      <c r="O461" s="12"/>
      <c r="P461" s="12"/>
      <c r="Q461" s="12"/>
      <c r="R461" s="36"/>
      <c r="S461" s="36"/>
      <c r="T461" s="12"/>
      <c r="U461" s="12"/>
      <c r="V461" s="12"/>
      <c r="W461" s="12"/>
      <c r="X461" s="12"/>
    </row>
    <row r="462" customFormat="false" ht="15.75" hidden="false" customHeight="false" outlineLevel="0" collapsed="false">
      <c r="A462" s="12"/>
      <c r="B462" s="34"/>
      <c r="C462" s="12"/>
      <c r="D462" s="12"/>
      <c r="E462" s="12"/>
      <c r="F462" s="12"/>
      <c r="G462" s="18"/>
      <c r="H462" s="35"/>
      <c r="I462" s="12"/>
      <c r="M462" s="12"/>
      <c r="N462" s="18"/>
      <c r="O462" s="12"/>
      <c r="P462" s="12"/>
      <c r="Q462" s="12"/>
      <c r="R462" s="36"/>
      <c r="S462" s="36"/>
      <c r="T462" s="12"/>
      <c r="U462" s="12"/>
      <c r="V462" s="12"/>
      <c r="W462" s="12"/>
      <c r="X462" s="12"/>
    </row>
    <row r="463" customFormat="false" ht="15.75" hidden="false" customHeight="false" outlineLevel="0" collapsed="false">
      <c r="A463" s="12"/>
      <c r="B463" s="34"/>
      <c r="C463" s="12"/>
      <c r="D463" s="12"/>
      <c r="E463" s="12"/>
      <c r="F463" s="12"/>
      <c r="G463" s="18"/>
      <c r="H463" s="35"/>
      <c r="I463" s="12"/>
      <c r="M463" s="12"/>
      <c r="N463" s="18"/>
      <c r="O463" s="12"/>
      <c r="P463" s="12"/>
      <c r="Q463" s="12"/>
      <c r="R463" s="36"/>
      <c r="S463" s="36"/>
      <c r="T463" s="12"/>
      <c r="U463" s="12"/>
      <c r="V463" s="12"/>
      <c r="W463" s="12"/>
      <c r="X463" s="12"/>
    </row>
    <row r="464" customFormat="false" ht="15.75" hidden="false" customHeight="false" outlineLevel="0" collapsed="false">
      <c r="A464" s="12"/>
      <c r="B464" s="34"/>
      <c r="C464" s="12"/>
      <c r="D464" s="12"/>
      <c r="E464" s="12"/>
      <c r="F464" s="12"/>
      <c r="G464" s="18"/>
      <c r="H464" s="35"/>
      <c r="I464" s="12"/>
      <c r="M464" s="12"/>
      <c r="N464" s="18"/>
      <c r="O464" s="12"/>
      <c r="P464" s="12"/>
      <c r="Q464" s="12"/>
      <c r="R464" s="36"/>
      <c r="S464" s="36"/>
      <c r="T464" s="12"/>
      <c r="U464" s="12"/>
      <c r="V464" s="12"/>
      <c r="W464" s="12"/>
      <c r="X464" s="12"/>
    </row>
    <row r="465" customFormat="false" ht="15.75" hidden="false" customHeight="false" outlineLevel="0" collapsed="false">
      <c r="A465" s="12"/>
      <c r="B465" s="34"/>
      <c r="C465" s="12"/>
      <c r="D465" s="12"/>
      <c r="E465" s="12"/>
      <c r="F465" s="12"/>
      <c r="G465" s="18"/>
      <c r="H465" s="35"/>
      <c r="I465" s="12"/>
      <c r="M465" s="12"/>
      <c r="N465" s="18"/>
      <c r="O465" s="12"/>
      <c r="P465" s="12"/>
      <c r="Q465" s="12"/>
      <c r="R465" s="36"/>
      <c r="S465" s="36"/>
      <c r="T465" s="12"/>
      <c r="U465" s="12"/>
      <c r="V465" s="12"/>
      <c r="W465" s="12"/>
      <c r="X465" s="12"/>
    </row>
    <row r="466" customFormat="false" ht="15.75" hidden="false" customHeight="false" outlineLevel="0" collapsed="false">
      <c r="A466" s="12"/>
      <c r="B466" s="34"/>
      <c r="C466" s="12"/>
      <c r="D466" s="12"/>
      <c r="E466" s="12"/>
      <c r="F466" s="12"/>
      <c r="G466" s="18"/>
      <c r="H466" s="35"/>
      <c r="I466" s="12"/>
      <c r="M466" s="12"/>
      <c r="N466" s="18"/>
      <c r="O466" s="12"/>
      <c r="P466" s="12"/>
      <c r="Q466" s="12"/>
      <c r="R466" s="36"/>
      <c r="S466" s="36"/>
      <c r="T466" s="12"/>
      <c r="U466" s="12"/>
      <c r="V466" s="12"/>
      <c r="W466" s="12"/>
      <c r="X466" s="12"/>
    </row>
    <row r="467" customFormat="false" ht="15.75" hidden="false" customHeight="false" outlineLevel="0" collapsed="false">
      <c r="A467" s="12"/>
      <c r="B467" s="34"/>
      <c r="C467" s="12"/>
      <c r="D467" s="12"/>
      <c r="E467" s="12"/>
      <c r="F467" s="12"/>
      <c r="G467" s="18"/>
      <c r="H467" s="35"/>
      <c r="I467" s="12"/>
      <c r="M467" s="12"/>
      <c r="N467" s="18"/>
      <c r="O467" s="12"/>
      <c r="P467" s="12"/>
      <c r="Q467" s="12"/>
      <c r="R467" s="36"/>
      <c r="S467" s="36"/>
      <c r="T467" s="12"/>
      <c r="U467" s="12"/>
      <c r="V467" s="12"/>
      <c r="W467" s="12"/>
      <c r="X467" s="12"/>
    </row>
    <row r="468" customFormat="false" ht="15.75" hidden="false" customHeight="false" outlineLevel="0" collapsed="false">
      <c r="A468" s="12"/>
      <c r="B468" s="34"/>
      <c r="C468" s="12"/>
      <c r="D468" s="12"/>
      <c r="E468" s="12"/>
      <c r="F468" s="12"/>
      <c r="G468" s="18"/>
      <c r="H468" s="35"/>
      <c r="I468" s="12"/>
      <c r="M468" s="12"/>
      <c r="N468" s="18"/>
      <c r="O468" s="12"/>
      <c r="P468" s="12"/>
      <c r="Q468" s="12"/>
      <c r="R468" s="36"/>
      <c r="S468" s="36"/>
      <c r="T468" s="12"/>
      <c r="U468" s="12"/>
      <c r="V468" s="12"/>
      <c r="W468" s="12"/>
      <c r="X468" s="12"/>
    </row>
    <row r="469" customFormat="false" ht="15.75" hidden="false" customHeight="false" outlineLevel="0" collapsed="false">
      <c r="A469" s="12"/>
      <c r="B469" s="34"/>
      <c r="C469" s="12"/>
      <c r="D469" s="12"/>
      <c r="E469" s="12"/>
      <c r="F469" s="12"/>
      <c r="G469" s="18"/>
      <c r="H469" s="35"/>
      <c r="I469" s="12"/>
      <c r="M469" s="12"/>
      <c r="N469" s="18"/>
      <c r="O469" s="12"/>
      <c r="P469" s="12"/>
      <c r="Q469" s="12"/>
      <c r="R469" s="36"/>
      <c r="S469" s="36"/>
      <c r="T469" s="12"/>
      <c r="U469" s="12"/>
      <c r="V469" s="12"/>
      <c r="W469" s="12"/>
      <c r="X469" s="12"/>
    </row>
    <row r="470" customFormat="false" ht="15.75" hidden="false" customHeight="false" outlineLevel="0" collapsed="false">
      <c r="A470" s="12"/>
      <c r="B470" s="34"/>
      <c r="C470" s="12"/>
      <c r="D470" s="12"/>
      <c r="E470" s="12"/>
      <c r="F470" s="12"/>
      <c r="G470" s="18"/>
      <c r="H470" s="35"/>
      <c r="I470" s="12"/>
      <c r="M470" s="12"/>
      <c r="N470" s="18"/>
      <c r="O470" s="12"/>
      <c r="P470" s="12"/>
      <c r="Q470" s="12"/>
      <c r="R470" s="36"/>
      <c r="S470" s="36"/>
      <c r="T470" s="12"/>
      <c r="U470" s="12"/>
      <c r="V470" s="12"/>
      <c r="W470" s="12"/>
      <c r="X470" s="12"/>
    </row>
    <row r="471" customFormat="false" ht="15.75" hidden="false" customHeight="false" outlineLevel="0" collapsed="false">
      <c r="A471" s="12"/>
      <c r="B471" s="34"/>
      <c r="C471" s="12"/>
      <c r="D471" s="12"/>
      <c r="E471" s="12"/>
      <c r="F471" s="12"/>
      <c r="G471" s="18"/>
      <c r="H471" s="35"/>
      <c r="I471" s="12"/>
      <c r="M471" s="12"/>
      <c r="N471" s="18"/>
      <c r="O471" s="12"/>
      <c r="P471" s="12"/>
      <c r="Q471" s="12"/>
      <c r="R471" s="36"/>
      <c r="S471" s="36"/>
      <c r="T471" s="12"/>
      <c r="U471" s="12"/>
      <c r="V471" s="12"/>
      <c r="W471" s="12"/>
      <c r="X471" s="12"/>
    </row>
    <row r="472" customFormat="false" ht="15.75" hidden="false" customHeight="false" outlineLevel="0" collapsed="false">
      <c r="A472" s="12"/>
      <c r="B472" s="34"/>
      <c r="C472" s="12"/>
      <c r="D472" s="12"/>
      <c r="E472" s="12"/>
      <c r="F472" s="12"/>
      <c r="G472" s="18"/>
      <c r="H472" s="35"/>
      <c r="I472" s="12"/>
      <c r="M472" s="12"/>
      <c r="N472" s="18"/>
      <c r="O472" s="12"/>
      <c r="P472" s="12"/>
      <c r="Q472" s="12"/>
      <c r="R472" s="36"/>
      <c r="S472" s="36"/>
      <c r="T472" s="12"/>
      <c r="U472" s="12"/>
      <c r="V472" s="12"/>
      <c r="W472" s="12"/>
      <c r="X472" s="12"/>
    </row>
    <row r="473" customFormat="false" ht="15.75" hidden="false" customHeight="false" outlineLevel="0" collapsed="false">
      <c r="A473" s="12"/>
      <c r="B473" s="34"/>
      <c r="C473" s="12"/>
      <c r="D473" s="12"/>
      <c r="E473" s="12"/>
      <c r="F473" s="12"/>
      <c r="G473" s="18"/>
      <c r="H473" s="35"/>
      <c r="I473" s="12"/>
      <c r="M473" s="12"/>
      <c r="N473" s="18"/>
      <c r="O473" s="12"/>
      <c r="P473" s="12"/>
      <c r="Q473" s="12"/>
      <c r="R473" s="36"/>
      <c r="S473" s="36"/>
      <c r="T473" s="12"/>
      <c r="U473" s="12"/>
      <c r="V473" s="12"/>
      <c r="W473" s="12"/>
      <c r="X473" s="12"/>
    </row>
    <row r="474" customFormat="false" ht="15.75" hidden="false" customHeight="false" outlineLevel="0" collapsed="false">
      <c r="A474" s="12"/>
      <c r="B474" s="34"/>
      <c r="C474" s="12"/>
      <c r="D474" s="12"/>
      <c r="E474" s="12"/>
      <c r="F474" s="12"/>
      <c r="G474" s="18"/>
      <c r="H474" s="35"/>
      <c r="I474" s="12"/>
      <c r="M474" s="12"/>
      <c r="N474" s="18"/>
      <c r="O474" s="12"/>
      <c r="P474" s="12"/>
      <c r="Q474" s="12"/>
      <c r="R474" s="36"/>
      <c r="S474" s="36"/>
      <c r="T474" s="12"/>
      <c r="U474" s="12"/>
      <c r="V474" s="12"/>
      <c r="W474" s="12"/>
      <c r="X474" s="12"/>
    </row>
    <row r="475" customFormat="false" ht="15.75" hidden="false" customHeight="false" outlineLevel="0" collapsed="false">
      <c r="A475" s="12"/>
      <c r="B475" s="34"/>
      <c r="C475" s="12"/>
      <c r="D475" s="12"/>
      <c r="E475" s="12"/>
      <c r="F475" s="12"/>
      <c r="G475" s="18"/>
      <c r="H475" s="35"/>
      <c r="I475" s="12"/>
      <c r="M475" s="12"/>
      <c r="N475" s="18"/>
      <c r="O475" s="12"/>
      <c r="P475" s="12"/>
      <c r="Q475" s="12"/>
      <c r="R475" s="36"/>
      <c r="S475" s="36"/>
      <c r="T475" s="12"/>
      <c r="U475" s="12"/>
      <c r="V475" s="12"/>
      <c r="W475" s="12"/>
      <c r="X475" s="12"/>
    </row>
    <row r="476" customFormat="false" ht="15.75" hidden="false" customHeight="false" outlineLevel="0" collapsed="false">
      <c r="A476" s="12"/>
      <c r="B476" s="34"/>
      <c r="C476" s="12"/>
      <c r="D476" s="12"/>
      <c r="E476" s="12"/>
      <c r="F476" s="12"/>
      <c r="G476" s="18"/>
      <c r="H476" s="35"/>
      <c r="I476" s="12"/>
      <c r="M476" s="12"/>
      <c r="N476" s="18"/>
      <c r="O476" s="12"/>
      <c r="P476" s="12"/>
      <c r="Q476" s="12"/>
      <c r="R476" s="36"/>
      <c r="S476" s="36"/>
      <c r="T476" s="12"/>
      <c r="U476" s="12"/>
      <c r="V476" s="12"/>
      <c r="W476" s="12"/>
      <c r="X476" s="12"/>
    </row>
    <row r="477" customFormat="false" ht="15.75" hidden="false" customHeight="false" outlineLevel="0" collapsed="false">
      <c r="A477" s="12"/>
      <c r="B477" s="34"/>
      <c r="C477" s="12"/>
      <c r="D477" s="12"/>
      <c r="E477" s="12"/>
      <c r="F477" s="12"/>
      <c r="G477" s="18"/>
      <c r="H477" s="35"/>
      <c r="I477" s="12"/>
      <c r="M477" s="12"/>
      <c r="N477" s="18"/>
      <c r="O477" s="12"/>
      <c r="P477" s="12"/>
      <c r="Q477" s="12"/>
      <c r="R477" s="36"/>
      <c r="S477" s="36"/>
      <c r="T477" s="12"/>
      <c r="U477" s="12"/>
      <c r="V477" s="12"/>
      <c r="W477" s="12"/>
      <c r="X477" s="12"/>
    </row>
    <row r="478" customFormat="false" ht="15.75" hidden="false" customHeight="false" outlineLevel="0" collapsed="false">
      <c r="A478" s="12"/>
      <c r="B478" s="34"/>
      <c r="C478" s="12"/>
      <c r="D478" s="12"/>
      <c r="E478" s="12"/>
      <c r="F478" s="12"/>
      <c r="G478" s="18"/>
      <c r="H478" s="35"/>
      <c r="I478" s="12"/>
      <c r="M478" s="12"/>
      <c r="N478" s="18"/>
      <c r="O478" s="12"/>
      <c r="P478" s="12"/>
      <c r="Q478" s="12"/>
      <c r="R478" s="36"/>
      <c r="S478" s="36"/>
      <c r="T478" s="12"/>
      <c r="U478" s="12"/>
      <c r="V478" s="12"/>
      <c r="W478" s="12"/>
      <c r="X478" s="12"/>
    </row>
    <row r="479" customFormat="false" ht="15.75" hidden="false" customHeight="false" outlineLevel="0" collapsed="false">
      <c r="A479" s="12"/>
      <c r="B479" s="34"/>
      <c r="C479" s="12"/>
      <c r="D479" s="12"/>
      <c r="E479" s="12"/>
      <c r="F479" s="12"/>
      <c r="G479" s="18"/>
      <c r="H479" s="35"/>
      <c r="I479" s="12"/>
      <c r="M479" s="12"/>
      <c r="N479" s="18"/>
      <c r="O479" s="12"/>
      <c r="P479" s="12"/>
      <c r="Q479" s="12"/>
      <c r="R479" s="36"/>
      <c r="S479" s="36"/>
      <c r="T479" s="12"/>
      <c r="U479" s="12"/>
      <c r="V479" s="12"/>
      <c r="W479" s="12"/>
      <c r="X479" s="12"/>
    </row>
    <row r="480" customFormat="false" ht="15.75" hidden="false" customHeight="false" outlineLevel="0" collapsed="false">
      <c r="A480" s="12"/>
      <c r="B480" s="34"/>
      <c r="C480" s="12"/>
      <c r="D480" s="12"/>
      <c r="E480" s="12"/>
      <c r="F480" s="12"/>
      <c r="G480" s="18"/>
      <c r="H480" s="35"/>
      <c r="I480" s="12"/>
      <c r="M480" s="12"/>
      <c r="N480" s="18"/>
      <c r="O480" s="12"/>
      <c r="P480" s="12"/>
      <c r="Q480" s="12"/>
      <c r="R480" s="36"/>
      <c r="S480" s="36"/>
      <c r="T480" s="12"/>
      <c r="U480" s="12"/>
      <c r="V480" s="12"/>
      <c r="W480" s="12"/>
      <c r="X480" s="12"/>
    </row>
    <row r="481" customFormat="false" ht="15.75" hidden="false" customHeight="false" outlineLevel="0" collapsed="false">
      <c r="A481" s="12"/>
      <c r="B481" s="34"/>
      <c r="C481" s="12"/>
      <c r="D481" s="12"/>
      <c r="E481" s="12"/>
      <c r="F481" s="12"/>
      <c r="G481" s="18"/>
      <c r="H481" s="35"/>
      <c r="I481" s="12"/>
      <c r="M481" s="12"/>
      <c r="N481" s="18"/>
      <c r="O481" s="12"/>
      <c r="P481" s="12"/>
      <c r="Q481" s="12"/>
      <c r="R481" s="36"/>
      <c r="S481" s="36"/>
      <c r="T481" s="12"/>
      <c r="U481" s="12"/>
      <c r="V481" s="12"/>
      <c r="W481" s="12"/>
      <c r="X481" s="12"/>
    </row>
    <row r="482" customFormat="false" ht="15.75" hidden="false" customHeight="false" outlineLevel="0" collapsed="false">
      <c r="A482" s="12"/>
      <c r="B482" s="34"/>
      <c r="C482" s="12"/>
      <c r="D482" s="12"/>
      <c r="E482" s="12"/>
      <c r="F482" s="12"/>
      <c r="G482" s="18"/>
      <c r="H482" s="35"/>
      <c r="I482" s="12"/>
      <c r="M482" s="12"/>
      <c r="N482" s="18"/>
      <c r="O482" s="12"/>
      <c r="P482" s="12"/>
      <c r="Q482" s="12"/>
      <c r="R482" s="36"/>
      <c r="S482" s="36"/>
      <c r="T482" s="12"/>
      <c r="U482" s="12"/>
      <c r="V482" s="12"/>
      <c r="W482" s="12"/>
      <c r="X482" s="12"/>
    </row>
    <row r="483" customFormat="false" ht="15.75" hidden="false" customHeight="false" outlineLevel="0" collapsed="false">
      <c r="A483" s="12"/>
      <c r="B483" s="34"/>
      <c r="C483" s="12"/>
      <c r="D483" s="12"/>
      <c r="E483" s="12"/>
      <c r="F483" s="12"/>
      <c r="G483" s="18"/>
      <c r="H483" s="35"/>
      <c r="I483" s="12"/>
      <c r="M483" s="12"/>
      <c r="N483" s="18"/>
      <c r="O483" s="12"/>
      <c r="P483" s="12"/>
      <c r="Q483" s="12"/>
      <c r="R483" s="36"/>
      <c r="S483" s="36"/>
      <c r="T483" s="12"/>
      <c r="U483" s="12"/>
      <c r="V483" s="12"/>
      <c r="W483" s="12"/>
      <c r="X483" s="12"/>
    </row>
    <row r="484" customFormat="false" ht="15.75" hidden="false" customHeight="false" outlineLevel="0" collapsed="false">
      <c r="A484" s="12"/>
      <c r="B484" s="34"/>
      <c r="C484" s="12"/>
      <c r="D484" s="12"/>
      <c r="E484" s="12"/>
      <c r="F484" s="12"/>
      <c r="G484" s="18"/>
      <c r="H484" s="35"/>
      <c r="I484" s="12"/>
      <c r="M484" s="12"/>
      <c r="N484" s="18"/>
      <c r="O484" s="12"/>
      <c r="P484" s="12"/>
      <c r="Q484" s="12"/>
      <c r="R484" s="36"/>
      <c r="S484" s="36"/>
      <c r="T484" s="12"/>
      <c r="U484" s="12"/>
      <c r="V484" s="12"/>
      <c r="W484" s="12"/>
      <c r="X484" s="12"/>
    </row>
    <row r="485" customFormat="false" ht="15.75" hidden="false" customHeight="false" outlineLevel="0" collapsed="false">
      <c r="A485" s="12"/>
      <c r="B485" s="34"/>
      <c r="C485" s="12"/>
      <c r="D485" s="12"/>
      <c r="E485" s="12"/>
      <c r="F485" s="12"/>
      <c r="G485" s="18"/>
      <c r="H485" s="35"/>
      <c r="I485" s="12"/>
      <c r="M485" s="12"/>
      <c r="N485" s="18"/>
      <c r="O485" s="12"/>
      <c r="P485" s="12"/>
      <c r="Q485" s="12"/>
      <c r="R485" s="36"/>
      <c r="S485" s="36"/>
      <c r="T485" s="12"/>
      <c r="U485" s="12"/>
      <c r="V485" s="12"/>
      <c r="W485" s="12"/>
      <c r="X485" s="12"/>
    </row>
    <row r="486" customFormat="false" ht="15.75" hidden="false" customHeight="false" outlineLevel="0" collapsed="false">
      <c r="A486" s="12"/>
      <c r="B486" s="34"/>
      <c r="C486" s="12"/>
      <c r="D486" s="12"/>
      <c r="E486" s="12"/>
      <c r="F486" s="12"/>
      <c r="G486" s="18"/>
      <c r="H486" s="35"/>
      <c r="I486" s="12"/>
      <c r="M486" s="12"/>
      <c r="N486" s="18"/>
      <c r="O486" s="12"/>
      <c r="P486" s="12"/>
      <c r="Q486" s="12"/>
      <c r="R486" s="36"/>
      <c r="S486" s="36"/>
      <c r="T486" s="12"/>
      <c r="U486" s="12"/>
      <c r="V486" s="12"/>
      <c r="W486" s="12"/>
      <c r="X486" s="12"/>
    </row>
    <row r="487" customFormat="false" ht="15.75" hidden="false" customHeight="false" outlineLevel="0" collapsed="false">
      <c r="A487" s="12"/>
      <c r="B487" s="34"/>
      <c r="C487" s="12"/>
      <c r="D487" s="12"/>
      <c r="E487" s="12"/>
      <c r="F487" s="12"/>
      <c r="G487" s="18"/>
      <c r="H487" s="35"/>
      <c r="I487" s="12"/>
      <c r="M487" s="12"/>
      <c r="N487" s="18"/>
      <c r="O487" s="12"/>
      <c r="P487" s="12"/>
      <c r="Q487" s="12"/>
      <c r="R487" s="36"/>
      <c r="S487" s="36"/>
      <c r="T487" s="12"/>
      <c r="U487" s="12"/>
      <c r="V487" s="12"/>
      <c r="W487" s="12"/>
      <c r="X487" s="12"/>
    </row>
    <row r="488" customFormat="false" ht="15.75" hidden="false" customHeight="false" outlineLevel="0" collapsed="false">
      <c r="A488" s="12"/>
      <c r="B488" s="34"/>
      <c r="C488" s="12"/>
      <c r="D488" s="12"/>
      <c r="E488" s="12"/>
      <c r="F488" s="12"/>
      <c r="G488" s="18"/>
      <c r="H488" s="35"/>
      <c r="I488" s="12"/>
      <c r="M488" s="12"/>
      <c r="N488" s="18"/>
      <c r="O488" s="12"/>
      <c r="P488" s="12"/>
      <c r="Q488" s="12"/>
      <c r="R488" s="36"/>
      <c r="S488" s="36"/>
      <c r="T488" s="12"/>
      <c r="U488" s="12"/>
      <c r="V488" s="12"/>
      <c r="W488" s="12"/>
      <c r="X488" s="12"/>
    </row>
    <row r="489" customFormat="false" ht="15.75" hidden="false" customHeight="false" outlineLevel="0" collapsed="false">
      <c r="A489" s="12"/>
      <c r="B489" s="34"/>
      <c r="C489" s="12"/>
      <c r="D489" s="12"/>
      <c r="E489" s="12"/>
      <c r="F489" s="12"/>
      <c r="G489" s="18"/>
      <c r="H489" s="35"/>
      <c r="I489" s="12"/>
      <c r="M489" s="12"/>
      <c r="N489" s="18"/>
      <c r="O489" s="12"/>
      <c r="P489" s="12"/>
      <c r="Q489" s="12"/>
      <c r="R489" s="36"/>
      <c r="S489" s="36"/>
      <c r="T489" s="12"/>
      <c r="U489" s="12"/>
      <c r="V489" s="12"/>
      <c r="W489" s="12"/>
      <c r="X489" s="12"/>
    </row>
    <row r="490" customFormat="false" ht="15.75" hidden="false" customHeight="false" outlineLevel="0" collapsed="false">
      <c r="A490" s="12"/>
      <c r="B490" s="34"/>
      <c r="C490" s="12"/>
      <c r="D490" s="12"/>
      <c r="E490" s="12"/>
      <c r="F490" s="12"/>
      <c r="G490" s="18"/>
      <c r="H490" s="35"/>
      <c r="I490" s="12"/>
      <c r="M490" s="12"/>
      <c r="N490" s="18"/>
      <c r="O490" s="12"/>
      <c r="P490" s="12"/>
      <c r="Q490" s="12"/>
      <c r="R490" s="36"/>
      <c r="S490" s="36"/>
      <c r="T490" s="12"/>
      <c r="U490" s="12"/>
      <c r="V490" s="12"/>
      <c r="W490" s="12"/>
      <c r="X490" s="12"/>
    </row>
    <row r="491" customFormat="false" ht="15.75" hidden="false" customHeight="false" outlineLevel="0" collapsed="false">
      <c r="A491" s="12"/>
      <c r="B491" s="34"/>
      <c r="C491" s="12"/>
      <c r="D491" s="12"/>
      <c r="E491" s="12"/>
      <c r="F491" s="12"/>
      <c r="G491" s="18"/>
      <c r="H491" s="35"/>
      <c r="I491" s="12"/>
      <c r="M491" s="12"/>
      <c r="N491" s="18"/>
      <c r="O491" s="12"/>
      <c r="P491" s="12"/>
      <c r="Q491" s="12"/>
      <c r="R491" s="36"/>
      <c r="S491" s="36"/>
      <c r="T491" s="12"/>
      <c r="U491" s="12"/>
      <c r="V491" s="12"/>
      <c r="W491" s="12"/>
      <c r="X491" s="12"/>
    </row>
    <row r="492" customFormat="false" ht="15.75" hidden="false" customHeight="false" outlineLevel="0" collapsed="false">
      <c r="A492" s="12"/>
      <c r="B492" s="34"/>
      <c r="C492" s="12"/>
      <c r="D492" s="12"/>
      <c r="E492" s="12"/>
      <c r="F492" s="12"/>
      <c r="G492" s="18"/>
      <c r="H492" s="35"/>
      <c r="I492" s="12"/>
      <c r="M492" s="12"/>
      <c r="N492" s="18"/>
      <c r="O492" s="12"/>
      <c r="P492" s="12"/>
      <c r="Q492" s="12"/>
      <c r="R492" s="36"/>
      <c r="S492" s="36"/>
      <c r="T492" s="12"/>
      <c r="U492" s="12"/>
      <c r="V492" s="12"/>
      <c r="W492" s="12"/>
      <c r="X492" s="12"/>
    </row>
    <row r="493" customFormat="false" ht="15.75" hidden="false" customHeight="false" outlineLevel="0" collapsed="false">
      <c r="A493" s="12"/>
      <c r="B493" s="34"/>
      <c r="C493" s="12"/>
      <c r="D493" s="12"/>
      <c r="E493" s="12"/>
      <c r="F493" s="12"/>
      <c r="G493" s="18"/>
      <c r="H493" s="35"/>
      <c r="I493" s="12"/>
      <c r="M493" s="12"/>
      <c r="N493" s="18"/>
      <c r="O493" s="12"/>
      <c r="P493" s="12"/>
      <c r="Q493" s="12"/>
      <c r="R493" s="36"/>
      <c r="S493" s="36"/>
      <c r="T493" s="12"/>
      <c r="U493" s="12"/>
      <c r="V493" s="12"/>
      <c r="W493" s="12"/>
      <c r="X493" s="12"/>
    </row>
    <row r="494" customFormat="false" ht="15.75" hidden="false" customHeight="false" outlineLevel="0" collapsed="false">
      <c r="A494" s="12"/>
      <c r="B494" s="34"/>
      <c r="C494" s="12"/>
      <c r="D494" s="12"/>
      <c r="E494" s="12"/>
      <c r="F494" s="12"/>
      <c r="G494" s="18"/>
      <c r="H494" s="35"/>
      <c r="I494" s="12"/>
      <c r="M494" s="12"/>
      <c r="N494" s="18"/>
      <c r="O494" s="12"/>
      <c r="P494" s="12"/>
      <c r="Q494" s="12"/>
      <c r="R494" s="36"/>
      <c r="S494" s="36"/>
      <c r="T494" s="12"/>
      <c r="U494" s="12"/>
      <c r="V494" s="12"/>
      <c r="W494" s="12"/>
      <c r="X494" s="12"/>
    </row>
    <row r="495" customFormat="false" ht="15.75" hidden="false" customHeight="false" outlineLevel="0" collapsed="false">
      <c r="A495" s="12"/>
      <c r="B495" s="34"/>
      <c r="C495" s="12"/>
      <c r="D495" s="12"/>
      <c r="E495" s="12"/>
      <c r="F495" s="12"/>
      <c r="G495" s="18"/>
      <c r="H495" s="35"/>
      <c r="I495" s="12"/>
      <c r="M495" s="12"/>
      <c r="N495" s="18"/>
      <c r="O495" s="12"/>
      <c r="P495" s="12"/>
      <c r="Q495" s="12"/>
      <c r="R495" s="36"/>
      <c r="S495" s="36"/>
      <c r="T495" s="12"/>
      <c r="U495" s="12"/>
      <c r="V495" s="12"/>
      <c r="W495" s="12"/>
      <c r="X495" s="12"/>
    </row>
    <row r="496" customFormat="false" ht="15.75" hidden="false" customHeight="false" outlineLevel="0" collapsed="false">
      <c r="A496" s="12"/>
      <c r="B496" s="34"/>
      <c r="C496" s="12"/>
      <c r="D496" s="12"/>
      <c r="E496" s="12"/>
      <c r="F496" s="12"/>
      <c r="G496" s="18"/>
      <c r="H496" s="35"/>
      <c r="I496" s="12"/>
      <c r="M496" s="12"/>
      <c r="N496" s="18"/>
      <c r="O496" s="12"/>
      <c r="P496" s="12"/>
      <c r="Q496" s="12"/>
      <c r="R496" s="36"/>
      <c r="S496" s="36"/>
      <c r="T496" s="12"/>
      <c r="U496" s="12"/>
      <c r="V496" s="12"/>
      <c r="W496" s="12"/>
      <c r="X496" s="12"/>
    </row>
    <row r="497" customFormat="false" ht="15.75" hidden="false" customHeight="false" outlineLevel="0" collapsed="false">
      <c r="A497" s="12"/>
      <c r="B497" s="34"/>
      <c r="C497" s="12"/>
      <c r="D497" s="12"/>
      <c r="E497" s="12"/>
      <c r="F497" s="12"/>
      <c r="G497" s="18"/>
      <c r="H497" s="35"/>
      <c r="I497" s="12"/>
      <c r="M497" s="12"/>
      <c r="N497" s="18"/>
      <c r="O497" s="12"/>
      <c r="P497" s="12"/>
      <c r="Q497" s="12"/>
      <c r="R497" s="36"/>
      <c r="S497" s="36"/>
      <c r="T497" s="12"/>
      <c r="U497" s="12"/>
      <c r="V497" s="12"/>
      <c r="W497" s="12"/>
      <c r="X497" s="12"/>
    </row>
    <row r="498" customFormat="false" ht="15.75" hidden="false" customHeight="false" outlineLevel="0" collapsed="false">
      <c r="A498" s="12"/>
      <c r="B498" s="34"/>
      <c r="C498" s="12"/>
      <c r="D498" s="12"/>
      <c r="E498" s="12"/>
      <c r="F498" s="12"/>
      <c r="G498" s="18"/>
      <c r="H498" s="35"/>
      <c r="I498" s="12"/>
      <c r="M498" s="12"/>
      <c r="N498" s="18"/>
      <c r="O498" s="12"/>
      <c r="P498" s="12"/>
      <c r="Q498" s="12"/>
      <c r="R498" s="36"/>
      <c r="S498" s="36"/>
      <c r="T498" s="12"/>
      <c r="U498" s="12"/>
      <c r="V498" s="12"/>
      <c r="W498" s="12"/>
      <c r="X498" s="12"/>
    </row>
    <row r="499" customFormat="false" ht="15.75" hidden="false" customHeight="false" outlineLevel="0" collapsed="false">
      <c r="A499" s="12"/>
      <c r="B499" s="34"/>
      <c r="C499" s="12"/>
      <c r="D499" s="12"/>
      <c r="E499" s="12"/>
      <c r="F499" s="12"/>
      <c r="G499" s="18"/>
      <c r="H499" s="35"/>
      <c r="I499" s="12"/>
      <c r="M499" s="12"/>
      <c r="N499" s="18"/>
      <c r="O499" s="12"/>
      <c r="P499" s="12"/>
      <c r="Q499" s="12"/>
      <c r="R499" s="36"/>
      <c r="S499" s="36"/>
      <c r="T499" s="12"/>
      <c r="U499" s="12"/>
      <c r="V499" s="12"/>
      <c r="W499" s="12"/>
      <c r="X499" s="12"/>
    </row>
    <row r="500" customFormat="false" ht="15.75" hidden="false" customHeight="false" outlineLevel="0" collapsed="false">
      <c r="A500" s="12"/>
      <c r="B500" s="34"/>
      <c r="C500" s="12"/>
      <c r="D500" s="12"/>
      <c r="E500" s="12"/>
      <c r="F500" s="12"/>
      <c r="G500" s="18"/>
      <c r="H500" s="35"/>
      <c r="I500" s="12"/>
      <c r="M500" s="12"/>
      <c r="N500" s="18"/>
      <c r="O500" s="12"/>
      <c r="P500" s="12"/>
      <c r="Q500" s="12"/>
      <c r="R500" s="36"/>
      <c r="S500" s="36"/>
      <c r="T500" s="12"/>
      <c r="U500" s="12"/>
      <c r="V500" s="12"/>
      <c r="W500" s="12"/>
      <c r="X500" s="12"/>
    </row>
    <row r="501" customFormat="false" ht="15.75" hidden="false" customHeight="false" outlineLevel="0" collapsed="false">
      <c r="A501" s="12"/>
      <c r="B501" s="34"/>
      <c r="C501" s="12"/>
      <c r="D501" s="12"/>
      <c r="E501" s="12"/>
      <c r="F501" s="12"/>
      <c r="G501" s="18"/>
      <c r="H501" s="35"/>
      <c r="I501" s="12"/>
      <c r="M501" s="12"/>
      <c r="N501" s="18"/>
      <c r="O501" s="12"/>
      <c r="P501" s="12"/>
      <c r="Q501" s="12"/>
      <c r="R501" s="36"/>
      <c r="S501" s="36"/>
      <c r="T501" s="12"/>
      <c r="U501" s="12"/>
      <c r="V501" s="12"/>
      <c r="W501" s="12"/>
      <c r="X501" s="12"/>
    </row>
    <row r="502" customFormat="false" ht="15.75" hidden="false" customHeight="false" outlineLevel="0" collapsed="false">
      <c r="A502" s="12"/>
      <c r="B502" s="34"/>
      <c r="C502" s="12"/>
      <c r="D502" s="12"/>
      <c r="E502" s="12"/>
      <c r="F502" s="12"/>
      <c r="G502" s="18"/>
      <c r="H502" s="35"/>
      <c r="I502" s="12"/>
      <c r="M502" s="12"/>
      <c r="N502" s="18"/>
      <c r="O502" s="12"/>
      <c r="P502" s="12"/>
      <c r="Q502" s="12"/>
      <c r="R502" s="36"/>
      <c r="S502" s="36"/>
      <c r="T502" s="12"/>
      <c r="U502" s="12"/>
      <c r="V502" s="12"/>
      <c r="W502" s="12"/>
      <c r="X502" s="12"/>
    </row>
    <row r="503" customFormat="false" ht="15.75" hidden="false" customHeight="false" outlineLevel="0" collapsed="false">
      <c r="A503" s="12"/>
      <c r="B503" s="34"/>
      <c r="C503" s="12"/>
      <c r="D503" s="12"/>
      <c r="E503" s="12"/>
      <c r="F503" s="12"/>
      <c r="G503" s="18"/>
      <c r="H503" s="35"/>
      <c r="I503" s="12"/>
      <c r="M503" s="12"/>
      <c r="N503" s="18"/>
      <c r="O503" s="12"/>
      <c r="P503" s="12"/>
      <c r="Q503" s="12"/>
      <c r="R503" s="36"/>
      <c r="S503" s="36"/>
      <c r="T503" s="12"/>
      <c r="U503" s="12"/>
      <c r="V503" s="12"/>
      <c r="W503" s="12"/>
      <c r="X503" s="12"/>
    </row>
    <row r="504" customFormat="false" ht="15.75" hidden="false" customHeight="false" outlineLevel="0" collapsed="false">
      <c r="A504" s="12"/>
      <c r="B504" s="34"/>
      <c r="C504" s="12"/>
      <c r="D504" s="12"/>
      <c r="E504" s="12"/>
      <c r="F504" s="12"/>
      <c r="G504" s="18"/>
      <c r="H504" s="35"/>
      <c r="I504" s="12"/>
      <c r="M504" s="12"/>
      <c r="N504" s="18"/>
      <c r="O504" s="12"/>
      <c r="P504" s="12"/>
      <c r="Q504" s="12"/>
      <c r="R504" s="36"/>
      <c r="S504" s="36"/>
      <c r="T504" s="12"/>
      <c r="U504" s="12"/>
      <c r="V504" s="12"/>
      <c r="W504" s="12"/>
      <c r="X504" s="12"/>
    </row>
    <row r="505" customFormat="false" ht="15.75" hidden="false" customHeight="false" outlineLevel="0" collapsed="false">
      <c r="A505" s="12"/>
      <c r="B505" s="34"/>
      <c r="C505" s="12"/>
      <c r="D505" s="12"/>
      <c r="E505" s="12"/>
      <c r="F505" s="12"/>
      <c r="G505" s="18"/>
      <c r="H505" s="35"/>
      <c r="I505" s="12"/>
      <c r="M505" s="12"/>
      <c r="N505" s="18"/>
      <c r="O505" s="12"/>
      <c r="P505" s="12"/>
      <c r="Q505" s="12"/>
      <c r="R505" s="36"/>
      <c r="S505" s="36"/>
      <c r="T505" s="12"/>
      <c r="U505" s="12"/>
      <c r="V505" s="12"/>
      <c r="W505" s="12"/>
      <c r="X505" s="12"/>
    </row>
    <row r="506" customFormat="false" ht="15.75" hidden="false" customHeight="false" outlineLevel="0" collapsed="false">
      <c r="A506" s="12"/>
      <c r="B506" s="34"/>
      <c r="C506" s="12"/>
      <c r="D506" s="12"/>
      <c r="E506" s="12"/>
      <c r="F506" s="12"/>
      <c r="G506" s="18"/>
      <c r="H506" s="35"/>
      <c r="I506" s="12"/>
      <c r="M506" s="12"/>
      <c r="N506" s="18"/>
      <c r="O506" s="12"/>
      <c r="P506" s="12"/>
      <c r="Q506" s="12"/>
      <c r="R506" s="36"/>
      <c r="S506" s="36"/>
      <c r="T506" s="12"/>
      <c r="U506" s="12"/>
      <c r="V506" s="12"/>
      <c r="W506" s="12"/>
      <c r="X506" s="12"/>
    </row>
    <row r="507" customFormat="false" ht="15.75" hidden="false" customHeight="false" outlineLevel="0" collapsed="false">
      <c r="A507" s="12"/>
      <c r="B507" s="34"/>
      <c r="C507" s="12"/>
      <c r="D507" s="12"/>
      <c r="E507" s="12"/>
      <c r="F507" s="12"/>
      <c r="G507" s="18"/>
      <c r="H507" s="35"/>
      <c r="I507" s="12"/>
      <c r="M507" s="12"/>
      <c r="N507" s="18"/>
      <c r="O507" s="12"/>
      <c r="P507" s="12"/>
      <c r="Q507" s="12"/>
      <c r="R507" s="36"/>
      <c r="S507" s="36"/>
      <c r="T507" s="12"/>
      <c r="U507" s="12"/>
      <c r="V507" s="12"/>
      <c r="W507" s="12"/>
      <c r="X507" s="12"/>
    </row>
    <row r="508" customFormat="false" ht="15.75" hidden="false" customHeight="false" outlineLevel="0" collapsed="false">
      <c r="A508" s="12"/>
      <c r="B508" s="34"/>
      <c r="C508" s="12"/>
      <c r="D508" s="12"/>
      <c r="E508" s="12"/>
      <c r="F508" s="12"/>
      <c r="G508" s="18"/>
      <c r="H508" s="35"/>
      <c r="I508" s="12"/>
      <c r="M508" s="12"/>
      <c r="N508" s="18"/>
      <c r="O508" s="12"/>
      <c r="P508" s="12"/>
      <c r="Q508" s="12"/>
      <c r="R508" s="36"/>
      <c r="S508" s="36"/>
      <c r="T508" s="12"/>
      <c r="U508" s="12"/>
      <c r="V508" s="12"/>
      <c r="W508" s="12"/>
      <c r="X508" s="12"/>
    </row>
    <row r="509" customFormat="false" ht="15.75" hidden="false" customHeight="false" outlineLevel="0" collapsed="false">
      <c r="A509" s="12"/>
      <c r="B509" s="34"/>
      <c r="C509" s="12"/>
      <c r="D509" s="12"/>
      <c r="E509" s="12"/>
      <c r="F509" s="12"/>
      <c r="G509" s="18"/>
      <c r="H509" s="35"/>
      <c r="I509" s="12"/>
      <c r="M509" s="12"/>
      <c r="N509" s="18"/>
      <c r="O509" s="12"/>
      <c r="P509" s="12"/>
      <c r="Q509" s="12"/>
      <c r="R509" s="36"/>
      <c r="S509" s="36"/>
      <c r="T509" s="12"/>
      <c r="U509" s="12"/>
      <c r="V509" s="12"/>
      <c r="W509" s="12"/>
      <c r="X509" s="12"/>
    </row>
    <row r="510" customFormat="false" ht="15.75" hidden="false" customHeight="false" outlineLevel="0" collapsed="false">
      <c r="A510" s="12"/>
      <c r="B510" s="34"/>
      <c r="C510" s="12"/>
      <c r="D510" s="12"/>
      <c r="E510" s="12"/>
      <c r="F510" s="12"/>
      <c r="G510" s="18"/>
      <c r="H510" s="35"/>
      <c r="I510" s="12"/>
      <c r="M510" s="12"/>
      <c r="N510" s="18"/>
      <c r="O510" s="12"/>
      <c r="P510" s="12"/>
      <c r="Q510" s="12"/>
      <c r="R510" s="36"/>
      <c r="S510" s="36"/>
      <c r="T510" s="12"/>
      <c r="U510" s="12"/>
      <c r="V510" s="12"/>
      <c r="W510" s="12"/>
      <c r="X510" s="12"/>
    </row>
    <row r="511" customFormat="false" ht="15.75" hidden="false" customHeight="false" outlineLevel="0" collapsed="false">
      <c r="A511" s="12"/>
      <c r="B511" s="34"/>
      <c r="C511" s="12"/>
      <c r="D511" s="12"/>
      <c r="E511" s="12"/>
      <c r="F511" s="12"/>
      <c r="G511" s="18"/>
      <c r="H511" s="35"/>
      <c r="I511" s="12"/>
      <c r="M511" s="12"/>
      <c r="N511" s="18"/>
      <c r="O511" s="12"/>
      <c r="P511" s="12"/>
      <c r="Q511" s="12"/>
      <c r="R511" s="36"/>
      <c r="S511" s="36"/>
      <c r="T511" s="12"/>
      <c r="U511" s="12"/>
      <c r="V511" s="12"/>
      <c r="W511" s="12"/>
      <c r="X511" s="12"/>
    </row>
    <row r="512" customFormat="false" ht="15.75" hidden="false" customHeight="false" outlineLevel="0" collapsed="false">
      <c r="A512" s="12"/>
      <c r="B512" s="34"/>
      <c r="C512" s="12"/>
      <c r="D512" s="12"/>
      <c r="E512" s="12"/>
      <c r="F512" s="12"/>
      <c r="G512" s="18"/>
      <c r="H512" s="35"/>
      <c r="I512" s="12"/>
      <c r="M512" s="12"/>
      <c r="N512" s="18"/>
      <c r="O512" s="12"/>
      <c r="P512" s="12"/>
      <c r="Q512" s="12"/>
      <c r="R512" s="36"/>
      <c r="S512" s="36"/>
      <c r="T512" s="12"/>
      <c r="U512" s="12"/>
      <c r="V512" s="12"/>
      <c r="W512" s="12"/>
      <c r="X512" s="12"/>
    </row>
    <row r="513" customFormat="false" ht="15.75" hidden="false" customHeight="false" outlineLevel="0" collapsed="false">
      <c r="A513" s="12"/>
      <c r="B513" s="34"/>
      <c r="C513" s="12"/>
      <c r="D513" s="12"/>
      <c r="E513" s="12"/>
      <c r="F513" s="12"/>
      <c r="G513" s="18"/>
      <c r="H513" s="35"/>
      <c r="I513" s="12"/>
      <c r="M513" s="12"/>
      <c r="N513" s="18"/>
      <c r="O513" s="12"/>
      <c r="P513" s="12"/>
      <c r="Q513" s="12"/>
      <c r="R513" s="36"/>
      <c r="S513" s="36"/>
      <c r="T513" s="12"/>
      <c r="U513" s="12"/>
      <c r="V513" s="12"/>
      <c r="W513" s="12"/>
      <c r="X513" s="12"/>
    </row>
    <row r="514" customFormat="false" ht="15.75" hidden="false" customHeight="false" outlineLevel="0" collapsed="false">
      <c r="A514" s="12"/>
      <c r="B514" s="34"/>
      <c r="C514" s="12"/>
      <c r="D514" s="12"/>
      <c r="E514" s="12"/>
      <c r="F514" s="12"/>
      <c r="G514" s="18"/>
      <c r="H514" s="35"/>
      <c r="I514" s="12"/>
      <c r="M514" s="12"/>
      <c r="N514" s="18"/>
      <c r="O514" s="12"/>
      <c r="P514" s="12"/>
      <c r="Q514" s="12"/>
      <c r="R514" s="36"/>
      <c r="S514" s="36"/>
      <c r="T514" s="12"/>
      <c r="U514" s="12"/>
      <c r="V514" s="12"/>
      <c r="W514" s="12"/>
      <c r="X514" s="12"/>
    </row>
    <row r="515" customFormat="false" ht="15.75" hidden="false" customHeight="false" outlineLevel="0" collapsed="false">
      <c r="A515" s="12"/>
      <c r="B515" s="34"/>
      <c r="C515" s="12"/>
      <c r="D515" s="12"/>
      <c r="E515" s="12"/>
      <c r="F515" s="12"/>
      <c r="G515" s="18"/>
      <c r="H515" s="35"/>
      <c r="I515" s="12"/>
      <c r="M515" s="12"/>
      <c r="N515" s="18"/>
      <c r="O515" s="12"/>
      <c r="P515" s="12"/>
      <c r="Q515" s="12"/>
      <c r="R515" s="36"/>
      <c r="S515" s="36"/>
      <c r="T515" s="12"/>
      <c r="U515" s="12"/>
      <c r="V515" s="12"/>
      <c r="W515" s="12"/>
      <c r="X515" s="12"/>
    </row>
    <row r="516" customFormat="false" ht="15.75" hidden="false" customHeight="false" outlineLevel="0" collapsed="false">
      <c r="A516" s="12"/>
      <c r="B516" s="34"/>
      <c r="C516" s="12"/>
      <c r="D516" s="12"/>
      <c r="E516" s="12"/>
      <c r="F516" s="12"/>
      <c r="G516" s="18"/>
      <c r="H516" s="35"/>
      <c r="I516" s="12"/>
      <c r="M516" s="12"/>
      <c r="N516" s="18"/>
      <c r="O516" s="12"/>
      <c r="P516" s="12"/>
      <c r="Q516" s="12"/>
      <c r="R516" s="36"/>
      <c r="S516" s="36"/>
      <c r="T516" s="12"/>
      <c r="U516" s="12"/>
      <c r="V516" s="12"/>
      <c r="W516" s="12"/>
      <c r="X516" s="12"/>
    </row>
    <row r="517" customFormat="false" ht="15.75" hidden="false" customHeight="false" outlineLevel="0" collapsed="false">
      <c r="A517" s="12"/>
      <c r="B517" s="34"/>
      <c r="C517" s="12"/>
      <c r="D517" s="12"/>
      <c r="E517" s="12"/>
      <c r="F517" s="12"/>
      <c r="G517" s="18"/>
      <c r="H517" s="35"/>
      <c r="I517" s="12"/>
      <c r="M517" s="12"/>
      <c r="N517" s="18"/>
      <c r="O517" s="12"/>
      <c r="P517" s="12"/>
      <c r="Q517" s="12"/>
      <c r="R517" s="36"/>
      <c r="S517" s="36"/>
      <c r="T517" s="12"/>
      <c r="U517" s="12"/>
      <c r="V517" s="12"/>
      <c r="W517" s="12"/>
      <c r="X517" s="12"/>
    </row>
    <row r="518" customFormat="false" ht="15.75" hidden="false" customHeight="false" outlineLevel="0" collapsed="false">
      <c r="A518" s="12"/>
      <c r="B518" s="34"/>
      <c r="C518" s="12"/>
      <c r="D518" s="12"/>
      <c r="E518" s="12"/>
      <c r="F518" s="12"/>
      <c r="G518" s="18"/>
      <c r="H518" s="35"/>
      <c r="I518" s="12"/>
      <c r="M518" s="12"/>
      <c r="N518" s="18"/>
      <c r="O518" s="12"/>
      <c r="P518" s="12"/>
      <c r="Q518" s="12"/>
      <c r="R518" s="36"/>
      <c r="S518" s="36"/>
      <c r="T518" s="12"/>
      <c r="U518" s="12"/>
      <c r="V518" s="12"/>
      <c r="W518" s="12"/>
      <c r="X518" s="12"/>
    </row>
    <row r="519" customFormat="false" ht="15.75" hidden="false" customHeight="false" outlineLevel="0" collapsed="false">
      <c r="A519" s="12"/>
      <c r="B519" s="34"/>
      <c r="C519" s="12"/>
      <c r="D519" s="12"/>
      <c r="E519" s="12"/>
      <c r="F519" s="12"/>
      <c r="G519" s="18"/>
      <c r="H519" s="35"/>
      <c r="I519" s="12"/>
      <c r="M519" s="12"/>
      <c r="N519" s="18"/>
      <c r="O519" s="12"/>
      <c r="P519" s="12"/>
      <c r="Q519" s="12"/>
      <c r="R519" s="36"/>
      <c r="S519" s="36"/>
      <c r="T519" s="12"/>
      <c r="U519" s="12"/>
      <c r="V519" s="12"/>
      <c r="W519" s="12"/>
      <c r="X519" s="12"/>
    </row>
    <row r="520" customFormat="false" ht="15.75" hidden="false" customHeight="false" outlineLevel="0" collapsed="false">
      <c r="A520" s="12"/>
      <c r="B520" s="34"/>
      <c r="C520" s="12"/>
      <c r="D520" s="12"/>
      <c r="E520" s="12"/>
      <c r="F520" s="12"/>
      <c r="G520" s="18"/>
      <c r="H520" s="35"/>
      <c r="I520" s="12"/>
      <c r="M520" s="12"/>
      <c r="N520" s="18"/>
      <c r="O520" s="12"/>
      <c r="P520" s="12"/>
      <c r="Q520" s="12"/>
      <c r="R520" s="36"/>
      <c r="S520" s="36"/>
      <c r="T520" s="12"/>
      <c r="U520" s="12"/>
      <c r="V520" s="12"/>
      <c r="W520" s="12"/>
      <c r="X520" s="12"/>
    </row>
    <row r="521" customFormat="false" ht="15.75" hidden="false" customHeight="false" outlineLevel="0" collapsed="false">
      <c r="A521" s="12"/>
      <c r="B521" s="34"/>
      <c r="C521" s="12"/>
      <c r="D521" s="12"/>
      <c r="E521" s="12"/>
      <c r="F521" s="12"/>
      <c r="G521" s="18"/>
      <c r="H521" s="35"/>
      <c r="I521" s="12"/>
      <c r="M521" s="12"/>
      <c r="N521" s="18"/>
      <c r="O521" s="12"/>
      <c r="P521" s="12"/>
      <c r="Q521" s="12"/>
      <c r="R521" s="36"/>
      <c r="S521" s="36"/>
      <c r="T521" s="12"/>
      <c r="U521" s="12"/>
      <c r="V521" s="12"/>
      <c r="W521" s="12"/>
      <c r="X521" s="12"/>
    </row>
    <row r="522" customFormat="false" ht="15.75" hidden="false" customHeight="false" outlineLevel="0" collapsed="false">
      <c r="A522" s="12"/>
      <c r="B522" s="34"/>
      <c r="C522" s="12"/>
      <c r="D522" s="12"/>
      <c r="E522" s="12"/>
      <c r="F522" s="12"/>
      <c r="G522" s="18"/>
      <c r="H522" s="35"/>
      <c r="I522" s="12"/>
      <c r="M522" s="12"/>
      <c r="N522" s="18"/>
      <c r="O522" s="12"/>
      <c r="P522" s="12"/>
      <c r="Q522" s="12"/>
      <c r="R522" s="36"/>
      <c r="S522" s="36"/>
      <c r="T522" s="12"/>
      <c r="U522" s="12"/>
      <c r="V522" s="12"/>
      <c r="W522" s="12"/>
      <c r="X522" s="12"/>
    </row>
    <row r="523" customFormat="false" ht="15.75" hidden="false" customHeight="false" outlineLevel="0" collapsed="false">
      <c r="A523" s="12"/>
      <c r="B523" s="34"/>
      <c r="C523" s="12"/>
      <c r="D523" s="12"/>
      <c r="E523" s="12"/>
      <c r="F523" s="12"/>
      <c r="G523" s="18"/>
      <c r="H523" s="35"/>
      <c r="I523" s="12"/>
      <c r="M523" s="12"/>
      <c r="N523" s="18"/>
      <c r="O523" s="12"/>
      <c r="P523" s="12"/>
      <c r="Q523" s="12"/>
      <c r="R523" s="36"/>
      <c r="S523" s="36"/>
      <c r="T523" s="12"/>
      <c r="U523" s="12"/>
      <c r="V523" s="12"/>
      <c r="W523" s="12"/>
      <c r="X523" s="12"/>
    </row>
    <row r="524" customFormat="false" ht="15.75" hidden="false" customHeight="false" outlineLevel="0" collapsed="false">
      <c r="A524" s="12"/>
      <c r="B524" s="34"/>
      <c r="C524" s="12"/>
      <c r="D524" s="12"/>
      <c r="E524" s="12"/>
      <c r="F524" s="12"/>
      <c r="G524" s="18"/>
      <c r="H524" s="35"/>
      <c r="I524" s="12"/>
      <c r="M524" s="12"/>
      <c r="N524" s="18"/>
      <c r="O524" s="12"/>
      <c r="P524" s="12"/>
      <c r="Q524" s="12"/>
      <c r="R524" s="36"/>
      <c r="S524" s="36"/>
      <c r="T524" s="12"/>
      <c r="U524" s="12"/>
      <c r="V524" s="12"/>
      <c r="W524" s="12"/>
      <c r="X524" s="12"/>
    </row>
    <row r="525" customFormat="false" ht="15.75" hidden="false" customHeight="false" outlineLevel="0" collapsed="false">
      <c r="A525" s="12"/>
      <c r="B525" s="34"/>
      <c r="C525" s="12"/>
      <c r="D525" s="12"/>
      <c r="E525" s="12"/>
      <c r="F525" s="12"/>
      <c r="G525" s="18"/>
      <c r="H525" s="35"/>
      <c r="I525" s="12"/>
      <c r="M525" s="12"/>
      <c r="N525" s="18"/>
      <c r="O525" s="12"/>
      <c r="P525" s="12"/>
      <c r="Q525" s="12"/>
      <c r="R525" s="36"/>
      <c r="S525" s="36"/>
      <c r="T525" s="12"/>
      <c r="U525" s="12"/>
      <c r="V525" s="12"/>
      <c r="W525" s="12"/>
      <c r="X525" s="12"/>
    </row>
    <row r="526" customFormat="false" ht="15.75" hidden="false" customHeight="false" outlineLevel="0" collapsed="false">
      <c r="A526" s="12"/>
      <c r="B526" s="34"/>
      <c r="C526" s="12"/>
      <c r="D526" s="12"/>
      <c r="E526" s="12"/>
      <c r="F526" s="12"/>
      <c r="G526" s="18"/>
      <c r="H526" s="35"/>
      <c r="I526" s="12"/>
      <c r="M526" s="12"/>
      <c r="N526" s="18"/>
      <c r="O526" s="12"/>
      <c r="P526" s="12"/>
      <c r="Q526" s="12"/>
      <c r="R526" s="36"/>
      <c r="S526" s="36"/>
      <c r="T526" s="12"/>
      <c r="U526" s="12"/>
      <c r="V526" s="12"/>
      <c r="W526" s="12"/>
      <c r="X526" s="12"/>
    </row>
    <row r="527" customFormat="false" ht="15.75" hidden="false" customHeight="false" outlineLevel="0" collapsed="false">
      <c r="A527" s="12"/>
      <c r="B527" s="34"/>
      <c r="C527" s="12"/>
      <c r="D527" s="12"/>
      <c r="E527" s="12"/>
      <c r="F527" s="12"/>
      <c r="G527" s="18"/>
      <c r="H527" s="35"/>
      <c r="I527" s="12"/>
      <c r="M527" s="12"/>
      <c r="N527" s="18"/>
      <c r="O527" s="12"/>
      <c r="P527" s="12"/>
      <c r="Q527" s="12"/>
      <c r="R527" s="36"/>
      <c r="S527" s="36"/>
      <c r="T527" s="12"/>
      <c r="U527" s="12"/>
      <c r="V527" s="12"/>
      <c r="W527" s="12"/>
      <c r="X527" s="12"/>
    </row>
    <row r="528" customFormat="false" ht="15.75" hidden="false" customHeight="false" outlineLevel="0" collapsed="false">
      <c r="A528" s="12"/>
      <c r="B528" s="34"/>
      <c r="C528" s="12"/>
      <c r="D528" s="12"/>
      <c r="E528" s="12"/>
      <c r="F528" s="12"/>
      <c r="G528" s="18"/>
      <c r="H528" s="35"/>
      <c r="I528" s="12"/>
      <c r="M528" s="12"/>
      <c r="N528" s="18"/>
      <c r="O528" s="12"/>
      <c r="P528" s="12"/>
      <c r="Q528" s="12"/>
      <c r="R528" s="36"/>
      <c r="S528" s="36"/>
      <c r="T528" s="12"/>
      <c r="U528" s="12"/>
      <c r="V528" s="12"/>
      <c r="W528" s="12"/>
      <c r="X528" s="12"/>
    </row>
    <row r="529" customFormat="false" ht="15.75" hidden="false" customHeight="false" outlineLevel="0" collapsed="false">
      <c r="A529" s="12"/>
      <c r="B529" s="34"/>
      <c r="C529" s="12"/>
      <c r="D529" s="12"/>
      <c r="E529" s="12"/>
      <c r="F529" s="12"/>
      <c r="G529" s="18"/>
      <c r="H529" s="35"/>
      <c r="I529" s="12"/>
      <c r="M529" s="12"/>
      <c r="N529" s="18"/>
      <c r="O529" s="12"/>
      <c r="P529" s="12"/>
      <c r="Q529" s="12"/>
      <c r="R529" s="36"/>
      <c r="S529" s="36"/>
      <c r="T529" s="12"/>
      <c r="U529" s="12"/>
      <c r="V529" s="12"/>
      <c r="W529" s="12"/>
      <c r="X529" s="12"/>
    </row>
    <row r="530" customFormat="false" ht="15.75" hidden="false" customHeight="false" outlineLevel="0" collapsed="false">
      <c r="A530" s="12"/>
      <c r="B530" s="34"/>
      <c r="C530" s="12"/>
      <c r="D530" s="12"/>
      <c r="E530" s="12"/>
      <c r="F530" s="12"/>
      <c r="G530" s="18"/>
      <c r="H530" s="35"/>
      <c r="I530" s="12"/>
      <c r="M530" s="12"/>
      <c r="N530" s="18"/>
      <c r="O530" s="12"/>
      <c r="P530" s="12"/>
      <c r="Q530" s="12"/>
      <c r="R530" s="36"/>
      <c r="S530" s="36"/>
      <c r="T530" s="12"/>
      <c r="U530" s="12"/>
      <c r="V530" s="12"/>
      <c r="W530" s="12"/>
      <c r="X530" s="12"/>
    </row>
    <row r="531" customFormat="false" ht="15.75" hidden="false" customHeight="false" outlineLevel="0" collapsed="false">
      <c r="A531" s="12"/>
      <c r="B531" s="34"/>
      <c r="C531" s="12"/>
      <c r="D531" s="12"/>
      <c r="E531" s="12"/>
      <c r="F531" s="12"/>
      <c r="G531" s="18"/>
      <c r="H531" s="35"/>
      <c r="I531" s="12"/>
      <c r="M531" s="12"/>
      <c r="N531" s="18"/>
      <c r="O531" s="12"/>
      <c r="P531" s="12"/>
      <c r="Q531" s="12"/>
      <c r="R531" s="36"/>
      <c r="S531" s="36"/>
      <c r="T531" s="12"/>
      <c r="U531" s="12"/>
      <c r="V531" s="12"/>
      <c r="W531" s="12"/>
      <c r="X531" s="12"/>
    </row>
    <row r="532" customFormat="false" ht="15.75" hidden="false" customHeight="false" outlineLevel="0" collapsed="false">
      <c r="A532" s="12"/>
      <c r="B532" s="34"/>
      <c r="C532" s="12"/>
      <c r="D532" s="12"/>
      <c r="E532" s="12"/>
      <c r="F532" s="12"/>
      <c r="G532" s="18"/>
      <c r="H532" s="35"/>
      <c r="I532" s="12"/>
      <c r="M532" s="12"/>
      <c r="N532" s="18"/>
      <c r="O532" s="12"/>
      <c r="P532" s="12"/>
      <c r="Q532" s="12"/>
      <c r="R532" s="36"/>
      <c r="S532" s="36"/>
      <c r="T532" s="12"/>
      <c r="U532" s="12"/>
      <c r="V532" s="12"/>
      <c r="W532" s="12"/>
      <c r="X532" s="12"/>
    </row>
    <row r="533" customFormat="false" ht="15.75" hidden="false" customHeight="false" outlineLevel="0" collapsed="false">
      <c r="A533" s="12"/>
      <c r="B533" s="34"/>
      <c r="C533" s="12"/>
      <c r="D533" s="12"/>
      <c r="E533" s="12"/>
      <c r="F533" s="12"/>
      <c r="G533" s="18"/>
      <c r="H533" s="35"/>
      <c r="I533" s="12"/>
      <c r="M533" s="12"/>
      <c r="N533" s="18"/>
      <c r="O533" s="12"/>
      <c r="P533" s="12"/>
      <c r="Q533" s="12"/>
      <c r="R533" s="36"/>
      <c r="S533" s="36"/>
      <c r="T533" s="12"/>
      <c r="U533" s="12"/>
      <c r="V533" s="12"/>
      <c r="W533" s="12"/>
      <c r="X533" s="12"/>
    </row>
    <row r="534" customFormat="false" ht="15.75" hidden="false" customHeight="false" outlineLevel="0" collapsed="false">
      <c r="A534" s="12"/>
      <c r="B534" s="34"/>
      <c r="C534" s="12"/>
      <c r="D534" s="12"/>
      <c r="E534" s="12"/>
      <c r="F534" s="12"/>
      <c r="G534" s="18"/>
      <c r="H534" s="35"/>
      <c r="I534" s="12"/>
      <c r="M534" s="12"/>
      <c r="N534" s="18"/>
      <c r="O534" s="12"/>
      <c r="P534" s="12"/>
      <c r="Q534" s="12"/>
      <c r="R534" s="36"/>
      <c r="S534" s="36"/>
      <c r="T534" s="12"/>
      <c r="U534" s="12"/>
      <c r="V534" s="12"/>
      <c r="W534" s="12"/>
      <c r="X534" s="12"/>
    </row>
    <row r="535" customFormat="false" ht="15.75" hidden="false" customHeight="false" outlineLevel="0" collapsed="false">
      <c r="A535" s="12"/>
      <c r="B535" s="34"/>
      <c r="C535" s="12"/>
      <c r="D535" s="12"/>
      <c r="E535" s="12"/>
      <c r="F535" s="12"/>
      <c r="G535" s="18"/>
      <c r="H535" s="35"/>
      <c r="I535" s="12"/>
      <c r="M535" s="12"/>
      <c r="N535" s="18"/>
      <c r="O535" s="12"/>
      <c r="P535" s="12"/>
      <c r="Q535" s="12"/>
      <c r="R535" s="36"/>
      <c r="S535" s="36"/>
      <c r="T535" s="12"/>
      <c r="U535" s="12"/>
      <c r="V535" s="12"/>
      <c r="W535" s="12"/>
      <c r="X535" s="12"/>
    </row>
    <row r="536" customFormat="false" ht="15.75" hidden="false" customHeight="false" outlineLevel="0" collapsed="false">
      <c r="A536" s="12"/>
      <c r="B536" s="34"/>
      <c r="C536" s="12"/>
      <c r="D536" s="12"/>
      <c r="E536" s="12"/>
      <c r="F536" s="12"/>
      <c r="G536" s="18"/>
      <c r="H536" s="35"/>
      <c r="I536" s="12"/>
      <c r="M536" s="12"/>
      <c r="N536" s="18"/>
      <c r="O536" s="12"/>
      <c r="P536" s="12"/>
      <c r="Q536" s="12"/>
      <c r="R536" s="36"/>
      <c r="S536" s="36"/>
      <c r="T536" s="12"/>
      <c r="U536" s="12"/>
      <c r="V536" s="12"/>
      <c r="W536" s="12"/>
      <c r="X536" s="12"/>
    </row>
    <row r="537" customFormat="false" ht="15.75" hidden="false" customHeight="false" outlineLevel="0" collapsed="false">
      <c r="A537" s="12"/>
      <c r="B537" s="34"/>
      <c r="C537" s="12"/>
      <c r="D537" s="12"/>
      <c r="E537" s="12"/>
      <c r="F537" s="12"/>
      <c r="G537" s="18"/>
      <c r="H537" s="35"/>
      <c r="I537" s="12"/>
      <c r="M537" s="12"/>
      <c r="N537" s="18"/>
      <c r="O537" s="12"/>
      <c r="P537" s="12"/>
      <c r="Q537" s="12"/>
      <c r="R537" s="36"/>
      <c r="S537" s="36"/>
      <c r="T537" s="12"/>
      <c r="U537" s="12"/>
      <c r="V537" s="12"/>
      <c r="W537" s="12"/>
      <c r="X537" s="12"/>
    </row>
    <row r="538" customFormat="false" ht="15.75" hidden="false" customHeight="false" outlineLevel="0" collapsed="false">
      <c r="A538" s="12"/>
      <c r="B538" s="34"/>
      <c r="C538" s="12"/>
      <c r="D538" s="12"/>
      <c r="E538" s="12"/>
      <c r="F538" s="12"/>
      <c r="G538" s="18"/>
      <c r="H538" s="35"/>
      <c r="I538" s="12"/>
      <c r="M538" s="12"/>
      <c r="N538" s="18"/>
      <c r="O538" s="12"/>
      <c r="P538" s="12"/>
      <c r="Q538" s="12"/>
      <c r="R538" s="36"/>
      <c r="S538" s="36"/>
      <c r="T538" s="12"/>
      <c r="U538" s="12"/>
      <c r="V538" s="12"/>
      <c r="W538" s="12"/>
      <c r="X538" s="12"/>
    </row>
    <row r="539" customFormat="false" ht="15.75" hidden="false" customHeight="false" outlineLevel="0" collapsed="false">
      <c r="A539" s="12"/>
      <c r="B539" s="34"/>
      <c r="C539" s="12"/>
      <c r="D539" s="12"/>
      <c r="E539" s="12"/>
      <c r="F539" s="12"/>
      <c r="G539" s="18"/>
      <c r="H539" s="35"/>
      <c r="I539" s="12"/>
      <c r="M539" s="12"/>
      <c r="N539" s="18"/>
      <c r="O539" s="12"/>
      <c r="P539" s="12"/>
      <c r="Q539" s="12"/>
      <c r="R539" s="36"/>
      <c r="S539" s="36"/>
      <c r="T539" s="12"/>
      <c r="U539" s="12"/>
      <c r="V539" s="12"/>
      <c r="W539" s="12"/>
      <c r="X539" s="12"/>
    </row>
    <row r="540" customFormat="false" ht="15.75" hidden="false" customHeight="false" outlineLevel="0" collapsed="false">
      <c r="A540" s="12"/>
      <c r="B540" s="34"/>
      <c r="C540" s="12"/>
      <c r="D540" s="12"/>
      <c r="E540" s="12"/>
      <c r="F540" s="12"/>
      <c r="G540" s="18"/>
      <c r="H540" s="35"/>
      <c r="I540" s="12"/>
      <c r="M540" s="12"/>
      <c r="N540" s="18"/>
      <c r="O540" s="12"/>
      <c r="P540" s="12"/>
      <c r="Q540" s="12"/>
      <c r="R540" s="36"/>
      <c r="S540" s="36"/>
      <c r="T540" s="12"/>
      <c r="U540" s="12"/>
      <c r="V540" s="12"/>
      <c r="W540" s="12"/>
      <c r="X540" s="12"/>
    </row>
    <row r="541" customFormat="false" ht="15.75" hidden="false" customHeight="false" outlineLevel="0" collapsed="false">
      <c r="A541" s="12"/>
      <c r="B541" s="34"/>
      <c r="C541" s="12"/>
      <c r="D541" s="12"/>
      <c r="E541" s="12"/>
      <c r="F541" s="12"/>
      <c r="G541" s="18"/>
      <c r="H541" s="35"/>
      <c r="I541" s="12"/>
      <c r="M541" s="12"/>
      <c r="N541" s="18"/>
      <c r="O541" s="12"/>
      <c r="P541" s="12"/>
      <c r="Q541" s="12"/>
      <c r="R541" s="36"/>
      <c r="S541" s="36"/>
      <c r="T541" s="12"/>
      <c r="U541" s="12"/>
      <c r="V541" s="12"/>
      <c r="W541" s="12"/>
      <c r="X541" s="12"/>
    </row>
    <row r="542" customFormat="false" ht="15.75" hidden="false" customHeight="false" outlineLevel="0" collapsed="false">
      <c r="A542" s="12"/>
      <c r="B542" s="34"/>
      <c r="C542" s="12"/>
      <c r="D542" s="12"/>
      <c r="E542" s="12"/>
      <c r="F542" s="12"/>
      <c r="G542" s="18"/>
      <c r="H542" s="35"/>
      <c r="I542" s="12"/>
      <c r="M542" s="12"/>
      <c r="N542" s="18"/>
      <c r="O542" s="12"/>
      <c r="P542" s="12"/>
      <c r="Q542" s="12"/>
      <c r="R542" s="36"/>
      <c r="S542" s="36"/>
      <c r="T542" s="12"/>
      <c r="U542" s="12"/>
      <c r="V542" s="12"/>
      <c r="W542" s="12"/>
      <c r="X542" s="12"/>
    </row>
    <row r="543" customFormat="false" ht="15.75" hidden="false" customHeight="false" outlineLevel="0" collapsed="false">
      <c r="A543" s="12"/>
      <c r="B543" s="34"/>
      <c r="C543" s="12"/>
      <c r="D543" s="12"/>
      <c r="E543" s="12"/>
      <c r="F543" s="12"/>
      <c r="G543" s="18"/>
      <c r="H543" s="35"/>
      <c r="I543" s="12"/>
      <c r="M543" s="12"/>
      <c r="N543" s="18"/>
      <c r="O543" s="12"/>
      <c r="P543" s="12"/>
      <c r="Q543" s="12"/>
      <c r="R543" s="36"/>
      <c r="S543" s="36"/>
      <c r="T543" s="12"/>
      <c r="U543" s="12"/>
      <c r="V543" s="12"/>
      <c r="W543" s="12"/>
      <c r="X543" s="12"/>
    </row>
    <row r="544" customFormat="false" ht="15.75" hidden="false" customHeight="false" outlineLevel="0" collapsed="false">
      <c r="A544" s="12"/>
      <c r="B544" s="34"/>
      <c r="C544" s="12"/>
      <c r="D544" s="12"/>
      <c r="E544" s="12"/>
      <c r="F544" s="12"/>
      <c r="G544" s="18"/>
      <c r="H544" s="35"/>
      <c r="I544" s="12"/>
      <c r="M544" s="12"/>
      <c r="N544" s="18"/>
      <c r="O544" s="12"/>
      <c r="P544" s="12"/>
      <c r="Q544" s="12"/>
      <c r="R544" s="36"/>
      <c r="S544" s="36"/>
      <c r="T544" s="12"/>
      <c r="U544" s="12"/>
      <c r="V544" s="12"/>
      <c r="W544" s="12"/>
      <c r="X544" s="12"/>
    </row>
    <row r="545" customFormat="false" ht="15.75" hidden="false" customHeight="false" outlineLevel="0" collapsed="false">
      <c r="A545" s="12"/>
      <c r="B545" s="34"/>
      <c r="C545" s="12"/>
      <c r="D545" s="12"/>
      <c r="E545" s="12"/>
      <c r="F545" s="12"/>
      <c r="G545" s="18"/>
      <c r="H545" s="35"/>
      <c r="I545" s="12"/>
      <c r="M545" s="12"/>
      <c r="N545" s="18"/>
      <c r="O545" s="12"/>
      <c r="P545" s="12"/>
      <c r="Q545" s="12"/>
      <c r="R545" s="36"/>
      <c r="S545" s="36"/>
      <c r="T545" s="12"/>
      <c r="U545" s="12"/>
      <c r="V545" s="12"/>
      <c r="W545" s="12"/>
      <c r="X545" s="12"/>
    </row>
    <row r="546" customFormat="false" ht="15.75" hidden="false" customHeight="false" outlineLevel="0" collapsed="false">
      <c r="A546" s="12"/>
      <c r="B546" s="34"/>
      <c r="C546" s="12"/>
      <c r="D546" s="12"/>
      <c r="E546" s="12"/>
      <c r="F546" s="12"/>
      <c r="G546" s="18"/>
      <c r="H546" s="35"/>
      <c r="I546" s="12"/>
      <c r="M546" s="12"/>
      <c r="N546" s="18"/>
      <c r="O546" s="12"/>
      <c r="P546" s="12"/>
      <c r="Q546" s="12"/>
      <c r="R546" s="36"/>
      <c r="S546" s="36"/>
      <c r="T546" s="12"/>
      <c r="U546" s="12"/>
      <c r="V546" s="12"/>
      <c r="W546" s="12"/>
      <c r="X546" s="12"/>
    </row>
    <row r="547" customFormat="false" ht="15.75" hidden="false" customHeight="false" outlineLevel="0" collapsed="false">
      <c r="A547" s="12"/>
      <c r="B547" s="34"/>
      <c r="C547" s="12"/>
      <c r="D547" s="12"/>
      <c r="E547" s="12"/>
      <c r="F547" s="12"/>
      <c r="G547" s="18"/>
      <c r="H547" s="35"/>
      <c r="I547" s="12"/>
      <c r="M547" s="12"/>
      <c r="N547" s="18"/>
      <c r="O547" s="12"/>
      <c r="P547" s="12"/>
      <c r="Q547" s="12"/>
      <c r="R547" s="36"/>
      <c r="S547" s="36"/>
      <c r="T547" s="12"/>
      <c r="U547" s="12"/>
      <c r="V547" s="12"/>
      <c r="W547" s="12"/>
      <c r="X547" s="12"/>
    </row>
    <row r="548" customFormat="false" ht="15.75" hidden="false" customHeight="false" outlineLevel="0" collapsed="false">
      <c r="A548" s="12"/>
      <c r="B548" s="34"/>
      <c r="C548" s="12"/>
      <c r="D548" s="12"/>
      <c r="E548" s="12"/>
      <c r="F548" s="12"/>
      <c r="G548" s="18"/>
      <c r="H548" s="35"/>
      <c r="I548" s="12"/>
      <c r="M548" s="12"/>
      <c r="N548" s="18"/>
      <c r="O548" s="12"/>
      <c r="P548" s="12"/>
      <c r="Q548" s="12"/>
      <c r="R548" s="36"/>
      <c r="S548" s="36"/>
      <c r="T548" s="12"/>
      <c r="U548" s="12"/>
      <c r="V548" s="12"/>
      <c r="W548" s="12"/>
      <c r="X548" s="12"/>
    </row>
    <row r="549" customFormat="false" ht="15.75" hidden="false" customHeight="false" outlineLevel="0" collapsed="false">
      <c r="A549" s="12"/>
      <c r="B549" s="34"/>
      <c r="C549" s="12"/>
      <c r="D549" s="12"/>
      <c r="E549" s="12"/>
      <c r="F549" s="12"/>
      <c r="G549" s="18"/>
      <c r="H549" s="35"/>
      <c r="I549" s="12"/>
      <c r="M549" s="12"/>
      <c r="N549" s="18"/>
      <c r="O549" s="12"/>
      <c r="P549" s="12"/>
      <c r="Q549" s="12"/>
      <c r="R549" s="36"/>
      <c r="S549" s="36"/>
      <c r="T549" s="12"/>
      <c r="U549" s="12"/>
      <c r="V549" s="12"/>
      <c r="W549" s="12"/>
      <c r="X549" s="12"/>
    </row>
    <row r="550" customFormat="false" ht="15.75" hidden="false" customHeight="false" outlineLevel="0" collapsed="false">
      <c r="A550" s="12"/>
      <c r="B550" s="34"/>
      <c r="C550" s="12"/>
      <c r="D550" s="12"/>
      <c r="E550" s="12"/>
      <c r="F550" s="12"/>
      <c r="G550" s="18"/>
      <c r="H550" s="35"/>
      <c r="I550" s="12"/>
      <c r="M550" s="12"/>
      <c r="N550" s="18"/>
      <c r="O550" s="12"/>
      <c r="P550" s="12"/>
      <c r="Q550" s="12"/>
      <c r="R550" s="36"/>
      <c r="S550" s="36"/>
      <c r="T550" s="12"/>
      <c r="U550" s="12"/>
      <c r="V550" s="12"/>
      <c r="W550" s="12"/>
      <c r="X550" s="12"/>
    </row>
    <row r="551" customFormat="false" ht="15.75" hidden="false" customHeight="false" outlineLevel="0" collapsed="false">
      <c r="A551" s="12"/>
      <c r="B551" s="34"/>
      <c r="C551" s="12"/>
      <c r="D551" s="12"/>
      <c r="E551" s="12"/>
      <c r="F551" s="12"/>
      <c r="G551" s="18"/>
      <c r="H551" s="35"/>
      <c r="I551" s="12"/>
      <c r="M551" s="12"/>
      <c r="N551" s="18"/>
      <c r="O551" s="12"/>
      <c r="P551" s="12"/>
      <c r="Q551" s="12"/>
      <c r="R551" s="36"/>
      <c r="S551" s="36"/>
      <c r="T551" s="12"/>
      <c r="U551" s="12"/>
      <c r="V551" s="12"/>
      <c r="W551" s="12"/>
      <c r="X551" s="12"/>
    </row>
    <row r="552" customFormat="false" ht="15.75" hidden="false" customHeight="false" outlineLevel="0" collapsed="false">
      <c r="A552" s="12"/>
      <c r="B552" s="34"/>
      <c r="C552" s="12"/>
      <c r="D552" s="12"/>
      <c r="E552" s="12"/>
      <c r="F552" s="12"/>
      <c r="G552" s="18"/>
      <c r="H552" s="35"/>
      <c r="I552" s="12"/>
      <c r="M552" s="12"/>
      <c r="N552" s="18"/>
      <c r="O552" s="12"/>
      <c r="P552" s="12"/>
      <c r="Q552" s="12"/>
      <c r="R552" s="36"/>
      <c r="S552" s="36"/>
      <c r="T552" s="12"/>
      <c r="U552" s="12"/>
      <c r="V552" s="12"/>
      <c r="W552" s="12"/>
      <c r="X552" s="12"/>
    </row>
    <row r="553" customFormat="false" ht="15.75" hidden="false" customHeight="false" outlineLevel="0" collapsed="false">
      <c r="A553" s="12"/>
      <c r="B553" s="34"/>
      <c r="C553" s="12"/>
      <c r="D553" s="12"/>
      <c r="E553" s="12"/>
      <c r="F553" s="12"/>
      <c r="G553" s="18"/>
      <c r="H553" s="35"/>
      <c r="I553" s="12"/>
      <c r="M553" s="12"/>
      <c r="N553" s="18"/>
      <c r="O553" s="12"/>
      <c r="P553" s="12"/>
      <c r="Q553" s="12"/>
      <c r="R553" s="36"/>
      <c r="S553" s="36"/>
      <c r="T553" s="12"/>
      <c r="U553" s="12"/>
      <c r="V553" s="12"/>
      <c r="W553" s="12"/>
      <c r="X553" s="12"/>
    </row>
    <row r="554" customFormat="false" ht="15.75" hidden="false" customHeight="false" outlineLevel="0" collapsed="false">
      <c r="A554" s="12"/>
      <c r="B554" s="34"/>
      <c r="C554" s="12"/>
      <c r="D554" s="12"/>
      <c r="E554" s="12"/>
      <c r="F554" s="12"/>
      <c r="G554" s="18"/>
      <c r="H554" s="35"/>
      <c r="I554" s="12"/>
      <c r="M554" s="12"/>
      <c r="N554" s="18"/>
      <c r="O554" s="12"/>
      <c r="P554" s="12"/>
      <c r="Q554" s="12"/>
      <c r="R554" s="36"/>
      <c r="S554" s="36"/>
      <c r="T554" s="12"/>
      <c r="U554" s="12"/>
      <c r="V554" s="12"/>
      <c r="W554" s="12"/>
      <c r="X554" s="12"/>
    </row>
    <row r="555" customFormat="false" ht="15.75" hidden="false" customHeight="false" outlineLevel="0" collapsed="false">
      <c r="A555" s="12"/>
      <c r="B555" s="34"/>
      <c r="C555" s="12"/>
      <c r="D555" s="12"/>
      <c r="E555" s="12"/>
      <c r="F555" s="12"/>
      <c r="G555" s="18"/>
      <c r="H555" s="35"/>
      <c r="I555" s="12"/>
      <c r="M555" s="12"/>
      <c r="N555" s="18"/>
      <c r="O555" s="12"/>
      <c r="P555" s="12"/>
      <c r="Q555" s="12"/>
      <c r="R555" s="36"/>
      <c r="S555" s="36"/>
      <c r="T555" s="12"/>
      <c r="U555" s="12"/>
      <c r="V555" s="12"/>
      <c r="W555" s="12"/>
      <c r="X555" s="12"/>
    </row>
    <row r="556" customFormat="false" ht="15.75" hidden="false" customHeight="false" outlineLevel="0" collapsed="false">
      <c r="A556" s="12"/>
      <c r="B556" s="34"/>
      <c r="C556" s="12"/>
      <c r="D556" s="12"/>
      <c r="E556" s="12"/>
      <c r="F556" s="12"/>
      <c r="G556" s="18"/>
      <c r="H556" s="35"/>
      <c r="I556" s="12"/>
      <c r="M556" s="12"/>
      <c r="N556" s="18"/>
      <c r="O556" s="12"/>
      <c r="P556" s="12"/>
      <c r="Q556" s="12"/>
      <c r="R556" s="36"/>
      <c r="S556" s="36"/>
      <c r="T556" s="12"/>
      <c r="U556" s="12"/>
      <c r="V556" s="12"/>
      <c r="W556" s="12"/>
      <c r="X556" s="12"/>
    </row>
    <row r="557" customFormat="false" ht="15.75" hidden="false" customHeight="false" outlineLevel="0" collapsed="false">
      <c r="A557" s="12"/>
      <c r="B557" s="34"/>
      <c r="C557" s="12"/>
      <c r="D557" s="12"/>
      <c r="E557" s="12"/>
      <c r="F557" s="12"/>
      <c r="G557" s="18"/>
      <c r="H557" s="35"/>
      <c r="I557" s="12"/>
      <c r="M557" s="12"/>
      <c r="N557" s="18"/>
      <c r="O557" s="12"/>
      <c r="P557" s="12"/>
      <c r="Q557" s="12"/>
      <c r="R557" s="36"/>
      <c r="S557" s="36"/>
      <c r="T557" s="12"/>
      <c r="U557" s="12"/>
      <c r="V557" s="12"/>
      <c r="W557" s="12"/>
      <c r="X557" s="12"/>
    </row>
    <row r="558" customFormat="false" ht="15.75" hidden="false" customHeight="false" outlineLevel="0" collapsed="false">
      <c r="A558" s="12"/>
      <c r="B558" s="34"/>
      <c r="C558" s="12"/>
      <c r="D558" s="12"/>
      <c r="E558" s="12"/>
      <c r="F558" s="12"/>
      <c r="G558" s="18"/>
      <c r="H558" s="35"/>
      <c r="I558" s="12"/>
      <c r="M558" s="12"/>
      <c r="N558" s="18"/>
      <c r="O558" s="12"/>
      <c r="P558" s="12"/>
      <c r="Q558" s="12"/>
      <c r="R558" s="36"/>
      <c r="S558" s="36"/>
      <c r="T558" s="12"/>
      <c r="U558" s="12"/>
      <c r="V558" s="12"/>
      <c r="W558" s="12"/>
      <c r="X558" s="12"/>
    </row>
    <row r="559" customFormat="false" ht="15.75" hidden="false" customHeight="false" outlineLevel="0" collapsed="false">
      <c r="A559" s="12"/>
      <c r="B559" s="34"/>
      <c r="C559" s="12"/>
      <c r="D559" s="12"/>
      <c r="E559" s="12"/>
      <c r="F559" s="12"/>
      <c r="G559" s="18"/>
      <c r="H559" s="35"/>
      <c r="I559" s="12"/>
      <c r="M559" s="12"/>
      <c r="N559" s="18"/>
      <c r="O559" s="12"/>
      <c r="P559" s="12"/>
      <c r="Q559" s="12"/>
      <c r="R559" s="36"/>
      <c r="S559" s="36"/>
      <c r="T559" s="12"/>
      <c r="U559" s="12"/>
      <c r="V559" s="12"/>
      <c r="W559" s="12"/>
      <c r="X559" s="12"/>
    </row>
    <row r="560" customFormat="false" ht="15.75" hidden="false" customHeight="false" outlineLevel="0" collapsed="false">
      <c r="A560" s="12"/>
      <c r="B560" s="34"/>
      <c r="C560" s="12"/>
      <c r="D560" s="12"/>
      <c r="E560" s="12"/>
      <c r="F560" s="12"/>
      <c r="G560" s="18"/>
      <c r="H560" s="35"/>
      <c r="I560" s="12"/>
      <c r="M560" s="12"/>
      <c r="N560" s="18"/>
      <c r="O560" s="12"/>
      <c r="P560" s="12"/>
      <c r="Q560" s="12"/>
      <c r="R560" s="36"/>
      <c r="S560" s="36"/>
      <c r="T560" s="12"/>
      <c r="U560" s="12"/>
      <c r="V560" s="12"/>
      <c r="W560" s="12"/>
      <c r="X560" s="12"/>
    </row>
    <row r="561" customFormat="false" ht="15.75" hidden="false" customHeight="false" outlineLevel="0" collapsed="false">
      <c r="A561" s="12"/>
      <c r="B561" s="34"/>
      <c r="C561" s="12"/>
      <c r="D561" s="12"/>
      <c r="E561" s="12"/>
      <c r="F561" s="12"/>
      <c r="G561" s="18"/>
      <c r="H561" s="35"/>
      <c r="I561" s="12"/>
      <c r="M561" s="12"/>
      <c r="N561" s="18"/>
      <c r="O561" s="12"/>
      <c r="P561" s="12"/>
      <c r="Q561" s="12"/>
      <c r="R561" s="36"/>
      <c r="S561" s="36"/>
      <c r="T561" s="12"/>
      <c r="U561" s="12"/>
      <c r="V561" s="12"/>
      <c r="W561" s="12"/>
      <c r="X561" s="12"/>
    </row>
    <row r="562" customFormat="false" ht="15.75" hidden="false" customHeight="false" outlineLevel="0" collapsed="false">
      <c r="A562" s="12"/>
      <c r="B562" s="34"/>
      <c r="C562" s="12"/>
      <c r="D562" s="12"/>
      <c r="E562" s="12"/>
      <c r="F562" s="12"/>
      <c r="G562" s="18"/>
      <c r="H562" s="35"/>
      <c r="I562" s="12"/>
      <c r="M562" s="12"/>
      <c r="N562" s="18"/>
      <c r="O562" s="12"/>
      <c r="P562" s="12"/>
      <c r="Q562" s="12"/>
      <c r="R562" s="36"/>
      <c r="S562" s="36"/>
      <c r="T562" s="12"/>
      <c r="U562" s="12"/>
      <c r="V562" s="12"/>
      <c r="W562" s="12"/>
      <c r="X562" s="12"/>
    </row>
    <row r="563" customFormat="false" ht="15.75" hidden="false" customHeight="false" outlineLevel="0" collapsed="false">
      <c r="A563" s="12"/>
      <c r="B563" s="34"/>
      <c r="C563" s="12"/>
      <c r="D563" s="12"/>
      <c r="E563" s="12"/>
      <c r="F563" s="12"/>
      <c r="G563" s="18"/>
      <c r="H563" s="35"/>
      <c r="I563" s="12"/>
      <c r="M563" s="12"/>
      <c r="N563" s="18"/>
      <c r="O563" s="12"/>
      <c r="P563" s="12"/>
      <c r="Q563" s="12"/>
      <c r="R563" s="36"/>
      <c r="S563" s="36"/>
      <c r="T563" s="12"/>
      <c r="U563" s="12"/>
      <c r="V563" s="12"/>
      <c r="W563" s="12"/>
      <c r="X563" s="12"/>
    </row>
    <row r="564" customFormat="false" ht="15.75" hidden="false" customHeight="false" outlineLevel="0" collapsed="false">
      <c r="A564" s="12"/>
      <c r="B564" s="34"/>
      <c r="C564" s="12"/>
      <c r="D564" s="12"/>
      <c r="E564" s="12"/>
      <c r="F564" s="12"/>
      <c r="G564" s="18"/>
      <c r="H564" s="35"/>
      <c r="I564" s="12"/>
      <c r="M564" s="12"/>
      <c r="N564" s="18"/>
      <c r="O564" s="12"/>
      <c r="P564" s="12"/>
      <c r="Q564" s="12"/>
      <c r="R564" s="36"/>
      <c r="S564" s="36"/>
      <c r="T564" s="12"/>
      <c r="U564" s="12"/>
      <c r="V564" s="12"/>
      <c r="W564" s="12"/>
      <c r="X564" s="12"/>
    </row>
    <row r="565" customFormat="false" ht="15.75" hidden="false" customHeight="false" outlineLevel="0" collapsed="false">
      <c r="A565" s="12"/>
      <c r="B565" s="34"/>
      <c r="C565" s="12"/>
      <c r="D565" s="12"/>
      <c r="E565" s="12"/>
      <c r="F565" s="12"/>
      <c r="G565" s="18"/>
      <c r="H565" s="35"/>
      <c r="I565" s="12"/>
      <c r="M565" s="12"/>
      <c r="N565" s="18"/>
      <c r="O565" s="12"/>
      <c r="P565" s="12"/>
      <c r="Q565" s="12"/>
      <c r="R565" s="36"/>
      <c r="S565" s="36"/>
      <c r="T565" s="12"/>
      <c r="U565" s="12"/>
      <c r="V565" s="12"/>
      <c r="W565" s="12"/>
      <c r="X565" s="12"/>
    </row>
    <row r="566" customFormat="false" ht="15.75" hidden="false" customHeight="false" outlineLevel="0" collapsed="false">
      <c r="A566" s="12"/>
      <c r="B566" s="34"/>
      <c r="C566" s="12"/>
      <c r="D566" s="12"/>
      <c r="E566" s="12"/>
      <c r="F566" s="12"/>
      <c r="G566" s="18"/>
      <c r="H566" s="35"/>
      <c r="I566" s="12"/>
      <c r="M566" s="12"/>
      <c r="N566" s="18"/>
      <c r="O566" s="12"/>
      <c r="P566" s="12"/>
      <c r="Q566" s="12"/>
      <c r="R566" s="36"/>
      <c r="S566" s="36"/>
      <c r="T566" s="12"/>
      <c r="U566" s="12"/>
      <c r="V566" s="12"/>
      <c r="W566" s="12"/>
      <c r="X566" s="12"/>
    </row>
    <row r="567" customFormat="false" ht="15.75" hidden="false" customHeight="false" outlineLevel="0" collapsed="false">
      <c r="A567" s="12"/>
      <c r="B567" s="34"/>
      <c r="C567" s="12"/>
      <c r="D567" s="12"/>
      <c r="E567" s="12"/>
      <c r="F567" s="12"/>
      <c r="G567" s="18"/>
      <c r="H567" s="35"/>
      <c r="I567" s="12"/>
      <c r="M567" s="12"/>
      <c r="N567" s="18"/>
      <c r="O567" s="12"/>
      <c r="P567" s="12"/>
      <c r="Q567" s="12"/>
      <c r="R567" s="36"/>
      <c r="S567" s="36"/>
      <c r="T567" s="12"/>
      <c r="U567" s="12"/>
      <c r="V567" s="12"/>
      <c r="W567" s="12"/>
      <c r="X567" s="12"/>
    </row>
    <row r="568" customFormat="false" ht="15.75" hidden="false" customHeight="false" outlineLevel="0" collapsed="false">
      <c r="A568" s="12"/>
      <c r="B568" s="34"/>
      <c r="C568" s="12"/>
      <c r="D568" s="12"/>
      <c r="E568" s="12"/>
      <c r="F568" s="12"/>
      <c r="G568" s="18"/>
      <c r="H568" s="35"/>
      <c r="I568" s="12"/>
      <c r="M568" s="12"/>
      <c r="N568" s="18"/>
      <c r="O568" s="12"/>
      <c r="P568" s="12"/>
      <c r="Q568" s="12"/>
      <c r="R568" s="36"/>
      <c r="S568" s="36"/>
      <c r="T568" s="12"/>
      <c r="U568" s="12"/>
      <c r="V568" s="12"/>
      <c r="W568" s="12"/>
      <c r="X568" s="12"/>
    </row>
    <row r="569" customFormat="false" ht="15.75" hidden="false" customHeight="false" outlineLevel="0" collapsed="false">
      <c r="A569" s="12"/>
      <c r="B569" s="34"/>
      <c r="C569" s="12"/>
      <c r="D569" s="12"/>
      <c r="E569" s="12"/>
      <c r="F569" s="12"/>
      <c r="G569" s="18"/>
      <c r="H569" s="35"/>
      <c r="I569" s="12"/>
      <c r="M569" s="12"/>
      <c r="N569" s="18"/>
      <c r="O569" s="12"/>
      <c r="P569" s="12"/>
      <c r="Q569" s="12"/>
      <c r="R569" s="36"/>
      <c r="S569" s="36"/>
      <c r="T569" s="12"/>
      <c r="U569" s="12"/>
      <c r="V569" s="12"/>
      <c r="W569" s="12"/>
      <c r="X569" s="12"/>
    </row>
    <row r="570" customFormat="false" ht="15.75" hidden="false" customHeight="false" outlineLevel="0" collapsed="false">
      <c r="A570" s="12"/>
      <c r="B570" s="34"/>
      <c r="C570" s="12"/>
      <c r="D570" s="12"/>
      <c r="E570" s="12"/>
      <c r="F570" s="12"/>
      <c r="G570" s="18"/>
      <c r="H570" s="35"/>
      <c r="I570" s="12"/>
      <c r="M570" s="12"/>
      <c r="N570" s="18"/>
      <c r="O570" s="12"/>
      <c r="P570" s="12"/>
      <c r="Q570" s="12"/>
      <c r="R570" s="36"/>
      <c r="S570" s="36"/>
      <c r="T570" s="12"/>
      <c r="U570" s="12"/>
      <c r="V570" s="12"/>
      <c r="W570" s="12"/>
      <c r="X570" s="12"/>
    </row>
    <row r="571" customFormat="false" ht="15.75" hidden="false" customHeight="false" outlineLevel="0" collapsed="false">
      <c r="A571" s="12"/>
      <c r="B571" s="34"/>
      <c r="C571" s="12"/>
      <c r="D571" s="12"/>
      <c r="E571" s="12"/>
      <c r="F571" s="12"/>
      <c r="G571" s="18"/>
      <c r="H571" s="35"/>
      <c r="I571" s="12"/>
      <c r="M571" s="12"/>
      <c r="N571" s="18"/>
      <c r="O571" s="12"/>
      <c r="P571" s="12"/>
      <c r="Q571" s="12"/>
      <c r="R571" s="36"/>
      <c r="S571" s="36"/>
      <c r="T571" s="12"/>
      <c r="U571" s="12"/>
      <c r="V571" s="12"/>
      <c r="W571" s="12"/>
      <c r="X571" s="12"/>
    </row>
    <row r="572" customFormat="false" ht="15.75" hidden="false" customHeight="false" outlineLevel="0" collapsed="false">
      <c r="A572" s="12"/>
      <c r="B572" s="34"/>
      <c r="C572" s="12"/>
      <c r="D572" s="12"/>
      <c r="E572" s="12"/>
      <c r="F572" s="12"/>
      <c r="G572" s="18"/>
      <c r="H572" s="35"/>
      <c r="I572" s="12"/>
      <c r="M572" s="12"/>
      <c r="N572" s="18"/>
      <c r="O572" s="12"/>
      <c r="P572" s="12"/>
      <c r="Q572" s="12"/>
      <c r="R572" s="36"/>
      <c r="S572" s="36"/>
      <c r="T572" s="12"/>
      <c r="U572" s="12"/>
      <c r="V572" s="12"/>
      <c r="W572" s="12"/>
      <c r="X572" s="12"/>
    </row>
    <row r="573" customFormat="false" ht="15.75" hidden="false" customHeight="false" outlineLevel="0" collapsed="false">
      <c r="A573" s="12"/>
      <c r="B573" s="34"/>
      <c r="C573" s="12"/>
      <c r="D573" s="12"/>
      <c r="E573" s="12"/>
      <c r="F573" s="12"/>
      <c r="G573" s="18"/>
      <c r="H573" s="35"/>
      <c r="I573" s="12"/>
      <c r="M573" s="12"/>
      <c r="N573" s="18"/>
      <c r="O573" s="12"/>
      <c r="P573" s="12"/>
      <c r="Q573" s="12"/>
      <c r="R573" s="36"/>
      <c r="S573" s="36"/>
      <c r="T573" s="12"/>
      <c r="U573" s="12"/>
      <c r="V573" s="12"/>
      <c r="W573" s="12"/>
      <c r="X573" s="12"/>
    </row>
    <row r="574" customFormat="false" ht="15.75" hidden="false" customHeight="false" outlineLevel="0" collapsed="false">
      <c r="A574" s="12"/>
      <c r="B574" s="34"/>
      <c r="C574" s="12"/>
      <c r="D574" s="12"/>
      <c r="E574" s="12"/>
      <c r="F574" s="12"/>
      <c r="G574" s="18"/>
      <c r="H574" s="35"/>
      <c r="I574" s="12"/>
      <c r="M574" s="12"/>
      <c r="N574" s="18"/>
      <c r="O574" s="12"/>
      <c r="P574" s="12"/>
      <c r="Q574" s="12"/>
      <c r="R574" s="36"/>
      <c r="S574" s="36"/>
      <c r="T574" s="12"/>
      <c r="U574" s="12"/>
      <c r="V574" s="12"/>
      <c r="W574" s="12"/>
      <c r="X574" s="12"/>
    </row>
    <row r="575" customFormat="false" ht="15.75" hidden="false" customHeight="false" outlineLevel="0" collapsed="false">
      <c r="A575" s="12"/>
      <c r="B575" s="34"/>
      <c r="C575" s="12"/>
      <c r="D575" s="12"/>
      <c r="E575" s="12"/>
      <c r="F575" s="12"/>
      <c r="G575" s="18"/>
      <c r="H575" s="35"/>
      <c r="I575" s="12"/>
      <c r="M575" s="12"/>
      <c r="N575" s="18"/>
      <c r="O575" s="12"/>
      <c r="P575" s="12"/>
      <c r="Q575" s="12"/>
      <c r="R575" s="36"/>
      <c r="S575" s="36"/>
      <c r="T575" s="12"/>
      <c r="U575" s="12"/>
      <c r="V575" s="12"/>
      <c r="W575" s="12"/>
      <c r="X575" s="12"/>
    </row>
    <row r="576" customFormat="false" ht="15.75" hidden="false" customHeight="false" outlineLevel="0" collapsed="false">
      <c r="A576" s="12"/>
      <c r="B576" s="34"/>
      <c r="C576" s="12"/>
      <c r="D576" s="12"/>
      <c r="E576" s="12"/>
      <c r="F576" s="12"/>
      <c r="G576" s="18"/>
      <c r="H576" s="35"/>
      <c r="I576" s="12"/>
      <c r="M576" s="12"/>
      <c r="N576" s="18"/>
      <c r="O576" s="12"/>
      <c r="P576" s="12"/>
      <c r="Q576" s="12"/>
      <c r="R576" s="36"/>
      <c r="S576" s="36"/>
      <c r="T576" s="12"/>
      <c r="U576" s="12"/>
      <c r="V576" s="12"/>
      <c r="W576" s="12"/>
      <c r="X576" s="12"/>
    </row>
    <row r="577" customFormat="false" ht="15.75" hidden="false" customHeight="false" outlineLevel="0" collapsed="false">
      <c r="A577" s="12"/>
      <c r="B577" s="34"/>
      <c r="C577" s="12"/>
      <c r="D577" s="12"/>
      <c r="E577" s="12"/>
      <c r="F577" s="12"/>
      <c r="G577" s="18"/>
      <c r="H577" s="35"/>
      <c r="I577" s="12"/>
      <c r="M577" s="12"/>
      <c r="N577" s="18"/>
      <c r="O577" s="12"/>
      <c r="P577" s="12"/>
      <c r="Q577" s="12"/>
      <c r="R577" s="36"/>
      <c r="S577" s="36"/>
      <c r="T577" s="12"/>
      <c r="U577" s="12"/>
      <c r="V577" s="12"/>
      <c r="W577" s="12"/>
      <c r="X577" s="12"/>
    </row>
    <row r="578" customFormat="false" ht="15.75" hidden="false" customHeight="false" outlineLevel="0" collapsed="false">
      <c r="A578" s="12"/>
      <c r="B578" s="34"/>
      <c r="C578" s="12"/>
      <c r="D578" s="12"/>
      <c r="E578" s="12"/>
      <c r="F578" s="12"/>
      <c r="G578" s="18"/>
      <c r="H578" s="35"/>
      <c r="I578" s="12"/>
      <c r="M578" s="12"/>
      <c r="N578" s="18"/>
      <c r="O578" s="12"/>
      <c r="P578" s="12"/>
      <c r="Q578" s="12"/>
      <c r="R578" s="36"/>
      <c r="S578" s="36"/>
      <c r="T578" s="12"/>
      <c r="U578" s="12"/>
      <c r="V578" s="12"/>
      <c r="W578" s="12"/>
      <c r="X578" s="12"/>
    </row>
    <row r="579" customFormat="false" ht="15.75" hidden="false" customHeight="false" outlineLevel="0" collapsed="false">
      <c r="A579" s="12"/>
      <c r="B579" s="34"/>
      <c r="C579" s="12"/>
      <c r="D579" s="12"/>
      <c r="E579" s="12"/>
      <c r="F579" s="12"/>
      <c r="G579" s="18"/>
      <c r="H579" s="35"/>
      <c r="I579" s="12"/>
      <c r="M579" s="12"/>
      <c r="N579" s="18"/>
      <c r="O579" s="12"/>
      <c r="P579" s="12"/>
      <c r="Q579" s="12"/>
      <c r="R579" s="36"/>
      <c r="S579" s="36"/>
      <c r="T579" s="12"/>
      <c r="U579" s="12"/>
      <c r="V579" s="12"/>
      <c r="W579" s="12"/>
      <c r="X579" s="12"/>
    </row>
    <row r="580" customFormat="false" ht="15.75" hidden="false" customHeight="false" outlineLevel="0" collapsed="false">
      <c r="A580" s="12"/>
      <c r="B580" s="34"/>
      <c r="C580" s="12"/>
      <c r="D580" s="12"/>
      <c r="E580" s="12"/>
      <c r="F580" s="12"/>
      <c r="G580" s="18"/>
      <c r="H580" s="35"/>
      <c r="I580" s="12"/>
      <c r="M580" s="12"/>
      <c r="N580" s="18"/>
      <c r="O580" s="12"/>
      <c r="P580" s="12"/>
      <c r="Q580" s="12"/>
      <c r="R580" s="36"/>
      <c r="S580" s="36"/>
      <c r="T580" s="12"/>
      <c r="U580" s="12"/>
      <c r="V580" s="12"/>
      <c r="W580" s="12"/>
      <c r="X580" s="12"/>
    </row>
    <row r="581" customFormat="false" ht="15.75" hidden="false" customHeight="false" outlineLevel="0" collapsed="false">
      <c r="A581" s="12"/>
      <c r="B581" s="34"/>
      <c r="C581" s="12"/>
      <c r="D581" s="12"/>
      <c r="E581" s="12"/>
      <c r="F581" s="12"/>
      <c r="G581" s="18"/>
      <c r="H581" s="35"/>
      <c r="I581" s="12"/>
      <c r="M581" s="12"/>
      <c r="N581" s="18"/>
      <c r="O581" s="12"/>
      <c r="P581" s="12"/>
      <c r="Q581" s="12"/>
      <c r="R581" s="36"/>
      <c r="S581" s="36"/>
      <c r="T581" s="12"/>
      <c r="U581" s="12"/>
      <c r="V581" s="12"/>
      <c r="W581" s="12"/>
      <c r="X581" s="12"/>
    </row>
    <row r="582" customFormat="false" ht="15.75" hidden="false" customHeight="false" outlineLevel="0" collapsed="false">
      <c r="A582" s="12"/>
      <c r="B582" s="34"/>
      <c r="C582" s="12"/>
      <c r="D582" s="12"/>
      <c r="E582" s="12"/>
      <c r="F582" s="12"/>
      <c r="G582" s="18"/>
      <c r="H582" s="35"/>
      <c r="I582" s="12"/>
      <c r="M582" s="12"/>
      <c r="N582" s="18"/>
      <c r="O582" s="12"/>
      <c r="P582" s="12"/>
      <c r="Q582" s="12"/>
      <c r="R582" s="36"/>
      <c r="S582" s="36"/>
      <c r="T582" s="12"/>
      <c r="U582" s="12"/>
      <c r="V582" s="12"/>
      <c r="W582" s="12"/>
      <c r="X582" s="12"/>
    </row>
    <row r="583" customFormat="false" ht="15.75" hidden="false" customHeight="false" outlineLevel="0" collapsed="false">
      <c r="A583" s="12"/>
      <c r="B583" s="34"/>
      <c r="C583" s="12"/>
      <c r="D583" s="12"/>
      <c r="E583" s="12"/>
      <c r="F583" s="12"/>
      <c r="G583" s="18"/>
      <c r="H583" s="35"/>
      <c r="I583" s="12"/>
      <c r="M583" s="12"/>
      <c r="N583" s="18"/>
      <c r="O583" s="12"/>
      <c r="P583" s="12"/>
      <c r="Q583" s="12"/>
      <c r="R583" s="36"/>
      <c r="S583" s="36"/>
      <c r="T583" s="12"/>
      <c r="U583" s="12"/>
      <c r="V583" s="12"/>
      <c r="W583" s="12"/>
      <c r="X583" s="12"/>
    </row>
    <row r="584" customFormat="false" ht="15.75" hidden="false" customHeight="false" outlineLevel="0" collapsed="false">
      <c r="A584" s="12"/>
      <c r="B584" s="34"/>
      <c r="C584" s="12"/>
      <c r="D584" s="12"/>
      <c r="E584" s="12"/>
      <c r="F584" s="12"/>
      <c r="G584" s="18"/>
      <c r="H584" s="35"/>
      <c r="I584" s="12"/>
      <c r="M584" s="12"/>
      <c r="N584" s="18"/>
      <c r="O584" s="12"/>
      <c r="P584" s="12"/>
      <c r="Q584" s="12"/>
      <c r="R584" s="36"/>
      <c r="S584" s="36"/>
      <c r="T584" s="12"/>
      <c r="U584" s="12"/>
      <c r="V584" s="12"/>
      <c r="W584" s="12"/>
      <c r="X584" s="12"/>
    </row>
    <row r="585" customFormat="false" ht="15.75" hidden="false" customHeight="false" outlineLevel="0" collapsed="false">
      <c r="A585" s="12"/>
      <c r="B585" s="34"/>
      <c r="C585" s="12"/>
      <c r="D585" s="12"/>
      <c r="E585" s="12"/>
      <c r="F585" s="12"/>
      <c r="G585" s="18"/>
      <c r="H585" s="35"/>
      <c r="I585" s="12"/>
      <c r="M585" s="12"/>
      <c r="N585" s="18"/>
      <c r="O585" s="12"/>
      <c r="P585" s="12"/>
      <c r="Q585" s="12"/>
      <c r="R585" s="36"/>
      <c r="S585" s="36"/>
      <c r="T585" s="12"/>
      <c r="U585" s="12"/>
      <c r="V585" s="12"/>
      <c r="W585" s="12"/>
      <c r="X585" s="12"/>
    </row>
    <row r="586" customFormat="false" ht="15.75" hidden="false" customHeight="false" outlineLevel="0" collapsed="false">
      <c r="A586" s="12"/>
      <c r="B586" s="34"/>
      <c r="C586" s="12"/>
      <c r="D586" s="12"/>
      <c r="E586" s="12"/>
      <c r="F586" s="12"/>
      <c r="G586" s="18"/>
      <c r="H586" s="35"/>
      <c r="I586" s="12"/>
      <c r="M586" s="12"/>
      <c r="N586" s="18"/>
      <c r="O586" s="12"/>
      <c r="P586" s="12"/>
      <c r="Q586" s="12"/>
      <c r="R586" s="36"/>
      <c r="S586" s="36"/>
      <c r="T586" s="12"/>
      <c r="U586" s="12"/>
      <c r="V586" s="12"/>
      <c r="W586" s="12"/>
      <c r="X586" s="12"/>
    </row>
    <row r="587" customFormat="false" ht="15.75" hidden="false" customHeight="false" outlineLevel="0" collapsed="false">
      <c r="A587" s="12"/>
      <c r="B587" s="34"/>
      <c r="C587" s="12"/>
      <c r="D587" s="12"/>
      <c r="E587" s="12"/>
      <c r="F587" s="12"/>
      <c r="G587" s="18"/>
      <c r="H587" s="35"/>
      <c r="I587" s="12"/>
      <c r="M587" s="12"/>
      <c r="N587" s="18"/>
      <c r="O587" s="12"/>
      <c r="P587" s="12"/>
      <c r="Q587" s="12"/>
      <c r="R587" s="36"/>
      <c r="S587" s="36"/>
      <c r="T587" s="12"/>
      <c r="U587" s="12"/>
      <c r="V587" s="12"/>
      <c r="W587" s="12"/>
      <c r="X587" s="12"/>
    </row>
    <row r="588" customFormat="false" ht="15.75" hidden="false" customHeight="false" outlineLevel="0" collapsed="false">
      <c r="A588" s="12"/>
      <c r="B588" s="34"/>
      <c r="C588" s="12"/>
      <c r="D588" s="12"/>
      <c r="E588" s="12"/>
      <c r="F588" s="12"/>
      <c r="G588" s="18"/>
      <c r="H588" s="35"/>
      <c r="I588" s="12"/>
      <c r="M588" s="12"/>
      <c r="N588" s="18"/>
      <c r="O588" s="12"/>
      <c r="P588" s="12"/>
      <c r="Q588" s="12"/>
      <c r="R588" s="36"/>
      <c r="S588" s="36"/>
      <c r="T588" s="12"/>
      <c r="U588" s="12"/>
      <c r="V588" s="12"/>
      <c r="W588" s="12"/>
      <c r="X588" s="12"/>
    </row>
    <row r="589" customFormat="false" ht="15.75" hidden="false" customHeight="false" outlineLevel="0" collapsed="false">
      <c r="A589" s="12"/>
      <c r="B589" s="34"/>
      <c r="C589" s="12"/>
      <c r="D589" s="12"/>
      <c r="E589" s="12"/>
      <c r="F589" s="12"/>
      <c r="G589" s="18"/>
      <c r="H589" s="35"/>
      <c r="I589" s="12"/>
      <c r="M589" s="12"/>
      <c r="N589" s="18"/>
      <c r="O589" s="12"/>
      <c r="P589" s="12"/>
      <c r="Q589" s="12"/>
      <c r="R589" s="36"/>
      <c r="S589" s="36"/>
      <c r="T589" s="12"/>
      <c r="U589" s="12"/>
      <c r="V589" s="12"/>
      <c r="W589" s="12"/>
      <c r="X589" s="12"/>
    </row>
    <row r="590" customFormat="false" ht="15.75" hidden="false" customHeight="false" outlineLevel="0" collapsed="false">
      <c r="A590" s="12"/>
      <c r="B590" s="34"/>
      <c r="C590" s="12"/>
      <c r="D590" s="12"/>
      <c r="E590" s="12"/>
      <c r="F590" s="12"/>
      <c r="G590" s="18"/>
      <c r="H590" s="35"/>
      <c r="I590" s="12"/>
      <c r="M590" s="12"/>
      <c r="N590" s="18"/>
      <c r="O590" s="12"/>
      <c r="P590" s="12"/>
      <c r="Q590" s="12"/>
      <c r="R590" s="36"/>
      <c r="S590" s="36"/>
      <c r="T590" s="12"/>
      <c r="U590" s="12"/>
      <c r="V590" s="12"/>
      <c r="W590" s="12"/>
      <c r="X590" s="12"/>
    </row>
    <row r="591" customFormat="false" ht="15.75" hidden="false" customHeight="false" outlineLevel="0" collapsed="false">
      <c r="A591" s="12"/>
      <c r="B591" s="34"/>
      <c r="C591" s="12"/>
      <c r="D591" s="12"/>
      <c r="E591" s="12"/>
      <c r="F591" s="12"/>
      <c r="G591" s="18"/>
      <c r="H591" s="35"/>
      <c r="I591" s="12"/>
      <c r="M591" s="12"/>
      <c r="N591" s="18"/>
      <c r="O591" s="12"/>
      <c r="P591" s="12"/>
      <c r="Q591" s="12"/>
      <c r="R591" s="36"/>
      <c r="S591" s="36"/>
      <c r="T591" s="12"/>
      <c r="U591" s="12"/>
      <c r="V591" s="12"/>
      <c r="W591" s="12"/>
      <c r="X591" s="12"/>
    </row>
    <row r="592" customFormat="false" ht="15.75" hidden="false" customHeight="false" outlineLevel="0" collapsed="false">
      <c r="A592" s="12"/>
      <c r="B592" s="34"/>
      <c r="C592" s="12"/>
      <c r="D592" s="12"/>
      <c r="E592" s="12"/>
      <c r="F592" s="12"/>
      <c r="G592" s="18"/>
      <c r="H592" s="35"/>
      <c r="I592" s="12"/>
      <c r="M592" s="12"/>
      <c r="N592" s="18"/>
      <c r="O592" s="12"/>
      <c r="P592" s="12"/>
      <c r="Q592" s="12"/>
      <c r="R592" s="36"/>
      <c r="S592" s="36"/>
      <c r="T592" s="12"/>
      <c r="U592" s="12"/>
      <c r="V592" s="12"/>
      <c r="W592" s="12"/>
      <c r="X592" s="12"/>
    </row>
    <row r="593" customFormat="false" ht="15.75" hidden="false" customHeight="false" outlineLevel="0" collapsed="false">
      <c r="A593" s="12"/>
      <c r="B593" s="34"/>
      <c r="C593" s="12"/>
      <c r="D593" s="12"/>
      <c r="E593" s="12"/>
      <c r="F593" s="12"/>
      <c r="G593" s="18"/>
      <c r="H593" s="35"/>
      <c r="I593" s="12"/>
      <c r="M593" s="12"/>
      <c r="N593" s="18"/>
      <c r="O593" s="12"/>
      <c r="P593" s="12"/>
      <c r="Q593" s="12"/>
      <c r="R593" s="36"/>
      <c r="S593" s="36"/>
      <c r="T593" s="12"/>
      <c r="U593" s="12"/>
      <c r="V593" s="12"/>
      <c r="W593" s="12"/>
      <c r="X593" s="12"/>
    </row>
    <row r="594" customFormat="false" ht="15.75" hidden="false" customHeight="false" outlineLevel="0" collapsed="false">
      <c r="A594" s="12"/>
      <c r="B594" s="34"/>
      <c r="C594" s="12"/>
      <c r="D594" s="12"/>
      <c r="E594" s="12"/>
      <c r="F594" s="12"/>
      <c r="G594" s="18"/>
      <c r="H594" s="35"/>
      <c r="I594" s="12"/>
      <c r="M594" s="12"/>
      <c r="N594" s="18"/>
      <c r="O594" s="12"/>
      <c r="P594" s="12"/>
      <c r="Q594" s="12"/>
      <c r="R594" s="36"/>
      <c r="S594" s="36"/>
      <c r="T594" s="12"/>
      <c r="U594" s="12"/>
      <c r="V594" s="12"/>
      <c r="W594" s="12"/>
      <c r="X594" s="12"/>
    </row>
    <row r="595" customFormat="false" ht="15.75" hidden="false" customHeight="false" outlineLevel="0" collapsed="false">
      <c r="A595" s="12"/>
      <c r="B595" s="34"/>
      <c r="C595" s="12"/>
      <c r="D595" s="12"/>
      <c r="E595" s="12"/>
      <c r="F595" s="12"/>
      <c r="G595" s="18"/>
      <c r="H595" s="35"/>
      <c r="I595" s="12"/>
      <c r="M595" s="12"/>
      <c r="N595" s="18"/>
      <c r="O595" s="12"/>
      <c r="P595" s="12"/>
      <c r="Q595" s="12"/>
      <c r="R595" s="36"/>
      <c r="S595" s="36"/>
      <c r="T595" s="12"/>
      <c r="U595" s="12"/>
      <c r="V595" s="12"/>
      <c r="W595" s="12"/>
      <c r="X595" s="12"/>
    </row>
    <row r="596" customFormat="false" ht="15.75" hidden="false" customHeight="false" outlineLevel="0" collapsed="false">
      <c r="A596" s="12"/>
      <c r="B596" s="34"/>
      <c r="C596" s="12"/>
      <c r="D596" s="12"/>
      <c r="E596" s="12"/>
      <c r="F596" s="12"/>
      <c r="G596" s="18"/>
      <c r="H596" s="35"/>
      <c r="I596" s="12"/>
      <c r="M596" s="12"/>
      <c r="N596" s="18"/>
      <c r="O596" s="12"/>
      <c r="P596" s="12"/>
      <c r="Q596" s="12"/>
      <c r="R596" s="36"/>
      <c r="S596" s="36"/>
      <c r="T596" s="12"/>
      <c r="U596" s="12"/>
      <c r="V596" s="12"/>
      <c r="W596" s="12"/>
      <c r="X596" s="12"/>
    </row>
    <row r="597" customFormat="false" ht="15.75" hidden="false" customHeight="false" outlineLevel="0" collapsed="false">
      <c r="A597" s="12"/>
      <c r="B597" s="34"/>
      <c r="C597" s="12"/>
      <c r="D597" s="12"/>
      <c r="E597" s="12"/>
      <c r="F597" s="12"/>
      <c r="G597" s="18"/>
      <c r="H597" s="35"/>
      <c r="I597" s="12"/>
      <c r="M597" s="12"/>
      <c r="N597" s="18"/>
      <c r="O597" s="12"/>
      <c r="P597" s="12"/>
      <c r="Q597" s="12"/>
      <c r="R597" s="36"/>
      <c r="S597" s="36"/>
      <c r="T597" s="12"/>
      <c r="U597" s="12"/>
      <c r="V597" s="12"/>
      <c r="W597" s="12"/>
      <c r="X597" s="12"/>
    </row>
    <row r="598" customFormat="false" ht="15.75" hidden="false" customHeight="false" outlineLevel="0" collapsed="false">
      <c r="A598" s="12"/>
      <c r="B598" s="34"/>
      <c r="C598" s="12"/>
      <c r="D598" s="12"/>
      <c r="E598" s="12"/>
      <c r="F598" s="12"/>
      <c r="G598" s="18"/>
      <c r="H598" s="35"/>
      <c r="I598" s="12"/>
      <c r="M598" s="12"/>
      <c r="N598" s="18"/>
      <c r="O598" s="12"/>
      <c r="P598" s="12"/>
      <c r="Q598" s="12"/>
      <c r="R598" s="36"/>
      <c r="S598" s="36"/>
      <c r="T598" s="12"/>
      <c r="U598" s="12"/>
      <c r="V598" s="12"/>
      <c r="W598" s="12"/>
      <c r="X598" s="12"/>
    </row>
    <row r="599" customFormat="false" ht="15.75" hidden="false" customHeight="false" outlineLevel="0" collapsed="false">
      <c r="A599" s="12"/>
      <c r="B599" s="34"/>
      <c r="C599" s="12"/>
      <c r="D599" s="12"/>
      <c r="E599" s="12"/>
      <c r="F599" s="12"/>
      <c r="G599" s="18"/>
      <c r="H599" s="35"/>
      <c r="I599" s="12"/>
      <c r="M599" s="12"/>
      <c r="N599" s="18"/>
      <c r="O599" s="12"/>
      <c r="P599" s="12"/>
      <c r="Q599" s="12"/>
      <c r="R599" s="36"/>
      <c r="S599" s="36"/>
      <c r="T599" s="12"/>
      <c r="U599" s="12"/>
      <c r="V599" s="12"/>
      <c r="W599" s="12"/>
      <c r="X599" s="12"/>
    </row>
    <row r="600" customFormat="false" ht="15.75" hidden="false" customHeight="false" outlineLevel="0" collapsed="false">
      <c r="A600" s="12"/>
      <c r="B600" s="34"/>
      <c r="C600" s="12"/>
      <c r="D600" s="12"/>
      <c r="E600" s="12"/>
      <c r="F600" s="12"/>
      <c r="G600" s="18"/>
      <c r="H600" s="35"/>
      <c r="I600" s="12"/>
      <c r="M600" s="12"/>
      <c r="N600" s="18"/>
      <c r="O600" s="12"/>
      <c r="P600" s="12"/>
      <c r="Q600" s="12"/>
      <c r="R600" s="36"/>
      <c r="S600" s="36"/>
      <c r="T600" s="12"/>
      <c r="U600" s="12"/>
      <c r="V600" s="12"/>
      <c r="W600" s="12"/>
      <c r="X600" s="12"/>
    </row>
    <row r="601" customFormat="false" ht="15.75" hidden="false" customHeight="false" outlineLevel="0" collapsed="false">
      <c r="A601" s="12"/>
      <c r="B601" s="34"/>
      <c r="C601" s="12"/>
      <c r="D601" s="12"/>
      <c r="E601" s="12"/>
      <c r="F601" s="12"/>
      <c r="G601" s="18"/>
      <c r="H601" s="35"/>
      <c r="I601" s="12"/>
      <c r="M601" s="12"/>
      <c r="N601" s="18"/>
      <c r="O601" s="12"/>
      <c r="P601" s="12"/>
      <c r="Q601" s="12"/>
      <c r="R601" s="36"/>
      <c r="S601" s="36"/>
      <c r="T601" s="12"/>
      <c r="U601" s="12"/>
      <c r="V601" s="12"/>
      <c r="W601" s="12"/>
      <c r="X601" s="12"/>
    </row>
    <row r="602" customFormat="false" ht="15.75" hidden="false" customHeight="false" outlineLevel="0" collapsed="false">
      <c r="A602" s="12"/>
      <c r="B602" s="34"/>
      <c r="C602" s="12"/>
      <c r="D602" s="12"/>
      <c r="E602" s="12"/>
      <c r="F602" s="12"/>
      <c r="G602" s="18"/>
      <c r="H602" s="35"/>
      <c r="I602" s="12"/>
      <c r="M602" s="12"/>
      <c r="N602" s="18"/>
      <c r="O602" s="12"/>
      <c r="P602" s="12"/>
      <c r="Q602" s="12"/>
      <c r="R602" s="36"/>
      <c r="S602" s="36"/>
      <c r="T602" s="12"/>
      <c r="U602" s="12"/>
      <c r="V602" s="12"/>
      <c r="W602" s="12"/>
      <c r="X602" s="12"/>
    </row>
    <row r="603" customFormat="false" ht="15.75" hidden="false" customHeight="false" outlineLevel="0" collapsed="false">
      <c r="A603" s="12"/>
      <c r="B603" s="34"/>
      <c r="C603" s="12"/>
      <c r="D603" s="12"/>
      <c r="E603" s="12"/>
      <c r="F603" s="12"/>
      <c r="G603" s="18"/>
      <c r="H603" s="35"/>
      <c r="I603" s="12"/>
      <c r="M603" s="12"/>
      <c r="N603" s="18"/>
      <c r="O603" s="12"/>
      <c r="P603" s="12"/>
      <c r="Q603" s="12"/>
      <c r="R603" s="36"/>
      <c r="S603" s="36"/>
      <c r="T603" s="12"/>
      <c r="U603" s="12"/>
      <c r="V603" s="12"/>
      <c r="W603" s="12"/>
      <c r="X603" s="12"/>
    </row>
    <row r="604" customFormat="false" ht="15.75" hidden="false" customHeight="false" outlineLevel="0" collapsed="false">
      <c r="A604" s="12"/>
      <c r="B604" s="34"/>
      <c r="C604" s="12"/>
      <c r="D604" s="12"/>
      <c r="E604" s="12"/>
      <c r="F604" s="12"/>
      <c r="G604" s="18"/>
      <c r="H604" s="35"/>
      <c r="I604" s="12"/>
      <c r="M604" s="12"/>
      <c r="N604" s="18"/>
      <c r="O604" s="12"/>
      <c r="P604" s="12"/>
      <c r="Q604" s="12"/>
      <c r="R604" s="36"/>
      <c r="S604" s="36"/>
      <c r="T604" s="12"/>
      <c r="U604" s="12"/>
      <c r="V604" s="12"/>
      <c r="W604" s="12"/>
      <c r="X604" s="12"/>
    </row>
    <row r="605" customFormat="false" ht="15.75" hidden="false" customHeight="false" outlineLevel="0" collapsed="false">
      <c r="A605" s="12"/>
      <c r="B605" s="34"/>
      <c r="C605" s="12"/>
      <c r="D605" s="12"/>
      <c r="E605" s="12"/>
      <c r="F605" s="12"/>
      <c r="G605" s="18"/>
      <c r="H605" s="35"/>
      <c r="I605" s="12"/>
      <c r="M605" s="12"/>
      <c r="N605" s="18"/>
      <c r="O605" s="12"/>
      <c r="P605" s="12"/>
      <c r="Q605" s="12"/>
      <c r="R605" s="36"/>
      <c r="S605" s="36"/>
      <c r="T605" s="12"/>
      <c r="U605" s="12"/>
      <c r="V605" s="12"/>
      <c r="W605" s="12"/>
      <c r="X605" s="12"/>
    </row>
    <row r="606" customFormat="false" ht="15.75" hidden="false" customHeight="false" outlineLevel="0" collapsed="false">
      <c r="A606" s="12"/>
      <c r="B606" s="34"/>
      <c r="C606" s="12"/>
      <c r="D606" s="12"/>
      <c r="E606" s="12"/>
      <c r="F606" s="12"/>
      <c r="G606" s="18"/>
      <c r="H606" s="35"/>
      <c r="I606" s="12"/>
      <c r="M606" s="12"/>
      <c r="N606" s="18"/>
      <c r="O606" s="12"/>
      <c r="P606" s="12"/>
      <c r="Q606" s="12"/>
      <c r="R606" s="36"/>
      <c r="S606" s="36"/>
      <c r="T606" s="12"/>
      <c r="U606" s="12"/>
      <c r="V606" s="12"/>
      <c r="W606" s="12"/>
      <c r="X606" s="12"/>
    </row>
    <row r="607" customFormat="false" ht="15.75" hidden="false" customHeight="false" outlineLevel="0" collapsed="false">
      <c r="A607" s="12"/>
      <c r="B607" s="34"/>
      <c r="C607" s="12"/>
      <c r="D607" s="12"/>
      <c r="E607" s="12"/>
      <c r="F607" s="12"/>
      <c r="G607" s="18"/>
      <c r="H607" s="35"/>
      <c r="I607" s="12"/>
      <c r="M607" s="12"/>
      <c r="N607" s="18"/>
      <c r="O607" s="12"/>
      <c r="P607" s="12"/>
      <c r="Q607" s="12"/>
      <c r="R607" s="36"/>
      <c r="S607" s="36"/>
      <c r="T607" s="12"/>
      <c r="U607" s="12"/>
      <c r="V607" s="12"/>
      <c r="W607" s="12"/>
      <c r="X607" s="12"/>
    </row>
    <row r="608" customFormat="false" ht="15.75" hidden="false" customHeight="false" outlineLevel="0" collapsed="false">
      <c r="A608" s="12"/>
      <c r="B608" s="34"/>
      <c r="C608" s="12"/>
      <c r="D608" s="12"/>
      <c r="E608" s="12"/>
      <c r="F608" s="12"/>
      <c r="G608" s="18"/>
      <c r="H608" s="35"/>
      <c r="I608" s="12"/>
      <c r="M608" s="12"/>
      <c r="N608" s="18"/>
      <c r="O608" s="12"/>
      <c r="P608" s="12"/>
      <c r="Q608" s="12"/>
      <c r="R608" s="36"/>
      <c r="S608" s="36"/>
      <c r="T608" s="12"/>
      <c r="U608" s="12"/>
      <c r="V608" s="12"/>
      <c r="W608" s="12"/>
      <c r="X608" s="12"/>
    </row>
    <row r="609" customFormat="false" ht="15.75" hidden="false" customHeight="false" outlineLevel="0" collapsed="false">
      <c r="A609" s="12"/>
      <c r="B609" s="34"/>
      <c r="C609" s="12"/>
      <c r="D609" s="12"/>
      <c r="E609" s="12"/>
      <c r="F609" s="12"/>
      <c r="G609" s="18"/>
      <c r="H609" s="35"/>
      <c r="I609" s="12"/>
      <c r="M609" s="12"/>
      <c r="N609" s="18"/>
      <c r="O609" s="12"/>
      <c r="P609" s="12"/>
      <c r="Q609" s="12"/>
      <c r="R609" s="36"/>
      <c r="S609" s="36"/>
      <c r="T609" s="12"/>
      <c r="U609" s="12"/>
      <c r="V609" s="12"/>
      <c r="W609" s="12"/>
      <c r="X609" s="12"/>
    </row>
    <row r="610" customFormat="false" ht="15.75" hidden="false" customHeight="false" outlineLevel="0" collapsed="false">
      <c r="A610" s="12"/>
      <c r="B610" s="34"/>
      <c r="C610" s="12"/>
      <c r="D610" s="12"/>
      <c r="E610" s="12"/>
      <c r="F610" s="12"/>
      <c r="G610" s="18"/>
      <c r="H610" s="35"/>
      <c r="I610" s="12"/>
      <c r="M610" s="12"/>
      <c r="N610" s="18"/>
      <c r="O610" s="12"/>
      <c r="P610" s="12"/>
      <c r="Q610" s="12"/>
      <c r="R610" s="36"/>
      <c r="S610" s="36"/>
      <c r="T610" s="12"/>
      <c r="U610" s="12"/>
      <c r="V610" s="12"/>
      <c r="W610" s="12"/>
      <c r="X610" s="12"/>
    </row>
    <row r="611" customFormat="false" ht="15.75" hidden="false" customHeight="false" outlineLevel="0" collapsed="false">
      <c r="A611" s="12"/>
      <c r="B611" s="34"/>
      <c r="C611" s="12"/>
      <c r="D611" s="12"/>
      <c r="E611" s="12"/>
      <c r="F611" s="12"/>
      <c r="G611" s="18"/>
      <c r="H611" s="35"/>
      <c r="I611" s="12"/>
      <c r="M611" s="12"/>
      <c r="N611" s="18"/>
      <c r="O611" s="12"/>
      <c r="P611" s="12"/>
      <c r="Q611" s="12"/>
      <c r="R611" s="36"/>
      <c r="S611" s="36"/>
      <c r="T611" s="12"/>
      <c r="U611" s="12"/>
      <c r="V611" s="12"/>
      <c r="W611" s="12"/>
      <c r="X611" s="12"/>
    </row>
    <row r="612" customFormat="false" ht="15.75" hidden="false" customHeight="false" outlineLevel="0" collapsed="false">
      <c r="A612" s="12"/>
      <c r="B612" s="34"/>
      <c r="C612" s="12"/>
      <c r="D612" s="12"/>
      <c r="E612" s="12"/>
      <c r="F612" s="12"/>
      <c r="G612" s="18"/>
      <c r="H612" s="35"/>
      <c r="I612" s="12"/>
      <c r="M612" s="12"/>
      <c r="N612" s="18"/>
      <c r="O612" s="12"/>
      <c r="P612" s="12"/>
      <c r="Q612" s="12"/>
      <c r="R612" s="36"/>
      <c r="S612" s="36"/>
      <c r="T612" s="12"/>
      <c r="U612" s="12"/>
      <c r="V612" s="12"/>
      <c r="W612" s="12"/>
      <c r="X612" s="12"/>
    </row>
    <row r="613" customFormat="false" ht="15.75" hidden="false" customHeight="false" outlineLevel="0" collapsed="false">
      <c r="A613" s="12"/>
      <c r="B613" s="34"/>
      <c r="C613" s="12"/>
      <c r="D613" s="12"/>
      <c r="E613" s="12"/>
      <c r="F613" s="12"/>
      <c r="G613" s="18"/>
      <c r="H613" s="35"/>
      <c r="I613" s="12"/>
      <c r="M613" s="12"/>
      <c r="N613" s="18"/>
      <c r="O613" s="12"/>
      <c r="P613" s="12"/>
      <c r="Q613" s="12"/>
      <c r="R613" s="36"/>
      <c r="S613" s="36"/>
      <c r="T613" s="12"/>
      <c r="U613" s="12"/>
      <c r="V613" s="12"/>
      <c r="W613" s="12"/>
      <c r="X613" s="12"/>
    </row>
    <row r="614" customFormat="false" ht="15.75" hidden="false" customHeight="false" outlineLevel="0" collapsed="false">
      <c r="A614" s="12"/>
      <c r="B614" s="34"/>
      <c r="C614" s="12"/>
      <c r="D614" s="12"/>
      <c r="E614" s="12"/>
      <c r="F614" s="12"/>
      <c r="G614" s="18"/>
      <c r="H614" s="35"/>
      <c r="I614" s="12"/>
      <c r="M614" s="12"/>
      <c r="N614" s="18"/>
      <c r="O614" s="12"/>
      <c r="P614" s="12"/>
      <c r="Q614" s="12"/>
      <c r="R614" s="36"/>
      <c r="S614" s="36"/>
      <c r="T614" s="12"/>
      <c r="U614" s="12"/>
      <c r="V614" s="12"/>
      <c r="W614" s="12"/>
      <c r="X614" s="12"/>
    </row>
    <row r="615" customFormat="false" ht="15.75" hidden="false" customHeight="false" outlineLevel="0" collapsed="false">
      <c r="A615" s="12"/>
      <c r="B615" s="34"/>
      <c r="C615" s="12"/>
      <c r="D615" s="12"/>
      <c r="E615" s="12"/>
      <c r="F615" s="12"/>
      <c r="G615" s="18"/>
      <c r="H615" s="35"/>
      <c r="I615" s="12"/>
      <c r="M615" s="12"/>
      <c r="N615" s="18"/>
      <c r="O615" s="12"/>
      <c r="P615" s="12"/>
      <c r="Q615" s="12"/>
      <c r="R615" s="36"/>
      <c r="S615" s="36"/>
      <c r="T615" s="12"/>
      <c r="U615" s="12"/>
      <c r="V615" s="12"/>
      <c r="W615" s="12"/>
      <c r="X615" s="12"/>
    </row>
    <row r="616" customFormat="false" ht="15.75" hidden="false" customHeight="false" outlineLevel="0" collapsed="false">
      <c r="A616" s="12"/>
      <c r="B616" s="34"/>
      <c r="C616" s="12"/>
      <c r="D616" s="12"/>
      <c r="E616" s="12"/>
      <c r="F616" s="12"/>
      <c r="G616" s="18"/>
      <c r="H616" s="35"/>
      <c r="I616" s="12"/>
      <c r="M616" s="12"/>
      <c r="N616" s="18"/>
      <c r="O616" s="12"/>
      <c r="P616" s="12"/>
      <c r="Q616" s="12"/>
      <c r="R616" s="36"/>
      <c r="S616" s="36"/>
      <c r="T616" s="12"/>
      <c r="U616" s="12"/>
      <c r="V616" s="12"/>
      <c r="W616" s="12"/>
      <c r="X616" s="12"/>
    </row>
    <row r="617" customFormat="false" ht="15.75" hidden="false" customHeight="false" outlineLevel="0" collapsed="false">
      <c r="A617" s="12"/>
      <c r="B617" s="34"/>
      <c r="C617" s="12"/>
      <c r="D617" s="12"/>
      <c r="E617" s="12"/>
      <c r="F617" s="12"/>
      <c r="G617" s="18"/>
      <c r="H617" s="35"/>
      <c r="I617" s="12"/>
      <c r="M617" s="12"/>
      <c r="N617" s="18"/>
      <c r="O617" s="12"/>
      <c r="P617" s="12"/>
      <c r="Q617" s="12"/>
      <c r="R617" s="36"/>
      <c r="S617" s="36"/>
      <c r="T617" s="12"/>
      <c r="U617" s="12"/>
      <c r="V617" s="12"/>
      <c r="W617" s="12"/>
      <c r="X617" s="12"/>
    </row>
    <row r="618" customFormat="false" ht="15.75" hidden="false" customHeight="false" outlineLevel="0" collapsed="false">
      <c r="A618" s="12"/>
      <c r="B618" s="34"/>
      <c r="C618" s="12"/>
      <c r="D618" s="12"/>
      <c r="E618" s="12"/>
      <c r="F618" s="12"/>
      <c r="G618" s="18"/>
      <c r="H618" s="35"/>
      <c r="I618" s="12"/>
      <c r="M618" s="12"/>
      <c r="N618" s="18"/>
      <c r="O618" s="12"/>
      <c r="P618" s="12"/>
      <c r="Q618" s="12"/>
      <c r="R618" s="36"/>
      <c r="S618" s="36"/>
      <c r="T618" s="12"/>
      <c r="U618" s="12"/>
      <c r="V618" s="12"/>
      <c r="W618" s="12"/>
      <c r="X618" s="12"/>
    </row>
    <row r="619" customFormat="false" ht="15.75" hidden="false" customHeight="false" outlineLevel="0" collapsed="false">
      <c r="A619" s="12"/>
      <c r="B619" s="34"/>
      <c r="C619" s="12"/>
      <c r="D619" s="12"/>
      <c r="E619" s="12"/>
      <c r="F619" s="12"/>
      <c r="G619" s="18"/>
      <c r="H619" s="35"/>
      <c r="I619" s="12"/>
      <c r="M619" s="12"/>
      <c r="N619" s="18"/>
      <c r="O619" s="12"/>
      <c r="P619" s="12"/>
      <c r="Q619" s="12"/>
      <c r="R619" s="36"/>
      <c r="S619" s="36"/>
      <c r="T619" s="12"/>
      <c r="U619" s="12"/>
      <c r="V619" s="12"/>
      <c r="W619" s="12"/>
      <c r="X619" s="12"/>
    </row>
    <row r="620" customFormat="false" ht="15.75" hidden="false" customHeight="false" outlineLevel="0" collapsed="false">
      <c r="A620" s="12"/>
      <c r="B620" s="34"/>
      <c r="C620" s="12"/>
      <c r="D620" s="12"/>
      <c r="E620" s="12"/>
      <c r="F620" s="12"/>
      <c r="G620" s="18"/>
      <c r="H620" s="35"/>
      <c r="I620" s="12"/>
      <c r="M620" s="12"/>
      <c r="N620" s="18"/>
      <c r="O620" s="12"/>
      <c r="P620" s="12"/>
      <c r="Q620" s="12"/>
      <c r="R620" s="36"/>
      <c r="S620" s="36"/>
      <c r="T620" s="12"/>
      <c r="U620" s="12"/>
      <c r="V620" s="12"/>
      <c r="W620" s="12"/>
      <c r="X620" s="12"/>
    </row>
    <row r="621" customFormat="false" ht="15.75" hidden="false" customHeight="false" outlineLevel="0" collapsed="false">
      <c r="A621" s="12"/>
      <c r="B621" s="34"/>
      <c r="C621" s="12"/>
      <c r="D621" s="12"/>
      <c r="E621" s="12"/>
      <c r="F621" s="12"/>
      <c r="G621" s="18"/>
      <c r="H621" s="35"/>
      <c r="I621" s="12"/>
      <c r="M621" s="12"/>
      <c r="N621" s="18"/>
      <c r="O621" s="12"/>
      <c r="P621" s="12"/>
      <c r="Q621" s="12"/>
      <c r="R621" s="36"/>
      <c r="S621" s="36"/>
      <c r="T621" s="12"/>
      <c r="U621" s="12"/>
      <c r="V621" s="12"/>
      <c r="W621" s="12"/>
      <c r="X621" s="12"/>
    </row>
    <row r="622" customFormat="false" ht="15.75" hidden="false" customHeight="false" outlineLevel="0" collapsed="false">
      <c r="A622" s="12"/>
      <c r="B622" s="34"/>
      <c r="C622" s="12"/>
      <c r="D622" s="12"/>
      <c r="E622" s="12"/>
      <c r="F622" s="12"/>
      <c r="G622" s="18"/>
      <c r="H622" s="35"/>
      <c r="I622" s="12"/>
      <c r="M622" s="12"/>
      <c r="N622" s="18"/>
      <c r="O622" s="12"/>
      <c r="P622" s="12"/>
      <c r="Q622" s="12"/>
      <c r="R622" s="36"/>
      <c r="S622" s="36"/>
      <c r="T622" s="12"/>
      <c r="U622" s="12"/>
      <c r="V622" s="12"/>
      <c r="W622" s="12"/>
      <c r="X622" s="12"/>
    </row>
    <row r="623" customFormat="false" ht="15.75" hidden="false" customHeight="false" outlineLevel="0" collapsed="false">
      <c r="A623" s="12"/>
      <c r="B623" s="34"/>
      <c r="C623" s="12"/>
      <c r="D623" s="12"/>
      <c r="E623" s="12"/>
      <c r="F623" s="12"/>
      <c r="G623" s="18"/>
      <c r="H623" s="35"/>
      <c r="I623" s="12"/>
      <c r="M623" s="12"/>
      <c r="N623" s="18"/>
      <c r="O623" s="12"/>
      <c r="P623" s="12"/>
      <c r="Q623" s="12"/>
      <c r="R623" s="36"/>
      <c r="S623" s="36"/>
      <c r="T623" s="12"/>
      <c r="U623" s="12"/>
      <c r="V623" s="12"/>
      <c r="W623" s="12"/>
      <c r="X623" s="12"/>
    </row>
    <row r="624" customFormat="false" ht="15.75" hidden="false" customHeight="false" outlineLevel="0" collapsed="false">
      <c r="A624" s="12"/>
      <c r="B624" s="34"/>
      <c r="C624" s="12"/>
      <c r="D624" s="12"/>
      <c r="E624" s="12"/>
      <c r="F624" s="12"/>
      <c r="G624" s="18"/>
      <c r="H624" s="35"/>
      <c r="I624" s="12"/>
      <c r="M624" s="12"/>
      <c r="N624" s="18"/>
      <c r="O624" s="12"/>
      <c r="P624" s="12"/>
      <c r="Q624" s="12"/>
      <c r="R624" s="36"/>
      <c r="S624" s="36"/>
      <c r="T624" s="12"/>
      <c r="U624" s="12"/>
      <c r="V624" s="12"/>
      <c r="W624" s="12"/>
      <c r="X624" s="12"/>
    </row>
    <row r="625" customFormat="false" ht="15.75" hidden="false" customHeight="false" outlineLevel="0" collapsed="false">
      <c r="A625" s="12"/>
      <c r="B625" s="34"/>
      <c r="C625" s="12"/>
      <c r="D625" s="12"/>
      <c r="E625" s="12"/>
      <c r="F625" s="12"/>
      <c r="G625" s="18"/>
      <c r="H625" s="35"/>
      <c r="I625" s="12"/>
      <c r="M625" s="12"/>
      <c r="N625" s="18"/>
      <c r="O625" s="12"/>
      <c r="P625" s="12"/>
      <c r="Q625" s="12"/>
      <c r="R625" s="36"/>
      <c r="S625" s="36"/>
      <c r="T625" s="12"/>
      <c r="U625" s="12"/>
      <c r="V625" s="12"/>
      <c r="W625" s="12"/>
      <c r="X625" s="12"/>
    </row>
    <row r="626" customFormat="false" ht="15.75" hidden="false" customHeight="false" outlineLevel="0" collapsed="false">
      <c r="A626" s="12"/>
      <c r="B626" s="34"/>
      <c r="C626" s="12"/>
      <c r="D626" s="12"/>
      <c r="E626" s="12"/>
      <c r="F626" s="12"/>
      <c r="G626" s="18"/>
      <c r="H626" s="35"/>
      <c r="I626" s="12"/>
      <c r="M626" s="12"/>
      <c r="N626" s="18"/>
      <c r="O626" s="12"/>
      <c r="P626" s="12"/>
      <c r="Q626" s="12"/>
      <c r="R626" s="36"/>
      <c r="S626" s="36"/>
      <c r="T626" s="12"/>
      <c r="U626" s="12"/>
      <c r="V626" s="12"/>
      <c r="W626" s="12"/>
      <c r="X626" s="12"/>
    </row>
    <row r="627" customFormat="false" ht="15.75" hidden="false" customHeight="false" outlineLevel="0" collapsed="false">
      <c r="A627" s="12"/>
      <c r="B627" s="34"/>
      <c r="C627" s="12"/>
      <c r="D627" s="12"/>
      <c r="E627" s="12"/>
      <c r="F627" s="12"/>
      <c r="G627" s="18"/>
      <c r="H627" s="35"/>
      <c r="I627" s="12"/>
      <c r="M627" s="12"/>
      <c r="N627" s="18"/>
      <c r="O627" s="12"/>
      <c r="P627" s="12"/>
      <c r="Q627" s="12"/>
      <c r="R627" s="36"/>
      <c r="S627" s="36"/>
      <c r="T627" s="12"/>
      <c r="U627" s="12"/>
      <c r="V627" s="12"/>
      <c r="W627" s="12"/>
      <c r="X627" s="12"/>
    </row>
    <row r="628" customFormat="false" ht="15.75" hidden="false" customHeight="false" outlineLevel="0" collapsed="false">
      <c r="A628" s="12"/>
      <c r="B628" s="34"/>
      <c r="C628" s="12"/>
      <c r="D628" s="12"/>
      <c r="E628" s="12"/>
      <c r="F628" s="12"/>
      <c r="G628" s="18"/>
      <c r="H628" s="35"/>
      <c r="I628" s="12"/>
      <c r="M628" s="12"/>
      <c r="N628" s="18"/>
      <c r="O628" s="12"/>
      <c r="P628" s="12"/>
      <c r="Q628" s="12"/>
      <c r="R628" s="36"/>
      <c r="S628" s="36"/>
      <c r="T628" s="12"/>
      <c r="U628" s="12"/>
      <c r="V628" s="12"/>
      <c r="W628" s="12"/>
      <c r="X628" s="12"/>
    </row>
    <row r="629" customFormat="false" ht="15.75" hidden="false" customHeight="false" outlineLevel="0" collapsed="false">
      <c r="A629" s="12"/>
      <c r="B629" s="34"/>
      <c r="C629" s="12"/>
      <c r="D629" s="12"/>
      <c r="E629" s="12"/>
      <c r="F629" s="12"/>
      <c r="G629" s="18"/>
      <c r="H629" s="35"/>
      <c r="I629" s="12"/>
      <c r="M629" s="12"/>
      <c r="N629" s="18"/>
      <c r="O629" s="12"/>
      <c r="P629" s="12"/>
      <c r="Q629" s="12"/>
      <c r="R629" s="36"/>
      <c r="S629" s="36"/>
      <c r="T629" s="12"/>
      <c r="U629" s="12"/>
      <c r="V629" s="12"/>
      <c r="W629" s="12"/>
      <c r="X629" s="12"/>
    </row>
    <row r="630" customFormat="false" ht="15.75" hidden="false" customHeight="false" outlineLevel="0" collapsed="false">
      <c r="A630" s="12"/>
      <c r="B630" s="34"/>
      <c r="C630" s="12"/>
      <c r="D630" s="12"/>
      <c r="E630" s="12"/>
      <c r="F630" s="12"/>
      <c r="G630" s="18"/>
      <c r="H630" s="35"/>
      <c r="I630" s="12"/>
      <c r="M630" s="12"/>
      <c r="N630" s="18"/>
      <c r="O630" s="12"/>
      <c r="P630" s="12"/>
      <c r="Q630" s="12"/>
      <c r="R630" s="36"/>
      <c r="S630" s="36"/>
      <c r="T630" s="12"/>
      <c r="U630" s="12"/>
      <c r="V630" s="12"/>
      <c r="W630" s="12"/>
      <c r="X630" s="12"/>
    </row>
    <row r="631" customFormat="false" ht="15.75" hidden="false" customHeight="false" outlineLevel="0" collapsed="false">
      <c r="A631" s="12"/>
      <c r="B631" s="34"/>
      <c r="C631" s="12"/>
      <c r="D631" s="12"/>
      <c r="E631" s="12"/>
      <c r="F631" s="12"/>
      <c r="G631" s="18"/>
      <c r="H631" s="35"/>
      <c r="I631" s="12"/>
      <c r="M631" s="12"/>
      <c r="N631" s="18"/>
      <c r="O631" s="12"/>
      <c r="P631" s="12"/>
      <c r="Q631" s="12"/>
      <c r="R631" s="36"/>
      <c r="S631" s="36"/>
      <c r="T631" s="12"/>
      <c r="U631" s="12"/>
      <c r="V631" s="12"/>
      <c r="W631" s="12"/>
      <c r="X631" s="12"/>
    </row>
    <row r="632" customFormat="false" ht="15.75" hidden="false" customHeight="false" outlineLevel="0" collapsed="false">
      <c r="A632" s="12"/>
      <c r="B632" s="34"/>
      <c r="C632" s="12"/>
      <c r="D632" s="12"/>
      <c r="E632" s="12"/>
      <c r="F632" s="12"/>
      <c r="G632" s="18"/>
      <c r="H632" s="35"/>
      <c r="I632" s="12"/>
      <c r="M632" s="12"/>
      <c r="N632" s="18"/>
      <c r="O632" s="12"/>
      <c r="P632" s="12"/>
      <c r="Q632" s="12"/>
      <c r="R632" s="36"/>
      <c r="S632" s="36"/>
      <c r="T632" s="12"/>
      <c r="U632" s="12"/>
      <c r="V632" s="12"/>
      <c r="W632" s="12"/>
      <c r="X632" s="12"/>
    </row>
    <row r="633" customFormat="false" ht="15.75" hidden="false" customHeight="false" outlineLevel="0" collapsed="false">
      <c r="A633" s="12"/>
      <c r="B633" s="34"/>
      <c r="C633" s="12"/>
      <c r="D633" s="12"/>
      <c r="E633" s="12"/>
      <c r="F633" s="12"/>
      <c r="G633" s="18"/>
      <c r="H633" s="35"/>
      <c r="I633" s="12"/>
      <c r="M633" s="12"/>
      <c r="N633" s="18"/>
      <c r="O633" s="12"/>
      <c r="P633" s="12"/>
      <c r="Q633" s="12"/>
      <c r="R633" s="36"/>
      <c r="S633" s="36"/>
      <c r="T633" s="12"/>
      <c r="U633" s="12"/>
      <c r="V633" s="12"/>
      <c r="W633" s="12"/>
      <c r="X633" s="12"/>
    </row>
    <row r="634" customFormat="false" ht="15.75" hidden="false" customHeight="false" outlineLevel="0" collapsed="false">
      <c r="A634" s="12"/>
      <c r="B634" s="34"/>
      <c r="C634" s="12"/>
      <c r="D634" s="12"/>
      <c r="E634" s="12"/>
      <c r="F634" s="12"/>
      <c r="G634" s="18"/>
      <c r="H634" s="35"/>
      <c r="I634" s="12"/>
      <c r="M634" s="12"/>
      <c r="N634" s="18"/>
      <c r="O634" s="12"/>
      <c r="P634" s="12"/>
      <c r="Q634" s="12"/>
      <c r="R634" s="36"/>
      <c r="S634" s="36"/>
      <c r="T634" s="12"/>
      <c r="U634" s="12"/>
      <c r="V634" s="12"/>
      <c r="W634" s="12"/>
      <c r="X634" s="12"/>
    </row>
    <row r="635" customFormat="false" ht="15.75" hidden="false" customHeight="false" outlineLevel="0" collapsed="false">
      <c r="A635" s="12"/>
      <c r="B635" s="34"/>
      <c r="C635" s="12"/>
      <c r="D635" s="12"/>
      <c r="E635" s="12"/>
      <c r="F635" s="12"/>
      <c r="G635" s="18"/>
      <c r="H635" s="35"/>
      <c r="I635" s="12"/>
      <c r="M635" s="12"/>
      <c r="N635" s="18"/>
      <c r="O635" s="12"/>
      <c r="P635" s="12"/>
      <c r="Q635" s="12"/>
      <c r="R635" s="36"/>
      <c r="S635" s="36"/>
      <c r="T635" s="12"/>
      <c r="U635" s="12"/>
      <c r="V635" s="12"/>
      <c r="W635" s="12"/>
      <c r="X635" s="12"/>
    </row>
    <row r="636" customFormat="false" ht="15.75" hidden="false" customHeight="false" outlineLevel="0" collapsed="false">
      <c r="A636" s="12"/>
      <c r="B636" s="34"/>
      <c r="C636" s="12"/>
      <c r="D636" s="12"/>
      <c r="E636" s="12"/>
      <c r="F636" s="12"/>
      <c r="G636" s="18"/>
      <c r="H636" s="35"/>
      <c r="I636" s="12"/>
      <c r="M636" s="12"/>
      <c r="N636" s="18"/>
      <c r="O636" s="12"/>
      <c r="P636" s="12"/>
      <c r="Q636" s="12"/>
      <c r="R636" s="36"/>
      <c r="S636" s="36"/>
      <c r="T636" s="12"/>
      <c r="U636" s="12"/>
      <c r="V636" s="12"/>
      <c r="W636" s="12"/>
      <c r="X636" s="12"/>
    </row>
    <row r="637" customFormat="false" ht="15.75" hidden="false" customHeight="false" outlineLevel="0" collapsed="false">
      <c r="A637" s="12"/>
      <c r="B637" s="34"/>
      <c r="C637" s="12"/>
      <c r="D637" s="12"/>
      <c r="E637" s="12"/>
      <c r="F637" s="12"/>
      <c r="G637" s="18"/>
      <c r="H637" s="35"/>
      <c r="I637" s="12"/>
      <c r="M637" s="12"/>
      <c r="N637" s="18"/>
      <c r="O637" s="12"/>
      <c r="P637" s="12"/>
      <c r="Q637" s="12"/>
      <c r="R637" s="36"/>
      <c r="S637" s="36"/>
      <c r="T637" s="12"/>
      <c r="U637" s="12"/>
      <c r="V637" s="12"/>
      <c r="W637" s="12"/>
      <c r="X637" s="12"/>
    </row>
    <row r="638" customFormat="false" ht="15.75" hidden="false" customHeight="false" outlineLevel="0" collapsed="false">
      <c r="A638" s="12"/>
      <c r="B638" s="34"/>
      <c r="C638" s="12"/>
      <c r="D638" s="12"/>
      <c r="E638" s="12"/>
      <c r="F638" s="12"/>
      <c r="G638" s="18"/>
      <c r="H638" s="35"/>
      <c r="I638" s="12"/>
      <c r="M638" s="12"/>
      <c r="N638" s="18"/>
      <c r="O638" s="12"/>
      <c r="P638" s="12"/>
      <c r="Q638" s="12"/>
      <c r="R638" s="36"/>
      <c r="S638" s="36"/>
      <c r="T638" s="12"/>
      <c r="U638" s="12"/>
      <c r="V638" s="12"/>
      <c r="W638" s="12"/>
      <c r="X638" s="12"/>
    </row>
    <row r="639" customFormat="false" ht="15.75" hidden="false" customHeight="false" outlineLevel="0" collapsed="false">
      <c r="A639" s="12"/>
      <c r="B639" s="34"/>
      <c r="C639" s="12"/>
      <c r="D639" s="12"/>
      <c r="E639" s="12"/>
      <c r="F639" s="12"/>
      <c r="G639" s="18"/>
      <c r="H639" s="35"/>
      <c r="I639" s="12"/>
      <c r="M639" s="12"/>
      <c r="N639" s="18"/>
      <c r="O639" s="12"/>
      <c r="P639" s="12"/>
      <c r="Q639" s="12"/>
      <c r="R639" s="36"/>
      <c r="S639" s="36"/>
      <c r="T639" s="12"/>
      <c r="U639" s="12"/>
      <c r="V639" s="12"/>
      <c r="W639" s="12"/>
      <c r="X639" s="12"/>
    </row>
    <row r="640" customFormat="false" ht="15.75" hidden="false" customHeight="false" outlineLevel="0" collapsed="false">
      <c r="A640" s="12"/>
      <c r="B640" s="34"/>
      <c r="C640" s="12"/>
      <c r="D640" s="12"/>
      <c r="E640" s="12"/>
      <c r="F640" s="12"/>
      <c r="G640" s="18"/>
      <c r="H640" s="35"/>
      <c r="I640" s="12"/>
      <c r="M640" s="12"/>
      <c r="N640" s="18"/>
      <c r="O640" s="12"/>
      <c r="P640" s="12"/>
      <c r="Q640" s="12"/>
      <c r="R640" s="36"/>
      <c r="S640" s="36"/>
      <c r="T640" s="12"/>
      <c r="U640" s="12"/>
      <c r="V640" s="12"/>
      <c r="W640" s="12"/>
      <c r="X640" s="12"/>
    </row>
    <row r="641" customFormat="false" ht="15.75" hidden="false" customHeight="false" outlineLevel="0" collapsed="false">
      <c r="A641" s="12"/>
      <c r="B641" s="34"/>
      <c r="C641" s="12"/>
      <c r="D641" s="12"/>
      <c r="E641" s="12"/>
      <c r="F641" s="12"/>
      <c r="G641" s="18"/>
      <c r="H641" s="35"/>
      <c r="I641" s="12"/>
      <c r="M641" s="12"/>
      <c r="N641" s="18"/>
      <c r="O641" s="12"/>
      <c r="P641" s="12"/>
      <c r="Q641" s="12"/>
      <c r="R641" s="36"/>
      <c r="S641" s="36"/>
      <c r="T641" s="12"/>
      <c r="U641" s="12"/>
      <c r="V641" s="12"/>
      <c r="W641" s="12"/>
      <c r="X641" s="12"/>
    </row>
    <row r="642" customFormat="false" ht="15.75" hidden="false" customHeight="false" outlineLevel="0" collapsed="false">
      <c r="A642" s="12"/>
      <c r="B642" s="34"/>
      <c r="C642" s="12"/>
      <c r="D642" s="12"/>
      <c r="E642" s="12"/>
      <c r="F642" s="12"/>
      <c r="G642" s="18"/>
      <c r="H642" s="35"/>
      <c r="I642" s="12"/>
      <c r="M642" s="12"/>
      <c r="N642" s="18"/>
      <c r="O642" s="12"/>
      <c r="P642" s="12"/>
      <c r="Q642" s="12"/>
      <c r="R642" s="36"/>
      <c r="S642" s="36"/>
      <c r="T642" s="12"/>
      <c r="U642" s="12"/>
      <c r="V642" s="12"/>
      <c r="W642" s="12"/>
      <c r="X642" s="12"/>
    </row>
    <row r="643" customFormat="false" ht="15.75" hidden="false" customHeight="false" outlineLevel="0" collapsed="false">
      <c r="A643" s="12"/>
      <c r="B643" s="34"/>
      <c r="C643" s="12"/>
      <c r="D643" s="12"/>
      <c r="E643" s="12"/>
      <c r="F643" s="12"/>
      <c r="G643" s="18"/>
      <c r="H643" s="35"/>
      <c r="I643" s="12"/>
      <c r="M643" s="12"/>
      <c r="N643" s="18"/>
      <c r="O643" s="12"/>
      <c r="P643" s="12"/>
      <c r="Q643" s="12"/>
      <c r="R643" s="36"/>
      <c r="S643" s="36"/>
      <c r="T643" s="12"/>
      <c r="U643" s="12"/>
      <c r="V643" s="12"/>
      <c r="W643" s="12"/>
      <c r="X643" s="12"/>
    </row>
    <row r="644" customFormat="false" ht="15.75" hidden="false" customHeight="false" outlineLevel="0" collapsed="false">
      <c r="A644" s="12"/>
      <c r="B644" s="34"/>
      <c r="C644" s="12"/>
      <c r="D644" s="12"/>
      <c r="E644" s="12"/>
      <c r="F644" s="12"/>
      <c r="G644" s="18"/>
      <c r="H644" s="35"/>
      <c r="I644" s="12"/>
      <c r="M644" s="12"/>
      <c r="N644" s="18"/>
      <c r="O644" s="12"/>
      <c r="P644" s="12"/>
      <c r="Q644" s="12"/>
      <c r="R644" s="36"/>
      <c r="S644" s="36"/>
      <c r="T644" s="12"/>
      <c r="U644" s="12"/>
      <c r="V644" s="12"/>
      <c r="W644" s="12"/>
      <c r="X644" s="12"/>
    </row>
    <row r="645" customFormat="false" ht="15.75" hidden="false" customHeight="false" outlineLevel="0" collapsed="false">
      <c r="A645" s="12"/>
      <c r="B645" s="34"/>
      <c r="C645" s="12"/>
      <c r="D645" s="12"/>
      <c r="E645" s="12"/>
      <c r="F645" s="12"/>
      <c r="G645" s="18"/>
      <c r="H645" s="35"/>
      <c r="I645" s="12"/>
      <c r="M645" s="12"/>
      <c r="N645" s="18"/>
      <c r="O645" s="12"/>
      <c r="P645" s="12"/>
      <c r="Q645" s="12"/>
      <c r="R645" s="36"/>
      <c r="S645" s="36"/>
      <c r="T645" s="12"/>
      <c r="U645" s="12"/>
      <c r="V645" s="12"/>
      <c r="W645" s="12"/>
      <c r="X645" s="12"/>
    </row>
    <row r="646" customFormat="false" ht="15.75" hidden="false" customHeight="false" outlineLevel="0" collapsed="false">
      <c r="A646" s="12"/>
      <c r="B646" s="34"/>
      <c r="C646" s="12"/>
      <c r="D646" s="12"/>
      <c r="E646" s="12"/>
      <c r="F646" s="12"/>
      <c r="G646" s="18"/>
      <c r="H646" s="35"/>
      <c r="I646" s="12"/>
      <c r="M646" s="12"/>
      <c r="N646" s="18"/>
      <c r="O646" s="12"/>
      <c r="P646" s="12"/>
      <c r="Q646" s="12"/>
      <c r="R646" s="36"/>
      <c r="S646" s="36"/>
      <c r="T646" s="12"/>
      <c r="U646" s="12"/>
      <c r="V646" s="12"/>
      <c r="W646" s="12"/>
      <c r="X646" s="12"/>
    </row>
    <row r="647" customFormat="false" ht="15.75" hidden="false" customHeight="false" outlineLevel="0" collapsed="false">
      <c r="A647" s="12"/>
      <c r="B647" s="34"/>
      <c r="C647" s="12"/>
      <c r="D647" s="12"/>
      <c r="E647" s="12"/>
      <c r="F647" s="12"/>
      <c r="G647" s="18"/>
      <c r="H647" s="35"/>
      <c r="I647" s="12"/>
      <c r="M647" s="12"/>
      <c r="N647" s="18"/>
      <c r="O647" s="12"/>
      <c r="P647" s="12"/>
      <c r="Q647" s="12"/>
      <c r="R647" s="36"/>
      <c r="S647" s="36"/>
      <c r="T647" s="12"/>
      <c r="U647" s="12"/>
      <c r="V647" s="12"/>
      <c r="W647" s="12"/>
      <c r="X647" s="12"/>
    </row>
    <row r="648" customFormat="false" ht="15.75" hidden="false" customHeight="false" outlineLevel="0" collapsed="false">
      <c r="A648" s="12"/>
      <c r="B648" s="34"/>
      <c r="C648" s="12"/>
      <c r="D648" s="12"/>
      <c r="E648" s="12"/>
      <c r="F648" s="12"/>
      <c r="G648" s="18"/>
      <c r="H648" s="35"/>
      <c r="I648" s="12"/>
      <c r="M648" s="12"/>
      <c r="N648" s="18"/>
      <c r="O648" s="12"/>
      <c r="P648" s="12"/>
      <c r="Q648" s="12"/>
      <c r="R648" s="36"/>
      <c r="S648" s="36"/>
      <c r="T648" s="12"/>
      <c r="U648" s="12"/>
      <c r="V648" s="12"/>
      <c r="W648" s="12"/>
      <c r="X648" s="12"/>
    </row>
    <row r="649" customFormat="false" ht="15.75" hidden="false" customHeight="false" outlineLevel="0" collapsed="false">
      <c r="A649" s="12"/>
      <c r="B649" s="34"/>
      <c r="C649" s="12"/>
      <c r="D649" s="12"/>
      <c r="E649" s="12"/>
      <c r="F649" s="12"/>
      <c r="G649" s="18"/>
      <c r="H649" s="35"/>
      <c r="I649" s="12"/>
      <c r="M649" s="12"/>
      <c r="N649" s="18"/>
      <c r="O649" s="12"/>
      <c r="P649" s="12"/>
      <c r="Q649" s="12"/>
      <c r="R649" s="36"/>
      <c r="S649" s="36"/>
      <c r="T649" s="12"/>
      <c r="U649" s="12"/>
      <c r="V649" s="12"/>
      <c r="W649" s="12"/>
      <c r="X649" s="12"/>
    </row>
    <row r="650" customFormat="false" ht="15.75" hidden="false" customHeight="false" outlineLevel="0" collapsed="false">
      <c r="A650" s="12"/>
      <c r="B650" s="34"/>
      <c r="C650" s="12"/>
      <c r="D650" s="12"/>
      <c r="E650" s="12"/>
      <c r="F650" s="12"/>
      <c r="G650" s="18"/>
      <c r="H650" s="35"/>
      <c r="I650" s="12"/>
      <c r="M650" s="12"/>
      <c r="N650" s="18"/>
      <c r="O650" s="12"/>
      <c r="P650" s="12"/>
      <c r="Q650" s="12"/>
      <c r="R650" s="36"/>
      <c r="S650" s="36"/>
      <c r="T650" s="12"/>
      <c r="U650" s="12"/>
      <c r="V650" s="12"/>
      <c r="W650" s="12"/>
      <c r="X650" s="12"/>
    </row>
    <row r="651" customFormat="false" ht="15.75" hidden="false" customHeight="false" outlineLevel="0" collapsed="false">
      <c r="A651" s="12"/>
      <c r="B651" s="34"/>
      <c r="C651" s="12"/>
      <c r="D651" s="12"/>
      <c r="E651" s="12"/>
      <c r="F651" s="12"/>
      <c r="G651" s="18"/>
      <c r="H651" s="35"/>
      <c r="I651" s="12"/>
      <c r="M651" s="12"/>
      <c r="N651" s="18"/>
      <c r="O651" s="12"/>
      <c r="P651" s="12"/>
      <c r="Q651" s="12"/>
      <c r="R651" s="36"/>
      <c r="S651" s="36"/>
      <c r="T651" s="12"/>
      <c r="U651" s="12"/>
      <c r="V651" s="12"/>
      <c r="W651" s="12"/>
      <c r="X651" s="12"/>
    </row>
    <row r="652" customFormat="false" ht="15.75" hidden="false" customHeight="false" outlineLevel="0" collapsed="false">
      <c r="A652" s="12"/>
      <c r="B652" s="34"/>
      <c r="C652" s="12"/>
      <c r="D652" s="12"/>
      <c r="E652" s="12"/>
      <c r="F652" s="12"/>
      <c r="G652" s="18"/>
      <c r="H652" s="35"/>
      <c r="I652" s="12"/>
      <c r="M652" s="12"/>
      <c r="N652" s="18"/>
      <c r="O652" s="12"/>
      <c r="P652" s="12"/>
      <c r="Q652" s="12"/>
      <c r="R652" s="36"/>
      <c r="S652" s="36"/>
      <c r="T652" s="12"/>
      <c r="U652" s="12"/>
      <c r="V652" s="12"/>
      <c r="W652" s="12"/>
      <c r="X652" s="12"/>
    </row>
    <row r="653" customFormat="false" ht="15.75" hidden="false" customHeight="false" outlineLevel="0" collapsed="false">
      <c r="A653" s="12"/>
      <c r="B653" s="34"/>
      <c r="C653" s="12"/>
      <c r="D653" s="12"/>
      <c r="E653" s="12"/>
      <c r="F653" s="12"/>
      <c r="G653" s="18"/>
      <c r="H653" s="35"/>
      <c r="I653" s="12"/>
      <c r="M653" s="12"/>
      <c r="N653" s="18"/>
      <c r="O653" s="12"/>
      <c r="P653" s="12"/>
      <c r="Q653" s="12"/>
      <c r="R653" s="36"/>
      <c r="S653" s="36"/>
      <c r="T653" s="12"/>
      <c r="U653" s="12"/>
      <c r="V653" s="12"/>
      <c r="W653" s="12"/>
      <c r="X653" s="12"/>
    </row>
    <row r="654" customFormat="false" ht="15.75" hidden="false" customHeight="false" outlineLevel="0" collapsed="false">
      <c r="A654" s="12"/>
      <c r="B654" s="34"/>
      <c r="C654" s="12"/>
      <c r="D654" s="12"/>
      <c r="E654" s="12"/>
      <c r="F654" s="12"/>
      <c r="G654" s="18"/>
      <c r="H654" s="35"/>
      <c r="I654" s="12"/>
      <c r="M654" s="12"/>
      <c r="N654" s="18"/>
      <c r="O654" s="12"/>
      <c r="P654" s="12"/>
      <c r="Q654" s="12"/>
      <c r="R654" s="36"/>
      <c r="S654" s="36"/>
      <c r="T654" s="12"/>
      <c r="U654" s="12"/>
      <c r="V654" s="12"/>
      <c r="W654" s="12"/>
      <c r="X654" s="12"/>
    </row>
    <row r="655" customFormat="false" ht="15.75" hidden="false" customHeight="false" outlineLevel="0" collapsed="false">
      <c r="A655" s="12"/>
      <c r="B655" s="34"/>
      <c r="C655" s="12"/>
      <c r="D655" s="12"/>
      <c r="E655" s="12"/>
      <c r="F655" s="12"/>
      <c r="G655" s="18"/>
      <c r="H655" s="35"/>
      <c r="I655" s="12"/>
      <c r="M655" s="12"/>
      <c r="N655" s="18"/>
      <c r="O655" s="12"/>
      <c r="P655" s="12"/>
      <c r="Q655" s="12"/>
      <c r="R655" s="36"/>
      <c r="S655" s="36"/>
      <c r="T655" s="12"/>
      <c r="U655" s="12"/>
      <c r="V655" s="12"/>
      <c r="W655" s="12"/>
      <c r="X655" s="12"/>
    </row>
    <row r="656" customFormat="false" ht="15.75" hidden="false" customHeight="false" outlineLevel="0" collapsed="false">
      <c r="A656" s="12"/>
      <c r="B656" s="34"/>
      <c r="C656" s="12"/>
      <c r="D656" s="12"/>
      <c r="E656" s="12"/>
      <c r="F656" s="12"/>
      <c r="G656" s="18"/>
      <c r="H656" s="35"/>
      <c r="I656" s="12"/>
      <c r="M656" s="12"/>
      <c r="N656" s="18"/>
      <c r="O656" s="12"/>
      <c r="P656" s="12"/>
      <c r="Q656" s="12"/>
      <c r="R656" s="36"/>
      <c r="S656" s="36"/>
      <c r="T656" s="12"/>
      <c r="U656" s="12"/>
      <c r="V656" s="12"/>
      <c r="W656" s="12"/>
      <c r="X656" s="12"/>
    </row>
    <row r="657" customFormat="false" ht="15.75" hidden="false" customHeight="false" outlineLevel="0" collapsed="false">
      <c r="A657" s="12"/>
      <c r="B657" s="34"/>
      <c r="C657" s="12"/>
      <c r="D657" s="12"/>
      <c r="E657" s="12"/>
      <c r="F657" s="12"/>
      <c r="G657" s="18"/>
      <c r="H657" s="35"/>
      <c r="I657" s="12"/>
      <c r="M657" s="12"/>
      <c r="N657" s="18"/>
      <c r="O657" s="12"/>
      <c r="P657" s="12"/>
      <c r="Q657" s="12"/>
      <c r="R657" s="36"/>
      <c r="S657" s="36"/>
      <c r="T657" s="12"/>
      <c r="U657" s="12"/>
      <c r="V657" s="12"/>
      <c r="W657" s="12"/>
      <c r="X657" s="12"/>
    </row>
    <row r="658" customFormat="false" ht="15.75" hidden="false" customHeight="false" outlineLevel="0" collapsed="false">
      <c r="A658" s="12"/>
      <c r="B658" s="34"/>
      <c r="C658" s="12"/>
      <c r="D658" s="12"/>
      <c r="E658" s="12"/>
      <c r="F658" s="12"/>
      <c r="G658" s="18"/>
      <c r="H658" s="35"/>
      <c r="I658" s="12"/>
      <c r="M658" s="12"/>
      <c r="N658" s="18"/>
      <c r="O658" s="12"/>
      <c r="P658" s="12"/>
      <c r="Q658" s="12"/>
      <c r="R658" s="36"/>
      <c r="S658" s="36"/>
      <c r="T658" s="12"/>
      <c r="U658" s="12"/>
      <c r="V658" s="12"/>
      <c r="W658" s="12"/>
      <c r="X658" s="12"/>
    </row>
    <row r="659" customFormat="false" ht="15.75" hidden="false" customHeight="false" outlineLevel="0" collapsed="false">
      <c r="A659" s="12"/>
      <c r="B659" s="34"/>
      <c r="C659" s="12"/>
      <c r="D659" s="12"/>
      <c r="E659" s="12"/>
      <c r="F659" s="12"/>
      <c r="G659" s="18"/>
      <c r="H659" s="35"/>
      <c r="I659" s="12"/>
      <c r="M659" s="12"/>
      <c r="N659" s="18"/>
      <c r="O659" s="12"/>
      <c r="P659" s="12"/>
      <c r="Q659" s="12"/>
      <c r="R659" s="36"/>
      <c r="S659" s="36"/>
      <c r="T659" s="12"/>
      <c r="U659" s="12"/>
      <c r="V659" s="12"/>
      <c r="W659" s="12"/>
      <c r="X659" s="12"/>
    </row>
    <row r="660" customFormat="false" ht="15.75" hidden="false" customHeight="false" outlineLevel="0" collapsed="false">
      <c r="A660" s="12"/>
      <c r="B660" s="34"/>
      <c r="C660" s="12"/>
      <c r="D660" s="12"/>
      <c r="E660" s="12"/>
      <c r="F660" s="12"/>
      <c r="G660" s="18"/>
      <c r="H660" s="35"/>
      <c r="I660" s="12"/>
      <c r="M660" s="12"/>
      <c r="N660" s="18"/>
      <c r="O660" s="12"/>
      <c r="P660" s="12"/>
      <c r="Q660" s="12"/>
      <c r="R660" s="36"/>
      <c r="S660" s="36"/>
      <c r="T660" s="12"/>
      <c r="U660" s="12"/>
      <c r="V660" s="12"/>
      <c r="W660" s="12"/>
      <c r="X660" s="12"/>
    </row>
    <row r="661" customFormat="false" ht="15.75" hidden="false" customHeight="false" outlineLevel="0" collapsed="false">
      <c r="A661" s="12"/>
      <c r="B661" s="34"/>
      <c r="C661" s="12"/>
      <c r="D661" s="12"/>
      <c r="E661" s="12"/>
      <c r="F661" s="12"/>
      <c r="G661" s="18"/>
      <c r="H661" s="35"/>
      <c r="I661" s="12"/>
      <c r="M661" s="12"/>
      <c r="N661" s="18"/>
      <c r="O661" s="12"/>
      <c r="P661" s="12"/>
      <c r="Q661" s="12"/>
      <c r="R661" s="36"/>
      <c r="S661" s="36"/>
      <c r="T661" s="12"/>
      <c r="U661" s="12"/>
      <c r="V661" s="12"/>
      <c r="W661" s="12"/>
      <c r="X661" s="12"/>
    </row>
    <row r="662" customFormat="false" ht="15.75" hidden="false" customHeight="false" outlineLevel="0" collapsed="false">
      <c r="A662" s="12"/>
      <c r="B662" s="34"/>
      <c r="C662" s="12"/>
      <c r="D662" s="12"/>
      <c r="E662" s="12"/>
      <c r="F662" s="12"/>
      <c r="G662" s="18"/>
      <c r="H662" s="35"/>
      <c r="I662" s="12"/>
      <c r="M662" s="12"/>
      <c r="N662" s="18"/>
      <c r="O662" s="12"/>
      <c r="P662" s="12"/>
      <c r="Q662" s="12"/>
      <c r="R662" s="36"/>
      <c r="S662" s="36"/>
      <c r="T662" s="12"/>
      <c r="U662" s="12"/>
      <c r="V662" s="12"/>
      <c r="W662" s="12"/>
      <c r="X662" s="12"/>
    </row>
    <row r="663" customFormat="false" ht="15.75" hidden="false" customHeight="false" outlineLevel="0" collapsed="false">
      <c r="A663" s="12"/>
      <c r="B663" s="34"/>
      <c r="C663" s="12"/>
      <c r="D663" s="12"/>
      <c r="E663" s="12"/>
      <c r="F663" s="12"/>
      <c r="G663" s="18"/>
      <c r="H663" s="35"/>
      <c r="I663" s="12"/>
      <c r="M663" s="12"/>
      <c r="N663" s="18"/>
      <c r="O663" s="12"/>
      <c r="P663" s="12"/>
      <c r="Q663" s="12"/>
      <c r="R663" s="36"/>
      <c r="S663" s="36"/>
      <c r="T663" s="12"/>
      <c r="U663" s="12"/>
      <c r="V663" s="12"/>
      <c r="W663" s="12"/>
      <c r="X663" s="12"/>
    </row>
    <row r="664" customFormat="false" ht="15.75" hidden="false" customHeight="false" outlineLevel="0" collapsed="false">
      <c r="A664" s="12"/>
      <c r="B664" s="34"/>
      <c r="C664" s="12"/>
      <c r="D664" s="12"/>
      <c r="E664" s="12"/>
      <c r="F664" s="12"/>
      <c r="G664" s="18"/>
      <c r="H664" s="35"/>
      <c r="I664" s="12"/>
      <c r="M664" s="12"/>
      <c r="N664" s="18"/>
      <c r="O664" s="12"/>
      <c r="P664" s="12"/>
      <c r="Q664" s="12"/>
      <c r="R664" s="36"/>
      <c r="S664" s="36"/>
      <c r="T664" s="12"/>
      <c r="U664" s="12"/>
      <c r="V664" s="12"/>
      <c r="W664" s="12"/>
      <c r="X664" s="12"/>
    </row>
    <row r="665" customFormat="false" ht="15.75" hidden="false" customHeight="false" outlineLevel="0" collapsed="false">
      <c r="A665" s="12"/>
      <c r="B665" s="34"/>
      <c r="C665" s="12"/>
      <c r="D665" s="12"/>
      <c r="E665" s="12"/>
      <c r="F665" s="12"/>
      <c r="G665" s="18"/>
      <c r="H665" s="35"/>
      <c r="I665" s="12"/>
      <c r="M665" s="12"/>
      <c r="N665" s="18"/>
      <c r="O665" s="12"/>
      <c r="P665" s="12"/>
      <c r="Q665" s="12"/>
      <c r="R665" s="36"/>
      <c r="S665" s="36"/>
      <c r="T665" s="12"/>
      <c r="U665" s="12"/>
      <c r="V665" s="12"/>
      <c r="W665" s="12"/>
      <c r="X665" s="12"/>
    </row>
    <row r="666" customFormat="false" ht="15.75" hidden="false" customHeight="false" outlineLevel="0" collapsed="false">
      <c r="A666" s="12"/>
      <c r="B666" s="34"/>
      <c r="C666" s="12"/>
      <c r="D666" s="12"/>
      <c r="E666" s="12"/>
      <c r="F666" s="12"/>
      <c r="G666" s="18"/>
      <c r="H666" s="35"/>
      <c r="I666" s="12"/>
      <c r="M666" s="12"/>
      <c r="N666" s="18"/>
      <c r="O666" s="12"/>
      <c r="P666" s="12"/>
      <c r="Q666" s="12"/>
      <c r="R666" s="36"/>
      <c r="S666" s="36"/>
      <c r="T666" s="12"/>
      <c r="U666" s="12"/>
      <c r="V666" s="12"/>
      <c r="W666" s="12"/>
      <c r="X666" s="12"/>
    </row>
    <row r="667" customFormat="false" ht="15.75" hidden="false" customHeight="false" outlineLevel="0" collapsed="false">
      <c r="A667" s="12"/>
      <c r="B667" s="34"/>
      <c r="C667" s="12"/>
      <c r="D667" s="12"/>
      <c r="E667" s="12"/>
      <c r="F667" s="12"/>
      <c r="G667" s="18"/>
      <c r="H667" s="35"/>
      <c r="I667" s="12"/>
      <c r="M667" s="12"/>
      <c r="N667" s="18"/>
      <c r="O667" s="12"/>
      <c r="P667" s="12"/>
      <c r="Q667" s="12"/>
      <c r="R667" s="36"/>
      <c r="S667" s="36"/>
      <c r="T667" s="12"/>
      <c r="U667" s="12"/>
      <c r="V667" s="12"/>
      <c r="W667" s="12"/>
      <c r="X667" s="12"/>
    </row>
    <row r="668" customFormat="false" ht="15.75" hidden="false" customHeight="false" outlineLevel="0" collapsed="false">
      <c r="A668" s="12"/>
      <c r="B668" s="34"/>
      <c r="C668" s="12"/>
      <c r="D668" s="12"/>
      <c r="E668" s="12"/>
      <c r="F668" s="12"/>
      <c r="G668" s="18"/>
      <c r="H668" s="35"/>
      <c r="I668" s="12"/>
      <c r="M668" s="12"/>
      <c r="N668" s="18"/>
      <c r="O668" s="12"/>
      <c r="P668" s="12"/>
      <c r="Q668" s="12"/>
      <c r="R668" s="36"/>
      <c r="S668" s="36"/>
      <c r="T668" s="12"/>
      <c r="U668" s="12"/>
      <c r="V668" s="12"/>
      <c r="W668" s="12"/>
      <c r="X668" s="12"/>
    </row>
    <row r="669" customFormat="false" ht="15.75" hidden="false" customHeight="false" outlineLevel="0" collapsed="false">
      <c r="A669" s="12"/>
      <c r="B669" s="34"/>
      <c r="C669" s="12"/>
      <c r="D669" s="12"/>
      <c r="E669" s="12"/>
      <c r="F669" s="12"/>
      <c r="G669" s="18"/>
      <c r="H669" s="35"/>
      <c r="I669" s="12"/>
      <c r="M669" s="12"/>
      <c r="N669" s="18"/>
      <c r="O669" s="12"/>
      <c r="P669" s="12"/>
      <c r="Q669" s="12"/>
      <c r="R669" s="36"/>
      <c r="S669" s="36"/>
      <c r="T669" s="12"/>
      <c r="U669" s="12"/>
      <c r="V669" s="12"/>
      <c r="W669" s="12"/>
      <c r="X669" s="12"/>
    </row>
    <row r="670" customFormat="false" ht="15.75" hidden="false" customHeight="false" outlineLevel="0" collapsed="false">
      <c r="A670" s="12"/>
      <c r="B670" s="34"/>
      <c r="C670" s="12"/>
      <c r="D670" s="12"/>
      <c r="E670" s="12"/>
      <c r="F670" s="12"/>
      <c r="G670" s="18"/>
      <c r="H670" s="35"/>
      <c r="I670" s="12"/>
      <c r="M670" s="12"/>
      <c r="N670" s="18"/>
      <c r="O670" s="12"/>
      <c r="P670" s="12"/>
      <c r="Q670" s="12"/>
      <c r="R670" s="36"/>
      <c r="S670" s="36"/>
      <c r="T670" s="12"/>
      <c r="U670" s="12"/>
      <c r="V670" s="12"/>
      <c r="W670" s="12"/>
      <c r="X670" s="12"/>
    </row>
    <row r="671" customFormat="false" ht="15.75" hidden="false" customHeight="false" outlineLevel="0" collapsed="false">
      <c r="A671" s="12"/>
      <c r="B671" s="34"/>
      <c r="C671" s="12"/>
      <c r="D671" s="12"/>
      <c r="E671" s="12"/>
      <c r="F671" s="12"/>
      <c r="G671" s="18"/>
      <c r="H671" s="35"/>
      <c r="I671" s="12"/>
      <c r="M671" s="12"/>
      <c r="N671" s="18"/>
      <c r="O671" s="12"/>
      <c r="P671" s="12"/>
      <c r="Q671" s="12"/>
      <c r="R671" s="36"/>
      <c r="S671" s="36"/>
      <c r="T671" s="12"/>
      <c r="U671" s="12"/>
      <c r="V671" s="12"/>
      <c r="W671" s="12"/>
      <c r="X671" s="12"/>
    </row>
    <row r="672" customFormat="false" ht="15.75" hidden="false" customHeight="false" outlineLevel="0" collapsed="false">
      <c r="A672" s="12"/>
      <c r="B672" s="34"/>
      <c r="C672" s="12"/>
      <c r="D672" s="12"/>
      <c r="E672" s="12"/>
      <c r="F672" s="12"/>
      <c r="G672" s="18"/>
      <c r="H672" s="35"/>
      <c r="I672" s="12"/>
      <c r="M672" s="12"/>
      <c r="N672" s="18"/>
      <c r="O672" s="12"/>
      <c r="P672" s="12"/>
      <c r="Q672" s="12"/>
      <c r="R672" s="36"/>
      <c r="S672" s="36"/>
      <c r="T672" s="12"/>
      <c r="U672" s="12"/>
      <c r="V672" s="12"/>
      <c r="W672" s="12"/>
      <c r="X672" s="12"/>
    </row>
    <row r="673" customFormat="false" ht="15.75" hidden="false" customHeight="false" outlineLevel="0" collapsed="false">
      <c r="A673" s="12"/>
      <c r="B673" s="34"/>
      <c r="C673" s="12"/>
      <c r="D673" s="12"/>
      <c r="E673" s="12"/>
      <c r="F673" s="12"/>
      <c r="G673" s="18"/>
      <c r="H673" s="35"/>
      <c r="I673" s="12"/>
      <c r="M673" s="12"/>
      <c r="N673" s="18"/>
      <c r="O673" s="12"/>
      <c r="P673" s="12"/>
      <c r="Q673" s="12"/>
      <c r="R673" s="36"/>
      <c r="S673" s="36"/>
      <c r="T673" s="12"/>
      <c r="U673" s="12"/>
      <c r="V673" s="12"/>
      <c r="W673" s="12"/>
      <c r="X673" s="12"/>
    </row>
    <row r="674" customFormat="false" ht="15.75" hidden="false" customHeight="false" outlineLevel="0" collapsed="false">
      <c r="A674" s="12"/>
      <c r="B674" s="34"/>
      <c r="C674" s="12"/>
      <c r="D674" s="12"/>
      <c r="E674" s="12"/>
      <c r="F674" s="12"/>
      <c r="G674" s="18"/>
      <c r="H674" s="35"/>
      <c r="I674" s="12"/>
      <c r="M674" s="12"/>
      <c r="N674" s="18"/>
      <c r="O674" s="12"/>
      <c r="P674" s="12"/>
      <c r="Q674" s="12"/>
      <c r="R674" s="36"/>
      <c r="S674" s="36"/>
      <c r="T674" s="12"/>
      <c r="U674" s="12"/>
      <c r="V674" s="12"/>
      <c r="W674" s="12"/>
      <c r="X674" s="12"/>
    </row>
    <row r="675" customFormat="false" ht="15.75" hidden="false" customHeight="false" outlineLevel="0" collapsed="false">
      <c r="A675" s="12"/>
      <c r="B675" s="34"/>
      <c r="C675" s="12"/>
      <c r="D675" s="12"/>
      <c r="E675" s="12"/>
      <c r="F675" s="12"/>
      <c r="G675" s="18"/>
      <c r="H675" s="35"/>
      <c r="I675" s="12"/>
      <c r="M675" s="12"/>
      <c r="N675" s="18"/>
      <c r="O675" s="12"/>
      <c r="P675" s="12"/>
      <c r="Q675" s="12"/>
      <c r="R675" s="36"/>
      <c r="S675" s="36"/>
      <c r="T675" s="12"/>
      <c r="U675" s="12"/>
      <c r="V675" s="12"/>
      <c r="W675" s="12"/>
      <c r="X675" s="12"/>
    </row>
    <row r="676" customFormat="false" ht="15.75" hidden="false" customHeight="false" outlineLevel="0" collapsed="false">
      <c r="A676" s="12"/>
      <c r="B676" s="34"/>
      <c r="C676" s="12"/>
      <c r="D676" s="12"/>
      <c r="E676" s="12"/>
      <c r="F676" s="12"/>
      <c r="G676" s="18"/>
      <c r="H676" s="35"/>
      <c r="I676" s="12"/>
      <c r="M676" s="12"/>
      <c r="N676" s="18"/>
      <c r="O676" s="12"/>
      <c r="P676" s="12"/>
      <c r="Q676" s="12"/>
      <c r="R676" s="36"/>
      <c r="S676" s="36"/>
      <c r="T676" s="12"/>
      <c r="U676" s="12"/>
      <c r="V676" s="12"/>
      <c r="W676" s="12"/>
      <c r="X676" s="12"/>
    </row>
    <row r="677" customFormat="false" ht="15.75" hidden="false" customHeight="false" outlineLevel="0" collapsed="false">
      <c r="A677" s="12"/>
      <c r="B677" s="34"/>
      <c r="C677" s="12"/>
      <c r="D677" s="12"/>
      <c r="E677" s="12"/>
      <c r="F677" s="12"/>
      <c r="G677" s="18"/>
      <c r="H677" s="35"/>
      <c r="I677" s="12"/>
      <c r="M677" s="12"/>
      <c r="N677" s="18"/>
      <c r="O677" s="12"/>
      <c r="P677" s="12"/>
      <c r="Q677" s="12"/>
      <c r="R677" s="36"/>
      <c r="S677" s="36"/>
      <c r="T677" s="12"/>
      <c r="U677" s="12"/>
      <c r="V677" s="12"/>
      <c r="W677" s="12"/>
      <c r="X677" s="12"/>
    </row>
    <row r="678" customFormat="false" ht="15.75" hidden="false" customHeight="false" outlineLevel="0" collapsed="false">
      <c r="A678" s="12"/>
      <c r="B678" s="34"/>
      <c r="C678" s="12"/>
      <c r="D678" s="12"/>
      <c r="E678" s="12"/>
      <c r="F678" s="12"/>
      <c r="G678" s="18"/>
      <c r="H678" s="35"/>
      <c r="I678" s="12"/>
      <c r="M678" s="12"/>
      <c r="N678" s="18"/>
      <c r="O678" s="12"/>
      <c r="P678" s="12"/>
      <c r="Q678" s="12"/>
      <c r="R678" s="36"/>
      <c r="S678" s="36"/>
      <c r="T678" s="12"/>
      <c r="U678" s="12"/>
      <c r="V678" s="12"/>
      <c r="W678" s="12"/>
      <c r="X678" s="12"/>
    </row>
    <row r="679" customFormat="false" ht="15.75" hidden="false" customHeight="false" outlineLevel="0" collapsed="false">
      <c r="A679" s="12"/>
      <c r="B679" s="34"/>
      <c r="C679" s="12"/>
      <c r="D679" s="12"/>
      <c r="E679" s="12"/>
      <c r="F679" s="12"/>
      <c r="G679" s="18"/>
      <c r="H679" s="35"/>
      <c r="I679" s="12"/>
      <c r="M679" s="12"/>
      <c r="N679" s="18"/>
      <c r="O679" s="12"/>
      <c r="P679" s="12"/>
      <c r="Q679" s="12"/>
      <c r="R679" s="36"/>
      <c r="S679" s="36"/>
      <c r="T679" s="12"/>
      <c r="U679" s="12"/>
      <c r="V679" s="12"/>
      <c r="W679" s="12"/>
      <c r="X679" s="12"/>
    </row>
    <row r="680" customFormat="false" ht="15.75" hidden="false" customHeight="false" outlineLevel="0" collapsed="false">
      <c r="A680" s="12"/>
      <c r="B680" s="34"/>
      <c r="C680" s="12"/>
      <c r="D680" s="12"/>
      <c r="E680" s="12"/>
      <c r="F680" s="12"/>
      <c r="G680" s="18"/>
      <c r="H680" s="35"/>
      <c r="I680" s="12"/>
      <c r="M680" s="12"/>
      <c r="N680" s="18"/>
      <c r="O680" s="12"/>
      <c r="P680" s="12"/>
      <c r="Q680" s="12"/>
      <c r="R680" s="36"/>
      <c r="S680" s="36"/>
      <c r="T680" s="12"/>
      <c r="U680" s="12"/>
      <c r="V680" s="12"/>
      <c r="W680" s="12"/>
      <c r="X680" s="12"/>
    </row>
    <row r="681" customFormat="false" ht="15.75" hidden="false" customHeight="false" outlineLevel="0" collapsed="false">
      <c r="A681" s="12"/>
      <c r="B681" s="34"/>
      <c r="C681" s="12"/>
      <c r="D681" s="12"/>
      <c r="E681" s="12"/>
      <c r="F681" s="12"/>
      <c r="G681" s="18"/>
      <c r="H681" s="35"/>
      <c r="I681" s="12"/>
      <c r="M681" s="12"/>
      <c r="N681" s="18"/>
      <c r="O681" s="12"/>
      <c r="P681" s="12"/>
      <c r="Q681" s="12"/>
      <c r="R681" s="36"/>
      <c r="S681" s="36"/>
      <c r="T681" s="12"/>
      <c r="U681" s="12"/>
      <c r="V681" s="12"/>
      <c r="W681" s="12"/>
      <c r="X681" s="12"/>
    </row>
    <row r="682" customFormat="false" ht="15.75" hidden="false" customHeight="false" outlineLevel="0" collapsed="false">
      <c r="A682" s="12"/>
      <c r="B682" s="34"/>
      <c r="C682" s="12"/>
      <c r="D682" s="12"/>
      <c r="E682" s="12"/>
      <c r="F682" s="12"/>
      <c r="G682" s="18"/>
      <c r="H682" s="35"/>
      <c r="I682" s="12"/>
      <c r="M682" s="12"/>
      <c r="N682" s="18"/>
      <c r="O682" s="12"/>
      <c r="P682" s="12"/>
      <c r="Q682" s="12"/>
      <c r="R682" s="36"/>
      <c r="S682" s="36"/>
      <c r="T682" s="12"/>
      <c r="U682" s="12"/>
      <c r="V682" s="12"/>
      <c r="W682" s="12"/>
      <c r="X682" s="12"/>
    </row>
    <row r="683" customFormat="false" ht="15.75" hidden="false" customHeight="false" outlineLevel="0" collapsed="false">
      <c r="A683" s="12"/>
      <c r="B683" s="34"/>
      <c r="C683" s="12"/>
      <c r="D683" s="12"/>
      <c r="E683" s="12"/>
      <c r="F683" s="12"/>
      <c r="G683" s="18"/>
      <c r="H683" s="35"/>
      <c r="I683" s="12"/>
      <c r="M683" s="12"/>
      <c r="N683" s="18"/>
      <c r="O683" s="12"/>
      <c r="P683" s="12"/>
      <c r="Q683" s="12"/>
      <c r="R683" s="36"/>
      <c r="S683" s="36"/>
      <c r="T683" s="12"/>
      <c r="U683" s="12"/>
      <c r="V683" s="12"/>
      <c r="W683" s="12"/>
      <c r="X683" s="12"/>
    </row>
    <row r="684" customFormat="false" ht="15.75" hidden="false" customHeight="false" outlineLevel="0" collapsed="false">
      <c r="A684" s="12"/>
      <c r="B684" s="34"/>
      <c r="C684" s="12"/>
      <c r="D684" s="12"/>
      <c r="E684" s="12"/>
      <c r="F684" s="12"/>
      <c r="G684" s="18"/>
      <c r="H684" s="35"/>
      <c r="I684" s="12"/>
      <c r="M684" s="12"/>
      <c r="N684" s="18"/>
      <c r="O684" s="12"/>
      <c r="P684" s="12"/>
      <c r="Q684" s="12"/>
      <c r="R684" s="36"/>
      <c r="S684" s="36"/>
      <c r="T684" s="12"/>
      <c r="U684" s="12"/>
      <c r="V684" s="12"/>
      <c r="W684" s="12"/>
      <c r="X684" s="12"/>
    </row>
    <row r="685" customFormat="false" ht="15.75" hidden="false" customHeight="false" outlineLevel="0" collapsed="false">
      <c r="A685" s="12"/>
      <c r="B685" s="34"/>
      <c r="C685" s="12"/>
      <c r="D685" s="12"/>
      <c r="E685" s="12"/>
      <c r="F685" s="12"/>
      <c r="G685" s="18"/>
      <c r="H685" s="35"/>
      <c r="I685" s="12"/>
      <c r="M685" s="12"/>
      <c r="N685" s="18"/>
      <c r="O685" s="12"/>
      <c r="P685" s="12"/>
      <c r="Q685" s="12"/>
      <c r="R685" s="36"/>
      <c r="S685" s="36"/>
      <c r="T685" s="12"/>
      <c r="U685" s="12"/>
      <c r="V685" s="12"/>
      <c r="W685" s="12"/>
      <c r="X685" s="12"/>
    </row>
    <row r="686" customFormat="false" ht="15.75" hidden="false" customHeight="false" outlineLevel="0" collapsed="false">
      <c r="A686" s="12"/>
      <c r="B686" s="34"/>
      <c r="C686" s="12"/>
      <c r="D686" s="12"/>
      <c r="E686" s="12"/>
      <c r="F686" s="12"/>
      <c r="G686" s="18"/>
      <c r="H686" s="35"/>
      <c r="I686" s="12"/>
      <c r="M686" s="12"/>
      <c r="N686" s="18"/>
      <c r="O686" s="12"/>
      <c r="P686" s="12"/>
      <c r="Q686" s="12"/>
      <c r="R686" s="36"/>
      <c r="S686" s="36"/>
      <c r="T686" s="12"/>
      <c r="U686" s="12"/>
      <c r="V686" s="12"/>
      <c r="W686" s="12"/>
      <c r="X686" s="12"/>
    </row>
    <row r="687" customFormat="false" ht="15.75" hidden="false" customHeight="false" outlineLevel="0" collapsed="false">
      <c r="A687" s="12"/>
      <c r="B687" s="34"/>
      <c r="C687" s="12"/>
      <c r="D687" s="12"/>
      <c r="E687" s="12"/>
      <c r="F687" s="12"/>
      <c r="G687" s="18"/>
      <c r="H687" s="35"/>
      <c r="I687" s="12"/>
      <c r="M687" s="12"/>
      <c r="N687" s="18"/>
      <c r="O687" s="12"/>
      <c r="P687" s="12"/>
      <c r="Q687" s="12"/>
      <c r="R687" s="36"/>
      <c r="S687" s="36"/>
      <c r="T687" s="12"/>
      <c r="U687" s="12"/>
      <c r="V687" s="12"/>
      <c r="W687" s="12"/>
      <c r="X687" s="12"/>
    </row>
    <row r="688" customFormat="false" ht="15.75" hidden="false" customHeight="false" outlineLevel="0" collapsed="false">
      <c r="A688" s="12"/>
      <c r="B688" s="34"/>
      <c r="C688" s="12"/>
      <c r="D688" s="12"/>
      <c r="E688" s="12"/>
      <c r="F688" s="12"/>
      <c r="G688" s="18"/>
      <c r="H688" s="35"/>
      <c r="I688" s="12"/>
      <c r="M688" s="12"/>
      <c r="N688" s="18"/>
      <c r="O688" s="12"/>
      <c r="P688" s="12"/>
      <c r="Q688" s="12"/>
      <c r="R688" s="36"/>
      <c r="S688" s="36"/>
      <c r="T688" s="12"/>
      <c r="U688" s="12"/>
      <c r="V688" s="12"/>
      <c r="W688" s="12"/>
      <c r="X688" s="12"/>
    </row>
    <row r="689" customFormat="false" ht="15.75" hidden="false" customHeight="false" outlineLevel="0" collapsed="false">
      <c r="A689" s="12"/>
      <c r="B689" s="34"/>
      <c r="C689" s="12"/>
      <c r="D689" s="12"/>
      <c r="E689" s="12"/>
      <c r="F689" s="12"/>
      <c r="G689" s="18"/>
      <c r="H689" s="35"/>
      <c r="I689" s="12"/>
      <c r="M689" s="12"/>
      <c r="N689" s="18"/>
      <c r="O689" s="12"/>
      <c r="P689" s="12"/>
      <c r="Q689" s="12"/>
      <c r="R689" s="36"/>
      <c r="S689" s="36"/>
      <c r="T689" s="12"/>
      <c r="U689" s="12"/>
      <c r="V689" s="12"/>
      <c r="W689" s="12"/>
      <c r="X689" s="12"/>
    </row>
    <row r="690" customFormat="false" ht="15.75" hidden="false" customHeight="false" outlineLevel="0" collapsed="false">
      <c r="A690" s="12"/>
      <c r="B690" s="34"/>
      <c r="C690" s="12"/>
      <c r="D690" s="12"/>
      <c r="E690" s="12"/>
      <c r="F690" s="12"/>
      <c r="G690" s="18"/>
      <c r="H690" s="35"/>
      <c r="I690" s="12"/>
      <c r="M690" s="12"/>
      <c r="N690" s="18"/>
      <c r="O690" s="12"/>
      <c r="P690" s="12"/>
      <c r="Q690" s="12"/>
      <c r="R690" s="36"/>
      <c r="S690" s="36"/>
      <c r="T690" s="12"/>
      <c r="U690" s="12"/>
      <c r="V690" s="12"/>
      <c r="W690" s="12"/>
      <c r="X690" s="12"/>
    </row>
    <row r="691" customFormat="false" ht="15.75" hidden="false" customHeight="false" outlineLevel="0" collapsed="false">
      <c r="A691" s="12"/>
      <c r="B691" s="34"/>
      <c r="C691" s="12"/>
      <c r="D691" s="12"/>
      <c r="E691" s="12"/>
      <c r="F691" s="12"/>
      <c r="G691" s="18"/>
      <c r="H691" s="35"/>
      <c r="I691" s="12"/>
      <c r="M691" s="12"/>
      <c r="N691" s="18"/>
      <c r="O691" s="12"/>
      <c r="P691" s="12"/>
      <c r="Q691" s="12"/>
      <c r="R691" s="36"/>
      <c r="S691" s="36"/>
      <c r="T691" s="12"/>
      <c r="U691" s="12"/>
      <c r="V691" s="12"/>
      <c r="W691" s="12"/>
      <c r="X691" s="12"/>
    </row>
    <row r="692" customFormat="false" ht="15.75" hidden="false" customHeight="false" outlineLevel="0" collapsed="false">
      <c r="A692" s="12"/>
      <c r="B692" s="34"/>
      <c r="C692" s="12"/>
      <c r="D692" s="12"/>
      <c r="E692" s="12"/>
      <c r="F692" s="12"/>
      <c r="G692" s="18"/>
      <c r="H692" s="35"/>
      <c r="I692" s="12"/>
      <c r="M692" s="12"/>
      <c r="N692" s="18"/>
      <c r="O692" s="12"/>
      <c r="P692" s="12"/>
      <c r="Q692" s="12"/>
      <c r="R692" s="36"/>
      <c r="S692" s="36"/>
      <c r="T692" s="12"/>
      <c r="U692" s="12"/>
      <c r="V692" s="12"/>
      <c r="W692" s="12"/>
      <c r="X692" s="12"/>
    </row>
    <row r="693" customFormat="false" ht="15.75" hidden="false" customHeight="false" outlineLevel="0" collapsed="false">
      <c r="A693" s="12"/>
      <c r="B693" s="34"/>
      <c r="C693" s="12"/>
      <c r="D693" s="12"/>
      <c r="E693" s="12"/>
      <c r="F693" s="12"/>
      <c r="G693" s="18"/>
      <c r="H693" s="35"/>
      <c r="I693" s="12"/>
      <c r="M693" s="12"/>
      <c r="N693" s="18"/>
      <c r="O693" s="12"/>
      <c r="P693" s="12"/>
      <c r="Q693" s="12"/>
      <c r="R693" s="36"/>
      <c r="S693" s="36"/>
      <c r="T693" s="12"/>
      <c r="U693" s="12"/>
      <c r="V693" s="12"/>
      <c r="W693" s="12"/>
      <c r="X693" s="12"/>
    </row>
    <row r="694" customFormat="false" ht="15.75" hidden="false" customHeight="false" outlineLevel="0" collapsed="false">
      <c r="A694" s="12"/>
      <c r="B694" s="34"/>
      <c r="C694" s="12"/>
      <c r="D694" s="12"/>
      <c r="E694" s="12"/>
      <c r="F694" s="12"/>
      <c r="G694" s="18"/>
      <c r="H694" s="35"/>
      <c r="I694" s="12"/>
      <c r="M694" s="12"/>
      <c r="N694" s="18"/>
      <c r="O694" s="12"/>
      <c r="P694" s="12"/>
      <c r="Q694" s="12"/>
      <c r="R694" s="36"/>
      <c r="S694" s="36"/>
      <c r="T694" s="12"/>
      <c r="U694" s="12"/>
      <c r="V694" s="12"/>
      <c r="W694" s="12"/>
      <c r="X694" s="12"/>
    </row>
    <row r="695" customFormat="false" ht="15.75" hidden="false" customHeight="false" outlineLevel="0" collapsed="false">
      <c r="A695" s="12"/>
      <c r="B695" s="34"/>
      <c r="C695" s="12"/>
      <c r="D695" s="12"/>
      <c r="E695" s="12"/>
      <c r="F695" s="12"/>
      <c r="G695" s="18"/>
      <c r="H695" s="35"/>
      <c r="I695" s="12"/>
      <c r="M695" s="12"/>
      <c r="N695" s="18"/>
      <c r="O695" s="12"/>
      <c r="P695" s="12"/>
      <c r="Q695" s="12"/>
      <c r="R695" s="36"/>
      <c r="S695" s="36"/>
      <c r="T695" s="12"/>
      <c r="U695" s="12"/>
      <c r="V695" s="12"/>
      <c r="W695" s="12"/>
      <c r="X695" s="12"/>
    </row>
    <row r="696" customFormat="false" ht="15.75" hidden="false" customHeight="false" outlineLevel="0" collapsed="false">
      <c r="A696" s="12"/>
      <c r="B696" s="34"/>
      <c r="C696" s="12"/>
      <c r="D696" s="12"/>
      <c r="E696" s="12"/>
      <c r="F696" s="12"/>
      <c r="G696" s="18"/>
      <c r="H696" s="35"/>
      <c r="I696" s="12"/>
      <c r="M696" s="12"/>
      <c r="N696" s="18"/>
      <c r="O696" s="12"/>
      <c r="P696" s="12"/>
      <c r="Q696" s="12"/>
      <c r="R696" s="36"/>
      <c r="S696" s="36"/>
      <c r="T696" s="12"/>
      <c r="U696" s="12"/>
      <c r="V696" s="12"/>
      <c r="W696" s="12"/>
      <c r="X696" s="12"/>
    </row>
    <row r="697" customFormat="false" ht="15.75" hidden="false" customHeight="false" outlineLevel="0" collapsed="false">
      <c r="A697" s="12"/>
      <c r="B697" s="34"/>
      <c r="C697" s="12"/>
      <c r="D697" s="12"/>
      <c r="E697" s="12"/>
      <c r="F697" s="12"/>
      <c r="G697" s="18"/>
      <c r="H697" s="35"/>
      <c r="I697" s="12"/>
      <c r="M697" s="12"/>
      <c r="N697" s="18"/>
      <c r="O697" s="12"/>
      <c r="P697" s="12"/>
      <c r="Q697" s="12"/>
      <c r="R697" s="36"/>
      <c r="S697" s="36"/>
      <c r="T697" s="12"/>
      <c r="U697" s="12"/>
      <c r="V697" s="12"/>
      <c r="W697" s="12"/>
      <c r="X697" s="12"/>
    </row>
    <row r="698" customFormat="false" ht="15.75" hidden="false" customHeight="false" outlineLevel="0" collapsed="false">
      <c r="A698" s="12"/>
      <c r="B698" s="34"/>
      <c r="C698" s="12"/>
      <c r="D698" s="12"/>
      <c r="E698" s="12"/>
      <c r="F698" s="12"/>
      <c r="G698" s="18"/>
      <c r="H698" s="35"/>
      <c r="I698" s="12"/>
      <c r="M698" s="12"/>
      <c r="N698" s="18"/>
      <c r="O698" s="12"/>
      <c r="P698" s="12"/>
      <c r="Q698" s="12"/>
      <c r="R698" s="36"/>
      <c r="S698" s="36"/>
      <c r="T698" s="12"/>
      <c r="U698" s="12"/>
      <c r="V698" s="12"/>
      <c r="W698" s="12"/>
      <c r="X698" s="12"/>
    </row>
    <row r="699" customFormat="false" ht="15.75" hidden="false" customHeight="false" outlineLevel="0" collapsed="false">
      <c r="A699" s="12"/>
      <c r="B699" s="34"/>
      <c r="C699" s="12"/>
      <c r="D699" s="12"/>
      <c r="E699" s="12"/>
      <c r="F699" s="12"/>
      <c r="G699" s="18"/>
      <c r="H699" s="35"/>
      <c r="I699" s="12"/>
      <c r="M699" s="12"/>
      <c r="N699" s="18"/>
      <c r="O699" s="12"/>
      <c r="P699" s="12"/>
      <c r="Q699" s="12"/>
      <c r="R699" s="36"/>
      <c r="S699" s="36"/>
      <c r="T699" s="12"/>
      <c r="U699" s="12"/>
      <c r="V699" s="12"/>
      <c r="W699" s="12"/>
      <c r="X699" s="12"/>
    </row>
    <row r="700" customFormat="false" ht="15.75" hidden="false" customHeight="false" outlineLevel="0" collapsed="false">
      <c r="A700" s="12"/>
      <c r="B700" s="34"/>
      <c r="C700" s="12"/>
      <c r="D700" s="12"/>
      <c r="E700" s="12"/>
      <c r="F700" s="12"/>
      <c r="G700" s="18"/>
      <c r="H700" s="35"/>
      <c r="I700" s="12"/>
      <c r="M700" s="12"/>
      <c r="N700" s="18"/>
      <c r="O700" s="12"/>
      <c r="P700" s="12"/>
      <c r="Q700" s="12"/>
      <c r="R700" s="36"/>
      <c r="S700" s="36"/>
      <c r="T700" s="12"/>
      <c r="U700" s="12"/>
      <c r="V700" s="12"/>
      <c r="W700" s="12"/>
      <c r="X700" s="12"/>
    </row>
    <row r="701" customFormat="false" ht="15.75" hidden="false" customHeight="false" outlineLevel="0" collapsed="false">
      <c r="A701" s="12"/>
      <c r="B701" s="34"/>
      <c r="C701" s="12"/>
      <c r="D701" s="12"/>
      <c r="E701" s="12"/>
      <c r="F701" s="12"/>
      <c r="G701" s="18"/>
      <c r="H701" s="35"/>
      <c r="I701" s="12"/>
      <c r="M701" s="12"/>
      <c r="N701" s="18"/>
      <c r="O701" s="12"/>
      <c r="P701" s="12"/>
      <c r="Q701" s="12"/>
      <c r="R701" s="36"/>
      <c r="S701" s="36"/>
      <c r="T701" s="12"/>
      <c r="U701" s="12"/>
      <c r="V701" s="12"/>
      <c r="W701" s="12"/>
      <c r="X701" s="12"/>
    </row>
    <row r="702" customFormat="false" ht="15.75" hidden="false" customHeight="false" outlineLevel="0" collapsed="false">
      <c r="A702" s="12"/>
      <c r="B702" s="34"/>
      <c r="C702" s="12"/>
      <c r="D702" s="12"/>
      <c r="E702" s="12"/>
      <c r="F702" s="12"/>
      <c r="G702" s="18"/>
      <c r="H702" s="35"/>
      <c r="I702" s="12"/>
      <c r="M702" s="12"/>
      <c r="N702" s="18"/>
      <c r="O702" s="12"/>
      <c r="P702" s="12"/>
      <c r="Q702" s="12"/>
      <c r="R702" s="36"/>
      <c r="S702" s="36"/>
      <c r="T702" s="12"/>
      <c r="U702" s="12"/>
      <c r="V702" s="12"/>
      <c r="W702" s="12"/>
      <c r="X702" s="12"/>
    </row>
    <row r="703" customFormat="false" ht="15.75" hidden="false" customHeight="false" outlineLevel="0" collapsed="false">
      <c r="A703" s="12"/>
      <c r="B703" s="34"/>
      <c r="C703" s="12"/>
      <c r="D703" s="12"/>
      <c r="E703" s="12"/>
      <c r="F703" s="12"/>
      <c r="G703" s="18"/>
      <c r="H703" s="35"/>
      <c r="I703" s="12"/>
      <c r="M703" s="12"/>
      <c r="N703" s="18"/>
      <c r="O703" s="12"/>
      <c r="P703" s="12"/>
      <c r="Q703" s="12"/>
      <c r="R703" s="36"/>
      <c r="S703" s="36"/>
      <c r="T703" s="12"/>
      <c r="U703" s="12"/>
      <c r="V703" s="12"/>
      <c r="W703" s="12"/>
      <c r="X703" s="12"/>
    </row>
    <row r="704" customFormat="false" ht="15.75" hidden="false" customHeight="false" outlineLevel="0" collapsed="false">
      <c r="A704" s="12"/>
      <c r="B704" s="34"/>
      <c r="C704" s="12"/>
      <c r="D704" s="12"/>
      <c r="E704" s="12"/>
      <c r="F704" s="12"/>
      <c r="G704" s="18"/>
      <c r="H704" s="35"/>
      <c r="I704" s="12"/>
      <c r="M704" s="12"/>
      <c r="N704" s="18"/>
      <c r="O704" s="12"/>
      <c r="P704" s="12"/>
      <c r="Q704" s="12"/>
      <c r="R704" s="36"/>
      <c r="S704" s="36"/>
      <c r="T704" s="12"/>
      <c r="U704" s="12"/>
      <c r="V704" s="12"/>
      <c r="W704" s="12"/>
      <c r="X704" s="12"/>
    </row>
    <row r="705" customFormat="false" ht="15.75" hidden="false" customHeight="false" outlineLevel="0" collapsed="false">
      <c r="A705" s="12"/>
      <c r="B705" s="34"/>
      <c r="C705" s="12"/>
      <c r="D705" s="12"/>
      <c r="E705" s="12"/>
      <c r="F705" s="12"/>
      <c r="G705" s="18"/>
      <c r="H705" s="35"/>
      <c r="I705" s="12"/>
      <c r="M705" s="12"/>
      <c r="N705" s="18"/>
      <c r="O705" s="12"/>
      <c r="P705" s="12"/>
      <c r="Q705" s="12"/>
      <c r="R705" s="36"/>
      <c r="S705" s="36"/>
      <c r="T705" s="12"/>
      <c r="U705" s="12"/>
      <c r="V705" s="12"/>
      <c r="W705" s="12"/>
      <c r="X705" s="12"/>
    </row>
    <row r="706" customFormat="false" ht="15.75" hidden="false" customHeight="false" outlineLevel="0" collapsed="false">
      <c r="A706" s="12"/>
      <c r="B706" s="34"/>
      <c r="C706" s="12"/>
      <c r="D706" s="12"/>
      <c r="E706" s="12"/>
      <c r="F706" s="12"/>
      <c r="G706" s="18"/>
      <c r="H706" s="35"/>
      <c r="I706" s="12"/>
      <c r="M706" s="12"/>
      <c r="N706" s="18"/>
      <c r="O706" s="12"/>
      <c r="P706" s="12"/>
      <c r="Q706" s="12"/>
      <c r="R706" s="36"/>
      <c r="S706" s="36"/>
      <c r="T706" s="12"/>
      <c r="U706" s="12"/>
      <c r="V706" s="12"/>
      <c r="W706" s="12"/>
      <c r="X706" s="12"/>
    </row>
    <row r="707" customFormat="false" ht="15.75" hidden="false" customHeight="false" outlineLevel="0" collapsed="false">
      <c r="A707" s="12"/>
      <c r="B707" s="34"/>
      <c r="C707" s="12"/>
      <c r="D707" s="12"/>
      <c r="E707" s="12"/>
      <c r="F707" s="12"/>
      <c r="G707" s="18"/>
      <c r="H707" s="35"/>
      <c r="I707" s="12"/>
      <c r="M707" s="12"/>
      <c r="N707" s="18"/>
      <c r="O707" s="12"/>
      <c r="P707" s="12"/>
      <c r="Q707" s="12"/>
      <c r="R707" s="36"/>
      <c r="S707" s="36"/>
      <c r="T707" s="12"/>
      <c r="U707" s="12"/>
      <c r="V707" s="12"/>
      <c r="W707" s="12"/>
      <c r="X707" s="12"/>
    </row>
    <row r="708" customFormat="false" ht="15.75" hidden="false" customHeight="false" outlineLevel="0" collapsed="false">
      <c r="A708" s="12"/>
      <c r="B708" s="34"/>
      <c r="C708" s="12"/>
      <c r="D708" s="12"/>
      <c r="E708" s="12"/>
      <c r="F708" s="12"/>
      <c r="G708" s="18"/>
      <c r="H708" s="35"/>
      <c r="I708" s="12"/>
      <c r="M708" s="12"/>
      <c r="N708" s="18"/>
      <c r="O708" s="12"/>
      <c r="P708" s="12"/>
      <c r="Q708" s="12"/>
      <c r="R708" s="36"/>
      <c r="S708" s="36"/>
      <c r="T708" s="12"/>
      <c r="U708" s="12"/>
      <c r="V708" s="12"/>
      <c r="W708" s="12"/>
      <c r="X708" s="12"/>
    </row>
    <row r="709" customFormat="false" ht="15.75" hidden="false" customHeight="false" outlineLevel="0" collapsed="false">
      <c r="A709" s="12"/>
      <c r="B709" s="34"/>
      <c r="C709" s="12"/>
      <c r="D709" s="12"/>
      <c r="E709" s="12"/>
      <c r="F709" s="12"/>
      <c r="G709" s="18"/>
      <c r="H709" s="35"/>
      <c r="I709" s="12"/>
      <c r="M709" s="12"/>
      <c r="N709" s="18"/>
      <c r="O709" s="12"/>
      <c r="P709" s="12"/>
      <c r="Q709" s="12"/>
      <c r="R709" s="36"/>
      <c r="S709" s="36"/>
      <c r="T709" s="12"/>
      <c r="U709" s="12"/>
      <c r="V709" s="12"/>
      <c r="W709" s="12"/>
      <c r="X709" s="12"/>
    </row>
    <row r="710" customFormat="false" ht="15.75" hidden="false" customHeight="false" outlineLevel="0" collapsed="false">
      <c r="A710" s="12"/>
      <c r="B710" s="34"/>
      <c r="C710" s="12"/>
      <c r="D710" s="12"/>
      <c r="E710" s="12"/>
      <c r="F710" s="12"/>
      <c r="G710" s="18"/>
      <c r="H710" s="35"/>
      <c r="I710" s="12"/>
      <c r="M710" s="12"/>
      <c r="N710" s="18"/>
      <c r="O710" s="12"/>
      <c r="P710" s="12"/>
      <c r="Q710" s="12"/>
      <c r="R710" s="36"/>
      <c r="S710" s="36"/>
      <c r="T710" s="12"/>
      <c r="U710" s="12"/>
      <c r="V710" s="12"/>
      <c r="W710" s="12"/>
      <c r="X710" s="12"/>
    </row>
    <row r="711" customFormat="false" ht="15.75" hidden="false" customHeight="false" outlineLevel="0" collapsed="false">
      <c r="A711" s="12"/>
      <c r="B711" s="34"/>
      <c r="C711" s="12"/>
      <c r="D711" s="12"/>
      <c r="E711" s="12"/>
      <c r="F711" s="12"/>
      <c r="G711" s="18"/>
      <c r="H711" s="35"/>
      <c r="I711" s="12"/>
      <c r="M711" s="12"/>
      <c r="N711" s="18"/>
      <c r="O711" s="12"/>
      <c r="P711" s="12"/>
      <c r="Q711" s="12"/>
      <c r="R711" s="36"/>
      <c r="S711" s="36"/>
      <c r="T711" s="12"/>
      <c r="U711" s="12"/>
      <c r="V711" s="12"/>
      <c r="W711" s="12"/>
      <c r="X711" s="12"/>
    </row>
    <row r="712" customFormat="false" ht="15.75" hidden="false" customHeight="false" outlineLevel="0" collapsed="false">
      <c r="A712" s="12"/>
      <c r="B712" s="34"/>
      <c r="C712" s="12"/>
      <c r="D712" s="12"/>
      <c r="E712" s="12"/>
      <c r="F712" s="12"/>
      <c r="G712" s="18"/>
      <c r="H712" s="35"/>
      <c r="I712" s="12"/>
      <c r="M712" s="12"/>
      <c r="N712" s="18"/>
      <c r="O712" s="12"/>
      <c r="P712" s="12"/>
      <c r="Q712" s="12"/>
      <c r="R712" s="36"/>
      <c r="S712" s="36"/>
      <c r="T712" s="12"/>
      <c r="U712" s="12"/>
      <c r="V712" s="12"/>
      <c r="W712" s="12"/>
      <c r="X712" s="12"/>
    </row>
    <row r="713" customFormat="false" ht="15.75" hidden="false" customHeight="false" outlineLevel="0" collapsed="false">
      <c r="A713" s="12"/>
      <c r="B713" s="34"/>
      <c r="C713" s="12"/>
      <c r="D713" s="12"/>
      <c r="E713" s="12"/>
      <c r="F713" s="12"/>
      <c r="G713" s="18"/>
      <c r="H713" s="35"/>
      <c r="I713" s="12"/>
      <c r="M713" s="12"/>
      <c r="N713" s="18"/>
      <c r="O713" s="12"/>
      <c r="P713" s="12"/>
      <c r="Q713" s="12"/>
      <c r="R713" s="36"/>
      <c r="S713" s="36"/>
      <c r="T713" s="12"/>
      <c r="U713" s="12"/>
      <c r="V713" s="12"/>
      <c r="W713" s="12"/>
      <c r="X713" s="12"/>
    </row>
    <row r="714" customFormat="false" ht="15.75" hidden="false" customHeight="false" outlineLevel="0" collapsed="false">
      <c r="A714" s="12"/>
      <c r="B714" s="34"/>
      <c r="C714" s="12"/>
      <c r="D714" s="12"/>
      <c r="E714" s="12"/>
      <c r="F714" s="12"/>
      <c r="G714" s="18"/>
      <c r="H714" s="35"/>
      <c r="I714" s="12"/>
      <c r="M714" s="12"/>
      <c r="N714" s="18"/>
      <c r="O714" s="12"/>
      <c r="P714" s="12"/>
      <c r="Q714" s="12"/>
      <c r="R714" s="36"/>
      <c r="S714" s="36"/>
      <c r="T714" s="12"/>
      <c r="U714" s="12"/>
      <c r="V714" s="12"/>
      <c r="W714" s="12"/>
      <c r="X714" s="12"/>
    </row>
    <row r="715" customFormat="false" ht="15.75" hidden="false" customHeight="false" outlineLevel="0" collapsed="false">
      <c r="A715" s="12"/>
      <c r="B715" s="34"/>
      <c r="C715" s="12"/>
      <c r="D715" s="12"/>
      <c r="E715" s="12"/>
      <c r="F715" s="12"/>
      <c r="G715" s="18"/>
      <c r="H715" s="35"/>
      <c r="I715" s="12"/>
      <c r="M715" s="12"/>
      <c r="N715" s="18"/>
      <c r="O715" s="12"/>
      <c r="P715" s="12"/>
      <c r="Q715" s="12"/>
      <c r="R715" s="36"/>
      <c r="S715" s="36"/>
      <c r="T715" s="12"/>
      <c r="U715" s="12"/>
      <c r="V715" s="12"/>
      <c r="W715" s="12"/>
      <c r="X715" s="12"/>
    </row>
    <row r="716" customFormat="false" ht="15.75" hidden="false" customHeight="false" outlineLevel="0" collapsed="false">
      <c r="A716" s="12"/>
      <c r="B716" s="34"/>
      <c r="C716" s="12"/>
      <c r="D716" s="12"/>
      <c r="E716" s="12"/>
      <c r="F716" s="12"/>
      <c r="G716" s="18"/>
      <c r="H716" s="35"/>
      <c r="I716" s="12"/>
      <c r="M716" s="12"/>
      <c r="N716" s="18"/>
      <c r="O716" s="12"/>
      <c r="P716" s="12"/>
      <c r="Q716" s="12"/>
      <c r="R716" s="36"/>
      <c r="S716" s="36"/>
      <c r="T716" s="12"/>
      <c r="U716" s="12"/>
      <c r="V716" s="12"/>
      <c r="W716" s="12"/>
      <c r="X716" s="12"/>
    </row>
    <row r="717" customFormat="false" ht="15.75" hidden="false" customHeight="false" outlineLevel="0" collapsed="false">
      <c r="A717" s="12"/>
      <c r="B717" s="34"/>
      <c r="C717" s="12"/>
      <c r="D717" s="12"/>
      <c r="E717" s="12"/>
      <c r="F717" s="12"/>
      <c r="G717" s="18"/>
      <c r="H717" s="35"/>
      <c r="I717" s="12"/>
      <c r="M717" s="12"/>
      <c r="N717" s="18"/>
      <c r="O717" s="12"/>
      <c r="P717" s="12"/>
      <c r="Q717" s="12"/>
      <c r="R717" s="36"/>
      <c r="S717" s="36"/>
      <c r="T717" s="12"/>
      <c r="U717" s="12"/>
      <c r="V717" s="12"/>
      <c r="W717" s="12"/>
      <c r="X717" s="12"/>
    </row>
    <row r="718" customFormat="false" ht="15.75" hidden="false" customHeight="false" outlineLevel="0" collapsed="false">
      <c r="A718" s="12"/>
      <c r="B718" s="34"/>
      <c r="C718" s="12"/>
      <c r="D718" s="12"/>
      <c r="E718" s="12"/>
      <c r="F718" s="12"/>
      <c r="G718" s="18"/>
      <c r="H718" s="35"/>
      <c r="I718" s="12"/>
      <c r="M718" s="12"/>
      <c r="N718" s="18"/>
      <c r="O718" s="12"/>
      <c r="P718" s="12"/>
      <c r="Q718" s="12"/>
      <c r="R718" s="36"/>
      <c r="S718" s="36"/>
      <c r="T718" s="12"/>
      <c r="U718" s="12"/>
      <c r="V718" s="12"/>
      <c r="W718" s="12"/>
      <c r="X718" s="12"/>
    </row>
    <row r="719" customFormat="false" ht="15.75" hidden="false" customHeight="false" outlineLevel="0" collapsed="false">
      <c r="A719" s="12"/>
      <c r="B719" s="34"/>
      <c r="C719" s="12"/>
      <c r="D719" s="12"/>
      <c r="E719" s="12"/>
      <c r="F719" s="12"/>
      <c r="G719" s="18"/>
      <c r="H719" s="35"/>
      <c r="I719" s="12"/>
      <c r="M719" s="12"/>
      <c r="N719" s="18"/>
      <c r="O719" s="12"/>
      <c r="P719" s="12"/>
      <c r="Q719" s="12"/>
      <c r="R719" s="36"/>
      <c r="S719" s="36"/>
      <c r="T719" s="12"/>
      <c r="U719" s="12"/>
      <c r="V719" s="12"/>
      <c r="W719" s="12"/>
      <c r="X719" s="12"/>
    </row>
    <row r="720" customFormat="false" ht="15.75" hidden="false" customHeight="false" outlineLevel="0" collapsed="false">
      <c r="A720" s="12"/>
      <c r="B720" s="34"/>
      <c r="C720" s="12"/>
      <c r="D720" s="12"/>
      <c r="E720" s="12"/>
      <c r="F720" s="12"/>
      <c r="G720" s="18"/>
      <c r="H720" s="35"/>
      <c r="I720" s="12"/>
      <c r="M720" s="12"/>
      <c r="N720" s="18"/>
      <c r="O720" s="12"/>
      <c r="P720" s="12"/>
      <c r="Q720" s="12"/>
      <c r="R720" s="36"/>
      <c r="S720" s="36"/>
      <c r="T720" s="12"/>
      <c r="U720" s="12"/>
      <c r="V720" s="12"/>
      <c r="W720" s="12"/>
      <c r="X720" s="12"/>
    </row>
    <row r="721" customFormat="false" ht="15.75" hidden="false" customHeight="false" outlineLevel="0" collapsed="false">
      <c r="A721" s="12"/>
      <c r="B721" s="34"/>
      <c r="C721" s="12"/>
      <c r="D721" s="12"/>
      <c r="E721" s="12"/>
      <c r="F721" s="12"/>
      <c r="G721" s="18"/>
      <c r="H721" s="35"/>
      <c r="I721" s="12"/>
      <c r="M721" s="12"/>
      <c r="N721" s="18"/>
      <c r="O721" s="12"/>
      <c r="P721" s="12"/>
      <c r="Q721" s="12"/>
      <c r="R721" s="36"/>
      <c r="S721" s="36"/>
      <c r="T721" s="12"/>
      <c r="U721" s="12"/>
      <c r="V721" s="12"/>
      <c r="W721" s="12"/>
      <c r="X721" s="12"/>
    </row>
    <row r="722" customFormat="false" ht="15.75" hidden="false" customHeight="false" outlineLevel="0" collapsed="false">
      <c r="A722" s="12"/>
      <c r="B722" s="34"/>
      <c r="C722" s="12"/>
      <c r="D722" s="12"/>
      <c r="E722" s="12"/>
      <c r="F722" s="12"/>
      <c r="G722" s="18"/>
      <c r="H722" s="35"/>
      <c r="I722" s="12"/>
      <c r="M722" s="12"/>
      <c r="N722" s="18"/>
      <c r="O722" s="12"/>
      <c r="P722" s="12"/>
      <c r="Q722" s="12"/>
      <c r="R722" s="36"/>
      <c r="S722" s="36"/>
      <c r="T722" s="12"/>
      <c r="U722" s="12"/>
      <c r="V722" s="12"/>
      <c r="W722" s="12"/>
      <c r="X722" s="12"/>
    </row>
    <row r="723" customFormat="false" ht="15.75" hidden="false" customHeight="false" outlineLevel="0" collapsed="false">
      <c r="A723" s="12"/>
      <c r="B723" s="34"/>
      <c r="C723" s="12"/>
      <c r="D723" s="12"/>
      <c r="E723" s="12"/>
      <c r="F723" s="12"/>
      <c r="G723" s="18"/>
      <c r="H723" s="35"/>
      <c r="I723" s="12"/>
      <c r="M723" s="12"/>
      <c r="N723" s="18"/>
      <c r="O723" s="12"/>
      <c r="P723" s="12"/>
      <c r="Q723" s="12"/>
      <c r="R723" s="36"/>
      <c r="S723" s="36"/>
      <c r="T723" s="12"/>
      <c r="U723" s="12"/>
      <c r="V723" s="12"/>
      <c r="W723" s="12"/>
      <c r="X723" s="12"/>
    </row>
    <row r="724" customFormat="false" ht="15.75" hidden="false" customHeight="false" outlineLevel="0" collapsed="false">
      <c r="A724" s="12"/>
      <c r="B724" s="34"/>
      <c r="C724" s="12"/>
      <c r="D724" s="12"/>
      <c r="E724" s="12"/>
      <c r="F724" s="12"/>
      <c r="G724" s="18"/>
      <c r="H724" s="35"/>
      <c r="I724" s="12"/>
      <c r="M724" s="12"/>
      <c r="N724" s="18"/>
      <c r="O724" s="12"/>
      <c r="P724" s="12"/>
      <c r="Q724" s="12"/>
      <c r="R724" s="36"/>
      <c r="S724" s="36"/>
      <c r="T724" s="12"/>
      <c r="U724" s="12"/>
      <c r="V724" s="12"/>
      <c r="W724" s="12"/>
      <c r="X724" s="12"/>
    </row>
    <row r="725" customFormat="false" ht="15.75" hidden="false" customHeight="false" outlineLevel="0" collapsed="false">
      <c r="A725" s="12"/>
      <c r="B725" s="34"/>
      <c r="C725" s="12"/>
      <c r="D725" s="12"/>
      <c r="E725" s="12"/>
      <c r="F725" s="12"/>
      <c r="G725" s="18"/>
      <c r="H725" s="35"/>
      <c r="I725" s="12"/>
      <c r="M725" s="12"/>
      <c r="N725" s="18"/>
      <c r="O725" s="12"/>
      <c r="P725" s="12"/>
      <c r="Q725" s="12"/>
      <c r="R725" s="36"/>
      <c r="S725" s="36"/>
      <c r="T725" s="12"/>
      <c r="U725" s="12"/>
      <c r="V725" s="12"/>
      <c r="W725" s="12"/>
      <c r="X725" s="12"/>
    </row>
    <row r="726" customFormat="false" ht="15.75" hidden="false" customHeight="false" outlineLevel="0" collapsed="false">
      <c r="A726" s="12"/>
      <c r="B726" s="34"/>
      <c r="C726" s="12"/>
      <c r="D726" s="12"/>
      <c r="E726" s="12"/>
      <c r="F726" s="12"/>
      <c r="G726" s="18"/>
      <c r="H726" s="35"/>
      <c r="I726" s="12"/>
      <c r="M726" s="12"/>
      <c r="N726" s="18"/>
      <c r="O726" s="12"/>
      <c r="P726" s="12"/>
      <c r="Q726" s="12"/>
      <c r="R726" s="36"/>
      <c r="S726" s="36"/>
      <c r="T726" s="12"/>
      <c r="U726" s="12"/>
      <c r="V726" s="12"/>
      <c r="W726" s="12"/>
      <c r="X726" s="12"/>
    </row>
    <row r="727" customFormat="false" ht="15.75" hidden="false" customHeight="false" outlineLevel="0" collapsed="false">
      <c r="A727" s="12"/>
      <c r="B727" s="34"/>
      <c r="C727" s="12"/>
      <c r="D727" s="12"/>
      <c r="E727" s="12"/>
      <c r="F727" s="12"/>
      <c r="G727" s="18"/>
      <c r="H727" s="35"/>
      <c r="I727" s="12"/>
      <c r="M727" s="12"/>
      <c r="N727" s="18"/>
      <c r="O727" s="12"/>
      <c r="P727" s="12"/>
      <c r="Q727" s="12"/>
      <c r="R727" s="36"/>
      <c r="S727" s="36"/>
      <c r="T727" s="12"/>
      <c r="U727" s="12"/>
      <c r="V727" s="12"/>
      <c r="W727" s="12"/>
      <c r="X727" s="12"/>
    </row>
    <row r="728" customFormat="false" ht="15.75" hidden="false" customHeight="false" outlineLevel="0" collapsed="false">
      <c r="A728" s="12"/>
      <c r="B728" s="34"/>
      <c r="C728" s="12"/>
      <c r="D728" s="12"/>
      <c r="E728" s="12"/>
      <c r="F728" s="12"/>
      <c r="G728" s="18"/>
      <c r="H728" s="35"/>
      <c r="I728" s="12"/>
      <c r="M728" s="12"/>
      <c r="N728" s="18"/>
      <c r="O728" s="12"/>
      <c r="P728" s="12"/>
      <c r="Q728" s="12"/>
      <c r="R728" s="36"/>
      <c r="S728" s="36"/>
      <c r="T728" s="12"/>
      <c r="U728" s="12"/>
      <c r="V728" s="12"/>
      <c r="W728" s="12"/>
      <c r="X728" s="12"/>
    </row>
    <row r="729" customFormat="false" ht="15.75" hidden="false" customHeight="false" outlineLevel="0" collapsed="false">
      <c r="A729" s="12"/>
      <c r="B729" s="34"/>
      <c r="C729" s="12"/>
      <c r="D729" s="12"/>
      <c r="E729" s="12"/>
      <c r="F729" s="12"/>
      <c r="G729" s="18"/>
      <c r="H729" s="35"/>
      <c r="I729" s="12"/>
      <c r="M729" s="12"/>
      <c r="N729" s="18"/>
      <c r="O729" s="12"/>
      <c r="P729" s="12"/>
      <c r="Q729" s="12"/>
      <c r="R729" s="36"/>
      <c r="S729" s="36"/>
      <c r="T729" s="12"/>
      <c r="U729" s="12"/>
      <c r="V729" s="12"/>
      <c r="W729" s="12"/>
      <c r="X729" s="12"/>
    </row>
    <row r="730" customFormat="false" ht="15.75" hidden="false" customHeight="false" outlineLevel="0" collapsed="false">
      <c r="A730" s="12"/>
      <c r="B730" s="34"/>
      <c r="C730" s="12"/>
      <c r="D730" s="12"/>
      <c r="E730" s="12"/>
      <c r="F730" s="12"/>
      <c r="G730" s="18"/>
      <c r="H730" s="35"/>
      <c r="I730" s="12"/>
      <c r="M730" s="12"/>
      <c r="N730" s="18"/>
      <c r="O730" s="12"/>
      <c r="P730" s="12"/>
      <c r="Q730" s="12"/>
      <c r="R730" s="36"/>
      <c r="S730" s="36"/>
      <c r="T730" s="12"/>
      <c r="U730" s="12"/>
      <c r="V730" s="12"/>
      <c r="W730" s="12"/>
      <c r="X730" s="12"/>
    </row>
    <row r="731" customFormat="false" ht="15.75" hidden="false" customHeight="false" outlineLevel="0" collapsed="false">
      <c r="A731" s="12"/>
      <c r="B731" s="34"/>
      <c r="C731" s="12"/>
      <c r="D731" s="12"/>
      <c r="E731" s="12"/>
      <c r="F731" s="12"/>
      <c r="G731" s="18"/>
      <c r="H731" s="35"/>
      <c r="I731" s="12"/>
      <c r="M731" s="12"/>
      <c r="N731" s="18"/>
      <c r="O731" s="12"/>
      <c r="P731" s="12"/>
      <c r="Q731" s="12"/>
      <c r="R731" s="36"/>
      <c r="S731" s="36"/>
      <c r="T731" s="12"/>
      <c r="U731" s="12"/>
      <c r="V731" s="12"/>
      <c r="W731" s="12"/>
      <c r="X731" s="12"/>
    </row>
    <row r="732" customFormat="false" ht="15.75" hidden="false" customHeight="false" outlineLevel="0" collapsed="false">
      <c r="A732" s="12"/>
      <c r="B732" s="34"/>
      <c r="C732" s="12"/>
      <c r="D732" s="12"/>
      <c r="E732" s="12"/>
      <c r="F732" s="12"/>
      <c r="G732" s="18"/>
      <c r="H732" s="35"/>
      <c r="I732" s="12"/>
      <c r="M732" s="12"/>
      <c r="N732" s="18"/>
      <c r="O732" s="12"/>
      <c r="P732" s="12"/>
      <c r="Q732" s="12"/>
      <c r="R732" s="36"/>
      <c r="S732" s="36"/>
      <c r="T732" s="12"/>
      <c r="U732" s="12"/>
      <c r="V732" s="12"/>
      <c r="W732" s="12"/>
      <c r="X732" s="12"/>
    </row>
    <row r="733" customFormat="false" ht="15.75" hidden="false" customHeight="false" outlineLevel="0" collapsed="false">
      <c r="A733" s="12"/>
      <c r="B733" s="34"/>
      <c r="C733" s="12"/>
      <c r="D733" s="12"/>
      <c r="E733" s="12"/>
      <c r="F733" s="12"/>
      <c r="G733" s="18"/>
      <c r="H733" s="35"/>
      <c r="I733" s="12"/>
      <c r="M733" s="12"/>
      <c r="N733" s="18"/>
      <c r="O733" s="12"/>
      <c r="P733" s="12"/>
      <c r="Q733" s="12"/>
      <c r="R733" s="36"/>
      <c r="S733" s="36"/>
      <c r="T733" s="12"/>
      <c r="U733" s="12"/>
      <c r="V733" s="12"/>
      <c r="W733" s="12"/>
      <c r="X733" s="12"/>
    </row>
    <row r="734" customFormat="false" ht="15.75" hidden="false" customHeight="false" outlineLevel="0" collapsed="false">
      <c r="A734" s="12"/>
      <c r="B734" s="34"/>
      <c r="C734" s="12"/>
      <c r="D734" s="12"/>
      <c r="E734" s="12"/>
      <c r="F734" s="12"/>
      <c r="G734" s="18"/>
      <c r="H734" s="35"/>
      <c r="I734" s="12"/>
      <c r="M734" s="12"/>
      <c r="N734" s="18"/>
      <c r="O734" s="12"/>
      <c r="P734" s="12"/>
      <c r="Q734" s="12"/>
      <c r="R734" s="36"/>
      <c r="S734" s="36"/>
      <c r="T734" s="12"/>
      <c r="U734" s="12"/>
      <c r="V734" s="12"/>
      <c r="W734" s="12"/>
      <c r="X734" s="12"/>
    </row>
    <row r="735" customFormat="false" ht="15.75" hidden="false" customHeight="false" outlineLevel="0" collapsed="false">
      <c r="A735" s="12"/>
      <c r="B735" s="34"/>
      <c r="C735" s="12"/>
      <c r="D735" s="12"/>
      <c r="E735" s="12"/>
      <c r="F735" s="12"/>
      <c r="G735" s="18"/>
      <c r="H735" s="35"/>
      <c r="I735" s="12"/>
      <c r="M735" s="12"/>
      <c r="N735" s="18"/>
      <c r="O735" s="12"/>
      <c r="P735" s="12"/>
      <c r="Q735" s="12"/>
      <c r="R735" s="36"/>
      <c r="S735" s="36"/>
      <c r="T735" s="12"/>
      <c r="U735" s="12"/>
      <c r="V735" s="12"/>
      <c r="W735" s="12"/>
      <c r="X735" s="12"/>
    </row>
    <row r="736" customFormat="false" ht="15.75" hidden="false" customHeight="false" outlineLevel="0" collapsed="false">
      <c r="A736" s="12"/>
      <c r="B736" s="34"/>
      <c r="C736" s="12"/>
      <c r="D736" s="12"/>
      <c r="E736" s="12"/>
      <c r="F736" s="12"/>
      <c r="G736" s="18"/>
      <c r="H736" s="35"/>
      <c r="I736" s="12"/>
      <c r="M736" s="12"/>
      <c r="N736" s="18"/>
      <c r="O736" s="12"/>
      <c r="P736" s="12"/>
      <c r="Q736" s="12"/>
      <c r="R736" s="36"/>
      <c r="S736" s="36"/>
      <c r="T736" s="12"/>
      <c r="U736" s="12"/>
      <c r="V736" s="12"/>
      <c r="W736" s="12"/>
      <c r="X736" s="12"/>
    </row>
    <row r="737" customFormat="false" ht="15.75" hidden="false" customHeight="false" outlineLevel="0" collapsed="false">
      <c r="A737" s="12"/>
      <c r="B737" s="34"/>
      <c r="C737" s="12"/>
      <c r="D737" s="12"/>
      <c r="E737" s="12"/>
      <c r="F737" s="12"/>
      <c r="G737" s="18"/>
      <c r="H737" s="35"/>
      <c r="I737" s="12"/>
      <c r="M737" s="12"/>
      <c r="N737" s="18"/>
      <c r="O737" s="12"/>
      <c r="P737" s="12"/>
      <c r="Q737" s="12"/>
      <c r="R737" s="36"/>
      <c r="S737" s="36"/>
      <c r="T737" s="12"/>
      <c r="U737" s="12"/>
      <c r="V737" s="12"/>
      <c r="W737" s="12"/>
      <c r="X737" s="12"/>
    </row>
    <row r="738" customFormat="false" ht="15.75" hidden="false" customHeight="false" outlineLevel="0" collapsed="false">
      <c r="A738" s="12"/>
      <c r="B738" s="34"/>
      <c r="C738" s="12"/>
      <c r="D738" s="12"/>
      <c r="E738" s="12"/>
      <c r="F738" s="12"/>
      <c r="G738" s="18"/>
      <c r="H738" s="35"/>
      <c r="I738" s="12"/>
      <c r="M738" s="12"/>
      <c r="N738" s="18"/>
      <c r="O738" s="12"/>
      <c r="P738" s="12"/>
      <c r="Q738" s="12"/>
      <c r="R738" s="36"/>
      <c r="S738" s="36"/>
      <c r="T738" s="12"/>
      <c r="U738" s="12"/>
      <c r="V738" s="12"/>
      <c r="W738" s="12"/>
      <c r="X738" s="12"/>
    </row>
    <row r="739" customFormat="false" ht="15.75" hidden="false" customHeight="false" outlineLevel="0" collapsed="false">
      <c r="A739" s="12"/>
      <c r="B739" s="34"/>
      <c r="C739" s="12"/>
      <c r="D739" s="12"/>
      <c r="E739" s="12"/>
      <c r="F739" s="12"/>
      <c r="G739" s="18"/>
      <c r="H739" s="35"/>
      <c r="I739" s="12"/>
      <c r="M739" s="12"/>
      <c r="N739" s="18"/>
      <c r="O739" s="12"/>
      <c r="P739" s="12"/>
      <c r="Q739" s="12"/>
      <c r="R739" s="36"/>
      <c r="S739" s="36"/>
      <c r="T739" s="12"/>
      <c r="U739" s="12"/>
      <c r="V739" s="12"/>
      <c r="W739" s="12"/>
      <c r="X739" s="12"/>
    </row>
    <row r="740" customFormat="false" ht="15.75" hidden="false" customHeight="false" outlineLevel="0" collapsed="false">
      <c r="A740" s="12"/>
      <c r="B740" s="34"/>
      <c r="C740" s="12"/>
      <c r="D740" s="12"/>
      <c r="E740" s="12"/>
      <c r="F740" s="12"/>
      <c r="G740" s="18"/>
      <c r="H740" s="35"/>
      <c r="I740" s="12"/>
      <c r="M740" s="12"/>
      <c r="N740" s="18"/>
      <c r="O740" s="12"/>
      <c r="P740" s="12"/>
      <c r="Q740" s="12"/>
      <c r="R740" s="36"/>
      <c r="S740" s="36"/>
      <c r="T740" s="12"/>
      <c r="U740" s="12"/>
      <c r="V740" s="12"/>
      <c r="W740" s="12"/>
      <c r="X740" s="12"/>
    </row>
    <row r="741" customFormat="false" ht="15.75" hidden="false" customHeight="false" outlineLevel="0" collapsed="false">
      <c r="A741" s="12"/>
      <c r="B741" s="34"/>
      <c r="C741" s="12"/>
      <c r="D741" s="12"/>
      <c r="E741" s="12"/>
      <c r="F741" s="12"/>
      <c r="G741" s="18"/>
      <c r="H741" s="35"/>
      <c r="I741" s="12"/>
      <c r="M741" s="12"/>
      <c r="N741" s="18"/>
      <c r="O741" s="12"/>
      <c r="P741" s="12"/>
      <c r="Q741" s="12"/>
      <c r="R741" s="36"/>
      <c r="S741" s="36"/>
      <c r="T741" s="12"/>
      <c r="U741" s="12"/>
      <c r="V741" s="12"/>
      <c r="W741" s="12"/>
      <c r="X741" s="12"/>
    </row>
    <row r="742" customFormat="false" ht="15.75" hidden="false" customHeight="false" outlineLevel="0" collapsed="false">
      <c r="A742" s="12"/>
      <c r="B742" s="34"/>
      <c r="C742" s="12"/>
      <c r="D742" s="12"/>
      <c r="E742" s="12"/>
      <c r="F742" s="12"/>
      <c r="G742" s="18"/>
      <c r="H742" s="35"/>
      <c r="I742" s="12"/>
      <c r="M742" s="12"/>
      <c r="N742" s="18"/>
      <c r="O742" s="12"/>
      <c r="P742" s="12"/>
      <c r="Q742" s="12"/>
      <c r="R742" s="36"/>
      <c r="S742" s="36"/>
      <c r="T742" s="12"/>
      <c r="U742" s="12"/>
      <c r="V742" s="12"/>
      <c r="W742" s="12"/>
      <c r="X742" s="12"/>
    </row>
    <row r="743" customFormat="false" ht="15.75" hidden="false" customHeight="false" outlineLevel="0" collapsed="false">
      <c r="A743" s="12"/>
      <c r="B743" s="34"/>
      <c r="C743" s="12"/>
      <c r="D743" s="12"/>
      <c r="E743" s="12"/>
      <c r="F743" s="12"/>
      <c r="G743" s="18"/>
      <c r="H743" s="35"/>
      <c r="I743" s="12"/>
      <c r="M743" s="12"/>
      <c r="N743" s="18"/>
      <c r="O743" s="12"/>
      <c r="P743" s="12"/>
      <c r="Q743" s="12"/>
      <c r="R743" s="36"/>
      <c r="S743" s="36"/>
      <c r="T743" s="12"/>
      <c r="U743" s="12"/>
      <c r="V743" s="12"/>
      <c r="W743" s="12"/>
      <c r="X743" s="12"/>
    </row>
    <row r="744" customFormat="false" ht="15.75" hidden="false" customHeight="false" outlineLevel="0" collapsed="false">
      <c r="A744" s="12"/>
      <c r="B744" s="34"/>
      <c r="C744" s="12"/>
      <c r="D744" s="12"/>
      <c r="E744" s="12"/>
      <c r="F744" s="12"/>
      <c r="G744" s="18"/>
      <c r="H744" s="35"/>
      <c r="I744" s="12"/>
      <c r="M744" s="12"/>
      <c r="N744" s="18"/>
      <c r="O744" s="12"/>
      <c r="P744" s="12"/>
      <c r="Q744" s="12"/>
      <c r="R744" s="36"/>
      <c r="S744" s="36"/>
      <c r="T744" s="12"/>
      <c r="U744" s="12"/>
      <c r="V744" s="12"/>
      <c r="W744" s="12"/>
      <c r="X744" s="12"/>
    </row>
    <row r="745" customFormat="false" ht="15.75" hidden="false" customHeight="false" outlineLevel="0" collapsed="false">
      <c r="A745" s="12"/>
      <c r="B745" s="34"/>
      <c r="C745" s="12"/>
      <c r="D745" s="12"/>
      <c r="E745" s="12"/>
      <c r="F745" s="12"/>
      <c r="G745" s="18"/>
      <c r="H745" s="35"/>
      <c r="I745" s="12"/>
      <c r="M745" s="12"/>
      <c r="N745" s="18"/>
      <c r="O745" s="12"/>
      <c r="P745" s="12"/>
      <c r="Q745" s="12"/>
      <c r="R745" s="36"/>
      <c r="S745" s="36"/>
      <c r="T745" s="12"/>
      <c r="U745" s="12"/>
      <c r="V745" s="12"/>
      <c r="W745" s="12"/>
      <c r="X745" s="12"/>
    </row>
    <row r="746" customFormat="false" ht="15.75" hidden="false" customHeight="false" outlineLevel="0" collapsed="false">
      <c r="A746" s="12"/>
      <c r="B746" s="34"/>
      <c r="C746" s="12"/>
      <c r="D746" s="12"/>
      <c r="E746" s="12"/>
      <c r="F746" s="12"/>
      <c r="G746" s="18"/>
      <c r="H746" s="35"/>
      <c r="I746" s="12"/>
      <c r="M746" s="12"/>
      <c r="N746" s="18"/>
      <c r="O746" s="12"/>
      <c r="P746" s="12"/>
      <c r="Q746" s="12"/>
      <c r="R746" s="36"/>
      <c r="S746" s="36"/>
      <c r="T746" s="12"/>
      <c r="U746" s="12"/>
      <c r="V746" s="12"/>
      <c r="W746" s="12"/>
      <c r="X746" s="12"/>
    </row>
    <row r="747" customFormat="false" ht="15.75" hidden="false" customHeight="false" outlineLevel="0" collapsed="false">
      <c r="A747" s="12"/>
      <c r="B747" s="34"/>
      <c r="C747" s="12"/>
      <c r="D747" s="12"/>
      <c r="E747" s="12"/>
      <c r="F747" s="12"/>
      <c r="G747" s="18"/>
      <c r="H747" s="35"/>
      <c r="I747" s="12"/>
      <c r="M747" s="12"/>
      <c r="N747" s="18"/>
      <c r="O747" s="12"/>
      <c r="P747" s="12"/>
      <c r="Q747" s="12"/>
      <c r="R747" s="36"/>
      <c r="S747" s="36"/>
      <c r="T747" s="12"/>
      <c r="U747" s="12"/>
      <c r="V747" s="12"/>
      <c r="W747" s="12"/>
      <c r="X747" s="12"/>
    </row>
    <row r="748" customFormat="false" ht="15.75" hidden="false" customHeight="false" outlineLevel="0" collapsed="false">
      <c r="A748" s="12"/>
      <c r="B748" s="34"/>
      <c r="C748" s="12"/>
      <c r="D748" s="12"/>
      <c r="E748" s="12"/>
      <c r="F748" s="12"/>
      <c r="G748" s="18"/>
      <c r="H748" s="35"/>
      <c r="I748" s="12"/>
      <c r="M748" s="12"/>
      <c r="N748" s="18"/>
      <c r="O748" s="12"/>
      <c r="P748" s="12"/>
      <c r="Q748" s="12"/>
      <c r="R748" s="36"/>
      <c r="S748" s="36"/>
      <c r="T748" s="12"/>
      <c r="U748" s="12"/>
      <c r="V748" s="12"/>
      <c r="W748" s="12"/>
      <c r="X748" s="12"/>
    </row>
    <row r="749" customFormat="false" ht="15.75" hidden="false" customHeight="false" outlineLevel="0" collapsed="false">
      <c r="A749" s="12"/>
      <c r="B749" s="34"/>
      <c r="C749" s="12"/>
      <c r="D749" s="12"/>
      <c r="E749" s="12"/>
      <c r="F749" s="12"/>
      <c r="G749" s="18"/>
      <c r="H749" s="35"/>
      <c r="I749" s="12"/>
      <c r="M749" s="12"/>
      <c r="N749" s="18"/>
      <c r="O749" s="12"/>
      <c r="P749" s="12"/>
      <c r="Q749" s="12"/>
      <c r="R749" s="36"/>
      <c r="S749" s="36"/>
      <c r="T749" s="12"/>
      <c r="U749" s="12"/>
      <c r="V749" s="12"/>
      <c r="W749" s="12"/>
      <c r="X749" s="12"/>
    </row>
    <row r="750" customFormat="false" ht="15.75" hidden="false" customHeight="false" outlineLevel="0" collapsed="false">
      <c r="A750" s="12"/>
      <c r="B750" s="34"/>
      <c r="C750" s="12"/>
      <c r="D750" s="12"/>
      <c r="E750" s="12"/>
      <c r="F750" s="12"/>
      <c r="G750" s="18"/>
      <c r="H750" s="35"/>
      <c r="I750" s="12"/>
      <c r="M750" s="12"/>
      <c r="N750" s="18"/>
      <c r="O750" s="12"/>
      <c r="P750" s="12"/>
      <c r="Q750" s="12"/>
      <c r="R750" s="36"/>
      <c r="S750" s="36"/>
      <c r="T750" s="12"/>
      <c r="U750" s="12"/>
      <c r="V750" s="12"/>
      <c r="W750" s="12"/>
      <c r="X750" s="12"/>
    </row>
    <row r="751" customFormat="false" ht="15.75" hidden="false" customHeight="false" outlineLevel="0" collapsed="false">
      <c r="A751" s="12"/>
      <c r="B751" s="34"/>
      <c r="C751" s="12"/>
      <c r="D751" s="12"/>
      <c r="E751" s="12"/>
      <c r="F751" s="12"/>
      <c r="G751" s="18"/>
      <c r="H751" s="35"/>
      <c r="I751" s="12"/>
      <c r="M751" s="12"/>
      <c r="N751" s="18"/>
      <c r="O751" s="12"/>
      <c r="P751" s="12"/>
      <c r="Q751" s="12"/>
      <c r="R751" s="36"/>
      <c r="S751" s="36"/>
      <c r="T751" s="12"/>
      <c r="U751" s="12"/>
      <c r="V751" s="12"/>
      <c r="W751" s="12"/>
      <c r="X751" s="12"/>
    </row>
    <row r="752" customFormat="false" ht="15.75" hidden="false" customHeight="false" outlineLevel="0" collapsed="false">
      <c r="A752" s="12"/>
      <c r="B752" s="34"/>
      <c r="C752" s="12"/>
      <c r="D752" s="12"/>
      <c r="E752" s="12"/>
      <c r="F752" s="12"/>
      <c r="G752" s="18"/>
      <c r="H752" s="35"/>
      <c r="I752" s="12"/>
      <c r="M752" s="12"/>
      <c r="N752" s="18"/>
      <c r="O752" s="12"/>
      <c r="P752" s="12"/>
      <c r="Q752" s="12"/>
      <c r="R752" s="36"/>
      <c r="S752" s="36"/>
      <c r="T752" s="12"/>
      <c r="U752" s="12"/>
      <c r="V752" s="12"/>
      <c r="W752" s="12"/>
      <c r="X752" s="12"/>
    </row>
    <row r="753" customFormat="false" ht="15.75" hidden="false" customHeight="false" outlineLevel="0" collapsed="false">
      <c r="A753" s="12"/>
      <c r="B753" s="34"/>
      <c r="C753" s="12"/>
      <c r="D753" s="12"/>
      <c r="E753" s="12"/>
      <c r="F753" s="12"/>
      <c r="G753" s="18"/>
      <c r="H753" s="35"/>
      <c r="I753" s="12"/>
      <c r="M753" s="12"/>
      <c r="N753" s="18"/>
      <c r="O753" s="12"/>
      <c r="P753" s="12"/>
      <c r="Q753" s="12"/>
      <c r="R753" s="36"/>
      <c r="S753" s="36"/>
      <c r="T753" s="12"/>
      <c r="U753" s="12"/>
      <c r="V753" s="12"/>
      <c r="W753" s="12"/>
      <c r="X753" s="12"/>
    </row>
    <row r="754" customFormat="false" ht="15.75" hidden="false" customHeight="false" outlineLevel="0" collapsed="false">
      <c r="A754" s="12"/>
      <c r="B754" s="34"/>
      <c r="C754" s="12"/>
      <c r="D754" s="12"/>
      <c r="E754" s="12"/>
      <c r="F754" s="12"/>
      <c r="G754" s="18"/>
      <c r="H754" s="35"/>
      <c r="I754" s="12"/>
      <c r="M754" s="12"/>
      <c r="N754" s="18"/>
      <c r="O754" s="12"/>
      <c r="P754" s="12"/>
      <c r="Q754" s="12"/>
      <c r="R754" s="36"/>
      <c r="S754" s="36"/>
      <c r="T754" s="12"/>
      <c r="U754" s="12"/>
      <c r="V754" s="12"/>
      <c r="W754" s="12"/>
      <c r="X754" s="12"/>
    </row>
    <row r="755" customFormat="false" ht="15.75" hidden="false" customHeight="false" outlineLevel="0" collapsed="false">
      <c r="A755" s="12"/>
      <c r="B755" s="34"/>
      <c r="C755" s="12"/>
      <c r="D755" s="12"/>
      <c r="E755" s="12"/>
      <c r="F755" s="12"/>
      <c r="G755" s="18"/>
      <c r="H755" s="35"/>
      <c r="I755" s="12"/>
      <c r="M755" s="12"/>
      <c r="N755" s="18"/>
      <c r="O755" s="12"/>
      <c r="P755" s="12"/>
      <c r="Q755" s="12"/>
      <c r="R755" s="36"/>
      <c r="S755" s="36"/>
      <c r="T755" s="12"/>
      <c r="U755" s="12"/>
      <c r="V755" s="12"/>
      <c r="W755" s="12"/>
      <c r="X755" s="12"/>
    </row>
    <row r="756" customFormat="false" ht="15.75" hidden="false" customHeight="false" outlineLevel="0" collapsed="false">
      <c r="A756" s="12"/>
      <c r="B756" s="34"/>
      <c r="C756" s="12"/>
      <c r="D756" s="12"/>
      <c r="E756" s="12"/>
      <c r="F756" s="12"/>
      <c r="G756" s="18"/>
      <c r="H756" s="35"/>
      <c r="I756" s="12"/>
      <c r="M756" s="12"/>
      <c r="N756" s="18"/>
      <c r="O756" s="12"/>
      <c r="P756" s="12"/>
      <c r="Q756" s="12"/>
      <c r="R756" s="36"/>
      <c r="S756" s="36"/>
      <c r="T756" s="12"/>
      <c r="U756" s="12"/>
      <c r="V756" s="12"/>
      <c r="W756" s="12"/>
      <c r="X756" s="12"/>
    </row>
    <row r="757" customFormat="false" ht="15.75" hidden="false" customHeight="false" outlineLevel="0" collapsed="false">
      <c r="A757" s="12"/>
      <c r="B757" s="34"/>
      <c r="C757" s="12"/>
      <c r="D757" s="12"/>
      <c r="E757" s="12"/>
      <c r="F757" s="12"/>
      <c r="G757" s="18"/>
      <c r="H757" s="35"/>
      <c r="I757" s="12"/>
      <c r="M757" s="12"/>
      <c r="N757" s="18"/>
      <c r="O757" s="12"/>
      <c r="P757" s="12"/>
      <c r="Q757" s="12"/>
      <c r="R757" s="36"/>
      <c r="S757" s="36"/>
      <c r="T757" s="12"/>
      <c r="U757" s="12"/>
      <c r="V757" s="12"/>
      <c r="W757" s="12"/>
      <c r="X757" s="12"/>
    </row>
    <row r="758" customFormat="false" ht="15.75" hidden="false" customHeight="false" outlineLevel="0" collapsed="false">
      <c r="A758" s="12"/>
      <c r="B758" s="34"/>
      <c r="C758" s="12"/>
      <c r="D758" s="12"/>
      <c r="E758" s="12"/>
      <c r="F758" s="12"/>
      <c r="G758" s="18"/>
      <c r="H758" s="35"/>
      <c r="I758" s="12"/>
      <c r="M758" s="12"/>
      <c r="N758" s="18"/>
      <c r="O758" s="12"/>
      <c r="P758" s="12"/>
      <c r="Q758" s="12"/>
      <c r="R758" s="36"/>
      <c r="S758" s="36"/>
      <c r="T758" s="12"/>
      <c r="U758" s="12"/>
      <c r="V758" s="12"/>
      <c r="W758" s="12"/>
      <c r="X758" s="12"/>
    </row>
    <row r="759" customFormat="false" ht="15.75" hidden="false" customHeight="false" outlineLevel="0" collapsed="false">
      <c r="A759" s="12"/>
      <c r="B759" s="34"/>
      <c r="C759" s="12"/>
      <c r="D759" s="12"/>
      <c r="E759" s="12"/>
      <c r="F759" s="12"/>
      <c r="G759" s="18"/>
      <c r="H759" s="35"/>
      <c r="I759" s="12"/>
      <c r="M759" s="12"/>
      <c r="N759" s="18"/>
      <c r="O759" s="12"/>
      <c r="P759" s="12"/>
      <c r="Q759" s="12"/>
      <c r="R759" s="36"/>
      <c r="S759" s="36"/>
      <c r="T759" s="12"/>
      <c r="U759" s="12"/>
      <c r="V759" s="12"/>
      <c r="W759" s="12"/>
      <c r="X759" s="12"/>
    </row>
    <row r="760" customFormat="false" ht="15.75" hidden="false" customHeight="false" outlineLevel="0" collapsed="false">
      <c r="A760" s="12"/>
      <c r="B760" s="34"/>
      <c r="C760" s="12"/>
      <c r="D760" s="12"/>
      <c r="E760" s="12"/>
      <c r="F760" s="12"/>
      <c r="G760" s="18"/>
      <c r="H760" s="35"/>
      <c r="I760" s="12"/>
      <c r="M760" s="12"/>
      <c r="N760" s="18"/>
      <c r="O760" s="12"/>
      <c r="P760" s="12"/>
      <c r="Q760" s="12"/>
      <c r="R760" s="36"/>
      <c r="S760" s="36"/>
      <c r="T760" s="12"/>
      <c r="U760" s="12"/>
      <c r="V760" s="12"/>
      <c r="W760" s="12"/>
      <c r="X760" s="12"/>
    </row>
    <row r="761" customFormat="false" ht="15.75" hidden="false" customHeight="false" outlineLevel="0" collapsed="false">
      <c r="A761" s="12"/>
      <c r="B761" s="34"/>
      <c r="C761" s="12"/>
      <c r="D761" s="12"/>
      <c r="E761" s="12"/>
      <c r="F761" s="12"/>
      <c r="G761" s="18"/>
      <c r="H761" s="35"/>
      <c r="I761" s="12"/>
      <c r="M761" s="12"/>
      <c r="N761" s="18"/>
      <c r="O761" s="12"/>
      <c r="P761" s="12"/>
      <c r="Q761" s="12"/>
      <c r="R761" s="36"/>
      <c r="S761" s="36"/>
      <c r="T761" s="12"/>
      <c r="U761" s="12"/>
      <c r="V761" s="12"/>
      <c r="W761" s="12"/>
      <c r="X761" s="12"/>
    </row>
    <row r="762" customFormat="false" ht="15.75" hidden="false" customHeight="false" outlineLevel="0" collapsed="false">
      <c r="A762" s="12"/>
      <c r="B762" s="34"/>
      <c r="C762" s="12"/>
      <c r="D762" s="12"/>
      <c r="E762" s="12"/>
      <c r="F762" s="12"/>
      <c r="G762" s="18"/>
      <c r="H762" s="35"/>
      <c r="I762" s="12"/>
      <c r="M762" s="12"/>
      <c r="N762" s="18"/>
      <c r="O762" s="12"/>
      <c r="P762" s="12"/>
      <c r="Q762" s="12"/>
      <c r="R762" s="36"/>
      <c r="S762" s="36"/>
      <c r="T762" s="12"/>
      <c r="U762" s="12"/>
      <c r="V762" s="12"/>
      <c r="W762" s="12"/>
      <c r="X762" s="12"/>
    </row>
    <row r="763" customFormat="false" ht="15.75" hidden="false" customHeight="false" outlineLevel="0" collapsed="false">
      <c r="A763" s="12"/>
      <c r="B763" s="34"/>
      <c r="C763" s="12"/>
      <c r="D763" s="12"/>
      <c r="E763" s="12"/>
      <c r="F763" s="12"/>
      <c r="G763" s="18"/>
      <c r="H763" s="35"/>
      <c r="I763" s="12"/>
      <c r="M763" s="12"/>
      <c r="N763" s="18"/>
      <c r="O763" s="12"/>
      <c r="P763" s="12"/>
      <c r="Q763" s="12"/>
      <c r="R763" s="36"/>
      <c r="S763" s="36"/>
      <c r="T763" s="12"/>
      <c r="U763" s="12"/>
      <c r="V763" s="12"/>
      <c r="W763" s="12"/>
      <c r="X763" s="12"/>
    </row>
    <row r="764" customFormat="false" ht="15.75" hidden="false" customHeight="false" outlineLevel="0" collapsed="false">
      <c r="A764" s="12"/>
      <c r="B764" s="34"/>
      <c r="C764" s="12"/>
      <c r="D764" s="12"/>
      <c r="E764" s="12"/>
      <c r="F764" s="12"/>
      <c r="G764" s="18"/>
      <c r="H764" s="35"/>
      <c r="I764" s="12"/>
      <c r="M764" s="12"/>
      <c r="N764" s="18"/>
      <c r="O764" s="12"/>
      <c r="P764" s="12"/>
      <c r="Q764" s="12"/>
      <c r="R764" s="36"/>
      <c r="S764" s="36"/>
      <c r="T764" s="12"/>
      <c r="U764" s="12"/>
      <c r="V764" s="12"/>
      <c r="W764" s="12"/>
      <c r="X764" s="12"/>
    </row>
    <row r="765" customFormat="false" ht="15.75" hidden="false" customHeight="false" outlineLevel="0" collapsed="false">
      <c r="A765" s="12"/>
      <c r="B765" s="34"/>
      <c r="C765" s="12"/>
      <c r="D765" s="12"/>
      <c r="E765" s="12"/>
      <c r="F765" s="12"/>
      <c r="G765" s="18"/>
      <c r="H765" s="35"/>
      <c r="I765" s="12"/>
      <c r="M765" s="12"/>
      <c r="N765" s="18"/>
      <c r="O765" s="12"/>
      <c r="P765" s="12"/>
      <c r="Q765" s="12"/>
      <c r="R765" s="36"/>
      <c r="S765" s="36"/>
      <c r="T765" s="12"/>
      <c r="U765" s="12"/>
      <c r="V765" s="12"/>
      <c r="W765" s="12"/>
      <c r="X765" s="12"/>
    </row>
    <row r="766" customFormat="false" ht="15.75" hidden="false" customHeight="false" outlineLevel="0" collapsed="false">
      <c r="A766" s="12"/>
      <c r="B766" s="34"/>
      <c r="C766" s="12"/>
      <c r="D766" s="12"/>
      <c r="E766" s="12"/>
      <c r="F766" s="12"/>
      <c r="G766" s="18"/>
      <c r="H766" s="35"/>
      <c r="I766" s="12"/>
      <c r="M766" s="12"/>
      <c r="N766" s="18"/>
      <c r="O766" s="12"/>
      <c r="P766" s="12"/>
      <c r="Q766" s="12"/>
      <c r="R766" s="36"/>
      <c r="S766" s="36"/>
      <c r="T766" s="12"/>
      <c r="U766" s="12"/>
      <c r="V766" s="12"/>
      <c r="W766" s="12"/>
      <c r="X766" s="12"/>
    </row>
    <row r="767" customFormat="false" ht="15.75" hidden="false" customHeight="false" outlineLevel="0" collapsed="false">
      <c r="A767" s="12"/>
      <c r="B767" s="34"/>
      <c r="C767" s="12"/>
      <c r="D767" s="12"/>
      <c r="E767" s="12"/>
      <c r="F767" s="12"/>
      <c r="G767" s="18"/>
      <c r="H767" s="35"/>
      <c r="I767" s="12"/>
      <c r="M767" s="12"/>
      <c r="N767" s="18"/>
      <c r="O767" s="12"/>
      <c r="P767" s="12"/>
      <c r="Q767" s="12"/>
      <c r="R767" s="36"/>
      <c r="S767" s="36"/>
      <c r="T767" s="12"/>
      <c r="U767" s="12"/>
      <c r="V767" s="12"/>
      <c r="W767" s="12"/>
      <c r="X767" s="12"/>
    </row>
    <row r="768" customFormat="false" ht="15.75" hidden="false" customHeight="false" outlineLevel="0" collapsed="false">
      <c r="A768" s="12"/>
      <c r="B768" s="34"/>
      <c r="C768" s="12"/>
      <c r="D768" s="12"/>
      <c r="E768" s="12"/>
      <c r="F768" s="12"/>
      <c r="G768" s="18"/>
      <c r="H768" s="35"/>
      <c r="I768" s="12"/>
      <c r="M768" s="12"/>
      <c r="N768" s="18"/>
      <c r="O768" s="12"/>
      <c r="P768" s="12"/>
      <c r="Q768" s="12"/>
      <c r="R768" s="36"/>
      <c r="S768" s="36"/>
      <c r="T768" s="12"/>
      <c r="U768" s="12"/>
      <c r="V768" s="12"/>
      <c r="W768" s="12"/>
      <c r="X768" s="12"/>
    </row>
    <row r="769" customFormat="false" ht="15.75" hidden="false" customHeight="false" outlineLevel="0" collapsed="false">
      <c r="A769" s="12"/>
      <c r="B769" s="34"/>
      <c r="C769" s="12"/>
      <c r="D769" s="12"/>
      <c r="E769" s="12"/>
      <c r="F769" s="12"/>
      <c r="G769" s="18"/>
      <c r="H769" s="35"/>
      <c r="I769" s="12"/>
      <c r="M769" s="12"/>
      <c r="N769" s="18"/>
      <c r="O769" s="12"/>
      <c r="P769" s="12"/>
      <c r="Q769" s="12"/>
      <c r="R769" s="36"/>
      <c r="S769" s="36"/>
      <c r="T769" s="12"/>
      <c r="U769" s="12"/>
      <c r="V769" s="12"/>
      <c r="W769" s="12"/>
      <c r="X769" s="12"/>
    </row>
    <row r="770" customFormat="false" ht="15.75" hidden="false" customHeight="false" outlineLevel="0" collapsed="false">
      <c r="A770" s="12"/>
      <c r="B770" s="34"/>
      <c r="C770" s="12"/>
      <c r="D770" s="12"/>
      <c r="E770" s="12"/>
      <c r="F770" s="12"/>
      <c r="G770" s="18"/>
      <c r="H770" s="35"/>
      <c r="I770" s="12"/>
      <c r="M770" s="12"/>
      <c r="N770" s="18"/>
      <c r="O770" s="12"/>
      <c r="P770" s="12"/>
      <c r="Q770" s="12"/>
      <c r="R770" s="36"/>
      <c r="S770" s="36"/>
      <c r="T770" s="12"/>
      <c r="U770" s="12"/>
      <c r="V770" s="12"/>
      <c r="W770" s="12"/>
      <c r="X770" s="12"/>
    </row>
    <row r="771" customFormat="false" ht="15.75" hidden="false" customHeight="false" outlineLevel="0" collapsed="false">
      <c r="A771" s="12"/>
      <c r="B771" s="34"/>
      <c r="C771" s="12"/>
      <c r="D771" s="12"/>
      <c r="E771" s="12"/>
      <c r="F771" s="12"/>
      <c r="G771" s="18"/>
      <c r="H771" s="35"/>
      <c r="I771" s="12"/>
      <c r="M771" s="12"/>
      <c r="N771" s="18"/>
      <c r="O771" s="12"/>
      <c r="P771" s="12"/>
      <c r="Q771" s="12"/>
      <c r="R771" s="36"/>
      <c r="S771" s="36"/>
      <c r="T771" s="12"/>
      <c r="U771" s="12"/>
      <c r="V771" s="12"/>
      <c r="W771" s="12"/>
      <c r="X771" s="12"/>
    </row>
    <row r="772" customFormat="false" ht="15.75" hidden="false" customHeight="false" outlineLevel="0" collapsed="false">
      <c r="A772" s="12"/>
      <c r="B772" s="34"/>
      <c r="C772" s="12"/>
      <c r="D772" s="12"/>
      <c r="E772" s="12"/>
      <c r="F772" s="12"/>
      <c r="G772" s="18"/>
      <c r="H772" s="35"/>
      <c r="I772" s="12"/>
      <c r="M772" s="12"/>
      <c r="N772" s="18"/>
      <c r="O772" s="12"/>
      <c r="P772" s="12"/>
      <c r="Q772" s="12"/>
      <c r="R772" s="36"/>
      <c r="S772" s="36"/>
      <c r="T772" s="12"/>
      <c r="U772" s="12"/>
      <c r="V772" s="12"/>
      <c r="W772" s="12"/>
      <c r="X772" s="12"/>
    </row>
    <row r="773" customFormat="false" ht="15.75" hidden="false" customHeight="false" outlineLevel="0" collapsed="false">
      <c r="A773" s="12"/>
      <c r="B773" s="34"/>
      <c r="C773" s="12"/>
      <c r="D773" s="12"/>
      <c r="E773" s="12"/>
      <c r="F773" s="12"/>
      <c r="G773" s="18"/>
      <c r="H773" s="35"/>
      <c r="I773" s="12"/>
      <c r="M773" s="12"/>
      <c r="N773" s="18"/>
      <c r="O773" s="12"/>
      <c r="P773" s="12"/>
      <c r="Q773" s="12"/>
      <c r="R773" s="36"/>
      <c r="S773" s="36"/>
      <c r="T773" s="12"/>
      <c r="U773" s="12"/>
      <c r="V773" s="12"/>
      <c r="W773" s="12"/>
      <c r="X773" s="12"/>
    </row>
    <row r="774" customFormat="false" ht="15.75" hidden="false" customHeight="false" outlineLevel="0" collapsed="false">
      <c r="A774" s="12"/>
      <c r="B774" s="34"/>
      <c r="C774" s="12"/>
      <c r="D774" s="12"/>
      <c r="E774" s="12"/>
      <c r="F774" s="12"/>
      <c r="G774" s="18"/>
      <c r="H774" s="35"/>
      <c r="I774" s="12"/>
      <c r="M774" s="12"/>
      <c r="N774" s="18"/>
      <c r="O774" s="12"/>
      <c r="P774" s="12"/>
      <c r="Q774" s="12"/>
      <c r="R774" s="36"/>
      <c r="S774" s="36"/>
      <c r="T774" s="12"/>
      <c r="U774" s="12"/>
      <c r="V774" s="12"/>
      <c r="W774" s="12"/>
      <c r="X774" s="12"/>
    </row>
    <row r="775" customFormat="false" ht="15.75" hidden="false" customHeight="false" outlineLevel="0" collapsed="false">
      <c r="A775" s="12"/>
      <c r="B775" s="34"/>
      <c r="C775" s="12"/>
      <c r="D775" s="12"/>
      <c r="E775" s="12"/>
      <c r="F775" s="12"/>
      <c r="G775" s="18"/>
      <c r="H775" s="35"/>
      <c r="I775" s="12"/>
      <c r="M775" s="12"/>
      <c r="N775" s="18"/>
      <c r="O775" s="12"/>
      <c r="P775" s="12"/>
      <c r="Q775" s="12"/>
      <c r="R775" s="36"/>
      <c r="S775" s="36"/>
      <c r="T775" s="12"/>
      <c r="U775" s="12"/>
      <c r="V775" s="12"/>
      <c r="W775" s="12"/>
      <c r="X775" s="12"/>
    </row>
    <row r="776" customFormat="false" ht="15.75" hidden="false" customHeight="false" outlineLevel="0" collapsed="false">
      <c r="A776" s="12"/>
      <c r="B776" s="34"/>
      <c r="C776" s="12"/>
      <c r="D776" s="12"/>
      <c r="E776" s="12"/>
      <c r="F776" s="12"/>
      <c r="G776" s="18"/>
      <c r="H776" s="35"/>
      <c r="I776" s="12"/>
      <c r="M776" s="12"/>
      <c r="N776" s="18"/>
      <c r="O776" s="12"/>
      <c r="P776" s="12"/>
      <c r="Q776" s="12"/>
      <c r="R776" s="36"/>
      <c r="S776" s="36"/>
      <c r="T776" s="12"/>
      <c r="U776" s="12"/>
      <c r="V776" s="12"/>
      <c r="W776" s="12"/>
      <c r="X776" s="12"/>
    </row>
    <row r="777" customFormat="false" ht="15.75" hidden="false" customHeight="false" outlineLevel="0" collapsed="false">
      <c r="A777" s="12"/>
      <c r="B777" s="34"/>
      <c r="C777" s="12"/>
      <c r="D777" s="12"/>
      <c r="E777" s="12"/>
      <c r="F777" s="12"/>
      <c r="G777" s="18"/>
      <c r="H777" s="35"/>
      <c r="I777" s="12"/>
      <c r="M777" s="12"/>
      <c r="N777" s="18"/>
      <c r="O777" s="12"/>
      <c r="P777" s="12"/>
      <c r="Q777" s="12"/>
      <c r="R777" s="36"/>
      <c r="S777" s="36"/>
      <c r="T777" s="12"/>
      <c r="U777" s="12"/>
      <c r="V777" s="12"/>
      <c r="W777" s="12"/>
      <c r="X777" s="12"/>
    </row>
    <row r="778" customFormat="false" ht="15.75" hidden="false" customHeight="false" outlineLevel="0" collapsed="false">
      <c r="A778" s="12"/>
      <c r="B778" s="34"/>
      <c r="C778" s="12"/>
      <c r="D778" s="12"/>
      <c r="E778" s="12"/>
      <c r="F778" s="12"/>
      <c r="G778" s="18"/>
      <c r="H778" s="35"/>
      <c r="I778" s="12"/>
      <c r="M778" s="12"/>
      <c r="N778" s="18"/>
      <c r="O778" s="12"/>
      <c r="P778" s="12"/>
      <c r="Q778" s="12"/>
      <c r="R778" s="36"/>
      <c r="S778" s="36"/>
      <c r="T778" s="12"/>
      <c r="U778" s="12"/>
      <c r="V778" s="12"/>
      <c r="W778" s="12"/>
      <c r="X778" s="12"/>
    </row>
    <row r="779" customFormat="false" ht="15.75" hidden="false" customHeight="false" outlineLevel="0" collapsed="false">
      <c r="A779" s="12"/>
      <c r="B779" s="34"/>
      <c r="C779" s="12"/>
      <c r="D779" s="12"/>
      <c r="E779" s="12"/>
      <c r="F779" s="12"/>
      <c r="G779" s="18"/>
      <c r="H779" s="35"/>
      <c r="I779" s="12"/>
      <c r="M779" s="12"/>
      <c r="N779" s="18"/>
      <c r="O779" s="12"/>
      <c r="P779" s="12"/>
      <c r="Q779" s="12"/>
      <c r="R779" s="36"/>
      <c r="S779" s="36"/>
      <c r="T779" s="12"/>
      <c r="U779" s="12"/>
      <c r="V779" s="12"/>
      <c r="W779" s="12"/>
      <c r="X779" s="12"/>
    </row>
    <row r="780" customFormat="false" ht="15.75" hidden="false" customHeight="false" outlineLevel="0" collapsed="false">
      <c r="A780" s="12"/>
      <c r="B780" s="34"/>
      <c r="C780" s="12"/>
      <c r="D780" s="12"/>
      <c r="E780" s="12"/>
      <c r="F780" s="12"/>
      <c r="G780" s="18"/>
      <c r="H780" s="35"/>
      <c r="I780" s="12"/>
      <c r="M780" s="12"/>
      <c r="N780" s="18"/>
      <c r="O780" s="12"/>
      <c r="P780" s="12"/>
      <c r="Q780" s="12"/>
      <c r="R780" s="36"/>
      <c r="S780" s="36"/>
      <c r="T780" s="12"/>
      <c r="U780" s="12"/>
      <c r="V780" s="12"/>
      <c r="W780" s="12"/>
      <c r="X780" s="12"/>
    </row>
    <row r="781" customFormat="false" ht="15.75" hidden="false" customHeight="false" outlineLevel="0" collapsed="false">
      <c r="A781" s="12"/>
      <c r="B781" s="34"/>
      <c r="C781" s="12"/>
      <c r="D781" s="12"/>
      <c r="E781" s="12"/>
      <c r="F781" s="12"/>
      <c r="G781" s="18"/>
      <c r="H781" s="35"/>
      <c r="I781" s="12"/>
      <c r="M781" s="12"/>
      <c r="N781" s="18"/>
      <c r="O781" s="12"/>
      <c r="P781" s="12"/>
      <c r="Q781" s="12"/>
      <c r="R781" s="36"/>
      <c r="S781" s="36"/>
      <c r="T781" s="12"/>
      <c r="U781" s="12"/>
      <c r="V781" s="12"/>
      <c r="W781" s="12"/>
      <c r="X781" s="12"/>
    </row>
    <row r="782" customFormat="false" ht="15.75" hidden="false" customHeight="false" outlineLevel="0" collapsed="false">
      <c r="A782" s="12"/>
      <c r="B782" s="34"/>
      <c r="C782" s="12"/>
      <c r="D782" s="12"/>
      <c r="E782" s="12"/>
      <c r="F782" s="12"/>
      <c r="G782" s="18"/>
      <c r="H782" s="35"/>
      <c r="I782" s="12"/>
      <c r="M782" s="12"/>
      <c r="N782" s="18"/>
      <c r="O782" s="12"/>
      <c r="P782" s="12"/>
      <c r="Q782" s="12"/>
      <c r="R782" s="36"/>
      <c r="S782" s="36"/>
      <c r="T782" s="12"/>
      <c r="U782" s="12"/>
      <c r="V782" s="12"/>
      <c r="W782" s="12"/>
      <c r="X782" s="12"/>
    </row>
    <row r="783" customFormat="false" ht="15.75" hidden="false" customHeight="false" outlineLevel="0" collapsed="false">
      <c r="A783" s="12"/>
      <c r="B783" s="34"/>
      <c r="C783" s="12"/>
      <c r="D783" s="12"/>
      <c r="E783" s="12"/>
      <c r="F783" s="12"/>
      <c r="G783" s="18"/>
      <c r="H783" s="35"/>
      <c r="I783" s="12"/>
      <c r="M783" s="12"/>
      <c r="N783" s="18"/>
      <c r="O783" s="12"/>
      <c r="P783" s="12"/>
      <c r="Q783" s="12"/>
      <c r="R783" s="36"/>
      <c r="S783" s="36"/>
      <c r="T783" s="12"/>
      <c r="U783" s="12"/>
      <c r="V783" s="12"/>
      <c r="W783" s="12"/>
      <c r="X783" s="12"/>
    </row>
    <row r="784" customFormat="false" ht="15.75" hidden="false" customHeight="false" outlineLevel="0" collapsed="false">
      <c r="A784" s="12"/>
      <c r="B784" s="34"/>
      <c r="C784" s="12"/>
      <c r="D784" s="12"/>
      <c r="E784" s="12"/>
      <c r="F784" s="12"/>
      <c r="G784" s="18"/>
      <c r="H784" s="35"/>
      <c r="I784" s="12"/>
      <c r="M784" s="12"/>
      <c r="N784" s="18"/>
      <c r="O784" s="12"/>
      <c r="P784" s="12"/>
      <c r="Q784" s="12"/>
      <c r="R784" s="36"/>
      <c r="S784" s="36"/>
      <c r="T784" s="12"/>
      <c r="U784" s="12"/>
      <c r="V784" s="12"/>
      <c r="W784" s="12"/>
      <c r="X784" s="12"/>
    </row>
    <row r="785" customFormat="false" ht="15.75" hidden="false" customHeight="false" outlineLevel="0" collapsed="false">
      <c r="A785" s="12"/>
      <c r="B785" s="34"/>
      <c r="C785" s="12"/>
      <c r="D785" s="12"/>
      <c r="E785" s="12"/>
      <c r="F785" s="12"/>
      <c r="G785" s="18"/>
      <c r="H785" s="35"/>
      <c r="I785" s="12"/>
      <c r="M785" s="12"/>
      <c r="N785" s="18"/>
      <c r="O785" s="12"/>
      <c r="P785" s="12"/>
      <c r="Q785" s="12"/>
      <c r="R785" s="36"/>
      <c r="S785" s="36"/>
      <c r="T785" s="12"/>
      <c r="U785" s="12"/>
      <c r="V785" s="12"/>
      <c r="W785" s="12"/>
      <c r="X785" s="12"/>
    </row>
    <row r="786" customFormat="false" ht="15.75" hidden="false" customHeight="false" outlineLevel="0" collapsed="false">
      <c r="A786" s="12"/>
      <c r="B786" s="34"/>
      <c r="C786" s="12"/>
      <c r="D786" s="12"/>
      <c r="E786" s="12"/>
      <c r="F786" s="12"/>
      <c r="G786" s="18"/>
      <c r="H786" s="35"/>
      <c r="I786" s="12"/>
      <c r="M786" s="12"/>
      <c r="N786" s="18"/>
      <c r="O786" s="12"/>
      <c r="P786" s="12"/>
      <c r="Q786" s="12"/>
      <c r="R786" s="36"/>
      <c r="S786" s="36"/>
      <c r="T786" s="12"/>
      <c r="U786" s="12"/>
      <c r="V786" s="12"/>
      <c r="W786" s="12"/>
      <c r="X786" s="12"/>
    </row>
    <row r="787" customFormat="false" ht="15.75" hidden="false" customHeight="false" outlineLevel="0" collapsed="false">
      <c r="A787" s="12"/>
      <c r="B787" s="34"/>
      <c r="C787" s="12"/>
      <c r="D787" s="12"/>
      <c r="E787" s="12"/>
      <c r="F787" s="12"/>
      <c r="G787" s="18"/>
      <c r="H787" s="35"/>
      <c r="I787" s="12"/>
      <c r="M787" s="12"/>
      <c r="N787" s="18"/>
      <c r="O787" s="12"/>
      <c r="P787" s="12"/>
      <c r="Q787" s="12"/>
      <c r="R787" s="36"/>
      <c r="S787" s="36"/>
      <c r="T787" s="12"/>
      <c r="U787" s="12"/>
      <c r="V787" s="12"/>
      <c r="W787" s="12"/>
      <c r="X787" s="12"/>
    </row>
    <row r="788" customFormat="false" ht="15.75" hidden="false" customHeight="false" outlineLevel="0" collapsed="false">
      <c r="A788" s="12"/>
      <c r="B788" s="34"/>
      <c r="C788" s="12"/>
      <c r="D788" s="12"/>
      <c r="E788" s="12"/>
      <c r="F788" s="12"/>
      <c r="G788" s="18"/>
      <c r="H788" s="35"/>
      <c r="I788" s="12"/>
      <c r="M788" s="12"/>
      <c r="N788" s="18"/>
      <c r="O788" s="12"/>
      <c r="P788" s="12"/>
      <c r="Q788" s="12"/>
      <c r="R788" s="36"/>
      <c r="S788" s="36"/>
      <c r="T788" s="12"/>
      <c r="U788" s="12"/>
      <c r="V788" s="12"/>
      <c r="W788" s="12"/>
      <c r="X788" s="12"/>
    </row>
    <row r="789" customFormat="false" ht="15.75" hidden="false" customHeight="false" outlineLevel="0" collapsed="false">
      <c r="A789" s="12"/>
      <c r="B789" s="34"/>
      <c r="C789" s="12"/>
      <c r="D789" s="12"/>
      <c r="E789" s="12"/>
      <c r="F789" s="12"/>
      <c r="G789" s="18"/>
      <c r="H789" s="35"/>
      <c r="I789" s="12"/>
      <c r="M789" s="12"/>
      <c r="N789" s="18"/>
      <c r="O789" s="12"/>
      <c r="P789" s="12"/>
      <c r="Q789" s="12"/>
      <c r="R789" s="36"/>
      <c r="S789" s="36"/>
      <c r="T789" s="12"/>
      <c r="U789" s="12"/>
      <c r="V789" s="12"/>
      <c r="W789" s="12"/>
      <c r="X789" s="12"/>
    </row>
    <row r="790" customFormat="false" ht="15.75" hidden="false" customHeight="false" outlineLevel="0" collapsed="false">
      <c r="A790" s="12"/>
      <c r="B790" s="34"/>
      <c r="C790" s="12"/>
      <c r="D790" s="12"/>
      <c r="E790" s="12"/>
      <c r="F790" s="12"/>
      <c r="G790" s="18"/>
      <c r="H790" s="35"/>
      <c r="I790" s="12"/>
      <c r="M790" s="12"/>
      <c r="N790" s="18"/>
      <c r="O790" s="12"/>
      <c r="P790" s="12"/>
      <c r="Q790" s="12"/>
      <c r="R790" s="36"/>
      <c r="S790" s="36"/>
      <c r="T790" s="12"/>
      <c r="U790" s="12"/>
      <c r="V790" s="12"/>
      <c r="W790" s="12"/>
      <c r="X790" s="12"/>
    </row>
    <row r="791" customFormat="false" ht="15.75" hidden="false" customHeight="false" outlineLevel="0" collapsed="false">
      <c r="A791" s="12"/>
      <c r="B791" s="34"/>
      <c r="C791" s="12"/>
      <c r="D791" s="12"/>
      <c r="E791" s="12"/>
      <c r="F791" s="12"/>
      <c r="G791" s="18"/>
      <c r="H791" s="35"/>
      <c r="I791" s="12"/>
      <c r="M791" s="12"/>
      <c r="N791" s="18"/>
      <c r="O791" s="12"/>
      <c r="P791" s="12"/>
      <c r="Q791" s="12"/>
      <c r="R791" s="36"/>
      <c r="S791" s="36"/>
      <c r="T791" s="12"/>
      <c r="U791" s="12"/>
      <c r="V791" s="12"/>
      <c r="W791" s="12"/>
      <c r="X791" s="12"/>
    </row>
    <row r="792" customFormat="false" ht="15.75" hidden="false" customHeight="false" outlineLevel="0" collapsed="false">
      <c r="A792" s="12"/>
      <c r="B792" s="34"/>
      <c r="C792" s="12"/>
      <c r="D792" s="12"/>
      <c r="E792" s="12"/>
      <c r="F792" s="12"/>
      <c r="G792" s="18"/>
      <c r="H792" s="35"/>
      <c r="I792" s="12"/>
      <c r="M792" s="12"/>
      <c r="N792" s="18"/>
      <c r="O792" s="12"/>
      <c r="P792" s="12"/>
      <c r="Q792" s="12"/>
      <c r="R792" s="36"/>
      <c r="S792" s="36"/>
      <c r="T792" s="12"/>
      <c r="U792" s="12"/>
      <c r="V792" s="12"/>
      <c r="W792" s="12"/>
      <c r="X792" s="12"/>
    </row>
    <row r="793" customFormat="false" ht="15.75" hidden="false" customHeight="false" outlineLevel="0" collapsed="false">
      <c r="A793" s="12"/>
      <c r="B793" s="34"/>
      <c r="C793" s="12"/>
      <c r="D793" s="12"/>
      <c r="E793" s="12"/>
      <c r="F793" s="12"/>
      <c r="G793" s="18"/>
      <c r="H793" s="35"/>
      <c r="I793" s="12"/>
      <c r="M793" s="12"/>
      <c r="N793" s="18"/>
      <c r="O793" s="12"/>
      <c r="P793" s="12"/>
      <c r="Q793" s="12"/>
      <c r="R793" s="36"/>
      <c r="S793" s="36"/>
      <c r="T793" s="12"/>
      <c r="U793" s="12"/>
      <c r="V793" s="12"/>
      <c r="W793" s="12"/>
      <c r="X793" s="12"/>
    </row>
    <row r="794" customFormat="false" ht="15.75" hidden="false" customHeight="false" outlineLevel="0" collapsed="false">
      <c r="A794" s="12"/>
      <c r="B794" s="34"/>
      <c r="C794" s="12"/>
      <c r="D794" s="12"/>
      <c r="E794" s="12"/>
      <c r="F794" s="12"/>
      <c r="G794" s="18"/>
      <c r="H794" s="35"/>
      <c r="I794" s="12"/>
      <c r="M794" s="12"/>
      <c r="N794" s="18"/>
      <c r="O794" s="12"/>
      <c r="P794" s="12"/>
      <c r="Q794" s="12"/>
      <c r="R794" s="36"/>
      <c r="S794" s="36"/>
      <c r="T794" s="12"/>
      <c r="U794" s="12"/>
      <c r="V794" s="12"/>
      <c r="W794" s="12"/>
      <c r="X794" s="12"/>
    </row>
    <row r="795" customFormat="false" ht="15.75" hidden="false" customHeight="false" outlineLevel="0" collapsed="false">
      <c r="A795" s="12"/>
      <c r="B795" s="34"/>
      <c r="C795" s="12"/>
      <c r="D795" s="12"/>
      <c r="E795" s="12"/>
      <c r="F795" s="12"/>
      <c r="G795" s="18"/>
      <c r="H795" s="35"/>
      <c r="I795" s="12"/>
      <c r="M795" s="12"/>
      <c r="N795" s="18"/>
      <c r="O795" s="12"/>
      <c r="P795" s="12"/>
      <c r="Q795" s="12"/>
      <c r="R795" s="36"/>
      <c r="S795" s="36"/>
      <c r="T795" s="12"/>
      <c r="U795" s="12"/>
      <c r="V795" s="12"/>
      <c r="W795" s="12"/>
      <c r="X795" s="12"/>
    </row>
    <row r="796" customFormat="false" ht="15.75" hidden="false" customHeight="false" outlineLevel="0" collapsed="false">
      <c r="A796" s="12"/>
      <c r="B796" s="34"/>
      <c r="C796" s="12"/>
      <c r="D796" s="12"/>
      <c r="E796" s="12"/>
      <c r="F796" s="12"/>
      <c r="G796" s="18"/>
      <c r="H796" s="35"/>
      <c r="I796" s="12"/>
      <c r="M796" s="12"/>
      <c r="N796" s="18"/>
      <c r="O796" s="12"/>
      <c r="P796" s="12"/>
      <c r="Q796" s="12"/>
      <c r="R796" s="36"/>
      <c r="S796" s="36"/>
      <c r="T796" s="12"/>
      <c r="U796" s="12"/>
      <c r="V796" s="12"/>
      <c r="W796" s="12"/>
      <c r="X796" s="12"/>
    </row>
    <row r="797" customFormat="false" ht="15.75" hidden="false" customHeight="false" outlineLevel="0" collapsed="false">
      <c r="A797" s="12"/>
      <c r="B797" s="34"/>
      <c r="C797" s="12"/>
      <c r="D797" s="12"/>
      <c r="E797" s="12"/>
      <c r="F797" s="12"/>
      <c r="G797" s="18"/>
      <c r="H797" s="35"/>
      <c r="I797" s="12"/>
      <c r="M797" s="12"/>
      <c r="N797" s="18"/>
      <c r="O797" s="12"/>
      <c r="P797" s="12"/>
      <c r="Q797" s="12"/>
      <c r="R797" s="36"/>
      <c r="S797" s="36"/>
      <c r="T797" s="12"/>
      <c r="U797" s="12"/>
      <c r="V797" s="12"/>
      <c r="W797" s="12"/>
      <c r="X797" s="12"/>
    </row>
    <row r="798" customFormat="false" ht="15.75" hidden="false" customHeight="false" outlineLevel="0" collapsed="false">
      <c r="A798" s="12"/>
      <c r="B798" s="34"/>
      <c r="C798" s="12"/>
      <c r="D798" s="12"/>
      <c r="E798" s="12"/>
      <c r="F798" s="12"/>
      <c r="G798" s="18"/>
      <c r="H798" s="35"/>
      <c r="I798" s="12"/>
      <c r="M798" s="12"/>
      <c r="N798" s="18"/>
      <c r="O798" s="12"/>
      <c r="P798" s="12"/>
      <c r="Q798" s="12"/>
      <c r="R798" s="36"/>
      <c r="S798" s="36"/>
      <c r="T798" s="12"/>
      <c r="U798" s="12"/>
      <c r="V798" s="12"/>
      <c r="W798" s="12"/>
      <c r="X798" s="12"/>
    </row>
    <row r="799" customFormat="false" ht="15.75" hidden="false" customHeight="false" outlineLevel="0" collapsed="false">
      <c r="A799" s="12"/>
      <c r="B799" s="34"/>
      <c r="C799" s="12"/>
      <c r="D799" s="12"/>
      <c r="E799" s="12"/>
      <c r="F799" s="12"/>
      <c r="G799" s="18"/>
      <c r="H799" s="35"/>
      <c r="I799" s="12"/>
      <c r="M799" s="12"/>
      <c r="N799" s="18"/>
      <c r="O799" s="12"/>
      <c r="P799" s="12"/>
      <c r="Q799" s="12"/>
      <c r="R799" s="36"/>
      <c r="S799" s="36"/>
      <c r="T799" s="12"/>
      <c r="U799" s="12"/>
      <c r="V799" s="12"/>
      <c r="W799" s="12"/>
      <c r="X799" s="12"/>
    </row>
    <row r="800" customFormat="false" ht="15.75" hidden="false" customHeight="false" outlineLevel="0" collapsed="false">
      <c r="A800" s="12"/>
      <c r="B800" s="34"/>
      <c r="C800" s="12"/>
      <c r="D800" s="12"/>
      <c r="E800" s="12"/>
      <c r="F800" s="12"/>
      <c r="G800" s="18"/>
      <c r="H800" s="35"/>
      <c r="I800" s="12"/>
      <c r="M800" s="12"/>
      <c r="N800" s="18"/>
      <c r="O800" s="12"/>
      <c r="P800" s="12"/>
      <c r="Q800" s="12"/>
      <c r="R800" s="36"/>
      <c r="S800" s="36"/>
      <c r="T800" s="12"/>
      <c r="U800" s="12"/>
      <c r="V800" s="12"/>
      <c r="W800" s="12"/>
      <c r="X800" s="12"/>
    </row>
    <row r="801" customFormat="false" ht="15.75" hidden="false" customHeight="false" outlineLevel="0" collapsed="false">
      <c r="A801" s="12"/>
      <c r="B801" s="34"/>
      <c r="C801" s="12"/>
      <c r="D801" s="12"/>
      <c r="E801" s="12"/>
      <c r="F801" s="12"/>
      <c r="G801" s="18"/>
      <c r="H801" s="35"/>
      <c r="I801" s="12"/>
      <c r="M801" s="12"/>
      <c r="N801" s="18"/>
      <c r="O801" s="12"/>
      <c r="P801" s="12"/>
      <c r="Q801" s="12"/>
      <c r="R801" s="36"/>
      <c r="S801" s="36"/>
      <c r="T801" s="12"/>
      <c r="U801" s="12"/>
      <c r="V801" s="12"/>
      <c r="W801" s="12"/>
      <c r="X801" s="12"/>
    </row>
    <row r="802" customFormat="false" ht="15.75" hidden="false" customHeight="false" outlineLevel="0" collapsed="false">
      <c r="A802" s="12"/>
      <c r="B802" s="34"/>
      <c r="C802" s="12"/>
      <c r="D802" s="12"/>
      <c r="E802" s="12"/>
      <c r="F802" s="12"/>
      <c r="G802" s="18"/>
      <c r="H802" s="35"/>
      <c r="I802" s="12"/>
      <c r="M802" s="12"/>
      <c r="N802" s="18"/>
      <c r="O802" s="12"/>
      <c r="P802" s="12"/>
      <c r="Q802" s="12"/>
      <c r="R802" s="36"/>
      <c r="S802" s="36"/>
      <c r="T802" s="12"/>
      <c r="U802" s="12"/>
      <c r="V802" s="12"/>
      <c r="W802" s="12"/>
      <c r="X802" s="12"/>
    </row>
    <row r="803" customFormat="false" ht="15.75" hidden="false" customHeight="false" outlineLevel="0" collapsed="false">
      <c r="A803" s="12"/>
      <c r="B803" s="34"/>
      <c r="C803" s="12"/>
      <c r="D803" s="12"/>
      <c r="E803" s="12"/>
      <c r="F803" s="12"/>
      <c r="G803" s="18"/>
      <c r="H803" s="35"/>
      <c r="I803" s="12"/>
      <c r="M803" s="12"/>
      <c r="N803" s="18"/>
      <c r="O803" s="12"/>
      <c r="P803" s="12"/>
      <c r="Q803" s="12"/>
      <c r="R803" s="36"/>
      <c r="S803" s="36"/>
      <c r="T803" s="12"/>
      <c r="U803" s="12"/>
      <c r="V803" s="12"/>
      <c r="W803" s="12"/>
      <c r="X803" s="12"/>
    </row>
    <row r="804" customFormat="false" ht="15.75" hidden="false" customHeight="false" outlineLevel="0" collapsed="false">
      <c r="A804" s="12"/>
      <c r="B804" s="34"/>
      <c r="C804" s="12"/>
      <c r="D804" s="12"/>
      <c r="E804" s="12"/>
      <c r="F804" s="12"/>
      <c r="G804" s="18"/>
      <c r="H804" s="35"/>
      <c r="I804" s="12"/>
      <c r="M804" s="12"/>
      <c r="N804" s="18"/>
      <c r="O804" s="12"/>
      <c r="P804" s="12"/>
      <c r="Q804" s="12"/>
      <c r="R804" s="36"/>
      <c r="S804" s="36"/>
      <c r="T804" s="12"/>
      <c r="U804" s="12"/>
      <c r="V804" s="12"/>
      <c r="W804" s="12"/>
      <c r="X804" s="12"/>
    </row>
    <row r="805" customFormat="false" ht="15.75" hidden="false" customHeight="false" outlineLevel="0" collapsed="false">
      <c r="A805" s="12"/>
      <c r="B805" s="34"/>
      <c r="C805" s="12"/>
      <c r="D805" s="12"/>
      <c r="E805" s="12"/>
      <c r="F805" s="12"/>
      <c r="G805" s="18"/>
      <c r="H805" s="35"/>
      <c r="I805" s="12"/>
      <c r="M805" s="12"/>
      <c r="N805" s="18"/>
      <c r="O805" s="12"/>
      <c r="P805" s="12"/>
      <c r="Q805" s="12"/>
      <c r="R805" s="36"/>
      <c r="S805" s="36"/>
      <c r="T805" s="12"/>
      <c r="U805" s="12"/>
      <c r="V805" s="12"/>
      <c r="W805" s="12"/>
      <c r="X805" s="12"/>
    </row>
    <row r="806" customFormat="false" ht="15.75" hidden="false" customHeight="false" outlineLevel="0" collapsed="false">
      <c r="A806" s="12"/>
      <c r="B806" s="34"/>
      <c r="C806" s="12"/>
      <c r="D806" s="12"/>
      <c r="E806" s="12"/>
      <c r="F806" s="12"/>
      <c r="G806" s="18"/>
      <c r="H806" s="35"/>
      <c r="I806" s="12"/>
      <c r="M806" s="12"/>
      <c r="N806" s="18"/>
      <c r="O806" s="12"/>
      <c r="P806" s="12"/>
      <c r="Q806" s="12"/>
      <c r="R806" s="36"/>
      <c r="S806" s="36"/>
      <c r="T806" s="12"/>
      <c r="U806" s="12"/>
      <c r="V806" s="12"/>
      <c r="W806" s="12"/>
      <c r="X806" s="12"/>
    </row>
    <row r="807" customFormat="false" ht="15.75" hidden="false" customHeight="false" outlineLevel="0" collapsed="false">
      <c r="A807" s="12"/>
      <c r="B807" s="34"/>
      <c r="C807" s="12"/>
      <c r="D807" s="12"/>
      <c r="E807" s="12"/>
      <c r="F807" s="12"/>
      <c r="G807" s="18"/>
      <c r="H807" s="35"/>
      <c r="I807" s="12"/>
      <c r="M807" s="12"/>
      <c r="N807" s="18"/>
      <c r="O807" s="12"/>
      <c r="P807" s="12"/>
      <c r="Q807" s="12"/>
      <c r="R807" s="36"/>
      <c r="S807" s="36"/>
      <c r="T807" s="12"/>
      <c r="U807" s="12"/>
      <c r="V807" s="12"/>
      <c r="W807" s="12"/>
      <c r="X807" s="12"/>
    </row>
    <row r="808" customFormat="false" ht="15.75" hidden="false" customHeight="false" outlineLevel="0" collapsed="false">
      <c r="A808" s="12"/>
      <c r="B808" s="34"/>
      <c r="C808" s="12"/>
      <c r="D808" s="12"/>
      <c r="E808" s="12"/>
      <c r="F808" s="12"/>
      <c r="G808" s="18"/>
      <c r="H808" s="35"/>
      <c r="I808" s="12"/>
      <c r="M808" s="12"/>
      <c r="N808" s="18"/>
      <c r="O808" s="12"/>
      <c r="P808" s="12"/>
      <c r="Q808" s="12"/>
      <c r="R808" s="36"/>
      <c r="S808" s="36"/>
      <c r="T808" s="12"/>
      <c r="U808" s="12"/>
      <c r="V808" s="12"/>
      <c r="W808" s="12"/>
      <c r="X808" s="12"/>
    </row>
    <row r="809" customFormat="false" ht="15.75" hidden="false" customHeight="false" outlineLevel="0" collapsed="false">
      <c r="A809" s="12"/>
      <c r="B809" s="34"/>
      <c r="C809" s="12"/>
      <c r="D809" s="12"/>
      <c r="E809" s="12"/>
      <c r="F809" s="12"/>
      <c r="G809" s="18"/>
      <c r="H809" s="35"/>
      <c r="I809" s="12"/>
      <c r="M809" s="12"/>
      <c r="N809" s="18"/>
      <c r="O809" s="12"/>
      <c r="P809" s="12"/>
      <c r="Q809" s="12"/>
      <c r="R809" s="36"/>
      <c r="S809" s="36"/>
      <c r="T809" s="12"/>
      <c r="U809" s="12"/>
      <c r="V809" s="12"/>
      <c r="W809" s="12"/>
      <c r="X809" s="12"/>
    </row>
    <row r="810" customFormat="false" ht="15.75" hidden="false" customHeight="false" outlineLevel="0" collapsed="false">
      <c r="A810" s="12"/>
      <c r="B810" s="34"/>
      <c r="C810" s="12"/>
      <c r="D810" s="12"/>
      <c r="E810" s="12"/>
      <c r="F810" s="12"/>
      <c r="G810" s="18"/>
      <c r="H810" s="35"/>
      <c r="I810" s="12"/>
      <c r="M810" s="12"/>
      <c r="N810" s="18"/>
      <c r="O810" s="12"/>
      <c r="P810" s="12"/>
      <c r="Q810" s="12"/>
      <c r="R810" s="36"/>
      <c r="S810" s="36"/>
      <c r="T810" s="12"/>
      <c r="U810" s="12"/>
      <c r="V810" s="12"/>
      <c r="W810" s="12"/>
      <c r="X810" s="12"/>
    </row>
    <row r="811" customFormat="false" ht="15.75" hidden="false" customHeight="false" outlineLevel="0" collapsed="false">
      <c r="A811" s="12"/>
      <c r="B811" s="34"/>
      <c r="C811" s="12"/>
      <c r="D811" s="12"/>
      <c r="E811" s="12"/>
      <c r="F811" s="12"/>
      <c r="G811" s="18"/>
      <c r="H811" s="35"/>
      <c r="I811" s="12"/>
      <c r="M811" s="12"/>
      <c r="N811" s="18"/>
      <c r="O811" s="12"/>
      <c r="P811" s="12"/>
      <c r="Q811" s="12"/>
      <c r="R811" s="36"/>
      <c r="S811" s="36"/>
      <c r="T811" s="12"/>
      <c r="U811" s="12"/>
      <c r="V811" s="12"/>
      <c r="W811" s="12"/>
      <c r="X811" s="12"/>
    </row>
    <row r="812" customFormat="false" ht="15.75" hidden="false" customHeight="false" outlineLevel="0" collapsed="false">
      <c r="A812" s="12"/>
      <c r="B812" s="34"/>
      <c r="C812" s="12"/>
      <c r="D812" s="12"/>
      <c r="E812" s="12"/>
      <c r="F812" s="12"/>
      <c r="G812" s="18"/>
      <c r="H812" s="35"/>
      <c r="I812" s="12"/>
      <c r="M812" s="12"/>
      <c r="N812" s="18"/>
      <c r="O812" s="12"/>
      <c r="P812" s="12"/>
      <c r="Q812" s="12"/>
      <c r="R812" s="36"/>
      <c r="S812" s="36"/>
      <c r="T812" s="12"/>
      <c r="U812" s="12"/>
      <c r="V812" s="12"/>
      <c r="W812" s="12"/>
      <c r="X812" s="12"/>
    </row>
    <row r="813" customFormat="false" ht="15.75" hidden="false" customHeight="false" outlineLevel="0" collapsed="false">
      <c r="A813" s="12"/>
      <c r="B813" s="34"/>
      <c r="C813" s="12"/>
      <c r="D813" s="12"/>
      <c r="E813" s="12"/>
      <c r="F813" s="12"/>
      <c r="G813" s="18"/>
      <c r="H813" s="35"/>
      <c r="I813" s="12"/>
      <c r="M813" s="12"/>
      <c r="N813" s="18"/>
      <c r="O813" s="12"/>
      <c r="P813" s="12"/>
      <c r="Q813" s="12"/>
      <c r="R813" s="36"/>
      <c r="S813" s="36"/>
      <c r="T813" s="12"/>
      <c r="U813" s="12"/>
      <c r="V813" s="12"/>
      <c r="W813" s="12"/>
      <c r="X813" s="12"/>
    </row>
    <row r="814" customFormat="false" ht="15.75" hidden="false" customHeight="false" outlineLevel="0" collapsed="false">
      <c r="A814" s="12"/>
      <c r="B814" s="34"/>
      <c r="C814" s="12"/>
      <c r="D814" s="12"/>
      <c r="E814" s="12"/>
      <c r="F814" s="12"/>
      <c r="G814" s="18"/>
      <c r="H814" s="35"/>
      <c r="I814" s="12"/>
      <c r="M814" s="12"/>
      <c r="N814" s="18"/>
      <c r="O814" s="12"/>
      <c r="P814" s="12"/>
      <c r="Q814" s="12"/>
      <c r="R814" s="36"/>
      <c r="S814" s="36"/>
      <c r="T814" s="12"/>
      <c r="U814" s="12"/>
      <c r="V814" s="12"/>
      <c r="W814" s="12"/>
      <c r="X814" s="12"/>
    </row>
    <row r="815" customFormat="false" ht="15.75" hidden="false" customHeight="false" outlineLevel="0" collapsed="false">
      <c r="A815" s="12"/>
      <c r="B815" s="34"/>
      <c r="C815" s="12"/>
      <c r="D815" s="12"/>
      <c r="E815" s="12"/>
      <c r="F815" s="12"/>
      <c r="G815" s="18"/>
      <c r="H815" s="35"/>
      <c r="I815" s="12"/>
      <c r="M815" s="12"/>
      <c r="N815" s="18"/>
      <c r="O815" s="12"/>
      <c r="P815" s="12"/>
      <c r="Q815" s="12"/>
      <c r="R815" s="36"/>
      <c r="S815" s="36"/>
      <c r="T815" s="12"/>
      <c r="U815" s="12"/>
      <c r="V815" s="12"/>
      <c r="W815" s="12"/>
      <c r="X815" s="12"/>
    </row>
    <row r="816" customFormat="false" ht="15.75" hidden="false" customHeight="false" outlineLevel="0" collapsed="false">
      <c r="A816" s="12"/>
      <c r="B816" s="34"/>
      <c r="C816" s="12"/>
      <c r="D816" s="12"/>
      <c r="E816" s="12"/>
      <c r="F816" s="12"/>
      <c r="G816" s="18"/>
      <c r="H816" s="35"/>
      <c r="I816" s="12"/>
      <c r="M816" s="12"/>
      <c r="N816" s="18"/>
      <c r="O816" s="12"/>
      <c r="P816" s="12"/>
      <c r="Q816" s="12"/>
      <c r="R816" s="36"/>
      <c r="S816" s="36"/>
      <c r="T816" s="12"/>
      <c r="U816" s="12"/>
      <c r="V816" s="12"/>
      <c r="W816" s="12"/>
      <c r="X816" s="12"/>
    </row>
    <row r="817" customFormat="false" ht="15.75" hidden="false" customHeight="false" outlineLevel="0" collapsed="false">
      <c r="A817" s="12"/>
      <c r="B817" s="34"/>
      <c r="C817" s="12"/>
      <c r="D817" s="12"/>
      <c r="E817" s="12"/>
      <c r="F817" s="12"/>
      <c r="G817" s="18"/>
      <c r="H817" s="35"/>
      <c r="I817" s="12"/>
      <c r="M817" s="12"/>
      <c r="N817" s="18"/>
      <c r="O817" s="12"/>
      <c r="P817" s="12"/>
      <c r="Q817" s="12"/>
      <c r="R817" s="36"/>
      <c r="S817" s="36"/>
      <c r="T817" s="12"/>
      <c r="U817" s="12"/>
      <c r="V817" s="12"/>
      <c r="W817" s="12"/>
      <c r="X817" s="12"/>
    </row>
    <row r="818" customFormat="false" ht="15.75" hidden="false" customHeight="false" outlineLevel="0" collapsed="false">
      <c r="A818" s="12"/>
      <c r="B818" s="34"/>
      <c r="C818" s="12"/>
      <c r="D818" s="12"/>
      <c r="E818" s="12"/>
      <c r="F818" s="12"/>
      <c r="G818" s="18"/>
      <c r="H818" s="35"/>
      <c r="I818" s="12"/>
      <c r="M818" s="12"/>
      <c r="N818" s="18"/>
      <c r="O818" s="12"/>
      <c r="P818" s="12"/>
      <c r="Q818" s="12"/>
      <c r="R818" s="36"/>
      <c r="S818" s="36"/>
      <c r="T818" s="12"/>
      <c r="U818" s="12"/>
      <c r="V818" s="12"/>
      <c r="W818" s="12"/>
      <c r="X818" s="12"/>
    </row>
    <row r="819" customFormat="false" ht="15.75" hidden="false" customHeight="false" outlineLevel="0" collapsed="false">
      <c r="A819" s="12"/>
      <c r="B819" s="34"/>
      <c r="C819" s="12"/>
      <c r="D819" s="12"/>
      <c r="E819" s="12"/>
      <c r="F819" s="12"/>
      <c r="G819" s="18"/>
      <c r="H819" s="35"/>
      <c r="I819" s="12"/>
      <c r="M819" s="12"/>
      <c r="N819" s="18"/>
      <c r="O819" s="12"/>
      <c r="P819" s="12"/>
      <c r="Q819" s="12"/>
      <c r="R819" s="36"/>
      <c r="S819" s="36"/>
      <c r="T819" s="12"/>
      <c r="U819" s="12"/>
      <c r="V819" s="12"/>
      <c r="W819" s="12"/>
      <c r="X819" s="12"/>
    </row>
    <row r="820" customFormat="false" ht="15.75" hidden="false" customHeight="false" outlineLevel="0" collapsed="false">
      <c r="A820" s="12"/>
      <c r="B820" s="34"/>
      <c r="C820" s="12"/>
      <c r="D820" s="12"/>
      <c r="E820" s="12"/>
      <c r="F820" s="12"/>
      <c r="G820" s="18"/>
      <c r="H820" s="35"/>
      <c r="I820" s="12"/>
      <c r="M820" s="12"/>
      <c r="N820" s="18"/>
      <c r="O820" s="12"/>
      <c r="P820" s="12"/>
      <c r="Q820" s="12"/>
      <c r="R820" s="36"/>
      <c r="S820" s="36"/>
      <c r="T820" s="12"/>
      <c r="U820" s="12"/>
      <c r="V820" s="12"/>
      <c r="W820" s="12"/>
      <c r="X820" s="12"/>
    </row>
    <row r="821" customFormat="false" ht="15.75" hidden="false" customHeight="false" outlineLevel="0" collapsed="false">
      <c r="A821" s="12"/>
      <c r="B821" s="34"/>
      <c r="C821" s="12"/>
      <c r="D821" s="12"/>
      <c r="E821" s="12"/>
      <c r="F821" s="12"/>
      <c r="G821" s="18"/>
      <c r="H821" s="35"/>
      <c r="I821" s="12"/>
      <c r="M821" s="12"/>
      <c r="N821" s="18"/>
      <c r="O821" s="12"/>
      <c r="P821" s="12"/>
      <c r="Q821" s="12"/>
      <c r="R821" s="36"/>
      <c r="S821" s="36"/>
      <c r="T821" s="12"/>
      <c r="U821" s="12"/>
      <c r="V821" s="12"/>
      <c r="W821" s="12"/>
      <c r="X821" s="12"/>
    </row>
    <row r="822" customFormat="false" ht="15.75" hidden="false" customHeight="false" outlineLevel="0" collapsed="false">
      <c r="A822" s="12"/>
      <c r="B822" s="34"/>
      <c r="C822" s="12"/>
      <c r="D822" s="12"/>
      <c r="E822" s="12"/>
      <c r="F822" s="12"/>
      <c r="G822" s="18"/>
      <c r="H822" s="35"/>
      <c r="I822" s="12"/>
      <c r="M822" s="12"/>
      <c r="N822" s="18"/>
      <c r="O822" s="12"/>
      <c r="P822" s="12"/>
      <c r="Q822" s="12"/>
      <c r="R822" s="36"/>
      <c r="S822" s="36"/>
      <c r="T822" s="12"/>
      <c r="U822" s="12"/>
      <c r="V822" s="12"/>
      <c r="W822" s="12"/>
      <c r="X822" s="12"/>
    </row>
    <row r="823" customFormat="false" ht="15.75" hidden="false" customHeight="false" outlineLevel="0" collapsed="false">
      <c r="A823" s="12"/>
      <c r="B823" s="34"/>
      <c r="C823" s="12"/>
      <c r="D823" s="12"/>
      <c r="E823" s="12"/>
      <c r="F823" s="12"/>
      <c r="G823" s="18"/>
      <c r="H823" s="35"/>
      <c r="I823" s="12"/>
      <c r="M823" s="12"/>
      <c r="N823" s="18"/>
      <c r="O823" s="12"/>
      <c r="P823" s="12"/>
      <c r="Q823" s="12"/>
      <c r="R823" s="36"/>
      <c r="S823" s="36"/>
      <c r="T823" s="12"/>
      <c r="U823" s="12"/>
      <c r="V823" s="12"/>
      <c r="W823" s="12"/>
      <c r="X823" s="12"/>
    </row>
    <row r="824" customFormat="false" ht="15.75" hidden="false" customHeight="false" outlineLevel="0" collapsed="false">
      <c r="A824" s="12"/>
      <c r="B824" s="34"/>
      <c r="C824" s="12"/>
      <c r="D824" s="12"/>
      <c r="E824" s="12"/>
      <c r="F824" s="12"/>
      <c r="G824" s="18"/>
      <c r="H824" s="35"/>
      <c r="I824" s="12"/>
      <c r="M824" s="12"/>
      <c r="N824" s="18"/>
      <c r="O824" s="12"/>
      <c r="P824" s="12"/>
      <c r="Q824" s="12"/>
      <c r="R824" s="36"/>
      <c r="S824" s="36"/>
      <c r="T824" s="12"/>
      <c r="U824" s="12"/>
      <c r="V824" s="12"/>
      <c r="W824" s="12"/>
      <c r="X824" s="12"/>
    </row>
    <row r="825" customFormat="false" ht="15.75" hidden="false" customHeight="false" outlineLevel="0" collapsed="false">
      <c r="A825" s="12"/>
      <c r="B825" s="34"/>
      <c r="C825" s="12"/>
      <c r="D825" s="12"/>
      <c r="E825" s="12"/>
      <c r="F825" s="12"/>
      <c r="G825" s="18"/>
      <c r="H825" s="35"/>
      <c r="I825" s="12"/>
      <c r="M825" s="12"/>
      <c r="N825" s="18"/>
      <c r="O825" s="12"/>
      <c r="P825" s="12"/>
      <c r="Q825" s="12"/>
      <c r="R825" s="36"/>
      <c r="S825" s="36"/>
      <c r="T825" s="12"/>
      <c r="U825" s="12"/>
      <c r="V825" s="12"/>
      <c r="W825" s="12"/>
      <c r="X825" s="12"/>
    </row>
    <row r="826" customFormat="false" ht="15.75" hidden="false" customHeight="false" outlineLevel="0" collapsed="false">
      <c r="A826" s="12"/>
      <c r="B826" s="34"/>
      <c r="C826" s="12"/>
      <c r="D826" s="12"/>
      <c r="E826" s="12"/>
      <c r="F826" s="12"/>
      <c r="G826" s="18"/>
      <c r="H826" s="35"/>
      <c r="I826" s="12"/>
      <c r="M826" s="12"/>
      <c r="N826" s="18"/>
      <c r="O826" s="12"/>
      <c r="P826" s="12"/>
      <c r="Q826" s="12"/>
      <c r="R826" s="36"/>
      <c r="S826" s="36"/>
      <c r="T826" s="12"/>
      <c r="U826" s="12"/>
      <c r="V826" s="12"/>
      <c r="W826" s="12"/>
      <c r="X826" s="12"/>
    </row>
    <row r="827" customFormat="false" ht="15.75" hidden="false" customHeight="false" outlineLevel="0" collapsed="false">
      <c r="A827" s="12"/>
      <c r="B827" s="34"/>
      <c r="C827" s="12"/>
      <c r="D827" s="12"/>
      <c r="E827" s="12"/>
      <c r="F827" s="12"/>
      <c r="G827" s="18"/>
      <c r="H827" s="35"/>
      <c r="I827" s="12"/>
      <c r="M827" s="12"/>
      <c r="N827" s="18"/>
      <c r="O827" s="12"/>
      <c r="P827" s="12"/>
      <c r="Q827" s="12"/>
      <c r="R827" s="36"/>
      <c r="S827" s="36"/>
      <c r="T827" s="12"/>
      <c r="U827" s="12"/>
      <c r="V827" s="12"/>
      <c r="W827" s="12"/>
      <c r="X827" s="12"/>
    </row>
    <row r="828" customFormat="false" ht="15.75" hidden="false" customHeight="false" outlineLevel="0" collapsed="false">
      <c r="A828" s="12"/>
      <c r="B828" s="34"/>
      <c r="C828" s="12"/>
      <c r="D828" s="12"/>
      <c r="E828" s="12"/>
      <c r="F828" s="12"/>
      <c r="G828" s="18"/>
      <c r="H828" s="35"/>
      <c r="I828" s="12"/>
      <c r="M828" s="12"/>
      <c r="N828" s="18"/>
      <c r="O828" s="12"/>
      <c r="P828" s="12"/>
      <c r="Q828" s="12"/>
      <c r="R828" s="36"/>
      <c r="S828" s="36"/>
      <c r="T828" s="12"/>
      <c r="U828" s="12"/>
      <c r="V828" s="12"/>
      <c r="W828" s="12"/>
      <c r="X828" s="12"/>
    </row>
    <row r="829" customFormat="false" ht="15.75" hidden="false" customHeight="false" outlineLevel="0" collapsed="false">
      <c r="A829" s="12"/>
      <c r="B829" s="34"/>
      <c r="C829" s="12"/>
      <c r="D829" s="12"/>
      <c r="E829" s="12"/>
      <c r="F829" s="12"/>
      <c r="G829" s="18"/>
      <c r="H829" s="35"/>
      <c r="I829" s="12"/>
      <c r="M829" s="12"/>
      <c r="N829" s="18"/>
      <c r="O829" s="12"/>
      <c r="P829" s="12"/>
      <c r="Q829" s="12"/>
      <c r="R829" s="36"/>
      <c r="S829" s="36"/>
      <c r="T829" s="12"/>
      <c r="U829" s="12"/>
      <c r="V829" s="12"/>
      <c r="W829" s="12"/>
      <c r="X829" s="12"/>
    </row>
    <row r="830" customFormat="false" ht="15.75" hidden="false" customHeight="false" outlineLevel="0" collapsed="false">
      <c r="A830" s="12"/>
      <c r="B830" s="34"/>
      <c r="C830" s="12"/>
      <c r="D830" s="12"/>
      <c r="E830" s="12"/>
      <c r="F830" s="12"/>
      <c r="G830" s="18"/>
      <c r="H830" s="35"/>
      <c r="I830" s="12"/>
      <c r="M830" s="12"/>
      <c r="N830" s="18"/>
      <c r="O830" s="12"/>
      <c r="P830" s="12"/>
      <c r="Q830" s="12"/>
      <c r="R830" s="36"/>
      <c r="S830" s="36"/>
      <c r="T830" s="12"/>
      <c r="U830" s="12"/>
      <c r="V830" s="12"/>
      <c r="W830" s="12"/>
      <c r="X830" s="12"/>
    </row>
    <row r="831" customFormat="false" ht="15.75" hidden="false" customHeight="false" outlineLevel="0" collapsed="false">
      <c r="A831" s="12"/>
      <c r="B831" s="34"/>
      <c r="C831" s="12"/>
      <c r="D831" s="12"/>
      <c r="E831" s="12"/>
      <c r="F831" s="12"/>
      <c r="G831" s="18"/>
      <c r="H831" s="35"/>
      <c r="I831" s="12"/>
      <c r="M831" s="12"/>
      <c r="N831" s="18"/>
      <c r="O831" s="12"/>
      <c r="P831" s="12"/>
      <c r="Q831" s="12"/>
      <c r="R831" s="36"/>
      <c r="S831" s="36"/>
      <c r="T831" s="12"/>
      <c r="U831" s="12"/>
      <c r="V831" s="12"/>
      <c r="W831" s="12"/>
      <c r="X831" s="12"/>
    </row>
    <row r="832" customFormat="false" ht="15.75" hidden="false" customHeight="false" outlineLevel="0" collapsed="false">
      <c r="A832" s="12"/>
      <c r="B832" s="34"/>
      <c r="C832" s="12"/>
      <c r="D832" s="12"/>
      <c r="E832" s="12"/>
      <c r="F832" s="12"/>
      <c r="G832" s="18"/>
      <c r="H832" s="35"/>
      <c r="I832" s="12"/>
      <c r="M832" s="12"/>
      <c r="N832" s="18"/>
      <c r="O832" s="12"/>
      <c r="P832" s="12"/>
      <c r="Q832" s="12"/>
      <c r="R832" s="36"/>
      <c r="S832" s="36"/>
      <c r="T832" s="12"/>
      <c r="U832" s="12"/>
      <c r="V832" s="12"/>
      <c r="W832" s="12"/>
      <c r="X832" s="12"/>
    </row>
    <row r="833" customFormat="false" ht="15.75" hidden="false" customHeight="false" outlineLevel="0" collapsed="false">
      <c r="A833" s="12"/>
      <c r="B833" s="34"/>
      <c r="C833" s="12"/>
      <c r="D833" s="12"/>
      <c r="E833" s="12"/>
      <c r="F833" s="12"/>
      <c r="G833" s="18"/>
      <c r="H833" s="35"/>
      <c r="I833" s="12"/>
      <c r="M833" s="12"/>
      <c r="N833" s="18"/>
      <c r="O833" s="12"/>
      <c r="P833" s="12"/>
      <c r="Q833" s="12"/>
      <c r="R833" s="36"/>
      <c r="S833" s="36"/>
      <c r="T833" s="12"/>
      <c r="U833" s="12"/>
      <c r="V833" s="12"/>
      <c r="W833" s="12"/>
      <c r="X833" s="12"/>
    </row>
    <row r="834" customFormat="false" ht="15.75" hidden="false" customHeight="false" outlineLevel="0" collapsed="false">
      <c r="A834" s="12"/>
      <c r="B834" s="34"/>
      <c r="C834" s="12"/>
      <c r="D834" s="12"/>
      <c r="E834" s="12"/>
      <c r="F834" s="12"/>
      <c r="G834" s="18"/>
      <c r="H834" s="35"/>
      <c r="I834" s="12"/>
      <c r="M834" s="12"/>
      <c r="N834" s="18"/>
      <c r="O834" s="12"/>
      <c r="P834" s="12"/>
      <c r="Q834" s="12"/>
      <c r="R834" s="36"/>
      <c r="S834" s="36"/>
      <c r="T834" s="12"/>
      <c r="U834" s="12"/>
      <c r="V834" s="12"/>
      <c r="W834" s="12"/>
      <c r="X834" s="12"/>
    </row>
    <row r="835" customFormat="false" ht="15.75" hidden="false" customHeight="false" outlineLevel="0" collapsed="false">
      <c r="A835" s="12"/>
      <c r="B835" s="34"/>
      <c r="C835" s="12"/>
      <c r="D835" s="12"/>
      <c r="E835" s="12"/>
      <c r="F835" s="12"/>
      <c r="G835" s="18"/>
      <c r="H835" s="35"/>
      <c r="I835" s="12"/>
      <c r="M835" s="12"/>
      <c r="N835" s="18"/>
      <c r="O835" s="12"/>
      <c r="P835" s="12"/>
      <c r="Q835" s="12"/>
      <c r="R835" s="36"/>
      <c r="S835" s="36"/>
      <c r="T835" s="12"/>
      <c r="U835" s="12"/>
      <c r="V835" s="12"/>
      <c r="W835" s="12"/>
      <c r="X835" s="12"/>
    </row>
    <row r="836" customFormat="false" ht="15.75" hidden="false" customHeight="false" outlineLevel="0" collapsed="false">
      <c r="A836" s="12"/>
      <c r="B836" s="34"/>
      <c r="C836" s="12"/>
      <c r="D836" s="12"/>
      <c r="E836" s="12"/>
      <c r="F836" s="12"/>
      <c r="G836" s="18"/>
      <c r="H836" s="35"/>
      <c r="I836" s="12"/>
      <c r="M836" s="12"/>
      <c r="N836" s="18"/>
      <c r="O836" s="12"/>
      <c r="P836" s="12"/>
      <c r="Q836" s="12"/>
      <c r="R836" s="36"/>
      <c r="S836" s="36"/>
      <c r="T836" s="12"/>
      <c r="U836" s="12"/>
      <c r="V836" s="12"/>
      <c r="W836" s="12"/>
      <c r="X836" s="12"/>
    </row>
    <row r="837" customFormat="false" ht="15.75" hidden="false" customHeight="false" outlineLevel="0" collapsed="false">
      <c r="A837" s="12"/>
      <c r="B837" s="34"/>
      <c r="C837" s="12"/>
      <c r="D837" s="12"/>
      <c r="E837" s="12"/>
      <c r="F837" s="12"/>
      <c r="G837" s="18"/>
      <c r="H837" s="35"/>
      <c r="I837" s="12"/>
      <c r="M837" s="12"/>
      <c r="N837" s="18"/>
      <c r="O837" s="12"/>
      <c r="P837" s="12"/>
      <c r="Q837" s="12"/>
      <c r="R837" s="36"/>
      <c r="S837" s="36"/>
      <c r="T837" s="12"/>
      <c r="U837" s="12"/>
      <c r="V837" s="12"/>
      <c r="W837" s="12"/>
      <c r="X837" s="12"/>
    </row>
    <row r="838" customFormat="false" ht="15.75" hidden="false" customHeight="false" outlineLevel="0" collapsed="false">
      <c r="A838" s="12"/>
      <c r="B838" s="34"/>
      <c r="C838" s="12"/>
      <c r="D838" s="12"/>
      <c r="E838" s="12"/>
      <c r="F838" s="12"/>
      <c r="G838" s="18"/>
      <c r="H838" s="35"/>
      <c r="I838" s="12"/>
      <c r="M838" s="12"/>
      <c r="N838" s="18"/>
      <c r="O838" s="12"/>
      <c r="P838" s="12"/>
      <c r="Q838" s="12"/>
      <c r="R838" s="36"/>
      <c r="S838" s="36"/>
      <c r="T838" s="12"/>
      <c r="U838" s="12"/>
      <c r="V838" s="12"/>
      <c r="W838" s="12"/>
      <c r="X838" s="12"/>
    </row>
    <row r="839" customFormat="false" ht="15.75" hidden="false" customHeight="false" outlineLevel="0" collapsed="false">
      <c r="A839" s="12"/>
      <c r="B839" s="34"/>
      <c r="C839" s="12"/>
      <c r="D839" s="12"/>
      <c r="E839" s="12"/>
      <c r="F839" s="12"/>
      <c r="G839" s="18"/>
      <c r="H839" s="35"/>
      <c r="I839" s="12"/>
      <c r="M839" s="12"/>
      <c r="N839" s="18"/>
      <c r="O839" s="12"/>
      <c r="P839" s="12"/>
      <c r="Q839" s="12"/>
      <c r="R839" s="36"/>
      <c r="S839" s="36"/>
      <c r="T839" s="12"/>
      <c r="U839" s="12"/>
      <c r="V839" s="12"/>
      <c r="W839" s="12"/>
      <c r="X839" s="12"/>
    </row>
    <row r="840" customFormat="false" ht="15.75" hidden="false" customHeight="false" outlineLevel="0" collapsed="false">
      <c r="A840" s="12"/>
      <c r="B840" s="34"/>
      <c r="C840" s="12"/>
      <c r="D840" s="12"/>
      <c r="E840" s="12"/>
      <c r="F840" s="12"/>
      <c r="G840" s="18"/>
      <c r="H840" s="35"/>
      <c r="I840" s="12"/>
      <c r="M840" s="12"/>
      <c r="N840" s="18"/>
      <c r="O840" s="12"/>
      <c r="P840" s="12"/>
      <c r="Q840" s="12"/>
      <c r="R840" s="36"/>
      <c r="S840" s="36"/>
      <c r="T840" s="12"/>
      <c r="U840" s="12"/>
      <c r="V840" s="12"/>
      <c r="W840" s="12"/>
      <c r="X840" s="12"/>
    </row>
    <row r="841" customFormat="false" ht="15.75" hidden="false" customHeight="false" outlineLevel="0" collapsed="false">
      <c r="A841" s="12"/>
      <c r="B841" s="34"/>
      <c r="C841" s="12"/>
      <c r="D841" s="12"/>
      <c r="E841" s="12"/>
      <c r="F841" s="12"/>
      <c r="G841" s="18"/>
      <c r="H841" s="35"/>
      <c r="I841" s="12"/>
      <c r="M841" s="12"/>
      <c r="N841" s="18"/>
      <c r="O841" s="12"/>
      <c r="P841" s="12"/>
      <c r="Q841" s="12"/>
      <c r="R841" s="36"/>
      <c r="S841" s="36"/>
      <c r="T841" s="12"/>
      <c r="U841" s="12"/>
      <c r="V841" s="12"/>
      <c r="W841" s="12"/>
      <c r="X841" s="12"/>
    </row>
    <row r="842" customFormat="false" ht="15.75" hidden="false" customHeight="false" outlineLevel="0" collapsed="false">
      <c r="A842" s="12"/>
      <c r="B842" s="34"/>
      <c r="C842" s="12"/>
      <c r="D842" s="12"/>
      <c r="E842" s="12"/>
      <c r="F842" s="12"/>
      <c r="G842" s="18"/>
      <c r="H842" s="35"/>
      <c r="I842" s="12"/>
      <c r="M842" s="12"/>
      <c r="N842" s="18"/>
      <c r="O842" s="12"/>
      <c r="P842" s="12"/>
      <c r="Q842" s="12"/>
      <c r="R842" s="36"/>
      <c r="S842" s="36"/>
      <c r="T842" s="12"/>
      <c r="U842" s="12"/>
      <c r="V842" s="12"/>
      <c r="W842" s="12"/>
      <c r="X842" s="12"/>
    </row>
    <row r="843" customFormat="false" ht="15.75" hidden="false" customHeight="false" outlineLevel="0" collapsed="false">
      <c r="A843" s="12"/>
      <c r="B843" s="34"/>
      <c r="C843" s="12"/>
      <c r="D843" s="12"/>
      <c r="E843" s="12"/>
      <c r="F843" s="12"/>
      <c r="G843" s="18"/>
      <c r="H843" s="35"/>
      <c r="I843" s="12"/>
      <c r="M843" s="12"/>
      <c r="N843" s="18"/>
      <c r="O843" s="12"/>
      <c r="P843" s="12"/>
      <c r="Q843" s="12"/>
      <c r="R843" s="36"/>
      <c r="S843" s="36"/>
      <c r="T843" s="12"/>
      <c r="U843" s="12"/>
      <c r="V843" s="12"/>
      <c r="W843" s="12"/>
      <c r="X843" s="12"/>
    </row>
    <row r="844" customFormat="false" ht="15.75" hidden="false" customHeight="false" outlineLevel="0" collapsed="false">
      <c r="A844" s="12"/>
      <c r="B844" s="34"/>
      <c r="C844" s="12"/>
      <c r="D844" s="12"/>
      <c r="E844" s="12"/>
      <c r="F844" s="12"/>
      <c r="G844" s="18"/>
      <c r="H844" s="35"/>
      <c r="I844" s="12"/>
      <c r="M844" s="12"/>
      <c r="N844" s="18"/>
      <c r="O844" s="12"/>
      <c r="P844" s="12"/>
      <c r="Q844" s="12"/>
      <c r="R844" s="36"/>
      <c r="S844" s="36"/>
      <c r="T844" s="12"/>
      <c r="U844" s="12"/>
      <c r="V844" s="12"/>
      <c r="W844" s="12"/>
      <c r="X844" s="12"/>
    </row>
    <row r="845" customFormat="false" ht="15.75" hidden="false" customHeight="false" outlineLevel="0" collapsed="false">
      <c r="A845" s="12"/>
      <c r="B845" s="34"/>
      <c r="C845" s="12"/>
      <c r="D845" s="12"/>
      <c r="E845" s="12"/>
      <c r="F845" s="12"/>
      <c r="G845" s="18"/>
      <c r="H845" s="35"/>
      <c r="I845" s="12"/>
      <c r="M845" s="12"/>
      <c r="N845" s="18"/>
      <c r="O845" s="12"/>
      <c r="P845" s="12"/>
      <c r="Q845" s="12"/>
      <c r="R845" s="36"/>
      <c r="S845" s="36"/>
      <c r="T845" s="12"/>
      <c r="U845" s="12"/>
      <c r="V845" s="12"/>
      <c r="W845" s="12"/>
      <c r="X845" s="12"/>
    </row>
    <row r="846" customFormat="false" ht="15.75" hidden="false" customHeight="false" outlineLevel="0" collapsed="false">
      <c r="A846" s="12"/>
      <c r="B846" s="34"/>
      <c r="C846" s="12"/>
      <c r="D846" s="12"/>
      <c r="E846" s="12"/>
      <c r="F846" s="12"/>
      <c r="G846" s="18"/>
      <c r="H846" s="35"/>
      <c r="I846" s="12"/>
      <c r="M846" s="12"/>
      <c r="N846" s="18"/>
      <c r="O846" s="12"/>
      <c r="P846" s="12"/>
      <c r="Q846" s="12"/>
      <c r="R846" s="36"/>
      <c r="S846" s="36"/>
      <c r="T846" s="12"/>
      <c r="U846" s="12"/>
      <c r="V846" s="12"/>
      <c r="W846" s="12"/>
      <c r="X846" s="12"/>
    </row>
    <row r="847" customFormat="false" ht="15.75" hidden="false" customHeight="false" outlineLevel="0" collapsed="false">
      <c r="A847" s="12"/>
      <c r="B847" s="34"/>
      <c r="C847" s="12"/>
      <c r="D847" s="12"/>
      <c r="E847" s="12"/>
      <c r="F847" s="12"/>
      <c r="G847" s="18"/>
      <c r="H847" s="35"/>
      <c r="I847" s="12"/>
      <c r="M847" s="12"/>
      <c r="N847" s="18"/>
      <c r="O847" s="12"/>
      <c r="P847" s="12"/>
      <c r="Q847" s="12"/>
      <c r="R847" s="36"/>
      <c r="S847" s="36"/>
      <c r="T847" s="12"/>
      <c r="U847" s="12"/>
      <c r="V847" s="12"/>
      <c r="W847" s="12"/>
      <c r="X847" s="12"/>
    </row>
    <row r="848" customFormat="false" ht="15.75" hidden="false" customHeight="false" outlineLevel="0" collapsed="false">
      <c r="A848" s="12"/>
      <c r="B848" s="34"/>
      <c r="C848" s="12"/>
      <c r="D848" s="12"/>
      <c r="E848" s="12"/>
      <c r="F848" s="12"/>
      <c r="G848" s="18"/>
      <c r="H848" s="35"/>
      <c r="I848" s="12"/>
      <c r="M848" s="12"/>
      <c r="N848" s="18"/>
      <c r="O848" s="12"/>
      <c r="P848" s="12"/>
      <c r="Q848" s="12"/>
      <c r="R848" s="36"/>
      <c r="S848" s="36"/>
      <c r="T848" s="12"/>
      <c r="U848" s="12"/>
      <c r="V848" s="12"/>
      <c r="W848" s="12"/>
      <c r="X848" s="12"/>
    </row>
    <row r="849" customFormat="false" ht="15.75" hidden="false" customHeight="false" outlineLevel="0" collapsed="false">
      <c r="A849" s="12"/>
      <c r="B849" s="34"/>
      <c r="C849" s="12"/>
      <c r="D849" s="12"/>
      <c r="E849" s="12"/>
      <c r="F849" s="12"/>
      <c r="G849" s="18"/>
      <c r="H849" s="35"/>
      <c r="I849" s="12"/>
      <c r="M849" s="12"/>
      <c r="N849" s="18"/>
      <c r="O849" s="12"/>
      <c r="P849" s="12"/>
      <c r="Q849" s="12"/>
      <c r="R849" s="36"/>
      <c r="S849" s="36"/>
      <c r="T849" s="12"/>
      <c r="U849" s="12"/>
      <c r="V849" s="12"/>
      <c r="W849" s="12"/>
      <c r="X849" s="12"/>
    </row>
    <row r="850" customFormat="false" ht="15.75" hidden="false" customHeight="false" outlineLevel="0" collapsed="false">
      <c r="A850" s="12"/>
      <c r="B850" s="34"/>
      <c r="C850" s="12"/>
      <c r="D850" s="12"/>
      <c r="E850" s="12"/>
      <c r="F850" s="12"/>
      <c r="G850" s="18"/>
      <c r="H850" s="35"/>
      <c r="I850" s="12"/>
      <c r="M850" s="12"/>
      <c r="N850" s="18"/>
      <c r="O850" s="12"/>
      <c r="P850" s="12"/>
      <c r="Q850" s="12"/>
      <c r="R850" s="36"/>
      <c r="S850" s="36"/>
      <c r="T850" s="12"/>
      <c r="U850" s="12"/>
      <c r="V850" s="12"/>
      <c r="W850" s="12"/>
      <c r="X850" s="12"/>
    </row>
    <row r="851" customFormat="false" ht="15.75" hidden="false" customHeight="false" outlineLevel="0" collapsed="false">
      <c r="A851" s="12"/>
      <c r="B851" s="34"/>
      <c r="C851" s="12"/>
      <c r="D851" s="12"/>
      <c r="E851" s="12"/>
      <c r="F851" s="12"/>
      <c r="G851" s="18"/>
      <c r="H851" s="35"/>
      <c r="I851" s="12"/>
      <c r="M851" s="12"/>
      <c r="N851" s="18"/>
      <c r="O851" s="12"/>
      <c r="P851" s="12"/>
      <c r="Q851" s="12"/>
      <c r="R851" s="36"/>
      <c r="S851" s="36"/>
      <c r="T851" s="12"/>
      <c r="U851" s="12"/>
      <c r="V851" s="12"/>
      <c r="W851" s="12"/>
      <c r="X851" s="12"/>
    </row>
    <row r="1048575" customFormat="false" ht="12.8" hidden="false" customHeight="true" outlineLevel="0" collapsed="false"/>
    <row r="1048576" customFormat="false" ht="12.8" hidden="false" customHeight="true" outlineLevel="0" collapsed="false"/>
  </sheetData>
  <conditionalFormatting sqref="R2:S851">
    <cfRule type="expression" priority="2" aboveAverage="0" equalAverage="0" bottom="0" percent="0" rank="0" text="" dxfId="0">
      <formula>LEN(TRIM(R2))&gt;0</formula>
    </cfRule>
  </conditionalFormatting>
  <conditionalFormatting sqref="Q2:Q851">
    <cfRule type="expression" priority="3" aboveAverage="0" equalAverage="0" bottom="0" percent="0" rank="0" text="" dxfId="0">
      <formula>LEN(TRIM(Q2))&gt;0</formula>
    </cfRule>
  </conditionalFormatting>
  <conditionalFormatting sqref="G2:G851 N2:N851">
    <cfRule type="containsText" priority="4" operator="containsText" aboveAverage="0" equalAverage="0" bottom="0" percent="0" rank="0" text="x" dxfId="0">
      <formula>NOT(ISERROR(SEARCH("x",G2)))</formula>
    </cfRule>
  </conditionalFormatting>
  <conditionalFormatting sqref="T2:T851">
    <cfRule type="expression" priority="5" aboveAverage="0" equalAverage="0" bottom="0" percent="0" rank="0" text="" dxfId="0">
      <formula>LEN(TRIM(T2))&gt;0</formula>
    </cfRule>
  </conditionalFormatting>
  <conditionalFormatting sqref="W2:W851">
    <cfRule type="expression" priority="6" aboveAverage="0" equalAverage="0" bottom="0" percent="0" rank="0" text="" dxfId="0">
      <formula>LEN(TRIM(W2))&gt;0</formula>
    </cfRule>
  </conditionalFormatting>
  <conditionalFormatting sqref="X2:X851">
    <cfRule type="cellIs" priority="7" operator="equal" aboveAverage="0" equalAverage="0" bottom="0" percent="0" rank="0" text="" dxfId="0">
      <formula>"Completo"</formula>
    </cfRule>
    <cfRule type="cellIs" priority="8" operator="equal" aboveAverage="0" equalAverage="0" bottom="0" percent="0" rank="0" text="" dxfId="1">
      <formula>"No aplica"</formula>
    </cfRule>
  </conditionalFormatting>
  <conditionalFormatting sqref="G2:I851 O2:P851 U2:V851 X2:X851">
    <cfRule type="cellIs" priority="9" operator="equal" aboveAverage="0" equalAverage="0" bottom="0" percent="0" rank="0" text="" dxfId="0">
      <formula>"Completo"</formula>
    </cfRule>
    <cfRule type="cellIs" priority="10" operator="equal" aboveAverage="0" equalAverage="0" bottom="0" percent="0" rank="0" text="" dxfId="1">
      <formula>"No Aplica"</formula>
    </cfRule>
  </conditionalFormatting>
  <dataValidations count="6">
    <dataValidation allowBlank="true" errorStyle="stop" operator="between" showDropDown="false" showErrorMessage="true" showInputMessage="false" sqref="D2:D851" type="list">
      <formula1>LEYENDA!$B$2:$D$2</formula1>
      <formula2>0</formula2>
    </dataValidation>
    <dataValidation allowBlank="true" errorStyle="stop" operator="between" showDropDown="false" showErrorMessage="false" showInputMessage="false" sqref="E2:E851" type="list">
      <formula1>LEYENDA!$A$8:$A$12</formula1>
      <formula2>0</formula2>
    </dataValidation>
    <dataValidation allowBlank="true" errorStyle="stop" operator="between" showDropDown="false" showErrorMessage="false" showInputMessage="false" sqref="T2:T30 T32:T851" type="list">
      <formula1>LEYENDA!$A$23:$A$24</formula1>
      <formula2>0</formula2>
    </dataValidation>
    <dataValidation allowBlank="true" errorStyle="stop" operator="between" showDropDown="false" showErrorMessage="false" showInputMessage="false" sqref="R2:R851" type="list">
      <formula1>LEYENDA!$A$15:$A$19</formula1>
      <formula2>0</formula2>
    </dataValidation>
    <dataValidation allowBlank="true" errorStyle="stop" operator="between" showDropDown="false" showErrorMessage="true" showInputMessage="false" sqref="H2:I851 O2:P851 U2:V851 X2:X851" type="list">
      <formula1>LEYENDA!$B$1:$C$1</formula1>
      <formula2>0</formula2>
    </dataValidation>
    <dataValidation allowBlank="true" errorStyle="stop" operator="between" showDropDown="false" showErrorMessage="false" showInputMessage="false" sqref="T31" type="list">
      <formula1>LEYENDA!$A$23:$A$25</formula1>
      <formula2>0</formula2>
    </dataValidation>
  </dataValidations>
  <hyperlinks>
    <hyperlink ref="P4" r:id="rId1" display="Completo"/>
    <hyperlink ref="U4" r:id="rId2" display="Completo"/>
    <hyperlink ref="V4" r:id="rId3" display="Completo"/>
    <hyperlink ref="P6" r:id="rId4" display="Completo"/>
    <hyperlink ref="U8" r:id="rId5" display="Completo"/>
    <hyperlink ref="V8" r:id="rId6" display="Completo"/>
    <hyperlink ref="U9" r:id="rId7" display="Completo"/>
    <hyperlink ref="V9" r:id="rId8" display="Completo"/>
    <hyperlink ref="P12" r:id="rId9" display="Completo"/>
    <hyperlink ref="U12" r:id="rId10" display="Completo"/>
    <hyperlink ref="V12" r:id="rId11" display="Completo"/>
    <hyperlink ref="P13" r:id="rId12" display="Completo"/>
    <hyperlink ref="U13" r:id="rId13" display="Completo"/>
    <hyperlink ref="V13" r:id="rId14" display="Completo"/>
    <hyperlink ref="P14" r:id="rId15" display="Completo"/>
    <hyperlink ref="U14" r:id="rId16" display="Completo"/>
    <hyperlink ref="V14" r:id="rId17" display="Completo"/>
    <hyperlink ref="P15" r:id="rId18" display="Completo"/>
    <hyperlink ref="U15" r:id="rId19" display="Completo"/>
    <hyperlink ref="V15" r:id="rId20" display="Completo"/>
    <hyperlink ref="P17" r:id="rId21" display="Completo"/>
    <hyperlink ref="U17" r:id="rId22" display="Completo"/>
    <hyperlink ref="V17" r:id="rId23" display="Completo"/>
    <hyperlink ref="P18" r:id="rId24" display="Completo"/>
    <hyperlink ref="U18" r:id="rId25" display="Completo"/>
    <hyperlink ref="V18" r:id="rId26" display="Completo"/>
    <hyperlink ref="U19" r:id="rId27" display="Completo"/>
    <hyperlink ref="V19" r:id="rId28" display="Completo"/>
    <hyperlink ref="P20" r:id="rId29" display="Completo"/>
    <hyperlink ref="U20" r:id="rId30" display="Completo"/>
    <hyperlink ref="V20" r:id="rId31" display="Completo"/>
    <hyperlink ref="P22" r:id="rId32" display="Completo"/>
    <hyperlink ref="U22" r:id="rId33" display="Completo"/>
    <hyperlink ref="V22" r:id="rId34" display="Completo"/>
    <hyperlink ref="P24" r:id="rId35" display="Completo"/>
    <hyperlink ref="P25" r:id="rId36" display="Completo"/>
    <hyperlink ref="U25" r:id="rId37" display="Completo"/>
    <hyperlink ref="V25" r:id="rId38" display="Completo"/>
    <hyperlink ref="U31" r:id="rId39" display="Completo"/>
    <hyperlink ref="V31" r:id="rId40" display="Completo"/>
    <hyperlink ref="U49" r:id="rId41" display="Completo"/>
    <hyperlink ref="V49" r:id="rId42" display="Completo"/>
    <hyperlink ref="P50" r:id="rId43" display="Completo"/>
    <hyperlink ref="U50" r:id="rId44" display="Completo"/>
    <hyperlink ref="V50" r:id="rId45" display="Completo"/>
    <hyperlink ref="P51" r:id="rId46" display="Completo"/>
    <hyperlink ref="U51" r:id="rId47" display="Completo"/>
    <hyperlink ref="V51" r:id="rId48" display="Completo"/>
    <hyperlink ref="P52" r:id="rId49" display="Completo"/>
    <hyperlink ref="P53" r:id="rId50" display="Completo"/>
    <hyperlink ref="P55" r:id="rId51" display="Completo"/>
    <hyperlink ref="P57" r:id="rId52" display="Completo"/>
    <hyperlink ref="P58" r:id="rId53" display="Completo"/>
    <hyperlink ref="U66" r:id="rId54" display="Completo"/>
    <hyperlink ref="V66" r:id="rId55" display="Completo"/>
    <hyperlink ref="P67" r:id="rId56" display="Completo"/>
    <hyperlink ref="U67" r:id="rId57" display="Completo"/>
    <hyperlink ref="V67" r:id="rId58" display="Completo"/>
    <hyperlink ref="P68" r:id="rId59" display="Completo"/>
    <hyperlink ref="U68" r:id="rId60" display="Completo"/>
    <hyperlink ref="V68" r:id="rId61" display="Completo"/>
    <hyperlink ref="U69" r:id="rId62" display="Completo"/>
    <hyperlink ref="V69" r:id="rId63" display="Completo"/>
    <hyperlink ref="P70" r:id="rId64" display="Completo"/>
    <hyperlink ref="U70" r:id="rId65" display="Completo"/>
    <hyperlink ref="V70" r:id="rId66" display="Completo"/>
    <hyperlink ref="P71" r:id="rId67" display="Completo"/>
    <hyperlink ref="U71" r:id="rId68" display="Completo"/>
    <hyperlink ref="V71" r:id="rId69" display="Completo"/>
  </hyperlinks>
  <printOptions headings="false" gridLines="true" gridLinesSet="true" horizontalCentered="true" verticalCentered="false"/>
  <pageMargins left="0.7" right="0.7" top="0.75" bottom="0.75" header="0.511811023622047" footer="0.511811023622047"/>
  <pageSetup paperSize="9" scale="100" fitToWidth="1" fitToHeight="0" pageOrder="overThenDown" orientation="landscape" blackAndWhite="false" draft="false" cellComments="none" horizontalDpi="300" verticalDpi="300" copies="1"/>
  <headerFooter differentFirst="false" differentOddEven="false">
    <oddHeader/>
    <oddFooter/>
  </headerFooter>
  <drawing r:id="rId70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AF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6" ySplit="3" topLeftCell="G64" activePane="bottomRight" state="frozen"/>
      <selection pane="topLeft" activeCell="A1" activeCellId="0" sqref="A1"/>
      <selection pane="topRight" activeCell="G1" activeCellId="0" sqref="G1"/>
      <selection pane="bottomLeft" activeCell="A64" activeCellId="0" sqref="A64"/>
      <selection pane="bottomRight" activeCell="A1" activeCellId="0" sqref="A1"/>
    </sheetView>
  </sheetViews>
  <sheetFormatPr defaultColWidth="12.6328125" defaultRowHeight="15.75" zeroHeight="false" outlineLevelRow="0" outlineLevelCol="0"/>
  <cols>
    <col collapsed="false" customWidth="true" hidden="false" outlineLevel="0" max="1" min="1" style="1" width="10.25"/>
    <col collapsed="false" customWidth="true" hidden="false" outlineLevel="0" max="2" min="2" style="1" width="10.38"/>
    <col collapsed="false" customWidth="true" hidden="false" outlineLevel="0" max="3" min="3" style="1" width="16.89"/>
    <col collapsed="false" customWidth="true" hidden="false" outlineLevel="0" max="4" min="4" style="1" width="11.25"/>
    <col collapsed="false" customWidth="true" hidden="false" outlineLevel="0" max="5" min="5" style="1" width="17.13"/>
    <col collapsed="false" customWidth="true" hidden="false" outlineLevel="0" max="6" min="6" style="1" width="31.25"/>
    <col collapsed="false" customWidth="true" hidden="false" outlineLevel="0" max="7" min="7" style="1" width="15.88"/>
    <col collapsed="false" customWidth="true" hidden="false" outlineLevel="0" max="8" min="8" style="1" width="10.88"/>
    <col collapsed="false" customWidth="true" hidden="false" outlineLevel="0" max="9" min="9" style="1" width="12.88"/>
    <col collapsed="false" customWidth="true" hidden="false" outlineLevel="0" max="10" min="10" style="1" width="12"/>
    <col collapsed="false" customWidth="true" hidden="false" outlineLevel="0" max="11" min="11" style="1" width="10"/>
    <col collapsed="false" customWidth="true" hidden="false" outlineLevel="0" max="12" min="12" style="1" width="12.25"/>
    <col collapsed="false" customWidth="true" hidden="false" outlineLevel="0" max="13" min="13" style="1" width="26.12"/>
    <col collapsed="false" customWidth="true" hidden="false" outlineLevel="0" max="14" min="14" style="1" width="18"/>
    <col collapsed="false" customWidth="true" hidden="false" outlineLevel="0" max="16" min="15" style="1" width="10.63"/>
    <col collapsed="false" customWidth="true" hidden="false" outlineLevel="0" max="17" min="17" style="1" width="8.5"/>
    <col collapsed="false" customWidth="true" hidden="false" outlineLevel="0" max="19" min="19" style="1" width="25.38"/>
    <col collapsed="false" customWidth="true" hidden="false" outlineLevel="0" max="20" min="20" style="1" width="17.88"/>
    <col collapsed="false" customWidth="true" hidden="false" outlineLevel="0" max="21" min="21" style="1" width="10.13"/>
    <col collapsed="false" customWidth="true" hidden="false" outlineLevel="0" max="22" min="22" style="1" width="11.12"/>
    <col collapsed="false" customWidth="true" hidden="false" outlineLevel="0" max="23" min="23" style="1" width="24.88"/>
  </cols>
  <sheetData>
    <row r="1" customFormat="false" ht="68" hidden="false" customHeight="false" outlineLevel="0" collapsed="false">
      <c r="A1" s="2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/>
      <c r="J1" s="4" t="s">
        <v>8</v>
      </c>
      <c r="K1" s="2"/>
      <c r="L1" s="2" t="s">
        <v>9</v>
      </c>
      <c r="M1" s="2" t="s">
        <v>10</v>
      </c>
      <c r="N1" s="4" t="s">
        <v>11</v>
      </c>
      <c r="O1" s="3" t="s">
        <v>12</v>
      </c>
      <c r="P1" s="7" t="s">
        <v>13</v>
      </c>
      <c r="Q1" s="7" t="s">
        <v>14</v>
      </c>
      <c r="R1" s="7" t="s">
        <v>15</v>
      </c>
      <c r="S1" s="7" t="s">
        <v>16</v>
      </c>
      <c r="T1" s="7" t="s">
        <v>17</v>
      </c>
      <c r="U1" s="8" t="s">
        <v>18</v>
      </c>
      <c r="V1" s="9" t="s">
        <v>19</v>
      </c>
      <c r="W1" s="9" t="s">
        <v>20</v>
      </c>
      <c r="X1" s="10" t="s">
        <v>15</v>
      </c>
      <c r="Y1" s="11" t="s">
        <v>21</v>
      </c>
      <c r="Z1" s="11" t="s">
        <v>22</v>
      </c>
      <c r="AA1" s="12"/>
      <c r="AB1" s="12"/>
      <c r="AC1" s="12"/>
      <c r="AD1" s="12"/>
      <c r="AE1" s="12"/>
      <c r="AF1" s="12"/>
    </row>
    <row r="2" customFormat="false" ht="15.75" hidden="false" customHeight="false" outlineLevel="0" collapsed="false">
      <c r="A2" s="61" t="n">
        <v>6411</v>
      </c>
      <c r="B2" s="29" t="n">
        <v>44683</v>
      </c>
      <c r="C2" s="21" t="s">
        <v>841</v>
      </c>
      <c r="D2" s="21" t="s">
        <v>24</v>
      </c>
      <c r="E2" s="21" t="s">
        <v>25</v>
      </c>
      <c r="F2" s="21" t="s">
        <v>3076</v>
      </c>
      <c r="G2" s="30" t="s">
        <v>3077</v>
      </c>
      <c r="H2" s="45" t="str">
        <f aca="false">HYPERLINK("https://photos.app.goo.gl/ddkcvdtDoxmDQNQX8", "Completo")</f>
        <v>Completo</v>
      </c>
      <c r="I2" s="21" t="s">
        <v>28</v>
      </c>
      <c r="J2" s="21"/>
      <c r="K2" s="21"/>
      <c r="L2" s="21"/>
      <c r="M2" s="21"/>
      <c r="N2" s="30"/>
      <c r="O2" s="21" t="s">
        <v>28</v>
      </c>
      <c r="P2" s="74" t="s">
        <v>28</v>
      </c>
      <c r="Q2" s="21" t="s">
        <v>2981</v>
      </c>
      <c r="R2" s="32" t="s">
        <v>2850</v>
      </c>
      <c r="S2" s="32" t="s">
        <v>36</v>
      </c>
      <c r="T2" s="21" t="s">
        <v>3078</v>
      </c>
      <c r="U2" s="74" t="s">
        <v>28</v>
      </c>
      <c r="V2" s="21" t="s">
        <v>28</v>
      </c>
      <c r="W2" s="21" t="s">
        <v>36</v>
      </c>
      <c r="X2" s="21" t="s">
        <v>28</v>
      </c>
    </row>
    <row r="3" customFormat="false" ht="15.75" hidden="false" customHeight="false" outlineLevel="0" collapsed="false">
      <c r="A3" s="61" t="n">
        <v>6412</v>
      </c>
      <c r="B3" s="29" t="n">
        <v>44683</v>
      </c>
      <c r="C3" s="21" t="s">
        <v>841</v>
      </c>
      <c r="D3" s="21" t="s">
        <v>24</v>
      </c>
      <c r="E3" s="21" t="s">
        <v>25</v>
      </c>
      <c r="F3" s="21" t="s">
        <v>3079</v>
      </c>
      <c r="G3" s="30" t="s">
        <v>3080</v>
      </c>
      <c r="H3" s="45" t="str">
        <f aca="false">HYPERLINK("https://photos.app.goo.gl/ExTqJDU2azHK3GFt8", "Completo")</f>
        <v>Completo</v>
      </c>
      <c r="I3" s="21" t="s">
        <v>28</v>
      </c>
      <c r="J3" s="21"/>
      <c r="K3" s="21"/>
      <c r="L3" s="21"/>
      <c r="M3" s="21"/>
      <c r="N3" s="30"/>
      <c r="O3" s="21" t="s">
        <v>28</v>
      </c>
      <c r="P3" s="74" t="s">
        <v>28</v>
      </c>
      <c r="Q3" s="21" t="s">
        <v>2981</v>
      </c>
      <c r="R3" s="32" t="s">
        <v>2850</v>
      </c>
      <c r="S3" s="32" t="s">
        <v>36</v>
      </c>
      <c r="T3" s="21" t="s">
        <v>3081</v>
      </c>
      <c r="U3" s="74" t="s">
        <v>28</v>
      </c>
      <c r="V3" s="21" t="s">
        <v>28</v>
      </c>
      <c r="W3" s="21" t="s">
        <v>36</v>
      </c>
      <c r="X3" s="21" t="s">
        <v>28</v>
      </c>
    </row>
    <row r="4" customFormat="false" ht="15.75" hidden="false" customHeight="false" outlineLevel="0" collapsed="false">
      <c r="A4" s="61" t="n">
        <v>6413</v>
      </c>
      <c r="B4" s="29" t="n">
        <v>44683</v>
      </c>
      <c r="C4" s="21" t="s">
        <v>3082</v>
      </c>
      <c r="D4" s="21" t="s">
        <v>24</v>
      </c>
      <c r="E4" s="21" t="s">
        <v>25</v>
      </c>
      <c r="F4" s="21" t="s">
        <v>3083</v>
      </c>
      <c r="G4" s="30" t="s">
        <v>3084</v>
      </c>
      <c r="H4" s="45" t="str">
        <f aca="false">HYPERLINK("https://photos.app.goo.gl/wW72nj2C61vDEhiP6", "Completo")</f>
        <v>Completo</v>
      </c>
      <c r="I4" s="21" t="s">
        <v>28</v>
      </c>
      <c r="J4" s="21"/>
      <c r="K4" s="21"/>
      <c r="L4" s="21"/>
      <c r="M4" s="21"/>
      <c r="N4" s="30"/>
      <c r="O4" s="21"/>
      <c r="P4" s="21"/>
      <c r="Q4" s="21"/>
      <c r="R4" s="32"/>
      <c r="S4" s="32"/>
      <c r="T4" s="21"/>
      <c r="U4" s="21" t="s">
        <v>37</v>
      </c>
      <c r="V4" s="21" t="s">
        <v>37</v>
      </c>
      <c r="W4" s="21"/>
      <c r="X4" s="21" t="s">
        <v>28</v>
      </c>
    </row>
    <row r="5" customFormat="false" ht="15.75" hidden="false" customHeight="false" outlineLevel="0" collapsed="false">
      <c r="A5" s="61" t="n">
        <v>6414</v>
      </c>
      <c r="B5" s="29" t="n">
        <v>44683</v>
      </c>
      <c r="C5" s="21" t="s">
        <v>2177</v>
      </c>
      <c r="D5" s="21" t="s">
        <v>24</v>
      </c>
      <c r="E5" s="21" t="s">
        <v>25</v>
      </c>
      <c r="F5" s="21" t="s">
        <v>3085</v>
      </c>
      <c r="G5" s="30"/>
      <c r="H5" s="45" t="str">
        <f aca="false">HYPERLINK("https://photos.app.goo.gl/wmfwJ7jiXhrojHgb9", "Completo")</f>
        <v>Completo</v>
      </c>
      <c r="I5" s="21" t="s">
        <v>28</v>
      </c>
      <c r="J5" s="21"/>
      <c r="K5" s="21"/>
      <c r="L5" s="21"/>
      <c r="M5" s="21"/>
      <c r="N5" s="30"/>
      <c r="O5" s="21" t="s">
        <v>37</v>
      </c>
      <c r="P5" s="74" t="s">
        <v>28</v>
      </c>
      <c r="Q5" s="21" t="s">
        <v>2981</v>
      </c>
      <c r="R5" s="32" t="s">
        <v>2850</v>
      </c>
      <c r="S5" s="32" t="s">
        <v>3086</v>
      </c>
      <c r="T5" s="21"/>
      <c r="U5" s="21" t="s">
        <v>37</v>
      </c>
      <c r="V5" s="21" t="s">
        <v>37</v>
      </c>
      <c r="W5" s="21"/>
      <c r="X5" s="21"/>
    </row>
    <row r="6" customFormat="false" ht="15.75" hidden="false" customHeight="false" outlineLevel="0" collapsed="false">
      <c r="A6" s="61" t="n">
        <v>6415</v>
      </c>
      <c r="B6" s="29" t="n">
        <v>44684</v>
      </c>
      <c r="C6" s="21" t="s">
        <v>1259</v>
      </c>
      <c r="D6" s="21" t="s">
        <v>24</v>
      </c>
      <c r="E6" s="21" t="s">
        <v>25</v>
      </c>
      <c r="F6" s="21" t="s">
        <v>3087</v>
      </c>
      <c r="G6" s="30" t="s">
        <v>3088</v>
      </c>
      <c r="H6" s="45" t="str">
        <f aca="false">HYPERLINK("https://photos.app.goo.gl/U3gHEjJQrfhe2Vp46", "Completo")</f>
        <v>Completo</v>
      </c>
      <c r="I6" s="21" t="s">
        <v>28</v>
      </c>
      <c r="J6" s="21"/>
      <c r="K6" s="21"/>
      <c r="L6" s="21"/>
      <c r="M6" s="21"/>
      <c r="N6" s="30"/>
      <c r="O6" s="21" t="s">
        <v>28</v>
      </c>
      <c r="P6" s="74" t="s">
        <v>28</v>
      </c>
      <c r="Q6" s="21" t="s">
        <v>3089</v>
      </c>
      <c r="R6" s="32" t="s">
        <v>2850</v>
      </c>
      <c r="S6" s="32" t="s">
        <v>36</v>
      </c>
      <c r="T6" s="21" t="s">
        <v>74</v>
      </c>
      <c r="U6" s="74" t="s">
        <v>28</v>
      </c>
      <c r="V6" s="74" t="s">
        <v>28</v>
      </c>
      <c r="W6" s="21" t="s">
        <v>36</v>
      </c>
      <c r="X6" s="21" t="s">
        <v>28</v>
      </c>
    </row>
    <row r="7" customFormat="false" ht="15.75" hidden="false" customHeight="false" outlineLevel="0" collapsed="false">
      <c r="A7" s="61" t="n">
        <v>6416</v>
      </c>
      <c r="B7" s="29" t="n">
        <v>44684</v>
      </c>
      <c r="C7" s="21" t="s">
        <v>1259</v>
      </c>
      <c r="D7" s="21" t="s">
        <v>24</v>
      </c>
      <c r="E7" s="21" t="s">
        <v>25</v>
      </c>
      <c r="F7" s="21" t="s">
        <v>3090</v>
      </c>
      <c r="G7" s="30" t="s">
        <v>3091</v>
      </c>
      <c r="H7" s="45" t="str">
        <f aca="false">HYPERLINK("https://photos.app.goo.gl/jpJdqwiysrni7Dbo9", "Completo")</f>
        <v>Completo</v>
      </c>
      <c r="I7" s="21" t="s">
        <v>28</v>
      </c>
      <c r="J7" s="21"/>
      <c r="K7" s="21"/>
      <c r="L7" s="21"/>
      <c r="M7" s="21"/>
      <c r="N7" s="30"/>
      <c r="O7" s="21" t="s">
        <v>28</v>
      </c>
      <c r="P7" s="74" t="s">
        <v>28</v>
      </c>
      <c r="Q7" s="21" t="s">
        <v>3092</v>
      </c>
      <c r="R7" s="32" t="s">
        <v>2850</v>
      </c>
      <c r="S7" s="32" t="s">
        <v>36</v>
      </c>
      <c r="T7" s="21" t="s">
        <v>74</v>
      </c>
      <c r="U7" s="74" t="s">
        <v>28</v>
      </c>
      <c r="V7" s="74" t="s">
        <v>28</v>
      </c>
      <c r="W7" s="21" t="s">
        <v>36</v>
      </c>
      <c r="X7" s="21" t="s">
        <v>28</v>
      </c>
    </row>
    <row r="8" customFormat="false" ht="15.75" hidden="false" customHeight="false" outlineLevel="0" collapsed="false">
      <c r="A8" s="61" t="n">
        <v>6417</v>
      </c>
      <c r="B8" s="29" t="n">
        <v>44684</v>
      </c>
      <c r="C8" s="21" t="s">
        <v>1456</v>
      </c>
      <c r="D8" s="21" t="s">
        <v>24</v>
      </c>
      <c r="E8" s="21" t="s">
        <v>34</v>
      </c>
      <c r="F8" s="21" t="s">
        <v>3093</v>
      </c>
      <c r="G8" s="30"/>
      <c r="H8" s="31"/>
      <c r="I8" s="21"/>
      <c r="J8" s="21"/>
      <c r="K8" s="21"/>
      <c r="L8" s="21"/>
      <c r="M8" s="21"/>
      <c r="N8" s="30"/>
      <c r="O8" s="21"/>
      <c r="P8" s="21"/>
      <c r="Q8" s="21"/>
      <c r="R8" s="32"/>
      <c r="S8" s="32"/>
      <c r="T8" s="21"/>
      <c r="U8" s="21" t="s">
        <v>37</v>
      </c>
      <c r="V8" s="21" t="s">
        <v>37</v>
      </c>
      <c r="W8" s="21"/>
      <c r="X8" s="21" t="s">
        <v>28</v>
      </c>
    </row>
    <row r="9" customFormat="false" ht="15.75" hidden="false" customHeight="false" outlineLevel="0" collapsed="false">
      <c r="A9" s="61" t="n">
        <v>6418</v>
      </c>
      <c r="B9" s="29" t="n">
        <v>44684</v>
      </c>
      <c r="C9" s="21" t="s">
        <v>1456</v>
      </c>
      <c r="D9" s="21" t="s">
        <v>24</v>
      </c>
      <c r="E9" s="21" t="s">
        <v>34</v>
      </c>
      <c r="F9" s="21" t="s">
        <v>3094</v>
      </c>
      <c r="G9" s="30"/>
      <c r="H9" s="31"/>
      <c r="I9" s="21"/>
      <c r="J9" s="21"/>
      <c r="K9" s="21"/>
      <c r="L9" s="21"/>
      <c r="M9" s="21"/>
      <c r="N9" s="30"/>
      <c r="O9" s="21"/>
      <c r="P9" s="66"/>
      <c r="Q9" s="21"/>
      <c r="R9" s="32"/>
      <c r="S9" s="32"/>
      <c r="T9" s="21"/>
      <c r="U9" s="21" t="s">
        <v>37</v>
      </c>
      <c r="V9" s="21" t="s">
        <v>37</v>
      </c>
      <c r="W9" s="21"/>
      <c r="X9" s="21" t="s">
        <v>28</v>
      </c>
    </row>
    <row r="10" customFormat="false" ht="15.75" hidden="false" customHeight="false" outlineLevel="0" collapsed="false">
      <c r="A10" s="61" t="n">
        <v>6419</v>
      </c>
      <c r="B10" s="29" t="n">
        <v>44684</v>
      </c>
      <c r="C10" s="21" t="s">
        <v>944</v>
      </c>
      <c r="D10" s="21" t="s">
        <v>24</v>
      </c>
      <c r="E10" s="21" t="s">
        <v>34</v>
      </c>
      <c r="F10" s="21" t="s">
        <v>3095</v>
      </c>
      <c r="G10" s="30"/>
      <c r="H10" s="31"/>
      <c r="I10" s="21"/>
      <c r="J10" s="21"/>
      <c r="K10" s="21"/>
      <c r="L10" s="21"/>
      <c r="M10" s="21"/>
      <c r="N10" s="30"/>
      <c r="O10" s="21"/>
      <c r="P10" s="21"/>
      <c r="Q10" s="21"/>
      <c r="R10" s="32"/>
      <c r="S10" s="32"/>
      <c r="T10" s="21"/>
      <c r="U10" s="21" t="s">
        <v>37</v>
      </c>
      <c r="V10" s="21" t="s">
        <v>37</v>
      </c>
      <c r="W10" s="21"/>
      <c r="X10" s="21" t="s">
        <v>28</v>
      </c>
    </row>
    <row r="11" customFormat="false" ht="15.75" hidden="false" customHeight="false" outlineLevel="0" collapsed="false">
      <c r="A11" s="61" t="n">
        <v>6420</v>
      </c>
      <c r="B11" s="29" t="n">
        <v>44684</v>
      </c>
      <c r="C11" s="21" t="s">
        <v>944</v>
      </c>
      <c r="D11" s="21" t="s">
        <v>24</v>
      </c>
      <c r="E11" s="21" t="s">
        <v>34</v>
      </c>
      <c r="F11" s="21" t="s">
        <v>3095</v>
      </c>
      <c r="G11" s="30"/>
      <c r="H11" s="31"/>
      <c r="I11" s="21"/>
      <c r="J11" s="21"/>
      <c r="K11" s="21"/>
      <c r="L11" s="21"/>
      <c r="M11" s="21"/>
      <c r="N11" s="30"/>
      <c r="O11" s="21"/>
      <c r="P11" s="21"/>
      <c r="Q11" s="21"/>
      <c r="R11" s="32"/>
      <c r="S11" s="32"/>
      <c r="T11" s="21"/>
      <c r="U11" s="21" t="s">
        <v>37</v>
      </c>
      <c r="V11" s="21" t="s">
        <v>37</v>
      </c>
      <c r="W11" s="21"/>
      <c r="X11" s="21" t="s">
        <v>28</v>
      </c>
    </row>
    <row r="12" customFormat="false" ht="15.75" hidden="false" customHeight="false" outlineLevel="0" collapsed="false">
      <c r="A12" s="61" t="n">
        <v>6421</v>
      </c>
      <c r="B12" s="29" t="n">
        <v>44684</v>
      </c>
      <c r="C12" s="21" t="s">
        <v>730</v>
      </c>
      <c r="D12" s="21" t="s">
        <v>24</v>
      </c>
      <c r="E12" s="21" t="s">
        <v>25</v>
      </c>
      <c r="F12" s="21" t="s">
        <v>3096</v>
      </c>
      <c r="G12" s="30" t="s">
        <v>3097</v>
      </c>
      <c r="H12" s="31" t="s">
        <v>28</v>
      </c>
      <c r="I12" s="21" t="s">
        <v>28</v>
      </c>
      <c r="J12" s="21"/>
      <c r="K12" s="21"/>
      <c r="L12" s="21"/>
      <c r="M12" s="21"/>
      <c r="N12" s="30"/>
      <c r="O12" s="21" t="s">
        <v>28</v>
      </c>
      <c r="P12" s="74" t="s">
        <v>28</v>
      </c>
      <c r="Q12" s="21" t="s">
        <v>3098</v>
      </c>
      <c r="R12" s="32" t="s">
        <v>2850</v>
      </c>
      <c r="S12" s="32" t="s">
        <v>36</v>
      </c>
      <c r="T12" s="21" t="s">
        <v>74</v>
      </c>
      <c r="U12" s="74" t="s">
        <v>28</v>
      </c>
      <c r="V12" s="74" t="s">
        <v>28</v>
      </c>
      <c r="W12" s="21" t="s">
        <v>36</v>
      </c>
      <c r="X12" s="21" t="s">
        <v>28</v>
      </c>
    </row>
    <row r="13" customFormat="false" ht="15.75" hidden="false" customHeight="false" outlineLevel="0" collapsed="false">
      <c r="A13" s="61" t="n">
        <v>6422</v>
      </c>
      <c r="B13" s="29" t="n">
        <v>44685</v>
      </c>
      <c r="C13" s="21" t="s">
        <v>841</v>
      </c>
      <c r="D13" s="21" t="s">
        <v>24</v>
      </c>
      <c r="E13" s="21" t="s">
        <v>34</v>
      </c>
      <c r="F13" s="21" t="s">
        <v>3099</v>
      </c>
      <c r="G13" s="30" t="s">
        <v>3100</v>
      </c>
      <c r="H13" s="45" t="str">
        <f aca="false">HYPERLINK("https://photos.app.goo.gl/14JhVALqHTu8QdxD8", "Completo")</f>
        <v>Completo</v>
      </c>
      <c r="I13" s="21" t="s">
        <v>37</v>
      </c>
      <c r="J13" s="21"/>
      <c r="K13" s="21"/>
      <c r="L13" s="21"/>
      <c r="M13" s="21"/>
      <c r="N13" s="30"/>
      <c r="O13" s="21"/>
      <c r="P13" s="21"/>
      <c r="Q13" s="21"/>
      <c r="R13" s="32"/>
      <c r="S13" s="32"/>
      <c r="T13" s="21"/>
      <c r="U13" s="21" t="s">
        <v>37</v>
      </c>
      <c r="V13" s="21" t="s">
        <v>37</v>
      </c>
      <c r="W13" s="21"/>
      <c r="X13" s="21" t="s">
        <v>28</v>
      </c>
    </row>
    <row r="14" customFormat="false" ht="15.75" hidden="false" customHeight="false" outlineLevel="0" collapsed="false">
      <c r="A14" s="61" t="n">
        <v>6423</v>
      </c>
      <c r="B14" s="29" t="n">
        <v>44685</v>
      </c>
      <c r="C14" s="21" t="s">
        <v>841</v>
      </c>
      <c r="D14" s="21" t="s">
        <v>24</v>
      </c>
      <c r="E14" s="21" t="s">
        <v>34</v>
      </c>
      <c r="F14" s="21" t="s">
        <v>3101</v>
      </c>
      <c r="G14" s="30" t="s">
        <v>3102</v>
      </c>
      <c r="H14" s="45" t="str">
        <f aca="false">HYPERLINK("https://photos.app.goo.gl/Ta6gQdQGB9uFyfXy5", "Completo")</f>
        <v>Completo</v>
      </c>
      <c r="I14" s="21" t="s">
        <v>37</v>
      </c>
      <c r="J14" s="21"/>
      <c r="K14" s="21"/>
      <c r="L14" s="21"/>
      <c r="M14" s="21"/>
      <c r="N14" s="30"/>
      <c r="O14" s="21"/>
      <c r="P14" s="21"/>
      <c r="Q14" s="21"/>
      <c r="R14" s="32"/>
      <c r="S14" s="32"/>
      <c r="T14" s="21"/>
      <c r="U14" s="21" t="s">
        <v>37</v>
      </c>
      <c r="V14" s="21" t="s">
        <v>37</v>
      </c>
      <c r="W14" s="21"/>
      <c r="X14" s="21" t="s">
        <v>28</v>
      </c>
    </row>
    <row r="15" customFormat="false" ht="15.75" hidden="false" customHeight="false" outlineLevel="0" collapsed="false">
      <c r="A15" s="61" t="n">
        <v>6424</v>
      </c>
      <c r="B15" s="29" t="n">
        <v>44685</v>
      </c>
      <c r="C15" s="21" t="s">
        <v>841</v>
      </c>
      <c r="D15" s="21" t="s">
        <v>24</v>
      </c>
      <c r="E15" s="21" t="s">
        <v>34</v>
      </c>
      <c r="F15" s="21" t="s">
        <v>3103</v>
      </c>
      <c r="G15" s="30" t="s">
        <v>3104</v>
      </c>
      <c r="H15" s="45" t="str">
        <f aca="false">HYPERLINK("https://photos.app.goo.gl/3WGMPjrtToLEwQHC9", "Completo")</f>
        <v>Completo</v>
      </c>
      <c r="I15" s="21" t="s">
        <v>37</v>
      </c>
      <c r="J15" s="21"/>
      <c r="K15" s="21"/>
      <c r="L15" s="21"/>
      <c r="M15" s="21"/>
      <c r="N15" s="30"/>
      <c r="O15" s="21"/>
      <c r="P15" s="21"/>
      <c r="Q15" s="21"/>
      <c r="R15" s="32"/>
      <c r="S15" s="32"/>
      <c r="T15" s="21"/>
      <c r="U15" s="21" t="s">
        <v>37</v>
      </c>
      <c r="V15" s="21" t="s">
        <v>37</v>
      </c>
      <c r="W15" s="21"/>
      <c r="X15" s="21" t="s">
        <v>28</v>
      </c>
    </row>
    <row r="16" customFormat="false" ht="15.75" hidden="false" customHeight="false" outlineLevel="0" collapsed="false">
      <c r="A16" s="61" t="s">
        <v>3105</v>
      </c>
      <c r="B16" s="29" t="n">
        <v>44687</v>
      </c>
      <c r="C16" s="21" t="s">
        <v>389</v>
      </c>
      <c r="D16" s="21" t="s">
        <v>578</v>
      </c>
      <c r="E16" s="21" t="s">
        <v>25</v>
      </c>
      <c r="F16" s="21" t="s">
        <v>3106</v>
      </c>
      <c r="G16" s="30"/>
      <c r="H16" s="45" t="str">
        <f aca="false">HYPERLINK("https://photos.app.goo.gl/kdfDUm9EtKyL4ZQq8", "Completo")</f>
        <v>Completo</v>
      </c>
      <c r="I16" s="21" t="s">
        <v>28</v>
      </c>
      <c r="J16" s="21"/>
      <c r="K16" s="21"/>
      <c r="L16" s="21"/>
      <c r="M16" s="21"/>
      <c r="N16" s="30"/>
      <c r="O16" s="21"/>
      <c r="P16" s="21"/>
      <c r="Q16" s="21"/>
      <c r="R16" s="32"/>
      <c r="S16" s="32"/>
      <c r="T16" s="21"/>
      <c r="U16" s="21" t="s">
        <v>37</v>
      </c>
      <c r="V16" s="21" t="s">
        <v>37</v>
      </c>
      <c r="W16" s="21"/>
      <c r="X16" s="21" t="s">
        <v>37</v>
      </c>
    </row>
    <row r="17" customFormat="false" ht="15.75" hidden="false" customHeight="false" outlineLevel="0" collapsed="false">
      <c r="A17" s="61" t="n">
        <v>6425</v>
      </c>
      <c r="B17" s="29" t="n">
        <v>44687</v>
      </c>
      <c r="C17" s="21" t="s">
        <v>705</v>
      </c>
      <c r="D17" s="21" t="s">
        <v>24</v>
      </c>
      <c r="E17" s="21" t="s">
        <v>34</v>
      </c>
      <c r="F17" s="21" t="s">
        <v>3107</v>
      </c>
      <c r="G17" s="30"/>
      <c r="H17" s="31"/>
      <c r="I17" s="21"/>
      <c r="J17" s="21"/>
      <c r="K17" s="21"/>
      <c r="L17" s="21"/>
      <c r="M17" s="21"/>
      <c r="N17" s="30"/>
      <c r="O17" s="21"/>
      <c r="P17" s="21"/>
      <c r="Q17" s="21"/>
      <c r="R17" s="32"/>
      <c r="S17" s="32"/>
      <c r="T17" s="21"/>
      <c r="U17" s="21" t="s">
        <v>37</v>
      </c>
      <c r="V17" s="21" t="s">
        <v>37</v>
      </c>
      <c r="W17" s="21"/>
      <c r="X17" s="21" t="s">
        <v>28</v>
      </c>
    </row>
    <row r="18" customFormat="false" ht="15.75" hidden="false" customHeight="false" outlineLevel="0" collapsed="false">
      <c r="A18" s="61" t="n">
        <v>6426</v>
      </c>
      <c r="B18" s="29" t="n">
        <v>44687</v>
      </c>
      <c r="C18" s="21" t="s">
        <v>705</v>
      </c>
      <c r="D18" s="21" t="s">
        <v>24</v>
      </c>
      <c r="E18" s="21" t="s">
        <v>34</v>
      </c>
      <c r="F18" s="21" t="s">
        <v>3108</v>
      </c>
      <c r="G18" s="30"/>
      <c r="H18" s="31"/>
      <c r="I18" s="21"/>
      <c r="J18" s="21"/>
      <c r="K18" s="21"/>
      <c r="L18" s="21"/>
      <c r="M18" s="21"/>
      <c r="N18" s="30"/>
      <c r="O18" s="21"/>
      <c r="P18" s="21"/>
      <c r="Q18" s="21"/>
      <c r="R18" s="32"/>
      <c r="S18" s="32"/>
      <c r="T18" s="21"/>
      <c r="U18" s="21" t="s">
        <v>37</v>
      </c>
      <c r="V18" s="21" t="s">
        <v>37</v>
      </c>
      <c r="W18" s="21"/>
      <c r="X18" s="21" t="s">
        <v>28</v>
      </c>
    </row>
    <row r="19" customFormat="false" ht="15.75" hidden="false" customHeight="false" outlineLevel="0" collapsed="false">
      <c r="A19" s="61" t="n">
        <v>6427</v>
      </c>
      <c r="B19" s="29" t="n">
        <v>44688</v>
      </c>
      <c r="C19" s="21" t="s">
        <v>3109</v>
      </c>
      <c r="D19" s="21" t="s">
        <v>24</v>
      </c>
      <c r="E19" s="21" t="s">
        <v>25</v>
      </c>
      <c r="F19" s="21" t="s">
        <v>3110</v>
      </c>
      <c r="G19" s="30"/>
      <c r="H19" s="45" t="str">
        <f aca="false">HYPERLINK("https://photos.app.goo.gl/jkmLiCGqPZyaqxkk7", "Completo")</f>
        <v>Completo</v>
      </c>
      <c r="I19" s="21" t="s">
        <v>28</v>
      </c>
      <c r="J19" s="21" t="n">
        <v>3804666122</v>
      </c>
      <c r="K19" s="21" t="s">
        <v>3111</v>
      </c>
      <c r="L19" s="21"/>
      <c r="M19" s="21" t="s">
        <v>3112</v>
      </c>
      <c r="N19" s="30"/>
      <c r="O19" s="21" t="s">
        <v>28</v>
      </c>
      <c r="P19" s="21" t="s">
        <v>28</v>
      </c>
      <c r="Q19" s="21" t="s">
        <v>201</v>
      </c>
      <c r="R19" s="32" t="s">
        <v>3113</v>
      </c>
      <c r="S19" s="32"/>
      <c r="T19" s="21"/>
      <c r="U19" s="21" t="s">
        <v>37</v>
      </c>
      <c r="V19" s="21" t="s">
        <v>37</v>
      </c>
      <c r="W19" s="21"/>
      <c r="X19" s="21" t="s">
        <v>28</v>
      </c>
    </row>
    <row r="20" customFormat="false" ht="15.75" hidden="false" customHeight="false" outlineLevel="0" collapsed="false">
      <c r="A20" s="61" t="n">
        <v>6428</v>
      </c>
      <c r="B20" s="29" t="n">
        <v>44690</v>
      </c>
      <c r="C20" s="21" t="s">
        <v>3114</v>
      </c>
      <c r="D20" s="21" t="s">
        <v>24</v>
      </c>
      <c r="E20" s="21" t="s">
        <v>74</v>
      </c>
      <c r="F20" s="21" t="s">
        <v>3115</v>
      </c>
      <c r="G20" s="30" t="s">
        <v>3116</v>
      </c>
      <c r="H20" s="45" t="str">
        <f aca="false">HYPERLINK("https://photos.app.goo.gl/BaGTW6hgT5qKuYH79", "Completo")</f>
        <v>Completo</v>
      </c>
      <c r="I20" s="21" t="s">
        <v>28</v>
      </c>
      <c r="J20" s="21"/>
      <c r="K20" s="21"/>
      <c r="L20" s="21"/>
      <c r="M20" s="21" t="s">
        <v>2133</v>
      </c>
      <c r="N20" s="30"/>
      <c r="O20" s="21"/>
      <c r="P20" s="21"/>
      <c r="Q20" s="21"/>
      <c r="R20" s="32"/>
      <c r="S20" s="32"/>
      <c r="T20" s="21"/>
      <c r="U20" s="21" t="s">
        <v>37</v>
      </c>
      <c r="V20" s="21" t="s">
        <v>37</v>
      </c>
      <c r="W20" s="21"/>
      <c r="X20" s="21" t="s">
        <v>28</v>
      </c>
    </row>
    <row r="21" customFormat="false" ht="15.75" hidden="false" customHeight="false" outlineLevel="0" collapsed="false">
      <c r="A21" s="61" t="n">
        <v>6429</v>
      </c>
      <c r="B21" s="29" t="n">
        <v>44690</v>
      </c>
      <c r="C21" s="21" t="s">
        <v>2177</v>
      </c>
      <c r="D21" s="21" t="s">
        <v>24</v>
      </c>
      <c r="E21" s="21" t="s">
        <v>74</v>
      </c>
      <c r="F21" s="21" t="s">
        <v>1058</v>
      </c>
      <c r="G21" s="30" t="s">
        <v>3117</v>
      </c>
      <c r="H21" s="45" t="str">
        <f aca="false">HYPERLINK("https://photos.app.goo.gl/9TaGsjycTpJGr5fb6", "Completo")</f>
        <v>Completo</v>
      </c>
      <c r="I21" s="21" t="s">
        <v>28</v>
      </c>
      <c r="J21" s="21"/>
      <c r="K21" s="21"/>
      <c r="L21" s="21"/>
      <c r="M21" s="21" t="s">
        <v>2755</v>
      </c>
      <c r="N21" s="30"/>
      <c r="O21" s="21"/>
      <c r="P21" s="21"/>
      <c r="Q21" s="21"/>
      <c r="R21" s="32"/>
      <c r="S21" s="32"/>
      <c r="T21" s="21"/>
      <c r="U21" s="21" t="s">
        <v>37</v>
      </c>
      <c r="V21" s="21" t="s">
        <v>37</v>
      </c>
      <c r="W21" s="21"/>
      <c r="X21" s="21" t="s">
        <v>28</v>
      </c>
    </row>
    <row r="22" customFormat="false" ht="15.75" hidden="false" customHeight="false" outlineLevel="0" collapsed="false">
      <c r="A22" s="61" t="n">
        <v>6430</v>
      </c>
      <c r="B22" s="29" t="n">
        <v>44690</v>
      </c>
      <c r="C22" s="21" t="s">
        <v>311</v>
      </c>
      <c r="D22" s="21" t="s">
        <v>24</v>
      </c>
      <c r="E22" s="21" t="s">
        <v>25</v>
      </c>
      <c r="F22" s="21" t="s">
        <v>1743</v>
      </c>
      <c r="G22" s="30" t="s">
        <v>3118</v>
      </c>
      <c r="H22" s="45" t="str">
        <f aca="false">HYPERLINK("https://photos.app.goo.gl/ebWEYaX3cZK1MyaP9", "Completo")</f>
        <v>Completo</v>
      </c>
      <c r="I22" s="21" t="s">
        <v>28</v>
      </c>
      <c r="J22" s="21"/>
      <c r="K22" s="21"/>
      <c r="L22" s="21"/>
      <c r="M22" s="21"/>
      <c r="N22" s="30"/>
      <c r="O22" s="21" t="s">
        <v>28</v>
      </c>
      <c r="P22" s="74" t="s">
        <v>28</v>
      </c>
      <c r="Q22" s="21" t="s">
        <v>3119</v>
      </c>
      <c r="R22" s="32" t="s">
        <v>2850</v>
      </c>
      <c r="S22" s="32" t="s">
        <v>29</v>
      </c>
      <c r="T22" s="21"/>
      <c r="U22" s="21" t="s">
        <v>37</v>
      </c>
      <c r="V22" s="21" t="s">
        <v>37</v>
      </c>
      <c r="W22" s="21"/>
      <c r="X22" s="21" t="s">
        <v>37</v>
      </c>
    </row>
    <row r="23" customFormat="false" ht="15.75" hidden="false" customHeight="false" outlineLevel="0" collapsed="false">
      <c r="A23" s="61" t="n">
        <v>6431</v>
      </c>
      <c r="B23" s="29" t="n">
        <v>44690</v>
      </c>
      <c r="C23" s="21" t="s">
        <v>3120</v>
      </c>
      <c r="D23" s="21" t="s">
        <v>24</v>
      </c>
      <c r="E23" s="21" t="s">
        <v>34</v>
      </c>
      <c r="F23" s="21" t="s">
        <v>3121</v>
      </c>
      <c r="G23" s="30"/>
      <c r="H23" s="31"/>
      <c r="I23" s="21"/>
      <c r="J23" s="21"/>
      <c r="K23" s="21"/>
      <c r="L23" s="21"/>
      <c r="M23" s="21"/>
      <c r="N23" s="30"/>
      <c r="O23" s="21"/>
      <c r="P23" s="21"/>
      <c r="Q23" s="21"/>
      <c r="R23" s="32"/>
      <c r="S23" s="32"/>
      <c r="T23" s="21"/>
      <c r="U23" s="21" t="s">
        <v>37</v>
      </c>
      <c r="V23" s="21" t="s">
        <v>37</v>
      </c>
      <c r="W23" s="21"/>
      <c r="X23" s="21" t="s">
        <v>37</v>
      </c>
    </row>
    <row r="24" customFormat="false" ht="15.75" hidden="false" customHeight="false" outlineLevel="0" collapsed="false">
      <c r="A24" s="63" t="n">
        <v>301692</v>
      </c>
      <c r="B24" s="29" t="n">
        <v>44690</v>
      </c>
      <c r="C24" s="21" t="s">
        <v>814</v>
      </c>
      <c r="D24" s="21" t="s">
        <v>290</v>
      </c>
      <c r="E24" s="21" t="s">
        <v>25</v>
      </c>
      <c r="F24" s="21" t="s">
        <v>3122</v>
      </c>
      <c r="G24" s="30"/>
      <c r="H24" s="45" t="str">
        <f aca="false">HYPERLINK("https://photos.app.goo.gl/QTV6qz8aHmzgMnhQ9", "Completo")</f>
        <v>Completo</v>
      </c>
      <c r="I24" s="21" t="s">
        <v>28</v>
      </c>
      <c r="J24" s="21"/>
      <c r="K24" s="21"/>
      <c r="L24" s="21"/>
      <c r="M24" s="21"/>
      <c r="N24" s="30"/>
      <c r="O24" s="21" t="s">
        <v>28</v>
      </c>
      <c r="P24" s="74" t="s">
        <v>28</v>
      </c>
      <c r="Q24" s="21" t="s">
        <v>201</v>
      </c>
      <c r="R24" s="32" t="s">
        <v>25</v>
      </c>
      <c r="S24" s="32"/>
      <c r="T24" s="21" t="s">
        <v>74</v>
      </c>
      <c r="U24" s="74" t="s">
        <v>28</v>
      </c>
      <c r="V24" s="74" t="s">
        <v>28</v>
      </c>
      <c r="W24" s="21" t="s">
        <v>36</v>
      </c>
      <c r="X24" s="21" t="s">
        <v>28</v>
      </c>
    </row>
    <row r="25" customFormat="false" ht="15.75" hidden="false" customHeight="false" outlineLevel="0" collapsed="false">
      <c r="A25" s="61" t="n">
        <v>6432</v>
      </c>
      <c r="B25" s="29" t="n">
        <v>44691</v>
      </c>
      <c r="C25" s="21" t="s">
        <v>274</v>
      </c>
      <c r="D25" s="21" t="s">
        <v>24</v>
      </c>
      <c r="E25" s="21" t="s">
        <v>34</v>
      </c>
      <c r="F25" s="21" t="s">
        <v>3123</v>
      </c>
      <c r="G25" s="30"/>
      <c r="H25" s="31"/>
      <c r="I25" s="21"/>
      <c r="J25" s="21"/>
      <c r="K25" s="21"/>
      <c r="L25" s="21"/>
      <c r="M25" s="21"/>
      <c r="N25" s="30"/>
      <c r="O25" s="21"/>
      <c r="P25" s="21"/>
      <c r="Q25" s="21"/>
      <c r="R25" s="32"/>
      <c r="S25" s="32"/>
      <c r="T25" s="21"/>
      <c r="U25" s="21" t="s">
        <v>37</v>
      </c>
      <c r="V25" s="21" t="s">
        <v>37</v>
      </c>
      <c r="W25" s="21"/>
      <c r="X25" s="21" t="s">
        <v>28</v>
      </c>
    </row>
    <row r="26" customFormat="false" ht="15.75" hidden="false" customHeight="false" outlineLevel="0" collapsed="false">
      <c r="A26" s="61" t="n">
        <v>6433</v>
      </c>
      <c r="B26" s="29" t="n">
        <v>44691</v>
      </c>
      <c r="C26" s="21" t="s">
        <v>3124</v>
      </c>
      <c r="D26" s="21" t="s">
        <v>24</v>
      </c>
      <c r="E26" s="21" t="s">
        <v>25</v>
      </c>
      <c r="F26" s="21" t="s">
        <v>3125</v>
      </c>
      <c r="G26" s="30" t="s">
        <v>3126</v>
      </c>
      <c r="H26" s="45" t="str">
        <f aca="false">HYPERLINK("https://photos.app.goo.gl/B2hcu8YK5x9cM4e27", "Completo")</f>
        <v>Completo</v>
      </c>
      <c r="I26" s="21" t="s">
        <v>28</v>
      </c>
      <c r="J26" s="21"/>
      <c r="K26" s="21"/>
      <c r="L26" s="21"/>
      <c r="M26" s="21"/>
      <c r="N26" s="30"/>
      <c r="O26" s="21"/>
      <c r="P26" s="21"/>
      <c r="Q26" s="21"/>
      <c r="R26" s="32"/>
      <c r="S26" s="32"/>
      <c r="T26" s="21"/>
      <c r="U26" s="21" t="s">
        <v>37</v>
      </c>
      <c r="V26" s="21" t="s">
        <v>37</v>
      </c>
      <c r="W26" s="21"/>
      <c r="X26" s="21" t="s">
        <v>28</v>
      </c>
    </row>
    <row r="27" customFormat="false" ht="15.75" hidden="false" customHeight="false" outlineLevel="0" collapsed="false">
      <c r="A27" s="61" t="n">
        <v>6434</v>
      </c>
      <c r="B27" s="29" t="n">
        <v>44691</v>
      </c>
      <c r="C27" s="21" t="s">
        <v>3127</v>
      </c>
      <c r="D27" s="21" t="s">
        <v>24</v>
      </c>
      <c r="E27" s="21" t="s">
        <v>25</v>
      </c>
      <c r="F27" s="21" t="s">
        <v>3128</v>
      </c>
      <c r="G27" s="30" t="s">
        <v>3129</v>
      </c>
      <c r="H27" s="45" t="str">
        <f aca="false">HYPERLINK("https://photos.app.goo.gl/e6eLzuWXQ3Xhc8xn9", "Completo")</f>
        <v>Completo</v>
      </c>
      <c r="I27" s="21" t="s">
        <v>28</v>
      </c>
      <c r="J27" s="21"/>
      <c r="K27" s="21"/>
      <c r="L27" s="21"/>
      <c r="M27" s="21"/>
      <c r="N27" s="30"/>
      <c r="O27" s="21"/>
      <c r="P27" s="21"/>
      <c r="Q27" s="21"/>
      <c r="R27" s="32"/>
      <c r="S27" s="32"/>
      <c r="T27" s="21"/>
      <c r="U27" s="21" t="s">
        <v>37</v>
      </c>
      <c r="V27" s="21" t="s">
        <v>37</v>
      </c>
      <c r="W27" s="21"/>
      <c r="X27" s="21" t="s">
        <v>28</v>
      </c>
    </row>
    <row r="28" customFormat="false" ht="15.75" hidden="false" customHeight="false" outlineLevel="0" collapsed="false">
      <c r="A28" s="61" t="n">
        <v>6435</v>
      </c>
      <c r="B28" s="29" t="n">
        <v>44692</v>
      </c>
      <c r="C28" s="21" t="s">
        <v>23</v>
      </c>
      <c r="D28" s="21" t="s">
        <v>24</v>
      </c>
      <c r="E28" s="21" t="s">
        <v>25</v>
      </c>
      <c r="F28" s="21" t="s">
        <v>3130</v>
      </c>
      <c r="G28" s="30" t="s">
        <v>3131</v>
      </c>
      <c r="H28" s="45" t="str">
        <f aca="false">HYPERLINK("https://photos.app.goo.gl/pzT4rwxwsY7pbAkn7", "Completo")</f>
        <v>Completo</v>
      </c>
      <c r="I28" s="21" t="s">
        <v>28</v>
      </c>
      <c r="J28" s="21"/>
      <c r="K28" s="21"/>
      <c r="L28" s="21"/>
      <c r="M28" s="21"/>
      <c r="N28" s="30" t="s">
        <v>3131</v>
      </c>
      <c r="O28" s="21" t="s">
        <v>28</v>
      </c>
      <c r="P28" s="74" t="s">
        <v>28</v>
      </c>
      <c r="Q28" s="21" t="s">
        <v>2580</v>
      </c>
      <c r="R28" s="32" t="s">
        <v>25</v>
      </c>
      <c r="S28" s="32"/>
      <c r="T28" s="21" t="s">
        <v>74</v>
      </c>
      <c r="U28" s="74" t="s">
        <v>28</v>
      </c>
      <c r="V28" s="74" t="s">
        <v>28</v>
      </c>
      <c r="W28" s="21" t="s">
        <v>36</v>
      </c>
      <c r="X28" s="21" t="s">
        <v>28</v>
      </c>
    </row>
    <row r="29" customFormat="false" ht="15.75" hidden="false" customHeight="false" outlineLevel="0" collapsed="false">
      <c r="A29" s="61" t="n">
        <v>6436</v>
      </c>
      <c r="B29" s="29" t="n">
        <v>44692</v>
      </c>
      <c r="C29" s="21" t="s">
        <v>23</v>
      </c>
      <c r="D29" s="21" t="s">
        <v>24</v>
      </c>
      <c r="E29" s="21" t="s">
        <v>25</v>
      </c>
      <c r="F29" s="21" t="s">
        <v>3132</v>
      </c>
      <c r="G29" s="30" t="s">
        <v>3133</v>
      </c>
      <c r="H29" s="45" t="str">
        <f aca="false">HYPERLINK("https://photos.app.goo.gl/zuvFmky4nJ86tR8C7", "Completo")</f>
        <v>Completo</v>
      </c>
      <c r="I29" s="21" t="s">
        <v>28</v>
      </c>
      <c r="J29" s="21"/>
      <c r="K29" s="21"/>
      <c r="L29" s="21"/>
      <c r="M29" s="21"/>
      <c r="N29" s="30" t="s">
        <v>3134</v>
      </c>
      <c r="O29" s="21" t="s">
        <v>28</v>
      </c>
      <c r="P29" s="74" t="s">
        <v>28</v>
      </c>
      <c r="Q29" s="21" t="s">
        <v>2580</v>
      </c>
      <c r="R29" s="32" t="s">
        <v>25</v>
      </c>
      <c r="S29" s="32"/>
      <c r="T29" s="21" t="s">
        <v>74</v>
      </c>
      <c r="U29" s="74" t="s">
        <v>28</v>
      </c>
      <c r="V29" s="74" t="s">
        <v>28</v>
      </c>
      <c r="W29" s="21" t="s">
        <v>36</v>
      </c>
      <c r="X29" s="21" t="s">
        <v>28</v>
      </c>
    </row>
    <row r="30" customFormat="false" ht="15.75" hidden="false" customHeight="false" outlineLevel="0" collapsed="false">
      <c r="A30" s="61" t="n">
        <v>6437</v>
      </c>
      <c r="B30" s="29" t="n">
        <v>44693</v>
      </c>
      <c r="C30" s="21" t="s">
        <v>3135</v>
      </c>
      <c r="D30" s="21" t="s">
        <v>24</v>
      </c>
      <c r="E30" s="21" t="s">
        <v>25</v>
      </c>
      <c r="F30" s="21" t="s">
        <v>3136</v>
      </c>
      <c r="G30" s="30" t="s">
        <v>3137</v>
      </c>
      <c r="H30" s="45" t="str">
        <f aca="false">HYPERLINK("https://photos.app.goo.gl/h6AePWXiX15GkHVR8", "Completo")</f>
        <v>Completo</v>
      </c>
      <c r="I30" s="21" t="s">
        <v>28</v>
      </c>
      <c r="J30" s="21"/>
      <c r="K30" s="21"/>
      <c r="L30" s="21"/>
      <c r="M30" s="21"/>
      <c r="N30" s="30"/>
      <c r="O30" s="21"/>
      <c r="P30" s="21"/>
      <c r="Q30" s="21"/>
      <c r="R30" s="32"/>
      <c r="S30" s="32"/>
      <c r="T30" s="21" t="s">
        <v>74</v>
      </c>
      <c r="U30" s="74" t="s">
        <v>28</v>
      </c>
      <c r="V30" s="74" t="s">
        <v>28</v>
      </c>
      <c r="W30" s="21" t="s">
        <v>36</v>
      </c>
      <c r="X30" s="21" t="s">
        <v>28</v>
      </c>
    </row>
    <row r="31" customFormat="false" ht="15.75" hidden="false" customHeight="false" outlineLevel="0" collapsed="false">
      <c r="A31" s="61" t="n">
        <v>6438</v>
      </c>
      <c r="B31" s="29" t="n">
        <v>44697</v>
      </c>
      <c r="C31" s="21" t="s">
        <v>3138</v>
      </c>
      <c r="D31" s="21" t="s">
        <v>24</v>
      </c>
      <c r="E31" s="21" t="s">
        <v>25</v>
      </c>
      <c r="F31" s="21" t="s">
        <v>3139</v>
      </c>
      <c r="G31" s="30" t="s">
        <v>3140</v>
      </c>
      <c r="H31" s="45" t="str">
        <f aca="false">HYPERLINK("https://photos.app.goo.gl/tbcPUg7tsAKaemCe6", "Completo")</f>
        <v>Completo</v>
      </c>
      <c r="I31" s="21" t="s">
        <v>28</v>
      </c>
      <c r="J31" s="21"/>
      <c r="K31" s="21"/>
      <c r="L31" s="21"/>
      <c r="M31" s="21"/>
      <c r="N31" s="30"/>
      <c r="O31" s="21"/>
      <c r="P31" s="21"/>
      <c r="Q31" s="21"/>
      <c r="R31" s="32"/>
      <c r="S31" s="32"/>
      <c r="T31" s="21" t="s">
        <v>74</v>
      </c>
      <c r="U31" s="74" t="s">
        <v>28</v>
      </c>
      <c r="V31" s="74" t="s">
        <v>28</v>
      </c>
      <c r="W31" s="21" t="s">
        <v>36</v>
      </c>
      <c r="X31" s="21" t="s">
        <v>28</v>
      </c>
    </row>
    <row r="32" customFormat="false" ht="15.75" hidden="false" customHeight="false" outlineLevel="0" collapsed="false">
      <c r="A32" s="61" t="n">
        <v>6439</v>
      </c>
      <c r="B32" s="29" t="n">
        <v>44697</v>
      </c>
      <c r="C32" s="21" t="s">
        <v>1569</v>
      </c>
      <c r="D32" s="21" t="s">
        <v>24</v>
      </c>
      <c r="E32" s="21" t="s">
        <v>34</v>
      </c>
      <c r="F32" s="21" t="s">
        <v>3141</v>
      </c>
      <c r="G32" s="30"/>
      <c r="H32" s="31"/>
      <c r="I32" s="21"/>
      <c r="J32" s="21"/>
      <c r="K32" s="21"/>
      <c r="L32" s="21"/>
      <c r="M32" s="21"/>
      <c r="N32" s="30"/>
      <c r="O32" s="21"/>
      <c r="P32" s="21"/>
      <c r="Q32" s="21"/>
      <c r="R32" s="32"/>
      <c r="S32" s="32"/>
      <c r="T32" s="21"/>
      <c r="U32" s="21" t="s">
        <v>37</v>
      </c>
      <c r="V32" s="21" t="s">
        <v>37</v>
      </c>
      <c r="W32" s="21"/>
      <c r="X32" s="21" t="s">
        <v>28</v>
      </c>
    </row>
    <row r="33" customFormat="false" ht="15.75" hidden="false" customHeight="false" outlineLevel="0" collapsed="false">
      <c r="A33" s="61" t="n">
        <v>6440</v>
      </c>
      <c r="B33" s="29" t="n">
        <v>44697</v>
      </c>
      <c r="C33" s="21" t="s">
        <v>1569</v>
      </c>
      <c r="D33" s="21" t="s">
        <v>24</v>
      </c>
      <c r="E33" s="21" t="s">
        <v>34</v>
      </c>
      <c r="F33" s="21" t="s">
        <v>3141</v>
      </c>
      <c r="G33" s="30"/>
      <c r="H33" s="31"/>
      <c r="I33" s="21"/>
      <c r="J33" s="21"/>
      <c r="K33" s="21"/>
      <c r="L33" s="21"/>
      <c r="M33" s="21"/>
      <c r="N33" s="30"/>
      <c r="O33" s="21"/>
      <c r="P33" s="21"/>
      <c r="Q33" s="21"/>
      <c r="R33" s="32"/>
      <c r="S33" s="32"/>
      <c r="T33" s="21"/>
      <c r="U33" s="21" t="s">
        <v>37</v>
      </c>
      <c r="V33" s="21" t="s">
        <v>37</v>
      </c>
      <c r="W33" s="21"/>
      <c r="X33" s="21" t="s">
        <v>28</v>
      </c>
    </row>
    <row r="34" customFormat="false" ht="15.75" hidden="false" customHeight="false" outlineLevel="0" collapsed="false">
      <c r="A34" s="61" t="n">
        <v>6441</v>
      </c>
      <c r="B34" s="29" t="n">
        <v>44697</v>
      </c>
      <c r="C34" s="21" t="s">
        <v>1588</v>
      </c>
      <c r="D34" s="21" t="s">
        <v>24</v>
      </c>
      <c r="E34" s="21" t="s">
        <v>25</v>
      </c>
      <c r="F34" s="21" t="s">
        <v>3142</v>
      </c>
      <c r="G34" s="30" t="s">
        <v>3143</v>
      </c>
      <c r="H34" s="45" t="str">
        <f aca="false">HYPERLINK("https://photos.app.goo.gl/YTovJyVxXu8FiRa39", "Completo")</f>
        <v>Completo</v>
      </c>
      <c r="I34" s="21" t="s">
        <v>28</v>
      </c>
      <c r="J34" s="21"/>
      <c r="K34" s="21"/>
      <c r="L34" s="21"/>
      <c r="M34" s="21"/>
      <c r="N34" s="30" t="s">
        <v>3143</v>
      </c>
      <c r="O34" s="21" t="s">
        <v>28</v>
      </c>
      <c r="P34" s="74" t="s">
        <v>28</v>
      </c>
      <c r="Q34" s="21" t="s">
        <v>3144</v>
      </c>
      <c r="R34" s="32" t="s">
        <v>25</v>
      </c>
      <c r="S34" s="32"/>
      <c r="T34" s="21" t="s">
        <v>74</v>
      </c>
      <c r="U34" s="74" t="s">
        <v>28</v>
      </c>
      <c r="V34" s="74" t="s">
        <v>28</v>
      </c>
      <c r="W34" s="21" t="s">
        <v>36</v>
      </c>
      <c r="X34" s="21" t="s">
        <v>28</v>
      </c>
    </row>
    <row r="35" customFormat="false" ht="15.75" hidden="false" customHeight="false" outlineLevel="0" collapsed="false">
      <c r="A35" s="61" t="n">
        <v>6442</v>
      </c>
      <c r="B35" s="29" t="n">
        <v>44697</v>
      </c>
      <c r="C35" s="21" t="s">
        <v>1666</v>
      </c>
      <c r="D35" s="21" t="s">
        <v>24</v>
      </c>
      <c r="E35" s="21" t="s">
        <v>34</v>
      </c>
      <c r="F35" s="21" t="s">
        <v>3145</v>
      </c>
      <c r="G35" s="30"/>
      <c r="H35" s="31" t="s">
        <v>28</v>
      </c>
      <c r="I35" s="21"/>
      <c r="J35" s="21"/>
      <c r="K35" s="21"/>
      <c r="L35" s="21"/>
      <c r="M35" s="21"/>
      <c r="N35" s="30"/>
      <c r="O35" s="21"/>
      <c r="P35" s="21"/>
      <c r="Q35" s="21"/>
      <c r="R35" s="32"/>
      <c r="S35" s="32"/>
      <c r="T35" s="21"/>
      <c r="U35" s="21" t="s">
        <v>37</v>
      </c>
      <c r="V35" s="21" t="s">
        <v>37</v>
      </c>
      <c r="W35" s="21"/>
      <c r="X35" s="21" t="s">
        <v>28</v>
      </c>
    </row>
    <row r="36" customFormat="false" ht="15.75" hidden="false" customHeight="false" outlineLevel="0" collapsed="false">
      <c r="A36" s="61" t="n">
        <v>6443</v>
      </c>
      <c r="B36" s="29" t="n">
        <v>44698</v>
      </c>
      <c r="C36" s="21" t="s">
        <v>84</v>
      </c>
      <c r="D36" s="21" t="s">
        <v>24</v>
      </c>
      <c r="E36" s="21" t="s">
        <v>34</v>
      </c>
      <c r="F36" s="21" t="s">
        <v>3146</v>
      </c>
      <c r="G36" s="30"/>
      <c r="H36" s="31"/>
      <c r="I36" s="21"/>
      <c r="J36" s="21"/>
      <c r="K36" s="21"/>
      <c r="L36" s="21"/>
      <c r="M36" s="21"/>
      <c r="N36" s="30"/>
      <c r="O36" s="21"/>
      <c r="P36" s="21"/>
      <c r="Q36" s="21"/>
      <c r="R36" s="32"/>
      <c r="S36" s="32"/>
      <c r="T36" s="21"/>
      <c r="U36" s="21" t="s">
        <v>37</v>
      </c>
      <c r="V36" s="21" t="s">
        <v>37</v>
      </c>
      <c r="W36" s="21"/>
      <c r="X36" s="21" t="s">
        <v>28</v>
      </c>
    </row>
    <row r="37" customFormat="false" ht="15.75" hidden="false" customHeight="false" outlineLevel="0" collapsed="false">
      <c r="A37" s="61" t="n">
        <v>6444</v>
      </c>
      <c r="B37" s="29" t="n">
        <v>44699</v>
      </c>
      <c r="C37" s="21" t="s">
        <v>705</v>
      </c>
      <c r="D37" s="21" t="s">
        <v>24</v>
      </c>
      <c r="E37" s="21" t="s">
        <v>25</v>
      </c>
      <c r="F37" s="21" t="s">
        <v>3147</v>
      </c>
      <c r="G37" s="30"/>
      <c r="H37" s="45" t="str">
        <f aca="false">HYPERLINK("https://photos.app.goo.gl/FaSJjxqeEt5nJFjx7", "Completo")</f>
        <v>Completo</v>
      </c>
      <c r="I37" s="21" t="s">
        <v>28</v>
      </c>
      <c r="J37" s="21"/>
      <c r="K37" s="21"/>
      <c r="L37" s="21"/>
      <c r="M37" s="21"/>
      <c r="N37" s="30"/>
      <c r="O37" s="21"/>
      <c r="P37" s="21"/>
      <c r="Q37" s="21"/>
      <c r="R37" s="32"/>
      <c r="S37" s="32"/>
      <c r="T37" s="21"/>
      <c r="U37" s="21"/>
      <c r="V37" s="21"/>
      <c r="W37" s="21"/>
      <c r="X37" s="21" t="s">
        <v>28</v>
      </c>
    </row>
    <row r="38" customFormat="false" ht="15.75" hidden="false" customHeight="false" outlineLevel="0" collapsed="false">
      <c r="A38" s="61" t="n">
        <v>6445</v>
      </c>
      <c r="B38" s="29" t="n">
        <v>44700</v>
      </c>
      <c r="C38" s="21" t="s">
        <v>2352</v>
      </c>
      <c r="D38" s="21" t="s">
        <v>24</v>
      </c>
      <c r="E38" s="21" t="s">
        <v>34</v>
      </c>
      <c r="F38" s="21" t="s">
        <v>3148</v>
      </c>
      <c r="G38" s="30"/>
      <c r="H38" s="45" t="str">
        <f aca="false">HYPERLINK("https://photos.app.goo.gl/w1t5r9R6GhEkvKiG8", "Completo")</f>
        <v>Completo</v>
      </c>
      <c r="I38" s="21" t="s">
        <v>28</v>
      </c>
      <c r="J38" s="21"/>
      <c r="K38" s="21"/>
      <c r="L38" s="21"/>
      <c r="M38" s="21"/>
      <c r="N38" s="30"/>
      <c r="O38" s="21"/>
      <c r="P38" s="21"/>
      <c r="Q38" s="21"/>
      <c r="R38" s="32"/>
      <c r="S38" s="32"/>
      <c r="T38" s="21"/>
      <c r="U38" s="21"/>
      <c r="V38" s="21"/>
      <c r="W38" s="21"/>
      <c r="X38" s="21" t="s">
        <v>28</v>
      </c>
    </row>
    <row r="39" customFormat="false" ht="15.75" hidden="false" customHeight="false" outlineLevel="0" collapsed="false">
      <c r="A39" s="61" t="n">
        <v>6446</v>
      </c>
      <c r="B39" s="29" t="n">
        <v>44700</v>
      </c>
      <c r="C39" s="21" t="s">
        <v>3149</v>
      </c>
      <c r="D39" s="21" t="s">
        <v>24</v>
      </c>
      <c r="E39" s="21" t="s">
        <v>25</v>
      </c>
      <c r="F39" s="21" t="s">
        <v>3150</v>
      </c>
      <c r="G39" s="30" t="s">
        <v>1657</v>
      </c>
      <c r="H39" s="45" t="str">
        <f aca="false">HYPERLINK("https://photos.app.goo.gl/7NWFiPkTwABJThhE8", "Completo")</f>
        <v>Completo</v>
      </c>
      <c r="I39" s="21" t="s">
        <v>28</v>
      </c>
      <c r="J39" s="21" t="n">
        <v>3516624792</v>
      </c>
      <c r="K39" s="21" t="s">
        <v>3151</v>
      </c>
      <c r="L39" s="21"/>
      <c r="M39" s="21" t="s">
        <v>3152</v>
      </c>
      <c r="N39" s="30"/>
      <c r="O39" s="21"/>
      <c r="P39" s="21"/>
      <c r="Q39" s="21"/>
      <c r="R39" s="32"/>
      <c r="S39" s="32"/>
      <c r="T39" s="21"/>
      <c r="U39" s="21"/>
      <c r="V39" s="21"/>
      <c r="W39" s="21"/>
      <c r="X39" s="21" t="s">
        <v>28</v>
      </c>
    </row>
    <row r="40" customFormat="false" ht="15.75" hidden="false" customHeight="false" outlineLevel="0" collapsed="false">
      <c r="A40" s="61" t="n">
        <v>6447</v>
      </c>
      <c r="B40" s="29" t="n">
        <v>44700</v>
      </c>
      <c r="C40" s="21" t="s">
        <v>3153</v>
      </c>
      <c r="D40" s="21" t="s">
        <v>24</v>
      </c>
      <c r="E40" s="21" t="s">
        <v>25</v>
      </c>
      <c r="F40" s="21" t="s">
        <v>3154</v>
      </c>
      <c r="G40" s="30" t="s">
        <v>3155</v>
      </c>
      <c r="H40" s="45" t="str">
        <f aca="false">HYPERLINK("https://photos.app.goo.gl/EBAqFGy2bY5zdCsb9", "Completo")</f>
        <v>Completo</v>
      </c>
      <c r="I40" s="21" t="s">
        <v>28</v>
      </c>
      <c r="J40" s="21" t="n">
        <v>3516321144</v>
      </c>
      <c r="K40" s="21" t="s">
        <v>3156</v>
      </c>
      <c r="L40" s="21"/>
      <c r="M40" s="21" t="s">
        <v>3157</v>
      </c>
      <c r="N40" s="77" t="s">
        <v>3155</v>
      </c>
      <c r="O40" s="21" t="s">
        <v>28</v>
      </c>
      <c r="P40" s="74" t="s">
        <v>28</v>
      </c>
      <c r="Q40" s="21" t="s">
        <v>2981</v>
      </c>
      <c r="R40" s="32" t="s">
        <v>2850</v>
      </c>
      <c r="S40" s="32" t="s">
        <v>36</v>
      </c>
      <c r="T40" s="21"/>
      <c r="U40" s="21"/>
      <c r="V40" s="21"/>
      <c r="W40" s="21"/>
      <c r="X40" s="21" t="s">
        <v>28</v>
      </c>
    </row>
    <row r="41" customFormat="false" ht="15.75" hidden="false" customHeight="false" outlineLevel="0" collapsed="false">
      <c r="A41" s="61" t="n">
        <v>6448</v>
      </c>
      <c r="B41" s="29" t="n">
        <v>44700</v>
      </c>
      <c r="C41" s="21" t="s">
        <v>2352</v>
      </c>
      <c r="D41" s="21" t="s">
        <v>24</v>
      </c>
      <c r="E41" s="21" t="s">
        <v>34</v>
      </c>
      <c r="F41" s="21" t="s">
        <v>3158</v>
      </c>
      <c r="G41" s="30"/>
      <c r="H41" s="31"/>
      <c r="I41" s="21"/>
      <c r="J41" s="21"/>
      <c r="K41" s="21"/>
      <c r="L41" s="21"/>
      <c r="M41" s="21"/>
      <c r="N41" s="30"/>
      <c r="O41" s="21"/>
      <c r="P41" s="21"/>
      <c r="Q41" s="21"/>
      <c r="R41" s="32"/>
      <c r="S41" s="32"/>
      <c r="T41" s="21"/>
      <c r="U41" s="21"/>
      <c r="V41" s="21"/>
      <c r="W41" s="21"/>
      <c r="X41" s="21" t="s">
        <v>28</v>
      </c>
    </row>
    <row r="42" customFormat="false" ht="15.75" hidden="false" customHeight="false" outlineLevel="0" collapsed="false">
      <c r="A42" s="61" t="n">
        <v>6449</v>
      </c>
      <c r="B42" s="29" t="n">
        <v>44700</v>
      </c>
      <c r="C42" s="21" t="s">
        <v>2986</v>
      </c>
      <c r="D42" s="21" t="s">
        <v>24</v>
      </c>
      <c r="E42" s="21" t="s">
        <v>25</v>
      </c>
      <c r="F42" s="21" t="s">
        <v>3159</v>
      </c>
      <c r="G42" s="30"/>
      <c r="H42" s="45" t="str">
        <f aca="false">HYPERLINK("https://photos.app.goo.gl/wrW2pCEx3T5cyZ517", "Completo")</f>
        <v>Completo</v>
      </c>
      <c r="I42" s="21" t="s">
        <v>28</v>
      </c>
      <c r="J42" s="21"/>
      <c r="K42" s="21"/>
      <c r="L42" s="21"/>
      <c r="M42" s="21"/>
      <c r="N42" s="30"/>
      <c r="O42" s="21"/>
      <c r="P42" s="21"/>
      <c r="Q42" s="21"/>
      <c r="R42" s="32"/>
      <c r="S42" s="32"/>
      <c r="T42" s="21"/>
      <c r="U42" s="21"/>
      <c r="V42" s="21"/>
      <c r="W42" s="21"/>
      <c r="X42" s="21" t="s">
        <v>28</v>
      </c>
    </row>
    <row r="43" customFormat="false" ht="15.75" hidden="false" customHeight="false" outlineLevel="0" collapsed="false">
      <c r="A43" s="61" t="n">
        <v>6450</v>
      </c>
      <c r="B43" s="29" t="n">
        <v>44701</v>
      </c>
      <c r="C43" s="21" t="s">
        <v>3160</v>
      </c>
      <c r="D43" s="21" t="s">
        <v>24</v>
      </c>
      <c r="E43" s="21" t="s">
        <v>25</v>
      </c>
      <c r="F43" s="21" t="s">
        <v>3161</v>
      </c>
      <c r="G43" s="30" t="s">
        <v>3162</v>
      </c>
      <c r="H43" s="45" t="str">
        <f aca="false">HYPERLINK("https://photos.app.goo.gl/yeirusFcQXdfhATY8", "Completo")</f>
        <v>Completo</v>
      </c>
      <c r="I43" s="21" t="s">
        <v>28</v>
      </c>
      <c r="J43" s="21"/>
      <c r="K43" s="21"/>
      <c r="L43" s="21"/>
      <c r="M43" s="21"/>
      <c r="N43" s="30"/>
      <c r="O43" s="21" t="s">
        <v>28</v>
      </c>
      <c r="P43" s="74" t="s">
        <v>28</v>
      </c>
      <c r="Q43" s="21" t="s">
        <v>3163</v>
      </c>
      <c r="R43" s="32" t="s">
        <v>2850</v>
      </c>
      <c r="S43" s="32" t="s">
        <v>36</v>
      </c>
      <c r="T43" s="21"/>
      <c r="U43" s="21"/>
      <c r="V43" s="21"/>
      <c r="W43" s="21"/>
      <c r="X43" s="21" t="s">
        <v>28</v>
      </c>
    </row>
    <row r="44" customFormat="false" ht="15.75" hidden="false" customHeight="false" outlineLevel="0" collapsed="false">
      <c r="A44" s="61" t="n">
        <v>6451</v>
      </c>
      <c r="B44" s="29" t="n">
        <v>44704</v>
      </c>
      <c r="C44" s="21" t="s">
        <v>3164</v>
      </c>
      <c r="D44" s="21" t="s">
        <v>24</v>
      </c>
      <c r="E44" s="21" t="s">
        <v>25</v>
      </c>
      <c r="F44" s="21" t="s">
        <v>3165</v>
      </c>
      <c r="G44" s="30"/>
      <c r="H44" s="31" t="s">
        <v>28</v>
      </c>
      <c r="I44" s="21" t="s">
        <v>28</v>
      </c>
      <c r="J44" s="21"/>
      <c r="K44" s="21"/>
      <c r="L44" s="21"/>
      <c r="M44" s="21"/>
      <c r="N44" s="30"/>
      <c r="O44" s="21"/>
      <c r="P44" s="21"/>
      <c r="Q44" s="21"/>
      <c r="R44" s="32"/>
      <c r="S44" s="32"/>
      <c r="T44" s="21"/>
      <c r="U44" s="21"/>
      <c r="V44" s="21"/>
      <c r="W44" s="21"/>
      <c r="X44" s="21" t="s">
        <v>37</v>
      </c>
    </row>
    <row r="45" customFormat="false" ht="15.75" hidden="false" customHeight="false" outlineLevel="0" collapsed="false">
      <c r="A45" s="61" t="n">
        <v>6452</v>
      </c>
      <c r="B45" s="29" t="n">
        <v>44707</v>
      </c>
      <c r="C45" s="21" t="s">
        <v>1456</v>
      </c>
      <c r="D45" s="21" t="s">
        <v>24</v>
      </c>
      <c r="E45" s="21" t="s">
        <v>25</v>
      </c>
      <c r="F45" s="21" t="s">
        <v>3166</v>
      </c>
      <c r="G45" s="30"/>
      <c r="H45" s="45" t="str">
        <f aca="false">HYPERLINK("https://photos.app.goo.gl/QtZtyKLCaiUYGuqZ8", "Completo")</f>
        <v>Completo</v>
      </c>
      <c r="I45" s="21" t="s">
        <v>28</v>
      </c>
      <c r="J45" s="21"/>
      <c r="K45" s="21"/>
      <c r="L45" s="21"/>
      <c r="M45" s="21"/>
      <c r="N45" s="30"/>
      <c r="O45" s="21"/>
      <c r="P45" s="21"/>
      <c r="Q45" s="21"/>
      <c r="R45" s="32"/>
      <c r="S45" s="32"/>
      <c r="T45" s="21"/>
      <c r="U45" s="21"/>
      <c r="V45" s="21"/>
      <c r="W45" s="21"/>
      <c r="X45" s="21" t="s">
        <v>28</v>
      </c>
    </row>
    <row r="46" customFormat="false" ht="15.75" hidden="false" customHeight="false" outlineLevel="0" collapsed="false">
      <c r="A46" s="61" t="n">
        <v>6453</v>
      </c>
      <c r="B46" s="29" t="n">
        <v>44705</v>
      </c>
      <c r="C46" s="21" t="s">
        <v>1456</v>
      </c>
      <c r="D46" s="21" t="s">
        <v>24</v>
      </c>
      <c r="E46" s="21" t="s">
        <v>25</v>
      </c>
      <c r="F46" s="21" t="s">
        <v>3167</v>
      </c>
      <c r="G46" s="30"/>
      <c r="H46" s="31"/>
      <c r="I46" s="21"/>
      <c r="J46" s="21"/>
      <c r="K46" s="21"/>
      <c r="L46" s="21"/>
      <c r="M46" s="21"/>
      <c r="N46" s="30"/>
      <c r="O46" s="21"/>
      <c r="P46" s="21"/>
      <c r="Q46" s="21"/>
      <c r="R46" s="32"/>
      <c r="S46" s="32"/>
      <c r="T46" s="21"/>
      <c r="U46" s="21"/>
      <c r="V46" s="21"/>
      <c r="W46" s="21"/>
      <c r="X46" s="21" t="s">
        <v>28</v>
      </c>
    </row>
    <row r="47" customFormat="false" ht="15.75" hidden="false" customHeight="false" outlineLevel="0" collapsed="false">
      <c r="A47" s="61" t="n">
        <v>6454</v>
      </c>
      <c r="B47" s="29" t="n">
        <v>44707</v>
      </c>
      <c r="C47" s="21" t="s">
        <v>2976</v>
      </c>
      <c r="D47" s="21" t="s">
        <v>24</v>
      </c>
      <c r="E47" s="21" t="s">
        <v>25</v>
      </c>
      <c r="F47" s="21" t="s">
        <v>3168</v>
      </c>
      <c r="G47" s="30"/>
      <c r="H47" s="31" t="s">
        <v>28</v>
      </c>
      <c r="I47" s="21" t="s">
        <v>28</v>
      </c>
      <c r="J47" s="21"/>
      <c r="K47" s="21"/>
      <c r="L47" s="21"/>
      <c r="M47" s="21"/>
      <c r="N47" s="30"/>
      <c r="O47" s="21"/>
      <c r="P47" s="21"/>
      <c r="Q47" s="21"/>
      <c r="R47" s="32"/>
      <c r="S47" s="32"/>
      <c r="T47" s="21"/>
      <c r="U47" s="21"/>
      <c r="V47" s="21"/>
      <c r="W47" s="21"/>
      <c r="X47" s="21" t="s">
        <v>28</v>
      </c>
    </row>
    <row r="48" customFormat="false" ht="15.75" hidden="false" customHeight="false" outlineLevel="0" collapsed="false">
      <c r="A48" s="61" t="n">
        <v>6455</v>
      </c>
      <c r="B48" s="29" t="n">
        <v>44707</v>
      </c>
      <c r="C48" s="21" t="s">
        <v>357</v>
      </c>
      <c r="D48" s="21" t="s">
        <v>24</v>
      </c>
      <c r="E48" s="21" t="s">
        <v>25</v>
      </c>
      <c r="F48" s="21" t="s">
        <v>2774</v>
      </c>
      <c r="G48" s="30" t="s">
        <v>3169</v>
      </c>
      <c r="H48" s="45" t="str">
        <f aca="false">HYPERLINK("https://photos.app.goo.gl/mdY7kvMDFzLuQiiu9", "Completo")</f>
        <v>Completo</v>
      </c>
      <c r="I48" s="21" t="s">
        <v>28</v>
      </c>
      <c r="J48" s="21"/>
      <c r="K48" s="21"/>
      <c r="L48" s="21"/>
      <c r="M48" s="21"/>
      <c r="N48" s="30"/>
      <c r="O48" s="21" t="s">
        <v>37</v>
      </c>
      <c r="P48" s="74" t="s">
        <v>28</v>
      </c>
      <c r="Q48" s="21" t="s">
        <v>2981</v>
      </c>
      <c r="R48" s="32" t="s">
        <v>2850</v>
      </c>
      <c r="S48" s="32" t="s">
        <v>36</v>
      </c>
      <c r="T48" s="21" t="s">
        <v>74</v>
      </c>
      <c r="U48" s="74" t="s">
        <v>28</v>
      </c>
      <c r="V48" s="74" t="s">
        <v>28</v>
      </c>
      <c r="W48" s="21" t="s">
        <v>36</v>
      </c>
      <c r="X48" s="21" t="s">
        <v>28</v>
      </c>
    </row>
    <row r="49" customFormat="false" ht="15.75" hidden="false" customHeight="false" outlineLevel="0" collapsed="false">
      <c r="A49" s="61" t="n">
        <v>6456</v>
      </c>
      <c r="B49" s="29" t="n">
        <v>44709</v>
      </c>
      <c r="C49" s="21" t="s">
        <v>705</v>
      </c>
      <c r="D49" s="21" t="s">
        <v>24</v>
      </c>
      <c r="E49" s="21" t="s">
        <v>34</v>
      </c>
      <c r="F49" s="21" t="s">
        <v>3170</v>
      </c>
      <c r="G49" s="30"/>
      <c r="H49" s="31" t="s">
        <v>28</v>
      </c>
      <c r="I49" s="21" t="s">
        <v>28</v>
      </c>
      <c r="J49" s="21"/>
      <c r="K49" s="21"/>
      <c r="L49" s="21"/>
      <c r="M49" s="21"/>
      <c r="N49" s="30"/>
      <c r="O49" s="21"/>
      <c r="P49" s="21"/>
      <c r="Q49" s="21"/>
      <c r="R49" s="32"/>
      <c r="S49" s="32"/>
      <c r="T49" s="21"/>
      <c r="U49" s="21"/>
      <c r="V49" s="21"/>
      <c r="W49" s="21"/>
      <c r="X49" s="21" t="s">
        <v>28</v>
      </c>
    </row>
    <row r="50" customFormat="false" ht="15.75" hidden="false" customHeight="false" outlineLevel="0" collapsed="false">
      <c r="A50" s="61" t="n">
        <v>6457</v>
      </c>
      <c r="B50" s="29" t="n">
        <v>44708</v>
      </c>
      <c r="C50" s="21" t="s">
        <v>1259</v>
      </c>
      <c r="D50" s="21" t="s">
        <v>24</v>
      </c>
      <c r="E50" s="21" t="s">
        <v>25</v>
      </c>
      <c r="F50" s="21" t="s">
        <v>3171</v>
      </c>
      <c r="G50" s="30" t="s">
        <v>3172</v>
      </c>
      <c r="H50" s="45" t="str">
        <f aca="false">HYPERLINK("https://photos.app.goo.gl/Myhw8bn7nzspkzNq8", "Completo")</f>
        <v>Completo</v>
      </c>
      <c r="I50" s="21" t="s">
        <v>28</v>
      </c>
      <c r="J50" s="21"/>
      <c r="K50" s="21"/>
      <c r="L50" s="21"/>
      <c r="M50" s="21"/>
      <c r="N50" s="30" t="s">
        <v>3173</v>
      </c>
      <c r="O50" s="21" t="s">
        <v>28</v>
      </c>
      <c r="P50" s="74" t="s">
        <v>28</v>
      </c>
      <c r="Q50" s="21" t="s">
        <v>3174</v>
      </c>
      <c r="R50" s="32" t="s">
        <v>25</v>
      </c>
      <c r="S50" s="32"/>
      <c r="T50" s="21" t="s">
        <v>3175</v>
      </c>
      <c r="U50" s="74" t="s">
        <v>28</v>
      </c>
      <c r="V50" s="21" t="s">
        <v>37</v>
      </c>
      <c r="W50" s="21" t="s">
        <v>36</v>
      </c>
      <c r="X50" s="21" t="s">
        <v>28</v>
      </c>
    </row>
    <row r="51" customFormat="false" ht="15.75" hidden="false" customHeight="false" outlineLevel="0" collapsed="false">
      <c r="A51" s="61" t="n">
        <v>6458</v>
      </c>
      <c r="B51" s="29" t="n">
        <v>44708</v>
      </c>
      <c r="C51" s="21" t="s">
        <v>1259</v>
      </c>
      <c r="D51" s="21" t="s">
        <v>24</v>
      </c>
      <c r="E51" s="21" t="s">
        <v>25</v>
      </c>
      <c r="F51" s="21" t="s">
        <v>3176</v>
      </c>
      <c r="G51" s="30" t="s">
        <v>3177</v>
      </c>
      <c r="H51" s="45" t="str">
        <f aca="false">HYPERLINK("https://photos.app.goo.gl/rJsT6sh2GRyGKyPA6", "Completo")</f>
        <v>Completo</v>
      </c>
      <c r="I51" s="21" t="s">
        <v>28</v>
      </c>
      <c r="J51" s="21"/>
      <c r="K51" s="21"/>
      <c r="L51" s="21"/>
      <c r="M51" s="21"/>
      <c r="N51" s="30"/>
      <c r="O51" s="21" t="s">
        <v>28</v>
      </c>
      <c r="P51" s="74" t="s">
        <v>28</v>
      </c>
      <c r="Q51" s="21" t="s">
        <v>2580</v>
      </c>
      <c r="R51" s="32" t="s">
        <v>2850</v>
      </c>
      <c r="S51" s="32"/>
      <c r="T51" s="21" t="s">
        <v>74</v>
      </c>
      <c r="U51" s="74" t="s">
        <v>28</v>
      </c>
      <c r="V51" s="74" t="s">
        <v>28</v>
      </c>
      <c r="W51" s="21" t="s">
        <v>36</v>
      </c>
      <c r="X51" s="21" t="s">
        <v>28</v>
      </c>
    </row>
    <row r="52" customFormat="false" ht="15.75" hidden="false" customHeight="false" outlineLevel="0" collapsed="false">
      <c r="A52" s="61" t="n">
        <v>6459</v>
      </c>
      <c r="B52" s="29" t="n">
        <v>44708</v>
      </c>
      <c r="C52" s="21" t="s">
        <v>1259</v>
      </c>
      <c r="D52" s="21" t="s">
        <v>24</v>
      </c>
      <c r="E52" s="21" t="s">
        <v>25</v>
      </c>
      <c r="F52" s="21" t="s">
        <v>3178</v>
      </c>
      <c r="G52" s="30" t="s">
        <v>3179</v>
      </c>
      <c r="H52" s="45" t="str">
        <f aca="false">HYPERLINK("https://photos.app.goo.gl/oTvgSTtD3nVAtEnx6", "Completo")</f>
        <v>Completo</v>
      </c>
      <c r="I52" s="21" t="s">
        <v>28</v>
      </c>
      <c r="J52" s="21"/>
      <c r="K52" s="21"/>
      <c r="L52" s="21"/>
      <c r="M52" s="21"/>
      <c r="N52" s="30"/>
      <c r="O52" s="21"/>
      <c r="P52" s="21"/>
      <c r="Q52" s="21" t="s">
        <v>2580</v>
      </c>
      <c r="R52" s="32"/>
      <c r="S52" s="32"/>
      <c r="T52" s="21" t="s">
        <v>74</v>
      </c>
      <c r="U52" s="74" t="s">
        <v>28</v>
      </c>
      <c r="V52" s="74" t="s">
        <v>28</v>
      </c>
      <c r="W52" s="21" t="s">
        <v>36</v>
      </c>
      <c r="X52" s="21" t="s">
        <v>28</v>
      </c>
    </row>
    <row r="53" customFormat="false" ht="15.75" hidden="false" customHeight="false" outlineLevel="0" collapsed="false">
      <c r="A53" s="61" t="n">
        <v>6460</v>
      </c>
      <c r="B53" s="29" t="n">
        <v>44708</v>
      </c>
      <c r="C53" s="21" t="s">
        <v>1259</v>
      </c>
      <c r="D53" s="21" t="s">
        <v>24</v>
      </c>
      <c r="E53" s="21" t="s">
        <v>25</v>
      </c>
      <c r="F53" s="21" t="s">
        <v>3180</v>
      </c>
      <c r="G53" s="30" t="s">
        <v>3181</v>
      </c>
      <c r="H53" s="45" t="str">
        <f aca="false">HYPERLINK("https://photos.app.goo.gl/cn4mhRtrPoe4Cu5BA", "Completo")</f>
        <v>Completo</v>
      </c>
      <c r="I53" s="21" t="s">
        <v>28</v>
      </c>
      <c r="J53" s="21"/>
      <c r="K53" s="21"/>
      <c r="L53" s="21"/>
      <c r="M53" s="21"/>
      <c r="N53" s="30" t="s">
        <v>3182</v>
      </c>
      <c r="O53" s="21" t="s">
        <v>28</v>
      </c>
      <c r="P53" s="74" t="s">
        <v>28</v>
      </c>
      <c r="Q53" s="21" t="s">
        <v>2700</v>
      </c>
      <c r="R53" s="32" t="s">
        <v>25</v>
      </c>
      <c r="S53" s="32"/>
      <c r="T53" s="21" t="s">
        <v>74</v>
      </c>
      <c r="U53" s="74" t="s">
        <v>28</v>
      </c>
      <c r="V53" s="74" t="s">
        <v>28</v>
      </c>
      <c r="W53" s="21" t="s">
        <v>36</v>
      </c>
      <c r="X53" s="21" t="s">
        <v>28</v>
      </c>
    </row>
    <row r="54" customFormat="false" ht="15.75" hidden="false" customHeight="false" outlineLevel="0" collapsed="false">
      <c r="A54" s="61" t="n">
        <v>6461</v>
      </c>
      <c r="B54" s="29" t="n">
        <v>44708</v>
      </c>
      <c r="C54" s="21" t="s">
        <v>1259</v>
      </c>
      <c r="D54" s="21" t="s">
        <v>24</v>
      </c>
      <c r="E54" s="21" t="s">
        <v>25</v>
      </c>
      <c r="F54" s="21" t="s">
        <v>3183</v>
      </c>
      <c r="G54" s="79" t="s">
        <v>3184</v>
      </c>
      <c r="H54" s="45" t="str">
        <f aca="false">HYPERLINK("https://photos.app.goo.gl/t6ewYUY5gjhAaY8B7", "Completo")</f>
        <v>Completo</v>
      </c>
      <c r="I54" s="21" t="s">
        <v>28</v>
      </c>
      <c r="J54" s="21"/>
      <c r="K54" s="21"/>
      <c r="L54" s="21"/>
      <c r="M54" s="21"/>
      <c r="N54" s="30"/>
      <c r="O54" s="21" t="s">
        <v>28</v>
      </c>
      <c r="P54" s="74" t="s">
        <v>28</v>
      </c>
      <c r="Q54" s="21" t="s">
        <v>2981</v>
      </c>
      <c r="R54" s="32" t="s">
        <v>2850</v>
      </c>
      <c r="S54" s="32" t="s">
        <v>36</v>
      </c>
      <c r="T54" s="21" t="s">
        <v>74</v>
      </c>
      <c r="U54" s="74" t="s">
        <v>28</v>
      </c>
      <c r="V54" s="74" t="s">
        <v>28</v>
      </c>
      <c r="W54" s="21" t="s">
        <v>36</v>
      </c>
      <c r="X54" s="21" t="s">
        <v>28</v>
      </c>
    </row>
    <row r="55" customFormat="false" ht="15.75" hidden="false" customHeight="false" outlineLevel="0" collapsed="false">
      <c r="A55" s="61" t="n">
        <v>6462</v>
      </c>
      <c r="B55" s="29" t="n">
        <v>44708</v>
      </c>
      <c r="C55" s="21" t="s">
        <v>1259</v>
      </c>
      <c r="D55" s="21" t="s">
        <v>24</v>
      </c>
      <c r="E55" s="21" t="s">
        <v>25</v>
      </c>
      <c r="F55" s="21" t="s">
        <v>3185</v>
      </c>
      <c r="G55" s="30" t="s">
        <v>3186</v>
      </c>
      <c r="H55" s="45" t="str">
        <f aca="false">HYPERLINK("https://photos.app.goo.gl/7cND9hdfsBMCqcjbA", "Completo")</f>
        <v>Completo</v>
      </c>
      <c r="I55" s="21" t="s">
        <v>28</v>
      </c>
      <c r="J55" s="21"/>
      <c r="K55" s="21"/>
      <c r="L55" s="21"/>
      <c r="M55" s="21"/>
      <c r="N55" s="30"/>
      <c r="O55" s="21" t="s">
        <v>28</v>
      </c>
      <c r="P55" s="74" t="s">
        <v>28</v>
      </c>
      <c r="Q55" s="21" t="s">
        <v>2981</v>
      </c>
      <c r="R55" s="32" t="s">
        <v>2850</v>
      </c>
      <c r="S55" s="32" t="s">
        <v>36</v>
      </c>
      <c r="T55" s="21" t="s">
        <v>74</v>
      </c>
      <c r="U55" s="74" t="s">
        <v>28</v>
      </c>
      <c r="V55" s="74" t="s">
        <v>28</v>
      </c>
      <c r="W55" s="21" t="s">
        <v>36</v>
      </c>
      <c r="X55" s="21" t="s">
        <v>28</v>
      </c>
    </row>
    <row r="56" customFormat="false" ht="15.75" hidden="false" customHeight="false" outlineLevel="0" collapsed="false">
      <c r="A56" s="61" t="n">
        <v>6463</v>
      </c>
      <c r="B56" s="29" t="n">
        <v>44708</v>
      </c>
      <c r="C56" s="21" t="s">
        <v>1259</v>
      </c>
      <c r="D56" s="21" t="s">
        <v>24</v>
      </c>
      <c r="E56" s="21" t="s">
        <v>25</v>
      </c>
      <c r="F56" s="21" t="s">
        <v>3187</v>
      </c>
      <c r="G56" s="30" t="s">
        <v>3188</v>
      </c>
      <c r="H56" s="45" t="str">
        <f aca="false">HYPERLINK("https://photos.app.goo.gl/pBuv3h4SD2UdKQDS7", "Completo")</f>
        <v>Completo</v>
      </c>
      <c r="I56" s="21" t="s">
        <v>28</v>
      </c>
      <c r="J56" s="21"/>
      <c r="K56" s="21"/>
      <c r="L56" s="21"/>
      <c r="M56" s="21"/>
      <c r="N56" s="30"/>
      <c r="O56" s="21"/>
      <c r="P56" s="21"/>
      <c r="Q56" s="21"/>
      <c r="R56" s="32"/>
      <c r="S56" s="32"/>
      <c r="T56" s="21"/>
      <c r="U56" s="21"/>
      <c r="V56" s="21"/>
      <c r="W56" s="21"/>
      <c r="X56" s="21" t="s">
        <v>28</v>
      </c>
    </row>
    <row r="57" customFormat="false" ht="15.75" hidden="false" customHeight="false" outlineLevel="0" collapsed="false">
      <c r="A57" s="61" t="n">
        <v>6464</v>
      </c>
      <c r="B57" s="29" t="n">
        <v>44708</v>
      </c>
      <c r="C57" s="21" t="s">
        <v>1259</v>
      </c>
      <c r="D57" s="21" t="s">
        <v>24</v>
      </c>
      <c r="E57" s="21" t="s">
        <v>25</v>
      </c>
      <c r="F57" s="21" t="s">
        <v>3187</v>
      </c>
      <c r="G57" s="30" t="s">
        <v>334</v>
      </c>
      <c r="H57" s="45" t="str">
        <f aca="false">HYPERLINK("https://photos.app.goo.gl/fnV18XuXQiZVovpt5", "Completo")</f>
        <v>Completo</v>
      </c>
      <c r="I57" s="21" t="s">
        <v>28</v>
      </c>
      <c r="J57" s="21"/>
      <c r="K57" s="21"/>
      <c r="L57" s="21" t="s">
        <v>2453</v>
      </c>
      <c r="M57" s="21"/>
      <c r="N57" s="30"/>
      <c r="O57" s="21"/>
      <c r="P57" s="21"/>
      <c r="Q57" s="21"/>
      <c r="R57" s="32"/>
      <c r="S57" s="32"/>
      <c r="T57" s="21"/>
      <c r="U57" s="21"/>
      <c r="V57" s="21"/>
      <c r="W57" s="21"/>
      <c r="X57" s="21" t="s">
        <v>28</v>
      </c>
    </row>
    <row r="58" customFormat="false" ht="15.75" hidden="false" customHeight="false" outlineLevel="0" collapsed="false">
      <c r="A58" s="61" t="n">
        <v>6465</v>
      </c>
      <c r="B58" s="29" t="n">
        <v>44708</v>
      </c>
      <c r="C58" s="21" t="s">
        <v>1259</v>
      </c>
      <c r="D58" s="21" t="s">
        <v>24</v>
      </c>
      <c r="E58" s="21" t="s">
        <v>25</v>
      </c>
      <c r="F58" s="21" t="s">
        <v>3189</v>
      </c>
      <c r="G58" s="30" t="s">
        <v>3184</v>
      </c>
      <c r="H58" s="45" t="str">
        <f aca="false">HYPERLINK("https://photos.app.goo.gl/RiSWtoThvKpSQVFe9", "Completo")</f>
        <v>Completo</v>
      </c>
      <c r="I58" s="21" t="s">
        <v>28</v>
      </c>
      <c r="J58" s="21"/>
      <c r="K58" s="21"/>
      <c r="L58" s="21"/>
      <c r="M58" s="21"/>
      <c r="N58" s="30"/>
      <c r="O58" s="21" t="s">
        <v>28</v>
      </c>
      <c r="P58" s="74" t="s">
        <v>28</v>
      </c>
      <c r="Q58" s="21" t="s">
        <v>2981</v>
      </c>
      <c r="R58" s="32" t="s">
        <v>2850</v>
      </c>
      <c r="S58" s="32" t="s">
        <v>36</v>
      </c>
      <c r="T58" s="21" t="s">
        <v>74</v>
      </c>
      <c r="U58" s="74" t="s">
        <v>28</v>
      </c>
      <c r="V58" s="74" t="s">
        <v>28</v>
      </c>
      <c r="W58" s="21" t="s">
        <v>36</v>
      </c>
      <c r="X58" s="21" t="s">
        <v>28</v>
      </c>
    </row>
    <row r="59" customFormat="false" ht="15.75" hidden="false" customHeight="false" outlineLevel="0" collapsed="false">
      <c r="A59" s="61" t="n">
        <v>6466</v>
      </c>
      <c r="B59" s="29" t="n">
        <v>44708</v>
      </c>
      <c r="C59" s="21" t="s">
        <v>1259</v>
      </c>
      <c r="D59" s="21" t="s">
        <v>24</v>
      </c>
      <c r="E59" s="21" t="s">
        <v>25</v>
      </c>
      <c r="F59" s="21" t="s">
        <v>3189</v>
      </c>
      <c r="G59" s="30" t="s">
        <v>3190</v>
      </c>
      <c r="H59" s="45" t="str">
        <f aca="false">HYPERLINK("https://photos.app.goo.gl/azbmWtwD3zJEPPfS8", "Completo")</f>
        <v>Completo</v>
      </c>
      <c r="I59" s="21" t="s">
        <v>28</v>
      </c>
      <c r="J59" s="21"/>
      <c r="K59" s="21"/>
      <c r="L59" s="21"/>
      <c r="M59" s="21"/>
      <c r="N59" s="30"/>
      <c r="O59" s="21" t="s">
        <v>28</v>
      </c>
      <c r="P59" s="74" t="s">
        <v>28</v>
      </c>
      <c r="Q59" s="21" t="s">
        <v>2981</v>
      </c>
      <c r="R59" s="32" t="s">
        <v>2850</v>
      </c>
      <c r="S59" s="32" t="s">
        <v>36</v>
      </c>
      <c r="T59" s="21" t="s">
        <v>74</v>
      </c>
      <c r="U59" s="74" t="s">
        <v>28</v>
      </c>
      <c r="V59" s="74" t="s">
        <v>28</v>
      </c>
      <c r="W59" s="21" t="s">
        <v>36</v>
      </c>
      <c r="X59" s="21" t="s">
        <v>28</v>
      </c>
    </row>
    <row r="60" customFormat="false" ht="15.75" hidden="false" customHeight="false" outlineLevel="0" collapsed="false">
      <c r="A60" s="61" t="n">
        <v>6467</v>
      </c>
      <c r="B60" s="29" t="n">
        <v>44708</v>
      </c>
      <c r="C60" s="21" t="s">
        <v>2976</v>
      </c>
      <c r="D60" s="21" t="s">
        <v>24</v>
      </c>
      <c r="E60" s="21" t="s">
        <v>25</v>
      </c>
      <c r="F60" s="21" t="s">
        <v>3191</v>
      </c>
      <c r="G60" s="30" t="s">
        <v>3192</v>
      </c>
      <c r="H60" s="45" t="str">
        <f aca="false">HYPERLINK("https://photos.app.goo.gl/846eDdPZx9U412Ba9", "Completo")</f>
        <v>Completo</v>
      </c>
      <c r="I60" s="21" t="s">
        <v>28</v>
      </c>
      <c r="J60" s="21"/>
      <c r="K60" s="21"/>
      <c r="L60" s="21"/>
      <c r="M60" s="21"/>
      <c r="N60" s="30"/>
      <c r="O60" s="21"/>
      <c r="P60" s="21"/>
      <c r="Q60" s="21"/>
      <c r="R60" s="32"/>
      <c r="S60" s="32"/>
      <c r="T60" s="21"/>
      <c r="U60" s="21"/>
      <c r="V60" s="21"/>
      <c r="W60" s="21"/>
      <c r="X60" s="21" t="s">
        <v>28</v>
      </c>
    </row>
    <row r="61" customFormat="false" ht="15.75" hidden="false" customHeight="false" outlineLevel="0" collapsed="false">
      <c r="A61" s="61" t="n">
        <v>6468</v>
      </c>
      <c r="B61" s="29" t="n">
        <v>44711</v>
      </c>
      <c r="C61" s="21" t="s">
        <v>841</v>
      </c>
      <c r="D61" s="21" t="s">
        <v>24</v>
      </c>
      <c r="E61" s="21" t="s">
        <v>34</v>
      </c>
      <c r="F61" s="21" t="s">
        <v>3193</v>
      </c>
      <c r="G61" s="30"/>
      <c r="H61" s="31" t="s">
        <v>28</v>
      </c>
      <c r="I61" s="21" t="s">
        <v>28</v>
      </c>
      <c r="J61" s="21"/>
      <c r="K61" s="21"/>
      <c r="L61" s="21"/>
      <c r="M61" s="21"/>
      <c r="N61" s="30"/>
      <c r="O61" s="21"/>
      <c r="P61" s="21"/>
      <c r="Q61" s="21"/>
      <c r="R61" s="32"/>
      <c r="S61" s="32"/>
      <c r="T61" s="21"/>
      <c r="U61" s="21"/>
      <c r="V61" s="21"/>
      <c r="W61" s="21"/>
      <c r="X61" s="21" t="s">
        <v>28</v>
      </c>
    </row>
    <row r="62" customFormat="false" ht="15.75" hidden="false" customHeight="false" outlineLevel="0" collapsed="false">
      <c r="A62" s="63" t="n">
        <v>1574562</v>
      </c>
      <c r="B62" s="29" t="n">
        <v>44711</v>
      </c>
      <c r="C62" s="21" t="s">
        <v>1569</v>
      </c>
      <c r="D62" s="21" t="s">
        <v>290</v>
      </c>
      <c r="E62" s="21" t="s">
        <v>25</v>
      </c>
      <c r="F62" s="21" t="s">
        <v>1850</v>
      </c>
      <c r="G62" s="30" t="s">
        <v>3194</v>
      </c>
      <c r="H62" s="45" t="str">
        <f aca="false">HYPERLINK("https://photos.app.goo.gl/5aXhWVJ6HqWDtGs46", "Completo")</f>
        <v>Completo</v>
      </c>
      <c r="I62" s="21" t="s">
        <v>28</v>
      </c>
      <c r="J62" s="21"/>
      <c r="K62" s="21"/>
      <c r="L62" s="21"/>
      <c r="M62" s="21"/>
      <c r="N62" s="30"/>
      <c r="O62" s="21" t="s">
        <v>28</v>
      </c>
      <c r="P62" s="74" t="s">
        <v>28</v>
      </c>
      <c r="Q62" s="21" t="s">
        <v>2981</v>
      </c>
      <c r="R62" s="32" t="s">
        <v>2850</v>
      </c>
      <c r="S62" s="32" t="s">
        <v>36</v>
      </c>
      <c r="T62" s="21" t="s">
        <v>74</v>
      </c>
      <c r="U62" s="74" t="s">
        <v>28</v>
      </c>
      <c r="V62" s="74" t="s">
        <v>28</v>
      </c>
      <c r="W62" s="21" t="s">
        <v>36</v>
      </c>
      <c r="X62" s="21" t="s">
        <v>28</v>
      </c>
    </row>
    <row r="63" customFormat="false" ht="15.75" hidden="false" customHeight="false" outlineLevel="0" collapsed="false">
      <c r="A63" s="63" t="n">
        <v>1374775</v>
      </c>
      <c r="B63" s="29" t="n">
        <v>44711</v>
      </c>
      <c r="C63" s="21" t="s">
        <v>1569</v>
      </c>
      <c r="D63" s="21" t="s">
        <v>290</v>
      </c>
      <c r="E63" s="21" t="s">
        <v>25</v>
      </c>
      <c r="F63" s="21" t="s">
        <v>1850</v>
      </c>
      <c r="G63" s="30" t="s">
        <v>3194</v>
      </c>
      <c r="H63" s="45" t="str">
        <f aca="false">HYPERLINK("https://photos.app.goo.gl/q6GJsBBzG8swp2F29", "Completo")</f>
        <v>Completo</v>
      </c>
      <c r="I63" s="21" t="s">
        <v>28</v>
      </c>
      <c r="J63" s="21"/>
      <c r="K63" s="21"/>
      <c r="L63" s="21"/>
      <c r="M63" s="21"/>
      <c r="N63" s="30"/>
      <c r="O63" s="21" t="s">
        <v>28</v>
      </c>
      <c r="P63" s="74" t="s">
        <v>28</v>
      </c>
      <c r="Q63" s="21" t="s">
        <v>2580</v>
      </c>
      <c r="R63" s="32" t="s">
        <v>2850</v>
      </c>
      <c r="S63" s="32" t="s">
        <v>36</v>
      </c>
      <c r="T63" s="21" t="s">
        <v>74</v>
      </c>
      <c r="U63" s="74" t="s">
        <v>28</v>
      </c>
      <c r="V63" s="74" t="s">
        <v>28</v>
      </c>
      <c r="W63" s="21" t="s">
        <v>36</v>
      </c>
      <c r="X63" s="21" t="s">
        <v>28</v>
      </c>
    </row>
    <row r="64" customFormat="false" ht="15.75" hidden="false" customHeight="false" outlineLevel="0" collapsed="false">
      <c r="A64" s="61" t="n">
        <v>6469</v>
      </c>
      <c r="B64" s="29" t="n">
        <v>44707</v>
      </c>
      <c r="C64" s="21" t="s">
        <v>1456</v>
      </c>
      <c r="D64" s="21" t="s">
        <v>24</v>
      </c>
      <c r="E64" s="21" t="s">
        <v>25</v>
      </c>
      <c r="F64" s="21" t="s">
        <v>3195</v>
      </c>
      <c r="G64" s="30" t="s">
        <v>3196</v>
      </c>
      <c r="H64" s="45" t="str">
        <f aca="false">HYPERLINK("https://photos.app.goo.gl/FEkjaStbdAj8yoCS9", "Completo")</f>
        <v>Completo</v>
      </c>
      <c r="I64" s="21" t="s">
        <v>28</v>
      </c>
      <c r="J64" s="21"/>
      <c r="K64" s="21"/>
      <c r="L64" s="21"/>
      <c r="M64" s="21"/>
      <c r="N64" s="30"/>
      <c r="O64" s="21"/>
      <c r="P64" s="21"/>
      <c r="Q64" s="21"/>
      <c r="R64" s="32"/>
      <c r="S64" s="32"/>
      <c r="T64" s="21"/>
      <c r="U64" s="21"/>
      <c r="V64" s="21"/>
      <c r="W64" s="21"/>
      <c r="X64" s="21"/>
    </row>
    <row r="65" customFormat="false" ht="15.75" hidden="false" customHeight="false" outlineLevel="0" collapsed="false">
      <c r="A65" s="61" t="n">
        <v>6470</v>
      </c>
      <c r="B65" s="29" t="n">
        <v>44708</v>
      </c>
      <c r="C65" s="21" t="s">
        <v>412</v>
      </c>
      <c r="D65" s="21" t="s">
        <v>24</v>
      </c>
      <c r="E65" s="21" t="s">
        <v>25</v>
      </c>
      <c r="F65" s="21" t="s">
        <v>3197</v>
      </c>
      <c r="G65" s="30"/>
      <c r="H65" s="45" t="str">
        <f aca="false">HYPERLINK("https://photos.app.goo.gl/4Gek5Kkh9ezyCcSk8", "Completo")</f>
        <v>Completo</v>
      </c>
      <c r="I65" s="21" t="s">
        <v>28</v>
      </c>
      <c r="J65" s="21"/>
      <c r="K65" s="21"/>
      <c r="L65" s="21"/>
      <c r="M65" s="21"/>
      <c r="N65" s="30"/>
      <c r="O65" s="21" t="s">
        <v>28</v>
      </c>
      <c r="P65" s="74" t="s">
        <v>28</v>
      </c>
      <c r="Q65" s="21" t="s">
        <v>2981</v>
      </c>
      <c r="R65" s="32" t="s">
        <v>2766</v>
      </c>
      <c r="S65" s="32" t="s">
        <v>36</v>
      </c>
      <c r="T65" s="21" t="s">
        <v>74</v>
      </c>
      <c r="U65" s="74" t="s">
        <v>28</v>
      </c>
      <c r="V65" s="74" t="s">
        <v>28</v>
      </c>
      <c r="W65" s="21" t="s">
        <v>36</v>
      </c>
      <c r="X65" s="21" t="s">
        <v>28</v>
      </c>
    </row>
    <row r="66" customFormat="false" ht="15.75" hidden="false" customHeight="false" outlineLevel="0" collapsed="false">
      <c r="A66" s="61" t="n">
        <v>6471</v>
      </c>
      <c r="B66" s="29" t="n">
        <v>44708</v>
      </c>
      <c r="C66" s="21" t="s">
        <v>1259</v>
      </c>
      <c r="D66" s="21" t="s">
        <v>24</v>
      </c>
      <c r="E66" s="21" t="s">
        <v>25</v>
      </c>
      <c r="F66" s="21" t="s">
        <v>3198</v>
      </c>
      <c r="G66" s="30"/>
      <c r="H66" s="45" t="str">
        <f aca="false">HYPERLINK("https://photos.app.goo.gl/sLGv5htTq14RAxex7", "Completo")</f>
        <v>Completo</v>
      </c>
      <c r="I66" s="21" t="s">
        <v>28</v>
      </c>
      <c r="J66" s="21"/>
      <c r="K66" s="21"/>
      <c r="L66" s="21"/>
      <c r="M66" s="21"/>
      <c r="N66" s="30"/>
      <c r="O66" s="21"/>
      <c r="P66" s="21"/>
      <c r="Q66" s="21"/>
      <c r="R66" s="32"/>
      <c r="S66" s="32"/>
      <c r="T66" s="21"/>
      <c r="U66" s="21"/>
      <c r="V66" s="21"/>
      <c r="W66" s="21"/>
      <c r="X66" s="21" t="s">
        <v>28</v>
      </c>
    </row>
    <row r="67" customFormat="false" ht="15.75" hidden="false" customHeight="false" outlineLevel="0" collapsed="false">
      <c r="A67" s="61" t="n">
        <v>6472</v>
      </c>
      <c r="B67" s="29" t="n">
        <v>44711</v>
      </c>
      <c r="C67" s="21" t="s">
        <v>3199</v>
      </c>
      <c r="D67" s="21" t="s">
        <v>24</v>
      </c>
      <c r="E67" s="21" t="s">
        <v>25</v>
      </c>
      <c r="F67" s="21" t="s">
        <v>3200</v>
      </c>
      <c r="G67" s="30" t="s">
        <v>3201</v>
      </c>
      <c r="H67" s="45" t="str">
        <f aca="false">HYPERLINK("https://photos.app.goo.gl/HPp8CsBSsCN7pbcc7", "Completo")</f>
        <v>Completo</v>
      </c>
      <c r="I67" s="21" t="s">
        <v>28</v>
      </c>
      <c r="J67" s="21" t="s">
        <v>3202</v>
      </c>
      <c r="K67" s="21"/>
      <c r="L67" s="21"/>
      <c r="M67" s="21" t="s">
        <v>3203</v>
      </c>
      <c r="N67" s="30"/>
      <c r="O67" s="21"/>
      <c r="P67" s="21"/>
      <c r="Q67" s="21"/>
      <c r="R67" s="32"/>
      <c r="S67" s="32"/>
      <c r="T67" s="21" t="s">
        <v>74</v>
      </c>
      <c r="U67" s="74" t="s">
        <v>28</v>
      </c>
      <c r="V67" s="74" t="s">
        <v>28</v>
      </c>
      <c r="W67" s="21" t="s">
        <v>36</v>
      </c>
      <c r="X67" s="21" t="s">
        <v>28</v>
      </c>
    </row>
    <row r="68" customFormat="false" ht="15.75" hidden="false" customHeight="false" outlineLevel="0" collapsed="false">
      <c r="A68" s="61" t="n">
        <v>6473</v>
      </c>
      <c r="B68" s="29" t="n">
        <v>44711</v>
      </c>
      <c r="C68" s="21" t="s">
        <v>75</v>
      </c>
      <c r="D68" s="21" t="s">
        <v>24</v>
      </c>
      <c r="E68" s="21" t="s">
        <v>25</v>
      </c>
      <c r="F68" s="21" t="s">
        <v>3204</v>
      </c>
      <c r="G68" s="30" t="s">
        <v>3205</v>
      </c>
      <c r="H68" s="45" t="str">
        <f aca="false">HYPERLINK("https://photos.app.goo.gl/bnFZ5KhGZ8qKy1fi6", "Completo")</f>
        <v>Completo</v>
      </c>
      <c r="I68" s="21" t="s">
        <v>28</v>
      </c>
      <c r="J68" s="21"/>
      <c r="K68" s="21"/>
      <c r="L68" s="21"/>
      <c r="M68" s="21"/>
      <c r="N68" s="30" t="s">
        <v>3206</v>
      </c>
      <c r="O68" s="21" t="s">
        <v>28</v>
      </c>
      <c r="P68" s="74" t="s">
        <v>28</v>
      </c>
      <c r="Q68" s="21" t="s">
        <v>3207</v>
      </c>
      <c r="R68" s="32" t="s">
        <v>25</v>
      </c>
      <c r="S68" s="32"/>
      <c r="T68" s="21" t="s">
        <v>74</v>
      </c>
      <c r="U68" s="74" t="s">
        <v>28</v>
      </c>
      <c r="V68" s="74" t="s">
        <v>28</v>
      </c>
      <c r="W68" s="21" t="s">
        <v>36</v>
      </c>
      <c r="X68" s="21" t="s">
        <v>28</v>
      </c>
    </row>
    <row r="69" customFormat="false" ht="15.75" hidden="false" customHeight="false" outlineLevel="0" collapsed="false">
      <c r="A69" s="61" t="n">
        <v>6474</v>
      </c>
      <c r="B69" s="29" t="n">
        <v>44711</v>
      </c>
      <c r="C69" s="21" t="s">
        <v>75</v>
      </c>
      <c r="D69" s="21" t="s">
        <v>24</v>
      </c>
      <c r="E69" s="21" t="s">
        <v>25</v>
      </c>
      <c r="F69" s="21" t="s">
        <v>3204</v>
      </c>
      <c r="G69" s="30" t="s">
        <v>3205</v>
      </c>
      <c r="H69" s="45" t="str">
        <f aca="false">HYPERLINK("https://photos.app.goo.gl/fEz8gPWJy49iDebZ9", "Completo")</f>
        <v>Completo</v>
      </c>
      <c r="I69" s="21" t="s">
        <v>28</v>
      </c>
      <c r="J69" s="21"/>
      <c r="K69" s="21"/>
      <c r="L69" s="21"/>
      <c r="M69" s="21"/>
      <c r="N69" s="30" t="s">
        <v>3208</v>
      </c>
      <c r="O69" s="21" t="s">
        <v>28</v>
      </c>
      <c r="P69" s="74" t="s">
        <v>28</v>
      </c>
      <c r="Q69" s="21" t="s">
        <v>3209</v>
      </c>
      <c r="R69" s="32" t="s">
        <v>25</v>
      </c>
      <c r="S69" s="32"/>
      <c r="T69" s="21" t="s">
        <v>74</v>
      </c>
      <c r="U69" s="74" t="s">
        <v>28</v>
      </c>
      <c r="V69" s="74" t="s">
        <v>28</v>
      </c>
      <c r="W69" s="21" t="s">
        <v>36</v>
      </c>
      <c r="X69" s="21" t="s">
        <v>28</v>
      </c>
    </row>
    <row r="70" customFormat="false" ht="15.75" hidden="false" customHeight="false" outlineLevel="0" collapsed="false">
      <c r="A70" s="61" t="n">
        <v>6475</v>
      </c>
      <c r="B70" s="29" t="n">
        <v>44711</v>
      </c>
      <c r="C70" s="21" t="s">
        <v>75</v>
      </c>
      <c r="D70" s="21" t="s">
        <v>24</v>
      </c>
      <c r="E70" s="21" t="s">
        <v>25</v>
      </c>
      <c r="F70" s="21" t="s">
        <v>3210</v>
      </c>
      <c r="G70" s="30" t="s">
        <v>3211</v>
      </c>
      <c r="H70" s="45" t="str">
        <f aca="false">HYPERLINK("https://photos.app.goo.gl/LPNfUJt7UZPc7qZQA", "Completo")</f>
        <v>Completo</v>
      </c>
      <c r="I70" s="21" t="s">
        <v>28</v>
      </c>
      <c r="J70" s="21"/>
      <c r="K70" s="21"/>
      <c r="L70" s="21"/>
      <c r="M70" s="21"/>
      <c r="N70" s="30" t="s">
        <v>3212</v>
      </c>
      <c r="O70" s="21" t="s">
        <v>28</v>
      </c>
      <c r="P70" s="74" t="s">
        <v>28</v>
      </c>
      <c r="Q70" s="21" t="s">
        <v>3213</v>
      </c>
      <c r="R70" s="32" t="s">
        <v>25</v>
      </c>
      <c r="S70" s="32"/>
      <c r="T70" s="21" t="s">
        <v>74</v>
      </c>
      <c r="U70" s="74" t="s">
        <v>28</v>
      </c>
      <c r="V70" s="74" t="s">
        <v>28</v>
      </c>
      <c r="W70" s="21" t="s">
        <v>36</v>
      </c>
      <c r="X70" s="21" t="s">
        <v>28</v>
      </c>
    </row>
    <row r="71" customFormat="false" ht="15.75" hidden="false" customHeight="false" outlineLevel="0" collapsed="false">
      <c r="A71" s="61" t="n">
        <v>6476</v>
      </c>
      <c r="B71" s="29" t="n">
        <v>44712</v>
      </c>
      <c r="C71" s="21" t="s">
        <v>1290</v>
      </c>
      <c r="D71" s="21" t="s">
        <v>24</v>
      </c>
      <c r="E71" s="21" t="s">
        <v>25</v>
      </c>
      <c r="F71" s="21" t="s">
        <v>3214</v>
      </c>
      <c r="G71" s="30" t="s">
        <v>3215</v>
      </c>
      <c r="H71" s="45" t="str">
        <f aca="false">HYPERLINK("https://photos.app.goo.gl/9FA1Jb4pFkMJZtf39", "Completo")</f>
        <v>Completo</v>
      </c>
      <c r="I71" s="21" t="s">
        <v>28</v>
      </c>
      <c r="J71" s="21"/>
      <c r="K71" s="21"/>
      <c r="L71" s="21"/>
      <c r="M71" s="21"/>
      <c r="N71" s="30"/>
      <c r="O71" s="21"/>
      <c r="P71" s="21"/>
      <c r="Q71" s="21"/>
      <c r="R71" s="32"/>
      <c r="S71" s="32"/>
      <c r="T71" s="21"/>
      <c r="U71" s="21"/>
      <c r="V71" s="21"/>
      <c r="W71" s="21"/>
      <c r="X71" s="21" t="s">
        <v>28</v>
      </c>
    </row>
    <row r="72" customFormat="false" ht="15.75" hidden="false" customHeight="false" outlineLevel="0" collapsed="false">
      <c r="A72" s="61" t="n">
        <v>6477</v>
      </c>
      <c r="B72" s="29" t="n">
        <v>44712</v>
      </c>
      <c r="C72" s="21" t="s">
        <v>2986</v>
      </c>
      <c r="D72" s="21" t="s">
        <v>24</v>
      </c>
      <c r="E72" s="21" t="s">
        <v>25</v>
      </c>
      <c r="F72" s="21" t="s">
        <v>3216</v>
      </c>
      <c r="G72" s="30" t="s">
        <v>3217</v>
      </c>
      <c r="H72" s="45" t="str">
        <f aca="false">HYPERLINK("https://photos.app.goo.gl/QbdFyDpET1AwqSg69", "Completo")</f>
        <v>Completo</v>
      </c>
      <c r="I72" s="21" t="s">
        <v>28</v>
      </c>
      <c r="J72" s="21"/>
      <c r="K72" s="21"/>
      <c r="L72" s="21"/>
      <c r="M72" s="21"/>
      <c r="N72" s="30"/>
      <c r="O72" s="21"/>
      <c r="P72" s="21"/>
      <c r="Q72" s="21"/>
      <c r="R72" s="32"/>
      <c r="S72" s="32"/>
      <c r="T72" s="21"/>
      <c r="U72" s="21"/>
      <c r="V72" s="21"/>
      <c r="W72" s="21"/>
      <c r="X72" s="21" t="s">
        <v>28</v>
      </c>
    </row>
    <row r="73" customFormat="false" ht="15.75" hidden="false" customHeight="false" outlineLevel="0" collapsed="false">
      <c r="A73" s="61" t="n">
        <v>6478</v>
      </c>
      <c r="B73" s="29" t="n">
        <v>44712</v>
      </c>
      <c r="C73" s="21" t="s">
        <v>1290</v>
      </c>
      <c r="D73" s="21" t="s">
        <v>24</v>
      </c>
      <c r="E73" s="21" t="s">
        <v>25</v>
      </c>
      <c r="F73" s="21" t="s">
        <v>3218</v>
      </c>
      <c r="G73" s="30" t="s">
        <v>3219</v>
      </c>
      <c r="H73" s="45" t="str">
        <f aca="false">HYPERLINK("https://photos.app.goo.gl/zZUkorZuJn6My6ri6", "Completo")</f>
        <v>Completo</v>
      </c>
      <c r="I73" s="21" t="s">
        <v>28</v>
      </c>
      <c r="J73" s="21"/>
      <c r="K73" s="21"/>
      <c r="L73" s="21"/>
      <c r="M73" s="21"/>
      <c r="N73" s="30" t="s">
        <v>3220</v>
      </c>
      <c r="O73" s="21" t="s">
        <v>28</v>
      </c>
      <c r="P73" s="74" t="s">
        <v>28</v>
      </c>
      <c r="Q73" s="21" t="s">
        <v>73</v>
      </c>
      <c r="R73" s="32" t="s">
        <v>74</v>
      </c>
      <c r="S73" s="32" t="s">
        <v>36</v>
      </c>
      <c r="T73" s="21" t="s">
        <v>74</v>
      </c>
      <c r="U73" s="74" t="s">
        <v>28</v>
      </c>
      <c r="V73" s="74" t="s">
        <v>28</v>
      </c>
      <c r="W73" s="21" t="s">
        <v>36</v>
      </c>
      <c r="X73" s="21" t="s">
        <v>28</v>
      </c>
    </row>
    <row r="74" customFormat="false" ht="15.75" hidden="false" customHeight="false" outlineLevel="0" collapsed="false">
      <c r="A74" s="61" t="n">
        <v>6479</v>
      </c>
      <c r="B74" s="29" t="n">
        <v>44712</v>
      </c>
      <c r="C74" s="21" t="s">
        <v>944</v>
      </c>
      <c r="D74" s="21" t="s">
        <v>24</v>
      </c>
      <c r="E74" s="21" t="s">
        <v>34</v>
      </c>
      <c r="F74" s="21" t="s">
        <v>3221</v>
      </c>
      <c r="G74" s="30"/>
      <c r="H74" s="31"/>
      <c r="I74" s="21"/>
      <c r="J74" s="21"/>
      <c r="K74" s="21"/>
      <c r="L74" s="21"/>
      <c r="M74" s="21"/>
      <c r="N74" s="30"/>
      <c r="O74" s="21"/>
      <c r="P74" s="21"/>
      <c r="Q74" s="21"/>
      <c r="R74" s="32"/>
      <c r="S74" s="32"/>
      <c r="T74" s="21"/>
      <c r="U74" s="21"/>
      <c r="V74" s="21"/>
      <c r="W74" s="21"/>
      <c r="X74" s="21" t="s">
        <v>28</v>
      </c>
    </row>
    <row r="75" customFormat="false" ht="15.75" hidden="false" customHeight="false" outlineLevel="0" collapsed="false">
      <c r="A75" s="61"/>
      <c r="B75" s="29"/>
      <c r="C75" s="21"/>
      <c r="D75" s="21"/>
      <c r="E75" s="21"/>
      <c r="F75" s="21"/>
      <c r="G75" s="30"/>
      <c r="H75" s="31"/>
      <c r="I75" s="21"/>
      <c r="J75" s="21"/>
      <c r="K75" s="21"/>
      <c r="L75" s="21"/>
      <c r="M75" s="21"/>
      <c r="N75" s="30"/>
      <c r="O75" s="21"/>
      <c r="P75" s="21"/>
      <c r="Q75" s="21"/>
      <c r="R75" s="32"/>
      <c r="S75" s="32"/>
      <c r="T75" s="21"/>
      <c r="U75" s="21"/>
      <c r="V75" s="21"/>
      <c r="W75" s="21"/>
      <c r="X75" s="21"/>
    </row>
    <row r="76" customFormat="false" ht="15.75" hidden="false" customHeight="false" outlineLevel="0" collapsed="false">
      <c r="A76" s="61"/>
      <c r="B76" s="29"/>
      <c r="C76" s="21"/>
      <c r="D76" s="21"/>
      <c r="E76" s="21"/>
      <c r="F76" s="21"/>
      <c r="G76" s="30"/>
      <c r="H76" s="31"/>
      <c r="I76" s="21"/>
      <c r="J76" s="21"/>
      <c r="K76" s="21"/>
      <c r="L76" s="21"/>
      <c r="M76" s="21"/>
      <c r="N76" s="30"/>
      <c r="O76" s="21"/>
      <c r="P76" s="21"/>
      <c r="Q76" s="21"/>
      <c r="R76" s="32"/>
      <c r="S76" s="32"/>
      <c r="T76" s="21"/>
      <c r="U76" s="21"/>
      <c r="V76" s="21"/>
      <c r="W76" s="21"/>
      <c r="X76" s="21"/>
    </row>
    <row r="77" customFormat="false" ht="15.75" hidden="false" customHeight="false" outlineLevel="0" collapsed="false">
      <c r="A77" s="61"/>
      <c r="B77" s="29"/>
      <c r="C77" s="21"/>
      <c r="D77" s="21"/>
      <c r="E77" s="21"/>
      <c r="F77" s="21"/>
      <c r="G77" s="30"/>
      <c r="H77" s="31"/>
      <c r="I77" s="21"/>
      <c r="J77" s="21"/>
      <c r="K77" s="21"/>
      <c r="L77" s="21"/>
      <c r="M77" s="21"/>
      <c r="N77" s="30"/>
      <c r="O77" s="21"/>
      <c r="P77" s="21"/>
      <c r="Q77" s="21"/>
      <c r="R77" s="32"/>
      <c r="S77" s="32"/>
      <c r="T77" s="21"/>
      <c r="U77" s="21"/>
      <c r="V77" s="21"/>
      <c r="W77" s="21"/>
      <c r="X77" s="21"/>
    </row>
    <row r="78" customFormat="false" ht="15.75" hidden="false" customHeight="false" outlineLevel="0" collapsed="false">
      <c r="A78" s="61"/>
      <c r="B78" s="29"/>
      <c r="C78" s="21"/>
      <c r="D78" s="21"/>
      <c r="E78" s="21"/>
      <c r="F78" s="21"/>
      <c r="G78" s="30"/>
      <c r="H78" s="31"/>
      <c r="I78" s="21"/>
      <c r="J78" s="21"/>
      <c r="K78" s="21"/>
      <c r="L78" s="21"/>
      <c r="M78" s="21"/>
      <c r="N78" s="30"/>
      <c r="O78" s="21"/>
      <c r="P78" s="21"/>
      <c r="Q78" s="21"/>
      <c r="R78" s="32"/>
      <c r="S78" s="32"/>
      <c r="T78" s="21"/>
      <c r="U78" s="21"/>
      <c r="V78" s="21"/>
      <c r="W78" s="21"/>
      <c r="X78" s="21"/>
    </row>
    <row r="79" customFormat="false" ht="15.75" hidden="false" customHeight="false" outlineLevel="0" collapsed="false">
      <c r="A79" s="61"/>
      <c r="B79" s="29"/>
      <c r="C79" s="21"/>
      <c r="D79" s="21"/>
      <c r="E79" s="21"/>
      <c r="F79" s="21"/>
      <c r="G79" s="30"/>
      <c r="H79" s="31"/>
      <c r="I79" s="21"/>
      <c r="J79" s="21"/>
      <c r="K79" s="21"/>
      <c r="L79" s="21"/>
      <c r="M79" s="21"/>
      <c r="N79" s="30"/>
      <c r="O79" s="21"/>
      <c r="P79" s="21"/>
      <c r="Q79" s="21"/>
      <c r="R79" s="32"/>
      <c r="S79" s="32"/>
      <c r="T79" s="21"/>
      <c r="U79" s="21"/>
      <c r="V79" s="21"/>
      <c r="W79" s="21"/>
      <c r="X79" s="21"/>
    </row>
    <row r="80" customFormat="false" ht="15.75" hidden="false" customHeight="false" outlineLevel="0" collapsed="false">
      <c r="A80" s="61"/>
      <c r="B80" s="29"/>
      <c r="C80" s="21"/>
      <c r="D80" s="21"/>
      <c r="E80" s="21"/>
      <c r="F80" s="21"/>
      <c r="G80" s="30"/>
      <c r="H80" s="31"/>
      <c r="I80" s="21"/>
      <c r="J80" s="21"/>
      <c r="K80" s="21"/>
      <c r="L80" s="21"/>
      <c r="M80" s="21"/>
      <c r="N80" s="30"/>
      <c r="O80" s="21"/>
      <c r="P80" s="21"/>
      <c r="Q80" s="21"/>
      <c r="R80" s="32"/>
      <c r="S80" s="32"/>
      <c r="T80" s="21"/>
      <c r="U80" s="21"/>
      <c r="V80" s="21"/>
      <c r="W80" s="21"/>
      <c r="X80" s="21"/>
    </row>
    <row r="81" customFormat="false" ht="15.75" hidden="false" customHeight="false" outlineLevel="0" collapsed="false">
      <c r="A81" s="61"/>
      <c r="B81" s="29"/>
      <c r="C81" s="21"/>
      <c r="D81" s="21"/>
      <c r="E81" s="21"/>
      <c r="F81" s="21"/>
      <c r="G81" s="30"/>
      <c r="H81" s="31"/>
      <c r="I81" s="21"/>
      <c r="J81" s="21"/>
      <c r="K81" s="21"/>
      <c r="L81" s="21"/>
      <c r="M81" s="21"/>
      <c r="N81" s="30"/>
      <c r="O81" s="21"/>
      <c r="P81" s="21"/>
      <c r="Q81" s="21"/>
      <c r="R81" s="32"/>
      <c r="S81" s="32"/>
      <c r="T81" s="21"/>
      <c r="U81" s="21"/>
      <c r="V81" s="21"/>
      <c r="W81" s="21"/>
      <c r="X81" s="21"/>
    </row>
    <row r="82" customFormat="false" ht="15.75" hidden="false" customHeight="false" outlineLevel="0" collapsed="false">
      <c r="A82" s="61"/>
      <c r="B82" s="29"/>
      <c r="C82" s="21"/>
      <c r="D82" s="21"/>
      <c r="E82" s="21"/>
      <c r="F82" s="21"/>
      <c r="G82" s="30"/>
      <c r="H82" s="31"/>
      <c r="I82" s="21"/>
      <c r="J82" s="21"/>
      <c r="K82" s="21"/>
      <c r="L82" s="21"/>
      <c r="M82" s="21"/>
      <c r="N82" s="30"/>
      <c r="O82" s="21"/>
      <c r="P82" s="21"/>
      <c r="Q82" s="21"/>
      <c r="R82" s="32"/>
      <c r="S82" s="32"/>
      <c r="T82" s="21"/>
      <c r="U82" s="21"/>
      <c r="V82" s="21"/>
      <c r="W82" s="21"/>
      <c r="X82" s="21"/>
    </row>
    <row r="83" customFormat="false" ht="15.75" hidden="false" customHeight="false" outlineLevel="0" collapsed="false">
      <c r="A83" s="61"/>
      <c r="B83" s="29"/>
      <c r="C83" s="21"/>
      <c r="D83" s="21"/>
      <c r="E83" s="21"/>
      <c r="F83" s="21"/>
      <c r="G83" s="30"/>
      <c r="H83" s="31"/>
      <c r="I83" s="21"/>
      <c r="J83" s="21"/>
      <c r="K83" s="21"/>
      <c r="L83" s="21"/>
      <c r="M83" s="21"/>
      <c r="N83" s="30"/>
      <c r="O83" s="21"/>
      <c r="P83" s="21"/>
      <c r="Q83" s="21"/>
      <c r="R83" s="32"/>
      <c r="S83" s="32"/>
      <c r="T83" s="21"/>
      <c r="U83" s="21"/>
      <c r="V83" s="21"/>
      <c r="W83" s="21"/>
      <c r="X83" s="21"/>
    </row>
    <row r="84" customFormat="false" ht="15.75" hidden="false" customHeight="false" outlineLevel="0" collapsed="false">
      <c r="A84" s="61"/>
      <c r="B84" s="29"/>
      <c r="C84" s="21"/>
      <c r="D84" s="21"/>
      <c r="E84" s="21"/>
      <c r="F84" s="21"/>
      <c r="G84" s="30"/>
      <c r="H84" s="31"/>
      <c r="I84" s="21"/>
      <c r="J84" s="21"/>
      <c r="K84" s="21"/>
      <c r="L84" s="21"/>
      <c r="M84" s="21"/>
      <c r="N84" s="30"/>
      <c r="O84" s="21"/>
      <c r="P84" s="21"/>
      <c r="Q84" s="21"/>
      <c r="R84" s="32"/>
      <c r="S84" s="32"/>
      <c r="T84" s="21"/>
      <c r="U84" s="21"/>
      <c r="V84" s="21"/>
      <c r="W84" s="21"/>
      <c r="X84" s="21"/>
    </row>
    <row r="85" customFormat="false" ht="15.75" hidden="false" customHeight="false" outlineLevel="0" collapsed="false">
      <c r="A85" s="61"/>
      <c r="B85" s="29"/>
      <c r="C85" s="21"/>
      <c r="D85" s="21"/>
      <c r="E85" s="21"/>
      <c r="F85" s="21"/>
      <c r="G85" s="30"/>
      <c r="H85" s="31"/>
      <c r="I85" s="21"/>
      <c r="J85" s="21"/>
      <c r="K85" s="21"/>
      <c r="L85" s="21"/>
      <c r="M85" s="21"/>
      <c r="N85" s="30"/>
      <c r="O85" s="21"/>
      <c r="P85" s="21"/>
      <c r="Q85" s="21"/>
      <c r="R85" s="32"/>
      <c r="S85" s="32"/>
      <c r="T85" s="21"/>
      <c r="U85" s="21"/>
      <c r="V85" s="21"/>
      <c r="W85" s="21"/>
      <c r="X85" s="21"/>
    </row>
    <row r="86" customFormat="false" ht="15.75" hidden="false" customHeight="false" outlineLevel="0" collapsed="false">
      <c r="A86" s="61"/>
      <c r="B86" s="29"/>
      <c r="C86" s="21"/>
      <c r="D86" s="21"/>
      <c r="E86" s="21"/>
      <c r="F86" s="21"/>
      <c r="G86" s="30"/>
      <c r="H86" s="31"/>
      <c r="I86" s="21"/>
      <c r="J86" s="21"/>
      <c r="K86" s="21"/>
      <c r="L86" s="21"/>
      <c r="M86" s="21"/>
      <c r="N86" s="30"/>
      <c r="O86" s="21"/>
      <c r="P86" s="21"/>
      <c r="Q86" s="21"/>
      <c r="R86" s="32"/>
      <c r="S86" s="32"/>
      <c r="T86" s="21"/>
      <c r="U86" s="21"/>
      <c r="V86" s="21"/>
      <c r="W86" s="21"/>
      <c r="X86" s="21"/>
    </row>
    <row r="87" customFormat="false" ht="15.75" hidden="false" customHeight="false" outlineLevel="0" collapsed="false">
      <c r="A87" s="61"/>
      <c r="B87" s="29"/>
      <c r="C87" s="21"/>
      <c r="D87" s="21"/>
      <c r="E87" s="21"/>
      <c r="F87" s="21"/>
      <c r="G87" s="30"/>
      <c r="H87" s="31"/>
      <c r="I87" s="21"/>
      <c r="J87" s="21"/>
      <c r="K87" s="21"/>
      <c r="L87" s="21"/>
      <c r="M87" s="21"/>
      <c r="N87" s="30"/>
      <c r="O87" s="21"/>
      <c r="P87" s="21"/>
      <c r="Q87" s="21"/>
      <c r="R87" s="32"/>
      <c r="S87" s="32"/>
      <c r="T87" s="21"/>
      <c r="U87" s="21"/>
      <c r="V87" s="21"/>
      <c r="W87" s="21"/>
      <c r="X87" s="21"/>
    </row>
    <row r="88" customFormat="false" ht="15.75" hidden="false" customHeight="false" outlineLevel="0" collapsed="false">
      <c r="A88" s="61"/>
      <c r="B88" s="29"/>
      <c r="C88" s="21"/>
      <c r="D88" s="21"/>
      <c r="E88" s="21"/>
      <c r="F88" s="21"/>
      <c r="G88" s="30"/>
      <c r="H88" s="31"/>
      <c r="I88" s="21"/>
      <c r="J88" s="21"/>
      <c r="K88" s="21"/>
      <c r="L88" s="21"/>
      <c r="M88" s="21"/>
      <c r="N88" s="30"/>
      <c r="O88" s="21"/>
      <c r="P88" s="21"/>
      <c r="Q88" s="21"/>
      <c r="R88" s="32"/>
      <c r="S88" s="32"/>
      <c r="T88" s="21"/>
      <c r="U88" s="21"/>
      <c r="V88" s="21"/>
      <c r="W88" s="21"/>
      <c r="X88" s="21"/>
    </row>
    <row r="89" customFormat="false" ht="15.75" hidden="false" customHeight="false" outlineLevel="0" collapsed="false">
      <c r="A89" s="61"/>
      <c r="B89" s="29"/>
      <c r="C89" s="21"/>
      <c r="D89" s="21"/>
      <c r="E89" s="21"/>
      <c r="F89" s="21"/>
      <c r="G89" s="30"/>
      <c r="H89" s="31"/>
      <c r="I89" s="21"/>
      <c r="J89" s="21"/>
      <c r="K89" s="21"/>
      <c r="L89" s="21"/>
      <c r="M89" s="21"/>
      <c r="N89" s="30"/>
      <c r="O89" s="21"/>
      <c r="P89" s="21"/>
      <c r="Q89" s="21"/>
      <c r="R89" s="32"/>
      <c r="S89" s="32"/>
      <c r="T89" s="21"/>
      <c r="U89" s="21"/>
      <c r="V89" s="21"/>
      <c r="W89" s="21"/>
      <c r="X89" s="21"/>
    </row>
    <row r="90" customFormat="false" ht="15.75" hidden="false" customHeight="false" outlineLevel="0" collapsed="false">
      <c r="A90" s="61"/>
      <c r="B90" s="29"/>
      <c r="C90" s="21"/>
      <c r="D90" s="21"/>
      <c r="E90" s="21"/>
      <c r="F90" s="21"/>
      <c r="G90" s="30"/>
      <c r="H90" s="31"/>
      <c r="I90" s="21"/>
      <c r="J90" s="21"/>
      <c r="K90" s="21"/>
      <c r="L90" s="21"/>
      <c r="M90" s="21"/>
      <c r="N90" s="30"/>
      <c r="O90" s="21"/>
      <c r="P90" s="21"/>
      <c r="Q90" s="21"/>
      <c r="R90" s="32"/>
      <c r="S90" s="32"/>
      <c r="T90" s="21"/>
      <c r="U90" s="21"/>
      <c r="V90" s="21"/>
      <c r="W90" s="21"/>
      <c r="X90" s="21"/>
    </row>
    <row r="91" customFormat="false" ht="15.75" hidden="false" customHeight="false" outlineLevel="0" collapsed="false">
      <c r="A91" s="61"/>
      <c r="B91" s="29"/>
      <c r="C91" s="21"/>
      <c r="D91" s="21"/>
      <c r="E91" s="21"/>
      <c r="F91" s="21"/>
      <c r="G91" s="30"/>
      <c r="H91" s="31"/>
      <c r="I91" s="21"/>
      <c r="J91" s="21"/>
      <c r="K91" s="21"/>
      <c r="L91" s="21"/>
      <c r="M91" s="21"/>
      <c r="N91" s="30"/>
      <c r="O91" s="21"/>
      <c r="P91" s="21"/>
      <c r="Q91" s="21"/>
      <c r="R91" s="32"/>
      <c r="S91" s="32"/>
      <c r="T91" s="21"/>
      <c r="U91" s="21"/>
      <c r="V91" s="21"/>
      <c r="W91" s="21"/>
      <c r="X91" s="21"/>
    </row>
    <row r="92" customFormat="false" ht="15.75" hidden="false" customHeight="false" outlineLevel="0" collapsed="false">
      <c r="A92" s="61"/>
      <c r="B92" s="29"/>
      <c r="C92" s="21"/>
      <c r="D92" s="21"/>
      <c r="E92" s="21"/>
      <c r="F92" s="21"/>
      <c r="G92" s="30"/>
      <c r="H92" s="31"/>
      <c r="I92" s="21"/>
      <c r="J92" s="21"/>
      <c r="K92" s="21"/>
      <c r="L92" s="21"/>
      <c r="M92" s="21"/>
      <c r="N92" s="30"/>
      <c r="O92" s="21"/>
      <c r="P92" s="21"/>
      <c r="Q92" s="21"/>
      <c r="R92" s="32"/>
      <c r="S92" s="32"/>
      <c r="T92" s="21"/>
      <c r="U92" s="21"/>
      <c r="V92" s="21"/>
      <c r="W92" s="21"/>
      <c r="X92" s="21"/>
    </row>
    <row r="93" customFormat="false" ht="15.75" hidden="false" customHeight="false" outlineLevel="0" collapsed="false">
      <c r="A93" s="61"/>
      <c r="B93" s="29"/>
      <c r="C93" s="21"/>
      <c r="D93" s="21"/>
      <c r="E93" s="21"/>
      <c r="F93" s="21"/>
      <c r="G93" s="30"/>
      <c r="H93" s="31"/>
      <c r="I93" s="21"/>
      <c r="J93" s="21"/>
      <c r="K93" s="21"/>
      <c r="L93" s="21"/>
      <c r="M93" s="21"/>
      <c r="N93" s="30"/>
      <c r="O93" s="21"/>
      <c r="P93" s="21"/>
      <c r="Q93" s="21"/>
      <c r="R93" s="32"/>
      <c r="S93" s="32"/>
      <c r="T93" s="21"/>
      <c r="U93" s="21"/>
      <c r="V93" s="21"/>
      <c r="W93" s="21"/>
      <c r="X93" s="21"/>
    </row>
    <row r="94" customFormat="false" ht="15.75" hidden="false" customHeight="false" outlineLevel="0" collapsed="false">
      <c r="A94" s="61"/>
      <c r="B94" s="29"/>
      <c r="C94" s="21"/>
      <c r="D94" s="21"/>
      <c r="E94" s="21"/>
      <c r="F94" s="21"/>
      <c r="G94" s="30"/>
      <c r="H94" s="31"/>
      <c r="I94" s="21"/>
      <c r="J94" s="21"/>
      <c r="K94" s="21"/>
      <c r="L94" s="21"/>
      <c r="M94" s="21"/>
      <c r="N94" s="30"/>
      <c r="O94" s="21"/>
      <c r="P94" s="21"/>
      <c r="Q94" s="21"/>
      <c r="R94" s="32"/>
      <c r="S94" s="32"/>
      <c r="T94" s="21"/>
      <c r="U94" s="21"/>
      <c r="V94" s="21"/>
      <c r="W94" s="21"/>
      <c r="X94" s="21"/>
    </row>
    <row r="95" customFormat="false" ht="15.75" hidden="false" customHeight="false" outlineLevel="0" collapsed="false">
      <c r="A95" s="61"/>
      <c r="B95" s="29"/>
      <c r="C95" s="21"/>
      <c r="D95" s="21"/>
      <c r="E95" s="21"/>
      <c r="F95" s="21"/>
      <c r="G95" s="30"/>
      <c r="H95" s="31"/>
      <c r="I95" s="21"/>
      <c r="J95" s="21"/>
      <c r="K95" s="21"/>
      <c r="L95" s="21"/>
      <c r="M95" s="21"/>
      <c r="N95" s="30"/>
      <c r="O95" s="21"/>
      <c r="P95" s="21"/>
      <c r="Q95" s="21"/>
      <c r="R95" s="32"/>
      <c r="S95" s="32"/>
      <c r="T95" s="21"/>
      <c r="U95" s="21"/>
      <c r="V95" s="21"/>
      <c r="W95" s="21"/>
      <c r="X95" s="21"/>
    </row>
    <row r="96" customFormat="false" ht="15.75" hidden="false" customHeight="false" outlineLevel="0" collapsed="false">
      <c r="A96" s="61"/>
      <c r="B96" s="29"/>
      <c r="C96" s="21"/>
      <c r="D96" s="21"/>
      <c r="E96" s="21"/>
      <c r="F96" s="21"/>
      <c r="G96" s="30"/>
      <c r="H96" s="31"/>
      <c r="I96" s="21"/>
      <c r="J96" s="21"/>
      <c r="K96" s="21"/>
      <c r="L96" s="21"/>
      <c r="M96" s="21"/>
      <c r="N96" s="30"/>
      <c r="O96" s="21"/>
      <c r="P96" s="21"/>
      <c r="Q96" s="21"/>
      <c r="R96" s="32"/>
      <c r="S96" s="32"/>
      <c r="T96" s="21"/>
      <c r="U96" s="21"/>
      <c r="V96" s="21"/>
      <c r="W96" s="21"/>
      <c r="X96" s="21"/>
    </row>
    <row r="97" customFormat="false" ht="15.75" hidden="false" customHeight="false" outlineLevel="0" collapsed="false">
      <c r="A97" s="61"/>
      <c r="B97" s="29"/>
      <c r="C97" s="21"/>
      <c r="D97" s="21"/>
      <c r="E97" s="21"/>
      <c r="F97" s="21"/>
      <c r="G97" s="30"/>
      <c r="H97" s="31"/>
      <c r="I97" s="21"/>
      <c r="J97" s="21"/>
      <c r="K97" s="21"/>
      <c r="L97" s="21"/>
      <c r="M97" s="21"/>
      <c r="N97" s="30"/>
      <c r="O97" s="21"/>
      <c r="P97" s="21"/>
      <c r="Q97" s="21"/>
      <c r="R97" s="32"/>
      <c r="S97" s="32"/>
      <c r="T97" s="21"/>
      <c r="U97" s="21"/>
      <c r="V97" s="21"/>
      <c r="W97" s="21"/>
      <c r="X97" s="21"/>
    </row>
    <row r="98" customFormat="false" ht="15.75" hidden="false" customHeight="false" outlineLevel="0" collapsed="false">
      <c r="A98" s="61"/>
      <c r="B98" s="29"/>
      <c r="C98" s="21"/>
      <c r="D98" s="21"/>
      <c r="E98" s="21"/>
      <c r="F98" s="21"/>
      <c r="G98" s="30"/>
      <c r="H98" s="31"/>
      <c r="I98" s="21"/>
      <c r="J98" s="21"/>
      <c r="K98" s="21"/>
      <c r="L98" s="21"/>
      <c r="M98" s="21"/>
      <c r="N98" s="30"/>
      <c r="O98" s="21"/>
      <c r="P98" s="21"/>
      <c r="Q98" s="21"/>
      <c r="R98" s="32"/>
      <c r="S98" s="32"/>
      <c r="T98" s="21"/>
      <c r="U98" s="21"/>
      <c r="V98" s="21"/>
      <c r="W98" s="21"/>
      <c r="X98" s="21"/>
    </row>
    <row r="99" customFormat="false" ht="15.75" hidden="false" customHeight="false" outlineLevel="0" collapsed="false">
      <c r="A99" s="61"/>
      <c r="B99" s="29"/>
      <c r="C99" s="21"/>
      <c r="D99" s="21"/>
      <c r="E99" s="21"/>
      <c r="F99" s="21"/>
      <c r="G99" s="30"/>
      <c r="H99" s="31"/>
      <c r="I99" s="21"/>
      <c r="J99" s="21"/>
      <c r="K99" s="21"/>
      <c r="L99" s="21"/>
      <c r="M99" s="21"/>
      <c r="N99" s="30"/>
      <c r="O99" s="21"/>
      <c r="P99" s="21"/>
      <c r="Q99" s="21"/>
      <c r="R99" s="32"/>
      <c r="S99" s="32"/>
      <c r="T99" s="21"/>
      <c r="U99" s="21"/>
      <c r="V99" s="21"/>
      <c r="W99" s="21"/>
      <c r="X99" s="21"/>
    </row>
    <row r="100" customFormat="false" ht="15.75" hidden="false" customHeight="false" outlineLevel="0" collapsed="false">
      <c r="A100" s="61"/>
      <c r="B100" s="29"/>
      <c r="C100" s="21"/>
      <c r="D100" s="21"/>
      <c r="E100" s="21"/>
      <c r="F100" s="21"/>
      <c r="G100" s="30"/>
      <c r="H100" s="31"/>
      <c r="I100" s="21"/>
      <c r="J100" s="21"/>
      <c r="K100" s="21"/>
      <c r="L100" s="21"/>
      <c r="M100" s="21"/>
      <c r="N100" s="30"/>
      <c r="O100" s="21"/>
      <c r="P100" s="21"/>
      <c r="Q100" s="21"/>
      <c r="R100" s="32"/>
      <c r="S100" s="32"/>
      <c r="T100" s="21"/>
      <c r="U100" s="21"/>
      <c r="V100" s="21"/>
      <c r="W100" s="21"/>
      <c r="X100" s="21"/>
    </row>
    <row r="101" customFormat="false" ht="15.75" hidden="false" customHeight="false" outlineLevel="0" collapsed="false">
      <c r="A101" s="61"/>
      <c r="B101" s="29"/>
      <c r="C101" s="21"/>
      <c r="D101" s="21"/>
      <c r="E101" s="21"/>
      <c r="F101" s="21"/>
      <c r="G101" s="30"/>
      <c r="H101" s="31"/>
      <c r="I101" s="21"/>
      <c r="J101" s="21"/>
      <c r="K101" s="21"/>
      <c r="L101" s="21"/>
      <c r="M101" s="21"/>
      <c r="N101" s="30"/>
      <c r="O101" s="21"/>
      <c r="P101" s="21"/>
      <c r="Q101" s="21"/>
      <c r="R101" s="32"/>
      <c r="S101" s="32"/>
      <c r="T101" s="21"/>
      <c r="U101" s="21"/>
      <c r="V101" s="21"/>
      <c r="W101" s="21"/>
      <c r="X101" s="21"/>
    </row>
    <row r="102" customFormat="false" ht="15.75" hidden="false" customHeight="false" outlineLevel="0" collapsed="false">
      <c r="A102" s="61"/>
      <c r="B102" s="29"/>
      <c r="C102" s="21"/>
      <c r="D102" s="21"/>
      <c r="E102" s="21"/>
      <c r="F102" s="21"/>
      <c r="G102" s="30"/>
      <c r="H102" s="31"/>
      <c r="I102" s="21"/>
      <c r="J102" s="21"/>
      <c r="K102" s="21"/>
      <c r="L102" s="21"/>
      <c r="M102" s="21"/>
      <c r="N102" s="30"/>
      <c r="O102" s="21"/>
      <c r="P102" s="21"/>
      <c r="Q102" s="21"/>
      <c r="R102" s="32"/>
      <c r="S102" s="32"/>
      <c r="T102" s="21"/>
      <c r="U102" s="21"/>
      <c r="V102" s="21"/>
      <c r="W102" s="21"/>
      <c r="X102" s="21"/>
    </row>
    <row r="103" customFormat="false" ht="15.75" hidden="false" customHeight="false" outlineLevel="0" collapsed="false">
      <c r="A103" s="61"/>
      <c r="B103" s="29"/>
      <c r="C103" s="21"/>
      <c r="D103" s="21"/>
      <c r="E103" s="21"/>
      <c r="F103" s="21"/>
      <c r="G103" s="30"/>
      <c r="H103" s="31"/>
      <c r="I103" s="21"/>
      <c r="J103" s="21"/>
      <c r="K103" s="21"/>
      <c r="L103" s="21"/>
      <c r="M103" s="21"/>
      <c r="N103" s="30"/>
      <c r="O103" s="21"/>
      <c r="P103" s="21"/>
      <c r="Q103" s="21"/>
      <c r="R103" s="32"/>
      <c r="S103" s="32"/>
      <c r="T103" s="21"/>
      <c r="U103" s="21"/>
      <c r="V103" s="21"/>
      <c r="W103" s="21"/>
      <c r="X103" s="21"/>
    </row>
    <row r="104" customFormat="false" ht="15.75" hidden="false" customHeight="false" outlineLevel="0" collapsed="false">
      <c r="A104" s="61"/>
      <c r="B104" s="29"/>
      <c r="C104" s="21"/>
      <c r="D104" s="21"/>
      <c r="E104" s="21"/>
      <c r="F104" s="21"/>
      <c r="G104" s="30"/>
      <c r="H104" s="31"/>
      <c r="I104" s="21"/>
      <c r="J104" s="21"/>
      <c r="K104" s="21"/>
      <c r="L104" s="21"/>
      <c r="M104" s="21"/>
      <c r="N104" s="30"/>
      <c r="O104" s="21"/>
      <c r="P104" s="21"/>
      <c r="Q104" s="21"/>
      <c r="R104" s="32"/>
      <c r="S104" s="32"/>
      <c r="T104" s="21"/>
      <c r="U104" s="21"/>
      <c r="V104" s="21"/>
      <c r="W104" s="21"/>
      <c r="X104" s="21"/>
    </row>
    <row r="105" customFormat="false" ht="15.75" hidden="false" customHeight="false" outlineLevel="0" collapsed="false">
      <c r="A105" s="61"/>
      <c r="B105" s="29"/>
      <c r="C105" s="21"/>
      <c r="D105" s="21"/>
      <c r="E105" s="21"/>
      <c r="F105" s="21"/>
      <c r="G105" s="30"/>
      <c r="H105" s="31"/>
      <c r="I105" s="21"/>
      <c r="J105" s="21"/>
      <c r="K105" s="21"/>
      <c r="L105" s="21"/>
      <c r="M105" s="21"/>
      <c r="N105" s="30"/>
      <c r="O105" s="21"/>
      <c r="P105" s="21"/>
      <c r="Q105" s="21"/>
      <c r="R105" s="32"/>
      <c r="S105" s="32"/>
      <c r="T105" s="21"/>
      <c r="U105" s="21"/>
      <c r="V105" s="21"/>
      <c r="W105" s="21"/>
      <c r="X105" s="21"/>
    </row>
    <row r="106" customFormat="false" ht="15.75" hidden="false" customHeight="false" outlineLevel="0" collapsed="false">
      <c r="A106" s="61"/>
      <c r="B106" s="29"/>
      <c r="C106" s="21"/>
      <c r="D106" s="21"/>
      <c r="E106" s="21"/>
      <c r="F106" s="21"/>
      <c r="G106" s="30"/>
      <c r="H106" s="31"/>
      <c r="I106" s="21"/>
      <c r="J106" s="21"/>
      <c r="K106" s="21"/>
      <c r="L106" s="21"/>
      <c r="M106" s="21"/>
      <c r="N106" s="30"/>
      <c r="O106" s="21"/>
      <c r="P106" s="21"/>
      <c r="Q106" s="21"/>
      <c r="R106" s="32"/>
      <c r="S106" s="32"/>
      <c r="T106" s="21"/>
      <c r="U106" s="21"/>
      <c r="V106" s="21"/>
      <c r="W106" s="21"/>
      <c r="X106" s="21"/>
    </row>
    <row r="107" customFormat="false" ht="15.75" hidden="false" customHeight="false" outlineLevel="0" collapsed="false">
      <c r="A107" s="61"/>
      <c r="B107" s="29"/>
      <c r="C107" s="21"/>
      <c r="D107" s="21"/>
      <c r="E107" s="21"/>
      <c r="F107" s="21"/>
      <c r="G107" s="30"/>
      <c r="H107" s="31"/>
      <c r="I107" s="21"/>
      <c r="J107" s="21"/>
      <c r="K107" s="21"/>
      <c r="L107" s="21"/>
      <c r="M107" s="21"/>
      <c r="N107" s="30"/>
      <c r="O107" s="21"/>
      <c r="P107" s="21"/>
      <c r="Q107" s="21"/>
      <c r="R107" s="32"/>
      <c r="S107" s="32"/>
      <c r="T107" s="21"/>
      <c r="U107" s="21"/>
      <c r="V107" s="21"/>
      <c r="W107" s="21"/>
      <c r="X107" s="21"/>
    </row>
    <row r="108" customFormat="false" ht="15.75" hidden="false" customHeight="false" outlineLevel="0" collapsed="false">
      <c r="A108" s="61"/>
      <c r="B108" s="29"/>
      <c r="C108" s="21"/>
      <c r="D108" s="21"/>
      <c r="E108" s="21"/>
      <c r="F108" s="21"/>
      <c r="G108" s="30"/>
      <c r="H108" s="31"/>
      <c r="I108" s="21"/>
      <c r="J108" s="21"/>
      <c r="K108" s="21"/>
      <c r="L108" s="21"/>
      <c r="M108" s="21"/>
      <c r="N108" s="30"/>
      <c r="O108" s="21"/>
      <c r="P108" s="21"/>
      <c r="Q108" s="21"/>
      <c r="R108" s="32"/>
      <c r="S108" s="32"/>
      <c r="T108" s="21"/>
      <c r="U108" s="21"/>
      <c r="V108" s="21"/>
      <c r="W108" s="21"/>
      <c r="X108" s="21"/>
    </row>
    <row r="109" customFormat="false" ht="15.75" hidden="false" customHeight="false" outlineLevel="0" collapsed="false">
      <c r="A109" s="61"/>
      <c r="B109" s="29"/>
      <c r="C109" s="21"/>
      <c r="D109" s="21"/>
      <c r="E109" s="21"/>
      <c r="F109" s="21"/>
      <c r="G109" s="30"/>
      <c r="H109" s="31"/>
      <c r="I109" s="21"/>
      <c r="J109" s="21"/>
      <c r="K109" s="21"/>
      <c r="L109" s="21"/>
      <c r="M109" s="21"/>
      <c r="N109" s="30"/>
      <c r="O109" s="21"/>
      <c r="P109" s="21"/>
      <c r="Q109" s="21"/>
      <c r="R109" s="32"/>
      <c r="S109" s="32"/>
      <c r="T109" s="21"/>
      <c r="U109" s="21"/>
      <c r="V109" s="21"/>
      <c r="W109" s="21"/>
      <c r="X109" s="21"/>
    </row>
    <row r="110" customFormat="false" ht="15.75" hidden="false" customHeight="false" outlineLevel="0" collapsed="false">
      <c r="A110" s="61"/>
      <c r="B110" s="29"/>
      <c r="C110" s="21"/>
      <c r="D110" s="21"/>
      <c r="E110" s="21"/>
      <c r="F110" s="21"/>
      <c r="G110" s="30"/>
      <c r="H110" s="31"/>
      <c r="I110" s="21"/>
      <c r="J110" s="21"/>
      <c r="K110" s="21"/>
      <c r="L110" s="21"/>
      <c r="M110" s="21"/>
      <c r="N110" s="30"/>
      <c r="O110" s="21"/>
      <c r="P110" s="21"/>
      <c r="Q110" s="21"/>
      <c r="R110" s="32"/>
      <c r="S110" s="32"/>
      <c r="T110" s="21"/>
      <c r="U110" s="21"/>
      <c r="V110" s="21"/>
      <c r="W110" s="21"/>
      <c r="X110" s="21"/>
    </row>
    <row r="111" customFormat="false" ht="15.75" hidden="false" customHeight="false" outlineLevel="0" collapsed="false">
      <c r="A111" s="61"/>
      <c r="B111" s="29"/>
      <c r="C111" s="21"/>
      <c r="D111" s="21"/>
      <c r="E111" s="21"/>
      <c r="F111" s="21"/>
      <c r="G111" s="30"/>
      <c r="H111" s="31"/>
      <c r="I111" s="21"/>
      <c r="J111" s="21"/>
      <c r="K111" s="21"/>
      <c r="L111" s="21"/>
      <c r="M111" s="21"/>
      <c r="N111" s="30"/>
      <c r="O111" s="21"/>
      <c r="P111" s="21"/>
      <c r="Q111" s="21"/>
      <c r="R111" s="32"/>
      <c r="S111" s="32"/>
      <c r="T111" s="21"/>
      <c r="U111" s="21"/>
      <c r="V111" s="21"/>
      <c r="W111" s="21"/>
      <c r="X111" s="21"/>
    </row>
    <row r="112" customFormat="false" ht="15.75" hidden="false" customHeight="false" outlineLevel="0" collapsed="false">
      <c r="A112" s="61"/>
      <c r="B112" s="29"/>
      <c r="C112" s="21"/>
      <c r="D112" s="21"/>
      <c r="E112" s="21"/>
      <c r="F112" s="21"/>
      <c r="G112" s="30"/>
      <c r="H112" s="31"/>
      <c r="I112" s="21"/>
      <c r="J112" s="21"/>
      <c r="K112" s="21"/>
      <c r="L112" s="21"/>
      <c r="M112" s="21"/>
      <c r="N112" s="30"/>
      <c r="O112" s="21"/>
      <c r="P112" s="21"/>
      <c r="Q112" s="21"/>
      <c r="R112" s="32"/>
      <c r="S112" s="32"/>
      <c r="T112" s="21"/>
      <c r="U112" s="21"/>
      <c r="V112" s="21"/>
      <c r="W112" s="21"/>
      <c r="X112" s="21"/>
    </row>
    <row r="113" customFormat="false" ht="15.75" hidden="false" customHeight="false" outlineLevel="0" collapsed="false">
      <c r="A113" s="61"/>
      <c r="B113" s="29"/>
      <c r="C113" s="21"/>
      <c r="D113" s="21"/>
      <c r="E113" s="21"/>
      <c r="F113" s="21"/>
      <c r="G113" s="30"/>
      <c r="H113" s="31"/>
      <c r="I113" s="21"/>
      <c r="J113" s="21"/>
      <c r="K113" s="21"/>
      <c r="L113" s="21"/>
      <c r="M113" s="21"/>
      <c r="N113" s="30"/>
      <c r="O113" s="21"/>
      <c r="P113" s="21"/>
      <c r="Q113" s="21"/>
      <c r="R113" s="32"/>
      <c r="S113" s="32"/>
      <c r="T113" s="21"/>
      <c r="U113" s="21"/>
      <c r="V113" s="21"/>
      <c r="W113" s="21"/>
      <c r="X113" s="21"/>
    </row>
    <row r="114" customFormat="false" ht="15.75" hidden="false" customHeight="false" outlineLevel="0" collapsed="false">
      <c r="A114" s="61"/>
      <c r="B114" s="29"/>
      <c r="C114" s="21"/>
      <c r="D114" s="21"/>
      <c r="E114" s="21"/>
      <c r="F114" s="21"/>
      <c r="G114" s="30"/>
      <c r="H114" s="31"/>
      <c r="I114" s="21"/>
      <c r="J114" s="21"/>
      <c r="K114" s="21"/>
      <c r="L114" s="21"/>
      <c r="M114" s="21"/>
      <c r="N114" s="30"/>
      <c r="O114" s="21"/>
      <c r="P114" s="21"/>
      <c r="Q114" s="21"/>
      <c r="R114" s="32"/>
      <c r="S114" s="32"/>
      <c r="T114" s="21"/>
      <c r="U114" s="21"/>
      <c r="V114" s="21"/>
      <c r="W114" s="21"/>
      <c r="X114" s="21"/>
    </row>
    <row r="115" customFormat="false" ht="15.75" hidden="false" customHeight="false" outlineLevel="0" collapsed="false">
      <c r="A115" s="61"/>
      <c r="B115" s="29"/>
      <c r="C115" s="21"/>
      <c r="D115" s="21"/>
      <c r="E115" s="21"/>
      <c r="F115" s="21"/>
      <c r="G115" s="30"/>
      <c r="H115" s="31"/>
      <c r="I115" s="21"/>
      <c r="J115" s="21"/>
      <c r="K115" s="21"/>
      <c r="L115" s="21"/>
      <c r="M115" s="21"/>
      <c r="N115" s="30"/>
      <c r="O115" s="21"/>
      <c r="P115" s="21"/>
      <c r="Q115" s="21"/>
      <c r="R115" s="32"/>
      <c r="S115" s="32"/>
      <c r="T115" s="21"/>
      <c r="U115" s="21"/>
      <c r="V115" s="21"/>
      <c r="W115" s="21"/>
      <c r="X115" s="21"/>
    </row>
    <row r="116" customFormat="false" ht="15.75" hidden="false" customHeight="false" outlineLevel="0" collapsed="false">
      <c r="A116" s="61"/>
      <c r="B116" s="29"/>
      <c r="C116" s="21"/>
      <c r="D116" s="21"/>
      <c r="E116" s="21"/>
      <c r="F116" s="21"/>
      <c r="G116" s="30"/>
      <c r="H116" s="31"/>
      <c r="I116" s="21"/>
      <c r="J116" s="21"/>
      <c r="K116" s="21"/>
      <c r="L116" s="21"/>
      <c r="M116" s="21"/>
      <c r="N116" s="30"/>
      <c r="O116" s="21"/>
      <c r="P116" s="21"/>
      <c r="Q116" s="21"/>
      <c r="R116" s="32"/>
      <c r="S116" s="32"/>
      <c r="T116" s="21"/>
      <c r="U116" s="21"/>
      <c r="V116" s="21"/>
      <c r="W116" s="21"/>
      <c r="X116" s="21"/>
    </row>
    <row r="117" customFormat="false" ht="15.75" hidden="false" customHeight="false" outlineLevel="0" collapsed="false">
      <c r="A117" s="61"/>
      <c r="B117" s="29"/>
      <c r="C117" s="21"/>
      <c r="D117" s="21"/>
      <c r="E117" s="21"/>
      <c r="F117" s="21"/>
      <c r="G117" s="30"/>
      <c r="H117" s="31"/>
      <c r="I117" s="21"/>
      <c r="J117" s="21"/>
      <c r="K117" s="21"/>
      <c r="L117" s="21"/>
      <c r="M117" s="21"/>
      <c r="N117" s="30"/>
      <c r="O117" s="21"/>
      <c r="P117" s="21"/>
      <c r="Q117" s="21"/>
      <c r="R117" s="32"/>
      <c r="S117" s="32"/>
      <c r="T117" s="21"/>
      <c r="U117" s="21"/>
      <c r="V117" s="21"/>
      <c r="W117" s="21"/>
      <c r="X117" s="21"/>
    </row>
    <row r="118" customFormat="false" ht="15.75" hidden="false" customHeight="false" outlineLevel="0" collapsed="false">
      <c r="A118" s="61"/>
      <c r="B118" s="29"/>
      <c r="C118" s="21"/>
      <c r="D118" s="21"/>
      <c r="E118" s="21"/>
      <c r="F118" s="21"/>
      <c r="G118" s="30"/>
      <c r="H118" s="31"/>
      <c r="I118" s="21"/>
      <c r="J118" s="21"/>
      <c r="K118" s="21"/>
      <c r="L118" s="21"/>
      <c r="M118" s="21"/>
      <c r="N118" s="30"/>
      <c r="O118" s="21"/>
      <c r="P118" s="21"/>
      <c r="Q118" s="21"/>
      <c r="R118" s="32"/>
      <c r="S118" s="32"/>
      <c r="T118" s="21"/>
      <c r="U118" s="21"/>
      <c r="V118" s="21"/>
      <c r="W118" s="21"/>
      <c r="X118" s="21"/>
    </row>
    <row r="119" customFormat="false" ht="15.75" hidden="false" customHeight="false" outlineLevel="0" collapsed="false">
      <c r="A119" s="61"/>
      <c r="B119" s="29"/>
      <c r="C119" s="21"/>
      <c r="D119" s="21"/>
      <c r="E119" s="21"/>
      <c r="F119" s="21"/>
      <c r="G119" s="30"/>
      <c r="H119" s="31"/>
      <c r="I119" s="21"/>
      <c r="J119" s="21"/>
      <c r="K119" s="21"/>
      <c r="L119" s="21"/>
      <c r="M119" s="21"/>
      <c r="N119" s="30"/>
      <c r="O119" s="21"/>
      <c r="P119" s="21"/>
      <c r="Q119" s="21"/>
      <c r="R119" s="32"/>
      <c r="S119" s="32"/>
      <c r="T119" s="21"/>
      <c r="U119" s="21"/>
      <c r="V119" s="21"/>
      <c r="W119" s="21"/>
      <c r="X119" s="21"/>
    </row>
    <row r="120" customFormat="false" ht="15.75" hidden="false" customHeight="false" outlineLevel="0" collapsed="false">
      <c r="A120" s="61"/>
      <c r="B120" s="29"/>
      <c r="C120" s="21"/>
      <c r="D120" s="21"/>
      <c r="E120" s="21"/>
      <c r="F120" s="21"/>
      <c r="G120" s="30"/>
      <c r="H120" s="31"/>
      <c r="I120" s="21"/>
      <c r="J120" s="21"/>
      <c r="K120" s="21"/>
      <c r="L120" s="21"/>
      <c r="M120" s="21"/>
      <c r="N120" s="30"/>
      <c r="O120" s="21"/>
      <c r="P120" s="21"/>
      <c r="Q120" s="21"/>
      <c r="R120" s="32"/>
      <c r="S120" s="32"/>
      <c r="T120" s="21"/>
      <c r="U120" s="21"/>
      <c r="V120" s="21"/>
      <c r="W120" s="21"/>
      <c r="X120" s="21"/>
    </row>
    <row r="121" customFormat="false" ht="15.75" hidden="false" customHeight="false" outlineLevel="0" collapsed="false">
      <c r="A121" s="61"/>
      <c r="B121" s="29"/>
      <c r="C121" s="21"/>
      <c r="D121" s="21"/>
      <c r="E121" s="21"/>
      <c r="F121" s="21"/>
      <c r="G121" s="30"/>
      <c r="H121" s="31"/>
      <c r="I121" s="21"/>
      <c r="J121" s="21"/>
      <c r="K121" s="21"/>
      <c r="L121" s="21"/>
      <c r="M121" s="21"/>
      <c r="N121" s="30"/>
      <c r="O121" s="21"/>
      <c r="P121" s="21"/>
      <c r="Q121" s="21"/>
      <c r="R121" s="32"/>
      <c r="S121" s="32"/>
      <c r="T121" s="21"/>
      <c r="U121" s="21"/>
      <c r="V121" s="21"/>
      <c r="W121" s="21"/>
      <c r="X121" s="21"/>
    </row>
    <row r="122" customFormat="false" ht="15.75" hidden="false" customHeight="false" outlineLevel="0" collapsed="false">
      <c r="A122" s="61"/>
      <c r="B122" s="29"/>
      <c r="C122" s="21"/>
      <c r="D122" s="21"/>
      <c r="E122" s="21"/>
      <c r="F122" s="21"/>
      <c r="G122" s="30"/>
      <c r="H122" s="31"/>
      <c r="I122" s="21"/>
      <c r="J122" s="21"/>
      <c r="K122" s="21"/>
      <c r="L122" s="21"/>
      <c r="M122" s="21"/>
      <c r="N122" s="30"/>
      <c r="O122" s="21"/>
      <c r="P122" s="21"/>
      <c r="Q122" s="21"/>
      <c r="R122" s="32"/>
      <c r="S122" s="32"/>
      <c r="T122" s="21"/>
      <c r="U122" s="21"/>
      <c r="V122" s="21"/>
      <c r="W122" s="21"/>
      <c r="X122" s="21"/>
    </row>
    <row r="123" customFormat="false" ht="15.75" hidden="false" customHeight="false" outlineLevel="0" collapsed="false">
      <c r="A123" s="61"/>
      <c r="B123" s="29"/>
      <c r="C123" s="21"/>
      <c r="D123" s="21"/>
      <c r="E123" s="21"/>
      <c r="F123" s="21"/>
      <c r="G123" s="30"/>
      <c r="H123" s="31"/>
      <c r="I123" s="21"/>
      <c r="J123" s="21"/>
      <c r="K123" s="21"/>
      <c r="L123" s="21"/>
      <c r="M123" s="21"/>
      <c r="N123" s="30"/>
      <c r="O123" s="21"/>
      <c r="P123" s="21"/>
      <c r="Q123" s="21"/>
      <c r="R123" s="32"/>
      <c r="S123" s="32"/>
      <c r="T123" s="21"/>
      <c r="U123" s="21"/>
      <c r="V123" s="21"/>
      <c r="W123" s="21"/>
      <c r="X123" s="21"/>
    </row>
    <row r="124" customFormat="false" ht="15.75" hidden="false" customHeight="false" outlineLevel="0" collapsed="false">
      <c r="A124" s="61"/>
      <c r="B124" s="29"/>
      <c r="C124" s="21"/>
      <c r="D124" s="21"/>
      <c r="E124" s="21"/>
      <c r="F124" s="21"/>
      <c r="G124" s="30"/>
      <c r="H124" s="31"/>
      <c r="I124" s="21"/>
      <c r="J124" s="21"/>
      <c r="K124" s="21"/>
      <c r="L124" s="21"/>
      <c r="M124" s="21"/>
      <c r="N124" s="30"/>
      <c r="O124" s="21"/>
      <c r="P124" s="21"/>
      <c r="Q124" s="21"/>
      <c r="R124" s="32"/>
      <c r="S124" s="32"/>
      <c r="T124" s="21"/>
      <c r="U124" s="21"/>
      <c r="V124" s="21"/>
      <c r="W124" s="21"/>
      <c r="X124" s="21"/>
    </row>
    <row r="125" customFormat="false" ht="15.75" hidden="false" customHeight="false" outlineLevel="0" collapsed="false">
      <c r="A125" s="61"/>
      <c r="B125" s="29"/>
      <c r="C125" s="21"/>
      <c r="D125" s="21"/>
      <c r="E125" s="21"/>
      <c r="F125" s="21"/>
      <c r="G125" s="30"/>
      <c r="H125" s="31"/>
      <c r="I125" s="21"/>
      <c r="J125" s="21"/>
      <c r="K125" s="21"/>
      <c r="L125" s="21"/>
      <c r="M125" s="21"/>
      <c r="N125" s="30"/>
      <c r="O125" s="21"/>
      <c r="P125" s="21"/>
      <c r="Q125" s="21"/>
      <c r="R125" s="32"/>
      <c r="S125" s="32"/>
      <c r="T125" s="21"/>
      <c r="U125" s="21"/>
      <c r="V125" s="21"/>
      <c r="W125" s="21"/>
      <c r="X125" s="21"/>
    </row>
    <row r="126" customFormat="false" ht="15.75" hidden="false" customHeight="false" outlineLevel="0" collapsed="false">
      <c r="A126" s="61"/>
      <c r="B126" s="29"/>
      <c r="C126" s="21"/>
      <c r="D126" s="21"/>
      <c r="E126" s="21"/>
      <c r="F126" s="21"/>
      <c r="G126" s="30"/>
      <c r="H126" s="31"/>
      <c r="I126" s="21"/>
      <c r="J126" s="21"/>
      <c r="K126" s="21"/>
      <c r="L126" s="21"/>
      <c r="M126" s="21"/>
      <c r="N126" s="30"/>
      <c r="O126" s="21"/>
      <c r="P126" s="21"/>
      <c r="Q126" s="21"/>
      <c r="R126" s="32"/>
      <c r="S126" s="32"/>
      <c r="T126" s="21"/>
      <c r="U126" s="21"/>
      <c r="V126" s="21"/>
      <c r="W126" s="21"/>
      <c r="X126" s="21"/>
    </row>
    <row r="127" customFormat="false" ht="15.75" hidden="false" customHeight="false" outlineLevel="0" collapsed="false">
      <c r="A127" s="61"/>
      <c r="B127" s="29"/>
      <c r="C127" s="21"/>
      <c r="D127" s="21"/>
      <c r="E127" s="21"/>
      <c r="F127" s="21"/>
      <c r="G127" s="30"/>
      <c r="H127" s="31"/>
      <c r="I127" s="21"/>
      <c r="J127" s="21"/>
      <c r="K127" s="21"/>
      <c r="L127" s="21"/>
      <c r="M127" s="21"/>
      <c r="N127" s="30"/>
      <c r="O127" s="21"/>
      <c r="P127" s="21"/>
      <c r="Q127" s="21"/>
      <c r="R127" s="32"/>
      <c r="S127" s="32"/>
      <c r="T127" s="21"/>
      <c r="U127" s="21"/>
      <c r="V127" s="21"/>
      <c r="W127" s="21"/>
      <c r="X127" s="21"/>
    </row>
    <row r="128" customFormat="false" ht="15.75" hidden="false" customHeight="false" outlineLevel="0" collapsed="false">
      <c r="A128" s="61"/>
      <c r="B128" s="29"/>
      <c r="C128" s="21"/>
      <c r="D128" s="21"/>
      <c r="E128" s="21"/>
      <c r="F128" s="21"/>
      <c r="G128" s="30"/>
      <c r="H128" s="31"/>
      <c r="I128" s="21"/>
      <c r="J128" s="21"/>
      <c r="K128" s="21"/>
      <c r="L128" s="21"/>
      <c r="M128" s="21"/>
      <c r="N128" s="30"/>
      <c r="O128" s="21"/>
      <c r="P128" s="21"/>
      <c r="Q128" s="21"/>
      <c r="R128" s="32"/>
      <c r="S128" s="32"/>
      <c r="T128" s="21"/>
      <c r="U128" s="21"/>
      <c r="V128" s="21"/>
      <c r="W128" s="21"/>
      <c r="X128" s="21"/>
    </row>
    <row r="129" customFormat="false" ht="15.75" hidden="false" customHeight="false" outlineLevel="0" collapsed="false">
      <c r="A129" s="61"/>
      <c r="B129" s="29"/>
      <c r="C129" s="21"/>
      <c r="D129" s="21"/>
      <c r="E129" s="21"/>
      <c r="F129" s="21"/>
      <c r="G129" s="30"/>
      <c r="H129" s="31"/>
      <c r="I129" s="21"/>
      <c r="J129" s="21"/>
      <c r="K129" s="21"/>
      <c r="L129" s="21"/>
      <c r="M129" s="21"/>
      <c r="N129" s="30"/>
      <c r="O129" s="21"/>
      <c r="P129" s="21"/>
      <c r="Q129" s="21"/>
      <c r="R129" s="32"/>
      <c r="S129" s="32"/>
      <c r="T129" s="21"/>
      <c r="U129" s="21"/>
      <c r="V129" s="21"/>
      <c r="W129" s="21"/>
      <c r="X129" s="21"/>
    </row>
    <row r="130" customFormat="false" ht="15.75" hidden="false" customHeight="false" outlineLevel="0" collapsed="false">
      <c r="A130" s="61"/>
      <c r="B130" s="29"/>
      <c r="C130" s="21"/>
      <c r="D130" s="21"/>
      <c r="E130" s="21"/>
      <c r="F130" s="21"/>
      <c r="G130" s="30"/>
      <c r="H130" s="31"/>
      <c r="I130" s="21"/>
      <c r="J130" s="21"/>
      <c r="K130" s="21"/>
      <c r="L130" s="21"/>
      <c r="M130" s="21"/>
      <c r="N130" s="30"/>
      <c r="O130" s="21"/>
      <c r="P130" s="21"/>
      <c r="Q130" s="21"/>
      <c r="R130" s="32"/>
      <c r="S130" s="32"/>
      <c r="T130" s="21"/>
      <c r="U130" s="21"/>
      <c r="V130" s="21"/>
      <c r="W130" s="21"/>
      <c r="X130" s="21"/>
    </row>
    <row r="131" customFormat="false" ht="15.75" hidden="false" customHeight="false" outlineLevel="0" collapsed="false">
      <c r="A131" s="61"/>
      <c r="B131" s="29"/>
      <c r="C131" s="21"/>
      <c r="D131" s="21"/>
      <c r="E131" s="21"/>
      <c r="F131" s="21"/>
      <c r="G131" s="30"/>
      <c r="H131" s="31"/>
      <c r="I131" s="21"/>
      <c r="J131" s="21"/>
      <c r="K131" s="21"/>
      <c r="L131" s="21"/>
      <c r="M131" s="21"/>
      <c r="N131" s="30"/>
      <c r="O131" s="21"/>
      <c r="P131" s="21"/>
      <c r="Q131" s="21"/>
      <c r="R131" s="32"/>
      <c r="S131" s="32"/>
      <c r="T131" s="21"/>
      <c r="U131" s="21"/>
      <c r="V131" s="21"/>
      <c r="W131" s="21"/>
      <c r="X131" s="21"/>
    </row>
    <row r="132" customFormat="false" ht="15.75" hidden="false" customHeight="false" outlineLevel="0" collapsed="false">
      <c r="A132" s="61"/>
      <c r="B132" s="29"/>
      <c r="C132" s="21"/>
      <c r="D132" s="21"/>
      <c r="E132" s="21"/>
      <c r="F132" s="21"/>
      <c r="G132" s="30"/>
      <c r="H132" s="31"/>
      <c r="I132" s="21"/>
      <c r="J132" s="21"/>
      <c r="K132" s="21"/>
      <c r="L132" s="21"/>
      <c r="M132" s="21"/>
      <c r="N132" s="30"/>
      <c r="O132" s="21"/>
      <c r="P132" s="21"/>
      <c r="Q132" s="21"/>
      <c r="R132" s="32"/>
      <c r="S132" s="32"/>
      <c r="T132" s="21"/>
      <c r="U132" s="21"/>
      <c r="V132" s="21"/>
      <c r="W132" s="21"/>
      <c r="X132" s="21"/>
    </row>
    <row r="133" customFormat="false" ht="15.75" hidden="false" customHeight="false" outlineLevel="0" collapsed="false">
      <c r="A133" s="61"/>
      <c r="B133" s="29"/>
      <c r="C133" s="21"/>
      <c r="D133" s="21"/>
      <c r="E133" s="21"/>
      <c r="F133" s="21"/>
      <c r="G133" s="30"/>
      <c r="H133" s="31"/>
      <c r="I133" s="21"/>
      <c r="J133" s="21"/>
      <c r="K133" s="21"/>
      <c r="L133" s="21"/>
      <c r="M133" s="21"/>
      <c r="N133" s="30"/>
      <c r="O133" s="21"/>
      <c r="P133" s="21"/>
      <c r="Q133" s="21"/>
      <c r="R133" s="32"/>
      <c r="S133" s="32"/>
      <c r="T133" s="21"/>
      <c r="U133" s="21"/>
      <c r="V133" s="21"/>
      <c r="W133" s="21"/>
      <c r="X133" s="21"/>
    </row>
    <row r="134" customFormat="false" ht="15.75" hidden="false" customHeight="false" outlineLevel="0" collapsed="false">
      <c r="A134" s="61"/>
      <c r="B134" s="29"/>
      <c r="C134" s="21"/>
      <c r="D134" s="21"/>
      <c r="E134" s="21"/>
      <c r="F134" s="21"/>
      <c r="G134" s="30"/>
      <c r="H134" s="31"/>
      <c r="I134" s="21"/>
      <c r="J134" s="21"/>
      <c r="K134" s="21"/>
      <c r="L134" s="21"/>
      <c r="M134" s="21"/>
      <c r="N134" s="30"/>
      <c r="O134" s="21"/>
      <c r="P134" s="21"/>
      <c r="Q134" s="21"/>
      <c r="R134" s="32"/>
      <c r="S134" s="32"/>
      <c r="T134" s="21"/>
      <c r="U134" s="21"/>
      <c r="V134" s="21"/>
      <c r="W134" s="21"/>
      <c r="X134" s="21"/>
    </row>
    <row r="135" customFormat="false" ht="15.75" hidden="false" customHeight="false" outlineLevel="0" collapsed="false">
      <c r="A135" s="61"/>
      <c r="B135" s="29"/>
      <c r="C135" s="21"/>
      <c r="D135" s="21"/>
      <c r="E135" s="21"/>
      <c r="F135" s="21"/>
      <c r="G135" s="30"/>
      <c r="H135" s="31"/>
      <c r="I135" s="21"/>
      <c r="J135" s="21"/>
      <c r="K135" s="21"/>
      <c r="L135" s="21"/>
      <c r="M135" s="21"/>
      <c r="N135" s="30"/>
      <c r="O135" s="21"/>
      <c r="P135" s="21"/>
      <c r="Q135" s="21"/>
      <c r="R135" s="32"/>
      <c r="S135" s="32"/>
      <c r="T135" s="21"/>
      <c r="U135" s="21"/>
      <c r="V135" s="21"/>
      <c r="W135" s="21"/>
      <c r="X135" s="21"/>
    </row>
    <row r="136" customFormat="false" ht="15.75" hidden="false" customHeight="false" outlineLevel="0" collapsed="false">
      <c r="A136" s="61"/>
      <c r="B136" s="29"/>
      <c r="C136" s="21"/>
      <c r="D136" s="21"/>
      <c r="E136" s="21"/>
      <c r="F136" s="21"/>
      <c r="G136" s="30"/>
      <c r="H136" s="31"/>
      <c r="I136" s="21"/>
      <c r="J136" s="21"/>
      <c r="K136" s="21"/>
      <c r="L136" s="21"/>
      <c r="M136" s="21"/>
      <c r="N136" s="30"/>
      <c r="O136" s="21"/>
      <c r="P136" s="21"/>
      <c r="Q136" s="21"/>
      <c r="R136" s="32"/>
      <c r="S136" s="32"/>
      <c r="T136" s="21"/>
      <c r="U136" s="21"/>
      <c r="V136" s="21"/>
      <c r="W136" s="21"/>
      <c r="X136" s="21"/>
    </row>
    <row r="137" customFormat="false" ht="15.75" hidden="false" customHeight="false" outlineLevel="0" collapsed="false">
      <c r="A137" s="61"/>
      <c r="B137" s="29"/>
      <c r="C137" s="21"/>
      <c r="D137" s="21"/>
      <c r="E137" s="21"/>
      <c r="F137" s="21"/>
      <c r="G137" s="30"/>
      <c r="H137" s="31"/>
      <c r="I137" s="21"/>
      <c r="J137" s="21"/>
      <c r="K137" s="21"/>
      <c r="L137" s="21"/>
      <c r="M137" s="21"/>
      <c r="N137" s="30"/>
      <c r="O137" s="21"/>
      <c r="P137" s="21"/>
      <c r="Q137" s="21"/>
      <c r="R137" s="32"/>
      <c r="S137" s="32"/>
      <c r="T137" s="21"/>
      <c r="U137" s="21"/>
      <c r="V137" s="21"/>
      <c r="W137" s="21"/>
      <c r="X137" s="21"/>
    </row>
    <row r="138" customFormat="false" ht="15.75" hidden="false" customHeight="false" outlineLevel="0" collapsed="false">
      <c r="A138" s="61"/>
      <c r="B138" s="29"/>
      <c r="C138" s="21"/>
      <c r="D138" s="21"/>
      <c r="E138" s="21"/>
      <c r="F138" s="21"/>
      <c r="G138" s="30"/>
      <c r="H138" s="31"/>
      <c r="I138" s="21"/>
      <c r="J138" s="21"/>
      <c r="K138" s="21"/>
      <c r="L138" s="21"/>
      <c r="M138" s="21"/>
      <c r="N138" s="30"/>
      <c r="O138" s="21"/>
      <c r="P138" s="21"/>
      <c r="Q138" s="21"/>
      <c r="R138" s="32"/>
      <c r="S138" s="32"/>
      <c r="T138" s="21"/>
      <c r="U138" s="21"/>
      <c r="V138" s="21"/>
      <c r="W138" s="21"/>
      <c r="X138" s="21"/>
    </row>
    <row r="139" customFormat="false" ht="15.75" hidden="false" customHeight="false" outlineLevel="0" collapsed="false">
      <c r="A139" s="61"/>
      <c r="B139" s="29"/>
      <c r="C139" s="21"/>
      <c r="D139" s="21"/>
      <c r="E139" s="21"/>
      <c r="F139" s="21"/>
      <c r="G139" s="30"/>
      <c r="H139" s="31"/>
      <c r="I139" s="21"/>
      <c r="J139" s="21"/>
      <c r="K139" s="21"/>
      <c r="L139" s="21"/>
      <c r="M139" s="21"/>
      <c r="N139" s="30"/>
      <c r="O139" s="21"/>
      <c r="P139" s="21"/>
      <c r="Q139" s="21"/>
      <c r="R139" s="32"/>
      <c r="S139" s="32"/>
      <c r="T139" s="21"/>
      <c r="U139" s="21"/>
      <c r="V139" s="21"/>
      <c r="W139" s="21"/>
      <c r="X139" s="21"/>
    </row>
    <row r="140" customFormat="false" ht="15.75" hidden="false" customHeight="false" outlineLevel="0" collapsed="false">
      <c r="A140" s="61"/>
      <c r="B140" s="29"/>
      <c r="C140" s="21"/>
      <c r="D140" s="21"/>
      <c r="E140" s="21"/>
      <c r="F140" s="21"/>
      <c r="G140" s="30"/>
      <c r="H140" s="31"/>
      <c r="I140" s="21"/>
      <c r="J140" s="21"/>
      <c r="K140" s="21"/>
      <c r="L140" s="21"/>
      <c r="M140" s="21"/>
      <c r="N140" s="30"/>
      <c r="O140" s="21"/>
      <c r="P140" s="21"/>
      <c r="Q140" s="21"/>
      <c r="R140" s="32"/>
      <c r="S140" s="32"/>
      <c r="T140" s="21"/>
      <c r="U140" s="21"/>
      <c r="V140" s="21"/>
      <c r="W140" s="21"/>
      <c r="X140" s="21"/>
    </row>
    <row r="141" customFormat="false" ht="15.75" hidden="false" customHeight="false" outlineLevel="0" collapsed="false">
      <c r="A141" s="61"/>
      <c r="B141" s="29"/>
      <c r="C141" s="21"/>
      <c r="D141" s="21"/>
      <c r="E141" s="21"/>
      <c r="F141" s="21"/>
      <c r="G141" s="30"/>
      <c r="H141" s="31"/>
      <c r="I141" s="21"/>
      <c r="J141" s="21"/>
      <c r="K141" s="21"/>
      <c r="L141" s="21"/>
      <c r="M141" s="21"/>
      <c r="N141" s="30"/>
      <c r="O141" s="21"/>
      <c r="P141" s="21"/>
      <c r="Q141" s="21"/>
      <c r="R141" s="32"/>
      <c r="S141" s="32"/>
      <c r="T141" s="21"/>
      <c r="U141" s="21"/>
      <c r="V141" s="21"/>
      <c r="W141" s="21"/>
      <c r="X141" s="21"/>
    </row>
    <row r="142" customFormat="false" ht="15.75" hidden="false" customHeight="false" outlineLevel="0" collapsed="false">
      <c r="A142" s="61"/>
      <c r="B142" s="29"/>
      <c r="C142" s="21"/>
      <c r="D142" s="21"/>
      <c r="E142" s="21"/>
      <c r="F142" s="21"/>
      <c r="G142" s="30"/>
      <c r="H142" s="31"/>
      <c r="I142" s="21"/>
      <c r="J142" s="21"/>
      <c r="K142" s="21"/>
      <c r="L142" s="21"/>
      <c r="M142" s="21"/>
      <c r="N142" s="30"/>
      <c r="O142" s="21"/>
      <c r="P142" s="21"/>
      <c r="Q142" s="21"/>
      <c r="R142" s="32"/>
      <c r="S142" s="32"/>
      <c r="T142" s="21"/>
      <c r="U142" s="21"/>
      <c r="V142" s="21"/>
      <c r="W142" s="21"/>
      <c r="X142" s="21"/>
    </row>
    <row r="143" customFormat="false" ht="15.75" hidden="false" customHeight="false" outlineLevel="0" collapsed="false">
      <c r="A143" s="61"/>
      <c r="B143" s="29"/>
      <c r="C143" s="21"/>
      <c r="D143" s="21"/>
      <c r="E143" s="21"/>
      <c r="F143" s="21"/>
      <c r="G143" s="30"/>
      <c r="H143" s="31"/>
      <c r="I143" s="21"/>
      <c r="J143" s="21"/>
      <c r="K143" s="21"/>
      <c r="L143" s="21"/>
      <c r="M143" s="21"/>
      <c r="N143" s="30"/>
      <c r="O143" s="21"/>
      <c r="P143" s="21"/>
      <c r="Q143" s="21"/>
      <c r="R143" s="32"/>
      <c r="S143" s="32"/>
      <c r="T143" s="21"/>
      <c r="U143" s="21"/>
      <c r="V143" s="21"/>
      <c r="W143" s="21"/>
      <c r="X143" s="21"/>
    </row>
    <row r="144" customFormat="false" ht="15.75" hidden="false" customHeight="false" outlineLevel="0" collapsed="false">
      <c r="A144" s="61"/>
      <c r="B144" s="29"/>
      <c r="C144" s="21"/>
      <c r="D144" s="21"/>
      <c r="E144" s="21"/>
      <c r="F144" s="21"/>
      <c r="G144" s="30"/>
      <c r="H144" s="31"/>
      <c r="I144" s="21"/>
      <c r="J144" s="21"/>
      <c r="K144" s="21"/>
      <c r="L144" s="21"/>
      <c r="M144" s="21"/>
      <c r="N144" s="30"/>
      <c r="O144" s="21"/>
      <c r="P144" s="21"/>
      <c r="Q144" s="21"/>
      <c r="R144" s="32"/>
      <c r="S144" s="32"/>
      <c r="T144" s="21"/>
      <c r="U144" s="21"/>
      <c r="V144" s="21"/>
      <c r="W144" s="21"/>
      <c r="X144" s="21"/>
    </row>
    <row r="145" customFormat="false" ht="15.75" hidden="false" customHeight="false" outlineLevel="0" collapsed="false">
      <c r="A145" s="61"/>
      <c r="B145" s="29"/>
      <c r="C145" s="21"/>
      <c r="D145" s="21"/>
      <c r="E145" s="21"/>
      <c r="F145" s="21"/>
      <c r="G145" s="30"/>
      <c r="H145" s="31"/>
      <c r="I145" s="21"/>
      <c r="J145" s="21"/>
      <c r="K145" s="21"/>
      <c r="L145" s="21"/>
      <c r="M145" s="21"/>
      <c r="N145" s="30"/>
      <c r="O145" s="21"/>
      <c r="P145" s="21"/>
      <c r="Q145" s="21"/>
      <c r="R145" s="32"/>
      <c r="S145" s="32"/>
      <c r="T145" s="21"/>
      <c r="U145" s="21"/>
      <c r="V145" s="21"/>
      <c r="W145" s="21"/>
      <c r="X145" s="21"/>
    </row>
    <row r="146" customFormat="false" ht="15.75" hidden="false" customHeight="false" outlineLevel="0" collapsed="false">
      <c r="A146" s="61"/>
      <c r="B146" s="29"/>
      <c r="C146" s="21"/>
      <c r="D146" s="21"/>
      <c r="E146" s="21"/>
      <c r="F146" s="21"/>
      <c r="G146" s="30"/>
      <c r="H146" s="31"/>
      <c r="I146" s="21"/>
      <c r="J146" s="21"/>
      <c r="K146" s="21"/>
      <c r="L146" s="21"/>
      <c r="M146" s="21"/>
      <c r="N146" s="30"/>
      <c r="O146" s="21"/>
      <c r="P146" s="21"/>
      <c r="Q146" s="21"/>
      <c r="R146" s="32"/>
      <c r="S146" s="32"/>
      <c r="T146" s="21"/>
      <c r="U146" s="21"/>
      <c r="V146" s="21"/>
      <c r="W146" s="21"/>
      <c r="X146" s="21"/>
    </row>
    <row r="147" customFormat="false" ht="15.75" hidden="false" customHeight="false" outlineLevel="0" collapsed="false">
      <c r="A147" s="61"/>
      <c r="B147" s="29"/>
      <c r="C147" s="21"/>
      <c r="D147" s="21"/>
      <c r="E147" s="21"/>
      <c r="F147" s="21"/>
      <c r="G147" s="30"/>
      <c r="H147" s="31"/>
      <c r="I147" s="21"/>
      <c r="J147" s="21"/>
      <c r="K147" s="21"/>
      <c r="L147" s="21"/>
      <c r="M147" s="21"/>
      <c r="N147" s="30"/>
      <c r="O147" s="21"/>
      <c r="P147" s="21"/>
      <c r="Q147" s="21"/>
      <c r="R147" s="32"/>
      <c r="S147" s="32"/>
      <c r="T147" s="21"/>
      <c r="U147" s="21"/>
      <c r="V147" s="21"/>
      <c r="W147" s="21"/>
      <c r="X147" s="21"/>
    </row>
    <row r="148" customFormat="false" ht="15.75" hidden="false" customHeight="false" outlineLevel="0" collapsed="false">
      <c r="A148" s="61"/>
      <c r="B148" s="29"/>
      <c r="C148" s="21"/>
      <c r="D148" s="21"/>
      <c r="E148" s="21"/>
      <c r="F148" s="21"/>
      <c r="G148" s="30"/>
      <c r="H148" s="31"/>
      <c r="I148" s="21"/>
      <c r="J148" s="21"/>
      <c r="K148" s="21"/>
      <c r="L148" s="21"/>
      <c r="M148" s="21"/>
      <c r="N148" s="30"/>
      <c r="O148" s="21"/>
      <c r="P148" s="21"/>
      <c r="Q148" s="21"/>
      <c r="R148" s="32"/>
      <c r="S148" s="32"/>
      <c r="T148" s="21"/>
      <c r="U148" s="21"/>
      <c r="V148" s="21"/>
      <c r="W148" s="21"/>
      <c r="X148" s="21"/>
    </row>
    <row r="149" customFormat="false" ht="15.75" hidden="false" customHeight="false" outlineLevel="0" collapsed="false">
      <c r="A149" s="61"/>
      <c r="B149" s="29"/>
      <c r="C149" s="21"/>
      <c r="D149" s="21"/>
      <c r="E149" s="21"/>
      <c r="F149" s="21"/>
      <c r="G149" s="30"/>
      <c r="H149" s="31"/>
      <c r="I149" s="21"/>
      <c r="J149" s="21"/>
      <c r="K149" s="21"/>
      <c r="L149" s="21"/>
      <c r="M149" s="21"/>
      <c r="N149" s="30"/>
      <c r="O149" s="21"/>
      <c r="P149" s="21"/>
      <c r="Q149" s="21"/>
      <c r="R149" s="32"/>
      <c r="S149" s="32"/>
      <c r="T149" s="21"/>
      <c r="U149" s="21"/>
      <c r="V149" s="21"/>
      <c r="W149" s="21"/>
      <c r="X149" s="21"/>
    </row>
    <row r="150" customFormat="false" ht="15.75" hidden="false" customHeight="false" outlineLevel="0" collapsed="false">
      <c r="A150" s="61"/>
      <c r="B150" s="29"/>
      <c r="C150" s="21"/>
      <c r="D150" s="21"/>
      <c r="E150" s="21"/>
      <c r="F150" s="21"/>
      <c r="G150" s="30"/>
      <c r="H150" s="31"/>
      <c r="I150" s="21"/>
      <c r="J150" s="21"/>
      <c r="K150" s="21"/>
      <c r="L150" s="21"/>
      <c r="M150" s="21"/>
      <c r="N150" s="30"/>
      <c r="O150" s="21"/>
      <c r="P150" s="21"/>
      <c r="Q150" s="21"/>
      <c r="R150" s="32"/>
      <c r="S150" s="32"/>
      <c r="T150" s="21"/>
      <c r="U150" s="21"/>
      <c r="V150" s="21"/>
      <c r="W150" s="21"/>
      <c r="X150" s="21"/>
    </row>
    <row r="151" customFormat="false" ht="15.75" hidden="false" customHeight="false" outlineLevel="0" collapsed="false">
      <c r="A151" s="61"/>
      <c r="B151" s="29"/>
      <c r="C151" s="21"/>
      <c r="D151" s="21"/>
      <c r="E151" s="21"/>
      <c r="F151" s="21"/>
      <c r="G151" s="30"/>
      <c r="H151" s="31"/>
      <c r="I151" s="21"/>
      <c r="J151" s="21"/>
      <c r="K151" s="21"/>
      <c r="L151" s="21"/>
      <c r="M151" s="21"/>
      <c r="N151" s="30"/>
      <c r="O151" s="21"/>
      <c r="P151" s="21"/>
      <c r="Q151" s="21"/>
      <c r="R151" s="32"/>
      <c r="S151" s="32"/>
      <c r="T151" s="21"/>
      <c r="U151" s="21"/>
      <c r="V151" s="21"/>
      <c r="W151" s="21"/>
      <c r="X151" s="21"/>
    </row>
    <row r="152" customFormat="false" ht="15.75" hidden="false" customHeight="false" outlineLevel="0" collapsed="false">
      <c r="A152" s="61"/>
      <c r="B152" s="29"/>
      <c r="C152" s="21"/>
      <c r="D152" s="21"/>
      <c r="E152" s="21"/>
      <c r="F152" s="21"/>
      <c r="G152" s="30"/>
      <c r="H152" s="31"/>
      <c r="I152" s="21"/>
      <c r="J152" s="21"/>
      <c r="K152" s="21"/>
      <c r="L152" s="21"/>
      <c r="M152" s="21"/>
      <c r="N152" s="30"/>
      <c r="O152" s="21"/>
      <c r="P152" s="21"/>
      <c r="Q152" s="21"/>
      <c r="R152" s="32"/>
      <c r="S152" s="32"/>
      <c r="T152" s="21"/>
      <c r="U152" s="21"/>
      <c r="V152" s="21"/>
      <c r="W152" s="21"/>
      <c r="X152" s="21"/>
    </row>
    <row r="153" customFormat="false" ht="15.75" hidden="false" customHeight="false" outlineLevel="0" collapsed="false">
      <c r="A153" s="61"/>
      <c r="B153" s="29"/>
      <c r="C153" s="21"/>
      <c r="D153" s="21"/>
      <c r="E153" s="21"/>
      <c r="F153" s="21"/>
      <c r="G153" s="30"/>
      <c r="H153" s="31"/>
      <c r="I153" s="21"/>
      <c r="J153" s="21"/>
      <c r="K153" s="21"/>
      <c r="L153" s="21"/>
      <c r="M153" s="21"/>
      <c r="N153" s="30"/>
      <c r="O153" s="21"/>
      <c r="P153" s="21"/>
      <c r="Q153" s="21"/>
      <c r="R153" s="32"/>
      <c r="S153" s="32"/>
      <c r="T153" s="21"/>
      <c r="U153" s="21"/>
      <c r="V153" s="21"/>
      <c r="W153" s="21"/>
      <c r="X153" s="21"/>
    </row>
    <row r="154" customFormat="false" ht="15.75" hidden="false" customHeight="false" outlineLevel="0" collapsed="false">
      <c r="A154" s="61"/>
      <c r="B154" s="29"/>
      <c r="C154" s="21"/>
      <c r="D154" s="21"/>
      <c r="E154" s="21"/>
      <c r="F154" s="21"/>
      <c r="G154" s="30"/>
      <c r="H154" s="31"/>
      <c r="I154" s="21"/>
      <c r="J154" s="21"/>
      <c r="K154" s="21"/>
      <c r="L154" s="21"/>
      <c r="M154" s="21"/>
      <c r="N154" s="30"/>
      <c r="O154" s="21"/>
      <c r="P154" s="21"/>
      <c r="Q154" s="21"/>
      <c r="R154" s="32"/>
      <c r="S154" s="32"/>
      <c r="T154" s="21"/>
      <c r="U154" s="21"/>
      <c r="V154" s="21"/>
      <c r="W154" s="21"/>
      <c r="X154" s="21"/>
    </row>
    <row r="155" customFormat="false" ht="15.75" hidden="false" customHeight="false" outlineLevel="0" collapsed="false">
      <c r="A155" s="61"/>
      <c r="B155" s="29"/>
      <c r="C155" s="21"/>
      <c r="D155" s="21"/>
      <c r="E155" s="21"/>
      <c r="F155" s="21"/>
      <c r="G155" s="30"/>
      <c r="H155" s="31"/>
      <c r="I155" s="21"/>
      <c r="J155" s="21"/>
      <c r="K155" s="21"/>
      <c r="L155" s="21"/>
      <c r="M155" s="21"/>
      <c r="N155" s="30"/>
      <c r="O155" s="21"/>
      <c r="P155" s="21"/>
      <c r="Q155" s="21"/>
      <c r="R155" s="32"/>
      <c r="S155" s="32"/>
      <c r="T155" s="21"/>
      <c r="U155" s="21"/>
      <c r="V155" s="21"/>
      <c r="W155" s="21"/>
      <c r="X155" s="21"/>
    </row>
    <row r="156" customFormat="false" ht="15.75" hidden="false" customHeight="false" outlineLevel="0" collapsed="false">
      <c r="A156" s="61"/>
      <c r="B156" s="29"/>
      <c r="C156" s="21"/>
      <c r="D156" s="21"/>
      <c r="E156" s="21"/>
      <c r="F156" s="21"/>
      <c r="G156" s="30"/>
      <c r="H156" s="31"/>
      <c r="I156" s="21"/>
      <c r="J156" s="21"/>
      <c r="K156" s="21"/>
      <c r="L156" s="21"/>
      <c r="M156" s="21"/>
      <c r="N156" s="30"/>
      <c r="O156" s="21"/>
      <c r="P156" s="21"/>
      <c r="Q156" s="21"/>
      <c r="R156" s="32"/>
      <c r="S156" s="32"/>
      <c r="T156" s="21"/>
      <c r="U156" s="21"/>
      <c r="V156" s="21"/>
      <c r="W156" s="21"/>
      <c r="X156" s="21"/>
    </row>
    <row r="157" customFormat="false" ht="15.75" hidden="false" customHeight="false" outlineLevel="0" collapsed="false">
      <c r="A157" s="61"/>
      <c r="B157" s="29"/>
      <c r="C157" s="21"/>
      <c r="D157" s="21"/>
      <c r="E157" s="21"/>
      <c r="F157" s="21"/>
      <c r="G157" s="30"/>
      <c r="H157" s="31"/>
      <c r="I157" s="21"/>
      <c r="J157" s="21"/>
      <c r="K157" s="21"/>
      <c r="L157" s="21"/>
      <c r="M157" s="21"/>
      <c r="N157" s="30"/>
      <c r="O157" s="21"/>
      <c r="P157" s="21"/>
      <c r="Q157" s="21"/>
      <c r="R157" s="32"/>
      <c r="S157" s="32"/>
      <c r="T157" s="21"/>
      <c r="U157" s="21"/>
      <c r="V157" s="21"/>
      <c r="W157" s="21"/>
      <c r="X157" s="21"/>
    </row>
    <row r="158" customFormat="false" ht="15.75" hidden="false" customHeight="false" outlineLevel="0" collapsed="false">
      <c r="A158" s="61"/>
      <c r="B158" s="29"/>
      <c r="C158" s="21"/>
      <c r="D158" s="21"/>
      <c r="E158" s="21"/>
      <c r="F158" s="21"/>
      <c r="G158" s="30"/>
      <c r="H158" s="31"/>
      <c r="I158" s="21"/>
      <c r="J158" s="21"/>
      <c r="K158" s="21"/>
      <c r="L158" s="21"/>
      <c r="M158" s="21"/>
      <c r="N158" s="30"/>
      <c r="O158" s="21"/>
      <c r="P158" s="21"/>
      <c r="Q158" s="21"/>
      <c r="R158" s="32"/>
      <c r="S158" s="32"/>
      <c r="T158" s="21"/>
      <c r="U158" s="21"/>
      <c r="V158" s="21"/>
      <c r="W158" s="21"/>
      <c r="X158" s="21"/>
    </row>
    <row r="159" customFormat="false" ht="15.75" hidden="false" customHeight="false" outlineLevel="0" collapsed="false">
      <c r="A159" s="61"/>
      <c r="B159" s="29"/>
      <c r="C159" s="21"/>
      <c r="D159" s="21"/>
      <c r="E159" s="21"/>
      <c r="F159" s="21"/>
      <c r="G159" s="30"/>
      <c r="H159" s="31"/>
      <c r="I159" s="21"/>
      <c r="J159" s="21"/>
      <c r="K159" s="21"/>
      <c r="L159" s="21"/>
      <c r="M159" s="21"/>
      <c r="N159" s="30"/>
      <c r="O159" s="21"/>
      <c r="P159" s="21"/>
      <c r="Q159" s="21"/>
      <c r="R159" s="32"/>
      <c r="S159" s="32"/>
      <c r="T159" s="21"/>
      <c r="U159" s="21"/>
      <c r="V159" s="21"/>
      <c r="W159" s="21"/>
      <c r="X159" s="21"/>
    </row>
    <row r="160" customFormat="false" ht="15.75" hidden="false" customHeight="false" outlineLevel="0" collapsed="false">
      <c r="A160" s="61"/>
      <c r="B160" s="29"/>
      <c r="C160" s="21"/>
      <c r="D160" s="21"/>
      <c r="E160" s="21"/>
      <c r="F160" s="21"/>
      <c r="G160" s="30"/>
      <c r="H160" s="31"/>
      <c r="I160" s="21"/>
      <c r="J160" s="21"/>
      <c r="K160" s="21"/>
      <c r="L160" s="21"/>
      <c r="M160" s="21"/>
      <c r="N160" s="30"/>
      <c r="O160" s="21"/>
      <c r="P160" s="21"/>
      <c r="Q160" s="21"/>
      <c r="R160" s="32"/>
      <c r="S160" s="32"/>
      <c r="T160" s="21"/>
      <c r="U160" s="21"/>
      <c r="V160" s="21"/>
      <c r="W160" s="21"/>
      <c r="X160" s="21"/>
    </row>
    <row r="161" customFormat="false" ht="15.75" hidden="false" customHeight="false" outlineLevel="0" collapsed="false">
      <c r="A161" s="61"/>
      <c r="B161" s="29"/>
      <c r="C161" s="21"/>
      <c r="D161" s="21"/>
      <c r="E161" s="21"/>
      <c r="F161" s="21"/>
      <c r="G161" s="30"/>
      <c r="H161" s="31"/>
      <c r="I161" s="21"/>
      <c r="J161" s="21"/>
      <c r="K161" s="21"/>
      <c r="L161" s="21"/>
      <c r="M161" s="21"/>
      <c r="N161" s="30"/>
      <c r="O161" s="21"/>
      <c r="P161" s="21"/>
      <c r="Q161" s="21"/>
      <c r="R161" s="32"/>
      <c r="S161" s="32"/>
      <c r="T161" s="21"/>
      <c r="U161" s="21"/>
      <c r="V161" s="21"/>
      <c r="W161" s="21"/>
      <c r="X161" s="21"/>
    </row>
    <row r="162" customFormat="false" ht="15.75" hidden="false" customHeight="false" outlineLevel="0" collapsed="false">
      <c r="A162" s="61"/>
      <c r="B162" s="29"/>
      <c r="C162" s="21"/>
      <c r="D162" s="21"/>
      <c r="E162" s="21"/>
      <c r="F162" s="21"/>
      <c r="G162" s="30"/>
      <c r="H162" s="31"/>
      <c r="I162" s="21"/>
      <c r="J162" s="21"/>
      <c r="K162" s="21"/>
      <c r="L162" s="21"/>
      <c r="M162" s="21"/>
      <c r="N162" s="30"/>
      <c r="O162" s="21"/>
      <c r="P162" s="21"/>
      <c r="Q162" s="21"/>
      <c r="R162" s="32"/>
      <c r="S162" s="32"/>
      <c r="T162" s="21"/>
      <c r="U162" s="21"/>
      <c r="V162" s="21"/>
      <c r="W162" s="21"/>
      <c r="X162" s="21"/>
    </row>
    <row r="163" customFormat="false" ht="15.75" hidden="false" customHeight="false" outlineLevel="0" collapsed="false">
      <c r="A163" s="61"/>
      <c r="B163" s="29"/>
      <c r="C163" s="21"/>
      <c r="D163" s="21"/>
      <c r="E163" s="21"/>
      <c r="F163" s="21"/>
      <c r="G163" s="30"/>
      <c r="H163" s="31"/>
      <c r="I163" s="21"/>
      <c r="J163" s="21"/>
      <c r="K163" s="21"/>
      <c r="L163" s="21"/>
      <c r="M163" s="21"/>
      <c r="N163" s="30"/>
      <c r="O163" s="21"/>
      <c r="P163" s="21"/>
      <c r="Q163" s="21"/>
      <c r="R163" s="32"/>
      <c r="S163" s="32"/>
      <c r="T163" s="21"/>
      <c r="U163" s="21"/>
      <c r="V163" s="21"/>
      <c r="W163" s="21"/>
      <c r="X163" s="21"/>
    </row>
    <row r="164" customFormat="false" ht="15.75" hidden="false" customHeight="false" outlineLevel="0" collapsed="false">
      <c r="A164" s="61"/>
      <c r="B164" s="29"/>
      <c r="C164" s="21"/>
      <c r="D164" s="21"/>
      <c r="E164" s="21"/>
      <c r="F164" s="21"/>
      <c r="G164" s="30"/>
      <c r="H164" s="31"/>
      <c r="I164" s="21"/>
      <c r="J164" s="21"/>
      <c r="K164" s="21"/>
      <c r="L164" s="21"/>
      <c r="M164" s="21"/>
      <c r="N164" s="30"/>
      <c r="O164" s="21"/>
      <c r="P164" s="21"/>
      <c r="Q164" s="21"/>
      <c r="R164" s="32"/>
      <c r="S164" s="32"/>
      <c r="T164" s="21"/>
      <c r="U164" s="21"/>
      <c r="V164" s="21"/>
      <c r="W164" s="21"/>
      <c r="X164" s="21"/>
    </row>
    <row r="165" customFormat="false" ht="15.75" hidden="false" customHeight="false" outlineLevel="0" collapsed="false">
      <c r="A165" s="61"/>
      <c r="B165" s="29"/>
      <c r="C165" s="21"/>
      <c r="D165" s="21"/>
      <c r="E165" s="21"/>
      <c r="F165" s="21"/>
      <c r="G165" s="30"/>
      <c r="H165" s="31"/>
      <c r="I165" s="21"/>
      <c r="J165" s="21"/>
      <c r="K165" s="21"/>
      <c r="L165" s="21"/>
      <c r="M165" s="21"/>
      <c r="N165" s="30"/>
      <c r="O165" s="21"/>
      <c r="P165" s="21"/>
      <c r="Q165" s="21"/>
      <c r="R165" s="32"/>
      <c r="S165" s="32"/>
      <c r="T165" s="21"/>
      <c r="U165" s="21"/>
      <c r="V165" s="21"/>
      <c r="W165" s="21"/>
      <c r="X165" s="21"/>
    </row>
    <row r="166" customFormat="false" ht="15.75" hidden="false" customHeight="false" outlineLevel="0" collapsed="false">
      <c r="A166" s="61"/>
      <c r="B166" s="29"/>
      <c r="C166" s="21"/>
      <c r="D166" s="21"/>
      <c r="E166" s="21"/>
      <c r="F166" s="21"/>
      <c r="G166" s="30"/>
      <c r="H166" s="31"/>
      <c r="I166" s="21"/>
      <c r="J166" s="21"/>
      <c r="K166" s="21"/>
      <c r="L166" s="21"/>
      <c r="M166" s="21"/>
      <c r="N166" s="30"/>
      <c r="O166" s="21"/>
      <c r="P166" s="21"/>
      <c r="Q166" s="21"/>
      <c r="R166" s="32"/>
      <c r="S166" s="32"/>
      <c r="T166" s="21"/>
      <c r="U166" s="21"/>
      <c r="V166" s="21"/>
      <c r="W166" s="21"/>
      <c r="X166" s="21"/>
    </row>
    <row r="167" customFormat="false" ht="15.75" hidden="false" customHeight="false" outlineLevel="0" collapsed="false">
      <c r="A167" s="61"/>
      <c r="B167" s="29"/>
      <c r="C167" s="21"/>
      <c r="D167" s="21"/>
      <c r="E167" s="21"/>
      <c r="F167" s="21"/>
      <c r="G167" s="30"/>
      <c r="H167" s="31"/>
      <c r="I167" s="21"/>
      <c r="J167" s="21"/>
      <c r="K167" s="21"/>
      <c r="L167" s="21"/>
      <c r="M167" s="21"/>
      <c r="N167" s="30"/>
      <c r="O167" s="21"/>
      <c r="P167" s="21"/>
      <c r="Q167" s="21"/>
      <c r="R167" s="32"/>
      <c r="S167" s="32"/>
      <c r="T167" s="21"/>
      <c r="U167" s="21"/>
      <c r="V167" s="21"/>
      <c r="W167" s="21"/>
      <c r="X167" s="21"/>
    </row>
    <row r="168" customFormat="false" ht="15.75" hidden="false" customHeight="false" outlineLevel="0" collapsed="false">
      <c r="A168" s="61"/>
      <c r="B168" s="29"/>
      <c r="C168" s="21"/>
      <c r="D168" s="21"/>
      <c r="E168" s="21"/>
      <c r="F168" s="21"/>
      <c r="G168" s="30"/>
      <c r="H168" s="31"/>
      <c r="I168" s="21"/>
      <c r="J168" s="21"/>
      <c r="K168" s="21"/>
      <c r="L168" s="21"/>
      <c r="M168" s="21"/>
      <c r="N168" s="30"/>
      <c r="O168" s="21"/>
      <c r="P168" s="21"/>
      <c r="Q168" s="21"/>
      <c r="R168" s="32"/>
      <c r="S168" s="32"/>
      <c r="T168" s="21"/>
      <c r="U168" s="21"/>
      <c r="V168" s="21"/>
      <c r="W168" s="21"/>
      <c r="X168" s="21"/>
    </row>
    <row r="169" customFormat="false" ht="15.75" hidden="false" customHeight="false" outlineLevel="0" collapsed="false">
      <c r="A169" s="61"/>
      <c r="B169" s="29"/>
      <c r="C169" s="21"/>
      <c r="D169" s="21"/>
      <c r="E169" s="21"/>
      <c r="F169" s="21"/>
      <c r="G169" s="30"/>
      <c r="H169" s="31"/>
      <c r="I169" s="21"/>
      <c r="J169" s="21"/>
      <c r="K169" s="21"/>
      <c r="L169" s="21"/>
      <c r="M169" s="21"/>
      <c r="N169" s="30"/>
      <c r="O169" s="21"/>
      <c r="P169" s="21"/>
      <c r="Q169" s="21"/>
      <c r="R169" s="32"/>
      <c r="S169" s="32"/>
      <c r="T169" s="21"/>
      <c r="U169" s="21"/>
      <c r="V169" s="21"/>
      <c r="W169" s="21"/>
      <c r="X169" s="21"/>
    </row>
    <row r="170" customFormat="false" ht="15.75" hidden="false" customHeight="false" outlineLevel="0" collapsed="false">
      <c r="A170" s="61"/>
      <c r="B170" s="29"/>
      <c r="C170" s="21"/>
      <c r="D170" s="21"/>
      <c r="E170" s="21"/>
      <c r="F170" s="21"/>
      <c r="G170" s="30"/>
      <c r="H170" s="31"/>
      <c r="I170" s="21"/>
      <c r="J170" s="21"/>
      <c r="K170" s="21"/>
      <c r="L170" s="21"/>
      <c r="M170" s="21"/>
      <c r="N170" s="30"/>
      <c r="O170" s="21"/>
      <c r="P170" s="21"/>
      <c r="Q170" s="21"/>
      <c r="R170" s="32"/>
      <c r="S170" s="32"/>
      <c r="T170" s="21"/>
      <c r="U170" s="21"/>
      <c r="V170" s="21"/>
      <c r="W170" s="21"/>
      <c r="X170" s="21"/>
    </row>
    <row r="171" customFormat="false" ht="15.75" hidden="false" customHeight="false" outlineLevel="0" collapsed="false">
      <c r="A171" s="61"/>
      <c r="B171" s="29"/>
      <c r="C171" s="21"/>
      <c r="D171" s="21"/>
      <c r="E171" s="21"/>
      <c r="F171" s="21"/>
      <c r="G171" s="30"/>
      <c r="H171" s="31"/>
      <c r="I171" s="21"/>
      <c r="J171" s="21"/>
      <c r="K171" s="21"/>
      <c r="L171" s="21"/>
      <c r="M171" s="21"/>
      <c r="N171" s="30"/>
      <c r="O171" s="21"/>
      <c r="P171" s="21"/>
      <c r="Q171" s="21"/>
      <c r="R171" s="32"/>
      <c r="S171" s="32"/>
      <c r="T171" s="21"/>
      <c r="U171" s="21"/>
      <c r="V171" s="21"/>
      <c r="W171" s="21"/>
      <c r="X171" s="21"/>
    </row>
    <row r="172" customFormat="false" ht="15.75" hidden="false" customHeight="false" outlineLevel="0" collapsed="false">
      <c r="A172" s="61"/>
      <c r="B172" s="29"/>
      <c r="C172" s="21"/>
      <c r="D172" s="21"/>
      <c r="E172" s="21"/>
      <c r="F172" s="21"/>
      <c r="G172" s="30"/>
      <c r="H172" s="31"/>
      <c r="I172" s="21"/>
      <c r="J172" s="21"/>
      <c r="K172" s="21"/>
      <c r="L172" s="21"/>
      <c r="M172" s="21"/>
      <c r="N172" s="30"/>
      <c r="O172" s="21"/>
      <c r="P172" s="21"/>
      <c r="Q172" s="21"/>
      <c r="R172" s="32"/>
      <c r="S172" s="32"/>
      <c r="T172" s="21"/>
      <c r="U172" s="21"/>
      <c r="V172" s="21"/>
      <c r="W172" s="21"/>
      <c r="X172" s="21"/>
    </row>
    <row r="173" customFormat="false" ht="15.75" hidden="false" customHeight="false" outlineLevel="0" collapsed="false">
      <c r="A173" s="61"/>
      <c r="B173" s="29"/>
      <c r="C173" s="21"/>
      <c r="D173" s="21"/>
      <c r="E173" s="21"/>
      <c r="F173" s="21"/>
      <c r="G173" s="30"/>
      <c r="H173" s="31"/>
      <c r="I173" s="21"/>
      <c r="J173" s="21"/>
      <c r="K173" s="21"/>
      <c r="L173" s="21"/>
      <c r="M173" s="21"/>
      <c r="N173" s="30"/>
      <c r="O173" s="21"/>
      <c r="P173" s="21"/>
      <c r="Q173" s="21"/>
      <c r="R173" s="32"/>
      <c r="S173" s="32"/>
      <c r="T173" s="21"/>
      <c r="U173" s="21"/>
      <c r="V173" s="21"/>
      <c r="W173" s="21"/>
      <c r="X173" s="21"/>
    </row>
    <row r="174" customFormat="false" ht="15.75" hidden="false" customHeight="false" outlineLevel="0" collapsed="false">
      <c r="A174" s="61"/>
      <c r="B174" s="29"/>
      <c r="C174" s="21"/>
      <c r="D174" s="21"/>
      <c r="E174" s="21"/>
      <c r="F174" s="21"/>
      <c r="G174" s="30"/>
      <c r="H174" s="31"/>
      <c r="I174" s="21"/>
      <c r="J174" s="21"/>
      <c r="K174" s="21"/>
      <c r="L174" s="21"/>
      <c r="M174" s="21"/>
      <c r="N174" s="30"/>
      <c r="O174" s="21"/>
      <c r="P174" s="21"/>
      <c r="Q174" s="21"/>
      <c r="R174" s="32"/>
      <c r="S174" s="32"/>
      <c r="T174" s="21"/>
      <c r="U174" s="21"/>
      <c r="V174" s="21"/>
      <c r="W174" s="21"/>
      <c r="X174" s="21"/>
    </row>
    <row r="175" customFormat="false" ht="15.75" hidden="false" customHeight="false" outlineLevel="0" collapsed="false">
      <c r="A175" s="61"/>
      <c r="B175" s="29"/>
      <c r="C175" s="21"/>
      <c r="D175" s="21"/>
      <c r="E175" s="21"/>
      <c r="F175" s="21"/>
      <c r="G175" s="30"/>
      <c r="H175" s="31"/>
      <c r="I175" s="21"/>
      <c r="J175" s="21"/>
      <c r="K175" s="21"/>
      <c r="L175" s="21"/>
      <c r="M175" s="21"/>
      <c r="N175" s="30"/>
      <c r="O175" s="21"/>
      <c r="P175" s="21"/>
      <c r="Q175" s="21"/>
      <c r="R175" s="32"/>
      <c r="S175" s="32"/>
      <c r="T175" s="21"/>
      <c r="U175" s="21"/>
      <c r="V175" s="21"/>
      <c r="W175" s="21"/>
      <c r="X175" s="21"/>
    </row>
    <row r="176" customFormat="false" ht="15.75" hidden="false" customHeight="false" outlineLevel="0" collapsed="false">
      <c r="A176" s="61"/>
      <c r="B176" s="29"/>
      <c r="C176" s="21"/>
      <c r="D176" s="21"/>
      <c r="E176" s="21"/>
      <c r="F176" s="21"/>
      <c r="G176" s="30"/>
      <c r="H176" s="31"/>
      <c r="I176" s="21"/>
      <c r="J176" s="21"/>
      <c r="K176" s="21"/>
      <c r="L176" s="21"/>
      <c r="M176" s="21"/>
      <c r="N176" s="30"/>
      <c r="O176" s="21"/>
      <c r="P176" s="21"/>
      <c r="Q176" s="21"/>
      <c r="R176" s="32"/>
      <c r="S176" s="32"/>
      <c r="T176" s="21"/>
      <c r="U176" s="21"/>
      <c r="V176" s="21"/>
      <c r="W176" s="21"/>
      <c r="X176" s="21"/>
    </row>
    <row r="177" customFormat="false" ht="15.75" hidden="false" customHeight="false" outlineLevel="0" collapsed="false">
      <c r="A177" s="61"/>
      <c r="B177" s="29"/>
      <c r="C177" s="21"/>
      <c r="D177" s="21"/>
      <c r="E177" s="21"/>
      <c r="F177" s="21"/>
      <c r="G177" s="30"/>
      <c r="H177" s="31"/>
      <c r="I177" s="21"/>
      <c r="J177" s="21"/>
      <c r="K177" s="21"/>
      <c r="L177" s="21"/>
      <c r="M177" s="21"/>
      <c r="N177" s="30"/>
      <c r="O177" s="21"/>
      <c r="P177" s="21"/>
      <c r="Q177" s="21"/>
      <c r="R177" s="32"/>
      <c r="S177" s="32"/>
      <c r="T177" s="21"/>
      <c r="U177" s="21"/>
      <c r="V177" s="21"/>
      <c r="W177" s="21"/>
      <c r="X177" s="21"/>
    </row>
    <row r="178" customFormat="false" ht="15.75" hidden="false" customHeight="false" outlineLevel="0" collapsed="false">
      <c r="A178" s="61"/>
      <c r="B178" s="29"/>
      <c r="C178" s="21"/>
      <c r="D178" s="21"/>
      <c r="E178" s="21"/>
      <c r="F178" s="21"/>
      <c r="G178" s="30"/>
      <c r="H178" s="31"/>
      <c r="I178" s="21"/>
      <c r="J178" s="21"/>
      <c r="K178" s="21"/>
      <c r="L178" s="21"/>
      <c r="M178" s="21"/>
      <c r="N178" s="30"/>
      <c r="O178" s="21"/>
      <c r="P178" s="21"/>
      <c r="Q178" s="21"/>
      <c r="R178" s="32"/>
      <c r="S178" s="32"/>
      <c r="T178" s="21"/>
      <c r="U178" s="21"/>
      <c r="V178" s="21"/>
      <c r="W178" s="21"/>
      <c r="X178" s="21"/>
    </row>
    <row r="179" customFormat="false" ht="15.75" hidden="false" customHeight="false" outlineLevel="0" collapsed="false">
      <c r="A179" s="61"/>
      <c r="B179" s="29"/>
      <c r="C179" s="21"/>
      <c r="D179" s="21"/>
      <c r="E179" s="21"/>
      <c r="F179" s="21"/>
      <c r="G179" s="30"/>
      <c r="H179" s="31"/>
      <c r="I179" s="21"/>
      <c r="J179" s="21"/>
      <c r="K179" s="21"/>
      <c r="L179" s="21"/>
      <c r="M179" s="21"/>
      <c r="N179" s="30"/>
      <c r="O179" s="21"/>
      <c r="P179" s="21"/>
      <c r="Q179" s="21"/>
      <c r="R179" s="32"/>
      <c r="S179" s="32"/>
      <c r="T179" s="21"/>
      <c r="U179" s="21"/>
      <c r="V179" s="21"/>
      <c r="W179" s="21"/>
      <c r="X179" s="21"/>
    </row>
    <row r="180" customFormat="false" ht="15.75" hidden="false" customHeight="false" outlineLevel="0" collapsed="false">
      <c r="A180" s="61"/>
      <c r="B180" s="29"/>
      <c r="C180" s="21"/>
      <c r="D180" s="21"/>
      <c r="E180" s="21"/>
      <c r="F180" s="21"/>
      <c r="G180" s="30"/>
      <c r="H180" s="31"/>
      <c r="I180" s="21"/>
      <c r="J180" s="21"/>
      <c r="K180" s="21"/>
      <c r="L180" s="21"/>
      <c r="M180" s="21"/>
      <c r="N180" s="30"/>
      <c r="O180" s="21"/>
      <c r="P180" s="21"/>
      <c r="Q180" s="21"/>
      <c r="R180" s="32"/>
      <c r="S180" s="32"/>
      <c r="T180" s="21"/>
      <c r="U180" s="21"/>
      <c r="V180" s="21"/>
      <c r="W180" s="21"/>
      <c r="X180" s="21"/>
    </row>
    <row r="181" customFormat="false" ht="15.75" hidden="false" customHeight="false" outlineLevel="0" collapsed="false">
      <c r="A181" s="61"/>
      <c r="B181" s="29"/>
      <c r="C181" s="21"/>
      <c r="D181" s="21"/>
      <c r="E181" s="21"/>
      <c r="F181" s="21"/>
      <c r="G181" s="30"/>
      <c r="H181" s="31"/>
      <c r="I181" s="21"/>
      <c r="J181" s="21"/>
      <c r="K181" s="21"/>
      <c r="L181" s="21"/>
      <c r="M181" s="21"/>
      <c r="N181" s="30"/>
      <c r="O181" s="21"/>
      <c r="P181" s="21"/>
      <c r="Q181" s="21"/>
      <c r="R181" s="32"/>
      <c r="S181" s="32"/>
      <c r="T181" s="21"/>
      <c r="U181" s="21"/>
      <c r="V181" s="21"/>
      <c r="W181" s="21"/>
      <c r="X181" s="21"/>
    </row>
    <row r="182" customFormat="false" ht="15.75" hidden="false" customHeight="false" outlineLevel="0" collapsed="false">
      <c r="A182" s="61"/>
      <c r="B182" s="29"/>
      <c r="C182" s="21"/>
      <c r="D182" s="21"/>
      <c r="E182" s="21"/>
      <c r="F182" s="21"/>
      <c r="G182" s="30"/>
      <c r="H182" s="31"/>
      <c r="I182" s="21"/>
      <c r="J182" s="21"/>
      <c r="K182" s="21"/>
      <c r="L182" s="21"/>
      <c r="M182" s="21"/>
      <c r="N182" s="30"/>
      <c r="O182" s="21"/>
      <c r="P182" s="21"/>
      <c r="Q182" s="21"/>
      <c r="R182" s="32"/>
      <c r="S182" s="32"/>
      <c r="T182" s="21"/>
      <c r="U182" s="21"/>
      <c r="V182" s="21"/>
      <c r="W182" s="21"/>
      <c r="X182" s="21"/>
    </row>
    <row r="183" customFormat="false" ht="15.75" hidden="false" customHeight="false" outlineLevel="0" collapsed="false">
      <c r="A183" s="61"/>
      <c r="B183" s="29"/>
      <c r="C183" s="21"/>
      <c r="D183" s="21"/>
      <c r="E183" s="21"/>
      <c r="F183" s="21"/>
      <c r="G183" s="30"/>
      <c r="H183" s="31"/>
      <c r="I183" s="21"/>
      <c r="J183" s="21"/>
      <c r="K183" s="21"/>
      <c r="L183" s="21"/>
      <c r="M183" s="21"/>
      <c r="N183" s="30"/>
      <c r="O183" s="21"/>
      <c r="P183" s="21"/>
      <c r="Q183" s="21"/>
      <c r="R183" s="32"/>
      <c r="S183" s="32"/>
      <c r="T183" s="21"/>
      <c r="U183" s="21"/>
      <c r="V183" s="21"/>
      <c r="W183" s="21"/>
      <c r="X183" s="21"/>
    </row>
    <row r="184" customFormat="false" ht="15.75" hidden="false" customHeight="false" outlineLevel="0" collapsed="false">
      <c r="A184" s="61"/>
      <c r="B184" s="29"/>
      <c r="C184" s="21"/>
      <c r="D184" s="21"/>
      <c r="E184" s="21"/>
      <c r="F184" s="21"/>
      <c r="G184" s="30"/>
      <c r="H184" s="31"/>
      <c r="I184" s="21"/>
      <c r="J184" s="21"/>
      <c r="K184" s="21"/>
      <c r="L184" s="21"/>
      <c r="M184" s="21"/>
      <c r="N184" s="30"/>
      <c r="O184" s="21"/>
      <c r="P184" s="21"/>
      <c r="Q184" s="21"/>
      <c r="R184" s="32"/>
      <c r="S184" s="32"/>
      <c r="T184" s="21"/>
      <c r="U184" s="21"/>
      <c r="V184" s="21"/>
      <c r="W184" s="21"/>
      <c r="X184" s="21"/>
    </row>
    <row r="185" customFormat="false" ht="15.75" hidden="false" customHeight="false" outlineLevel="0" collapsed="false">
      <c r="A185" s="61"/>
      <c r="B185" s="29"/>
      <c r="C185" s="21"/>
      <c r="D185" s="21"/>
      <c r="E185" s="21"/>
      <c r="F185" s="21"/>
      <c r="G185" s="30"/>
      <c r="H185" s="31"/>
      <c r="I185" s="21"/>
      <c r="J185" s="21"/>
      <c r="K185" s="21"/>
      <c r="L185" s="21"/>
      <c r="M185" s="21"/>
      <c r="N185" s="30"/>
      <c r="O185" s="21"/>
      <c r="P185" s="21"/>
      <c r="Q185" s="21"/>
      <c r="R185" s="32"/>
      <c r="S185" s="32"/>
      <c r="T185" s="21"/>
      <c r="U185" s="21"/>
      <c r="V185" s="21"/>
      <c r="W185" s="21"/>
      <c r="X185" s="21"/>
    </row>
    <row r="186" customFormat="false" ht="15.75" hidden="false" customHeight="false" outlineLevel="0" collapsed="false">
      <c r="A186" s="61"/>
      <c r="B186" s="29"/>
      <c r="C186" s="21"/>
      <c r="D186" s="21"/>
      <c r="E186" s="21"/>
      <c r="F186" s="21"/>
      <c r="G186" s="30"/>
      <c r="H186" s="31"/>
      <c r="I186" s="21"/>
      <c r="J186" s="21"/>
      <c r="K186" s="21"/>
      <c r="L186" s="21"/>
      <c r="M186" s="21"/>
      <c r="N186" s="30"/>
      <c r="O186" s="21"/>
      <c r="P186" s="21"/>
      <c r="Q186" s="21"/>
      <c r="R186" s="32"/>
      <c r="S186" s="32"/>
      <c r="T186" s="21"/>
      <c r="U186" s="21"/>
      <c r="V186" s="21"/>
      <c r="W186" s="21"/>
      <c r="X186" s="21"/>
    </row>
    <row r="187" customFormat="false" ht="15.75" hidden="false" customHeight="false" outlineLevel="0" collapsed="false">
      <c r="A187" s="61"/>
      <c r="B187" s="29"/>
      <c r="C187" s="21"/>
      <c r="D187" s="21"/>
      <c r="E187" s="21"/>
      <c r="F187" s="21"/>
      <c r="G187" s="30"/>
      <c r="H187" s="31"/>
      <c r="I187" s="21"/>
      <c r="J187" s="21"/>
      <c r="K187" s="21"/>
      <c r="L187" s="21"/>
      <c r="M187" s="21"/>
      <c r="N187" s="30"/>
      <c r="O187" s="21"/>
      <c r="P187" s="21"/>
      <c r="Q187" s="21"/>
      <c r="R187" s="32"/>
      <c r="S187" s="32"/>
      <c r="T187" s="21"/>
      <c r="U187" s="21"/>
      <c r="V187" s="21"/>
      <c r="W187" s="21"/>
      <c r="X187" s="21"/>
    </row>
    <row r="188" customFormat="false" ht="15.75" hidden="false" customHeight="false" outlineLevel="0" collapsed="false">
      <c r="A188" s="61"/>
      <c r="B188" s="29"/>
      <c r="C188" s="21"/>
      <c r="D188" s="21"/>
      <c r="E188" s="21"/>
      <c r="F188" s="21"/>
      <c r="G188" s="30"/>
      <c r="H188" s="31"/>
      <c r="I188" s="21"/>
      <c r="J188" s="21"/>
      <c r="K188" s="21"/>
      <c r="L188" s="21"/>
      <c r="M188" s="21"/>
      <c r="N188" s="30"/>
      <c r="O188" s="21"/>
      <c r="P188" s="21"/>
      <c r="Q188" s="21"/>
      <c r="R188" s="32"/>
      <c r="S188" s="32"/>
      <c r="T188" s="21"/>
      <c r="U188" s="21"/>
      <c r="V188" s="21"/>
      <c r="W188" s="21"/>
      <c r="X188" s="21"/>
    </row>
    <row r="189" customFormat="false" ht="15.75" hidden="false" customHeight="false" outlineLevel="0" collapsed="false">
      <c r="A189" s="61"/>
      <c r="B189" s="29"/>
      <c r="C189" s="21"/>
      <c r="D189" s="21"/>
      <c r="E189" s="21"/>
      <c r="F189" s="21"/>
      <c r="G189" s="30"/>
      <c r="H189" s="31"/>
      <c r="I189" s="21"/>
      <c r="J189" s="21"/>
      <c r="K189" s="21"/>
      <c r="L189" s="21"/>
      <c r="M189" s="21"/>
      <c r="N189" s="30"/>
      <c r="O189" s="21"/>
      <c r="P189" s="21"/>
      <c r="Q189" s="21"/>
      <c r="R189" s="32"/>
      <c r="S189" s="32"/>
      <c r="T189" s="21"/>
      <c r="U189" s="21"/>
      <c r="V189" s="21"/>
      <c r="W189" s="21"/>
      <c r="X189" s="21"/>
    </row>
    <row r="190" customFormat="false" ht="15.75" hidden="false" customHeight="false" outlineLevel="0" collapsed="false">
      <c r="A190" s="61"/>
      <c r="B190" s="29"/>
      <c r="C190" s="21"/>
      <c r="D190" s="21"/>
      <c r="E190" s="21"/>
      <c r="F190" s="21"/>
      <c r="G190" s="30"/>
      <c r="H190" s="31"/>
      <c r="I190" s="21"/>
      <c r="J190" s="21"/>
      <c r="K190" s="21"/>
      <c r="L190" s="21"/>
      <c r="M190" s="21"/>
      <c r="N190" s="30"/>
      <c r="O190" s="21"/>
      <c r="P190" s="21"/>
      <c r="Q190" s="21"/>
      <c r="R190" s="32"/>
      <c r="S190" s="32"/>
      <c r="T190" s="21"/>
      <c r="U190" s="21"/>
      <c r="V190" s="21"/>
      <c r="W190" s="21"/>
      <c r="X190" s="21"/>
    </row>
    <row r="191" customFormat="false" ht="15.75" hidden="false" customHeight="false" outlineLevel="0" collapsed="false">
      <c r="A191" s="61"/>
      <c r="B191" s="29"/>
      <c r="C191" s="21"/>
      <c r="D191" s="21"/>
      <c r="E191" s="21"/>
      <c r="F191" s="21"/>
      <c r="G191" s="30"/>
      <c r="H191" s="31"/>
      <c r="I191" s="21"/>
      <c r="J191" s="21"/>
      <c r="K191" s="21"/>
      <c r="L191" s="21"/>
      <c r="M191" s="21"/>
      <c r="N191" s="30"/>
      <c r="O191" s="21"/>
      <c r="P191" s="21"/>
      <c r="Q191" s="21"/>
      <c r="R191" s="32"/>
      <c r="S191" s="32"/>
      <c r="T191" s="21"/>
      <c r="U191" s="21"/>
      <c r="V191" s="21"/>
      <c r="W191" s="21"/>
      <c r="X191" s="21"/>
    </row>
    <row r="192" customFormat="false" ht="15.75" hidden="false" customHeight="false" outlineLevel="0" collapsed="false">
      <c r="A192" s="12"/>
      <c r="B192" s="34"/>
      <c r="C192" s="12"/>
      <c r="D192" s="12"/>
      <c r="E192" s="12"/>
      <c r="F192" s="12"/>
      <c r="G192" s="18"/>
      <c r="H192" s="35"/>
      <c r="I192" s="12"/>
      <c r="M192" s="12"/>
      <c r="N192" s="18"/>
      <c r="O192" s="12"/>
      <c r="P192" s="12"/>
      <c r="Q192" s="12"/>
      <c r="R192" s="36"/>
      <c r="S192" s="36"/>
      <c r="T192" s="12"/>
      <c r="U192" s="12"/>
      <c r="V192" s="12"/>
      <c r="W192" s="12"/>
      <c r="X192" s="12"/>
    </row>
    <row r="193" customFormat="false" ht="15.75" hidden="false" customHeight="false" outlineLevel="0" collapsed="false">
      <c r="A193" s="12"/>
      <c r="B193" s="34"/>
      <c r="C193" s="12"/>
      <c r="D193" s="12"/>
      <c r="E193" s="12"/>
      <c r="F193" s="12"/>
      <c r="G193" s="18"/>
      <c r="H193" s="35"/>
      <c r="I193" s="12"/>
      <c r="M193" s="12"/>
      <c r="N193" s="18"/>
      <c r="O193" s="12"/>
      <c r="P193" s="12"/>
      <c r="Q193" s="12"/>
      <c r="R193" s="36"/>
      <c r="S193" s="36"/>
      <c r="T193" s="12"/>
      <c r="U193" s="12"/>
      <c r="V193" s="12"/>
      <c r="W193" s="12"/>
      <c r="X193" s="12"/>
    </row>
    <row r="194" customFormat="false" ht="15.75" hidden="false" customHeight="false" outlineLevel="0" collapsed="false">
      <c r="A194" s="12"/>
      <c r="B194" s="34"/>
      <c r="C194" s="12"/>
      <c r="D194" s="12"/>
      <c r="E194" s="12"/>
      <c r="F194" s="12"/>
      <c r="G194" s="18"/>
      <c r="H194" s="35"/>
      <c r="I194" s="12"/>
      <c r="M194" s="12"/>
      <c r="N194" s="18"/>
      <c r="O194" s="12"/>
      <c r="P194" s="12"/>
      <c r="Q194" s="12"/>
      <c r="R194" s="36"/>
      <c r="S194" s="36"/>
      <c r="T194" s="12"/>
      <c r="U194" s="12"/>
      <c r="V194" s="12"/>
      <c r="W194" s="12"/>
      <c r="X194" s="12"/>
    </row>
    <row r="195" customFormat="false" ht="15.75" hidden="false" customHeight="false" outlineLevel="0" collapsed="false">
      <c r="A195" s="12"/>
      <c r="B195" s="34"/>
      <c r="C195" s="12"/>
      <c r="D195" s="12"/>
      <c r="E195" s="12"/>
      <c r="F195" s="12"/>
      <c r="G195" s="18"/>
      <c r="H195" s="35"/>
      <c r="I195" s="12"/>
      <c r="M195" s="12"/>
      <c r="N195" s="18"/>
      <c r="O195" s="12"/>
      <c r="P195" s="12"/>
      <c r="Q195" s="12"/>
      <c r="R195" s="36"/>
      <c r="S195" s="36"/>
      <c r="T195" s="12"/>
      <c r="U195" s="12"/>
      <c r="V195" s="12"/>
      <c r="W195" s="12"/>
      <c r="X195" s="12"/>
    </row>
    <row r="196" customFormat="false" ht="15.75" hidden="false" customHeight="false" outlineLevel="0" collapsed="false">
      <c r="A196" s="12"/>
      <c r="B196" s="34"/>
      <c r="C196" s="12"/>
      <c r="D196" s="12"/>
      <c r="E196" s="12"/>
      <c r="F196" s="12"/>
      <c r="G196" s="18"/>
      <c r="H196" s="35"/>
      <c r="I196" s="12"/>
      <c r="M196" s="12"/>
      <c r="N196" s="18"/>
      <c r="O196" s="12"/>
      <c r="P196" s="12"/>
      <c r="Q196" s="12"/>
      <c r="R196" s="36"/>
      <c r="S196" s="36"/>
      <c r="T196" s="12"/>
      <c r="U196" s="12"/>
      <c r="V196" s="12"/>
      <c r="W196" s="12"/>
      <c r="X196" s="12"/>
    </row>
    <row r="197" customFormat="false" ht="15.75" hidden="false" customHeight="false" outlineLevel="0" collapsed="false">
      <c r="A197" s="12"/>
      <c r="B197" s="34"/>
      <c r="C197" s="12"/>
      <c r="D197" s="12"/>
      <c r="E197" s="12"/>
      <c r="F197" s="12"/>
      <c r="G197" s="18"/>
      <c r="H197" s="35"/>
      <c r="I197" s="12"/>
      <c r="M197" s="12"/>
      <c r="N197" s="18"/>
      <c r="O197" s="12"/>
      <c r="P197" s="12"/>
      <c r="Q197" s="12"/>
      <c r="R197" s="36"/>
      <c r="S197" s="36"/>
      <c r="T197" s="12"/>
      <c r="U197" s="12"/>
      <c r="V197" s="12"/>
      <c r="W197" s="12"/>
      <c r="X197" s="12"/>
    </row>
    <row r="198" customFormat="false" ht="15.75" hidden="false" customHeight="false" outlineLevel="0" collapsed="false">
      <c r="A198" s="12"/>
      <c r="B198" s="34"/>
      <c r="C198" s="12"/>
      <c r="D198" s="12"/>
      <c r="E198" s="12"/>
      <c r="F198" s="12"/>
      <c r="G198" s="18"/>
      <c r="H198" s="35"/>
      <c r="I198" s="12"/>
      <c r="M198" s="12"/>
      <c r="N198" s="18"/>
      <c r="O198" s="12"/>
      <c r="P198" s="12"/>
      <c r="Q198" s="12"/>
      <c r="R198" s="36"/>
      <c r="S198" s="36"/>
      <c r="T198" s="12"/>
      <c r="U198" s="12"/>
      <c r="V198" s="12"/>
      <c r="W198" s="12"/>
      <c r="X198" s="12"/>
    </row>
    <row r="199" customFormat="false" ht="15.75" hidden="false" customHeight="false" outlineLevel="0" collapsed="false">
      <c r="A199" s="12"/>
      <c r="B199" s="34"/>
      <c r="C199" s="12"/>
      <c r="D199" s="12"/>
      <c r="E199" s="12"/>
      <c r="F199" s="12"/>
      <c r="G199" s="18"/>
      <c r="H199" s="35"/>
      <c r="I199" s="12"/>
      <c r="M199" s="12"/>
      <c r="N199" s="18"/>
      <c r="O199" s="12"/>
      <c r="P199" s="12"/>
      <c r="Q199" s="12"/>
      <c r="R199" s="36"/>
      <c r="S199" s="36"/>
      <c r="T199" s="12"/>
      <c r="U199" s="12"/>
      <c r="V199" s="12"/>
      <c r="W199" s="12"/>
      <c r="X199" s="12"/>
    </row>
    <row r="200" customFormat="false" ht="15.75" hidden="false" customHeight="false" outlineLevel="0" collapsed="false">
      <c r="A200" s="12"/>
      <c r="B200" s="34"/>
      <c r="C200" s="12"/>
      <c r="D200" s="12"/>
      <c r="E200" s="12"/>
      <c r="F200" s="12"/>
      <c r="G200" s="18"/>
      <c r="H200" s="35"/>
      <c r="I200" s="12"/>
      <c r="M200" s="12"/>
      <c r="N200" s="18"/>
      <c r="O200" s="12"/>
      <c r="P200" s="12"/>
      <c r="Q200" s="12"/>
      <c r="R200" s="36"/>
      <c r="S200" s="36"/>
      <c r="T200" s="12"/>
      <c r="U200" s="12"/>
      <c r="V200" s="12"/>
      <c r="W200" s="12"/>
      <c r="X200" s="12"/>
    </row>
    <row r="201" customFormat="false" ht="15.75" hidden="false" customHeight="false" outlineLevel="0" collapsed="false">
      <c r="A201" s="12"/>
      <c r="B201" s="34"/>
      <c r="C201" s="12"/>
      <c r="D201" s="12"/>
      <c r="E201" s="12"/>
      <c r="F201" s="12"/>
      <c r="G201" s="18"/>
      <c r="H201" s="35"/>
      <c r="I201" s="12"/>
      <c r="M201" s="12"/>
      <c r="N201" s="18"/>
      <c r="O201" s="12"/>
      <c r="P201" s="12"/>
      <c r="Q201" s="12"/>
      <c r="R201" s="36"/>
      <c r="S201" s="36"/>
      <c r="T201" s="12"/>
      <c r="U201" s="12"/>
      <c r="V201" s="12"/>
      <c r="W201" s="12"/>
      <c r="X201" s="12"/>
    </row>
    <row r="202" customFormat="false" ht="15.75" hidden="false" customHeight="false" outlineLevel="0" collapsed="false">
      <c r="A202" s="12"/>
      <c r="B202" s="34"/>
      <c r="C202" s="12"/>
      <c r="D202" s="12"/>
      <c r="E202" s="12"/>
      <c r="F202" s="12"/>
      <c r="G202" s="18"/>
      <c r="H202" s="35"/>
      <c r="I202" s="12"/>
      <c r="M202" s="12"/>
      <c r="N202" s="18"/>
      <c r="O202" s="12"/>
      <c r="P202" s="12"/>
      <c r="Q202" s="12"/>
      <c r="R202" s="36"/>
      <c r="S202" s="36"/>
      <c r="T202" s="12"/>
      <c r="U202" s="12"/>
      <c r="V202" s="12"/>
      <c r="W202" s="12"/>
      <c r="X202" s="12"/>
    </row>
    <row r="203" customFormat="false" ht="15.75" hidden="false" customHeight="false" outlineLevel="0" collapsed="false">
      <c r="A203" s="12"/>
      <c r="B203" s="34"/>
      <c r="C203" s="12"/>
      <c r="D203" s="12"/>
      <c r="E203" s="12"/>
      <c r="F203" s="12"/>
      <c r="G203" s="18"/>
      <c r="H203" s="35"/>
      <c r="I203" s="12"/>
      <c r="M203" s="12"/>
      <c r="N203" s="18"/>
      <c r="O203" s="12"/>
      <c r="P203" s="12"/>
      <c r="Q203" s="12"/>
      <c r="R203" s="36"/>
      <c r="S203" s="36"/>
      <c r="T203" s="12"/>
      <c r="U203" s="12"/>
      <c r="V203" s="12"/>
      <c r="W203" s="12"/>
      <c r="X203" s="12"/>
    </row>
    <row r="204" customFormat="false" ht="15.75" hidden="false" customHeight="false" outlineLevel="0" collapsed="false">
      <c r="A204" s="12"/>
      <c r="B204" s="34"/>
      <c r="C204" s="12"/>
      <c r="D204" s="12"/>
      <c r="E204" s="12"/>
      <c r="F204" s="12"/>
      <c r="G204" s="18"/>
      <c r="H204" s="35"/>
      <c r="I204" s="12"/>
      <c r="M204" s="12"/>
      <c r="N204" s="18"/>
      <c r="O204" s="12"/>
      <c r="P204" s="12"/>
      <c r="Q204" s="12"/>
      <c r="R204" s="36"/>
      <c r="S204" s="36"/>
      <c r="T204" s="12"/>
      <c r="U204" s="12"/>
      <c r="V204" s="12"/>
      <c r="W204" s="12"/>
      <c r="X204" s="12"/>
    </row>
    <row r="205" customFormat="false" ht="15.75" hidden="false" customHeight="false" outlineLevel="0" collapsed="false">
      <c r="A205" s="12"/>
      <c r="B205" s="34"/>
      <c r="C205" s="12"/>
      <c r="D205" s="12"/>
      <c r="E205" s="12"/>
      <c r="F205" s="12"/>
      <c r="G205" s="18"/>
      <c r="H205" s="35"/>
      <c r="I205" s="12"/>
      <c r="M205" s="12"/>
      <c r="N205" s="18"/>
      <c r="O205" s="12"/>
      <c r="P205" s="12"/>
      <c r="Q205" s="12"/>
      <c r="R205" s="36"/>
      <c r="S205" s="36"/>
      <c r="T205" s="12"/>
      <c r="U205" s="12"/>
      <c r="V205" s="12"/>
      <c r="W205" s="12"/>
      <c r="X205" s="12"/>
    </row>
    <row r="206" customFormat="false" ht="15.75" hidden="false" customHeight="false" outlineLevel="0" collapsed="false">
      <c r="A206" s="12"/>
      <c r="B206" s="34"/>
      <c r="C206" s="12"/>
      <c r="D206" s="12"/>
      <c r="E206" s="12"/>
      <c r="F206" s="12"/>
      <c r="G206" s="18"/>
      <c r="H206" s="35"/>
      <c r="I206" s="12"/>
      <c r="M206" s="12"/>
      <c r="N206" s="18"/>
      <c r="O206" s="12"/>
      <c r="P206" s="12"/>
      <c r="Q206" s="12"/>
      <c r="R206" s="36"/>
      <c r="S206" s="36"/>
      <c r="T206" s="12"/>
      <c r="U206" s="12"/>
      <c r="V206" s="12"/>
      <c r="W206" s="12"/>
      <c r="X206" s="12"/>
    </row>
    <row r="207" customFormat="false" ht="15.75" hidden="false" customHeight="false" outlineLevel="0" collapsed="false">
      <c r="A207" s="12"/>
      <c r="B207" s="34"/>
      <c r="C207" s="12"/>
      <c r="D207" s="12"/>
      <c r="E207" s="12"/>
      <c r="F207" s="12"/>
      <c r="G207" s="18"/>
      <c r="H207" s="35"/>
      <c r="I207" s="12"/>
      <c r="M207" s="12"/>
      <c r="N207" s="18"/>
      <c r="O207" s="12"/>
      <c r="P207" s="12"/>
      <c r="Q207" s="12"/>
      <c r="R207" s="36"/>
      <c r="S207" s="36"/>
      <c r="T207" s="12"/>
      <c r="U207" s="12"/>
      <c r="V207" s="12"/>
      <c r="W207" s="12"/>
      <c r="X207" s="12"/>
    </row>
    <row r="208" customFormat="false" ht="15.75" hidden="false" customHeight="false" outlineLevel="0" collapsed="false">
      <c r="A208" s="12"/>
      <c r="B208" s="34"/>
      <c r="C208" s="12"/>
      <c r="D208" s="12"/>
      <c r="E208" s="12"/>
      <c r="F208" s="12"/>
      <c r="G208" s="18"/>
      <c r="H208" s="35"/>
      <c r="I208" s="12"/>
      <c r="M208" s="12"/>
      <c r="N208" s="18"/>
      <c r="O208" s="12"/>
      <c r="P208" s="12"/>
      <c r="Q208" s="12"/>
      <c r="R208" s="36"/>
      <c r="S208" s="36"/>
      <c r="T208" s="12"/>
      <c r="U208" s="12"/>
      <c r="V208" s="12"/>
      <c r="W208" s="12"/>
      <c r="X208" s="12"/>
    </row>
    <row r="209" customFormat="false" ht="15.75" hidden="false" customHeight="false" outlineLevel="0" collapsed="false">
      <c r="A209" s="12"/>
      <c r="B209" s="34"/>
      <c r="C209" s="12"/>
      <c r="D209" s="12"/>
      <c r="E209" s="12"/>
      <c r="F209" s="12"/>
      <c r="G209" s="18"/>
      <c r="H209" s="35"/>
      <c r="I209" s="12"/>
      <c r="M209" s="12"/>
      <c r="N209" s="18"/>
      <c r="O209" s="12"/>
      <c r="P209" s="12"/>
      <c r="Q209" s="12"/>
      <c r="R209" s="36"/>
      <c r="S209" s="36"/>
      <c r="T209" s="12"/>
      <c r="U209" s="12"/>
      <c r="V209" s="12"/>
      <c r="W209" s="12"/>
      <c r="X209" s="12"/>
    </row>
    <row r="210" customFormat="false" ht="15.75" hidden="false" customHeight="false" outlineLevel="0" collapsed="false">
      <c r="A210" s="12"/>
      <c r="B210" s="34"/>
      <c r="C210" s="12"/>
      <c r="D210" s="12"/>
      <c r="E210" s="12"/>
      <c r="F210" s="12"/>
      <c r="G210" s="18"/>
      <c r="H210" s="35"/>
      <c r="I210" s="12"/>
      <c r="M210" s="12"/>
      <c r="N210" s="18"/>
      <c r="O210" s="12"/>
      <c r="P210" s="12"/>
      <c r="Q210" s="12"/>
      <c r="R210" s="36"/>
      <c r="S210" s="36"/>
      <c r="T210" s="12"/>
      <c r="U210" s="12"/>
      <c r="V210" s="12"/>
      <c r="W210" s="12"/>
      <c r="X210" s="12"/>
    </row>
    <row r="211" customFormat="false" ht="15.75" hidden="false" customHeight="false" outlineLevel="0" collapsed="false">
      <c r="A211" s="12"/>
      <c r="B211" s="34"/>
      <c r="C211" s="12"/>
      <c r="D211" s="12"/>
      <c r="E211" s="12"/>
      <c r="F211" s="12"/>
      <c r="G211" s="18"/>
      <c r="H211" s="35"/>
      <c r="I211" s="12"/>
      <c r="M211" s="12"/>
      <c r="N211" s="18"/>
      <c r="O211" s="12"/>
      <c r="P211" s="12"/>
      <c r="Q211" s="12"/>
      <c r="R211" s="36"/>
      <c r="S211" s="36"/>
      <c r="T211" s="12"/>
      <c r="U211" s="12"/>
      <c r="V211" s="12"/>
      <c r="W211" s="12"/>
      <c r="X211" s="12"/>
    </row>
    <row r="212" customFormat="false" ht="15.75" hidden="false" customHeight="false" outlineLevel="0" collapsed="false">
      <c r="A212" s="12"/>
      <c r="B212" s="34"/>
      <c r="C212" s="12"/>
      <c r="D212" s="12"/>
      <c r="E212" s="12"/>
      <c r="F212" s="12"/>
      <c r="G212" s="18"/>
      <c r="H212" s="35"/>
      <c r="I212" s="12"/>
      <c r="M212" s="12"/>
      <c r="N212" s="18"/>
      <c r="O212" s="12"/>
      <c r="P212" s="12"/>
      <c r="Q212" s="12"/>
      <c r="R212" s="36"/>
      <c r="S212" s="36"/>
      <c r="T212" s="12"/>
      <c r="U212" s="12"/>
      <c r="V212" s="12"/>
      <c r="W212" s="12"/>
      <c r="X212" s="12"/>
    </row>
    <row r="213" customFormat="false" ht="15.75" hidden="false" customHeight="false" outlineLevel="0" collapsed="false">
      <c r="A213" s="12"/>
      <c r="B213" s="34"/>
      <c r="C213" s="12"/>
      <c r="D213" s="12"/>
      <c r="E213" s="12"/>
      <c r="F213" s="12"/>
      <c r="G213" s="18"/>
      <c r="H213" s="35"/>
      <c r="I213" s="12"/>
      <c r="M213" s="12"/>
      <c r="N213" s="18"/>
      <c r="O213" s="12"/>
      <c r="P213" s="12"/>
      <c r="Q213" s="12"/>
      <c r="R213" s="36"/>
      <c r="S213" s="36"/>
      <c r="T213" s="12"/>
      <c r="U213" s="12"/>
      <c r="V213" s="12"/>
      <c r="W213" s="12"/>
      <c r="X213" s="12"/>
    </row>
    <row r="214" customFormat="false" ht="15.75" hidden="false" customHeight="false" outlineLevel="0" collapsed="false">
      <c r="A214" s="12"/>
      <c r="B214" s="34"/>
      <c r="C214" s="12"/>
      <c r="D214" s="12"/>
      <c r="E214" s="12"/>
      <c r="F214" s="12"/>
      <c r="G214" s="18"/>
      <c r="H214" s="35"/>
      <c r="I214" s="12"/>
      <c r="M214" s="12"/>
      <c r="N214" s="18"/>
      <c r="O214" s="12"/>
      <c r="P214" s="12"/>
      <c r="Q214" s="12"/>
      <c r="R214" s="36"/>
      <c r="S214" s="36"/>
      <c r="T214" s="12"/>
      <c r="U214" s="12"/>
      <c r="V214" s="12"/>
      <c r="W214" s="12"/>
      <c r="X214" s="12"/>
    </row>
    <row r="215" customFormat="false" ht="15.75" hidden="false" customHeight="false" outlineLevel="0" collapsed="false">
      <c r="A215" s="12"/>
      <c r="B215" s="34"/>
      <c r="C215" s="12"/>
      <c r="D215" s="12"/>
      <c r="E215" s="12"/>
      <c r="F215" s="12"/>
      <c r="G215" s="18"/>
      <c r="H215" s="35"/>
      <c r="I215" s="12"/>
      <c r="M215" s="12"/>
      <c r="N215" s="18"/>
      <c r="O215" s="12"/>
      <c r="P215" s="12"/>
      <c r="Q215" s="12"/>
      <c r="R215" s="36"/>
      <c r="S215" s="36"/>
      <c r="T215" s="12"/>
      <c r="U215" s="12"/>
      <c r="V215" s="12"/>
      <c r="W215" s="12"/>
      <c r="X215" s="12"/>
    </row>
    <row r="216" customFormat="false" ht="15.75" hidden="false" customHeight="false" outlineLevel="0" collapsed="false">
      <c r="A216" s="12"/>
      <c r="B216" s="34"/>
      <c r="C216" s="12"/>
      <c r="D216" s="12"/>
      <c r="E216" s="12"/>
      <c r="F216" s="12"/>
      <c r="G216" s="18"/>
      <c r="H216" s="35"/>
      <c r="I216" s="12"/>
      <c r="M216" s="12"/>
      <c r="N216" s="18"/>
      <c r="O216" s="12"/>
      <c r="P216" s="12"/>
      <c r="Q216" s="12"/>
      <c r="R216" s="36"/>
      <c r="S216" s="36"/>
      <c r="T216" s="12"/>
      <c r="U216" s="12"/>
      <c r="V216" s="12"/>
      <c r="W216" s="12"/>
      <c r="X216" s="12"/>
    </row>
    <row r="217" customFormat="false" ht="15.75" hidden="false" customHeight="false" outlineLevel="0" collapsed="false">
      <c r="A217" s="12"/>
      <c r="B217" s="34"/>
      <c r="C217" s="12"/>
      <c r="D217" s="12"/>
      <c r="E217" s="12"/>
      <c r="F217" s="12"/>
      <c r="G217" s="18"/>
      <c r="H217" s="35"/>
      <c r="I217" s="12"/>
      <c r="M217" s="12"/>
      <c r="N217" s="18"/>
      <c r="O217" s="12"/>
      <c r="P217" s="12"/>
      <c r="Q217" s="12"/>
      <c r="R217" s="36"/>
      <c r="S217" s="36"/>
      <c r="T217" s="12"/>
      <c r="U217" s="12"/>
      <c r="V217" s="12"/>
      <c r="W217" s="12"/>
      <c r="X217" s="12"/>
    </row>
    <row r="218" customFormat="false" ht="15.75" hidden="false" customHeight="false" outlineLevel="0" collapsed="false">
      <c r="A218" s="12"/>
      <c r="B218" s="34"/>
      <c r="C218" s="12"/>
      <c r="D218" s="12"/>
      <c r="E218" s="12"/>
      <c r="F218" s="12"/>
      <c r="G218" s="18"/>
      <c r="H218" s="35"/>
      <c r="I218" s="12"/>
      <c r="M218" s="12"/>
      <c r="N218" s="18"/>
      <c r="O218" s="12"/>
      <c r="P218" s="12"/>
      <c r="Q218" s="12"/>
      <c r="R218" s="36"/>
      <c r="S218" s="36"/>
      <c r="T218" s="12"/>
      <c r="U218" s="12"/>
      <c r="V218" s="12"/>
      <c r="W218" s="12"/>
      <c r="X218" s="12"/>
    </row>
    <row r="219" customFormat="false" ht="15.75" hidden="false" customHeight="false" outlineLevel="0" collapsed="false">
      <c r="A219" s="12"/>
      <c r="B219" s="34"/>
      <c r="C219" s="12"/>
      <c r="D219" s="12"/>
      <c r="E219" s="12"/>
      <c r="F219" s="12"/>
      <c r="G219" s="18"/>
      <c r="H219" s="35"/>
      <c r="I219" s="12"/>
      <c r="M219" s="12"/>
      <c r="N219" s="18"/>
      <c r="O219" s="12"/>
      <c r="P219" s="12"/>
      <c r="Q219" s="12"/>
      <c r="R219" s="36"/>
      <c r="S219" s="36"/>
      <c r="T219" s="12"/>
      <c r="U219" s="12"/>
      <c r="V219" s="12"/>
      <c r="W219" s="12"/>
      <c r="X219" s="12"/>
    </row>
    <row r="220" customFormat="false" ht="15.75" hidden="false" customHeight="false" outlineLevel="0" collapsed="false">
      <c r="A220" s="12"/>
      <c r="B220" s="34"/>
      <c r="C220" s="12"/>
      <c r="D220" s="12"/>
      <c r="E220" s="12"/>
      <c r="F220" s="12"/>
      <c r="G220" s="18"/>
      <c r="H220" s="35"/>
      <c r="I220" s="12"/>
      <c r="M220" s="12"/>
      <c r="N220" s="18"/>
      <c r="O220" s="12"/>
      <c r="P220" s="12"/>
      <c r="Q220" s="12"/>
      <c r="R220" s="36"/>
      <c r="S220" s="36"/>
      <c r="T220" s="12"/>
      <c r="U220" s="12"/>
      <c r="V220" s="12"/>
      <c r="W220" s="12"/>
      <c r="X220" s="12"/>
    </row>
    <row r="221" customFormat="false" ht="15.75" hidden="false" customHeight="false" outlineLevel="0" collapsed="false">
      <c r="A221" s="12"/>
      <c r="B221" s="34"/>
      <c r="C221" s="12"/>
      <c r="D221" s="12"/>
      <c r="E221" s="12"/>
      <c r="F221" s="12"/>
      <c r="G221" s="18"/>
      <c r="H221" s="35"/>
      <c r="I221" s="12"/>
      <c r="M221" s="12"/>
      <c r="N221" s="18"/>
      <c r="O221" s="12"/>
      <c r="P221" s="12"/>
      <c r="Q221" s="12"/>
      <c r="R221" s="36"/>
      <c r="S221" s="36"/>
      <c r="T221" s="12"/>
      <c r="U221" s="12"/>
      <c r="V221" s="12"/>
      <c r="W221" s="12"/>
      <c r="X221" s="12"/>
    </row>
    <row r="222" customFormat="false" ht="15.75" hidden="false" customHeight="false" outlineLevel="0" collapsed="false">
      <c r="A222" s="12"/>
      <c r="B222" s="34"/>
      <c r="C222" s="12"/>
      <c r="D222" s="12"/>
      <c r="E222" s="12"/>
      <c r="F222" s="12"/>
      <c r="G222" s="18"/>
      <c r="H222" s="35"/>
      <c r="I222" s="12"/>
      <c r="M222" s="12"/>
      <c r="N222" s="18"/>
      <c r="O222" s="12"/>
      <c r="P222" s="12"/>
      <c r="Q222" s="12"/>
      <c r="R222" s="36"/>
      <c r="S222" s="36"/>
      <c r="T222" s="12"/>
      <c r="U222" s="12"/>
      <c r="V222" s="12"/>
      <c r="W222" s="12"/>
      <c r="X222" s="12"/>
    </row>
    <row r="223" customFormat="false" ht="15.75" hidden="false" customHeight="false" outlineLevel="0" collapsed="false">
      <c r="A223" s="12"/>
      <c r="B223" s="34"/>
      <c r="C223" s="12"/>
      <c r="D223" s="12"/>
      <c r="E223" s="12"/>
      <c r="F223" s="12"/>
      <c r="G223" s="18"/>
      <c r="H223" s="35"/>
      <c r="I223" s="12"/>
      <c r="M223" s="12"/>
      <c r="N223" s="18"/>
      <c r="O223" s="12"/>
      <c r="P223" s="12"/>
      <c r="Q223" s="12"/>
      <c r="R223" s="36"/>
      <c r="S223" s="36"/>
      <c r="T223" s="12"/>
      <c r="U223" s="12"/>
      <c r="V223" s="12"/>
      <c r="W223" s="12"/>
      <c r="X223" s="12"/>
    </row>
    <row r="224" customFormat="false" ht="15.75" hidden="false" customHeight="false" outlineLevel="0" collapsed="false">
      <c r="A224" s="12"/>
      <c r="B224" s="34"/>
      <c r="C224" s="12"/>
      <c r="D224" s="12"/>
      <c r="E224" s="12"/>
      <c r="F224" s="12"/>
      <c r="G224" s="18"/>
      <c r="H224" s="35"/>
      <c r="I224" s="12"/>
      <c r="M224" s="12"/>
      <c r="N224" s="18"/>
      <c r="O224" s="12"/>
      <c r="P224" s="12"/>
      <c r="Q224" s="12"/>
      <c r="R224" s="36"/>
      <c r="S224" s="36"/>
      <c r="T224" s="12"/>
      <c r="U224" s="12"/>
      <c r="V224" s="12"/>
      <c r="W224" s="12"/>
      <c r="X224" s="12"/>
    </row>
    <row r="225" customFormat="false" ht="15.75" hidden="false" customHeight="false" outlineLevel="0" collapsed="false">
      <c r="A225" s="12"/>
      <c r="B225" s="34"/>
      <c r="C225" s="12"/>
      <c r="D225" s="12"/>
      <c r="E225" s="12"/>
      <c r="F225" s="12"/>
      <c r="G225" s="18"/>
      <c r="H225" s="35"/>
      <c r="I225" s="12"/>
      <c r="M225" s="12"/>
      <c r="N225" s="18"/>
      <c r="O225" s="12"/>
      <c r="P225" s="12"/>
      <c r="Q225" s="12"/>
      <c r="R225" s="36"/>
      <c r="S225" s="36"/>
      <c r="T225" s="12"/>
      <c r="U225" s="12"/>
      <c r="V225" s="12"/>
      <c r="W225" s="12"/>
      <c r="X225" s="12"/>
    </row>
    <row r="226" customFormat="false" ht="15.75" hidden="false" customHeight="false" outlineLevel="0" collapsed="false">
      <c r="A226" s="12"/>
      <c r="B226" s="34"/>
      <c r="C226" s="12"/>
      <c r="D226" s="12"/>
      <c r="E226" s="12"/>
      <c r="F226" s="12"/>
      <c r="G226" s="18"/>
      <c r="H226" s="35"/>
      <c r="I226" s="12"/>
      <c r="M226" s="12"/>
      <c r="N226" s="18"/>
      <c r="O226" s="12"/>
      <c r="P226" s="12"/>
      <c r="Q226" s="12"/>
      <c r="R226" s="36"/>
      <c r="S226" s="36"/>
      <c r="T226" s="12"/>
      <c r="U226" s="12"/>
      <c r="V226" s="12"/>
      <c r="W226" s="12"/>
      <c r="X226" s="12"/>
    </row>
    <row r="227" customFormat="false" ht="15.75" hidden="false" customHeight="false" outlineLevel="0" collapsed="false">
      <c r="A227" s="12"/>
      <c r="B227" s="34"/>
      <c r="C227" s="12"/>
      <c r="D227" s="12"/>
      <c r="E227" s="12"/>
      <c r="F227" s="12"/>
      <c r="G227" s="18"/>
      <c r="H227" s="35"/>
      <c r="I227" s="12"/>
      <c r="M227" s="12"/>
      <c r="N227" s="18"/>
      <c r="O227" s="12"/>
      <c r="P227" s="12"/>
      <c r="Q227" s="12"/>
      <c r="R227" s="36"/>
      <c r="S227" s="36"/>
      <c r="T227" s="12"/>
      <c r="U227" s="12"/>
      <c r="V227" s="12"/>
      <c r="W227" s="12"/>
      <c r="X227" s="12"/>
    </row>
    <row r="228" customFormat="false" ht="15.75" hidden="false" customHeight="false" outlineLevel="0" collapsed="false">
      <c r="A228" s="12"/>
      <c r="B228" s="34"/>
      <c r="C228" s="12"/>
      <c r="D228" s="12"/>
      <c r="E228" s="12"/>
      <c r="F228" s="12"/>
      <c r="G228" s="18"/>
      <c r="H228" s="35"/>
      <c r="I228" s="12"/>
      <c r="M228" s="12"/>
      <c r="N228" s="18"/>
      <c r="O228" s="12"/>
      <c r="P228" s="12"/>
      <c r="Q228" s="12"/>
      <c r="R228" s="36"/>
      <c r="S228" s="36"/>
      <c r="T228" s="12"/>
      <c r="U228" s="12"/>
      <c r="V228" s="12"/>
      <c r="W228" s="12"/>
      <c r="X228" s="12"/>
    </row>
    <row r="229" customFormat="false" ht="15.75" hidden="false" customHeight="false" outlineLevel="0" collapsed="false">
      <c r="A229" s="12"/>
      <c r="B229" s="34"/>
      <c r="C229" s="12"/>
      <c r="D229" s="12"/>
      <c r="E229" s="12"/>
      <c r="F229" s="12"/>
      <c r="G229" s="18"/>
      <c r="H229" s="35"/>
      <c r="I229" s="12"/>
      <c r="M229" s="12"/>
      <c r="N229" s="18"/>
      <c r="O229" s="12"/>
      <c r="P229" s="12"/>
      <c r="Q229" s="12"/>
      <c r="R229" s="36"/>
      <c r="S229" s="36"/>
      <c r="T229" s="12"/>
      <c r="U229" s="12"/>
      <c r="V229" s="12"/>
      <c r="W229" s="12"/>
      <c r="X229" s="12"/>
    </row>
    <row r="230" customFormat="false" ht="15.75" hidden="false" customHeight="false" outlineLevel="0" collapsed="false">
      <c r="A230" s="12"/>
      <c r="B230" s="34"/>
      <c r="C230" s="12"/>
      <c r="D230" s="12"/>
      <c r="E230" s="12"/>
      <c r="F230" s="12"/>
      <c r="G230" s="18"/>
      <c r="H230" s="35"/>
      <c r="I230" s="12"/>
      <c r="M230" s="12"/>
      <c r="N230" s="18"/>
      <c r="O230" s="12"/>
      <c r="P230" s="12"/>
      <c r="Q230" s="12"/>
      <c r="R230" s="36"/>
      <c r="S230" s="36"/>
      <c r="T230" s="12"/>
      <c r="U230" s="12"/>
      <c r="V230" s="12"/>
      <c r="W230" s="12"/>
      <c r="X230" s="12"/>
    </row>
    <row r="231" customFormat="false" ht="15.75" hidden="false" customHeight="false" outlineLevel="0" collapsed="false">
      <c r="A231" s="12"/>
      <c r="B231" s="34"/>
      <c r="C231" s="12"/>
      <c r="D231" s="12"/>
      <c r="E231" s="12"/>
      <c r="F231" s="12"/>
      <c r="G231" s="18"/>
      <c r="H231" s="35"/>
      <c r="I231" s="12"/>
      <c r="M231" s="12"/>
      <c r="N231" s="18"/>
      <c r="O231" s="12"/>
      <c r="P231" s="12"/>
      <c r="Q231" s="12"/>
      <c r="R231" s="36"/>
      <c r="S231" s="36"/>
      <c r="T231" s="12"/>
      <c r="U231" s="12"/>
      <c r="V231" s="12"/>
      <c r="W231" s="12"/>
      <c r="X231" s="12"/>
    </row>
    <row r="232" customFormat="false" ht="15.75" hidden="false" customHeight="false" outlineLevel="0" collapsed="false">
      <c r="A232" s="12"/>
      <c r="B232" s="34"/>
      <c r="C232" s="12"/>
      <c r="D232" s="12"/>
      <c r="E232" s="12"/>
      <c r="F232" s="12"/>
      <c r="G232" s="18"/>
      <c r="H232" s="35"/>
      <c r="I232" s="12"/>
      <c r="M232" s="12"/>
      <c r="N232" s="18"/>
      <c r="O232" s="12"/>
      <c r="P232" s="12"/>
      <c r="Q232" s="12"/>
      <c r="R232" s="36"/>
      <c r="S232" s="36"/>
      <c r="T232" s="12"/>
      <c r="U232" s="12"/>
      <c r="V232" s="12"/>
      <c r="W232" s="12"/>
      <c r="X232" s="12"/>
    </row>
    <row r="233" customFormat="false" ht="15.75" hidden="false" customHeight="false" outlineLevel="0" collapsed="false">
      <c r="A233" s="12"/>
      <c r="B233" s="34"/>
      <c r="C233" s="12"/>
      <c r="D233" s="12"/>
      <c r="E233" s="12"/>
      <c r="F233" s="12"/>
      <c r="G233" s="18"/>
      <c r="H233" s="35"/>
      <c r="I233" s="12"/>
      <c r="M233" s="12"/>
      <c r="N233" s="18"/>
      <c r="O233" s="12"/>
      <c r="P233" s="12"/>
      <c r="Q233" s="12"/>
      <c r="R233" s="36"/>
      <c r="S233" s="36"/>
      <c r="T233" s="12"/>
      <c r="U233" s="12"/>
      <c r="V233" s="12"/>
      <c r="W233" s="12"/>
      <c r="X233" s="12"/>
    </row>
    <row r="234" customFormat="false" ht="15.75" hidden="false" customHeight="false" outlineLevel="0" collapsed="false">
      <c r="A234" s="12"/>
      <c r="B234" s="34"/>
      <c r="C234" s="12"/>
      <c r="D234" s="12"/>
      <c r="E234" s="12"/>
      <c r="F234" s="12"/>
      <c r="G234" s="18"/>
      <c r="H234" s="35"/>
      <c r="I234" s="12"/>
      <c r="M234" s="12"/>
      <c r="N234" s="18"/>
      <c r="O234" s="12"/>
      <c r="P234" s="12"/>
      <c r="Q234" s="12"/>
      <c r="R234" s="36"/>
      <c r="S234" s="36"/>
      <c r="T234" s="12"/>
      <c r="U234" s="12"/>
      <c r="V234" s="12"/>
      <c r="W234" s="12"/>
      <c r="X234" s="12"/>
    </row>
    <row r="235" customFormat="false" ht="15.75" hidden="false" customHeight="false" outlineLevel="0" collapsed="false">
      <c r="A235" s="12"/>
      <c r="B235" s="34"/>
      <c r="C235" s="12"/>
      <c r="D235" s="12"/>
      <c r="E235" s="12"/>
      <c r="F235" s="12"/>
      <c r="G235" s="18"/>
      <c r="H235" s="35"/>
      <c r="I235" s="12"/>
      <c r="M235" s="12"/>
      <c r="N235" s="18"/>
      <c r="O235" s="12"/>
      <c r="P235" s="12"/>
      <c r="Q235" s="12"/>
      <c r="R235" s="36"/>
      <c r="S235" s="36"/>
      <c r="T235" s="12"/>
      <c r="U235" s="12"/>
      <c r="V235" s="12"/>
      <c r="W235" s="12"/>
      <c r="X235" s="12"/>
    </row>
    <row r="236" customFormat="false" ht="15.75" hidden="false" customHeight="false" outlineLevel="0" collapsed="false">
      <c r="A236" s="12"/>
      <c r="B236" s="34"/>
      <c r="C236" s="12"/>
      <c r="D236" s="12"/>
      <c r="E236" s="12"/>
      <c r="F236" s="12"/>
      <c r="G236" s="18"/>
      <c r="H236" s="35"/>
      <c r="I236" s="12"/>
      <c r="M236" s="12"/>
      <c r="N236" s="18"/>
      <c r="O236" s="12"/>
      <c r="P236" s="12"/>
      <c r="Q236" s="12"/>
      <c r="R236" s="36"/>
      <c r="S236" s="36"/>
      <c r="T236" s="12"/>
      <c r="U236" s="12"/>
      <c r="V236" s="12"/>
      <c r="W236" s="12"/>
      <c r="X236" s="12"/>
    </row>
    <row r="237" customFormat="false" ht="15.75" hidden="false" customHeight="false" outlineLevel="0" collapsed="false">
      <c r="A237" s="12"/>
      <c r="B237" s="34"/>
      <c r="C237" s="12"/>
      <c r="D237" s="12"/>
      <c r="E237" s="12"/>
      <c r="F237" s="12"/>
      <c r="G237" s="18"/>
      <c r="H237" s="35"/>
      <c r="I237" s="12"/>
      <c r="M237" s="12"/>
      <c r="N237" s="18"/>
      <c r="O237" s="12"/>
      <c r="P237" s="12"/>
      <c r="Q237" s="12"/>
      <c r="R237" s="36"/>
      <c r="S237" s="36"/>
      <c r="T237" s="12"/>
      <c r="U237" s="12"/>
      <c r="V237" s="12"/>
      <c r="W237" s="12"/>
      <c r="X237" s="12"/>
    </row>
    <row r="238" customFormat="false" ht="15.75" hidden="false" customHeight="false" outlineLevel="0" collapsed="false">
      <c r="A238" s="12"/>
      <c r="B238" s="34"/>
      <c r="C238" s="12"/>
      <c r="D238" s="12"/>
      <c r="E238" s="12"/>
      <c r="F238" s="12"/>
      <c r="G238" s="18"/>
      <c r="H238" s="35"/>
      <c r="I238" s="12"/>
      <c r="M238" s="12"/>
      <c r="N238" s="18"/>
      <c r="O238" s="12"/>
      <c r="P238" s="12"/>
      <c r="Q238" s="12"/>
      <c r="R238" s="36"/>
      <c r="S238" s="36"/>
      <c r="T238" s="12"/>
      <c r="U238" s="12"/>
      <c r="V238" s="12"/>
      <c r="W238" s="12"/>
      <c r="X238" s="12"/>
    </row>
    <row r="239" customFormat="false" ht="15.75" hidden="false" customHeight="false" outlineLevel="0" collapsed="false">
      <c r="A239" s="12"/>
      <c r="B239" s="34"/>
      <c r="C239" s="12"/>
      <c r="D239" s="12"/>
      <c r="E239" s="12"/>
      <c r="F239" s="12"/>
      <c r="G239" s="18"/>
      <c r="H239" s="35"/>
      <c r="I239" s="12"/>
      <c r="M239" s="12"/>
      <c r="N239" s="18"/>
      <c r="O239" s="12"/>
      <c r="P239" s="12"/>
      <c r="Q239" s="12"/>
      <c r="R239" s="36"/>
      <c r="S239" s="36"/>
      <c r="T239" s="12"/>
      <c r="U239" s="12"/>
      <c r="V239" s="12"/>
      <c r="W239" s="12"/>
      <c r="X239" s="12"/>
    </row>
    <row r="240" customFormat="false" ht="15.75" hidden="false" customHeight="false" outlineLevel="0" collapsed="false">
      <c r="A240" s="12"/>
      <c r="B240" s="34"/>
      <c r="C240" s="12"/>
      <c r="D240" s="12"/>
      <c r="E240" s="12"/>
      <c r="F240" s="12"/>
      <c r="G240" s="18"/>
      <c r="H240" s="35"/>
      <c r="I240" s="12"/>
      <c r="M240" s="12"/>
      <c r="N240" s="18"/>
      <c r="O240" s="12"/>
      <c r="P240" s="12"/>
      <c r="Q240" s="12"/>
      <c r="R240" s="36"/>
      <c r="S240" s="36"/>
      <c r="T240" s="12"/>
      <c r="U240" s="12"/>
      <c r="V240" s="12"/>
      <c r="W240" s="12"/>
      <c r="X240" s="12"/>
    </row>
    <row r="241" customFormat="false" ht="15.75" hidden="false" customHeight="false" outlineLevel="0" collapsed="false">
      <c r="A241" s="12"/>
      <c r="B241" s="34"/>
      <c r="C241" s="12"/>
      <c r="D241" s="12"/>
      <c r="E241" s="12"/>
      <c r="F241" s="12"/>
      <c r="G241" s="18"/>
      <c r="H241" s="35"/>
      <c r="I241" s="12"/>
      <c r="M241" s="12"/>
      <c r="N241" s="18"/>
      <c r="O241" s="12"/>
      <c r="P241" s="12"/>
      <c r="Q241" s="12"/>
      <c r="R241" s="36"/>
      <c r="S241" s="36"/>
      <c r="T241" s="12"/>
      <c r="U241" s="12"/>
      <c r="V241" s="12"/>
      <c r="W241" s="12"/>
      <c r="X241" s="12"/>
    </row>
    <row r="242" customFormat="false" ht="15.75" hidden="false" customHeight="false" outlineLevel="0" collapsed="false">
      <c r="A242" s="12"/>
      <c r="B242" s="34"/>
      <c r="C242" s="12"/>
      <c r="D242" s="12"/>
      <c r="E242" s="12"/>
      <c r="F242" s="12"/>
      <c r="G242" s="18"/>
      <c r="H242" s="35"/>
      <c r="I242" s="12"/>
      <c r="M242" s="12"/>
      <c r="N242" s="18"/>
      <c r="O242" s="12"/>
      <c r="P242" s="12"/>
      <c r="Q242" s="12"/>
      <c r="R242" s="36"/>
      <c r="S242" s="36"/>
      <c r="T242" s="12"/>
      <c r="U242" s="12"/>
      <c r="V242" s="12"/>
      <c r="W242" s="12"/>
      <c r="X242" s="12"/>
    </row>
    <row r="243" customFormat="false" ht="15.75" hidden="false" customHeight="false" outlineLevel="0" collapsed="false">
      <c r="A243" s="12"/>
      <c r="B243" s="34"/>
      <c r="C243" s="12"/>
      <c r="D243" s="12"/>
      <c r="E243" s="12"/>
      <c r="F243" s="12"/>
      <c r="G243" s="18"/>
      <c r="H243" s="35"/>
      <c r="I243" s="12"/>
      <c r="M243" s="12"/>
      <c r="N243" s="18"/>
      <c r="O243" s="12"/>
      <c r="P243" s="12"/>
      <c r="Q243" s="12"/>
      <c r="R243" s="36"/>
      <c r="S243" s="36"/>
      <c r="T243" s="12"/>
      <c r="U243" s="12"/>
      <c r="V243" s="12"/>
      <c r="W243" s="12"/>
      <c r="X243" s="12"/>
    </row>
    <row r="244" customFormat="false" ht="15.75" hidden="false" customHeight="false" outlineLevel="0" collapsed="false">
      <c r="A244" s="12"/>
      <c r="B244" s="34"/>
      <c r="C244" s="12"/>
      <c r="D244" s="12"/>
      <c r="E244" s="12"/>
      <c r="F244" s="12"/>
      <c r="G244" s="18"/>
      <c r="H244" s="35"/>
      <c r="I244" s="12"/>
      <c r="M244" s="12"/>
      <c r="N244" s="18"/>
      <c r="O244" s="12"/>
      <c r="P244" s="12"/>
      <c r="Q244" s="12"/>
      <c r="R244" s="36"/>
      <c r="S244" s="36"/>
      <c r="T244" s="12"/>
      <c r="U244" s="12"/>
      <c r="V244" s="12"/>
      <c r="W244" s="12"/>
      <c r="X244" s="12"/>
    </row>
    <row r="245" customFormat="false" ht="15.75" hidden="false" customHeight="false" outlineLevel="0" collapsed="false">
      <c r="A245" s="12"/>
      <c r="B245" s="34"/>
      <c r="C245" s="12"/>
      <c r="D245" s="12"/>
      <c r="E245" s="12"/>
      <c r="F245" s="12"/>
      <c r="G245" s="18"/>
      <c r="H245" s="35"/>
      <c r="I245" s="12"/>
      <c r="M245" s="12"/>
      <c r="N245" s="18"/>
      <c r="O245" s="12"/>
      <c r="P245" s="12"/>
      <c r="Q245" s="12"/>
      <c r="R245" s="36"/>
      <c r="S245" s="36"/>
      <c r="T245" s="12"/>
      <c r="U245" s="12"/>
      <c r="V245" s="12"/>
      <c r="W245" s="12"/>
      <c r="X245" s="12"/>
    </row>
    <row r="246" customFormat="false" ht="15.75" hidden="false" customHeight="false" outlineLevel="0" collapsed="false">
      <c r="A246" s="12"/>
      <c r="B246" s="34"/>
      <c r="C246" s="12"/>
      <c r="D246" s="12"/>
      <c r="E246" s="12"/>
      <c r="F246" s="12"/>
      <c r="G246" s="18"/>
      <c r="H246" s="35"/>
      <c r="I246" s="12"/>
      <c r="M246" s="12"/>
      <c r="N246" s="18"/>
      <c r="O246" s="12"/>
      <c r="P246" s="12"/>
      <c r="Q246" s="12"/>
      <c r="R246" s="36"/>
      <c r="S246" s="36"/>
      <c r="T246" s="12"/>
      <c r="U246" s="12"/>
      <c r="V246" s="12"/>
      <c r="W246" s="12"/>
      <c r="X246" s="12"/>
    </row>
    <row r="247" customFormat="false" ht="15.75" hidden="false" customHeight="false" outlineLevel="0" collapsed="false">
      <c r="A247" s="12"/>
      <c r="B247" s="34"/>
      <c r="C247" s="12"/>
      <c r="D247" s="12"/>
      <c r="E247" s="12"/>
      <c r="F247" s="12"/>
      <c r="G247" s="18"/>
      <c r="H247" s="35"/>
      <c r="I247" s="12"/>
      <c r="M247" s="12"/>
      <c r="N247" s="18"/>
      <c r="O247" s="12"/>
      <c r="P247" s="12"/>
      <c r="Q247" s="12"/>
      <c r="R247" s="36"/>
      <c r="S247" s="36"/>
      <c r="T247" s="12"/>
      <c r="U247" s="12"/>
      <c r="V247" s="12"/>
      <c r="W247" s="12"/>
      <c r="X247" s="12"/>
    </row>
    <row r="248" customFormat="false" ht="15.75" hidden="false" customHeight="false" outlineLevel="0" collapsed="false">
      <c r="A248" s="12"/>
      <c r="B248" s="34"/>
      <c r="C248" s="12"/>
      <c r="D248" s="12"/>
      <c r="E248" s="12"/>
      <c r="F248" s="12"/>
      <c r="G248" s="18"/>
      <c r="H248" s="35"/>
      <c r="I248" s="12"/>
      <c r="M248" s="12"/>
      <c r="N248" s="18"/>
      <c r="O248" s="12"/>
      <c r="P248" s="12"/>
      <c r="Q248" s="12"/>
      <c r="R248" s="36"/>
      <c r="S248" s="36"/>
      <c r="T248" s="12"/>
      <c r="U248" s="12"/>
      <c r="V248" s="12"/>
      <c r="W248" s="12"/>
      <c r="X248" s="12"/>
    </row>
    <row r="249" customFormat="false" ht="15.75" hidden="false" customHeight="false" outlineLevel="0" collapsed="false">
      <c r="A249" s="12"/>
      <c r="B249" s="34"/>
      <c r="C249" s="12"/>
      <c r="D249" s="12"/>
      <c r="E249" s="12"/>
      <c r="F249" s="12"/>
      <c r="G249" s="18"/>
      <c r="H249" s="35"/>
      <c r="I249" s="12"/>
      <c r="M249" s="12"/>
      <c r="N249" s="18"/>
      <c r="O249" s="12"/>
      <c r="P249" s="12"/>
      <c r="Q249" s="12"/>
      <c r="R249" s="36"/>
      <c r="S249" s="36"/>
      <c r="T249" s="12"/>
      <c r="U249" s="12"/>
      <c r="V249" s="12"/>
      <c r="W249" s="12"/>
      <c r="X249" s="12"/>
    </row>
    <row r="250" customFormat="false" ht="15.75" hidden="false" customHeight="false" outlineLevel="0" collapsed="false">
      <c r="A250" s="12"/>
      <c r="B250" s="34"/>
      <c r="C250" s="12"/>
      <c r="D250" s="12"/>
      <c r="E250" s="12"/>
      <c r="F250" s="12"/>
      <c r="G250" s="18"/>
      <c r="H250" s="35"/>
      <c r="I250" s="12"/>
      <c r="M250" s="12"/>
      <c r="N250" s="18"/>
      <c r="O250" s="12"/>
      <c r="P250" s="12"/>
      <c r="Q250" s="12"/>
      <c r="R250" s="36"/>
      <c r="S250" s="36"/>
      <c r="T250" s="12"/>
      <c r="U250" s="12"/>
      <c r="V250" s="12"/>
      <c r="W250" s="12"/>
      <c r="X250" s="12"/>
    </row>
    <row r="251" customFormat="false" ht="15.75" hidden="false" customHeight="false" outlineLevel="0" collapsed="false">
      <c r="A251" s="12"/>
      <c r="B251" s="34"/>
      <c r="C251" s="12"/>
      <c r="D251" s="12"/>
      <c r="E251" s="12"/>
      <c r="F251" s="12"/>
      <c r="G251" s="18"/>
      <c r="H251" s="35"/>
      <c r="I251" s="12"/>
      <c r="M251" s="12"/>
      <c r="N251" s="18"/>
      <c r="O251" s="12"/>
      <c r="P251" s="12"/>
      <c r="Q251" s="12"/>
      <c r="R251" s="36"/>
      <c r="S251" s="36"/>
      <c r="T251" s="12"/>
      <c r="U251" s="12"/>
      <c r="V251" s="12"/>
      <c r="W251" s="12"/>
      <c r="X251" s="12"/>
    </row>
    <row r="252" customFormat="false" ht="15.75" hidden="false" customHeight="false" outlineLevel="0" collapsed="false">
      <c r="A252" s="12"/>
      <c r="B252" s="34"/>
      <c r="C252" s="12"/>
      <c r="D252" s="12"/>
      <c r="E252" s="12"/>
      <c r="F252" s="12"/>
      <c r="G252" s="18"/>
      <c r="H252" s="35"/>
      <c r="I252" s="12"/>
      <c r="M252" s="12"/>
      <c r="N252" s="18"/>
      <c r="O252" s="12"/>
      <c r="P252" s="12"/>
      <c r="Q252" s="12"/>
      <c r="R252" s="36"/>
      <c r="S252" s="36"/>
      <c r="T252" s="12"/>
      <c r="U252" s="12"/>
      <c r="V252" s="12"/>
      <c r="W252" s="12"/>
      <c r="X252" s="12"/>
    </row>
    <row r="253" customFormat="false" ht="15.75" hidden="false" customHeight="false" outlineLevel="0" collapsed="false">
      <c r="A253" s="12"/>
      <c r="B253" s="34"/>
      <c r="C253" s="12"/>
      <c r="D253" s="12"/>
      <c r="E253" s="12"/>
      <c r="F253" s="12"/>
      <c r="G253" s="18"/>
      <c r="H253" s="35"/>
      <c r="I253" s="12"/>
      <c r="M253" s="12"/>
      <c r="N253" s="18"/>
      <c r="O253" s="12"/>
      <c r="P253" s="12"/>
      <c r="Q253" s="12"/>
      <c r="R253" s="36"/>
      <c r="S253" s="36"/>
      <c r="T253" s="12"/>
      <c r="U253" s="12"/>
      <c r="V253" s="12"/>
      <c r="W253" s="12"/>
      <c r="X253" s="12"/>
    </row>
    <row r="254" customFormat="false" ht="15.75" hidden="false" customHeight="false" outlineLevel="0" collapsed="false">
      <c r="A254" s="12"/>
      <c r="B254" s="34"/>
      <c r="C254" s="12"/>
      <c r="D254" s="12"/>
      <c r="E254" s="12"/>
      <c r="F254" s="12"/>
      <c r="G254" s="18"/>
      <c r="H254" s="35"/>
      <c r="I254" s="12"/>
      <c r="M254" s="12"/>
      <c r="N254" s="18"/>
      <c r="O254" s="12"/>
      <c r="P254" s="12"/>
      <c r="Q254" s="12"/>
      <c r="R254" s="36"/>
      <c r="S254" s="36"/>
      <c r="T254" s="12"/>
      <c r="U254" s="12"/>
      <c r="V254" s="12"/>
      <c r="W254" s="12"/>
      <c r="X254" s="12"/>
    </row>
    <row r="255" customFormat="false" ht="15.75" hidden="false" customHeight="false" outlineLevel="0" collapsed="false">
      <c r="A255" s="12"/>
      <c r="B255" s="34"/>
      <c r="C255" s="12"/>
      <c r="D255" s="12"/>
      <c r="E255" s="12"/>
      <c r="F255" s="12"/>
      <c r="G255" s="18"/>
      <c r="H255" s="35"/>
      <c r="I255" s="12"/>
      <c r="M255" s="12"/>
      <c r="N255" s="18"/>
      <c r="O255" s="12"/>
      <c r="P255" s="12"/>
      <c r="Q255" s="12"/>
      <c r="R255" s="36"/>
      <c r="S255" s="36"/>
      <c r="T255" s="12"/>
      <c r="U255" s="12"/>
      <c r="V255" s="12"/>
      <c r="W255" s="12"/>
      <c r="X255" s="12"/>
    </row>
    <row r="256" customFormat="false" ht="15.75" hidden="false" customHeight="false" outlineLevel="0" collapsed="false">
      <c r="A256" s="12"/>
      <c r="B256" s="34"/>
      <c r="C256" s="12"/>
      <c r="D256" s="12"/>
      <c r="E256" s="12"/>
      <c r="F256" s="12"/>
      <c r="G256" s="18"/>
      <c r="H256" s="35"/>
      <c r="I256" s="12"/>
      <c r="M256" s="12"/>
      <c r="N256" s="18"/>
      <c r="O256" s="12"/>
      <c r="P256" s="12"/>
      <c r="Q256" s="12"/>
      <c r="R256" s="36"/>
      <c r="S256" s="36"/>
      <c r="T256" s="12"/>
      <c r="U256" s="12"/>
      <c r="V256" s="12"/>
      <c r="W256" s="12"/>
      <c r="X256" s="12"/>
    </row>
    <row r="257" customFormat="false" ht="15.75" hidden="false" customHeight="false" outlineLevel="0" collapsed="false">
      <c r="A257" s="12"/>
      <c r="B257" s="34"/>
      <c r="C257" s="12"/>
      <c r="D257" s="12"/>
      <c r="E257" s="12"/>
      <c r="F257" s="12"/>
      <c r="G257" s="18"/>
      <c r="H257" s="35"/>
      <c r="I257" s="12"/>
      <c r="M257" s="12"/>
      <c r="N257" s="18"/>
      <c r="O257" s="12"/>
      <c r="P257" s="12"/>
      <c r="Q257" s="12"/>
      <c r="R257" s="36"/>
      <c r="S257" s="36"/>
      <c r="T257" s="12"/>
      <c r="U257" s="12"/>
      <c r="V257" s="12"/>
      <c r="W257" s="12"/>
      <c r="X257" s="12"/>
    </row>
    <row r="258" customFormat="false" ht="15.75" hidden="false" customHeight="false" outlineLevel="0" collapsed="false">
      <c r="A258" s="12"/>
      <c r="B258" s="34"/>
      <c r="C258" s="12"/>
      <c r="D258" s="12"/>
      <c r="E258" s="12"/>
      <c r="F258" s="12"/>
      <c r="G258" s="18"/>
      <c r="H258" s="35"/>
      <c r="I258" s="12"/>
      <c r="M258" s="12"/>
      <c r="N258" s="18"/>
      <c r="O258" s="12"/>
      <c r="P258" s="12"/>
      <c r="Q258" s="12"/>
      <c r="R258" s="36"/>
      <c r="S258" s="36"/>
      <c r="T258" s="12"/>
      <c r="U258" s="12"/>
      <c r="V258" s="12"/>
      <c r="W258" s="12"/>
      <c r="X258" s="12"/>
    </row>
    <row r="259" customFormat="false" ht="15.75" hidden="false" customHeight="false" outlineLevel="0" collapsed="false">
      <c r="A259" s="12"/>
      <c r="B259" s="34"/>
      <c r="C259" s="12"/>
      <c r="D259" s="12"/>
      <c r="E259" s="12"/>
      <c r="F259" s="12"/>
      <c r="G259" s="18"/>
      <c r="H259" s="35"/>
      <c r="I259" s="12"/>
      <c r="M259" s="12"/>
      <c r="N259" s="18"/>
      <c r="O259" s="12"/>
      <c r="P259" s="12"/>
      <c r="Q259" s="12"/>
      <c r="R259" s="36"/>
      <c r="S259" s="36"/>
      <c r="T259" s="12"/>
      <c r="U259" s="12"/>
      <c r="V259" s="12"/>
      <c r="W259" s="12"/>
      <c r="X259" s="12"/>
    </row>
    <row r="260" customFormat="false" ht="15.75" hidden="false" customHeight="false" outlineLevel="0" collapsed="false">
      <c r="A260" s="12"/>
      <c r="B260" s="34"/>
      <c r="C260" s="12"/>
      <c r="D260" s="12"/>
      <c r="E260" s="12"/>
      <c r="F260" s="12"/>
      <c r="G260" s="18"/>
      <c r="H260" s="35"/>
      <c r="I260" s="12"/>
      <c r="M260" s="12"/>
      <c r="N260" s="18"/>
      <c r="O260" s="12"/>
      <c r="P260" s="12"/>
      <c r="Q260" s="12"/>
      <c r="R260" s="36"/>
      <c r="S260" s="36"/>
      <c r="T260" s="12"/>
      <c r="U260" s="12"/>
      <c r="V260" s="12"/>
      <c r="W260" s="12"/>
      <c r="X260" s="12"/>
    </row>
    <row r="261" customFormat="false" ht="15.75" hidden="false" customHeight="false" outlineLevel="0" collapsed="false">
      <c r="A261" s="12"/>
      <c r="B261" s="34"/>
      <c r="C261" s="12"/>
      <c r="D261" s="12"/>
      <c r="E261" s="12"/>
      <c r="F261" s="12"/>
      <c r="G261" s="18"/>
      <c r="H261" s="35"/>
      <c r="I261" s="12"/>
      <c r="M261" s="12"/>
      <c r="N261" s="18"/>
      <c r="O261" s="12"/>
      <c r="P261" s="12"/>
      <c r="Q261" s="12"/>
      <c r="R261" s="36"/>
      <c r="S261" s="36"/>
      <c r="T261" s="12"/>
      <c r="U261" s="12"/>
      <c r="V261" s="12"/>
      <c r="W261" s="12"/>
      <c r="X261" s="12"/>
    </row>
    <row r="262" customFormat="false" ht="15.75" hidden="false" customHeight="false" outlineLevel="0" collapsed="false">
      <c r="A262" s="12"/>
      <c r="B262" s="34"/>
      <c r="C262" s="12"/>
      <c r="D262" s="12"/>
      <c r="E262" s="12"/>
      <c r="F262" s="12"/>
      <c r="G262" s="18"/>
      <c r="H262" s="35"/>
      <c r="I262" s="12"/>
      <c r="M262" s="12"/>
      <c r="N262" s="18"/>
      <c r="O262" s="12"/>
      <c r="P262" s="12"/>
      <c r="Q262" s="12"/>
      <c r="R262" s="36"/>
      <c r="S262" s="36"/>
      <c r="T262" s="12"/>
      <c r="U262" s="12"/>
      <c r="V262" s="12"/>
      <c r="W262" s="12"/>
      <c r="X262" s="12"/>
    </row>
    <row r="263" customFormat="false" ht="15.75" hidden="false" customHeight="false" outlineLevel="0" collapsed="false">
      <c r="A263" s="12"/>
      <c r="B263" s="34"/>
      <c r="C263" s="12"/>
      <c r="D263" s="12"/>
      <c r="E263" s="12"/>
      <c r="F263" s="12"/>
      <c r="G263" s="18"/>
      <c r="H263" s="35"/>
      <c r="I263" s="12"/>
      <c r="M263" s="12"/>
      <c r="N263" s="18"/>
      <c r="O263" s="12"/>
      <c r="P263" s="12"/>
      <c r="Q263" s="12"/>
      <c r="R263" s="36"/>
      <c r="S263" s="36"/>
      <c r="T263" s="12"/>
      <c r="U263" s="12"/>
      <c r="V263" s="12"/>
      <c r="W263" s="12"/>
      <c r="X263" s="12"/>
    </row>
    <row r="264" customFormat="false" ht="15.75" hidden="false" customHeight="false" outlineLevel="0" collapsed="false">
      <c r="A264" s="12"/>
      <c r="B264" s="34"/>
      <c r="C264" s="12"/>
      <c r="D264" s="12"/>
      <c r="E264" s="12"/>
      <c r="F264" s="12"/>
      <c r="G264" s="18"/>
      <c r="H264" s="35"/>
      <c r="I264" s="12"/>
      <c r="M264" s="12"/>
      <c r="N264" s="18"/>
      <c r="O264" s="12"/>
      <c r="P264" s="12"/>
      <c r="Q264" s="12"/>
      <c r="R264" s="36"/>
      <c r="S264" s="36"/>
      <c r="T264" s="12"/>
      <c r="U264" s="12"/>
      <c r="V264" s="12"/>
      <c r="W264" s="12"/>
      <c r="X264" s="12"/>
    </row>
    <row r="265" customFormat="false" ht="15.75" hidden="false" customHeight="false" outlineLevel="0" collapsed="false">
      <c r="A265" s="12"/>
      <c r="B265" s="34"/>
      <c r="C265" s="12"/>
      <c r="D265" s="12"/>
      <c r="E265" s="12"/>
      <c r="F265" s="12"/>
      <c r="G265" s="18"/>
      <c r="H265" s="35"/>
      <c r="I265" s="12"/>
      <c r="M265" s="12"/>
      <c r="N265" s="18"/>
      <c r="O265" s="12"/>
      <c r="P265" s="12"/>
      <c r="Q265" s="12"/>
      <c r="R265" s="36"/>
      <c r="S265" s="36"/>
      <c r="T265" s="12"/>
      <c r="U265" s="12"/>
      <c r="V265" s="12"/>
      <c r="W265" s="12"/>
      <c r="X265" s="12"/>
    </row>
    <row r="266" customFormat="false" ht="15.75" hidden="false" customHeight="false" outlineLevel="0" collapsed="false">
      <c r="A266" s="12"/>
      <c r="B266" s="34"/>
      <c r="C266" s="12"/>
      <c r="D266" s="12"/>
      <c r="E266" s="12"/>
      <c r="F266" s="12"/>
      <c r="G266" s="18"/>
      <c r="H266" s="35"/>
      <c r="I266" s="12"/>
      <c r="M266" s="12"/>
      <c r="N266" s="18"/>
      <c r="O266" s="12"/>
      <c r="P266" s="12"/>
      <c r="Q266" s="12"/>
      <c r="R266" s="36"/>
      <c r="S266" s="36"/>
      <c r="T266" s="12"/>
      <c r="U266" s="12"/>
      <c r="V266" s="12"/>
      <c r="W266" s="12"/>
      <c r="X266" s="12"/>
    </row>
    <row r="267" customFormat="false" ht="15.75" hidden="false" customHeight="false" outlineLevel="0" collapsed="false">
      <c r="A267" s="12"/>
      <c r="B267" s="34"/>
      <c r="C267" s="12"/>
      <c r="D267" s="12"/>
      <c r="E267" s="12"/>
      <c r="F267" s="12"/>
      <c r="G267" s="18"/>
      <c r="H267" s="35"/>
      <c r="I267" s="12"/>
      <c r="M267" s="12"/>
      <c r="N267" s="18"/>
      <c r="O267" s="12"/>
      <c r="P267" s="12"/>
      <c r="Q267" s="12"/>
      <c r="R267" s="36"/>
      <c r="S267" s="36"/>
      <c r="T267" s="12"/>
      <c r="U267" s="12"/>
      <c r="V267" s="12"/>
      <c r="W267" s="12"/>
      <c r="X267" s="12"/>
    </row>
    <row r="268" customFormat="false" ht="15.75" hidden="false" customHeight="false" outlineLevel="0" collapsed="false">
      <c r="A268" s="12"/>
      <c r="B268" s="34"/>
      <c r="C268" s="12"/>
      <c r="D268" s="12"/>
      <c r="E268" s="12"/>
      <c r="F268" s="12"/>
      <c r="G268" s="18"/>
      <c r="H268" s="35"/>
      <c r="I268" s="12"/>
      <c r="M268" s="12"/>
      <c r="N268" s="18"/>
      <c r="O268" s="12"/>
      <c r="P268" s="12"/>
      <c r="Q268" s="12"/>
      <c r="R268" s="36"/>
      <c r="S268" s="36"/>
      <c r="T268" s="12"/>
      <c r="U268" s="12"/>
      <c r="V268" s="12"/>
      <c r="W268" s="12"/>
      <c r="X268" s="12"/>
    </row>
    <row r="269" customFormat="false" ht="15.75" hidden="false" customHeight="false" outlineLevel="0" collapsed="false">
      <c r="A269" s="12"/>
      <c r="B269" s="34"/>
      <c r="C269" s="12"/>
      <c r="D269" s="12"/>
      <c r="E269" s="12"/>
      <c r="F269" s="12"/>
      <c r="G269" s="18"/>
      <c r="H269" s="35"/>
      <c r="I269" s="12"/>
      <c r="M269" s="12"/>
      <c r="N269" s="18"/>
      <c r="O269" s="12"/>
      <c r="P269" s="12"/>
      <c r="Q269" s="12"/>
      <c r="R269" s="36"/>
      <c r="S269" s="36"/>
      <c r="T269" s="12"/>
      <c r="U269" s="12"/>
      <c r="V269" s="12"/>
      <c r="W269" s="12"/>
      <c r="X269" s="12"/>
    </row>
    <row r="270" customFormat="false" ht="15.75" hidden="false" customHeight="false" outlineLevel="0" collapsed="false">
      <c r="A270" s="12"/>
      <c r="B270" s="34"/>
      <c r="C270" s="12"/>
      <c r="D270" s="12"/>
      <c r="E270" s="12"/>
      <c r="F270" s="12"/>
      <c r="G270" s="18"/>
      <c r="H270" s="35"/>
      <c r="I270" s="12"/>
      <c r="M270" s="12"/>
      <c r="N270" s="18"/>
      <c r="O270" s="12"/>
      <c r="P270" s="12"/>
      <c r="Q270" s="12"/>
      <c r="R270" s="36"/>
      <c r="S270" s="36"/>
      <c r="T270" s="12"/>
      <c r="U270" s="12"/>
      <c r="V270" s="12"/>
      <c r="W270" s="12"/>
      <c r="X270" s="12"/>
    </row>
    <row r="271" customFormat="false" ht="15.75" hidden="false" customHeight="false" outlineLevel="0" collapsed="false">
      <c r="A271" s="12"/>
      <c r="B271" s="34"/>
      <c r="C271" s="12"/>
      <c r="D271" s="12"/>
      <c r="E271" s="12"/>
      <c r="F271" s="12"/>
      <c r="G271" s="18"/>
      <c r="H271" s="35"/>
      <c r="I271" s="12"/>
      <c r="M271" s="12"/>
      <c r="N271" s="18"/>
      <c r="O271" s="12"/>
      <c r="P271" s="12"/>
      <c r="Q271" s="12"/>
      <c r="R271" s="36"/>
      <c r="S271" s="36"/>
      <c r="T271" s="12"/>
      <c r="U271" s="12"/>
      <c r="V271" s="12"/>
      <c r="W271" s="12"/>
      <c r="X271" s="12"/>
    </row>
    <row r="272" customFormat="false" ht="15.75" hidden="false" customHeight="false" outlineLevel="0" collapsed="false">
      <c r="A272" s="12"/>
      <c r="B272" s="34"/>
      <c r="C272" s="12"/>
      <c r="D272" s="12"/>
      <c r="E272" s="12"/>
      <c r="F272" s="12"/>
      <c r="G272" s="18"/>
      <c r="H272" s="35"/>
      <c r="I272" s="12"/>
      <c r="M272" s="12"/>
      <c r="N272" s="18"/>
      <c r="O272" s="12"/>
      <c r="P272" s="12"/>
      <c r="Q272" s="12"/>
      <c r="R272" s="36"/>
      <c r="S272" s="36"/>
      <c r="T272" s="12"/>
      <c r="U272" s="12"/>
      <c r="V272" s="12"/>
      <c r="W272" s="12"/>
      <c r="X272" s="12"/>
    </row>
    <row r="273" customFormat="false" ht="15.75" hidden="false" customHeight="false" outlineLevel="0" collapsed="false">
      <c r="A273" s="12"/>
      <c r="B273" s="34"/>
      <c r="C273" s="12"/>
      <c r="D273" s="12"/>
      <c r="E273" s="12"/>
      <c r="F273" s="12"/>
      <c r="G273" s="18"/>
      <c r="H273" s="35"/>
      <c r="I273" s="12"/>
      <c r="M273" s="12"/>
      <c r="N273" s="18"/>
      <c r="O273" s="12"/>
      <c r="P273" s="12"/>
      <c r="Q273" s="12"/>
      <c r="R273" s="36"/>
      <c r="S273" s="36"/>
      <c r="T273" s="12"/>
      <c r="U273" s="12"/>
      <c r="V273" s="12"/>
      <c r="W273" s="12"/>
      <c r="X273" s="12"/>
    </row>
    <row r="274" customFormat="false" ht="15.75" hidden="false" customHeight="false" outlineLevel="0" collapsed="false">
      <c r="A274" s="12"/>
      <c r="B274" s="34"/>
      <c r="C274" s="12"/>
      <c r="D274" s="12"/>
      <c r="E274" s="12"/>
      <c r="F274" s="12"/>
      <c r="G274" s="18"/>
      <c r="H274" s="35"/>
      <c r="I274" s="12"/>
      <c r="M274" s="12"/>
      <c r="N274" s="18"/>
      <c r="O274" s="12"/>
      <c r="P274" s="12"/>
      <c r="Q274" s="12"/>
      <c r="R274" s="36"/>
      <c r="S274" s="36"/>
      <c r="T274" s="12"/>
      <c r="U274" s="12"/>
      <c r="V274" s="12"/>
      <c r="W274" s="12"/>
      <c r="X274" s="12"/>
    </row>
    <row r="275" customFormat="false" ht="15.75" hidden="false" customHeight="false" outlineLevel="0" collapsed="false">
      <c r="A275" s="12"/>
      <c r="B275" s="34"/>
      <c r="C275" s="12"/>
      <c r="D275" s="12"/>
      <c r="E275" s="12"/>
      <c r="F275" s="12"/>
      <c r="G275" s="18"/>
      <c r="H275" s="35"/>
      <c r="I275" s="12"/>
      <c r="M275" s="12"/>
      <c r="N275" s="18"/>
      <c r="O275" s="12"/>
      <c r="P275" s="12"/>
      <c r="Q275" s="12"/>
      <c r="R275" s="36"/>
      <c r="S275" s="36"/>
      <c r="T275" s="12"/>
      <c r="U275" s="12"/>
      <c r="V275" s="12"/>
      <c r="W275" s="12"/>
      <c r="X275" s="12"/>
    </row>
    <row r="276" customFormat="false" ht="15.75" hidden="false" customHeight="false" outlineLevel="0" collapsed="false">
      <c r="A276" s="12"/>
      <c r="B276" s="34"/>
      <c r="C276" s="12"/>
      <c r="D276" s="12"/>
      <c r="E276" s="12"/>
      <c r="F276" s="12"/>
      <c r="G276" s="18"/>
      <c r="H276" s="35"/>
      <c r="I276" s="12"/>
      <c r="M276" s="12"/>
      <c r="N276" s="18"/>
      <c r="O276" s="12"/>
      <c r="P276" s="12"/>
      <c r="Q276" s="12"/>
      <c r="R276" s="36"/>
      <c r="S276" s="36"/>
      <c r="T276" s="12"/>
      <c r="U276" s="12"/>
      <c r="V276" s="12"/>
      <c r="W276" s="12"/>
      <c r="X276" s="12"/>
    </row>
    <row r="277" customFormat="false" ht="15.75" hidden="false" customHeight="false" outlineLevel="0" collapsed="false">
      <c r="A277" s="12"/>
      <c r="B277" s="34"/>
      <c r="C277" s="12"/>
      <c r="D277" s="12"/>
      <c r="E277" s="12"/>
      <c r="F277" s="12"/>
      <c r="G277" s="18"/>
      <c r="H277" s="35"/>
      <c r="I277" s="12"/>
      <c r="M277" s="12"/>
      <c r="N277" s="18"/>
      <c r="O277" s="12"/>
      <c r="P277" s="12"/>
      <c r="Q277" s="12"/>
      <c r="R277" s="36"/>
      <c r="S277" s="36"/>
      <c r="T277" s="12"/>
      <c r="U277" s="12"/>
      <c r="V277" s="12"/>
      <c r="W277" s="12"/>
      <c r="X277" s="12"/>
    </row>
    <row r="278" customFormat="false" ht="15.75" hidden="false" customHeight="false" outlineLevel="0" collapsed="false">
      <c r="A278" s="12"/>
      <c r="B278" s="34"/>
      <c r="C278" s="12"/>
      <c r="D278" s="12"/>
      <c r="E278" s="12"/>
      <c r="F278" s="12"/>
      <c r="G278" s="18"/>
      <c r="H278" s="35"/>
      <c r="I278" s="12"/>
      <c r="M278" s="12"/>
      <c r="N278" s="18"/>
      <c r="O278" s="12"/>
      <c r="P278" s="12"/>
      <c r="Q278" s="12"/>
      <c r="R278" s="36"/>
      <c r="S278" s="36"/>
      <c r="T278" s="12"/>
      <c r="U278" s="12"/>
      <c r="V278" s="12"/>
      <c r="W278" s="12"/>
      <c r="X278" s="12"/>
    </row>
    <row r="279" customFormat="false" ht="15.75" hidden="false" customHeight="false" outlineLevel="0" collapsed="false">
      <c r="A279" s="12"/>
      <c r="B279" s="34"/>
      <c r="C279" s="12"/>
      <c r="D279" s="12"/>
      <c r="E279" s="12"/>
      <c r="F279" s="12"/>
      <c r="G279" s="18"/>
      <c r="H279" s="35"/>
      <c r="I279" s="12"/>
      <c r="M279" s="12"/>
      <c r="N279" s="18"/>
      <c r="O279" s="12"/>
      <c r="P279" s="12"/>
      <c r="Q279" s="12"/>
      <c r="R279" s="36"/>
      <c r="S279" s="36"/>
      <c r="T279" s="12"/>
      <c r="U279" s="12"/>
      <c r="V279" s="12"/>
      <c r="W279" s="12"/>
      <c r="X279" s="12"/>
    </row>
    <row r="280" customFormat="false" ht="15.75" hidden="false" customHeight="false" outlineLevel="0" collapsed="false">
      <c r="A280" s="12"/>
      <c r="B280" s="34"/>
      <c r="C280" s="12"/>
      <c r="D280" s="12"/>
      <c r="E280" s="12"/>
      <c r="F280" s="12"/>
      <c r="G280" s="18"/>
      <c r="H280" s="35"/>
      <c r="I280" s="12"/>
      <c r="M280" s="12"/>
      <c r="N280" s="18"/>
      <c r="O280" s="12"/>
      <c r="P280" s="12"/>
      <c r="Q280" s="12"/>
      <c r="R280" s="36"/>
      <c r="S280" s="36"/>
      <c r="T280" s="12"/>
      <c r="U280" s="12"/>
      <c r="V280" s="12"/>
      <c r="W280" s="12"/>
      <c r="X280" s="12"/>
    </row>
    <row r="281" customFormat="false" ht="15.75" hidden="false" customHeight="false" outlineLevel="0" collapsed="false">
      <c r="A281" s="12"/>
      <c r="B281" s="34"/>
      <c r="C281" s="12"/>
      <c r="D281" s="12"/>
      <c r="E281" s="12"/>
      <c r="F281" s="12"/>
      <c r="G281" s="18"/>
      <c r="H281" s="35"/>
      <c r="I281" s="12"/>
      <c r="M281" s="12"/>
      <c r="N281" s="18"/>
      <c r="O281" s="12"/>
      <c r="P281" s="12"/>
      <c r="Q281" s="12"/>
      <c r="R281" s="36"/>
      <c r="S281" s="36"/>
      <c r="T281" s="12"/>
      <c r="U281" s="12"/>
      <c r="V281" s="12"/>
      <c r="W281" s="12"/>
      <c r="X281" s="12"/>
    </row>
    <row r="282" customFormat="false" ht="15.75" hidden="false" customHeight="false" outlineLevel="0" collapsed="false">
      <c r="A282" s="12"/>
      <c r="B282" s="34"/>
      <c r="C282" s="12"/>
      <c r="D282" s="12"/>
      <c r="E282" s="12"/>
      <c r="F282" s="12"/>
      <c r="G282" s="18"/>
      <c r="H282" s="35"/>
      <c r="I282" s="12"/>
      <c r="M282" s="12"/>
      <c r="N282" s="18"/>
      <c r="O282" s="12"/>
      <c r="P282" s="12"/>
      <c r="Q282" s="12"/>
      <c r="R282" s="36"/>
      <c r="S282" s="36"/>
      <c r="T282" s="12"/>
      <c r="U282" s="12"/>
      <c r="V282" s="12"/>
      <c r="W282" s="12"/>
      <c r="X282" s="12"/>
    </row>
    <row r="283" customFormat="false" ht="15.75" hidden="false" customHeight="false" outlineLevel="0" collapsed="false">
      <c r="A283" s="12"/>
      <c r="B283" s="34"/>
      <c r="C283" s="12"/>
      <c r="D283" s="12"/>
      <c r="E283" s="12"/>
      <c r="F283" s="12"/>
      <c r="G283" s="18"/>
      <c r="H283" s="35"/>
      <c r="I283" s="12"/>
      <c r="M283" s="12"/>
      <c r="N283" s="18"/>
      <c r="O283" s="12"/>
      <c r="P283" s="12"/>
      <c r="Q283" s="12"/>
      <c r="R283" s="36"/>
      <c r="S283" s="36"/>
      <c r="T283" s="12"/>
      <c r="U283" s="12"/>
      <c r="V283" s="12"/>
      <c r="W283" s="12"/>
      <c r="X283" s="12"/>
    </row>
    <row r="284" customFormat="false" ht="15.75" hidden="false" customHeight="false" outlineLevel="0" collapsed="false">
      <c r="A284" s="12"/>
      <c r="B284" s="34"/>
      <c r="C284" s="12"/>
      <c r="D284" s="12"/>
      <c r="E284" s="12"/>
      <c r="F284" s="12"/>
      <c r="G284" s="18"/>
      <c r="H284" s="35"/>
      <c r="I284" s="12"/>
      <c r="M284" s="12"/>
      <c r="N284" s="18"/>
      <c r="O284" s="12"/>
      <c r="P284" s="12"/>
      <c r="Q284" s="12"/>
      <c r="R284" s="36"/>
      <c r="S284" s="36"/>
      <c r="T284" s="12"/>
      <c r="U284" s="12"/>
      <c r="V284" s="12"/>
      <c r="W284" s="12"/>
      <c r="X284" s="12"/>
    </row>
    <row r="285" customFormat="false" ht="15.75" hidden="false" customHeight="false" outlineLevel="0" collapsed="false">
      <c r="A285" s="12"/>
      <c r="B285" s="34"/>
      <c r="C285" s="12"/>
      <c r="D285" s="12"/>
      <c r="E285" s="12"/>
      <c r="F285" s="12"/>
      <c r="G285" s="18"/>
      <c r="H285" s="35"/>
      <c r="I285" s="12"/>
      <c r="M285" s="12"/>
      <c r="N285" s="18"/>
      <c r="O285" s="12"/>
      <c r="P285" s="12"/>
      <c r="Q285" s="12"/>
      <c r="R285" s="36"/>
      <c r="S285" s="36"/>
      <c r="T285" s="12"/>
      <c r="U285" s="12"/>
      <c r="V285" s="12"/>
      <c r="W285" s="12"/>
      <c r="X285" s="12"/>
    </row>
    <row r="286" customFormat="false" ht="15.75" hidden="false" customHeight="false" outlineLevel="0" collapsed="false">
      <c r="A286" s="12"/>
      <c r="B286" s="34"/>
      <c r="C286" s="12"/>
      <c r="D286" s="12"/>
      <c r="E286" s="12"/>
      <c r="F286" s="12"/>
      <c r="G286" s="18"/>
      <c r="H286" s="35"/>
      <c r="I286" s="12"/>
      <c r="M286" s="12"/>
      <c r="N286" s="18"/>
      <c r="O286" s="12"/>
      <c r="P286" s="12"/>
      <c r="Q286" s="12"/>
      <c r="R286" s="36"/>
      <c r="S286" s="36"/>
      <c r="T286" s="12"/>
      <c r="U286" s="12"/>
      <c r="V286" s="12"/>
      <c r="W286" s="12"/>
      <c r="X286" s="12"/>
    </row>
    <row r="287" customFormat="false" ht="15.75" hidden="false" customHeight="false" outlineLevel="0" collapsed="false">
      <c r="A287" s="12"/>
      <c r="B287" s="34"/>
      <c r="C287" s="12"/>
      <c r="D287" s="12"/>
      <c r="E287" s="12"/>
      <c r="F287" s="12"/>
      <c r="G287" s="18"/>
      <c r="H287" s="35"/>
      <c r="I287" s="12"/>
      <c r="M287" s="12"/>
      <c r="N287" s="18"/>
      <c r="O287" s="12"/>
      <c r="P287" s="12"/>
      <c r="Q287" s="12"/>
      <c r="R287" s="36"/>
      <c r="S287" s="36"/>
      <c r="T287" s="12"/>
      <c r="U287" s="12"/>
      <c r="V287" s="12"/>
      <c r="W287" s="12"/>
      <c r="X287" s="12"/>
    </row>
    <row r="288" customFormat="false" ht="15.75" hidden="false" customHeight="false" outlineLevel="0" collapsed="false">
      <c r="A288" s="12"/>
      <c r="B288" s="34"/>
      <c r="C288" s="12"/>
      <c r="D288" s="12"/>
      <c r="E288" s="12"/>
      <c r="F288" s="12"/>
      <c r="G288" s="18"/>
      <c r="H288" s="35"/>
      <c r="I288" s="12"/>
      <c r="M288" s="12"/>
      <c r="N288" s="18"/>
      <c r="O288" s="12"/>
      <c r="P288" s="12"/>
      <c r="Q288" s="12"/>
      <c r="R288" s="36"/>
      <c r="S288" s="36"/>
      <c r="T288" s="12"/>
      <c r="U288" s="12"/>
      <c r="V288" s="12"/>
      <c r="W288" s="12"/>
      <c r="X288" s="12"/>
    </row>
    <row r="289" customFormat="false" ht="15.75" hidden="false" customHeight="false" outlineLevel="0" collapsed="false">
      <c r="A289" s="12"/>
      <c r="B289" s="34"/>
      <c r="C289" s="12"/>
      <c r="D289" s="12"/>
      <c r="E289" s="12"/>
      <c r="F289" s="12"/>
      <c r="G289" s="18"/>
      <c r="H289" s="35"/>
      <c r="I289" s="12"/>
      <c r="M289" s="12"/>
      <c r="N289" s="18"/>
      <c r="O289" s="12"/>
      <c r="P289" s="12"/>
      <c r="Q289" s="12"/>
      <c r="R289" s="36"/>
      <c r="S289" s="36"/>
      <c r="T289" s="12"/>
      <c r="U289" s="12"/>
      <c r="V289" s="12"/>
      <c r="W289" s="12"/>
      <c r="X289" s="12"/>
    </row>
    <row r="290" customFormat="false" ht="15.75" hidden="false" customHeight="false" outlineLevel="0" collapsed="false">
      <c r="A290" s="12"/>
      <c r="B290" s="34"/>
      <c r="C290" s="12"/>
      <c r="D290" s="12"/>
      <c r="E290" s="12"/>
      <c r="F290" s="12"/>
      <c r="G290" s="18"/>
      <c r="H290" s="35"/>
      <c r="I290" s="12"/>
      <c r="M290" s="12"/>
      <c r="N290" s="18"/>
      <c r="O290" s="12"/>
      <c r="P290" s="12"/>
      <c r="Q290" s="12"/>
      <c r="R290" s="36"/>
      <c r="S290" s="36"/>
      <c r="T290" s="12"/>
      <c r="U290" s="12"/>
      <c r="V290" s="12"/>
      <c r="W290" s="12"/>
      <c r="X290" s="12"/>
    </row>
    <row r="291" customFormat="false" ht="15.75" hidden="false" customHeight="false" outlineLevel="0" collapsed="false">
      <c r="A291" s="12"/>
      <c r="B291" s="34"/>
      <c r="C291" s="12"/>
      <c r="D291" s="12"/>
      <c r="E291" s="12"/>
      <c r="F291" s="12"/>
      <c r="G291" s="18"/>
      <c r="H291" s="35"/>
      <c r="I291" s="12"/>
      <c r="M291" s="12"/>
      <c r="N291" s="18"/>
      <c r="O291" s="12"/>
      <c r="P291" s="12"/>
      <c r="Q291" s="12"/>
      <c r="R291" s="36"/>
      <c r="S291" s="36"/>
      <c r="T291" s="12"/>
      <c r="U291" s="12"/>
      <c r="V291" s="12"/>
      <c r="W291" s="12"/>
      <c r="X291" s="12"/>
    </row>
    <row r="292" customFormat="false" ht="15.75" hidden="false" customHeight="false" outlineLevel="0" collapsed="false">
      <c r="A292" s="12"/>
      <c r="B292" s="34"/>
      <c r="C292" s="12"/>
      <c r="D292" s="12"/>
      <c r="E292" s="12"/>
      <c r="F292" s="12"/>
      <c r="G292" s="18"/>
      <c r="H292" s="35"/>
      <c r="I292" s="12"/>
      <c r="M292" s="12"/>
      <c r="N292" s="18"/>
      <c r="O292" s="12"/>
      <c r="P292" s="12"/>
      <c r="Q292" s="12"/>
      <c r="R292" s="36"/>
      <c r="S292" s="36"/>
      <c r="T292" s="12"/>
      <c r="U292" s="12"/>
      <c r="V292" s="12"/>
      <c r="W292" s="12"/>
      <c r="X292" s="12"/>
    </row>
    <row r="293" customFormat="false" ht="15.75" hidden="false" customHeight="false" outlineLevel="0" collapsed="false">
      <c r="A293" s="12"/>
      <c r="B293" s="34"/>
      <c r="C293" s="12"/>
      <c r="D293" s="12"/>
      <c r="E293" s="12"/>
      <c r="F293" s="12"/>
      <c r="G293" s="18"/>
      <c r="H293" s="35"/>
      <c r="I293" s="12"/>
      <c r="M293" s="12"/>
      <c r="N293" s="18"/>
      <c r="O293" s="12"/>
      <c r="P293" s="12"/>
      <c r="Q293" s="12"/>
      <c r="R293" s="36"/>
      <c r="S293" s="36"/>
      <c r="T293" s="12"/>
      <c r="U293" s="12"/>
      <c r="V293" s="12"/>
      <c r="W293" s="12"/>
      <c r="X293" s="12"/>
    </row>
    <row r="294" customFormat="false" ht="15.75" hidden="false" customHeight="false" outlineLevel="0" collapsed="false">
      <c r="A294" s="12"/>
      <c r="B294" s="34"/>
      <c r="C294" s="12"/>
      <c r="D294" s="12"/>
      <c r="E294" s="12"/>
      <c r="F294" s="12"/>
      <c r="G294" s="18"/>
      <c r="H294" s="35"/>
      <c r="I294" s="12"/>
      <c r="M294" s="12"/>
      <c r="N294" s="18"/>
      <c r="O294" s="12"/>
      <c r="P294" s="12"/>
      <c r="Q294" s="12"/>
      <c r="R294" s="36"/>
      <c r="S294" s="36"/>
      <c r="T294" s="12"/>
      <c r="U294" s="12"/>
      <c r="V294" s="12"/>
      <c r="W294" s="12"/>
      <c r="X294" s="12"/>
    </row>
    <row r="295" customFormat="false" ht="15.75" hidden="false" customHeight="false" outlineLevel="0" collapsed="false">
      <c r="A295" s="12"/>
      <c r="B295" s="34"/>
      <c r="C295" s="12"/>
      <c r="D295" s="12"/>
      <c r="E295" s="12"/>
      <c r="F295" s="12"/>
      <c r="G295" s="18"/>
      <c r="H295" s="35"/>
      <c r="I295" s="12"/>
      <c r="M295" s="12"/>
      <c r="N295" s="18"/>
      <c r="O295" s="12"/>
      <c r="P295" s="12"/>
      <c r="Q295" s="12"/>
      <c r="R295" s="36"/>
      <c r="S295" s="36"/>
      <c r="T295" s="12"/>
      <c r="U295" s="12"/>
      <c r="V295" s="12"/>
      <c r="W295" s="12"/>
      <c r="X295" s="12"/>
    </row>
    <row r="296" customFormat="false" ht="15.75" hidden="false" customHeight="false" outlineLevel="0" collapsed="false">
      <c r="A296" s="12"/>
      <c r="B296" s="34"/>
      <c r="C296" s="12"/>
      <c r="D296" s="12"/>
      <c r="E296" s="12"/>
      <c r="F296" s="12"/>
      <c r="G296" s="18"/>
      <c r="H296" s="35"/>
      <c r="I296" s="12"/>
      <c r="M296" s="12"/>
      <c r="N296" s="18"/>
      <c r="O296" s="12"/>
      <c r="P296" s="12"/>
      <c r="Q296" s="12"/>
      <c r="R296" s="36"/>
      <c r="S296" s="36"/>
      <c r="T296" s="12"/>
      <c r="U296" s="12"/>
      <c r="V296" s="12"/>
      <c r="W296" s="12"/>
      <c r="X296" s="12"/>
    </row>
    <row r="297" customFormat="false" ht="15.75" hidden="false" customHeight="false" outlineLevel="0" collapsed="false">
      <c r="A297" s="12"/>
      <c r="B297" s="34"/>
      <c r="C297" s="12"/>
      <c r="D297" s="12"/>
      <c r="E297" s="12"/>
      <c r="F297" s="12"/>
      <c r="G297" s="18"/>
      <c r="H297" s="35"/>
      <c r="I297" s="12"/>
      <c r="M297" s="12"/>
      <c r="N297" s="18"/>
      <c r="O297" s="12"/>
      <c r="P297" s="12"/>
      <c r="Q297" s="12"/>
      <c r="R297" s="36"/>
      <c r="S297" s="36"/>
      <c r="T297" s="12"/>
      <c r="U297" s="12"/>
      <c r="V297" s="12"/>
      <c r="W297" s="12"/>
      <c r="X297" s="12"/>
    </row>
    <row r="298" customFormat="false" ht="15.75" hidden="false" customHeight="false" outlineLevel="0" collapsed="false">
      <c r="A298" s="12"/>
      <c r="B298" s="34"/>
      <c r="C298" s="12"/>
      <c r="D298" s="12"/>
      <c r="E298" s="12"/>
      <c r="F298" s="12"/>
      <c r="G298" s="18"/>
      <c r="H298" s="35"/>
      <c r="I298" s="12"/>
      <c r="M298" s="12"/>
      <c r="N298" s="18"/>
      <c r="O298" s="12"/>
      <c r="P298" s="12"/>
      <c r="Q298" s="12"/>
      <c r="R298" s="36"/>
      <c r="S298" s="36"/>
      <c r="T298" s="12"/>
      <c r="U298" s="12"/>
      <c r="V298" s="12"/>
      <c r="W298" s="12"/>
      <c r="X298" s="12"/>
    </row>
    <row r="299" customFormat="false" ht="15.75" hidden="false" customHeight="false" outlineLevel="0" collapsed="false">
      <c r="A299" s="12"/>
      <c r="B299" s="34"/>
      <c r="C299" s="12"/>
      <c r="D299" s="12"/>
      <c r="E299" s="12"/>
      <c r="F299" s="12"/>
      <c r="G299" s="18"/>
      <c r="H299" s="35"/>
      <c r="I299" s="12"/>
      <c r="M299" s="12"/>
      <c r="N299" s="18"/>
      <c r="O299" s="12"/>
      <c r="P299" s="12"/>
      <c r="Q299" s="12"/>
      <c r="R299" s="36"/>
      <c r="S299" s="36"/>
      <c r="T299" s="12"/>
      <c r="U299" s="12"/>
      <c r="V299" s="12"/>
      <c r="W299" s="12"/>
      <c r="X299" s="12"/>
    </row>
    <row r="300" customFormat="false" ht="15.75" hidden="false" customHeight="false" outlineLevel="0" collapsed="false">
      <c r="A300" s="12"/>
      <c r="B300" s="34"/>
      <c r="C300" s="12"/>
      <c r="D300" s="12"/>
      <c r="E300" s="12"/>
      <c r="F300" s="12"/>
      <c r="G300" s="18"/>
      <c r="H300" s="35"/>
      <c r="I300" s="12"/>
      <c r="M300" s="12"/>
      <c r="N300" s="18"/>
      <c r="O300" s="12"/>
      <c r="P300" s="12"/>
      <c r="Q300" s="12"/>
      <c r="R300" s="36"/>
      <c r="S300" s="36"/>
      <c r="T300" s="12"/>
      <c r="U300" s="12"/>
      <c r="V300" s="12"/>
      <c r="W300" s="12"/>
      <c r="X300" s="12"/>
    </row>
    <row r="301" customFormat="false" ht="15.75" hidden="false" customHeight="false" outlineLevel="0" collapsed="false">
      <c r="A301" s="12"/>
      <c r="B301" s="34"/>
      <c r="C301" s="12"/>
      <c r="D301" s="12"/>
      <c r="E301" s="12"/>
      <c r="F301" s="12"/>
      <c r="G301" s="18"/>
      <c r="H301" s="35"/>
      <c r="I301" s="12"/>
      <c r="M301" s="12"/>
      <c r="N301" s="18"/>
      <c r="O301" s="12"/>
      <c r="P301" s="12"/>
      <c r="Q301" s="12"/>
      <c r="R301" s="36"/>
      <c r="S301" s="36"/>
      <c r="T301" s="12"/>
      <c r="U301" s="12"/>
      <c r="V301" s="12"/>
      <c r="W301" s="12"/>
      <c r="X301" s="12"/>
    </row>
    <row r="302" customFormat="false" ht="15.75" hidden="false" customHeight="false" outlineLevel="0" collapsed="false">
      <c r="A302" s="12"/>
      <c r="B302" s="34"/>
      <c r="C302" s="12"/>
      <c r="D302" s="12"/>
      <c r="E302" s="12"/>
      <c r="F302" s="12"/>
      <c r="G302" s="18"/>
      <c r="H302" s="35"/>
      <c r="I302" s="12"/>
      <c r="M302" s="12"/>
      <c r="N302" s="18"/>
      <c r="O302" s="12"/>
      <c r="P302" s="12"/>
      <c r="Q302" s="12"/>
      <c r="R302" s="36"/>
      <c r="S302" s="36"/>
      <c r="T302" s="12"/>
      <c r="U302" s="12"/>
      <c r="V302" s="12"/>
      <c r="W302" s="12"/>
      <c r="X302" s="12"/>
    </row>
    <row r="303" customFormat="false" ht="15.75" hidden="false" customHeight="false" outlineLevel="0" collapsed="false">
      <c r="A303" s="12"/>
      <c r="B303" s="34"/>
      <c r="C303" s="12"/>
      <c r="D303" s="12"/>
      <c r="E303" s="12"/>
      <c r="F303" s="12"/>
      <c r="G303" s="18"/>
      <c r="H303" s="35"/>
      <c r="I303" s="12"/>
      <c r="M303" s="12"/>
      <c r="N303" s="18"/>
      <c r="O303" s="12"/>
      <c r="P303" s="12"/>
      <c r="Q303" s="12"/>
      <c r="R303" s="36"/>
      <c r="S303" s="36"/>
      <c r="T303" s="12"/>
      <c r="U303" s="12"/>
      <c r="V303" s="12"/>
      <c r="W303" s="12"/>
      <c r="X303" s="12"/>
    </row>
    <row r="304" customFormat="false" ht="15.75" hidden="false" customHeight="false" outlineLevel="0" collapsed="false">
      <c r="A304" s="12"/>
      <c r="B304" s="34"/>
      <c r="C304" s="12"/>
      <c r="D304" s="12"/>
      <c r="E304" s="12"/>
      <c r="F304" s="12"/>
      <c r="G304" s="18"/>
      <c r="H304" s="35"/>
      <c r="I304" s="12"/>
      <c r="M304" s="12"/>
      <c r="N304" s="18"/>
      <c r="O304" s="12"/>
      <c r="P304" s="12"/>
      <c r="Q304" s="12"/>
      <c r="R304" s="36"/>
      <c r="S304" s="36"/>
      <c r="T304" s="12"/>
      <c r="U304" s="12"/>
      <c r="V304" s="12"/>
      <c r="W304" s="12"/>
      <c r="X304" s="12"/>
    </row>
    <row r="305" customFormat="false" ht="15.75" hidden="false" customHeight="false" outlineLevel="0" collapsed="false">
      <c r="A305" s="12"/>
      <c r="B305" s="34"/>
      <c r="C305" s="12"/>
      <c r="D305" s="12"/>
      <c r="E305" s="12"/>
      <c r="F305" s="12"/>
      <c r="G305" s="18"/>
      <c r="H305" s="35"/>
      <c r="I305" s="12"/>
      <c r="M305" s="12"/>
      <c r="N305" s="18"/>
      <c r="O305" s="12"/>
      <c r="P305" s="12"/>
      <c r="Q305" s="12"/>
      <c r="R305" s="36"/>
      <c r="S305" s="36"/>
      <c r="T305" s="12"/>
      <c r="U305" s="12"/>
      <c r="V305" s="12"/>
      <c r="W305" s="12"/>
      <c r="X305" s="12"/>
    </row>
    <row r="306" customFormat="false" ht="15.75" hidden="false" customHeight="false" outlineLevel="0" collapsed="false">
      <c r="A306" s="12"/>
      <c r="B306" s="34"/>
      <c r="C306" s="12"/>
      <c r="D306" s="12"/>
      <c r="E306" s="12"/>
      <c r="F306" s="12"/>
      <c r="G306" s="18"/>
      <c r="H306" s="35"/>
      <c r="I306" s="12"/>
      <c r="M306" s="12"/>
      <c r="N306" s="18"/>
      <c r="O306" s="12"/>
      <c r="P306" s="12"/>
      <c r="Q306" s="12"/>
      <c r="R306" s="36"/>
      <c r="S306" s="36"/>
      <c r="T306" s="12"/>
      <c r="U306" s="12"/>
      <c r="V306" s="12"/>
      <c r="W306" s="12"/>
      <c r="X306" s="12"/>
    </row>
    <row r="307" customFormat="false" ht="15.75" hidden="false" customHeight="false" outlineLevel="0" collapsed="false">
      <c r="A307" s="12"/>
      <c r="B307" s="34"/>
      <c r="C307" s="12"/>
      <c r="D307" s="12"/>
      <c r="E307" s="12"/>
      <c r="F307" s="12"/>
      <c r="G307" s="18"/>
      <c r="H307" s="35"/>
      <c r="I307" s="12"/>
      <c r="M307" s="12"/>
      <c r="N307" s="18"/>
      <c r="O307" s="12"/>
      <c r="P307" s="12"/>
      <c r="Q307" s="12"/>
      <c r="R307" s="36"/>
      <c r="S307" s="36"/>
      <c r="T307" s="12"/>
      <c r="U307" s="12"/>
      <c r="V307" s="12"/>
      <c r="W307" s="12"/>
      <c r="X307" s="12"/>
    </row>
    <row r="308" customFormat="false" ht="15.75" hidden="false" customHeight="false" outlineLevel="0" collapsed="false">
      <c r="A308" s="12"/>
      <c r="B308" s="34"/>
      <c r="C308" s="12"/>
      <c r="D308" s="12"/>
      <c r="E308" s="12"/>
      <c r="F308" s="12"/>
      <c r="G308" s="18"/>
      <c r="H308" s="35"/>
      <c r="I308" s="12"/>
      <c r="M308" s="12"/>
      <c r="N308" s="18"/>
      <c r="O308" s="12"/>
      <c r="P308" s="12"/>
      <c r="Q308" s="12"/>
      <c r="R308" s="36"/>
      <c r="S308" s="36"/>
      <c r="T308" s="12"/>
      <c r="U308" s="12"/>
      <c r="V308" s="12"/>
      <c r="W308" s="12"/>
      <c r="X308" s="12"/>
    </row>
    <row r="309" customFormat="false" ht="15.75" hidden="false" customHeight="false" outlineLevel="0" collapsed="false">
      <c r="A309" s="12"/>
      <c r="B309" s="34"/>
      <c r="C309" s="12"/>
      <c r="D309" s="12"/>
      <c r="E309" s="12"/>
      <c r="F309" s="12"/>
      <c r="G309" s="18"/>
      <c r="H309" s="35"/>
      <c r="I309" s="12"/>
      <c r="M309" s="12"/>
      <c r="N309" s="18"/>
      <c r="O309" s="12"/>
      <c r="P309" s="12"/>
      <c r="Q309" s="12"/>
      <c r="R309" s="36"/>
      <c r="S309" s="36"/>
      <c r="T309" s="12"/>
      <c r="U309" s="12"/>
      <c r="V309" s="12"/>
      <c r="W309" s="12"/>
      <c r="X309" s="12"/>
    </row>
    <row r="310" customFormat="false" ht="15.75" hidden="false" customHeight="false" outlineLevel="0" collapsed="false">
      <c r="A310" s="12"/>
      <c r="B310" s="34"/>
      <c r="C310" s="12"/>
      <c r="D310" s="12"/>
      <c r="E310" s="12"/>
      <c r="F310" s="12"/>
      <c r="G310" s="18"/>
      <c r="H310" s="35"/>
      <c r="I310" s="12"/>
      <c r="M310" s="12"/>
      <c r="N310" s="18"/>
      <c r="O310" s="12"/>
      <c r="P310" s="12"/>
      <c r="Q310" s="12"/>
      <c r="R310" s="36"/>
      <c r="S310" s="36"/>
      <c r="T310" s="12"/>
      <c r="U310" s="12"/>
      <c r="V310" s="12"/>
      <c r="W310" s="12"/>
      <c r="X310" s="12"/>
    </row>
    <row r="311" customFormat="false" ht="15.75" hidden="false" customHeight="false" outlineLevel="0" collapsed="false">
      <c r="A311" s="12"/>
      <c r="B311" s="34"/>
      <c r="C311" s="12"/>
      <c r="D311" s="12"/>
      <c r="E311" s="12"/>
      <c r="F311" s="12"/>
      <c r="G311" s="18"/>
      <c r="H311" s="35"/>
      <c r="I311" s="12"/>
      <c r="M311" s="12"/>
      <c r="N311" s="18"/>
      <c r="O311" s="12"/>
      <c r="P311" s="12"/>
      <c r="Q311" s="12"/>
      <c r="R311" s="36"/>
      <c r="S311" s="36"/>
      <c r="T311" s="12"/>
      <c r="U311" s="12"/>
      <c r="V311" s="12"/>
      <c r="W311" s="12"/>
      <c r="X311" s="12"/>
    </row>
    <row r="312" customFormat="false" ht="15.75" hidden="false" customHeight="false" outlineLevel="0" collapsed="false">
      <c r="A312" s="12"/>
      <c r="B312" s="34"/>
      <c r="C312" s="12"/>
      <c r="D312" s="12"/>
      <c r="E312" s="12"/>
      <c r="F312" s="12"/>
      <c r="G312" s="18"/>
      <c r="H312" s="35"/>
      <c r="I312" s="12"/>
      <c r="M312" s="12"/>
      <c r="N312" s="18"/>
      <c r="O312" s="12"/>
      <c r="P312" s="12"/>
      <c r="Q312" s="12"/>
      <c r="R312" s="36"/>
      <c r="S312" s="36"/>
      <c r="T312" s="12"/>
      <c r="U312" s="12"/>
      <c r="V312" s="12"/>
      <c r="W312" s="12"/>
      <c r="X312" s="12"/>
    </row>
    <row r="313" customFormat="false" ht="15.75" hidden="false" customHeight="false" outlineLevel="0" collapsed="false">
      <c r="A313" s="12"/>
      <c r="B313" s="34"/>
      <c r="C313" s="12"/>
      <c r="D313" s="12"/>
      <c r="E313" s="12"/>
      <c r="F313" s="12"/>
      <c r="G313" s="18"/>
      <c r="H313" s="35"/>
      <c r="I313" s="12"/>
      <c r="M313" s="12"/>
      <c r="N313" s="18"/>
      <c r="O313" s="12"/>
      <c r="P313" s="12"/>
      <c r="Q313" s="12"/>
      <c r="R313" s="36"/>
      <c r="S313" s="36"/>
      <c r="T313" s="12"/>
      <c r="U313" s="12"/>
      <c r="V313" s="12"/>
      <c r="W313" s="12"/>
      <c r="X313" s="12"/>
    </row>
    <row r="314" customFormat="false" ht="15.75" hidden="false" customHeight="false" outlineLevel="0" collapsed="false">
      <c r="A314" s="12"/>
      <c r="B314" s="34"/>
      <c r="C314" s="12"/>
      <c r="D314" s="12"/>
      <c r="E314" s="12"/>
      <c r="F314" s="12"/>
      <c r="G314" s="18"/>
      <c r="H314" s="35"/>
      <c r="I314" s="12"/>
      <c r="M314" s="12"/>
      <c r="N314" s="18"/>
      <c r="O314" s="12"/>
      <c r="P314" s="12"/>
      <c r="Q314" s="12"/>
      <c r="R314" s="36"/>
      <c r="S314" s="36"/>
      <c r="T314" s="12"/>
      <c r="U314" s="12"/>
      <c r="V314" s="12"/>
      <c r="W314" s="12"/>
      <c r="X314" s="12"/>
    </row>
    <row r="315" customFormat="false" ht="15.75" hidden="false" customHeight="false" outlineLevel="0" collapsed="false">
      <c r="A315" s="12"/>
      <c r="B315" s="34"/>
      <c r="C315" s="12"/>
      <c r="D315" s="12"/>
      <c r="E315" s="12"/>
      <c r="F315" s="12"/>
      <c r="G315" s="18"/>
      <c r="H315" s="35"/>
      <c r="I315" s="12"/>
      <c r="M315" s="12"/>
      <c r="N315" s="18"/>
      <c r="O315" s="12"/>
      <c r="P315" s="12"/>
      <c r="Q315" s="12"/>
      <c r="R315" s="36"/>
      <c r="S315" s="36"/>
      <c r="T315" s="12"/>
      <c r="U315" s="12"/>
      <c r="V315" s="12"/>
      <c r="W315" s="12"/>
      <c r="X315" s="12"/>
    </row>
    <row r="316" customFormat="false" ht="15.75" hidden="false" customHeight="false" outlineLevel="0" collapsed="false">
      <c r="A316" s="12"/>
      <c r="B316" s="34"/>
      <c r="C316" s="12"/>
      <c r="D316" s="12"/>
      <c r="E316" s="12"/>
      <c r="F316" s="12"/>
      <c r="G316" s="18"/>
      <c r="H316" s="35"/>
      <c r="I316" s="12"/>
      <c r="M316" s="12"/>
      <c r="N316" s="18"/>
      <c r="O316" s="12"/>
      <c r="P316" s="12"/>
      <c r="Q316" s="12"/>
      <c r="R316" s="36"/>
      <c r="S316" s="36"/>
      <c r="T316" s="12"/>
      <c r="U316" s="12"/>
      <c r="V316" s="12"/>
      <c r="W316" s="12"/>
      <c r="X316" s="12"/>
    </row>
    <row r="317" customFormat="false" ht="15.75" hidden="false" customHeight="false" outlineLevel="0" collapsed="false">
      <c r="A317" s="12"/>
      <c r="B317" s="34"/>
      <c r="C317" s="12"/>
      <c r="D317" s="12"/>
      <c r="E317" s="12"/>
      <c r="F317" s="12"/>
      <c r="G317" s="18"/>
      <c r="H317" s="35"/>
      <c r="I317" s="12"/>
      <c r="M317" s="12"/>
      <c r="N317" s="18"/>
      <c r="O317" s="12"/>
      <c r="P317" s="12"/>
      <c r="Q317" s="12"/>
      <c r="R317" s="36"/>
      <c r="S317" s="36"/>
      <c r="T317" s="12"/>
      <c r="U317" s="12"/>
      <c r="V317" s="12"/>
      <c r="W317" s="12"/>
      <c r="X317" s="12"/>
    </row>
    <row r="318" customFormat="false" ht="15.75" hidden="false" customHeight="false" outlineLevel="0" collapsed="false">
      <c r="A318" s="12"/>
      <c r="B318" s="34"/>
      <c r="C318" s="12"/>
      <c r="D318" s="12"/>
      <c r="E318" s="12"/>
      <c r="F318" s="12"/>
      <c r="G318" s="18"/>
      <c r="H318" s="35"/>
      <c r="I318" s="12"/>
      <c r="M318" s="12"/>
      <c r="N318" s="18"/>
      <c r="O318" s="12"/>
      <c r="P318" s="12"/>
      <c r="Q318" s="12"/>
      <c r="R318" s="36"/>
      <c r="S318" s="36"/>
      <c r="T318" s="12"/>
      <c r="U318" s="12"/>
      <c r="V318" s="12"/>
      <c r="W318" s="12"/>
      <c r="X318" s="12"/>
    </row>
    <row r="319" customFormat="false" ht="15.75" hidden="false" customHeight="false" outlineLevel="0" collapsed="false">
      <c r="A319" s="12"/>
      <c r="B319" s="34"/>
      <c r="C319" s="12"/>
      <c r="D319" s="12"/>
      <c r="E319" s="12"/>
      <c r="F319" s="12"/>
      <c r="G319" s="18"/>
      <c r="H319" s="35"/>
      <c r="I319" s="12"/>
      <c r="M319" s="12"/>
      <c r="N319" s="18"/>
      <c r="O319" s="12"/>
      <c r="P319" s="12"/>
      <c r="Q319" s="12"/>
      <c r="R319" s="36"/>
      <c r="S319" s="36"/>
      <c r="T319" s="12"/>
      <c r="U319" s="12"/>
      <c r="V319" s="12"/>
      <c r="W319" s="12"/>
      <c r="X319" s="12"/>
    </row>
    <row r="320" customFormat="false" ht="15.75" hidden="false" customHeight="false" outlineLevel="0" collapsed="false">
      <c r="A320" s="12"/>
      <c r="B320" s="34"/>
      <c r="C320" s="12"/>
      <c r="D320" s="12"/>
      <c r="E320" s="12"/>
      <c r="F320" s="12"/>
      <c r="G320" s="18"/>
      <c r="H320" s="35"/>
      <c r="I320" s="12"/>
      <c r="M320" s="12"/>
      <c r="N320" s="18"/>
      <c r="O320" s="12"/>
      <c r="P320" s="12"/>
      <c r="Q320" s="12"/>
      <c r="R320" s="36"/>
      <c r="S320" s="36"/>
      <c r="T320" s="12"/>
      <c r="U320" s="12"/>
      <c r="V320" s="12"/>
      <c r="W320" s="12"/>
      <c r="X320" s="12"/>
    </row>
    <row r="321" customFormat="false" ht="15.75" hidden="false" customHeight="false" outlineLevel="0" collapsed="false">
      <c r="A321" s="12"/>
      <c r="B321" s="34"/>
      <c r="C321" s="12"/>
      <c r="D321" s="12"/>
      <c r="E321" s="12"/>
      <c r="F321" s="12"/>
      <c r="G321" s="18"/>
      <c r="H321" s="35"/>
      <c r="I321" s="12"/>
      <c r="M321" s="12"/>
      <c r="N321" s="18"/>
      <c r="O321" s="12"/>
      <c r="P321" s="12"/>
      <c r="Q321" s="12"/>
      <c r="R321" s="36"/>
      <c r="S321" s="36"/>
      <c r="T321" s="12"/>
      <c r="U321" s="12"/>
      <c r="V321" s="12"/>
      <c r="W321" s="12"/>
      <c r="X321" s="12"/>
    </row>
    <row r="322" customFormat="false" ht="15.75" hidden="false" customHeight="false" outlineLevel="0" collapsed="false">
      <c r="A322" s="12"/>
      <c r="B322" s="34"/>
      <c r="C322" s="12"/>
      <c r="D322" s="12"/>
      <c r="E322" s="12"/>
      <c r="F322" s="12"/>
      <c r="G322" s="18"/>
      <c r="H322" s="35"/>
      <c r="I322" s="12"/>
      <c r="M322" s="12"/>
      <c r="N322" s="18"/>
      <c r="O322" s="12"/>
      <c r="P322" s="12"/>
      <c r="Q322" s="12"/>
      <c r="R322" s="36"/>
      <c r="S322" s="36"/>
      <c r="T322" s="12"/>
      <c r="U322" s="12"/>
      <c r="V322" s="12"/>
      <c r="W322" s="12"/>
      <c r="X322" s="12"/>
    </row>
    <row r="323" customFormat="false" ht="15.75" hidden="false" customHeight="false" outlineLevel="0" collapsed="false">
      <c r="A323" s="12"/>
      <c r="B323" s="34"/>
      <c r="C323" s="12"/>
      <c r="D323" s="12"/>
      <c r="E323" s="12"/>
      <c r="F323" s="12"/>
      <c r="G323" s="18"/>
      <c r="H323" s="35"/>
      <c r="I323" s="12"/>
      <c r="M323" s="12"/>
      <c r="N323" s="18"/>
      <c r="O323" s="12"/>
      <c r="P323" s="12"/>
      <c r="Q323" s="12"/>
      <c r="R323" s="36"/>
      <c r="S323" s="36"/>
      <c r="T323" s="12"/>
      <c r="U323" s="12"/>
      <c r="V323" s="12"/>
      <c r="W323" s="12"/>
      <c r="X323" s="12"/>
    </row>
    <row r="324" customFormat="false" ht="15.75" hidden="false" customHeight="false" outlineLevel="0" collapsed="false">
      <c r="A324" s="12"/>
      <c r="B324" s="34"/>
      <c r="C324" s="12"/>
      <c r="D324" s="12"/>
      <c r="E324" s="12"/>
      <c r="F324" s="12"/>
      <c r="G324" s="18"/>
      <c r="H324" s="35"/>
      <c r="I324" s="12"/>
      <c r="M324" s="12"/>
      <c r="N324" s="18"/>
      <c r="O324" s="12"/>
      <c r="P324" s="12"/>
      <c r="Q324" s="12"/>
      <c r="R324" s="36"/>
      <c r="S324" s="36"/>
      <c r="T324" s="12"/>
      <c r="U324" s="12"/>
      <c r="V324" s="12"/>
      <c r="W324" s="12"/>
      <c r="X324" s="12"/>
    </row>
    <row r="325" customFormat="false" ht="15.75" hidden="false" customHeight="false" outlineLevel="0" collapsed="false">
      <c r="A325" s="12"/>
      <c r="B325" s="34"/>
      <c r="C325" s="12"/>
      <c r="D325" s="12"/>
      <c r="E325" s="12"/>
      <c r="F325" s="12"/>
      <c r="G325" s="18"/>
      <c r="H325" s="35"/>
      <c r="I325" s="12"/>
      <c r="M325" s="12"/>
      <c r="N325" s="18"/>
      <c r="O325" s="12"/>
      <c r="P325" s="12"/>
      <c r="Q325" s="12"/>
      <c r="R325" s="36"/>
      <c r="S325" s="36"/>
      <c r="T325" s="12"/>
      <c r="U325" s="12"/>
      <c r="V325" s="12"/>
      <c r="W325" s="12"/>
      <c r="X325" s="12"/>
    </row>
    <row r="326" customFormat="false" ht="15.75" hidden="false" customHeight="false" outlineLevel="0" collapsed="false">
      <c r="A326" s="12"/>
      <c r="B326" s="34"/>
      <c r="C326" s="12"/>
      <c r="D326" s="12"/>
      <c r="E326" s="12"/>
      <c r="F326" s="12"/>
      <c r="G326" s="18"/>
      <c r="H326" s="35"/>
      <c r="I326" s="12"/>
      <c r="M326" s="12"/>
      <c r="N326" s="18"/>
      <c r="O326" s="12"/>
      <c r="P326" s="12"/>
      <c r="Q326" s="12"/>
      <c r="R326" s="36"/>
      <c r="S326" s="36"/>
      <c r="T326" s="12"/>
      <c r="U326" s="12"/>
      <c r="V326" s="12"/>
      <c r="W326" s="12"/>
      <c r="X326" s="12"/>
    </row>
    <row r="327" customFormat="false" ht="15.75" hidden="false" customHeight="false" outlineLevel="0" collapsed="false">
      <c r="A327" s="12"/>
      <c r="B327" s="34"/>
      <c r="C327" s="12"/>
      <c r="D327" s="12"/>
      <c r="E327" s="12"/>
      <c r="F327" s="12"/>
      <c r="G327" s="18"/>
      <c r="H327" s="35"/>
      <c r="I327" s="12"/>
      <c r="M327" s="12"/>
      <c r="N327" s="18"/>
      <c r="O327" s="12"/>
      <c r="P327" s="12"/>
      <c r="Q327" s="12"/>
      <c r="R327" s="36"/>
      <c r="S327" s="36"/>
      <c r="T327" s="12"/>
      <c r="U327" s="12"/>
      <c r="V327" s="12"/>
      <c r="W327" s="12"/>
      <c r="X327" s="12"/>
    </row>
    <row r="328" customFormat="false" ht="15.75" hidden="false" customHeight="false" outlineLevel="0" collapsed="false">
      <c r="A328" s="12"/>
      <c r="B328" s="34"/>
      <c r="C328" s="12"/>
      <c r="D328" s="12"/>
      <c r="E328" s="12"/>
      <c r="F328" s="12"/>
      <c r="G328" s="18"/>
      <c r="H328" s="35"/>
      <c r="I328" s="12"/>
      <c r="M328" s="12"/>
      <c r="N328" s="18"/>
      <c r="O328" s="12"/>
      <c r="P328" s="12"/>
      <c r="Q328" s="12"/>
      <c r="R328" s="36"/>
      <c r="S328" s="36"/>
      <c r="T328" s="12"/>
      <c r="U328" s="12"/>
      <c r="V328" s="12"/>
      <c r="W328" s="12"/>
      <c r="X328" s="12"/>
    </row>
    <row r="329" customFormat="false" ht="15.75" hidden="false" customHeight="false" outlineLevel="0" collapsed="false">
      <c r="A329" s="12"/>
      <c r="B329" s="34"/>
      <c r="C329" s="12"/>
      <c r="D329" s="12"/>
      <c r="E329" s="12"/>
      <c r="F329" s="12"/>
      <c r="G329" s="18"/>
      <c r="H329" s="35"/>
      <c r="I329" s="12"/>
      <c r="M329" s="12"/>
      <c r="N329" s="18"/>
      <c r="O329" s="12"/>
      <c r="P329" s="12"/>
      <c r="Q329" s="12"/>
      <c r="R329" s="36"/>
      <c r="S329" s="36"/>
      <c r="T329" s="12"/>
      <c r="U329" s="12"/>
      <c r="V329" s="12"/>
      <c r="W329" s="12"/>
      <c r="X329" s="12"/>
    </row>
    <row r="330" customFormat="false" ht="15.75" hidden="false" customHeight="false" outlineLevel="0" collapsed="false">
      <c r="A330" s="12"/>
      <c r="B330" s="34"/>
      <c r="C330" s="12"/>
      <c r="D330" s="12"/>
      <c r="E330" s="12"/>
      <c r="F330" s="12"/>
      <c r="G330" s="18"/>
      <c r="H330" s="35"/>
      <c r="I330" s="12"/>
      <c r="M330" s="12"/>
      <c r="N330" s="18"/>
      <c r="O330" s="12"/>
      <c r="P330" s="12"/>
      <c r="Q330" s="12"/>
      <c r="R330" s="36"/>
      <c r="S330" s="36"/>
      <c r="T330" s="12"/>
      <c r="U330" s="12"/>
      <c r="V330" s="12"/>
      <c r="W330" s="12"/>
      <c r="X330" s="12"/>
    </row>
    <row r="331" customFormat="false" ht="15.75" hidden="false" customHeight="false" outlineLevel="0" collapsed="false">
      <c r="A331" s="12"/>
      <c r="B331" s="34"/>
      <c r="C331" s="12"/>
      <c r="D331" s="12"/>
      <c r="E331" s="12"/>
      <c r="F331" s="12"/>
      <c r="G331" s="18"/>
      <c r="H331" s="35"/>
      <c r="I331" s="12"/>
      <c r="M331" s="12"/>
      <c r="N331" s="18"/>
      <c r="O331" s="12"/>
      <c r="P331" s="12"/>
      <c r="Q331" s="12"/>
      <c r="R331" s="36"/>
      <c r="S331" s="36"/>
      <c r="T331" s="12"/>
      <c r="U331" s="12"/>
      <c r="V331" s="12"/>
      <c r="W331" s="12"/>
      <c r="X331" s="12"/>
    </row>
    <row r="332" customFormat="false" ht="15.75" hidden="false" customHeight="false" outlineLevel="0" collapsed="false">
      <c r="A332" s="12"/>
      <c r="B332" s="34"/>
      <c r="C332" s="12"/>
      <c r="D332" s="12"/>
      <c r="E332" s="12"/>
      <c r="F332" s="12"/>
      <c r="G332" s="18"/>
      <c r="H332" s="35"/>
      <c r="I332" s="12"/>
      <c r="M332" s="12"/>
      <c r="N332" s="18"/>
      <c r="O332" s="12"/>
      <c r="P332" s="12"/>
      <c r="Q332" s="12"/>
      <c r="R332" s="36"/>
      <c r="S332" s="36"/>
      <c r="T332" s="12"/>
      <c r="U332" s="12"/>
      <c r="V332" s="12"/>
      <c r="W332" s="12"/>
      <c r="X332" s="12"/>
    </row>
    <row r="333" customFormat="false" ht="15.75" hidden="false" customHeight="false" outlineLevel="0" collapsed="false">
      <c r="A333" s="12"/>
      <c r="B333" s="34"/>
      <c r="C333" s="12"/>
      <c r="D333" s="12"/>
      <c r="E333" s="12"/>
      <c r="F333" s="12"/>
      <c r="G333" s="18"/>
      <c r="H333" s="35"/>
      <c r="I333" s="12"/>
      <c r="M333" s="12"/>
      <c r="N333" s="18"/>
      <c r="O333" s="12"/>
      <c r="P333" s="12"/>
      <c r="Q333" s="12"/>
      <c r="R333" s="36"/>
      <c r="S333" s="36"/>
      <c r="T333" s="12"/>
      <c r="U333" s="12"/>
      <c r="V333" s="12"/>
      <c r="W333" s="12"/>
      <c r="X333" s="12"/>
    </row>
    <row r="334" customFormat="false" ht="15.75" hidden="false" customHeight="false" outlineLevel="0" collapsed="false">
      <c r="A334" s="12"/>
      <c r="B334" s="34"/>
      <c r="C334" s="12"/>
      <c r="D334" s="12"/>
      <c r="E334" s="12"/>
      <c r="F334" s="12"/>
      <c r="G334" s="18"/>
      <c r="H334" s="35"/>
      <c r="I334" s="12"/>
      <c r="M334" s="12"/>
      <c r="N334" s="18"/>
      <c r="O334" s="12"/>
      <c r="P334" s="12"/>
      <c r="Q334" s="12"/>
      <c r="R334" s="36"/>
      <c r="S334" s="36"/>
      <c r="T334" s="12"/>
      <c r="U334" s="12"/>
      <c r="V334" s="12"/>
      <c r="W334" s="12"/>
      <c r="X334" s="12"/>
    </row>
    <row r="335" customFormat="false" ht="15.75" hidden="false" customHeight="false" outlineLevel="0" collapsed="false">
      <c r="A335" s="12"/>
      <c r="B335" s="34"/>
      <c r="C335" s="12"/>
      <c r="D335" s="12"/>
      <c r="E335" s="12"/>
      <c r="F335" s="12"/>
      <c r="G335" s="18"/>
      <c r="H335" s="35"/>
      <c r="I335" s="12"/>
      <c r="M335" s="12"/>
      <c r="N335" s="18"/>
      <c r="O335" s="12"/>
      <c r="P335" s="12"/>
      <c r="Q335" s="12"/>
      <c r="R335" s="36"/>
      <c r="S335" s="36"/>
      <c r="T335" s="12"/>
      <c r="U335" s="12"/>
      <c r="V335" s="12"/>
      <c r="W335" s="12"/>
      <c r="X335" s="12"/>
    </row>
    <row r="336" customFormat="false" ht="15.75" hidden="false" customHeight="false" outlineLevel="0" collapsed="false">
      <c r="A336" s="12"/>
      <c r="B336" s="34"/>
      <c r="C336" s="12"/>
      <c r="D336" s="12"/>
      <c r="E336" s="12"/>
      <c r="F336" s="12"/>
      <c r="G336" s="18"/>
      <c r="H336" s="35"/>
      <c r="I336" s="12"/>
      <c r="M336" s="12"/>
      <c r="N336" s="18"/>
      <c r="O336" s="12"/>
      <c r="P336" s="12"/>
      <c r="Q336" s="12"/>
      <c r="R336" s="36"/>
      <c r="S336" s="36"/>
      <c r="T336" s="12"/>
      <c r="U336" s="12"/>
      <c r="V336" s="12"/>
      <c r="W336" s="12"/>
      <c r="X336" s="12"/>
    </row>
    <row r="337" customFormat="false" ht="15.75" hidden="false" customHeight="false" outlineLevel="0" collapsed="false">
      <c r="A337" s="12"/>
      <c r="B337" s="34"/>
      <c r="C337" s="12"/>
      <c r="D337" s="12"/>
      <c r="E337" s="12"/>
      <c r="F337" s="12"/>
      <c r="G337" s="18"/>
      <c r="H337" s="35"/>
      <c r="I337" s="12"/>
      <c r="M337" s="12"/>
      <c r="N337" s="18"/>
      <c r="O337" s="12"/>
      <c r="P337" s="12"/>
      <c r="Q337" s="12"/>
      <c r="R337" s="36"/>
      <c r="S337" s="36"/>
      <c r="T337" s="12"/>
      <c r="U337" s="12"/>
      <c r="V337" s="12"/>
      <c r="W337" s="12"/>
      <c r="X337" s="12"/>
    </row>
    <row r="338" customFormat="false" ht="15.75" hidden="false" customHeight="false" outlineLevel="0" collapsed="false">
      <c r="A338" s="12"/>
      <c r="B338" s="34"/>
      <c r="C338" s="12"/>
      <c r="D338" s="12"/>
      <c r="E338" s="12"/>
      <c r="F338" s="12"/>
      <c r="G338" s="18"/>
      <c r="H338" s="35"/>
      <c r="I338" s="12"/>
      <c r="M338" s="12"/>
      <c r="N338" s="18"/>
      <c r="O338" s="12"/>
      <c r="P338" s="12"/>
      <c r="Q338" s="12"/>
      <c r="R338" s="36"/>
      <c r="S338" s="36"/>
      <c r="T338" s="12"/>
      <c r="U338" s="12"/>
      <c r="V338" s="12"/>
      <c r="W338" s="12"/>
      <c r="X338" s="12"/>
    </row>
    <row r="339" customFormat="false" ht="15.75" hidden="false" customHeight="false" outlineLevel="0" collapsed="false">
      <c r="A339" s="12"/>
      <c r="B339" s="34"/>
      <c r="C339" s="12"/>
      <c r="D339" s="12"/>
      <c r="E339" s="12"/>
      <c r="F339" s="12"/>
      <c r="G339" s="18"/>
      <c r="H339" s="35"/>
      <c r="I339" s="12"/>
      <c r="M339" s="12"/>
      <c r="N339" s="18"/>
      <c r="O339" s="12"/>
      <c r="P339" s="12"/>
      <c r="Q339" s="12"/>
      <c r="R339" s="36"/>
      <c r="S339" s="36"/>
      <c r="T339" s="12"/>
      <c r="U339" s="12"/>
      <c r="V339" s="12"/>
      <c r="W339" s="12"/>
      <c r="X339" s="12"/>
    </row>
    <row r="340" customFormat="false" ht="15.75" hidden="false" customHeight="false" outlineLevel="0" collapsed="false">
      <c r="A340" s="12"/>
      <c r="B340" s="34"/>
      <c r="C340" s="12"/>
      <c r="D340" s="12"/>
      <c r="E340" s="12"/>
      <c r="F340" s="12"/>
      <c r="G340" s="18"/>
      <c r="H340" s="35"/>
      <c r="I340" s="12"/>
      <c r="M340" s="12"/>
      <c r="N340" s="18"/>
      <c r="O340" s="12"/>
      <c r="P340" s="12"/>
      <c r="Q340" s="12"/>
      <c r="R340" s="36"/>
      <c r="S340" s="36"/>
      <c r="T340" s="12"/>
      <c r="U340" s="12"/>
      <c r="V340" s="12"/>
      <c r="W340" s="12"/>
      <c r="X340" s="12"/>
    </row>
    <row r="341" customFormat="false" ht="15.75" hidden="false" customHeight="false" outlineLevel="0" collapsed="false">
      <c r="A341" s="12"/>
      <c r="B341" s="34"/>
      <c r="C341" s="12"/>
      <c r="D341" s="12"/>
      <c r="E341" s="12"/>
      <c r="F341" s="12"/>
      <c r="G341" s="18"/>
      <c r="H341" s="35"/>
      <c r="I341" s="12"/>
      <c r="M341" s="12"/>
      <c r="N341" s="18"/>
      <c r="O341" s="12"/>
      <c r="P341" s="12"/>
      <c r="Q341" s="12"/>
      <c r="R341" s="36"/>
      <c r="S341" s="36"/>
      <c r="T341" s="12"/>
      <c r="U341" s="12"/>
      <c r="V341" s="12"/>
      <c r="W341" s="12"/>
      <c r="X341" s="12"/>
    </row>
    <row r="342" customFormat="false" ht="15.75" hidden="false" customHeight="false" outlineLevel="0" collapsed="false">
      <c r="A342" s="12"/>
      <c r="B342" s="34"/>
      <c r="C342" s="12"/>
      <c r="D342" s="12"/>
      <c r="E342" s="12"/>
      <c r="F342" s="12"/>
      <c r="G342" s="18"/>
      <c r="H342" s="35"/>
      <c r="I342" s="12"/>
      <c r="M342" s="12"/>
      <c r="N342" s="18"/>
      <c r="O342" s="12"/>
      <c r="P342" s="12"/>
      <c r="Q342" s="12"/>
      <c r="R342" s="36"/>
      <c r="S342" s="36"/>
      <c r="T342" s="12"/>
      <c r="U342" s="12"/>
      <c r="V342" s="12"/>
      <c r="W342" s="12"/>
      <c r="X342" s="12"/>
    </row>
    <row r="343" customFormat="false" ht="15.75" hidden="false" customHeight="false" outlineLevel="0" collapsed="false">
      <c r="A343" s="12"/>
      <c r="B343" s="34"/>
      <c r="C343" s="12"/>
      <c r="D343" s="12"/>
      <c r="E343" s="12"/>
      <c r="F343" s="12"/>
      <c r="G343" s="18"/>
      <c r="H343" s="35"/>
      <c r="I343" s="12"/>
      <c r="M343" s="12"/>
      <c r="N343" s="18"/>
      <c r="O343" s="12"/>
      <c r="P343" s="12"/>
      <c r="Q343" s="12"/>
      <c r="R343" s="36"/>
      <c r="S343" s="36"/>
      <c r="T343" s="12"/>
      <c r="U343" s="12"/>
      <c r="V343" s="12"/>
      <c r="W343" s="12"/>
      <c r="X343" s="12"/>
    </row>
    <row r="344" customFormat="false" ht="15.75" hidden="false" customHeight="false" outlineLevel="0" collapsed="false">
      <c r="A344" s="12"/>
      <c r="B344" s="34"/>
      <c r="C344" s="12"/>
      <c r="D344" s="12"/>
      <c r="E344" s="12"/>
      <c r="F344" s="12"/>
      <c r="G344" s="18"/>
      <c r="H344" s="35"/>
      <c r="I344" s="12"/>
      <c r="M344" s="12"/>
      <c r="N344" s="18"/>
      <c r="O344" s="12"/>
      <c r="P344" s="12"/>
      <c r="Q344" s="12"/>
      <c r="R344" s="36"/>
      <c r="S344" s="36"/>
      <c r="T344" s="12"/>
      <c r="U344" s="12"/>
      <c r="V344" s="12"/>
      <c r="W344" s="12"/>
      <c r="X344" s="12"/>
    </row>
    <row r="345" customFormat="false" ht="15.75" hidden="false" customHeight="false" outlineLevel="0" collapsed="false">
      <c r="A345" s="12"/>
      <c r="B345" s="34"/>
      <c r="C345" s="12"/>
      <c r="D345" s="12"/>
      <c r="E345" s="12"/>
      <c r="F345" s="12"/>
      <c r="G345" s="18"/>
      <c r="H345" s="35"/>
      <c r="I345" s="12"/>
      <c r="M345" s="12"/>
      <c r="N345" s="18"/>
      <c r="O345" s="12"/>
      <c r="P345" s="12"/>
      <c r="Q345" s="12"/>
      <c r="R345" s="36"/>
      <c r="S345" s="36"/>
      <c r="T345" s="12"/>
      <c r="U345" s="12"/>
      <c r="V345" s="12"/>
      <c r="W345" s="12"/>
      <c r="X345" s="12"/>
    </row>
    <row r="346" customFormat="false" ht="15.75" hidden="false" customHeight="false" outlineLevel="0" collapsed="false">
      <c r="A346" s="12"/>
      <c r="B346" s="34"/>
      <c r="C346" s="12"/>
      <c r="D346" s="12"/>
      <c r="E346" s="12"/>
      <c r="F346" s="12"/>
      <c r="G346" s="18"/>
      <c r="H346" s="35"/>
      <c r="I346" s="12"/>
      <c r="M346" s="12"/>
      <c r="N346" s="18"/>
      <c r="O346" s="12"/>
      <c r="P346" s="12"/>
      <c r="Q346" s="12"/>
      <c r="R346" s="36"/>
      <c r="S346" s="36"/>
      <c r="T346" s="12"/>
      <c r="U346" s="12"/>
      <c r="V346" s="12"/>
      <c r="W346" s="12"/>
      <c r="X346" s="12"/>
    </row>
    <row r="347" customFormat="false" ht="15.75" hidden="false" customHeight="false" outlineLevel="0" collapsed="false">
      <c r="A347" s="12"/>
      <c r="B347" s="34"/>
      <c r="C347" s="12"/>
      <c r="D347" s="12"/>
      <c r="E347" s="12"/>
      <c r="F347" s="12"/>
      <c r="G347" s="18"/>
      <c r="H347" s="35"/>
      <c r="I347" s="12"/>
      <c r="M347" s="12"/>
      <c r="N347" s="18"/>
      <c r="O347" s="12"/>
      <c r="P347" s="12"/>
      <c r="Q347" s="12"/>
      <c r="R347" s="36"/>
      <c r="S347" s="36"/>
      <c r="T347" s="12"/>
      <c r="U347" s="12"/>
      <c r="V347" s="12"/>
      <c r="W347" s="12"/>
      <c r="X347" s="12"/>
    </row>
    <row r="348" customFormat="false" ht="15.75" hidden="false" customHeight="false" outlineLevel="0" collapsed="false">
      <c r="A348" s="12"/>
      <c r="B348" s="34"/>
      <c r="C348" s="12"/>
      <c r="D348" s="12"/>
      <c r="E348" s="12"/>
      <c r="F348" s="12"/>
      <c r="G348" s="18"/>
      <c r="H348" s="35"/>
      <c r="I348" s="12"/>
      <c r="M348" s="12"/>
      <c r="N348" s="18"/>
      <c r="O348" s="12"/>
      <c r="P348" s="12"/>
      <c r="Q348" s="12"/>
      <c r="R348" s="36"/>
      <c r="S348" s="36"/>
      <c r="T348" s="12"/>
      <c r="U348" s="12"/>
      <c r="V348" s="12"/>
      <c r="W348" s="12"/>
      <c r="X348" s="12"/>
    </row>
    <row r="349" customFormat="false" ht="15.75" hidden="false" customHeight="false" outlineLevel="0" collapsed="false">
      <c r="A349" s="12"/>
      <c r="B349" s="34"/>
      <c r="C349" s="12"/>
      <c r="D349" s="12"/>
      <c r="E349" s="12"/>
      <c r="F349" s="12"/>
      <c r="G349" s="18"/>
      <c r="H349" s="35"/>
      <c r="I349" s="12"/>
      <c r="M349" s="12"/>
      <c r="N349" s="18"/>
      <c r="O349" s="12"/>
      <c r="P349" s="12"/>
      <c r="Q349" s="12"/>
      <c r="R349" s="36"/>
      <c r="S349" s="36"/>
      <c r="T349" s="12"/>
      <c r="U349" s="12"/>
      <c r="V349" s="12"/>
      <c r="W349" s="12"/>
      <c r="X349" s="12"/>
    </row>
    <row r="350" customFormat="false" ht="15.75" hidden="false" customHeight="false" outlineLevel="0" collapsed="false">
      <c r="A350" s="12"/>
      <c r="B350" s="34"/>
      <c r="C350" s="12"/>
      <c r="D350" s="12"/>
      <c r="E350" s="12"/>
      <c r="F350" s="12"/>
      <c r="G350" s="18"/>
      <c r="H350" s="35"/>
      <c r="I350" s="12"/>
      <c r="M350" s="12"/>
      <c r="N350" s="18"/>
      <c r="O350" s="12"/>
      <c r="P350" s="12"/>
      <c r="Q350" s="12"/>
      <c r="R350" s="36"/>
      <c r="S350" s="36"/>
      <c r="T350" s="12"/>
      <c r="U350" s="12"/>
      <c r="V350" s="12"/>
      <c r="W350" s="12"/>
      <c r="X350" s="12"/>
    </row>
    <row r="351" customFormat="false" ht="15.75" hidden="false" customHeight="false" outlineLevel="0" collapsed="false">
      <c r="A351" s="12"/>
      <c r="B351" s="34"/>
      <c r="C351" s="12"/>
      <c r="D351" s="12"/>
      <c r="E351" s="12"/>
      <c r="F351" s="12"/>
      <c r="G351" s="18"/>
      <c r="H351" s="35"/>
      <c r="I351" s="12"/>
      <c r="M351" s="12"/>
      <c r="N351" s="18"/>
      <c r="O351" s="12"/>
      <c r="P351" s="12"/>
      <c r="Q351" s="12"/>
      <c r="R351" s="36"/>
      <c r="S351" s="36"/>
      <c r="T351" s="12"/>
      <c r="U351" s="12"/>
      <c r="V351" s="12"/>
      <c r="W351" s="12"/>
      <c r="X351" s="12"/>
    </row>
    <row r="352" customFormat="false" ht="15.75" hidden="false" customHeight="false" outlineLevel="0" collapsed="false">
      <c r="A352" s="12"/>
      <c r="B352" s="34"/>
      <c r="C352" s="12"/>
      <c r="D352" s="12"/>
      <c r="E352" s="12"/>
      <c r="F352" s="12"/>
      <c r="G352" s="18"/>
      <c r="H352" s="35"/>
      <c r="I352" s="12"/>
      <c r="M352" s="12"/>
      <c r="N352" s="18"/>
      <c r="O352" s="12"/>
      <c r="P352" s="12"/>
      <c r="Q352" s="12"/>
      <c r="R352" s="36"/>
      <c r="S352" s="36"/>
      <c r="T352" s="12"/>
      <c r="U352" s="12"/>
      <c r="V352" s="12"/>
      <c r="W352" s="12"/>
      <c r="X352" s="12"/>
    </row>
    <row r="353" customFormat="false" ht="15.75" hidden="false" customHeight="false" outlineLevel="0" collapsed="false">
      <c r="A353" s="12"/>
      <c r="B353" s="34"/>
      <c r="C353" s="12"/>
      <c r="D353" s="12"/>
      <c r="E353" s="12"/>
      <c r="F353" s="12"/>
      <c r="G353" s="18"/>
      <c r="H353" s="35"/>
      <c r="I353" s="12"/>
      <c r="M353" s="12"/>
      <c r="N353" s="18"/>
      <c r="O353" s="12"/>
      <c r="P353" s="12"/>
      <c r="Q353" s="12"/>
      <c r="R353" s="36"/>
      <c r="S353" s="36"/>
      <c r="T353" s="12"/>
      <c r="U353" s="12"/>
      <c r="V353" s="12"/>
      <c r="W353" s="12"/>
      <c r="X353" s="12"/>
    </row>
    <row r="354" customFormat="false" ht="15.75" hidden="false" customHeight="false" outlineLevel="0" collapsed="false">
      <c r="A354" s="12"/>
      <c r="B354" s="34"/>
      <c r="C354" s="12"/>
      <c r="D354" s="12"/>
      <c r="E354" s="12"/>
      <c r="F354" s="12"/>
      <c r="G354" s="18"/>
      <c r="H354" s="35"/>
      <c r="I354" s="12"/>
      <c r="M354" s="12"/>
      <c r="N354" s="18"/>
      <c r="O354" s="12"/>
      <c r="P354" s="12"/>
      <c r="Q354" s="12"/>
      <c r="R354" s="36"/>
      <c r="S354" s="36"/>
      <c r="T354" s="12"/>
      <c r="U354" s="12"/>
      <c r="V354" s="12"/>
      <c r="W354" s="12"/>
      <c r="X354" s="12"/>
    </row>
    <row r="355" customFormat="false" ht="15.75" hidden="false" customHeight="false" outlineLevel="0" collapsed="false">
      <c r="A355" s="12"/>
      <c r="B355" s="34"/>
      <c r="C355" s="12"/>
      <c r="D355" s="12"/>
      <c r="E355" s="12"/>
      <c r="F355" s="12"/>
      <c r="G355" s="18"/>
      <c r="H355" s="35"/>
      <c r="I355" s="12"/>
      <c r="M355" s="12"/>
      <c r="N355" s="18"/>
      <c r="O355" s="12"/>
      <c r="P355" s="12"/>
      <c r="Q355" s="12"/>
      <c r="R355" s="36"/>
      <c r="S355" s="36"/>
      <c r="T355" s="12"/>
      <c r="U355" s="12"/>
      <c r="V355" s="12"/>
      <c r="W355" s="12"/>
      <c r="X355" s="12"/>
    </row>
    <row r="356" customFormat="false" ht="15.75" hidden="false" customHeight="false" outlineLevel="0" collapsed="false">
      <c r="A356" s="12"/>
      <c r="B356" s="34"/>
      <c r="C356" s="12"/>
      <c r="D356" s="12"/>
      <c r="E356" s="12"/>
      <c r="F356" s="12"/>
      <c r="G356" s="18"/>
      <c r="H356" s="35"/>
      <c r="I356" s="12"/>
      <c r="M356" s="12"/>
      <c r="N356" s="18"/>
      <c r="O356" s="12"/>
      <c r="P356" s="12"/>
      <c r="Q356" s="12"/>
      <c r="R356" s="36"/>
      <c r="S356" s="36"/>
      <c r="T356" s="12"/>
      <c r="U356" s="12"/>
      <c r="V356" s="12"/>
      <c r="W356" s="12"/>
      <c r="X356" s="12"/>
    </row>
    <row r="357" customFormat="false" ht="15.75" hidden="false" customHeight="false" outlineLevel="0" collapsed="false">
      <c r="A357" s="12"/>
      <c r="B357" s="34"/>
      <c r="C357" s="12"/>
      <c r="D357" s="12"/>
      <c r="E357" s="12"/>
      <c r="F357" s="12"/>
      <c r="G357" s="18"/>
      <c r="H357" s="35"/>
      <c r="I357" s="12"/>
      <c r="M357" s="12"/>
      <c r="N357" s="18"/>
      <c r="O357" s="12"/>
      <c r="P357" s="12"/>
      <c r="Q357" s="12"/>
      <c r="R357" s="36"/>
      <c r="S357" s="36"/>
      <c r="T357" s="12"/>
      <c r="U357" s="12"/>
      <c r="V357" s="12"/>
      <c r="W357" s="12"/>
      <c r="X357" s="12"/>
    </row>
    <row r="358" customFormat="false" ht="15.75" hidden="false" customHeight="false" outlineLevel="0" collapsed="false">
      <c r="A358" s="12"/>
      <c r="B358" s="34"/>
      <c r="C358" s="12"/>
      <c r="D358" s="12"/>
      <c r="E358" s="12"/>
      <c r="F358" s="12"/>
      <c r="G358" s="18"/>
      <c r="H358" s="35"/>
      <c r="I358" s="12"/>
      <c r="M358" s="12"/>
      <c r="N358" s="18"/>
      <c r="O358" s="12"/>
      <c r="P358" s="12"/>
      <c r="Q358" s="12"/>
      <c r="R358" s="36"/>
      <c r="S358" s="36"/>
      <c r="T358" s="12"/>
      <c r="U358" s="12"/>
      <c r="V358" s="12"/>
      <c r="W358" s="12"/>
      <c r="X358" s="12"/>
    </row>
    <row r="359" customFormat="false" ht="15.75" hidden="false" customHeight="false" outlineLevel="0" collapsed="false">
      <c r="A359" s="12"/>
      <c r="B359" s="34"/>
      <c r="C359" s="12"/>
      <c r="D359" s="12"/>
      <c r="E359" s="12"/>
      <c r="F359" s="12"/>
      <c r="G359" s="18"/>
      <c r="H359" s="35"/>
      <c r="I359" s="12"/>
      <c r="M359" s="12"/>
      <c r="N359" s="18"/>
      <c r="O359" s="12"/>
      <c r="P359" s="12"/>
      <c r="Q359" s="12"/>
      <c r="R359" s="36"/>
      <c r="S359" s="36"/>
      <c r="T359" s="12"/>
      <c r="U359" s="12"/>
      <c r="V359" s="12"/>
      <c r="W359" s="12"/>
      <c r="X359" s="12"/>
    </row>
    <row r="360" customFormat="false" ht="15.75" hidden="false" customHeight="false" outlineLevel="0" collapsed="false">
      <c r="A360" s="12"/>
      <c r="B360" s="34"/>
      <c r="C360" s="12"/>
      <c r="D360" s="12"/>
      <c r="E360" s="12"/>
      <c r="F360" s="12"/>
      <c r="G360" s="18"/>
      <c r="H360" s="35"/>
      <c r="I360" s="12"/>
      <c r="M360" s="12"/>
      <c r="N360" s="18"/>
      <c r="O360" s="12"/>
      <c r="P360" s="12"/>
      <c r="Q360" s="12"/>
      <c r="R360" s="36"/>
      <c r="S360" s="36"/>
      <c r="T360" s="12"/>
      <c r="U360" s="12"/>
      <c r="V360" s="12"/>
      <c r="W360" s="12"/>
      <c r="X360" s="12"/>
    </row>
    <row r="361" customFormat="false" ht="15.75" hidden="false" customHeight="false" outlineLevel="0" collapsed="false">
      <c r="A361" s="12"/>
      <c r="B361" s="34"/>
      <c r="C361" s="12"/>
      <c r="D361" s="12"/>
      <c r="E361" s="12"/>
      <c r="F361" s="12"/>
      <c r="G361" s="18"/>
      <c r="H361" s="35"/>
      <c r="I361" s="12"/>
      <c r="M361" s="12"/>
      <c r="N361" s="18"/>
      <c r="O361" s="12"/>
      <c r="P361" s="12"/>
      <c r="Q361" s="12"/>
      <c r="R361" s="36"/>
      <c r="S361" s="36"/>
      <c r="T361" s="12"/>
      <c r="U361" s="12"/>
      <c r="V361" s="12"/>
      <c r="W361" s="12"/>
      <c r="X361" s="12"/>
    </row>
    <row r="362" customFormat="false" ht="15.75" hidden="false" customHeight="false" outlineLevel="0" collapsed="false">
      <c r="A362" s="12"/>
      <c r="B362" s="34"/>
      <c r="C362" s="12"/>
      <c r="D362" s="12"/>
      <c r="E362" s="12"/>
      <c r="F362" s="12"/>
      <c r="G362" s="18"/>
      <c r="H362" s="35"/>
      <c r="I362" s="12"/>
      <c r="M362" s="12"/>
      <c r="N362" s="18"/>
      <c r="O362" s="12"/>
      <c r="P362" s="12"/>
      <c r="Q362" s="12"/>
      <c r="R362" s="36"/>
      <c r="S362" s="36"/>
      <c r="T362" s="12"/>
      <c r="U362" s="12"/>
      <c r="V362" s="12"/>
      <c r="W362" s="12"/>
      <c r="X362" s="12"/>
    </row>
    <row r="363" customFormat="false" ht="15.75" hidden="false" customHeight="false" outlineLevel="0" collapsed="false">
      <c r="A363" s="12"/>
      <c r="B363" s="34"/>
      <c r="C363" s="12"/>
      <c r="D363" s="12"/>
      <c r="E363" s="12"/>
      <c r="F363" s="12"/>
      <c r="G363" s="18"/>
      <c r="H363" s="35"/>
      <c r="I363" s="12"/>
      <c r="M363" s="12"/>
      <c r="N363" s="18"/>
      <c r="O363" s="12"/>
      <c r="P363" s="12"/>
      <c r="Q363" s="12"/>
      <c r="R363" s="36"/>
      <c r="S363" s="36"/>
      <c r="T363" s="12"/>
      <c r="U363" s="12"/>
      <c r="V363" s="12"/>
      <c r="W363" s="12"/>
      <c r="X363" s="12"/>
    </row>
    <row r="364" customFormat="false" ht="15.75" hidden="false" customHeight="false" outlineLevel="0" collapsed="false">
      <c r="A364" s="12"/>
      <c r="B364" s="34"/>
      <c r="C364" s="12"/>
      <c r="D364" s="12"/>
      <c r="E364" s="12"/>
      <c r="F364" s="12"/>
      <c r="G364" s="18"/>
      <c r="H364" s="35"/>
      <c r="I364" s="12"/>
      <c r="M364" s="12"/>
      <c r="N364" s="18"/>
      <c r="O364" s="12"/>
      <c r="P364" s="12"/>
      <c r="Q364" s="12"/>
      <c r="R364" s="36"/>
      <c r="S364" s="36"/>
      <c r="T364" s="12"/>
      <c r="U364" s="12"/>
      <c r="V364" s="12"/>
      <c r="W364" s="12"/>
      <c r="X364" s="12"/>
    </row>
    <row r="365" customFormat="false" ht="15.75" hidden="false" customHeight="false" outlineLevel="0" collapsed="false">
      <c r="A365" s="12"/>
      <c r="B365" s="34"/>
      <c r="C365" s="12"/>
      <c r="D365" s="12"/>
      <c r="E365" s="12"/>
      <c r="F365" s="12"/>
      <c r="G365" s="18"/>
      <c r="H365" s="35"/>
      <c r="I365" s="12"/>
      <c r="M365" s="12"/>
      <c r="N365" s="18"/>
      <c r="O365" s="12"/>
      <c r="P365" s="12"/>
      <c r="Q365" s="12"/>
      <c r="R365" s="36"/>
      <c r="S365" s="36"/>
      <c r="T365" s="12"/>
      <c r="U365" s="12"/>
      <c r="V365" s="12"/>
      <c r="W365" s="12"/>
      <c r="X365" s="12"/>
    </row>
    <row r="366" customFormat="false" ht="15.75" hidden="false" customHeight="false" outlineLevel="0" collapsed="false">
      <c r="A366" s="12"/>
      <c r="B366" s="34"/>
      <c r="C366" s="12"/>
      <c r="D366" s="12"/>
      <c r="E366" s="12"/>
      <c r="F366" s="12"/>
      <c r="G366" s="18"/>
      <c r="H366" s="35"/>
      <c r="I366" s="12"/>
      <c r="M366" s="12"/>
      <c r="N366" s="18"/>
      <c r="O366" s="12"/>
      <c r="P366" s="12"/>
      <c r="Q366" s="12"/>
      <c r="R366" s="36"/>
      <c r="S366" s="36"/>
      <c r="T366" s="12"/>
      <c r="U366" s="12"/>
      <c r="V366" s="12"/>
      <c r="W366" s="12"/>
      <c r="X366" s="12"/>
    </row>
    <row r="367" customFormat="false" ht="15.75" hidden="false" customHeight="false" outlineLevel="0" collapsed="false">
      <c r="A367" s="12"/>
      <c r="B367" s="34"/>
      <c r="C367" s="12"/>
      <c r="D367" s="12"/>
      <c r="E367" s="12"/>
      <c r="F367" s="12"/>
      <c r="G367" s="18"/>
      <c r="H367" s="35"/>
      <c r="I367" s="12"/>
      <c r="M367" s="12"/>
      <c r="N367" s="18"/>
      <c r="O367" s="12"/>
      <c r="P367" s="12"/>
      <c r="Q367" s="12"/>
      <c r="R367" s="36"/>
      <c r="S367" s="36"/>
      <c r="T367" s="12"/>
      <c r="U367" s="12"/>
      <c r="V367" s="12"/>
      <c r="W367" s="12"/>
      <c r="X367" s="12"/>
    </row>
    <row r="368" customFormat="false" ht="15.75" hidden="false" customHeight="false" outlineLevel="0" collapsed="false">
      <c r="A368" s="12"/>
      <c r="B368" s="34"/>
      <c r="C368" s="12"/>
      <c r="D368" s="12"/>
      <c r="E368" s="12"/>
      <c r="F368" s="12"/>
      <c r="G368" s="18"/>
      <c r="H368" s="35"/>
      <c r="I368" s="12"/>
      <c r="M368" s="12"/>
      <c r="N368" s="18"/>
      <c r="O368" s="12"/>
      <c r="P368" s="12"/>
      <c r="Q368" s="12"/>
      <c r="R368" s="36"/>
      <c r="S368" s="36"/>
      <c r="T368" s="12"/>
      <c r="U368" s="12"/>
      <c r="V368" s="12"/>
      <c r="W368" s="12"/>
      <c r="X368" s="12"/>
    </row>
    <row r="369" customFormat="false" ht="15.75" hidden="false" customHeight="false" outlineLevel="0" collapsed="false">
      <c r="A369" s="12"/>
      <c r="B369" s="34"/>
      <c r="C369" s="12"/>
      <c r="D369" s="12"/>
      <c r="E369" s="12"/>
      <c r="F369" s="12"/>
      <c r="G369" s="18"/>
      <c r="H369" s="35"/>
      <c r="I369" s="12"/>
      <c r="M369" s="12"/>
      <c r="N369" s="18"/>
      <c r="O369" s="12"/>
      <c r="P369" s="12"/>
      <c r="Q369" s="12"/>
      <c r="R369" s="36"/>
      <c r="S369" s="36"/>
      <c r="T369" s="12"/>
      <c r="U369" s="12"/>
      <c r="V369" s="12"/>
      <c r="W369" s="12"/>
      <c r="X369" s="12"/>
    </row>
    <row r="370" customFormat="false" ht="15.75" hidden="false" customHeight="false" outlineLevel="0" collapsed="false">
      <c r="A370" s="12"/>
      <c r="B370" s="34"/>
      <c r="C370" s="12"/>
      <c r="D370" s="12"/>
      <c r="E370" s="12"/>
      <c r="F370" s="12"/>
      <c r="G370" s="18"/>
      <c r="H370" s="35"/>
      <c r="I370" s="12"/>
      <c r="M370" s="12"/>
      <c r="N370" s="18"/>
      <c r="O370" s="12"/>
      <c r="P370" s="12"/>
      <c r="Q370" s="12"/>
      <c r="R370" s="36"/>
      <c r="S370" s="36"/>
      <c r="T370" s="12"/>
      <c r="U370" s="12"/>
      <c r="V370" s="12"/>
      <c r="W370" s="12"/>
      <c r="X370" s="12"/>
    </row>
    <row r="371" customFormat="false" ht="15.75" hidden="false" customHeight="false" outlineLevel="0" collapsed="false">
      <c r="A371" s="12"/>
      <c r="B371" s="34"/>
      <c r="C371" s="12"/>
      <c r="D371" s="12"/>
      <c r="E371" s="12"/>
      <c r="F371" s="12"/>
      <c r="G371" s="18"/>
      <c r="H371" s="35"/>
      <c r="I371" s="12"/>
      <c r="M371" s="12"/>
      <c r="N371" s="18"/>
      <c r="O371" s="12"/>
      <c r="P371" s="12"/>
      <c r="Q371" s="12"/>
      <c r="R371" s="36"/>
      <c r="S371" s="36"/>
      <c r="T371" s="12"/>
      <c r="U371" s="12"/>
      <c r="V371" s="12"/>
      <c r="W371" s="12"/>
      <c r="X371" s="12"/>
    </row>
    <row r="372" customFormat="false" ht="15.75" hidden="false" customHeight="false" outlineLevel="0" collapsed="false">
      <c r="A372" s="12"/>
      <c r="B372" s="34"/>
      <c r="C372" s="12"/>
      <c r="D372" s="12"/>
      <c r="E372" s="12"/>
      <c r="F372" s="12"/>
      <c r="G372" s="18"/>
      <c r="H372" s="35"/>
      <c r="I372" s="12"/>
      <c r="M372" s="12"/>
      <c r="N372" s="18"/>
      <c r="O372" s="12"/>
      <c r="P372" s="12"/>
      <c r="Q372" s="12"/>
      <c r="R372" s="36"/>
      <c r="S372" s="36"/>
      <c r="T372" s="12"/>
      <c r="U372" s="12"/>
      <c r="V372" s="12"/>
      <c r="W372" s="12"/>
      <c r="X372" s="12"/>
    </row>
    <row r="373" customFormat="false" ht="15.75" hidden="false" customHeight="false" outlineLevel="0" collapsed="false">
      <c r="A373" s="12"/>
      <c r="B373" s="34"/>
      <c r="C373" s="12"/>
      <c r="D373" s="12"/>
      <c r="E373" s="12"/>
      <c r="F373" s="12"/>
      <c r="G373" s="18"/>
      <c r="H373" s="35"/>
      <c r="I373" s="12"/>
      <c r="M373" s="12"/>
      <c r="N373" s="18"/>
      <c r="O373" s="12"/>
      <c r="P373" s="12"/>
      <c r="Q373" s="12"/>
      <c r="R373" s="36"/>
      <c r="S373" s="36"/>
      <c r="T373" s="12"/>
      <c r="U373" s="12"/>
      <c r="V373" s="12"/>
      <c r="W373" s="12"/>
      <c r="X373" s="12"/>
    </row>
    <row r="374" customFormat="false" ht="15.75" hidden="false" customHeight="false" outlineLevel="0" collapsed="false">
      <c r="A374" s="12"/>
      <c r="B374" s="34"/>
      <c r="C374" s="12"/>
      <c r="D374" s="12"/>
      <c r="E374" s="12"/>
      <c r="F374" s="12"/>
      <c r="G374" s="18"/>
      <c r="H374" s="35"/>
      <c r="I374" s="12"/>
      <c r="M374" s="12"/>
      <c r="N374" s="18"/>
      <c r="O374" s="12"/>
      <c r="P374" s="12"/>
      <c r="Q374" s="12"/>
      <c r="R374" s="36"/>
      <c r="S374" s="36"/>
      <c r="T374" s="12"/>
      <c r="U374" s="12"/>
      <c r="V374" s="12"/>
      <c r="W374" s="12"/>
      <c r="X374" s="12"/>
    </row>
    <row r="375" customFormat="false" ht="15.75" hidden="false" customHeight="false" outlineLevel="0" collapsed="false">
      <c r="A375" s="12"/>
      <c r="B375" s="34"/>
      <c r="C375" s="12"/>
      <c r="D375" s="12"/>
      <c r="E375" s="12"/>
      <c r="F375" s="12"/>
      <c r="G375" s="18"/>
      <c r="H375" s="35"/>
      <c r="I375" s="12"/>
      <c r="M375" s="12"/>
      <c r="N375" s="18"/>
      <c r="O375" s="12"/>
      <c r="P375" s="12"/>
      <c r="Q375" s="12"/>
      <c r="R375" s="36"/>
      <c r="S375" s="36"/>
      <c r="T375" s="12"/>
      <c r="U375" s="12"/>
      <c r="V375" s="12"/>
      <c r="W375" s="12"/>
      <c r="X375" s="12"/>
    </row>
    <row r="376" customFormat="false" ht="15.75" hidden="false" customHeight="false" outlineLevel="0" collapsed="false">
      <c r="A376" s="12"/>
      <c r="B376" s="34"/>
      <c r="C376" s="12"/>
      <c r="D376" s="12"/>
      <c r="E376" s="12"/>
      <c r="F376" s="12"/>
      <c r="G376" s="18"/>
      <c r="H376" s="35"/>
      <c r="I376" s="12"/>
      <c r="M376" s="12"/>
      <c r="N376" s="18"/>
      <c r="O376" s="12"/>
      <c r="P376" s="12"/>
      <c r="Q376" s="12"/>
      <c r="R376" s="36"/>
      <c r="S376" s="36"/>
      <c r="T376" s="12"/>
      <c r="U376" s="12"/>
      <c r="V376" s="12"/>
      <c r="W376" s="12"/>
      <c r="X376" s="12"/>
    </row>
    <row r="377" customFormat="false" ht="15.75" hidden="false" customHeight="false" outlineLevel="0" collapsed="false">
      <c r="A377" s="12"/>
      <c r="B377" s="34"/>
      <c r="C377" s="12"/>
      <c r="D377" s="12"/>
      <c r="E377" s="12"/>
      <c r="F377" s="12"/>
      <c r="G377" s="18"/>
      <c r="H377" s="35"/>
      <c r="I377" s="12"/>
      <c r="M377" s="12"/>
      <c r="N377" s="18"/>
      <c r="O377" s="12"/>
      <c r="P377" s="12"/>
      <c r="Q377" s="12"/>
      <c r="R377" s="36"/>
      <c r="S377" s="36"/>
      <c r="T377" s="12"/>
      <c r="U377" s="12"/>
      <c r="V377" s="12"/>
      <c r="W377" s="12"/>
      <c r="X377" s="12"/>
    </row>
    <row r="378" customFormat="false" ht="15.75" hidden="false" customHeight="false" outlineLevel="0" collapsed="false">
      <c r="A378" s="12"/>
      <c r="B378" s="34"/>
      <c r="C378" s="12"/>
      <c r="D378" s="12"/>
      <c r="E378" s="12"/>
      <c r="F378" s="12"/>
      <c r="G378" s="18"/>
      <c r="H378" s="35"/>
      <c r="I378" s="12"/>
      <c r="M378" s="12"/>
      <c r="N378" s="18"/>
      <c r="O378" s="12"/>
      <c r="P378" s="12"/>
      <c r="Q378" s="12"/>
      <c r="R378" s="36"/>
      <c r="S378" s="36"/>
      <c r="T378" s="12"/>
      <c r="U378" s="12"/>
      <c r="V378" s="12"/>
      <c r="W378" s="12"/>
      <c r="X378" s="12"/>
    </row>
    <row r="379" customFormat="false" ht="15.75" hidden="false" customHeight="false" outlineLevel="0" collapsed="false">
      <c r="A379" s="12"/>
      <c r="B379" s="34"/>
      <c r="C379" s="12"/>
      <c r="D379" s="12"/>
      <c r="E379" s="12"/>
      <c r="F379" s="12"/>
      <c r="G379" s="18"/>
      <c r="H379" s="35"/>
      <c r="I379" s="12"/>
      <c r="M379" s="12"/>
      <c r="N379" s="18"/>
      <c r="O379" s="12"/>
      <c r="P379" s="12"/>
      <c r="Q379" s="12"/>
      <c r="R379" s="36"/>
      <c r="S379" s="36"/>
      <c r="T379" s="12"/>
      <c r="U379" s="12"/>
      <c r="V379" s="12"/>
      <c r="W379" s="12"/>
      <c r="X379" s="12"/>
    </row>
    <row r="380" customFormat="false" ht="15.75" hidden="false" customHeight="false" outlineLevel="0" collapsed="false">
      <c r="A380" s="12"/>
      <c r="B380" s="34"/>
      <c r="C380" s="12"/>
      <c r="D380" s="12"/>
      <c r="E380" s="12"/>
      <c r="F380" s="12"/>
      <c r="G380" s="18"/>
      <c r="H380" s="35"/>
      <c r="I380" s="12"/>
      <c r="M380" s="12"/>
      <c r="N380" s="18"/>
      <c r="O380" s="12"/>
      <c r="P380" s="12"/>
      <c r="Q380" s="12"/>
      <c r="R380" s="36"/>
      <c r="S380" s="36"/>
      <c r="T380" s="12"/>
      <c r="U380" s="12"/>
      <c r="V380" s="12"/>
      <c r="W380" s="12"/>
      <c r="X380" s="12"/>
    </row>
    <row r="381" customFormat="false" ht="15.75" hidden="false" customHeight="false" outlineLevel="0" collapsed="false">
      <c r="A381" s="12"/>
      <c r="B381" s="34"/>
      <c r="C381" s="12"/>
      <c r="D381" s="12"/>
      <c r="E381" s="12"/>
      <c r="F381" s="12"/>
      <c r="G381" s="18"/>
      <c r="H381" s="35"/>
      <c r="I381" s="12"/>
      <c r="M381" s="12"/>
      <c r="N381" s="18"/>
      <c r="O381" s="12"/>
      <c r="P381" s="12"/>
      <c r="Q381" s="12"/>
      <c r="R381" s="36"/>
      <c r="S381" s="36"/>
      <c r="T381" s="12"/>
      <c r="U381" s="12"/>
      <c r="V381" s="12"/>
      <c r="W381" s="12"/>
      <c r="X381" s="12"/>
    </row>
    <row r="382" customFormat="false" ht="15.75" hidden="false" customHeight="false" outlineLevel="0" collapsed="false">
      <c r="A382" s="12"/>
      <c r="B382" s="34"/>
      <c r="C382" s="12"/>
      <c r="D382" s="12"/>
      <c r="E382" s="12"/>
      <c r="F382" s="12"/>
      <c r="G382" s="18"/>
      <c r="H382" s="35"/>
      <c r="I382" s="12"/>
      <c r="M382" s="12"/>
      <c r="N382" s="18"/>
      <c r="O382" s="12"/>
      <c r="P382" s="12"/>
      <c r="Q382" s="12"/>
      <c r="R382" s="36"/>
      <c r="S382" s="36"/>
      <c r="T382" s="12"/>
      <c r="U382" s="12"/>
      <c r="V382" s="12"/>
      <c r="W382" s="12"/>
      <c r="X382" s="12"/>
    </row>
    <row r="383" customFormat="false" ht="15.75" hidden="false" customHeight="false" outlineLevel="0" collapsed="false">
      <c r="A383" s="12"/>
      <c r="B383" s="34"/>
      <c r="C383" s="12"/>
      <c r="D383" s="12"/>
      <c r="E383" s="12"/>
      <c r="F383" s="12"/>
      <c r="G383" s="18"/>
      <c r="H383" s="35"/>
      <c r="I383" s="12"/>
      <c r="M383" s="12"/>
      <c r="N383" s="18"/>
      <c r="O383" s="12"/>
      <c r="P383" s="12"/>
      <c r="Q383" s="12"/>
      <c r="R383" s="36"/>
      <c r="S383" s="36"/>
      <c r="T383" s="12"/>
      <c r="U383" s="12"/>
      <c r="V383" s="12"/>
      <c r="W383" s="12"/>
      <c r="X383" s="12"/>
    </row>
    <row r="384" customFormat="false" ht="15.75" hidden="false" customHeight="false" outlineLevel="0" collapsed="false">
      <c r="A384" s="12"/>
      <c r="B384" s="34"/>
      <c r="C384" s="12"/>
      <c r="D384" s="12"/>
      <c r="E384" s="12"/>
      <c r="F384" s="12"/>
      <c r="G384" s="18"/>
      <c r="H384" s="35"/>
      <c r="I384" s="12"/>
      <c r="M384" s="12"/>
      <c r="N384" s="18"/>
      <c r="O384" s="12"/>
      <c r="P384" s="12"/>
      <c r="Q384" s="12"/>
      <c r="R384" s="36"/>
      <c r="S384" s="36"/>
      <c r="T384" s="12"/>
      <c r="U384" s="12"/>
      <c r="V384" s="12"/>
      <c r="W384" s="12"/>
      <c r="X384" s="12"/>
    </row>
    <row r="385" customFormat="false" ht="15.75" hidden="false" customHeight="false" outlineLevel="0" collapsed="false">
      <c r="A385" s="12"/>
      <c r="B385" s="34"/>
      <c r="C385" s="12"/>
      <c r="D385" s="12"/>
      <c r="E385" s="12"/>
      <c r="F385" s="12"/>
      <c r="G385" s="18"/>
      <c r="H385" s="35"/>
      <c r="I385" s="12"/>
      <c r="M385" s="12"/>
      <c r="N385" s="18"/>
      <c r="O385" s="12"/>
      <c r="P385" s="12"/>
      <c r="Q385" s="12"/>
      <c r="R385" s="36"/>
      <c r="S385" s="36"/>
      <c r="T385" s="12"/>
      <c r="U385" s="12"/>
      <c r="V385" s="12"/>
      <c r="W385" s="12"/>
      <c r="X385" s="12"/>
    </row>
    <row r="386" customFormat="false" ht="15.75" hidden="false" customHeight="false" outlineLevel="0" collapsed="false">
      <c r="A386" s="12"/>
      <c r="B386" s="34"/>
      <c r="C386" s="12"/>
      <c r="D386" s="12"/>
      <c r="E386" s="12"/>
      <c r="F386" s="12"/>
      <c r="G386" s="18"/>
      <c r="H386" s="35"/>
      <c r="I386" s="12"/>
      <c r="M386" s="12"/>
      <c r="N386" s="18"/>
      <c r="O386" s="12"/>
      <c r="P386" s="12"/>
      <c r="Q386" s="12"/>
      <c r="R386" s="36"/>
      <c r="S386" s="36"/>
      <c r="T386" s="12"/>
      <c r="U386" s="12"/>
      <c r="V386" s="12"/>
      <c r="W386" s="12"/>
      <c r="X386" s="12"/>
    </row>
    <row r="387" customFormat="false" ht="15.75" hidden="false" customHeight="false" outlineLevel="0" collapsed="false">
      <c r="A387" s="12"/>
      <c r="B387" s="34"/>
      <c r="C387" s="12"/>
      <c r="D387" s="12"/>
      <c r="E387" s="12"/>
      <c r="F387" s="12"/>
      <c r="G387" s="18"/>
      <c r="H387" s="35"/>
      <c r="I387" s="12"/>
      <c r="M387" s="12"/>
      <c r="N387" s="18"/>
      <c r="O387" s="12"/>
      <c r="P387" s="12"/>
      <c r="Q387" s="12"/>
      <c r="R387" s="36"/>
      <c r="S387" s="36"/>
      <c r="T387" s="12"/>
      <c r="U387" s="12"/>
      <c r="V387" s="12"/>
      <c r="W387" s="12"/>
      <c r="X387" s="12"/>
    </row>
    <row r="388" customFormat="false" ht="15.75" hidden="false" customHeight="false" outlineLevel="0" collapsed="false">
      <c r="A388" s="12"/>
      <c r="B388" s="34"/>
      <c r="C388" s="12"/>
      <c r="D388" s="12"/>
      <c r="E388" s="12"/>
      <c r="F388" s="12"/>
      <c r="G388" s="18"/>
      <c r="H388" s="35"/>
      <c r="I388" s="12"/>
      <c r="M388" s="12"/>
      <c r="N388" s="18"/>
      <c r="O388" s="12"/>
      <c r="P388" s="12"/>
      <c r="Q388" s="12"/>
      <c r="R388" s="36"/>
      <c r="S388" s="36"/>
      <c r="T388" s="12"/>
      <c r="U388" s="12"/>
      <c r="V388" s="12"/>
      <c r="W388" s="12"/>
      <c r="X388" s="12"/>
    </row>
    <row r="389" customFormat="false" ht="15.75" hidden="false" customHeight="false" outlineLevel="0" collapsed="false">
      <c r="A389" s="12"/>
      <c r="B389" s="34"/>
      <c r="C389" s="12"/>
      <c r="D389" s="12"/>
      <c r="E389" s="12"/>
      <c r="F389" s="12"/>
      <c r="G389" s="18"/>
      <c r="H389" s="35"/>
      <c r="I389" s="12"/>
      <c r="M389" s="12"/>
      <c r="N389" s="18"/>
      <c r="O389" s="12"/>
      <c r="P389" s="12"/>
      <c r="Q389" s="12"/>
      <c r="R389" s="36"/>
      <c r="S389" s="36"/>
      <c r="T389" s="12"/>
      <c r="U389" s="12"/>
      <c r="V389" s="12"/>
      <c r="W389" s="12"/>
      <c r="X389" s="12"/>
    </row>
    <row r="390" customFormat="false" ht="15.75" hidden="false" customHeight="false" outlineLevel="0" collapsed="false">
      <c r="A390" s="12"/>
      <c r="B390" s="34"/>
      <c r="C390" s="12"/>
      <c r="D390" s="12"/>
      <c r="E390" s="12"/>
      <c r="F390" s="12"/>
      <c r="G390" s="18"/>
      <c r="H390" s="35"/>
      <c r="I390" s="12"/>
      <c r="M390" s="12"/>
      <c r="N390" s="18"/>
      <c r="O390" s="12"/>
      <c r="P390" s="12"/>
      <c r="Q390" s="12"/>
      <c r="R390" s="36"/>
      <c r="S390" s="36"/>
      <c r="T390" s="12"/>
      <c r="U390" s="12"/>
      <c r="V390" s="12"/>
      <c r="W390" s="12"/>
      <c r="X390" s="12"/>
    </row>
    <row r="391" customFormat="false" ht="15.75" hidden="false" customHeight="false" outlineLevel="0" collapsed="false">
      <c r="A391" s="12"/>
      <c r="B391" s="34"/>
      <c r="C391" s="12"/>
      <c r="D391" s="12"/>
      <c r="E391" s="12"/>
      <c r="F391" s="12"/>
      <c r="G391" s="18"/>
      <c r="H391" s="35"/>
      <c r="I391" s="12"/>
      <c r="M391" s="12"/>
      <c r="N391" s="18"/>
      <c r="O391" s="12"/>
      <c r="P391" s="12"/>
      <c r="Q391" s="12"/>
      <c r="R391" s="36"/>
      <c r="S391" s="36"/>
      <c r="T391" s="12"/>
      <c r="U391" s="12"/>
      <c r="V391" s="12"/>
      <c r="W391" s="12"/>
      <c r="X391" s="12"/>
    </row>
    <row r="392" customFormat="false" ht="15.75" hidden="false" customHeight="false" outlineLevel="0" collapsed="false">
      <c r="A392" s="12"/>
      <c r="B392" s="34"/>
      <c r="C392" s="12"/>
      <c r="D392" s="12"/>
      <c r="E392" s="12"/>
      <c r="F392" s="12"/>
      <c r="G392" s="18"/>
      <c r="H392" s="35"/>
      <c r="I392" s="12"/>
      <c r="M392" s="12"/>
      <c r="N392" s="18"/>
      <c r="O392" s="12"/>
      <c r="P392" s="12"/>
      <c r="Q392" s="12"/>
      <c r="R392" s="36"/>
      <c r="S392" s="36"/>
      <c r="T392" s="12"/>
      <c r="U392" s="12"/>
      <c r="V392" s="12"/>
      <c r="W392" s="12"/>
      <c r="X392" s="12"/>
    </row>
    <row r="393" customFormat="false" ht="15.75" hidden="false" customHeight="false" outlineLevel="0" collapsed="false">
      <c r="A393" s="12"/>
      <c r="B393" s="34"/>
      <c r="C393" s="12"/>
      <c r="D393" s="12"/>
      <c r="E393" s="12"/>
      <c r="F393" s="12"/>
      <c r="G393" s="18"/>
      <c r="H393" s="35"/>
      <c r="I393" s="12"/>
      <c r="M393" s="12"/>
      <c r="N393" s="18"/>
      <c r="O393" s="12"/>
      <c r="P393" s="12"/>
      <c r="Q393" s="12"/>
      <c r="R393" s="36"/>
      <c r="S393" s="36"/>
      <c r="T393" s="12"/>
      <c r="U393" s="12"/>
      <c r="V393" s="12"/>
      <c r="W393" s="12"/>
      <c r="X393" s="12"/>
    </row>
    <row r="394" customFormat="false" ht="15.75" hidden="false" customHeight="false" outlineLevel="0" collapsed="false">
      <c r="A394" s="12"/>
      <c r="B394" s="34"/>
      <c r="C394" s="12"/>
      <c r="D394" s="12"/>
      <c r="E394" s="12"/>
      <c r="F394" s="12"/>
      <c r="G394" s="18"/>
      <c r="H394" s="35"/>
      <c r="I394" s="12"/>
      <c r="M394" s="12"/>
      <c r="N394" s="18"/>
      <c r="O394" s="12"/>
      <c r="P394" s="12"/>
      <c r="Q394" s="12"/>
      <c r="R394" s="36"/>
      <c r="S394" s="36"/>
      <c r="T394" s="12"/>
      <c r="U394" s="12"/>
      <c r="V394" s="12"/>
      <c r="W394" s="12"/>
      <c r="X394" s="12"/>
    </row>
    <row r="395" customFormat="false" ht="15.75" hidden="false" customHeight="false" outlineLevel="0" collapsed="false">
      <c r="A395" s="12"/>
      <c r="B395" s="34"/>
      <c r="C395" s="12"/>
      <c r="D395" s="12"/>
      <c r="E395" s="12"/>
      <c r="F395" s="12"/>
      <c r="G395" s="18"/>
      <c r="H395" s="35"/>
      <c r="I395" s="12"/>
      <c r="M395" s="12"/>
      <c r="N395" s="18"/>
      <c r="O395" s="12"/>
      <c r="P395" s="12"/>
      <c r="Q395" s="12"/>
      <c r="R395" s="36"/>
      <c r="S395" s="36"/>
      <c r="T395" s="12"/>
      <c r="U395" s="12"/>
      <c r="V395" s="12"/>
      <c r="W395" s="12"/>
      <c r="X395" s="12"/>
    </row>
    <row r="396" customFormat="false" ht="15.75" hidden="false" customHeight="false" outlineLevel="0" collapsed="false">
      <c r="A396" s="12"/>
      <c r="B396" s="34"/>
      <c r="C396" s="12"/>
      <c r="D396" s="12"/>
      <c r="E396" s="12"/>
      <c r="F396" s="12"/>
      <c r="G396" s="18"/>
      <c r="H396" s="35"/>
      <c r="I396" s="12"/>
      <c r="M396" s="12"/>
      <c r="N396" s="18"/>
      <c r="O396" s="12"/>
      <c r="P396" s="12"/>
      <c r="Q396" s="12"/>
      <c r="R396" s="36"/>
      <c r="S396" s="36"/>
      <c r="T396" s="12"/>
      <c r="U396" s="12"/>
      <c r="V396" s="12"/>
      <c r="W396" s="12"/>
      <c r="X396" s="12"/>
    </row>
    <row r="397" customFormat="false" ht="15.75" hidden="false" customHeight="false" outlineLevel="0" collapsed="false">
      <c r="A397" s="12"/>
      <c r="B397" s="34"/>
      <c r="C397" s="12"/>
      <c r="D397" s="12"/>
      <c r="E397" s="12"/>
      <c r="F397" s="12"/>
      <c r="G397" s="18"/>
      <c r="H397" s="35"/>
      <c r="I397" s="12"/>
      <c r="M397" s="12"/>
      <c r="N397" s="18"/>
      <c r="O397" s="12"/>
      <c r="P397" s="12"/>
      <c r="Q397" s="12"/>
      <c r="R397" s="36"/>
      <c r="S397" s="36"/>
      <c r="T397" s="12"/>
      <c r="U397" s="12"/>
      <c r="V397" s="12"/>
      <c r="W397" s="12"/>
      <c r="X397" s="12"/>
    </row>
    <row r="398" customFormat="false" ht="15.75" hidden="false" customHeight="false" outlineLevel="0" collapsed="false">
      <c r="A398" s="12"/>
      <c r="B398" s="34"/>
      <c r="C398" s="12"/>
      <c r="D398" s="12"/>
      <c r="E398" s="12"/>
      <c r="F398" s="12"/>
      <c r="G398" s="18"/>
      <c r="H398" s="35"/>
      <c r="I398" s="12"/>
      <c r="M398" s="12"/>
      <c r="N398" s="18"/>
      <c r="O398" s="12"/>
      <c r="P398" s="12"/>
      <c r="Q398" s="12"/>
      <c r="R398" s="36"/>
      <c r="S398" s="36"/>
      <c r="T398" s="12"/>
      <c r="U398" s="12"/>
      <c r="V398" s="12"/>
      <c r="W398" s="12"/>
      <c r="X398" s="12"/>
    </row>
    <row r="399" customFormat="false" ht="15.75" hidden="false" customHeight="false" outlineLevel="0" collapsed="false">
      <c r="A399" s="12"/>
      <c r="B399" s="34"/>
      <c r="C399" s="12"/>
      <c r="D399" s="12"/>
      <c r="E399" s="12"/>
      <c r="F399" s="12"/>
      <c r="G399" s="18"/>
      <c r="H399" s="35"/>
      <c r="I399" s="12"/>
      <c r="M399" s="12"/>
      <c r="N399" s="18"/>
      <c r="O399" s="12"/>
      <c r="P399" s="12"/>
      <c r="Q399" s="12"/>
      <c r="R399" s="36"/>
      <c r="S399" s="36"/>
      <c r="T399" s="12"/>
      <c r="U399" s="12"/>
      <c r="V399" s="12"/>
      <c r="W399" s="12"/>
      <c r="X399" s="12"/>
    </row>
    <row r="400" customFormat="false" ht="15.75" hidden="false" customHeight="false" outlineLevel="0" collapsed="false">
      <c r="A400" s="12"/>
      <c r="B400" s="34"/>
      <c r="C400" s="12"/>
      <c r="D400" s="12"/>
      <c r="E400" s="12"/>
      <c r="F400" s="12"/>
      <c r="G400" s="18"/>
      <c r="H400" s="35"/>
      <c r="I400" s="12"/>
      <c r="M400" s="12"/>
      <c r="N400" s="18"/>
      <c r="O400" s="12"/>
      <c r="P400" s="12"/>
      <c r="Q400" s="12"/>
      <c r="R400" s="36"/>
      <c r="S400" s="36"/>
      <c r="T400" s="12"/>
      <c r="U400" s="12"/>
      <c r="V400" s="12"/>
      <c r="W400" s="12"/>
      <c r="X400" s="12"/>
    </row>
    <row r="401" customFormat="false" ht="15.75" hidden="false" customHeight="false" outlineLevel="0" collapsed="false">
      <c r="A401" s="12"/>
      <c r="B401" s="34"/>
      <c r="C401" s="12"/>
      <c r="D401" s="12"/>
      <c r="E401" s="12"/>
      <c r="F401" s="12"/>
      <c r="G401" s="18"/>
      <c r="H401" s="35"/>
      <c r="I401" s="12"/>
      <c r="M401" s="12"/>
      <c r="N401" s="18"/>
      <c r="O401" s="12"/>
      <c r="P401" s="12"/>
      <c r="Q401" s="12"/>
      <c r="R401" s="36"/>
      <c r="S401" s="36"/>
      <c r="T401" s="12"/>
      <c r="U401" s="12"/>
      <c r="V401" s="12"/>
      <c r="W401" s="12"/>
      <c r="X401" s="12"/>
    </row>
    <row r="402" customFormat="false" ht="15.75" hidden="false" customHeight="false" outlineLevel="0" collapsed="false">
      <c r="A402" s="12"/>
      <c r="B402" s="34"/>
      <c r="C402" s="12"/>
      <c r="D402" s="12"/>
      <c r="E402" s="12"/>
      <c r="F402" s="12"/>
      <c r="G402" s="18"/>
      <c r="H402" s="35"/>
      <c r="I402" s="12"/>
      <c r="M402" s="12"/>
      <c r="N402" s="18"/>
      <c r="O402" s="12"/>
      <c r="P402" s="12"/>
      <c r="Q402" s="12"/>
      <c r="R402" s="36"/>
      <c r="S402" s="36"/>
      <c r="T402" s="12"/>
      <c r="U402" s="12"/>
      <c r="V402" s="12"/>
      <c r="W402" s="12"/>
      <c r="X402" s="12"/>
    </row>
    <row r="403" customFormat="false" ht="15.75" hidden="false" customHeight="false" outlineLevel="0" collapsed="false">
      <c r="A403" s="12"/>
      <c r="B403" s="34"/>
      <c r="C403" s="12"/>
      <c r="D403" s="12"/>
      <c r="E403" s="12"/>
      <c r="F403" s="12"/>
      <c r="G403" s="18"/>
      <c r="H403" s="35"/>
      <c r="I403" s="12"/>
      <c r="M403" s="12"/>
      <c r="N403" s="18"/>
      <c r="O403" s="12"/>
      <c r="P403" s="12"/>
      <c r="Q403" s="12"/>
      <c r="R403" s="36"/>
      <c r="S403" s="36"/>
      <c r="T403" s="12"/>
      <c r="U403" s="12"/>
      <c r="V403" s="12"/>
      <c r="W403" s="12"/>
      <c r="X403" s="12"/>
    </row>
    <row r="404" customFormat="false" ht="15.75" hidden="false" customHeight="false" outlineLevel="0" collapsed="false">
      <c r="A404" s="12"/>
      <c r="B404" s="34"/>
      <c r="C404" s="12"/>
      <c r="D404" s="12"/>
      <c r="E404" s="12"/>
      <c r="F404" s="12"/>
      <c r="G404" s="18"/>
      <c r="H404" s="35"/>
      <c r="I404" s="12"/>
      <c r="M404" s="12"/>
      <c r="N404" s="18"/>
      <c r="O404" s="12"/>
      <c r="P404" s="12"/>
      <c r="Q404" s="12"/>
      <c r="R404" s="36"/>
      <c r="S404" s="36"/>
      <c r="T404" s="12"/>
      <c r="U404" s="12"/>
      <c r="V404" s="12"/>
      <c r="W404" s="12"/>
      <c r="X404" s="12"/>
    </row>
    <row r="405" customFormat="false" ht="15.75" hidden="false" customHeight="false" outlineLevel="0" collapsed="false">
      <c r="A405" s="12"/>
      <c r="B405" s="34"/>
      <c r="C405" s="12"/>
      <c r="D405" s="12"/>
      <c r="E405" s="12"/>
      <c r="F405" s="12"/>
      <c r="G405" s="18"/>
      <c r="H405" s="35"/>
      <c r="I405" s="12"/>
      <c r="M405" s="12"/>
      <c r="N405" s="18"/>
      <c r="O405" s="12"/>
      <c r="P405" s="12"/>
      <c r="Q405" s="12"/>
      <c r="R405" s="36"/>
      <c r="S405" s="36"/>
      <c r="T405" s="12"/>
      <c r="U405" s="12"/>
      <c r="V405" s="12"/>
      <c r="W405" s="12"/>
      <c r="X405" s="12"/>
    </row>
    <row r="406" customFormat="false" ht="15.75" hidden="false" customHeight="false" outlineLevel="0" collapsed="false">
      <c r="A406" s="12"/>
      <c r="B406" s="34"/>
      <c r="C406" s="12"/>
      <c r="D406" s="12"/>
      <c r="E406" s="12"/>
      <c r="F406" s="12"/>
      <c r="G406" s="18"/>
      <c r="H406" s="35"/>
      <c r="I406" s="12"/>
      <c r="M406" s="12"/>
      <c r="N406" s="18"/>
      <c r="O406" s="12"/>
      <c r="P406" s="12"/>
      <c r="Q406" s="12"/>
      <c r="R406" s="36"/>
      <c r="S406" s="36"/>
      <c r="T406" s="12"/>
      <c r="U406" s="12"/>
      <c r="V406" s="12"/>
      <c r="W406" s="12"/>
      <c r="X406" s="12"/>
    </row>
    <row r="407" customFormat="false" ht="15.75" hidden="false" customHeight="false" outlineLevel="0" collapsed="false">
      <c r="A407" s="12"/>
      <c r="B407" s="34"/>
      <c r="C407" s="12"/>
      <c r="D407" s="12"/>
      <c r="E407" s="12"/>
      <c r="F407" s="12"/>
      <c r="G407" s="18"/>
      <c r="H407" s="35"/>
      <c r="I407" s="12"/>
      <c r="M407" s="12"/>
      <c r="N407" s="18"/>
      <c r="O407" s="12"/>
      <c r="P407" s="12"/>
      <c r="Q407" s="12"/>
      <c r="R407" s="36"/>
      <c r="S407" s="36"/>
      <c r="T407" s="12"/>
      <c r="U407" s="12"/>
      <c r="V407" s="12"/>
      <c r="W407" s="12"/>
      <c r="X407" s="12"/>
    </row>
    <row r="408" customFormat="false" ht="15.75" hidden="false" customHeight="false" outlineLevel="0" collapsed="false">
      <c r="A408" s="12"/>
      <c r="B408" s="34"/>
      <c r="C408" s="12"/>
      <c r="D408" s="12"/>
      <c r="E408" s="12"/>
      <c r="F408" s="12"/>
      <c r="G408" s="18"/>
      <c r="H408" s="35"/>
      <c r="I408" s="12"/>
      <c r="M408" s="12"/>
      <c r="N408" s="18"/>
      <c r="O408" s="12"/>
      <c r="P408" s="12"/>
      <c r="Q408" s="12"/>
      <c r="R408" s="36"/>
      <c r="S408" s="36"/>
      <c r="T408" s="12"/>
      <c r="U408" s="12"/>
      <c r="V408" s="12"/>
      <c r="W408" s="12"/>
      <c r="X408" s="12"/>
    </row>
    <row r="409" customFormat="false" ht="15.75" hidden="false" customHeight="false" outlineLevel="0" collapsed="false">
      <c r="A409" s="12"/>
      <c r="B409" s="34"/>
      <c r="C409" s="12"/>
      <c r="D409" s="12"/>
      <c r="E409" s="12"/>
      <c r="F409" s="12"/>
      <c r="G409" s="18"/>
      <c r="H409" s="35"/>
      <c r="I409" s="12"/>
      <c r="M409" s="12"/>
      <c r="N409" s="18"/>
      <c r="O409" s="12"/>
      <c r="P409" s="12"/>
      <c r="Q409" s="12"/>
      <c r="R409" s="36"/>
      <c r="S409" s="36"/>
      <c r="T409" s="12"/>
      <c r="U409" s="12"/>
      <c r="V409" s="12"/>
      <c r="W409" s="12"/>
      <c r="X409" s="12"/>
    </row>
    <row r="410" customFormat="false" ht="15.75" hidden="false" customHeight="false" outlineLevel="0" collapsed="false">
      <c r="A410" s="12"/>
      <c r="B410" s="34"/>
      <c r="C410" s="12"/>
      <c r="D410" s="12"/>
      <c r="E410" s="12"/>
      <c r="F410" s="12"/>
      <c r="G410" s="18"/>
      <c r="H410" s="35"/>
      <c r="I410" s="12"/>
      <c r="M410" s="12"/>
      <c r="N410" s="18"/>
      <c r="O410" s="12"/>
      <c r="P410" s="12"/>
      <c r="Q410" s="12"/>
      <c r="R410" s="36"/>
      <c r="S410" s="36"/>
      <c r="T410" s="12"/>
      <c r="U410" s="12"/>
      <c r="V410" s="12"/>
      <c r="W410" s="12"/>
      <c r="X410" s="12"/>
    </row>
    <row r="411" customFormat="false" ht="15.75" hidden="false" customHeight="false" outlineLevel="0" collapsed="false">
      <c r="A411" s="12"/>
      <c r="B411" s="34"/>
      <c r="C411" s="12"/>
      <c r="D411" s="12"/>
      <c r="E411" s="12"/>
      <c r="F411" s="12"/>
      <c r="G411" s="18"/>
      <c r="H411" s="35"/>
      <c r="I411" s="12"/>
      <c r="M411" s="12"/>
      <c r="N411" s="18"/>
      <c r="O411" s="12"/>
      <c r="P411" s="12"/>
      <c r="Q411" s="12"/>
      <c r="R411" s="36"/>
      <c r="S411" s="36"/>
      <c r="T411" s="12"/>
      <c r="U411" s="12"/>
      <c r="V411" s="12"/>
      <c r="W411" s="12"/>
      <c r="X411" s="12"/>
    </row>
    <row r="412" customFormat="false" ht="15.75" hidden="false" customHeight="false" outlineLevel="0" collapsed="false">
      <c r="A412" s="12"/>
      <c r="B412" s="34"/>
      <c r="C412" s="12"/>
      <c r="D412" s="12"/>
      <c r="E412" s="12"/>
      <c r="F412" s="12"/>
      <c r="G412" s="18"/>
      <c r="H412" s="35"/>
      <c r="I412" s="12"/>
      <c r="M412" s="12"/>
      <c r="N412" s="18"/>
      <c r="O412" s="12"/>
      <c r="P412" s="12"/>
      <c r="Q412" s="12"/>
      <c r="R412" s="36"/>
      <c r="S412" s="36"/>
      <c r="T412" s="12"/>
      <c r="U412" s="12"/>
      <c r="V412" s="12"/>
      <c r="W412" s="12"/>
      <c r="X412" s="12"/>
    </row>
    <row r="413" customFormat="false" ht="15.75" hidden="false" customHeight="false" outlineLevel="0" collapsed="false">
      <c r="A413" s="12"/>
      <c r="B413" s="34"/>
      <c r="C413" s="12"/>
      <c r="D413" s="12"/>
      <c r="E413" s="12"/>
      <c r="F413" s="12"/>
      <c r="G413" s="18"/>
      <c r="H413" s="35"/>
      <c r="I413" s="12"/>
      <c r="M413" s="12"/>
      <c r="N413" s="18"/>
      <c r="O413" s="12"/>
      <c r="P413" s="12"/>
      <c r="Q413" s="12"/>
      <c r="R413" s="36"/>
      <c r="S413" s="36"/>
      <c r="T413" s="12"/>
      <c r="U413" s="12"/>
      <c r="V413" s="12"/>
      <c r="W413" s="12"/>
      <c r="X413" s="12"/>
    </row>
    <row r="414" customFormat="false" ht="15.75" hidden="false" customHeight="false" outlineLevel="0" collapsed="false">
      <c r="A414" s="12"/>
      <c r="B414" s="34"/>
      <c r="C414" s="12"/>
      <c r="D414" s="12"/>
      <c r="E414" s="12"/>
      <c r="F414" s="12"/>
      <c r="G414" s="18"/>
      <c r="H414" s="35"/>
      <c r="I414" s="12"/>
      <c r="M414" s="12"/>
      <c r="N414" s="18"/>
      <c r="O414" s="12"/>
      <c r="P414" s="12"/>
      <c r="Q414" s="12"/>
      <c r="R414" s="36"/>
      <c r="S414" s="36"/>
      <c r="T414" s="12"/>
      <c r="U414" s="12"/>
      <c r="V414" s="12"/>
      <c r="W414" s="12"/>
      <c r="X414" s="12"/>
    </row>
    <row r="415" customFormat="false" ht="15.75" hidden="false" customHeight="false" outlineLevel="0" collapsed="false">
      <c r="A415" s="12"/>
      <c r="B415" s="34"/>
      <c r="C415" s="12"/>
      <c r="D415" s="12"/>
      <c r="E415" s="12"/>
      <c r="F415" s="12"/>
      <c r="G415" s="18"/>
      <c r="H415" s="35"/>
      <c r="I415" s="12"/>
      <c r="M415" s="12"/>
      <c r="N415" s="18"/>
      <c r="O415" s="12"/>
      <c r="P415" s="12"/>
      <c r="Q415" s="12"/>
      <c r="R415" s="36"/>
      <c r="S415" s="36"/>
      <c r="T415" s="12"/>
      <c r="U415" s="12"/>
      <c r="V415" s="12"/>
      <c r="W415" s="12"/>
      <c r="X415" s="12"/>
    </row>
    <row r="416" customFormat="false" ht="15.75" hidden="false" customHeight="false" outlineLevel="0" collapsed="false">
      <c r="A416" s="12"/>
      <c r="B416" s="34"/>
      <c r="C416" s="12"/>
      <c r="D416" s="12"/>
      <c r="E416" s="12"/>
      <c r="F416" s="12"/>
      <c r="G416" s="18"/>
      <c r="H416" s="35"/>
      <c r="I416" s="12"/>
      <c r="M416" s="12"/>
      <c r="N416" s="18"/>
      <c r="O416" s="12"/>
      <c r="P416" s="12"/>
      <c r="Q416" s="12"/>
      <c r="R416" s="36"/>
      <c r="S416" s="36"/>
      <c r="T416" s="12"/>
      <c r="U416" s="12"/>
      <c r="V416" s="12"/>
      <c r="W416" s="12"/>
      <c r="X416" s="12"/>
    </row>
    <row r="417" customFormat="false" ht="15.75" hidden="false" customHeight="false" outlineLevel="0" collapsed="false">
      <c r="A417" s="12"/>
      <c r="B417" s="34"/>
      <c r="C417" s="12"/>
      <c r="D417" s="12"/>
      <c r="E417" s="12"/>
      <c r="F417" s="12"/>
      <c r="G417" s="18"/>
      <c r="H417" s="35"/>
      <c r="I417" s="12"/>
      <c r="M417" s="12"/>
      <c r="N417" s="18"/>
      <c r="O417" s="12"/>
      <c r="P417" s="12"/>
      <c r="Q417" s="12"/>
      <c r="R417" s="36"/>
      <c r="S417" s="36"/>
      <c r="T417" s="12"/>
      <c r="U417" s="12"/>
      <c r="V417" s="12"/>
      <c r="W417" s="12"/>
      <c r="X417" s="12"/>
    </row>
    <row r="418" customFormat="false" ht="15.75" hidden="false" customHeight="false" outlineLevel="0" collapsed="false">
      <c r="A418" s="12"/>
      <c r="B418" s="34"/>
      <c r="C418" s="12"/>
      <c r="D418" s="12"/>
      <c r="E418" s="12"/>
      <c r="F418" s="12"/>
      <c r="G418" s="18"/>
      <c r="H418" s="35"/>
      <c r="I418" s="12"/>
      <c r="M418" s="12"/>
      <c r="N418" s="18"/>
      <c r="O418" s="12"/>
      <c r="P418" s="12"/>
      <c r="Q418" s="12"/>
      <c r="R418" s="36"/>
      <c r="S418" s="36"/>
      <c r="T418" s="12"/>
      <c r="U418" s="12"/>
      <c r="V418" s="12"/>
      <c r="W418" s="12"/>
      <c r="X418" s="12"/>
    </row>
    <row r="419" customFormat="false" ht="15.75" hidden="false" customHeight="false" outlineLevel="0" collapsed="false">
      <c r="A419" s="12"/>
      <c r="B419" s="34"/>
      <c r="C419" s="12"/>
      <c r="D419" s="12"/>
      <c r="E419" s="12"/>
      <c r="F419" s="12"/>
      <c r="G419" s="18"/>
      <c r="H419" s="35"/>
      <c r="I419" s="12"/>
      <c r="M419" s="12"/>
      <c r="N419" s="18"/>
      <c r="O419" s="12"/>
      <c r="P419" s="12"/>
      <c r="Q419" s="12"/>
      <c r="R419" s="36"/>
      <c r="S419" s="36"/>
      <c r="T419" s="12"/>
      <c r="U419" s="12"/>
      <c r="V419" s="12"/>
      <c r="W419" s="12"/>
      <c r="X419" s="12"/>
    </row>
    <row r="420" customFormat="false" ht="15.75" hidden="false" customHeight="false" outlineLevel="0" collapsed="false">
      <c r="A420" s="12"/>
      <c r="B420" s="34"/>
      <c r="C420" s="12"/>
      <c r="D420" s="12"/>
      <c r="E420" s="12"/>
      <c r="F420" s="12"/>
      <c r="G420" s="18"/>
      <c r="H420" s="35"/>
      <c r="I420" s="12"/>
      <c r="M420" s="12"/>
      <c r="N420" s="18"/>
      <c r="O420" s="12"/>
      <c r="P420" s="12"/>
      <c r="Q420" s="12"/>
      <c r="R420" s="36"/>
      <c r="S420" s="36"/>
      <c r="T420" s="12"/>
      <c r="U420" s="12"/>
      <c r="V420" s="12"/>
      <c r="W420" s="12"/>
      <c r="X420" s="12"/>
    </row>
    <row r="421" customFormat="false" ht="15.75" hidden="false" customHeight="false" outlineLevel="0" collapsed="false">
      <c r="A421" s="12"/>
      <c r="B421" s="34"/>
      <c r="C421" s="12"/>
      <c r="D421" s="12"/>
      <c r="E421" s="12"/>
      <c r="F421" s="12"/>
      <c r="G421" s="18"/>
      <c r="H421" s="35"/>
      <c r="I421" s="12"/>
      <c r="M421" s="12"/>
      <c r="N421" s="18"/>
      <c r="O421" s="12"/>
      <c r="P421" s="12"/>
      <c r="Q421" s="12"/>
      <c r="R421" s="36"/>
      <c r="S421" s="36"/>
      <c r="T421" s="12"/>
      <c r="U421" s="12"/>
      <c r="V421" s="12"/>
      <c r="W421" s="12"/>
      <c r="X421" s="12"/>
    </row>
    <row r="422" customFormat="false" ht="15.75" hidden="false" customHeight="false" outlineLevel="0" collapsed="false">
      <c r="A422" s="12"/>
      <c r="B422" s="34"/>
      <c r="C422" s="12"/>
      <c r="D422" s="12"/>
      <c r="E422" s="12"/>
      <c r="F422" s="12"/>
      <c r="G422" s="18"/>
      <c r="H422" s="35"/>
      <c r="I422" s="12"/>
      <c r="M422" s="12"/>
      <c r="N422" s="18"/>
      <c r="O422" s="12"/>
      <c r="P422" s="12"/>
      <c r="Q422" s="12"/>
      <c r="R422" s="36"/>
      <c r="S422" s="36"/>
      <c r="T422" s="12"/>
      <c r="U422" s="12"/>
      <c r="V422" s="12"/>
      <c r="W422" s="12"/>
      <c r="X422" s="12"/>
    </row>
    <row r="423" customFormat="false" ht="15.75" hidden="false" customHeight="false" outlineLevel="0" collapsed="false">
      <c r="A423" s="12"/>
      <c r="B423" s="34"/>
      <c r="C423" s="12"/>
      <c r="D423" s="12"/>
      <c r="E423" s="12"/>
      <c r="F423" s="12"/>
      <c r="G423" s="18"/>
      <c r="H423" s="35"/>
      <c r="I423" s="12"/>
      <c r="M423" s="12"/>
      <c r="N423" s="18"/>
      <c r="O423" s="12"/>
      <c r="P423" s="12"/>
      <c r="Q423" s="12"/>
      <c r="R423" s="36"/>
      <c r="S423" s="36"/>
      <c r="T423" s="12"/>
      <c r="U423" s="12"/>
      <c r="V423" s="12"/>
      <c r="W423" s="12"/>
      <c r="X423" s="12"/>
    </row>
    <row r="424" customFormat="false" ht="15.75" hidden="false" customHeight="false" outlineLevel="0" collapsed="false">
      <c r="A424" s="12"/>
      <c r="B424" s="34"/>
      <c r="C424" s="12"/>
      <c r="D424" s="12"/>
      <c r="E424" s="12"/>
      <c r="F424" s="12"/>
      <c r="G424" s="18"/>
      <c r="H424" s="35"/>
      <c r="I424" s="12"/>
      <c r="M424" s="12"/>
      <c r="N424" s="18"/>
      <c r="O424" s="12"/>
      <c r="P424" s="12"/>
      <c r="Q424" s="12"/>
      <c r="R424" s="36"/>
      <c r="S424" s="36"/>
      <c r="T424" s="12"/>
      <c r="U424" s="12"/>
      <c r="V424" s="12"/>
      <c r="W424" s="12"/>
      <c r="X424" s="12"/>
    </row>
    <row r="425" customFormat="false" ht="15.75" hidden="false" customHeight="false" outlineLevel="0" collapsed="false">
      <c r="A425" s="12"/>
      <c r="B425" s="34"/>
      <c r="C425" s="12"/>
      <c r="D425" s="12"/>
      <c r="E425" s="12"/>
      <c r="F425" s="12"/>
      <c r="G425" s="18"/>
      <c r="H425" s="35"/>
      <c r="I425" s="12"/>
      <c r="M425" s="12"/>
      <c r="N425" s="18"/>
      <c r="O425" s="12"/>
      <c r="P425" s="12"/>
      <c r="Q425" s="12"/>
      <c r="R425" s="36"/>
      <c r="S425" s="36"/>
      <c r="T425" s="12"/>
      <c r="U425" s="12"/>
      <c r="V425" s="12"/>
      <c r="W425" s="12"/>
      <c r="X425" s="12"/>
    </row>
    <row r="426" customFormat="false" ht="15.75" hidden="false" customHeight="false" outlineLevel="0" collapsed="false">
      <c r="A426" s="12"/>
      <c r="B426" s="34"/>
      <c r="C426" s="12"/>
      <c r="D426" s="12"/>
      <c r="E426" s="12"/>
      <c r="F426" s="12"/>
      <c r="G426" s="18"/>
      <c r="H426" s="35"/>
      <c r="I426" s="12"/>
      <c r="M426" s="12"/>
      <c r="N426" s="18"/>
      <c r="O426" s="12"/>
      <c r="P426" s="12"/>
      <c r="Q426" s="12"/>
      <c r="R426" s="36"/>
      <c r="S426" s="36"/>
      <c r="T426" s="12"/>
      <c r="U426" s="12"/>
      <c r="V426" s="12"/>
      <c r="W426" s="12"/>
      <c r="X426" s="12"/>
    </row>
    <row r="427" customFormat="false" ht="15.75" hidden="false" customHeight="false" outlineLevel="0" collapsed="false">
      <c r="A427" s="12"/>
      <c r="B427" s="34"/>
      <c r="C427" s="12"/>
      <c r="D427" s="12"/>
      <c r="E427" s="12"/>
      <c r="F427" s="12"/>
      <c r="G427" s="18"/>
      <c r="H427" s="35"/>
      <c r="I427" s="12"/>
      <c r="M427" s="12"/>
      <c r="N427" s="18"/>
      <c r="O427" s="12"/>
      <c r="P427" s="12"/>
      <c r="Q427" s="12"/>
      <c r="R427" s="36"/>
      <c r="S427" s="36"/>
      <c r="T427" s="12"/>
      <c r="U427" s="12"/>
      <c r="V427" s="12"/>
      <c r="W427" s="12"/>
      <c r="X427" s="12"/>
    </row>
    <row r="428" customFormat="false" ht="15.75" hidden="false" customHeight="false" outlineLevel="0" collapsed="false">
      <c r="A428" s="12"/>
      <c r="B428" s="34"/>
      <c r="C428" s="12"/>
      <c r="D428" s="12"/>
      <c r="E428" s="12"/>
      <c r="F428" s="12"/>
      <c r="G428" s="18"/>
      <c r="H428" s="35"/>
      <c r="I428" s="12"/>
      <c r="M428" s="12"/>
      <c r="N428" s="18"/>
      <c r="O428" s="12"/>
      <c r="P428" s="12"/>
      <c r="Q428" s="12"/>
      <c r="R428" s="36"/>
      <c r="S428" s="36"/>
      <c r="T428" s="12"/>
      <c r="U428" s="12"/>
      <c r="V428" s="12"/>
      <c r="W428" s="12"/>
      <c r="X428" s="12"/>
    </row>
    <row r="429" customFormat="false" ht="15.75" hidden="false" customHeight="false" outlineLevel="0" collapsed="false">
      <c r="A429" s="12"/>
      <c r="B429" s="34"/>
      <c r="C429" s="12"/>
      <c r="D429" s="12"/>
      <c r="E429" s="12"/>
      <c r="F429" s="12"/>
      <c r="G429" s="18"/>
      <c r="H429" s="35"/>
      <c r="I429" s="12"/>
      <c r="M429" s="12"/>
      <c r="N429" s="18"/>
      <c r="O429" s="12"/>
      <c r="P429" s="12"/>
      <c r="Q429" s="12"/>
      <c r="R429" s="36"/>
      <c r="S429" s="36"/>
      <c r="T429" s="12"/>
      <c r="U429" s="12"/>
      <c r="V429" s="12"/>
      <c r="W429" s="12"/>
      <c r="X429" s="12"/>
    </row>
    <row r="430" customFormat="false" ht="15.75" hidden="false" customHeight="false" outlineLevel="0" collapsed="false">
      <c r="A430" s="12"/>
      <c r="B430" s="34"/>
      <c r="C430" s="12"/>
      <c r="D430" s="12"/>
      <c r="E430" s="12"/>
      <c r="F430" s="12"/>
      <c r="G430" s="18"/>
      <c r="H430" s="35"/>
      <c r="I430" s="12"/>
      <c r="M430" s="12"/>
      <c r="N430" s="18"/>
      <c r="O430" s="12"/>
      <c r="P430" s="12"/>
      <c r="Q430" s="12"/>
      <c r="R430" s="36"/>
      <c r="S430" s="36"/>
      <c r="T430" s="12"/>
      <c r="U430" s="12"/>
      <c r="V430" s="12"/>
      <c r="W430" s="12"/>
      <c r="X430" s="12"/>
    </row>
    <row r="431" customFormat="false" ht="15.75" hidden="false" customHeight="false" outlineLevel="0" collapsed="false">
      <c r="A431" s="12"/>
      <c r="B431" s="34"/>
      <c r="C431" s="12"/>
      <c r="D431" s="12"/>
      <c r="E431" s="12"/>
      <c r="F431" s="12"/>
      <c r="G431" s="18"/>
      <c r="H431" s="35"/>
      <c r="I431" s="12"/>
      <c r="M431" s="12"/>
      <c r="N431" s="18"/>
      <c r="O431" s="12"/>
      <c r="P431" s="12"/>
      <c r="Q431" s="12"/>
      <c r="R431" s="36"/>
      <c r="S431" s="36"/>
      <c r="T431" s="12"/>
      <c r="U431" s="12"/>
      <c r="V431" s="12"/>
      <c r="W431" s="12"/>
      <c r="X431" s="12"/>
    </row>
    <row r="432" customFormat="false" ht="15.75" hidden="false" customHeight="false" outlineLevel="0" collapsed="false">
      <c r="A432" s="12"/>
      <c r="B432" s="34"/>
      <c r="C432" s="12"/>
      <c r="D432" s="12"/>
      <c r="E432" s="12"/>
      <c r="F432" s="12"/>
      <c r="G432" s="18"/>
      <c r="H432" s="35"/>
      <c r="I432" s="12"/>
      <c r="M432" s="12"/>
      <c r="N432" s="18"/>
      <c r="O432" s="12"/>
      <c r="P432" s="12"/>
      <c r="Q432" s="12"/>
      <c r="R432" s="36"/>
      <c r="S432" s="36"/>
      <c r="T432" s="12"/>
      <c r="U432" s="12"/>
      <c r="V432" s="12"/>
      <c r="W432" s="12"/>
      <c r="X432" s="12"/>
    </row>
    <row r="433" customFormat="false" ht="15.75" hidden="false" customHeight="false" outlineLevel="0" collapsed="false">
      <c r="A433" s="12"/>
      <c r="B433" s="34"/>
      <c r="C433" s="12"/>
      <c r="D433" s="12"/>
      <c r="E433" s="12"/>
      <c r="F433" s="12"/>
      <c r="G433" s="18"/>
      <c r="H433" s="35"/>
      <c r="I433" s="12"/>
      <c r="M433" s="12"/>
      <c r="N433" s="18"/>
      <c r="O433" s="12"/>
      <c r="P433" s="12"/>
      <c r="Q433" s="12"/>
      <c r="R433" s="36"/>
      <c r="S433" s="36"/>
      <c r="T433" s="12"/>
      <c r="U433" s="12"/>
      <c r="V433" s="12"/>
      <c r="W433" s="12"/>
      <c r="X433" s="12"/>
    </row>
    <row r="434" customFormat="false" ht="15.75" hidden="false" customHeight="false" outlineLevel="0" collapsed="false">
      <c r="A434" s="12"/>
      <c r="B434" s="34"/>
      <c r="C434" s="12"/>
      <c r="D434" s="12"/>
      <c r="E434" s="12"/>
      <c r="F434" s="12"/>
      <c r="G434" s="18"/>
      <c r="H434" s="35"/>
      <c r="I434" s="12"/>
      <c r="M434" s="12"/>
      <c r="N434" s="18"/>
      <c r="O434" s="12"/>
      <c r="P434" s="12"/>
      <c r="Q434" s="12"/>
      <c r="R434" s="36"/>
      <c r="S434" s="36"/>
      <c r="T434" s="12"/>
      <c r="U434" s="12"/>
      <c r="V434" s="12"/>
      <c r="W434" s="12"/>
      <c r="X434" s="12"/>
    </row>
    <row r="435" customFormat="false" ht="15.75" hidden="false" customHeight="false" outlineLevel="0" collapsed="false">
      <c r="A435" s="12"/>
      <c r="B435" s="34"/>
      <c r="C435" s="12"/>
      <c r="D435" s="12"/>
      <c r="E435" s="12"/>
      <c r="F435" s="12"/>
      <c r="G435" s="18"/>
      <c r="H435" s="35"/>
      <c r="I435" s="12"/>
      <c r="M435" s="12"/>
      <c r="N435" s="18"/>
      <c r="O435" s="12"/>
      <c r="P435" s="12"/>
      <c r="Q435" s="12"/>
      <c r="R435" s="36"/>
      <c r="S435" s="36"/>
      <c r="T435" s="12"/>
      <c r="U435" s="12"/>
      <c r="V435" s="12"/>
      <c r="W435" s="12"/>
      <c r="X435" s="12"/>
    </row>
    <row r="436" customFormat="false" ht="15.75" hidden="false" customHeight="false" outlineLevel="0" collapsed="false">
      <c r="A436" s="12"/>
      <c r="B436" s="34"/>
      <c r="C436" s="12"/>
      <c r="D436" s="12"/>
      <c r="E436" s="12"/>
      <c r="F436" s="12"/>
      <c r="G436" s="18"/>
      <c r="H436" s="35"/>
      <c r="I436" s="12"/>
      <c r="M436" s="12"/>
      <c r="N436" s="18"/>
      <c r="O436" s="12"/>
      <c r="P436" s="12"/>
      <c r="Q436" s="12"/>
      <c r="R436" s="36"/>
      <c r="S436" s="36"/>
      <c r="T436" s="12"/>
      <c r="U436" s="12"/>
      <c r="V436" s="12"/>
      <c r="W436" s="12"/>
      <c r="X436" s="12"/>
    </row>
    <row r="437" customFormat="false" ht="15.75" hidden="false" customHeight="false" outlineLevel="0" collapsed="false">
      <c r="A437" s="12"/>
      <c r="B437" s="34"/>
      <c r="C437" s="12"/>
      <c r="D437" s="12"/>
      <c r="E437" s="12"/>
      <c r="F437" s="12"/>
      <c r="G437" s="18"/>
      <c r="H437" s="35"/>
      <c r="I437" s="12"/>
      <c r="M437" s="12"/>
      <c r="N437" s="18"/>
      <c r="O437" s="12"/>
      <c r="P437" s="12"/>
      <c r="Q437" s="12"/>
      <c r="R437" s="36"/>
      <c r="S437" s="36"/>
      <c r="T437" s="12"/>
      <c r="U437" s="12"/>
      <c r="V437" s="12"/>
      <c r="W437" s="12"/>
      <c r="X437" s="12"/>
    </row>
    <row r="438" customFormat="false" ht="15.75" hidden="false" customHeight="false" outlineLevel="0" collapsed="false">
      <c r="A438" s="12"/>
      <c r="B438" s="34"/>
      <c r="C438" s="12"/>
      <c r="D438" s="12"/>
      <c r="E438" s="12"/>
      <c r="F438" s="12"/>
      <c r="G438" s="18"/>
      <c r="H438" s="35"/>
      <c r="I438" s="12"/>
      <c r="M438" s="12"/>
      <c r="N438" s="18"/>
      <c r="O438" s="12"/>
      <c r="P438" s="12"/>
      <c r="Q438" s="12"/>
      <c r="R438" s="36"/>
      <c r="S438" s="36"/>
      <c r="T438" s="12"/>
      <c r="U438" s="12"/>
      <c r="V438" s="12"/>
      <c r="W438" s="12"/>
      <c r="X438" s="12"/>
    </row>
    <row r="439" customFormat="false" ht="15.75" hidden="false" customHeight="false" outlineLevel="0" collapsed="false">
      <c r="A439" s="12"/>
      <c r="B439" s="34"/>
      <c r="C439" s="12"/>
      <c r="D439" s="12"/>
      <c r="E439" s="12"/>
      <c r="F439" s="12"/>
      <c r="G439" s="18"/>
      <c r="H439" s="35"/>
      <c r="I439" s="12"/>
      <c r="M439" s="12"/>
      <c r="N439" s="18"/>
      <c r="O439" s="12"/>
      <c r="P439" s="12"/>
      <c r="Q439" s="12"/>
      <c r="R439" s="36"/>
      <c r="S439" s="36"/>
      <c r="T439" s="12"/>
      <c r="U439" s="12"/>
      <c r="V439" s="12"/>
      <c r="W439" s="12"/>
      <c r="X439" s="12"/>
    </row>
    <row r="440" customFormat="false" ht="15.75" hidden="false" customHeight="false" outlineLevel="0" collapsed="false">
      <c r="A440" s="12"/>
      <c r="B440" s="34"/>
      <c r="C440" s="12"/>
      <c r="D440" s="12"/>
      <c r="E440" s="12"/>
      <c r="F440" s="12"/>
      <c r="G440" s="18"/>
      <c r="H440" s="35"/>
      <c r="I440" s="12"/>
      <c r="M440" s="12"/>
      <c r="N440" s="18"/>
      <c r="O440" s="12"/>
      <c r="P440" s="12"/>
      <c r="Q440" s="12"/>
      <c r="R440" s="36"/>
      <c r="S440" s="36"/>
      <c r="T440" s="12"/>
      <c r="U440" s="12"/>
      <c r="V440" s="12"/>
      <c r="W440" s="12"/>
      <c r="X440" s="12"/>
    </row>
    <row r="441" customFormat="false" ht="15.75" hidden="false" customHeight="false" outlineLevel="0" collapsed="false">
      <c r="A441" s="12"/>
      <c r="B441" s="34"/>
      <c r="C441" s="12"/>
      <c r="D441" s="12"/>
      <c r="E441" s="12"/>
      <c r="F441" s="12"/>
      <c r="G441" s="18"/>
      <c r="H441" s="35"/>
      <c r="I441" s="12"/>
      <c r="M441" s="12"/>
      <c r="N441" s="18"/>
      <c r="O441" s="12"/>
      <c r="P441" s="12"/>
      <c r="Q441" s="12"/>
      <c r="R441" s="36"/>
      <c r="S441" s="36"/>
      <c r="T441" s="12"/>
      <c r="U441" s="12"/>
      <c r="V441" s="12"/>
      <c r="W441" s="12"/>
      <c r="X441" s="12"/>
    </row>
    <row r="442" customFormat="false" ht="15.75" hidden="false" customHeight="false" outlineLevel="0" collapsed="false">
      <c r="A442" s="12"/>
      <c r="B442" s="34"/>
      <c r="C442" s="12"/>
      <c r="D442" s="12"/>
      <c r="E442" s="12"/>
      <c r="F442" s="12"/>
      <c r="G442" s="18"/>
      <c r="H442" s="35"/>
      <c r="I442" s="12"/>
      <c r="M442" s="12"/>
      <c r="N442" s="18"/>
      <c r="O442" s="12"/>
      <c r="P442" s="12"/>
      <c r="Q442" s="12"/>
      <c r="R442" s="36"/>
      <c r="S442" s="36"/>
      <c r="T442" s="12"/>
      <c r="U442" s="12"/>
      <c r="V442" s="12"/>
      <c r="W442" s="12"/>
      <c r="X442" s="12"/>
    </row>
    <row r="443" customFormat="false" ht="15.75" hidden="false" customHeight="false" outlineLevel="0" collapsed="false">
      <c r="A443" s="12"/>
      <c r="B443" s="34"/>
      <c r="C443" s="12"/>
      <c r="D443" s="12"/>
      <c r="E443" s="12"/>
      <c r="F443" s="12"/>
      <c r="G443" s="18"/>
      <c r="H443" s="35"/>
      <c r="I443" s="12"/>
      <c r="M443" s="12"/>
      <c r="N443" s="18"/>
      <c r="O443" s="12"/>
      <c r="P443" s="12"/>
      <c r="Q443" s="12"/>
      <c r="R443" s="36"/>
      <c r="S443" s="36"/>
      <c r="T443" s="12"/>
      <c r="U443" s="12"/>
      <c r="V443" s="12"/>
      <c r="W443" s="12"/>
      <c r="X443" s="12"/>
    </row>
    <row r="444" customFormat="false" ht="15.75" hidden="false" customHeight="false" outlineLevel="0" collapsed="false">
      <c r="A444" s="12"/>
      <c r="B444" s="34"/>
      <c r="C444" s="12"/>
      <c r="D444" s="12"/>
      <c r="E444" s="12"/>
      <c r="F444" s="12"/>
      <c r="G444" s="18"/>
      <c r="H444" s="35"/>
      <c r="I444" s="12"/>
      <c r="M444" s="12"/>
      <c r="N444" s="18"/>
      <c r="O444" s="12"/>
      <c r="P444" s="12"/>
      <c r="Q444" s="12"/>
      <c r="R444" s="36"/>
      <c r="S444" s="36"/>
      <c r="T444" s="12"/>
      <c r="U444" s="12"/>
      <c r="V444" s="12"/>
      <c r="W444" s="12"/>
      <c r="X444" s="12"/>
    </row>
    <row r="445" customFormat="false" ht="15.75" hidden="false" customHeight="false" outlineLevel="0" collapsed="false">
      <c r="A445" s="12"/>
      <c r="B445" s="34"/>
      <c r="C445" s="12"/>
      <c r="D445" s="12"/>
      <c r="E445" s="12"/>
      <c r="F445" s="12"/>
      <c r="G445" s="18"/>
      <c r="H445" s="35"/>
      <c r="I445" s="12"/>
      <c r="M445" s="12"/>
      <c r="N445" s="18"/>
      <c r="O445" s="12"/>
      <c r="P445" s="12"/>
      <c r="Q445" s="12"/>
      <c r="R445" s="36"/>
      <c r="S445" s="36"/>
      <c r="T445" s="12"/>
      <c r="U445" s="12"/>
      <c r="V445" s="12"/>
      <c r="W445" s="12"/>
      <c r="X445" s="12"/>
    </row>
    <row r="446" customFormat="false" ht="15.75" hidden="false" customHeight="false" outlineLevel="0" collapsed="false">
      <c r="A446" s="12"/>
      <c r="B446" s="34"/>
      <c r="C446" s="12"/>
      <c r="D446" s="12"/>
      <c r="E446" s="12"/>
      <c r="F446" s="12"/>
      <c r="G446" s="18"/>
      <c r="H446" s="35"/>
      <c r="I446" s="12"/>
      <c r="M446" s="12"/>
      <c r="N446" s="18"/>
      <c r="O446" s="12"/>
      <c r="P446" s="12"/>
      <c r="Q446" s="12"/>
      <c r="R446" s="36"/>
      <c r="S446" s="36"/>
      <c r="T446" s="12"/>
      <c r="U446" s="12"/>
      <c r="V446" s="12"/>
      <c r="W446" s="12"/>
      <c r="X446" s="12"/>
    </row>
    <row r="447" customFormat="false" ht="15.75" hidden="false" customHeight="false" outlineLevel="0" collapsed="false">
      <c r="A447" s="12"/>
      <c r="B447" s="34"/>
      <c r="C447" s="12"/>
      <c r="D447" s="12"/>
      <c r="E447" s="12"/>
      <c r="F447" s="12"/>
      <c r="G447" s="18"/>
      <c r="H447" s="35"/>
      <c r="I447" s="12"/>
      <c r="M447" s="12"/>
      <c r="N447" s="18"/>
      <c r="O447" s="12"/>
      <c r="P447" s="12"/>
      <c r="Q447" s="12"/>
      <c r="R447" s="36"/>
      <c r="S447" s="36"/>
      <c r="T447" s="12"/>
      <c r="U447" s="12"/>
      <c r="V447" s="12"/>
      <c r="W447" s="12"/>
      <c r="X447" s="12"/>
    </row>
    <row r="448" customFormat="false" ht="15.75" hidden="false" customHeight="false" outlineLevel="0" collapsed="false">
      <c r="A448" s="12"/>
      <c r="B448" s="34"/>
      <c r="C448" s="12"/>
      <c r="D448" s="12"/>
      <c r="E448" s="12"/>
      <c r="F448" s="12"/>
      <c r="G448" s="18"/>
      <c r="H448" s="35"/>
      <c r="I448" s="12"/>
      <c r="M448" s="12"/>
      <c r="N448" s="18"/>
      <c r="O448" s="12"/>
      <c r="P448" s="12"/>
      <c r="Q448" s="12"/>
      <c r="R448" s="36"/>
      <c r="S448" s="36"/>
      <c r="T448" s="12"/>
      <c r="U448" s="12"/>
      <c r="V448" s="12"/>
      <c r="W448" s="12"/>
      <c r="X448" s="12"/>
    </row>
    <row r="449" customFormat="false" ht="15.75" hidden="false" customHeight="false" outlineLevel="0" collapsed="false">
      <c r="A449" s="12"/>
      <c r="B449" s="34"/>
      <c r="C449" s="12"/>
      <c r="D449" s="12"/>
      <c r="E449" s="12"/>
      <c r="F449" s="12"/>
      <c r="G449" s="18"/>
      <c r="H449" s="35"/>
      <c r="I449" s="12"/>
      <c r="M449" s="12"/>
      <c r="N449" s="18"/>
      <c r="O449" s="12"/>
      <c r="P449" s="12"/>
      <c r="Q449" s="12"/>
      <c r="R449" s="36"/>
      <c r="S449" s="36"/>
      <c r="T449" s="12"/>
      <c r="U449" s="12"/>
      <c r="V449" s="12"/>
      <c r="W449" s="12"/>
      <c r="X449" s="12"/>
    </row>
    <row r="450" customFormat="false" ht="15.75" hidden="false" customHeight="false" outlineLevel="0" collapsed="false">
      <c r="A450" s="12"/>
      <c r="B450" s="34"/>
      <c r="C450" s="12"/>
      <c r="D450" s="12"/>
      <c r="E450" s="12"/>
      <c r="F450" s="12"/>
      <c r="G450" s="18"/>
      <c r="H450" s="35"/>
      <c r="I450" s="12"/>
      <c r="M450" s="12"/>
      <c r="N450" s="18"/>
      <c r="O450" s="12"/>
      <c r="P450" s="12"/>
      <c r="Q450" s="12"/>
      <c r="R450" s="36"/>
      <c r="S450" s="36"/>
      <c r="T450" s="12"/>
      <c r="U450" s="12"/>
      <c r="V450" s="12"/>
      <c r="W450" s="12"/>
      <c r="X450" s="12"/>
    </row>
    <row r="451" customFormat="false" ht="15.75" hidden="false" customHeight="false" outlineLevel="0" collapsed="false">
      <c r="A451" s="12"/>
      <c r="B451" s="34"/>
      <c r="C451" s="12"/>
      <c r="D451" s="12"/>
      <c r="E451" s="12"/>
      <c r="F451" s="12"/>
      <c r="G451" s="18"/>
      <c r="H451" s="35"/>
      <c r="I451" s="12"/>
      <c r="M451" s="12"/>
      <c r="N451" s="18"/>
      <c r="O451" s="12"/>
      <c r="P451" s="12"/>
      <c r="Q451" s="12"/>
      <c r="R451" s="36"/>
      <c r="S451" s="36"/>
      <c r="T451" s="12"/>
      <c r="U451" s="12"/>
      <c r="V451" s="12"/>
      <c r="W451" s="12"/>
      <c r="X451" s="12"/>
    </row>
    <row r="452" customFormat="false" ht="15.75" hidden="false" customHeight="false" outlineLevel="0" collapsed="false">
      <c r="A452" s="12"/>
      <c r="B452" s="34"/>
      <c r="C452" s="12"/>
      <c r="D452" s="12"/>
      <c r="E452" s="12"/>
      <c r="F452" s="12"/>
      <c r="G452" s="18"/>
      <c r="H452" s="35"/>
      <c r="I452" s="12"/>
      <c r="M452" s="12"/>
      <c r="N452" s="18"/>
      <c r="O452" s="12"/>
      <c r="P452" s="12"/>
      <c r="Q452" s="12"/>
      <c r="R452" s="36"/>
      <c r="S452" s="36"/>
      <c r="T452" s="12"/>
      <c r="U452" s="12"/>
      <c r="V452" s="12"/>
      <c r="W452" s="12"/>
      <c r="X452" s="12"/>
    </row>
    <row r="453" customFormat="false" ht="15.75" hidden="false" customHeight="false" outlineLevel="0" collapsed="false">
      <c r="A453" s="12"/>
      <c r="B453" s="34"/>
      <c r="C453" s="12"/>
      <c r="D453" s="12"/>
      <c r="E453" s="12"/>
      <c r="F453" s="12"/>
      <c r="G453" s="18"/>
      <c r="H453" s="35"/>
      <c r="I453" s="12"/>
      <c r="M453" s="12"/>
      <c r="N453" s="18"/>
      <c r="O453" s="12"/>
      <c r="P453" s="12"/>
      <c r="Q453" s="12"/>
      <c r="R453" s="36"/>
      <c r="S453" s="36"/>
      <c r="T453" s="12"/>
      <c r="U453" s="12"/>
      <c r="V453" s="12"/>
      <c r="W453" s="12"/>
      <c r="X453" s="12"/>
    </row>
    <row r="454" customFormat="false" ht="15.75" hidden="false" customHeight="false" outlineLevel="0" collapsed="false">
      <c r="A454" s="12"/>
      <c r="B454" s="34"/>
      <c r="C454" s="12"/>
      <c r="D454" s="12"/>
      <c r="E454" s="12"/>
      <c r="F454" s="12"/>
      <c r="G454" s="18"/>
      <c r="H454" s="35"/>
      <c r="I454" s="12"/>
      <c r="M454" s="12"/>
      <c r="N454" s="18"/>
      <c r="O454" s="12"/>
      <c r="P454" s="12"/>
      <c r="Q454" s="12"/>
      <c r="R454" s="36"/>
      <c r="S454" s="36"/>
      <c r="T454" s="12"/>
      <c r="U454" s="12"/>
      <c r="V454" s="12"/>
      <c r="W454" s="12"/>
      <c r="X454" s="12"/>
    </row>
    <row r="455" customFormat="false" ht="15.75" hidden="false" customHeight="false" outlineLevel="0" collapsed="false">
      <c r="A455" s="12"/>
      <c r="B455" s="34"/>
      <c r="C455" s="12"/>
      <c r="D455" s="12"/>
      <c r="E455" s="12"/>
      <c r="F455" s="12"/>
      <c r="G455" s="18"/>
      <c r="H455" s="35"/>
      <c r="I455" s="12"/>
      <c r="M455" s="12"/>
      <c r="N455" s="18"/>
      <c r="O455" s="12"/>
      <c r="P455" s="12"/>
      <c r="Q455" s="12"/>
      <c r="R455" s="36"/>
      <c r="S455" s="36"/>
      <c r="T455" s="12"/>
      <c r="U455" s="12"/>
      <c r="V455" s="12"/>
      <c r="W455" s="12"/>
      <c r="X455" s="12"/>
    </row>
    <row r="456" customFormat="false" ht="15.75" hidden="false" customHeight="false" outlineLevel="0" collapsed="false">
      <c r="A456" s="12"/>
      <c r="B456" s="34"/>
      <c r="C456" s="12"/>
      <c r="D456" s="12"/>
      <c r="E456" s="12"/>
      <c r="F456" s="12"/>
      <c r="G456" s="18"/>
      <c r="H456" s="35"/>
      <c r="I456" s="12"/>
      <c r="M456" s="12"/>
      <c r="N456" s="18"/>
      <c r="O456" s="12"/>
      <c r="P456" s="12"/>
      <c r="Q456" s="12"/>
      <c r="R456" s="36"/>
      <c r="S456" s="36"/>
      <c r="T456" s="12"/>
      <c r="U456" s="12"/>
      <c r="V456" s="12"/>
      <c r="W456" s="12"/>
      <c r="X456" s="12"/>
    </row>
    <row r="457" customFormat="false" ht="15.75" hidden="false" customHeight="false" outlineLevel="0" collapsed="false">
      <c r="A457" s="12"/>
      <c r="B457" s="34"/>
      <c r="C457" s="12"/>
      <c r="D457" s="12"/>
      <c r="E457" s="12"/>
      <c r="F457" s="12"/>
      <c r="G457" s="18"/>
      <c r="H457" s="35"/>
      <c r="I457" s="12"/>
      <c r="M457" s="12"/>
      <c r="N457" s="18"/>
      <c r="O457" s="12"/>
      <c r="P457" s="12"/>
      <c r="Q457" s="12"/>
      <c r="R457" s="36"/>
      <c r="S457" s="36"/>
      <c r="T457" s="12"/>
      <c r="U457" s="12"/>
      <c r="V457" s="12"/>
      <c r="W457" s="12"/>
      <c r="X457" s="12"/>
    </row>
    <row r="458" customFormat="false" ht="15.75" hidden="false" customHeight="false" outlineLevel="0" collapsed="false">
      <c r="A458" s="12"/>
      <c r="B458" s="34"/>
      <c r="C458" s="12"/>
      <c r="D458" s="12"/>
      <c r="E458" s="12"/>
      <c r="F458" s="12"/>
      <c r="G458" s="18"/>
      <c r="H458" s="35"/>
      <c r="I458" s="12"/>
      <c r="M458" s="12"/>
      <c r="N458" s="18"/>
      <c r="O458" s="12"/>
      <c r="P458" s="12"/>
      <c r="Q458" s="12"/>
      <c r="R458" s="36"/>
      <c r="S458" s="36"/>
      <c r="T458" s="12"/>
      <c r="U458" s="12"/>
      <c r="V458" s="12"/>
      <c r="W458" s="12"/>
      <c r="X458" s="12"/>
    </row>
    <row r="459" customFormat="false" ht="15.75" hidden="false" customHeight="false" outlineLevel="0" collapsed="false">
      <c r="A459" s="12"/>
      <c r="B459" s="34"/>
      <c r="C459" s="12"/>
      <c r="D459" s="12"/>
      <c r="E459" s="12"/>
      <c r="F459" s="12"/>
      <c r="G459" s="18"/>
      <c r="H459" s="35"/>
      <c r="I459" s="12"/>
      <c r="M459" s="12"/>
      <c r="N459" s="18"/>
      <c r="O459" s="12"/>
      <c r="P459" s="12"/>
      <c r="Q459" s="12"/>
      <c r="R459" s="36"/>
      <c r="S459" s="36"/>
      <c r="T459" s="12"/>
      <c r="U459" s="12"/>
      <c r="V459" s="12"/>
      <c r="W459" s="12"/>
      <c r="X459" s="12"/>
    </row>
    <row r="460" customFormat="false" ht="15.75" hidden="false" customHeight="false" outlineLevel="0" collapsed="false">
      <c r="A460" s="12"/>
      <c r="B460" s="34"/>
      <c r="C460" s="12"/>
      <c r="D460" s="12"/>
      <c r="E460" s="12"/>
      <c r="F460" s="12"/>
      <c r="G460" s="18"/>
      <c r="H460" s="35"/>
      <c r="I460" s="12"/>
      <c r="M460" s="12"/>
      <c r="N460" s="18"/>
      <c r="O460" s="12"/>
      <c r="P460" s="12"/>
      <c r="Q460" s="12"/>
      <c r="R460" s="36"/>
      <c r="S460" s="36"/>
      <c r="T460" s="12"/>
      <c r="U460" s="12"/>
      <c r="V460" s="12"/>
      <c r="W460" s="12"/>
      <c r="X460" s="12"/>
    </row>
    <row r="461" customFormat="false" ht="15.75" hidden="false" customHeight="false" outlineLevel="0" collapsed="false">
      <c r="A461" s="12"/>
      <c r="B461" s="34"/>
      <c r="C461" s="12"/>
      <c r="D461" s="12"/>
      <c r="E461" s="12"/>
      <c r="F461" s="12"/>
      <c r="G461" s="18"/>
      <c r="H461" s="35"/>
      <c r="I461" s="12"/>
      <c r="M461" s="12"/>
      <c r="N461" s="18"/>
      <c r="O461" s="12"/>
      <c r="P461" s="12"/>
      <c r="Q461" s="12"/>
      <c r="R461" s="36"/>
      <c r="S461" s="36"/>
      <c r="T461" s="12"/>
      <c r="U461" s="12"/>
      <c r="V461" s="12"/>
      <c r="W461" s="12"/>
      <c r="X461" s="12"/>
    </row>
    <row r="462" customFormat="false" ht="15.75" hidden="false" customHeight="false" outlineLevel="0" collapsed="false">
      <c r="A462" s="12"/>
      <c r="B462" s="34"/>
      <c r="C462" s="12"/>
      <c r="D462" s="12"/>
      <c r="E462" s="12"/>
      <c r="F462" s="12"/>
      <c r="G462" s="18"/>
      <c r="H462" s="35"/>
      <c r="I462" s="12"/>
      <c r="M462" s="12"/>
      <c r="N462" s="18"/>
      <c r="O462" s="12"/>
      <c r="P462" s="12"/>
      <c r="Q462" s="12"/>
      <c r="R462" s="36"/>
      <c r="S462" s="36"/>
      <c r="T462" s="12"/>
      <c r="U462" s="12"/>
      <c r="V462" s="12"/>
      <c r="W462" s="12"/>
      <c r="X462" s="12"/>
    </row>
    <row r="463" customFormat="false" ht="15.75" hidden="false" customHeight="false" outlineLevel="0" collapsed="false">
      <c r="A463" s="12"/>
      <c r="B463" s="34"/>
      <c r="C463" s="12"/>
      <c r="D463" s="12"/>
      <c r="E463" s="12"/>
      <c r="F463" s="12"/>
      <c r="G463" s="18"/>
      <c r="H463" s="35"/>
      <c r="I463" s="12"/>
      <c r="M463" s="12"/>
      <c r="N463" s="18"/>
      <c r="O463" s="12"/>
      <c r="P463" s="12"/>
      <c r="Q463" s="12"/>
      <c r="R463" s="36"/>
      <c r="S463" s="36"/>
      <c r="T463" s="12"/>
      <c r="U463" s="12"/>
      <c r="V463" s="12"/>
      <c r="W463" s="12"/>
      <c r="X463" s="12"/>
    </row>
    <row r="464" customFormat="false" ht="15.75" hidden="false" customHeight="false" outlineLevel="0" collapsed="false">
      <c r="A464" s="12"/>
      <c r="B464" s="34"/>
      <c r="C464" s="12"/>
      <c r="D464" s="12"/>
      <c r="E464" s="12"/>
      <c r="F464" s="12"/>
      <c r="G464" s="18"/>
      <c r="H464" s="35"/>
      <c r="I464" s="12"/>
      <c r="M464" s="12"/>
      <c r="N464" s="18"/>
      <c r="O464" s="12"/>
      <c r="P464" s="12"/>
      <c r="Q464" s="12"/>
      <c r="R464" s="36"/>
      <c r="S464" s="36"/>
      <c r="T464" s="12"/>
      <c r="U464" s="12"/>
      <c r="V464" s="12"/>
      <c r="W464" s="12"/>
      <c r="X464" s="12"/>
    </row>
    <row r="465" customFormat="false" ht="15.75" hidden="false" customHeight="false" outlineLevel="0" collapsed="false">
      <c r="A465" s="12"/>
      <c r="B465" s="34"/>
      <c r="C465" s="12"/>
      <c r="D465" s="12"/>
      <c r="E465" s="12"/>
      <c r="F465" s="12"/>
      <c r="G465" s="18"/>
      <c r="H465" s="35"/>
      <c r="I465" s="12"/>
      <c r="M465" s="12"/>
      <c r="N465" s="18"/>
      <c r="O465" s="12"/>
      <c r="P465" s="12"/>
      <c r="Q465" s="12"/>
      <c r="R465" s="36"/>
      <c r="S465" s="36"/>
      <c r="T465" s="12"/>
      <c r="U465" s="12"/>
      <c r="V465" s="12"/>
      <c r="W465" s="12"/>
      <c r="X465" s="12"/>
    </row>
    <row r="466" customFormat="false" ht="15.75" hidden="false" customHeight="false" outlineLevel="0" collapsed="false">
      <c r="A466" s="12"/>
      <c r="B466" s="34"/>
      <c r="C466" s="12"/>
      <c r="D466" s="12"/>
      <c r="E466" s="12"/>
      <c r="F466" s="12"/>
      <c r="G466" s="18"/>
      <c r="H466" s="35"/>
      <c r="I466" s="12"/>
      <c r="M466" s="12"/>
      <c r="N466" s="18"/>
      <c r="O466" s="12"/>
      <c r="P466" s="12"/>
      <c r="Q466" s="12"/>
      <c r="R466" s="36"/>
      <c r="S466" s="36"/>
      <c r="T466" s="12"/>
      <c r="U466" s="12"/>
      <c r="V466" s="12"/>
      <c r="W466" s="12"/>
      <c r="X466" s="12"/>
    </row>
    <row r="467" customFormat="false" ht="15.75" hidden="false" customHeight="false" outlineLevel="0" collapsed="false">
      <c r="A467" s="12"/>
      <c r="B467" s="34"/>
      <c r="C467" s="12"/>
      <c r="D467" s="12"/>
      <c r="E467" s="12"/>
      <c r="F467" s="12"/>
      <c r="G467" s="18"/>
      <c r="H467" s="35"/>
      <c r="I467" s="12"/>
      <c r="M467" s="12"/>
      <c r="N467" s="18"/>
      <c r="O467" s="12"/>
      <c r="P467" s="12"/>
      <c r="Q467" s="12"/>
      <c r="R467" s="36"/>
      <c r="S467" s="36"/>
      <c r="T467" s="12"/>
      <c r="U467" s="12"/>
      <c r="V467" s="12"/>
      <c r="W467" s="12"/>
      <c r="X467" s="12"/>
    </row>
    <row r="468" customFormat="false" ht="15.75" hidden="false" customHeight="false" outlineLevel="0" collapsed="false">
      <c r="A468" s="12"/>
      <c r="B468" s="34"/>
      <c r="C468" s="12"/>
      <c r="D468" s="12"/>
      <c r="E468" s="12"/>
      <c r="F468" s="12"/>
      <c r="G468" s="18"/>
      <c r="H468" s="35"/>
      <c r="I468" s="12"/>
      <c r="M468" s="12"/>
      <c r="N468" s="18"/>
      <c r="O468" s="12"/>
      <c r="P468" s="12"/>
      <c r="Q468" s="12"/>
      <c r="R468" s="36"/>
      <c r="S468" s="36"/>
      <c r="T468" s="12"/>
      <c r="U468" s="12"/>
      <c r="V468" s="12"/>
      <c r="W468" s="12"/>
      <c r="X468" s="12"/>
    </row>
    <row r="469" customFormat="false" ht="15.75" hidden="false" customHeight="false" outlineLevel="0" collapsed="false">
      <c r="A469" s="12"/>
      <c r="B469" s="34"/>
      <c r="C469" s="12"/>
      <c r="D469" s="12"/>
      <c r="E469" s="12"/>
      <c r="F469" s="12"/>
      <c r="G469" s="18"/>
      <c r="H469" s="35"/>
      <c r="I469" s="12"/>
      <c r="M469" s="12"/>
      <c r="N469" s="18"/>
      <c r="O469" s="12"/>
      <c r="P469" s="12"/>
      <c r="Q469" s="12"/>
      <c r="R469" s="36"/>
      <c r="S469" s="36"/>
      <c r="T469" s="12"/>
      <c r="U469" s="12"/>
      <c r="V469" s="12"/>
      <c r="W469" s="12"/>
      <c r="X469" s="12"/>
    </row>
    <row r="470" customFormat="false" ht="15.75" hidden="false" customHeight="false" outlineLevel="0" collapsed="false">
      <c r="A470" s="12"/>
      <c r="B470" s="34"/>
      <c r="C470" s="12"/>
      <c r="D470" s="12"/>
      <c r="E470" s="12"/>
      <c r="F470" s="12"/>
      <c r="G470" s="18"/>
      <c r="H470" s="35"/>
      <c r="I470" s="12"/>
      <c r="M470" s="12"/>
      <c r="N470" s="18"/>
      <c r="O470" s="12"/>
      <c r="P470" s="12"/>
      <c r="Q470" s="12"/>
      <c r="R470" s="36"/>
      <c r="S470" s="36"/>
      <c r="T470" s="12"/>
      <c r="U470" s="12"/>
      <c r="V470" s="12"/>
      <c r="W470" s="12"/>
      <c r="X470" s="12"/>
    </row>
    <row r="471" customFormat="false" ht="15.75" hidden="false" customHeight="false" outlineLevel="0" collapsed="false">
      <c r="A471" s="12"/>
      <c r="B471" s="34"/>
      <c r="C471" s="12"/>
      <c r="D471" s="12"/>
      <c r="E471" s="12"/>
      <c r="F471" s="12"/>
      <c r="G471" s="18"/>
      <c r="H471" s="35"/>
      <c r="I471" s="12"/>
      <c r="M471" s="12"/>
      <c r="N471" s="18"/>
      <c r="O471" s="12"/>
      <c r="P471" s="12"/>
      <c r="Q471" s="12"/>
      <c r="R471" s="36"/>
      <c r="S471" s="36"/>
      <c r="T471" s="12"/>
      <c r="U471" s="12"/>
      <c r="V471" s="12"/>
      <c r="W471" s="12"/>
      <c r="X471" s="12"/>
    </row>
    <row r="472" customFormat="false" ht="15.75" hidden="false" customHeight="false" outlineLevel="0" collapsed="false">
      <c r="A472" s="12"/>
      <c r="B472" s="34"/>
      <c r="C472" s="12"/>
      <c r="D472" s="12"/>
      <c r="E472" s="12"/>
      <c r="F472" s="12"/>
      <c r="G472" s="18"/>
      <c r="H472" s="35"/>
      <c r="I472" s="12"/>
      <c r="M472" s="12"/>
      <c r="N472" s="18"/>
      <c r="O472" s="12"/>
      <c r="P472" s="12"/>
      <c r="Q472" s="12"/>
      <c r="R472" s="36"/>
      <c r="S472" s="36"/>
      <c r="T472" s="12"/>
      <c r="U472" s="12"/>
      <c r="V472" s="12"/>
      <c r="W472" s="12"/>
      <c r="X472" s="12"/>
    </row>
    <row r="473" customFormat="false" ht="15.75" hidden="false" customHeight="false" outlineLevel="0" collapsed="false">
      <c r="A473" s="12"/>
      <c r="B473" s="34"/>
      <c r="C473" s="12"/>
      <c r="D473" s="12"/>
      <c r="E473" s="12"/>
      <c r="F473" s="12"/>
      <c r="G473" s="18"/>
      <c r="H473" s="35"/>
      <c r="I473" s="12"/>
      <c r="M473" s="12"/>
      <c r="N473" s="18"/>
      <c r="O473" s="12"/>
      <c r="P473" s="12"/>
      <c r="Q473" s="12"/>
      <c r="R473" s="36"/>
      <c r="S473" s="36"/>
      <c r="T473" s="12"/>
      <c r="U473" s="12"/>
      <c r="V473" s="12"/>
      <c r="W473" s="12"/>
      <c r="X473" s="12"/>
    </row>
    <row r="474" customFormat="false" ht="15.75" hidden="false" customHeight="false" outlineLevel="0" collapsed="false">
      <c r="A474" s="12"/>
      <c r="B474" s="34"/>
      <c r="C474" s="12"/>
      <c r="D474" s="12"/>
      <c r="E474" s="12"/>
      <c r="F474" s="12"/>
      <c r="G474" s="18"/>
      <c r="H474" s="35"/>
      <c r="I474" s="12"/>
      <c r="M474" s="12"/>
      <c r="N474" s="18"/>
      <c r="O474" s="12"/>
      <c r="P474" s="12"/>
      <c r="Q474" s="12"/>
      <c r="R474" s="36"/>
      <c r="S474" s="36"/>
      <c r="T474" s="12"/>
      <c r="U474" s="12"/>
      <c r="V474" s="12"/>
      <c r="W474" s="12"/>
      <c r="X474" s="12"/>
    </row>
    <row r="475" customFormat="false" ht="15.75" hidden="false" customHeight="false" outlineLevel="0" collapsed="false">
      <c r="A475" s="12"/>
      <c r="B475" s="34"/>
      <c r="C475" s="12"/>
      <c r="D475" s="12"/>
      <c r="E475" s="12"/>
      <c r="F475" s="12"/>
      <c r="G475" s="18"/>
      <c r="H475" s="35"/>
      <c r="I475" s="12"/>
      <c r="M475" s="12"/>
      <c r="N475" s="18"/>
      <c r="O475" s="12"/>
      <c r="P475" s="12"/>
      <c r="Q475" s="12"/>
      <c r="R475" s="36"/>
      <c r="S475" s="36"/>
      <c r="T475" s="12"/>
      <c r="U475" s="12"/>
      <c r="V475" s="12"/>
      <c r="W475" s="12"/>
      <c r="X475" s="12"/>
    </row>
    <row r="476" customFormat="false" ht="15.75" hidden="false" customHeight="false" outlineLevel="0" collapsed="false">
      <c r="A476" s="12"/>
      <c r="B476" s="34"/>
      <c r="C476" s="12"/>
      <c r="D476" s="12"/>
      <c r="E476" s="12"/>
      <c r="F476" s="12"/>
      <c r="G476" s="18"/>
      <c r="H476" s="35"/>
      <c r="I476" s="12"/>
      <c r="M476" s="12"/>
      <c r="N476" s="18"/>
      <c r="O476" s="12"/>
      <c r="P476" s="12"/>
      <c r="Q476" s="12"/>
      <c r="R476" s="36"/>
      <c r="S476" s="36"/>
      <c r="T476" s="12"/>
      <c r="U476" s="12"/>
      <c r="V476" s="12"/>
      <c r="W476" s="12"/>
      <c r="X476" s="12"/>
    </row>
    <row r="477" customFormat="false" ht="15.75" hidden="false" customHeight="false" outlineLevel="0" collapsed="false">
      <c r="A477" s="12"/>
      <c r="B477" s="34"/>
      <c r="C477" s="12"/>
      <c r="D477" s="12"/>
      <c r="E477" s="12"/>
      <c r="F477" s="12"/>
      <c r="G477" s="18"/>
      <c r="H477" s="35"/>
      <c r="I477" s="12"/>
      <c r="M477" s="12"/>
      <c r="N477" s="18"/>
      <c r="O477" s="12"/>
      <c r="P477" s="12"/>
      <c r="Q477" s="12"/>
      <c r="R477" s="36"/>
      <c r="S477" s="36"/>
      <c r="T477" s="12"/>
      <c r="U477" s="12"/>
      <c r="V477" s="12"/>
      <c r="W477" s="12"/>
      <c r="X477" s="12"/>
    </row>
    <row r="478" customFormat="false" ht="15.75" hidden="false" customHeight="false" outlineLevel="0" collapsed="false">
      <c r="A478" s="12"/>
      <c r="B478" s="34"/>
      <c r="C478" s="12"/>
      <c r="D478" s="12"/>
      <c r="E478" s="12"/>
      <c r="F478" s="12"/>
      <c r="G478" s="18"/>
      <c r="H478" s="35"/>
      <c r="I478" s="12"/>
      <c r="M478" s="12"/>
      <c r="N478" s="18"/>
      <c r="O478" s="12"/>
      <c r="P478" s="12"/>
      <c r="Q478" s="12"/>
      <c r="R478" s="36"/>
      <c r="S478" s="36"/>
      <c r="T478" s="12"/>
      <c r="U478" s="12"/>
      <c r="V478" s="12"/>
      <c r="W478" s="12"/>
      <c r="X478" s="12"/>
    </row>
    <row r="479" customFormat="false" ht="15.75" hidden="false" customHeight="false" outlineLevel="0" collapsed="false">
      <c r="A479" s="12"/>
      <c r="B479" s="34"/>
      <c r="C479" s="12"/>
      <c r="D479" s="12"/>
      <c r="E479" s="12"/>
      <c r="F479" s="12"/>
      <c r="G479" s="18"/>
      <c r="H479" s="35"/>
      <c r="I479" s="12"/>
      <c r="M479" s="12"/>
      <c r="N479" s="18"/>
      <c r="O479" s="12"/>
      <c r="P479" s="12"/>
      <c r="Q479" s="12"/>
      <c r="R479" s="36"/>
      <c r="S479" s="36"/>
      <c r="T479" s="12"/>
      <c r="U479" s="12"/>
      <c r="V479" s="12"/>
      <c r="W479" s="12"/>
      <c r="X479" s="12"/>
    </row>
    <row r="480" customFormat="false" ht="15.75" hidden="false" customHeight="false" outlineLevel="0" collapsed="false">
      <c r="A480" s="12"/>
      <c r="B480" s="34"/>
      <c r="C480" s="12"/>
      <c r="D480" s="12"/>
      <c r="E480" s="12"/>
      <c r="F480" s="12"/>
      <c r="G480" s="18"/>
      <c r="H480" s="35"/>
      <c r="I480" s="12"/>
      <c r="M480" s="12"/>
      <c r="N480" s="18"/>
      <c r="O480" s="12"/>
      <c r="P480" s="12"/>
      <c r="Q480" s="12"/>
      <c r="R480" s="36"/>
      <c r="S480" s="36"/>
      <c r="T480" s="12"/>
      <c r="U480" s="12"/>
      <c r="V480" s="12"/>
      <c r="W480" s="12"/>
      <c r="X480" s="12"/>
    </row>
    <row r="481" customFormat="false" ht="15.75" hidden="false" customHeight="false" outlineLevel="0" collapsed="false">
      <c r="A481" s="12"/>
      <c r="B481" s="34"/>
      <c r="C481" s="12"/>
      <c r="D481" s="12"/>
      <c r="E481" s="12"/>
      <c r="F481" s="12"/>
      <c r="G481" s="18"/>
      <c r="H481" s="35"/>
      <c r="I481" s="12"/>
      <c r="M481" s="12"/>
      <c r="N481" s="18"/>
      <c r="O481" s="12"/>
      <c r="P481" s="12"/>
      <c r="Q481" s="12"/>
      <c r="R481" s="36"/>
      <c r="S481" s="36"/>
      <c r="T481" s="12"/>
      <c r="U481" s="12"/>
      <c r="V481" s="12"/>
      <c r="W481" s="12"/>
      <c r="X481" s="12"/>
    </row>
    <row r="482" customFormat="false" ht="15.75" hidden="false" customHeight="false" outlineLevel="0" collapsed="false">
      <c r="A482" s="12"/>
      <c r="B482" s="34"/>
      <c r="C482" s="12"/>
      <c r="D482" s="12"/>
      <c r="E482" s="12"/>
      <c r="F482" s="12"/>
      <c r="G482" s="18"/>
      <c r="H482" s="35"/>
      <c r="I482" s="12"/>
      <c r="M482" s="12"/>
      <c r="N482" s="18"/>
      <c r="O482" s="12"/>
      <c r="P482" s="12"/>
      <c r="Q482" s="12"/>
      <c r="R482" s="36"/>
      <c r="S482" s="36"/>
      <c r="T482" s="12"/>
      <c r="U482" s="12"/>
      <c r="V482" s="12"/>
      <c r="W482" s="12"/>
      <c r="X482" s="12"/>
    </row>
    <row r="483" customFormat="false" ht="15.75" hidden="false" customHeight="false" outlineLevel="0" collapsed="false">
      <c r="A483" s="12"/>
      <c r="B483" s="34"/>
      <c r="C483" s="12"/>
      <c r="D483" s="12"/>
      <c r="E483" s="12"/>
      <c r="F483" s="12"/>
      <c r="G483" s="18"/>
      <c r="H483" s="35"/>
      <c r="I483" s="12"/>
      <c r="M483" s="12"/>
      <c r="N483" s="18"/>
      <c r="O483" s="12"/>
      <c r="P483" s="12"/>
      <c r="Q483" s="12"/>
      <c r="R483" s="36"/>
      <c r="S483" s="36"/>
      <c r="T483" s="12"/>
      <c r="U483" s="12"/>
      <c r="V483" s="12"/>
      <c r="W483" s="12"/>
      <c r="X483" s="12"/>
    </row>
    <row r="484" customFormat="false" ht="15.75" hidden="false" customHeight="false" outlineLevel="0" collapsed="false">
      <c r="A484" s="12"/>
      <c r="B484" s="34"/>
      <c r="C484" s="12"/>
      <c r="D484" s="12"/>
      <c r="E484" s="12"/>
      <c r="F484" s="12"/>
      <c r="G484" s="18"/>
      <c r="H484" s="35"/>
      <c r="I484" s="12"/>
      <c r="M484" s="12"/>
      <c r="N484" s="18"/>
      <c r="O484" s="12"/>
      <c r="P484" s="12"/>
      <c r="Q484" s="12"/>
      <c r="R484" s="36"/>
      <c r="S484" s="36"/>
      <c r="T484" s="12"/>
      <c r="U484" s="12"/>
      <c r="V484" s="12"/>
      <c r="W484" s="12"/>
      <c r="X484" s="12"/>
    </row>
    <row r="485" customFormat="false" ht="15.75" hidden="false" customHeight="false" outlineLevel="0" collapsed="false">
      <c r="A485" s="12"/>
      <c r="B485" s="34"/>
      <c r="C485" s="12"/>
      <c r="D485" s="12"/>
      <c r="E485" s="12"/>
      <c r="F485" s="12"/>
      <c r="G485" s="18"/>
      <c r="H485" s="35"/>
      <c r="I485" s="12"/>
      <c r="M485" s="12"/>
      <c r="N485" s="18"/>
      <c r="O485" s="12"/>
      <c r="P485" s="12"/>
      <c r="Q485" s="12"/>
      <c r="R485" s="36"/>
      <c r="S485" s="36"/>
      <c r="T485" s="12"/>
      <c r="U485" s="12"/>
      <c r="V485" s="12"/>
      <c r="W485" s="12"/>
      <c r="X485" s="12"/>
    </row>
    <row r="486" customFormat="false" ht="15.75" hidden="false" customHeight="false" outlineLevel="0" collapsed="false">
      <c r="A486" s="12"/>
      <c r="B486" s="34"/>
      <c r="C486" s="12"/>
      <c r="D486" s="12"/>
      <c r="E486" s="12"/>
      <c r="F486" s="12"/>
      <c r="G486" s="18"/>
      <c r="H486" s="35"/>
      <c r="I486" s="12"/>
      <c r="M486" s="12"/>
      <c r="N486" s="18"/>
      <c r="O486" s="12"/>
      <c r="P486" s="12"/>
      <c r="Q486" s="12"/>
      <c r="R486" s="36"/>
      <c r="S486" s="36"/>
      <c r="T486" s="12"/>
      <c r="U486" s="12"/>
      <c r="V486" s="12"/>
      <c r="W486" s="12"/>
      <c r="X486" s="12"/>
    </row>
    <row r="487" customFormat="false" ht="15.75" hidden="false" customHeight="false" outlineLevel="0" collapsed="false">
      <c r="A487" s="12"/>
      <c r="B487" s="34"/>
      <c r="C487" s="12"/>
      <c r="D487" s="12"/>
      <c r="E487" s="12"/>
      <c r="F487" s="12"/>
      <c r="G487" s="18"/>
      <c r="H487" s="35"/>
      <c r="I487" s="12"/>
      <c r="M487" s="12"/>
      <c r="N487" s="18"/>
      <c r="O487" s="12"/>
      <c r="P487" s="12"/>
      <c r="Q487" s="12"/>
      <c r="R487" s="36"/>
      <c r="S487" s="36"/>
      <c r="T487" s="12"/>
      <c r="U487" s="12"/>
      <c r="V487" s="12"/>
      <c r="W487" s="12"/>
      <c r="X487" s="12"/>
    </row>
    <row r="488" customFormat="false" ht="15.75" hidden="false" customHeight="false" outlineLevel="0" collapsed="false">
      <c r="A488" s="12"/>
      <c r="B488" s="34"/>
      <c r="C488" s="12"/>
      <c r="D488" s="12"/>
      <c r="E488" s="12"/>
      <c r="F488" s="12"/>
      <c r="G488" s="18"/>
      <c r="H488" s="35"/>
      <c r="I488" s="12"/>
      <c r="M488" s="12"/>
      <c r="N488" s="18"/>
      <c r="O488" s="12"/>
      <c r="P488" s="12"/>
      <c r="Q488" s="12"/>
      <c r="R488" s="36"/>
      <c r="S488" s="36"/>
      <c r="T488" s="12"/>
      <c r="U488" s="12"/>
      <c r="V488" s="12"/>
      <c r="W488" s="12"/>
      <c r="X488" s="12"/>
    </row>
    <row r="489" customFormat="false" ht="15.75" hidden="false" customHeight="false" outlineLevel="0" collapsed="false">
      <c r="A489" s="12"/>
      <c r="B489" s="34"/>
      <c r="C489" s="12"/>
      <c r="D489" s="12"/>
      <c r="E489" s="12"/>
      <c r="F489" s="12"/>
      <c r="G489" s="18"/>
      <c r="H489" s="35"/>
      <c r="I489" s="12"/>
      <c r="M489" s="12"/>
      <c r="N489" s="18"/>
      <c r="O489" s="12"/>
      <c r="P489" s="12"/>
      <c r="Q489" s="12"/>
      <c r="R489" s="36"/>
      <c r="S489" s="36"/>
      <c r="T489" s="12"/>
      <c r="U489" s="12"/>
      <c r="V489" s="12"/>
      <c r="W489" s="12"/>
      <c r="X489" s="12"/>
    </row>
    <row r="490" customFormat="false" ht="15.75" hidden="false" customHeight="false" outlineLevel="0" collapsed="false">
      <c r="A490" s="12"/>
      <c r="B490" s="34"/>
      <c r="C490" s="12"/>
      <c r="D490" s="12"/>
      <c r="E490" s="12"/>
      <c r="F490" s="12"/>
      <c r="G490" s="18"/>
      <c r="H490" s="35"/>
      <c r="I490" s="12"/>
      <c r="M490" s="12"/>
      <c r="N490" s="18"/>
      <c r="O490" s="12"/>
      <c r="P490" s="12"/>
      <c r="Q490" s="12"/>
      <c r="R490" s="36"/>
      <c r="S490" s="36"/>
      <c r="T490" s="12"/>
      <c r="U490" s="12"/>
      <c r="V490" s="12"/>
      <c r="W490" s="12"/>
      <c r="X490" s="12"/>
    </row>
    <row r="491" customFormat="false" ht="15.75" hidden="false" customHeight="false" outlineLevel="0" collapsed="false">
      <c r="A491" s="12"/>
      <c r="B491" s="34"/>
      <c r="C491" s="12"/>
      <c r="D491" s="12"/>
      <c r="E491" s="12"/>
      <c r="F491" s="12"/>
      <c r="G491" s="18"/>
      <c r="H491" s="35"/>
      <c r="I491" s="12"/>
      <c r="M491" s="12"/>
      <c r="N491" s="18"/>
      <c r="O491" s="12"/>
      <c r="P491" s="12"/>
      <c r="Q491" s="12"/>
      <c r="R491" s="36"/>
      <c r="S491" s="36"/>
      <c r="T491" s="12"/>
      <c r="U491" s="12"/>
      <c r="V491" s="12"/>
      <c r="W491" s="12"/>
      <c r="X491" s="12"/>
    </row>
    <row r="492" customFormat="false" ht="15.75" hidden="false" customHeight="false" outlineLevel="0" collapsed="false">
      <c r="A492" s="12"/>
      <c r="B492" s="34"/>
      <c r="C492" s="12"/>
      <c r="D492" s="12"/>
      <c r="E492" s="12"/>
      <c r="F492" s="12"/>
      <c r="G492" s="18"/>
      <c r="H492" s="35"/>
      <c r="I492" s="12"/>
      <c r="M492" s="12"/>
      <c r="N492" s="18"/>
      <c r="O492" s="12"/>
      <c r="P492" s="12"/>
      <c r="Q492" s="12"/>
      <c r="R492" s="36"/>
      <c r="S492" s="36"/>
      <c r="T492" s="12"/>
      <c r="U492" s="12"/>
      <c r="V492" s="12"/>
      <c r="W492" s="12"/>
      <c r="X492" s="12"/>
    </row>
    <row r="493" customFormat="false" ht="15.75" hidden="false" customHeight="false" outlineLevel="0" collapsed="false">
      <c r="A493" s="12"/>
      <c r="B493" s="34"/>
      <c r="C493" s="12"/>
      <c r="D493" s="12"/>
      <c r="E493" s="12"/>
      <c r="F493" s="12"/>
      <c r="G493" s="18"/>
      <c r="H493" s="35"/>
      <c r="I493" s="12"/>
      <c r="M493" s="12"/>
      <c r="N493" s="18"/>
      <c r="O493" s="12"/>
      <c r="P493" s="12"/>
      <c r="Q493" s="12"/>
      <c r="R493" s="36"/>
      <c r="S493" s="36"/>
      <c r="T493" s="12"/>
      <c r="U493" s="12"/>
      <c r="V493" s="12"/>
      <c r="W493" s="12"/>
      <c r="X493" s="12"/>
    </row>
    <row r="494" customFormat="false" ht="15.75" hidden="false" customHeight="false" outlineLevel="0" collapsed="false">
      <c r="A494" s="12"/>
      <c r="B494" s="34"/>
      <c r="C494" s="12"/>
      <c r="D494" s="12"/>
      <c r="E494" s="12"/>
      <c r="F494" s="12"/>
      <c r="G494" s="18"/>
      <c r="H494" s="35"/>
      <c r="I494" s="12"/>
      <c r="M494" s="12"/>
      <c r="N494" s="18"/>
      <c r="O494" s="12"/>
      <c r="P494" s="12"/>
      <c r="Q494" s="12"/>
      <c r="R494" s="36"/>
      <c r="S494" s="36"/>
      <c r="T494" s="12"/>
      <c r="U494" s="12"/>
      <c r="V494" s="12"/>
      <c r="W494" s="12"/>
      <c r="X494" s="12"/>
    </row>
    <row r="495" customFormat="false" ht="15.75" hidden="false" customHeight="false" outlineLevel="0" collapsed="false">
      <c r="A495" s="12"/>
      <c r="B495" s="34"/>
      <c r="C495" s="12"/>
      <c r="D495" s="12"/>
      <c r="E495" s="12"/>
      <c r="F495" s="12"/>
      <c r="G495" s="18"/>
      <c r="H495" s="35"/>
      <c r="I495" s="12"/>
      <c r="M495" s="12"/>
      <c r="N495" s="18"/>
      <c r="O495" s="12"/>
      <c r="P495" s="12"/>
      <c r="Q495" s="12"/>
      <c r="R495" s="36"/>
      <c r="S495" s="36"/>
      <c r="T495" s="12"/>
      <c r="U495" s="12"/>
      <c r="V495" s="12"/>
      <c r="W495" s="12"/>
      <c r="X495" s="12"/>
    </row>
    <row r="496" customFormat="false" ht="15.75" hidden="false" customHeight="false" outlineLevel="0" collapsed="false">
      <c r="A496" s="12"/>
      <c r="B496" s="34"/>
      <c r="C496" s="12"/>
      <c r="D496" s="12"/>
      <c r="E496" s="12"/>
      <c r="F496" s="12"/>
      <c r="G496" s="18"/>
      <c r="H496" s="35"/>
      <c r="I496" s="12"/>
      <c r="M496" s="12"/>
      <c r="N496" s="18"/>
      <c r="O496" s="12"/>
      <c r="P496" s="12"/>
      <c r="Q496" s="12"/>
      <c r="R496" s="36"/>
      <c r="S496" s="36"/>
      <c r="T496" s="12"/>
      <c r="U496" s="12"/>
      <c r="V496" s="12"/>
      <c r="W496" s="12"/>
      <c r="X496" s="12"/>
    </row>
    <row r="497" customFormat="false" ht="15.75" hidden="false" customHeight="false" outlineLevel="0" collapsed="false">
      <c r="A497" s="12"/>
      <c r="B497" s="34"/>
      <c r="C497" s="12"/>
      <c r="D497" s="12"/>
      <c r="E497" s="12"/>
      <c r="F497" s="12"/>
      <c r="G497" s="18"/>
      <c r="H497" s="35"/>
      <c r="I497" s="12"/>
      <c r="M497" s="12"/>
      <c r="N497" s="18"/>
      <c r="O497" s="12"/>
      <c r="P497" s="12"/>
      <c r="Q497" s="12"/>
      <c r="R497" s="36"/>
      <c r="S497" s="36"/>
      <c r="T497" s="12"/>
      <c r="U497" s="12"/>
      <c r="V497" s="12"/>
      <c r="W497" s="12"/>
      <c r="X497" s="12"/>
    </row>
    <row r="498" customFormat="false" ht="15.75" hidden="false" customHeight="false" outlineLevel="0" collapsed="false">
      <c r="A498" s="12"/>
      <c r="B498" s="34"/>
      <c r="C498" s="12"/>
      <c r="D498" s="12"/>
      <c r="E498" s="12"/>
      <c r="F498" s="12"/>
      <c r="G498" s="18"/>
      <c r="H498" s="35"/>
      <c r="I498" s="12"/>
      <c r="M498" s="12"/>
      <c r="N498" s="18"/>
      <c r="O498" s="12"/>
      <c r="P498" s="12"/>
      <c r="Q498" s="12"/>
      <c r="R498" s="36"/>
      <c r="S498" s="36"/>
      <c r="T498" s="12"/>
      <c r="U498" s="12"/>
      <c r="V498" s="12"/>
      <c r="W498" s="12"/>
      <c r="X498" s="12"/>
    </row>
    <row r="499" customFormat="false" ht="15.75" hidden="false" customHeight="false" outlineLevel="0" collapsed="false">
      <c r="A499" s="12"/>
      <c r="B499" s="34"/>
      <c r="C499" s="12"/>
      <c r="D499" s="12"/>
      <c r="E499" s="12"/>
      <c r="F499" s="12"/>
      <c r="G499" s="18"/>
      <c r="H499" s="35"/>
      <c r="I499" s="12"/>
      <c r="M499" s="12"/>
      <c r="N499" s="18"/>
      <c r="O499" s="12"/>
      <c r="P499" s="12"/>
      <c r="Q499" s="12"/>
      <c r="R499" s="36"/>
      <c r="S499" s="36"/>
      <c r="T499" s="12"/>
      <c r="U499" s="12"/>
      <c r="V499" s="12"/>
      <c r="W499" s="12"/>
      <c r="X499" s="12"/>
    </row>
    <row r="500" customFormat="false" ht="15.75" hidden="false" customHeight="false" outlineLevel="0" collapsed="false">
      <c r="A500" s="12"/>
      <c r="B500" s="34"/>
      <c r="C500" s="12"/>
      <c r="D500" s="12"/>
      <c r="E500" s="12"/>
      <c r="F500" s="12"/>
      <c r="G500" s="18"/>
      <c r="H500" s="35"/>
      <c r="I500" s="12"/>
      <c r="M500" s="12"/>
      <c r="N500" s="18"/>
      <c r="O500" s="12"/>
      <c r="P500" s="12"/>
      <c r="Q500" s="12"/>
      <c r="R500" s="36"/>
      <c r="S500" s="36"/>
      <c r="T500" s="12"/>
      <c r="U500" s="12"/>
      <c r="V500" s="12"/>
      <c r="W500" s="12"/>
      <c r="X500" s="12"/>
    </row>
    <row r="501" customFormat="false" ht="15.75" hidden="false" customHeight="false" outlineLevel="0" collapsed="false">
      <c r="A501" s="12"/>
      <c r="B501" s="34"/>
      <c r="C501" s="12"/>
      <c r="D501" s="12"/>
      <c r="E501" s="12"/>
      <c r="F501" s="12"/>
      <c r="G501" s="18"/>
      <c r="H501" s="35"/>
      <c r="I501" s="12"/>
      <c r="M501" s="12"/>
      <c r="N501" s="18"/>
      <c r="O501" s="12"/>
      <c r="P501" s="12"/>
      <c r="Q501" s="12"/>
      <c r="R501" s="36"/>
      <c r="S501" s="36"/>
      <c r="T501" s="12"/>
      <c r="U501" s="12"/>
      <c r="V501" s="12"/>
      <c r="W501" s="12"/>
      <c r="X501" s="12"/>
    </row>
    <row r="502" customFormat="false" ht="15.75" hidden="false" customHeight="false" outlineLevel="0" collapsed="false">
      <c r="A502" s="12"/>
      <c r="B502" s="34"/>
      <c r="C502" s="12"/>
      <c r="D502" s="12"/>
      <c r="E502" s="12"/>
      <c r="F502" s="12"/>
      <c r="G502" s="18"/>
      <c r="H502" s="35"/>
      <c r="I502" s="12"/>
      <c r="M502" s="12"/>
      <c r="N502" s="18"/>
      <c r="O502" s="12"/>
      <c r="P502" s="12"/>
      <c r="Q502" s="12"/>
      <c r="R502" s="36"/>
      <c r="S502" s="36"/>
      <c r="T502" s="12"/>
      <c r="U502" s="12"/>
      <c r="V502" s="12"/>
      <c r="W502" s="12"/>
      <c r="X502" s="12"/>
    </row>
    <row r="503" customFormat="false" ht="15.75" hidden="false" customHeight="false" outlineLevel="0" collapsed="false">
      <c r="A503" s="12"/>
      <c r="B503" s="34"/>
      <c r="C503" s="12"/>
      <c r="D503" s="12"/>
      <c r="E503" s="12"/>
      <c r="F503" s="12"/>
      <c r="G503" s="18"/>
      <c r="H503" s="35"/>
      <c r="I503" s="12"/>
      <c r="M503" s="12"/>
      <c r="N503" s="18"/>
      <c r="O503" s="12"/>
      <c r="P503" s="12"/>
      <c r="Q503" s="12"/>
      <c r="R503" s="36"/>
      <c r="S503" s="36"/>
      <c r="T503" s="12"/>
      <c r="U503" s="12"/>
      <c r="V503" s="12"/>
      <c r="W503" s="12"/>
      <c r="X503" s="12"/>
    </row>
    <row r="504" customFormat="false" ht="15.75" hidden="false" customHeight="false" outlineLevel="0" collapsed="false">
      <c r="A504" s="12"/>
      <c r="B504" s="34"/>
      <c r="C504" s="12"/>
      <c r="D504" s="12"/>
      <c r="E504" s="12"/>
      <c r="F504" s="12"/>
      <c r="G504" s="18"/>
      <c r="H504" s="35"/>
      <c r="I504" s="12"/>
      <c r="M504" s="12"/>
      <c r="N504" s="18"/>
      <c r="O504" s="12"/>
      <c r="P504" s="12"/>
      <c r="Q504" s="12"/>
      <c r="R504" s="36"/>
      <c r="S504" s="36"/>
      <c r="T504" s="12"/>
      <c r="U504" s="12"/>
      <c r="V504" s="12"/>
      <c r="W504" s="12"/>
      <c r="X504" s="12"/>
    </row>
    <row r="505" customFormat="false" ht="15.75" hidden="false" customHeight="false" outlineLevel="0" collapsed="false">
      <c r="A505" s="12"/>
      <c r="B505" s="34"/>
      <c r="C505" s="12"/>
      <c r="D505" s="12"/>
      <c r="E505" s="12"/>
      <c r="F505" s="12"/>
      <c r="G505" s="18"/>
      <c r="H505" s="35"/>
      <c r="I505" s="12"/>
      <c r="M505" s="12"/>
      <c r="N505" s="18"/>
      <c r="O505" s="12"/>
      <c r="P505" s="12"/>
      <c r="Q505" s="12"/>
      <c r="R505" s="36"/>
      <c r="S505" s="36"/>
      <c r="T505" s="12"/>
      <c r="U505" s="12"/>
      <c r="V505" s="12"/>
      <c r="W505" s="12"/>
      <c r="X505" s="12"/>
    </row>
    <row r="506" customFormat="false" ht="15.75" hidden="false" customHeight="false" outlineLevel="0" collapsed="false">
      <c r="A506" s="12"/>
      <c r="B506" s="34"/>
      <c r="C506" s="12"/>
      <c r="D506" s="12"/>
      <c r="E506" s="12"/>
      <c r="F506" s="12"/>
      <c r="G506" s="18"/>
      <c r="H506" s="35"/>
      <c r="I506" s="12"/>
      <c r="M506" s="12"/>
      <c r="N506" s="18"/>
      <c r="O506" s="12"/>
      <c r="P506" s="12"/>
      <c r="Q506" s="12"/>
      <c r="R506" s="36"/>
      <c r="S506" s="36"/>
      <c r="T506" s="12"/>
      <c r="U506" s="12"/>
      <c r="V506" s="12"/>
      <c r="W506" s="12"/>
      <c r="X506" s="12"/>
    </row>
    <row r="507" customFormat="false" ht="15.75" hidden="false" customHeight="false" outlineLevel="0" collapsed="false">
      <c r="A507" s="12"/>
      <c r="B507" s="34"/>
      <c r="C507" s="12"/>
      <c r="D507" s="12"/>
      <c r="E507" s="12"/>
      <c r="F507" s="12"/>
      <c r="G507" s="18"/>
      <c r="H507" s="35"/>
      <c r="I507" s="12"/>
      <c r="M507" s="12"/>
      <c r="N507" s="18"/>
      <c r="O507" s="12"/>
      <c r="P507" s="12"/>
      <c r="Q507" s="12"/>
      <c r="R507" s="36"/>
      <c r="S507" s="36"/>
      <c r="T507" s="12"/>
      <c r="U507" s="12"/>
      <c r="V507" s="12"/>
      <c r="W507" s="12"/>
      <c r="X507" s="12"/>
    </row>
    <row r="508" customFormat="false" ht="15.75" hidden="false" customHeight="false" outlineLevel="0" collapsed="false">
      <c r="A508" s="12"/>
      <c r="B508" s="34"/>
      <c r="C508" s="12"/>
      <c r="D508" s="12"/>
      <c r="E508" s="12"/>
      <c r="F508" s="12"/>
      <c r="G508" s="18"/>
      <c r="H508" s="35"/>
      <c r="I508" s="12"/>
      <c r="M508" s="12"/>
      <c r="N508" s="18"/>
      <c r="O508" s="12"/>
      <c r="P508" s="12"/>
      <c r="Q508" s="12"/>
      <c r="R508" s="36"/>
      <c r="S508" s="36"/>
      <c r="T508" s="12"/>
      <c r="U508" s="12"/>
      <c r="V508" s="12"/>
      <c r="W508" s="12"/>
      <c r="X508" s="12"/>
    </row>
    <row r="509" customFormat="false" ht="15.75" hidden="false" customHeight="false" outlineLevel="0" collapsed="false">
      <c r="A509" s="12"/>
      <c r="B509" s="34"/>
      <c r="C509" s="12"/>
      <c r="D509" s="12"/>
      <c r="E509" s="12"/>
      <c r="F509" s="12"/>
      <c r="G509" s="18"/>
      <c r="H509" s="35"/>
      <c r="I509" s="12"/>
      <c r="M509" s="12"/>
      <c r="N509" s="18"/>
      <c r="O509" s="12"/>
      <c r="P509" s="12"/>
      <c r="Q509" s="12"/>
      <c r="R509" s="36"/>
      <c r="S509" s="36"/>
      <c r="T509" s="12"/>
      <c r="U509" s="12"/>
      <c r="V509" s="12"/>
      <c r="W509" s="12"/>
      <c r="X509" s="12"/>
    </row>
    <row r="510" customFormat="false" ht="15.75" hidden="false" customHeight="false" outlineLevel="0" collapsed="false">
      <c r="A510" s="12"/>
      <c r="B510" s="34"/>
      <c r="C510" s="12"/>
      <c r="D510" s="12"/>
      <c r="E510" s="12"/>
      <c r="F510" s="12"/>
      <c r="G510" s="18"/>
      <c r="H510" s="35"/>
      <c r="I510" s="12"/>
      <c r="M510" s="12"/>
      <c r="N510" s="18"/>
      <c r="O510" s="12"/>
      <c r="P510" s="12"/>
      <c r="Q510" s="12"/>
      <c r="R510" s="36"/>
      <c r="S510" s="36"/>
      <c r="T510" s="12"/>
      <c r="U510" s="12"/>
      <c r="V510" s="12"/>
      <c r="W510" s="12"/>
      <c r="X510" s="12"/>
    </row>
    <row r="511" customFormat="false" ht="15.75" hidden="false" customHeight="false" outlineLevel="0" collapsed="false">
      <c r="A511" s="12"/>
      <c r="B511" s="34"/>
      <c r="C511" s="12"/>
      <c r="D511" s="12"/>
      <c r="E511" s="12"/>
      <c r="F511" s="12"/>
      <c r="G511" s="18"/>
      <c r="H511" s="35"/>
      <c r="I511" s="12"/>
      <c r="M511" s="12"/>
      <c r="N511" s="18"/>
      <c r="O511" s="12"/>
      <c r="P511" s="12"/>
      <c r="Q511" s="12"/>
      <c r="R511" s="36"/>
      <c r="S511" s="36"/>
      <c r="T511" s="12"/>
      <c r="U511" s="12"/>
      <c r="V511" s="12"/>
      <c r="W511" s="12"/>
      <c r="X511" s="12"/>
    </row>
    <row r="512" customFormat="false" ht="15.75" hidden="false" customHeight="false" outlineLevel="0" collapsed="false">
      <c r="A512" s="12"/>
      <c r="B512" s="34"/>
      <c r="C512" s="12"/>
      <c r="D512" s="12"/>
      <c r="E512" s="12"/>
      <c r="F512" s="12"/>
      <c r="G512" s="18"/>
      <c r="H512" s="35"/>
      <c r="I512" s="12"/>
      <c r="M512" s="12"/>
      <c r="N512" s="18"/>
      <c r="O512" s="12"/>
      <c r="P512" s="12"/>
      <c r="Q512" s="12"/>
      <c r="R512" s="36"/>
      <c r="S512" s="36"/>
      <c r="T512" s="12"/>
      <c r="U512" s="12"/>
      <c r="V512" s="12"/>
      <c r="W512" s="12"/>
      <c r="X512" s="12"/>
    </row>
    <row r="513" customFormat="false" ht="15.75" hidden="false" customHeight="false" outlineLevel="0" collapsed="false">
      <c r="A513" s="12"/>
      <c r="B513" s="34"/>
      <c r="C513" s="12"/>
      <c r="D513" s="12"/>
      <c r="E513" s="12"/>
      <c r="F513" s="12"/>
      <c r="G513" s="18"/>
      <c r="H513" s="35"/>
      <c r="I513" s="12"/>
      <c r="M513" s="12"/>
      <c r="N513" s="18"/>
      <c r="O513" s="12"/>
      <c r="P513" s="12"/>
      <c r="Q513" s="12"/>
      <c r="R513" s="36"/>
      <c r="S513" s="36"/>
      <c r="T513" s="12"/>
      <c r="U513" s="12"/>
      <c r="V513" s="12"/>
      <c r="W513" s="12"/>
      <c r="X513" s="12"/>
    </row>
    <row r="514" customFormat="false" ht="15.75" hidden="false" customHeight="false" outlineLevel="0" collapsed="false">
      <c r="A514" s="12"/>
      <c r="B514" s="34"/>
      <c r="C514" s="12"/>
      <c r="D514" s="12"/>
      <c r="E514" s="12"/>
      <c r="F514" s="12"/>
      <c r="G514" s="18"/>
      <c r="H514" s="35"/>
      <c r="I514" s="12"/>
      <c r="M514" s="12"/>
      <c r="N514" s="18"/>
      <c r="O514" s="12"/>
      <c r="P514" s="12"/>
      <c r="Q514" s="12"/>
      <c r="R514" s="36"/>
      <c r="S514" s="36"/>
      <c r="T514" s="12"/>
      <c r="U514" s="12"/>
      <c r="V514" s="12"/>
      <c r="W514" s="12"/>
      <c r="X514" s="12"/>
    </row>
    <row r="515" customFormat="false" ht="15.75" hidden="false" customHeight="false" outlineLevel="0" collapsed="false">
      <c r="A515" s="12"/>
      <c r="B515" s="34"/>
      <c r="C515" s="12"/>
      <c r="D515" s="12"/>
      <c r="E515" s="12"/>
      <c r="F515" s="12"/>
      <c r="G515" s="18"/>
      <c r="H515" s="35"/>
      <c r="I515" s="12"/>
      <c r="M515" s="12"/>
      <c r="N515" s="18"/>
      <c r="O515" s="12"/>
      <c r="P515" s="12"/>
      <c r="Q515" s="12"/>
      <c r="R515" s="36"/>
      <c r="S515" s="36"/>
      <c r="T515" s="12"/>
      <c r="U515" s="12"/>
      <c r="V515" s="12"/>
      <c r="W515" s="12"/>
      <c r="X515" s="12"/>
    </row>
    <row r="516" customFormat="false" ht="15.75" hidden="false" customHeight="false" outlineLevel="0" collapsed="false">
      <c r="A516" s="12"/>
      <c r="B516" s="34"/>
      <c r="C516" s="12"/>
      <c r="D516" s="12"/>
      <c r="E516" s="12"/>
      <c r="F516" s="12"/>
      <c r="G516" s="18"/>
      <c r="H516" s="35"/>
      <c r="I516" s="12"/>
      <c r="M516" s="12"/>
      <c r="N516" s="18"/>
      <c r="O516" s="12"/>
      <c r="P516" s="12"/>
      <c r="Q516" s="12"/>
      <c r="R516" s="36"/>
      <c r="S516" s="36"/>
      <c r="T516" s="12"/>
      <c r="U516" s="12"/>
      <c r="V516" s="12"/>
      <c r="W516" s="12"/>
      <c r="X516" s="12"/>
    </row>
    <row r="517" customFormat="false" ht="15.75" hidden="false" customHeight="false" outlineLevel="0" collapsed="false">
      <c r="A517" s="12"/>
      <c r="B517" s="34"/>
      <c r="C517" s="12"/>
      <c r="D517" s="12"/>
      <c r="E517" s="12"/>
      <c r="F517" s="12"/>
      <c r="G517" s="18"/>
      <c r="H517" s="35"/>
      <c r="I517" s="12"/>
      <c r="M517" s="12"/>
      <c r="N517" s="18"/>
      <c r="O517" s="12"/>
      <c r="P517" s="12"/>
      <c r="Q517" s="12"/>
      <c r="R517" s="36"/>
      <c r="S517" s="36"/>
      <c r="T517" s="12"/>
      <c r="U517" s="12"/>
      <c r="V517" s="12"/>
      <c r="W517" s="12"/>
      <c r="X517" s="12"/>
    </row>
    <row r="518" customFormat="false" ht="15.75" hidden="false" customHeight="false" outlineLevel="0" collapsed="false">
      <c r="A518" s="12"/>
      <c r="B518" s="34"/>
      <c r="C518" s="12"/>
      <c r="D518" s="12"/>
      <c r="E518" s="12"/>
      <c r="F518" s="12"/>
      <c r="G518" s="18"/>
      <c r="H518" s="35"/>
      <c r="I518" s="12"/>
      <c r="M518" s="12"/>
      <c r="N518" s="18"/>
      <c r="O518" s="12"/>
      <c r="P518" s="12"/>
      <c r="Q518" s="12"/>
      <c r="R518" s="36"/>
      <c r="S518" s="36"/>
      <c r="T518" s="12"/>
      <c r="U518" s="12"/>
      <c r="V518" s="12"/>
      <c r="W518" s="12"/>
      <c r="X518" s="12"/>
    </row>
    <row r="519" customFormat="false" ht="15.75" hidden="false" customHeight="false" outlineLevel="0" collapsed="false">
      <c r="A519" s="12"/>
      <c r="B519" s="34"/>
      <c r="C519" s="12"/>
      <c r="D519" s="12"/>
      <c r="E519" s="12"/>
      <c r="F519" s="12"/>
      <c r="G519" s="18"/>
      <c r="H519" s="35"/>
      <c r="I519" s="12"/>
      <c r="M519" s="12"/>
      <c r="N519" s="18"/>
      <c r="O519" s="12"/>
      <c r="P519" s="12"/>
      <c r="Q519" s="12"/>
      <c r="R519" s="36"/>
      <c r="S519" s="36"/>
      <c r="T519" s="12"/>
      <c r="U519" s="12"/>
      <c r="V519" s="12"/>
      <c r="W519" s="12"/>
      <c r="X519" s="12"/>
    </row>
    <row r="520" customFormat="false" ht="15.75" hidden="false" customHeight="false" outlineLevel="0" collapsed="false">
      <c r="A520" s="12"/>
      <c r="B520" s="34"/>
      <c r="C520" s="12"/>
      <c r="D520" s="12"/>
      <c r="E520" s="12"/>
      <c r="F520" s="12"/>
      <c r="G520" s="18"/>
      <c r="H520" s="35"/>
      <c r="I520" s="12"/>
      <c r="M520" s="12"/>
      <c r="N520" s="18"/>
      <c r="O520" s="12"/>
      <c r="P520" s="12"/>
      <c r="Q520" s="12"/>
      <c r="R520" s="36"/>
      <c r="S520" s="36"/>
      <c r="T520" s="12"/>
      <c r="U520" s="12"/>
      <c r="V520" s="12"/>
      <c r="W520" s="12"/>
      <c r="X520" s="12"/>
    </row>
    <row r="521" customFormat="false" ht="15.75" hidden="false" customHeight="false" outlineLevel="0" collapsed="false">
      <c r="A521" s="12"/>
      <c r="B521" s="34"/>
      <c r="C521" s="12"/>
      <c r="D521" s="12"/>
      <c r="E521" s="12"/>
      <c r="F521" s="12"/>
      <c r="G521" s="18"/>
      <c r="H521" s="35"/>
      <c r="I521" s="12"/>
      <c r="M521" s="12"/>
      <c r="N521" s="18"/>
      <c r="O521" s="12"/>
      <c r="P521" s="12"/>
      <c r="Q521" s="12"/>
      <c r="R521" s="36"/>
      <c r="S521" s="36"/>
      <c r="T521" s="12"/>
      <c r="U521" s="12"/>
      <c r="V521" s="12"/>
      <c r="W521" s="12"/>
      <c r="X521" s="12"/>
    </row>
    <row r="522" customFormat="false" ht="15.75" hidden="false" customHeight="false" outlineLevel="0" collapsed="false">
      <c r="A522" s="12"/>
      <c r="B522" s="34"/>
      <c r="C522" s="12"/>
      <c r="D522" s="12"/>
      <c r="E522" s="12"/>
      <c r="F522" s="12"/>
      <c r="G522" s="18"/>
      <c r="H522" s="35"/>
      <c r="I522" s="12"/>
      <c r="M522" s="12"/>
      <c r="N522" s="18"/>
      <c r="O522" s="12"/>
      <c r="P522" s="12"/>
      <c r="Q522" s="12"/>
      <c r="R522" s="36"/>
      <c r="S522" s="36"/>
      <c r="T522" s="12"/>
      <c r="U522" s="12"/>
      <c r="V522" s="12"/>
      <c r="W522" s="12"/>
      <c r="X522" s="12"/>
    </row>
    <row r="523" customFormat="false" ht="15.75" hidden="false" customHeight="false" outlineLevel="0" collapsed="false">
      <c r="A523" s="12"/>
      <c r="B523" s="34"/>
      <c r="C523" s="12"/>
      <c r="D523" s="12"/>
      <c r="E523" s="12"/>
      <c r="F523" s="12"/>
      <c r="G523" s="18"/>
      <c r="H523" s="35"/>
      <c r="I523" s="12"/>
      <c r="M523" s="12"/>
      <c r="N523" s="18"/>
      <c r="O523" s="12"/>
      <c r="P523" s="12"/>
      <c r="Q523" s="12"/>
      <c r="R523" s="36"/>
      <c r="S523" s="36"/>
      <c r="T523" s="12"/>
      <c r="U523" s="12"/>
      <c r="V523" s="12"/>
      <c r="W523" s="12"/>
      <c r="X523" s="12"/>
    </row>
    <row r="524" customFormat="false" ht="15.75" hidden="false" customHeight="false" outlineLevel="0" collapsed="false">
      <c r="A524" s="12"/>
      <c r="B524" s="34"/>
      <c r="C524" s="12"/>
      <c r="D524" s="12"/>
      <c r="E524" s="12"/>
      <c r="F524" s="12"/>
      <c r="G524" s="18"/>
      <c r="H524" s="35"/>
      <c r="I524" s="12"/>
      <c r="M524" s="12"/>
      <c r="N524" s="18"/>
      <c r="O524" s="12"/>
      <c r="P524" s="12"/>
      <c r="Q524" s="12"/>
      <c r="R524" s="36"/>
      <c r="S524" s="36"/>
      <c r="T524" s="12"/>
      <c r="U524" s="12"/>
      <c r="V524" s="12"/>
      <c r="W524" s="12"/>
      <c r="X524" s="12"/>
    </row>
    <row r="525" customFormat="false" ht="15.75" hidden="false" customHeight="false" outlineLevel="0" collapsed="false">
      <c r="A525" s="12"/>
      <c r="B525" s="34"/>
      <c r="C525" s="12"/>
      <c r="D525" s="12"/>
      <c r="E525" s="12"/>
      <c r="F525" s="12"/>
      <c r="G525" s="18"/>
      <c r="H525" s="35"/>
      <c r="I525" s="12"/>
      <c r="M525" s="12"/>
      <c r="N525" s="18"/>
      <c r="O525" s="12"/>
      <c r="P525" s="12"/>
      <c r="Q525" s="12"/>
      <c r="R525" s="36"/>
      <c r="S525" s="36"/>
      <c r="T525" s="12"/>
      <c r="U525" s="12"/>
      <c r="V525" s="12"/>
      <c r="W525" s="12"/>
      <c r="X525" s="12"/>
    </row>
    <row r="526" customFormat="false" ht="15.75" hidden="false" customHeight="false" outlineLevel="0" collapsed="false">
      <c r="A526" s="12"/>
      <c r="B526" s="34"/>
      <c r="C526" s="12"/>
      <c r="D526" s="12"/>
      <c r="E526" s="12"/>
      <c r="F526" s="12"/>
      <c r="G526" s="18"/>
      <c r="H526" s="35"/>
      <c r="I526" s="12"/>
      <c r="M526" s="12"/>
      <c r="N526" s="18"/>
      <c r="O526" s="12"/>
      <c r="P526" s="12"/>
      <c r="Q526" s="12"/>
      <c r="R526" s="36"/>
      <c r="S526" s="36"/>
      <c r="T526" s="12"/>
      <c r="U526" s="12"/>
      <c r="V526" s="12"/>
      <c r="W526" s="12"/>
      <c r="X526" s="12"/>
    </row>
    <row r="527" customFormat="false" ht="15.75" hidden="false" customHeight="false" outlineLevel="0" collapsed="false">
      <c r="A527" s="12"/>
      <c r="B527" s="34"/>
      <c r="C527" s="12"/>
      <c r="D527" s="12"/>
      <c r="E527" s="12"/>
      <c r="F527" s="12"/>
      <c r="G527" s="18"/>
      <c r="H527" s="35"/>
      <c r="I527" s="12"/>
      <c r="M527" s="12"/>
      <c r="N527" s="18"/>
      <c r="O527" s="12"/>
      <c r="P527" s="12"/>
      <c r="Q527" s="12"/>
      <c r="R527" s="36"/>
      <c r="S527" s="36"/>
      <c r="T527" s="12"/>
      <c r="U527" s="12"/>
      <c r="V527" s="12"/>
      <c r="W527" s="12"/>
      <c r="X527" s="12"/>
    </row>
    <row r="528" customFormat="false" ht="15.75" hidden="false" customHeight="false" outlineLevel="0" collapsed="false">
      <c r="A528" s="12"/>
      <c r="B528" s="34"/>
      <c r="C528" s="12"/>
      <c r="D528" s="12"/>
      <c r="E528" s="12"/>
      <c r="F528" s="12"/>
      <c r="G528" s="18"/>
      <c r="H528" s="35"/>
      <c r="I528" s="12"/>
      <c r="M528" s="12"/>
      <c r="N528" s="18"/>
      <c r="O528" s="12"/>
      <c r="P528" s="12"/>
      <c r="Q528" s="12"/>
      <c r="R528" s="36"/>
      <c r="S528" s="36"/>
      <c r="T528" s="12"/>
      <c r="U528" s="12"/>
      <c r="V528" s="12"/>
      <c r="W528" s="12"/>
      <c r="X528" s="12"/>
    </row>
    <row r="529" customFormat="false" ht="15.75" hidden="false" customHeight="false" outlineLevel="0" collapsed="false">
      <c r="A529" s="12"/>
      <c r="B529" s="34"/>
      <c r="C529" s="12"/>
      <c r="D529" s="12"/>
      <c r="E529" s="12"/>
      <c r="F529" s="12"/>
      <c r="G529" s="18"/>
      <c r="H529" s="35"/>
      <c r="I529" s="12"/>
      <c r="M529" s="12"/>
      <c r="N529" s="18"/>
      <c r="O529" s="12"/>
      <c r="P529" s="12"/>
      <c r="Q529" s="12"/>
      <c r="R529" s="36"/>
      <c r="S529" s="36"/>
      <c r="T529" s="12"/>
      <c r="U529" s="12"/>
      <c r="V529" s="12"/>
      <c r="W529" s="12"/>
      <c r="X529" s="12"/>
    </row>
    <row r="530" customFormat="false" ht="15.75" hidden="false" customHeight="false" outlineLevel="0" collapsed="false">
      <c r="A530" s="12"/>
      <c r="B530" s="34"/>
      <c r="C530" s="12"/>
      <c r="D530" s="12"/>
      <c r="E530" s="12"/>
      <c r="F530" s="12"/>
      <c r="G530" s="18"/>
      <c r="H530" s="35"/>
      <c r="I530" s="12"/>
      <c r="M530" s="12"/>
      <c r="N530" s="18"/>
      <c r="O530" s="12"/>
      <c r="P530" s="12"/>
      <c r="Q530" s="12"/>
      <c r="R530" s="36"/>
      <c r="S530" s="36"/>
      <c r="T530" s="12"/>
      <c r="U530" s="12"/>
      <c r="V530" s="12"/>
      <c r="W530" s="12"/>
      <c r="X530" s="12"/>
    </row>
    <row r="531" customFormat="false" ht="15.75" hidden="false" customHeight="false" outlineLevel="0" collapsed="false">
      <c r="A531" s="12"/>
      <c r="B531" s="34"/>
      <c r="C531" s="12"/>
      <c r="D531" s="12"/>
      <c r="E531" s="12"/>
      <c r="F531" s="12"/>
      <c r="G531" s="18"/>
      <c r="H531" s="35"/>
      <c r="I531" s="12"/>
      <c r="M531" s="12"/>
      <c r="N531" s="18"/>
      <c r="O531" s="12"/>
      <c r="P531" s="12"/>
      <c r="Q531" s="12"/>
      <c r="R531" s="36"/>
      <c r="S531" s="36"/>
      <c r="T531" s="12"/>
      <c r="U531" s="12"/>
      <c r="V531" s="12"/>
      <c r="W531" s="12"/>
      <c r="X531" s="12"/>
    </row>
    <row r="532" customFormat="false" ht="15.75" hidden="false" customHeight="false" outlineLevel="0" collapsed="false">
      <c r="A532" s="12"/>
      <c r="B532" s="34"/>
      <c r="C532" s="12"/>
      <c r="D532" s="12"/>
      <c r="E532" s="12"/>
      <c r="F532" s="12"/>
      <c r="G532" s="18"/>
      <c r="H532" s="35"/>
      <c r="I532" s="12"/>
      <c r="M532" s="12"/>
      <c r="N532" s="18"/>
      <c r="O532" s="12"/>
      <c r="P532" s="12"/>
      <c r="Q532" s="12"/>
      <c r="R532" s="36"/>
      <c r="S532" s="36"/>
      <c r="T532" s="12"/>
      <c r="U532" s="12"/>
      <c r="V532" s="12"/>
      <c r="W532" s="12"/>
      <c r="X532" s="12"/>
    </row>
    <row r="533" customFormat="false" ht="15.75" hidden="false" customHeight="false" outlineLevel="0" collapsed="false">
      <c r="A533" s="12"/>
      <c r="B533" s="34"/>
      <c r="C533" s="12"/>
      <c r="D533" s="12"/>
      <c r="E533" s="12"/>
      <c r="F533" s="12"/>
      <c r="G533" s="18"/>
      <c r="H533" s="35"/>
      <c r="I533" s="12"/>
      <c r="M533" s="12"/>
      <c r="N533" s="18"/>
      <c r="O533" s="12"/>
      <c r="P533" s="12"/>
      <c r="Q533" s="12"/>
      <c r="R533" s="36"/>
      <c r="S533" s="36"/>
      <c r="T533" s="12"/>
      <c r="U533" s="12"/>
      <c r="V533" s="12"/>
      <c r="W533" s="12"/>
      <c r="X533" s="12"/>
    </row>
    <row r="534" customFormat="false" ht="15.75" hidden="false" customHeight="false" outlineLevel="0" collapsed="false">
      <c r="A534" s="12"/>
      <c r="B534" s="34"/>
      <c r="C534" s="12"/>
      <c r="D534" s="12"/>
      <c r="E534" s="12"/>
      <c r="F534" s="12"/>
      <c r="G534" s="18"/>
      <c r="H534" s="35"/>
      <c r="I534" s="12"/>
      <c r="M534" s="12"/>
      <c r="N534" s="18"/>
      <c r="O534" s="12"/>
      <c r="P534" s="12"/>
      <c r="Q534" s="12"/>
      <c r="R534" s="36"/>
      <c r="S534" s="36"/>
      <c r="T534" s="12"/>
      <c r="U534" s="12"/>
      <c r="V534" s="12"/>
      <c r="W534" s="12"/>
      <c r="X534" s="12"/>
    </row>
    <row r="535" customFormat="false" ht="15.75" hidden="false" customHeight="false" outlineLevel="0" collapsed="false">
      <c r="A535" s="12"/>
      <c r="B535" s="34"/>
      <c r="C535" s="12"/>
      <c r="D535" s="12"/>
      <c r="E535" s="12"/>
      <c r="F535" s="12"/>
      <c r="G535" s="18"/>
      <c r="H535" s="35"/>
      <c r="I535" s="12"/>
      <c r="M535" s="12"/>
      <c r="N535" s="18"/>
      <c r="O535" s="12"/>
      <c r="P535" s="12"/>
      <c r="Q535" s="12"/>
      <c r="R535" s="36"/>
      <c r="S535" s="36"/>
      <c r="T535" s="12"/>
      <c r="U535" s="12"/>
      <c r="V535" s="12"/>
      <c r="W535" s="12"/>
      <c r="X535" s="12"/>
    </row>
    <row r="536" customFormat="false" ht="15.75" hidden="false" customHeight="false" outlineLevel="0" collapsed="false">
      <c r="A536" s="12"/>
      <c r="B536" s="34"/>
      <c r="C536" s="12"/>
      <c r="D536" s="12"/>
      <c r="E536" s="12"/>
      <c r="F536" s="12"/>
      <c r="G536" s="18"/>
      <c r="H536" s="35"/>
      <c r="I536" s="12"/>
      <c r="M536" s="12"/>
      <c r="N536" s="18"/>
      <c r="O536" s="12"/>
      <c r="P536" s="12"/>
      <c r="Q536" s="12"/>
      <c r="R536" s="36"/>
      <c r="S536" s="36"/>
      <c r="T536" s="12"/>
      <c r="U536" s="12"/>
      <c r="V536" s="12"/>
      <c r="W536" s="12"/>
      <c r="X536" s="12"/>
    </row>
    <row r="537" customFormat="false" ht="15.75" hidden="false" customHeight="false" outlineLevel="0" collapsed="false">
      <c r="A537" s="12"/>
      <c r="B537" s="34"/>
      <c r="C537" s="12"/>
      <c r="D537" s="12"/>
      <c r="E537" s="12"/>
      <c r="F537" s="12"/>
      <c r="G537" s="18"/>
      <c r="H537" s="35"/>
      <c r="I537" s="12"/>
      <c r="M537" s="12"/>
      <c r="N537" s="18"/>
      <c r="O537" s="12"/>
      <c r="P537" s="12"/>
      <c r="Q537" s="12"/>
      <c r="R537" s="36"/>
      <c r="S537" s="36"/>
      <c r="T537" s="12"/>
      <c r="U537" s="12"/>
      <c r="V537" s="12"/>
      <c r="W537" s="12"/>
      <c r="X537" s="12"/>
    </row>
    <row r="538" customFormat="false" ht="15.75" hidden="false" customHeight="false" outlineLevel="0" collapsed="false">
      <c r="A538" s="12"/>
      <c r="B538" s="34"/>
      <c r="C538" s="12"/>
      <c r="D538" s="12"/>
      <c r="E538" s="12"/>
      <c r="F538" s="12"/>
      <c r="G538" s="18"/>
      <c r="H538" s="35"/>
      <c r="I538" s="12"/>
      <c r="M538" s="12"/>
      <c r="N538" s="18"/>
      <c r="O538" s="12"/>
      <c r="P538" s="12"/>
      <c r="Q538" s="12"/>
      <c r="R538" s="36"/>
      <c r="S538" s="36"/>
      <c r="T538" s="12"/>
      <c r="U538" s="12"/>
      <c r="V538" s="12"/>
      <c r="W538" s="12"/>
      <c r="X538" s="12"/>
    </row>
    <row r="539" customFormat="false" ht="15.75" hidden="false" customHeight="false" outlineLevel="0" collapsed="false">
      <c r="A539" s="12"/>
      <c r="B539" s="34"/>
      <c r="C539" s="12"/>
      <c r="D539" s="12"/>
      <c r="E539" s="12"/>
      <c r="F539" s="12"/>
      <c r="G539" s="18"/>
      <c r="H539" s="35"/>
      <c r="I539" s="12"/>
      <c r="M539" s="12"/>
      <c r="N539" s="18"/>
      <c r="O539" s="12"/>
      <c r="P539" s="12"/>
      <c r="Q539" s="12"/>
      <c r="R539" s="36"/>
      <c r="S539" s="36"/>
      <c r="T539" s="12"/>
      <c r="U539" s="12"/>
      <c r="V539" s="12"/>
      <c r="W539" s="12"/>
      <c r="X539" s="12"/>
    </row>
    <row r="540" customFormat="false" ht="15.75" hidden="false" customHeight="false" outlineLevel="0" collapsed="false">
      <c r="A540" s="12"/>
      <c r="B540" s="34"/>
      <c r="C540" s="12"/>
      <c r="D540" s="12"/>
      <c r="E540" s="12"/>
      <c r="F540" s="12"/>
      <c r="G540" s="18"/>
      <c r="H540" s="35"/>
      <c r="I540" s="12"/>
      <c r="M540" s="12"/>
      <c r="N540" s="18"/>
      <c r="O540" s="12"/>
      <c r="P540" s="12"/>
      <c r="Q540" s="12"/>
      <c r="R540" s="36"/>
      <c r="S540" s="36"/>
      <c r="T540" s="12"/>
      <c r="U540" s="12"/>
      <c r="V540" s="12"/>
      <c r="W540" s="12"/>
      <c r="X540" s="12"/>
    </row>
    <row r="541" customFormat="false" ht="15.75" hidden="false" customHeight="false" outlineLevel="0" collapsed="false">
      <c r="A541" s="12"/>
      <c r="B541" s="34"/>
      <c r="C541" s="12"/>
      <c r="D541" s="12"/>
      <c r="E541" s="12"/>
      <c r="F541" s="12"/>
      <c r="G541" s="18"/>
      <c r="H541" s="35"/>
      <c r="I541" s="12"/>
      <c r="M541" s="12"/>
      <c r="N541" s="18"/>
      <c r="O541" s="12"/>
      <c r="P541" s="12"/>
      <c r="Q541" s="12"/>
      <c r="R541" s="36"/>
      <c r="S541" s="36"/>
      <c r="T541" s="12"/>
      <c r="U541" s="12"/>
      <c r="V541" s="12"/>
      <c r="W541" s="12"/>
      <c r="X541" s="12"/>
    </row>
    <row r="542" customFormat="false" ht="15.75" hidden="false" customHeight="false" outlineLevel="0" collapsed="false">
      <c r="A542" s="12"/>
      <c r="B542" s="34"/>
      <c r="C542" s="12"/>
      <c r="D542" s="12"/>
      <c r="E542" s="12"/>
      <c r="F542" s="12"/>
      <c r="G542" s="18"/>
      <c r="H542" s="35"/>
      <c r="I542" s="12"/>
      <c r="M542" s="12"/>
      <c r="N542" s="18"/>
      <c r="O542" s="12"/>
      <c r="P542" s="12"/>
      <c r="Q542" s="12"/>
      <c r="R542" s="36"/>
      <c r="S542" s="36"/>
      <c r="T542" s="12"/>
      <c r="U542" s="12"/>
      <c r="V542" s="12"/>
      <c r="W542" s="12"/>
      <c r="X542" s="12"/>
    </row>
    <row r="543" customFormat="false" ht="15.75" hidden="false" customHeight="false" outlineLevel="0" collapsed="false">
      <c r="A543" s="12"/>
      <c r="B543" s="34"/>
      <c r="C543" s="12"/>
      <c r="D543" s="12"/>
      <c r="E543" s="12"/>
      <c r="F543" s="12"/>
      <c r="G543" s="18"/>
      <c r="H543" s="35"/>
      <c r="I543" s="12"/>
      <c r="M543" s="12"/>
      <c r="N543" s="18"/>
      <c r="O543" s="12"/>
      <c r="P543" s="12"/>
      <c r="Q543" s="12"/>
      <c r="R543" s="36"/>
      <c r="S543" s="36"/>
      <c r="T543" s="12"/>
      <c r="U543" s="12"/>
      <c r="V543" s="12"/>
      <c r="W543" s="12"/>
      <c r="X543" s="12"/>
    </row>
    <row r="544" customFormat="false" ht="15.75" hidden="false" customHeight="false" outlineLevel="0" collapsed="false">
      <c r="A544" s="12"/>
      <c r="B544" s="34"/>
      <c r="C544" s="12"/>
      <c r="D544" s="12"/>
      <c r="E544" s="12"/>
      <c r="F544" s="12"/>
      <c r="G544" s="18"/>
      <c r="H544" s="35"/>
      <c r="I544" s="12"/>
      <c r="M544" s="12"/>
      <c r="N544" s="18"/>
      <c r="O544" s="12"/>
      <c r="P544" s="12"/>
      <c r="Q544" s="12"/>
      <c r="R544" s="36"/>
      <c r="S544" s="36"/>
      <c r="T544" s="12"/>
      <c r="U544" s="12"/>
      <c r="V544" s="12"/>
      <c r="W544" s="12"/>
      <c r="X544" s="12"/>
    </row>
    <row r="545" customFormat="false" ht="15.75" hidden="false" customHeight="false" outlineLevel="0" collapsed="false">
      <c r="A545" s="12"/>
      <c r="B545" s="34"/>
      <c r="C545" s="12"/>
      <c r="D545" s="12"/>
      <c r="E545" s="12"/>
      <c r="F545" s="12"/>
      <c r="G545" s="18"/>
      <c r="H545" s="35"/>
      <c r="I545" s="12"/>
      <c r="M545" s="12"/>
      <c r="N545" s="18"/>
      <c r="O545" s="12"/>
      <c r="P545" s="12"/>
      <c r="Q545" s="12"/>
      <c r="R545" s="36"/>
      <c r="S545" s="36"/>
      <c r="T545" s="12"/>
      <c r="U545" s="12"/>
      <c r="V545" s="12"/>
      <c r="W545" s="12"/>
      <c r="X545" s="12"/>
    </row>
    <row r="546" customFormat="false" ht="15.75" hidden="false" customHeight="false" outlineLevel="0" collapsed="false">
      <c r="A546" s="12"/>
      <c r="B546" s="34"/>
      <c r="C546" s="12"/>
      <c r="D546" s="12"/>
      <c r="E546" s="12"/>
      <c r="F546" s="12"/>
      <c r="G546" s="18"/>
      <c r="H546" s="35"/>
      <c r="I546" s="12"/>
      <c r="M546" s="12"/>
      <c r="N546" s="18"/>
      <c r="O546" s="12"/>
      <c r="P546" s="12"/>
      <c r="Q546" s="12"/>
      <c r="R546" s="36"/>
      <c r="S546" s="36"/>
      <c r="T546" s="12"/>
      <c r="U546" s="12"/>
      <c r="V546" s="12"/>
      <c r="W546" s="12"/>
      <c r="X546" s="12"/>
    </row>
    <row r="547" customFormat="false" ht="15.75" hidden="false" customHeight="false" outlineLevel="0" collapsed="false">
      <c r="A547" s="12"/>
      <c r="B547" s="34"/>
      <c r="C547" s="12"/>
      <c r="D547" s="12"/>
      <c r="E547" s="12"/>
      <c r="F547" s="12"/>
      <c r="G547" s="18"/>
      <c r="H547" s="35"/>
      <c r="I547" s="12"/>
      <c r="M547" s="12"/>
      <c r="N547" s="18"/>
      <c r="O547" s="12"/>
      <c r="P547" s="12"/>
      <c r="Q547" s="12"/>
      <c r="R547" s="36"/>
      <c r="S547" s="36"/>
      <c r="T547" s="12"/>
      <c r="U547" s="12"/>
      <c r="V547" s="12"/>
      <c r="W547" s="12"/>
      <c r="X547" s="12"/>
    </row>
    <row r="548" customFormat="false" ht="15.75" hidden="false" customHeight="false" outlineLevel="0" collapsed="false">
      <c r="A548" s="12"/>
      <c r="B548" s="34"/>
      <c r="C548" s="12"/>
      <c r="D548" s="12"/>
      <c r="E548" s="12"/>
      <c r="F548" s="12"/>
      <c r="G548" s="18"/>
      <c r="H548" s="35"/>
      <c r="I548" s="12"/>
      <c r="M548" s="12"/>
      <c r="N548" s="18"/>
      <c r="O548" s="12"/>
      <c r="P548" s="12"/>
      <c r="Q548" s="12"/>
      <c r="R548" s="36"/>
      <c r="S548" s="36"/>
      <c r="T548" s="12"/>
      <c r="U548" s="12"/>
      <c r="V548" s="12"/>
      <c r="W548" s="12"/>
      <c r="X548" s="12"/>
    </row>
    <row r="549" customFormat="false" ht="15.75" hidden="false" customHeight="false" outlineLevel="0" collapsed="false">
      <c r="A549" s="12"/>
      <c r="B549" s="34"/>
      <c r="C549" s="12"/>
      <c r="D549" s="12"/>
      <c r="E549" s="12"/>
      <c r="F549" s="12"/>
      <c r="G549" s="18"/>
      <c r="H549" s="35"/>
      <c r="I549" s="12"/>
      <c r="M549" s="12"/>
      <c r="N549" s="18"/>
      <c r="O549" s="12"/>
      <c r="P549" s="12"/>
      <c r="Q549" s="12"/>
      <c r="R549" s="36"/>
      <c r="S549" s="36"/>
      <c r="T549" s="12"/>
      <c r="U549" s="12"/>
      <c r="V549" s="12"/>
      <c r="W549" s="12"/>
      <c r="X549" s="12"/>
    </row>
    <row r="550" customFormat="false" ht="15.75" hidden="false" customHeight="false" outlineLevel="0" collapsed="false">
      <c r="A550" s="12"/>
      <c r="B550" s="34"/>
      <c r="C550" s="12"/>
      <c r="D550" s="12"/>
      <c r="E550" s="12"/>
      <c r="F550" s="12"/>
      <c r="G550" s="18"/>
      <c r="H550" s="35"/>
      <c r="I550" s="12"/>
      <c r="M550" s="12"/>
      <c r="N550" s="18"/>
      <c r="O550" s="12"/>
      <c r="P550" s="12"/>
      <c r="Q550" s="12"/>
      <c r="R550" s="36"/>
      <c r="S550" s="36"/>
      <c r="T550" s="12"/>
      <c r="U550" s="12"/>
      <c r="V550" s="12"/>
      <c r="W550" s="12"/>
      <c r="X550" s="12"/>
    </row>
    <row r="551" customFormat="false" ht="15.75" hidden="false" customHeight="false" outlineLevel="0" collapsed="false">
      <c r="A551" s="12"/>
      <c r="B551" s="34"/>
      <c r="C551" s="12"/>
      <c r="D551" s="12"/>
      <c r="E551" s="12"/>
      <c r="F551" s="12"/>
      <c r="G551" s="18"/>
      <c r="H551" s="35"/>
      <c r="I551" s="12"/>
      <c r="M551" s="12"/>
      <c r="N551" s="18"/>
      <c r="O551" s="12"/>
      <c r="P551" s="12"/>
      <c r="Q551" s="12"/>
      <c r="R551" s="36"/>
      <c r="S551" s="36"/>
      <c r="T551" s="12"/>
      <c r="U551" s="12"/>
      <c r="V551" s="12"/>
      <c r="W551" s="12"/>
      <c r="X551" s="12"/>
    </row>
    <row r="552" customFormat="false" ht="15.75" hidden="false" customHeight="false" outlineLevel="0" collapsed="false">
      <c r="A552" s="12"/>
      <c r="B552" s="34"/>
      <c r="C552" s="12"/>
      <c r="D552" s="12"/>
      <c r="E552" s="12"/>
      <c r="F552" s="12"/>
      <c r="G552" s="18"/>
      <c r="H552" s="35"/>
      <c r="I552" s="12"/>
      <c r="M552" s="12"/>
      <c r="N552" s="18"/>
      <c r="O552" s="12"/>
      <c r="P552" s="12"/>
      <c r="Q552" s="12"/>
      <c r="R552" s="36"/>
      <c r="S552" s="36"/>
      <c r="T552" s="12"/>
      <c r="U552" s="12"/>
      <c r="V552" s="12"/>
      <c r="W552" s="12"/>
      <c r="X552" s="12"/>
    </row>
    <row r="553" customFormat="false" ht="15.75" hidden="false" customHeight="false" outlineLevel="0" collapsed="false">
      <c r="A553" s="12"/>
      <c r="B553" s="34"/>
      <c r="C553" s="12"/>
      <c r="D553" s="12"/>
      <c r="E553" s="12"/>
      <c r="F553" s="12"/>
      <c r="G553" s="18"/>
      <c r="H553" s="35"/>
      <c r="I553" s="12"/>
      <c r="M553" s="12"/>
      <c r="N553" s="18"/>
      <c r="O553" s="12"/>
      <c r="P553" s="12"/>
      <c r="Q553" s="12"/>
      <c r="R553" s="36"/>
      <c r="S553" s="36"/>
      <c r="T553" s="12"/>
      <c r="U553" s="12"/>
      <c r="V553" s="12"/>
      <c r="W553" s="12"/>
      <c r="X553" s="12"/>
    </row>
    <row r="554" customFormat="false" ht="15.75" hidden="false" customHeight="false" outlineLevel="0" collapsed="false">
      <c r="A554" s="12"/>
      <c r="B554" s="34"/>
      <c r="C554" s="12"/>
      <c r="D554" s="12"/>
      <c r="E554" s="12"/>
      <c r="F554" s="12"/>
      <c r="G554" s="18"/>
      <c r="H554" s="35"/>
      <c r="I554" s="12"/>
      <c r="M554" s="12"/>
      <c r="N554" s="18"/>
      <c r="O554" s="12"/>
      <c r="P554" s="12"/>
      <c r="Q554" s="12"/>
      <c r="R554" s="36"/>
      <c r="S554" s="36"/>
      <c r="T554" s="12"/>
      <c r="U554" s="12"/>
      <c r="V554" s="12"/>
      <c r="W554" s="12"/>
      <c r="X554" s="12"/>
    </row>
    <row r="555" customFormat="false" ht="15.75" hidden="false" customHeight="false" outlineLevel="0" collapsed="false">
      <c r="A555" s="12"/>
      <c r="B555" s="34"/>
      <c r="C555" s="12"/>
      <c r="D555" s="12"/>
      <c r="E555" s="12"/>
      <c r="F555" s="12"/>
      <c r="G555" s="18"/>
      <c r="H555" s="35"/>
      <c r="I555" s="12"/>
      <c r="M555" s="12"/>
      <c r="N555" s="18"/>
      <c r="O555" s="12"/>
      <c r="P555" s="12"/>
      <c r="Q555" s="12"/>
      <c r="R555" s="36"/>
      <c r="S555" s="36"/>
      <c r="T555" s="12"/>
      <c r="U555" s="12"/>
      <c r="V555" s="12"/>
      <c r="W555" s="12"/>
      <c r="X555" s="12"/>
    </row>
    <row r="556" customFormat="false" ht="15.75" hidden="false" customHeight="false" outlineLevel="0" collapsed="false">
      <c r="A556" s="12"/>
      <c r="B556" s="34"/>
      <c r="C556" s="12"/>
      <c r="D556" s="12"/>
      <c r="E556" s="12"/>
      <c r="F556" s="12"/>
      <c r="G556" s="18"/>
      <c r="H556" s="35"/>
      <c r="I556" s="12"/>
      <c r="M556" s="12"/>
      <c r="N556" s="18"/>
      <c r="O556" s="12"/>
      <c r="P556" s="12"/>
      <c r="Q556" s="12"/>
      <c r="R556" s="36"/>
      <c r="S556" s="36"/>
      <c r="T556" s="12"/>
      <c r="U556" s="12"/>
      <c r="V556" s="12"/>
      <c r="W556" s="12"/>
      <c r="X556" s="12"/>
    </row>
    <row r="557" customFormat="false" ht="15.75" hidden="false" customHeight="false" outlineLevel="0" collapsed="false">
      <c r="A557" s="12"/>
      <c r="B557" s="34"/>
      <c r="C557" s="12"/>
      <c r="D557" s="12"/>
      <c r="E557" s="12"/>
      <c r="F557" s="12"/>
      <c r="G557" s="18"/>
      <c r="H557" s="35"/>
      <c r="I557" s="12"/>
      <c r="M557" s="12"/>
      <c r="N557" s="18"/>
      <c r="O557" s="12"/>
      <c r="P557" s="12"/>
      <c r="Q557" s="12"/>
      <c r="R557" s="36"/>
      <c r="S557" s="36"/>
      <c r="T557" s="12"/>
      <c r="U557" s="12"/>
      <c r="V557" s="12"/>
      <c r="W557" s="12"/>
      <c r="X557" s="12"/>
    </row>
    <row r="558" customFormat="false" ht="15.75" hidden="false" customHeight="false" outlineLevel="0" collapsed="false">
      <c r="A558" s="12"/>
      <c r="B558" s="34"/>
      <c r="C558" s="12"/>
      <c r="D558" s="12"/>
      <c r="E558" s="12"/>
      <c r="F558" s="12"/>
      <c r="G558" s="18"/>
      <c r="H558" s="35"/>
      <c r="I558" s="12"/>
      <c r="M558" s="12"/>
      <c r="N558" s="18"/>
      <c r="O558" s="12"/>
      <c r="P558" s="12"/>
      <c r="Q558" s="12"/>
      <c r="R558" s="36"/>
      <c r="S558" s="36"/>
      <c r="T558" s="12"/>
      <c r="U558" s="12"/>
      <c r="V558" s="12"/>
      <c r="W558" s="12"/>
      <c r="X558" s="12"/>
    </row>
    <row r="559" customFormat="false" ht="15.75" hidden="false" customHeight="false" outlineLevel="0" collapsed="false">
      <c r="A559" s="12"/>
      <c r="B559" s="34"/>
      <c r="C559" s="12"/>
      <c r="D559" s="12"/>
      <c r="E559" s="12"/>
      <c r="F559" s="12"/>
      <c r="G559" s="18"/>
      <c r="H559" s="35"/>
      <c r="I559" s="12"/>
      <c r="M559" s="12"/>
      <c r="N559" s="18"/>
      <c r="O559" s="12"/>
      <c r="P559" s="12"/>
      <c r="Q559" s="12"/>
      <c r="R559" s="36"/>
      <c r="S559" s="36"/>
      <c r="T559" s="12"/>
      <c r="U559" s="12"/>
      <c r="V559" s="12"/>
      <c r="W559" s="12"/>
      <c r="X559" s="12"/>
    </row>
    <row r="560" customFormat="false" ht="15.75" hidden="false" customHeight="false" outlineLevel="0" collapsed="false">
      <c r="A560" s="12"/>
      <c r="B560" s="34"/>
      <c r="C560" s="12"/>
      <c r="D560" s="12"/>
      <c r="E560" s="12"/>
      <c r="F560" s="12"/>
      <c r="G560" s="18"/>
      <c r="H560" s="35"/>
      <c r="I560" s="12"/>
      <c r="M560" s="12"/>
      <c r="N560" s="18"/>
      <c r="O560" s="12"/>
      <c r="P560" s="12"/>
      <c r="Q560" s="12"/>
      <c r="R560" s="36"/>
      <c r="S560" s="36"/>
      <c r="T560" s="12"/>
      <c r="U560" s="12"/>
      <c r="V560" s="12"/>
      <c r="W560" s="12"/>
      <c r="X560" s="12"/>
    </row>
    <row r="561" customFormat="false" ht="15.75" hidden="false" customHeight="false" outlineLevel="0" collapsed="false">
      <c r="A561" s="12"/>
      <c r="B561" s="34"/>
      <c r="C561" s="12"/>
      <c r="D561" s="12"/>
      <c r="E561" s="12"/>
      <c r="F561" s="12"/>
      <c r="G561" s="18"/>
      <c r="H561" s="35"/>
      <c r="I561" s="12"/>
      <c r="M561" s="12"/>
      <c r="N561" s="18"/>
      <c r="O561" s="12"/>
      <c r="P561" s="12"/>
      <c r="Q561" s="12"/>
      <c r="R561" s="36"/>
      <c r="S561" s="36"/>
      <c r="T561" s="12"/>
      <c r="U561" s="12"/>
      <c r="V561" s="12"/>
      <c r="W561" s="12"/>
      <c r="X561" s="12"/>
    </row>
    <row r="562" customFormat="false" ht="15.75" hidden="false" customHeight="false" outlineLevel="0" collapsed="false">
      <c r="A562" s="12"/>
      <c r="B562" s="34"/>
      <c r="C562" s="12"/>
      <c r="D562" s="12"/>
      <c r="E562" s="12"/>
      <c r="F562" s="12"/>
      <c r="G562" s="18"/>
      <c r="H562" s="35"/>
      <c r="I562" s="12"/>
      <c r="M562" s="12"/>
      <c r="N562" s="18"/>
      <c r="O562" s="12"/>
      <c r="P562" s="12"/>
      <c r="Q562" s="12"/>
      <c r="R562" s="36"/>
      <c r="S562" s="36"/>
      <c r="T562" s="12"/>
      <c r="U562" s="12"/>
      <c r="V562" s="12"/>
      <c r="W562" s="12"/>
      <c r="X562" s="12"/>
    </row>
    <row r="563" customFormat="false" ht="15.75" hidden="false" customHeight="false" outlineLevel="0" collapsed="false">
      <c r="A563" s="12"/>
      <c r="B563" s="34"/>
      <c r="C563" s="12"/>
      <c r="D563" s="12"/>
      <c r="E563" s="12"/>
      <c r="F563" s="12"/>
      <c r="G563" s="18"/>
      <c r="H563" s="35"/>
      <c r="I563" s="12"/>
      <c r="M563" s="12"/>
      <c r="N563" s="18"/>
      <c r="O563" s="12"/>
      <c r="P563" s="12"/>
      <c r="Q563" s="12"/>
      <c r="R563" s="36"/>
      <c r="S563" s="36"/>
      <c r="T563" s="12"/>
      <c r="U563" s="12"/>
      <c r="V563" s="12"/>
      <c r="W563" s="12"/>
      <c r="X563" s="12"/>
    </row>
    <row r="564" customFormat="false" ht="15.75" hidden="false" customHeight="false" outlineLevel="0" collapsed="false">
      <c r="A564" s="12"/>
      <c r="B564" s="34"/>
      <c r="C564" s="12"/>
      <c r="D564" s="12"/>
      <c r="E564" s="12"/>
      <c r="F564" s="12"/>
      <c r="G564" s="18"/>
      <c r="H564" s="35"/>
      <c r="I564" s="12"/>
      <c r="M564" s="12"/>
      <c r="N564" s="18"/>
      <c r="O564" s="12"/>
      <c r="P564" s="12"/>
      <c r="Q564" s="12"/>
      <c r="R564" s="36"/>
      <c r="S564" s="36"/>
      <c r="T564" s="12"/>
      <c r="U564" s="12"/>
      <c r="V564" s="12"/>
      <c r="W564" s="12"/>
      <c r="X564" s="12"/>
    </row>
    <row r="565" customFormat="false" ht="15.75" hidden="false" customHeight="false" outlineLevel="0" collapsed="false">
      <c r="A565" s="12"/>
      <c r="B565" s="34"/>
      <c r="C565" s="12"/>
      <c r="D565" s="12"/>
      <c r="E565" s="12"/>
      <c r="F565" s="12"/>
      <c r="G565" s="18"/>
      <c r="H565" s="35"/>
      <c r="I565" s="12"/>
      <c r="M565" s="12"/>
      <c r="N565" s="18"/>
      <c r="O565" s="12"/>
      <c r="P565" s="12"/>
      <c r="Q565" s="12"/>
      <c r="R565" s="36"/>
      <c r="S565" s="36"/>
      <c r="T565" s="12"/>
      <c r="U565" s="12"/>
      <c r="V565" s="12"/>
      <c r="W565" s="12"/>
      <c r="X565" s="12"/>
    </row>
    <row r="566" customFormat="false" ht="15.75" hidden="false" customHeight="false" outlineLevel="0" collapsed="false">
      <c r="A566" s="12"/>
      <c r="B566" s="34"/>
      <c r="C566" s="12"/>
      <c r="D566" s="12"/>
      <c r="E566" s="12"/>
      <c r="F566" s="12"/>
      <c r="G566" s="18"/>
      <c r="H566" s="35"/>
      <c r="I566" s="12"/>
      <c r="M566" s="12"/>
      <c r="N566" s="18"/>
      <c r="O566" s="12"/>
      <c r="P566" s="12"/>
      <c r="Q566" s="12"/>
      <c r="R566" s="36"/>
      <c r="S566" s="36"/>
      <c r="T566" s="12"/>
      <c r="U566" s="12"/>
      <c r="V566" s="12"/>
      <c r="W566" s="12"/>
      <c r="X566" s="12"/>
    </row>
    <row r="567" customFormat="false" ht="15.75" hidden="false" customHeight="false" outlineLevel="0" collapsed="false">
      <c r="A567" s="12"/>
      <c r="B567" s="34"/>
      <c r="C567" s="12"/>
      <c r="D567" s="12"/>
      <c r="E567" s="12"/>
      <c r="F567" s="12"/>
      <c r="G567" s="18"/>
      <c r="H567" s="35"/>
      <c r="I567" s="12"/>
      <c r="M567" s="12"/>
      <c r="N567" s="18"/>
      <c r="O567" s="12"/>
      <c r="P567" s="12"/>
      <c r="Q567" s="12"/>
      <c r="R567" s="36"/>
      <c r="S567" s="36"/>
      <c r="T567" s="12"/>
      <c r="U567" s="12"/>
      <c r="V567" s="12"/>
      <c r="W567" s="12"/>
      <c r="X567" s="12"/>
    </row>
    <row r="568" customFormat="false" ht="15.75" hidden="false" customHeight="false" outlineLevel="0" collapsed="false">
      <c r="A568" s="12"/>
      <c r="B568" s="34"/>
      <c r="C568" s="12"/>
      <c r="D568" s="12"/>
      <c r="E568" s="12"/>
      <c r="F568" s="12"/>
      <c r="G568" s="18"/>
      <c r="H568" s="35"/>
      <c r="I568" s="12"/>
      <c r="M568" s="12"/>
      <c r="N568" s="18"/>
      <c r="O568" s="12"/>
      <c r="P568" s="12"/>
      <c r="Q568" s="12"/>
      <c r="R568" s="36"/>
      <c r="S568" s="36"/>
      <c r="T568" s="12"/>
      <c r="U568" s="12"/>
      <c r="V568" s="12"/>
      <c r="W568" s="12"/>
      <c r="X568" s="12"/>
    </row>
    <row r="569" customFormat="false" ht="15.75" hidden="false" customHeight="false" outlineLevel="0" collapsed="false">
      <c r="A569" s="12"/>
      <c r="B569" s="34"/>
      <c r="C569" s="12"/>
      <c r="D569" s="12"/>
      <c r="E569" s="12"/>
      <c r="F569" s="12"/>
      <c r="G569" s="18"/>
      <c r="H569" s="35"/>
      <c r="I569" s="12"/>
      <c r="M569" s="12"/>
      <c r="N569" s="18"/>
      <c r="O569" s="12"/>
      <c r="P569" s="12"/>
      <c r="Q569" s="12"/>
      <c r="R569" s="36"/>
      <c r="S569" s="36"/>
      <c r="T569" s="12"/>
      <c r="U569" s="12"/>
      <c r="V569" s="12"/>
      <c r="W569" s="12"/>
      <c r="X569" s="12"/>
    </row>
    <row r="570" customFormat="false" ht="15.75" hidden="false" customHeight="false" outlineLevel="0" collapsed="false">
      <c r="A570" s="12"/>
      <c r="B570" s="34"/>
      <c r="C570" s="12"/>
      <c r="D570" s="12"/>
      <c r="E570" s="12"/>
      <c r="F570" s="12"/>
      <c r="G570" s="18"/>
      <c r="H570" s="35"/>
      <c r="I570" s="12"/>
      <c r="M570" s="12"/>
      <c r="N570" s="18"/>
      <c r="O570" s="12"/>
      <c r="P570" s="12"/>
      <c r="Q570" s="12"/>
      <c r="R570" s="36"/>
      <c r="S570" s="36"/>
      <c r="T570" s="12"/>
      <c r="U570" s="12"/>
      <c r="V570" s="12"/>
      <c r="W570" s="12"/>
      <c r="X570" s="12"/>
    </row>
    <row r="571" customFormat="false" ht="15.75" hidden="false" customHeight="false" outlineLevel="0" collapsed="false">
      <c r="A571" s="12"/>
      <c r="B571" s="34"/>
      <c r="C571" s="12"/>
      <c r="D571" s="12"/>
      <c r="E571" s="12"/>
      <c r="F571" s="12"/>
      <c r="G571" s="18"/>
      <c r="H571" s="35"/>
      <c r="I571" s="12"/>
      <c r="M571" s="12"/>
      <c r="N571" s="18"/>
      <c r="O571" s="12"/>
      <c r="P571" s="12"/>
      <c r="Q571" s="12"/>
      <c r="R571" s="36"/>
      <c r="S571" s="36"/>
      <c r="T571" s="12"/>
      <c r="U571" s="12"/>
      <c r="V571" s="12"/>
      <c r="W571" s="12"/>
      <c r="X571" s="12"/>
    </row>
    <row r="572" customFormat="false" ht="15.75" hidden="false" customHeight="false" outlineLevel="0" collapsed="false">
      <c r="A572" s="12"/>
      <c r="B572" s="34"/>
      <c r="C572" s="12"/>
      <c r="D572" s="12"/>
      <c r="E572" s="12"/>
      <c r="F572" s="12"/>
      <c r="G572" s="18"/>
      <c r="H572" s="35"/>
      <c r="I572" s="12"/>
      <c r="M572" s="12"/>
      <c r="N572" s="18"/>
      <c r="O572" s="12"/>
      <c r="P572" s="12"/>
      <c r="Q572" s="12"/>
      <c r="R572" s="36"/>
      <c r="S572" s="36"/>
      <c r="T572" s="12"/>
      <c r="U572" s="12"/>
      <c r="V572" s="12"/>
      <c r="W572" s="12"/>
      <c r="X572" s="12"/>
    </row>
    <row r="573" customFormat="false" ht="15.75" hidden="false" customHeight="false" outlineLevel="0" collapsed="false">
      <c r="A573" s="12"/>
      <c r="B573" s="34"/>
      <c r="C573" s="12"/>
      <c r="D573" s="12"/>
      <c r="E573" s="12"/>
      <c r="F573" s="12"/>
      <c r="G573" s="18"/>
      <c r="H573" s="35"/>
      <c r="I573" s="12"/>
      <c r="M573" s="12"/>
      <c r="N573" s="18"/>
      <c r="O573" s="12"/>
      <c r="P573" s="12"/>
      <c r="Q573" s="12"/>
      <c r="R573" s="36"/>
      <c r="S573" s="36"/>
      <c r="T573" s="12"/>
      <c r="U573" s="12"/>
      <c r="V573" s="12"/>
      <c r="W573" s="12"/>
      <c r="X573" s="12"/>
    </row>
    <row r="574" customFormat="false" ht="15.75" hidden="false" customHeight="false" outlineLevel="0" collapsed="false">
      <c r="A574" s="12"/>
      <c r="B574" s="34"/>
      <c r="C574" s="12"/>
      <c r="D574" s="12"/>
      <c r="E574" s="12"/>
      <c r="F574" s="12"/>
      <c r="G574" s="18"/>
      <c r="H574" s="35"/>
      <c r="I574" s="12"/>
      <c r="M574" s="12"/>
      <c r="N574" s="18"/>
      <c r="O574" s="12"/>
      <c r="P574" s="12"/>
      <c r="Q574" s="12"/>
      <c r="R574" s="36"/>
      <c r="S574" s="36"/>
      <c r="T574" s="12"/>
      <c r="U574" s="12"/>
      <c r="V574" s="12"/>
      <c r="W574" s="12"/>
      <c r="X574" s="12"/>
    </row>
    <row r="575" customFormat="false" ht="15.75" hidden="false" customHeight="false" outlineLevel="0" collapsed="false">
      <c r="A575" s="12"/>
      <c r="B575" s="34"/>
      <c r="C575" s="12"/>
      <c r="D575" s="12"/>
      <c r="E575" s="12"/>
      <c r="F575" s="12"/>
      <c r="G575" s="18"/>
      <c r="H575" s="35"/>
      <c r="I575" s="12"/>
      <c r="M575" s="12"/>
      <c r="N575" s="18"/>
      <c r="O575" s="12"/>
      <c r="P575" s="12"/>
      <c r="Q575" s="12"/>
      <c r="R575" s="36"/>
      <c r="S575" s="36"/>
      <c r="T575" s="12"/>
      <c r="U575" s="12"/>
      <c r="V575" s="12"/>
      <c r="W575" s="12"/>
      <c r="X575" s="12"/>
    </row>
    <row r="576" customFormat="false" ht="15.75" hidden="false" customHeight="false" outlineLevel="0" collapsed="false">
      <c r="A576" s="12"/>
      <c r="B576" s="34"/>
      <c r="C576" s="12"/>
      <c r="D576" s="12"/>
      <c r="E576" s="12"/>
      <c r="F576" s="12"/>
      <c r="G576" s="18"/>
      <c r="H576" s="35"/>
      <c r="I576" s="12"/>
      <c r="M576" s="12"/>
      <c r="N576" s="18"/>
      <c r="O576" s="12"/>
      <c r="P576" s="12"/>
      <c r="Q576" s="12"/>
      <c r="R576" s="36"/>
      <c r="S576" s="36"/>
      <c r="T576" s="12"/>
      <c r="U576" s="12"/>
      <c r="V576" s="12"/>
      <c r="W576" s="12"/>
      <c r="X576" s="12"/>
    </row>
    <row r="577" customFormat="false" ht="15.75" hidden="false" customHeight="false" outlineLevel="0" collapsed="false">
      <c r="A577" s="12"/>
      <c r="B577" s="34"/>
      <c r="C577" s="12"/>
      <c r="D577" s="12"/>
      <c r="E577" s="12"/>
      <c r="F577" s="12"/>
      <c r="G577" s="18"/>
      <c r="H577" s="35"/>
      <c r="I577" s="12"/>
      <c r="M577" s="12"/>
      <c r="N577" s="18"/>
      <c r="O577" s="12"/>
      <c r="P577" s="12"/>
      <c r="Q577" s="12"/>
      <c r="R577" s="36"/>
      <c r="S577" s="36"/>
      <c r="T577" s="12"/>
      <c r="U577" s="12"/>
      <c r="V577" s="12"/>
      <c r="W577" s="12"/>
      <c r="X577" s="12"/>
    </row>
    <row r="578" customFormat="false" ht="15.75" hidden="false" customHeight="false" outlineLevel="0" collapsed="false">
      <c r="A578" s="12"/>
      <c r="B578" s="34"/>
      <c r="C578" s="12"/>
      <c r="D578" s="12"/>
      <c r="E578" s="12"/>
      <c r="F578" s="12"/>
      <c r="G578" s="18"/>
      <c r="H578" s="35"/>
      <c r="I578" s="12"/>
      <c r="M578" s="12"/>
      <c r="N578" s="18"/>
      <c r="O578" s="12"/>
      <c r="P578" s="12"/>
      <c r="Q578" s="12"/>
      <c r="R578" s="36"/>
      <c r="S578" s="36"/>
      <c r="T578" s="12"/>
      <c r="U578" s="12"/>
      <c r="V578" s="12"/>
      <c r="W578" s="12"/>
      <c r="X578" s="12"/>
    </row>
    <row r="579" customFormat="false" ht="15.75" hidden="false" customHeight="false" outlineLevel="0" collapsed="false">
      <c r="A579" s="12"/>
      <c r="B579" s="34"/>
      <c r="C579" s="12"/>
      <c r="D579" s="12"/>
      <c r="E579" s="12"/>
      <c r="F579" s="12"/>
      <c r="G579" s="18"/>
      <c r="H579" s="35"/>
      <c r="I579" s="12"/>
      <c r="M579" s="12"/>
      <c r="N579" s="18"/>
      <c r="O579" s="12"/>
      <c r="P579" s="12"/>
      <c r="Q579" s="12"/>
      <c r="R579" s="36"/>
      <c r="S579" s="36"/>
      <c r="T579" s="12"/>
      <c r="U579" s="12"/>
      <c r="V579" s="12"/>
      <c r="W579" s="12"/>
      <c r="X579" s="12"/>
    </row>
    <row r="580" customFormat="false" ht="15.75" hidden="false" customHeight="false" outlineLevel="0" collapsed="false">
      <c r="A580" s="12"/>
      <c r="B580" s="34"/>
      <c r="C580" s="12"/>
      <c r="D580" s="12"/>
      <c r="E580" s="12"/>
      <c r="F580" s="12"/>
      <c r="G580" s="18"/>
      <c r="H580" s="35"/>
      <c r="I580" s="12"/>
      <c r="M580" s="12"/>
      <c r="N580" s="18"/>
      <c r="O580" s="12"/>
      <c r="P580" s="12"/>
      <c r="Q580" s="12"/>
      <c r="R580" s="36"/>
      <c r="S580" s="36"/>
      <c r="T580" s="12"/>
      <c r="U580" s="12"/>
      <c r="V580" s="12"/>
      <c r="W580" s="12"/>
      <c r="X580" s="12"/>
    </row>
    <row r="581" customFormat="false" ht="15.75" hidden="false" customHeight="false" outlineLevel="0" collapsed="false">
      <c r="A581" s="12"/>
      <c r="B581" s="34"/>
      <c r="C581" s="12"/>
      <c r="D581" s="12"/>
      <c r="E581" s="12"/>
      <c r="F581" s="12"/>
      <c r="G581" s="18"/>
      <c r="H581" s="35"/>
      <c r="I581" s="12"/>
      <c r="M581" s="12"/>
      <c r="N581" s="18"/>
      <c r="O581" s="12"/>
      <c r="P581" s="12"/>
      <c r="Q581" s="12"/>
      <c r="R581" s="36"/>
      <c r="S581" s="36"/>
      <c r="T581" s="12"/>
      <c r="U581" s="12"/>
      <c r="V581" s="12"/>
      <c r="W581" s="12"/>
      <c r="X581" s="12"/>
    </row>
    <row r="582" customFormat="false" ht="15.75" hidden="false" customHeight="false" outlineLevel="0" collapsed="false">
      <c r="A582" s="12"/>
      <c r="B582" s="34"/>
      <c r="C582" s="12"/>
      <c r="D582" s="12"/>
      <c r="E582" s="12"/>
      <c r="F582" s="12"/>
      <c r="G582" s="18"/>
      <c r="H582" s="35"/>
      <c r="I582" s="12"/>
      <c r="M582" s="12"/>
      <c r="N582" s="18"/>
      <c r="O582" s="12"/>
      <c r="P582" s="12"/>
      <c r="Q582" s="12"/>
      <c r="R582" s="36"/>
      <c r="S582" s="36"/>
      <c r="T582" s="12"/>
      <c r="U582" s="12"/>
      <c r="V582" s="12"/>
      <c r="W582" s="12"/>
      <c r="X582" s="12"/>
    </row>
    <row r="583" customFormat="false" ht="15.75" hidden="false" customHeight="false" outlineLevel="0" collapsed="false">
      <c r="A583" s="12"/>
      <c r="B583" s="34"/>
      <c r="C583" s="12"/>
      <c r="D583" s="12"/>
      <c r="E583" s="12"/>
      <c r="F583" s="12"/>
      <c r="G583" s="18"/>
      <c r="H583" s="35"/>
      <c r="I583" s="12"/>
      <c r="M583" s="12"/>
      <c r="N583" s="18"/>
      <c r="O583" s="12"/>
      <c r="P583" s="12"/>
      <c r="Q583" s="12"/>
      <c r="R583" s="36"/>
      <c r="S583" s="36"/>
      <c r="T583" s="12"/>
      <c r="U583" s="12"/>
      <c r="V583" s="12"/>
      <c r="W583" s="12"/>
      <c r="X583" s="12"/>
    </row>
    <row r="584" customFormat="false" ht="15.75" hidden="false" customHeight="false" outlineLevel="0" collapsed="false">
      <c r="A584" s="12"/>
      <c r="B584" s="34"/>
      <c r="C584" s="12"/>
      <c r="D584" s="12"/>
      <c r="E584" s="12"/>
      <c r="F584" s="12"/>
      <c r="G584" s="18"/>
      <c r="H584" s="35"/>
      <c r="I584" s="12"/>
      <c r="M584" s="12"/>
      <c r="N584" s="18"/>
      <c r="O584" s="12"/>
      <c r="P584" s="12"/>
      <c r="Q584" s="12"/>
      <c r="R584" s="36"/>
      <c r="S584" s="36"/>
      <c r="T584" s="12"/>
      <c r="U584" s="12"/>
      <c r="V584" s="12"/>
      <c r="W584" s="12"/>
      <c r="X584" s="12"/>
    </row>
    <row r="585" customFormat="false" ht="15.75" hidden="false" customHeight="false" outlineLevel="0" collapsed="false">
      <c r="A585" s="12"/>
      <c r="B585" s="34"/>
      <c r="C585" s="12"/>
      <c r="D585" s="12"/>
      <c r="E585" s="12"/>
      <c r="F585" s="12"/>
      <c r="G585" s="18"/>
      <c r="H585" s="35"/>
      <c r="I585" s="12"/>
      <c r="M585" s="12"/>
      <c r="N585" s="18"/>
      <c r="O585" s="12"/>
      <c r="P585" s="12"/>
      <c r="Q585" s="12"/>
      <c r="R585" s="36"/>
      <c r="S585" s="36"/>
      <c r="T585" s="12"/>
      <c r="U585" s="12"/>
      <c r="V585" s="12"/>
      <c r="W585" s="12"/>
      <c r="X585" s="12"/>
    </row>
    <row r="586" customFormat="false" ht="15.75" hidden="false" customHeight="false" outlineLevel="0" collapsed="false">
      <c r="A586" s="12"/>
      <c r="B586" s="34"/>
      <c r="C586" s="12"/>
      <c r="D586" s="12"/>
      <c r="E586" s="12"/>
      <c r="F586" s="12"/>
      <c r="G586" s="18"/>
      <c r="H586" s="35"/>
      <c r="I586" s="12"/>
      <c r="M586" s="12"/>
      <c r="N586" s="18"/>
      <c r="O586" s="12"/>
      <c r="P586" s="12"/>
      <c r="Q586" s="12"/>
      <c r="R586" s="36"/>
      <c r="S586" s="36"/>
      <c r="T586" s="12"/>
      <c r="U586" s="12"/>
      <c r="V586" s="12"/>
      <c r="W586" s="12"/>
      <c r="X586" s="12"/>
    </row>
    <row r="587" customFormat="false" ht="15.75" hidden="false" customHeight="false" outlineLevel="0" collapsed="false">
      <c r="A587" s="12"/>
      <c r="B587" s="34"/>
      <c r="C587" s="12"/>
      <c r="D587" s="12"/>
      <c r="E587" s="12"/>
      <c r="F587" s="12"/>
      <c r="G587" s="18"/>
      <c r="H587" s="35"/>
      <c r="I587" s="12"/>
      <c r="M587" s="12"/>
      <c r="N587" s="18"/>
      <c r="O587" s="12"/>
      <c r="P587" s="12"/>
      <c r="Q587" s="12"/>
      <c r="R587" s="36"/>
      <c r="S587" s="36"/>
      <c r="T587" s="12"/>
      <c r="U587" s="12"/>
      <c r="V587" s="12"/>
      <c r="W587" s="12"/>
      <c r="X587" s="12"/>
    </row>
    <row r="588" customFormat="false" ht="15.75" hidden="false" customHeight="false" outlineLevel="0" collapsed="false">
      <c r="A588" s="12"/>
      <c r="B588" s="34"/>
      <c r="C588" s="12"/>
      <c r="D588" s="12"/>
      <c r="E588" s="12"/>
      <c r="F588" s="12"/>
      <c r="G588" s="18"/>
      <c r="H588" s="35"/>
      <c r="I588" s="12"/>
      <c r="M588" s="12"/>
      <c r="N588" s="18"/>
      <c r="O588" s="12"/>
      <c r="P588" s="12"/>
      <c r="Q588" s="12"/>
      <c r="R588" s="36"/>
      <c r="S588" s="36"/>
      <c r="T588" s="12"/>
      <c r="U588" s="12"/>
      <c r="V588" s="12"/>
      <c r="W588" s="12"/>
      <c r="X588" s="12"/>
    </row>
    <row r="589" customFormat="false" ht="15.75" hidden="false" customHeight="false" outlineLevel="0" collapsed="false">
      <c r="A589" s="12"/>
      <c r="B589" s="34"/>
      <c r="C589" s="12"/>
      <c r="D589" s="12"/>
      <c r="E589" s="12"/>
      <c r="F589" s="12"/>
      <c r="G589" s="18"/>
      <c r="H589" s="35"/>
      <c r="I589" s="12"/>
      <c r="M589" s="12"/>
      <c r="N589" s="18"/>
      <c r="O589" s="12"/>
      <c r="P589" s="12"/>
      <c r="Q589" s="12"/>
      <c r="R589" s="36"/>
      <c r="S589" s="36"/>
      <c r="T589" s="12"/>
      <c r="U589" s="12"/>
      <c r="V589" s="12"/>
      <c r="W589" s="12"/>
      <c r="X589" s="12"/>
    </row>
    <row r="590" customFormat="false" ht="15.75" hidden="false" customHeight="false" outlineLevel="0" collapsed="false">
      <c r="A590" s="12"/>
      <c r="B590" s="34"/>
      <c r="C590" s="12"/>
      <c r="D590" s="12"/>
      <c r="E590" s="12"/>
      <c r="F590" s="12"/>
      <c r="G590" s="18"/>
      <c r="H590" s="35"/>
      <c r="I590" s="12"/>
      <c r="M590" s="12"/>
      <c r="N590" s="18"/>
      <c r="O590" s="12"/>
      <c r="P590" s="12"/>
      <c r="Q590" s="12"/>
      <c r="R590" s="36"/>
      <c r="S590" s="36"/>
      <c r="T590" s="12"/>
      <c r="U590" s="12"/>
      <c r="V590" s="12"/>
      <c r="W590" s="12"/>
      <c r="X590" s="12"/>
    </row>
    <row r="591" customFormat="false" ht="15.75" hidden="false" customHeight="false" outlineLevel="0" collapsed="false">
      <c r="A591" s="12"/>
      <c r="B591" s="34"/>
      <c r="C591" s="12"/>
      <c r="D591" s="12"/>
      <c r="E591" s="12"/>
      <c r="F591" s="12"/>
      <c r="G591" s="18"/>
      <c r="H591" s="35"/>
      <c r="I591" s="12"/>
      <c r="M591" s="12"/>
      <c r="N591" s="18"/>
      <c r="O591" s="12"/>
      <c r="P591" s="12"/>
      <c r="Q591" s="12"/>
      <c r="R591" s="36"/>
      <c r="S591" s="36"/>
      <c r="T591" s="12"/>
      <c r="U591" s="12"/>
      <c r="V591" s="12"/>
      <c r="W591" s="12"/>
      <c r="X591" s="12"/>
    </row>
    <row r="592" customFormat="false" ht="15.75" hidden="false" customHeight="false" outlineLevel="0" collapsed="false">
      <c r="A592" s="12"/>
      <c r="B592" s="34"/>
      <c r="C592" s="12"/>
      <c r="D592" s="12"/>
      <c r="E592" s="12"/>
      <c r="F592" s="12"/>
      <c r="G592" s="18"/>
      <c r="H592" s="35"/>
      <c r="I592" s="12"/>
      <c r="M592" s="12"/>
      <c r="N592" s="18"/>
      <c r="O592" s="12"/>
      <c r="P592" s="12"/>
      <c r="Q592" s="12"/>
      <c r="R592" s="36"/>
      <c r="S592" s="36"/>
      <c r="T592" s="12"/>
      <c r="U592" s="12"/>
      <c r="V592" s="12"/>
      <c r="W592" s="12"/>
      <c r="X592" s="12"/>
    </row>
    <row r="593" customFormat="false" ht="15.75" hidden="false" customHeight="false" outlineLevel="0" collapsed="false">
      <c r="A593" s="12"/>
      <c r="B593" s="34"/>
      <c r="C593" s="12"/>
      <c r="D593" s="12"/>
      <c r="E593" s="12"/>
      <c r="F593" s="12"/>
      <c r="G593" s="18"/>
      <c r="H593" s="35"/>
      <c r="I593" s="12"/>
      <c r="M593" s="12"/>
      <c r="N593" s="18"/>
      <c r="O593" s="12"/>
      <c r="P593" s="12"/>
      <c r="Q593" s="12"/>
      <c r="R593" s="36"/>
      <c r="S593" s="36"/>
      <c r="T593" s="12"/>
      <c r="U593" s="12"/>
      <c r="V593" s="12"/>
      <c r="W593" s="12"/>
      <c r="X593" s="12"/>
    </row>
    <row r="594" customFormat="false" ht="15.75" hidden="false" customHeight="false" outlineLevel="0" collapsed="false">
      <c r="A594" s="12"/>
      <c r="B594" s="34"/>
      <c r="C594" s="12"/>
      <c r="D594" s="12"/>
      <c r="E594" s="12"/>
      <c r="F594" s="12"/>
      <c r="G594" s="18"/>
      <c r="H594" s="35"/>
      <c r="I594" s="12"/>
      <c r="M594" s="12"/>
      <c r="N594" s="18"/>
      <c r="O594" s="12"/>
      <c r="P594" s="12"/>
      <c r="Q594" s="12"/>
      <c r="R594" s="36"/>
      <c r="S594" s="36"/>
      <c r="T594" s="12"/>
      <c r="U594" s="12"/>
      <c r="V594" s="12"/>
      <c r="W594" s="12"/>
      <c r="X594" s="12"/>
    </row>
    <row r="595" customFormat="false" ht="15.75" hidden="false" customHeight="false" outlineLevel="0" collapsed="false">
      <c r="A595" s="12"/>
      <c r="B595" s="34"/>
      <c r="C595" s="12"/>
      <c r="D595" s="12"/>
      <c r="E595" s="12"/>
      <c r="F595" s="12"/>
      <c r="G595" s="18"/>
      <c r="H595" s="35"/>
      <c r="I595" s="12"/>
      <c r="M595" s="12"/>
      <c r="N595" s="18"/>
      <c r="O595" s="12"/>
      <c r="P595" s="12"/>
      <c r="Q595" s="12"/>
      <c r="R595" s="36"/>
      <c r="S595" s="36"/>
      <c r="T595" s="12"/>
      <c r="U595" s="12"/>
      <c r="V595" s="12"/>
      <c r="W595" s="12"/>
      <c r="X595" s="12"/>
    </row>
    <row r="596" customFormat="false" ht="15.75" hidden="false" customHeight="false" outlineLevel="0" collapsed="false">
      <c r="A596" s="12"/>
      <c r="B596" s="34"/>
      <c r="C596" s="12"/>
      <c r="D596" s="12"/>
      <c r="E596" s="12"/>
      <c r="F596" s="12"/>
      <c r="G596" s="18"/>
      <c r="H596" s="35"/>
      <c r="I596" s="12"/>
      <c r="M596" s="12"/>
      <c r="N596" s="18"/>
      <c r="O596" s="12"/>
      <c r="P596" s="12"/>
      <c r="Q596" s="12"/>
      <c r="R596" s="36"/>
      <c r="S596" s="36"/>
      <c r="T596" s="12"/>
      <c r="U596" s="12"/>
      <c r="V596" s="12"/>
      <c r="W596" s="12"/>
      <c r="X596" s="12"/>
    </row>
    <row r="597" customFormat="false" ht="15.75" hidden="false" customHeight="false" outlineLevel="0" collapsed="false">
      <c r="A597" s="12"/>
      <c r="B597" s="34"/>
      <c r="C597" s="12"/>
      <c r="D597" s="12"/>
      <c r="E597" s="12"/>
      <c r="F597" s="12"/>
      <c r="G597" s="18"/>
      <c r="H597" s="35"/>
      <c r="I597" s="12"/>
      <c r="M597" s="12"/>
      <c r="N597" s="18"/>
      <c r="O597" s="12"/>
      <c r="P597" s="12"/>
      <c r="Q597" s="12"/>
      <c r="R597" s="36"/>
      <c r="S597" s="36"/>
      <c r="T597" s="12"/>
      <c r="U597" s="12"/>
      <c r="V597" s="12"/>
      <c r="W597" s="12"/>
      <c r="X597" s="12"/>
    </row>
    <row r="598" customFormat="false" ht="15.75" hidden="false" customHeight="false" outlineLevel="0" collapsed="false">
      <c r="A598" s="12"/>
      <c r="B598" s="34"/>
      <c r="C598" s="12"/>
      <c r="D598" s="12"/>
      <c r="E598" s="12"/>
      <c r="F598" s="12"/>
      <c r="G598" s="18"/>
      <c r="H598" s="35"/>
      <c r="I598" s="12"/>
      <c r="M598" s="12"/>
      <c r="N598" s="18"/>
      <c r="O598" s="12"/>
      <c r="P598" s="12"/>
      <c r="Q598" s="12"/>
      <c r="R598" s="36"/>
      <c r="S598" s="36"/>
      <c r="T598" s="12"/>
      <c r="U598" s="12"/>
      <c r="V598" s="12"/>
      <c r="W598" s="12"/>
      <c r="X598" s="12"/>
    </row>
    <row r="599" customFormat="false" ht="15.75" hidden="false" customHeight="false" outlineLevel="0" collapsed="false">
      <c r="A599" s="12"/>
      <c r="B599" s="34"/>
      <c r="C599" s="12"/>
      <c r="D599" s="12"/>
      <c r="E599" s="12"/>
      <c r="F599" s="12"/>
      <c r="G599" s="18"/>
      <c r="H599" s="35"/>
      <c r="I599" s="12"/>
      <c r="M599" s="12"/>
      <c r="N599" s="18"/>
      <c r="O599" s="12"/>
      <c r="P599" s="12"/>
      <c r="Q599" s="12"/>
      <c r="R599" s="36"/>
      <c r="S599" s="36"/>
      <c r="T599" s="12"/>
      <c r="U599" s="12"/>
      <c r="V599" s="12"/>
      <c r="W599" s="12"/>
      <c r="X599" s="12"/>
    </row>
    <row r="600" customFormat="false" ht="15.75" hidden="false" customHeight="false" outlineLevel="0" collapsed="false">
      <c r="A600" s="12"/>
      <c r="B600" s="34"/>
      <c r="C600" s="12"/>
      <c r="D600" s="12"/>
      <c r="E600" s="12"/>
      <c r="F600" s="12"/>
      <c r="G600" s="18"/>
      <c r="H600" s="35"/>
      <c r="I600" s="12"/>
      <c r="M600" s="12"/>
      <c r="N600" s="18"/>
      <c r="O600" s="12"/>
      <c r="P600" s="12"/>
      <c r="Q600" s="12"/>
      <c r="R600" s="36"/>
      <c r="S600" s="36"/>
      <c r="T600" s="12"/>
      <c r="U600" s="12"/>
      <c r="V600" s="12"/>
      <c r="W600" s="12"/>
      <c r="X600" s="12"/>
    </row>
    <row r="601" customFormat="false" ht="15.75" hidden="false" customHeight="false" outlineLevel="0" collapsed="false">
      <c r="A601" s="12"/>
      <c r="B601" s="34"/>
      <c r="C601" s="12"/>
      <c r="D601" s="12"/>
      <c r="E601" s="12"/>
      <c r="F601" s="12"/>
      <c r="G601" s="18"/>
      <c r="H601" s="35"/>
      <c r="I601" s="12"/>
      <c r="M601" s="12"/>
      <c r="N601" s="18"/>
      <c r="O601" s="12"/>
      <c r="P601" s="12"/>
      <c r="Q601" s="12"/>
      <c r="R601" s="36"/>
      <c r="S601" s="36"/>
      <c r="T601" s="12"/>
      <c r="U601" s="12"/>
      <c r="V601" s="12"/>
      <c r="W601" s="12"/>
      <c r="X601" s="12"/>
    </row>
    <row r="602" customFormat="false" ht="15.75" hidden="false" customHeight="false" outlineLevel="0" collapsed="false">
      <c r="A602" s="12"/>
      <c r="B602" s="34"/>
      <c r="C602" s="12"/>
      <c r="D602" s="12"/>
      <c r="E602" s="12"/>
      <c r="F602" s="12"/>
      <c r="G602" s="18"/>
      <c r="H602" s="35"/>
      <c r="I602" s="12"/>
      <c r="M602" s="12"/>
      <c r="N602" s="18"/>
      <c r="O602" s="12"/>
      <c r="P602" s="12"/>
      <c r="Q602" s="12"/>
      <c r="R602" s="36"/>
      <c r="S602" s="36"/>
      <c r="T602" s="12"/>
      <c r="U602" s="12"/>
      <c r="V602" s="12"/>
      <c r="W602" s="12"/>
      <c r="X602" s="12"/>
    </row>
    <row r="603" customFormat="false" ht="15.75" hidden="false" customHeight="false" outlineLevel="0" collapsed="false">
      <c r="A603" s="12"/>
      <c r="B603" s="34"/>
      <c r="C603" s="12"/>
      <c r="D603" s="12"/>
      <c r="E603" s="12"/>
      <c r="F603" s="12"/>
      <c r="G603" s="18"/>
      <c r="H603" s="35"/>
      <c r="I603" s="12"/>
      <c r="M603" s="12"/>
      <c r="N603" s="18"/>
      <c r="O603" s="12"/>
      <c r="P603" s="12"/>
      <c r="Q603" s="12"/>
      <c r="R603" s="36"/>
      <c r="S603" s="36"/>
      <c r="T603" s="12"/>
      <c r="U603" s="12"/>
      <c r="V603" s="12"/>
      <c r="W603" s="12"/>
      <c r="X603" s="12"/>
    </row>
    <row r="604" customFormat="false" ht="15.75" hidden="false" customHeight="false" outlineLevel="0" collapsed="false">
      <c r="A604" s="12"/>
      <c r="B604" s="34"/>
      <c r="C604" s="12"/>
      <c r="D604" s="12"/>
      <c r="E604" s="12"/>
      <c r="F604" s="12"/>
      <c r="G604" s="18"/>
      <c r="H604" s="35"/>
      <c r="I604" s="12"/>
      <c r="M604" s="12"/>
      <c r="N604" s="18"/>
      <c r="O604" s="12"/>
      <c r="P604" s="12"/>
      <c r="Q604" s="12"/>
      <c r="R604" s="36"/>
      <c r="S604" s="36"/>
      <c r="T604" s="12"/>
      <c r="U604" s="12"/>
      <c r="V604" s="12"/>
      <c r="W604" s="12"/>
      <c r="X604" s="12"/>
    </row>
    <row r="605" customFormat="false" ht="15.75" hidden="false" customHeight="false" outlineLevel="0" collapsed="false">
      <c r="A605" s="12"/>
      <c r="B605" s="34"/>
      <c r="C605" s="12"/>
      <c r="D605" s="12"/>
      <c r="E605" s="12"/>
      <c r="F605" s="12"/>
      <c r="G605" s="18"/>
      <c r="H605" s="35"/>
      <c r="I605" s="12"/>
      <c r="M605" s="12"/>
      <c r="N605" s="18"/>
      <c r="O605" s="12"/>
      <c r="P605" s="12"/>
      <c r="Q605" s="12"/>
      <c r="R605" s="36"/>
      <c r="S605" s="36"/>
      <c r="T605" s="12"/>
      <c r="U605" s="12"/>
      <c r="V605" s="12"/>
      <c r="W605" s="12"/>
      <c r="X605" s="12"/>
    </row>
    <row r="606" customFormat="false" ht="15.75" hidden="false" customHeight="false" outlineLevel="0" collapsed="false">
      <c r="A606" s="12"/>
      <c r="B606" s="34"/>
      <c r="C606" s="12"/>
      <c r="D606" s="12"/>
      <c r="E606" s="12"/>
      <c r="F606" s="12"/>
      <c r="G606" s="18"/>
      <c r="H606" s="35"/>
      <c r="I606" s="12"/>
      <c r="M606" s="12"/>
      <c r="N606" s="18"/>
      <c r="O606" s="12"/>
      <c r="P606" s="12"/>
      <c r="Q606" s="12"/>
      <c r="R606" s="36"/>
      <c r="S606" s="36"/>
      <c r="T606" s="12"/>
      <c r="U606" s="12"/>
      <c r="V606" s="12"/>
      <c r="W606" s="12"/>
      <c r="X606" s="12"/>
    </row>
    <row r="607" customFormat="false" ht="15.75" hidden="false" customHeight="false" outlineLevel="0" collapsed="false">
      <c r="A607" s="12"/>
      <c r="B607" s="34"/>
      <c r="C607" s="12"/>
      <c r="D607" s="12"/>
      <c r="E607" s="12"/>
      <c r="F607" s="12"/>
      <c r="G607" s="18"/>
      <c r="H607" s="35"/>
      <c r="I607" s="12"/>
      <c r="M607" s="12"/>
      <c r="N607" s="18"/>
      <c r="O607" s="12"/>
      <c r="P607" s="12"/>
      <c r="Q607" s="12"/>
      <c r="R607" s="36"/>
      <c r="S607" s="36"/>
      <c r="T607" s="12"/>
      <c r="U607" s="12"/>
      <c r="V607" s="12"/>
      <c r="W607" s="12"/>
      <c r="X607" s="12"/>
    </row>
    <row r="608" customFormat="false" ht="15.75" hidden="false" customHeight="false" outlineLevel="0" collapsed="false">
      <c r="A608" s="12"/>
      <c r="B608" s="34"/>
      <c r="C608" s="12"/>
      <c r="D608" s="12"/>
      <c r="E608" s="12"/>
      <c r="F608" s="12"/>
      <c r="G608" s="18"/>
      <c r="H608" s="35"/>
      <c r="I608" s="12"/>
      <c r="M608" s="12"/>
      <c r="N608" s="18"/>
      <c r="O608" s="12"/>
      <c r="P608" s="12"/>
      <c r="Q608" s="12"/>
      <c r="R608" s="36"/>
      <c r="S608" s="36"/>
      <c r="T608" s="12"/>
      <c r="U608" s="12"/>
      <c r="V608" s="12"/>
      <c r="W608" s="12"/>
      <c r="X608" s="12"/>
    </row>
    <row r="609" customFormat="false" ht="15.75" hidden="false" customHeight="false" outlineLevel="0" collapsed="false">
      <c r="A609" s="12"/>
      <c r="B609" s="34"/>
      <c r="C609" s="12"/>
      <c r="D609" s="12"/>
      <c r="E609" s="12"/>
      <c r="F609" s="12"/>
      <c r="G609" s="18"/>
      <c r="H609" s="35"/>
      <c r="I609" s="12"/>
      <c r="M609" s="12"/>
      <c r="N609" s="18"/>
      <c r="O609" s="12"/>
      <c r="P609" s="12"/>
      <c r="Q609" s="12"/>
      <c r="R609" s="36"/>
      <c r="S609" s="36"/>
      <c r="T609" s="12"/>
      <c r="U609" s="12"/>
      <c r="V609" s="12"/>
      <c r="W609" s="12"/>
      <c r="X609" s="12"/>
    </row>
    <row r="610" customFormat="false" ht="15.75" hidden="false" customHeight="false" outlineLevel="0" collapsed="false">
      <c r="A610" s="12"/>
      <c r="B610" s="34"/>
      <c r="C610" s="12"/>
      <c r="D610" s="12"/>
      <c r="E610" s="12"/>
      <c r="F610" s="12"/>
      <c r="G610" s="18"/>
      <c r="H610" s="35"/>
      <c r="I610" s="12"/>
      <c r="M610" s="12"/>
      <c r="N610" s="18"/>
      <c r="O610" s="12"/>
      <c r="P610" s="12"/>
      <c r="Q610" s="12"/>
      <c r="R610" s="36"/>
      <c r="S610" s="36"/>
      <c r="T610" s="12"/>
      <c r="U610" s="12"/>
      <c r="V610" s="12"/>
      <c r="W610" s="12"/>
      <c r="X610" s="12"/>
    </row>
    <row r="611" customFormat="false" ht="15.75" hidden="false" customHeight="false" outlineLevel="0" collapsed="false">
      <c r="A611" s="12"/>
      <c r="B611" s="34"/>
      <c r="C611" s="12"/>
      <c r="D611" s="12"/>
      <c r="E611" s="12"/>
      <c r="F611" s="12"/>
      <c r="G611" s="18"/>
      <c r="H611" s="35"/>
      <c r="I611" s="12"/>
      <c r="M611" s="12"/>
      <c r="N611" s="18"/>
      <c r="O611" s="12"/>
      <c r="P611" s="12"/>
      <c r="Q611" s="12"/>
      <c r="R611" s="36"/>
      <c r="S611" s="36"/>
      <c r="T611" s="12"/>
      <c r="U611" s="12"/>
      <c r="V611" s="12"/>
      <c r="W611" s="12"/>
      <c r="X611" s="12"/>
    </row>
    <row r="612" customFormat="false" ht="15.75" hidden="false" customHeight="false" outlineLevel="0" collapsed="false">
      <c r="A612" s="12"/>
      <c r="B612" s="34"/>
      <c r="C612" s="12"/>
      <c r="D612" s="12"/>
      <c r="E612" s="12"/>
      <c r="F612" s="12"/>
      <c r="G612" s="18"/>
      <c r="H612" s="35"/>
      <c r="I612" s="12"/>
      <c r="M612" s="12"/>
      <c r="N612" s="18"/>
      <c r="O612" s="12"/>
      <c r="P612" s="12"/>
      <c r="Q612" s="12"/>
      <c r="R612" s="36"/>
      <c r="S612" s="36"/>
      <c r="T612" s="12"/>
      <c r="U612" s="12"/>
      <c r="V612" s="12"/>
      <c r="W612" s="12"/>
      <c r="X612" s="12"/>
    </row>
    <row r="613" customFormat="false" ht="15.75" hidden="false" customHeight="false" outlineLevel="0" collapsed="false">
      <c r="A613" s="12"/>
      <c r="B613" s="34"/>
      <c r="C613" s="12"/>
      <c r="D613" s="12"/>
      <c r="E613" s="12"/>
      <c r="F613" s="12"/>
      <c r="G613" s="18"/>
      <c r="H613" s="35"/>
      <c r="I613" s="12"/>
      <c r="M613" s="12"/>
      <c r="N613" s="18"/>
      <c r="O613" s="12"/>
      <c r="P613" s="12"/>
      <c r="Q613" s="12"/>
      <c r="R613" s="36"/>
      <c r="S613" s="36"/>
      <c r="T613" s="12"/>
      <c r="U613" s="12"/>
      <c r="V613" s="12"/>
      <c r="W613" s="12"/>
      <c r="X613" s="12"/>
    </row>
    <row r="614" customFormat="false" ht="15.75" hidden="false" customHeight="false" outlineLevel="0" collapsed="false">
      <c r="A614" s="12"/>
      <c r="B614" s="34"/>
      <c r="C614" s="12"/>
      <c r="D614" s="12"/>
      <c r="E614" s="12"/>
      <c r="F614" s="12"/>
      <c r="G614" s="18"/>
      <c r="H614" s="35"/>
      <c r="I614" s="12"/>
      <c r="M614" s="12"/>
      <c r="N614" s="18"/>
      <c r="O614" s="12"/>
      <c r="P614" s="12"/>
      <c r="Q614" s="12"/>
      <c r="R614" s="36"/>
      <c r="S614" s="36"/>
      <c r="T614" s="12"/>
      <c r="U614" s="12"/>
      <c r="V614" s="12"/>
      <c r="W614" s="12"/>
      <c r="X614" s="12"/>
    </row>
    <row r="615" customFormat="false" ht="15.75" hidden="false" customHeight="false" outlineLevel="0" collapsed="false">
      <c r="A615" s="12"/>
      <c r="B615" s="34"/>
      <c r="C615" s="12"/>
      <c r="D615" s="12"/>
      <c r="E615" s="12"/>
      <c r="F615" s="12"/>
      <c r="G615" s="18"/>
      <c r="H615" s="35"/>
      <c r="I615" s="12"/>
      <c r="M615" s="12"/>
      <c r="N615" s="18"/>
      <c r="O615" s="12"/>
      <c r="P615" s="12"/>
      <c r="Q615" s="12"/>
      <c r="R615" s="36"/>
      <c r="S615" s="36"/>
      <c r="T615" s="12"/>
      <c r="U615" s="12"/>
      <c r="V615" s="12"/>
      <c r="W615" s="12"/>
      <c r="X615" s="12"/>
    </row>
    <row r="616" customFormat="false" ht="15.75" hidden="false" customHeight="false" outlineLevel="0" collapsed="false">
      <c r="A616" s="12"/>
      <c r="B616" s="34"/>
      <c r="C616" s="12"/>
      <c r="D616" s="12"/>
      <c r="E616" s="12"/>
      <c r="F616" s="12"/>
      <c r="G616" s="18"/>
      <c r="H616" s="35"/>
      <c r="I616" s="12"/>
      <c r="M616" s="12"/>
      <c r="N616" s="18"/>
      <c r="O616" s="12"/>
      <c r="P616" s="12"/>
      <c r="Q616" s="12"/>
      <c r="R616" s="36"/>
      <c r="S616" s="36"/>
      <c r="T616" s="12"/>
      <c r="U616" s="12"/>
      <c r="V616" s="12"/>
      <c r="W616" s="12"/>
      <c r="X616" s="12"/>
    </row>
    <row r="617" customFormat="false" ht="15.75" hidden="false" customHeight="false" outlineLevel="0" collapsed="false">
      <c r="A617" s="12"/>
      <c r="B617" s="34"/>
      <c r="C617" s="12"/>
      <c r="D617" s="12"/>
      <c r="E617" s="12"/>
      <c r="F617" s="12"/>
      <c r="G617" s="18"/>
      <c r="H617" s="35"/>
      <c r="I617" s="12"/>
      <c r="M617" s="12"/>
      <c r="N617" s="18"/>
      <c r="O617" s="12"/>
      <c r="P617" s="12"/>
      <c r="Q617" s="12"/>
      <c r="R617" s="36"/>
      <c r="S617" s="36"/>
      <c r="T617" s="12"/>
      <c r="U617" s="12"/>
      <c r="V617" s="12"/>
      <c r="W617" s="12"/>
      <c r="X617" s="12"/>
    </row>
    <row r="618" customFormat="false" ht="15.75" hidden="false" customHeight="false" outlineLevel="0" collapsed="false">
      <c r="A618" s="12"/>
      <c r="B618" s="34"/>
      <c r="C618" s="12"/>
      <c r="D618" s="12"/>
      <c r="E618" s="12"/>
      <c r="F618" s="12"/>
      <c r="G618" s="18"/>
      <c r="H618" s="35"/>
      <c r="I618" s="12"/>
      <c r="M618" s="12"/>
      <c r="N618" s="18"/>
      <c r="O618" s="12"/>
      <c r="P618" s="12"/>
      <c r="Q618" s="12"/>
      <c r="R618" s="36"/>
      <c r="S618" s="36"/>
      <c r="T618" s="12"/>
      <c r="U618" s="12"/>
      <c r="V618" s="12"/>
      <c r="W618" s="12"/>
      <c r="X618" s="12"/>
    </row>
    <row r="619" customFormat="false" ht="15.75" hidden="false" customHeight="false" outlineLevel="0" collapsed="false">
      <c r="A619" s="12"/>
      <c r="B619" s="34"/>
      <c r="C619" s="12"/>
      <c r="D619" s="12"/>
      <c r="E619" s="12"/>
      <c r="F619" s="12"/>
      <c r="G619" s="18"/>
      <c r="H619" s="35"/>
      <c r="I619" s="12"/>
      <c r="M619" s="12"/>
      <c r="N619" s="18"/>
      <c r="O619" s="12"/>
      <c r="P619" s="12"/>
      <c r="Q619" s="12"/>
      <c r="R619" s="36"/>
      <c r="S619" s="36"/>
      <c r="T619" s="12"/>
      <c r="U619" s="12"/>
      <c r="V619" s="12"/>
      <c r="W619" s="12"/>
      <c r="X619" s="12"/>
    </row>
    <row r="620" customFormat="false" ht="15.75" hidden="false" customHeight="false" outlineLevel="0" collapsed="false">
      <c r="A620" s="12"/>
      <c r="B620" s="34"/>
      <c r="C620" s="12"/>
      <c r="D620" s="12"/>
      <c r="E620" s="12"/>
      <c r="F620" s="12"/>
      <c r="G620" s="18"/>
      <c r="H620" s="35"/>
      <c r="I620" s="12"/>
      <c r="M620" s="12"/>
      <c r="N620" s="18"/>
      <c r="O620" s="12"/>
      <c r="P620" s="12"/>
      <c r="Q620" s="12"/>
      <c r="R620" s="36"/>
      <c r="S620" s="36"/>
      <c r="T620" s="12"/>
      <c r="U620" s="12"/>
      <c r="V620" s="12"/>
      <c r="W620" s="12"/>
      <c r="X620" s="12"/>
    </row>
    <row r="621" customFormat="false" ht="15.75" hidden="false" customHeight="false" outlineLevel="0" collapsed="false">
      <c r="A621" s="12"/>
      <c r="B621" s="34"/>
      <c r="C621" s="12"/>
      <c r="D621" s="12"/>
      <c r="E621" s="12"/>
      <c r="F621" s="12"/>
      <c r="G621" s="18"/>
      <c r="H621" s="35"/>
      <c r="I621" s="12"/>
      <c r="M621" s="12"/>
      <c r="N621" s="18"/>
      <c r="O621" s="12"/>
      <c r="P621" s="12"/>
      <c r="Q621" s="12"/>
      <c r="R621" s="36"/>
      <c r="S621" s="36"/>
      <c r="T621" s="12"/>
      <c r="U621" s="12"/>
      <c r="V621" s="12"/>
      <c r="W621" s="12"/>
      <c r="X621" s="12"/>
    </row>
    <row r="622" customFormat="false" ht="15.75" hidden="false" customHeight="false" outlineLevel="0" collapsed="false">
      <c r="A622" s="12"/>
      <c r="B622" s="34"/>
      <c r="C622" s="12"/>
      <c r="D622" s="12"/>
      <c r="E622" s="12"/>
      <c r="F622" s="12"/>
      <c r="G622" s="18"/>
      <c r="H622" s="35"/>
      <c r="I622" s="12"/>
      <c r="M622" s="12"/>
      <c r="N622" s="18"/>
      <c r="O622" s="12"/>
      <c r="P622" s="12"/>
      <c r="Q622" s="12"/>
      <c r="R622" s="36"/>
      <c r="S622" s="36"/>
      <c r="T622" s="12"/>
      <c r="U622" s="12"/>
      <c r="V622" s="12"/>
      <c r="W622" s="12"/>
      <c r="X622" s="12"/>
    </row>
    <row r="623" customFormat="false" ht="15.75" hidden="false" customHeight="false" outlineLevel="0" collapsed="false">
      <c r="A623" s="12"/>
      <c r="B623" s="34"/>
      <c r="C623" s="12"/>
      <c r="D623" s="12"/>
      <c r="E623" s="12"/>
      <c r="F623" s="12"/>
      <c r="G623" s="18"/>
      <c r="H623" s="35"/>
      <c r="I623" s="12"/>
      <c r="M623" s="12"/>
      <c r="N623" s="18"/>
      <c r="O623" s="12"/>
      <c r="P623" s="12"/>
      <c r="Q623" s="12"/>
      <c r="R623" s="36"/>
      <c r="S623" s="36"/>
      <c r="T623" s="12"/>
      <c r="U623" s="12"/>
      <c r="V623" s="12"/>
      <c r="W623" s="12"/>
      <c r="X623" s="12"/>
    </row>
    <row r="624" customFormat="false" ht="15.75" hidden="false" customHeight="false" outlineLevel="0" collapsed="false">
      <c r="A624" s="12"/>
      <c r="B624" s="34"/>
      <c r="C624" s="12"/>
      <c r="D624" s="12"/>
      <c r="E624" s="12"/>
      <c r="F624" s="12"/>
      <c r="G624" s="18"/>
      <c r="H624" s="35"/>
      <c r="I624" s="12"/>
      <c r="M624" s="12"/>
      <c r="N624" s="18"/>
      <c r="O624" s="12"/>
      <c r="P624" s="12"/>
      <c r="Q624" s="12"/>
      <c r="R624" s="36"/>
      <c r="S624" s="36"/>
      <c r="T624" s="12"/>
      <c r="U624" s="12"/>
      <c r="V624" s="12"/>
      <c r="W624" s="12"/>
      <c r="X624" s="12"/>
    </row>
    <row r="625" customFormat="false" ht="15.75" hidden="false" customHeight="false" outlineLevel="0" collapsed="false">
      <c r="A625" s="12"/>
      <c r="B625" s="34"/>
      <c r="C625" s="12"/>
      <c r="D625" s="12"/>
      <c r="E625" s="12"/>
      <c r="F625" s="12"/>
      <c r="G625" s="18"/>
      <c r="H625" s="35"/>
      <c r="I625" s="12"/>
      <c r="M625" s="12"/>
      <c r="N625" s="18"/>
      <c r="O625" s="12"/>
      <c r="P625" s="12"/>
      <c r="Q625" s="12"/>
      <c r="R625" s="36"/>
      <c r="S625" s="36"/>
      <c r="T625" s="12"/>
      <c r="U625" s="12"/>
      <c r="V625" s="12"/>
      <c r="W625" s="12"/>
      <c r="X625" s="12"/>
    </row>
    <row r="626" customFormat="false" ht="15.75" hidden="false" customHeight="false" outlineLevel="0" collapsed="false">
      <c r="A626" s="12"/>
      <c r="B626" s="34"/>
      <c r="C626" s="12"/>
      <c r="D626" s="12"/>
      <c r="E626" s="12"/>
      <c r="F626" s="12"/>
      <c r="G626" s="18"/>
      <c r="H626" s="35"/>
      <c r="I626" s="12"/>
      <c r="M626" s="12"/>
      <c r="N626" s="18"/>
      <c r="O626" s="12"/>
      <c r="P626" s="12"/>
      <c r="Q626" s="12"/>
      <c r="R626" s="36"/>
      <c r="S626" s="36"/>
      <c r="T626" s="12"/>
      <c r="U626" s="12"/>
      <c r="V626" s="12"/>
      <c r="W626" s="12"/>
      <c r="X626" s="12"/>
    </row>
    <row r="627" customFormat="false" ht="15.75" hidden="false" customHeight="false" outlineLevel="0" collapsed="false">
      <c r="A627" s="12"/>
      <c r="B627" s="34"/>
      <c r="C627" s="12"/>
      <c r="D627" s="12"/>
      <c r="E627" s="12"/>
      <c r="F627" s="12"/>
      <c r="G627" s="18"/>
      <c r="H627" s="35"/>
      <c r="I627" s="12"/>
      <c r="M627" s="12"/>
      <c r="N627" s="18"/>
      <c r="O627" s="12"/>
      <c r="P627" s="12"/>
      <c r="Q627" s="12"/>
      <c r="R627" s="36"/>
      <c r="S627" s="36"/>
      <c r="T627" s="12"/>
      <c r="U627" s="12"/>
      <c r="V627" s="12"/>
      <c r="W627" s="12"/>
      <c r="X627" s="12"/>
    </row>
    <row r="628" customFormat="false" ht="15.75" hidden="false" customHeight="false" outlineLevel="0" collapsed="false">
      <c r="A628" s="12"/>
      <c r="B628" s="34"/>
      <c r="C628" s="12"/>
      <c r="D628" s="12"/>
      <c r="E628" s="12"/>
      <c r="F628" s="12"/>
      <c r="G628" s="18"/>
      <c r="H628" s="35"/>
      <c r="I628" s="12"/>
      <c r="M628" s="12"/>
      <c r="N628" s="18"/>
      <c r="O628" s="12"/>
      <c r="P628" s="12"/>
      <c r="Q628" s="12"/>
      <c r="R628" s="36"/>
      <c r="S628" s="36"/>
      <c r="T628" s="12"/>
      <c r="U628" s="12"/>
      <c r="V628" s="12"/>
      <c r="W628" s="12"/>
      <c r="X628" s="12"/>
    </row>
    <row r="629" customFormat="false" ht="15.75" hidden="false" customHeight="false" outlineLevel="0" collapsed="false">
      <c r="A629" s="12"/>
      <c r="B629" s="34"/>
      <c r="C629" s="12"/>
      <c r="D629" s="12"/>
      <c r="E629" s="12"/>
      <c r="F629" s="12"/>
      <c r="G629" s="18"/>
      <c r="H629" s="35"/>
      <c r="I629" s="12"/>
      <c r="M629" s="12"/>
      <c r="N629" s="18"/>
      <c r="O629" s="12"/>
      <c r="P629" s="12"/>
      <c r="Q629" s="12"/>
      <c r="R629" s="36"/>
      <c r="S629" s="36"/>
      <c r="T629" s="12"/>
      <c r="U629" s="12"/>
      <c r="V629" s="12"/>
      <c r="W629" s="12"/>
      <c r="X629" s="12"/>
    </row>
    <row r="630" customFormat="false" ht="15.75" hidden="false" customHeight="false" outlineLevel="0" collapsed="false">
      <c r="A630" s="12"/>
      <c r="B630" s="34"/>
      <c r="C630" s="12"/>
      <c r="D630" s="12"/>
      <c r="E630" s="12"/>
      <c r="F630" s="12"/>
      <c r="G630" s="18"/>
      <c r="H630" s="35"/>
      <c r="I630" s="12"/>
      <c r="M630" s="12"/>
      <c r="N630" s="18"/>
      <c r="O630" s="12"/>
      <c r="P630" s="12"/>
      <c r="Q630" s="12"/>
      <c r="R630" s="36"/>
      <c r="S630" s="36"/>
      <c r="T630" s="12"/>
      <c r="U630" s="12"/>
      <c r="V630" s="12"/>
      <c r="W630" s="12"/>
      <c r="X630" s="12"/>
    </row>
    <row r="631" customFormat="false" ht="15.75" hidden="false" customHeight="false" outlineLevel="0" collapsed="false">
      <c r="A631" s="12"/>
      <c r="B631" s="34"/>
      <c r="C631" s="12"/>
      <c r="D631" s="12"/>
      <c r="E631" s="12"/>
      <c r="F631" s="12"/>
      <c r="G631" s="18"/>
      <c r="H631" s="35"/>
      <c r="I631" s="12"/>
      <c r="M631" s="12"/>
      <c r="N631" s="18"/>
      <c r="O631" s="12"/>
      <c r="P631" s="12"/>
      <c r="Q631" s="12"/>
      <c r="R631" s="36"/>
      <c r="S631" s="36"/>
      <c r="T631" s="12"/>
      <c r="U631" s="12"/>
      <c r="V631" s="12"/>
      <c r="W631" s="12"/>
      <c r="X631" s="12"/>
    </row>
    <row r="632" customFormat="false" ht="15.75" hidden="false" customHeight="false" outlineLevel="0" collapsed="false">
      <c r="A632" s="12"/>
      <c r="B632" s="34"/>
      <c r="C632" s="12"/>
      <c r="D632" s="12"/>
      <c r="E632" s="12"/>
      <c r="F632" s="12"/>
      <c r="G632" s="18"/>
      <c r="H632" s="35"/>
      <c r="I632" s="12"/>
      <c r="M632" s="12"/>
      <c r="N632" s="18"/>
      <c r="O632" s="12"/>
      <c r="P632" s="12"/>
      <c r="Q632" s="12"/>
      <c r="R632" s="36"/>
      <c r="S632" s="36"/>
      <c r="T632" s="12"/>
      <c r="U632" s="12"/>
      <c r="V632" s="12"/>
      <c r="W632" s="12"/>
      <c r="X632" s="12"/>
    </row>
    <row r="633" customFormat="false" ht="15.75" hidden="false" customHeight="false" outlineLevel="0" collapsed="false">
      <c r="A633" s="12"/>
      <c r="B633" s="34"/>
      <c r="C633" s="12"/>
      <c r="D633" s="12"/>
      <c r="E633" s="12"/>
      <c r="F633" s="12"/>
      <c r="G633" s="18"/>
      <c r="H633" s="35"/>
      <c r="I633" s="12"/>
      <c r="M633" s="12"/>
      <c r="N633" s="18"/>
      <c r="O633" s="12"/>
      <c r="P633" s="12"/>
      <c r="Q633" s="12"/>
      <c r="R633" s="36"/>
      <c r="S633" s="36"/>
      <c r="T633" s="12"/>
      <c r="U633" s="12"/>
      <c r="V633" s="12"/>
      <c r="W633" s="12"/>
      <c r="X633" s="12"/>
    </row>
    <row r="634" customFormat="false" ht="15.75" hidden="false" customHeight="false" outlineLevel="0" collapsed="false">
      <c r="A634" s="12"/>
      <c r="B634" s="34"/>
      <c r="C634" s="12"/>
      <c r="D634" s="12"/>
      <c r="E634" s="12"/>
      <c r="F634" s="12"/>
      <c r="G634" s="18"/>
      <c r="H634" s="35"/>
      <c r="I634" s="12"/>
      <c r="M634" s="12"/>
      <c r="N634" s="18"/>
      <c r="O634" s="12"/>
      <c r="P634" s="12"/>
      <c r="Q634" s="12"/>
      <c r="R634" s="36"/>
      <c r="S634" s="36"/>
      <c r="T634" s="12"/>
      <c r="U634" s="12"/>
      <c r="V634" s="12"/>
      <c r="W634" s="12"/>
      <c r="X634" s="12"/>
    </row>
    <row r="635" customFormat="false" ht="15.75" hidden="false" customHeight="false" outlineLevel="0" collapsed="false">
      <c r="A635" s="12"/>
      <c r="B635" s="34"/>
      <c r="C635" s="12"/>
      <c r="D635" s="12"/>
      <c r="E635" s="12"/>
      <c r="F635" s="12"/>
      <c r="G635" s="18"/>
      <c r="H635" s="35"/>
      <c r="I635" s="12"/>
      <c r="M635" s="12"/>
      <c r="N635" s="18"/>
      <c r="O635" s="12"/>
      <c r="P635" s="12"/>
      <c r="Q635" s="12"/>
      <c r="R635" s="36"/>
      <c r="S635" s="36"/>
      <c r="T635" s="12"/>
      <c r="U635" s="12"/>
      <c r="V635" s="12"/>
      <c r="W635" s="12"/>
      <c r="X635" s="12"/>
    </row>
    <row r="636" customFormat="false" ht="15.75" hidden="false" customHeight="false" outlineLevel="0" collapsed="false">
      <c r="A636" s="12"/>
      <c r="B636" s="34"/>
      <c r="C636" s="12"/>
      <c r="D636" s="12"/>
      <c r="E636" s="12"/>
      <c r="F636" s="12"/>
      <c r="G636" s="18"/>
      <c r="H636" s="35"/>
      <c r="I636" s="12"/>
      <c r="M636" s="12"/>
      <c r="N636" s="18"/>
      <c r="O636" s="12"/>
      <c r="P636" s="12"/>
      <c r="Q636" s="12"/>
      <c r="R636" s="36"/>
      <c r="S636" s="36"/>
      <c r="T636" s="12"/>
      <c r="U636" s="12"/>
      <c r="V636" s="12"/>
      <c r="W636" s="12"/>
      <c r="X636" s="12"/>
    </row>
    <row r="637" customFormat="false" ht="15.75" hidden="false" customHeight="false" outlineLevel="0" collapsed="false">
      <c r="A637" s="12"/>
      <c r="B637" s="34"/>
      <c r="C637" s="12"/>
      <c r="D637" s="12"/>
      <c r="E637" s="12"/>
      <c r="F637" s="12"/>
      <c r="G637" s="18"/>
      <c r="H637" s="35"/>
      <c r="I637" s="12"/>
      <c r="M637" s="12"/>
      <c r="N637" s="18"/>
      <c r="O637" s="12"/>
      <c r="P637" s="12"/>
      <c r="Q637" s="12"/>
      <c r="R637" s="36"/>
      <c r="S637" s="36"/>
      <c r="T637" s="12"/>
      <c r="U637" s="12"/>
      <c r="V637" s="12"/>
      <c r="W637" s="12"/>
      <c r="X637" s="12"/>
    </row>
    <row r="638" customFormat="false" ht="15.75" hidden="false" customHeight="false" outlineLevel="0" collapsed="false">
      <c r="A638" s="12"/>
      <c r="B638" s="34"/>
      <c r="C638" s="12"/>
      <c r="D638" s="12"/>
      <c r="E638" s="12"/>
      <c r="F638" s="12"/>
      <c r="G638" s="18"/>
      <c r="H638" s="35"/>
      <c r="I638" s="12"/>
      <c r="M638" s="12"/>
      <c r="N638" s="18"/>
      <c r="O638" s="12"/>
      <c r="P638" s="12"/>
      <c r="Q638" s="12"/>
      <c r="R638" s="36"/>
      <c r="S638" s="36"/>
      <c r="T638" s="12"/>
      <c r="U638" s="12"/>
      <c r="V638" s="12"/>
      <c r="W638" s="12"/>
      <c r="X638" s="12"/>
    </row>
    <row r="639" customFormat="false" ht="15.75" hidden="false" customHeight="false" outlineLevel="0" collapsed="false">
      <c r="A639" s="12"/>
      <c r="B639" s="34"/>
      <c r="C639" s="12"/>
      <c r="D639" s="12"/>
      <c r="E639" s="12"/>
      <c r="F639" s="12"/>
      <c r="G639" s="18"/>
      <c r="H639" s="35"/>
      <c r="I639" s="12"/>
      <c r="M639" s="12"/>
      <c r="N639" s="18"/>
      <c r="O639" s="12"/>
      <c r="P639" s="12"/>
      <c r="Q639" s="12"/>
      <c r="R639" s="36"/>
      <c r="S639" s="36"/>
      <c r="T639" s="12"/>
      <c r="U639" s="12"/>
      <c r="V639" s="12"/>
      <c r="W639" s="12"/>
      <c r="X639" s="12"/>
    </row>
    <row r="640" customFormat="false" ht="15.75" hidden="false" customHeight="false" outlineLevel="0" collapsed="false">
      <c r="A640" s="12"/>
      <c r="B640" s="34"/>
      <c r="C640" s="12"/>
      <c r="D640" s="12"/>
      <c r="E640" s="12"/>
      <c r="F640" s="12"/>
      <c r="G640" s="18"/>
      <c r="H640" s="35"/>
      <c r="I640" s="12"/>
      <c r="M640" s="12"/>
      <c r="N640" s="18"/>
      <c r="O640" s="12"/>
      <c r="P640" s="12"/>
      <c r="Q640" s="12"/>
      <c r="R640" s="36"/>
      <c r="S640" s="36"/>
      <c r="T640" s="12"/>
      <c r="U640" s="12"/>
      <c r="V640" s="12"/>
      <c r="W640" s="12"/>
      <c r="X640" s="12"/>
    </row>
    <row r="641" customFormat="false" ht="15.75" hidden="false" customHeight="false" outlineLevel="0" collapsed="false">
      <c r="A641" s="12"/>
      <c r="B641" s="34"/>
      <c r="C641" s="12"/>
      <c r="D641" s="12"/>
      <c r="E641" s="12"/>
      <c r="F641" s="12"/>
      <c r="G641" s="18"/>
      <c r="H641" s="35"/>
      <c r="I641" s="12"/>
      <c r="M641" s="12"/>
      <c r="N641" s="18"/>
      <c r="O641" s="12"/>
      <c r="P641" s="12"/>
      <c r="Q641" s="12"/>
      <c r="R641" s="36"/>
      <c r="S641" s="36"/>
      <c r="T641" s="12"/>
      <c r="U641" s="12"/>
      <c r="V641" s="12"/>
      <c r="W641" s="12"/>
      <c r="X641" s="12"/>
    </row>
    <row r="642" customFormat="false" ht="15.75" hidden="false" customHeight="false" outlineLevel="0" collapsed="false">
      <c r="A642" s="12"/>
      <c r="B642" s="34"/>
      <c r="C642" s="12"/>
      <c r="D642" s="12"/>
      <c r="E642" s="12"/>
      <c r="F642" s="12"/>
      <c r="G642" s="18"/>
      <c r="H642" s="35"/>
      <c r="I642" s="12"/>
      <c r="M642" s="12"/>
      <c r="N642" s="18"/>
      <c r="O642" s="12"/>
      <c r="P642" s="12"/>
      <c r="Q642" s="12"/>
      <c r="R642" s="36"/>
      <c r="S642" s="36"/>
      <c r="T642" s="12"/>
      <c r="U642" s="12"/>
      <c r="V642" s="12"/>
      <c r="W642" s="12"/>
      <c r="X642" s="12"/>
    </row>
    <row r="643" customFormat="false" ht="15.75" hidden="false" customHeight="false" outlineLevel="0" collapsed="false">
      <c r="A643" s="12"/>
      <c r="B643" s="34"/>
      <c r="C643" s="12"/>
      <c r="D643" s="12"/>
      <c r="E643" s="12"/>
      <c r="F643" s="12"/>
      <c r="G643" s="18"/>
      <c r="H643" s="35"/>
      <c r="I643" s="12"/>
      <c r="M643" s="12"/>
      <c r="N643" s="18"/>
      <c r="O643" s="12"/>
      <c r="P643" s="12"/>
      <c r="Q643" s="12"/>
      <c r="R643" s="36"/>
      <c r="S643" s="36"/>
      <c r="T643" s="12"/>
      <c r="U643" s="12"/>
      <c r="V643" s="12"/>
      <c r="W643" s="12"/>
      <c r="X643" s="12"/>
    </row>
    <row r="644" customFormat="false" ht="15.75" hidden="false" customHeight="false" outlineLevel="0" collapsed="false">
      <c r="A644" s="12"/>
      <c r="B644" s="34"/>
      <c r="C644" s="12"/>
      <c r="D644" s="12"/>
      <c r="E644" s="12"/>
      <c r="F644" s="12"/>
      <c r="G644" s="18"/>
      <c r="H644" s="35"/>
      <c r="I644" s="12"/>
      <c r="M644" s="12"/>
      <c r="N644" s="18"/>
      <c r="O644" s="12"/>
      <c r="P644" s="12"/>
      <c r="Q644" s="12"/>
      <c r="R644" s="36"/>
      <c r="S644" s="36"/>
      <c r="T644" s="12"/>
      <c r="U644" s="12"/>
      <c r="V644" s="12"/>
      <c r="W644" s="12"/>
      <c r="X644" s="12"/>
    </row>
    <row r="645" customFormat="false" ht="15.75" hidden="false" customHeight="false" outlineLevel="0" collapsed="false">
      <c r="A645" s="12"/>
      <c r="B645" s="34"/>
      <c r="C645" s="12"/>
      <c r="D645" s="12"/>
      <c r="E645" s="12"/>
      <c r="F645" s="12"/>
      <c r="G645" s="18"/>
      <c r="H645" s="35"/>
      <c r="I645" s="12"/>
      <c r="M645" s="12"/>
      <c r="N645" s="18"/>
      <c r="O645" s="12"/>
      <c r="P645" s="12"/>
      <c r="Q645" s="12"/>
      <c r="R645" s="36"/>
      <c r="S645" s="36"/>
      <c r="T645" s="12"/>
      <c r="U645" s="12"/>
      <c r="V645" s="12"/>
      <c r="W645" s="12"/>
      <c r="X645" s="12"/>
    </row>
    <row r="646" customFormat="false" ht="15.75" hidden="false" customHeight="false" outlineLevel="0" collapsed="false">
      <c r="A646" s="12"/>
      <c r="B646" s="34"/>
      <c r="C646" s="12"/>
      <c r="D646" s="12"/>
      <c r="E646" s="12"/>
      <c r="F646" s="12"/>
      <c r="G646" s="18"/>
      <c r="H646" s="35"/>
      <c r="I646" s="12"/>
      <c r="M646" s="12"/>
      <c r="N646" s="18"/>
      <c r="O646" s="12"/>
      <c r="P646" s="12"/>
      <c r="Q646" s="12"/>
      <c r="R646" s="36"/>
      <c r="S646" s="36"/>
      <c r="T646" s="12"/>
      <c r="U646" s="12"/>
      <c r="V646" s="12"/>
      <c r="W646" s="12"/>
      <c r="X646" s="12"/>
    </row>
    <row r="647" customFormat="false" ht="15.75" hidden="false" customHeight="false" outlineLevel="0" collapsed="false">
      <c r="A647" s="12"/>
      <c r="B647" s="34"/>
      <c r="C647" s="12"/>
      <c r="D647" s="12"/>
      <c r="E647" s="12"/>
      <c r="F647" s="12"/>
      <c r="G647" s="18"/>
      <c r="H647" s="35"/>
      <c r="I647" s="12"/>
      <c r="M647" s="12"/>
      <c r="N647" s="18"/>
      <c r="O647" s="12"/>
      <c r="P647" s="12"/>
      <c r="Q647" s="12"/>
      <c r="R647" s="36"/>
      <c r="S647" s="36"/>
      <c r="T647" s="12"/>
      <c r="U647" s="12"/>
      <c r="V647" s="12"/>
      <c r="W647" s="12"/>
      <c r="X647" s="12"/>
    </row>
    <row r="648" customFormat="false" ht="15.75" hidden="false" customHeight="false" outlineLevel="0" collapsed="false">
      <c r="A648" s="12"/>
      <c r="B648" s="34"/>
      <c r="C648" s="12"/>
      <c r="D648" s="12"/>
      <c r="E648" s="12"/>
      <c r="F648" s="12"/>
      <c r="G648" s="18"/>
      <c r="H648" s="35"/>
      <c r="I648" s="12"/>
      <c r="M648" s="12"/>
      <c r="N648" s="18"/>
      <c r="O648" s="12"/>
      <c r="P648" s="12"/>
      <c r="Q648" s="12"/>
      <c r="R648" s="36"/>
      <c r="S648" s="36"/>
      <c r="T648" s="12"/>
      <c r="U648" s="12"/>
      <c r="V648" s="12"/>
      <c r="W648" s="12"/>
      <c r="X648" s="12"/>
    </row>
    <row r="649" customFormat="false" ht="15.75" hidden="false" customHeight="false" outlineLevel="0" collapsed="false">
      <c r="A649" s="12"/>
      <c r="B649" s="34"/>
      <c r="C649" s="12"/>
      <c r="D649" s="12"/>
      <c r="E649" s="12"/>
      <c r="F649" s="12"/>
      <c r="G649" s="18"/>
      <c r="H649" s="35"/>
      <c r="I649" s="12"/>
      <c r="M649" s="12"/>
      <c r="N649" s="18"/>
      <c r="O649" s="12"/>
      <c r="P649" s="12"/>
      <c r="Q649" s="12"/>
      <c r="R649" s="36"/>
      <c r="S649" s="36"/>
      <c r="T649" s="12"/>
      <c r="U649" s="12"/>
      <c r="V649" s="12"/>
      <c r="W649" s="12"/>
      <c r="X649" s="12"/>
    </row>
    <row r="650" customFormat="false" ht="15.75" hidden="false" customHeight="false" outlineLevel="0" collapsed="false">
      <c r="A650" s="12"/>
      <c r="B650" s="34"/>
      <c r="C650" s="12"/>
      <c r="D650" s="12"/>
      <c r="E650" s="12"/>
      <c r="F650" s="12"/>
      <c r="G650" s="18"/>
      <c r="H650" s="35"/>
      <c r="I650" s="12"/>
      <c r="M650" s="12"/>
      <c r="N650" s="18"/>
      <c r="O650" s="12"/>
      <c r="P650" s="12"/>
      <c r="Q650" s="12"/>
      <c r="R650" s="36"/>
      <c r="S650" s="36"/>
      <c r="T650" s="12"/>
      <c r="U650" s="12"/>
      <c r="V650" s="12"/>
      <c r="W650" s="12"/>
      <c r="X650" s="12"/>
    </row>
    <row r="651" customFormat="false" ht="15.75" hidden="false" customHeight="false" outlineLevel="0" collapsed="false">
      <c r="A651" s="12"/>
      <c r="B651" s="34"/>
      <c r="C651" s="12"/>
      <c r="D651" s="12"/>
      <c r="E651" s="12"/>
      <c r="F651" s="12"/>
      <c r="G651" s="18"/>
      <c r="H651" s="35"/>
      <c r="I651" s="12"/>
      <c r="M651" s="12"/>
      <c r="N651" s="18"/>
      <c r="O651" s="12"/>
      <c r="P651" s="12"/>
      <c r="Q651" s="12"/>
      <c r="R651" s="36"/>
      <c r="S651" s="36"/>
      <c r="T651" s="12"/>
      <c r="U651" s="12"/>
      <c r="V651" s="12"/>
      <c r="W651" s="12"/>
      <c r="X651" s="12"/>
    </row>
    <row r="652" customFormat="false" ht="15.75" hidden="false" customHeight="false" outlineLevel="0" collapsed="false">
      <c r="A652" s="12"/>
      <c r="B652" s="34"/>
      <c r="C652" s="12"/>
      <c r="D652" s="12"/>
      <c r="E652" s="12"/>
      <c r="F652" s="12"/>
      <c r="G652" s="18"/>
      <c r="H652" s="35"/>
      <c r="I652" s="12"/>
      <c r="M652" s="12"/>
      <c r="N652" s="18"/>
      <c r="O652" s="12"/>
      <c r="P652" s="12"/>
      <c r="Q652" s="12"/>
      <c r="R652" s="36"/>
      <c r="S652" s="36"/>
      <c r="T652" s="12"/>
      <c r="U652" s="12"/>
      <c r="V652" s="12"/>
      <c r="W652" s="12"/>
      <c r="X652" s="12"/>
    </row>
    <row r="653" customFormat="false" ht="15.75" hidden="false" customHeight="false" outlineLevel="0" collapsed="false">
      <c r="A653" s="12"/>
      <c r="B653" s="34"/>
      <c r="C653" s="12"/>
      <c r="D653" s="12"/>
      <c r="E653" s="12"/>
      <c r="F653" s="12"/>
      <c r="G653" s="18"/>
      <c r="H653" s="35"/>
      <c r="I653" s="12"/>
      <c r="M653" s="12"/>
      <c r="N653" s="18"/>
      <c r="O653" s="12"/>
      <c r="P653" s="12"/>
      <c r="Q653" s="12"/>
      <c r="R653" s="36"/>
      <c r="S653" s="36"/>
      <c r="T653" s="12"/>
      <c r="U653" s="12"/>
      <c r="V653" s="12"/>
      <c r="W653" s="12"/>
      <c r="X653" s="12"/>
    </row>
    <row r="654" customFormat="false" ht="15.75" hidden="false" customHeight="false" outlineLevel="0" collapsed="false">
      <c r="A654" s="12"/>
      <c r="B654" s="34"/>
      <c r="C654" s="12"/>
      <c r="D654" s="12"/>
      <c r="E654" s="12"/>
      <c r="F654" s="12"/>
      <c r="G654" s="18"/>
      <c r="H654" s="35"/>
      <c r="I654" s="12"/>
      <c r="M654" s="12"/>
      <c r="N654" s="18"/>
      <c r="O654" s="12"/>
      <c r="P654" s="12"/>
      <c r="Q654" s="12"/>
      <c r="R654" s="36"/>
      <c r="S654" s="36"/>
      <c r="T654" s="12"/>
      <c r="U654" s="12"/>
      <c r="V654" s="12"/>
      <c r="W654" s="12"/>
      <c r="X654" s="12"/>
    </row>
    <row r="655" customFormat="false" ht="15.75" hidden="false" customHeight="false" outlineLevel="0" collapsed="false">
      <c r="A655" s="12"/>
      <c r="B655" s="34"/>
      <c r="C655" s="12"/>
      <c r="D655" s="12"/>
      <c r="E655" s="12"/>
      <c r="F655" s="12"/>
      <c r="G655" s="18"/>
      <c r="H655" s="35"/>
      <c r="I655" s="12"/>
      <c r="M655" s="12"/>
      <c r="N655" s="18"/>
      <c r="O655" s="12"/>
      <c r="P655" s="12"/>
      <c r="Q655" s="12"/>
      <c r="R655" s="36"/>
      <c r="S655" s="36"/>
      <c r="T655" s="12"/>
      <c r="U655" s="12"/>
      <c r="V655" s="12"/>
      <c r="W655" s="12"/>
      <c r="X655" s="12"/>
    </row>
    <row r="656" customFormat="false" ht="15.75" hidden="false" customHeight="false" outlineLevel="0" collapsed="false">
      <c r="A656" s="12"/>
      <c r="B656" s="34"/>
      <c r="C656" s="12"/>
      <c r="D656" s="12"/>
      <c r="E656" s="12"/>
      <c r="F656" s="12"/>
      <c r="G656" s="18"/>
      <c r="H656" s="35"/>
      <c r="I656" s="12"/>
      <c r="M656" s="12"/>
      <c r="N656" s="18"/>
      <c r="O656" s="12"/>
      <c r="P656" s="12"/>
      <c r="Q656" s="12"/>
      <c r="R656" s="36"/>
      <c r="S656" s="36"/>
      <c r="T656" s="12"/>
      <c r="U656" s="12"/>
      <c r="V656" s="12"/>
      <c r="W656" s="12"/>
      <c r="X656" s="12"/>
    </row>
    <row r="657" customFormat="false" ht="15.75" hidden="false" customHeight="false" outlineLevel="0" collapsed="false">
      <c r="A657" s="12"/>
      <c r="B657" s="34"/>
      <c r="C657" s="12"/>
      <c r="D657" s="12"/>
      <c r="E657" s="12"/>
      <c r="F657" s="12"/>
      <c r="G657" s="18"/>
      <c r="H657" s="35"/>
      <c r="I657" s="12"/>
      <c r="M657" s="12"/>
      <c r="N657" s="18"/>
      <c r="O657" s="12"/>
      <c r="P657" s="12"/>
      <c r="Q657" s="12"/>
      <c r="R657" s="36"/>
      <c r="S657" s="36"/>
      <c r="T657" s="12"/>
      <c r="U657" s="12"/>
      <c r="V657" s="12"/>
      <c r="W657" s="12"/>
      <c r="X657" s="12"/>
    </row>
    <row r="658" customFormat="false" ht="15.75" hidden="false" customHeight="false" outlineLevel="0" collapsed="false">
      <c r="A658" s="12"/>
      <c r="B658" s="34"/>
      <c r="C658" s="12"/>
      <c r="D658" s="12"/>
      <c r="E658" s="12"/>
      <c r="F658" s="12"/>
      <c r="G658" s="18"/>
      <c r="H658" s="35"/>
      <c r="I658" s="12"/>
      <c r="M658" s="12"/>
      <c r="N658" s="18"/>
      <c r="O658" s="12"/>
      <c r="P658" s="12"/>
      <c r="Q658" s="12"/>
      <c r="R658" s="36"/>
      <c r="S658" s="36"/>
      <c r="T658" s="12"/>
      <c r="U658" s="12"/>
      <c r="V658" s="12"/>
      <c r="W658" s="12"/>
      <c r="X658" s="12"/>
    </row>
    <row r="659" customFormat="false" ht="15.75" hidden="false" customHeight="false" outlineLevel="0" collapsed="false">
      <c r="A659" s="12"/>
      <c r="B659" s="34"/>
      <c r="C659" s="12"/>
      <c r="D659" s="12"/>
      <c r="E659" s="12"/>
      <c r="F659" s="12"/>
      <c r="G659" s="18"/>
      <c r="H659" s="35"/>
      <c r="I659" s="12"/>
      <c r="M659" s="12"/>
      <c r="N659" s="18"/>
      <c r="O659" s="12"/>
      <c r="P659" s="12"/>
      <c r="Q659" s="12"/>
      <c r="R659" s="36"/>
      <c r="S659" s="36"/>
      <c r="T659" s="12"/>
      <c r="U659" s="12"/>
      <c r="V659" s="12"/>
      <c r="W659" s="12"/>
      <c r="X659" s="12"/>
    </row>
    <row r="660" customFormat="false" ht="15.75" hidden="false" customHeight="false" outlineLevel="0" collapsed="false">
      <c r="A660" s="12"/>
      <c r="B660" s="34"/>
      <c r="C660" s="12"/>
      <c r="D660" s="12"/>
      <c r="E660" s="12"/>
      <c r="F660" s="12"/>
      <c r="G660" s="18"/>
      <c r="H660" s="35"/>
      <c r="I660" s="12"/>
      <c r="M660" s="12"/>
      <c r="N660" s="18"/>
      <c r="O660" s="12"/>
      <c r="P660" s="12"/>
      <c r="Q660" s="12"/>
      <c r="R660" s="36"/>
      <c r="S660" s="36"/>
      <c r="T660" s="12"/>
      <c r="U660" s="12"/>
      <c r="V660" s="12"/>
      <c r="W660" s="12"/>
      <c r="X660" s="12"/>
    </row>
    <row r="661" customFormat="false" ht="15.75" hidden="false" customHeight="false" outlineLevel="0" collapsed="false">
      <c r="A661" s="12"/>
      <c r="B661" s="34"/>
      <c r="C661" s="12"/>
      <c r="D661" s="12"/>
      <c r="E661" s="12"/>
      <c r="F661" s="12"/>
      <c r="G661" s="18"/>
      <c r="H661" s="35"/>
      <c r="I661" s="12"/>
      <c r="M661" s="12"/>
      <c r="N661" s="18"/>
      <c r="O661" s="12"/>
      <c r="P661" s="12"/>
      <c r="Q661" s="12"/>
      <c r="R661" s="36"/>
      <c r="S661" s="36"/>
      <c r="T661" s="12"/>
      <c r="U661" s="12"/>
      <c r="V661" s="12"/>
      <c r="W661" s="12"/>
      <c r="X661" s="12"/>
    </row>
    <row r="662" customFormat="false" ht="15.75" hidden="false" customHeight="false" outlineLevel="0" collapsed="false">
      <c r="A662" s="12"/>
      <c r="B662" s="34"/>
      <c r="C662" s="12"/>
      <c r="D662" s="12"/>
      <c r="E662" s="12"/>
      <c r="F662" s="12"/>
      <c r="G662" s="18"/>
      <c r="H662" s="35"/>
      <c r="I662" s="12"/>
      <c r="M662" s="12"/>
      <c r="N662" s="18"/>
      <c r="O662" s="12"/>
      <c r="P662" s="12"/>
      <c r="Q662" s="12"/>
      <c r="R662" s="36"/>
      <c r="S662" s="36"/>
      <c r="T662" s="12"/>
      <c r="U662" s="12"/>
      <c r="V662" s="12"/>
      <c r="W662" s="12"/>
      <c r="X662" s="12"/>
    </row>
    <row r="663" customFormat="false" ht="15.75" hidden="false" customHeight="false" outlineLevel="0" collapsed="false">
      <c r="A663" s="12"/>
      <c r="B663" s="34"/>
      <c r="C663" s="12"/>
      <c r="D663" s="12"/>
      <c r="E663" s="12"/>
      <c r="F663" s="12"/>
      <c r="G663" s="18"/>
      <c r="H663" s="35"/>
      <c r="I663" s="12"/>
      <c r="M663" s="12"/>
      <c r="N663" s="18"/>
      <c r="O663" s="12"/>
      <c r="P663" s="12"/>
      <c r="Q663" s="12"/>
      <c r="R663" s="36"/>
      <c r="S663" s="36"/>
      <c r="T663" s="12"/>
      <c r="U663" s="12"/>
      <c r="V663" s="12"/>
      <c r="W663" s="12"/>
      <c r="X663" s="12"/>
    </row>
    <row r="664" customFormat="false" ht="15.75" hidden="false" customHeight="false" outlineLevel="0" collapsed="false">
      <c r="A664" s="12"/>
      <c r="B664" s="34"/>
      <c r="C664" s="12"/>
      <c r="D664" s="12"/>
      <c r="E664" s="12"/>
      <c r="F664" s="12"/>
      <c r="G664" s="18"/>
      <c r="H664" s="35"/>
      <c r="I664" s="12"/>
      <c r="M664" s="12"/>
      <c r="N664" s="18"/>
      <c r="O664" s="12"/>
      <c r="P664" s="12"/>
      <c r="Q664" s="12"/>
      <c r="R664" s="36"/>
      <c r="S664" s="36"/>
      <c r="T664" s="12"/>
      <c r="U664" s="12"/>
      <c r="V664" s="12"/>
      <c r="W664" s="12"/>
      <c r="X664" s="12"/>
    </row>
    <row r="665" customFormat="false" ht="15.75" hidden="false" customHeight="false" outlineLevel="0" collapsed="false">
      <c r="A665" s="12"/>
      <c r="B665" s="34"/>
      <c r="C665" s="12"/>
      <c r="D665" s="12"/>
      <c r="E665" s="12"/>
      <c r="F665" s="12"/>
      <c r="G665" s="18"/>
      <c r="H665" s="35"/>
      <c r="I665" s="12"/>
      <c r="M665" s="12"/>
      <c r="N665" s="18"/>
      <c r="O665" s="12"/>
      <c r="P665" s="12"/>
      <c r="Q665" s="12"/>
      <c r="R665" s="36"/>
      <c r="S665" s="36"/>
      <c r="T665" s="12"/>
      <c r="U665" s="12"/>
      <c r="V665" s="12"/>
      <c r="W665" s="12"/>
      <c r="X665" s="12"/>
    </row>
    <row r="666" customFormat="false" ht="15.75" hidden="false" customHeight="false" outlineLevel="0" collapsed="false">
      <c r="A666" s="12"/>
      <c r="B666" s="34"/>
      <c r="C666" s="12"/>
      <c r="D666" s="12"/>
      <c r="E666" s="12"/>
      <c r="F666" s="12"/>
      <c r="G666" s="18"/>
      <c r="H666" s="35"/>
      <c r="I666" s="12"/>
      <c r="M666" s="12"/>
      <c r="N666" s="18"/>
      <c r="O666" s="12"/>
      <c r="P666" s="12"/>
      <c r="Q666" s="12"/>
      <c r="R666" s="36"/>
      <c r="S666" s="36"/>
      <c r="T666" s="12"/>
      <c r="U666" s="12"/>
      <c r="V666" s="12"/>
      <c r="W666" s="12"/>
      <c r="X666" s="12"/>
    </row>
    <row r="667" customFormat="false" ht="15.75" hidden="false" customHeight="false" outlineLevel="0" collapsed="false">
      <c r="A667" s="12"/>
      <c r="B667" s="34"/>
      <c r="C667" s="12"/>
      <c r="D667" s="12"/>
      <c r="E667" s="12"/>
      <c r="F667" s="12"/>
      <c r="G667" s="18"/>
      <c r="H667" s="35"/>
      <c r="I667" s="12"/>
      <c r="M667" s="12"/>
      <c r="N667" s="18"/>
      <c r="O667" s="12"/>
      <c r="P667" s="12"/>
      <c r="Q667" s="12"/>
      <c r="R667" s="36"/>
      <c r="S667" s="36"/>
      <c r="T667" s="12"/>
      <c r="U667" s="12"/>
      <c r="V667" s="12"/>
      <c r="W667" s="12"/>
      <c r="X667" s="12"/>
    </row>
    <row r="668" customFormat="false" ht="15.75" hidden="false" customHeight="false" outlineLevel="0" collapsed="false">
      <c r="A668" s="12"/>
      <c r="B668" s="34"/>
      <c r="C668" s="12"/>
      <c r="D668" s="12"/>
      <c r="E668" s="12"/>
      <c r="F668" s="12"/>
      <c r="G668" s="18"/>
      <c r="H668" s="35"/>
      <c r="I668" s="12"/>
      <c r="M668" s="12"/>
      <c r="N668" s="18"/>
      <c r="O668" s="12"/>
      <c r="P668" s="12"/>
      <c r="Q668" s="12"/>
      <c r="R668" s="36"/>
      <c r="S668" s="36"/>
      <c r="T668" s="12"/>
      <c r="U668" s="12"/>
      <c r="V668" s="12"/>
      <c r="W668" s="12"/>
      <c r="X668" s="12"/>
    </row>
    <row r="669" customFormat="false" ht="15.75" hidden="false" customHeight="false" outlineLevel="0" collapsed="false">
      <c r="A669" s="12"/>
      <c r="B669" s="34"/>
      <c r="C669" s="12"/>
      <c r="D669" s="12"/>
      <c r="E669" s="12"/>
      <c r="F669" s="12"/>
      <c r="G669" s="18"/>
      <c r="H669" s="35"/>
      <c r="I669" s="12"/>
      <c r="M669" s="12"/>
      <c r="N669" s="18"/>
      <c r="O669" s="12"/>
      <c r="P669" s="12"/>
      <c r="Q669" s="12"/>
      <c r="R669" s="36"/>
      <c r="S669" s="36"/>
      <c r="T669" s="12"/>
      <c r="U669" s="12"/>
      <c r="V669" s="12"/>
      <c r="W669" s="12"/>
      <c r="X669" s="12"/>
    </row>
    <row r="670" customFormat="false" ht="15.75" hidden="false" customHeight="false" outlineLevel="0" collapsed="false">
      <c r="A670" s="12"/>
      <c r="B670" s="34"/>
      <c r="C670" s="12"/>
      <c r="D670" s="12"/>
      <c r="E670" s="12"/>
      <c r="F670" s="12"/>
      <c r="G670" s="18"/>
      <c r="H670" s="35"/>
      <c r="I670" s="12"/>
      <c r="M670" s="12"/>
      <c r="N670" s="18"/>
      <c r="O670" s="12"/>
      <c r="P670" s="12"/>
      <c r="Q670" s="12"/>
      <c r="R670" s="36"/>
      <c r="S670" s="36"/>
      <c r="T670" s="12"/>
      <c r="U670" s="12"/>
      <c r="V670" s="12"/>
      <c r="W670" s="12"/>
      <c r="X670" s="12"/>
    </row>
    <row r="671" customFormat="false" ht="15.75" hidden="false" customHeight="false" outlineLevel="0" collapsed="false">
      <c r="A671" s="12"/>
      <c r="B671" s="34"/>
      <c r="C671" s="12"/>
      <c r="D671" s="12"/>
      <c r="E671" s="12"/>
      <c r="F671" s="12"/>
      <c r="G671" s="18"/>
      <c r="H671" s="35"/>
      <c r="I671" s="12"/>
      <c r="M671" s="12"/>
      <c r="N671" s="18"/>
      <c r="O671" s="12"/>
      <c r="P671" s="12"/>
      <c r="Q671" s="12"/>
      <c r="R671" s="36"/>
      <c r="S671" s="36"/>
      <c r="T671" s="12"/>
      <c r="U671" s="12"/>
      <c r="V671" s="12"/>
      <c r="W671" s="12"/>
      <c r="X671" s="12"/>
    </row>
    <row r="672" customFormat="false" ht="15.75" hidden="false" customHeight="false" outlineLevel="0" collapsed="false">
      <c r="A672" s="12"/>
      <c r="B672" s="34"/>
      <c r="C672" s="12"/>
      <c r="D672" s="12"/>
      <c r="E672" s="12"/>
      <c r="F672" s="12"/>
      <c r="G672" s="18"/>
      <c r="H672" s="35"/>
      <c r="I672" s="12"/>
      <c r="M672" s="12"/>
      <c r="N672" s="18"/>
      <c r="O672" s="12"/>
      <c r="P672" s="12"/>
      <c r="Q672" s="12"/>
      <c r="R672" s="36"/>
      <c r="S672" s="36"/>
      <c r="T672" s="12"/>
      <c r="U672" s="12"/>
      <c r="V672" s="12"/>
      <c r="W672" s="12"/>
      <c r="X672" s="12"/>
    </row>
    <row r="673" customFormat="false" ht="15.75" hidden="false" customHeight="false" outlineLevel="0" collapsed="false">
      <c r="A673" s="12"/>
      <c r="B673" s="34"/>
      <c r="C673" s="12"/>
      <c r="D673" s="12"/>
      <c r="E673" s="12"/>
      <c r="F673" s="12"/>
      <c r="G673" s="18"/>
      <c r="H673" s="35"/>
      <c r="I673" s="12"/>
      <c r="M673" s="12"/>
      <c r="N673" s="18"/>
      <c r="O673" s="12"/>
      <c r="P673" s="12"/>
      <c r="Q673" s="12"/>
      <c r="R673" s="36"/>
      <c r="S673" s="36"/>
      <c r="T673" s="12"/>
      <c r="U673" s="12"/>
      <c r="V673" s="12"/>
      <c r="W673" s="12"/>
      <c r="X673" s="12"/>
    </row>
    <row r="674" customFormat="false" ht="15.75" hidden="false" customHeight="false" outlineLevel="0" collapsed="false">
      <c r="A674" s="12"/>
      <c r="B674" s="34"/>
      <c r="C674" s="12"/>
      <c r="D674" s="12"/>
      <c r="E674" s="12"/>
      <c r="F674" s="12"/>
      <c r="G674" s="18"/>
      <c r="H674" s="35"/>
      <c r="I674" s="12"/>
      <c r="M674" s="12"/>
      <c r="N674" s="18"/>
      <c r="O674" s="12"/>
      <c r="P674" s="12"/>
      <c r="Q674" s="12"/>
      <c r="R674" s="36"/>
      <c r="S674" s="36"/>
      <c r="T674" s="12"/>
      <c r="U674" s="12"/>
      <c r="V674" s="12"/>
      <c r="W674" s="12"/>
      <c r="X674" s="12"/>
    </row>
    <row r="675" customFormat="false" ht="15.75" hidden="false" customHeight="false" outlineLevel="0" collapsed="false">
      <c r="A675" s="12"/>
      <c r="B675" s="34"/>
      <c r="C675" s="12"/>
      <c r="D675" s="12"/>
      <c r="E675" s="12"/>
      <c r="F675" s="12"/>
      <c r="G675" s="18"/>
      <c r="H675" s="35"/>
      <c r="I675" s="12"/>
      <c r="M675" s="12"/>
      <c r="N675" s="18"/>
      <c r="O675" s="12"/>
      <c r="P675" s="12"/>
      <c r="Q675" s="12"/>
      <c r="R675" s="36"/>
      <c r="S675" s="36"/>
      <c r="T675" s="12"/>
      <c r="U675" s="12"/>
      <c r="V675" s="12"/>
      <c r="W675" s="12"/>
      <c r="X675" s="12"/>
    </row>
    <row r="676" customFormat="false" ht="15.75" hidden="false" customHeight="false" outlineLevel="0" collapsed="false">
      <c r="A676" s="12"/>
      <c r="B676" s="34"/>
      <c r="C676" s="12"/>
      <c r="D676" s="12"/>
      <c r="E676" s="12"/>
      <c r="F676" s="12"/>
      <c r="G676" s="18"/>
      <c r="H676" s="35"/>
      <c r="I676" s="12"/>
      <c r="M676" s="12"/>
      <c r="N676" s="18"/>
      <c r="O676" s="12"/>
      <c r="P676" s="12"/>
      <c r="Q676" s="12"/>
      <c r="R676" s="36"/>
      <c r="S676" s="36"/>
      <c r="T676" s="12"/>
      <c r="U676" s="12"/>
      <c r="V676" s="12"/>
      <c r="W676" s="12"/>
      <c r="X676" s="12"/>
    </row>
    <row r="677" customFormat="false" ht="15.75" hidden="false" customHeight="false" outlineLevel="0" collapsed="false">
      <c r="A677" s="12"/>
      <c r="B677" s="34"/>
      <c r="C677" s="12"/>
      <c r="D677" s="12"/>
      <c r="E677" s="12"/>
      <c r="F677" s="12"/>
      <c r="G677" s="18"/>
      <c r="H677" s="35"/>
      <c r="I677" s="12"/>
      <c r="M677" s="12"/>
      <c r="N677" s="18"/>
      <c r="O677" s="12"/>
      <c r="P677" s="12"/>
      <c r="Q677" s="12"/>
      <c r="R677" s="36"/>
      <c r="S677" s="36"/>
      <c r="T677" s="12"/>
      <c r="U677" s="12"/>
      <c r="V677" s="12"/>
      <c r="W677" s="12"/>
      <c r="X677" s="12"/>
    </row>
    <row r="678" customFormat="false" ht="15.75" hidden="false" customHeight="false" outlineLevel="0" collapsed="false">
      <c r="A678" s="12"/>
      <c r="B678" s="34"/>
      <c r="C678" s="12"/>
      <c r="D678" s="12"/>
      <c r="E678" s="12"/>
      <c r="F678" s="12"/>
      <c r="G678" s="18"/>
      <c r="H678" s="35"/>
      <c r="I678" s="12"/>
      <c r="M678" s="12"/>
      <c r="N678" s="18"/>
      <c r="O678" s="12"/>
      <c r="P678" s="12"/>
      <c r="Q678" s="12"/>
      <c r="R678" s="36"/>
      <c r="S678" s="36"/>
      <c r="T678" s="12"/>
      <c r="U678" s="12"/>
      <c r="V678" s="12"/>
      <c r="W678" s="12"/>
      <c r="X678" s="12"/>
    </row>
    <row r="679" customFormat="false" ht="15.75" hidden="false" customHeight="false" outlineLevel="0" collapsed="false">
      <c r="A679" s="12"/>
      <c r="B679" s="34"/>
      <c r="C679" s="12"/>
      <c r="D679" s="12"/>
      <c r="E679" s="12"/>
      <c r="F679" s="12"/>
      <c r="G679" s="18"/>
      <c r="H679" s="35"/>
      <c r="I679" s="12"/>
      <c r="M679" s="12"/>
      <c r="N679" s="18"/>
      <c r="O679" s="12"/>
      <c r="P679" s="12"/>
      <c r="Q679" s="12"/>
      <c r="R679" s="36"/>
      <c r="S679" s="36"/>
      <c r="T679" s="12"/>
      <c r="U679" s="12"/>
      <c r="V679" s="12"/>
      <c r="W679" s="12"/>
      <c r="X679" s="12"/>
    </row>
    <row r="680" customFormat="false" ht="15.75" hidden="false" customHeight="false" outlineLevel="0" collapsed="false">
      <c r="A680" s="12"/>
      <c r="B680" s="34"/>
      <c r="C680" s="12"/>
      <c r="D680" s="12"/>
      <c r="E680" s="12"/>
      <c r="F680" s="12"/>
      <c r="G680" s="18"/>
      <c r="H680" s="35"/>
      <c r="I680" s="12"/>
      <c r="M680" s="12"/>
      <c r="N680" s="18"/>
      <c r="O680" s="12"/>
      <c r="P680" s="12"/>
      <c r="Q680" s="12"/>
      <c r="R680" s="36"/>
      <c r="S680" s="36"/>
      <c r="T680" s="12"/>
      <c r="U680" s="12"/>
      <c r="V680" s="12"/>
      <c r="W680" s="12"/>
      <c r="X680" s="12"/>
    </row>
    <row r="681" customFormat="false" ht="15.75" hidden="false" customHeight="false" outlineLevel="0" collapsed="false">
      <c r="A681" s="12"/>
      <c r="B681" s="34"/>
      <c r="C681" s="12"/>
      <c r="D681" s="12"/>
      <c r="E681" s="12"/>
      <c r="F681" s="12"/>
      <c r="G681" s="18"/>
      <c r="H681" s="35"/>
      <c r="I681" s="12"/>
      <c r="M681" s="12"/>
      <c r="N681" s="18"/>
      <c r="O681" s="12"/>
      <c r="P681" s="12"/>
      <c r="Q681" s="12"/>
      <c r="R681" s="36"/>
      <c r="S681" s="36"/>
      <c r="T681" s="12"/>
      <c r="U681" s="12"/>
      <c r="V681" s="12"/>
      <c r="W681" s="12"/>
      <c r="X681" s="12"/>
    </row>
    <row r="682" customFormat="false" ht="15.75" hidden="false" customHeight="false" outlineLevel="0" collapsed="false">
      <c r="A682" s="12"/>
      <c r="B682" s="34"/>
      <c r="C682" s="12"/>
      <c r="D682" s="12"/>
      <c r="E682" s="12"/>
      <c r="F682" s="12"/>
      <c r="G682" s="18"/>
      <c r="H682" s="35"/>
      <c r="I682" s="12"/>
      <c r="M682" s="12"/>
      <c r="N682" s="18"/>
      <c r="O682" s="12"/>
      <c r="P682" s="12"/>
      <c r="Q682" s="12"/>
      <c r="R682" s="36"/>
      <c r="S682" s="36"/>
      <c r="T682" s="12"/>
      <c r="U682" s="12"/>
      <c r="V682" s="12"/>
      <c r="W682" s="12"/>
      <c r="X682" s="12"/>
    </row>
    <row r="683" customFormat="false" ht="15.75" hidden="false" customHeight="false" outlineLevel="0" collapsed="false">
      <c r="A683" s="12"/>
      <c r="B683" s="34"/>
      <c r="C683" s="12"/>
      <c r="D683" s="12"/>
      <c r="E683" s="12"/>
      <c r="F683" s="12"/>
      <c r="G683" s="18"/>
      <c r="H683" s="35"/>
      <c r="I683" s="12"/>
      <c r="M683" s="12"/>
      <c r="N683" s="18"/>
      <c r="O683" s="12"/>
      <c r="P683" s="12"/>
      <c r="Q683" s="12"/>
      <c r="R683" s="36"/>
      <c r="S683" s="36"/>
      <c r="T683" s="12"/>
      <c r="U683" s="12"/>
      <c r="V683" s="12"/>
      <c r="W683" s="12"/>
      <c r="X683" s="12"/>
    </row>
    <row r="684" customFormat="false" ht="15.75" hidden="false" customHeight="false" outlineLevel="0" collapsed="false">
      <c r="A684" s="12"/>
      <c r="B684" s="34"/>
      <c r="C684" s="12"/>
      <c r="D684" s="12"/>
      <c r="E684" s="12"/>
      <c r="F684" s="12"/>
      <c r="G684" s="18"/>
      <c r="H684" s="35"/>
      <c r="I684" s="12"/>
      <c r="M684" s="12"/>
      <c r="N684" s="18"/>
      <c r="O684" s="12"/>
      <c r="P684" s="12"/>
      <c r="Q684" s="12"/>
      <c r="R684" s="36"/>
      <c r="S684" s="36"/>
      <c r="T684" s="12"/>
      <c r="U684" s="12"/>
      <c r="V684" s="12"/>
      <c r="W684" s="12"/>
      <c r="X684" s="12"/>
    </row>
    <row r="685" customFormat="false" ht="15.75" hidden="false" customHeight="false" outlineLevel="0" collapsed="false">
      <c r="A685" s="12"/>
      <c r="B685" s="34"/>
      <c r="C685" s="12"/>
      <c r="D685" s="12"/>
      <c r="E685" s="12"/>
      <c r="F685" s="12"/>
      <c r="G685" s="18"/>
      <c r="H685" s="35"/>
      <c r="I685" s="12"/>
      <c r="M685" s="12"/>
      <c r="N685" s="18"/>
      <c r="O685" s="12"/>
      <c r="P685" s="12"/>
      <c r="Q685" s="12"/>
      <c r="R685" s="36"/>
      <c r="S685" s="36"/>
      <c r="T685" s="12"/>
      <c r="U685" s="12"/>
      <c r="V685" s="12"/>
      <c r="W685" s="12"/>
      <c r="X685" s="12"/>
    </row>
    <row r="686" customFormat="false" ht="15.75" hidden="false" customHeight="false" outlineLevel="0" collapsed="false">
      <c r="A686" s="12"/>
      <c r="B686" s="34"/>
      <c r="C686" s="12"/>
      <c r="D686" s="12"/>
      <c r="E686" s="12"/>
      <c r="F686" s="12"/>
      <c r="G686" s="18"/>
      <c r="H686" s="35"/>
      <c r="I686" s="12"/>
      <c r="M686" s="12"/>
      <c r="N686" s="18"/>
      <c r="O686" s="12"/>
      <c r="P686" s="12"/>
      <c r="Q686" s="12"/>
      <c r="R686" s="36"/>
      <c r="S686" s="36"/>
      <c r="T686" s="12"/>
      <c r="U686" s="12"/>
      <c r="V686" s="12"/>
      <c r="W686" s="12"/>
      <c r="X686" s="12"/>
    </row>
    <row r="687" customFormat="false" ht="15.75" hidden="false" customHeight="false" outlineLevel="0" collapsed="false">
      <c r="A687" s="12"/>
      <c r="B687" s="34"/>
      <c r="C687" s="12"/>
      <c r="D687" s="12"/>
      <c r="E687" s="12"/>
      <c r="F687" s="12"/>
      <c r="G687" s="18"/>
      <c r="H687" s="35"/>
      <c r="I687" s="12"/>
      <c r="M687" s="12"/>
      <c r="N687" s="18"/>
      <c r="O687" s="12"/>
      <c r="P687" s="12"/>
      <c r="Q687" s="12"/>
      <c r="R687" s="36"/>
      <c r="S687" s="36"/>
      <c r="T687" s="12"/>
      <c r="U687" s="12"/>
      <c r="V687" s="12"/>
      <c r="W687" s="12"/>
      <c r="X687" s="12"/>
    </row>
    <row r="688" customFormat="false" ht="15.75" hidden="false" customHeight="false" outlineLevel="0" collapsed="false">
      <c r="A688" s="12"/>
      <c r="B688" s="34"/>
      <c r="C688" s="12"/>
      <c r="D688" s="12"/>
      <c r="E688" s="12"/>
      <c r="F688" s="12"/>
      <c r="G688" s="18"/>
      <c r="H688" s="35"/>
      <c r="I688" s="12"/>
      <c r="M688" s="12"/>
      <c r="N688" s="18"/>
      <c r="O688" s="12"/>
      <c r="P688" s="12"/>
      <c r="Q688" s="12"/>
      <c r="R688" s="36"/>
      <c r="S688" s="36"/>
      <c r="T688" s="12"/>
      <c r="U688" s="12"/>
      <c r="V688" s="12"/>
      <c r="W688" s="12"/>
      <c r="X688" s="12"/>
    </row>
    <row r="689" customFormat="false" ht="15.75" hidden="false" customHeight="false" outlineLevel="0" collapsed="false">
      <c r="A689" s="12"/>
      <c r="B689" s="34"/>
      <c r="C689" s="12"/>
      <c r="D689" s="12"/>
      <c r="E689" s="12"/>
      <c r="F689" s="12"/>
      <c r="G689" s="18"/>
      <c r="H689" s="35"/>
      <c r="I689" s="12"/>
      <c r="M689" s="12"/>
      <c r="N689" s="18"/>
      <c r="O689" s="12"/>
      <c r="P689" s="12"/>
      <c r="Q689" s="12"/>
      <c r="R689" s="36"/>
      <c r="S689" s="36"/>
      <c r="T689" s="12"/>
      <c r="U689" s="12"/>
      <c r="V689" s="12"/>
      <c r="W689" s="12"/>
      <c r="X689" s="12"/>
    </row>
    <row r="690" customFormat="false" ht="15.75" hidden="false" customHeight="false" outlineLevel="0" collapsed="false">
      <c r="A690" s="12"/>
      <c r="B690" s="34"/>
      <c r="C690" s="12"/>
      <c r="D690" s="12"/>
      <c r="E690" s="12"/>
      <c r="F690" s="12"/>
      <c r="G690" s="18"/>
      <c r="H690" s="35"/>
      <c r="I690" s="12"/>
      <c r="M690" s="12"/>
      <c r="N690" s="18"/>
      <c r="O690" s="12"/>
      <c r="P690" s="12"/>
      <c r="Q690" s="12"/>
      <c r="R690" s="36"/>
      <c r="S690" s="36"/>
      <c r="T690" s="12"/>
      <c r="U690" s="12"/>
      <c r="V690" s="12"/>
      <c r="W690" s="12"/>
      <c r="X690" s="12"/>
    </row>
    <row r="691" customFormat="false" ht="15.75" hidden="false" customHeight="false" outlineLevel="0" collapsed="false">
      <c r="A691" s="12"/>
      <c r="B691" s="34"/>
      <c r="C691" s="12"/>
      <c r="D691" s="12"/>
      <c r="E691" s="12"/>
      <c r="F691" s="12"/>
      <c r="G691" s="18"/>
      <c r="H691" s="35"/>
      <c r="I691" s="12"/>
      <c r="M691" s="12"/>
      <c r="N691" s="18"/>
      <c r="O691" s="12"/>
      <c r="P691" s="12"/>
      <c r="Q691" s="12"/>
      <c r="R691" s="36"/>
      <c r="S691" s="36"/>
      <c r="T691" s="12"/>
      <c r="U691" s="12"/>
      <c r="V691" s="12"/>
      <c r="W691" s="12"/>
      <c r="X691" s="12"/>
    </row>
    <row r="692" customFormat="false" ht="15.75" hidden="false" customHeight="false" outlineLevel="0" collapsed="false">
      <c r="A692" s="12"/>
      <c r="B692" s="34"/>
      <c r="C692" s="12"/>
      <c r="D692" s="12"/>
      <c r="E692" s="12"/>
      <c r="F692" s="12"/>
      <c r="G692" s="18"/>
      <c r="H692" s="35"/>
      <c r="I692" s="12"/>
      <c r="M692" s="12"/>
      <c r="N692" s="18"/>
      <c r="O692" s="12"/>
      <c r="P692" s="12"/>
      <c r="Q692" s="12"/>
      <c r="R692" s="36"/>
      <c r="S692" s="36"/>
      <c r="T692" s="12"/>
      <c r="U692" s="12"/>
      <c r="V692" s="12"/>
      <c r="W692" s="12"/>
      <c r="X692" s="12"/>
    </row>
    <row r="693" customFormat="false" ht="15.75" hidden="false" customHeight="false" outlineLevel="0" collapsed="false">
      <c r="A693" s="12"/>
      <c r="B693" s="34"/>
      <c r="C693" s="12"/>
      <c r="D693" s="12"/>
      <c r="E693" s="12"/>
      <c r="F693" s="12"/>
      <c r="G693" s="18"/>
      <c r="H693" s="35"/>
      <c r="I693" s="12"/>
      <c r="M693" s="12"/>
      <c r="N693" s="18"/>
      <c r="O693" s="12"/>
      <c r="P693" s="12"/>
      <c r="Q693" s="12"/>
      <c r="R693" s="36"/>
      <c r="S693" s="36"/>
      <c r="T693" s="12"/>
      <c r="U693" s="12"/>
      <c r="V693" s="12"/>
      <c r="W693" s="12"/>
      <c r="X693" s="12"/>
    </row>
    <row r="694" customFormat="false" ht="15.75" hidden="false" customHeight="false" outlineLevel="0" collapsed="false">
      <c r="A694" s="12"/>
      <c r="B694" s="34"/>
      <c r="C694" s="12"/>
      <c r="D694" s="12"/>
      <c r="E694" s="12"/>
      <c r="F694" s="12"/>
      <c r="G694" s="18"/>
      <c r="H694" s="35"/>
      <c r="I694" s="12"/>
      <c r="M694" s="12"/>
      <c r="N694" s="18"/>
      <c r="O694" s="12"/>
      <c r="P694" s="12"/>
      <c r="Q694" s="12"/>
      <c r="R694" s="36"/>
      <c r="S694" s="36"/>
      <c r="T694" s="12"/>
      <c r="U694" s="12"/>
      <c r="V694" s="12"/>
      <c r="W694" s="12"/>
      <c r="X694" s="12"/>
    </row>
    <row r="695" customFormat="false" ht="15.75" hidden="false" customHeight="false" outlineLevel="0" collapsed="false">
      <c r="A695" s="12"/>
      <c r="B695" s="34"/>
      <c r="C695" s="12"/>
      <c r="D695" s="12"/>
      <c r="E695" s="12"/>
      <c r="F695" s="12"/>
      <c r="G695" s="18"/>
      <c r="H695" s="35"/>
      <c r="I695" s="12"/>
      <c r="M695" s="12"/>
      <c r="N695" s="18"/>
      <c r="O695" s="12"/>
      <c r="P695" s="12"/>
      <c r="Q695" s="12"/>
      <c r="R695" s="36"/>
      <c r="S695" s="36"/>
      <c r="T695" s="12"/>
      <c r="U695" s="12"/>
      <c r="V695" s="12"/>
      <c r="W695" s="12"/>
      <c r="X695" s="12"/>
    </row>
    <row r="696" customFormat="false" ht="15.75" hidden="false" customHeight="false" outlineLevel="0" collapsed="false">
      <c r="A696" s="12"/>
      <c r="B696" s="34"/>
      <c r="C696" s="12"/>
      <c r="D696" s="12"/>
      <c r="E696" s="12"/>
      <c r="F696" s="12"/>
      <c r="G696" s="18"/>
      <c r="H696" s="35"/>
      <c r="I696" s="12"/>
      <c r="M696" s="12"/>
      <c r="N696" s="18"/>
      <c r="O696" s="12"/>
      <c r="P696" s="12"/>
      <c r="Q696" s="12"/>
      <c r="R696" s="36"/>
      <c r="S696" s="36"/>
      <c r="T696" s="12"/>
      <c r="U696" s="12"/>
      <c r="V696" s="12"/>
      <c r="W696" s="12"/>
      <c r="X696" s="12"/>
    </row>
    <row r="697" customFormat="false" ht="15.75" hidden="false" customHeight="false" outlineLevel="0" collapsed="false">
      <c r="A697" s="12"/>
      <c r="B697" s="34"/>
      <c r="C697" s="12"/>
      <c r="D697" s="12"/>
      <c r="E697" s="12"/>
      <c r="F697" s="12"/>
      <c r="G697" s="18"/>
      <c r="H697" s="35"/>
      <c r="I697" s="12"/>
      <c r="M697" s="12"/>
      <c r="N697" s="18"/>
      <c r="O697" s="12"/>
      <c r="P697" s="12"/>
      <c r="Q697" s="12"/>
      <c r="R697" s="36"/>
      <c r="S697" s="36"/>
      <c r="T697" s="12"/>
      <c r="U697" s="12"/>
      <c r="V697" s="12"/>
      <c r="W697" s="12"/>
      <c r="X697" s="12"/>
    </row>
    <row r="698" customFormat="false" ht="15.75" hidden="false" customHeight="false" outlineLevel="0" collapsed="false">
      <c r="A698" s="12"/>
      <c r="B698" s="34"/>
      <c r="C698" s="12"/>
      <c r="D698" s="12"/>
      <c r="E698" s="12"/>
      <c r="F698" s="12"/>
      <c r="G698" s="18"/>
      <c r="H698" s="35"/>
      <c r="I698" s="12"/>
      <c r="M698" s="12"/>
      <c r="N698" s="18"/>
      <c r="O698" s="12"/>
      <c r="P698" s="12"/>
      <c r="Q698" s="12"/>
      <c r="R698" s="36"/>
      <c r="S698" s="36"/>
      <c r="T698" s="12"/>
      <c r="U698" s="12"/>
      <c r="V698" s="12"/>
      <c r="W698" s="12"/>
      <c r="X698" s="12"/>
    </row>
    <row r="699" customFormat="false" ht="15.75" hidden="false" customHeight="false" outlineLevel="0" collapsed="false">
      <c r="A699" s="12"/>
      <c r="B699" s="34"/>
      <c r="C699" s="12"/>
      <c r="D699" s="12"/>
      <c r="E699" s="12"/>
      <c r="F699" s="12"/>
      <c r="G699" s="18"/>
      <c r="H699" s="35"/>
      <c r="I699" s="12"/>
      <c r="M699" s="12"/>
      <c r="N699" s="18"/>
      <c r="O699" s="12"/>
      <c r="P699" s="12"/>
      <c r="Q699" s="12"/>
      <c r="R699" s="36"/>
      <c r="S699" s="36"/>
      <c r="T699" s="12"/>
      <c r="U699" s="12"/>
      <c r="V699" s="12"/>
      <c r="W699" s="12"/>
      <c r="X699" s="12"/>
    </row>
    <row r="700" customFormat="false" ht="15.75" hidden="false" customHeight="false" outlineLevel="0" collapsed="false">
      <c r="A700" s="12"/>
      <c r="B700" s="34"/>
      <c r="C700" s="12"/>
      <c r="D700" s="12"/>
      <c r="E700" s="12"/>
      <c r="F700" s="12"/>
      <c r="G700" s="18"/>
      <c r="H700" s="35"/>
      <c r="I700" s="12"/>
      <c r="M700" s="12"/>
      <c r="N700" s="18"/>
      <c r="O700" s="12"/>
      <c r="P700" s="12"/>
      <c r="Q700" s="12"/>
      <c r="R700" s="36"/>
      <c r="S700" s="36"/>
      <c r="T700" s="12"/>
      <c r="U700" s="12"/>
      <c r="V700" s="12"/>
      <c r="W700" s="12"/>
      <c r="X700" s="12"/>
    </row>
    <row r="701" customFormat="false" ht="15.75" hidden="false" customHeight="false" outlineLevel="0" collapsed="false">
      <c r="A701" s="12"/>
      <c r="B701" s="34"/>
      <c r="C701" s="12"/>
      <c r="D701" s="12"/>
      <c r="E701" s="12"/>
      <c r="F701" s="12"/>
      <c r="G701" s="18"/>
      <c r="H701" s="35"/>
      <c r="I701" s="12"/>
      <c r="M701" s="12"/>
      <c r="N701" s="18"/>
      <c r="O701" s="12"/>
      <c r="P701" s="12"/>
      <c r="Q701" s="12"/>
      <c r="R701" s="36"/>
      <c r="S701" s="36"/>
      <c r="T701" s="12"/>
      <c r="U701" s="12"/>
      <c r="V701" s="12"/>
      <c r="W701" s="12"/>
      <c r="X701" s="12"/>
    </row>
    <row r="702" customFormat="false" ht="15.75" hidden="false" customHeight="false" outlineLevel="0" collapsed="false">
      <c r="A702" s="12"/>
      <c r="B702" s="34"/>
      <c r="C702" s="12"/>
      <c r="D702" s="12"/>
      <c r="E702" s="12"/>
      <c r="F702" s="12"/>
      <c r="G702" s="18"/>
      <c r="H702" s="35"/>
      <c r="I702" s="12"/>
      <c r="M702" s="12"/>
      <c r="N702" s="18"/>
      <c r="O702" s="12"/>
      <c r="P702" s="12"/>
      <c r="Q702" s="12"/>
      <c r="R702" s="36"/>
      <c r="S702" s="36"/>
      <c r="T702" s="12"/>
      <c r="U702" s="12"/>
      <c r="V702" s="12"/>
      <c r="W702" s="12"/>
      <c r="X702" s="12"/>
    </row>
    <row r="703" customFormat="false" ht="15.75" hidden="false" customHeight="false" outlineLevel="0" collapsed="false">
      <c r="A703" s="12"/>
      <c r="B703" s="34"/>
      <c r="C703" s="12"/>
      <c r="D703" s="12"/>
      <c r="E703" s="12"/>
      <c r="F703" s="12"/>
      <c r="G703" s="18"/>
      <c r="H703" s="35"/>
      <c r="I703" s="12"/>
      <c r="M703" s="12"/>
      <c r="N703" s="18"/>
      <c r="O703" s="12"/>
      <c r="P703" s="12"/>
      <c r="Q703" s="12"/>
      <c r="R703" s="36"/>
      <c r="S703" s="36"/>
      <c r="T703" s="12"/>
      <c r="U703" s="12"/>
      <c r="V703" s="12"/>
      <c r="W703" s="12"/>
      <c r="X703" s="12"/>
    </row>
    <row r="704" customFormat="false" ht="15.75" hidden="false" customHeight="false" outlineLevel="0" collapsed="false">
      <c r="A704" s="12"/>
      <c r="B704" s="34"/>
      <c r="C704" s="12"/>
      <c r="D704" s="12"/>
      <c r="E704" s="12"/>
      <c r="F704" s="12"/>
      <c r="G704" s="18"/>
      <c r="H704" s="35"/>
      <c r="I704" s="12"/>
      <c r="M704" s="12"/>
      <c r="N704" s="18"/>
      <c r="O704" s="12"/>
      <c r="P704" s="12"/>
      <c r="Q704" s="12"/>
      <c r="R704" s="36"/>
      <c r="S704" s="36"/>
      <c r="T704" s="12"/>
      <c r="U704" s="12"/>
      <c r="V704" s="12"/>
      <c r="W704" s="12"/>
      <c r="X704" s="12"/>
    </row>
    <row r="705" customFormat="false" ht="15.75" hidden="false" customHeight="false" outlineLevel="0" collapsed="false">
      <c r="A705" s="12"/>
      <c r="B705" s="34"/>
      <c r="C705" s="12"/>
      <c r="D705" s="12"/>
      <c r="E705" s="12"/>
      <c r="F705" s="12"/>
      <c r="G705" s="18"/>
      <c r="H705" s="35"/>
      <c r="I705" s="12"/>
      <c r="M705" s="12"/>
      <c r="N705" s="18"/>
      <c r="O705" s="12"/>
      <c r="P705" s="12"/>
      <c r="Q705" s="12"/>
      <c r="R705" s="36"/>
      <c r="S705" s="36"/>
      <c r="T705" s="12"/>
      <c r="U705" s="12"/>
      <c r="V705" s="12"/>
      <c r="W705" s="12"/>
      <c r="X705" s="12"/>
    </row>
    <row r="706" customFormat="false" ht="15.75" hidden="false" customHeight="false" outlineLevel="0" collapsed="false">
      <c r="A706" s="12"/>
      <c r="B706" s="34"/>
      <c r="C706" s="12"/>
      <c r="D706" s="12"/>
      <c r="E706" s="12"/>
      <c r="F706" s="12"/>
      <c r="G706" s="18"/>
      <c r="H706" s="35"/>
      <c r="I706" s="12"/>
      <c r="M706" s="12"/>
      <c r="N706" s="18"/>
      <c r="O706" s="12"/>
      <c r="P706" s="12"/>
      <c r="Q706" s="12"/>
      <c r="R706" s="36"/>
      <c r="S706" s="36"/>
      <c r="T706" s="12"/>
      <c r="U706" s="12"/>
      <c r="V706" s="12"/>
      <c r="W706" s="12"/>
      <c r="X706" s="12"/>
    </row>
    <row r="707" customFormat="false" ht="15.75" hidden="false" customHeight="false" outlineLevel="0" collapsed="false">
      <c r="A707" s="12"/>
      <c r="B707" s="34"/>
      <c r="C707" s="12"/>
      <c r="D707" s="12"/>
      <c r="E707" s="12"/>
      <c r="F707" s="12"/>
      <c r="G707" s="18"/>
      <c r="H707" s="35"/>
      <c r="I707" s="12"/>
      <c r="M707" s="12"/>
      <c r="N707" s="18"/>
      <c r="O707" s="12"/>
      <c r="P707" s="12"/>
      <c r="Q707" s="12"/>
      <c r="R707" s="36"/>
      <c r="S707" s="36"/>
      <c r="T707" s="12"/>
      <c r="U707" s="12"/>
      <c r="V707" s="12"/>
      <c r="W707" s="12"/>
      <c r="X707" s="12"/>
    </row>
    <row r="708" customFormat="false" ht="15.75" hidden="false" customHeight="false" outlineLevel="0" collapsed="false">
      <c r="A708" s="12"/>
      <c r="B708" s="34"/>
      <c r="C708" s="12"/>
      <c r="D708" s="12"/>
      <c r="E708" s="12"/>
      <c r="F708" s="12"/>
      <c r="G708" s="18"/>
      <c r="H708" s="35"/>
      <c r="I708" s="12"/>
      <c r="M708" s="12"/>
      <c r="N708" s="18"/>
      <c r="O708" s="12"/>
      <c r="P708" s="12"/>
      <c r="Q708" s="12"/>
      <c r="R708" s="36"/>
      <c r="S708" s="36"/>
      <c r="T708" s="12"/>
      <c r="U708" s="12"/>
      <c r="V708" s="12"/>
      <c r="W708" s="12"/>
      <c r="X708" s="12"/>
    </row>
    <row r="709" customFormat="false" ht="15.75" hidden="false" customHeight="false" outlineLevel="0" collapsed="false">
      <c r="A709" s="12"/>
      <c r="B709" s="34"/>
      <c r="C709" s="12"/>
      <c r="D709" s="12"/>
      <c r="E709" s="12"/>
      <c r="F709" s="12"/>
      <c r="G709" s="18"/>
      <c r="H709" s="35"/>
      <c r="I709" s="12"/>
      <c r="M709" s="12"/>
      <c r="N709" s="18"/>
      <c r="O709" s="12"/>
      <c r="P709" s="12"/>
      <c r="Q709" s="12"/>
      <c r="R709" s="36"/>
      <c r="S709" s="36"/>
      <c r="T709" s="12"/>
      <c r="U709" s="12"/>
      <c r="V709" s="12"/>
      <c r="W709" s="12"/>
      <c r="X709" s="12"/>
    </row>
    <row r="710" customFormat="false" ht="15.75" hidden="false" customHeight="false" outlineLevel="0" collapsed="false">
      <c r="A710" s="12"/>
      <c r="B710" s="34"/>
      <c r="C710" s="12"/>
      <c r="D710" s="12"/>
      <c r="E710" s="12"/>
      <c r="F710" s="12"/>
      <c r="G710" s="18"/>
      <c r="H710" s="35"/>
      <c r="I710" s="12"/>
      <c r="M710" s="12"/>
      <c r="N710" s="18"/>
      <c r="O710" s="12"/>
      <c r="P710" s="12"/>
      <c r="Q710" s="12"/>
      <c r="R710" s="36"/>
      <c r="S710" s="36"/>
      <c r="T710" s="12"/>
      <c r="U710" s="12"/>
      <c r="V710" s="12"/>
      <c r="W710" s="12"/>
      <c r="X710" s="12"/>
    </row>
    <row r="711" customFormat="false" ht="15.75" hidden="false" customHeight="false" outlineLevel="0" collapsed="false">
      <c r="A711" s="12"/>
      <c r="B711" s="34"/>
      <c r="C711" s="12"/>
      <c r="D711" s="12"/>
      <c r="E711" s="12"/>
      <c r="F711" s="12"/>
      <c r="G711" s="18"/>
      <c r="H711" s="35"/>
      <c r="I711" s="12"/>
      <c r="M711" s="12"/>
      <c r="N711" s="18"/>
      <c r="O711" s="12"/>
      <c r="P711" s="12"/>
      <c r="Q711" s="12"/>
      <c r="R711" s="36"/>
      <c r="S711" s="36"/>
      <c r="T711" s="12"/>
      <c r="U711" s="12"/>
      <c r="V711" s="12"/>
      <c r="W711" s="12"/>
      <c r="X711" s="12"/>
    </row>
    <row r="712" customFormat="false" ht="15.75" hidden="false" customHeight="false" outlineLevel="0" collapsed="false">
      <c r="A712" s="12"/>
      <c r="B712" s="34"/>
      <c r="C712" s="12"/>
      <c r="D712" s="12"/>
      <c r="E712" s="12"/>
      <c r="F712" s="12"/>
      <c r="G712" s="18"/>
      <c r="H712" s="35"/>
      <c r="I712" s="12"/>
      <c r="M712" s="12"/>
      <c r="N712" s="18"/>
      <c r="O712" s="12"/>
      <c r="P712" s="12"/>
      <c r="Q712" s="12"/>
      <c r="R712" s="36"/>
      <c r="S712" s="36"/>
      <c r="T712" s="12"/>
      <c r="U712" s="12"/>
      <c r="V712" s="12"/>
      <c r="W712" s="12"/>
      <c r="X712" s="12"/>
    </row>
    <row r="713" customFormat="false" ht="15.75" hidden="false" customHeight="false" outlineLevel="0" collapsed="false">
      <c r="A713" s="12"/>
      <c r="B713" s="34"/>
      <c r="C713" s="12"/>
      <c r="D713" s="12"/>
      <c r="E713" s="12"/>
      <c r="F713" s="12"/>
      <c r="G713" s="18"/>
      <c r="H713" s="35"/>
      <c r="I713" s="12"/>
      <c r="M713" s="12"/>
      <c r="N713" s="18"/>
      <c r="O713" s="12"/>
      <c r="P713" s="12"/>
      <c r="Q713" s="12"/>
      <c r="R713" s="36"/>
      <c r="S713" s="36"/>
      <c r="T713" s="12"/>
      <c r="U713" s="12"/>
      <c r="V713" s="12"/>
      <c r="W713" s="12"/>
      <c r="X713" s="12"/>
    </row>
    <row r="714" customFormat="false" ht="15.75" hidden="false" customHeight="false" outlineLevel="0" collapsed="false">
      <c r="A714" s="12"/>
      <c r="B714" s="34"/>
      <c r="C714" s="12"/>
      <c r="D714" s="12"/>
      <c r="E714" s="12"/>
      <c r="F714" s="12"/>
      <c r="G714" s="18"/>
      <c r="H714" s="35"/>
      <c r="I714" s="12"/>
      <c r="M714" s="12"/>
      <c r="N714" s="18"/>
      <c r="O714" s="12"/>
      <c r="P714" s="12"/>
      <c r="Q714" s="12"/>
      <c r="R714" s="36"/>
      <c r="S714" s="36"/>
      <c r="T714" s="12"/>
      <c r="U714" s="12"/>
      <c r="V714" s="12"/>
      <c r="W714" s="12"/>
      <c r="X714" s="12"/>
    </row>
    <row r="715" customFormat="false" ht="15.75" hidden="false" customHeight="false" outlineLevel="0" collapsed="false">
      <c r="A715" s="12"/>
      <c r="B715" s="34"/>
      <c r="C715" s="12"/>
      <c r="D715" s="12"/>
      <c r="E715" s="12"/>
      <c r="F715" s="12"/>
      <c r="G715" s="18"/>
      <c r="H715" s="35"/>
      <c r="I715" s="12"/>
      <c r="M715" s="12"/>
      <c r="N715" s="18"/>
      <c r="O715" s="12"/>
      <c r="P715" s="12"/>
      <c r="Q715" s="12"/>
      <c r="R715" s="36"/>
      <c r="S715" s="36"/>
      <c r="T715" s="12"/>
      <c r="U715" s="12"/>
      <c r="V715" s="12"/>
      <c r="W715" s="12"/>
      <c r="X715" s="12"/>
    </row>
    <row r="716" customFormat="false" ht="15.75" hidden="false" customHeight="false" outlineLevel="0" collapsed="false">
      <c r="A716" s="12"/>
      <c r="B716" s="34"/>
      <c r="C716" s="12"/>
      <c r="D716" s="12"/>
      <c r="E716" s="12"/>
      <c r="F716" s="12"/>
      <c r="G716" s="18"/>
      <c r="H716" s="35"/>
      <c r="I716" s="12"/>
      <c r="M716" s="12"/>
      <c r="N716" s="18"/>
      <c r="O716" s="12"/>
      <c r="P716" s="12"/>
      <c r="Q716" s="12"/>
      <c r="R716" s="36"/>
      <c r="S716" s="36"/>
      <c r="T716" s="12"/>
      <c r="U716" s="12"/>
      <c r="V716" s="12"/>
      <c r="W716" s="12"/>
      <c r="X716" s="12"/>
    </row>
    <row r="717" customFormat="false" ht="15.75" hidden="false" customHeight="false" outlineLevel="0" collapsed="false">
      <c r="A717" s="12"/>
      <c r="B717" s="34"/>
      <c r="C717" s="12"/>
      <c r="D717" s="12"/>
      <c r="E717" s="12"/>
      <c r="F717" s="12"/>
      <c r="G717" s="18"/>
      <c r="H717" s="35"/>
      <c r="I717" s="12"/>
      <c r="M717" s="12"/>
      <c r="N717" s="18"/>
      <c r="O717" s="12"/>
      <c r="P717" s="12"/>
      <c r="Q717" s="12"/>
      <c r="R717" s="36"/>
      <c r="S717" s="36"/>
      <c r="T717" s="12"/>
      <c r="U717" s="12"/>
      <c r="V717" s="12"/>
      <c r="W717" s="12"/>
      <c r="X717" s="12"/>
    </row>
    <row r="718" customFormat="false" ht="15.75" hidden="false" customHeight="false" outlineLevel="0" collapsed="false">
      <c r="A718" s="12"/>
      <c r="B718" s="34"/>
      <c r="C718" s="12"/>
      <c r="D718" s="12"/>
      <c r="E718" s="12"/>
      <c r="F718" s="12"/>
      <c r="G718" s="18"/>
      <c r="H718" s="35"/>
      <c r="I718" s="12"/>
      <c r="M718" s="12"/>
      <c r="N718" s="18"/>
      <c r="O718" s="12"/>
      <c r="P718" s="12"/>
      <c r="Q718" s="12"/>
      <c r="R718" s="36"/>
      <c r="S718" s="36"/>
      <c r="T718" s="12"/>
      <c r="U718" s="12"/>
      <c r="V718" s="12"/>
      <c r="W718" s="12"/>
      <c r="X718" s="12"/>
    </row>
    <row r="719" customFormat="false" ht="15.75" hidden="false" customHeight="false" outlineLevel="0" collapsed="false">
      <c r="A719" s="12"/>
      <c r="B719" s="34"/>
      <c r="C719" s="12"/>
      <c r="D719" s="12"/>
      <c r="E719" s="12"/>
      <c r="F719" s="12"/>
      <c r="G719" s="18"/>
      <c r="H719" s="35"/>
      <c r="I719" s="12"/>
      <c r="M719" s="12"/>
      <c r="N719" s="18"/>
      <c r="O719" s="12"/>
      <c r="P719" s="12"/>
      <c r="Q719" s="12"/>
      <c r="R719" s="36"/>
      <c r="S719" s="36"/>
      <c r="T719" s="12"/>
      <c r="U719" s="12"/>
      <c r="V719" s="12"/>
      <c r="W719" s="12"/>
      <c r="X719" s="12"/>
    </row>
    <row r="720" customFormat="false" ht="15.75" hidden="false" customHeight="false" outlineLevel="0" collapsed="false">
      <c r="A720" s="12"/>
      <c r="B720" s="34"/>
      <c r="C720" s="12"/>
      <c r="D720" s="12"/>
      <c r="E720" s="12"/>
      <c r="F720" s="12"/>
      <c r="G720" s="18"/>
      <c r="H720" s="35"/>
      <c r="I720" s="12"/>
      <c r="M720" s="12"/>
      <c r="N720" s="18"/>
      <c r="O720" s="12"/>
      <c r="P720" s="12"/>
      <c r="Q720" s="12"/>
      <c r="R720" s="36"/>
      <c r="S720" s="36"/>
      <c r="T720" s="12"/>
      <c r="U720" s="12"/>
      <c r="V720" s="12"/>
      <c r="W720" s="12"/>
      <c r="X720" s="12"/>
    </row>
    <row r="721" customFormat="false" ht="15.75" hidden="false" customHeight="false" outlineLevel="0" collapsed="false">
      <c r="A721" s="12"/>
      <c r="B721" s="34"/>
      <c r="C721" s="12"/>
      <c r="D721" s="12"/>
      <c r="E721" s="12"/>
      <c r="F721" s="12"/>
      <c r="G721" s="18"/>
      <c r="H721" s="35"/>
      <c r="I721" s="12"/>
      <c r="M721" s="12"/>
      <c r="N721" s="18"/>
      <c r="O721" s="12"/>
      <c r="P721" s="12"/>
      <c r="Q721" s="12"/>
      <c r="R721" s="36"/>
      <c r="S721" s="36"/>
      <c r="T721" s="12"/>
      <c r="U721" s="12"/>
      <c r="V721" s="12"/>
      <c r="W721" s="12"/>
      <c r="X721" s="12"/>
    </row>
    <row r="722" customFormat="false" ht="15.75" hidden="false" customHeight="false" outlineLevel="0" collapsed="false">
      <c r="A722" s="12"/>
      <c r="B722" s="34"/>
      <c r="C722" s="12"/>
      <c r="D722" s="12"/>
      <c r="E722" s="12"/>
      <c r="F722" s="12"/>
      <c r="G722" s="18"/>
      <c r="H722" s="35"/>
      <c r="I722" s="12"/>
      <c r="M722" s="12"/>
      <c r="N722" s="18"/>
      <c r="O722" s="12"/>
      <c r="P722" s="12"/>
      <c r="Q722" s="12"/>
      <c r="R722" s="36"/>
      <c r="S722" s="36"/>
      <c r="T722" s="12"/>
      <c r="U722" s="12"/>
      <c r="V722" s="12"/>
      <c r="W722" s="12"/>
      <c r="X722" s="12"/>
    </row>
    <row r="723" customFormat="false" ht="15.75" hidden="false" customHeight="false" outlineLevel="0" collapsed="false">
      <c r="A723" s="12"/>
      <c r="B723" s="34"/>
      <c r="C723" s="12"/>
      <c r="D723" s="12"/>
      <c r="E723" s="12"/>
      <c r="F723" s="12"/>
      <c r="G723" s="18"/>
      <c r="H723" s="35"/>
      <c r="I723" s="12"/>
      <c r="M723" s="12"/>
      <c r="N723" s="18"/>
      <c r="O723" s="12"/>
      <c r="P723" s="12"/>
      <c r="Q723" s="12"/>
      <c r="R723" s="36"/>
      <c r="S723" s="36"/>
      <c r="T723" s="12"/>
      <c r="U723" s="12"/>
      <c r="V723" s="12"/>
      <c r="W723" s="12"/>
      <c r="X723" s="12"/>
    </row>
    <row r="724" customFormat="false" ht="15.75" hidden="false" customHeight="false" outlineLevel="0" collapsed="false">
      <c r="A724" s="12"/>
      <c r="B724" s="34"/>
      <c r="C724" s="12"/>
      <c r="D724" s="12"/>
      <c r="E724" s="12"/>
      <c r="F724" s="12"/>
      <c r="G724" s="18"/>
      <c r="H724" s="35"/>
      <c r="I724" s="12"/>
      <c r="M724" s="12"/>
      <c r="N724" s="18"/>
      <c r="O724" s="12"/>
      <c r="P724" s="12"/>
      <c r="Q724" s="12"/>
      <c r="R724" s="36"/>
      <c r="S724" s="36"/>
      <c r="T724" s="12"/>
      <c r="U724" s="12"/>
      <c r="V724" s="12"/>
      <c r="W724" s="12"/>
      <c r="X724" s="12"/>
    </row>
    <row r="725" customFormat="false" ht="15.75" hidden="false" customHeight="false" outlineLevel="0" collapsed="false">
      <c r="A725" s="12"/>
      <c r="B725" s="34"/>
      <c r="C725" s="12"/>
      <c r="D725" s="12"/>
      <c r="E725" s="12"/>
      <c r="F725" s="12"/>
      <c r="G725" s="18"/>
      <c r="H725" s="35"/>
      <c r="I725" s="12"/>
      <c r="M725" s="12"/>
      <c r="N725" s="18"/>
      <c r="O725" s="12"/>
      <c r="P725" s="12"/>
      <c r="Q725" s="12"/>
      <c r="R725" s="36"/>
      <c r="S725" s="36"/>
      <c r="T725" s="12"/>
      <c r="U725" s="12"/>
      <c r="V725" s="12"/>
      <c r="W725" s="12"/>
      <c r="X725" s="12"/>
    </row>
    <row r="726" customFormat="false" ht="15.75" hidden="false" customHeight="false" outlineLevel="0" collapsed="false">
      <c r="A726" s="12"/>
      <c r="B726" s="34"/>
      <c r="C726" s="12"/>
      <c r="D726" s="12"/>
      <c r="E726" s="12"/>
      <c r="F726" s="12"/>
      <c r="G726" s="18"/>
      <c r="H726" s="35"/>
      <c r="I726" s="12"/>
      <c r="M726" s="12"/>
      <c r="N726" s="18"/>
      <c r="O726" s="12"/>
      <c r="P726" s="12"/>
      <c r="Q726" s="12"/>
      <c r="R726" s="36"/>
      <c r="S726" s="36"/>
      <c r="T726" s="12"/>
      <c r="U726" s="12"/>
      <c r="V726" s="12"/>
      <c r="W726" s="12"/>
      <c r="X726" s="12"/>
    </row>
    <row r="727" customFormat="false" ht="15.75" hidden="false" customHeight="false" outlineLevel="0" collapsed="false">
      <c r="A727" s="12"/>
      <c r="B727" s="34"/>
      <c r="C727" s="12"/>
      <c r="D727" s="12"/>
      <c r="E727" s="12"/>
      <c r="F727" s="12"/>
      <c r="G727" s="18"/>
      <c r="H727" s="35"/>
      <c r="I727" s="12"/>
      <c r="M727" s="12"/>
      <c r="N727" s="18"/>
      <c r="O727" s="12"/>
      <c r="P727" s="12"/>
      <c r="Q727" s="12"/>
      <c r="R727" s="36"/>
      <c r="S727" s="36"/>
      <c r="T727" s="12"/>
      <c r="U727" s="12"/>
      <c r="V727" s="12"/>
      <c r="W727" s="12"/>
      <c r="X727" s="12"/>
    </row>
    <row r="728" customFormat="false" ht="15.75" hidden="false" customHeight="false" outlineLevel="0" collapsed="false">
      <c r="A728" s="12"/>
      <c r="B728" s="34"/>
      <c r="C728" s="12"/>
      <c r="D728" s="12"/>
      <c r="E728" s="12"/>
      <c r="F728" s="12"/>
      <c r="G728" s="18"/>
      <c r="H728" s="35"/>
      <c r="I728" s="12"/>
      <c r="M728" s="12"/>
      <c r="N728" s="18"/>
      <c r="O728" s="12"/>
      <c r="P728" s="12"/>
      <c r="Q728" s="12"/>
      <c r="R728" s="36"/>
      <c r="S728" s="36"/>
      <c r="T728" s="12"/>
      <c r="U728" s="12"/>
      <c r="V728" s="12"/>
      <c r="W728" s="12"/>
      <c r="X728" s="12"/>
    </row>
    <row r="729" customFormat="false" ht="15.75" hidden="false" customHeight="false" outlineLevel="0" collapsed="false">
      <c r="A729" s="12"/>
      <c r="B729" s="34"/>
      <c r="C729" s="12"/>
      <c r="D729" s="12"/>
      <c r="E729" s="12"/>
      <c r="F729" s="12"/>
      <c r="G729" s="18"/>
      <c r="H729" s="35"/>
      <c r="I729" s="12"/>
      <c r="M729" s="12"/>
      <c r="N729" s="18"/>
      <c r="O729" s="12"/>
      <c r="P729" s="12"/>
      <c r="Q729" s="12"/>
      <c r="R729" s="36"/>
      <c r="S729" s="36"/>
      <c r="T729" s="12"/>
      <c r="U729" s="12"/>
      <c r="V729" s="12"/>
      <c r="W729" s="12"/>
      <c r="X729" s="12"/>
    </row>
    <row r="730" customFormat="false" ht="15.75" hidden="false" customHeight="false" outlineLevel="0" collapsed="false">
      <c r="A730" s="12"/>
      <c r="B730" s="34"/>
      <c r="C730" s="12"/>
      <c r="D730" s="12"/>
      <c r="E730" s="12"/>
      <c r="F730" s="12"/>
      <c r="G730" s="18"/>
      <c r="H730" s="35"/>
      <c r="I730" s="12"/>
      <c r="M730" s="12"/>
      <c r="N730" s="18"/>
      <c r="O730" s="12"/>
      <c r="P730" s="12"/>
      <c r="Q730" s="12"/>
      <c r="R730" s="36"/>
      <c r="S730" s="36"/>
      <c r="T730" s="12"/>
      <c r="U730" s="12"/>
      <c r="V730" s="12"/>
      <c r="W730" s="12"/>
      <c r="X730" s="12"/>
    </row>
    <row r="731" customFormat="false" ht="15.75" hidden="false" customHeight="false" outlineLevel="0" collapsed="false">
      <c r="A731" s="12"/>
      <c r="B731" s="34"/>
      <c r="C731" s="12"/>
      <c r="D731" s="12"/>
      <c r="E731" s="12"/>
      <c r="F731" s="12"/>
      <c r="G731" s="18"/>
      <c r="H731" s="35"/>
      <c r="I731" s="12"/>
      <c r="M731" s="12"/>
      <c r="N731" s="18"/>
      <c r="O731" s="12"/>
      <c r="P731" s="12"/>
      <c r="Q731" s="12"/>
      <c r="R731" s="36"/>
      <c r="S731" s="36"/>
      <c r="T731" s="12"/>
      <c r="U731" s="12"/>
      <c r="V731" s="12"/>
      <c r="W731" s="12"/>
      <c r="X731" s="12"/>
    </row>
    <row r="732" customFormat="false" ht="15.75" hidden="false" customHeight="false" outlineLevel="0" collapsed="false">
      <c r="A732" s="12"/>
      <c r="B732" s="34"/>
      <c r="C732" s="12"/>
      <c r="D732" s="12"/>
      <c r="E732" s="12"/>
      <c r="F732" s="12"/>
      <c r="G732" s="18"/>
      <c r="H732" s="35"/>
      <c r="I732" s="12"/>
      <c r="M732" s="12"/>
      <c r="N732" s="18"/>
      <c r="O732" s="12"/>
      <c r="P732" s="12"/>
      <c r="Q732" s="12"/>
      <c r="R732" s="36"/>
      <c r="S732" s="36"/>
      <c r="T732" s="12"/>
      <c r="U732" s="12"/>
      <c r="V732" s="12"/>
      <c r="W732" s="12"/>
      <c r="X732" s="12"/>
    </row>
    <row r="733" customFormat="false" ht="15.75" hidden="false" customHeight="false" outlineLevel="0" collapsed="false">
      <c r="A733" s="12"/>
      <c r="B733" s="34"/>
      <c r="C733" s="12"/>
      <c r="D733" s="12"/>
      <c r="E733" s="12"/>
      <c r="F733" s="12"/>
      <c r="G733" s="18"/>
      <c r="H733" s="35"/>
      <c r="I733" s="12"/>
      <c r="M733" s="12"/>
      <c r="N733" s="18"/>
      <c r="O733" s="12"/>
      <c r="P733" s="12"/>
      <c r="Q733" s="12"/>
      <c r="R733" s="36"/>
      <c r="S733" s="36"/>
      <c r="T733" s="12"/>
      <c r="U733" s="12"/>
      <c r="V733" s="12"/>
      <c r="W733" s="12"/>
      <c r="X733" s="12"/>
    </row>
    <row r="734" customFormat="false" ht="15.75" hidden="false" customHeight="false" outlineLevel="0" collapsed="false">
      <c r="A734" s="12"/>
      <c r="B734" s="34"/>
      <c r="C734" s="12"/>
      <c r="D734" s="12"/>
      <c r="E734" s="12"/>
      <c r="F734" s="12"/>
      <c r="G734" s="18"/>
      <c r="H734" s="35"/>
      <c r="I734" s="12"/>
      <c r="M734" s="12"/>
      <c r="N734" s="18"/>
      <c r="O734" s="12"/>
      <c r="P734" s="12"/>
      <c r="Q734" s="12"/>
      <c r="R734" s="36"/>
      <c r="S734" s="36"/>
      <c r="T734" s="12"/>
      <c r="U734" s="12"/>
      <c r="V734" s="12"/>
      <c r="W734" s="12"/>
      <c r="X734" s="12"/>
    </row>
    <row r="735" customFormat="false" ht="15.75" hidden="false" customHeight="false" outlineLevel="0" collapsed="false">
      <c r="A735" s="12"/>
      <c r="B735" s="34"/>
      <c r="C735" s="12"/>
      <c r="D735" s="12"/>
      <c r="E735" s="12"/>
      <c r="F735" s="12"/>
      <c r="G735" s="18"/>
      <c r="H735" s="35"/>
      <c r="I735" s="12"/>
      <c r="M735" s="12"/>
      <c r="N735" s="18"/>
      <c r="O735" s="12"/>
      <c r="P735" s="12"/>
      <c r="Q735" s="12"/>
      <c r="R735" s="36"/>
      <c r="S735" s="36"/>
      <c r="T735" s="12"/>
      <c r="U735" s="12"/>
      <c r="V735" s="12"/>
      <c r="W735" s="12"/>
      <c r="X735" s="12"/>
    </row>
    <row r="736" customFormat="false" ht="15.75" hidden="false" customHeight="false" outlineLevel="0" collapsed="false">
      <c r="A736" s="12"/>
      <c r="B736" s="34"/>
      <c r="C736" s="12"/>
      <c r="D736" s="12"/>
      <c r="E736" s="12"/>
      <c r="F736" s="12"/>
      <c r="G736" s="18"/>
      <c r="H736" s="35"/>
      <c r="I736" s="12"/>
      <c r="M736" s="12"/>
      <c r="N736" s="18"/>
      <c r="O736" s="12"/>
      <c r="P736" s="12"/>
      <c r="Q736" s="12"/>
      <c r="R736" s="36"/>
      <c r="S736" s="36"/>
      <c r="T736" s="12"/>
      <c r="U736" s="12"/>
      <c r="V736" s="12"/>
      <c r="W736" s="12"/>
      <c r="X736" s="12"/>
    </row>
    <row r="737" customFormat="false" ht="15.75" hidden="false" customHeight="false" outlineLevel="0" collapsed="false">
      <c r="A737" s="12"/>
      <c r="B737" s="34"/>
      <c r="C737" s="12"/>
      <c r="D737" s="12"/>
      <c r="E737" s="12"/>
      <c r="F737" s="12"/>
      <c r="G737" s="18"/>
      <c r="H737" s="35"/>
      <c r="I737" s="12"/>
      <c r="M737" s="12"/>
      <c r="N737" s="18"/>
      <c r="O737" s="12"/>
      <c r="P737" s="12"/>
      <c r="Q737" s="12"/>
      <c r="R737" s="36"/>
      <c r="S737" s="36"/>
      <c r="T737" s="12"/>
      <c r="U737" s="12"/>
      <c r="V737" s="12"/>
      <c r="W737" s="12"/>
      <c r="X737" s="12"/>
    </row>
    <row r="738" customFormat="false" ht="15.75" hidden="false" customHeight="false" outlineLevel="0" collapsed="false">
      <c r="A738" s="12"/>
      <c r="B738" s="34"/>
      <c r="C738" s="12"/>
      <c r="D738" s="12"/>
      <c r="E738" s="12"/>
      <c r="F738" s="12"/>
      <c r="G738" s="18"/>
      <c r="H738" s="35"/>
      <c r="I738" s="12"/>
      <c r="M738" s="12"/>
      <c r="N738" s="18"/>
      <c r="O738" s="12"/>
      <c r="P738" s="12"/>
      <c r="Q738" s="12"/>
      <c r="R738" s="36"/>
      <c r="S738" s="36"/>
      <c r="T738" s="12"/>
      <c r="U738" s="12"/>
      <c r="V738" s="12"/>
      <c r="W738" s="12"/>
      <c r="X738" s="12"/>
    </row>
    <row r="739" customFormat="false" ht="15.75" hidden="false" customHeight="false" outlineLevel="0" collapsed="false">
      <c r="A739" s="12"/>
      <c r="B739" s="34"/>
      <c r="C739" s="12"/>
      <c r="D739" s="12"/>
      <c r="E739" s="12"/>
      <c r="F739" s="12"/>
      <c r="G739" s="18"/>
      <c r="H739" s="35"/>
      <c r="I739" s="12"/>
      <c r="M739" s="12"/>
      <c r="N739" s="18"/>
      <c r="O739" s="12"/>
      <c r="P739" s="12"/>
      <c r="Q739" s="12"/>
      <c r="R739" s="36"/>
      <c r="S739" s="36"/>
      <c r="T739" s="12"/>
      <c r="U739" s="12"/>
      <c r="V739" s="12"/>
      <c r="W739" s="12"/>
      <c r="X739" s="12"/>
    </row>
    <row r="740" customFormat="false" ht="15.75" hidden="false" customHeight="false" outlineLevel="0" collapsed="false">
      <c r="A740" s="12"/>
      <c r="B740" s="34"/>
      <c r="C740" s="12"/>
      <c r="D740" s="12"/>
      <c r="E740" s="12"/>
      <c r="F740" s="12"/>
      <c r="G740" s="18"/>
      <c r="H740" s="35"/>
      <c r="I740" s="12"/>
      <c r="M740" s="12"/>
      <c r="N740" s="18"/>
      <c r="O740" s="12"/>
      <c r="P740" s="12"/>
      <c r="Q740" s="12"/>
      <c r="R740" s="36"/>
      <c r="S740" s="36"/>
      <c r="T740" s="12"/>
      <c r="U740" s="12"/>
      <c r="V740" s="12"/>
      <c r="W740" s="12"/>
      <c r="X740" s="12"/>
    </row>
    <row r="741" customFormat="false" ht="15.75" hidden="false" customHeight="false" outlineLevel="0" collapsed="false">
      <c r="A741" s="12"/>
      <c r="B741" s="34"/>
      <c r="C741" s="12"/>
      <c r="D741" s="12"/>
      <c r="E741" s="12"/>
      <c r="F741" s="12"/>
      <c r="G741" s="18"/>
      <c r="H741" s="35"/>
      <c r="I741" s="12"/>
      <c r="M741" s="12"/>
      <c r="N741" s="18"/>
      <c r="O741" s="12"/>
      <c r="P741" s="12"/>
      <c r="Q741" s="12"/>
      <c r="R741" s="36"/>
      <c r="S741" s="36"/>
      <c r="T741" s="12"/>
      <c r="U741" s="12"/>
      <c r="V741" s="12"/>
      <c r="W741" s="12"/>
      <c r="X741" s="12"/>
    </row>
    <row r="742" customFormat="false" ht="15.75" hidden="false" customHeight="false" outlineLevel="0" collapsed="false">
      <c r="A742" s="12"/>
      <c r="B742" s="34"/>
      <c r="C742" s="12"/>
      <c r="D742" s="12"/>
      <c r="E742" s="12"/>
      <c r="F742" s="12"/>
      <c r="G742" s="18"/>
      <c r="H742" s="35"/>
      <c r="I742" s="12"/>
      <c r="M742" s="12"/>
      <c r="N742" s="18"/>
      <c r="O742" s="12"/>
      <c r="P742" s="12"/>
      <c r="Q742" s="12"/>
      <c r="R742" s="36"/>
      <c r="S742" s="36"/>
      <c r="T742" s="12"/>
      <c r="U742" s="12"/>
      <c r="V742" s="12"/>
      <c r="W742" s="12"/>
      <c r="X742" s="12"/>
    </row>
    <row r="743" customFormat="false" ht="15.75" hidden="false" customHeight="false" outlineLevel="0" collapsed="false">
      <c r="A743" s="12"/>
      <c r="B743" s="34"/>
      <c r="C743" s="12"/>
      <c r="D743" s="12"/>
      <c r="E743" s="12"/>
      <c r="F743" s="12"/>
      <c r="G743" s="18"/>
      <c r="H743" s="35"/>
      <c r="I743" s="12"/>
      <c r="M743" s="12"/>
      <c r="N743" s="18"/>
      <c r="O743" s="12"/>
      <c r="P743" s="12"/>
      <c r="Q743" s="12"/>
      <c r="R743" s="36"/>
      <c r="S743" s="36"/>
      <c r="T743" s="12"/>
      <c r="U743" s="12"/>
      <c r="V743" s="12"/>
      <c r="W743" s="12"/>
      <c r="X743" s="12"/>
    </row>
    <row r="744" customFormat="false" ht="15.75" hidden="false" customHeight="false" outlineLevel="0" collapsed="false">
      <c r="A744" s="12"/>
      <c r="B744" s="34"/>
      <c r="C744" s="12"/>
      <c r="D744" s="12"/>
      <c r="E744" s="12"/>
      <c r="F744" s="12"/>
      <c r="G744" s="18"/>
      <c r="H744" s="35"/>
      <c r="I744" s="12"/>
      <c r="M744" s="12"/>
      <c r="N744" s="18"/>
      <c r="O744" s="12"/>
      <c r="P744" s="12"/>
      <c r="Q744" s="12"/>
      <c r="R744" s="36"/>
      <c r="S744" s="36"/>
      <c r="T744" s="12"/>
      <c r="U744" s="12"/>
      <c r="V744" s="12"/>
      <c r="W744" s="12"/>
      <c r="X744" s="12"/>
    </row>
    <row r="745" customFormat="false" ht="15.75" hidden="false" customHeight="false" outlineLevel="0" collapsed="false">
      <c r="A745" s="12"/>
      <c r="B745" s="34"/>
      <c r="C745" s="12"/>
      <c r="D745" s="12"/>
      <c r="E745" s="12"/>
      <c r="F745" s="12"/>
      <c r="G745" s="18"/>
      <c r="H745" s="35"/>
      <c r="I745" s="12"/>
      <c r="M745" s="12"/>
      <c r="N745" s="18"/>
      <c r="O745" s="12"/>
      <c r="P745" s="12"/>
      <c r="Q745" s="12"/>
      <c r="R745" s="36"/>
      <c r="S745" s="36"/>
      <c r="T745" s="12"/>
      <c r="U745" s="12"/>
      <c r="V745" s="12"/>
      <c r="W745" s="12"/>
      <c r="X745" s="12"/>
    </row>
    <row r="746" customFormat="false" ht="15.75" hidden="false" customHeight="false" outlineLevel="0" collapsed="false">
      <c r="A746" s="12"/>
      <c r="B746" s="34"/>
      <c r="C746" s="12"/>
      <c r="D746" s="12"/>
      <c r="E746" s="12"/>
      <c r="F746" s="12"/>
      <c r="G746" s="18"/>
      <c r="H746" s="35"/>
      <c r="I746" s="12"/>
      <c r="M746" s="12"/>
      <c r="N746" s="18"/>
      <c r="O746" s="12"/>
      <c r="P746" s="12"/>
      <c r="Q746" s="12"/>
      <c r="R746" s="36"/>
      <c r="S746" s="36"/>
      <c r="T746" s="12"/>
      <c r="U746" s="12"/>
      <c r="V746" s="12"/>
      <c r="W746" s="12"/>
      <c r="X746" s="12"/>
    </row>
    <row r="747" customFormat="false" ht="15.75" hidden="false" customHeight="false" outlineLevel="0" collapsed="false">
      <c r="A747" s="12"/>
      <c r="B747" s="34"/>
      <c r="C747" s="12"/>
      <c r="D747" s="12"/>
      <c r="E747" s="12"/>
      <c r="F747" s="12"/>
      <c r="G747" s="18"/>
      <c r="H747" s="35"/>
      <c r="I747" s="12"/>
      <c r="M747" s="12"/>
      <c r="N747" s="18"/>
      <c r="O747" s="12"/>
      <c r="P747" s="12"/>
      <c r="Q747" s="12"/>
      <c r="R747" s="36"/>
      <c r="S747" s="36"/>
      <c r="T747" s="12"/>
      <c r="U747" s="12"/>
      <c r="V747" s="12"/>
      <c r="W747" s="12"/>
      <c r="X747" s="12"/>
    </row>
    <row r="748" customFormat="false" ht="15.75" hidden="false" customHeight="false" outlineLevel="0" collapsed="false">
      <c r="A748" s="12"/>
      <c r="B748" s="34"/>
      <c r="C748" s="12"/>
      <c r="D748" s="12"/>
      <c r="E748" s="12"/>
      <c r="F748" s="12"/>
      <c r="G748" s="18"/>
      <c r="H748" s="35"/>
      <c r="I748" s="12"/>
      <c r="M748" s="12"/>
      <c r="N748" s="18"/>
      <c r="O748" s="12"/>
      <c r="P748" s="12"/>
      <c r="Q748" s="12"/>
      <c r="R748" s="36"/>
      <c r="S748" s="36"/>
      <c r="T748" s="12"/>
      <c r="U748" s="12"/>
      <c r="V748" s="12"/>
      <c r="W748" s="12"/>
      <c r="X748" s="12"/>
    </row>
    <row r="749" customFormat="false" ht="15.75" hidden="false" customHeight="false" outlineLevel="0" collapsed="false">
      <c r="A749" s="12"/>
      <c r="B749" s="34"/>
      <c r="C749" s="12"/>
      <c r="D749" s="12"/>
      <c r="E749" s="12"/>
      <c r="F749" s="12"/>
      <c r="G749" s="18"/>
      <c r="H749" s="35"/>
      <c r="I749" s="12"/>
      <c r="M749" s="12"/>
      <c r="N749" s="18"/>
      <c r="O749" s="12"/>
      <c r="P749" s="12"/>
      <c r="Q749" s="12"/>
      <c r="R749" s="36"/>
      <c r="S749" s="36"/>
      <c r="T749" s="12"/>
      <c r="U749" s="12"/>
      <c r="V749" s="12"/>
      <c r="W749" s="12"/>
      <c r="X749" s="12"/>
    </row>
    <row r="750" customFormat="false" ht="15.75" hidden="false" customHeight="false" outlineLevel="0" collapsed="false">
      <c r="A750" s="12"/>
      <c r="B750" s="34"/>
      <c r="C750" s="12"/>
      <c r="D750" s="12"/>
      <c r="E750" s="12"/>
      <c r="F750" s="12"/>
      <c r="G750" s="18"/>
      <c r="H750" s="35"/>
      <c r="I750" s="12"/>
      <c r="M750" s="12"/>
      <c r="N750" s="18"/>
      <c r="O750" s="12"/>
      <c r="P750" s="12"/>
      <c r="Q750" s="12"/>
      <c r="R750" s="36"/>
      <c r="S750" s="36"/>
      <c r="T750" s="12"/>
      <c r="U750" s="12"/>
      <c r="V750" s="12"/>
      <c r="W750" s="12"/>
      <c r="X750" s="12"/>
    </row>
    <row r="751" customFormat="false" ht="15.75" hidden="false" customHeight="false" outlineLevel="0" collapsed="false">
      <c r="A751" s="12"/>
      <c r="B751" s="34"/>
      <c r="C751" s="12"/>
      <c r="D751" s="12"/>
      <c r="E751" s="12"/>
      <c r="F751" s="12"/>
      <c r="G751" s="18"/>
      <c r="H751" s="35"/>
      <c r="I751" s="12"/>
      <c r="M751" s="12"/>
      <c r="N751" s="18"/>
      <c r="O751" s="12"/>
      <c r="P751" s="12"/>
      <c r="Q751" s="12"/>
      <c r="R751" s="36"/>
      <c r="S751" s="36"/>
      <c r="T751" s="12"/>
      <c r="U751" s="12"/>
      <c r="V751" s="12"/>
      <c r="W751" s="12"/>
      <c r="X751" s="12"/>
    </row>
    <row r="752" customFormat="false" ht="15.75" hidden="false" customHeight="false" outlineLevel="0" collapsed="false">
      <c r="A752" s="12"/>
      <c r="B752" s="34"/>
      <c r="C752" s="12"/>
      <c r="D752" s="12"/>
      <c r="E752" s="12"/>
      <c r="F752" s="12"/>
      <c r="G752" s="18"/>
      <c r="H752" s="35"/>
      <c r="I752" s="12"/>
      <c r="M752" s="12"/>
      <c r="N752" s="18"/>
      <c r="O752" s="12"/>
      <c r="P752" s="12"/>
      <c r="Q752" s="12"/>
      <c r="R752" s="36"/>
      <c r="S752" s="36"/>
      <c r="T752" s="12"/>
      <c r="U752" s="12"/>
      <c r="V752" s="12"/>
      <c r="W752" s="12"/>
      <c r="X752" s="12"/>
    </row>
    <row r="753" customFormat="false" ht="15.75" hidden="false" customHeight="false" outlineLevel="0" collapsed="false">
      <c r="A753" s="12"/>
      <c r="B753" s="34"/>
      <c r="C753" s="12"/>
      <c r="D753" s="12"/>
      <c r="E753" s="12"/>
      <c r="F753" s="12"/>
      <c r="G753" s="18"/>
      <c r="H753" s="35"/>
      <c r="I753" s="12"/>
      <c r="M753" s="12"/>
      <c r="N753" s="18"/>
      <c r="O753" s="12"/>
      <c r="P753" s="12"/>
      <c r="Q753" s="12"/>
      <c r="R753" s="36"/>
      <c r="S753" s="36"/>
      <c r="T753" s="12"/>
      <c r="U753" s="12"/>
      <c r="V753" s="12"/>
      <c r="W753" s="12"/>
      <c r="X753" s="12"/>
    </row>
    <row r="754" customFormat="false" ht="15.75" hidden="false" customHeight="false" outlineLevel="0" collapsed="false">
      <c r="A754" s="12"/>
      <c r="B754" s="34"/>
      <c r="C754" s="12"/>
      <c r="D754" s="12"/>
      <c r="E754" s="12"/>
      <c r="F754" s="12"/>
      <c r="G754" s="18"/>
      <c r="H754" s="35"/>
      <c r="I754" s="12"/>
      <c r="M754" s="12"/>
      <c r="N754" s="18"/>
      <c r="O754" s="12"/>
      <c r="P754" s="12"/>
      <c r="Q754" s="12"/>
      <c r="R754" s="36"/>
      <c r="S754" s="36"/>
      <c r="T754" s="12"/>
      <c r="U754" s="12"/>
      <c r="V754" s="12"/>
      <c r="W754" s="12"/>
      <c r="X754" s="12"/>
    </row>
    <row r="755" customFormat="false" ht="15.75" hidden="false" customHeight="false" outlineLevel="0" collapsed="false">
      <c r="A755" s="12"/>
      <c r="B755" s="34"/>
      <c r="C755" s="12"/>
      <c r="D755" s="12"/>
      <c r="E755" s="12"/>
      <c r="F755" s="12"/>
      <c r="G755" s="18"/>
      <c r="H755" s="35"/>
      <c r="I755" s="12"/>
      <c r="M755" s="12"/>
      <c r="N755" s="18"/>
      <c r="O755" s="12"/>
      <c r="P755" s="12"/>
      <c r="Q755" s="12"/>
      <c r="R755" s="36"/>
      <c r="S755" s="36"/>
      <c r="T755" s="12"/>
      <c r="U755" s="12"/>
      <c r="V755" s="12"/>
      <c r="W755" s="12"/>
      <c r="X755" s="12"/>
    </row>
    <row r="756" customFormat="false" ht="15.75" hidden="false" customHeight="false" outlineLevel="0" collapsed="false">
      <c r="A756" s="12"/>
      <c r="B756" s="34"/>
      <c r="C756" s="12"/>
      <c r="D756" s="12"/>
      <c r="E756" s="12"/>
      <c r="F756" s="12"/>
      <c r="G756" s="18"/>
      <c r="H756" s="35"/>
      <c r="I756" s="12"/>
      <c r="M756" s="12"/>
      <c r="N756" s="18"/>
      <c r="O756" s="12"/>
      <c r="P756" s="12"/>
      <c r="Q756" s="12"/>
      <c r="R756" s="36"/>
      <c r="S756" s="36"/>
      <c r="T756" s="12"/>
      <c r="U756" s="12"/>
      <c r="V756" s="12"/>
      <c r="W756" s="12"/>
      <c r="X756" s="12"/>
    </row>
    <row r="757" customFormat="false" ht="15.75" hidden="false" customHeight="false" outlineLevel="0" collapsed="false">
      <c r="A757" s="12"/>
      <c r="B757" s="34"/>
      <c r="C757" s="12"/>
      <c r="D757" s="12"/>
      <c r="E757" s="12"/>
      <c r="F757" s="12"/>
      <c r="G757" s="18"/>
      <c r="H757" s="35"/>
      <c r="I757" s="12"/>
      <c r="M757" s="12"/>
      <c r="N757" s="18"/>
      <c r="O757" s="12"/>
      <c r="P757" s="12"/>
      <c r="Q757" s="12"/>
      <c r="R757" s="36"/>
      <c r="S757" s="36"/>
      <c r="T757" s="12"/>
      <c r="U757" s="12"/>
      <c r="V757" s="12"/>
      <c r="W757" s="12"/>
      <c r="X757" s="12"/>
    </row>
    <row r="758" customFormat="false" ht="15.75" hidden="false" customHeight="false" outlineLevel="0" collapsed="false">
      <c r="A758" s="12"/>
      <c r="B758" s="34"/>
      <c r="C758" s="12"/>
      <c r="D758" s="12"/>
      <c r="E758" s="12"/>
      <c r="F758" s="12"/>
      <c r="G758" s="18"/>
      <c r="H758" s="35"/>
      <c r="I758" s="12"/>
      <c r="M758" s="12"/>
      <c r="N758" s="18"/>
      <c r="O758" s="12"/>
      <c r="P758" s="12"/>
      <c r="Q758" s="12"/>
      <c r="R758" s="36"/>
      <c r="S758" s="36"/>
      <c r="T758" s="12"/>
      <c r="U758" s="12"/>
      <c r="V758" s="12"/>
      <c r="W758" s="12"/>
      <c r="X758" s="12"/>
    </row>
    <row r="759" customFormat="false" ht="15.75" hidden="false" customHeight="false" outlineLevel="0" collapsed="false">
      <c r="A759" s="12"/>
      <c r="B759" s="34"/>
      <c r="C759" s="12"/>
      <c r="D759" s="12"/>
      <c r="E759" s="12"/>
      <c r="F759" s="12"/>
      <c r="G759" s="18"/>
      <c r="H759" s="35"/>
      <c r="I759" s="12"/>
      <c r="M759" s="12"/>
      <c r="N759" s="18"/>
      <c r="O759" s="12"/>
      <c r="P759" s="12"/>
      <c r="Q759" s="12"/>
      <c r="R759" s="36"/>
      <c r="S759" s="36"/>
      <c r="T759" s="12"/>
      <c r="U759" s="12"/>
      <c r="V759" s="12"/>
      <c r="W759" s="12"/>
      <c r="X759" s="12"/>
    </row>
    <row r="760" customFormat="false" ht="15.75" hidden="false" customHeight="false" outlineLevel="0" collapsed="false">
      <c r="A760" s="12"/>
      <c r="B760" s="34"/>
      <c r="C760" s="12"/>
      <c r="D760" s="12"/>
      <c r="E760" s="12"/>
      <c r="F760" s="12"/>
      <c r="G760" s="18"/>
      <c r="H760" s="35"/>
      <c r="I760" s="12"/>
      <c r="M760" s="12"/>
      <c r="N760" s="18"/>
      <c r="O760" s="12"/>
      <c r="P760" s="12"/>
      <c r="Q760" s="12"/>
      <c r="R760" s="36"/>
      <c r="S760" s="36"/>
      <c r="T760" s="12"/>
      <c r="U760" s="12"/>
      <c r="V760" s="12"/>
      <c r="W760" s="12"/>
      <c r="X760" s="12"/>
    </row>
    <row r="761" customFormat="false" ht="15.75" hidden="false" customHeight="false" outlineLevel="0" collapsed="false">
      <c r="A761" s="12"/>
      <c r="B761" s="34"/>
      <c r="C761" s="12"/>
      <c r="D761" s="12"/>
      <c r="E761" s="12"/>
      <c r="F761" s="12"/>
      <c r="G761" s="18"/>
      <c r="H761" s="35"/>
      <c r="I761" s="12"/>
      <c r="M761" s="12"/>
      <c r="N761" s="18"/>
      <c r="O761" s="12"/>
      <c r="P761" s="12"/>
      <c r="Q761" s="12"/>
      <c r="R761" s="36"/>
      <c r="S761" s="36"/>
      <c r="T761" s="12"/>
      <c r="U761" s="12"/>
      <c r="V761" s="12"/>
      <c r="W761" s="12"/>
      <c r="X761" s="12"/>
    </row>
    <row r="762" customFormat="false" ht="15.75" hidden="false" customHeight="false" outlineLevel="0" collapsed="false">
      <c r="A762" s="12"/>
      <c r="B762" s="34"/>
      <c r="C762" s="12"/>
      <c r="D762" s="12"/>
      <c r="E762" s="12"/>
      <c r="F762" s="12"/>
      <c r="G762" s="18"/>
      <c r="H762" s="35"/>
      <c r="I762" s="12"/>
      <c r="M762" s="12"/>
      <c r="N762" s="18"/>
      <c r="O762" s="12"/>
      <c r="P762" s="12"/>
      <c r="Q762" s="12"/>
      <c r="R762" s="36"/>
      <c r="S762" s="36"/>
      <c r="T762" s="12"/>
      <c r="U762" s="12"/>
      <c r="V762" s="12"/>
      <c r="W762" s="12"/>
      <c r="X762" s="12"/>
    </row>
    <row r="763" customFormat="false" ht="15.75" hidden="false" customHeight="false" outlineLevel="0" collapsed="false">
      <c r="A763" s="12"/>
      <c r="B763" s="34"/>
      <c r="C763" s="12"/>
      <c r="D763" s="12"/>
      <c r="E763" s="12"/>
      <c r="F763" s="12"/>
      <c r="G763" s="18"/>
      <c r="H763" s="35"/>
      <c r="I763" s="12"/>
      <c r="M763" s="12"/>
      <c r="N763" s="18"/>
      <c r="O763" s="12"/>
      <c r="P763" s="12"/>
      <c r="Q763" s="12"/>
      <c r="R763" s="36"/>
      <c r="S763" s="36"/>
      <c r="T763" s="12"/>
      <c r="U763" s="12"/>
      <c r="V763" s="12"/>
      <c r="W763" s="12"/>
      <c r="X763" s="12"/>
    </row>
    <row r="764" customFormat="false" ht="15.75" hidden="false" customHeight="false" outlineLevel="0" collapsed="false">
      <c r="A764" s="12"/>
      <c r="B764" s="34"/>
      <c r="C764" s="12"/>
      <c r="D764" s="12"/>
      <c r="E764" s="12"/>
      <c r="F764" s="12"/>
      <c r="G764" s="18"/>
      <c r="H764" s="35"/>
      <c r="I764" s="12"/>
      <c r="M764" s="12"/>
      <c r="N764" s="18"/>
      <c r="O764" s="12"/>
      <c r="P764" s="12"/>
      <c r="Q764" s="12"/>
      <c r="R764" s="36"/>
      <c r="S764" s="36"/>
      <c r="T764" s="12"/>
      <c r="U764" s="12"/>
      <c r="V764" s="12"/>
      <c r="W764" s="12"/>
      <c r="X764" s="12"/>
    </row>
    <row r="765" customFormat="false" ht="15.75" hidden="false" customHeight="false" outlineLevel="0" collapsed="false">
      <c r="A765" s="12"/>
      <c r="B765" s="34"/>
      <c r="C765" s="12"/>
      <c r="D765" s="12"/>
      <c r="E765" s="12"/>
      <c r="F765" s="12"/>
      <c r="G765" s="18"/>
      <c r="H765" s="35"/>
      <c r="I765" s="12"/>
      <c r="M765" s="12"/>
      <c r="N765" s="18"/>
      <c r="O765" s="12"/>
      <c r="P765" s="12"/>
      <c r="Q765" s="12"/>
      <c r="R765" s="36"/>
      <c r="S765" s="36"/>
      <c r="T765" s="12"/>
      <c r="U765" s="12"/>
      <c r="V765" s="12"/>
      <c r="W765" s="12"/>
      <c r="X765" s="12"/>
    </row>
    <row r="766" customFormat="false" ht="15.75" hidden="false" customHeight="false" outlineLevel="0" collapsed="false">
      <c r="A766" s="12"/>
      <c r="B766" s="34"/>
      <c r="C766" s="12"/>
      <c r="D766" s="12"/>
      <c r="E766" s="12"/>
      <c r="F766" s="12"/>
      <c r="G766" s="18"/>
      <c r="H766" s="35"/>
      <c r="I766" s="12"/>
      <c r="M766" s="12"/>
      <c r="N766" s="18"/>
      <c r="O766" s="12"/>
      <c r="P766" s="12"/>
      <c r="Q766" s="12"/>
      <c r="R766" s="36"/>
      <c r="S766" s="36"/>
      <c r="T766" s="12"/>
      <c r="U766" s="12"/>
      <c r="V766" s="12"/>
      <c r="W766" s="12"/>
      <c r="X766" s="12"/>
    </row>
    <row r="767" customFormat="false" ht="15.75" hidden="false" customHeight="false" outlineLevel="0" collapsed="false">
      <c r="A767" s="12"/>
      <c r="B767" s="34"/>
      <c r="C767" s="12"/>
      <c r="D767" s="12"/>
      <c r="E767" s="12"/>
      <c r="F767" s="12"/>
      <c r="G767" s="18"/>
      <c r="H767" s="35"/>
      <c r="I767" s="12"/>
      <c r="M767" s="12"/>
      <c r="N767" s="18"/>
      <c r="O767" s="12"/>
      <c r="P767" s="12"/>
      <c r="Q767" s="12"/>
      <c r="R767" s="36"/>
      <c r="S767" s="36"/>
      <c r="T767" s="12"/>
      <c r="U767" s="12"/>
      <c r="V767" s="12"/>
      <c r="W767" s="12"/>
      <c r="X767" s="12"/>
    </row>
    <row r="768" customFormat="false" ht="15.75" hidden="false" customHeight="false" outlineLevel="0" collapsed="false">
      <c r="A768" s="12"/>
      <c r="B768" s="34"/>
      <c r="C768" s="12"/>
      <c r="D768" s="12"/>
      <c r="E768" s="12"/>
      <c r="F768" s="12"/>
      <c r="G768" s="18"/>
      <c r="H768" s="35"/>
      <c r="I768" s="12"/>
      <c r="M768" s="12"/>
      <c r="N768" s="18"/>
      <c r="O768" s="12"/>
      <c r="P768" s="12"/>
      <c r="Q768" s="12"/>
      <c r="R768" s="36"/>
      <c r="S768" s="36"/>
      <c r="T768" s="12"/>
      <c r="U768" s="12"/>
      <c r="V768" s="12"/>
      <c r="W768" s="12"/>
      <c r="X768" s="12"/>
    </row>
    <row r="769" customFormat="false" ht="15.75" hidden="false" customHeight="false" outlineLevel="0" collapsed="false">
      <c r="A769" s="12"/>
      <c r="B769" s="34"/>
      <c r="C769" s="12"/>
      <c r="D769" s="12"/>
      <c r="E769" s="12"/>
      <c r="F769" s="12"/>
      <c r="G769" s="18"/>
      <c r="H769" s="35"/>
      <c r="I769" s="12"/>
      <c r="M769" s="12"/>
      <c r="N769" s="18"/>
      <c r="O769" s="12"/>
      <c r="P769" s="12"/>
      <c r="Q769" s="12"/>
      <c r="R769" s="36"/>
      <c r="S769" s="36"/>
      <c r="T769" s="12"/>
      <c r="U769" s="12"/>
      <c r="V769" s="12"/>
      <c r="W769" s="12"/>
      <c r="X769" s="12"/>
    </row>
    <row r="770" customFormat="false" ht="15.75" hidden="false" customHeight="false" outlineLevel="0" collapsed="false">
      <c r="A770" s="12"/>
      <c r="B770" s="34"/>
      <c r="C770" s="12"/>
      <c r="D770" s="12"/>
      <c r="E770" s="12"/>
      <c r="F770" s="12"/>
      <c r="G770" s="18"/>
      <c r="H770" s="35"/>
      <c r="I770" s="12"/>
      <c r="M770" s="12"/>
      <c r="N770" s="18"/>
      <c r="O770" s="12"/>
      <c r="P770" s="12"/>
      <c r="Q770" s="12"/>
      <c r="R770" s="36"/>
      <c r="S770" s="36"/>
      <c r="T770" s="12"/>
      <c r="U770" s="12"/>
      <c r="V770" s="12"/>
      <c r="W770" s="12"/>
      <c r="X770" s="12"/>
    </row>
    <row r="771" customFormat="false" ht="15.75" hidden="false" customHeight="false" outlineLevel="0" collapsed="false">
      <c r="A771" s="12"/>
      <c r="B771" s="34"/>
      <c r="C771" s="12"/>
      <c r="D771" s="12"/>
      <c r="E771" s="12"/>
      <c r="F771" s="12"/>
      <c r="G771" s="18"/>
      <c r="H771" s="35"/>
      <c r="I771" s="12"/>
      <c r="M771" s="12"/>
      <c r="N771" s="18"/>
      <c r="O771" s="12"/>
      <c r="P771" s="12"/>
      <c r="Q771" s="12"/>
      <c r="R771" s="36"/>
      <c r="S771" s="36"/>
      <c r="T771" s="12"/>
      <c r="U771" s="12"/>
      <c r="V771" s="12"/>
      <c r="W771" s="12"/>
      <c r="X771" s="12"/>
    </row>
    <row r="772" customFormat="false" ht="15.75" hidden="false" customHeight="false" outlineLevel="0" collapsed="false">
      <c r="A772" s="12"/>
      <c r="B772" s="34"/>
      <c r="C772" s="12"/>
      <c r="D772" s="12"/>
      <c r="E772" s="12"/>
      <c r="F772" s="12"/>
      <c r="G772" s="18"/>
      <c r="H772" s="35"/>
      <c r="I772" s="12"/>
      <c r="M772" s="12"/>
      <c r="N772" s="18"/>
      <c r="O772" s="12"/>
      <c r="P772" s="12"/>
      <c r="Q772" s="12"/>
      <c r="R772" s="36"/>
      <c r="S772" s="36"/>
      <c r="T772" s="12"/>
      <c r="U772" s="12"/>
      <c r="V772" s="12"/>
      <c r="W772" s="12"/>
      <c r="X772" s="12"/>
    </row>
    <row r="773" customFormat="false" ht="15.75" hidden="false" customHeight="false" outlineLevel="0" collapsed="false">
      <c r="A773" s="12"/>
      <c r="B773" s="34"/>
      <c r="C773" s="12"/>
      <c r="D773" s="12"/>
      <c r="E773" s="12"/>
      <c r="F773" s="12"/>
      <c r="G773" s="18"/>
      <c r="H773" s="35"/>
      <c r="I773" s="12"/>
      <c r="M773" s="12"/>
      <c r="N773" s="18"/>
      <c r="O773" s="12"/>
      <c r="P773" s="12"/>
      <c r="Q773" s="12"/>
      <c r="R773" s="36"/>
      <c r="S773" s="36"/>
      <c r="T773" s="12"/>
      <c r="U773" s="12"/>
      <c r="V773" s="12"/>
      <c r="W773" s="12"/>
      <c r="X773" s="12"/>
    </row>
    <row r="774" customFormat="false" ht="15.75" hidden="false" customHeight="false" outlineLevel="0" collapsed="false">
      <c r="A774" s="12"/>
      <c r="B774" s="34"/>
      <c r="C774" s="12"/>
      <c r="D774" s="12"/>
      <c r="E774" s="12"/>
      <c r="F774" s="12"/>
      <c r="G774" s="18"/>
      <c r="H774" s="35"/>
      <c r="I774" s="12"/>
      <c r="M774" s="12"/>
      <c r="N774" s="18"/>
      <c r="O774" s="12"/>
      <c r="P774" s="12"/>
      <c r="Q774" s="12"/>
      <c r="R774" s="36"/>
      <c r="S774" s="36"/>
      <c r="T774" s="12"/>
      <c r="U774" s="12"/>
      <c r="V774" s="12"/>
      <c r="W774" s="12"/>
      <c r="X774" s="12"/>
    </row>
    <row r="775" customFormat="false" ht="15.75" hidden="false" customHeight="false" outlineLevel="0" collapsed="false">
      <c r="A775" s="12"/>
      <c r="B775" s="34"/>
      <c r="C775" s="12"/>
      <c r="D775" s="12"/>
      <c r="E775" s="12"/>
      <c r="F775" s="12"/>
      <c r="G775" s="18"/>
      <c r="H775" s="35"/>
      <c r="I775" s="12"/>
      <c r="M775" s="12"/>
      <c r="N775" s="18"/>
      <c r="O775" s="12"/>
      <c r="P775" s="12"/>
      <c r="Q775" s="12"/>
      <c r="R775" s="36"/>
      <c r="S775" s="36"/>
      <c r="T775" s="12"/>
      <c r="U775" s="12"/>
      <c r="V775" s="12"/>
      <c r="W775" s="12"/>
      <c r="X775" s="12"/>
    </row>
    <row r="776" customFormat="false" ht="15.75" hidden="false" customHeight="false" outlineLevel="0" collapsed="false">
      <c r="A776" s="12"/>
      <c r="B776" s="34"/>
      <c r="C776" s="12"/>
      <c r="D776" s="12"/>
      <c r="E776" s="12"/>
      <c r="F776" s="12"/>
      <c r="G776" s="18"/>
      <c r="H776" s="35"/>
      <c r="I776" s="12"/>
      <c r="M776" s="12"/>
      <c r="N776" s="18"/>
      <c r="O776" s="12"/>
      <c r="P776" s="12"/>
      <c r="Q776" s="12"/>
      <c r="R776" s="36"/>
      <c r="S776" s="36"/>
      <c r="T776" s="12"/>
      <c r="U776" s="12"/>
      <c r="V776" s="12"/>
      <c r="W776" s="12"/>
      <c r="X776" s="12"/>
    </row>
    <row r="777" customFormat="false" ht="15.75" hidden="false" customHeight="false" outlineLevel="0" collapsed="false">
      <c r="A777" s="12"/>
      <c r="B777" s="34"/>
      <c r="C777" s="12"/>
      <c r="D777" s="12"/>
      <c r="E777" s="12"/>
      <c r="F777" s="12"/>
      <c r="G777" s="18"/>
      <c r="H777" s="35"/>
      <c r="I777" s="12"/>
      <c r="M777" s="12"/>
      <c r="N777" s="18"/>
      <c r="O777" s="12"/>
      <c r="P777" s="12"/>
      <c r="Q777" s="12"/>
      <c r="R777" s="36"/>
      <c r="S777" s="36"/>
      <c r="T777" s="12"/>
      <c r="U777" s="12"/>
      <c r="V777" s="12"/>
      <c r="W777" s="12"/>
      <c r="X777" s="12"/>
    </row>
    <row r="778" customFormat="false" ht="15.75" hidden="false" customHeight="false" outlineLevel="0" collapsed="false">
      <c r="A778" s="12"/>
      <c r="B778" s="34"/>
      <c r="C778" s="12"/>
      <c r="D778" s="12"/>
      <c r="E778" s="12"/>
      <c r="F778" s="12"/>
      <c r="G778" s="18"/>
      <c r="H778" s="35"/>
      <c r="I778" s="12"/>
      <c r="M778" s="12"/>
      <c r="N778" s="18"/>
      <c r="O778" s="12"/>
      <c r="P778" s="12"/>
      <c r="Q778" s="12"/>
      <c r="R778" s="36"/>
      <c r="S778" s="36"/>
      <c r="T778" s="12"/>
      <c r="U778" s="12"/>
      <c r="V778" s="12"/>
      <c r="W778" s="12"/>
      <c r="X778" s="12"/>
    </row>
    <row r="779" customFormat="false" ht="15.75" hidden="false" customHeight="false" outlineLevel="0" collapsed="false">
      <c r="A779" s="12"/>
      <c r="B779" s="34"/>
      <c r="C779" s="12"/>
      <c r="D779" s="12"/>
      <c r="E779" s="12"/>
      <c r="F779" s="12"/>
      <c r="G779" s="18"/>
      <c r="H779" s="35"/>
      <c r="I779" s="12"/>
      <c r="M779" s="12"/>
      <c r="N779" s="18"/>
      <c r="O779" s="12"/>
      <c r="P779" s="12"/>
      <c r="Q779" s="12"/>
      <c r="R779" s="36"/>
      <c r="S779" s="36"/>
      <c r="T779" s="12"/>
      <c r="U779" s="12"/>
      <c r="V779" s="12"/>
      <c r="W779" s="12"/>
      <c r="X779" s="12"/>
    </row>
    <row r="780" customFormat="false" ht="15.75" hidden="false" customHeight="false" outlineLevel="0" collapsed="false">
      <c r="A780" s="12"/>
      <c r="B780" s="34"/>
      <c r="C780" s="12"/>
      <c r="D780" s="12"/>
      <c r="E780" s="12"/>
      <c r="F780" s="12"/>
      <c r="G780" s="18"/>
      <c r="H780" s="35"/>
      <c r="I780" s="12"/>
      <c r="M780" s="12"/>
      <c r="N780" s="18"/>
      <c r="O780" s="12"/>
      <c r="P780" s="12"/>
      <c r="Q780" s="12"/>
      <c r="R780" s="36"/>
      <c r="S780" s="36"/>
      <c r="T780" s="12"/>
      <c r="U780" s="12"/>
      <c r="V780" s="12"/>
      <c r="W780" s="12"/>
      <c r="X780" s="12"/>
    </row>
    <row r="781" customFormat="false" ht="15.75" hidden="false" customHeight="false" outlineLevel="0" collapsed="false">
      <c r="A781" s="12"/>
      <c r="B781" s="34"/>
      <c r="C781" s="12"/>
      <c r="D781" s="12"/>
      <c r="E781" s="12"/>
      <c r="F781" s="12"/>
      <c r="G781" s="18"/>
      <c r="H781" s="35"/>
      <c r="I781" s="12"/>
      <c r="M781" s="12"/>
      <c r="N781" s="18"/>
      <c r="O781" s="12"/>
      <c r="P781" s="12"/>
      <c r="Q781" s="12"/>
      <c r="R781" s="36"/>
      <c r="S781" s="36"/>
      <c r="T781" s="12"/>
      <c r="U781" s="12"/>
      <c r="V781" s="12"/>
      <c r="W781" s="12"/>
      <c r="X781" s="12"/>
    </row>
    <row r="782" customFormat="false" ht="15.75" hidden="false" customHeight="false" outlineLevel="0" collapsed="false">
      <c r="A782" s="12"/>
      <c r="B782" s="34"/>
      <c r="C782" s="12"/>
      <c r="D782" s="12"/>
      <c r="E782" s="12"/>
      <c r="F782" s="12"/>
      <c r="G782" s="18"/>
      <c r="H782" s="35"/>
      <c r="I782" s="12"/>
      <c r="M782" s="12"/>
      <c r="N782" s="18"/>
      <c r="O782" s="12"/>
      <c r="P782" s="12"/>
      <c r="Q782" s="12"/>
      <c r="R782" s="36"/>
      <c r="S782" s="36"/>
      <c r="T782" s="12"/>
      <c r="U782" s="12"/>
      <c r="V782" s="12"/>
      <c r="W782" s="12"/>
      <c r="X782" s="12"/>
    </row>
    <row r="783" customFormat="false" ht="15.75" hidden="false" customHeight="false" outlineLevel="0" collapsed="false">
      <c r="A783" s="12"/>
      <c r="B783" s="34"/>
      <c r="C783" s="12"/>
      <c r="D783" s="12"/>
      <c r="E783" s="12"/>
      <c r="F783" s="12"/>
      <c r="G783" s="18"/>
      <c r="H783" s="35"/>
      <c r="I783" s="12"/>
      <c r="M783" s="12"/>
      <c r="N783" s="18"/>
      <c r="O783" s="12"/>
      <c r="P783" s="12"/>
      <c r="Q783" s="12"/>
      <c r="R783" s="36"/>
      <c r="S783" s="36"/>
      <c r="T783" s="12"/>
      <c r="U783" s="12"/>
      <c r="V783" s="12"/>
      <c r="W783" s="12"/>
      <c r="X783" s="12"/>
    </row>
    <row r="784" customFormat="false" ht="15.75" hidden="false" customHeight="false" outlineLevel="0" collapsed="false">
      <c r="A784" s="12"/>
      <c r="B784" s="34"/>
      <c r="C784" s="12"/>
      <c r="D784" s="12"/>
      <c r="E784" s="12"/>
      <c r="F784" s="12"/>
      <c r="G784" s="18"/>
      <c r="H784" s="35"/>
      <c r="I784" s="12"/>
      <c r="M784" s="12"/>
      <c r="N784" s="18"/>
      <c r="O784" s="12"/>
      <c r="P784" s="12"/>
      <c r="Q784" s="12"/>
      <c r="R784" s="36"/>
      <c r="S784" s="36"/>
      <c r="T784" s="12"/>
      <c r="U784" s="12"/>
      <c r="V784" s="12"/>
      <c r="W784" s="12"/>
      <c r="X784" s="12"/>
    </row>
    <row r="785" customFormat="false" ht="15.75" hidden="false" customHeight="false" outlineLevel="0" collapsed="false">
      <c r="A785" s="12"/>
      <c r="B785" s="34"/>
      <c r="C785" s="12"/>
      <c r="D785" s="12"/>
      <c r="E785" s="12"/>
      <c r="F785" s="12"/>
      <c r="G785" s="18"/>
      <c r="H785" s="35"/>
      <c r="I785" s="12"/>
      <c r="M785" s="12"/>
      <c r="N785" s="18"/>
      <c r="O785" s="12"/>
      <c r="P785" s="12"/>
      <c r="Q785" s="12"/>
      <c r="R785" s="36"/>
      <c r="S785" s="36"/>
      <c r="T785" s="12"/>
      <c r="U785" s="12"/>
      <c r="V785" s="12"/>
      <c r="W785" s="12"/>
      <c r="X785" s="12"/>
    </row>
    <row r="786" customFormat="false" ht="15.75" hidden="false" customHeight="false" outlineLevel="0" collapsed="false">
      <c r="A786" s="12"/>
      <c r="B786" s="34"/>
      <c r="C786" s="12"/>
      <c r="D786" s="12"/>
      <c r="E786" s="12"/>
      <c r="F786" s="12"/>
      <c r="G786" s="18"/>
      <c r="H786" s="35"/>
      <c r="I786" s="12"/>
      <c r="M786" s="12"/>
      <c r="N786" s="18"/>
      <c r="O786" s="12"/>
      <c r="P786" s="12"/>
      <c r="Q786" s="12"/>
      <c r="R786" s="36"/>
      <c r="S786" s="36"/>
      <c r="T786" s="12"/>
      <c r="U786" s="12"/>
      <c r="V786" s="12"/>
      <c r="W786" s="12"/>
      <c r="X786" s="12"/>
    </row>
    <row r="787" customFormat="false" ht="15.75" hidden="false" customHeight="false" outlineLevel="0" collapsed="false">
      <c r="A787" s="12"/>
      <c r="B787" s="34"/>
      <c r="C787" s="12"/>
      <c r="D787" s="12"/>
      <c r="E787" s="12"/>
      <c r="F787" s="12"/>
      <c r="G787" s="18"/>
      <c r="H787" s="35"/>
      <c r="I787" s="12"/>
      <c r="M787" s="12"/>
      <c r="N787" s="18"/>
      <c r="O787" s="12"/>
      <c r="P787" s="12"/>
      <c r="Q787" s="12"/>
      <c r="R787" s="36"/>
      <c r="S787" s="36"/>
      <c r="T787" s="12"/>
      <c r="U787" s="12"/>
      <c r="V787" s="12"/>
      <c r="W787" s="12"/>
      <c r="X787" s="12"/>
    </row>
    <row r="788" customFormat="false" ht="15.75" hidden="false" customHeight="false" outlineLevel="0" collapsed="false">
      <c r="A788" s="12"/>
      <c r="B788" s="34"/>
      <c r="C788" s="12"/>
      <c r="D788" s="12"/>
      <c r="E788" s="12"/>
      <c r="F788" s="12"/>
      <c r="G788" s="18"/>
      <c r="H788" s="35"/>
      <c r="I788" s="12"/>
      <c r="M788" s="12"/>
      <c r="N788" s="18"/>
      <c r="O788" s="12"/>
      <c r="P788" s="12"/>
      <c r="Q788" s="12"/>
      <c r="R788" s="36"/>
      <c r="S788" s="36"/>
      <c r="T788" s="12"/>
      <c r="U788" s="12"/>
      <c r="V788" s="12"/>
      <c r="W788" s="12"/>
      <c r="X788" s="12"/>
    </row>
    <row r="789" customFormat="false" ht="15.75" hidden="false" customHeight="false" outlineLevel="0" collapsed="false">
      <c r="A789" s="12"/>
      <c r="B789" s="34"/>
      <c r="C789" s="12"/>
      <c r="D789" s="12"/>
      <c r="E789" s="12"/>
      <c r="F789" s="12"/>
      <c r="G789" s="18"/>
      <c r="H789" s="35"/>
      <c r="I789" s="12"/>
      <c r="M789" s="12"/>
      <c r="N789" s="18"/>
      <c r="O789" s="12"/>
      <c r="P789" s="12"/>
      <c r="Q789" s="12"/>
      <c r="R789" s="36"/>
      <c r="S789" s="36"/>
      <c r="T789" s="12"/>
      <c r="U789" s="12"/>
      <c r="V789" s="12"/>
      <c r="W789" s="12"/>
      <c r="X789" s="12"/>
    </row>
    <row r="790" customFormat="false" ht="15.75" hidden="false" customHeight="false" outlineLevel="0" collapsed="false">
      <c r="A790" s="12"/>
      <c r="B790" s="34"/>
      <c r="C790" s="12"/>
      <c r="D790" s="12"/>
      <c r="E790" s="12"/>
      <c r="F790" s="12"/>
      <c r="G790" s="18"/>
      <c r="H790" s="35"/>
      <c r="I790" s="12"/>
      <c r="M790" s="12"/>
      <c r="N790" s="18"/>
      <c r="O790" s="12"/>
      <c r="P790" s="12"/>
      <c r="Q790" s="12"/>
      <c r="R790" s="36"/>
      <c r="S790" s="36"/>
      <c r="T790" s="12"/>
      <c r="U790" s="12"/>
      <c r="V790" s="12"/>
      <c r="W790" s="12"/>
      <c r="X790" s="12"/>
    </row>
    <row r="791" customFormat="false" ht="15.75" hidden="false" customHeight="false" outlineLevel="0" collapsed="false">
      <c r="A791" s="12"/>
      <c r="B791" s="34"/>
      <c r="C791" s="12"/>
      <c r="D791" s="12"/>
      <c r="E791" s="12"/>
      <c r="F791" s="12"/>
      <c r="G791" s="18"/>
      <c r="H791" s="35"/>
      <c r="I791" s="12"/>
      <c r="M791" s="12"/>
      <c r="N791" s="18"/>
      <c r="O791" s="12"/>
      <c r="P791" s="12"/>
      <c r="Q791" s="12"/>
      <c r="R791" s="36"/>
      <c r="S791" s="36"/>
      <c r="T791" s="12"/>
      <c r="U791" s="12"/>
      <c r="V791" s="12"/>
      <c r="W791" s="12"/>
      <c r="X791" s="12"/>
    </row>
    <row r="792" customFormat="false" ht="15.75" hidden="false" customHeight="false" outlineLevel="0" collapsed="false">
      <c r="A792" s="12"/>
      <c r="B792" s="34"/>
      <c r="C792" s="12"/>
      <c r="D792" s="12"/>
      <c r="E792" s="12"/>
      <c r="F792" s="12"/>
      <c r="G792" s="18"/>
      <c r="H792" s="35"/>
      <c r="I792" s="12"/>
      <c r="M792" s="12"/>
      <c r="N792" s="18"/>
      <c r="O792" s="12"/>
      <c r="P792" s="12"/>
      <c r="Q792" s="12"/>
      <c r="R792" s="36"/>
      <c r="S792" s="36"/>
      <c r="T792" s="12"/>
      <c r="U792" s="12"/>
      <c r="V792" s="12"/>
      <c r="W792" s="12"/>
      <c r="X792" s="12"/>
    </row>
    <row r="793" customFormat="false" ht="15.75" hidden="false" customHeight="false" outlineLevel="0" collapsed="false">
      <c r="A793" s="12"/>
      <c r="B793" s="34"/>
      <c r="C793" s="12"/>
      <c r="D793" s="12"/>
      <c r="E793" s="12"/>
      <c r="F793" s="12"/>
      <c r="G793" s="18"/>
      <c r="H793" s="35"/>
      <c r="I793" s="12"/>
      <c r="M793" s="12"/>
      <c r="N793" s="18"/>
      <c r="O793" s="12"/>
      <c r="P793" s="12"/>
      <c r="Q793" s="12"/>
      <c r="R793" s="36"/>
      <c r="S793" s="36"/>
      <c r="T793" s="12"/>
      <c r="U793" s="12"/>
      <c r="V793" s="12"/>
      <c r="W793" s="12"/>
      <c r="X793" s="12"/>
    </row>
    <row r="794" customFormat="false" ht="15.75" hidden="false" customHeight="false" outlineLevel="0" collapsed="false">
      <c r="A794" s="12"/>
      <c r="B794" s="34"/>
      <c r="C794" s="12"/>
      <c r="D794" s="12"/>
      <c r="E794" s="12"/>
      <c r="F794" s="12"/>
      <c r="G794" s="18"/>
      <c r="H794" s="35"/>
      <c r="I794" s="12"/>
      <c r="M794" s="12"/>
      <c r="N794" s="18"/>
      <c r="O794" s="12"/>
      <c r="P794" s="12"/>
      <c r="Q794" s="12"/>
      <c r="R794" s="36"/>
      <c r="S794" s="36"/>
      <c r="T794" s="12"/>
      <c r="U794" s="12"/>
      <c r="V794" s="12"/>
      <c r="W794" s="12"/>
      <c r="X794" s="12"/>
    </row>
    <row r="795" customFormat="false" ht="15.75" hidden="false" customHeight="false" outlineLevel="0" collapsed="false">
      <c r="A795" s="12"/>
      <c r="B795" s="34"/>
      <c r="C795" s="12"/>
      <c r="D795" s="12"/>
      <c r="E795" s="12"/>
      <c r="F795" s="12"/>
      <c r="G795" s="18"/>
      <c r="H795" s="35"/>
      <c r="I795" s="12"/>
      <c r="M795" s="12"/>
      <c r="N795" s="18"/>
      <c r="O795" s="12"/>
      <c r="P795" s="12"/>
      <c r="Q795" s="12"/>
      <c r="R795" s="36"/>
      <c r="S795" s="36"/>
      <c r="T795" s="12"/>
      <c r="U795" s="12"/>
      <c r="V795" s="12"/>
      <c r="W795" s="12"/>
      <c r="X795" s="12"/>
    </row>
    <row r="796" customFormat="false" ht="15.75" hidden="false" customHeight="false" outlineLevel="0" collapsed="false">
      <c r="A796" s="12"/>
      <c r="B796" s="34"/>
      <c r="C796" s="12"/>
      <c r="D796" s="12"/>
      <c r="E796" s="12"/>
      <c r="F796" s="12"/>
      <c r="G796" s="18"/>
      <c r="H796" s="35"/>
      <c r="I796" s="12"/>
      <c r="M796" s="12"/>
      <c r="N796" s="18"/>
      <c r="O796" s="12"/>
      <c r="P796" s="12"/>
      <c r="Q796" s="12"/>
      <c r="R796" s="36"/>
      <c r="S796" s="36"/>
      <c r="T796" s="12"/>
      <c r="U796" s="12"/>
      <c r="V796" s="12"/>
      <c r="W796" s="12"/>
      <c r="X796" s="12"/>
    </row>
    <row r="797" customFormat="false" ht="15.75" hidden="false" customHeight="false" outlineLevel="0" collapsed="false">
      <c r="A797" s="12"/>
      <c r="B797" s="34"/>
      <c r="C797" s="12"/>
      <c r="D797" s="12"/>
      <c r="E797" s="12"/>
      <c r="F797" s="12"/>
      <c r="G797" s="18"/>
      <c r="H797" s="35"/>
      <c r="I797" s="12"/>
      <c r="M797" s="12"/>
      <c r="N797" s="18"/>
      <c r="O797" s="12"/>
      <c r="P797" s="12"/>
      <c r="Q797" s="12"/>
      <c r="R797" s="36"/>
      <c r="S797" s="36"/>
      <c r="T797" s="12"/>
      <c r="U797" s="12"/>
      <c r="V797" s="12"/>
      <c r="W797" s="12"/>
      <c r="X797" s="12"/>
    </row>
    <row r="798" customFormat="false" ht="15.75" hidden="false" customHeight="false" outlineLevel="0" collapsed="false">
      <c r="A798" s="12"/>
      <c r="B798" s="34"/>
      <c r="C798" s="12"/>
      <c r="D798" s="12"/>
      <c r="E798" s="12"/>
      <c r="F798" s="12"/>
      <c r="G798" s="18"/>
      <c r="H798" s="35"/>
      <c r="I798" s="12"/>
      <c r="M798" s="12"/>
      <c r="N798" s="18"/>
      <c r="O798" s="12"/>
      <c r="P798" s="12"/>
      <c r="Q798" s="12"/>
      <c r="R798" s="36"/>
      <c r="S798" s="36"/>
      <c r="T798" s="12"/>
      <c r="U798" s="12"/>
      <c r="V798" s="12"/>
      <c r="W798" s="12"/>
      <c r="X798" s="12"/>
    </row>
    <row r="799" customFormat="false" ht="15.75" hidden="false" customHeight="false" outlineLevel="0" collapsed="false">
      <c r="A799" s="12"/>
      <c r="B799" s="34"/>
      <c r="C799" s="12"/>
      <c r="D799" s="12"/>
      <c r="E799" s="12"/>
      <c r="F799" s="12"/>
      <c r="G799" s="18"/>
      <c r="H799" s="35"/>
      <c r="I799" s="12"/>
      <c r="M799" s="12"/>
      <c r="N799" s="18"/>
      <c r="O799" s="12"/>
      <c r="P799" s="12"/>
      <c r="Q799" s="12"/>
      <c r="R799" s="36"/>
      <c r="S799" s="36"/>
      <c r="T799" s="12"/>
      <c r="U799" s="12"/>
      <c r="V799" s="12"/>
      <c r="W799" s="12"/>
      <c r="X799" s="12"/>
    </row>
    <row r="800" customFormat="false" ht="15.75" hidden="false" customHeight="false" outlineLevel="0" collapsed="false">
      <c r="A800" s="12"/>
      <c r="B800" s="34"/>
      <c r="C800" s="12"/>
      <c r="D800" s="12"/>
      <c r="E800" s="12"/>
      <c r="F800" s="12"/>
      <c r="G800" s="18"/>
      <c r="H800" s="35"/>
      <c r="I800" s="12"/>
      <c r="M800" s="12"/>
      <c r="N800" s="18"/>
      <c r="O800" s="12"/>
      <c r="P800" s="12"/>
      <c r="Q800" s="12"/>
      <c r="R800" s="36"/>
      <c r="S800" s="36"/>
      <c r="T800" s="12"/>
      <c r="U800" s="12"/>
      <c r="V800" s="12"/>
      <c r="W800" s="12"/>
      <c r="X800" s="12"/>
    </row>
    <row r="801" customFormat="false" ht="15.75" hidden="false" customHeight="false" outlineLevel="0" collapsed="false">
      <c r="A801" s="12"/>
      <c r="B801" s="34"/>
      <c r="C801" s="12"/>
      <c r="D801" s="12"/>
      <c r="E801" s="12"/>
      <c r="F801" s="12"/>
      <c r="G801" s="18"/>
      <c r="H801" s="35"/>
      <c r="I801" s="12"/>
      <c r="M801" s="12"/>
      <c r="N801" s="18"/>
      <c r="O801" s="12"/>
      <c r="P801" s="12"/>
      <c r="Q801" s="12"/>
      <c r="R801" s="36"/>
      <c r="S801" s="36"/>
      <c r="T801" s="12"/>
      <c r="U801" s="12"/>
      <c r="V801" s="12"/>
      <c r="W801" s="12"/>
      <c r="X801" s="12"/>
    </row>
    <row r="802" customFormat="false" ht="15.75" hidden="false" customHeight="false" outlineLevel="0" collapsed="false">
      <c r="A802" s="12"/>
      <c r="B802" s="34"/>
      <c r="C802" s="12"/>
      <c r="D802" s="12"/>
      <c r="E802" s="12"/>
      <c r="F802" s="12"/>
      <c r="G802" s="18"/>
      <c r="H802" s="35"/>
      <c r="I802" s="12"/>
      <c r="M802" s="12"/>
      <c r="N802" s="18"/>
      <c r="O802" s="12"/>
      <c r="P802" s="12"/>
      <c r="Q802" s="12"/>
      <c r="R802" s="36"/>
      <c r="S802" s="36"/>
      <c r="T802" s="12"/>
      <c r="U802" s="12"/>
      <c r="V802" s="12"/>
      <c r="W802" s="12"/>
      <c r="X802" s="12"/>
    </row>
    <row r="803" customFormat="false" ht="15.75" hidden="false" customHeight="false" outlineLevel="0" collapsed="false">
      <c r="A803" s="12"/>
      <c r="B803" s="34"/>
      <c r="C803" s="12"/>
      <c r="D803" s="12"/>
      <c r="E803" s="12"/>
      <c r="F803" s="12"/>
      <c r="G803" s="18"/>
      <c r="H803" s="35"/>
      <c r="I803" s="12"/>
      <c r="M803" s="12"/>
      <c r="N803" s="18"/>
      <c r="O803" s="12"/>
      <c r="P803" s="12"/>
      <c r="Q803" s="12"/>
      <c r="R803" s="36"/>
      <c r="S803" s="36"/>
      <c r="T803" s="12"/>
      <c r="U803" s="12"/>
      <c r="V803" s="12"/>
      <c r="W803" s="12"/>
      <c r="X803" s="12"/>
    </row>
    <row r="804" customFormat="false" ht="15.75" hidden="false" customHeight="false" outlineLevel="0" collapsed="false">
      <c r="A804" s="12"/>
      <c r="B804" s="34"/>
      <c r="C804" s="12"/>
      <c r="D804" s="12"/>
      <c r="E804" s="12"/>
      <c r="F804" s="12"/>
      <c r="G804" s="18"/>
      <c r="H804" s="35"/>
      <c r="I804" s="12"/>
      <c r="M804" s="12"/>
      <c r="N804" s="18"/>
      <c r="O804" s="12"/>
      <c r="P804" s="12"/>
      <c r="Q804" s="12"/>
      <c r="R804" s="36"/>
      <c r="S804" s="36"/>
      <c r="T804" s="12"/>
      <c r="U804" s="12"/>
      <c r="V804" s="12"/>
      <c r="W804" s="12"/>
      <c r="X804" s="12"/>
    </row>
    <row r="805" customFormat="false" ht="15.75" hidden="false" customHeight="false" outlineLevel="0" collapsed="false">
      <c r="A805" s="12"/>
      <c r="B805" s="34"/>
      <c r="C805" s="12"/>
      <c r="D805" s="12"/>
      <c r="E805" s="12"/>
      <c r="F805" s="12"/>
      <c r="G805" s="18"/>
      <c r="H805" s="35"/>
      <c r="I805" s="12"/>
      <c r="M805" s="12"/>
      <c r="N805" s="18"/>
      <c r="O805" s="12"/>
      <c r="P805" s="12"/>
      <c r="Q805" s="12"/>
      <c r="R805" s="36"/>
      <c r="S805" s="36"/>
      <c r="T805" s="12"/>
      <c r="U805" s="12"/>
      <c r="V805" s="12"/>
      <c r="W805" s="12"/>
      <c r="X805" s="12"/>
    </row>
    <row r="806" customFormat="false" ht="15.75" hidden="false" customHeight="false" outlineLevel="0" collapsed="false">
      <c r="A806" s="12"/>
      <c r="B806" s="34"/>
      <c r="C806" s="12"/>
      <c r="D806" s="12"/>
      <c r="E806" s="12"/>
      <c r="F806" s="12"/>
      <c r="G806" s="18"/>
      <c r="H806" s="35"/>
      <c r="I806" s="12"/>
      <c r="M806" s="12"/>
      <c r="N806" s="18"/>
      <c r="O806" s="12"/>
      <c r="P806" s="12"/>
      <c r="Q806" s="12"/>
      <c r="R806" s="36"/>
      <c r="S806" s="36"/>
      <c r="T806" s="12"/>
      <c r="U806" s="12"/>
      <c r="V806" s="12"/>
      <c r="W806" s="12"/>
      <c r="X806" s="12"/>
    </row>
    <row r="807" customFormat="false" ht="15.75" hidden="false" customHeight="false" outlineLevel="0" collapsed="false">
      <c r="A807" s="12"/>
      <c r="B807" s="34"/>
      <c r="C807" s="12"/>
      <c r="D807" s="12"/>
      <c r="E807" s="12"/>
      <c r="F807" s="12"/>
      <c r="G807" s="18"/>
      <c r="H807" s="35"/>
      <c r="I807" s="12"/>
      <c r="M807" s="12"/>
      <c r="N807" s="18"/>
      <c r="O807" s="12"/>
      <c r="P807" s="12"/>
      <c r="Q807" s="12"/>
      <c r="R807" s="36"/>
      <c r="S807" s="36"/>
      <c r="T807" s="12"/>
      <c r="U807" s="12"/>
      <c r="V807" s="12"/>
      <c r="W807" s="12"/>
      <c r="X807" s="12"/>
    </row>
    <row r="808" customFormat="false" ht="15.75" hidden="false" customHeight="false" outlineLevel="0" collapsed="false">
      <c r="A808" s="12"/>
      <c r="B808" s="34"/>
      <c r="C808" s="12"/>
      <c r="D808" s="12"/>
      <c r="E808" s="12"/>
      <c r="F808" s="12"/>
      <c r="G808" s="18"/>
      <c r="H808" s="35"/>
      <c r="I808" s="12"/>
      <c r="M808" s="12"/>
      <c r="N808" s="18"/>
      <c r="O808" s="12"/>
      <c r="P808" s="12"/>
      <c r="Q808" s="12"/>
      <c r="R808" s="36"/>
      <c r="S808" s="36"/>
      <c r="T808" s="12"/>
      <c r="U808" s="12"/>
      <c r="V808" s="12"/>
      <c r="W808" s="12"/>
      <c r="X808" s="12"/>
    </row>
    <row r="809" customFormat="false" ht="15.75" hidden="false" customHeight="false" outlineLevel="0" collapsed="false">
      <c r="A809" s="12"/>
      <c r="B809" s="34"/>
      <c r="C809" s="12"/>
      <c r="D809" s="12"/>
      <c r="E809" s="12"/>
      <c r="F809" s="12"/>
      <c r="G809" s="18"/>
      <c r="H809" s="35"/>
      <c r="I809" s="12"/>
      <c r="M809" s="12"/>
      <c r="N809" s="18"/>
      <c r="O809" s="12"/>
      <c r="P809" s="12"/>
      <c r="Q809" s="12"/>
      <c r="R809" s="36"/>
      <c r="S809" s="36"/>
      <c r="T809" s="12"/>
      <c r="U809" s="12"/>
      <c r="V809" s="12"/>
      <c r="W809" s="12"/>
      <c r="X809" s="12"/>
    </row>
    <row r="810" customFormat="false" ht="15.75" hidden="false" customHeight="false" outlineLevel="0" collapsed="false">
      <c r="A810" s="12"/>
      <c r="B810" s="34"/>
      <c r="C810" s="12"/>
      <c r="D810" s="12"/>
      <c r="E810" s="12"/>
      <c r="F810" s="12"/>
      <c r="G810" s="18"/>
      <c r="H810" s="35"/>
      <c r="I810" s="12"/>
      <c r="M810" s="12"/>
      <c r="N810" s="18"/>
      <c r="O810" s="12"/>
      <c r="P810" s="12"/>
      <c r="Q810" s="12"/>
      <c r="R810" s="36"/>
      <c r="S810" s="36"/>
      <c r="T810" s="12"/>
      <c r="U810" s="12"/>
      <c r="V810" s="12"/>
      <c r="W810" s="12"/>
      <c r="X810" s="12"/>
    </row>
    <row r="811" customFormat="false" ht="15.75" hidden="false" customHeight="false" outlineLevel="0" collapsed="false">
      <c r="A811" s="12"/>
      <c r="B811" s="34"/>
      <c r="C811" s="12"/>
      <c r="D811" s="12"/>
      <c r="E811" s="12"/>
      <c r="F811" s="12"/>
      <c r="G811" s="18"/>
      <c r="H811" s="35"/>
      <c r="I811" s="12"/>
      <c r="M811" s="12"/>
      <c r="N811" s="18"/>
      <c r="O811" s="12"/>
      <c r="P811" s="12"/>
      <c r="Q811" s="12"/>
      <c r="R811" s="36"/>
      <c r="S811" s="36"/>
      <c r="T811" s="12"/>
      <c r="U811" s="12"/>
      <c r="V811" s="12"/>
      <c r="W811" s="12"/>
      <c r="X811" s="12"/>
    </row>
    <row r="812" customFormat="false" ht="15.75" hidden="false" customHeight="false" outlineLevel="0" collapsed="false">
      <c r="A812" s="12"/>
      <c r="B812" s="34"/>
      <c r="C812" s="12"/>
      <c r="D812" s="12"/>
      <c r="E812" s="12"/>
      <c r="F812" s="12"/>
      <c r="G812" s="18"/>
      <c r="H812" s="35"/>
      <c r="I812" s="12"/>
      <c r="M812" s="12"/>
      <c r="N812" s="18"/>
      <c r="O812" s="12"/>
      <c r="P812" s="12"/>
      <c r="Q812" s="12"/>
      <c r="R812" s="36"/>
      <c r="S812" s="36"/>
      <c r="T812" s="12"/>
      <c r="U812" s="12"/>
      <c r="V812" s="12"/>
      <c r="W812" s="12"/>
      <c r="X812" s="12"/>
    </row>
    <row r="813" customFormat="false" ht="15.75" hidden="false" customHeight="false" outlineLevel="0" collapsed="false">
      <c r="A813" s="12"/>
      <c r="B813" s="34"/>
      <c r="C813" s="12"/>
      <c r="D813" s="12"/>
      <c r="E813" s="12"/>
      <c r="F813" s="12"/>
      <c r="G813" s="18"/>
      <c r="H813" s="35"/>
      <c r="I813" s="12"/>
      <c r="M813" s="12"/>
      <c r="N813" s="18"/>
      <c r="O813" s="12"/>
      <c r="P813" s="12"/>
      <c r="Q813" s="12"/>
      <c r="R813" s="36"/>
      <c r="S813" s="36"/>
      <c r="T813" s="12"/>
      <c r="U813" s="12"/>
      <c r="V813" s="12"/>
      <c r="W813" s="12"/>
      <c r="X813" s="12"/>
    </row>
    <row r="814" customFormat="false" ht="15.75" hidden="false" customHeight="false" outlineLevel="0" collapsed="false">
      <c r="A814" s="12"/>
      <c r="B814" s="34"/>
      <c r="C814" s="12"/>
      <c r="D814" s="12"/>
      <c r="E814" s="12"/>
      <c r="F814" s="12"/>
      <c r="G814" s="18"/>
      <c r="H814" s="35"/>
      <c r="I814" s="12"/>
      <c r="M814" s="12"/>
      <c r="N814" s="18"/>
      <c r="O814" s="12"/>
      <c r="P814" s="12"/>
      <c r="Q814" s="12"/>
      <c r="R814" s="36"/>
      <c r="S814" s="36"/>
      <c r="T814" s="12"/>
      <c r="U814" s="12"/>
      <c r="V814" s="12"/>
      <c r="W814" s="12"/>
      <c r="X814" s="12"/>
    </row>
    <row r="815" customFormat="false" ht="15.75" hidden="false" customHeight="false" outlineLevel="0" collapsed="false">
      <c r="A815" s="12"/>
      <c r="B815" s="34"/>
      <c r="C815" s="12"/>
      <c r="D815" s="12"/>
      <c r="E815" s="12"/>
      <c r="F815" s="12"/>
      <c r="G815" s="18"/>
      <c r="H815" s="35"/>
      <c r="I815" s="12"/>
      <c r="M815" s="12"/>
      <c r="N815" s="18"/>
      <c r="O815" s="12"/>
      <c r="P815" s="12"/>
      <c r="Q815" s="12"/>
      <c r="R815" s="36"/>
      <c r="S815" s="36"/>
      <c r="T815" s="12"/>
      <c r="U815" s="12"/>
      <c r="V815" s="12"/>
      <c r="W815" s="12"/>
      <c r="X815" s="12"/>
    </row>
    <row r="816" customFormat="false" ht="15.75" hidden="false" customHeight="false" outlineLevel="0" collapsed="false">
      <c r="A816" s="12"/>
      <c r="B816" s="34"/>
      <c r="C816" s="12"/>
      <c r="D816" s="12"/>
      <c r="E816" s="12"/>
      <c r="F816" s="12"/>
      <c r="G816" s="18"/>
      <c r="H816" s="35"/>
      <c r="I816" s="12"/>
      <c r="M816" s="12"/>
      <c r="N816" s="18"/>
      <c r="O816" s="12"/>
      <c r="P816" s="12"/>
      <c r="Q816" s="12"/>
      <c r="R816" s="36"/>
      <c r="S816" s="36"/>
      <c r="T816" s="12"/>
      <c r="U816" s="12"/>
      <c r="V816" s="12"/>
      <c r="W816" s="12"/>
      <c r="X816" s="12"/>
    </row>
    <row r="817" customFormat="false" ht="15.75" hidden="false" customHeight="false" outlineLevel="0" collapsed="false">
      <c r="A817" s="12"/>
      <c r="B817" s="34"/>
      <c r="C817" s="12"/>
      <c r="D817" s="12"/>
      <c r="E817" s="12"/>
      <c r="F817" s="12"/>
      <c r="G817" s="18"/>
      <c r="H817" s="35"/>
      <c r="I817" s="12"/>
      <c r="M817" s="12"/>
      <c r="N817" s="18"/>
      <c r="O817" s="12"/>
      <c r="P817" s="12"/>
      <c r="Q817" s="12"/>
      <c r="R817" s="36"/>
      <c r="S817" s="36"/>
      <c r="T817" s="12"/>
      <c r="U817" s="12"/>
      <c r="V817" s="12"/>
      <c r="W817" s="12"/>
      <c r="X817" s="12"/>
    </row>
    <row r="818" customFormat="false" ht="15.75" hidden="false" customHeight="false" outlineLevel="0" collapsed="false">
      <c r="A818" s="12"/>
      <c r="B818" s="34"/>
      <c r="C818" s="12"/>
      <c r="D818" s="12"/>
      <c r="E818" s="12"/>
      <c r="F818" s="12"/>
      <c r="G818" s="18"/>
      <c r="H818" s="35"/>
      <c r="I818" s="12"/>
      <c r="M818" s="12"/>
      <c r="N818" s="18"/>
      <c r="O818" s="12"/>
      <c r="P818" s="12"/>
      <c r="Q818" s="12"/>
      <c r="R818" s="36"/>
      <c r="S818" s="36"/>
      <c r="T818" s="12"/>
      <c r="U818" s="12"/>
      <c r="V818" s="12"/>
      <c r="W818" s="12"/>
      <c r="X818" s="12"/>
    </row>
    <row r="819" customFormat="false" ht="15.75" hidden="false" customHeight="false" outlineLevel="0" collapsed="false">
      <c r="A819" s="12"/>
      <c r="B819" s="34"/>
      <c r="C819" s="12"/>
      <c r="D819" s="12"/>
      <c r="E819" s="12"/>
      <c r="F819" s="12"/>
      <c r="G819" s="18"/>
      <c r="H819" s="35"/>
      <c r="I819" s="12"/>
      <c r="M819" s="12"/>
      <c r="N819" s="18"/>
      <c r="O819" s="12"/>
      <c r="P819" s="12"/>
      <c r="Q819" s="12"/>
      <c r="R819" s="36"/>
      <c r="S819" s="36"/>
      <c r="T819" s="12"/>
      <c r="U819" s="12"/>
      <c r="V819" s="12"/>
      <c r="W819" s="12"/>
      <c r="X819" s="12"/>
    </row>
    <row r="820" customFormat="false" ht="15.75" hidden="false" customHeight="false" outlineLevel="0" collapsed="false">
      <c r="A820" s="12"/>
      <c r="B820" s="34"/>
      <c r="C820" s="12"/>
      <c r="D820" s="12"/>
      <c r="E820" s="12"/>
      <c r="F820" s="12"/>
      <c r="G820" s="18"/>
      <c r="H820" s="35"/>
      <c r="I820" s="12"/>
      <c r="M820" s="12"/>
      <c r="N820" s="18"/>
      <c r="O820" s="12"/>
      <c r="P820" s="12"/>
      <c r="Q820" s="12"/>
      <c r="R820" s="36"/>
      <c r="S820" s="36"/>
      <c r="T820" s="12"/>
      <c r="U820" s="12"/>
      <c r="V820" s="12"/>
      <c r="W820" s="12"/>
      <c r="X820" s="12"/>
    </row>
    <row r="821" customFormat="false" ht="15.75" hidden="false" customHeight="false" outlineLevel="0" collapsed="false">
      <c r="A821" s="12"/>
      <c r="B821" s="34"/>
      <c r="C821" s="12"/>
      <c r="D821" s="12"/>
      <c r="E821" s="12"/>
      <c r="F821" s="12"/>
      <c r="G821" s="18"/>
      <c r="H821" s="35"/>
      <c r="I821" s="12"/>
      <c r="M821" s="12"/>
      <c r="N821" s="18"/>
      <c r="O821" s="12"/>
      <c r="P821" s="12"/>
      <c r="Q821" s="12"/>
      <c r="R821" s="36"/>
      <c r="S821" s="36"/>
      <c r="T821" s="12"/>
      <c r="U821" s="12"/>
      <c r="V821" s="12"/>
      <c r="W821" s="12"/>
      <c r="X821" s="12"/>
    </row>
    <row r="822" customFormat="false" ht="15.75" hidden="false" customHeight="false" outlineLevel="0" collapsed="false">
      <c r="A822" s="12"/>
      <c r="B822" s="34"/>
      <c r="C822" s="12"/>
      <c r="D822" s="12"/>
      <c r="E822" s="12"/>
      <c r="F822" s="12"/>
      <c r="G822" s="18"/>
      <c r="H822" s="35"/>
      <c r="I822" s="12"/>
      <c r="M822" s="12"/>
      <c r="N822" s="18"/>
      <c r="O822" s="12"/>
      <c r="P822" s="12"/>
      <c r="Q822" s="12"/>
      <c r="R822" s="36"/>
      <c r="S822" s="36"/>
      <c r="T822" s="12"/>
      <c r="U822" s="12"/>
      <c r="V822" s="12"/>
      <c r="W822" s="12"/>
      <c r="X822" s="12"/>
    </row>
    <row r="823" customFormat="false" ht="15.75" hidden="false" customHeight="false" outlineLevel="0" collapsed="false">
      <c r="A823" s="12"/>
      <c r="B823" s="34"/>
      <c r="C823" s="12"/>
      <c r="D823" s="12"/>
      <c r="E823" s="12"/>
      <c r="F823" s="12"/>
      <c r="G823" s="18"/>
      <c r="H823" s="35"/>
      <c r="I823" s="12"/>
      <c r="M823" s="12"/>
      <c r="N823" s="18"/>
      <c r="O823" s="12"/>
      <c r="P823" s="12"/>
      <c r="Q823" s="12"/>
      <c r="R823" s="36"/>
      <c r="S823" s="36"/>
      <c r="T823" s="12"/>
      <c r="U823" s="12"/>
      <c r="V823" s="12"/>
      <c r="W823" s="12"/>
      <c r="X823" s="12"/>
    </row>
    <row r="824" customFormat="false" ht="15.75" hidden="false" customHeight="false" outlineLevel="0" collapsed="false">
      <c r="A824" s="12"/>
      <c r="B824" s="34"/>
      <c r="C824" s="12"/>
      <c r="D824" s="12"/>
      <c r="E824" s="12"/>
      <c r="F824" s="12"/>
      <c r="G824" s="18"/>
      <c r="H824" s="35"/>
      <c r="I824" s="12"/>
      <c r="M824" s="12"/>
      <c r="N824" s="18"/>
      <c r="O824" s="12"/>
      <c r="P824" s="12"/>
      <c r="Q824" s="12"/>
      <c r="R824" s="36"/>
      <c r="S824" s="36"/>
      <c r="T824" s="12"/>
      <c r="U824" s="12"/>
      <c r="V824" s="12"/>
      <c r="W824" s="12"/>
      <c r="X824" s="12"/>
    </row>
    <row r="825" customFormat="false" ht="15.75" hidden="false" customHeight="false" outlineLevel="0" collapsed="false">
      <c r="A825" s="12"/>
      <c r="B825" s="34"/>
      <c r="C825" s="12"/>
      <c r="D825" s="12"/>
      <c r="E825" s="12"/>
      <c r="F825" s="12"/>
      <c r="G825" s="18"/>
      <c r="H825" s="35"/>
      <c r="I825" s="12"/>
      <c r="M825" s="12"/>
      <c r="N825" s="18"/>
      <c r="O825" s="12"/>
      <c r="P825" s="12"/>
      <c r="Q825" s="12"/>
      <c r="R825" s="36"/>
      <c r="S825" s="36"/>
      <c r="T825" s="12"/>
      <c r="U825" s="12"/>
      <c r="V825" s="12"/>
      <c r="W825" s="12"/>
      <c r="X825" s="12"/>
    </row>
    <row r="826" customFormat="false" ht="15.75" hidden="false" customHeight="false" outlineLevel="0" collapsed="false">
      <c r="A826" s="12"/>
      <c r="B826" s="34"/>
      <c r="C826" s="12"/>
      <c r="D826" s="12"/>
      <c r="E826" s="12"/>
      <c r="F826" s="12"/>
      <c r="G826" s="18"/>
      <c r="H826" s="35"/>
      <c r="I826" s="12"/>
      <c r="M826" s="12"/>
      <c r="N826" s="18"/>
      <c r="O826" s="12"/>
      <c r="P826" s="12"/>
      <c r="Q826" s="12"/>
      <c r="R826" s="36"/>
      <c r="S826" s="36"/>
      <c r="T826" s="12"/>
      <c r="U826" s="12"/>
      <c r="V826" s="12"/>
      <c r="W826" s="12"/>
      <c r="X826" s="12"/>
    </row>
    <row r="827" customFormat="false" ht="15.75" hidden="false" customHeight="false" outlineLevel="0" collapsed="false">
      <c r="A827" s="12"/>
      <c r="B827" s="34"/>
      <c r="C827" s="12"/>
      <c r="D827" s="12"/>
      <c r="E827" s="12"/>
      <c r="F827" s="12"/>
      <c r="G827" s="18"/>
      <c r="H827" s="35"/>
      <c r="I827" s="12"/>
      <c r="M827" s="12"/>
      <c r="N827" s="18"/>
      <c r="O827" s="12"/>
      <c r="P827" s="12"/>
      <c r="Q827" s="12"/>
      <c r="R827" s="36"/>
      <c r="S827" s="36"/>
      <c r="T827" s="12"/>
      <c r="U827" s="12"/>
      <c r="V827" s="12"/>
      <c r="W827" s="12"/>
      <c r="X827" s="12"/>
    </row>
    <row r="828" customFormat="false" ht="15.75" hidden="false" customHeight="false" outlineLevel="0" collapsed="false">
      <c r="A828" s="12"/>
      <c r="B828" s="34"/>
      <c r="C828" s="12"/>
      <c r="D828" s="12"/>
      <c r="E828" s="12"/>
      <c r="F828" s="12"/>
      <c r="G828" s="18"/>
      <c r="H828" s="35"/>
      <c r="I828" s="12"/>
      <c r="M828" s="12"/>
      <c r="N828" s="18"/>
      <c r="O828" s="12"/>
      <c r="P828" s="12"/>
      <c r="Q828" s="12"/>
      <c r="R828" s="36"/>
      <c r="S828" s="36"/>
      <c r="T828" s="12"/>
      <c r="U828" s="12"/>
      <c r="V828" s="12"/>
      <c r="W828" s="12"/>
      <c r="X828" s="12"/>
    </row>
    <row r="829" customFormat="false" ht="15.75" hidden="false" customHeight="false" outlineLevel="0" collapsed="false">
      <c r="A829" s="12"/>
      <c r="B829" s="34"/>
      <c r="C829" s="12"/>
      <c r="D829" s="12"/>
      <c r="E829" s="12"/>
      <c r="F829" s="12"/>
      <c r="G829" s="18"/>
      <c r="H829" s="35"/>
      <c r="I829" s="12"/>
      <c r="M829" s="12"/>
      <c r="N829" s="18"/>
      <c r="O829" s="12"/>
      <c r="P829" s="12"/>
      <c r="Q829" s="12"/>
      <c r="R829" s="36"/>
      <c r="S829" s="36"/>
      <c r="T829" s="12"/>
      <c r="U829" s="12"/>
      <c r="V829" s="12"/>
      <c r="W829" s="12"/>
      <c r="X829" s="12"/>
    </row>
    <row r="830" customFormat="false" ht="15.75" hidden="false" customHeight="false" outlineLevel="0" collapsed="false">
      <c r="A830" s="12"/>
      <c r="B830" s="34"/>
      <c r="C830" s="12"/>
      <c r="D830" s="12"/>
      <c r="E830" s="12"/>
      <c r="F830" s="12"/>
      <c r="G830" s="18"/>
      <c r="H830" s="35"/>
      <c r="I830" s="12"/>
      <c r="M830" s="12"/>
      <c r="N830" s="18"/>
      <c r="O830" s="12"/>
      <c r="P830" s="12"/>
      <c r="Q830" s="12"/>
      <c r="R830" s="36"/>
      <c r="S830" s="36"/>
      <c r="T830" s="12"/>
      <c r="U830" s="12"/>
      <c r="V830" s="12"/>
      <c r="W830" s="12"/>
      <c r="X830" s="12"/>
    </row>
    <row r="831" customFormat="false" ht="15.75" hidden="false" customHeight="false" outlineLevel="0" collapsed="false">
      <c r="A831" s="12"/>
      <c r="B831" s="34"/>
      <c r="C831" s="12"/>
      <c r="D831" s="12"/>
      <c r="E831" s="12"/>
      <c r="F831" s="12"/>
      <c r="G831" s="18"/>
      <c r="H831" s="35"/>
      <c r="I831" s="12"/>
      <c r="M831" s="12"/>
      <c r="N831" s="18"/>
      <c r="O831" s="12"/>
      <c r="P831" s="12"/>
      <c r="Q831" s="12"/>
      <c r="R831" s="36"/>
      <c r="S831" s="36"/>
      <c r="T831" s="12"/>
      <c r="U831" s="12"/>
      <c r="V831" s="12"/>
      <c r="W831" s="12"/>
      <c r="X831" s="12"/>
    </row>
    <row r="832" customFormat="false" ht="15.75" hidden="false" customHeight="false" outlineLevel="0" collapsed="false">
      <c r="A832" s="12"/>
      <c r="B832" s="34"/>
      <c r="C832" s="12"/>
      <c r="D832" s="12"/>
      <c r="E832" s="12"/>
      <c r="F832" s="12"/>
      <c r="G832" s="18"/>
      <c r="H832" s="35"/>
      <c r="I832" s="12"/>
      <c r="M832" s="12"/>
      <c r="N832" s="18"/>
      <c r="O832" s="12"/>
      <c r="P832" s="12"/>
      <c r="Q832" s="12"/>
      <c r="R832" s="36"/>
      <c r="S832" s="36"/>
      <c r="T832" s="12"/>
      <c r="U832" s="12"/>
      <c r="V832" s="12"/>
      <c r="W832" s="12"/>
      <c r="X832" s="12"/>
    </row>
    <row r="833" customFormat="false" ht="15.75" hidden="false" customHeight="false" outlineLevel="0" collapsed="false">
      <c r="A833" s="12"/>
      <c r="B833" s="34"/>
      <c r="C833" s="12"/>
      <c r="D833" s="12"/>
      <c r="E833" s="12"/>
      <c r="F833" s="12"/>
      <c r="G833" s="18"/>
      <c r="H833" s="35"/>
      <c r="I833" s="12"/>
      <c r="M833" s="12"/>
      <c r="N833" s="18"/>
      <c r="O833" s="12"/>
      <c r="P833" s="12"/>
      <c r="Q833" s="12"/>
      <c r="R833" s="36"/>
      <c r="S833" s="36"/>
      <c r="T833" s="12"/>
      <c r="U833" s="12"/>
      <c r="V833" s="12"/>
      <c r="W833" s="12"/>
      <c r="X833" s="12"/>
    </row>
    <row r="834" customFormat="false" ht="15.75" hidden="false" customHeight="false" outlineLevel="0" collapsed="false">
      <c r="A834" s="12"/>
      <c r="B834" s="34"/>
      <c r="C834" s="12"/>
      <c r="D834" s="12"/>
      <c r="E834" s="12"/>
      <c r="F834" s="12"/>
      <c r="G834" s="18"/>
      <c r="H834" s="35"/>
      <c r="I834" s="12"/>
      <c r="M834" s="12"/>
      <c r="N834" s="18"/>
      <c r="O834" s="12"/>
      <c r="P834" s="12"/>
      <c r="Q834" s="12"/>
      <c r="R834" s="36"/>
      <c r="S834" s="36"/>
      <c r="T834" s="12"/>
      <c r="U834" s="12"/>
      <c r="V834" s="12"/>
      <c r="W834" s="12"/>
      <c r="X834" s="12"/>
    </row>
    <row r="835" customFormat="false" ht="15.75" hidden="false" customHeight="false" outlineLevel="0" collapsed="false">
      <c r="A835" s="12"/>
      <c r="B835" s="34"/>
      <c r="C835" s="12"/>
      <c r="D835" s="12"/>
      <c r="E835" s="12"/>
      <c r="F835" s="12"/>
      <c r="G835" s="18"/>
      <c r="H835" s="35"/>
      <c r="I835" s="12"/>
      <c r="M835" s="12"/>
      <c r="N835" s="18"/>
      <c r="O835" s="12"/>
      <c r="P835" s="12"/>
      <c r="Q835" s="12"/>
      <c r="R835" s="36"/>
      <c r="S835" s="36"/>
      <c r="T835" s="12"/>
      <c r="U835" s="12"/>
      <c r="V835" s="12"/>
      <c r="W835" s="12"/>
      <c r="X835" s="12"/>
    </row>
    <row r="836" customFormat="false" ht="15.75" hidden="false" customHeight="false" outlineLevel="0" collapsed="false">
      <c r="A836" s="12"/>
      <c r="B836" s="34"/>
      <c r="C836" s="12"/>
      <c r="D836" s="12"/>
      <c r="E836" s="12"/>
      <c r="F836" s="12"/>
      <c r="G836" s="18"/>
      <c r="H836" s="35"/>
      <c r="I836" s="12"/>
      <c r="M836" s="12"/>
      <c r="N836" s="18"/>
      <c r="O836" s="12"/>
      <c r="P836" s="12"/>
      <c r="Q836" s="12"/>
      <c r="R836" s="36"/>
      <c r="S836" s="36"/>
      <c r="T836" s="12"/>
      <c r="U836" s="12"/>
      <c r="V836" s="12"/>
      <c r="W836" s="12"/>
      <c r="X836" s="12"/>
    </row>
    <row r="837" customFormat="false" ht="15.75" hidden="false" customHeight="false" outlineLevel="0" collapsed="false">
      <c r="A837" s="12"/>
      <c r="B837" s="34"/>
      <c r="C837" s="12"/>
      <c r="D837" s="12"/>
      <c r="E837" s="12"/>
      <c r="F837" s="12"/>
      <c r="G837" s="18"/>
      <c r="H837" s="35"/>
      <c r="I837" s="12"/>
      <c r="M837" s="12"/>
      <c r="N837" s="18"/>
      <c r="O837" s="12"/>
      <c r="P837" s="12"/>
      <c r="Q837" s="12"/>
      <c r="R837" s="36"/>
      <c r="S837" s="36"/>
      <c r="T837" s="12"/>
      <c r="U837" s="12"/>
      <c r="V837" s="12"/>
      <c r="W837" s="12"/>
      <c r="X837" s="12"/>
    </row>
    <row r="838" customFormat="false" ht="15.75" hidden="false" customHeight="false" outlineLevel="0" collapsed="false">
      <c r="A838" s="12"/>
      <c r="B838" s="34"/>
      <c r="C838" s="12"/>
      <c r="D838" s="12"/>
      <c r="E838" s="12"/>
      <c r="F838" s="12"/>
      <c r="G838" s="18"/>
      <c r="H838" s="35"/>
      <c r="I838" s="12"/>
      <c r="M838" s="12"/>
      <c r="N838" s="18"/>
      <c r="O838" s="12"/>
      <c r="P838" s="12"/>
      <c r="Q838" s="12"/>
      <c r="R838" s="36"/>
      <c r="S838" s="36"/>
      <c r="T838" s="12"/>
      <c r="U838" s="12"/>
      <c r="V838" s="12"/>
      <c r="W838" s="12"/>
      <c r="X838" s="12"/>
    </row>
    <row r="839" customFormat="false" ht="15.75" hidden="false" customHeight="false" outlineLevel="0" collapsed="false">
      <c r="A839" s="12"/>
      <c r="B839" s="34"/>
      <c r="C839" s="12"/>
      <c r="D839" s="12"/>
      <c r="E839" s="12"/>
      <c r="F839" s="12"/>
      <c r="G839" s="18"/>
      <c r="H839" s="35"/>
      <c r="I839" s="12"/>
      <c r="M839" s="12"/>
      <c r="N839" s="18"/>
      <c r="O839" s="12"/>
      <c r="P839" s="12"/>
      <c r="Q839" s="12"/>
      <c r="R839" s="36"/>
      <c r="S839" s="36"/>
      <c r="T839" s="12"/>
      <c r="U839" s="12"/>
      <c r="V839" s="12"/>
      <c r="W839" s="12"/>
      <c r="X839" s="12"/>
    </row>
    <row r="840" customFormat="false" ht="15.75" hidden="false" customHeight="false" outlineLevel="0" collapsed="false">
      <c r="A840" s="12"/>
      <c r="B840" s="34"/>
      <c r="C840" s="12"/>
      <c r="D840" s="12"/>
      <c r="E840" s="12"/>
      <c r="F840" s="12"/>
      <c r="G840" s="18"/>
      <c r="H840" s="35"/>
      <c r="I840" s="12"/>
      <c r="M840" s="12"/>
      <c r="N840" s="18"/>
      <c r="O840" s="12"/>
      <c r="P840" s="12"/>
      <c r="Q840" s="12"/>
      <c r="R840" s="36"/>
      <c r="S840" s="36"/>
      <c r="T840" s="12"/>
      <c r="U840" s="12"/>
      <c r="V840" s="12"/>
      <c r="W840" s="12"/>
      <c r="X840" s="12"/>
    </row>
    <row r="841" customFormat="false" ht="15.75" hidden="false" customHeight="false" outlineLevel="0" collapsed="false">
      <c r="A841" s="12"/>
      <c r="B841" s="34"/>
      <c r="C841" s="12"/>
      <c r="D841" s="12"/>
      <c r="E841" s="12"/>
      <c r="F841" s="12"/>
      <c r="G841" s="18"/>
      <c r="H841" s="35"/>
      <c r="I841" s="12"/>
      <c r="M841" s="12"/>
      <c r="N841" s="18"/>
      <c r="O841" s="12"/>
      <c r="P841" s="12"/>
      <c r="Q841" s="12"/>
      <c r="R841" s="36"/>
      <c r="S841" s="36"/>
      <c r="T841" s="12"/>
      <c r="U841" s="12"/>
      <c r="V841" s="12"/>
      <c r="W841" s="12"/>
      <c r="X841" s="12"/>
    </row>
    <row r="842" customFormat="false" ht="15.75" hidden="false" customHeight="false" outlineLevel="0" collapsed="false">
      <c r="A842" s="12"/>
      <c r="B842" s="34"/>
      <c r="C842" s="12"/>
      <c r="D842" s="12"/>
      <c r="E842" s="12"/>
      <c r="F842" s="12"/>
      <c r="G842" s="18"/>
      <c r="H842" s="35"/>
      <c r="I842" s="12"/>
      <c r="M842" s="12"/>
      <c r="N842" s="18"/>
      <c r="O842" s="12"/>
      <c r="P842" s="12"/>
      <c r="Q842" s="12"/>
      <c r="R842" s="36"/>
      <c r="S842" s="36"/>
      <c r="T842" s="12"/>
      <c r="U842" s="12"/>
      <c r="V842" s="12"/>
      <c r="W842" s="12"/>
      <c r="X842" s="12"/>
    </row>
    <row r="843" customFormat="false" ht="15.75" hidden="false" customHeight="false" outlineLevel="0" collapsed="false">
      <c r="A843" s="12"/>
      <c r="B843" s="34"/>
      <c r="C843" s="12"/>
      <c r="D843" s="12"/>
      <c r="E843" s="12"/>
      <c r="F843" s="12"/>
      <c r="G843" s="18"/>
      <c r="H843" s="35"/>
      <c r="I843" s="12"/>
      <c r="M843" s="12"/>
      <c r="N843" s="18"/>
      <c r="O843" s="12"/>
      <c r="P843" s="12"/>
      <c r="Q843" s="12"/>
      <c r="R843" s="36"/>
      <c r="S843" s="36"/>
      <c r="T843" s="12"/>
      <c r="U843" s="12"/>
      <c r="V843" s="12"/>
      <c r="W843" s="12"/>
      <c r="X843" s="12"/>
    </row>
    <row r="844" customFormat="false" ht="15.75" hidden="false" customHeight="false" outlineLevel="0" collapsed="false">
      <c r="A844" s="12"/>
      <c r="B844" s="34"/>
      <c r="C844" s="12"/>
      <c r="D844" s="12"/>
      <c r="E844" s="12"/>
      <c r="F844" s="12"/>
      <c r="G844" s="18"/>
      <c r="H844" s="35"/>
      <c r="I844" s="12"/>
      <c r="M844" s="12"/>
      <c r="N844" s="18"/>
      <c r="O844" s="12"/>
      <c r="P844" s="12"/>
      <c r="Q844" s="12"/>
      <c r="R844" s="36"/>
      <c r="S844" s="36"/>
      <c r="T844" s="12"/>
      <c r="U844" s="12"/>
      <c r="V844" s="12"/>
      <c r="W844" s="12"/>
      <c r="X844" s="12"/>
    </row>
    <row r="845" customFormat="false" ht="15.75" hidden="false" customHeight="false" outlineLevel="0" collapsed="false">
      <c r="A845" s="12"/>
      <c r="B845" s="34"/>
      <c r="C845" s="12"/>
      <c r="D845" s="12"/>
      <c r="E845" s="12"/>
      <c r="F845" s="12"/>
      <c r="G845" s="18"/>
      <c r="H845" s="35"/>
      <c r="I845" s="12"/>
      <c r="M845" s="12"/>
      <c r="N845" s="18"/>
      <c r="O845" s="12"/>
      <c r="P845" s="12"/>
      <c r="Q845" s="12"/>
      <c r="R845" s="36"/>
      <c r="S845" s="36"/>
      <c r="T845" s="12"/>
      <c r="U845" s="12"/>
      <c r="V845" s="12"/>
      <c r="W845" s="12"/>
      <c r="X845" s="12"/>
    </row>
    <row r="846" customFormat="false" ht="15.75" hidden="false" customHeight="false" outlineLevel="0" collapsed="false">
      <c r="A846" s="12"/>
      <c r="B846" s="34"/>
      <c r="C846" s="12"/>
      <c r="D846" s="12"/>
      <c r="E846" s="12"/>
      <c r="F846" s="12"/>
      <c r="G846" s="18"/>
      <c r="H846" s="35"/>
      <c r="I846" s="12"/>
      <c r="M846" s="12"/>
      <c r="N846" s="18"/>
      <c r="O846" s="12"/>
      <c r="P846" s="12"/>
      <c r="Q846" s="12"/>
      <c r="R846" s="36"/>
      <c r="S846" s="36"/>
      <c r="T846" s="12"/>
      <c r="U846" s="12"/>
      <c r="V846" s="12"/>
      <c r="W846" s="12"/>
      <c r="X846" s="12"/>
    </row>
    <row r="847" customFormat="false" ht="15.75" hidden="false" customHeight="false" outlineLevel="0" collapsed="false">
      <c r="A847" s="12"/>
      <c r="B847" s="34"/>
      <c r="C847" s="12"/>
      <c r="D847" s="12"/>
      <c r="E847" s="12"/>
      <c r="F847" s="12"/>
      <c r="G847" s="18"/>
      <c r="H847" s="35"/>
      <c r="I847" s="12"/>
      <c r="M847" s="12"/>
      <c r="N847" s="18"/>
      <c r="O847" s="12"/>
      <c r="P847" s="12"/>
      <c r="Q847" s="12"/>
      <c r="R847" s="36"/>
      <c r="S847" s="36"/>
      <c r="T847" s="12"/>
      <c r="U847" s="12"/>
      <c r="V847" s="12"/>
      <c r="W847" s="12"/>
      <c r="X847" s="12"/>
    </row>
    <row r="848" customFormat="false" ht="15.75" hidden="false" customHeight="false" outlineLevel="0" collapsed="false">
      <c r="A848" s="12"/>
      <c r="B848" s="34"/>
      <c r="C848" s="12"/>
      <c r="D848" s="12"/>
      <c r="E848" s="12"/>
      <c r="F848" s="12"/>
      <c r="G848" s="18"/>
      <c r="H848" s="35"/>
      <c r="I848" s="12"/>
      <c r="M848" s="12"/>
      <c r="N848" s="18"/>
      <c r="O848" s="12"/>
      <c r="P848" s="12"/>
      <c r="Q848" s="12"/>
      <c r="R848" s="36"/>
      <c r="S848" s="36"/>
      <c r="T848" s="12"/>
      <c r="U848" s="12"/>
      <c r="V848" s="12"/>
      <c r="W848" s="12"/>
      <c r="X848" s="12"/>
    </row>
    <row r="849" customFormat="false" ht="15.75" hidden="false" customHeight="false" outlineLevel="0" collapsed="false">
      <c r="A849" s="12"/>
      <c r="B849" s="34"/>
      <c r="C849" s="12"/>
      <c r="D849" s="12"/>
      <c r="E849" s="12"/>
      <c r="F849" s="12"/>
      <c r="G849" s="18"/>
      <c r="H849" s="35"/>
      <c r="I849" s="12"/>
      <c r="M849" s="12"/>
      <c r="N849" s="18"/>
      <c r="O849" s="12"/>
      <c r="P849" s="12"/>
      <c r="Q849" s="12"/>
      <c r="R849" s="36"/>
      <c r="S849" s="36"/>
      <c r="T849" s="12"/>
      <c r="U849" s="12"/>
      <c r="V849" s="12"/>
      <c r="W849" s="12"/>
      <c r="X849" s="12"/>
    </row>
    <row r="850" customFormat="false" ht="15.75" hidden="false" customHeight="false" outlineLevel="0" collapsed="false">
      <c r="A850" s="12"/>
      <c r="B850" s="34"/>
      <c r="C850" s="12"/>
      <c r="D850" s="12"/>
      <c r="E850" s="12"/>
      <c r="F850" s="12"/>
      <c r="G850" s="18"/>
      <c r="H850" s="35"/>
      <c r="I850" s="12"/>
      <c r="M850" s="12"/>
      <c r="N850" s="18"/>
      <c r="O850" s="12"/>
      <c r="P850" s="12"/>
      <c r="Q850" s="12"/>
      <c r="R850" s="36"/>
      <c r="S850" s="36"/>
      <c r="T850" s="12"/>
      <c r="U850" s="12"/>
      <c r="V850" s="12"/>
      <c r="W850" s="12"/>
      <c r="X850" s="12"/>
    </row>
    <row r="851" customFormat="false" ht="15.75" hidden="false" customHeight="false" outlineLevel="0" collapsed="false">
      <c r="A851" s="12"/>
      <c r="B851" s="34"/>
      <c r="C851" s="12"/>
      <c r="D851" s="12"/>
      <c r="E851" s="12"/>
      <c r="F851" s="12"/>
      <c r="G851" s="18"/>
      <c r="H851" s="35"/>
      <c r="I851" s="12"/>
      <c r="M851" s="12"/>
      <c r="N851" s="18"/>
      <c r="O851" s="12"/>
      <c r="P851" s="12"/>
      <c r="Q851" s="12"/>
      <c r="R851" s="36"/>
      <c r="S851" s="36"/>
      <c r="T851" s="12"/>
      <c r="U851" s="12"/>
      <c r="V851" s="12"/>
      <c r="W851" s="12"/>
      <c r="X851" s="12"/>
    </row>
    <row r="852" customFormat="false" ht="15.75" hidden="false" customHeight="false" outlineLevel="0" collapsed="false">
      <c r="A852" s="12"/>
      <c r="B852" s="34"/>
      <c r="C852" s="12"/>
      <c r="D852" s="12"/>
      <c r="E852" s="12"/>
      <c r="F852" s="12"/>
      <c r="G852" s="18"/>
      <c r="H852" s="35"/>
      <c r="I852" s="12"/>
      <c r="M852" s="12"/>
      <c r="N852" s="18"/>
      <c r="O852" s="12"/>
      <c r="P852" s="12"/>
      <c r="Q852" s="12"/>
      <c r="R852" s="36"/>
      <c r="S852" s="36"/>
      <c r="T852" s="12"/>
      <c r="U852" s="12"/>
      <c r="V852" s="12"/>
      <c r="W852" s="12"/>
      <c r="X852" s="12"/>
    </row>
    <row r="1048575" customFormat="false" ht="12.8" hidden="false" customHeight="true" outlineLevel="0" collapsed="false"/>
    <row r="1048576" customFormat="false" ht="12.8" hidden="false" customHeight="true" outlineLevel="0" collapsed="false"/>
  </sheetData>
  <conditionalFormatting sqref="R2:S852">
    <cfRule type="expression" priority="2" aboveAverage="0" equalAverage="0" bottom="0" percent="0" rank="0" text="" dxfId="0">
      <formula>LEN(TRIM(R2))&gt;0</formula>
    </cfRule>
  </conditionalFormatting>
  <conditionalFormatting sqref="Q2:Q852">
    <cfRule type="expression" priority="3" aboveAverage="0" equalAverage="0" bottom="0" percent="0" rank="0" text="" dxfId="0">
      <formula>LEN(TRIM(Q2))&gt;0</formula>
    </cfRule>
  </conditionalFormatting>
  <conditionalFormatting sqref="G2:G852 N2:N852">
    <cfRule type="containsText" priority="4" operator="containsText" aboveAverage="0" equalAverage="0" bottom="0" percent="0" rank="0" text="x" dxfId="0">
      <formula>NOT(ISERROR(SEARCH("x",G2)))</formula>
    </cfRule>
  </conditionalFormatting>
  <conditionalFormatting sqref="T2:T852">
    <cfRule type="expression" priority="5" aboveAverage="0" equalAverage="0" bottom="0" percent="0" rank="0" text="" dxfId="0">
      <formula>LEN(TRIM(T2))&gt;0</formula>
    </cfRule>
  </conditionalFormatting>
  <conditionalFormatting sqref="W2:W852">
    <cfRule type="expression" priority="6" aboveAverage="0" equalAverage="0" bottom="0" percent="0" rank="0" text="" dxfId="0">
      <formula>LEN(TRIM(W2))&gt;0</formula>
    </cfRule>
  </conditionalFormatting>
  <conditionalFormatting sqref="X2:X852">
    <cfRule type="cellIs" priority="7" operator="equal" aboveAverage="0" equalAverage="0" bottom="0" percent="0" rank="0" text="" dxfId="0">
      <formula>"Completo"</formula>
    </cfRule>
    <cfRule type="cellIs" priority="8" operator="equal" aboveAverage="0" equalAverage="0" bottom="0" percent="0" rank="0" text="" dxfId="1">
      <formula>"No aplica"</formula>
    </cfRule>
  </conditionalFormatting>
  <conditionalFormatting sqref="G2:I852 O2:P852 U2:V852 X2:X852">
    <cfRule type="cellIs" priority="9" operator="equal" aboveAverage="0" equalAverage="0" bottom="0" percent="0" rank="0" text="" dxfId="0">
      <formula>"Completo"</formula>
    </cfRule>
    <cfRule type="cellIs" priority="10" operator="equal" aboveAverage="0" equalAverage="0" bottom="0" percent="0" rank="0" text="" dxfId="1">
      <formula>"No Aplica"</formula>
    </cfRule>
  </conditionalFormatting>
  <dataValidations count="5">
    <dataValidation allowBlank="true" errorStyle="stop" operator="between" showDropDown="false" showErrorMessage="true" showInputMessage="false" sqref="D2:D852" type="list">
      <formula1>LEYENDA!$B$2:$D$2</formula1>
      <formula2>0</formula2>
    </dataValidation>
    <dataValidation allowBlank="true" errorStyle="stop" operator="between" showDropDown="false" showErrorMessage="false" showInputMessage="false" sqref="E2:E852" type="list">
      <formula1>LEYENDA!$A$8:$A$12</formula1>
      <formula2>0</formula2>
    </dataValidation>
    <dataValidation allowBlank="true" errorStyle="stop" operator="between" showDropDown="false" showErrorMessage="false" showInputMessage="false" sqref="T2:T852" type="list">
      <formula1>LEYENDA!$A$23:$A$24</formula1>
      <formula2>0</formula2>
    </dataValidation>
    <dataValidation allowBlank="true" errorStyle="stop" operator="between" showDropDown="false" showErrorMessage="false" showInputMessage="false" sqref="R2:R852" type="list">
      <formula1>LEYENDA!$A$15:$A$19</formula1>
      <formula2>0</formula2>
    </dataValidation>
    <dataValidation allowBlank="true" errorStyle="stop" operator="between" showDropDown="false" showErrorMessage="true" showInputMessage="false" sqref="H2:I852 O2:P852 U2:V852 X2:X852" type="list">
      <formula1>LEYENDA!$B$1:$C$1</formula1>
      <formula2>0</formula2>
    </dataValidation>
  </dataValidations>
  <hyperlinks>
    <hyperlink ref="P2" r:id="rId1" display="Completo"/>
    <hyperlink ref="U2" r:id="rId2" display="Completo"/>
    <hyperlink ref="P3" r:id="rId3" display="Completo"/>
    <hyperlink ref="U3" r:id="rId4" display="Completo"/>
    <hyperlink ref="P5" r:id="rId5" display="Completo"/>
    <hyperlink ref="P6" r:id="rId6" display="Completo"/>
    <hyperlink ref="U6" r:id="rId7" display="Completo"/>
    <hyperlink ref="V6" r:id="rId8" display="Completo"/>
    <hyperlink ref="P7" r:id="rId9" display="Completo"/>
    <hyperlink ref="U7" r:id="rId10" display="Completo"/>
    <hyperlink ref="V7" r:id="rId11" display="Completo"/>
    <hyperlink ref="P12" r:id="rId12" display="Completo"/>
    <hyperlink ref="U12" r:id="rId13" display="Completo"/>
    <hyperlink ref="V12" r:id="rId14" display="Completo"/>
    <hyperlink ref="P22" r:id="rId15" display="Completo"/>
    <hyperlink ref="P24" r:id="rId16" display="Completo"/>
    <hyperlink ref="U24" r:id="rId17" display="Completo"/>
    <hyperlink ref="V24" r:id="rId18" display="Completo"/>
    <hyperlink ref="P28" r:id="rId19" display="Completo"/>
    <hyperlink ref="U28" r:id="rId20" display="Completo"/>
    <hyperlink ref="V28" r:id="rId21" display="Completo"/>
    <hyperlink ref="P29" r:id="rId22" display="Completo"/>
    <hyperlink ref="U29" r:id="rId23" display="Completo"/>
    <hyperlink ref="V29" r:id="rId24" display="Completo"/>
    <hyperlink ref="U30" r:id="rId25" display="Completo"/>
    <hyperlink ref="V30" r:id="rId26" display="Completo"/>
    <hyperlink ref="U31" r:id="rId27" display="Completo"/>
    <hyperlink ref="V31" r:id="rId28" display="Completo"/>
    <hyperlink ref="P34" r:id="rId29" display="Completo"/>
    <hyperlink ref="U34" r:id="rId30" display="Completo"/>
    <hyperlink ref="V34" r:id="rId31" display="Completo"/>
    <hyperlink ref="P40" r:id="rId32" display="Completo"/>
    <hyperlink ref="P43" r:id="rId33" display="Completo"/>
    <hyperlink ref="P48" r:id="rId34" display="Completo"/>
    <hyperlink ref="U48" r:id="rId35" display="Completo"/>
    <hyperlink ref="V48" r:id="rId36" display="Completo"/>
    <hyperlink ref="P50" r:id="rId37" display="Completo"/>
    <hyperlink ref="U50" r:id="rId38" display="Completo"/>
    <hyperlink ref="P51" r:id="rId39" display="Completo"/>
    <hyperlink ref="U51" r:id="rId40" display="Completo"/>
    <hyperlink ref="V51" r:id="rId41" display="Completo"/>
    <hyperlink ref="U52" r:id="rId42" display="Completo"/>
    <hyperlink ref="V52" r:id="rId43" display="Completo"/>
    <hyperlink ref="P53" r:id="rId44" display="Completo"/>
    <hyperlink ref="U53" r:id="rId45" display="Completo"/>
    <hyperlink ref="V53" r:id="rId46" display="Completo"/>
    <hyperlink ref="P54" r:id="rId47" display="Completo"/>
    <hyperlink ref="U54" r:id="rId48" display="Completo"/>
    <hyperlink ref="V54" r:id="rId49" display="Completo"/>
    <hyperlink ref="P55" r:id="rId50" display="Completo"/>
    <hyperlink ref="U55" r:id="rId51" display="Completo"/>
    <hyperlink ref="V55" r:id="rId52" display="Completo"/>
    <hyperlink ref="P58" r:id="rId53" display="Completo"/>
    <hyperlink ref="U58" r:id="rId54" display="Completo"/>
    <hyperlink ref="V58" r:id="rId55" display="Completo"/>
    <hyperlink ref="P59" r:id="rId56" display="Completo"/>
    <hyperlink ref="U59" r:id="rId57" display="Completo"/>
    <hyperlink ref="V59" r:id="rId58" display="Completo"/>
    <hyperlink ref="P62" r:id="rId59" display="Completo"/>
    <hyperlink ref="U62" r:id="rId60" display="Completo"/>
    <hyperlink ref="V62" r:id="rId61" display="Completo"/>
    <hyperlink ref="P63" r:id="rId62" display="Completo"/>
    <hyperlink ref="U63" r:id="rId63" display="Completo"/>
    <hyperlink ref="V63" r:id="rId64" display="Completo"/>
    <hyperlink ref="P65" r:id="rId65" display="Completo"/>
    <hyperlink ref="U65" r:id="rId66" display="Completo"/>
    <hyperlink ref="V65" r:id="rId67" display="Completo"/>
    <hyperlink ref="U67" r:id="rId68" display="Completo"/>
    <hyperlink ref="V67" r:id="rId69" display="Completo"/>
    <hyperlink ref="P68" r:id="rId70" display="Completo"/>
    <hyperlink ref="U68" r:id="rId71" display="Completo"/>
    <hyperlink ref="V68" r:id="rId72" display="Completo"/>
    <hyperlink ref="P69" r:id="rId73" display="Completo"/>
    <hyperlink ref="U69" r:id="rId74" display="Completo"/>
    <hyperlink ref="V69" r:id="rId75" display="Completo"/>
    <hyperlink ref="P70" r:id="rId76" display="Completo"/>
    <hyperlink ref="U70" r:id="rId77" display="Completo"/>
    <hyperlink ref="V70" r:id="rId78" display="Completo"/>
    <hyperlink ref="P73" r:id="rId79" display="Completo"/>
    <hyperlink ref="U73" r:id="rId80" display="Completo"/>
    <hyperlink ref="V73" r:id="rId81" display="Completo"/>
  </hyperlinks>
  <printOptions headings="false" gridLines="true" gridLinesSet="true" horizontalCentered="true" verticalCentered="false"/>
  <pageMargins left="0.7" right="0.7" top="0.75" bottom="0.75" header="0.511811023622047" footer="0.511811023622047"/>
  <pageSetup paperSize="9" scale="100" fitToWidth="1" fitToHeight="0" pageOrder="overThenDown" orientation="landscape" blackAndWhite="false" draft="false" cellComments="none" horizontalDpi="300" verticalDpi="300" copies="1"/>
  <headerFooter differentFirst="false" differentOddEven="false">
    <oddHeader/>
    <oddFooter/>
  </headerFooter>
  <drawing r:id="rId8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AF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6" ySplit="3" topLeftCell="G4" activePane="bottomRight" state="frozen"/>
      <selection pane="topLeft" activeCell="A1" activeCellId="0" sqref="A1"/>
      <selection pane="topRight" activeCell="G1" activeCellId="0" sqref="G1"/>
      <selection pane="bottomLeft" activeCell="A4" activeCellId="0" sqref="A4"/>
      <selection pane="bottomRight" activeCell="G1" activeCellId="0" sqref="G1"/>
    </sheetView>
  </sheetViews>
  <sheetFormatPr defaultColWidth="12.6328125" defaultRowHeight="15.75" zeroHeight="false" outlineLevelRow="0" outlineLevelCol="0"/>
  <cols>
    <col collapsed="false" customWidth="true" hidden="false" outlineLevel="0" max="1" min="1" style="1" width="10.25"/>
    <col collapsed="false" customWidth="true" hidden="false" outlineLevel="0" max="2" min="2" style="1" width="10.38"/>
    <col collapsed="false" customWidth="true" hidden="false" outlineLevel="0" max="3" min="3" style="1" width="16.89"/>
    <col collapsed="false" customWidth="true" hidden="false" outlineLevel="0" max="4" min="4" style="1" width="11.25"/>
    <col collapsed="false" customWidth="true" hidden="false" outlineLevel="0" max="5" min="5" style="1" width="17.13"/>
    <col collapsed="false" customWidth="true" hidden="false" outlineLevel="0" max="6" min="6" style="1" width="31.25"/>
    <col collapsed="false" customWidth="true" hidden="false" outlineLevel="0" max="7" min="7" style="1" width="15.88"/>
    <col collapsed="false" customWidth="true" hidden="false" outlineLevel="0" max="8" min="8" style="1" width="10.88"/>
    <col collapsed="false" customWidth="true" hidden="false" outlineLevel="0" max="9" min="9" style="1" width="12.88"/>
    <col collapsed="false" customWidth="true" hidden="false" outlineLevel="0" max="10" min="10" style="1" width="12"/>
    <col collapsed="false" customWidth="true" hidden="false" outlineLevel="0" max="11" min="11" style="1" width="10"/>
    <col collapsed="false" customWidth="true" hidden="false" outlineLevel="0" max="12" min="12" style="1" width="12.25"/>
    <col collapsed="false" customWidth="true" hidden="false" outlineLevel="0" max="13" min="13" style="1" width="26.12"/>
    <col collapsed="false" customWidth="true" hidden="false" outlineLevel="0" max="14" min="14" style="1" width="18"/>
    <col collapsed="false" customWidth="true" hidden="false" outlineLevel="0" max="16" min="15" style="1" width="10.63"/>
    <col collapsed="false" customWidth="true" hidden="false" outlineLevel="0" max="17" min="17" style="1" width="8.5"/>
    <col collapsed="false" customWidth="true" hidden="false" outlineLevel="0" max="19" min="19" style="1" width="25.38"/>
    <col collapsed="false" customWidth="true" hidden="false" outlineLevel="0" max="20" min="20" style="1" width="17.88"/>
    <col collapsed="false" customWidth="true" hidden="false" outlineLevel="0" max="21" min="21" style="1" width="10.13"/>
    <col collapsed="false" customWidth="true" hidden="false" outlineLevel="0" max="22" min="22" style="1" width="11.12"/>
    <col collapsed="false" customWidth="true" hidden="false" outlineLevel="0" max="23" min="23" style="1" width="24.88"/>
  </cols>
  <sheetData>
    <row r="1" customFormat="false" ht="68" hidden="false" customHeight="false" outlineLevel="0" collapsed="false">
      <c r="A1" s="2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/>
      <c r="J1" s="4" t="s">
        <v>8</v>
      </c>
      <c r="K1" s="2"/>
      <c r="L1" s="2" t="s">
        <v>9</v>
      </c>
      <c r="M1" s="2" t="s">
        <v>10</v>
      </c>
      <c r="N1" s="4" t="s">
        <v>11</v>
      </c>
      <c r="O1" s="3" t="s">
        <v>12</v>
      </c>
      <c r="P1" s="7" t="s">
        <v>13</v>
      </c>
      <c r="Q1" s="7" t="s">
        <v>14</v>
      </c>
      <c r="R1" s="7" t="s">
        <v>15</v>
      </c>
      <c r="S1" s="7" t="s">
        <v>16</v>
      </c>
      <c r="T1" s="7" t="s">
        <v>17</v>
      </c>
      <c r="U1" s="8" t="s">
        <v>18</v>
      </c>
      <c r="V1" s="9" t="s">
        <v>19</v>
      </c>
      <c r="W1" s="9" t="s">
        <v>20</v>
      </c>
      <c r="X1" s="10" t="s">
        <v>15</v>
      </c>
      <c r="Y1" s="11" t="s">
        <v>21</v>
      </c>
      <c r="Z1" s="11" t="s">
        <v>22</v>
      </c>
      <c r="AA1" s="12"/>
      <c r="AB1" s="12"/>
      <c r="AC1" s="12"/>
      <c r="AD1" s="12"/>
      <c r="AE1" s="12"/>
      <c r="AF1" s="12"/>
    </row>
    <row r="2" customFormat="false" ht="15.75" hidden="false" customHeight="false" outlineLevel="0" collapsed="false">
      <c r="A2" s="61" t="n">
        <v>6348</v>
      </c>
      <c r="B2" s="29" t="n">
        <v>44652</v>
      </c>
      <c r="C2" s="21" t="s">
        <v>616</v>
      </c>
      <c r="D2" s="21" t="s">
        <v>24</v>
      </c>
      <c r="E2" s="21" t="s">
        <v>25</v>
      </c>
      <c r="F2" s="21" t="s">
        <v>3222</v>
      </c>
      <c r="G2" s="30" t="s">
        <v>3223</v>
      </c>
      <c r="H2" s="45" t="str">
        <f aca="false">HYPERLINK("https://photos.app.goo.gl/DFj1eXEU1EjNVURU6", "Completo")</f>
        <v>Completo</v>
      </c>
      <c r="I2" s="21" t="s">
        <v>28</v>
      </c>
      <c r="J2" s="21"/>
      <c r="K2" s="21"/>
      <c r="L2" s="21"/>
      <c r="M2" s="21"/>
      <c r="N2" s="30" t="s">
        <v>3223</v>
      </c>
      <c r="O2" s="21" t="s">
        <v>28</v>
      </c>
      <c r="P2" s="21"/>
      <c r="Q2" s="21" t="s">
        <v>3144</v>
      </c>
      <c r="R2" s="32" t="s">
        <v>25</v>
      </c>
      <c r="S2" s="32"/>
      <c r="T2" s="21" t="s">
        <v>74</v>
      </c>
      <c r="U2" s="74" t="s">
        <v>28</v>
      </c>
      <c r="V2" s="74" t="s">
        <v>28</v>
      </c>
      <c r="W2" s="21" t="s">
        <v>36</v>
      </c>
      <c r="X2" s="21" t="s">
        <v>28</v>
      </c>
    </row>
    <row r="3" customFormat="false" ht="15.75" hidden="false" customHeight="false" outlineLevel="0" collapsed="false">
      <c r="A3" s="61" t="n">
        <v>6349</v>
      </c>
      <c r="B3" s="29" t="n">
        <v>44652</v>
      </c>
      <c r="C3" s="21" t="s">
        <v>1328</v>
      </c>
      <c r="D3" s="21" t="s">
        <v>24</v>
      </c>
      <c r="E3" s="21" t="s">
        <v>34</v>
      </c>
      <c r="F3" s="21" t="s">
        <v>3224</v>
      </c>
      <c r="G3" s="30"/>
      <c r="H3" s="31" t="s">
        <v>37</v>
      </c>
      <c r="I3" s="21" t="s">
        <v>37</v>
      </c>
      <c r="J3" s="21"/>
      <c r="K3" s="21"/>
      <c r="L3" s="21"/>
      <c r="M3" s="21"/>
      <c r="N3" s="30"/>
      <c r="O3" s="21"/>
      <c r="P3" s="21"/>
      <c r="Q3" s="21"/>
      <c r="R3" s="32"/>
      <c r="S3" s="32"/>
      <c r="T3" s="21"/>
      <c r="U3" s="21" t="s">
        <v>37</v>
      </c>
      <c r="V3" s="21" t="s">
        <v>37</v>
      </c>
      <c r="W3" s="21"/>
      <c r="X3" s="21" t="s">
        <v>28</v>
      </c>
    </row>
    <row r="4" customFormat="false" ht="15.75" hidden="false" customHeight="false" outlineLevel="0" collapsed="false">
      <c r="A4" s="61" t="n">
        <v>6350</v>
      </c>
      <c r="B4" s="29" t="n">
        <v>44652</v>
      </c>
      <c r="C4" s="21" t="s">
        <v>3225</v>
      </c>
      <c r="D4" s="21" t="s">
        <v>24</v>
      </c>
      <c r="E4" s="21" t="s">
        <v>74</v>
      </c>
      <c r="F4" s="21" t="s">
        <v>3226</v>
      </c>
      <c r="G4" s="30"/>
      <c r="H4" s="45" t="str">
        <f aca="false">HYPERLINK("https://photos.app.goo.gl/MTYBthjNrr9HP32NA", "Completo")</f>
        <v>Completo</v>
      </c>
      <c r="I4" s="21" t="s">
        <v>28</v>
      </c>
      <c r="J4" s="21" t="n">
        <v>3573451877</v>
      </c>
      <c r="K4" s="21" t="s">
        <v>3227</v>
      </c>
      <c r="L4" s="21" t="s">
        <v>29</v>
      </c>
      <c r="M4" s="21" t="s">
        <v>2133</v>
      </c>
      <c r="N4" s="30"/>
      <c r="O4" s="21"/>
      <c r="P4" s="21"/>
      <c r="Q4" s="21"/>
      <c r="R4" s="32"/>
      <c r="S4" s="32"/>
      <c r="T4" s="21"/>
      <c r="U4" s="21" t="s">
        <v>37</v>
      </c>
      <c r="V4" s="21" t="s">
        <v>37</v>
      </c>
      <c r="W4" s="21"/>
      <c r="X4" s="21" t="s">
        <v>37</v>
      </c>
    </row>
    <row r="5" customFormat="false" ht="15.75" hidden="false" customHeight="false" outlineLevel="0" collapsed="false">
      <c r="A5" s="61" t="n">
        <v>6351</v>
      </c>
      <c r="B5" s="29" t="n">
        <v>44652</v>
      </c>
      <c r="C5" s="21" t="s">
        <v>893</v>
      </c>
      <c r="D5" s="21" t="s">
        <v>24</v>
      </c>
      <c r="E5" s="21" t="s">
        <v>34</v>
      </c>
      <c r="F5" s="21" t="s">
        <v>3228</v>
      </c>
      <c r="G5" s="30"/>
      <c r="H5" s="31"/>
      <c r="I5" s="21"/>
      <c r="J5" s="21"/>
      <c r="K5" s="21"/>
      <c r="L5" s="21"/>
      <c r="M5" s="21"/>
      <c r="N5" s="30"/>
      <c r="O5" s="21"/>
      <c r="P5" s="21"/>
      <c r="Q5" s="21"/>
      <c r="R5" s="32"/>
      <c r="S5" s="32"/>
      <c r="T5" s="21"/>
      <c r="U5" s="21" t="s">
        <v>37</v>
      </c>
      <c r="V5" s="21" t="s">
        <v>37</v>
      </c>
      <c r="W5" s="21"/>
      <c r="X5" s="21" t="s">
        <v>28</v>
      </c>
    </row>
    <row r="6" customFormat="false" ht="15.75" hidden="false" customHeight="false" outlineLevel="0" collapsed="false">
      <c r="A6" s="61" t="n">
        <v>6352</v>
      </c>
      <c r="B6" s="29" t="n">
        <v>44652</v>
      </c>
      <c r="C6" s="21" t="s">
        <v>893</v>
      </c>
      <c r="D6" s="21" t="s">
        <v>24</v>
      </c>
      <c r="E6" s="21" t="s">
        <v>34</v>
      </c>
      <c r="F6" s="21" t="s">
        <v>3229</v>
      </c>
      <c r="G6" s="30"/>
      <c r="H6" s="31"/>
      <c r="I6" s="21"/>
      <c r="J6" s="21"/>
      <c r="K6" s="21"/>
      <c r="L6" s="21"/>
      <c r="M6" s="21"/>
      <c r="N6" s="30"/>
      <c r="O6" s="21"/>
      <c r="P6" s="21"/>
      <c r="Q6" s="21"/>
      <c r="R6" s="32"/>
      <c r="S6" s="32"/>
      <c r="T6" s="21"/>
      <c r="U6" s="21" t="s">
        <v>37</v>
      </c>
      <c r="V6" s="21" t="s">
        <v>37</v>
      </c>
      <c r="W6" s="21"/>
      <c r="X6" s="21" t="s">
        <v>28</v>
      </c>
    </row>
    <row r="7" customFormat="false" ht="15.75" hidden="false" customHeight="false" outlineLevel="0" collapsed="false">
      <c r="A7" s="61" t="n">
        <v>6353</v>
      </c>
      <c r="B7" s="29" t="n">
        <v>44652</v>
      </c>
      <c r="C7" s="21" t="s">
        <v>893</v>
      </c>
      <c r="D7" s="21" t="s">
        <v>24</v>
      </c>
      <c r="E7" s="21" t="s">
        <v>34</v>
      </c>
      <c r="F7" s="21" t="s">
        <v>3230</v>
      </c>
      <c r="G7" s="30"/>
      <c r="H7" s="31"/>
      <c r="I7" s="21"/>
      <c r="J7" s="21"/>
      <c r="K7" s="21"/>
      <c r="L7" s="21"/>
      <c r="M7" s="21"/>
      <c r="N7" s="30"/>
      <c r="O7" s="21"/>
      <c r="P7" s="21"/>
      <c r="Q7" s="21"/>
      <c r="R7" s="32"/>
      <c r="S7" s="32"/>
      <c r="T7" s="21"/>
      <c r="U7" s="21" t="s">
        <v>37</v>
      </c>
      <c r="V7" s="21" t="s">
        <v>37</v>
      </c>
      <c r="W7" s="21"/>
      <c r="X7" s="21" t="s">
        <v>28</v>
      </c>
    </row>
    <row r="8" customFormat="false" ht="15.75" hidden="false" customHeight="false" outlineLevel="0" collapsed="false">
      <c r="A8" s="61" t="n">
        <v>6354</v>
      </c>
      <c r="B8" s="29" t="n">
        <v>44652</v>
      </c>
      <c r="C8" s="21" t="s">
        <v>1328</v>
      </c>
      <c r="D8" s="21" t="s">
        <v>24</v>
      </c>
      <c r="E8" s="21" t="s">
        <v>34</v>
      </c>
      <c r="F8" s="21" t="s">
        <v>3231</v>
      </c>
      <c r="G8" s="30"/>
      <c r="H8" s="31"/>
      <c r="I8" s="21"/>
      <c r="J8" s="21"/>
      <c r="K8" s="21"/>
      <c r="L8" s="21"/>
      <c r="M8" s="21"/>
      <c r="N8" s="30"/>
      <c r="O8" s="21"/>
      <c r="P8" s="21"/>
      <c r="Q8" s="21"/>
      <c r="R8" s="32"/>
      <c r="S8" s="32"/>
      <c r="T8" s="21"/>
      <c r="U8" s="21" t="s">
        <v>37</v>
      </c>
      <c r="V8" s="21" t="s">
        <v>37</v>
      </c>
      <c r="W8" s="21"/>
      <c r="X8" s="21" t="s">
        <v>28</v>
      </c>
    </row>
    <row r="9" customFormat="false" ht="15.75" hidden="false" customHeight="false" outlineLevel="0" collapsed="false">
      <c r="A9" s="61" t="n">
        <v>6355</v>
      </c>
      <c r="B9" s="29" t="n">
        <v>44655</v>
      </c>
      <c r="C9" s="21" t="s">
        <v>1328</v>
      </c>
      <c r="D9" s="21" t="s">
        <v>24</v>
      </c>
      <c r="E9" s="21" t="s">
        <v>25</v>
      </c>
      <c r="F9" s="21" t="s">
        <v>3232</v>
      </c>
      <c r="G9" s="30"/>
      <c r="H9" s="45" t="str">
        <f aca="false">HYPERLINK("https://photos.app.goo.gl/c4TVbxggCQJeo14c8", "Completo")</f>
        <v>Completo</v>
      </c>
      <c r="I9" s="21" t="s">
        <v>28</v>
      </c>
      <c r="J9" s="21"/>
      <c r="K9" s="21"/>
      <c r="L9" s="21"/>
      <c r="M9" s="21"/>
      <c r="N9" s="30"/>
      <c r="O9" s="21"/>
      <c r="P9" s="21"/>
      <c r="Q9" s="21"/>
      <c r="R9" s="32"/>
      <c r="S9" s="32"/>
      <c r="T9" s="21"/>
      <c r="U9" s="21" t="s">
        <v>37</v>
      </c>
      <c r="V9" s="21" t="s">
        <v>37</v>
      </c>
      <c r="W9" s="21"/>
      <c r="X9" s="21" t="s">
        <v>28</v>
      </c>
    </row>
    <row r="10" customFormat="false" ht="15.75" hidden="false" customHeight="false" outlineLevel="0" collapsed="false">
      <c r="A10" s="61" t="n">
        <v>6356</v>
      </c>
      <c r="B10" s="29" t="n">
        <v>44655</v>
      </c>
      <c r="C10" s="21" t="s">
        <v>841</v>
      </c>
      <c r="D10" s="21" t="s">
        <v>24</v>
      </c>
      <c r="E10" s="21" t="s">
        <v>34</v>
      </c>
      <c r="F10" s="21" t="s">
        <v>3233</v>
      </c>
      <c r="G10" s="30"/>
      <c r="H10" s="31"/>
      <c r="I10" s="21"/>
      <c r="J10" s="21"/>
      <c r="K10" s="21"/>
      <c r="L10" s="21"/>
      <c r="M10" s="21"/>
      <c r="N10" s="30"/>
      <c r="O10" s="21"/>
      <c r="P10" s="21"/>
      <c r="Q10" s="21"/>
      <c r="R10" s="32"/>
      <c r="S10" s="32"/>
      <c r="T10" s="21"/>
      <c r="U10" s="21" t="s">
        <v>37</v>
      </c>
      <c r="V10" s="21" t="s">
        <v>37</v>
      </c>
      <c r="W10" s="21"/>
      <c r="X10" s="21" t="s">
        <v>28</v>
      </c>
    </row>
    <row r="11" customFormat="false" ht="15.75" hidden="false" customHeight="false" outlineLevel="0" collapsed="false">
      <c r="A11" s="61" t="n">
        <v>6357</v>
      </c>
      <c r="B11" s="29" t="n">
        <v>44655</v>
      </c>
      <c r="C11" s="21" t="s">
        <v>841</v>
      </c>
      <c r="D11" s="21" t="s">
        <v>24</v>
      </c>
      <c r="E11" s="21" t="s">
        <v>34</v>
      </c>
      <c r="F11" s="21" t="s">
        <v>3233</v>
      </c>
      <c r="G11" s="30"/>
      <c r="H11" s="31"/>
      <c r="I11" s="21"/>
      <c r="J11" s="21"/>
      <c r="K11" s="21"/>
      <c r="L11" s="21"/>
      <c r="M11" s="21"/>
      <c r="N11" s="30"/>
      <c r="O11" s="21"/>
      <c r="P11" s="21"/>
      <c r="Q11" s="21"/>
      <c r="R11" s="32"/>
      <c r="S11" s="32"/>
      <c r="T11" s="21"/>
      <c r="U11" s="21" t="s">
        <v>37</v>
      </c>
      <c r="V11" s="21" t="s">
        <v>37</v>
      </c>
      <c r="W11" s="21"/>
      <c r="X11" s="21" t="s">
        <v>28</v>
      </c>
    </row>
    <row r="12" customFormat="false" ht="15.75" hidden="false" customHeight="false" outlineLevel="0" collapsed="false">
      <c r="A12" s="76" t="n">
        <v>443042</v>
      </c>
      <c r="B12" s="29" t="n">
        <v>44656</v>
      </c>
      <c r="C12" s="21" t="s">
        <v>67</v>
      </c>
      <c r="D12" s="21" t="s">
        <v>290</v>
      </c>
      <c r="E12" s="21" t="s">
        <v>25</v>
      </c>
      <c r="F12" s="21" t="s">
        <v>1695</v>
      </c>
      <c r="G12" s="30" t="s">
        <v>3234</v>
      </c>
      <c r="H12" s="45" t="str">
        <f aca="false">HYPERLINK("https://photos.app.goo.gl/vBs9XVdtMaax2Jbh6", "Completo")</f>
        <v>Completo</v>
      </c>
      <c r="I12" s="21" t="s">
        <v>28</v>
      </c>
      <c r="J12" s="21"/>
      <c r="K12" s="21"/>
      <c r="L12" s="21"/>
      <c r="M12" s="21"/>
      <c r="N12" s="30"/>
      <c r="O12" s="21" t="s">
        <v>28</v>
      </c>
      <c r="P12" s="74" t="s">
        <v>28</v>
      </c>
      <c r="Q12" s="21" t="s">
        <v>2833</v>
      </c>
      <c r="R12" s="32" t="s">
        <v>2850</v>
      </c>
      <c r="S12" s="32"/>
      <c r="T12" s="21" t="s">
        <v>74</v>
      </c>
      <c r="U12" s="74" t="s">
        <v>28</v>
      </c>
      <c r="V12" s="74" t="s">
        <v>28</v>
      </c>
      <c r="W12" s="21" t="s">
        <v>36</v>
      </c>
      <c r="X12" s="21"/>
    </row>
    <row r="13" customFormat="false" ht="15.75" hidden="false" customHeight="false" outlineLevel="0" collapsed="false">
      <c r="A13" s="61" t="n">
        <v>6358</v>
      </c>
      <c r="B13" s="29" t="n">
        <v>44656</v>
      </c>
      <c r="C13" s="21" t="s">
        <v>3235</v>
      </c>
      <c r="D13" s="21" t="s">
        <v>24</v>
      </c>
      <c r="E13" s="21" t="s">
        <v>34</v>
      </c>
      <c r="F13" s="21" t="s">
        <v>903</v>
      </c>
      <c r="G13" s="30"/>
      <c r="H13" s="31"/>
      <c r="I13" s="21"/>
      <c r="J13" s="21"/>
      <c r="K13" s="21"/>
      <c r="L13" s="21"/>
      <c r="M13" s="21"/>
      <c r="N13" s="30"/>
      <c r="O13" s="21"/>
      <c r="P13" s="21"/>
      <c r="Q13" s="21"/>
      <c r="R13" s="32"/>
      <c r="S13" s="32"/>
      <c r="T13" s="21"/>
      <c r="U13" s="21" t="s">
        <v>37</v>
      </c>
      <c r="V13" s="21" t="s">
        <v>37</v>
      </c>
      <c r="W13" s="21"/>
      <c r="X13" s="21" t="s">
        <v>28</v>
      </c>
    </row>
    <row r="14" customFormat="false" ht="15.75" hidden="false" customHeight="false" outlineLevel="0" collapsed="false">
      <c r="A14" s="61" t="n">
        <v>6359</v>
      </c>
      <c r="B14" s="29" t="n">
        <v>44656</v>
      </c>
      <c r="C14" s="21" t="s">
        <v>2268</v>
      </c>
      <c r="D14" s="21" t="s">
        <v>24</v>
      </c>
      <c r="E14" s="21" t="s">
        <v>34</v>
      </c>
      <c r="F14" s="21" t="s">
        <v>902</v>
      </c>
      <c r="G14" s="30"/>
      <c r="H14" s="31"/>
      <c r="I14" s="21"/>
      <c r="J14" s="21"/>
      <c r="K14" s="21"/>
      <c r="L14" s="21"/>
      <c r="M14" s="21"/>
      <c r="N14" s="30"/>
      <c r="O14" s="21"/>
      <c r="P14" s="21"/>
      <c r="Q14" s="21"/>
      <c r="R14" s="32"/>
      <c r="S14" s="32"/>
      <c r="T14" s="21"/>
      <c r="U14" s="21" t="s">
        <v>37</v>
      </c>
      <c r="V14" s="21" t="s">
        <v>37</v>
      </c>
      <c r="W14" s="21"/>
      <c r="X14" s="21" t="s">
        <v>28</v>
      </c>
    </row>
    <row r="15" customFormat="false" ht="15.75" hidden="false" customHeight="false" outlineLevel="0" collapsed="false">
      <c r="A15" s="61" t="n">
        <v>6360</v>
      </c>
      <c r="B15" s="29" t="n">
        <v>44656</v>
      </c>
      <c r="C15" s="21" t="s">
        <v>2577</v>
      </c>
      <c r="D15" s="21" t="s">
        <v>24</v>
      </c>
      <c r="E15" s="21" t="s">
        <v>25</v>
      </c>
      <c r="F15" s="21" t="s">
        <v>3236</v>
      </c>
      <c r="G15" s="30"/>
      <c r="H15" s="31"/>
      <c r="I15" s="21"/>
      <c r="J15" s="21"/>
      <c r="K15" s="21"/>
      <c r="L15" s="21"/>
      <c r="M15" s="21"/>
      <c r="N15" s="30"/>
      <c r="O15" s="21"/>
      <c r="P15" s="21"/>
      <c r="Q15" s="21"/>
      <c r="R15" s="32"/>
      <c r="S15" s="32"/>
      <c r="T15" s="21"/>
      <c r="U15" s="21" t="s">
        <v>37</v>
      </c>
      <c r="V15" s="21" t="s">
        <v>37</v>
      </c>
      <c r="W15" s="21"/>
      <c r="X15" s="21" t="s">
        <v>28</v>
      </c>
    </row>
    <row r="16" customFormat="false" ht="15.75" hidden="false" customHeight="false" outlineLevel="0" collapsed="false">
      <c r="A16" s="61" t="n">
        <v>6361</v>
      </c>
      <c r="B16" s="29" t="n">
        <v>44657</v>
      </c>
      <c r="C16" s="21" t="s">
        <v>841</v>
      </c>
      <c r="D16" s="21" t="s">
        <v>24</v>
      </c>
      <c r="E16" s="21" t="s">
        <v>34</v>
      </c>
      <c r="F16" s="21" t="s">
        <v>3237</v>
      </c>
      <c r="G16" s="30"/>
      <c r="H16" s="31"/>
      <c r="I16" s="21"/>
      <c r="J16" s="21"/>
      <c r="K16" s="21"/>
      <c r="L16" s="21"/>
      <c r="M16" s="21"/>
      <c r="N16" s="30"/>
      <c r="O16" s="21"/>
      <c r="P16" s="21"/>
      <c r="Q16" s="21"/>
      <c r="R16" s="32"/>
      <c r="S16" s="32"/>
      <c r="T16" s="21"/>
      <c r="U16" s="21" t="s">
        <v>37</v>
      </c>
      <c r="V16" s="21" t="s">
        <v>37</v>
      </c>
      <c r="W16" s="21"/>
      <c r="X16" s="21" t="s">
        <v>28</v>
      </c>
    </row>
    <row r="17" customFormat="false" ht="15.75" hidden="false" customHeight="false" outlineLevel="0" collapsed="false">
      <c r="A17" s="61" t="n">
        <v>6362</v>
      </c>
      <c r="B17" s="29" t="n">
        <v>44658</v>
      </c>
      <c r="C17" s="21" t="s">
        <v>1347</v>
      </c>
      <c r="D17" s="21" t="s">
        <v>24</v>
      </c>
      <c r="E17" s="21" t="s">
        <v>34</v>
      </c>
      <c r="F17" s="21" t="s">
        <v>169</v>
      </c>
      <c r="G17" s="30" t="s">
        <v>3238</v>
      </c>
      <c r="H17" s="45" t="str">
        <f aca="false">HYPERLINK("https://photos.app.goo.gl/6J9pq14kEvA7tcDz7", "Completo")</f>
        <v>Completo</v>
      </c>
      <c r="I17" s="21"/>
      <c r="J17" s="21" t="n">
        <v>3513810038</v>
      </c>
      <c r="K17" s="21" t="s">
        <v>3239</v>
      </c>
      <c r="L17" s="21"/>
      <c r="M17" s="21"/>
      <c r="N17" s="30"/>
      <c r="O17" s="21"/>
      <c r="P17" s="21"/>
      <c r="Q17" s="21"/>
      <c r="R17" s="32"/>
      <c r="S17" s="32"/>
      <c r="T17" s="21"/>
      <c r="U17" s="21" t="s">
        <v>37</v>
      </c>
      <c r="V17" s="21" t="s">
        <v>37</v>
      </c>
      <c r="W17" s="21"/>
      <c r="X17" s="21" t="s">
        <v>28</v>
      </c>
    </row>
    <row r="18" customFormat="false" ht="15.75" hidden="false" customHeight="false" outlineLevel="0" collapsed="false">
      <c r="A18" s="61" t="n">
        <v>6363</v>
      </c>
      <c r="B18" s="29" t="n">
        <v>44659</v>
      </c>
      <c r="C18" s="21" t="s">
        <v>944</v>
      </c>
      <c r="D18" s="21" t="s">
        <v>24</v>
      </c>
      <c r="E18" s="21" t="s">
        <v>34</v>
      </c>
      <c r="F18" s="21" t="s">
        <v>3240</v>
      </c>
      <c r="G18" s="30"/>
      <c r="H18" s="31"/>
      <c r="I18" s="21"/>
      <c r="J18" s="21"/>
      <c r="K18" s="21"/>
      <c r="L18" s="21"/>
      <c r="M18" s="21"/>
      <c r="N18" s="30"/>
      <c r="O18" s="21"/>
      <c r="P18" s="21"/>
      <c r="Q18" s="21"/>
      <c r="R18" s="32"/>
      <c r="S18" s="32"/>
      <c r="T18" s="21"/>
      <c r="U18" s="21" t="s">
        <v>37</v>
      </c>
      <c r="V18" s="21" t="s">
        <v>37</v>
      </c>
      <c r="W18" s="21"/>
      <c r="X18" s="21"/>
      <c r="Z18" s="12" t="s">
        <v>2453</v>
      </c>
    </row>
    <row r="19" customFormat="false" ht="15.75" hidden="false" customHeight="false" outlineLevel="0" collapsed="false">
      <c r="A19" s="61" t="n">
        <v>6364</v>
      </c>
      <c r="B19" s="29" t="n">
        <v>44659</v>
      </c>
      <c r="C19" s="21" t="s">
        <v>84</v>
      </c>
      <c r="D19" s="21" t="s">
        <v>24</v>
      </c>
      <c r="E19" s="21" t="s">
        <v>34</v>
      </c>
      <c r="F19" s="21" t="s">
        <v>3241</v>
      </c>
      <c r="G19" s="30"/>
      <c r="H19" s="31"/>
      <c r="I19" s="21"/>
      <c r="J19" s="21"/>
      <c r="K19" s="21"/>
      <c r="L19" s="21"/>
      <c r="M19" s="21"/>
      <c r="N19" s="30"/>
      <c r="O19" s="21"/>
      <c r="P19" s="21"/>
      <c r="Q19" s="21"/>
      <c r="R19" s="32"/>
      <c r="S19" s="32"/>
      <c r="T19" s="21"/>
      <c r="U19" s="21" t="s">
        <v>37</v>
      </c>
      <c r="V19" s="21" t="s">
        <v>37</v>
      </c>
      <c r="W19" s="21"/>
      <c r="X19" s="21" t="s">
        <v>28</v>
      </c>
    </row>
    <row r="20" customFormat="false" ht="15.75" hidden="false" customHeight="false" outlineLevel="0" collapsed="false">
      <c r="A20" s="63" t="n">
        <v>1386463</v>
      </c>
      <c r="B20" s="29" t="n">
        <v>44659</v>
      </c>
      <c r="C20" s="21" t="s">
        <v>1259</v>
      </c>
      <c r="D20" s="21" t="s">
        <v>290</v>
      </c>
      <c r="E20" s="21" t="s">
        <v>25</v>
      </c>
      <c r="F20" s="21" t="s">
        <v>3242</v>
      </c>
      <c r="G20" s="30"/>
      <c r="H20" s="45" t="str">
        <f aca="false">HYPERLINK("https://photos.app.goo.gl/TMwxksHcjdY8Didq5", "Completo")</f>
        <v>Completo</v>
      </c>
      <c r="I20" s="21" t="s">
        <v>28</v>
      </c>
      <c r="J20" s="21"/>
      <c r="K20" s="21"/>
      <c r="L20" s="21"/>
      <c r="M20" s="21"/>
      <c r="N20" s="30"/>
      <c r="O20" s="21"/>
      <c r="P20" s="21"/>
      <c r="Q20" s="21"/>
      <c r="R20" s="32"/>
      <c r="S20" s="32"/>
      <c r="T20" s="21"/>
      <c r="U20" s="21" t="s">
        <v>37</v>
      </c>
      <c r="V20" s="21" t="s">
        <v>37</v>
      </c>
      <c r="W20" s="21"/>
      <c r="X20" s="21" t="s">
        <v>28</v>
      </c>
    </row>
    <row r="21" customFormat="false" ht="15.75" hidden="false" customHeight="false" outlineLevel="0" collapsed="false">
      <c r="A21" s="61" t="s">
        <v>3243</v>
      </c>
      <c r="B21" s="29" t="n">
        <v>44659</v>
      </c>
      <c r="C21" s="21" t="s">
        <v>1456</v>
      </c>
      <c r="D21" s="21" t="s">
        <v>578</v>
      </c>
      <c r="E21" s="21" t="s">
        <v>25</v>
      </c>
      <c r="F21" s="21" t="s">
        <v>2735</v>
      </c>
      <c r="G21" s="30"/>
      <c r="H21" s="45" t="str">
        <f aca="false">HYPERLINK("https://photos.app.goo.gl/LM8bjY6wapXK2G2w8", "Completo")</f>
        <v>Completo</v>
      </c>
      <c r="I21" s="21" t="s">
        <v>28</v>
      </c>
      <c r="J21" s="21"/>
      <c r="K21" s="21"/>
      <c r="L21" s="21"/>
      <c r="M21" s="21"/>
      <c r="N21" s="30"/>
      <c r="O21" s="21"/>
      <c r="P21" s="21"/>
      <c r="Q21" s="21"/>
      <c r="R21" s="32"/>
      <c r="S21" s="32"/>
      <c r="T21" s="21"/>
      <c r="U21" s="21" t="s">
        <v>37</v>
      </c>
      <c r="V21" s="21" t="s">
        <v>37</v>
      </c>
      <c r="W21" s="21"/>
      <c r="X21" s="21" t="s">
        <v>37</v>
      </c>
    </row>
    <row r="22" customFormat="false" ht="15.75" hidden="false" customHeight="false" outlineLevel="0" collapsed="false">
      <c r="A22" s="63" t="n">
        <v>1486539</v>
      </c>
      <c r="B22" s="29" t="n">
        <v>44659</v>
      </c>
      <c r="C22" s="21" t="s">
        <v>1567</v>
      </c>
      <c r="D22" s="21" t="s">
        <v>290</v>
      </c>
      <c r="E22" s="21" t="s">
        <v>25</v>
      </c>
      <c r="F22" s="21" t="s">
        <v>3244</v>
      </c>
      <c r="G22" s="30"/>
      <c r="H22" s="45" t="str">
        <f aca="false">HYPERLINK("https://photos.app.goo.gl/o2Gg7Ci9qp9e57aY7", "Completo")</f>
        <v>Completo</v>
      </c>
      <c r="I22" s="21" t="s">
        <v>28</v>
      </c>
      <c r="J22" s="21"/>
      <c r="K22" s="21"/>
      <c r="L22" s="21"/>
      <c r="M22" s="21"/>
      <c r="N22" s="30"/>
      <c r="O22" s="21"/>
      <c r="P22" s="21"/>
      <c r="Q22" s="21"/>
      <c r="R22" s="32"/>
      <c r="S22" s="32"/>
      <c r="T22" s="21"/>
      <c r="U22" s="21" t="s">
        <v>37</v>
      </c>
      <c r="V22" s="21" t="s">
        <v>37</v>
      </c>
      <c r="W22" s="21"/>
      <c r="X22" s="21" t="s">
        <v>37</v>
      </c>
    </row>
    <row r="23" customFormat="false" ht="15.75" hidden="false" customHeight="false" outlineLevel="0" collapsed="false">
      <c r="A23" s="63" t="n">
        <v>1486904</v>
      </c>
      <c r="B23" s="29" t="n">
        <v>44659</v>
      </c>
      <c r="C23" s="21" t="s">
        <v>1567</v>
      </c>
      <c r="D23" s="21" t="s">
        <v>290</v>
      </c>
      <c r="E23" s="21" t="s">
        <v>25</v>
      </c>
      <c r="F23" s="21" t="s">
        <v>3244</v>
      </c>
      <c r="G23" s="30"/>
      <c r="H23" s="45" t="str">
        <f aca="false">HYPERLINK("https://photos.app.goo.gl/o2Gg7Ci9qp9e57aY7", "Completo")</f>
        <v>Completo</v>
      </c>
      <c r="I23" s="21" t="s">
        <v>28</v>
      </c>
      <c r="J23" s="21"/>
      <c r="K23" s="21"/>
      <c r="L23" s="21"/>
      <c r="M23" s="21"/>
      <c r="N23" s="30"/>
      <c r="O23" s="21"/>
      <c r="P23" s="21"/>
      <c r="Q23" s="21"/>
      <c r="R23" s="32"/>
      <c r="S23" s="32"/>
      <c r="T23" s="21"/>
      <c r="U23" s="21" t="s">
        <v>37</v>
      </c>
      <c r="V23" s="21" t="s">
        <v>37</v>
      </c>
      <c r="W23" s="21"/>
      <c r="X23" s="21" t="s">
        <v>37</v>
      </c>
    </row>
    <row r="24" customFormat="false" ht="15.75" hidden="false" customHeight="false" outlineLevel="0" collapsed="false">
      <c r="A24" s="61" t="s">
        <v>3245</v>
      </c>
      <c r="B24" s="29" t="n">
        <v>44659</v>
      </c>
      <c r="C24" s="21" t="s">
        <v>75</v>
      </c>
      <c r="D24" s="21" t="s">
        <v>578</v>
      </c>
      <c r="E24" s="21" t="s">
        <v>25</v>
      </c>
      <c r="F24" s="21" t="s">
        <v>2884</v>
      </c>
      <c r="G24" s="30"/>
      <c r="H24" s="45" t="str">
        <f aca="false">HYPERLINK("https://photos.app.goo.gl/bDoAumaBMkdeKumw7", "Completo")</f>
        <v>Completo</v>
      </c>
      <c r="I24" s="21" t="s">
        <v>28</v>
      </c>
      <c r="J24" s="21"/>
      <c r="K24" s="21"/>
      <c r="L24" s="21"/>
      <c r="M24" s="21"/>
      <c r="N24" s="30"/>
      <c r="O24" s="21"/>
      <c r="P24" s="21"/>
      <c r="Q24" s="21"/>
      <c r="R24" s="32"/>
      <c r="S24" s="32"/>
      <c r="T24" s="21"/>
      <c r="U24" s="21" t="s">
        <v>37</v>
      </c>
      <c r="V24" s="21" t="s">
        <v>37</v>
      </c>
      <c r="W24" s="21"/>
      <c r="X24" s="21" t="s">
        <v>37</v>
      </c>
    </row>
    <row r="25" customFormat="false" ht="15.75" hidden="false" customHeight="false" outlineLevel="0" collapsed="false">
      <c r="A25" s="61" t="n">
        <v>6365</v>
      </c>
      <c r="B25" s="29" t="n">
        <v>44659</v>
      </c>
      <c r="C25" s="21" t="s">
        <v>1259</v>
      </c>
      <c r="D25" s="21" t="s">
        <v>24</v>
      </c>
      <c r="E25" s="21" t="s">
        <v>25</v>
      </c>
      <c r="F25" s="21" t="s">
        <v>3246</v>
      </c>
      <c r="G25" s="30" t="s">
        <v>3247</v>
      </c>
      <c r="H25" s="45" t="str">
        <f aca="false">HYPERLINK("https://photos.app.goo.gl/2qkxYHUQe6sDRPeN6", "Completo")</f>
        <v>Completo</v>
      </c>
      <c r="I25" s="21" t="s">
        <v>28</v>
      </c>
      <c r="J25" s="21"/>
      <c r="K25" s="21"/>
      <c r="L25" s="21"/>
      <c r="M25" s="21"/>
      <c r="N25" s="30"/>
      <c r="O25" s="21"/>
      <c r="P25" s="21"/>
      <c r="Q25" s="21"/>
      <c r="R25" s="32"/>
      <c r="S25" s="32"/>
      <c r="T25" s="21"/>
      <c r="U25" s="21" t="s">
        <v>37</v>
      </c>
      <c r="V25" s="21" t="s">
        <v>37</v>
      </c>
      <c r="W25" s="21"/>
      <c r="X25" s="21" t="s">
        <v>28</v>
      </c>
    </row>
    <row r="26" customFormat="false" ht="15.75" hidden="false" customHeight="false" outlineLevel="0" collapsed="false">
      <c r="A26" s="61" t="n">
        <v>6366</v>
      </c>
      <c r="B26" s="29" t="n">
        <v>44659</v>
      </c>
      <c r="C26" s="21" t="s">
        <v>1259</v>
      </c>
      <c r="D26" s="21" t="s">
        <v>24</v>
      </c>
      <c r="E26" s="21" t="s">
        <v>25</v>
      </c>
      <c r="F26" s="21" t="s">
        <v>3246</v>
      </c>
      <c r="G26" s="30" t="s">
        <v>3248</v>
      </c>
      <c r="H26" s="45" t="str">
        <f aca="false">HYPERLINK("https://photos.app.goo.gl/oXWZY5BA1stS7tSx7", "Completo")</f>
        <v>Completo</v>
      </c>
      <c r="I26" s="21" t="s">
        <v>28</v>
      </c>
      <c r="J26" s="21"/>
      <c r="K26" s="21"/>
      <c r="L26" s="21"/>
      <c r="M26" s="21"/>
      <c r="N26" s="30"/>
      <c r="O26" s="21"/>
      <c r="P26" s="21"/>
      <c r="Q26" s="21"/>
      <c r="R26" s="32"/>
      <c r="S26" s="32"/>
      <c r="T26" s="21"/>
      <c r="U26" s="21" t="s">
        <v>37</v>
      </c>
      <c r="V26" s="21" t="s">
        <v>37</v>
      </c>
      <c r="W26" s="21"/>
      <c r="X26" s="21" t="s">
        <v>28</v>
      </c>
    </row>
    <row r="27" customFormat="false" ht="15.75" hidden="false" customHeight="false" outlineLevel="0" collapsed="false">
      <c r="A27" s="61" t="n">
        <v>6367</v>
      </c>
      <c r="B27" s="29" t="n">
        <v>44659</v>
      </c>
      <c r="C27" s="21" t="s">
        <v>1259</v>
      </c>
      <c r="D27" s="21" t="s">
        <v>24</v>
      </c>
      <c r="E27" s="21" t="s">
        <v>25</v>
      </c>
      <c r="F27" s="21" t="s">
        <v>3249</v>
      </c>
      <c r="G27" s="30" t="s">
        <v>3250</v>
      </c>
      <c r="H27" s="45" t="str">
        <f aca="false">HYPERLINK("https://photos.app.goo.gl/Nab4pmtoyCDnHgbP9", "Completo")</f>
        <v>Completo</v>
      </c>
      <c r="I27" s="21" t="s">
        <v>28</v>
      </c>
      <c r="J27" s="21"/>
      <c r="K27" s="21"/>
      <c r="L27" s="21"/>
      <c r="M27" s="21"/>
      <c r="N27" s="30"/>
      <c r="O27" s="21" t="s">
        <v>28</v>
      </c>
      <c r="P27" s="74" t="s">
        <v>28</v>
      </c>
      <c r="Q27" s="21" t="s">
        <v>3251</v>
      </c>
      <c r="R27" s="32" t="s">
        <v>2850</v>
      </c>
      <c r="S27" s="32" t="s">
        <v>36</v>
      </c>
      <c r="T27" s="21"/>
      <c r="U27" s="21"/>
      <c r="V27" s="21"/>
      <c r="W27" s="21"/>
      <c r="X27" s="21" t="s">
        <v>28</v>
      </c>
    </row>
    <row r="28" customFormat="false" ht="15.75" hidden="false" customHeight="false" outlineLevel="0" collapsed="false">
      <c r="A28" s="61" t="n">
        <v>6368</v>
      </c>
      <c r="B28" s="29" t="n">
        <v>44659</v>
      </c>
      <c r="C28" s="21" t="s">
        <v>1259</v>
      </c>
      <c r="D28" s="21" t="s">
        <v>24</v>
      </c>
      <c r="E28" s="21" t="s">
        <v>25</v>
      </c>
      <c r="F28" s="21" t="s">
        <v>3249</v>
      </c>
      <c r="G28" s="30" t="s">
        <v>3252</v>
      </c>
      <c r="H28" s="45" t="str">
        <f aca="false">HYPERLINK("https://photos.app.goo.gl/a2JEJVaN9kGtQfhf7", "Completo")</f>
        <v>Completo</v>
      </c>
      <c r="I28" s="21" t="s">
        <v>28</v>
      </c>
      <c r="J28" s="21"/>
      <c r="K28" s="21"/>
      <c r="L28" s="21"/>
      <c r="M28" s="21"/>
      <c r="N28" s="30"/>
      <c r="O28" s="21" t="s">
        <v>28</v>
      </c>
      <c r="P28" s="74" t="s">
        <v>28</v>
      </c>
      <c r="Q28" s="21" t="s">
        <v>3253</v>
      </c>
      <c r="R28" s="32" t="s">
        <v>2850</v>
      </c>
      <c r="S28" s="32" t="s">
        <v>36</v>
      </c>
      <c r="T28" s="21" t="s">
        <v>74</v>
      </c>
      <c r="U28" s="74" t="s">
        <v>28</v>
      </c>
      <c r="V28" s="74" t="s">
        <v>28</v>
      </c>
      <c r="W28" s="21" t="s">
        <v>36</v>
      </c>
      <c r="X28" s="21" t="s">
        <v>28</v>
      </c>
    </row>
    <row r="29" customFormat="false" ht="15.75" hidden="false" customHeight="false" outlineLevel="0" collapsed="false">
      <c r="A29" s="61" t="n">
        <v>6369</v>
      </c>
      <c r="B29" s="29" t="n">
        <v>44659</v>
      </c>
      <c r="C29" s="21" t="s">
        <v>1259</v>
      </c>
      <c r="D29" s="21" t="s">
        <v>24</v>
      </c>
      <c r="E29" s="21" t="s">
        <v>25</v>
      </c>
      <c r="F29" s="21" t="s">
        <v>3249</v>
      </c>
      <c r="G29" s="30" t="s">
        <v>3254</v>
      </c>
      <c r="H29" s="45" t="str">
        <f aca="false">HYPERLINK("https://photos.app.goo.gl/FtNTX5g53HpLZLMV7", "Completo")</f>
        <v>Completo</v>
      </c>
      <c r="I29" s="21" t="s">
        <v>28</v>
      </c>
      <c r="J29" s="21"/>
      <c r="K29" s="21"/>
      <c r="L29" s="21"/>
      <c r="M29" s="21"/>
      <c r="N29" s="30"/>
      <c r="O29" s="21"/>
      <c r="P29" s="21"/>
      <c r="Q29" s="21"/>
      <c r="R29" s="32"/>
      <c r="S29" s="32"/>
      <c r="T29" s="21" t="s">
        <v>74</v>
      </c>
      <c r="U29" s="74" t="s">
        <v>28</v>
      </c>
      <c r="V29" s="74" t="s">
        <v>28</v>
      </c>
      <c r="W29" s="21" t="s">
        <v>36</v>
      </c>
      <c r="X29" s="21" t="s">
        <v>28</v>
      </c>
    </row>
    <row r="30" customFormat="false" ht="15.75" hidden="false" customHeight="false" outlineLevel="0" collapsed="false">
      <c r="A30" s="61" t="n">
        <v>6370</v>
      </c>
      <c r="B30" s="29" t="n">
        <v>44659</v>
      </c>
      <c r="C30" s="21" t="s">
        <v>1259</v>
      </c>
      <c r="D30" s="21" t="s">
        <v>24</v>
      </c>
      <c r="E30" s="21" t="s">
        <v>25</v>
      </c>
      <c r="F30" s="21" t="s">
        <v>3255</v>
      </c>
      <c r="G30" s="30" t="s">
        <v>3256</v>
      </c>
      <c r="H30" s="45" t="str">
        <f aca="false">HYPERLINK("https://photos.app.goo.gl/GU1QMTHmCzZoZaZ47", "Completo")</f>
        <v>Completo</v>
      </c>
      <c r="I30" s="21" t="s">
        <v>28</v>
      </c>
      <c r="J30" s="21"/>
      <c r="K30" s="21"/>
      <c r="L30" s="21"/>
      <c r="M30" s="21"/>
      <c r="N30" s="30"/>
      <c r="O30" s="21"/>
      <c r="P30" s="21"/>
      <c r="Q30" s="21"/>
      <c r="R30" s="32"/>
      <c r="S30" s="32"/>
      <c r="T30" s="21" t="s">
        <v>74</v>
      </c>
      <c r="U30" s="74" t="s">
        <v>28</v>
      </c>
      <c r="V30" s="74" t="s">
        <v>28</v>
      </c>
      <c r="W30" s="21" t="s">
        <v>36</v>
      </c>
      <c r="X30" s="21" t="s">
        <v>28</v>
      </c>
    </row>
    <row r="31" customFormat="false" ht="15.75" hidden="false" customHeight="false" outlineLevel="0" collapsed="false">
      <c r="A31" s="61" t="n">
        <v>6371</v>
      </c>
      <c r="B31" s="29" t="n">
        <v>44659</v>
      </c>
      <c r="C31" s="21" t="s">
        <v>1259</v>
      </c>
      <c r="D31" s="21" t="s">
        <v>24</v>
      </c>
      <c r="E31" s="21" t="s">
        <v>25</v>
      </c>
      <c r="F31" s="21" t="s">
        <v>3249</v>
      </c>
      <c r="G31" s="30" t="s">
        <v>3257</v>
      </c>
      <c r="H31" s="45" t="str">
        <f aca="false">HYPERLINK("https://photos.app.goo.gl/XBmCLhVCnn9Tijjn9", "Completo")</f>
        <v>Completo</v>
      </c>
      <c r="I31" s="21" t="s">
        <v>28</v>
      </c>
      <c r="J31" s="21"/>
      <c r="K31" s="21"/>
      <c r="L31" s="21"/>
      <c r="M31" s="21"/>
      <c r="N31" s="30"/>
      <c r="O31" s="21"/>
      <c r="P31" s="21"/>
      <c r="Q31" s="21"/>
      <c r="R31" s="32"/>
      <c r="S31" s="32"/>
      <c r="T31" s="21" t="s">
        <v>74</v>
      </c>
      <c r="U31" s="74" t="s">
        <v>28</v>
      </c>
      <c r="V31" s="74" t="s">
        <v>28</v>
      </c>
      <c r="W31" s="21" t="s">
        <v>36</v>
      </c>
      <c r="X31" s="21" t="s">
        <v>28</v>
      </c>
    </row>
    <row r="32" customFormat="false" ht="15.75" hidden="false" customHeight="false" outlineLevel="0" collapsed="false">
      <c r="A32" s="61" t="n">
        <v>6372</v>
      </c>
      <c r="B32" s="29" t="n">
        <v>44659</v>
      </c>
      <c r="C32" s="21" t="s">
        <v>1259</v>
      </c>
      <c r="D32" s="21" t="s">
        <v>24</v>
      </c>
      <c r="E32" s="21" t="s">
        <v>25</v>
      </c>
      <c r="F32" s="21" t="s">
        <v>3258</v>
      </c>
      <c r="G32" s="30" t="s">
        <v>3259</v>
      </c>
      <c r="H32" s="45" t="str">
        <f aca="false">HYPERLINK("https://photos.app.goo.gl/5Zd32T286qVkZvDF6", "Completo")</f>
        <v>Completo</v>
      </c>
      <c r="I32" s="21" t="s">
        <v>28</v>
      </c>
      <c r="J32" s="21"/>
      <c r="K32" s="21"/>
      <c r="L32" s="21"/>
      <c r="M32" s="21"/>
      <c r="N32" s="30"/>
      <c r="O32" s="21"/>
      <c r="P32" s="21"/>
      <c r="Q32" s="21"/>
      <c r="R32" s="32"/>
      <c r="S32" s="32"/>
      <c r="T32" s="21"/>
      <c r="U32" s="21" t="s">
        <v>37</v>
      </c>
      <c r="V32" s="21" t="s">
        <v>37</v>
      </c>
      <c r="W32" s="21"/>
      <c r="X32" s="21" t="s">
        <v>28</v>
      </c>
    </row>
    <row r="33" customFormat="false" ht="15.75" hidden="false" customHeight="false" outlineLevel="0" collapsed="false">
      <c r="A33" s="61" t="n">
        <v>6373</v>
      </c>
      <c r="B33" s="29" t="n">
        <v>44659</v>
      </c>
      <c r="C33" s="21" t="s">
        <v>1259</v>
      </c>
      <c r="D33" s="21" t="s">
        <v>24</v>
      </c>
      <c r="E33" s="21" t="s">
        <v>25</v>
      </c>
      <c r="F33" s="21" t="s">
        <v>3260</v>
      </c>
      <c r="G33" s="30" t="s">
        <v>3261</v>
      </c>
      <c r="H33" s="45" t="str">
        <f aca="false">HYPERLINK("https://photos.app.goo.gl/eNHMis6g9gAi891JA", "Completo")</f>
        <v>Completo</v>
      </c>
      <c r="I33" s="21" t="s">
        <v>28</v>
      </c>
      <c r="J33" s="21"/>
      <c r="K33" s="21"/>
      <c r="L33" s="21"/>
      <c r="M33" s="21"/>
      <c r="N33" s="30"/>
      <c r="O33" s="21"/>
      <c r="P33" s="21"/>
      <c r="Q33" s="21"/>
      <c r="R33" s="32"/>
      <c r="S33" s="32"/>
      <c r="T33" s="21"/>
      <c r="U33" s="21" t="s">
        <v>37</v>
      </c>
      <c r="V33" s="21" t="s">
        <v>37</v>
      </c>
      <c r="W33" s="21"/>
      <c r="X33" s="21" t="s">
        <v>28</v>
      </c>
    </row>
    <row r="34" customFormat="false" ht="15.75" hidden="false" customHeight="false" outlineLevel="0" collapsed="false">
      <c r="A34" s="61" t="n">
        <v>6374</v>
      </c>
      <c r="B34" s="29" t="n">
        <v>44662</v>
      </c>
      <c r="C34" s="21" t="s">
        <v>2753</v>
      </c>
      <c r="D34" s="21" t="s">
        <v>24</v>
      </c>
      <c r="E34" s="21" t="s">
        <v>25</v>
      </c>
      <c r="F34" s="21" t="s">
        <v>3262</v>
      </c>
      <c r="G34" s="30" t="s">
        <v>3263</v>
      </c>
      <c r="H34" s="45" t="str">
        <f aca="false">HYPERLINK("https://photos.app.goo.gl/D4CQXywVjeWEk8J19", "Completo")</f>
        <v>Completo</v>
      </c>
      <c r="I34" s="21" t="s">
        <v>28</v>
      </c>
      <c r="J34" s="21"/>
      <c r="K34" s="21"/>
      <c r="L34" s="21"/>
      <c r="M34" s="21"/>
      <c r="N34" s="30"/>
      <c r="O34" s="21"/>
      <c r="P34" s="21"/>
      <c r="Q34" s="21"/>
      <c r="R34" s="32"/>
      <c r="S34" s="32"/>
      <c r="T34" s="21"/>
      <c r="U34" s="21"/>
      <c r="V34" s="21"/>
      <c r="W34" s="21"/>
      <c r="X34" s="21" t="s">
        <v>28</v>
      </c>
    </row>
    <row r="35" customFormat="false" ht="15.75" hidden="false" customHeight="false" outlineLevel="0" collapsed="false">
      <c r="A35" s="61" t="n">
        <v>6375</v>
      </c>
      <c r="B35" s="29" t="n">
        <v>44662</v>
      </c>
      <c r="C35" s="21" t="s">
        <v>2753</v>
      </c>
      <c r="D35" s="21" t="s">
        <v>24</v>
      </c>
      <c r="E35" s="21" t="s">
        <v>25</v>
      </c>
      <c r="F35" s="21" t="s">
        <v>3264</v>
      </c>
      <c r="G35" s="30" t="s">
        <v>3263</v>
      </c>
      <c r="H35" s="45" t="str">
        <f aca="false">HYPERLINK("https://photos.app.goo.gl/zVWYCoqydPDCbwHPA", "Completo")</f>
        <v>Completo</v>
      </c>
      <c r="I35" s="21" t="s">
        <v>28</v>
      </c>
      <c r="J35" s="21"/>
      <c r="K35" s="21"/>
      <c r="L35" s="21"/>
      <c r="M35" s="21"/>
      <c r="N35" s="30"/>
      <c r="O35" s="21"/>
      <c r="P35" s="21"/>
      <c r="Q35" s="21"/>
      <c r="R35" s="32"/>
      <c r="S35" s="32"/>
      <c r="T35" s="21"/>
      <c r="U35" s="21"/>
      <c r="V35" s="21"/>
      <c r="W35" s="21"/>
      <c r="X35" s="21" t="s">
        <v>28</v>
      </c>
    </row>
    <row r="36" customFormat="false" ht="15.75" hidden="false" customHeight="false" outlineLevel="0" collapsed="false">
      <c r="A36" s="61" t="n">
        <v>6376</v>
      </c>
      <c r="B36" s="29" t="n">
        <v>44662</v>
      </c>
      <c r="C36" s="21" t="s">
        <v>730</v>
      </c>
      <c r="D36" s="21" t="s">
        <v>24</v>
      </c>
      <c r="E36" s="21" t="s">
        <v>25</v>
      </c>
      <c r="F36" s="21" t="s">
        <v>3265</v>
      </c>
      <c r="G36" s="30"/>
      <c r="H36" s="45" t="str">
        <f aca="false">HYPERLINK("https://photos.app.goo.gl/C6pAq1sQegqoxXdV7", "Completo")</f>
        <v>Completo</v>
      </c>
      <c r="I36" s="21" t="s">
        <v>28</v>
      </c>
      <c r="J36" s="21"/>
      <c r="K36" s="21"/>
      <c r="L36" s="21"/>
      <c r="M36" s="21"/>
      <c r="N36" s="30"/>
      <c r="O36" s="21"/>
      <c r="P36" s="21"/>
      <c r="Q36" s="21"/>
      <c r="R36" s="32"/>
      <c r="S36" s="32"/>
      <c r="T36" s="21"/>
      <c r="U36" s="21" t="s">
        <v>37</v>
      </c>
      <c r="V36" s="21" t="s">
        <v>37</v>
      </c>
      <c r="W36" s="21"/>
      <c r="X36" s="21"/>
    </row>
    <row r="37" customFormat="false" ht="15.75" hidden="false" customHeight="false" outlineLevel="0" collapsed="false">
      <c r="A37" s="61" t="n">
        <v>6377</v>
      </c>
      <c r="B37" s="29" t="n">
        <v>44662</v>
      </c>
      <c r="C37" s="21" t="s">
        <v>3266</v>
      </c>
      <c r="D37" s="21" t="s">
        <v>24</v>
      </c>
      <c r="E37" s="21" t="s">
        <v>34</v>
      </c>
      <c r="F37" s="21" t="s">
        <v>3267</v>
      </c>
      <c r="G37" s="30"/>
      <c r="H37" s="31"/>
      <c r="I37" s="21"/>
      <c r="J37" s="21"/>
      <c r="K37" s="21"/>
      <c r="L37" s="21"/>
      <c r="M37" s="21"/>
      <c r="N37" s="30"/>
      <c r="O37" s="21"/>
      <c r="P37" s="21"/>
      <c r="Q37" s="21"/>
      <c r="R37" s="32"/>
      <c r="S37" s="32"/>
      <c r="T37" s="21"/>
      <c r="U37" s="21" t="s">
        <v>37</v>
      </c>
      <c r="V37" s="21" t="s">
        <v>37</v>
      </c>
      <c r="W37" s="21"/>
      <c r="X37" s="21" t="s">
        <v>28</v>
      </c>
    </row>
    <row r="38" customFormat="false" ht="15.75" hidden="false" customHeight="false" outlineLevel="0" collapsed="false">
      <c r="A38" s="61" t="n">
        <v>6378</v>
      </c>
      <c r="B38" s="29" t="n">
        <v>44663</v>
      </c>
      <c r="C38" s="21" t="s">
        <v>893</v>
      </c>
      <c r="D38" s="21" t="s">
        <v>24</v>
      </c>
      <c r="E38" s="21" t="s">
        <v>34</v>
      </c>
      <c r="F38" s="21" t="s">
        <v>3268</v>
      </c>
      <c r="G38" s="30"/>
      <c r="H38" s="31"/>
      <c r="I38" s="21"/>
      <c r="J38" s="21"/>
      <c r="K38" s="21"/>
      <c r="L38" s="21"/>
      <c r="M38" s="21"/>
      <c r="N38" s="30"/>
      <c r="O38" s="21"/>
      <c r="P38" s="21"/>
      <c r="Q38" s="21"/>
      <c r="R38" s="32"/>
      <c r="S38" s="32"/>
      <c r="T38" s="21"/>
      <c r="U38" s="21" t="s">
        <v>37</v>
      </c>
      <c r="V38" s="21" t="s">
        <v>37</v>
      </c>
      <c r="W38" s="21"/>
      <c r="X38" s="21" t="s">
        <v>28</v>
      </c>
    </row>
    <row r="39" customFormat="false" ht="15.75" hidden="false" customHeight="false" outlineLevel="0" collapsed="false">
      <c r="A39" s="61" t="n">
        <v>6379</v>
      </c>
      <c r="B39" s="29" t="n">
        <v>44663</v>
      </c>
      <c r="C39" s="21" t="s">
        <v>3269</v>
      </c>
      <c r="D39" s="21" t="s">
        <v>24</v>
      </c>
      <c r="E39" s="21" t="s">
        <v>25</v>
      </c>
      <c r="F39" s="21" t="s">
        <v>3270</v>
      </c>
      <c r="G39" s="30"/>
      <c r="H39" s="45" t="str">
        <f aca="false">HYPERLINK("https://photos.app.goo.gl/rxbPna1BwZKxEWjX6", "Completo")</f>
        <v>Completo</v>
      </c>
      <c r="I39" s="21" t="s">
        <v>28</v>
      </c>
      <c r="J39" s="21"/>
      <c r="K39" s="21"/>
      <c r="L39" s="21"/>
      <c r="M39" s="21"/>
      <c r="N39" s="30"/>
      <c r="O39" s="21"/>
      <c r="P39" s="21"/>
      <c r="Q39" s="21"/>
      <c r="R39" s="32"/>
      <c r="S39" s="32"/>
      <c r="T39" s="21"/>
      <c r="U39" s="21" t="s">
        <v>37</v>
      </c>
      <c r="V39" s="21" t="s">
        <v>37</v>
      </c>
      <c r="W39" s="21"/>
      <c r="X39" s="21" t="s">
        <v>28</v>
      </c>
    </row>
    <row r="40" customFormat="false" ht="15.75" hidden="false" customHeight="false" outlineLevel="0" collapsed="false">
      <c r="A40" s="61" t="n">
        <v>6380</v>
      </c>
      <c r="B40" s="29" t="n">
        <v>44664</v>
      </c>
      <c r="C40" s="21" t="s">
        <v>1666</v>
      </c>
      <c r="D40" s="21" t="s">
        <v>24</v>
      </c>
      <c r="E40" s="21" t="s">
        <v>34</v>
      </c>
      <c r="F40" s="21" t="s">
        <v>3271</v>
      </c>
      <c r="G40" s="30"/>
      <c r="H40" s="31"/>
      <c r="I40" s="21"/>
      <c r="J40" s="21"/>
      <c r="K40" s="21"/>
      <c r="L40" s="21"/>
      <c r="M40" s="21"/>
      <c r="N40" s="30"/>
      <c r="O40" s="21"/>
      <c r="P40" s="21"/>
      <c r="Q40" s="21"/>
      <c r="R40" s="32"/>
      <c r="S40" s="32"/>
      <c r="T40" s="21"/>
      <c r="U40" s="21" t="s">
        <v>37</v>
      </c>
      <c r="V40" s="21" t="s">
        <v>37</v>
      </c>
      <c r="W40" s="21"/>
      <c r="X40" s="21" t="s">
        <v>28</v>
      </c>
    </row>
    <row r="41" customFormat="false" ht="15.75" hidden="false" customHeight="false" outlineLevel="0" collapsed="false">
      <c r="A41" s="61" t="n">
        <v>6381</v>
      </c>
      <c r="B41" s="29" t="n">
        <v>44669</v>
      </c>
      <c r="C41" s="21" t="s">
        <v>980</v>
      </c>
      <c r="D41" s="21" t="s">
        <v>24</v>
      </c>
      <c r="E41" s="21" t="s">
        <v>25</v>
      </c>
      <c r="F41" s="21" t="s">
        <v>3272</v>
      </c>
      <c r="G41" s="30" t="s">
        <v>3273</v>
      </c>
      <c r="H41" s="45" t="str">
        <f aca="false">HYPERLINK("https://photos.app.goo.gl/YRMSoV52Wbv5mHbd7", "Completo")</f>
        <v>Completo</v>
      </c>
      <c r="I41" s="21" t="s">
        <v>28</v>
      </c>
      <c r="J41" s="21"/>
      <c r="K41" s="21"/>
      <c r="L41" s="21"/>
      <c r="M41" s="21"/>
      <c r="N41" s="30"/>
      <c r="O41" s="21" t="s">
        <v>28</v>
      </c>
      <c r="P41" s="74" t="s">
        <v>28</v>
      </c>
      <c r="Q41" s="21" t="s">
        <v>2515</v>
      </c>
      <c r="R41" s="32" t="s">
        <v>2850</v>
      </c>
      <c r="S41" s="32" t="s">
        <v>36</v>
      </c>
      <c r="T41" s="21" t="s">
        <v>74</v>
      </c>
      <c r="U41" s="74" t="s">
        <v>28</v>
      </c>
      <c r="V41" s="74" t="s">
        <v>28</v>
      </c>
      <c r="W41" s="21" t="s">
        <v>36</v>
      </c>
      <c r="X41" s="21" t="s">
        <v>28</v>
      </c>
    </row>
    <row r="42" customFormat="false" ht="15.75" hidden="false" customHeight="false" outlineLevel="0" collapsed="false">
      <c r="A42" s="61" t="n">
        <v>6382</v>
      </c>
      <c r="B42" s="29" t="n">
        <v>44669</v>
      </c>
      <c r="C42" s="21" t="s">
        <v>980</v>
      </c>
      <c r="D42" s="21" t="s">
        <v>24</v>
      </c>
      <c r="E42" s="21" t="s">
        <v>25</v>
      </c>
      <c r="F42" s="21" t="s">
        <v>3274</v>
      </c>
      <c r="G42" s="30" t="s">
        <v>3275</v>
      </c>
      <c r="H42" s="45" t="str">
        <f aca="false">HYPERLINK("https://photos.app.goo.gl/yShv1Gw2drQVUwgV7", "Completo")</f>
        <v>Completo</v>
      </c>
      <c r="I42" s="21" t="s">
        <v>28</v>
      </c>
      <c r="J42" s="21"/>
      <c r="K42" s="21"/>
      <c r="L42" s="21"/>
      <c r="M42" s="21"/>
      <c r="N42" s="30"/>
      <c r="O42" s="21" t="s">
        <v>28</v>
      </c>
      <c r="P42" s="74" t="s">
        <v>28</v>
      </c>
      <c r="Q42" s="21" t="s">
        <v>2981</v>
      </c>
      <c r="R42" s="32" t="s">
        <v>2850</v>
      </c>
      <c r="S42" s="32" t="s">
        <v>36</v>
      </c>
      <c r="T42" s="21" t="s">
        <v>74</v>
      </c>
      <c r="U42" s="74" t="s">
        <v>28</v>
      </c>
      <c r="V42" s="74" t="s">
        <v>28</v>
      </c>
      <c r="W42" s="21" t="s">
        <v>36</v>
      </c>
      <c r="X42" s="21" t="s">
        <v>28</v>
      </c>
    </row>
    <row r="43" customFormat="false" ht="15.75" hidden="false" customHeight="false" outlineLevel="0" collapsed="false">
      <c r="A43" s="61" t="n">
        <v>6383</v>
      </c>
      <c r="B43" s="29" t="n">
        <v>44669</v>
      </c>
      <c r="C43" s="21" t="s">
        <v>3276</v>
      </c>
      <c r="D43" s="21" t="s">
        <v>24</v>
      </c>
      <c r="E43" s="21" t="s">
        <v>25</v>
      </c>
      <c r="F43" s="21" t="s">
        <v>3277</v>
      </c>
      <c r="G43" s="30" t="s">
        <v>3278</v>
      </c>
      <c r="H43" s="45" t="str">
        <f aca="false">HYPERLINK("https://photos.app.goo.gl/yLQTkdD1rqByqusC6", "Completo")</f>
        <v>Completo</v>
      </c>
      <c r="I43" s="21" t="s">
        <v>28</v>
      </c>
      <c r="J43" s="21"/>
      <c r="K43" s="21"/>
      <c r="L43" s="21"/>
      <c r="M43" s="21"/>
      <c r="N43" s="30"/>
      <c r="O43" s="21" t="s">
        <v>28</v>
      </c>
      <c r="P43" s="74" t="s">
        <v>28</v>
      </c>
      <c r="Q43" s="21" t="s">
        <v>2981</v>
      </c>
      <c r="R43" s="32" t="s">
        <v>2850</v>
      </c>
      <c r="S43" s="32" t="s">
        <v>36</v>
      </c>
      <c r="T43" s="21" t="s">
        <v>74</v>
      </c>
      <c r="U43" s="74" t="s">
        <v>28</v>
      </c>
      <c r="V43" s="74" t="s">
        <v>28</v>
      </c>
      <c r="W43" s="21" t="s">
        <v>36</v>
      </c>
      <c r="X43" s="21" t="s">
        <v>28</v>
      </c>
    </row>
    <row r="44" customFormat="false" ht="15.75" hidden="false" customHeight="false" outlineLevel="0" collapsed="false">
      <c r="A44" s="61" t="n">
        <v>6384</v>
      </c>
      <c r="B44" s="29" t="n">
        <v>44669</v>
      </c>
      <c r="C44" s="21" t="s">
        <v>980</v>
      </c>
      <c r="D44" s="21" t="s">
        <v>24</v>
      </c>
      <c r="E44" s="21" t="s">
        <v>25</v>
      </c>
      <c r="F44" s="21" t="s">
        <v>3279</v>
      </c>
      <c r="G44" s="30" t="s">
        <v>3280</v>
      </c>
      <c r="H44" s="45" t="str">
        <f aca="false">HYPERLINK("https://photos.app.goo.gl/KZizMHKfmk4Vgcaj9", "Completo")</f>
        <v>Completo</v>
      </c>
      <c r="I44" s="21" t="s">
        <v>28</v>
      </c>
      <c r="J44" s="21"/>
      <c r="K44" s="21"/>
      <c r="L44" s="21"/>
      <c r="M44" s="21"/>
      <c r="N44" s="30"/>
      <c r="O44" s="21" t="s">
        <v>28</v>
      </c>
      <c r="P44" s="74" t="s">
        <v>28</v>
      </c>
      <c r="Q44" s="21" t="s">
        <v>2981</v>
      </c>
      <c r="R44" s="32" t="s">
        <v>2850</v>
      </c>
      <c r="S44" s="32" t="s">
        <v>36</v>
      </c>
      <c r="T44" s="21" t="s">
        <v>74</v>
      </c>
      <c r="U44" s="74" t="s">
        <v>28</v>
      </c>
      <c r="V44" s="74" t="s">
        <v>28</v>
      </c>
      <c r="W44" s="21" t="s">
        <v>36</v>
      </c>
      <c r="X44" s="21" t="s">
        <v>28</v>
      </c>
    </row>
    <row r="45" customFormat="false" ht="15.75" hidden="false" customHeight="false" outlineLevel="0" collapsed="false">
      <c r="A45" s="61" t="n">
        <v>6385</v>
      </c>
      <c r="B45" s="29" t="n">
        <v>44670</v>
      </c>
      <c r="C45" s="21" t="s">
        <v>1742</v>
      </c>
      <c r="D45" s="21" t="s">
        <v>24</v>
      </c>
      <c r="E45" s="21" t="s">
        <v>34</v>
      </c>
      <c r="F45" s="21" t="s">
        <v>902</v>
      </c>
      <c r="G45" s="30"/>
      <c r="H45" s="31"/>
      <c r="I45" s="21"/>
      <c r="J45" s="21"/>
      <c r="K45" s="21"/>
      <c r="L45" s="21"/>
      <c r="M45" s="21"/>
      <c r="N45" s="30"/>
      <c r="O45" s="21"/>
      <c r="P45" s="21"/>
      <c r="Q45" s="21"/>
      <c r="R45" s="32"/>
      <c r="S45" s="32"/>
      <c r="T45" s="21"/>
      <c r="U45" s="21" t="s">
        <v>37</v>
      </c>
      <c r="V45" s="21" t="s">
        <v>37</v>
      </c>
      <c r="W45" s="21"/>
      <c r="X45" s="21" t="s">
        <v>28</v>
      </c>
    </row>
    <row r="46" customFormat="false" ht="15.75" hidden="false" customHeight="false" outlineLevel="0" collapsed="false">
      <c r="A46" s="61" t="n">
        <v>6386</v>
      </c>
      <c r="B46" s="29" t="n">
        <v>44670</v>
      </c>
      <c r="C46" s="21" t="s">
        <v>1742</v>
      </c>
      <c r="D46" s="21" t="s">
        <v>24</v>
      </c>
      <c r="E46" s="21" t="s">
        <v>34</v>
      </c>
      <c r="F46" s="21" t="s">
        <v>902</v>
      </c>
      <c r="G46" s="30" t="s">
        <v>2453</v>
      </c>
      <c r="H46" s="31"/>
      <c r="I46" s="21"/>
      <c r="J46" s="21"/>
      <c r="K46" s="21"/>
      <c r="L46" s="21"/>
      <c r="M46" s="21"/>
      <c r="N46" s="30"/>
      <c r="O46" s="21"/>
      <c r="P46" s="21"/>
      <c r="Q46" s="21"/>
      <c r="R46" s="32"/>
      <c r="S46" s="32"/>
      <c r="T46" s="21"/>
      <c r="U46" s="21" t="s">
        <v>37</v>
      </c>
      <c r="V46" s="21" t="s">
        <v>37</v>
      </c>
      <c r="W46" s="21"/>
      <c r="X46" s="21" t="s">
        <v>28</v>
      </c>
    </row>
    <row r="47" customFormat="false" ht="15.75" hidden="false" customHeight="false" outlineLevel="0" collapsed="false">
      <c r="A47" s="61" t="n">
        <v>6387</v>
      </c>
      <c r="B47" s="29" t="n">
        <v>44670</v>
      </c>
      <c r="C47" s="21" t="s">
        <v>1311</v>
      </c>
      <c r="D47" s="21" t="s">
        <v>24</v>
      </c>
      <c r="E47" s="21" t="s">
        <v>34</v>
      </c>
      <c r="F47" s="21" t="s">
        <v>902</v>
      </c>
      <c r="G47" s="30"/>
      <c r="H47" s="31"/>
      <c r="I47" s="21"/>
      <c r="J47" s="21"/>
      <c r="K47" s="21"/>
      <c r="L47" s="21"/>
      <c r="M47" s="21"/>
      <c r="N47" s="30"/>
      <c r="O47" s="21"/>
      <c r="P47" s="21"/>
      <c r="Q47" s="21"/>
      <c r="R47" s="32"/>
      <c r="S47" s="32"/>
      <c r="T47" s="21"/>
      <c r="U47" s="21" t="s">
        <v>37</v>
      </c>
      <c r="V47" s="21" t="s">
        <v>37</v>
      </c>
      <c r="W47" s="21"/>
      <c r="X47" s="21" t="s">
        <v>37</v>
      </c>
    </row>
    <row r="48" customFormat="false" ht="15.75" hidden="false" customHeight="false" outlineLevel="0" collapsed="false">
      <c r="A48" s="61" t="s">
        <v>3281</v>
      </c>
      <c r="B48" s="29" t="n">
        <v>44670</v>
      </c>
      <c r="C48" s="21" t="s">
        <v>760</v>
      </c>
      <c r="D48" s="21" t="s">
        <v>578</v>
      </c>
      <c r="E48" s="21" t="s">
        <v>34</v>
      </c>
      <c r="F48" s="21" t="s">
        <v>3282</v>
      </c>
      <c r="G48" s="30"/>
      <c r="H48" s="31"/>
      <c r="I48" s="21"/>
      <c r="J48" s="21"/>
      <c r="K48" s="21"/>
      <c r="L48" s="21"/>
      <c r="M48" s="21"/>
      <c r="N48" s="30"/>
      <c r="O48" s="21"/>
      <c r="P48" s="21"/>
      <c r="Q48" s="21"/>
      <c r="R48" s="32"/>
      <c r="S48" s="32"/>
      <c r="T48" s="21"/>
      <c r="U48" s="21" t="s">
        <v>37</v>
      </c>
      <c r="V48" s="21" t="s">
        <v>37</v>
      </c>
      <c r="W48" s="21"/>
      <c r="X48" s="21" t="s">
        <v>37</v>
      </c>
    </row>
    <row r="49" customFormat="false" ht="15.75" hidden="false" customHeight="false" outlineLevel="0" collapsed="false">
      <c r="A49" s="61" t="n">
        <v>6388</v>
      </c>
      <c r="B49" s="29" t="n">
        <v>44671</v>
      </c>
      <c r="C49" s="21" t="s">
        <v>75</v>
      </c>
      <c r="D49" s="21" t="s">
        <v>24</v>
      </c>
      <c r="E49" s="21" t="s">
        <v>25</v>
      </c>
      <c r="F49" s="21" t="s">
        <v>3283</v>
      </c>
      <c r="G49" s="30" t="s">
        <v>3284</v>
      </c>
      <c r="H49" s="45" t="str">
        <f aca="false">HYPERLINK("https://photos.app.goo.gl/oM5ZyPiGzuDLNzH57", "Completo")</f>
        <v>Completo</v>
      </c>
      <c r="I49" s="21" t="s">
        <v>28</v>
      </c>
      <c r="J49" s="21"/>
      <c r="K49" s="21"/>
      <c r="L49" s="21"/>
      <c r="M49" s="21"/>
      <c r="N49" s="30"/>
      <c r="O49" s="21" t="s">
        <v>28</v>
      </c>
      <c r="P49" s="21"/>
      <c r="Q49" s="21" t="s">
        <v>3285</v>
      </c>
      <c r="R49" s="32" t="s">
        <v>3113</v>
      </c>
      <c r="S49" s="32" t="s">
        <v>36</v>
      </c>
      <c r="T49" s="21" t="s">
        <v>3286</v>
      </c>
      <c r="U49" s="74" t="s">
        <v>28</v>
      </c>
      <c r="V49" s="74" t="s">
        <v>28</v>
      </c>
      <c r="W49" s="21" t="s">
        <v>36</v>
      </c>
      <c r="X49" s="21" t="s">
        <v>28</v>
      </c>
    </row>
    <row r="50" customFormat="false" ht="15.75" hidden="false" customHeight="false" outlineLevel="0" collapsed="false">
      <c r="A50" s="61" t="n">
        <v>6389</v>
      </c>
      <c r="B50" s="29" t="n">
        <v>44671</v>
      </c>
      <c r="C50" s="21" t="s">
        <v>75</v>
      </c>
      <c r="D50" s="21" t="s">
        <v>24</v>
      </c>
      <c r="E50" s="21" t="s">
        <v>25</v>
      </c>
      <c r="F50" s="21" t="s">
        <v>3287</v>
      </c>
      <c r="G50" s="30"/>
      <c r="H50" s="45" t="str">
        <f aca="false">HYPERLINK("https://photos.app.goo.gl/Jxa9aPeRPZBmSnTx6", "Completo")</f>
        <v>Completo</v>
      </c>
      <c r="I50" s="21" t="s">
        <v>28</v>
      </c>
      <c r="J50" s="21"/>
      <c r="K50" s="21"/>
      <c r="L50" s="21"/>
      <c r="M50" s="21"/>
      <c r="N50" s="30"/>
      <c r="O50" s="21"/>
      <c r="P50" s="21"/>
      <c r="Q50" s="21"/>
      <c r="R50" s="32"/>
      <c r="S50" s="32"/>
      <c r="T50" s="21"/>
      <c r="U50" s="21" t="s">
        <v>37</v>
      </c>
      <c r="V50" s="21" t="s">
        <v>37</v>
      </c>
      <c r="W50" s="21"/>
      <c r="X50" s="21"/>
    </row>
    <row r="51" customFormat="false" ht="15.75" hidden="false" customHeight="false" outlineLevel="0" collapsed="false">
      <c r="A51" s="61" t="n">
        <v>6390</v>
      </c>
      <c r="B51" s="29" t="n">
        <v>44672</v>
      </c>
      <c r="C51" s="21" t="s">
        <v>3288</v>
      </c>
      <c r="D51" s="21" t="s">
        <v>24</v>
      </c>
      <c r="E51" s="21" t="s">
        <v>25</v>
      </c>
      <c r="F51" s="21" t="s">
        <v>1833</v>
      </c>
      <c r="G51" s="30"/>
      <c r="H51" s="45" t="str">
        <f aca="false">HYPERLINK("https://photos.app.goo.gl/caSNuBYAuJUsLqaXA", "Completo")</f>
        <v>Completo</v>
      </c>
      <c r="I51" s="21" t="s">
        <v>28</v>
      </c>
      <c r="J51" s="21" t="s">
        <v>3289</v>
      </c>
      <c r="K51" s="21" t="s">
        <v>3290</v>
      </c>
      <c r="L51" s="21"/>
      <c r="M51" s="21"/>
      <c r="N51" s="30"/>
      <c r="O51" s="21"/>
      <c r="P51" s="21"/>
      <c r="Q51" s="21"/>
      <c r="R51" s="32"/>
      <c r="S51" s="32"/>
      <c r="T51" s="21"/>
      <c r="U51" s="21" t="s">
        <v>37</v>
      </c>
      <c r="V51" s="21" t="s">
        <v>37</v>
      </c>
      <c r="W51" s="21"/>
      <c r="X51" s="21" t="s">
        <v>28</v>
      </c>
    </row>
    <row r="52" customFormat="false" ht="15.75" hidden="false" customHeight="false" outlineLevel="0" collapsed="false">
      <c r="A52" s="61" t="n">
        <v>6391</v>
      </c>
      <c r="B52" s="29" t="n">
        <v>44672</v>
      </c>
      <c r="C52" s="21" t="s">
        <v>3291</v>
      </c>
      <c r="D52" s="21" t="s">
        <v>24</v>
      </c>
      <c r="E52" s="21" t="s">
        <v>25</v>
      </c>
      <c r="F52" s="21" t="s">
        <v>3292</v>
      </c>
      <c r="G52" s="30" t="s">
        <v>3293</v>
      </c>
      <c r="H52" s="45" t="str">
        <f aca="false">HYPERLINK("https://photos.app.goo.gl/ac8BvoLn8NBt32Ne7", "Completo")</f>
        <v>Completo</v>
      </c>
      <c r="I52" s="21" t="s">
        <v>28</v>
      </c>
      <c r="J52" s="21" t="s">
        <v>3294</v>
      </c>
      <c r="K52" s="21"/>
      <c r="L52" s="21"/>
      <c r="M52" s="21" t="s">
        <v>3295</v>
      </c>
      <c r="N52" s="30" t="s">
        <v>3293</v>
      </c>
      <c r="O52" s="21" t="s">
        <v>28</v>
      </c>
      <c r="P52" s="21" t="s">
        <v>28</v>
      </c>
      <c r="Q52" s="21" t="s">
        <v>3296</v>
      </c>
      <c r="R52" s="32" t="s">
        <v>25</v>
      </c>
      <c r="S52" s="32"/>
      <c r="T52" s="21"/>
      <c r="U52" s="21" t="s">
        <v>37</v>
      </c>
      <c r="V52" s="21" t="s">
        <v>37</v>
      </c>
      <c r="W52" s="21"/>
      <c r="X52" s="21" t="s">
        <v>28</v>
      </c>
    </row>
    <row r="53" customFormat="false" ht="15.75" hidden="false" customHeight="false" outlineLevel="0" collapsed="false">
      <c r="A53" s="61" t="n">
        <v>6392</v>
      </c>
      <c r="B53" s="29" t="n">
        <v>44672</v>
      </c>
      <c r="C53" s="21" t="s">
        <v>3291</v>
      </c>
      <c r="D53" s="21" t="s">
        <v>24</v>
      </c>
      <c r="E53" s="21" t="s">
        <v>25</v>
      </c>
      <c r="F53" s="21" t="s">
        <v>3292</v>
      </c>
      <c r="G53" s="30" t="s">
        <v>3293</v>
      </c>
      <c r="H53" s="45" t="str">
        <f aca="false">HYPERLINK("https://photos.app.goo.gl/jrVJbVpxBAKZxLB67", "Completo")</f>
        <v>Completo</v>
      </c>
      <c r="I53" s="21" t="s">
        <v>28</v>
      </c>
      <c r="J53" s="21" t="s">
        <v>3294</v>
      </c>
      <c r="K53" s="21"/>
      <c r="L53" s="21"/>
      <c r="M53" s="21" t="s">
        <v>3295</v>
      </c>
      <c r="N53" s="30" t="s">
        <v>3293</v>
      </c>
      <c r="O53" s="21" t="s">
        <v>28</v>
      </c>
      <c r="P53" s="74" t="s">
        <v>28</v>
      </c>
      <c r="Q53" s="21" t="s">
        <v>3297</v>
      </c>
      <c r="R53" s="32" t="s">
        <v>25</v>
      </c>
      <c r="S53" s="32"/>
      <c r="T53" s="21"/>
      <c r="U53" s="21" t="s">
        <v>37</v>
      </c>
      <c r="V53" s="21" t="s">
        <v>37</v>
      </c>
      <c r="W53" s="21"/>
      <c r="X53" s="21" t="s">
        <v>28</v>
      </c>
    </row>
    <row r="54" customFormat="false" ht="15.75" hidden="false" customHeight="false" outlineLevel="0" collapsed="false">
      <c r="A54" s="61" t="n">
        <v>6393</v>
      </c>
      <c r="B54" s="29" t="n">
        <v>44672</v>
      </c>
      <c r="C54" s="21" t="s">
        <v>3291</v>
      </c>
      <c r="D54" s="21" t="s">
        <v>24</v>
      </c>
      <c r="E54" s="21" t="s">
        <v>25</v>
      </c>
      <c r="F54" s="21" t="s">
        <v>3292</v>
      </c>
      <c r="G54" s="30" t="s">
        <v>3293</v>
      </c>
      <c r="H54" s="45" t="str">
        <f aca="false">HYPERLINK("https://photos.app.goo.gl/Upx8aBBvyQjnYbiZ7", "Completo")</f>
        <v>Completo</v>
      </c>
      <c r="I54" s="21" t="s">
        <v>28</v>
      </c>
      <c r="J54" s="21" t="s">
        <v>3294</v>
      </c>
      <c r="K54" s="21"/>
      <c r="L54" s="21"/>
      <c r="M54" s="21" t="s">
        <v>3295</v>
      </c>
      <c r="N54" s="30" t="s">
        <v>3293</v>
      </c>
      <c r="O54" s="21" t="s">
        <v>28</v>
      </c>
      <c r="P54" s="74" t="s">
        <v>28</v>
      </c>
      <c r="Q54" s="21" t="s">
        <v>3297</v>
      </c>
      <c r="R54" s="32" t="s">
        <v>25</v>
      </c>
      <c r="S54" s="32"/>
      <c r="T54" s="21"/>
      <c r="U54" s="21" t="s">
        <v>37</v>
      </c>
      <c r="V54" s="21" t="s">
        <v>37</v>
      </c>
      <c r="W54" s="21"/>
      <c r="X54" s="21" t="s">
        <v>28</v>
      </c>
    </row>
    <row r="55" customFormat="false" ht="15.75" hidden="false" customHeight="false" outlineLevel="0" collapsed="false">
      <c r="A55" s="61" t="n">
        <v>6394</v>
      </c>
      <c r="B55" s="29" t="n">
        <v>44672</v>
      </c>
      <c r="C55" s="21" t="s">
        <v>3291</v>
      </c>
      <c r="D55" s="21" t="s">
        <v>24</v>
      </c>
      <c r="E55" s="21" t="s">
        <v>25</v>
      </c>
      <c r="F55" s="21" t="s">
        <v>3292</v>
      </c>
      <c r="G55" s="30" t="s">
        <v>3298</v>
      </c>
      <c r="H55" s="45" t="str">
        <f aca="false">HYPERLINK("https://photos.app.goo.gl/1iJiJK9VKo65Zac38", "Completo")</f>
        <v>Completo</v>
      </c>
      <c r="I55" s="21" t="s">
        <v>28</v>
      </c>
      <c r="J55" s="21" t="s">
        <v>3294</v>
      </c>
      <c r="K55" s="21"/>
      <c r="L55" s="21"/>
      <c r="M55" s="21" t="s">
        <v>3295</v>
      </c>
      <c r="N55" s="30"/>
      <c r="O55" s="21"/>
      <c r="P55" s="21"/>
      <c r="Q55" s="21"/>
      <c r="R55" s="32"/>
      <c r="S55" s="32"/>
      <c r="T55" s="21"/>
      <c r="U55" s="21" t="s">
        <v>37</v>
      </c>
      <c r="V55" s="21" t="s">
        <v>37</v>
      </c>
      <c r="W55" s="21"/>
      <c r="X55" s="21" t="s">
        <v>28</v>
      </c>
    </row>
    <row r="56" customFormat="false" ht="15.75" hidden="false" customHeight="false" outlineLevel="0" collapsed="false">
      <c r="A56" s="61" t="n">
        <v>6395</v>
      </c>
      <c r="B56" s="29" t="n">
        <v>44672</v>
      </c>
      <c r="C56" s="21" t="s">
        <v>3291</v>
      </c>
      <c r="D56" s="21" t="s">
        <v>24</v>
      </c>
      <c r="E56" s="21" t="s">
        <v>25</v>
      </c>
      <c r="F56" s="21" t="s">
        <v>3292</v>
      </c>
      <c r="G56" s="30" t="s">
        <v>3299</v>
      </c>
      <c r="H56" s="45" t="str">
        <f aca="false">HYPERLINK("https://photos.app.goo.gl/VvknQNmAw8AbhdEh8", "Completo")</f>
        <v>Completo</v>
      </c>
      <c r="I56" s="21" t="s">
        <v>28</v>
      </c>
      <c r="J56" s="21" t="s">
        <v>3294</v>
      </c>
      <c r="K56" s="21"/>
      <c r="L56" s="21"/>
      <c r="M56" s="21" t="s">
        <v>3295</v>
      </c>
      <c r="N56" s="30" t="s">
        <v>3300</v>
      </c>
      <c r="O56" s="21" t="s">
        <v>28</v>
      </c>
      <c r="P56" s="74" t="s">
        <v>28</v>
      </c>
      <c r="Q56" s="21" t="s">
        <v>2981</v>
      </c>
      <c r="R56" s="32" t="s">
        <v>25</v>
      </c>
      <c r="S56" s="32"/>
      <c r="T56" s="21"/>
      <c r="U56" s="21" t="s">
        <v>37</v>
      </c>
      <c r="V56" s="21" t="s">
        <v>37</v>
      </c>
      <c r="W56" s="21"/>
      <c r="X56" s="21" t="s">
        <v>28</v>
      </c>
    </row>
    <row r="57" customFormat="false" ht="15.75" hidden="false" customHeight="false" outlineLevel="0" collapsed="false">
      <c r="A57" s="61" t="n">
        <v>6396</v>
      </c>
      <c r="B57" s="29" t="n">
        <v>44673</v>
      </c>
      <c r="C57" s="21" t="s">
        <v>67</v>
      </c>
      <c r="D57" s="21" t="s">
        <v>24</v>
      </c>
      <c r="E57" s="21" t="s">
        <v>34</v>
      </c>
      <c r="F57" s="21" t="s">
        <v>3301</v>
      </c>
      <c r="G57" s="30"/>
      <c r="H57" s="31"/>
      <c r="I57" s="21"/>
      <c r="J57" s="21"/>
      <c r="K57" s="21"/>
      <c r="L57" s="21"/>
      <c r="M57" s="21"/>
      <c r="N57" s="30"/>
      <c r="O57" s="21"/>
      <c r="P57" s="21"/>
      <c r="Q57" s="21"/>
      <c r="R57" s="32"/>
      <c r="S57" s="32"/>
      <c r="T57" s="21"/>
      <c r="U57" s="21" t="s">
        <v>37</v>
      </c>
      <c r="V57" s="21" t="s">
        <v>37</v>
      </c>
      <c r="W57" s="21"/>
      <c r="X57" s="21"/>
    </row>
    <row r="58" customFormat="false" ht="15.75" hidden="false" customHeight="false" outlineLevel="0" collapsed="false">
      <c r="A58" s="61" t="n">
        <v>6397</v>
      </c>
      <c r="B58" s="29" t="n">
        <v>44673</v>
      </c>
      <c r="C58" s="21" t="s">
        <v>3302</v>
      </c>
      <c r="D58" s="21" t="s">
        <v>24</v>
      </c>
      <c r="E58" s="21" t="s">
        <v>25</v>
      </c>
      <c r="F58" s="21" t="s">
        <v>3303</v>
      </c>
      <c r="G58" s="30" t="s">
        <v>3304</v>
      </c>
      <c r="H58" s="45" t="str">
        <f aca="false">HYPERLINK("https://photos.app.goo.gl/G1GQZsSodLsEJsjBA", "Completo")</f>
        <v>Completo</v>
      </c>
      <c r="I58" s="21" t="s">
        <v>28</v>
      </c>
      <c r="J58" s="21"/>
      <c r="K58" s="21"/>
      <c r="L58" s="21"/>
      <c r="M58" s="21"/>
      <c r="N58" s="30"/>
      <c r="O58" s="21"/>
      <c r="P58" s="21"/>
      <c r="Q58" s="21"/>
      <c r="R58" s="32"/>
      <c r="S58" s="32"/>
      <c r="T58" s="21"/>
      <c r="U58" s="21" t="s">
        <v>37</v>
      </c>
      <c r="V58" s="21" t="s">
        <v>37</v>
      </c>
      <c r="W58" s="21"/>
      <c r="X58" s="21" t="s">
        <v>28</v>
      </c>
    </row>
    <row r="59" customFormat="false" ht="15.75" hidden="false" customHeight="false" outlineLevel="0" collapsed="false">
      <c r="A59" s="63" t="n">
        <v>1162204</v>
      </c>
      <c r="B59" s="29" t="n">
        <v>44673</v>
      </c>
      <c r="C59" s="21" t="s">
        <v>3305</v>
      </c>
      <c r="D59" s="21" t="s">
        <v>290</v>
      </c>
      <c r="E59" s="21" t="s">
        <v>25</v>
      </c>
      <c r="F59" s="21" t="s">
        <v>1554</v>
      </c>
      <c r="G59" s="30"/>
      <c r="H59" s="31" t="s">
        <v>28</v>
      </c>
      <c r="I59" s="21"/>
      <c r="J59" s="21"/>
      <c r="K59" s="21"/>
      <c r="L59" s="21"/>
      <c r="M59" s="21"/>
      <c r="N59" s="30"/>
      <c r="O59" s="21"/>
      <c r="P59" s="21"/>
      <c r="Q59" s="21"/>
      <c r="R59" s="32"/>
      <c r="S59" s="32"/>
      <c r="T59" s="21"/>
      <c r="U59" s="21"/>
      <c r="V59" s="21"/>
      <c r="W59" s="21"/>
      <c r="X59" s="21" t="s">
        <v>28</v>
      </c>
    </row>
    <row r="60" customFormat="false" ht="15.75" hidden="false" customHeight="false" outlineLevel="0" collapsed="false">
      <c r="A60" s="61" t="n">
        <v>6398</v>
      </c>
      <c r="B60" s="29" t="n">
        <v>44673</v>
      </c>
      <c r="C60" s="21" t="s">
        <v>1569</v>
      </c>
      <c r="D60" s="21" t="s">
        <v>24</v>
      </c>
      <c r="E60" s="21" t="s">
        <v>34</v>
      </c>
      <c r="F60" s="21" t="s">
        <v>3141</v>
      </c>
      <c r="G60" s="30"/>
      <c r="H60" s="31"/>
      <c r="I60" s="21"/>
      <c r="J60" s="21"/>
      <c r="K60" s="21"/>
      <c r="L60" s="21"/>
      <c r="M60" s="21"/>
      <c r="N60" s="30"/>
      <c r="O60" s="21"/>
      <c r="P60" s="21"/>
      <c r="Q60" s="21"/>
      <c r="R60" s="32"/>
      <c r="S60" s="32"/>
      <c r="T60" s="21"/>
      <c r="U60" s="21" t="s">
        <v>37</v>
      </c>
      <c r="V60" s="21" t="s">
        <v>37</v>
      </c>
      <c r="W60" s="21"/>
      <c r="X60" s="21" t="s">
        <v>28</v>
      </c>
    </row>
    <row r="61" customFormat="false" ht="15.75" hidden="false" customHeight="false" outlineLevel="0" collapsed="false">
      <c r="A61" s="61" t="n">
        <v>6399</v>
      </c>
      <c r="B61" s="29" t="n">
        <v>44673</v>
      </c>
      <c r="C61" s="21" t="s">
        <v>1569</v>
      </c>
      <c r="D61" s="21" t="s">
        <v>24</v>
      </c>
      <c r="E61" s="21" t="s">
        <v>34</v>
      </c>
      <c r="F61" s="21" t="s">
        <v>3141</v>
      </c>
      <c r="G61" s="30"/>
      <c r="H61" s="31"/>
      <c r="I61" s="21"/>
      <c r="J61" s="21"/>
      <c r="K61" s="21"/>
      <c r="L61" s="21"/>
      <c r="M61" s="21"/>
      <c r="N61" s="30"/>
      <c r="O61" s="21"/>
      <c r="P61" s="21"/>
      <c r="Q61" s="21"/>
      <c r="R61" s="32"/>
      <c r="S61" s="32"/>
      <c r="T61" s="21"/>
      <c r="U61" s="21" t="s">
        <v>37</v>
      </c>
      <c r="V61" s="21" t="s">
        <v>37</v>
      </c>
      <c r="W61" s="21"/>
      <c r="X61" s="21" t="s">
        <v>28</v>
      </c>
    </row>
    <row r="62" customFormat="false" ht="15.75" hidden="false" customHeight="false" outlineLevel="0" collapsed="false">
      <c r="A62" s="61" t="n">
        <v>6400</v>
      </c>
      <c r="B62" s="29" t="n">
        <v>44673</v>
      </c>
      <c r="C62" s="21" t="s">
        <v>1569</v>
      </c>
      <c r="D62" s="21" t="s">
        <v>24</v>
      </c>
      <c r="E62" s="21" t="s">
        <v>34</v>
      </c>
      <c r="F62" s="21" t="s">
        <v>3141</v>
      </c>
      <c r="G62" s="30"/>
      <c r="H62" s="31"/>
      <c r="I62" s="21"/>
      <c r="J62" s="21"/>
      <c r="K62" s="21"/>
      <c r="L62" s="21"/>
      <c r="M62" s="21"/>
      <c r="N62" s="30"/>
      <c r="O62" s="21"/>
      <c r="P62" s="21"/>
      <c r="Q62" s="21"/>
      <c r="R62" s="32"/>
      <c r="S62" s="32"/>
      <c r="T62" s="21"/>
      <c r="U62" s="21" t="s">
        <v>37</v>
      </c>
      <c r="V62" s="21" t="s">
        <v>37</v>
      </c>
      <c r="W62" s="21"/>
      <c r="X62" s="21" t="s">
        <v>28</v>
      </c>
    </row>
    <row r="63" customFormat="false" ht="15.75" hidden="false" customHeight="false" outlineLevel="0" collapsed="false">
      <c r="A63" s="61" t="n">
        <v>6401</v>
      </c>
      <c r="B63" s="29" t="n">
        <v>44673</v>
      </c>
      <c r="C63" s="21" t="s">
        <v>1569</v>
      </c>
      <c r="D63" s="21" t="s">
        <v>24</v>
      </c>
      <c r="E63" s="21" t="s">
        <v>34</v>
      </c>
      <c r="F63" s="21" t="s">
        <v>3141</v>
      </c>
      <c r="G63" s="30"/>
      <c r="H63" s="31"/>
      <c r="I63" s="21"/>
      <c r="J63" s="21"/>
      <c r="K63" s="21"/>
      <c r="L63" s="21"/>
      <c r="M63" s="21"/>
      <c r="N63" s="30"/>
      <c r="O63" s="21"/>
      <c r="P63" s="21"/>
      <c r="Q63" s="21"/>
      <c r="R63" s="32"/>
      <c r="S63" s="32"/>
      <c r="T63" s="21"/>
      <c r="U63" s="21" t="s">
        <v>37</v>
      </c>
      <c r="V63" s="21" t="s">
        <v>37</v>
      </c>
      <c r="W63" s="21"/>
      <c r="X63" s="21" t="s">
        <v>28</v>
      </c>
    </row>
    <row r="64" customFormat="false" ht="15.75" hidden="false" customHeight="false" outlineLevel="0" collapsed="false">
      <c r="A64" s="61" t="n">
        <v>6402</v>
      </c>
      <c r="B64" s="29" t="n">
        <v>44676</v>
      </c>
      <c r="C64" s="21" t="s">
        <v>841</v>
      </c>
      <c r="D64" s="21" t="s">
        <v>24</v>
      </c>
      <c r="E64" s="21" t="s">
        <v>34</v>
      </c>
      <c r="F64" s="21" t="s">
        <v>3306</v>
      </c>
      <c r="G64" s="30"/>
      <c r="H64" s="31"/>
      <c r="I64" s="21"/>
      <c r="J64" s="21"/>
      <c r="K64" s="21"/>
      <c r="L64" s="21"/>
      <c r="M64" s="21"/>
      <c r="N64" s="30"/>
      <c r="O64" s="21"/>
      <c r="P64" s="21"/>
      <c r="Q64" s="21"/>
      <c r="R64" s="32"/>
      <c r="S64" s="32"/>
      <c r="T64" s="21"/>
      <c r="U64" s="21" t="s">
        <v>37</v>
      </c>
      <c r="V64" s="21" t="s">
        <v>37</v>
      </c>
      <c r="W64" s="21"/>
      <c r="X64" s="21" t="s">
        <v>28</v>
      </c>
      <c r="Y64" s="12" t="s">
        <v>3307</v>
      </c>
    </row>
    <row r="65" customFormat="false" ht="15.75" hidden="false" customHeight="false" outlineLevel="0" collapsed="false">
      <c r="A65" s="63" t="n">
        <v>1170238</v>
      </c>
      <c r="B65" s="29" t="n">
        <v>44676</v>
      </c>
      <c r="C65" s="21" t="s">
        <v>893</v>
      </c>
      <c r="D65" s="21" t="s">
        <v>290</v>
      </c>
      <c r="E65" s="21" t="s">
        <v>25</v>
      </c>
      <c r="F65" s="21" t="s">
        <v>3308</v>
      </c>
      <c r="G65" s="30" t="s">
        <v>3309</v>
      </c>
      <c r="H65" s="45" t="str">
        <f aca="false">HYPERLINK("https://photos.app.goo.gl/PqJbPHTYGVSpixbN7", "Completo")</f>
        <v>Completo</v>
      </c>
      <c r="I65" s="21" t="s">
        <v>28</v>
      </c>
      <c r="J65" s="21"/>
      <c r="K65" s="21"/>
      <c r="L65" s="21"/>
      <c r="M65" s="21"/>
      <c r="N65" s="30" t="s">
        <v>3309</v>
      </c>
      <c r="O65" s="21" t="s">
        <v>28</v>
      </c>
      <c r="P65" s="74" t="s">
        <v>28</v>
      </c>
      <c r="Q65" s="21" t="s">
        <v>201</v>
      </c>
      <c r="R65" s="32" t="s">
        <v>25</v>
      </c>
      <c r="S65" s="32"/>
      <c r="T65" s="21"/>
      <c r="U65" s="21" t="s">
        <v>37</v>
      </c>
      <c r="V65" s="21" t="s">
        <v>37</v>
      </c>
      <c r="W65" s="21"/>
      <c r="X65" s="21" t="s">
        <v>28</v>
      </c>
    </row>
    <row r="66" customFormat="false" ht="15.75" hidden="false" customHeight="false" outlineLevel="0" collapsed="false">
      <c r="A66" s="61" t="n">
        <v>6403</v>
      </c>
      <c r="B66" s="29" t="n">
        <v>44677</v>
      </c>
      <c r="C66" s="21" t="s">
        <v>3310</v>
      </c>
      <c r="D66" s="21" t="s">
        <v>24</v>
      </c>
      <c r="E66" s="21" t="s">
        <v>25</v>
      </c>
      <c r="F66" s="21" t="s">
        <v>3311</v>
      </c>
      <c r="G66" s="30" t="s">
        <v>3312</v>
      </c>
      <c r="H66" s="74" t="s">
        <v>28</v>
      </c>
      <c r="I66" s="21" t="s">
        <v>28</v>
      </c>
      <c r="J66" s="21"/>
      <c r="K66" s="21"/>
      <c r="L66" s="21" t="n">
        <v>2815</v>
      </c>
      <c r="M66" s="21"/>
      <c r="N66" s="30" t="s">
        <v>3312</v>
      </c>
      <c r="O66" s="21" t="s">
        <v>28</v>
      </c>
      <c r="P66" s="21" t="s">
        <v>28</v>
      </c>
      <c r="Q66" s="21" t="s">
        <v>3209</v>
      </c>
      <c r="R66" s="32" t="s">
        <v>25</v>
      </c>
      <c r="S66" s="32"/>
      <c r="T66" s="21"/>
      <c r="U66" s="21"/>
      <c r="V66" s="21"/>
      <c r="W66" s="21"/>
      <c r="X66" s="21" t="s">
        <v>28</v>
      </c>
    </row>
    <row r="67" customFormat="false" ht="15.75" hidden="false" customHeight="false" outlineLevel="0" collapsed="false">
      <c r="A67" s="61" t="n">
        <v>6404</v>
      </c>
      <c r="B67" s="29" t="n">
        <v>44677</v>
      </c>
      <c r="C67" s="21" t="s">
        <v>1311</v>
      </c>
      <c r="D67" s="21" t="s">
        <v>24</v>
      </c>
      <c r="E67" s="21" t="s">
        <v>34</v>
      </c>
      <c r="F67" s="21" t="s">
        <v>3313</v>
      </c>
      <c r="G67" s="30"/>
      <c r="H67" s="31"/>
      <c r="I67" s="21"/>
      <c r="J67" s="21"/>
      <c r="K67" s="21"/>
      <c r="L67" s="21"/>
      <c r="M67" s="21"/>
      <c r="N67" s="30"/>
      <c r="O67" s="21"/>
      <c r="P67" s="21"/>
      <c r="Q67" s="21"/>
      <c r="R67" s="32"/>
      <c r="S67" s="32"/>
      <c r="T67" s="21"/>
      <c r="U67" s="21" t="s">
        <v>37</v>
      </c>
      <c r="V67" s="21" t="s">
        <v>37</v>
      </c>
      <c r="W67" s="21"/>
      <c r="X67" s="21" t="s">
        <v>37</v>
      </c>
    </row>
    <row r="68" customFormat="false" ht="15.75" hidden="false" customHeight="false" outlineLevel="0" collapsed="false">
      <c r="A68" s="61" t="n">
        <v>6405</v>
      </c>
      <c r="B68" s="29" t="n">
        <v>44677</v>
      </c>
      <c r="C68" s="21" t="s">
        <v>75</v>
      </c>
      <c r="D68" s="21" t="s">
        <v>24</v>
      </c>
      <c r="E68" s="21" t="s">
        <v>25</v>
      </c>
      <c r="F68" s="21" t="s">
        <v>3314</v>
      </c>
      <c r="G68" s="30"/>
      <c r="H68" s="45" t="str">
        <f aca="false">HYPERLINK("https://photos.app.goo.gl/dhFFLxeFd9pXJTGF6", "Completo")</f>
        <v>Completo</v>
      </c>
      <c r="I68" s="21" t="s">
        <v>28</v>
      </c>
      <c r="J68" s="21"/>
      <c r="K68" s="21"/>
      <c r="L68" s="21"/>
      <c r="M68" s="21"/>
      <c r="N68" s="30"/>
      <c r="O68" s="21"/>
      <c r="P68" s="21"/>
      <c r="Q68" s="21"/>
      <c r="R68" s="32"/>
      <c r="S68" s="32"/>
      <c r="T68" s="21"/>
      <c r="U68" s="21" t="s">
        <v>37</v>
      </c>
      <c r="V68" s="21" t="s">
        <v>37</v>
      </c>
      <c r="W68" s="21"/>
      <c r="X68" s="21" t="s">
        <v>28</v>
      </c>
    </row>
    <row r="69" customFormat="false" ht="15.75" hidden="false" customHeight="false" outlineLevel="0" collapsed="false">
      <c r="A69" s="61" t="n">
        <v>6406</v>
      </c>
      <c r="B69" s="29" t="n">
        <v>44677</v>
      </c>
      <c r="C69" s="21" t="s">
        <v>75</v>
      </c>
      <c r="D69" s="21" t="s">
        <v>24</v>
      </c>
      <c r="E69" s="21" t="s">
        <v>25</v>
      </c>
      <c r="F69" s="21" t="s">
        <v>3315</v>
      </c>
      <c r="G69" s="30" t="s">
        <v>3316</v>
      </c>
      <c r="H69" s="45" t="str">
        <f aca="false">HYPERLINK("https://photos.app.goo.gl/aaBrvAgB2h9vHZ8r9", "Completo")</f>
        <v>Completo</v>
      </c>
      <c r="I69" s="21" t="s">
        <v>28</v>
      </c>
      <c r="J69" s="21"/>
      <c r="K69" s="21"/>
      <c r="L69" s="21"/>
      <c r="M69" s="21"/>
      <c r="N69" s="30"/>
      <c r="O69" s="21" t="s">
        <v>28</v>
      </c>
      <c r="P69" s="74" t="s">
        <v>28</v>
      </c>
      <c r="Q69" s="21" t="s">
        <v>36</v>
      </c>
      <c r="R69" s="32" t="s">
        <v>2850</v>
      </c>
      <c r="S69" s="32" t="s">
        <v>36</v>
      </c>
      <c r="T69" s="21"/>
      <c r="U69" s="21" t="s">
        <v>37</v>
      </c>
      <c r="V69" s="21" t="s">
        <v>37</v>
      </c>
      <c r="W69" s="21"/>
      <c r="X69" s="21" t="s">
        <v>28</v>
      </c>
    </row>
    <row r="70" customFormat="false" ht="15.75" hidden="false" customHeight="false" outlineLevel="0" collapsed="false">
      <c r="A70" s="61" t="n">
        <v>6407</v>
      </c>
      <c r="B70" s="29" t="n">
        <v>44677</v>
      </c>
      <c r="C70" s="21" t="s">
        <v>75</v>
      </c>
      <c r="D70" s="21" t="s">
        <v>24</v>
      </c>
      <c r="E70" s="21" t="s">
        <v>25</v>
      </c>
      <c r="F70" s="21" t="s">
        <v>3317</v>
      </c>
      <c r="G70" s="30" t="s">
        <v>3316</v>
      </c>
      <c r="H70" s="45" t="str">
        <f aca="false">HYPERLINK("https://photos.app.goo.gl/AXjhegNGe3W3m8Ai6", "Completo")</f>
        <v>Completo</v>
      </c>
      <c r="I70" s="21" t="s">
        <v>28</v>
      </c>
      <c r="J70" s="21"/>
      <c r="K70" s="21"/>
      <c r="L70" s="21"/>
      <c r="M70" s="21"/>
      <c r="N70" s="30"/>
      <c r="O70" s="21"/>
      <c r="P70" s="21"/>
      <c r="Q70" s="21" t="s">
        <v>36</v>
      </c>
      <c r="R70" s="32" t="s">
        <v>25</v>
      </c>
      <c r="S70" s="32" t="s">
        <v>36</v>
      </c>
      <c r="T70" s="21"/>
      <c r="U70" s="21" t="s">
        <v>37</v>
      </c>
      <c r="V70" s="21" t="s">
        <v>37</v>
      </c>
      <c r="W70" s="21"/>
      <c r="X70" s="21" t="s">
        <v>28</v>
      </c>
    </row>
    <row r="71" customFormat="false" ht="15.75" hidden="false" customHeight="false" outlineLevel="0" collapsed="false">
      <c r="A71" s="61" t="n">
        <v>6408</v>
      </c>
      <c r="B71" s="29" t="n">
        <v>44677</v>
      </c>
      <c r="C71" s="21" t="s">
        <v>75</v>
      </c>
      <c r="D71" s="21" t="s">
        <v>24</v>
      </c>
      <c r="E71" s="21" t="s">
        <v>25</v>
      </c>
      <c r="F71" s="21" t="s">
        <v>3318</v>
      </c>
      <c r="G71" s="30" t="s">
        <v>3319</v>
      </c>
      <c r="H71" s="45" t="str">
        <f aca="false">HYPERLINK("https://photos.app.goo.gl/fcQkhjnfmYMCCyc88", "Completo")</f>
        <v>Completo</v>
      </c>
      <c r="I71" s="21" t="s">
        <v>28</v>
      </c>
      <c r="J71" s="21"/>
      <c r="K71" s="21"/>
      <c r="L71" s="21"/>
      <c r="M71" s="21"/>
      <c r="N71" s="30"/>
      <c r="O71" s="21" t="s">
        <v>28</v>
      </c>
      <c r="P71" s="74" t="s">
        <v>28</v>
      </c>
      <c r="Q71" s="21" t="s">
        <v>36</v>
      </c>
      <c r="R71" s="32" t="s">
        <v>2850</v>
      </c>
      <c r="S71" s="32" t="s">
        <v>36</v>
      </c>
      <c r="T71" s="21"/>
      <c r="U71" s="21" t="s">
        <v>37</v>
      </c>
      <c r="V71" s="21" t="s">
        <v>37</v>
      </c>
      <c r="W71" s="21"/>
      <c r="X71" s="21" t="s">
        <v>28</v>
      </c>
    </row>
    <row r="72" customFormat="false" ht="15.75" hidden="false" customHeight="false" outlineLevel="0" collapsed="false">
      <c r="A72" s="61" t="n">
        <v>6409</v>
      </c>
      <c r="B72" s="29" t="n">
        <v>44678</v>
      </c>
      <c r="C72" s="21" t="s">
        <v>2591</v>
      </c>
      <c r="D72" s="21" t="s">
        <v>24</v>
      </c>
      <c r="E72" s="21" t="s">
        <v>34</v>
      </c>
      <c r="F72" s="21" t="s">
        <v>3320</v>
      </c>
      <c r="G72" s="30"/>
      <c r="H72" s="31"/>
      <c r="I72" s="21"/>
      <c r="J72" s="21"/>
      <c r="K72" s="21"/>
      <c r="L72" s="21"/>
      <c r="M72" s="21"/>
      <c r="N72" s="30"/>
      <c r="O72" s="21"/>
      <c r="P72" s="21"/>
      <c r="Q72" s="21"/>
      <c r="R72" s="32"/>
      <c r="S72" s="32"/>
      <c r="T72" s="21"/>
      <c r="U72" s="21" t="s">
        <v>37</v>
      </c>
      <c r="V72" s="21" t="s">
        <v>37</v>
      </c>
      <c r="W72" s="21"/>
      <c r="X72" s="21" t="s">
        <v>28</v>
      </c>
    </row>
    <row r="73" customFormat="false" ht="15.75" hidden="false" customHeight="false" outlineLevel="0" collapsed="false">
      <c r="A73" s="61" t="n">
        <v>6410</v>
      </c>
      <c r="B73" s="29" t="n">
        <v>44679</v>
      </c>
      <c r="C73" s="21" t="s">
        <v>1666</v>
      </c>
      <c r="D73" s="21" t="s">
        <v>24</v>
      </c>
      <c r="E73" s="21" t="s">
        <v>34</v>
      </c>
      <c r="F73" s="21" t="s">
        <v>3321</v>
      </c>
      <c r="G73" s="30"/>
      <c r="H73" s="31"/>
      <c r="I73" s="21"/>
      <c r="J73" s="21"/>
      <c r="K73" s="21"/>
      <c r="L73" s="21"/>
      <c r="M73" s="21"/>
      <c r="N73" s="30"/>
      <c r="O73" s="21"/>
      <c r="P73" s="21"/>
      <c r="Q73" s="21"/>
      <c r="R73" s="32"/>
      <c r="S73" s="32"/>
      <c r="T73" s="21"/>
      <c r="U73" s="21" t="s">
        <v>37</v>
      </c>
      <c r="V73" s="21" t="s">
        <v>37</v>
      </c>
      <c r="W73" s="21"/>
      <c r="X73" s="21" t="s">
        <v>28</v>
      </c>
    </row>
    <row r="74" customFormat="false" ht="15.75" hidden="false" customHeight="false" outlineLevel="0" collapsed="false">
      <c r="A74" s="63" t="n">
        <v>1402899</v>
      </c>
      <c r="B74" s="29" t="n">
        <v>44679</v>
      </c>
      <c r="C74" s="21" t="s">
        <v>3322</v>
      </c>
      <c r="D74" s="21" t="s">
        <v>290</v>
      </c>
      <c r="E74" s="21" t="s">
        <v>25</v>
      </c>
      <c r="F74" s="21" t="s">
        <v>3323</v>
      </c>
      <c r="G74" s="30" t="s">
        <v>1116</v>
      </c>
      <c r="H74" s="45" t="str">
        <f aca="false">HYPERLINK("https://photos.app.goo.gl/GtQEkiSygHydMREH6", "Completo")</f>
        <v>Completo</v>
      </c>
      <c r="I74" s="21" t="s">
        <v>28</v>
      </c>
      <c r="J74" s="21"/>
      <c r="K74" s="21"/>
      <c r="L74" s="21"/>
      <c r="M74" s="21"/>
      <c r="N74" s="30"/>
      <c r="O74" s="21" t="s">
        <v>28</v>
      </c>
      <c r="P74" s="74" t="s">
        <v>28</v>
      </c>
      <c r="Q74" s="21" t="s">
        <v>36</v>
      </c>
      <c r="R74" s="32" t="s">
        <v>2850</v>
      </c>
      <c r="S74" s="32" t="s">
        <v>36</v>
      </c>
      <c r="T74" s="21" t="s">
        <v>3324</v>
      </c>
      <c r="U74" s="74" t="s">
        <v>28</v>
      </c>
      <c r="V74" s="74" t="s">
        <v>28</v>
      </c>
      <c r="W74" s="21" t="s">
        <v>36</v>
      </c>
      <c r="X74" s="21"/>
    </row>
    <row r="75" customFormat="false" ht="15.75" hidden="false" customHeight="false" outlineLevel="0" collapsed="false">
      <c r="A75" s="61" t="s">
        <v>3325</v>
      </c>
      <c r="B75" s="29" t="n">
        <v>44679</v>
      </c>
      <c r="C75" s="21" t="s">
        <v>3326</v>
      </c>
      <c r="D75" s="21" t="s">
        <v>290</v>
      </c>
      <c r="E75" s="21" t="s">
        <v>25</v>
      </c>
      <c r="F75" s="21" t="s">
        <v>3327</v>
      </c>
      <c r="G75" s="30"/>
      <c r="H75" s="31" t="s">
        <v>28</v>
      </c>
      <c r="I75" s="21" t="s">
        <v>28</v>
      </c>
      <c r="J75" s="21"/>
      <c r="K75" s="21"/>
      <c r="L75" s="21"/>
      <c r="M75" s="21"/>
      <c r="N75" s="30"/>
      <c r="O75" s="21" t="s">
        <v>28</v>
      </c>
      <c r="P75" s="74" t="s">
        <v>28</v>
      </c>
      <c r="Q75" s="21" t="s">
        <v>2787</v>
      </c>
      <c r="R75" s="32" t="s">
        <v>74</v>
      </c>
      <c r="S75" s="32" t="s">
        <v>36</v>
      </c>
      <c r="T75" s="21" t="s">
        <v>74</v>
      </c>
      <c r="U75" s="74" t="s">
        <v>28</v>
      </c>
      <c r="V75" s="74" t="s">
        <v>28</v>
      </c>
      <c r="W75" s="21" t="s">
        <v>36</v>
      </c>
      <c r="X75" s="21"/>
    </row>
    <row r="76" customFormat="false" ht="15.75" hidden="false" customHeight="false" outlineLevel="0" collapsed="false">
      <c r="A76" s="61"/>
      <c r="B76" s="29"/>
      <c r="C76" s="21"/>
      <c r="D76" s="21"/>
      <c r="E76" s="21"/>
      <c r="F76" s="21"/>
      <c r="G76" s="30"/>
      <c r="H76" s="31" t="s">
        <v>28</v>
      </c>
      <c r="I76" s="21" t="s">
        <v>28</v>
      </c>
      <c r="J76" s="21"/>
      <c r="K76" s="21"/>
      <c r="L76" s="21"/>
      <c r="M76" s="21"/>
      <c r="N76" s="30"/>
      <c r="O76" s="21"/>
      <c r="P76" s="21"/>
      <c r="Q76" s="21"/>
      <c r="R76" s="32"/>
      <c r="S76" s="32"/>
      <c r="T76" s="21"/>
      <c r="U76" s="21"/>
      <c r="V76" s="21"/>
      <c r="W76" s="21"/>
      <c r="X76" s="21"/>
    </row>
    <row r="77" customFormat="false" ht="15.75" hidden="false" customHeight="false" outlineLevel="0" collapsed="false">
      <c r="A77" s="61"/>
      <c r="B77" s="29"/>
      <c r="C77" s="21"/>
      <c r="D77" s="21"/>
      <c r="E77" s="21"/>
      <c r="F77" s="21"/>
      <c r="G77" s="30"/>
      <c r="H77" s="31"/>
      <c r="I77" s="21"/>
      <c r="J77" s="21"/>
      <c r="K77" s="21"/>
      <c r="L77" s="21"/>
      <c r="M77" s="21"/>
      <c r="N77" s="30"/>
      <c r="O77" s="21"/>
      <c r="P77" s="21"/>
      <c r="Q77" s="21"/>
      <c r="R77" s="32"/>
      <c r="S77" s="32"/>
      <c r="T77" s="21"/>
      <c r="U77" s="21"/>
      <c r="V77" s="21"/>
      <c r="W77" s="21"/>
      <c r="X77" s="21"/>
    </row>
    <row r="78" customFormat="false" ht="15.75" hidden="false" customHeight="false" outlineLevel="0" collapsed="false">
      <c r="A78" s="61"/>
      <c r="B78" s="29"/>
      <c r="C78" s="21"/>
      <c r="D78" s="21"/>
      <c r="E78" s="21"/>
      <c r="F78" s="21"/>
      <c r="G78" s="30"/>
      <c r="H78" s="31"/>
      <c r="I78" s="21"/>
      <c r="J78" s="21"/>
      <c r="K78" s="21"/>
      <c r="L78" s="21"/>
      <c r="M78" s="21"/>
      <c r="N78" s="30"/>
      <c r="O78" s="21"/>
      <c r="P78" s="21"/>
      <c r="Q78" s="21"/>
      <c r="R78" s="32"/>
      <c r="S78" s="32"/>
      <c r="T78" s="21"/>
      <c r="U78" s="21"/>
      <c r="V78" s="21"/>
      <c r="W78" s="21"/>
      <c r="X78" s="21"/>
    </row>
    <row r="79" customFormat="false" ht="15.75" hidden="false" customHeight="false" outlineLevel="0" collapsed="false">
      <c r="A79" s="61"/>
      <c r="B79" s="29"/>
      <c r="C79" s="21"/>
      <c r="D79" s="21"/>
      <c r="E79" s="21"/>
      <c r="F79" s="21"/>
      <c r="G79" s="30"/>
      <c r="H79" s="31"/>
      <c r="I79" s="21"/>
      <c r="J79" s="21"/>
      <c r="K79" s="21"/>
      <c r="L79" s="21"/>
      <c r="M79" s="21"/>
      <c r="N79" s="30"/>
      <c r="O79" s="21"/>
      <c r="P79" s="21"/>
      <c r="Q79" s="21"/>
      <c r="R79" s="32"/>
      <c r="S79" s="32"/>
      <c r="T79" s="21"/>
      <c r="U79" s="21"/>
      <c r="V79" s="21"/>
      <c r="W79" s="21"/>
      <c r="X79" s="21"/>
    </row>
    <row r="80" customFormat="false" ht="15.75" hidden="false" customHeight="false" outlineLevel="0" collapsed="false">
      <c r="A80" s="61"/>
      <c r="B80" s="29"/>
      <c r="C80" s="21"/>
      <c r="D80" s="21"/>
      <c r="E80" s="21"/>
      <c r="F80" s="21"/>
      <c r="G80" s="30"/>
      <c r="H80" s="31"/>
      <c r="I80" s="21"/>
      <c r="J80" s="21"/>
      <c r="K80" s="21"/>
      <c r="L80" s="21"/>
      <c r="M80" s="21"/>
      <c r="N80" s="30"/>
      <c r="O80" s="21"/>
      <c r="P80" s="21"/>
      <c r="Q80" s="21"/>
      <c r="R80" s="32"/>
      <c r="S80" s="32"/>
      <c r="T80" s="21"/>
      <c r="U80" s="21"/>
      <c r="V80" s="21"/>
      <c r="W80" s="21"/>
      <c r="X80" s="21"/>
    </row>
    <row r="81" customFormat="false" ht="15.75" hidden="false" customHeight="false" outlineLevel="0" collapsed="false">
      <c r="A81" s="61"/>
      <c r="B81" s="29"/>
      <c r="C81" s="21"/>
      <c r="D81" s="21"/>
      <c r="E81" s="21"/>
      <c r="F81" s="21"/>
      <c r="G81" s="30"/>
      <c r="H81" s="31"/>
      <c r="I81" s="21"/>
      <c r="J81" s="21"/>
      <c r="K81" s="21"/>
      <c r="L81" s="21"/>
      <c r="M81" s="21"/>
      <c r="N81" s="30"/>
      <c r="O81" s="21"/>
      <c r="P81" s="21"/>
      <c r="Q81" s="21"/>
      <c r="R81" s="32"/>
      <c r="S81" s="32"/>
      <c r="T81" s="21"/>
      <c r="U81" s="21"/>
      <c r="V81" s="21"/>
      <c r="W81" s="21"/>
      <c r="X81" s="21"/>
    </row>
    <row r="82" customFormat="false" ht="15.75" hidden="false" customHeight="false" outlineLevel="0" collapsed="false">
      <c r="A82" s="61"/>
      <c r="B82" s="29"/>
      <c r="C82" s="21"/>
      <c r="D82" s="21"/>
      <c r="E82" s="21"/>
      <c r="F82" s="21"/>
      <c r="G82" s="30"/>
      <c r="H82" s="31"/>
      <c r="I82" s="21"/>
      <c r="J82" s="21"/>
      <c r="K82" s="21"/>
      <c r="L82" s="21"/>
      <c r="M82" s="21"/>
      <c r="N82" s="30"/>
      <c r="O82" s="21"/>
      <c r="P82" s="21"/>
      <c r="Q82" s="21"/>
      <c r="R82" s="32"/>
      <c r="S82" s="32"/>
      <c r="T82" s="21"/>
      <c r="U82" s="21"/>
      <c r="V82" s="21"/>
      <c r="W82" s="21"/>
      <c r="X82" s="21"/>
    </row>
    <row r="83" customFormat="false" ht="15.75" hidden="false" customHeight="false" outlineLevel="0" collapsed="false">
      <c r="A83" s="61"/>
      <c r="B83" s="29"/>
      <c r="C83" s="21"/>
      <c r="D83" s="21"/>
      <c r="E83" s="21"/>
      <c r="F83" s="21"/>
      <c r="G83" s="30"/>
      <c r="H83" s="31"/>
      <c r="I83" s="21"/>
      <c r="J83" s="21"/>
      <c r="K83" s="21"/>
      <c r="L83" s="21"/>
      <c r="M83" s="21"/>
      <c r="N83" s="30"/>
      <c r="O83" s="21"/>
      <c r="P83" s="21"/>
      <c r="Q83" s="21"/>
      <c r="R83" s="32"/>
      <c r="S83" s="32"/>
      <c r="T83" s="21"/>
      <c r="U83" s="21"/>
      <c r="V83" s="21"/>
      <c r="W83" s="21"/>
      <c r="X83" s="21"/>
    </row>
    <row r="84" customFormat="false" ht="15.75" hidden="false" customHeight="false" outlineLevel="0" collapsed="false">
      <c r="A84" s="61"/>
      <c r="B84" s="29"/>
      <c r="C84" s="21"/>
      <c r="D84" s="21"/>
      <c r="E84" s="21"/>
      <c r="F84" s="21"/>
      <c r="G84" s="30"/>
      <c r="H84" s="31"/>
      <c r="I84" s="21"/>
      <c r="J84" s="21"/>
      <c r="K84" s="21"/>
      <c r="L84" s="21"/>
      <c r="M84" s="21"/>
      <c r="N84" s="30"/>
      <c r="O84" s="21"/>
      <c r="P84" s="21"/>
      <c r="Q84" s="21"/>
      <c r="R84" s="32"/>
      <c r="S84" s="32"/>
      <c r="T84" s="21"/>
      <c r="U84" s="21"/>
      <c r="V84" s="21"/>
      <c r="W84" s="21"/>
      <c r="X84" s="21"/>
    </row>
    <row r="85" customFormat="false" ht="15.75" hidden="false" customHeight="false" outlineLevel="0" collapsed="false">
      <c r="A85" s="61"/>
      <c r="B85" s="29"/>
      <c r="C85" s="21"/>
      <c r="D85" s="21"/>
      <c r="E85" s="21"/>
      <c r="F85" s="21"/>
      <c r="G85" s="30"/>
      <c r="H85" s="31"/>
      <c r="I85" s="21"/>
      <c r="J85" s="21"/>
      <c r="K85" s="21"/>
      <c r="L85" s="21"/>
      <c r="M85" s="21"/>
      <c r="N85" s="30"/>
      <c r="O85" s="21"/>
      <c r="P85" s="21"/>
      <c r="Q85" s="21"/>
      <c r="R85" s="32"/>
      <c r="S85" s="32"/>
      <c r="T85" s="21"/>
      <c r="U85" s="21"/>
      <c r="V85" s="21"/>
      <c r="W85" s="21"/>
      <c r="X85" s="21"/>
    </row>
    <row r="86" customFormat="false" ht="15.75" hidden="false" customHeight="false" outlineLevel="0" collapsed="false">
      <c r="A86" s="61"/>
      <c r="B86" s="29"/>
      <c r="C86" s="21"/>
      <c r="D86" s="21"/>
      <c r="E86" s="21"/>
      <c r="F86" s="21"/>
      <c r="G86" s="30"/>
      <c r="H86" s="31"/>
      <c r="I86" s="21"/>
      <c r="J86" s="21"/>
      <c r="K86" s="21"/>
      <c r="L86" s="21"/>
      <c r="M86" s="21"/>
      <c r="N86" s="30"/>
      <c r="O86" s="21"/>
      <c r="P86" s="21"/>
      <c r="Q86" s="21"/>
      <c r="R86" s="32"/>
      <c r="S86" s="32"/>
      <c r="T86" s="21"/>
      <c r="U86" s="21"/>
      <c r="V86" s="21"/>
      <c r="W86" s="21"/>
      <c r="X86" s="21"/>
    </row>
    <row r="87" customFormat="false" ht="15.75" hidden="false" customHeight="false" outlineLevel="0" collapsed="false">
      <c r="A87" s="61"/>
      <c r="B87" s="29"/>
      <c r="C87" s="21"/>
      <c r="D87" s="21"/>
      <c r="E87" s="21"/>
      <c r="F87" s="21"/>
      <c r="G87" s="30"/>
      <c r="H87" s="31"/>
      <c r="I87" s="21"/>
      <c r="J87" s="21"/>
      <c r="K87" s="21"/>
      <c r="L87" s="21"/>
      <c r="M87" s="21"/>
      <c r="N87" s="30"/>
      <c r="O87" s="21"/>
      <c r="P87" s="21"/>
      <c r="Q87" s="21"/>
      <c r="R87" s="32"/>
      <c r="S87" s="32"/>
      <c r="T87" s="21"/>
      <c r="U87" s="21"/>
      <c r="V87" s="21"/>
      <c r="W87" s="21"/>
      <c r="X87" s="21"/>
    </row>
    <row r="88" customFormat="false" ht="15.75" hidden="false" customHeight="false" outlineLevel="0" collapsed="false">
      <c r="A88" s="61"/>
      <c r="B88" s="29"/>
      <c r="C88" s="21"/>
      <c r="D88" s="21"/>
      <c r="E88" s="21"/>
      <c r="F88" s="21"/>
      <c r="G88" s="30"/>
      <c r="H88" s="31"/>
      <c r="I88" s="21"/>
      <c r="J88" s="21"/>
      <c r="K88" s="21"/>
      <c r="L88" s="21"/>
      <c r="M88" s="21"/>
      <c r="N88" s="30"/>
      <c r="O88" s="21"/>
      <c r="P88" s="21"/>
      <c r="Q88" s="21"/>
      <c r="R88" s="32"/>
      <c r="S88" s="32"/>
      <c r="T88" s="21"/>
      <c r="U88" s="21"/>
      <c r="V88" s="21"/>
      <c r="W88" s="21"/>
      <c r="X88" s="21"/>
    </row>
    <row r="89" customFormat="false" ht="15.75" hidden="false" customHeight="false" outlineLevel="0" collapsed="false">
      <c r="A89" s="61"/>
      <c r="B89" s="29"/>
      <c r="C89" s="21"/>
      <c r="D89" s="21"/>
      <c r="E89" s="21"/>
      <c r="F89" s="21"/>
      <c r="G89" s="30"/>
      <c r="H89" s="31"/>
      <c r="I89" s="21"/>
      <c r="J89" s="21"/>
      <c r="K89" s="21"/>
      <c r="L89" s="21"/>
      <c r="M89" s="21"/>
      <c r="N89" s="30"/>
      <c r="O89" s="21"/>
      <c r="P89" s="21"/>
      <c r="Q89" s="21"/>
      <c r="R89" s="32"/>
      <c r="S89" s="32"/>
      <c r="T89" s="21"/>
      <c r="U89" s="21"/>
      <c r="V89" s="21"/>
      <c r="W89" s="21"/>
      <c r="X89" s="21"/>
    </row>
    <row r="90" customFormat="false" ht="15.75" hidden="false" customHeight="false" outlineLevel="0" collapsed="false">
      <c r="A90" s="61"/>
      <c r="B90" s="29"/>
      <c r="C90" s="21"/>
      <c r="D90" s="21"/>
      <c r="E90" s="21"/>
      <c r="F90" s="21"/>
      <c r="G90" s="30"/>
      <c r="H90" s="31"/>
      <c r="I90" s="21"/>
      <c r="J90" s="21"/>
      <c r="K90" s="21"/>
      <c r="L90" s="21"/>
      <c r="M90" s="21"/>
      <c r="N90" s="30"/>
      <c r="O90" s="21"/>
      <c r="P90" s="21"/>
      <c r="Q90" s="21"/>
      <c r="R90" s="32"/>
      <c r="S90" s="32"/>
      <c r="T90" s="21"/>
      <c r="U90" s="21"/>
      <c r="V90" s="21"/>
      <c r="W90" s="21"/>
      <c r="X90" s="21"/>
    </row>
    <row r="91" customFormat="false" ht="15.75" hidden="false" customHeight="false" outlineLevel="0" collapsed="false">
      <c r="A91" s="61"/>
      <c r="B91" s="29"/>
      <c r="C91" s="21"/>
      <c r="D91" s="21"/>
      <c r="E91" s="21"/>
      <c r="F91" s="21"/>
      <c r="G91" s="30"/>
      <c r="H91" s="31"/>
      <c r="I91" s="21"/>
      <c r="J91" s="21"/>
      <c r="K91" s="21"/>
      <c r="L91" s="21"/>
      <c r="M91" s="21"/>
      <c r="N91" s="30"/>
      <c r="O91" s="21"/>
      <c r="P91" s="21"/>
      <c r="Q91" s="21"/>
      <c r="R91" s="32"/>
      <c r="S91" s="32"/>
      <c r="T91" s="21"/>
      <c r="U91" s="21"/>
      <c r="V91" s="21"/>
      <c r="W91" s="21"/>
      <c r="X91" s="21"/>
    </row>
    <row r="92" customFormat="false" ht="15.75" hidden="false" customHeight="false" outlineLevel="0" collapsed="false">
      <c r="A92" s="61"/>
      <c r="B92" s="29"/>
      <c r="C92" s="21"/>
      <c r="D92" s="21"/>
      <c r="E92" s="21"/>
      <c r="F92" s="21"/>
      <c r="G92" s="30"/>
      <c r="H92" s="31"/>
      <c r="I92" s="21"/>
      <c r="J92" s="21"/>
      <c r="K92" s="21"/>
      <c r="L92" s="21"/>
      <c r="M92" s="21"/>
      <c r="N92" s="30"/>
      <c r="O92" s="21"/>
      <c r="P92" s="21"/>
      <c r="Q92" s="21"/>
      <c r="R92" s="32"/>
      <c r="S92" s="32"/>
      <c r="T92" s="21"/>
      <c r="U92" s="21"/>
      <c r="V92" s="21"/>
      <c r="W92" s="21"/>
      <c r="X92" s="21"/>
    </row>
    <row r="93" customFormat="false" ht="15.75" hidden="false" customHeight="false" outlineLevel="0" collapsed="false">
      <c r="A93" s="61"/>
      <c r="B93" s="29"/>
      <c r="C93" s="21"/>
      <c r="D93" s="21"/>
      <c r="E93" s="21"/>
      <c r="F93" s="21"/>
      <c r="G93" s="30"/>
      <c r="H93" s="31"/>
      <c r="I93" s="21"/>
      <c r="J93" s="21"/>
      <c r="K93" s="21"/>
      <c r="L93" s="21"/>
      <c r="M93" s="21"/>
      <c r="N93" s="30"/>
      <c r="O93" s="21"/>
      <c r="P93" s="21"/>
      <c r="Q93" s="21"/>
      <c r="R93" s="32"/>
      <c r="S93" s="32"/>
      <c r="T93" s="21"/>
      <c r="U93" s="21"/>
      <c r="V93" s="21"/>
      <c r="W93" s="21"/>
      <c r="X93" s="21"/>
    </row>
    <row r="94" customFormat="false" ht="15.75" hidden="false" customHeight="false" outlineLevel="0" collapsed="false">
      <c r="A94" s="61"/>
      <c r="B94" s="29"/>
      <c r="C94" s="21"/>
      <c r="D94" s="21"/>
      <c r="E94" s="21"/>
      <c r="F94" s="21"/>
      <c r="G94" s="30"/>
      <c r="H94" s="31"/>
      <c r="I94" s="21"/>
      <c r="J94" s="21"/>
      <c r="K94" s="21"/>
      <c r="L94" s="21"/>
      <c r="M94" s="21"/>
      <c r="N94" s="30"/>
      <c r="O94" s="21"/>
      <c r="P94" s="21"/>
      <c r="Q94" s="21"/>
      <c r="R94" s="32"/>
      <c r="S94" s="32"/>
      <c r="T94" s="21"/>
      <c r="U94" s="21"/>
      <c r="V94" s="21"/>
      <c r="W94" s="21"/>
      <c r="X94" s="21"/>
    </row>
    <row r="95" customFormat="false" ht="15.75" hidden="false" customHeight="false" outlineLevel="0" collapsed="false">
      <c r="A95" s="61"/>
      <c r="B95" s="29"/>
      <c r="C95" s="21"/>
      <c r="D95" s="21"/>
      <c r="E95" s="21"/>
      <c r="F95" s="21"/>
      <c r="G95" s="30"/>
      <c r="H95" s="31"/>
      <c r="I95" s="21"/>
      <c r="J95" s="21"/>
      <c r="K95" s="21"/>
      <c r="L95" s="21"/>
      <c r="M95" s="21"/>
      <c r="N95" s="30"/>
      <c r="O95" s="21"/>
      <c r="P95" s="21"/>
      <c r="Q95" s="21"/>
      <c r="R95" s="32"/>
      <c r="S95" s="32"/>
      <c r="T95" s="21"/>
      <c r="U95" s="21"/>
      <c r="V95" s="21"/>
      <c r="W95" s="21"/>
      <c r="X95" s="21"/>
    </row>
    <row r="96" customFormat="false" ht="15.75" hidden="false" customHeight="false" outlineLevel="0" collapsed="false">
      <c r="A96" s="61"/>
      <c r="B96" s="29"/>
      <c r="C96" s="21"/>
      <c r="D96" s="21"/>
      <c r="E96" s="21"/>
      <c r="F96" s="21"/>
      <c r="G96" s="30"/>
      <c r="H96" s="31"/>
      <c r="I96" s="21"/>
      <c r="J96" s="21"/>
      <c r="K96" s="21"/>
      <c r="L96" s="21"/>
      <c r="M96" s="21"/>
      <c r="N96" s="30"/>
      <c r="O96" s="21"/>
      <c r="P96" s="21"/>
      <c r="Q96" s="21"/>
      <c r="R96" s="32"/>
      <c r="S96" s="32"/>
      <c r="T96" s="21"/>
      <c r="U96" s="21"/>
      <c r="V96" s="21"/>
      <c r="W96" s="21"/>
      <c r="X96" s="21"/>
    </row>
    <row r="97" customFormat="false" ht="15.75" hidden="false" customHeight="false" outlineLevel="0" collapsed="false">
      <c r="A97" s="61"/>
      <c r="B97" s="29"/>
      <c r="C97" s="21"/>
      <c r="D97" s="21"/>
      <c r="E97" s="21"/>
      <c r="F97" s="21"/>
      <c r="G97" s="30"/>
      <c r="H97" s="31"/>
      <c r="I97" s="21"/>
      <c r="J97" s="21"/>
      <c r="K97" s="21"/>
      <c r="L97" s="21"/>
      <c r="M97" s="21"/>
      <c r="N97" s="30"/>
      <c r="O97" s="21"/>
      <c r="P97" s="21"/>
      <c r="Q97" s="21"/>
      <c r="R97" s="32"/>
      <c r="S97" s="32"/>
      <c r="T97" s="21"/>
      <c r="U97" s="21"/>
      <c r="V97" s="21"/>
      <c r="W97" s="21"/>
      <c r="X97" s="21"/>
    </row>
    <row r="98" customFormat="false" ht="15.75" hidden="false" customHeight="false" outlineLevel="0" collapsed="false">
      <c r="A98" s="61"/>
      <c r="B98" s="29"/>
      <c r="C98" s="21"/>
      <c r="D98" s="21"/>
      <c r="E98" s="21"/>
      <c r="F98" s="21"/>
      <c r="G98" s="30"/>
      <c r="H98" s="31"/>
      <c r="I98" s="21"/>
      <c r="J98" s="21"/>
      <c r="K98" s="21"/>
      <c r="L98" s="21"/>
      <c r="M98" s="21"/>
      <c r="N98" s="30"/>
      <c r="O98" s="21"/>
      <c r="P98" s="21"/>
      <c r="Q98" s="21"/>
      <c r="R98" s="32"/>
      <c r="S98" s="32"/>
      <c r="T98" s="21"/>
      <c r="U98" s="21"/>
      <c r="V98" s="21"/>
      <c r="W98" s="21"/>
      <c r="X98" s="21"/>
    </row>
    <row r="99" customFormat="false" ht="15.75" hidden="false" customHeight="false" outlineLevel="0" collapsed="false">
      <c r="A99" s="61"/>
      <c r="B99" s="29"/>
      <c r="C99" s="21"/>
      <c r="D99" s="21"/>
      <c r="E99" s="21"/>
      <c r="F99" s="21"/>
      <c r="G99" s="30"/>
      <c r="H99" s="31"/>
      <c r="I99" s="21"/>
      <c r="J99" s="21"/>
      <c r="K99" s="21"/>
      <c r="L99" s="21"/>
      <c r="M99" s="21"/>
      <c r="N99" s="30"/>
      <c r="O99" s="21"/>
      <c r="P99" s="21"/>
      <c r="Q99" s="21"/>
      <c r="R99" s="32"/>
      <c r="S99" s="32"/>
      <c r="T99" s="21"/>
      <c r="U99" s="21"/>
      <c r="V99" s="21"/>
      <c r="W99" s="21"/>
      <c r="X99" s="21"/>
    </row>
    <row r="100" customFormat="false" ht="15.75" hidden="false" customHeight="false" outlineLevel="0" collapsed="false">
      <c r="A100" s="61"/>
      <c r="B100" s="29"/>
      <c r="C100" s="21"/>
      <c r="D100" s="21"/>
      <c r="E100" s="21"/>
      <c r="F100" s="21"/>
      <c r="G100" s="30"/>
      <c r="H100" s="31"/>
      <c r="I100" s="21"/>
      <c r="J100" s="21"/>
      <c r="K100" s="21"/>
      <c r="L100" s="21"/>
      <c r="M100" s="21"/>
      <c r="N100" s="30"/>
      <c r="O100" s="21"/>
      <c r="P100" s="21"/>
      <c r="Q100" s="21"/>
      <c r="R100" s="32"/>
      <c r="S100" s="32"/>
      <c r="T100" s="21"/>
      <c r="U100" s="21"/>
      <c r="V100" s="21"/>
      <c r="W100" s="21"/>
      <c r="X100" s="21"/>
    </row>
    <row r="101" customFormat="false" ht="15.75" hidden="false" customHeight="false" outlineLevel="0" collapsed="false">
      <c r="A101" s="61"/>
      <c r="B101" s="29"/>
      <c r="C101" s="21"/>
      <c r="D101" s="21"/>
      <c r="E101" s="21"/>
      <c r="F101" s="21"/>
      <c r="G101" s="30"/>
      <c r="H101" s="31"/>
      <c r="I101" s="21"/>
      <c r="J101" s="21"/>
      <c r="K101" s="21"/>
      <c r="L101" s="21"/>
      <c r="M101" s="21"/>
      <c r="N101" s="30"/>
      <c r="O101" s="21"/>
      <c r="P101" s="21"/>
      <c r="Q101" s="21"/>
      <c r="R101" s="32"/>
      <c r="S101" s="32"/>
      <c r="T101" s="21"/>
      <c r="U101" s="21"/>
      <c r="V101" s="21"/>
      <c r="W101" s="21"/>
      <c r="X101" s="21"/>
    </row>
    <row r="102" customFormat="false" ht="15.75" hidden="false" customHeight="false" outlineLevel="0" collapsed="false">
      <c r="A102" s="61"/>
      <c r="B102" s="29"/>
      <c r="C102" s="21"/>
      <c r="D102" s="21"/>
      <c r="E102" s="21"/>
      <c r="F102" s="21"/>
      <c r="G102" s="30"/>
      <c r="H102" s="31"/>
      <c r="I102" s="21"/>
      <c r="J102" s="21"/>
      <c r="K102" s="21"/>
      <c r="L102" s="21"/>
      <c r="M102" s="21"/>
      <c r="N102" s="30"/>
      <c r="O102" s="21"/>
      <c r="P102" s="21"/>
      <c r="Q102" s="21"/>
      <c r="R102" s="32"/>
      <c r="S102" s="32"/>
      <c r="T102" s="21"/>
      <c r="U102" s="21"/>
      <c r="V102" s="21"/>
      <c r="W102" s="21"/>
      <c r="X102" s="21"/>
    </row>
    <row r="103" customFormat="false" ht="15.75" hidden="false" customHeight="false" outlineLevel="0" collapsed="false">
      <c r="A103" s="61"/>
      <c r="B103" s="29"/>
      <c r="C103" s="21"/>
      <c r="D103" s="21"/>
      <c r="E103" s="21"/>
      <c r="F103" s="21"/>
      <c r="G103" s="30"/>
      <c r="H103" s="31"/>
      <c r="I103" s="21"/>
      <c r="J103" s="21"/>
      <c r="K103" s="21"/>
      <c r="L103" s="21"/>
      <c r="M103" s="21"/>
      <c r="N103" s="30"/>
      <c r="O103" s="21"/>
      <c r="P103" s="21"/>
      <c r="Q103" s="21"/>
      <c r="R103" s="32"/>
      <c r="S103" s="32"/>
      <c r="T103" s="21"/>
      <c r="U103" s="21"/>
      <c r="V103" s="21"/>
      <c r="W103" s="21"/>
      <c r="X103" s="21"/>
    </row>
    <row r="104" customFormat="false" ht="15.75" hidden="false" customHeight="false" outlineLevel="0" collapsed="false">
      <c r="A104" s="61"/>
      <c r="B104" s="29"/>
      <c r="C104" s="21"/>
      <c r="D104" s="21"/>
      <c r="E104" s="21"/>
      <c r="F104" s="21"/>
      <c r="G104" s="30"/>
      <c r="H104" s="31"/>
      <c r="I104" s="21"/>
      <c r="J104" s="21"/>
      <c r="K104" s="21"/>
      <c r="L104" s="21"/>
      <c r="M104" s="21"/>
      <c r="N104" s="30"/>
      <c r="O104" s="21"/>
      <c r="P104" s="21"/>
      <c r="Q104" s="21"/>
      <c r="R104" s="32"/>
      <c r="S104" s="32"/>
      <c r="T104" s="21"/>
      <c r="U104" s="21"/>
      <c r="V104" s="21"/>
      <c r="W104" s="21"/>
      <c r="X104" s="21"/>
    </row>
    <row r="105" customFormat="false" ht="15.75" hidden="false" customHeight="false" outlineLevel="0" collapsed="false">
      <c r="A105" s="61"/>
      <c r="B105" s="29"/>
      <c r="C105" s="21"/>
      <c r="D105" s="21"/>
      <c r="E105" s="21"/>
      <c r="F105" s="21"/>
      <c r="G105" s="30"/>
      <c r="H105" s="31"/>
      <c r="I105" s="21"/>
      <c r="J105" s="21"/>
      <c r="K105" s="21"/>
      <c r="L105" s="21"/>
      <c r="M105" s="21"/>
      <c r="N105" s="30"/>
      <c r="O105" s="21"/>
      <c r="P105" s="21"/>
      <c r="Q105" s="21"/>
      <c r="R105" s="32"/>
      <c r="S105" s="32"/>
      <c r="T105" s="21"/>
      <c r="U105" s="21"/>
      <c r="V105" s="21"/>
      <c r="W105" s="21"/>
      <c r="X105" s="21"/>
    </row>
    <row r="106" customFormat="false" ht="15.75" hidden="false" customHeight="false" outlineLevel="0" collapsed="false">
      <c r="A106" s="61"/>
      <c r="B106" s="29"/>
      <c r="C106" s="21"/>
      <c r="D106" s="21"/>
      <c r="E106" s="21"/>
      <c r="F106" s="21"/>
      <c r="G106" s="30"/>
      <c r="H106" s="31"/>
      <c r="I106" s="21"/>
      <c r="J106" s="21"/>
      <c r="K106" s="21"/>
      <c r="L106" s="21"/>
      <c r="M106" s="21"/>
      <c r="N106" s="30"/>
      <c r="O106" s="21"/>
      <c r="P106" s="21"/>
      <c r="Q106" s="21"/>
      <c r="R106" s="32"/>
      <c r="S106" s="32"/>
      <c r="T106" s="21"/>
      <c r="U106" s="21"/>
      <c r="V106" s="21"/>
      <c r="W106" s="21"/>
      <c r="X106" s="21"/>
    </row>
    <row r="107" customFormat="false" ht="15.75" hidden="false" customHeight="false" outlineLevel="0" collapsed="false">
      <c r="A107" s="61"/>
      <c r="B107" s="29"/>
      <c r="C107" s="21"/>
      <c r="D107" s="21"/>
      <c r="E107" s="21"/>
      <c r="F107" s="21"/>
      <c r="G107" s="30"/>
      <c r="H107" s="31"/>
      <c r="I107" s="21"/>
      <c r="J107" s="21"/>
      <c r="K107" s="21"/>
      <c r="L107" s="21"/>
      <c r="M107" s="21"/>
      <c r="N107" s="30"/>
      <c r="O107" s="21"/>
      <c r="P107" s="21"/>
      <c r="Q107" s="21"/>
      <c r="R107" s="32"/>
      <c r="S107" s="32"/>
      <c r="T107" s="21"/>
      <c r="U107" s="21"/>
      <c r="V107" s="21"/>
      <c r="W107" s="21"/>
      <c r="X107" s="21"/>
    </row>
    <row r="108" customFormat="false" ht="15.75" hidden="false" customHeight="false" outlineLevel="0" collapsed="false">
      <c r="A108" s="61"/>
      <c r="B108" s="29"/>
      <c r="C108" s="21"/>
      <c r="D108" s="21"/>
      <c r="E108" s="21"/>
      <c r="F108" s="21"/>
      <c r="G108" s="30"/>
      <c r="H108" s="31"/>
      <c r="I108" s="21"/>
      <c r="J108" s="21"/>
      <c r="K108" s="21"/>
      <c r="L108" s="21"/>
      <c r="M108" s="21"/>
      <c r="N108" s="30"/>
      <c r="O108" s="21"/>
      <c r="P108" s="21"/>
      <c r="Q108" s="21"/>
      <c r="R108" s="32"/>
      <c r="S108" s="32"/>
      <c r="T108" s="21"/>
      <c r="U108" s="21"/>
      <c r="V108" s="21"/>
      <c r="W108" s="21"/>
      <c r="X108" s="21"/>
    </row>
    <row r="109" customFormat="false" ht="15.75" hidden="false" customHeight="false" outlineLevel="0" collapsed="false">
      <c r="A109" s="61"/>
      <c r="B109" s="29"/>
      <c r="C109" s="21"/>
      <c r="D109" s="21"/>
      <c r="E109" s="21"/>
      <c r="F109" s="21"/>
      <c r="G109" s="30"/>
      <c r="H109" s="31"/>
      <c r="I109" s="21"/>
      <c r="J109" s="21"/>
      <c r="K109" s="21"/>
      <c r="L109" s="21"/>
      <c r="M109" s="21"/>
      <c r="N109" s="30"/>
      <c r="O109" s="21"/>
      <c r="P109" s="21"/>
      <c r="Q109" s="21"/>
      <c r="R109" s="32"/>
      <c r="S109" s="32"/>
      <c r="T109" s="21"/>
      <c r="U109" s="21"/>
      <c r="V109" s="21"/>
      <c r="W109" s="21"/>
      <c r="X109" s="21"/>
    </row>
    <row r="110" customFormat="false" ht="15.75" hidden="false" customHeight="false" outlineLevel="0" collapsed="false">
      <c r="A110" s="61"/>
      <c r="B110" s="29"/>
      <c r="C110" s="21"/>
      <c r="D110" s="21"/>
      <c r="E110" s="21"/>
      <c r="F110" s="21"/>
      <c r="G110" s="30"/>
      <c r="H110" s="31"/>
      <c r="I110" s="21"/>
      <c r="J110" s="21"/>
      <c r="K110" s="21"/>
      <c r="L110" s="21"/>
      <c r="M110" s="21"/>
      <c r="N110" s="30"/>
      <c r="O110" s="21"/>
      <c r="P110" s="21"/>
      <c r="Q110" s="21"/>
      <c r="R110" s="32"/>
      <c r="S110" s="32"/>
      <c r="T110" s="21"/>
      <c r="U110" s="21"/>
      <c r="V110" s="21"/>
      <c r="W110" s="21"/>
      <c r="X110" s="21"/>
    </row>
    <row r="111" customFormat="false" ht="15.75" hidden="false" customHeight="false" outlineLevel="0" collapsed="false">
      <c r="A111" s="61"/>
      <c r="B111" s="29"/>
      <c r="C111" s="21"/>
      <c r="D111" s="21"/>
      <c r="E111" s="21"/>
      <c r="F111" s="21"/>
      <c r="G111" s="30"/>
      <c r="H111" s="31"/>
      <c r="I111" s="21"/>
      <c r="J111" s="21"/>
      <c r="K111" s="21"/>
      <c r="L111" s="21"/>
      <c r="M111" s="21"/>
      <c r="N111" s="30"/>
      <c r="O111" s="21"/>
      <c r="P111" s="21"/>
      <c r="Q111" s="21"/>
      <c r="R111" s="32"/>
      <c r="S111" s="32"/>
      <c r="T111" s="21"/>
      <c r="U111" s="21"/>
      <c r="V111" s="21"/>
      <c r="W111" s="21"/>
      <c r="X111" s="21"/>
    </row>
    <row r="112" customFormat="false" ht="15.75" hidden="false" customHeight="false" outlineLevel="0" collapsed="false">
      <c r="A112" s="61"/>
      <c r="B112" s="29"/>
      <c r="C112" s="21"/>
      <c r="D112" s="21"/>
      <c r="E112" s="21"/>
      <c r="F112" s="21"/>
      <c r="G112" s="30"/>
      <c r="H112" s="31"/>
      <c r="I112" s="21"/>
      <c r="J112" s="21"/>
      <c r="K112" s="21"/>
      <c r="L112" s="21"/>
      <c r="M112" s="21"/>
      <c r="N112" s="30"/>
      <c r="O112" s="21"/>
      <c r="P112" s="21"/>
      <c r="Q112" s="21"/>
      <c r="R112" s="32"/>
      <c r="S112" s="32"/>
      <c r="T112" s="21"/>
      <c r="U112" s="21"/>
      <c r="V112" s="21"/>
      <c r="W112" s="21"/>
      <c r="X112" s="21"/>
    </row>
    <row r="113" customFormat="false" ht="15.75" hidden="false" customHeight="false" outlineLevel="0" collapsed="false">
      <c r="A113" s="61"/>
      <c r="B113" s="29"/>
      <c r="C113" s="21"/>
      <c r="D113" s="21"/>
      <c r="E113" s="21"/>
      <c r="F113" s="21"/>
      <c r="G113" s="30"/>
      <c r="H113" s="31"/>
      <c r="I113" s="21"/>
      <c r="J113" s="21"/>
      <c r="K113" s="21"/>
      <c r="L113" s="21"/>
      <c r="M113" s="21"/>
      <c r="N113" s="30"/>
      <c r="O113" s="21"/>
      <c r="P113" s="21"/>
      <c r="Q113" s="21"/>
      <c r="R113" s="32"/>
      <c r="S113" s="32"/>
      <c r="T113" s="21"/>
      <c r="U113" s="21"/>
      <c r="V113" s="21"/>
      <c r="W113" s="21"/>
      <c r="X113" s="21"/>
    </row>
    <row r="114" customFormat="false" ht="15.75" hidden="false" customHeight="false" outlineLevel="0" collapsed="false">
      <c r="A114" s="61"/>
      <c r="B114" s="29"/>
      <c r="C114" s="21"/>
      <c r="D114" s="21"/>
      <c r="E114" s="21"/>
      <c r="F114" s="21"/>
      <c r="G114" s="30"/>
      <c r="H114" s="31"/>
      <c r="I114" s="21"/>
      <c r="J114" s="21"/>
      <c r="K114" s="21"/>
      <c r="L114" s="21"/>
      <c r="M114" s="21"/>
      <c r="N114" s="30"/>
      <c r="O114" s="21"/>
      <c r="P114" s="21"/>
      <c r="Q114" s="21"/>
      <c r="R114" s="32"/>
      <c r="S114" s="32"/>
      <c r="T114" s="21"/>
      <c r="U114" s="21"/>
      <c r="V114" s="21"/>
      <c r="W114" s="21"/>
      <c r="X114" s="21"/>
    </row>
    <row r="115" customFormat="false" ht="15.75" hidden="false" customHeight="false" outlineLevel="0" collapsed="false">
      <c r="A115" s="61"/>
      <c r="B115" s="29"/>
      <c r="C115" s="21"/>
      <c r="D115" s="21"/>
      <c r="E115" s="21"/>
      <c r="F115" s="21"/>
      <c r="G115" s="30"/>
      <c r="H115" s="31"/>
      <c r="I115" s="21"/>
      <c r="J115" s="21"/>
      <c r="K115" s="21"/>
      <c r="L115" s="21"/>
      <c r="M115" s="21"/>
      <c r="N115" s="30"/>
      <c r="O115" s="21"/>
      <c r="P115" s="21"/>
      <c r="Q115" s="21"/>
      <c r="R115" s="32"/>
      <c r="S115" s="32"/>
      <c r="T115" s="21"/>
      <c r="U115" s="21"/>
      <c r="V115" s="21"/>
      <c r="W115" s="21"/>
      <c r="X115" s="21"/>
    </row>
    <row r="116" customFormat="false" ht="15.75" hidden="false" customHeight="false" outlineLevel="0" collapsed="false">
      <c r="A116" s="61"/>
      <c r="B116" s="29"/>
      <c r="C116" s="21"/>
      <c r="D116" s="21"/>
      <c r="E116" s="21"/>
      <c r="F116" s="21"/>
      <c r="G116" s="30"/>
      <c r="H116" s="31"/>
      <c r="I116" s="21"/>
      <c r="J116" s="21"/>
      <c r="K116" s="21"/>
      <c r="L116" s="21"/>
      <c r="M116" s="21"/>
      <c r="N116" s="30"/>
      <c r="O116" s="21"/>
      <c r="P116" s="21"/>
      <c r="Q116" s="21"/>
      <c r="R116" s="32"/>
      <c r="S116" s="32"/>
      <c r="T116" s="21"/>
      <c r="U116" s="21"/>
      <c r="V116" s="21"/>
      <c r="W116" s="21"/>
      <c r="X116" s="21"/>
    </row>
    <row r="117" customFormat="false" ht="15.75" hidden="false" customHeight="false" outlineLevel="0" collapsed="false">
      <c r="A117" s="61"/>
      <c r="B117" s="29"/>
      <c r="C117" s="21"/>
      <c r="D117" s="21"/>
      <c r="E117" s="21"/>
      <c r="F117" s="21"/>
      <c r="G117" s="30"/>
      <c r="H117" s="31"/>
      <c r="I117" s="21"/>
      <c r="J117" s="21"/>
      <c r="K117" s="21"/>
      <c r="L117" s="21"/>
      <c r="M117" s="21"/>
      <c r="N117" s="30"/>
      <c r="O117" s="21"/>
      <c r="P117" s="21"/>
      <c r="Q117" s="21"/>
      <c r="R117" s="32"/>
      <c r="S117" s="32"/>
      <c r="T117" s="21"/>
      <c r="U117" s="21"/>
      <c r="V117" s="21"/>
      <c r="W117" s="21"/>
      <c r="X117" s="21"/>
    </row>
    <row r="118" customFormat="false" ht="15.75" hidden="false" customHeight="false" outlineLevel="0" collapsed="false">
      <c r="A118" s="61"/>
      <c r="B118" s="29"/>
      <c r="C118" s="21"/>
      <c r="D118" s="21"/>
      <c r="E118" s="21"/>
      <c r="F118" s="21"/>
      <c r="G118" s="30"/>
      <c r="H118" s="31"/>
      <c r="I118" s="21"/>
      <c r="J118" s="21"/>
      <c r="K118" s="21"/>
      <c r="L118" s="21"/>
      <c r="M118" s="21"/>
      <c r="N118" s="30"/>
      <c r="O118" s="21"/>
      <c r="P118" s="21"/>
      <c r="Q118" s="21"/>
      <c r="R118" s="32"/>
      <c r="S118" s="32"/>
      <c r="T118" s="21"/>
      <c r="U118" s="21"/>
      <c r="V118" s="21"/>
      <c r="W118" s="21"/>
      <c r="X118" s="21"/>
    </row>
    <row r="119" customFormat="false" ht="15.75" hidden="false" customHeight="false" outlineLevel="0" collapsed="false">
      <c r="A119" s="61"/>
      <c r="B119" s="29"/>
      <c r="C119" s="21"/>
      <c r="D119" s="21"/>
      <c r="E119" s="21"/>
      <c r="F119" s="21"/>
      <c r="G119" s="30"/>
      <c r="H119" s="31"/>
      <c r="I119" s="21"/>
      <c r="J119" s="21"/>
      <c r="K119" s="21"/>
      <c r="L119" s="21"/>
      <c r="M119" s="21"/>
      <c r="N119" s="30"/>
      <c r="O119" s="21"/>
      <c r="P119" s="21"/>
      <c r="Q119" s="21"/>
      <c r="R119" s="32"/>
      <c r="S119" s="32"/>
      <c r="T119" s="21"/>
      <c r="U119" s="21"/>
      <c r="V119" s="21"/>
      <c r="W119" s="21"/>
      <c r="X119" s="21"/>
    </row>
    <row r="120" customFormat="false" ht="15.75" hidden="false" customHeight="false" outlineLevel="0" collapsed="false">
      <c r="A120" s="61"/>
      <c r="B120" s="29"/>
      <c r="C120" s="21"/>
      <c r="D120" s="21"/>
      <c r="E120" s="21"/>
      <c r="F120" s="21"/>
      <c r="G120" s="30"/>
      <c r="H120" s="31"/>
      <c r="I120" s="21"/>
      <c r="J120" s="21"/>
      <c r="K120" s="21"/>
      <c r="L120" s="21"/>
      <c r="M120" s="21"/>
      <c r="N120" s="30"/>
      <c r="O120" s="21"/>
      <c r="P120" s="21"/>
      <c r="Q120" s="21"/>
      <c r="R120" s="32"/>
      <c r="S120" s="32"/>
      <c r="T120" s="21"/>
      <c r="U120" s="21"/>
      <c r="V120" s="21"/>
      <c r="W120" s="21"/>
      <c r="X120" s="21"/>
    </row>
    <row r="121" customFormat="false" ht="15.75" hidden="false" customHeight="false" outlineLevel="0" collapsed="false">
      <c r="A121" s="61"/>
      <c r="B121" s="29"/>
      <c r="C121" s="21"/>
      <c r="D121" s="21"/>
      <c r="E121" s="21"/>
      <c r="F121" s="21"/>
      <c r="G121" s="30"/>
      <c r="H121" s="31"/>
      <c r="I121" s="21"/>
      <c r="J121" s="21"/>
      <c r="K121" s="21"/>
      <c r="L121" s="21"/>
      <c r="M121" s="21"/>
      <c r="N121" s="30"/>
      <c r="O121" s="21"/>
      <c r="P121" s="21"/>
      <c r="Q121" s="21"/>
      <c r="R121" s="32"/>
      <c r="S121" s="32"/>
      <c r="T121" s="21"/>
      <c r="U121" s="21"/>
      <c r="V121" s="21"/>
      <c r="W121" s="21"/>
      <c r="X121" s="21"/>
    </row>
    <row r="122" customFormat="false" ht="15.75" hidden="false" customHeight="false" outlineLevel="0" collapsed="false">
      <c r="A122" s="61"/>
      <c r="B122" s="29"/>
      <c r="C122" s="21"/>
      <c r="D122" s="21"/>
      <c r="E122" s="21"/>
      <c r="F122" s="21"/>
      <c r="G122" s="30"/>
      <c r="H122" s="31"/>
      <c r="I122" s="21"/>
      <c r="J122" s="21"/>
      <c r="K122" s="21"/>
      <c r="L122" s="21"/>
      <c r="M122" s="21"/>
      <c r="N122" s="30"/>
      <c r="O122" s="21"/>
      <c r="P122" s="21"/>
      <c r="Q122" s="21"/>
      <c r="R122" s="32"/>
      <c r="S122" s="32"/>
      <c r="T122" s="21"/>
      <c r="U122" s="21"/>
      <c r="V122" s="21"/>
      <c r="W122" s="21"/>
      <c r="X122" s="21"/>
    </row>
    <row r="123" customFormat="false" ht="15.75" hidden="false" customHeight="false" outlineLevel="0" collapsed="false">
      <c r="A123" s="61"/>
      <c r="B123" s="29"/>
      <c r="C123" s="21"/>
      <c r="D123" s="21"/>
      <c r="E123" s="21"/>
      <c r="F123" s="21"/>
      <c r="G123" s="30"/>
      <c r="H123" s="31"/>
      <c r="I123" s="21"/>
      <c r="J123" s="21"/>
      <c r="K123" s="21"/>
      <c r="L123" s="21"/>
      <c r="M123" s="21"/>
      <c r="N123" s="30"/>
      <c r="O123" s="21"/>
      <c r="P123" s="21"/>
      <c r="Q123" s="21"/>
      <c r="R123" s="32"/>
      <c r="S123" s="32"/>
      <c r="T123" s="21"/>
      <c r="U123" s="21"/>
      <c r="V123" s="21"/>
      <c r="W123" s="21"/>
      <c r="X123" s="21"/>
    </row>
    <row r="124" customFormat="false" ht="15.75" hidden="false" customHeight="false" outlineLevel="0" collapsed="false">
      <c r="A124" s="61"/>
      <c r="B124" s="29"/>
      <c r="C124" s="21"/>
      <c r="D124" s="21"/>
      <c r="E124" s="21"/>
      <c r="F124" s="21"/>
      <c r="G124" s="30"/>
      <c r="H124" s="31"/>
      <c r="I124" s="21"/>
      <c r="J124" s="21"/>
      <c r="K124" s="21"/>
      <c r="L124" s="21"/>
      <c r="M124" s="21"/>
      <c r="N124" s="30"/>
      <c r="O124" s="21"/>
      <c r="P124" s="21"/>
      <c r="Q124" s="21"/>
      <c r="R124" s="32"/>
      <c r="S124" s="32"/>
      <c r="T124" s="21"/>
      <c r="U124" s="21"/>
      <c r="V124" s="21"/>
      <c r="W124" s="21"/>
      <c r="X124" s="21"/>
    </row>
    <row r="125" customFormat="false" ht="15.75" hidden="false" customHeight="false" outlineLevel="0" collapsed="false">
      <c r="A125" s="61"/>
      <c r="B125" s="29"/>
      <c r="C125" s="21"/>
      <c r="D125" s="21"/>
      <c r="E125" s="21"/>
      <c r="F125" s="21"/>
      <c r="G125" s="30"/>
      <c r="H125" s="31"/>
      <c r="I125" s="21"/>
      <c r="J125" s="21"/>
      <c r="K125" s="21"/>
      <c r="L125" s="21"/>
      <c r="M125" s="21"/>
      <c r="N125" s="30"/>
      <c r="O125" s="21"/>
      <c r="P125" s="21"/>
      <c r="Q125" s="21"/>
      <c r="R125" s="32"/>
      <c r="S125" s="32"/>
      <c r="T125" s="21"/>
      <c r="U125" s="21"/>
      <c r="V125" s="21"/>
      <c r="W125" s="21"/>
      <c r="X125" s="21"/>
    </row>
    <row r="126" customFormat="false" ht="15.75" hidden="false" customHeight="false" outlineLevel="0" collapsed="false">
      <c r="A126" s="61"/>
      <c r="B126" s="29"/>
      <c r="C126" s="21"/>
      <c r="D126" s="21"/>
      <c r="E126" s="21"/>
      <c r="F126" s="21"/>
      <c r="G126" s="30"/>
      <c r="H126" s="31"/>
      <c r="I126" s="21"/>
      <c r="J126" s="21"/>
      <c r="K126" s="21"/>
      <c r="L126" s="21"/>
      <c r="M126" s="21"/>
      <c r="N126" s="30"/>
      <c r="O126" s="21"/>
      <c r="P126" s="21"/>
      <c r="Q126" s="21"/>
      <c r="R126" s="32"/>
      <c r="S126" s="32"/>
      <c r="T126" s="21"/>
      <c r="U126" s="21"/>
      <c r="V126" s="21"/>
      <c r="W126" s="21"/>
      <c r="X126" s="21"/>
    </row>
    <row r="127" customFormat="false" ht="15.75" hidden="false" customHeight="false" outlineLevel="0" collapsed="false">
      <c r="A127" s="61"/>
      <c r="B127" s="29"/>
      <c r="C127" s="21"/>
      <c r="D127" s="21"/>
      <c r="E127" s="21"/>
      <c r="F127" s="21"/>
      <c r="G127" s="30"/>
      <c r="H127" s="31"/>
      <c r="I127" s="21"/>
      <c r="J127" s="21"/>
      <c r="K127" s="21"/>
      <c r="L127" s="21"/>
      <c r="M127" s="21"/>
      <c r="N127" s="30"/>
      <c r="O127" s="21"/>
      <c r="P127" s="21"/>
      <c r="Q127" s="21"/>
      <c r="R127" s="32"/>
      <c r="S127" s="32"/>
      <c r="T127" s="21"/>
      <c r="U127" s="21"/>
      <c r="V127" s="21"/>
      <c r="W127" s="21"/>
      <c r="X127" s="21"/>
    </row>
    <row r="128" customFormat="false" ht="15.75" hidden="false" customHeight="false" outlineLevel="0" collapsed="false">
      <c r="A128" s="61"/>
      <c r="B128" s="29"/>
      <c r="C128" s="21"/>
      <c r="D128" s="21"/>
      <c r="E128" s="21"/>
      <c r="F128" s="21"/>
      <c r="G128" s="30"/>
      <c r="H128" s="31"/>
      <c r="I128" s="21"/>
      <c r="J128" s="21"/>
      <c r="K128" s="21"/>
      <c r="L128" s="21"/>
      <c r="M128" s="21"/>
      <c r="N128" s="30"/>
      <c r="O128" s="21"/>
      <c r="P128" s="21"/>
      <c r="Q128" s="21"/>
      <c r="R128" s="32"/>
      <c r="S128" s="32"/>
      <c r="T128" s="21"/>
      <c r="U128" s="21"/>
      <c r="V128" s="21"/>
      <c r="W128" s="21"/>
      <c r="X128" s="21"/>
    </row>
    <row r="129" customFormat="false" ht="15.75" hidden="false" customHeight="false" outlineLevel="0" collapsed="false">
      <c r="A129" s="61"/>
      <c r="B129" s="29"/>
      <c r="C129" s="21"/>
      <c r="D129" s="21"/>
      <c r="E129" s="21"/>
      <c r="F129" s="21"/>
      <c r="G129" s="30"/>
      <c r="H129" s="31"/>
      <c r="I129" s="21"/>
      <c r="J129" s="21"/>
      <c r="K129" s="21"/>
      <c r="L129" s="21"/>
      <c r="M129" s="21"/>
      <c r="N129" s="30"/>
      <c r="O129" s="21"/>
      <c r="P129" s="21"/>
      <c r="Q129" s="21"/>
      <c r="R129" s="32"/>
      <c r="S129" s="32"/>
      <c r="T129" s="21"/>
      <c r="U129" s="21"/>
      <c r="V129" s="21"/>
      <c r="W129" s="21"/>
      <c r="X129" s="21"/>
    </row>
    <row r="130" customFormat="false" ht="15.75" hidden="false" customHeight="false" outlineLevel="0" collapsed="false">
      <c r="A130" s="61"/>
      <c r="B130" s="29"/>
      <c r="C130" s="21"/>
      <c r="D130" s="21"/>
      <c r="E130" s="21"/>
      <c r="F130" s="21"/>
      <c r="G130" s="30"/>
      <c r="H130" s="31"/>
      <c r="I130" s="21"/>
      <c r="J130" s="21"/>
      <c r="K130" s="21"/>
      <c r="L130" s="21"/>
      <c r="M130" s="21"/>
      <c r="N130" s="30"/>
      <c r="O130" s="21"/>
      <c r="P130" s="21"/>
      <c r="Q130" s="21"/>
      <c r="R130" s="32"/>
      <c r="S130" s="32"/>
      <c r="T130" s="21"/>
      <c r="U130" s="21"/>
      <c r="V130" s="21"/>
      <c r="W130" s="21"/>
      <c r="X130" s="21"/>
    </row>
    <row r="131" customFormat="false" ht="15.75" hidden="false" customHeight="false" outlineLevel="0" collapsed="false">
      <c r="A131" s="61"/>
      <c r="B131" s="29"/>
      <c r="C131" s="21"/>
      <c r="D131" s="21"/>
      <c r="E131" s="21"/>
      <c r="F131" s="21"/>
      <c r="G131" s="30"/>
      <c r="H131" s="31"/>
      <c r="I131" s="21"/>
      <c r="J131" s="21"/>
      <c r="K131" s="21"/>
      <c r="L131" s="21"/>
      <c r="M131" s="21"/>
      <c r="N131" s="30"/>
      <c r="O131" s="21"/>
      <c r="P131" s="21"/>
      <c r="Q131" s="21"/>
      <c r="R131" s="32"/>
      <c r="S131" s="32"/>
      <c r="T131" s="21"/>
      <c r="U131" s="21"/>
      <c r="V131" s="21"/>
      <c r="W131" s="21"/>
      <c r="X131" s="21"/>
    </row>
    <row r="132" customFormat="false" ht="15.75" hidden="false" customHeight="false" outlineLevel="0" collapsed="false">
      <c r="A132" s="61"/>
      <c r="B132" s="29"/>
      <c r="C132" s="21"/>
      <c r="D132" s="21"/>
      <c r="E132" s="21"/>
      <c r="F132" s="21"/>
      <c r="G132" s="30"/>
      <c r="H132" s="31"/>
      <c r="I132" s="21"/>
      <c r="J132" s="21"/>
      <c r="K132" s="21"/>
      <c r="L132" s="21"/>
      <c r="M132" s="21"/>
      <c r="N132" s="30"/>
      <c r="O132" s="21"/>
      <c r="P132" s="21"/>
      <c r="Q132" s="21"/>
      <c r="R132" s="32"/>
      <c r="S132" s="32"/>
      <c r="T132" s="21"/>
      <c r="U132" s="21"/>
      <c r="V132" s="21"/>
      <c r="W132" s="21"/>
      <c r="X132" s="21"/>
    </row>
    <row r="133" customFormat="false" ht="15.75" hidden="false" customHeight="false" outlineLevel="0" collapsed="false">
      <c r="A133" s="61"/>
      <c r="B133" s="29"/>
      <c r="C133" s="21"/>
      <c r="D133" s="21"/>
      <c r="E133" s="21"/>
      <c r="F133" s="21"/>
      <c r="G133" s="30"/>
      <c r="H133" s="31"/>
      <c r="I133" s="21"/>
      <c r="J133" s="21"/>
      <c r="K133" s="21"/>
      <c r="L133" s="21"/>
      <c r="M133" s="21"/>
      <c r="N133" s="30"/>
      <c r="O133" s="21"/>
      <c r="P133" s="21"/>
      <c r="Q133" s="21"/>
      <c r="R133" s="32"/>
      <c r="S133" s="32"/>
      <c r="T133" s="21"/>
      <c r="U133" s="21"/>
      <c r="V133" s="21"/>
      <c r="W133" s="21"/>
      <c r="X133" s="21"/>
    </row>
    <row r="134" customFormat="false" ht="15.75" hidden="false" customHeight="false" outlineLevel="0" collapsed="false">
      <c r="A134" s="61"/>
      <c r="B134" s="29"/>
      <c r="C134" s="21"/>
      <c r="D134" s="21"/>
      <c r="E134" s="21"/>
      <c r="F134" s="21"/>
      <c r="G134" s="30"/>
      <c r="H134" s="31"/>
      <c r="I134" s="21"/>
      <c r="J134" s="21"/>
      <c r="K134" s="21"/>
      <c r="L134" s="21"/>
      <c r="M134" s="21"/>
      <c r="N134" s="30"/>
      <c r="O134" s="21"/>
      <c r="P134" s="21"/>
      <c r="Q134" s="21"/>
      <c r="R134" s="32"/>
      <c r="S134" s="32"/>
      <c r="T134" s="21"/>
      <c r="U134" s="21"/>
      <c r="V134" s="21"/>
      <c r="W134" s="21"/>
      <c r="X134" s="21"/>
    </row>
    <row r="135" customFormat="false" ht="15.75" hidden="false" customHeight="false" outlineLevel="0" collapsed="false">
      <c r="A135" s="61"/>
      <c r="B135" s="29"/>
      <c r="C135" s="21"/>
      <c r="D135" s="21"/>
      <c r="E135" s="21"/>
      <c r="F135" s="21"/>
      <c r="G135" s="30"/>
      <c r="H135" s="31"/>
      <c r="I135" s="21"/>
      <c r="J135" s="21"/>
      <c r="K135" s="21"/>
      <c r="L135" s="21"/>
      <c r="M135" s="21"/>
      <c r="N135" s="30"/>
      <c r="O135" s="21"/>
      <c r="P135" s="21"/>
      <c r="Q135" s="21"/>
      <c r="R135" s="32"/>
      <c r="S135" s="32"/>
      <c r="T135" s="21"/>
      <c r="U135" s="21"/>
      <c r="V135" s="21"/>
      <c r="W135" s="21"/>
      <c r="X135" s="21"/>
    </row>
    <row r="136" customFormat="false" ht="15.75" hidden="false" customHeight="false" outlineLevel="0" collapsed="false">
      <c r="A136" s="61"/>
      <c r="B136" s="29"/>
      <c r="C136" s="21"/>
      <c r="D136" s="21"/>
      <c r="E136" s="21"/>
      <c r="F136" s="21"/>
      <c r="G136" s="30"/>
      <c r="H136" s="31"/>
      <c r="I136" s="21"/>
      <c r="J136" s="21"/>
      <c r="K136" s="21"/>
      <c r="L136" s="21"/>
      <c r="M136" s="21"/>
      <c r="N136" s="30"/>
      <c r="O136" s="21"/>
      <c r="P136" s="21"/>
      <c r="Q136" s="21"/>
      <c r="R136" s="32"/>
      <c r="S136" s="32"/>
      <c r="T136" s="21"/>
      <c r="U136" s="21"/>
      <c r="V136" s="21"/>
      <c r="W136" s="21"/>
      <c r="X136" s="21"/>
    </row>
    <row r="137" customFormat="false" ht="15.75" hidden="false" customHeight="false" outlineLevel="0" collapsed="false">
      <c r="A137" s="61"/>
      <c r="B137" s="29"/>
      <c r="C137" s="21"/>
      <c r="D137" s="21"/>
      <c r="E137" s="21"/>
      <c r="F137" s="21"/>
      <c r="G137" s="30"/>
      <c r="H137" s="31"/>
      <c r="I137" s="21"/>
      <c r="J137" s="21"/>
      <c r="K137" s="21"/>
      <c r="L137" s="21"/>
      <c r="M137" s="21"/>
      <c r="N137" s="30"/>
      <c r="O137" s="21"/>
      <c r="P137" s="21"/>
      <c r="Q137" s="21"/>
      <c r="R137" s="32"/>
      <c r="S137" s="32"/>
      <c r="T137" s="21"/>
      <c r="U137" s="21"/>
      <c r="V137" s="21"/>
      <c r="W137" s="21"/>
      <c r="X137" s="21"/>
    </row>
    <row r="138" customFormat="false" ht="15.75" hidden="false" customHeight="false" outlineLevel="0" collapsed="false">
      <c r="A138" s="61"/>
      <c r="B138" s="29"/>
      <c r="C138" s="21"/>
      <c r="D138" s="21"/>
      <c r="E138" s="21"/>
      <c r="F138" s="21"/>
      <c r="G138" s="30"/>
      <c r="H138" s="31"/>
      <c r="I138" s="21"/>
      <c r="J138" s="21"/>
      <c r="K138" s="21"/>
      <c r="L138" s="21"/>
      <c r="M138" s="21"/>
      <c r="N138" s="30"/>
      <c r="O138" s="21"/>
      <c r="P138" s="21"/>
      <c r="Q138" s="21"/>
      <c r="R138" s="32"/>
      <c r="S138" s="32"/>
      <c r="T138" s="21"/>
      <c r="U138" s="21"/>
      <c r="V138" s="21"/>
      <c r="W138" s="21"/>
      <c r="X138" s="21"/>
    </row>
    <row r="139" customFormat="false" ht="15.75" hidden="false" customHeight="false" outlineLevel="0" collapsed="false">
      <c r="A139" s="61"/>
      <c r="B139" s="29"/>
      <c r="C139" s="21"/>
      <c r="D139" s="21"/>
      <c r="E139" s="21"/>
      <c r="F139" s="21"/>
      <c r="G139" s="30"/>
      <c r="H139" s="31"/>
      <c r="I139" s="21"/>
      <c r="J139" s="21"/>
      <c r="K139" s="21"/>
      <c r="L139" s="21"/>
      <c r="M139" s="21"/>
      <c r="N139" s="30"/>
      <c r="O139" s="21"/>
      <c r="P139" s="21"/>
      <c r="Q139" s="21"/>
      <c r="R139" s="32"/>
      <c r="S139" s="32"/>
      <c r="T139" s="21"/>
      <c r="U139" s="21"/>
      <c r="V139" s="21"/>
      <c r="W139" s="21"/>
      <c r="X139" s="21"/>
    </row>
    <row r="140" customFormat="false" ht="15.75" hidden="false" customHeight="false" outlineLevel="0" collapsed="false">
      <c r="A140" s="61"/>
      <c r="B140" s="29"/>
      <c r="C140" s="21"/>
      <c r="D140" s="21"/>
      <c r="E140" s="21"/>
      <c r="F140" s="21"/>
      <c r="G140" s="30"/>
      <c r="H140" s="31"/>
      <c r="I140" s="21"/>
      <c r="J140" s="21"/>
      <c r="K140" s="21"/>
      <c r="L140" s="21"/>
      <c r="M140" s="21"/>
      <c r="N140" s="30"/>
      <c r="O140" s="21"/>
      <c r="P140" s="21"/>
      <c r="Q140" s="21"/>
      <c r="R140" s="32"/>
      <c r="S140" s="32"/>
      <c r="T140" s="21"/>
      <c r="U140" s="21"/>
      <c r="V140" s="21"/>
      <c r="W140" s="21"/>
      <c r="X140" s="21"/>
    </row>
    <row r="141" customFormat="false" ht="15.75" hidden="false" customHeight="false" outlineLevel="0" collapsed="false">
      <c r="A141" s="61"/>
      <c r="B141" s="29"/>
      <c r="C141" s="21"/>
      <c r="D141" s="21"/>
      <c r="E141" s="21"/>
      <c r="F141" s="21"/>
      <c r="G141" s="30"/>
      <c r="H141" s="31"/>
      <c r="I141" s="21"/>
      <c r="J141" s="21"/>
      <c r="K141" s="21"/>
      <c r="L141" s="21"/>
      <c r="M141" s="21"/>
      <c r="N141" s="30"/>
      <c r="O141" s="21"/>
      <c r="P141" s="21"/>
      <c r="Q141" s="21"/>
      <c r="R141" s="32"/>
      <c r="S141" s="32"/>
      <c r="T141" s="21"/>
      <c r="U141" s="21"/>
      <c r="V141" s="21"/>
      <c r="W141" s="21"/>
      <c r="X141" s="21"/>
    </row>
    <row r="142" customFormat="false" ht="15.75" hidden="false" customHeight="false" outlineLevel="0" collapsed="false">
      <c r="A142" s="61"/>
      <c r="B142" s="29"/>
      <c r="C142" s="21"/>
      <c r="D142" s="21"/>
      <c r="E142" s="21"/>
      <c r="F142" s="21"/>
      <c r="G142" s="30"/>
      <c r="H142" s="31"/>
      <c r="I142" s="21"/>
      <c r="J142" s="21"/>
      <c r="K142" s="21"/>
      <c r="L142" s="21"/>
      <c r="M142" s="21"/>
      <c r="N142" s="30"/>
      <c r="O142" s="21"/>
      <c r="P142" s="21"/>
      <c r="Q142" s="21"/>
      <c r="R142" s="32"/>
      <c r="S142" s="32"/>
      <c r="T142" s="21"/>
      <c r="U142" s="21"/>
      <c r="V142" s="21"/>
      <c r="W142" s="21"/>
      <c r="X142" s="21"/>
    </row>
    <row r="143" customFormat="false" ht="15.75" hidden="false" customHeight="false" outlineLevel="0" collapsed="false">
      <c r="A143" s="61"/>
      <c r="B143" s="29"/>
      <c r="C143" s="21"/>
      <c r="D143" s="21"/>
      <c r="E143" s="21"/>
      <c r="F143" s="21"/>
      <c r="G143" s="30"/>
      <c r="H143" s="31"/>
      <c r="I143" s="21"/>
      <c r="J143" s="21"/>
      <c r="K143" s="21"/>
      <c r="L143" s="21"/>
      <c r="M143" s="21"/>
      <c r="N143" s="30"/>
      <c r="O143" s="21"/>
      <c r="P143" s="21"/>
      <c r="Q143" s="21"/>
      <c r="R143" s="32"/>
      <c r="S143" s="32"/>
      <c r="T143" s="21"/>
      <c r="U143" s="21"/>
      <c r="V143" s="21"/>
      <c r="W143" s="21"/>
      <c r="X143" s="21"/>
    </row>
    <row r="144" customFormat="false" ht="15.75" hidden="false" customHeight="false" outlineLevel="0" collapsed="false">
      <c r="A144" s="61"/>
      <c r="B144" s="29"/>
      <c r="C144" s="21"/>
      <c r="D144" s="21"/>
      <c r="E144" s="21"/>
      <c r="F144" s="21"/>
      <c r="G144" s="30"/>
      <c r="H144" s="31"/>
      <c r="I144" s="21"/>
      <c r="J144" s="21"/>
      <c r="K144" s="21"/>
      <c r="L144" s="21"/>
      <c r="M144" s="21"/>
      <c r="N144" s="30"/>
      <c r="O144" s="21"/>
      <c r="P144" s="21"/>
      <c r="Q144" s="21"/>
      <c r="R144" s="32"/>
      <c r="S144" s="32"/>
      <c r="T144" s="21"/>
      <c r="U144" s="21"/>
      <c r="V144" s="21"/>
      <c r="W144" s="21"/>
      <c r="X144" s="21"/>
    </row>
    <row r="145" customFormat="false" ht="15.75" hidden="false" customHeight="false" outlineLevel="0" collapsed="false">
      <c r="A145" s="61"/>
      <c r="B145" s="29"/>
      <c r="C145" s="21"/>
      <c r="D145" s="21"/>
      <c r="E145" s="21"/>
      <c r="F145" s="21"/>
      <c r="G145" s="30"/>
      <c r="H145" s="31"/>
      <c r="I145" s="21"/>
      <c r="J145" s="21"/>
      <c r="K145" s="21"/>
      <c r="L145" s="21"/>
      <c r="M145" s="21"/>
      <c r="N145" s="30"/>
      <c r="O145" s="21"/>
      <c r="P145" s="21"/>
      <c r="Q145" s="21"/>
      <c r="R145" s="32"/>
      <c r="S145" s="32"/>
      <c r="T145" s="21"/>
      <c r="U145" s="21"/>
      <c r="V145" s="21"/>
      <c r="W145" s="21"/>
      <c r="X145" s="21"/>
    </row>
    <row r="146" customFormat="false" ht="15.75" hidden="false" customHeight="false" outlineLevel="0" collapsed="false">
      <c r="A146" s="61"/>
      <c r="B146" s="29"/>
      <c r="C146" s="21"/>
      <c r="D146" s="21"/>
      <c r="E146" s="21"/>
      <c r="F146" s="21"/>
      <c r="G146" s="30"/>
      <c r="H146" s="31"/>
      <c r="I146" s="21"/>
      <c r="J146" s="21"/>
      <c r="K146" s="21"/>
      <c r="L146" s="21"/>
      <c r="M146" s="21"/>
      <c r="N146" s="30"/>
      <c r="O146" s="21"/>
      <c r="P146" s="21"/>
      <c r="Q146" s="21"/>
      <c r="R146" s="32"/>
      <c r="S146" s="32"/>
      <c r="T146" s="21"/>
      <c r="U146" s="21"/>
      <c r="V146" s="21"/>
      <c r="W146" s="21"/>
      <c r="X146" s="21"/>
    </row>
    <row r="147" customFormat="false" ht="15.75" hidden="false" customHeight="false" outlineLevel="0" collapsed="false">
      <c r="A147" s="61"/>
      <c r="B147" s="29"/>
      <c r="C147" s="21"/>
      <c r="D147" s="21"/>
      <c r="E147" s="21"/>
      <c r="F147" s="21"/>
      <c r="G147" s="30"/>
      <c r="H147" s="31"/>
      <c r="I147" s="21"/>
      <c r="J147" s="21"/>
      <c r="K147" s="21"/>
      <c r="L147" s="21"/>
      <c r="M147" s="21"/>
      <c r="N147" s="30"/>
      <c r="O147" s="21"/>
      <c r="P147" s="21"/>
      <c r="Q147" s="21"/>
      <c r="R147" s="32"/>
      <c r="S147" s="32"/>
      <c r="T147" s="21"/>
      <c r="U147" s="21"/>
      <c r="V147" s="21"/>
      <c r="W147" s="21"/>
      <c r="X147" s="21"/>
    </row>
    <row r="148" customFormat="false" ht="15.75" hidden="false" customHeight="false" outlineLevel="0" collapsed="false">
      <c r="A148" s="61"/>
      <c r="B148" s="29"/>
      <c r="C148" s="21"/>
      <c r="D148" s="21"/>
      <c r="E148" s="21"/>
      <c r="F148" s="21"/>
      <c r="G148" s="30"/>
      <c r="H148" s="31"/>
      <c r="I148" s="21"/>
      <c r="J148" s="21"/>
      <c r="K148" s="21"/>
      <c r="L148" s="21"/>
      <c r="M148" s="21"/>
      <c r="N148" s="30"/>
      <c r="O148" s="21"/>
      <c r="P148" s="21"/>
      <c r="Q148" s="21"/>
      <c r="R148" s="32"/>
      <c r="S148" s="32"/>
      <c r="T148" s="21"/>
      <c r="U148" s="21"/>
      <c r="V148" s="21"/>
      <c r="W148" s="21"/>
      <c r="X148" s="21"/>
    </row>
    <row r="149" customFormat="false" ht="15.75" hidden="false" customHeight="false" outlineLevel="0" collapsed="false">
      <c r="A149" s="61"/>
      <c r="B149" s="29"/>
      <c r="C149" s="21"/>
      <c r="D149" s="21"/>
      <c r="E149" s="21"/>
      <c r="F149" s="21"/>
      <c r="G149" s="30"/>
      <c r="H149" s="31"/>
      <c r="I149" s="21"/>
      <c r="J149" s="21"/>
      <c r="K149" s="21"/>
      <c r="L149" s="21"/>
      <c r="M149" s="21"/>
      <c r="N149" s="30"/>
      <c r="O149" s="21"/>
      <c r="P149" s="21"/>
      <c r="Q149" s="21"/>
      <c r="R149" s="32"/>
      <c r="S149" s="32"/>
      <c r="T149" s="21"/>
      <c r="U149" s="21"/>
      <c r="V149" s="21"/>
      <c r="W149" s="21"/>
      <c r="X149" s="21"/>
    </row>
    <row r="150" customFormat="false" ht="15.75" hidden="false" customHeight="false" outlineLevel="0" collapsed="false">
      <c r="A150" s="61"/>
      <c r="B150" s="29"/>
      <c r="C150" s="21"/>
      <c r="D150" s="21"/>
      <c r="E150" s="21"/>
      <c r="F150" s="21"/>
      <c r="G150" s="30"/>
      <c r="H150" s="31"/>
      <c r="I150" s="21"/>
      <c r="J150" s="21"/>
      <c r="K150" s="21"/>
      <c r="L150" s="21"/>
      <c r="M150" s="21"/>
      <c r="N150" s="30"/>
      <c r="O150" s="21"/>
      <c r="P150" s="21"/>
      <c r="Q150" s="21"/>
      <c r="R150" s="32"/>
      <c r="S150" s="32"/>
      <c r="T150" s="21"/>
      <c r="U150" s="21"/>
      <c r="V150" s="21"/>
      <c r="W150" s="21"/>
      <c r="X150" s="21"/>
    </row>
    <row r="151" customFormat="false" ht="15.75" hidden="false" customHeight="false" outlineLevel="0" collapsed="false">
      <c r="A151" s="61"/>
      <c r="B151" s="29"/>
      <c r="C151" s="21"/>
      <c r="D151" s="21"/>
      <c r="E151" s="21"/>
      <c r="F151" s="21"/>
      <c r="G151" s="30"/>
      <c r="H151" s="31"/>
      <c r="I151" s="21"/>
      <c r="J151" s="21"/>
      <c r="K151" s="21"/>
      <c r="L151" s="21"/>
      <c r="M151" s="21"/>
      <c r="N151" s="30"/>
      <c r="O151" s="21"/>
      <c r="P151" s="21"/>
      <c r="Q151" s="21"/>
      <c r="R151" s="32"/>
      <c r="S151" s="32"/>
      <c r="T151" s="21"/>
      <c r="U151" s="21"/>
      <c r="V151" s="21"/>
      <c r="W151" s="21"/>
      <c r="X151" s="21"/>
    </row>
    <row r="152" customFormat="false" ht="15.75" hidden="false" customHeight="false" outlineLevel="0" collapsed="false">
      <c r="A152" s="61"/>
      <c r="B152" s="29"/>
      <c r="C152" s="21"/>
      <c r="D152" s="21"/>
      <c r="E152" s="21"/>
      <c r="F152" s="21"/>
      <c r="G152" s="30"/>
      <c r="H152" s="31"/>
      <c r="I152" s="21"/>
      <c r="J152" s="21"/>
      <c r="K152" s="21"/>
      <c r="L152" s="21"/>
      <c r="M152" s="21"/>
      <c r="N152" s="30"/>
      <c r="O152" s="21"/>
      <c r="P152" s="21"/>
      <c r="Q152" s="21"/>
      <c r="R152" s="32"/>
      <c r="S152" s="32"/>
      <c r="T152" s="21"/>
      <c r="U152" s="21"/>
      <c r="V152" s="21"/>
      <c r="W152" s="21"/>
      <c r="X152" s="21"/>
    </row>
    <row r="153" customFormat="false" ht="15.75" hidden="false" customHeight="false" outlineLevel="0" collapsed="false">
      <c r="A153" s="61"/>
      <c r="B153" s="29"/>
      <c r="C153" s="21"/>
      <c r="D153" s="21"/>
      <c r="E153" s="21"/>
      <c r="F153" s="21"/>
      <c r="G153" s="30"/>
      <c r="H153" s="31"/>
      <c r="I153" s="21"/>
      <c r="J153" s="21"/>
      <c r="K153" s="21"/>
      <c r="L153" s="21"/>
      <c r="M153" s="21"/>
      <c r="N153" s="30"/>
      <c r="O153" s="21"/>
      <c r="P153" s="21"/>
      <c r="Q153" s="21"/>
      <c r="R153" s="32"/>
      <c r="S153" s="32"/>
      <c r="T153" s="21"/>
      <c r="U153" s="21"/>
      <c r="V153" s="21"/>
      <c r="W153" s="21"/>
      <c r="X153" s="21"/>
    </row>
    <row r="154" customFormat="false" ht="15.75" hidden="false" customHeight="false" outlineLevel="0" collapsed="false">
      <c r="A154" s="61"/>
      <c r="B154" s="29"/>
      <c r="C154" s="21"/>
      <c r="D154" s="21"/>
      <c r="E154" s="21"/>
      <c r="F154" s="21"/>
      <c r="G154" s="30"/>
      <c r="H154" s="31"/>
      <c r="I154" s="21"/>
      <c r="J154" s="21"/>
      <c r="K154" s="21"/>
      <c r="L154" s="21"/>
      <c r="M154" s="21"/>
      <c r="N154" s="30"/>
      <c r="O154" s="21"/>
      <c r="P154" s="21"/>
      <c r="Q154" s="21"/>
      <c r="R154" s="32"/>
      <c r="S154" s="32"/>
      <c r="T154" s="21"/>
      <c r="U154" s="21"/>
      <c r="V154" s="21"/>
      <c r="W154" s="21"/>
      <c r="X154" s="21"/>
    </row>
    <row r="155" customFormat="false" ht="15.75" hidden="false" customHeight="false" outlineLevel="0" collapsed="false">
      <c r="A155" s="61"/>
      <c r="B155" s="29"/>
      <c r="C155" s="21"/>
      <c r="D155" s="21"/>
      <c r="E155" s="21"/>
      <c r="F155" s="21"/>
      <c r="G155" s="30"/>
      <c r="H155" s="31"/>
      <c r="I155" s="21"/>
      <c r="J155" s="21"/>
      <c r="K155" s="21"/>
      <c r="L155" s="21"/>
      <c r="M155" s="21"/>
      <c r="N155" s="30"/>
      <c r="O155" s="21"/>
      <c r="P155" s="21"/>
      <c r="Q155" s="21"/>
      <c r="R155" s="32"/>
      <c r="S155" s="32"/>
      <c r="T155" s="21"/>
      <c r="U155" s="21"/>
      <c r="V155" s="21"/>
      <c r="W155" s="21"/>
      <c r="X155" s="21"/>
    </row>
    <row r="156" customFormat="false" ht="15.75" hidden="false" customHeight="false" outlineLevel="0" collapsed="false">
      <c r="A156" s="61"/>
      <c r="B156" s="29"/>
      <c r="C156" s="21"/>
      <c r="D156" s="21"/>
      <c r="E156" s="21"/>
      <c r="F156" s="21"/>
      <c r="G156" s="30"/>
      <c r="H156" s="31"/>
      <c r="I156" s="21"/>
      <c r="J156" s="21"/>
      <c r="K156" s="21"/>
      <c r="L156" s="21"/>
      <c r="M156" s="21"/>
      <c r="N156" s="30"/>
      <c r="O156" s="21"/>
      <c r="P156" s="21"/>
      <c r="Q156" s="21"/>
      <c r="R156" s="32"/>
      <c r="S156" s="32"/>
      <c r="T156" s="21"/>
      <c r="U156" s="21"/>
      <c r="V156" s="21"/>
      <c r="W156" s="21"/>
      <c r="X156" s="21"/>
    </row>
    <row r="157" customFormat="false" ht="15.75" hidden="false" customHeight="false" outlineLevel="0" collapsed="false">
      <c r="A157" s="61"/>
      <c r="B157" s="29"/>
      <c r="C157" s="21"/>
      <c r="D157" s="21"/>
      <c r="E157" s="21"/>
      <c r="F157" s="21"/>
      <c r="G157" s="30"/>
      <c r="H157" s="31"/>
      <c r="I157" s="21"/>
      <c r="J157" s="21"/>
      <c r="K157" s="21"/>
      <c r="L157" s="21"/>
      <c r="M157" s="21"/>
      <c r="N157" s="30"/>
      <c r="O157" s="21"/>
      <c r="P157" s="21"/>
      <c r="Q157" s="21"/>
      <c r="R157" s="32"/>
      <c r="S157" s="32"/>
      <c r="T157" s="21"/>
      <c r="U157" s="21"/>
      <c r="V157" s="21"/>
      <c r="W157" s="21"/>
      <c r="X157" s="21"/>
    </row>
    <row r="158" customFormat="false" ht="15.75" hidden="false" customHeight="false" outlineLevel="0" collapsed="false">
      <c r="A158" s="61"/>
      <c r="B158" s="29"/>
      <c r="C158" s="21"/>
      <c r="D158" s="21"/>
      <c r="E158" s="21"/>
      <c r="F158" s="21"/>
      <c r="G158" s="30"/>
      <c r="H158" s="31"/>
      <c r="I158" s="21"/>
      <c r="J158" s="21"/>
      <c r="K158" s="21"/>
      <c r="L158" s="21"/>
      <c r="M158" s="21"/>
      <c r="N158" s="30"/>
      <c r="O158" s="21"/>
      <c r="P158" s="21"/>
      <c r="Q158" s="21"/>
      <c r="R158" s="32"/>
      <c r="S158" s="32"/>
      <c r="T158" s="21"/>
      <c r="U158" s="21"/>
      <c r="V158" s="21"/>
      <c r="W158" s="21"/>
      <c r="X158" s="21"/>
    </row>
    <row r="159" customFormat="false" ht="15.75" hidden="false" customHeight="false" outlineLevel="0" collapsed="false">
      <c r="A159" s="61"/>
      <c r="B159" s="29"/>
      <c r="C159" s="21"/>
      <c r="D159" s="21"/>
      <c r="E159" s="21"/>
      <c r="F159" s="21"/>
      <c r="G159" s="30"/>
      <c r="H159" s="31"/>
      <c r="I159" s="21"/>
      <c r="J159" s="21"/>
      <c r="K159" s="21"/>
      <c r="L159" s="21"/>
      <c r="M159" s="21"/>
      <c r="N159" s="30"/>
      <c r="O159" s="21"/>
      <c r="P159" s="21"/>
      <c r="Q159" s="21"/>
      <c r="R159" s="32"/>
      <c r="S159" s="32"/>
      <c r="T159" s="21"/>
      <c r="U159" s="21"/>
      <c r="V159" s="21"/>
      <c r="W159" s="21"/>
      <c r="X159" s="21"/>
    </row>
    <row r="160" customFormat="false" ht="15.75" hidden="false" customHeight="false" outlineLevel="0" collapsed="false">
      <c r="A160" s="61"/>
      <c r="B160" s="29"/>
      <c r="C160" s="21"/>
      <c r="D160" s="21"/>
      <c r="E160" s="21"/>
      <c r="F160" s="21"/>
      <c r="G160" s="30"/>
      <c r="H160" s="31"/>
      <c r="I160" s="21"/>
      <c r="J160" s="21"/>
      <c r="K160" s="21"/>
      <c r="L160" s="21"/>
      <c r="M160" s="21"/>
      <c r="N160" s="30"/>
      <c r="O160" s="21"/>
      <c r="P160" s="21"/>
      <c r="Q160" s="21"/>
      <c r="R160" s="32"/>
      <c r="S160" s="32"/>
      <c r="T160" s="21"/>
      <c r="U160" s="21"/>
      <c r="V160" s="21"/>
      <c r="W160" s="21"/>
      <c r="X160" s="21"/>
    </row>
    <row r="161" customFormat="false" ht="15.75" hidden="false" customHeight="false" outlineLevel="0" collapsed="false">
      <c r="A161" s="61"/>
      <c r="B161" s="29"/>
      <c r="C161" s="21"/>
      <c r="D161" s="21"/>
      <c r="E161" s="21"/>
      <c r="F161" s="21"/>
      <c r="G161" s="30"/>
      <c r="H161" s="31"/>
      <c r="I161" s="21"/>
      <c r="J161" s="21"/>
      <c r="K161" s="21"/>
      <c r="L161" s="21"/>
      <c r="M161" s="21"/>
      <c r="N161" s="30"/>
      <c r="O161" s="21"/>
      <c r="P161" s="21"/>
      <c r="Q161" s="21"/>
      <c r="R161" s="32"/>
      <c r="S161" s="32"/>
      <c r="T161" s="21"/>
      <c r="U161" s="21"/>
      <c r="V161" s="21"/>
      <c r="W161" s="21"/>
      <c r="X161" s="21"/>
    </row>
    <row r="162" customFormat="false" ht="15.75" hidden="false" customHeight="false" outlineLevel="0" collapsed="false">
      <c r="A162" s="61"/>
      <c r="B162" s="29"/>
      <c r="C162" s="21"/>
      <c r="D162" s="21"/>
      <c r="E162" s="21"/>
      <c r="F162" s="21"/>
      <c r="G162" s="30"/>
      <c r="H162" s="31"/>
      <c r="I162" s="21"/>
      <c r="J162" s="21"/>
      <c r="K162" s="21"/>
      <c r="L162" s="21"/>
      <c r="M162" s="21"/>
      <c r="N162" s="30"/>
      <c r="O162" s="21"/>
      <c r="P162" s="21"/>
      <c r="Q162" s="21"/>
      <c r="R162" s="32"/>
      <c r="S162" s="32"/>
      <c r="T162" s="21"/>
      <c r="U162" s="21"/>
      <c r="V162" s="21"/>
      <c r="W162" s="21"/>
      <c r="X162" s="21"/>
    </row>
    <row r="163" customFormat="false" ht="15.75" hidden="false" customHeight="false" outlineLevel="0" collapsed="false">
      <c r="A163" s="61"/>
      <c r="B163" s="29"/>
      <c r="C163" s="21"/>
      <c r="D163" s="21"/>
      <c r="E163" s="21"/>
      <c r="F163" s="21"/>
      <c r="G163" s="30"/>
      <c r="H163" s="31"/>
      <c r="I163" s="21"/>
      <c r="J163" s="21"/>
      <c r="K163" s="21"/>
      <c r="L163" s="21"/>
      <c r="M163" s="21"/>
      <c r="N163" s="30"/>
      <c r="O163" s="21"/>
      <c r="P163" s="21"/>
      <c r="Q163" s="21"/>
      <c r="R163" s="32"/>
      <c r="S163" s="32"/>
      <c r="T163" s="21"/>
      <c r="U163" s="21"/>
      <c r="V163" s="21"/>
      <c r="W163" s="21"/>
      <c r="X163" s="21"/>
    </row>
    <row r="164" customFormat="false" ht="15.75" hidden="false" customHeight="false" outlineLevel="0" collapsed="false">
      <c r="A164" s="61"/>
      <c r="B164" s="29"/>
      <c r="C164" s="21"/>
      <c r="D164" s="21"/>
      <c r="E164" s="21"/>
      <c r="F164" s="21"/>
      <c r="G164" s="30"/>
      <c r="H164" s="31"/>
      <c r="I164" s="21"/>
      <c r="J164" s="21"/>
      <c r="K164" s="21"/>
      <c r="L164" s="21"/>
      <c r="M164" s="21"/>
      <c r="N164" s="30"/>
      <c r="O164" s="21"/>
      <c r="P164" s="21"/>
      <c r="Q164" s="21"/>
      <c r="R164" s="32"/>
      <c r="S164" s="32"/>
      <c r="T164" s="21"/>
      <c r="U164" s="21"/>
      <c r="V164" s="21"/>
      <c r="W164" s="21"/>
      <c r="X164" s="21"/>
    </row>
    <row r="165" customFormat="false" ht="15.75" hidden="false" customHeight="false" outlineLevel="0" collapsed="false">
      <c r="A165" s="61"/>
      <c r="B165" s="29"/>
      <c r="C165" s="21"/>
      <c r="D165" s="21"/>
      <c r="E165" s="21"/>
      <c r="F165" s="21"/>
      <c r="G165" s="30"/>
      <c r="H165" s="31"/>
      <c r="I165" s="21"/>
      <c r="J165" s="21"/>
      <c r="K165" s="21"/>
      <c r="L165" s="21"/>
      <c r="M165" s="21"/>
      <c r="N165" s="30"/>
      <c r="O165" s="21"/>
      <c r="P165" s="21"/>
      <c r="Q165" s="21"/>
      <c r="R165" s="32"/>
      <c r="S165" s="32"/>
      <c r="T165" s="21"/>
      <c r="U165" s="21"/>
      <c r="V165" s="21"/>
      <c r="W165" s="21"/>
      <c r="X165" s="21"/>
    </row>
    <row r="166" customFormat="false" ht="15.75" hidden="false" customHeight="false" outlineLevel="0" collapsed="false">
      <c r="A166" s="61"/>
      <c r="B166" s="29"/>
      <c r="C166" s="21"/>
      <c r="D166" s="21"/>
      <c r="E166" s="21"/>
      <c r="F166" s="21"/>
      <c r="G166" s="30"/>
      <c r="H166" s="31"/>
      <c r="I166" s="21"/>
      <c r="J166" s="21"/>
      <c r="K166" s="21"/>
      <c r="L166" s="21"/>
      <c r="M166" s="21"/>
      <c r="N166" s="30"/>
      <c r="O166" s="21"/>
      <c r="P166" s="21"/>
      <c r="Q166" s="21"/>
      <c r="R166" s="32"/>
      <c r="S166" s="32"/>
      <c r="T166" s="21"/>
      <c r="U166" s="21"/>
      <c r="V166" s="21"/>
      <c r="W166" s="21"/>
      <c r="X166" s="21"/>
    </row>
    <row r="167" customFormat="false" ht="15.75" hidden="false" customHeight="false" outlineLevel="0" collapsed="false">
      <c r="A167" s="61"/>
      <c r="B167" s="29"/>
      <c r="C167" s="21"/>
      <c r="D167" s="21"/>
      <c r="E167" s="21"/>
      <c r="F167" s="21"/>
      <c r="G167" s="30"/>
      <c r="H167" s="31"/>
      <c r="I167" s="21"/>
      <c r="J167" s="21"/>
      <c r="K167" s="21"/>
      <c r="L167" s="21"/>
      <c r="M167" s="21"/>
      <c r="N167" s="30"/>
      <c r="O167" s="21"/>
      <c r="P167" s="21"/>
      <c r="Q167" s="21"/>
      <c r="R167" s="32"/>
      <c r="S167" s="32"/>
      <c r="T167" s="21"/>
      <c r="U167" s="21"/>
      <c r="V167" s="21"/>
      <c r="W167" s="21"/>
      <c r="X167" s="21"/>
    </row>
    <row r="168" customFormat="false" ht="15.75" hidden="false" customHeight="false" outlineLevel="0" collapsed="false">
      <c r="A168" s="61"/>
      <c r="B168" s="29"/>
      <c r="C168" s="21"/>
      <c r="D168" s="21"/>
      <c r="E168" s="21"/>
      <c r="F168" s="21"/>
      <c r="G168" s="30"/>
      <c r="H168" s="31"/>
      <c r="I168" s="21"/>
      <c r="J168" s="21"/>
      <c r="K168" s="21"/>
      <c r="L168" s="21"/>
      <c r="M168" s="21"/>
      <c r="N168" s="30"/>
      <c r="O168" s="21"/>
      <c r="P168" s="21"/>
      <c r="Q168" s="21"/>
      <c r="R168" s="32"/>
      <c r="S168" s="32"/>
      <c r="T168" s="21"/>
      <c r="U168" s="21"/>
      <c r="V168" s="21"/>
      <c r="W168" s="21"/>
      <c r="X168" s="21"/>
    </row>
    <row r="169" customFormat="false" ht="15.75" hidden="false" customHeight="false" outlineLevel="0" collapsed="false">
      <c r="A169" s="61"/>
      <c r="B169" s="29"/>
      <c r="C169" s="21"/>
      <c r="D169" s="21"/>
      <c r="E169" s="21"/>
      <c r="F169" s="21"/>
      <c r="G169" s="30"/>
      <c r="H169" s="31"/>
      <c r="I169" s="21"/>
      <c r="J169" s="21"/>
      <c r="K169" s="21"/>
      <c r="L169" s="21"/>
      <c r="M169" s="21"/>
      <c r="N169" s="30"/>
      <c r="O169" s="21"/>
      <c r="P169" s="21"/>
      <c r="Q169" s="21"/>
      <c r="R169" s="32"/>
      <c r="S169" s="32"/>
      <c r="T169" s="21"/>
      <c r="U169" s="21"/>
      <c r="V169" s="21"/>
      <c r="W169" s="21"/>
      <c r="X169" s="21"/>
    </row>
    <row r="170" customFormat="false" ht="15.75" hidden="false" customHeight="false" outlineLevel="0" collapsed="false">
      <c r="A170" s="61"/>
      <c r="B170" s="29"/>
      <c r="C170" s="21"/>
      <c r="D170" s="21"/>
      <c r="E170" s="21"/>
      <c r="F170" s="21"/>
      <c r="G170" s="30"/>
      <c r="H170" s="31"/>
      <c r="I170" s="21"/>
      <c r="J170" s="21"/>
      <c r="K170" s="21"/>
      <c r="L170" s="21"/>
      <c r="M170" s="21"/>
      <c r="N170" s="30"/>
      <c r="O170" s="21"/>
      <c r="P170" s="21"/>
      <c r="Q170" s="21"/>
      <c r="R170" s="32"/>
      <c r="S170" s="32"/>
      <c r="T170" s="21"/>
      <c r="U170" s="21"/>
      <c r="V170" s="21"/>
      <c r="W170" s="21"/>
      <c r="X170" s="21"/>
    </row>
    <row r="171" customFormat="false" ht="15.75" hidden="false" customHeight="false" outlineLevel="0" collapsed="false">
      <c r="A171" s="61"/>
      <c r="B171" s="29"/>
      <c r="C171" s="21"/>
      <c r="D171" s="21"/>
      <c r="E171" s="21"/>
      <c r="F171" s="21"/>
      <c r="G171" s="30"/>
      <c r="H171" s="31"/>
      <c r="I171" s="21"/>
      <c r="J171" s="21"/>
      <c r="K171" s="21"/>
      <c r="L171" s="21"/>
      <c r="M171" s="21"/>
      <c r="N171" s="30"/>
      <c r="O171" s="21"/>
      <c r="P171" s="21"/>
      <c r="Q171" s="21"/>
      <c r="R171" s="32"/>
      <c r="S171" s="32"/>
      <c r="T171" s="21"/>
      <c r="U171" s="21"/>
      <c r="V171" s="21"/>
      <c r="W171" s="21"/>
      <c r="X171" s="21"/>
    </row>
    <row r="172" customFormat="false" ht="15.75" hidden="false" customHeight="false" outlineLevel="0" collapsed="false">
      <c r="A172" s="61"/>
      <c r="B172" s="29"/>
      <c r="C172" s="21"/>
      <c r="D172" s="21"/>
      <c r="E172" s="21"/>
      <c r="F172" s="21"/>
      <c r="G172" s="30"/>
      <c r="H172" s="31"/>
      <c r="I172" s="21"/>
      <c r="J172" s="21"/>
      <c r="K172" s="21"/>
      <c r="L172" s="21"/>
      <c r="M172" s="21"/>
      <c r="N172" s="30"/>
      <c r="O172" s="21"/>
      <c r="P172" s="21"/>
      <c r="Q172" s="21"/>
      <c r="R172" s="32"/>
      <c r="S172" s="32"/>
      <c r="T172" s="21"/>
      <c r="U172" s="21"/>
      <c r="V172" s="21"/>
      <c r="W172" s="21"/>
      <c r="X172" s="21"/>
    </row>
    <row r="173" customFormat="false" ht="15.75" hidden="false" customHeight="false" outlineLevel="0" collapsed="false">
      <c r="A173" s="61"/>
      <c r="B173" s="29"/>
      <c r="C173" s="21"/>
      <c r="D173" s="21"/>
      <c r="E173" s="21"/>
      <c r="F173" s="21"/>
      <c r="G173" s="30"/>
      <c r="H173" s="31"/>
      <c r="I173" s="21"/>
      <c r="J173" s="21"/>
      <c r="K173" s="21"/>
      <c r="L173" s="21"/>
      <c r="M173" s="21"/>
      <c r="N173" s="30"/>
      <c r="O173" s="21"/>
      <c r="P173" s="21"/>
      <c r="Q173" s="21"/>
      <c r="R173" s="32"/>
      <c r="S173" s="32"/>
      <c r="T173" s="21"/>
      <c r="U173" s="21"/>
      <c r="V173" s="21"/>
      <c r="W173" s="21"/>
      <c r="X173" s="21"/>
    </row>
    <row r="174" customFormat="false" ht="15.75" hidden="false" customHeight="false" outlineLevel="0" collapsed="false">
      <c r="A174" s="61"/>
      <c r="B174" s="29"/>
      <c r="C174" s="21"/>
      <c r="D174" s="21"/>
      <c r="E174" s="21"/>
      <c r="F174" s="21"/>
      <c r="G174" s="30"/>
      <c r="H174" s="31"/>
      <c r="I174" s="21"/>
      <c r="J174" s="21"/>
      <c r="K174" s="21"/>
      <c r="L174" s="21"/>
      <c r="M174" s="21"/>
      <c r="N174" s="30"/>
      <c r="O174" s="21"/>
      <c r="P174" s="21"/>
      <c r="Q174" s="21"/>
      <c r="R174" s="32"/>
      <c r="S174" s="32"/>
      <c r="T174" s="21"/>
      <c r="U174" s="21"/>
      <c r="V174" s="21"/>
      <c r="W174" s="21"/>
      <c r="X174" s="21"/>
    </row>
    <row r="175" customFormat="false" ht="15.75" hidden="false" customHeight="false" outlineLevel="0" collapsed="false">
      <c r="A175" s="61"/>
      <c r="B175" s="29"/>
      <c r="C175" s="21"/>
      <c r="D175" s="21"/>
      <c r="E175" s="21"/>
      <c r="F175" s="21"/>
      <c r="G175" s="30"/>
      <c r="H175" s="31"/>
      <c r="I175" s="21"/>
      <c r="J175" s="21"/>
      <c r="K175" s="21"/>
      <c r="L175" s="21"/>
      <c r="M175" s="21"/>
      <c r="N175" s="30"/>
      <c r="O175" s="21"/>
      <c r="P175" s="21"/>
      <c r="Q175" s="21"/>
      <c r="R175" s="32"/>
      <c r="S175" s="32"/>
      <c r="T175" s="21"/>
      <c r="U175" s="21"/>
      <c r="V175" s="21"/>
      <c r="W175" s="21"/>
      <c r="X175" s="21"/>
    </row>
    <row r="176" customFormat="false" ht="15.75" hidden="false" customHeight="false" outlineLevel="0" collapsed="false">
      <c r="A176" s="61"/>
      <c r="B176" s="29"/>
      <c r="C176" s="21"/>
      <c r="D176" s="21"/>
      <c r="E176" s="21"/>
      <c r="F176" s="21"/>
      <c r="G176" s="30"/>
      <c r="H176" s="31"/>
      <c r="I176" s="21"/>
      <c r="J176" s="21"/>
      <c r="K176" s="21"/>
      <c r="L176" s="21"/>
      <c r="M176" s="21"/>
      <c r="N176" s="30"/>
      <c r="O176" s="21"/>
      <c r="P176" s="21"/>
      <c r="Q176" s="21"/>
      <c r="R176" s="32"/>
      <c r="S176" s="32"/>
      <c r="T176" s="21"/>
      <c r="U176" s="21"/>
      <c r="V176" s="21"/>
      <c r="W176" s="21"/>
      <c r="X176" s="21"/>
    </row>
    <row r="177" customFormat="false" ht="15.75" hidden="false" customHeight="false" outlineLevel="0" collapsed="false">
      <c r="A177" s="61"/>
      <c r="B177" s="29"/>
      <c r="C177" s="21"/>
      <c r="D177" s="21"/>
      <c r="E177" s="21"/>
      <c r="F177" s="21"/>
      <c r="G177" s="30"/>
      <c r="H177" s="31"/>
      <c r="I177" s="21"/>
      <c r="J177" s="21"/>
      <c r="K177" s="21"/>
      <c r="L177" s="21"/>
      <c r="M177" s="21"/>
      <c r="N177" s="30"/>
      <c r="O177" s="21"/>
      <c r="P177" s="21"/>
      <c r="Q177" s="21"/>
      <c r="R177" s="32"/>
      <c r="S177" s="32"/>
      <c r="T177" s="21"/>
      <c r="U177" s="21"/>
      <c r="V177" s="21"/>
      <c r="W177" s="21"/>
      <c r="X177" s="21"/>
    </row>
    <row r="178" customFormat="false" ht="15.75" hidden="false" customHeight="false" outlineLevel="0" collapsed="false">
      <c r="A178" s="61"/>
      <c r="B178" s="29"/>
      <c r="C178" s="21"/>
      <c r="D178" s="21"/>
      <c r="E178" s="21"/>
      <c r="F178" s="21"/>
      <c r="G178" s="30"/>
      <c r="H178" s="31"/>
      <c r="I178" s="21"/>
      <c r="J178" s="21"/>
      <c r="K178" s="21"/>
      <c r="L178" s="21"/>
      <c r="M178" s="21"/>
      <c r="N178" s="30"/>
      <c r="O178" s="21"/>
      <c r="P178" s="21"/>
      <c r="Q178" s="21"/>
      <c r="R178" s="32"/>
      <c r="S178" s="32"/>
      <c r="T178" s="21"/>
      <c r="U178" s="21"/>
      <c r="V178" s="21"/>
      <c r="W178" s="21"/>
      <c r="X178" s="21"/>
    </row>
    <row r="179" customFormat="false" ht="15.75" hidden="false" customHeight="false" outlineLevel="0" collapsed="false">
      <c r="A179" s="61"/>
      <c r="B179" s="29"/>
      <c r="C179" s="21"/>
      <c r="D179" s="21"/>
      <c r="E179" s="21"/>
      <c r="F179" s="21"/>
      <c r="G179" s="30"/>
      <c r="H179" s="31"/>
      <c r="I179" s="21"/>
      <c r="J179" s="21"/>
      <c r="K179" s="21"/>
      <c r="L179" s="21"/>
      <c r="M179" s="21"/>
      <c r="N179" s="30"/>
      <c r="O179" s="21"/>
      <c r="P179" s="21"/>
      <c r="Q179" s="21"/>
      <c r="R179" s="32"/>
      <c r="S179" s="32"/>
      <c r="T179" s="21"/>
      <c r="U179" s="21"/>
      <c r="V179" s="21"/>
      <c r="W179" s="21"/>
      <c r="X179" s="21"/>
    </row>
    <row r="180" customFormat="false" ht="15.75" hidden="false" customHeight="false" outlineLevel="0" collapsed="false">
      <c r="A180" s="61"/>
      <c r="B180" s="29"/>
      <c r="C180" s="21"/>
      <c r="D180" s="21"/>
      <c r="E180" s="21"/>
      <c r="F180" s="21"/>
      <c r="G180" s="30"/>
      <c r="H180" s="31"/>
      <c r="I180" s="21"/>
      <c r="J180" s="21"/>
      <c r="K180" s="21"/>
      <c r="L180" s="21"/>
      <c r="M180" s="21"/>
      <c r="N180" s="30"/>
      <c r="O180" s="21"/>
      <c r="P180" s="21"/>
      <c r="Q180" s="21"/>
      <c r="R180" s="32"/>
      <c r="S180" s="32"/>
      <c r="T180" s="21"/>
      <c r="U180" s="21"/>
      <c r="V180" s="21"/>
      <c r="W180" s="21"/>
      <c r="X180" s="21"/>
    </row>
    <row r="181" customFormat="false" ht="15.75" hidden="false" customHeight="false" outlineLevel="0" collapsed="false">
      <c r="A181" s="61"/>
      <c r="B181" s="29"/>
      <c r="C181" s="21"/>
      <c r="D181" s="21"/>
      <c r="E181" s="21"/>
      <c r="F181" s="21"/>
      <c r="G181" s="30"/>
      <c r="H181" s="31"/>
      <c r="I181" s="21"/>
      <c r="J181" s="21"/>
      <c r="K181" s="21"/>
      <c r="L181" s="21"/>
      <c r="M181" s="21"/>
      <c r="N181" s="30"/>
      <c r="O181" s="21"/>
      <c r="P181" s="21"/>
      <c r="Q181" s="21"/>
      <c r="R181" s="32"/>
      <c r="S181" s="32"/>
      <c r="T181" s="21"/>
      <c r="U181" s="21"/>
      <c r="V181" s="21"/>
      <c r="W181" s="21"/>
      <c r="X181" s="21"/>
    </row>
    <row r="182" customFormat="false" ht="15.75" hidden="false" customHeight="false" outlineLevel="0" collapsed="false">
      <c r="A182" s="61"/>
      <c r="B182" s="29"/>
      <c r="C182" s="21"/>
      <c r="D182" s="21"/>
      <c r="E182" s="21"/>
      <c r="F182" s="21"/>
      <c r="G182" s="30"/>
      <c r="H182" s="31"/>
      <c r="I182" s="21"/>
      <c r="J182" s="21"/>
      <c r="K182" s="21"/>
      <c r="L182" s="21"/>
      <c r="M182" s="21"/>
      <c r="N182" s="30"/>
      <c r="O182" s="21"/>
      <c r="P182" s="21"/>
      <c r="Q182" s="21"/>
      <c r="R182" s="32"/>
      <c r="S182" s="32"/>
      <c r="T182" s="21"/>
      <c r="U182" s="21"/>
      <c r="V182" s="21"/>
      <c r="W182" s="21"/>
      <c r="X182" s="21"/>
    </row>
    <row r="183" customFormat="false" ht="15.75" hidden="false" customHeight="false" outlineLevel="0" collapsed="false">
      <c r="A183" s="61"/>
      <c r="B183" s="29"/>
      <c r="C183" s="21"/>
      <c r="D183" s="21"/>
      <c r="E183" s="21"/>
      <c r="F183" s="21"/>
      <c r="G183" s="30"/>
      <c r="H183" s="31"/>
      <c r="I183" s="21"/>
      <c r="J183" s="21"/>
      <c r="K183" s="21"/>
      <c r="L183" s="21"/>
      <c r="M183" s="21"/>
      <c r="N183" s="30"/>
      <c r="O183" s="21"/>
      <c r="P183" s="21"/>
      <c r="Q183" s="21"/>
      <c r="R183" s="32"/>
      <c r="S183" s="32"/>
      <c r="T183" s="21"/>
      <c r="U183" s="21"/>
      <c r="V183" s="21"/>
      <c r="W183" s="21"/>
      <c r="X183" s="21"/>
    </row>
    <row r="184" customFormat="false" ht="15.75" hidden="false" customHeight="false" outlineLevel="0" collapsed="false">
      <c r="A184" s="61"/>
      <c r="B184" s="29"/>
      <c r="C184" s="21"/>
      <c r="D184" s="21"/>
      <c r="E184" s="21"/>
      <c r="F184" s="21"/>
      <c r="G184" s="30"/>
      <c r="H184" s="31"/>
      <c r="I184" s="21"/>
      <c r="J184" s="21"/>
      <c r="K184" s="21"/>
      <c r="L184" s="21"/>
      <c r="M184" s="21"/>
      <c r="N184" s="30"/>
      <c r="O184" s="21"/>
      <c r="P184" s="21"/>
      <c r="Q184" s="21"/>
      <c r="R184" s="32"/>
      <c r="S184" s="32"/>
      <c r="T184" s="21"/>
      <c r="U184" s="21"/>
      <c r="V184" s="21"/>
      <c r="W184" s="21"/>
      <c r="X184" s="21"/>
    </row>
    <row r="185" customFormat="false" ht="15.75" hidden="false" customHeight="false" outlineLevel="0" collapsed="false">
      <c r="A185" s="61"/>
      <c r="B185" s="29"/>
      <c r="C185" s="21"/>
      <c r="D185" s="21"/>
      <c r="E185" s="21"/>
      <c r="F185" s="21"/>
      <c r="G185" s="30"/>
      <c r="H185" s="31"/>
      <c r="I185" s="21"/>
      <c r="J185" s="21"/>
      <c r="K185" s="21"/>
      <c r="L185" s="21"/>
      <c r="M185" s="21"/>
      <c r="N185" s="30"/>
      <c r="O185" s="21"/>
      <c r="P185" s="21"/>
      <c r="Q185" s="21"/>
      <c r="R185" s="32"/>
      <c r="S185" s="32"/>
      <c r="T185" s="21"/>
      <c r="U185" s="21"/>
      <c r="V185" s="21"/>
      <c r="W185" s="21"/>
      <c r="X185" s="21"/>
    </row>
    <row r="186" customFormat="false" ht="15.75" hidden="false" customHeight="false" outlineLevel="0" collapsed="false">
      <c r="A186" s="61"/>
      <c r="B186" s="29"/>
      <c r="C186" s="21"/>
      <c r="D186" s="21"/>
      <c r="E186" s="21"/>
      <c r="F186" s="21"/>
      <c r="G186" s="30"/>
      <c r="H186" s="31"/>
      <c r="I186" s="21"/>
      <c r="J186" s="21"/>
      <c r="K186" s="21"/>
      <c r="L186" s="21"/>
      <c r="M186" s="21"/>
      <c r="N186" s="30"/>
      <c r="O186" s="21"/>
      <c r="P186" s="21"/>
      <c r="Q186" s="21"/>
      <c r="R186" s="32"/>
      <c r="S186" s="32"/>
      <c r="T186" s="21"/>
      <c r="U186" s="21"/>
      <c r="V186" s="21"/>
      <c r="W186" s="21"/>
      <c r="X186" s="21"/>
    </row>
    <row r="187" customFormat="false" ht="15.75" hidden="false" customHeight="false" outlineLevel="0" collapsed="false">
      <c r="A187" s="61"/>
      <c r="B187" s="29"/>
      <c r="C187" s="21"/>
      <c r="D187" s="21"/>
      <c r="E187" s="21"/>
      <c r="F187" s="21"/>
      <c r="G187" s="30"/>
      <c r="H187" s="31"/>
      <c r="I187" s="21"/>
      <c r="J187" s="21"/>
      <c r="K187" s="21"/>
      <c r="L187" s="21"/>
      <c r="M187" s="21"/>
      <c r="N187" s="30"/>
      <c r="O187" s="21"/>
      <c r="P187" s="21"/>
      <c r="Q187" s="21"/>
      <c r="R187" s="32"/>
      <c r="S187" s="32"/>
      <c r="T187" s="21"/>
      <c r="U187" s="21"/>
      <c r="V187" s="21"/>
      <c r="W187" s="21"/>
      <c r="X187" s="21"/>
    </row>
    <row r="188" customFormat="false" ht="15.75" hidden="false" customHeight="false" outlineLevel="0" collapsed="false">
      <c r="A188" s="61"/>
      <c r="B188" s="29"/>
      <c r="C188" s="21"/>
      <c r="D188" s="21"/>
      <c r="E188" s="21"/>
      <c r="F188" s="21"/>
      <c r="G188" s="30"/>
      <c r="H188" s="31"/>
      <c r="I188" s="21"/>
      <c r="J188" s="21"/>
      <c r="K188" s="21"/>
      <c r="L188" s="21"/>
      <c r="M188" s="21"/>
      <c r="N188" s="30"/>
      <c r="O188" s="21"/>
      <c r="P188" s="21"/>
      <c r="Q188" s="21"/>
      <c r="R188" s="32"/>
      <c r="S188" s="32"/>
      <c r="T188" s="21"/>
      <c r="U188" s="21"/>
      <c r="V188" s="21"/>
      <c r="W188" s="21"/>
      <c r="X188" s="21"/>
    </row>
    <row r="189" customFormat="false" ht="15.75" hidden="false" customHeight="false" outlineLevel="0" collapsed="false">
      <c r="A189" s="61"/>
      <c r="B189" s="29"/>
      <c r="C189" s="21"/>
      <c r="D189" s="21"/>
      <c r="E189" s="21"/>
      <c r="F189" s="21"/>
      <c r="G189" s="30"/>
      <c r="H189" s="31"/>
      <c r="I189" s="21"/>
      <c r="J189" s="21"/>
      <c r="K189" s="21"/>
      <c r="L189" s="21"/>
      <c r="M189" s="21"/>
      <c r="N189" s="30"/>
      <c r="O189" s="21"/>
      <c r="P189" s="21"/>
      <c r="Q189" s="21"/>
      <c r="R189" s="32"/>
      <c r="S189" s="32"/>
      <c r="T189" s="21"/>
      <c r="U189" s="21"/>
      <c r="V189" s="21"/>
      <c r="W189" s="21"/>
      <c r="X189" s="21"/>
    </row>
    <row r="190" customFormat="false" ht="15.75" hidden="false" customHeight="false" outlineLevel="0" collapsed="false">
      <c r="A190" s="61"/>
      <c r="B190" s="29"/>
      <c r="C190" s="21"/>
      <c r="D190" s="21"/>
      <c r="E190" s="21"/>
      <c r="F190" s="21"/>
      <c r="G190" s="30"/>
      <c r="H190" s="31"/>
      <c r="I190" s="21"/>
      <c r="J190" s="21"/>
      <c r="K190" s="21"/>
      <c r="L190" s="21"/>
      <c r="M190" s="21"/>
      <c r="N190" s="30"/>
      <c r="O190" s="21"/>
      <c r="P190" s="21"/>
      <c r="Q190" s="21"/>
      <c r="R190" s="32"/>
      <c r="S190" s="32"/>
      <c r="T190" s="21"/>
      <c r="U190" s="21"/>
      <c r="V190" s="21"/>
      <c r="W190" s="21"/>
      <c r="X190" s="21"/>
    </row>
    <row r="191" customFormat="false" ht="15.75" hidden="false" customHeight="false" outlineLevel="0" collapsed="false">
      <c r="A191" s="61"/>
      <c r="B191" s="29"/>
      <c r="C191" s="21"/>
      <c r="D191" s="21"/>
      <c r="E191" s="21"/>
      <c r="F191" s="21"/>
      <c r="G191" s="30"/>
      <c r="H191" s="31"/>
      <c r="I191" s="21"/>
      <c r="J191" s="21"/>
      <c r="K191" s="21"/>
      <c r="L191" s="21"/>
      <c r="M191" s="21"/>
      <c r="N191" s="30"/>
      <c r="O191" s="21"/>
      <c r="P191" s="21"/>
      <c r="Q191" s="21"/>
      <c r="R191" s="32"/>
      <c r="S191" s="32"/>
      <c r="T191" s="21"/>
      <c r="U191" s="21"/>
      <c r="V191" s="21"/>
      <c r="W191" s="21"/>
      <c r="X191" s="21"/>
    </row>
    <row r="192" customFormat="false" ht="15.75" hidden="false" customHeight="false" outlineLevel="0" collapsed="false">
      <c r="A192" s="61"/>
      <c r="B192" s="29"/>
      <c r="C192" s="21"/>
      <c r="D192" s="21"/>
      <c r="E192" s="21"/>
      <c r="F192" s="21"/>
      <c r="G192" s="30"/>
      <c r="H192" s="31"/>
      <c r="I192" s="21"/>
      <c r="J192" s="21"/>
      <c r="K192" s="21"/>
      <c r="L192" s="21"/>
      <c r="M192" s="21"/>
      <c r="N192" s="30"/>
      <c r="O192" s="21"/>
      <c r="P192" s="21"/>
      <c r="Q192" s="21"/>
      <c r="R192" s="32"/>
      <c r="S192" s="32"/>
      <c r="T192" s="21"/>
      <c r="U192" s="21"/>
      <c r="V192" s="21"/>
      <c r="W192" s="21"/>
      <c r="X192" s="21"/>
    </row>
    <row r="193" customFormat="false" ht="15.75" hidden="false" customHeight="false" outlineLevel="0" collapsed="false">
      <c r="A193" s="61"/>
      <c r="B193" s="29"/>
      <c r="C193" s="21"/>
      <c r="D193" s="21"/>
      <c r="E193" s="21"/>
      <c r="F193" s="21"/>
      <c r="G193" s="30"/>
      <c r="H193" s="31"/>
      <c r="I193" s="21"/>
      <c r="J193" s="21"/>
      <c r="K193" s="21"/>
      <c r="L193" s="21"/>
      <c r="M193" s="21"/>
      <c r="N193" s="30"/>
      <c r="O193" s="21"/>
      <c r="P193" s="21"/>
      <c r="Q193" s="21"/>
      <c r="R193" s="32"/>
      <c r="S193" s="32"/>
      <c r="T193" s="21"/>
      <c r="U193" s="21"/>
      <c r="V193" s="21"/>
      <c r="W193" s="21"/>
      <c r="X193" s="21"/>
    </row>
    <row r="194" customFormat="false" ht="15.75" hidden="false" customHeight="false" outlineLevel="0" collapsed="false">
      <c r="A194" s="61"/>
      <c r="B194" s="29"/>
      <c r="C194" s="21"/>
      <c r="D194" s="21"/>
      <c r="E194" s="21"/>
      <c r="F194" s="21"/>
      <c r="G194" s="30"/>
      <c r="H194" s="31"/>
      <c r="I194" s="21"/>
      <c r="J194" s="21"/>
      <c r="K194" s="21"/>
      <c r="L194" s="21"/>
      <c r="M194" s="21"/>
      <c r="N194" s="30"/>
      <c r="O194" s="21"/>
      <c r="P194" s="21"/>
      <c r="Q194" s="21"/>
      <c r="R194" s="32"/>
      <c r="S194" s="32"/>
      <c r="T194" s="21"/>
      <c r="U194" s="21"/>
      <c r="V194" s="21"/>
      <c r="W194" s="21"/>
      <c r="X194" s="21"/>
    </row>
    <row r="195" customFormat="false" ht="15.75" hidden="false" customHeight="false" outlineLevel="0" collapsed="false">
      <c r="A195" s="61"/>
      <c r="B195" s="29"/>
      <c r="C195" s="21"/>
      <c r="D195" s="21"/>
      <c r="E195" s="21"/>
      <c r="F195" s="21"/>
      <c r="G195" s="30"/>
      <c r="H195" s="31"/>
      <c r="I195" s="21"/>
      <c r="J195" s="21"/>
      <c r="K195" s="21"/>
      <c r="L195" s="21"/>
      <c r="M195" s="21"/>
      <c r="N195" s="30"/>
      <c r="O195" s="21"/>
      <c r="P195" s="21"/>
      <c r="Q195" s="21"/>
      <c r="R195" s="32"/>
      <c r="S195" s="32"/>
      <c r="T195" s="21"/>
      <c r="U195" s="21"/>
      <c r="V195" s="21"/>
      <c r="W195" s="21"/>
      <c r="X195" s="21"/>
    </row>
    <row r="196" customFormat="false" ht="15.75" hidden="false" customHeight="false" outlineLevel="0" collapsed="false">
      <c r="A196" s="61"/>
      <c r="B196" s="29"/>
      <c r="C196" s="21"/>
      <c r="D196" s="21"/>
      <c r="E196" s="21"/>
      <c r="F196" s="21"/>
      <c r="G196" s="30"/>
      <c r="H196" s="31"/>
      <c r="I196" s="21"/>
      <c r="J196" s="21"/>
      <c r="K196" s="21"/>
      <c r="L196" s="21"/>
      <c r="M196" s="21"/>
      <c r="N196" s="30"/>
      <c r="O196" s="21"/>
      <c r="P196" s="21"/>
      <c r="Q196" s="21"/>
      <c r="R196" s="32"/>
      <c r="S196" s="32"/>
      <c r="T196" s="21"/>
      <c r="U196" s="21"/>
      <c r="V196" s="21"/>
      <c r="W196" s="21"/>
      <c r="X196" s="21"/>
    </row>
    <row r="197" customFormat="false" ht="15.75" hidden="false" customHeight="false" outlineLevel="0" collapsed="false">
      <c r="A197" s="61"/>
      <c r="B197" s="29"/>
      <c r="C197" s="21"/>
      <c r="D197" s="21"/>
      <c r="E197" s="21"/>
      <c r="F197" s="21"/>
      <c r="G197" s="30"/>
      <c r="H197" s="31"/>
      <c r="I197" s="21"/>
      <c r="J197" s="21"/>
      <c r="K197" s="21"/>
      <c r="L197" s="21"/>
      <c r="M197" s="21"/>
      <c r="N197" s="30"/>
      <c r="O197" s="21"/>
      <c r="P197" s="21"/>
      <c r="Q197" s="21"/>
      <c r="R197" s="32"/>
      <c r="S197" s="32"/>
      <c r="T197" s="21"/>
      <c r="U197" s="21"/>
      <c r="V197" s="21"/>
      <c r="W197" s="21"/>
      <c r="X197" s="21"/>
    </row>
    <row r="198" customFormat="false" ht="15.75" hidden="false" customHeight="false" outlineLevel="0" collapsed="false">
      <c r="A198" s="61"/>
      <c r="B198" s="29"/>
      <c r="C198" s="21"/>
      <c r="D198" s="21"/>
      <c r="E198" s="21"/>
      <c r="F198" s="21"/>
      <c r="G198" s="30"/>
      <c r="H198" s="31"/>
      <c r="I198" s="21"/>
      <c r="J198" s="21"/>
      <c r="K198" s="21"/>
      <c r="L198" s="21"/>
      <c r="M198" s="21"/>
      <c r="N198" s="30"/>
      <c r="O198" s="21"/>
      <c r="P198" s="21"/>
      <c r="Q198" s="21"/>
      <c r="R198" s="32"/>
      <c r="S198" s="32"/>
      <c r="T198" s="21"/>
      <c r="U198" s="21"/>
      <c r="V198" s="21"/>
      <c r="W198" s="21"/>
      <c r="X198" s="21"/>
    </row>
    <row r="199" customFormat="false" ht="15.75" hidden="false" customHeight="false" outlineLevel="0" collapsed="false">
      <c r="A199" s="61"/>
      <c r="B199" s="29"/>
      <c r="C199" s="21"/>
      <c r="D199" s="21"/>
      <c r="E199" s="21"/>
      <c r="F199" s="21"/>
      <c r="G199" s="30"/>
      <c r="H199" s="31"/>
      <c r="I199" s="21"/>
      <c r="J199" s="21"/>
      <c r="K199" s="21"/>
      <c r="L199" s="21"/>
      <c r="M199" s="21"/>
      <c r="N199" s="30"/>
      <c r="O199" s="21"/>
      <c r="P199" s="21"/>
      <c r="Q199" s="21"/>
      <c r="R199" s="32"/>
      <c r="S199" s="32"/>
      <c r="T199" s="21"/>
      <c r="U199" s="21"/>
      <c r="V199" s="21"/>
      <c r="W199" s="21"/>
      <c r="X199" s="21"/>
    </row>
    <row r="200" customFormat="false" ht="15.75" hidden="false" customHeight="false" outlineLevel="0" collapsed="false">
      <c r="A200" s="61"/>
      <c r="B200" s="29"/>
      <c r="C200" s="21"/>
      <c r="D200" s="21"/>
      <c r="E200" s="21"/>
      <c r="F200" s="21"/>
      <c r="G200" s="30"/>
      <c r="H200" s="31"/>
      <c r="I200" s="21"/>
      <c r="J200" s="21"/>
      <c r="K200" s="21"/>
      <c r="L200" s="21"/>
      <c r="M200" s="21"/>
      <c r="N200" s="30"/>
      <c r="O200" s="21"/>
      <c r="P200" s="21"/>
      <c r="Q200" s="21"/>
      <c r="R200" s="32"/>
      <c r="S200" s="32"/>
      <c r="T200" s="21"/>
      <c r="U200" s="21"/>
      <c r="V200" s="21"/>
      <c r="W200" s="21"/>
      <c r="X200" s="21"/>
    </row>
    <row r="201" customFormat="false" ht="15.75" hidden="false" customHeight="false" outlineLevel="0" collapsed="false">
      <c r="A201" s="61"/>
      <c r="B201" s="29"/>
      <c r="C201" s="21"/>
      <c r="D201" s="21"/>
      <c r="E201" s="21"/>
      <c r="F201" s="21"/>
      <c r="G201" s="30"/>
      <c r="H201" s="31"/>
      <c r="I201" s="21"/>
      <c r="J201" s="21"/>
      <c r="K201" s="21"/>
      <c r="L201" s="21"/>
      <c r="M201" s="21"/>
      <c r="N201" s="30"/>
      <c r="O201" s="21"/>
      <c r="P201" s="21"/>
      <c r="Q201" s="21"/>
      <c r="R201" s="32"/>
      <c r="S201" s="32"/>
      <c r="T201" s="21"/>
      <c r="U201" s="21"/>
      <c r="V201" s="21"/>
      <c r="W201" s="21"/>
      <c r="X201" s="21"/>
    </row>
    <row r="202" customFormat="false" ht="15.75" hidden="false" customHeight="false" outlineLevel="0" collapsed="false">
      <c r="A202" s="61"/>
      <c r="B202" s="29"/>
      <c r="C202" s="21"/>
      <c r="D202" s="21"/>
      <c r="E202" s="21"/>
      <c r="F202" s="21"/>
      <c r="G202" s="30"/>
      <c r="H202" s="31"/>
      <c r="I202" s="21"/>
      <c r="J202" s="21"/>
      <c r="K202" s="21"/>
      <c r="L202" s="21"/>
      <c r="M202" s="21"/>
      <c r="N202" s="30"/>
      <c r="O202" s="21"/>
      <c r="P202" s="21"/>
      <c r="Q202" s="21"/>
      <c r="R202" s="32"/>
      <c r="S202" s="32"/>
      <c r="T202" s="21"/>
      <c r="U202" s="21"/>
      <c r="V202" s="21"/>
      <c r="W202" s="21"/>
      <c r="X202" s="21"/>
    </row>
    <row r="203" customFormat="false" ht="15.75" hidden="false" customHeight="false" outlineLevel="0" collapsed="false">
      <c r="A203" s="61"/>
      <c r="B203" s="29"/>
      <c r="C203" s="21"/>
      <c r="D203" s="21"/>
      <c r="E203" s="21"/>
      <c r="F203" s="21"/>
      <c r="G203" s="30"/>
      <c r="H203" s="31"/>
      <c r="I203" s="21"/>
      <c r="J203" s="21"/>
      <c r="K203" s="21"/>
      <c r="L203" s="21"/>
      <c r="M203" s="21"/>
      <c r="N203" s="30"/>
      <c r="O203" s="21"/>
      <c r="P203" s="21"/>
      <c r="Q203" s="21"/>
      <c r="R203" s="32"/>
      <c r="S203" s="32"/>
      <c r="T203" s="21"/>
      <c r="U203" s="21"/>
      <c r="V203" s="21"/>
      <c r="W203" s="21"/>
      <c r="X203" s="21"/>
    </row>
    <row r="204" customFormat="false" ht="15.75" hidden="false" customHeight="false" outlineLevel="0" collapsed="false">
      <c r="A204" s="61"/>
      <c r="B204" s="29"/>
      <c r="C204" s="21"/>
      <c r="D204" s="21"/>
      <c r="E204" s="21"/>
      <c r="F204" s="21"/>
      <c r="G204" s="30"/>
      <c r="H204" s="31"/>
      <c r="I204" s="21"/>
      <c r="J204" s="21"/>
      <c r="K204" s="21"/>
      <c r="L204" s="21"/>
      <c r="M204" s="21"/>
      <c r="N204" s="30"/>
      <c r="O204" s="21"/>
      <c r="P204" s="21"/>
      <c r="Q204" s="21"/>
      <c r="R204" s="32"/>
      <c r="S204" s="32"/>
      <c r="T204" s="21"/>
      <c r="U204" s="21"/>
      <c r="V204" s="21"/>
      <c r="W204" s="21"/>
      <c r="X204" s="21"/>
    </row>
    <row r="205" customFormat="false" ht="15.75" hidden="false" customHeight="false" outlineLevel="0" collapsed="false">
      <c r="A205" s="61"/>
      <c r="B205" s="29"/>
      <c r="C205" s="21"/>
      <c r="D205" s="21"/>
      <c r="E205" s="21"/>
      <c r="F205" s="21"/>
      <c r="G205" s="30"/>
      <c r="H205" s="31"/>
      <c r="I205" s="21"/>
      <c r="J205" s="21"/>
      <c r="K205" s="21"/>
      <c r="L205" s="21"/>
      <c r="M205" s="21"/>
      <c r="N205" s="30"/>
      <c r="O205" s="21"/>
      <c r="P205" s="21"/>
      <c r="Q205" s="21"/>
      <c r="R205" s="32"/>
      <c r="S205" s="32"/>
      <c r="T205" s="21"/>
      <c r="U205" s="21"/>
      <c r="V205" s="21"/>
      <c r="W205" s="21"/>
      <c r="X205" s="21"/>
    </row>
    <row r="206" customFormat="false" ht="15.75" hidden="false" customHeight="false" outlineLevel="0" collapsed="false">
      <c r="A206" s="61"/>
      <c r="B206" s="29"/>
      <c r="C206" s="21"/>
      <c r="D206" s="21"/>
      <c r="E206" s="21"/>
      <c r="F206" s="21"/>
      <c r="G206" s="30"/>
      <c r="H206" s="31"/>
      <c r="I206" s="21"/>
      <c r="J206" s="21"/>
      <c r="K206" s="21"/>
      <c r="L206" s="21"/>
      <c r="M206" s="21"/>
      <c r="N206" s="30"/>
      <c r="O206" s="21"/>
      <c r="P206" s="21"/>
      <c r="Q206" s="21"/>
      <c r="R206" s="32"/>
      <c r="S206" s="32"/>
      <c r="T206" s="21"/>
      <c r="U206" s="21"/>
      <c r="V206" s="21"/>
      <c r="W206" s="21"/>
      <c r="X206" s="21"/>
    </row>
    <row r="207" customFormat="false" ht="15.75" hidden="false" customHeight="false" outlineLevel="0" collapsed="false">
      <c r="A207" s="61"/>
      <c r="B207" s="29"/>
      <c r="C207" s="21"/>
      <c r="D207" s="21"/>
      <c r="E207" s="21"/>
      <c r="F207" s="21"/>
      <c r="G207" s="30"/>
      <c r="H207" s="31"/>
      <c r="I207" s="21"/>
      <c r="J207" s="21"/>
      <c r="K207" s="21"/>
      <c r="L207" s="21"/>
      <c r="M207" s="21"/>
      <c r="N207" s="30"/>
      <c r="O207" s="21"/>
      <c r="P207" s="21"/>
      <c r="Q207" s="21"/>
      <c r="R207" s="32"/>
      <c r="S207" s="32"/>
      <c r="T207" s="21"/>
      <c r="U207" s="21"/>
      <c r="V207" s="21"/>
      <c r="W207" s="21"/>
      <c r="X207" s="21"/>
    </row>
    <row r="208" customFormat="false" ht="15.75" hidden="false" customHeight="false" outlineLevel="0" collapsed="false">
      <c r="A208" s="61"/>
      <c r="B208" s="29"/>
      <c r="C208" s="21"/>
      <c r="D208" s="21"/>
      <c r="E208" s="21"/>
      <c r="F208" s="21"/>
      <c r="G208" s="30"/>
      <c r="H208" s="31"/>
      <c r="I208" s="21"/>
      <c r="J208" s="21"/>
      <c r="K208" s="21"/>
      <c r="L208" s="21"/>
      <c r="M208" s="21"/>
      <c r="N208" s="30"/>
      <c r="O208" s="21"/>
      <c r="P208" s="21"/>
      <c r="Q208" s="21"/>
      <c r="R208" s="32"/>
      <c r="S208" s="32"/>
      <c r="T208" s="21"/>
      <c r="U208" s="21"/>
      <c r="V208" s="21"/>
      <c r="W208" s="21"/>
      <c r="X208" s="21"/>
    </row>
    <row r="209" customFormat="false" ht="15.75" hidden="false" customHeight="false" outlineLevel="0" collapsed="false">
      <c r="A209" s="61"/>
      <c r="B209" s="29"/>
      <c r="C209" s="21"/>
      <c r="D209" s="21"/>
      <c r="E209" s="21"/>
      <c r="F209" s="21"/>
      <c r="G209" s="30"/>
      <c r="H209" s="31"/>
      <c r="I209" s="21"/>
      <c r="J209" s="21"/>
      <c r="K209" s="21"/>
      <c r="L209" s="21"/>
      <c r="M209" s="21"/>
      <c r="N209" s="30"/>
      <c r="O209" s="21"/>
      <c r="P209" s="21"/>
      <c r="Q209" s="21"/>
      <c r="R209" s="32"/>
      <c r="S209" s="32"/>
      <c r="T209" s="21"/>
      <c r="U209" s="21"/>
      <c r="V209" s="21"/>
      <c r="W209" s="21"/>
      <c r="X209" s="21"/>
    </row>
    <row r="210" customFormat="false" ht="15.75" hidden="false" customHeight="false" outlineLevel="0" collapsed="false">
      <c r="A210" s="61"/>
      <c r="B210" s="29"/>
      <c r="C210" s="21"/>
      <c r="D210" s="21"/>
      <c r="E210" s="21"/>
      <c r="F210" s="21"/>
      <c r="G210" s="30"/>
      <c r="H210" s="31"/>
      <c r="I210" s="21"/>
      <c r="J210" s="21"/>
      <c r="K210" s="21"/>
      <c r="L210" s="21"/>
      <c r="M210" s="21"/>
      <c r="N210" s="30"/>
      <c r="O210" s="21"/>
      <c r="P210" s="21"/>
      <c r="Q210" s="21"/>
      <c r="R210" s="32"/>
      <c r="S210" s="32"/>
      <c r="T210" s="21"/>
      <c r="U210" s="21"/>
      <c r="V210" s="21"/>
      <c r="W210" s="21"/>
      <c r="X210" s="21"/>
    </row>
    <row r="211" customFormat="false" ht="15.75" hidden="false" customHeight="false" outlineLevel="0" collapsed="false">
      <c r="A211" s="61"/>
      <c r="B211" s="29"/>
      <c r="C211" s="21"/>
      <c r="D211" s="21"/>
      <c r="E211" s="21"/>
      <c r="F211" s="21"/>
      <c r="G211" s="30"/>
      <c r="H211" s="31"/>
      <c r="I211" s="21"/>
      <c r="J211" s="21"/>
      <c r="K211" s="21"/>
      <c r="L211" s="21"/>
      <c r="M211" s="21"/>
      <c r="N211" s="30"/>
      <c r="O211" s="21"/>
      <c r="P211" s="21"/>
      <c r="Q211" s="21"/>
      <c r="R211" s="32"/>
      <c r="S211" s="32"/>
      <c r="T211" s="21"/>
      <c r="U211" s="21"/>
      <c r="V211" s="21"/>
      <c r="W211" s="21"/>
      <c r="X211" s="21"/>
    </row>
    <row r="212" customFormat="false" ht="15.75" hidden="false" customHeight="false" outlineLevel="0" collapsed="false">
      <c r="A212" s="61"/>
      <c r="B212" s="29"/>
      <c r="C212" s="21"/>
      <c r="D212" s="21"/>
      <c r="E212" s="21"/>
      <c r="F212" s="21"/>
      <c r="G212" s="30"/>
      <c r="H212" s="31"/>
      <c r="I212" s="21"/>
      <c r="J212" s="21"/>
      <c r="K212" s="21"/>
      <c r="L212" s="21"/>
      <c r="M212" s="21"/>
      <c r="N212" s="30"/>
      <c r="O212" s="21"/>
      <c r="P212" s="21"/>
      <c r="Q212" s="21"/>
      <c r="R212" s="32"/>
      <c r="S212" s="32"/>
      <c r="T212" s="21"/>
      <c r="U212" s="21"/>
      <c r="V212" s="21"/>
      <c r="W212" s="21"/>
      <c r="X212" s="21"/>
    </row>
    <row r="213" customFormat="false" ht="15.75" hidden="false" customHeight="false" outlineLevel="0" collapsed="false">
      <c r="A213" s="61"/>
      <c r="B213" s="29"/>
      <c r="C213" s="21"/>
      <c r="D213" s="21"/>
      <c r="E213" s="21"/>
      <c r="F213" s="21"/>
      <c r="G213" s="30"/>
      <c r="H213" s="31"/>
      <c r="I213" s="21"/>
      <c r="J213" s="21"/>
      <c r="K213" s="21"/>
      <c r="L213" s="21"/>
      <c r="M213" s="21"/>
      <c r="N213" s="30"/>
      <c r="O213" s="21"/>
      <c r="P213" s="21"/>
      <c r="Q213" s="21"/>
      <c r="R213" s="32"/>
      <c r="S213" s="32"/>
      <c r="T213" s="21"/>
      <c r="U213" s="21"/>
      <c r="V213" s="21"/>
      <c r="W213" s="21"/>
      <c r="X213" s="21"/>
    </row>
    <row r="214" customFormat="false" ht="15.75" hidden="false" customHeight="false" outlineLevel="0" collapsed="false">
      <c r="A214" s="61"/>
      <c r="B214" s="29"/>
      <c r="C214" s="21"/>
      <c r="D214" s="21"/>
      <c r="E214" s="21"/>
      <c r="F214" s="21"/>
      <c r="G214" s="30"/>
      <c r="H214" s="31"/>
      <c r="I214" s="21"/>
      <c r="J214" s="21"/>
      <c r="K214" s="21"/>
      <c r="L214" s="21"/>
      <c r="M214" s="21"/>
      <c r="N214" s="30"/>
      <c r="O214" s="21"/>
      <c r="P214" s="21"/>
      <c r="Q214" s="21"/>
      <c r="R214" s="32"/>
      <c r="S214" s="32"/>
      <c r="T214" s="21"/>
      <c r="U214" s="21"/>
      <c r="V214" s="21"/>
      <c r="W214" s="21"/>
      <c r="X214" s="21"/>
    </row>
    <row r="215" customFormat="false" ht="15.75" hidden="false" customHeight="false" outlineLevel="0" collapsed="false">
      <c r="A215" s="61"/>
      <c r="B215" s="29"/>
      <c r="C215" s="21"/>
      <c r="D215" s="21"/>
      <c r="E215" s="21"/>
      <c r="F215" s="21"/>
      <c r="G215" s="30"/>
      <c r="H215" s="31"/>
      <c r="I215" s="21"/>
      <c r="J215" s="21"/>
      <c r="K215" s="21"/>
      <c r="L215" s="21"/>
      <c r="M215" s="21"/>
      <c r="N215" s="30"/>
      <c r="O215" s="21"/>
      <c r="P215" s="21"/>
      <c r="Q215" s="21"/>
      <c r="R215" s="32"/>
      <c r="S215" s="32"/>
      <c r="T215" s="21"/>
      <c r="U215" s="21"/>
      <c r="V215" s="21"/>
      <c r="W215" s="21"/>
      <c r="X215" s="21"/>
    </row>
    <row r="216" customFormat="false" ht="15.75" hidden="false" customHeight="false" outlineLevel="0" collapsed="false">
      <c r="A216" s="61"/>
      <c r="B216" s="29"/>
      <c r="C216" s="21"/>
      <c r="D216" s="21"/>
      <c r="E216" s="21"/>
      <c r="F216" s="21"/>
      <c r="G216" s="30"/>
      <c r="H216" s="31"/>
      <c r="I216" s="21"/>
      <c r="J216" s="21"/>
      <c r="K216" s="21"/>
      <c r="L216" s="21"/>
      <c r="M216" s="21"/>
      <c r="N216" s="30"/>
      <c r="O216" s="21"/>
      <c r="P216" s="21"/>
      <c r="Q216" s="21"/>
      <c r="R216" s="32"/>
      <c r="S216" s="32"/>
      <c r="T216" s="21"/>
      <c r="U216" s="21"/>
      <c r="V216" s="21"/>
      <c r="W216" s="21"/>
      <c r="X216" s="21"/>
    </row>
    <row r="217" customFormat="false" ht="15.75" hidden="false" customHeight="false" outlineLevel="0" collapsed="false">
      <c r="A217" s="61"/>
      <c r="B217" s="29"/>
      <c r="C217" s="21"/>
      <c r="D217" s="21"/>
      <c r="E217" s="21"/>
      <c r="F217" s="21"/>
      <c r="G217" s="30"/>
      <c r="H217" s="31"/>
      <c r="I217" s="21"/>
      <c r="J217" s="21"/>
      <c r="K217" s="21"/>
      <c r="L217" s="21"/>
      <c r="M217" s="21"/>
      <c r="N217" s="30"/>
      <c r="O217" s="21"/>
      <c r="P217" s="21"/>
      <c r="Q217" s="21"/>
      <c r="R217" s="32"/>
      <c r="S217" s="32"/>
      <c r="T217" s="21"/>
      <c r="U217" s="21"/>
      <c r="V217" s="21"/>
      <c r="W217" s="21"/>
      <c r="X217" s="21"/>
    </row>
    <row r="218" customFormat="false" ht="15.75" hidden="false" customHeight="false" outlineLevel="0" collapsed="false">
      <c r="A218" s="61"/>
      <c r="B218" s="29"/>
      <c r="C218" s="21"/>
      <c r="D218" s="21"/>
      <c r="E218" s="21"/>
      <c r="F218" s="21"/>
      <c r="G218" s="30"/>
      <c r="H218" s="31"/>
      <c r="I218" s="21"/>
      <c r="J218" s="21"/>
      <c r="K218" s="21"/>
      <c r="L218" s="21"/>
      <c r="M218" s="21"/>
      <c r="N218" s="30"/>
      <c r="O218" s="21"/>
      <c r="P218" s="21"/>
      <c r="Q218" s="21"/>
      <c r="R218" s="32"/>
      <c r="S218" s="32"/>
      <c r="T218" s="21"/>
      <c r="U218" s="21"/>
      <c r="V218" s="21"/>
      <c r="W218" s="21"/>
      <c r="X218" s="21"/>
    </row>
    <row r="219" customFormat="false" ht="15.75" hidden="false" customHeight="false" outlineLevel="0" collapsed="false">
      <c r="A219" s="61"/>
      <c r="B219" s="29"/>
      <c r="C219" s="21"/>
      <c r="D219" s="21"/>
      <c r="E219" s="21"/>
      <c r="F219" s="21"/>
      <c r="G219" s="30"/>
      <c r="H219" s="31"/>
      <c r="I219" s="21"/>
      <c r="J219" s="21"/>
      <c r="K219" s="21"/>
      <c r="L219" s="21"/>
      <c r="M219" s="21"/>
      <c r="N219" s="30"/>
      <c r="O219" s="21"/>
      <c r="P219" s="21"/>
      <c r="Q219" s="21"/>
      <c r="R219" s="32"/>
      <c r="S219" s="32"/>
      <c r="T219" s="21"/>
      <c r="U219" s="21"/>
      <c r="V219" s="21"/>
      <c r="W219" s="21"/>
      <c r="X219" s="21"/>
    </row>
    <row r="220" customFormat="false" ht="15.75" hidden="false" customHeight="false" outlineLevel="0" collapsed="false">
      <c r="A220" s="61"/>
      <c r="B220" s="29"/>
      <c r="C220" s="21"/>
      <c r="D220" s="21"/>
      <c r="E220" s="21"/>
      <c r="F220" s="21"/>
      <c r="G220" s="30"/>
      <c r="H220" s="31"/>
      <c r="I220" s="21"/>
      <c r="J220" s="21"/>
      <c r="K220" s="21"/>
      <c r="L220" s="21"/>
      <c r="M220" s="21"/>
      <c r="N220" s="30"/>
      <c r="O220" s="21"/>
      <c r="P220" s="21"/>
      <c r="Q220" s="21"/>
      <c r="R220" s="32"/>
      <c r="S220" s="32"/>
      <c r="T220" s="21"/>
      <c r="U220" s="21"/>
      <c r="V220" s="21"/>
      <c r="W220" s="21"/>
      <c r="X220" s="21"/>
    </row>
    <row r="221" customFormat="false" ht="15.75" hidden="false" customHeight="false" outlineLevel="0" collapsed="false">
      <c r="A221" s="61"/>
      <c r="B221" s="29"/>
      <c r="C221" s="21"/>
      <c r="D221" s="21"/>
      <c r="E221" s="21"/>
      <c r="F221" s="21"/>
      <c r="G221" s="30"/>
      <c r="H221" s="31"/>
      <c r="I221" s="21"/>
      <c r="J221" s="21"/>
      <c r="K221" s="21"/>
      <c r="L221" s="21"/>
      <c r="M221" s="21"/>
      <c r="N221" s="30"/>
      <c r="O221" s="21"/>
      <c r="P221" s="21"/>
      <c r="Q221" s="21"/>
      <c r="R221" s="32"/>
      <c r="S221" s="32"/>
      <c r="T221" s="21"/>
      <c r="U221" s="21"/>
      <c r="V221" s="21"/>
      <c r="W221" s="21"/>
      <c r="X221" s="21"/>
    </row>
    <row r="222" customFormat="false" ht="15.75" hidden="false" customHeight="false" outlineLevel="0" collapsed="false">
      <c r="A222" s="61"/>
      <c r="B222" s="29"/>
      <c r="C222" s="21"/>
      <c r="D222" s="21"/>
      <c r="E222" s="21"/>
      <c r="F222" s="21"/>
      <c r="G222" s="30"/>
      <c r="H222" s="31"/>
      <c r="I222" s="21"/>
      <c r="J222" s="21"/>
      <c r="K222" s="21"/>
      <c r="L222" s="21"/>
      <c r="M222" s="21"/>
      <c r="N222" s="30"/>
      <c r="O222" s="21"/>
      <c r="P222" s="21"/>
      <c r="Q222" s="21"/>
      <c r="R222" s="32"/>
      <c r="S222" s="32"/>
      <c r="T222" s="21"/>
      <c r="U222" s="21"/>
      <c r="V222" s="21"/>
      <c r="W222" s="21"/>
      <c r="X222" s="21"/>
    </row>
    <row r="223" customFormat="false" ht="15.75" hidden="false" customHeight="false" outlineLevel="0" collapsed="false">
      <c r="A223" s="61"/>
      <c r="B223" s="29"/>
      <c r="C223" s="21"/>
      <c r="D223" s="21"/>
      <c r="E223" s="21"/>
      <c r="F223" s="21"/>
      <c r="G223" s="30"/>
      <c r="H223" s="31"/>
      <c r="I223" s="21"/>
      <c r="J223" s="21"/>
      <c r="K223" s="21"/>
      <c r="L223" s="21"/>
      <c r="M223" s="21"/>
      <c r="N223" s="30"/>
      <c r="O223" s="21"/>
      <c r="P223" s="21"/>
      <c r="Q223" s="21"/>
      <c r="R223" s="32"/>
      <c r="S223" s="32"/>
      <c r="T223" s="21"/>
      <c r="U223" s="21"/>
      <c r="V223" s="21"/>
      <c r="W223" s="21"/>
      <c r="X223" s="21"/>
    </row>
    <row r="224" customFormat="false" ht="15.75" hidden="false" customHeight="false" outlineLevel="0" collapsed="false">
      <c r="A224" s="61"/>
      <c r="B224" s="29"/>
      <c r="C224" s="21"/>
      <c r="D224" s="21"/>
      <c r="E224" s="21"/>
      <c r="F224" s="21"/>
      <c r="G224" s="30"/>
      <c r="H224" s="31"/>
      <c r="I224" s="21"/>
      <c r="J224" s="21"/>
      <c r="K224" s="21"/>
      <c r="L224" s="21"/>
      <c r="M224" s="21"/>
      <c r="N224" s="30"/>
      <c r="O224" s="21"/>
      <c r="P224" s="21"/>
      <c r="Q224" s="21"/>
      <c r="R224" s="32"/>
      <c r="S224" s="32"/>
      <c r="T224" s="21"/>
      <c r="U224" s="21"/>
      <c r="V224" s="21"/>
      <c r="W224" s="21"/>
      <c r="X224" s="21"/>
    </row>
    <row r="225" customFormat="false" ht="15.75" hidden="false" customHeight="false" outlineLevel="0" collapsed="false">
      <c r="A225" s="61"/>
      <c r="B225" s="29"/>
      <c r="C225" s="21"/>
      <c r="D225" s="21"/>
      <c r="E225" s="21"/>
      <c r="F225" s="21"/>
      <c r="G225" s="30"/>
      <c r="H225" s="31"/>
      <c r="I225" s="21"/>
      <c r="J225" s="21"/>
      <c r="K225" s="21"/>
      <c r="L225" s="21"/>
      <c r="M225" s="21"/>
      <c r="N225" s="30"/>
      <c r="O225" s="21"/>
      <c r="P225" s="21"/>
      <c r="Q225" s="21"/>
      <c r="R225" s="32"/>
      <c r="S225" s="32"/>
      <c r="T225" s="21"/>
      <c r="U225" s="21"/>
      <c r="V225" s="21"/>
      <c r="W225" s="21"/>
      <c r="X225" s="21"/>
    </row>
    <row r="226" customFormat="false" ht="15.75" hidden="false" customHeight="false" outlineLevel="0" collapsed="false">
      <c r="A226" s="61"/>
      <c r="B226" s="29"/>
      <c r="C226" s="21"/>
      <c r="D226" s="21"/>
      <c r="E226" s="21"/>
      <c r="F226" s="21"/>
      <c r="G226" s="30"/>
      <c r="H226" s="31"/>
      <c r="I226" s="21"/>
      <c r="J226" s="21"/>
      <c r="K226" s="21"/>
      <c r="L226" s="21"/>
      <c r="M226" s="21"/>
      <c r="N226" s="30"/>
      <c r="O226" s="21"/>
      <c r="P226" s="21"/>
      <c r="Q226" s="21"/>
      <c r="R226" s="32"/>
      <c r="S226" s="32"/>
      <c r="T226" s="21"/>
      <c r="U226" s="21"/>
      <c r="V226" s="21"/>
      <c r="W226" s="21"/>
      <c r="X226" s="21"/>
    </row>
    <row r="227" customFormat="false" ht="15.75" hidden="false" customHeight="false" outlineLevel="0" collapsed="false">
      <c r="A227" s="61"/>
      <c r="B227" s="29"/>
      <c r="C227" s="21"/>
      <c r="D227" s="21"/>
      <c r="E227" s="21"/>
      <c r="F227" s="21"/>
      <c r="G227" s="30"/>
      <c r="H227" s="31"/>
      <c r="I227" s="21"/>
      <c r="J227" s="21"/>
      <c r="K227" s="21"/>
      <c r="L227" s="21"/>
      <c r="M227" s="21"/>
      <c r="N227" s="30"/>
      <c r="O227" s="21"/>
      <c r="P227" s="21"/>
      <c r="Q227" s="21"/>
      <c r="R227" s="32"/>
      <c r="S227" s="32"/>
      <c r="T227" s="21"/>
      <c r="U227" s="21"/>
      <c r="V227" s="21"/>
      <c r="W227" s="21"/>
      <c r="X227" s="21"/>
    </row>
    <row r="228" customFormat="false" ht="15.75" hidden="false" customHeight="false" outlineLevel="0" collapsed="false">
      <c r="A228" s="61"/>
      <c r="B228" s="29"/>
      <c r="C228" s="21"/>
      <c r="D228" s="21"/>
      <c r="E228" s="21"/>
      <c r="F228" s="21"/>
      <c r="G228" s="30"/>
      <c r="H228" s="31"/>
      <c r="I228" s="21"/>
      <c r="J228" s="21"/>
      <c r="K228" s="21"/>
      <c r="L228" s="21"/>
      <c r="M228" s="21"/>
      <c r="N228" s="30"/>
      <c r="O228" s="21"/>
      <c r="P228" s="21"/>
      <c r="Q228" s="21"/>
      <c r="R228" s="32"/>
      <c r="S228" s="32"/>
      <c r="T228" s="21"/>
      <c r="U228" s="21"/>
      <c r="V228" s="21"/>
      <c r="W228" s="21"/>
      <c r="X228" s="21"/>
    </row>
    <row r="229" customFormat="false" ht="15.75" hidden="false" customHeight="false" outlineLevel="0" collapsed="false">
      <c r="A229" s="61"/>
      <c r="B229" s="29"/>
      <c r="C229" s="21"/>
      <c r="D229" s="21"/>
      <c r="E229" s="21"/>
      <c r="F229" s="21"/>
      <c r="G229" s="30"/>
      <c r="H229" s="31"/>
      <c r="I229" s="21"/>
      <c r="J229" s="21"/>
      <c r="K229" s="21"/>
      <c r="L229" s="21"/>
      <c r="M229" s="21"/>
      <c r="N229" s="30"/>
      <c r="O229" s="21"/>
      <c r="P229" s="21"/>
      <c r="Q229" s="21"/>
      <c r="R229" s="32"/>
      <c r="S229" s="32"/>
      <c r="T229" s="21"/>
      <c r="U229" s="21"/>
      <c r="V229" s="21"/>
      <c r="W229" s="21"/>
      <c r="X229" s="21"/>
    </row>
    <row r="230" customFormat="false" ht="15.75" hidden="false" customHeight="false" outlineLevel="0" collapsed="false">
      <c r="A230" s="61"/>
      <c r="B230" s="29"/>
      <c r="C230" s="21"/>
      <c r="D230" s="21"/>
      <c r="E230" s="21"/>
      <c r="F230" s="21"/>
      <c r="G230" s="30"/>
      <c r="H230" s="31"/>
      <c r="I230" s="21"/>
      <c r="J230" s="21"/>
      <c r="K230" s="21"/>
      <c r="L230" s="21"/>
      <c r="M230" s="21"/>
      <c r="N230" s="30"/>
      <c r="O230" s="21"/>
      <c r="P230" s="21"/>
      <c r="Q230" s="21"/>
      <c r="R230" s="32"/>
      <c r="S230" s="32"/>
      <c r="T230" s="21"/>
      <c r="U230" s="21"/>
      <c r="V230" s="21"/>
      <c r="W230" s="21"/>
      <c r="X230" s="21"/>
    </row>
    <row r="231" customFormat="false" ht="15.75" hidden="false" customHeight="false" outlineLevel="0" collapsed="false">
      <c r="A231" s="61"/>
      <c r="B231" s="29"/>
      <c r="C231" s="21"/>
      <c r="D231" s="21"/>
      <c r="E231" s="21"/>
      <c r="F231" s="21"/>
      <c r="G231" s="30"/>
      <c r="H231" s="31"/>
      <c r="I231" s="21"/>
      <c r="J231" s="21"/>
      <c r="K231" s="21"/>
      <c r="L231" s="21"/>
      <c r="M231" s="21"/>
      <c r="N231" s="30"/>
      <c r="O231" s="21"/>
      <c r="P231" s="21"/>
      <c r="Q231" s="21"/>
      <c r="R231" s="32"/>
      <c r="S231" s="32"/>
      <c r="T231" s="21"/>
      <c r="U231" s="21"/>
      <c r="V231" s="21"/>
      <c r="W231" s="21"/>
      <c r="X231" s="21"/>
    </row>
    <row r="232" customFormat="false" ht="15.75" hidden="false" customHeight="false" outlineLevel="0" collapsed="false">
      <c r="A232" s="61"/>
      <c r="B232" s="29"/>
      <c r="C232" s="21"/>
      <c r="D232" s="21"/>
      <c r="E232" s="21"/>
      <c r="F232" s="21"/>
      <c r="G232" s="30"/>
      <c r="H232" s="31"/>
      <c r="I232" s="21"/>
      <c r="J232" s="21"/>
      <c r="K232" s="21"/>
      <c r="L232" s="21"/>
      <c r="M232" s="21"/>
      <c r="N232" s="30"/>
      <c r="O232" s="21"/>
      <c r="P232" s="21"/>
      <c r="Q232" s="21"/>
      <c r="R232" s="32"/>
      <c r="S232" s="32"/>
      <c r="T232" s="21"/>
      <c r="U232" s="21"/>
      <c r="V232" s="21"/>
      <c r="W232" s="21"/>
      <c r="X232" s="21"/>
    </row>
    <row r="233" customFormat="false" ht="15.75" hidden="false" customHeight="false" outlineLevel="0" collapsed="false">
      <c r="A233" s="61"/>
      <c r="B233" s="29"/>
      <c r="C233" s="21"/>
      <c r="D233" s="21"/>
      <c r="E233" s="21"/>
      <c r="F233" s="21"/>
      <c r="G233" s="30"/>
      <c r="H233" s="31"/>
      <c r="I233" s="21"/>
      <c r="J233" s="21"/>
      <c r="K233" s="21"/>
      <c r="L233" s="21"/>
      <c r="M233" s="21"/>
      <c r="N233" s="30"/>
      <c r="O233" s="21"/>
      <c r="P233" s="21"/>
      <c r="Q233" s="21"/>
      <c r="R233" s="32"/>
      <c r="S233" s="32"/>
      <c r="T233" s="21"/>
      <c r="U233" s="21"/>
      <c r="V233" s="21"/>
      <c r="W233" s="21"/>
      <c r="X233" s="21"/>
    </row>
    <row r="234" customFormat="false" ht="15.75" hidden="false" customHeight="false" outlineLevel="0" collapsed="false">
      <c r="A234" s="61"/>
      <c r="B234" s="29"/>
      <c r="C234" s="21"/>
      <c r="D234" s="21"/>
      <c r="E234" s="21"/>
      <c r="F234" s="21"/>
      <c r="G234" s="30"/>
      <c r="H234" s="31"/>
      <c r="I234" s="21"/>
      <c r="J234" s="21"/>
      <c r="K234" s="21"/>
      <c r="L234" s="21"/>
      <c r="M234" s="21"/>
      <c r="N234" s="30"/>
      <c r="O234" s="21"/>
      <c r="P234" s="21"/>
      <c r="Q234" s="21"/>
      <c r="R234" s="32"/>
      <c r="S234" s="32"/>
      <c r="T234" s="21"/>
      <c r="U234" s="21"/>
      <c r="V234" s="21"/>
      <c r="W234" s="21"/>
      <c r="X234" s="21"/>
    </row>
    <row r="235" customFormat="false" ht="15.75" hidden="false" customHeight="false" outlineLevel="0" collapsed="false">
      <c r="A235" s="61"/>
      <c r="B235" s="29"/>
      <c r="C235" s="21"/>
      <c r="D235" s="21"/>
      <c r="E235" s="21"/>
      <c r="F235" s="21"/>
      <c r="G235" s="30"/>
      <c r="H235" s="31"/>
      <c r="I235" s="21"/>
      <c r="J235" s="21"/>
      <c r="K235" s="21"/>
      <c r="L235" s="21"/>
      <c r="M235" s="21"/>
      <c r="N235" s="30"/>
      <c r="O235" s="21"/>
      <c r="P235" s="21"/>
      <c r="Q235" s="21"/>
      <c r="R235" s="32"/>
      <c r="S235" s="32"/>
      <c r="T235" s="21"/>
      <c r="U235" s="21"/>
      <c r="V235" s="21"/>
      <c r="W235" s="21"/>
      <c r="X235" s="21"/>
    </row>
    <row r="236" customFormat="false" ht="15.75" hidden="false" customHeight="false" outlineLevel="0" collapsed="false">
      <c r="A236" s="61"/>
      <c r="B236" s="29"/>
      <c r="C236" s="21"/>
      <c r="D236" s="21"/>
      <c r="E236" s="21"/>
      <c r="F236" s="21"/>
      <c r="G236" s="30"/>
      <c r="H236" s="31"/>
      <c r="I236" s="21"/>
      <c r="J236" s="21"/>
      <c r="K236" s="21"/>
      <c r="L236" s="21"/>
      <c r="M236" s="21"/>
      <c r="N236" s="30"/>
      <c r="O236" s="21"/>
      <c r="P236" s="21"/>
      <c r="Q236" s="21"/>
      <c r="R236" s="32"/>
      <c r="S236" s="32"/>
      <c r="T236" s="21"/>
      <c r="U236" s="21"/>
      <c r="V236" s="21"/>
      <c r="W236" s="21"/>
      <c r="X236" s="21"/>
    </row>
    <row r="237" customFormat="false" ht="15.75" hidden="false" customHeight="false" outlineLevel="0" collapsed="false">
      <c r="A237" s="61"/>
      <c r="B237" s="29"/>
      <c r="C237" s="21"/>
      <c r="D237" s="21"/>
      <c r="E237" s="21"/>
      <c r="F237" s="21"/>
      <c r="G237" s="30"/>
      <c r="H237" s="31"/>
      <c r="I237" s="21"/>
      <c r="J237" s="21"/>
      <c r="K237" s="21"/>
      <c r="L237" s="21"/>
      <c r="M237" s="21"/>
      <c r="N237" s="30"/>
      <c r="O237" s="21"/>
      <c r="P237" s="21"/>
      <c r="Q237" s="21"/>
      <c r="R237" s="32"/>
      <c r="S237" s="32"/>
      <c r="T237" s="21"/>
      <c r="U237" s="21"/>
      <c r="V237" s="21"/>
      <c r="W237" s="21"/>
      <c r="X237" s="21"/>
    </row>
    <row r="238" customFormat="false" ht="15.75" hidden="false" customHeight="false" outlineLevel="0" collapsed="false">
      <c r="A238" s="61"/>
      <c r="B238" s="29"/>
      <c r="C238" s="21"/>
      <c r="D238" s="21"/>
      <c r="E238" s="21"/>
      <c r="F238" s="21"/>
      <c r="G238" s="30"/>
      <c r="H238" s="31"/>
      <c r="I238" s="21"/>
      <c r="J238" s="21"/>
      <c r="K238" s="21"/>
      <c r="L238" s="21"/>
      <c r="M238" s="21"/>
      <c r="N238" s="30"/>
      <c r="O238" s="21"/>
      <c r="P238" s="21"/>
      <c r="Q238" s="21"/>
      <c r="R238" s="32"/>
      <c r="S238" s="32"/>
      <c r="T238" s="21"/>
      <c r="U238" s="21"/>
      <c r="V238" s="21"/>
      <c r="W238" s="21"/>
      <c r="X238" s="21"/>
    </row>
    <row r="239" customFormat="false" ht="15.75" hidden="false" customHeight="false" outlineLevel="0" collapsed="false">
      <c r="A239" s="61"/>
      <c r="B239" s="29"/>
      <c r="C239" s="21"/>
      <c r="D239" s="21"/>
      <c r="E239" s="21"/>
      <c r="F239" s="21"/>
      <c r="G239" s="30"/>
      <c r="H239" s="31"/>
      <c r="I239" s="21"/>
      <c r="J239" s="21"/>
      <c r="K239" s="21"/>
      <c r="L239" s="21"/>
      <c r="M239" s="21"/>
      <c r="N239" s="30"/>
      <c r="O239" s="21"/>
      <c r="P239" s="21"/>
      <c r="Q239" s="21"/>
      <c r="R239" s="32"/>
      <c r="S239" s="32"/>
      <c r="T239" s="21"/>
      <c r="U239" s="21"/>
      <c r="V239" s="21"/>
      <c r="W239" s="21"/>
      <c r="X239" s="21"/>
    </row>
    <row r="240" customFormat="false" ht="15.75" hidden="false" customHeight="false" outlineLevel="0" collapsed="false">
      <c r="A240" s="61"/>
      <c r="B240" s="29"/>
      <c r="C240" s="21"/>
      <c r="D240" s="21"/>
      <c r="E240" s="21"/>
      <c r="F240" s="21"/>
      <c r="G240" s="30"/>
      <c r="H240" s="31"/>
      <c r="I240" s="21"/>
      <c r="J240" s="21"/>
      <c r="K240" s="21"/>
      <c r="L240" s="21"/>
      <c r="M240" s="21"/>
      <c r="N240" s="30"/>
      <c r="O240" s="21"/>
      <c r="P240" s="21"/>
      <c r="Q240" s="21"/>
      <c r="R240" s="32"/>
      <c r="S240" s="32"/>
      <c r="T240" s="21"/>
      <c r="U240" s="21"/>
      <c r="V240" s="21"/>
      <c r="W240" s="21"/>
      <c r="X240" s="21"/>
    </row>
    <row r="241" customFormat="false" ht="15.75" hidden="false" customHeight="false" outlineLevel="0" collapsed="false">
      <c r="A241" s="61"/>
      <c r="B241" s="29"/>
      <c r="C241" s="21"/>
      <c r="D241" s="21"/>
      <c r="E241" s="21"/>
      <c r="F241" s="21"/>
      <c r="G241" s="30"/>
      <c r="H241" s="31"/>
      <c r="I241" s="21"/>
      <c r="J241" s="21"/>
      <c r="K241" s="21"/>
      <c r="L241" s="21"/>
      <c r="M241" s="21"/>
      <c r="N241" s="30"/>
      <c r="O241" s="21"/>
      <c r="P241" s="21"/>
      <c r="Q241" s="21"/>
      <c r="R241" s="32"/>
      <c r="S241" s="32"/>
      <c r="T241" s="21"/>
      <c r="U241" s="21"/>
      <c r="V241" s="21"/>
      <c r="W241" s="21"/>
      <c r="X241" s="21"/>
    </row>
    <row r="242" customFormat="false" ht="15.75" hidden="false" customHeight="false" outlineLevel="0" collapsed="false">
      <c r="A242" s="61"/>
      <c r="B242" s="29"/>
      <c r="C242" s="21"/>
      <c r="D242" s="21"/>
      <c r="E242" s="21"/>
      <c r="F242" s="21"/>
      <c r="G242" s="30"/>
      <c r="H242" s="31"/>
      <c r="I242" s="21"/>
      <c r="J242" s="21"/>
      <c r="K242" s="21"/>
      <c r="L242" s="21"/>
      <c r="M242" s="21"/>
      <c r="N242" s="30"/>
      <c r="O242" s="21"/>
      <c r="P242" s="21"/>
      <c r="Q242" s="21"/>
      <c r="R242" s="32"/>
      <c r="S242" s="32"/>
      <c r="T242" s="21"/>
      <c r="U242" s="21"/>
      <c r="V242" s="21"/>
      <c r="W242" s="21"/>
      <c r="X242" s="21"/>
    </row>
    <row r="243" customFormat="false" ht="15.75" hidden="false" customHeight="false" outlineLevel="0" collapsed="false">
      <c r="A243" s="61"/>
      <c r="B243" s="29"/>
      <c r="C243" s="21"/>
      <c r="D243" s="21"/>
      <c r="E243" s="21"/>
      <c r="F243" s="21"/>
      <c r="G243" s="30"/>
      <c r="H243" s="31"/>
      <c r="I243" s="21"/>
      <c r="J243" s="21"/>
      <c r="K243" s="21"/>
      <c r="L243" s="21"/>
      <c r="M243" s="21"/>
      <c r="N243" s="30"/>
      <c r="O243" s="21"/>
      <c r="P243" s="21"/>
      <c r="Q243" s="21"/>
      <c r="R243" s="32"/>
      <c r="S243" s="32"/>
      <c r="T243" s="21"/>
      <c r="U243" s="21"/>
      <c r="V243" s="21"/>
      <c r="W243" s="21"/>
      <c r="X243" s="21"/>
    </row>
    <row r="244" customFormat="false" ht="15.75" hidden="false" customHeight="false" outlineLevel="0" collapsed="false">
      <c r="A244" s="61"/>
      <c r="B244" s="29"/>
      <c r="C244" s="21"/>
      <c r="D244" s="21"/>
      <c r="E244" s="21"/>
      <c r="F244" s="21"/>
      <c r="G244" s="30"/>
      <c r="H244" s="31"/>
      <c r="I244" s="21"/>
      <c r="J244" s="21"/>
      <c r="K244" s="21"/>
      <c r="L244" s="21"/>
      <c r="M244" s="21"/>
      <c r="N244" s="30"/>
      <c r="O244" s="21"/>
      <c r="P244" s="21"/>
      <c r="Q244" s="21"/>
      <c r="R244" s="32"/>
      <c r="S244" s="32"/>
      <c r="T244" s="21"/>
      <c r="U244" s="21"/>
      <c r="V244" s="21"/>
      <c r="W244" s="21"/>
      <c r="X244" s="21"/>
    </row>
    <row r="245" customFormat="false" ht="15.75" hidden="false" customHeight="false" outlineLevel="0" collapsed="false">
      <c r="A245" s="61"/>
      <c r="B245" s="29"/>
      <c r="C245" s="21"/>
      <c r="D245" s="21"/>
      <c r="E245" s="21"/>
      <c r="F245" s="21"/>
      <c r="G245" s="30"/>
      <c r="H245" s="31"/>
      <c r="I245" s="21"/>
      <c r="J245" s="21"/>
      <c r="K245" s="21"/>
      <c r="L245" s="21"/>
      <c r="M245" s="21"/>
      <c r="N245" s="30"/>
      <c r="O245" s="21"/>
      <c r="P245" s="21"/>
      <c r="Q245" s="21"/>
      <c r="R245" s="32"/>
      <c r="S245" s="32"/>
      <c r="T245" s="21"/>
      <c r="U245" s="21"/>
      <c r="V245" s="21"/>
      <c r="W245" s="21"/>
      <c r="X245" s="21"/>
    </row>
    <row r="246" customFormat="false" ht="15.75" hidden="false" customHeight="false" outlineLevel="0" collapsed="false">
      <c r="A246" s="61"/>
      <c r="B246" s="29"/>
      <c r="C246" s="21"/>
      <c r="D246" s="21"/>
      <c r="E246" s="21"/>
      <c r="F246" s="21"/>
      <c r="G246" s="30"/>
      <c r="H246" s="31"/>
      <c r="I246" s="21"/>
      <c r="J246" s="21"/>
      <c r="K246" s="21"/>
      <c r="L246" s="21"/>
      <c r="M246" s="21"/>
      <c r="N246" s="30"/>
      <c r="O246" s="21"/>
      <c r="P246" s="21"/>
      <c r="Q246" s="21"/>
      <c r="R246" s="32"/>
      <c r="S246" s="32"/>
      <c r="T246" s="21"/>
      <c r="U246" s="21"/>
      <c r="V246" s="21"/>
      <c r="W246" s="21"/>
      <c r="X246" s="21"/>
    </row>
    <row r="247" customFormat="false" ht="15.75" hidden="false" customHeight="false" outlineLevel="0" collapsed="false">
      <c r="A247" s="61"/>
      <c r="B247" s="29"/>
      <c r="C247" s="21"/>
      <c r="D247" s="21"/>
      <c r="E247" s="21"/>
      <c r="F247" s="21"/>
      <c r="G247" s="30"/>
      <c r="H247" s="31"/>
      <c r="I247" s="21"/>
      <c r="J247" s="21"/>
      <c r="K247" s="21"/>
      <c r="L247" s="21"/>
      <c r="M247" s="21"/>
      <c r="N247" s="30"/>
      <c r="O247" s="21"/>
      <c r="P247" s="21"/>
      <c r="Q247" s="21"/>
      <c r="R247" s="32"/>
      <c r="S247" s="32"/>
      <c r="T247" s="21"/>
      <c r="U247" s="21"/>
      <c r="V247" s="21"/>
      <c r="W247" s="21"/>
      <c r="X247" s="21"/>
    </row>
    <row r="248" customFormat="false" ht="15.75" hidden="false" customHeight="false" outlineLevel="0" collapsed="false">
      <c r="A248" s="61"/>
      <c r="B248" s="29"/>
      <c r="C248" s="21"/>
      <c r="D248" s="21"/>
      <c r="E248" s="21"/>
      <c r="F248" s="21"/>
      <c r="G248" s="30"/>
      <c r="H248" s="31"/>
      <c r="I248" s="21"/>
      <c r="J248" s="21"/>
      <c r="K248" s="21"/>
      <c r="L248" s="21"/>
      <c r="M248" s="21"/>
      <c r="N248" s="30"/>
      <c r="O248" s="21"/>
      <c r="P248" s="21"/>
      <c r="Q248" s="21"/>
      <c r="R248" s="32"/>
      <c r="S248" s="32"/>
      <c r="T248" s="21"/>
      <c r="U248" s="21"/>
      <c r="V248" s="21"/>
      <c r="W248" s="21"/>
      <c r="X248" s="21"/>
    </row>
    <row r="249" customFormat="false" ht="15.75" hidden="false" customHeight="false" outlineLevel="0" collapsed="false">
      <c r="A249" s="61"/>
      <c r="B249" s="29"/>
      <c r="C249" s="21"/>
      <c r="D249" s="21"/>
      <c r="E249" s="21"/>
      <c r="F249" s="21"/>
      <c r="G249" s="30"/>
      <c r="H249" s="31"/>
      <c r="I249" s="21"/>
      <c r="J249" s="21"/>
      <c r="K249" s="21"/>
      <c r="L249" s="21"/>
      <c r="M249" s="21"/>
      <c r="N249" s="30"/>
      <c r="O249" s="21"/>
      <c r="P249" s="21"/>
      <c r="Q249" s="21"/>
      <c r="R249" s="32"/>
      <c r="S249" s="32"/>
      <c r="T249" s="21"/>
      <c r="U249" s="21"/>
      <c r="V249" s="21"/>
      <c r="W249" s="21"/>
      <c r="X249" s="21"/>
    </row>
    <row r="250" customFormat="false" ht="15.75" hidden="false" customHeight="false" outlineLevel="0" collapsed="false">
      <c r="A250" s="61"/>
      <c r="B250" s="29"/>
      <c r="C250" s="21"/>
      <c r="D250" s="21"/>
      <c r="E250" s="21"/>
      <c r="F250" s="21"/>
      <c r="G250" s="30"/>
      <c r="H250" s="31"/>
      <c r="I250" s="21"/>
      <c r="J250" s="21"/>
      <c r="K250" s="21"/>
      <c r="L250" s="21"/>
      <c r="M250" s="21"/>
      <c r="N250" s="30"/>
      <c r="O250" s="21"/>
      <c r="P250" s="21"/>
      <c r="Q250" s="21"/>
      <c r="R250" s="32"/>
      <c r="S250" s="32"/>
      <c r="T250" s="21"/>
      <c r="U250" s="21"/>
      <c r="V250" s="21"/>
      <c r="W250" s="21"/>
      <c r="X250" s="21"/>
    </row>
    <row r="251" customFormat="false" ht="15.75" hidden="false" customHeight="false" outlineLevel="0" collapsed="false">
      <c r="A251" s="61"/>
      <c r="B251" s="29"/>
      <c r="C251" s="21"/>
      <c r="D251" s="21"/>
      <c r="E251" s="21"/>
      <c r="F251" s="21"/>
      <c r="G251" s="30"/>
      <c r="H251" s="31"/>
      <c r="I251" s="21"/>
      <c r="J251" s="21"/>
      <c r="K251" s="21"/>
      <c r="L251" s="21"/>
      <c r="M251" s="21"/>
      <c r="N251" s="30"/>
      <c r="O251" s="21"/>
      <c r="P251" s="21"/>
      <c r="Q251" s="21"/>
      <c r="R251" s="32"/>
      <c r="S251" s="32"/>
      <c r="T251" s="21"/>
      <c r="U251" s="21"/>
      <c r="V251" s="21"/>
      <c r="W251" s="21"/>
      <c r="X251" s="21"/>
    </row>
    <row r="252" customFormat="false" ht="15.75" hidden="false" customHeight="false" outlineLevel="0" collapsed="false">
      <c r="A252" s="61"/>
      <c r="B252" s="29"/>
      <c r="C252" s="21"/>
      <c r="D252" s="21"/>
      <c r="E252" s="21"/>
      <c r="F252" s="21"/>
      <c r="G252" s="30"/>
      <c r="H252" s="31"/>
      <c r="I252" s="21"/>
      <c r="J252" s="21"/>
      <c r="K252" s="21"/>
      <c r="L252" s="21"/>
      <c r="M252" s="21"/>
      <c r="N252" s="30"/>
      <c r="O252" s="21"/>
      <c r="P252" s="21"/>
      <c r="Q252" s="21"/>
      <c r="R252" s="32"/>
      <c r="S252" s="32"/>
      <c r="T252" s="21"/>
      <c r="U252" s="21"/>
      <c r="V252" s="21"/>
      <c r="W252" s="21"/>
      <c r="X252" s="21"/>
    </row>
    <row r="253" customFormat="false" ht="15.75" hidden="false" customHeight="false" outlineLevel="0" collapsed="false">
      <c r="A253" s="61"/>
      <c r="B253" s="29"/>
      <c r="C253" s="21"/>
      <c r="D253" s="21"/>
      <c r="E253" s="21"/>
      <c r="F253" s="21"/>
      <c r="G253" s="30"/>
      <c r="H253" s="31"/>
      <c r="I253" s="21"/>
      <c r="J253" s="21"/>
      <c r="K253" s="21"/>
      <c r="L253" s="21"/>
      <c r="M253" s="21"/>
      <c r="N253" s="30"/>
      <c r="O253" s="21"/>
      <c r="P253" s="21"/>
      <c r="Q253" s="21"/>
      <c r="R253" s="32"/>
      <c r="S253" s="32"/>
      <c r="T253" s="21"/>
      <c r="U253" s="21"/>
      <c r="V253" s="21"/>
      <c r="W253" s="21"/>
      <c r="X253" s="21"/>
    </row>
    <row r="254" customFormat="false" ht="15.75" hidden="false" customHeight="false" outlineLevel="0" collapsed="false">
      <c r="A254" s="61"/>
      <c r="B254" s="29"/>
      <c r="C254" s="21"/>
      <c r="D254" s="21"/>
      <c r="E254" s="21"/>
      <c r="F254" s="21"/>
      <c r="G254" s="30"/>
      <c r="H254" s="31"/>
      <c r="I254" s="21"/>
      <c r="J254" s="21"/>
      <c r="K254" s="21"/>
      <c r="L254" s="21"/>
      <c r="M254" s="21"/>
      <c r="N254" s="30"/>
      <c r="O254" s="21"/>
      <c r="P254" s="21"/>
      <c r="Q254" s="21"/>
      <c r="R254" s="32"/>
      <c r="S254" s="32"/>
      <c r="T254" s="21"/>
      <c r="U254" s="21"/>
      <c r="V254" s="21"/>
      <c r="W254" s="21"/>
      <c r="X254" s="21"/>
    </row>
    <row r="255" customFormat="false" ht="15.75" hidden="false" customHeight="false" outlineLevel="0" collapsed="false">
      <c r="A255" s="61"/>
      <c r="B255" s="29"/>
      <c r="C255" s="21"/>
      <c r="D255" s="21"/>
      <c r="E255" s="21"/>
      <c r="F255" s="21"/>
      <c r="G255" s="30"/>
      <c r="H255" s="31"/>
      <c r="I255" s="21"/>
      <c r="J255" s="21"/>
      <c r="K255" s="21"/>
      <c r="L255" s="21"/>
      <c r="M255" s="21"/>
      <c r="N255" s="30"/>
      <c r="O255" s="21"/>
      <c r="P255" s="21"/>
      <c r="Q255" s="21"/>
      <c r="R255" s="32"/>
      <c r="S255" s="32"/>
      <c r="T255" s="21"/>
      <c r="U255" s="21"/>
      <c r="V255" s="21"/>
      <c r="W255" s="21"/>
      <c r="X255" s="21"/>
    </row>
    <row r="256" customFormat="false" ht="15.75" hidden="false" customHeight="false" outlineLevel="0" collapsed="false">
      <c r="A256" s="61"/>
      <c r="B256" s="29"/>
      <c r="C256" s="21"/>
      <c r="D256" s="21"/>
      <c r="E256" s="21"/>
      <c r="F256" s="21"/>
      <c r="G256" s="30"/>
      <c r="H256" s="31"/>
      <c r="I256" s="21"/>
      <c r="J256" s="21"/>
      <c r="K256" s="21"/>
      <c r="L256" s="21"/>
      <c r="M256" s="21"/>
      <c r="N256" s="30"/>
      <c r="O256" s="21"/>
      <c r="P256" s="21"/>
      <c r="Q256" s="21"/>
      <c r="R256" s="32"/>
      <c r="S256" s="32"/>
      <c r="T256" s="21"/>
      <c r="U256" s="21"/>
      <c r="V256" s="21"/>
      <c r="W256" s="21"/>
      <c r="X256" s="21"/>
    </row>
    <row r="257" customFormat="false" ht="15.75" hidden="false" customHeight="false" outlineLevel="0" collapsed="false">
      <c r="A257" s="61"/>
      <c r="B257" s="29"/>
      <c r="C257" s="21"/>
      <c r="D257" s="21"/>
      <c r="E257" s="21"/>
      <c r="F257" s="21"/>
      <c r="G257" s="30"/>
      <c r="H257" s="31"/>
      <c r="I257" s="21"/>
      <c r="J257" s="21"/>
      <c r="K257" s="21"/>
      <c r="L257" s="21"/>
      <c r="M257" s="21"/>
      <c r="N257" s="30"/>
      <c r="O257" s="21"/>
      <c r="P257" s="21"/>
      <c r="Q257" s="21"/>
      <c r="R257" s="32"/>
      <c r="S257" s="32"/>
      <c r="T257" s="21"/>
      <c r="U257" s="21"/>
      <c r="V257" s="21"/>
      <c r="W257" s="21"/>
      <c r="X257" s="21"/>
    </row>
    <row r="258" customFormat="false" ht="15.75" hidden="false" customHeight="false" outlineLevel="0" collapsed="false">
      <c r="A258" s="61"/>
      <c r="B258" s="29"/>
      <c r="C258" s="21"/>
      <c r="D258" s="21"/>
      <c r="E258" s="21"/>
      <c r="F258" s="21"/>
      <c r="G258" s="30"/>
      <c r="H258" s="31"/>
      <c r="I258" s="21"/>
      <c r="J258" s="21"/>
      <c r="K258" s="21"/>
      <c r="L258" s="21"/>
      <c r="M258" s="21"/>
      <c r="N258" s="30"/>
      <c r="O258" s="21"/>
      <c r="P258" s="21"/>
      <c r="Q258" s="21"/>
      <c r="R258" s="32"/>
      <c r="S258" s="32"/>
      <c r="T258" s="21"/>
      <c r="U258" s="21"/>
      <c r="V258" s="21"/>
      <c r="W258" s="21"/>
      <c r="X258" s="21"/>
    </row>
    <row r="259" customFormat="false" ht="15.75" hidden="false" customHeight="false" outlineLevel="0" collapsed="false">
      <c r="A259" s="61"/>
      <c r="B259" s="29"/>
      <c r="C259" s="21"/>
      <c r="D259" s="21"/>
      <c r="E259" s="21"/>
      <c r="F259" s="21"/>
      <c r="G259" s="30"/>
      <c r="H259" s="31"/>
      <c r="I259" s="21"/>
      <c r="J259" s="21"/>
      <c r="K259" s="21"/>
      <c r="L259" s="21"/>
      <c r="M259" s="21"/>
      <c r="N259" s="30"/>
      <c r="O259" s="21"/>
      <c r="P259" s="21"/>
      <c r="Q259" s="21"/>
      <c r="R259" s="32"/>
      <c r="S259" s="32"/>
      <c r="T259" s="21"/>
      <c r="U259" s="21"/>
      <c r="V259" s="21"/>
      <c r="W259" s="21"/>
      <c r="X259" s="21"/>
    </row>
    <row r="260" customFormat="false" ht="15.75" hidden="false" customHeight="false" outlineLevel="0" collapsed="false">
      <c r="A260" s="61"/>
      <c r="B260" s="29"/>
      <c r="C260" s="21"/>
      <c r="D260" s="21"/>
      <c r="E260" s="21"/>
      <c r="F260" s="21"/>
      <c r="G260" s="30"/>
      <c r="H260" s="31"/>
      <c r="I260" s="21"/>
      <c r="J260" s="21"/>
      <c r="K260" s="21"/>
      <c r="L260" s="21"/>
      <c r="M260" s="21"/>
      <c r="N260" s="30"/>
      <c r="O260" s="21"/>
      <c r="P260" s="21"/>
      <c r="Q260" s="21"/>
      <c r="R260" s="32"/>
      <c r="S260" s="32"/>
      <c r="T260" s="21"/>
      <c r="U260" s="21"/>
      <c r="V260" s="21"/>
      <c r="W260" s="21"/>
      <c r="X260" s="21"/>
    </row>
    <row r="261" customFormat="false" ht="15.75" hidden="false" customHeight="false" outlineLevel="0" collapsed="false">
      <c r="A261" s="61"/>
      <c r="B261" s="29"/>
      <c r="C261" s="21"/>
      <c r="D261" s="21"/>
      <c r="E261" s="21"/>
      <c r="F261" s="21"/>
      <c r="G261" s="30"/>
      <c r="H261" s="31"/>
      <c r="I261" s="21"/>
      <c r="J261" s="21"/>
      <c r="K261" s="21"/>
      <c r="L261" s="21"/>
      <c r="M261" s="21"/>
      <c r="N261" s="30"/>
      <c r="O261" s="21"/>
      <c r="P261" s="21"/>
      <c r="Q261" s="21"/>
      <c r="R261" s="32"/>
      <c r="S261" s="32"/>
      <c r="T261" s="21"/>
      <c r="U261" s="21"/>
      <c r="V261" s="21"/>
      <c r="W261" s="21"/>
      <c r="X261" s="21"/>
    </row>
    <row r="262" customFormat="false" ht="15.75" hidden="false" customHeight="false" outlineLevel="0" collapsed="false">
      <c r="A262" s="61"/>
      <c r="B262" s="29"/>
      <c r="C262" s="21"/>
      <c r="D262" s="21"/>
      <c r="E262" s="21"/>
      <c r="F262" s="21"/>
      <c r="G262" s="30"/>
      <c r="H262" s="31"/>
      <c r="I262" s="21"/>
      <c r="J262" s="21"/>
      <c r="K262" s="21"/>
      <c r="L262" s="21"/>
      <c r="M262" s="21"/>
      <c r="N262" s="30"/>
      <c r="O262" s="21"/>
      <c r="P262" s="21"/>
      <c r="Q262" s="21"/>
      <c r="R262" s="32"/>
      <c r="S262" s="32"/>
      <c r="T262" s="21"/>
      <c r="U262" s="21"/>
      <c r="V262" s="21"/>
      <c r="W262" s="21"/>
      <c r="X262" s="21"/>
    </row>
    <row r="263" customFormat="false" ht="15.75" hidden="false" customHeight="false" outlineLevel="0" collapsed="false">
      <c r="A263" s="61"/>
      <c r="B263" s="29"/>
      <c r="C263" s="21"/>
      <c r="D263" s="21"/>
      <c r="E263" s="21"/>
      <c r="F263" s="21"/>
      <c r="G263" s="30"/>
      <c r="H263" s="31"/>
      <c r="I263" s="21"/>
      <c r="J263" s="21"/>
      <c r="K263" s="21"/>
      <c r="L263" s="21"/>
      <c r="M263" s="21"/>
      <c r="N263" s="30"/>
      <c r="O263" s="21"/>
      <c r="P263" s="21"/>
      <c r="Q263" s="21"/>
      <c r="R263" s="32"/>
      <c r="S263" s="32"/>
      <c r="T263" s="21"/>
      <c r="U263" s="21"/>
      <c r="V263" s="21"/>
      <c r="W263" s="21"/>
      <c r="X263" s="21"/>
    </row>
    <row r="264" customFormat="false" ht="15.75" hidden="false" customHeight="false" outlineLevel="0" collapsed="false">
      <c r="A264" s="61"/>
      <c r="B264" s="29"/>
      <c r="C264" s="21"/>
      <c r="D264" s="21"/>
      <c r="E264" s="21"/>
      <c r="F264" s="21"/>
      <c r="G264" s="30"/>
      <c r="H264" s="31"/>
      <c r="I264" s="21"/>
      <c r="J264" s="21"/>
      <c r="K264" s="21"/>
      <c r="L264" s="21"/>
      <c r="M264" s="21"/>
      <c r="N264" s="30"/>
      <c r="O264" s="21"/>
      <c r="P264" s="21"/>
      <c r="Q264" s="21"/>
      <c r="R264" s="32"/>
      <c r="S264" s="32"/>
      <c r="T264" s="21"/>
      <c r="U264" s="21"/>
      <c r="V264" s="21"/>
      <c r="W264" s="21"/>
      <c r="X264" s="21"/>
    </row>
    <row r="265" customFormat="false" ht="15.75" hidden="false" customHeight="false" outlineLevel="0" collapsed="false">
      <c r="A265" s="61"/>
      <c r="B265" s="29"/>
      <c r="C265" s="21"/>
      <c r="D265" s="21"/>
      <c r="E265" s="21"/>
      <c r="F265" s="21"/>
      <c r="G265" s="30"/>
      <c r="H265" s="31"/>
      <c r="I265" s="21"/>
      <c r="J265" s="21"/>
      <c r="K265" s="21"/>
      <c r="L265" s="21"/>
      <c r="M265" s="21"/>
      <c r="N265" s="30"/>
      <c r="O265" s="21"/>
      <c r="P265" s="21"/>
      <c r="Q265" s="21"/>
      <c r="R265" s="32"/>
      <c r="S265" s="32"/>
      <c r="T265" s="21"/>
      <c r="U265" s="21"/>
      <c r="V265" s="21"/>
      <c r="W265" s="21"/>
      <c r="X265" s="21"/>
    </row>
    <row r="266" customFormat="false" ht="15.75" hidden="false" customHeight="false" outlineLevel="0" collapsed="false">
      <c r="A266" s="61"/>
      <c r="B266" s="29"/>
      <c r="C266" s="21"/>
      <c r="D266" s="21"/>
      <c r="E266" s="21"/>
      <c r="F266" s="21"/>
      <c r="G266" s="30"/>
      <c r="H266" s="31"/>
      <c r="I266" s="21"/>
      <c r="J266" s="21"/>
      <c r="K266" s="21"/>
      <c r="L266" s="21"/>
      <c r="M266" s="21"/>
      <c r="N266" s="30"/>
      <c r="O266" s="21"/>
      <c r="P266" s="21"/>
      <c r="Q266" s="21"/>
      <c r="R266" s="32"/>
      <c r="S266" s="32"/>
      <c r="T266" s="21"/>
      <c r="U266" s="21"/>
      <c r="V266" s="21"/>
      <c r="W266" s="21"/>
      <c r="X266" s="21"/>
    </row>
    <row r="267" customFormat="false" ht="15.75" hidden="false" customHeight="false" outlineLevel="0" collapsed="false">
      <c r="A267" s="61"/>
      <c r="B267" s="29"/>
      <c r="C267" s="21"/>
      <c r="D267" s="21"/>
      <c r="E267" s="21"/>
      <c r="F267" s="21"/>
      <c r="G267" s="30"/>
      <c r="H267" s="31"/>
      <c r="I267" s="21"/>
      <c r="J267" s="21"/>
      <c r="K267" s="21"/>
      <c r="L267" s="21"/>
      <c r="M267" s="21"/>
      <c r="N267" s="30"/>
      <c r="O267" s="21"/>
      <c r="P267" s="21"/>
      <c r="Q267" s="21"/>
      <c r="R267" s="32"/>
      <c r="S267" s="32"/>
      <c r="T267" s="21"/>
      <c r="U267" s="21"/>
      <c r="V267" s="21"/>
      <c r="W267" s="21"/>
      <c r="X267" s="21"/>
    </row>
    <row r="268" customFormat="false" ht="15.75" hidden="false" customHeight="false" outlineLevel="0" collapsed="false">
      <c r="A268" s="12"/>
      <c r="B268" s="34"/>
      <c r="C268" s="12"/>
      <c r="D268" s="12"/>
      <c r="E268" s="12"/>
      <c r="F268" s="12"/>
      <c r="G268" s="18"/>
      <c r="H268" s="35"/>
      <c r="I268" s="12"/>
      <c r="M268" s="12"/>
      <c r="N268" s="18"/>
      <c r="O268" s="12"/>
      <c r="P268" s="12"/>
      <c r="Q268" s="12"/>
      <c r="R268" s="36"/>
      <c r="S268" s="36"/>
      <c r="T268" s="12"/>
      <c r="U268" s="12"/>
      <c r="V268" s="12"/>
      <c r="W268" s="12"/>
      <c r="X268" s="12"/>
    </row>
    <row r="269" customFormat="false" ht="15.75" hidden="false" customHeight="false" outlineLevel="0" collapsed="false">
      <c r="A269" s="12"/>
      <c r="B269" s="34"/>
      <c r="C269" s="12"/>
      <c r="D269" s="12"/>
      <c r="E269" s="12"/>
      <c r="F269" s="12"/>
      <c r="G269" s="18"/>
      <c r="H269" s="35"/>
      <c r="I269" s="12"/>
      <c r="M269" s="12"/>
      <c r="N269" s="18"/>
      <c r="O269" s="12"/>
      <c r="P269" s="12"/>
      <c r="Q269" s="12"/>
      <c r="R269" s="36"/>
      <c r="S269" s="36"/>
      <c r="T269" s="12"/>
      <c r="U269" s="12"/>
      <c r="V269" s="12"/>
      <c r="W269" s="12"/>
      <c r="X269" s="12"/>
    </row>
    <row r="270" customFormat="false" ht="15.75" hidden="false" customHeight="false" outlineLevel="0" collapsed="false">
      <c r="A270" s="12"/>
      <c r="B270" s="34"/>
      <c r="C270" s="12"/>
      <c r="D270" s="12"/>
      <c r="E270" s="12"/>
      <c r="F270" s="12"/>
      <c r="G270" s="18"/>
      <c r="H270" s="35"/>
      <c r="I270" s="12"/>
      <c r="M270" s="12"/>
      <c r="N270" s="18"/>
      <c r="O270" s="12"/>
      <c r="P270" s="12"/>
      <c r="Q270" s="12"/>
      <c r="R270" s="36"/>
      <c r="S270" s="36"/>
      <c r="T270" s="12"/>
      <c r="U270" s="12"/>
      <c r="V270" s="12"/>
      <c r="W270" s="12"/>
      <c r="X270" s="12"/>
    </row>
    <row r="271" customFormat="false" ht="15.75" hidden="false" customHeight="false" outlineLevel="0" collapsed="false">
      <c r="A271" s="12"/>
      <c r="B271" s="34"/>
      <c r="C271" s="12"/>
      <c r="D271" s="12"/>
      <c r="E271" s="12"/>
      <c r="F271" s="12"/>
      <c r="G271" s="18"/>
      <c r="H271" s="35"/>
      <c r="I271" s="12"/>
      <c r="M271" s="12"/>
      <c r="N271" s="18"/>
      <c r="O271" s="12"/>
      <c r="P271" s="12"/>
      <c r="Q271" s="12"/>
      <c r="R271" s="36"/>
      <c r="S271" s="36"/>
      <c r="T271" s="12"/>
      <c r="U271" s="12"/>
      <c r="V271" s="12"/>
      <c r="W271" s="12"/>
      <c r="X271" s="12"/>
    </row>
    <row r="272" customFormat="false" ht="15.75" hidden="false" customHeight="false" outlineLevel="0" collapsed="false">
      <c r="A272" s="12"/>
      <c r="B272" s="34"/>
      <c r="C272" s="12"/>
      <c r="D272" s="12"/>
      <c r="E272" s="12"/>
      <c r="F272" s="12"/>
      <c r="G272" s="18"/>
      <c r="H272" s="35"/>
      <c r="I272" s="12"/>
      <c r="M272" s="12"/>
      <c r="N272" s="18"/>
      <c r="O272" s="12"/>
      <c r="P272" s="12"/>
      <c r="Q272" s="12"/>
      <c r="R272" s="36"/>
      <c r="S272" s="36"/>
      <c r="T272" s="12"/>
      <c r="U272" s="12"/>
      <c r="V272" s="12"/>
      <c r="W272" s="12"/>
      <c r="X272" s="12"/>
    </row>
    <row r="273" customFormat="false" ht="15.75" hidden="false" customHeight="false" outlineLevel="0" collapsed="false">
      <c r="A273" s="12"/>
      <c r="B273" s="34"/>
      <c r="C273" s="12"/>
      <c r="D273" s="12"/>
      <c r="E273" s="12"/>
      <c r="F273" s="12"/>
      <c r="G273" s="18"/>
      <c r="H273" s="35"/>
      <c r="I273" s="12"/>
      <c r="M273" s="12"/>
      <c r="N273" s="18"/>
      <c r="O273" s="12"/>
      <c r="P273" s="12"/>
      <c r="Q273" s="12"/>
      <c r="R273" s="36"/>
      <c r="S273" s="36"/>
      <c r="T273" s="12"/>
      <c r="U273" s="12"/>
      <c r="V273" s="12"/>
      <c r="W273" s="12"/>
      <c r="X273" s="12"/>
    </row>
    <row r="274" customFormat="false" ht="15.75" hidden="false" customHeight="false" outlineLevel="0" collapsed="false">
      <c r="A274" s="12"/>
      <c r="B274" s="34"/>
      <c r="C274" s="12"/>
      <c r="D274" s="12"/>
      <c r="E274" s="12"/>
      <c r="F274" s="12"/>
      <c r="G274" s="18"/>
      <c r="H274" s="35"/>
      <c r="I274" s="12"/>
      <c r="M274" s="12"/>
      <c r="N274" s="18"/>
      <c r="O274" s="12"/>
      <c r="P274" s="12"/>
      <c r="Q274" s="12"/>
      <c r="R274" s="36"/>
      <c r="S274" s="36"/>
      <c r="T274" s="12"/>
      <c r="U274" s="12"/>
      <c r="V274" s="12"/>
      <c r="W274" s="12"/>
      <c r="X274" s="12"/>
    </row>
    <row r="275" customFormat="false" ht="15.75" hidden="false" customHeight="false" outlineLevel="0" collapsed="false">
      <c r="A275" s="12"/>
      <c r="B275" s="34"/>
      <c r="C275" s="12"/>
      <c r="D275" s="12"/>
      <c r="E275" s="12"/>
      <c r="F275" s="12"/>
      <c r="G275" s="18"/>
      <c r="H275" s="35"/>
      <c r="I275" s="12"/>
      <c r="M275" s="12"/>
      <c r="N275" s="18"/>
      <c r="O275" s="12"/>
      <c r="P275" s="12"/>
      <c r="Q275" s="12"/>
      <c r="R275" s="36"/>
      <c r="S275" s="36"/>
      <c r="T275" s="12"/>
      <c r="U275" s="12"/>
      <c r="V275" s="12"/>
      <c r="W275" s="12"/>
      <c r="X275" s="12"/>
    </row>
    <row r="276" customFormat="false" ht="15.75" hidden="false" customHeight="false" outlineLevel="0" collapsed="false">
      <c r="A276" s="12"/>
      <c r="B276" s="34"/>
      <c r="C276" s="12"/>
      <c r="D276" s="12"/>
      <c r="E276" s="12"/>
      <c r="F276" s="12"/>
      <c r="G276" s="18"/>
      <c r="H276" s="35"/>
      <c r="I276" s="12"/>
      <c r="M276" s="12"/>
      <c r="N276" s="18"/>
      <c r="O276" s="12"/>
      <c r="P276" s="12"/>
      <c r="Q276" s="12"/>
      <c r="R276" s="36"/>
      <c r="S276" s="36"/>
      <c r="T276" s="12"/>
      <c r="U276" s="12"/>
      <c r="V276" s="12"/>
      <c r="W276" s="12"/>
      <c r="X276" s="12"/>
    </row>
    <row r="277" customFormat="false" ht="15.75" hidden="false" customHeight="false" outlineLevel="0" collapsed="false">
      <c r="A277" s="12"/>
      <c r="B277" s="34"/>
      <c r="C277" s="12"/>
      <c r="D277" s="12"/>
      <c r="E277" s="12"/>
      <c r="F277" s="12"/>
      <c r="G277" s="18"/>
      <c r="H277" s="35"/>
      <c r="I277" s="12"/>
      <c r="M277" s="12"/>
      <c r="N277" s="18"/>
      <c r="O277" s="12"/>
      <c r="P277" s="12"/>
      <c r="Q277" s="12"/>
      <c r="R277" s="36"/>
      <c r="S277" s="36"/>
      <c r="T277" s="12"/>
      <c r="U277" s="12"/>
      <c r="V277" s="12"/>
      <c r="W277" s="12"/>
      <c r="X277" s="12"/>
    </row>
    <row r="278" customFormat="false" ht="15.75" hidden="false" customHeight="false" outlineLevel="0" collapsed="false">
      <c r="A278" s="12"/>
      <c r="B278" s="34"/>
      <c r="C278" s="12"/>
      <c r="D278" s="12"/>
      <c r="E278" s="12"/>
      <c r="F278" s="12"/>
      <c r="G278" s="18"/>
      <c r="H278" s="35"/>
      <c r="I278" s="12"/>
      <c r="M278" s="12"/>
      <c r="N278" s="18"/>
      <c r="O278" s="12"/>
      <c r="P278" s="12"/>
      <c r="Q278" s="12"/>
      <c r="R278" s="36"/>
      <c r="S278" s="36"/>
      <c r="T278" s="12"/>
      <c r="U278" s="12"/>
      <c r="V278" s="12"/>
      <c r="W278" s="12"/>
      <c r="X278" s="12"/>
    </row>
    <row r="279" customFormat="false" ht="15.75" hidden="false" customHeight="false" outlineLevel="0" collapsed="false">
      <c r="A279" s="12"/>
      <c r="B279" s="34"/>
      <c r="C279" s="12"/>
      <c r="D279" s="12"/>
      <c r="E279" s="12"/>
      <c r="F279" s="12"/>
      <c r="G279" s="18"/>
      <c r="H279" s="35"/>
      <c r="I279" s="12"/>
      <c r="M279" s="12"/>
      <c r="N279" s="18"/>
      <c r="O279" s="12"/>
      <c r="P279" s="12"/>
      <c r="Q279" s="12"/>
      <c r="R279" s="36"/>
      <c r="S279" s="36"/>
      <c r="T279" s="12"/>
      <c r="U279" s="12"/>
      <c r="V279" s="12"/>
      <c r="W279" s="12"/>
      <c r="X279" s="12"/>
    </row>
    <row r="280" customFormat="false" ht="15.75" hidden="false" customHeight="false" outlineLevel="0" collapsed="false">
      <c r="A280" s="12"/>
      <c r="B280" s="34"/>
      <c r="C280" s="12"/>
      <c r="D280" s="12"/>
      <c r="E280" s="12"/>
      <c r="F280" s="12"/>
      <c r="G280" s="18"/>
      <c r="H280" s="35"/>
      <c r="I280" s="12"/>
      <c r="M280" s="12"/>
      <c r="N280" s="18"/>
      <c r="O280" s="12"/>
      <c r="P280" s="12"/>
      <c r="Q280" s="12"/>
      <c r="R280" s="36"/>
      <c r="S280" s="36"/>
      <c r="T280" s="12"/>
      <c r="U280" s="12"/>
      <c r="V280" s="12"/>
      <c r="W280" s="12"/>
      <c r="X280" s="12"/>
    </row>
    <row r="281" customFormat="false" ht="15.75" hidden="false" customHeight="false" outlineLevel="0" collapsed="false">
      <c r="A281" s="12"/>
      <c r="B281" s="34"/>
      <c r="C281" s="12"/>
      <c r="D281" s="12"/>
      <c r="E281" s="12"/>
      <c r="F281" s="12"/>
      <c r="G281" s="18"/>
      <c r="H281" s="35"/>
      <c r="I281" s="12"/>
      <c r="M281" s="12"/>
      <c r="N281" s="18"/>
      <c r="O281" s="12"/>
      <c r="P281" s="12"/>
      <c r="Q281" s="12"/>
      <c r="R281" s="36"/>
      <c r="S281" s="36"/>
      <c r="T281" s="12"/>
      <c r="U281" s="12"/>
      <c r="V281" s="12"/>
      <c r="W281" s="12"/>
      <c r="X281" s="12"/>
    </row>
    <row r="282" customFormat="false" ht="15.75" hidden="false" customHeight="false" outlineLevel="0" collapsed="false">
      <c r="A282" s="12"/>
      <c r="B282" s="34"/>
      <c r="C282" s="12"/>
      <c r="D282" s="12"/>
      <c r="E282" s="12"/>
      <c r="F282" s="12"/>
      <c r="G282" s="18"/>
      <c r="H282" s="35"/>
      <c r="I282" s="12"/>
      <c r="M282" s="12"/>
      <c r="N282" s="18"/>
      <c r="O282" s="12"/>
      <c r="P282" s="12"/>
      <c r="Q282" s="12"/>
      <c r="R282" s="36"/>
      <c r="S282" s="36"/>
      <c r="T282" s="12"/>
      <c r="U282" s="12"/>
      <c r="V282" s="12"/>
      <c r="W282" s="12"/>
      <c r="X282" s="12"/>
    </row>
    <row r="283" customFormat="false" ht="15.75" hidden="false" customHeight="false" outlineLevel="0" collapsed="false">
      <c r="A283" s="12"/>
      <c r="B283" s="34"/>
      <c r="C283" s="12"/>
      <c r="D283" s="12"/>
      <c r="E283" s="12"/>
      <c r="F283" s="12"/>
      <c r="G283" s="18"/>
      <c r="H283" s="35"/>
      <c r="I283" s="12"/>
      <c r="M283" s="12"/>
      <c r="N283" s="18"/>
      <c r="O283" s="12"/>
      <c r="P283" s="12"/>
      <c r="Q283" s="12"/>
      <c r="R283" s="36"/>
      <c r="S283" s="36"/>
      <c r="T283" s="12"/>
      <c r="U283" s="12"/>
      <c r="V283" s="12"/>
      <c r="W283" s="12"/>
      <c r="X283" s="12"/>
    </row>
    <row r="284" customFormat="false" ht="15.75" hidden="false" customHeight="false" outlineLevel="0" collapsed="false">
      <c r="A284" s="12"/>
      <c r="B284" s="34"/>
      <c r="C284" s="12"/>
      <c r="D284" s="12"/>
      <c r="E284" s="12"/>
      <c r="F284" s="12"/>
      <c r="G284" s="18"/>
      <c r="H284" s="35"/>
      <c r="I284" s="12"/>
      <c r="M284" s="12"/>
      <c r="N284" s="18"/>
      <c r="O284" s="12"/>
      <c r="P284" s="12"/>
      <c r="Q284" s="12"/>
      <c r="R284" s="36"/>
      <c r="S284" s="36"/>
      <c r="T284" s="12"/>
      <c r="U284" s="12"/>
      <c r="V284" s="12"/>
      <c r="W284" s="12"/>
      <c r="X284" s="12"/>
    </row>
    <row r="285" customFormat="false" ht="15.75" hidden="false" customHeight="false" outlineLevel="0" collapsed="false">
      <c r="A285" s="12"/>
      <c r="B285" s="34"/>
      <c r="C285" s="12"/>
      <c r="D285" s="12"/>
      <c r="E285" s="12"/>
      <c r="F285" s="12"/>
      <c r="G285" s="18"/>
      <c r="H285" s="35"/>
      <c r="I285" s="12"/>
      <c r="M285" s="12"/>
      <c r="N285" s="18"/>
      <c r="O285" s="12"/>
      <c r="P285" s="12"/>
      <c r="Q285" s="12"/>
      <c r="R285" s="36"/>
      <c r="S285" s="36"/>
      <c r="T285" s="12"/>
      <c r="U285" s="12"/>
      <c r="V285" s="12"/>
      <c r="W285" s="12"/>
      <c r="X285" s="12"/>
    </row>
    <row r="286" customFormat="false" ht="15.75" hidden="false" customHeight="false" outlineLevel="0" collapsed="false">
      <c r="A286" s="12"/>
      <c r="B286" s="34"/>
      <c r="C286" s="12"/>
      <c r="D286" s="12"/>
      <c r="E286" s="12"/>
      <c r="F286" s="12"/>
      <c r="G286" s="18"/>
      <c r="H286" s="35"/>
      <c r="I286" s="12"/>
      <c r="M286" s="12"/>
      <c r="N286" s="18"/>
      <c r="O286" s="12"/>
      <c r="P286" s="12"/>
      <c r="Q286" s="12"/>
      <c r="R286" s="36"/>
      <c r="S286" s="36"/>
      <c r="T286" s="12"/>
      <c r="U286" s="12"/>
      <c r="V286" s="12"/>
      <c r="W286" s="12"/>
      <c r="X286" s="12"/>
    </row>
    <row r="287" customFormat="false" ht="15.75" hidden="false" customHeight="false" outlineLevel="0" collapsed="false">
      <c r="A287" s="12"/>
      <c r="B287" s="34"/>
      <c r="C287" s="12"/>
      <c r="D287" s="12"/>
      <c r="E287" s="12"/>
      <c r="F287" s="12"/>
      <c r="G287" s="18"/>
      <c r="H287" s="35"/>
      <c r="I287" s="12"/>
      <c r="M287" s="12"/>
      <c r="N287" s="18"/>
      <c r="O287" s="12"/>
      <c r="P287" s="12"/>
      <c r="Q287" s="12"/>
      <c r="R287" s="36"/>
      <c r="S287" s="36"/>
      <c r="T287" s="12"/>
      <c r="U287" s="12"/>
      <c r="V287" s="12"/>
      <c r="W287" s="12"/>
      <c r="X287" s="12"/>
    </row>
    <row r="288" customFormat="false" ht="15.75" hidden="false" customHeight="false" outlineLevel="0" collapsed="false">
      <c r="A288" s="12"/>
      <c r="B288" s="34"/>
      <c r="C288" s="12"/>
      <c r="D288" s="12"/>
      <c r="E288" s="12"/>
      <c r="F288" s="12"/>
      <c r="G288" s="18"/>
      <c r="H288" s="35"/>
      <c r="I288" s="12"/>
      <c r="M288" s="12"/>
      <c r="N288" s="18"/>
      <c r="O288" s="12"/>
      <c r="P288" s="12"/>
      <c r="Q288" s="12"/>
      <c r="R288" s="36"/>
      <c r="S288" s="36"/>
      <c r="T288" s="12"/>
      <c r="U288" s="12"/>
      <c r="V288" s="12"/>
      <c r="W288" s="12"/>
      <c r="X288" s="12"/>
    </row>
    <row r="289" customFormat="false" ht="15.75" hidden="false" customHeight="false" outlineLevel="0" collapsed="false">
      <c r="A289" s="12"/>
      <c r="B289" s="34"/>
      <c r="C289" s="12"/>
      <c r="D289" s="12"/>
      <c r="E289" s="12"/>
      <c r="F289" s="12"/>
      <c r="G289" s="18"/>
      <c r="H289" s="35"/>
      <c r="I289" s="12"/>
      <c r="M289" s="12"/>
      <c r="N289" s="18"/>
      <c r="O289" s="12"/>
      <c r="P289" s="12"/>
      <c r="Q289" s="12"/>
      <c r="R289" s="36"/>
      <c r="S289" s="36"/>
      <c r="T289" s="12"/>
      <c r="U289" s="12"/>
      <c r="V289" s="12"/>
      <c r="W289" s="12"/>
      <c r="X289" s="12"/>
    </row>
    <row r="290" customFormat="false" ht="15.75" hidden="false" customHeight="false" outlineLevel="0" collapsed="false">
      <c r="A290" s="12"/>
      <c r="B290" s="34"/>
      <c r="C290" s="12"/>
      <c r="D290" s="12"/>
      <c r="E290" s="12"/>
      <c r="F290" s="12"/>
      <c r="G290" s="18"/>
      <c r="H290" s="35"/>
      <c r="I290" s="12"/>
      <c r="M290" s="12"/>
      <c r="N290" s="18"/>
      <c r="O290" s="12"/>
      <c r="P290" s="12"/>
      <c r="Q290" s="12"/>
      <c r="R290" s="36"/>
      <c r="S290" s="36"/>
      <c r="T290" s="12"/>
      <c r="U290" s="12"/>
      <c r="V290" s="12"/>
      <c r="W290" s="12"/>
      <c r="X290" s="12"/>
    </row>
    <row r="291" customFormat="false" ht="15.75" hidden="false" customHeight="false" outlineLevel="0" collapsed="false">
      <c r="A291" s="12"/>
      <c r="B291" s="34"/>
      <c r="C291" s="12"/>
      <c r="D291" s="12"/>
      <c r="E291" s="12"/>
      <c r="F291" s="12"/>
      <c r="G291" s="18"/>
      <c r="H291" s="35"/>
      <c r="I291" s="12"/>
      <c r="M291" s="12"/>
      <c r="N291" s="18"/>
      <c r="O291" s="12"/>
      <c r="P291" s="12"/>
      <c r="Q291" s="12"/>
      <c r="R291" s="36"/>
      <c r="S291" s="36"/>
      <c r="T291" s="12"/>
      <c r="U291" s="12"/>
      <c r="V291" s="12"/>
      <c r="W291" s="12"/>
      <c r="X291" s="12"/>
    </row>
    <row r="292" customFormat="false" ht="15.75" hidden="false" customHeight="false" outlineLevel="0" collapsed="false">
      <c r="A292" s="12"/>
      <c r="B292" s="34"/>
      <c r="C292" s="12"/>
      <c r="D292" s="12"/>
      <c r="E292" s="12"/>
      <c r="F292" s="12"/>
      <c r="G292" s="18"/>
      <c r="H292" s="35"/>
      <c r="I292" s="12"/>
      <c r="M292" s="12"/>
      <c r="N292" s="18"/>
      <c r="O292" s="12"/>
      <c r="P292" s="12"/>
      <c r="Q292" s="12"/>
      <c r="R292" s="36"/>
      <c r="S292" s="36"/>
      <c r="T292" s="12"/>
      <c r="U292" s="12"/>
      <c r="V292" s="12"/>
      <c r="W292" s="12"/>
      <c r="X292" s="12"/>
    </row>
    <row r="293" customFormat="false" ht="15.75" hidden="false" customHeight="false" outlineLevel="0" collapsed="false">
      <c r="A293" s="12"/>
      <c r="B293" s="34"/>
      <c r="C293" s="12"/>
      <c r="D293" s="12"/>
      <c r="E293" s="12"/>
      <c r="F293" s="12"/>
      <c r="G293" s="18"/>
      <c r="H293" s="35"/>
      <c r="I293" s="12"/>
      <c r="M293" s="12"/>
      <c r="N293" s="18"/>
      <c r="O293" s="12"/>
      <c r="P293" s="12"/>
      <c r="Q293" s="12"/>
      <c r="R293" s="36"/>
      <c r="S293" s="36"/>
      <c r="T293" s="12"/>
      <c r="U293" s="12"/>
      <c r="V293" s="12"/>
      <c r="W293" s="12"/>
      <c r="X293" s="12"/>
    </row>
    <row r="294" customFormat="false" ht="15.75" hidden="false" customHeight="false" outlineLevel="0" collapsed="false">
      <c r="A294" s="12"/>
      <c r="B294" s="34"/>
      <c r="C294" s="12"/>
      <c r="D294" s="12"/>
      <c r="E294" s="12"/>
      <c r="F294" s="12"/>
      <c r="G294" s="18"/>
      <c r="H294" s="35"/>
      <c r="I294" s="12"/>
      <c r="M294" s="12"/>
      <c r="N294" s="18"/>
      <c r="O294" s="12"/>
      <c r="P294" s="12"/>
      <c r="Q294" s="12"/>
      <c r="R294" s="36"/>
      <c r="S294" s="36"/>
      <c r="T294" s="12"/>
      <c r="U294" s="12"/>
      <c r="V294" s="12"/>
      <c r="W294" s="12"/>
      <c r="X294" s="12"/>
    </row>
    <row r="295" customFormat="false" ht="15.75" hidden="false" customHeight="false" outlineLevel="0" collapsed="false">
      <c r="A295" s="12"/>
      <c r="B295" s="34"/>
      <c r="C295" s="12"/>
      <c r="D295" s="12"/>
      <c r="E295" s="12"/>
      <c r="F295" s="12"/>
      <c r="G295" s="18"/>
      <c r="H295" s="35"/>
      <c r="I295" s="12"/>
      <c r="M295" s="12"/>
      <c r="N295" s="18"/>
      <c r="O295" s="12"/>
      <c r="P295" s="12"/>
      <c r="Q295" s="12"/>
      <c r="R295" s="36"/>
      <c r="S295" s="36"/>
      <c r="T295" s="12"/>
      <c r="U295" s="12"/>
      <c r="V295" s="12"/>
      <c r="W295" s="12"/>
      <c r="X295" s="12"/>
    </row>
    <row r="296" customFormat="false" ht="15.75" hidden="false" customHeight="false" outlineLevel="0" collapsed="false">
      <c r="A296" s="12"/>
      <c r="B296" s="34"/>
      <c r="C296" s="12"/>
      <c r="D296" s="12"/>
      <c r="E296" s="12"/>
      <c r="F296" s="12"/>
      <c r="G296" s="18"/>
      <c r="H296" s="35"/>
      <c r="I296" s="12"/>
      <c r="M296" s="12"/>
      <c r="N296" s="18"/>
      <c r="O296" s="12"/>
      <c r="P296" s="12"/>
      <c r="Q296" s="12"/>
      <c r="R296" s="36"/>
      <c r="S296" s="36"/>
      <c r="T296" s="12"/>
      <c r="U296" s="12"/>
      <c r="V296" s="12"/>
      <c r="W296" s="12"/>
      <c r="X296" s="12"/>
    </row>
    <row r="297" customFormat="false" ht="15.75" hidden="false" customHeight="false" outlineLevel="0" collapsed="false">
      <c r="A297" s="12"/>
      <c r="B297" s="34"/>
      <c r="C297" s="12"/>
      <c r="D297" s="12"/>
      <c r="E297" s="12"/>
      <c r="F297" s="12"/>
      <c r="G297" s="18"/>
      <c r="H297" s="35"/>
      <c r="I297" s="12"/>
      <c r="M297" s="12"/>
      <c r="N297" s="18"/>
      <c r="O297" s="12"/>
      <c r="P297" s="12"/>
      <c r="Q297" s="12"/>
      <c r="R297" s="36"/>
      <c r="S297" s="36"/>
      <c r="T297" s="12"/>
      <c r="U297" s="12"/>
      <c r="V297" s="12"/>
      <c r="W297" s="12"/>
      <c r="X297" s="12"/>
    </row>
    <row r="298" customFormat="false" ht="15.75" hidden="false" customHeight="false" outlineLevel="0" collapsed="false">
      <c r="A298" s="12"/>
      <c r="B298" s="34"/>
      <c r="C298" s="12"/>
      <c r="D298" s="12"/>
      <c r="E298" s="12"/>
      <c r="F298" s="12"/>
      <c r="G298" s="18"/>
      <c r="H298" s="35"/>
      <c r="I298" s="12"/>
      <c r="M298" s="12"/>
      <c r="N298" s="18"/>
      <c r="O298" s="12"/>
      <c r="P298" s="12"/>
      <c r="Q298" s="12"/>
      <c r="R298" s="36"/>
      <c r="S298" s="36"/>
      <c r="T298" s="12"/>
      <c r="U298" s="12"/>
      <c r="V298" s="12"/>
      <c r="W298" s="12"/>
      <c r="X298" s="12"/>
    </row>
    <row r="299" customFormat="false" ht="15.75" hidden="false" customHeight="false" outlineLevel="0" collapsed="false">
      <c r="A299" s="12"/>
      <c r="B299" s="34"/>
      <c r="C299" s="12"/>
      <c r="D299" s="12"/>
      <c r="E299" s="12"/>
      <c r="F299" s="12"/>
      <c r="G299" s="18"/>
      <c r="H299" s="35"/>
      <c r="I299" s="12"/>
      <c r="M299" s="12"/>
      <c r="N299" s="18"/>
      <c r="O299" s="12"/>
      <c r="P299" s="12"/>
      <c r="Q299" s="12"/>
      <c r="R299" s="36"/>
      <c r="S299" s="36"/>
      <c r="T299" s="12"/>
      <c r="U299" s="12"/>
      <c r="V299" s="12"/>
      <c r="W299" s="12"/>
      <c r="X299" s="12"/>
    </row>
    <row r="300" customFormat="false" ht="15.75" hidden="false" customHeight="false" outlineLevel="0" collapsed="false">
      <c r="A300" s="12"/>
      <c r="B300" s="34"/>
      <c r="C300" s="12"/>
      <c r="D300" s="12"/>
      <c r="E300" s="12"/>
      <c r="F300" s="12"/>
      <c r="G300" s="18"/>
      <c r="H300" s="35"/>
      <c r="I300" s="12"/>
      <c r="M300" s="12"/>
      <c r="N300" s="18"/>
      <c r="O300" s="12"/>
      <c r="P300" s="12"/>
      <c r="Q300" s="12"/>
      <c r="R300" s="36"/>
      <c r="S300" s="36"/>
      <c r="T300" s="12"/>
      <c r="U300" s="12"/>
      <c r="V300" s="12"/>
      <c r="W300" s="12"/>
      <c r="X300" s="12"/>
    </row>
    <row r="301" customFormat="false" ht="15.75" hidden="false" customHeight="false" outlineLevel="0" collapsed="false">
      <c r="A301" s="12"/>
      <c r="B301" s="34"/>
      <c r="C301" s="12"/>
      <c r="D301" s="12"/>
      <c r="E301" s="12"/>
      <c r="F301" s="12"/>
      <c r="G301" s="18"/>
      <c r="H301" s="35"/>
      <c r="I301" s="12"/>
      <c r="M301" s="12"/>
      <c r="N301" s="18"/>
      <c r="O301" s="12"/>
      <c r="P301" s="12"/>
      <c r="Q301" s="12"/>
      <c r="R301" s="36"/>
      <c r="S301" s="36"/>
      <c r="T301" s="12"/>
      <c r="U301" s="12"/>
      <c r="V301" s="12"/>
      <c r="W301" s="12"/>
      <c r="X301" s="12"/>
    </row>
    <row r="302" customFormat="false" ht="15.75" hidden="false" customHeight="false" outlineLevel="0" collapsed="false">
      <c r="A302" s="12"/>
      <c r="B302" s="34"/>
      <c r="C302" s="12"/>
      <c r="D302" s="12"/>
      <c r="E302" s="12"/>
      <c r="F302" s="12"/>
      <c r="G302" s="18"/>
      <c r="H302" s="35"/>
      <c r="I302" s="12"/>
      <c r="M302" s="12"/>
      <c r="N302" s="18"/>
      <c r="O302" s="12"/>
      <c r="P302" s="12"/>
      <c r="Q302" s="12"/>
      <c r="R302" s="36"/>
      <c r="S302" s="36"/>
      <c r="T302" s="12"/>
      <c r="U302" s="12"/>
      <c r="V302" s="12"/>
      <c r="W302" s="12"/>
      <c r="X302" s="12"/>
    </row>
    <row r="303" customFormat="false" ht="15.75" hidden="false" customHeight="false" outlineLevel="0" collapsed="false">
      <c r="A303" s="12"/>
      <c r="B303" s="34"/>
      <c r="C303" s="12"/>
      <c r="D303" s="12"/>
      <c r="E303" s="12"/>
      <c r="F303" s="12"/>
      <c r="G303" s="18"/>
      <c r="H303" s="35"/>
      <c r="I303" s="12"/>
      <c r="M303" s="12"/>
      <c r="N303" s="18"/>
      <c r="O303" s="12"/>
      <c r="P303" s="12"/>
      <c r="Q303" s="12"/>
      <c r="R303" s="36"/>
      <c r="S303" s="36"/>
      <c r="T303" s="12"/>
      <c r="U303" s="12"/>
      <c r="V303" s="12"/>
      <c r="W303" s="12"/>
      <c r="X303" s="12"/>
    </row>
    <row r="304" customFormat="false" ht="15.75" hidden="false" customHeight="false" outlineLevel="0" collapsed="false">
      <c r="A304" s="12"/>
      <c r="B304" s="34"/>
      <c r="C304" s="12"/>
      <c r="D304" s="12"/>
      <c r="E304" s="12"/>
      <c r="F304" s="12"/>
      <c r="G304" s="18"/>
      <c r="H304" s="35"/>
      <c r="I304" s="12"/>
      <c r="M304" s="12"/>
      <c r="N304" s="18"/>
      <c r="O304" s="12"/>
      <c r="P304" s="12"/>
      <c r="Q304" s="12"/>
      <c r="R304" s="36"/>
      <c r="S304" s="36"/>
      <c r="T304" s="12"/>
      <c r="U304" s="12"/>
      <c r="V304" s="12"/>
      <c r="W304" s="12"/>
      <c r="X304" s="12"/>
    </row>
    <row r="305" customFormat="false" ht="15.75" hidden="false" customHeight="false" outlineLevel="0" collapsed="false">
      <c r="A305" s="12"/>
      <c r="B305" s="34"/>
      <c r="C305" s="12"/>
      <c r="D305" s="12"/>
      <c r="E305" s="12"/>
      <c r="F305" s="12"/>
      <c r="G305" s="18"/>
      <c r="H305" s="35"/>
      <c r="I305" s="12"/>
      <c r="M305" s="12"/>
      <c r="N305" s="18"/>
      <c r="O305" s="12"/>
      <c r="P305" s="12"/>
      <c r="Q305" s="12"/>
      <c r="R305" s="36"/>
      <c r="S305" s="36"/>
      <c r="T305" s="12"/>
      <c r="U305" s="12"/>
      <c r="V305" s="12"/>
      <c r="W305" s="12"/>
      <c r="X305" s="12"/>
    </row>
    <row r="306" customFormat="false" ht="15.75" hidden="false" customHeight="false" outlineLevel="0" collapsed="false">
      <c r="A306" s="12"/>
      <c r="B306" s="34"/>
      <c r="C306" s="12"/>
      <c r="D306" s="12"/>
      <c r="E306" s="12"/>
      <c r="F306" s="12"/>
      <c r="G306" s="18"/>
      <c r="H306" s="35"/>
      <c r="I306" s="12"/>
      <c r="M306" s="12"/>
      <c r="N306" s="18"/>
      <c r="O306" s="12"/>
      <c r="P306" s="12"/>
      <c r="Q306" s="12"/>
      <c r="R306" s="36"/>
      <c r="S306" s="36"/>
      <c r="T306" s="12"/>
      <c r="U306" s="12"/>
      <c r="V306" s="12"/>
      <c r="W306" s="12"/>
      <c r="X306" s="12"/>
    </row>
    <row r="307" customFormat="false" ht="15.75" hidden="false" customHeight="false" outlineLevel="0" collapsed="false">
      <c r="A307" s="12"/>
      <c r="B307" s="34"/>
      <c r="C307" s="12"/>
      <c r="D307" s="12"/>
      <c r="E307" s="12"/>
      <c r="F307" s="12"/>
      <c r="G307" s="18"/>
      <c r="H307" s="35"/>
      <c r="I307" s="12"/>
      <c r="M307" s="12"/>
      <c r="N307" s="18"/>
      <c r="O307" s="12"/>
      <c r="P307" s="12"/>
      <c r="Q307" s="12"/>
      <c r="R307" s="36"/>
      <c r="S307" s="36"/>
      <c r="T307" s="12"/>
      <c r="U307" s="12"/>
      <c r="V307" s="12"/>
      <c r="W307" s="12"/>
      <c r="X307" s="12"/>
    </row>
    <row r="308" customFormat="false" ht="15.75" hidden="false" customHeight="false" outlineLevel="0" collapsed="false">
      <c r="A308" s="12"/>
      <c r="B308" s="34"/>
      <c r="C308" s="12"/>
      <c r="D308" s="12"/>
      <c r="E308" s="12"/>
      <c r="F308" s="12"/>
      <c r="G308" s="18"/>
      <c r="H308" s="35"/>
      <c r="I308" s="12"/>
      <c r="M308" s="12"/>
      <c r="N308" s="18"/>
      <c r="O308" s="12"/>
      <c r="P308" s="12"/>
      <c r="Q308" s="12"/>
      <c r="R308" s="36"/>
      <c r="S308" s="36"/>
      <c r="T308" s="12"/>
      <c r="U308" s="12"/>
      <c r="V308" s="12"/>
      <c r="W308" s="12"/>
      <c r="X308" s="12"/>
    </row>
    <row r="309" customFormat="false" ht="15.75" hidden="false" customHeight="false" outlineLevel="0" collapsed="false">
      <c r="A309" s="12"/>
      <c r="B309" s="34"/>
      <c r="C309" s="12"/>
      <c r="D309" s="12"/>
      <c r="E309" s="12"/>
      <c r="F309" s="12"/>
      <c r="G309" s="18"/>
      <c r="H309" s="35"/>
      <c r="I309" s="12"/>
      <c r="M309" s="12"/>
      <c r="N309" s="18"/>
      <c r="O309" s="12"/>
      <c r="P309" s="12"/>
      <c r="Q309" s="12"/>
      <c r="R309" s="36"/>
      <c r="S309" s="36"/>
      <c r="T309" s="12"/>
      <c r="U309" s="12"/>
      <c r="V309" s="12"/>
      <c r="W309" s="12"/>
      <c r="X309" s="12"/>
    </row>
    <row r="310" customFormat="false" ht="15.75" hidden="false" customHeight="false" outlineLevel="0" collapsed="false">
      <c r="A310" s="12"/>
      <c r="B310" s="34"/>
      <c r="C310" s="12"/>
      <c r="D310" s="12"/>
      <c r="E310" s="12"/>
      <c r="F310" s="12"/>
      <c r="G310" s="18"/>
      <c r="H310" s="35"/>
      <c r="I310" s="12"/>
      <c r="M310" s="12"/>
      <c r="N310" s="18"/>
      <c r="O310" s="12"/>
      <c r="P310" s="12"/>
      <c r="Q310" s="12"/>
      <c r="R310" s="36"/>
      <c r="S310" s="36"/>
      <c r="T310" s="12"/>
      <c r="U310" s="12"/>
      <c r="V310" s="12"/>
      <c r="W310" s="12"/>
      <c r="X310" s="12"/>
    </row>
    <row r="311" customFormat="false" ht="15.75" hidden="false" customHeight="false" outlineLevel="0" collapsed="false">
      <c r="A311" s="12"/>
      <c r="B311" s="34"/>
      <c r="C311" s="12"/>
      <c r="D311" s="12"/>
      <c r="E311" s="12"/>
      <c r="F311" s="12"/>
      <c r="G311" s="18"/>
      <c r="H311" s="35"/>
      <c r="I311" s="12"/>
      <c r="M311" s="12"/>
      <c r="N311" s="18"/>
      <c r="O311" s="12"/>
      <c r="P311" s="12"/>
      <c r="Q311" s="12"/>
      <c r="R311" s="36"/>
      <c r="S311" s="36"/>
      <c r="T311" s="12"/>
      <c r="U311" s="12"/>
      <c r="V311" s="12"/>
      <c r="W311" s="12"/>
      <c r="X311" s="12"/>
    </row>
    <row r="312" customFormat="false" ht="15.75" hidden="false" customHeight="false" outlineLevel="0" collapsed="false">
      <c r="A312" s="12"/>
      <c r="B312" s="34"/>
      <c r="C312" s="12"/>
      <c r="D312" s="12"/>
      <c r="E312" s="12"/>
      <c r="F312" s="12"/>
      <c r="G312" s="18"/>
      <c r="H312" s="35"/>
      <c r="I312" s="12"/>
      <c r="M312" s="12"/>
      <c r="N312" s="18"/>
      <c r="O312" s="12"/>
      <c r="P312" s="12"/>
      <c r="Q312" s="12"/>
      <c r="R312" s="36"/>
      <c r="S312" s="36"/>
      <c r="T312" s="12"/>
      <c r="U312" s="12"/>
      <c r="V312" s="12"/>
      <c r="W312" s="12"/>
      <c r="X312" s="12"/>
    </row>
    <row r="313" customFormat="false" ht="15.75" hidden="false" customHeight="false" outlineLevel="0" collapsed="false">
      <c r="A313" s="12"/>
      <c r="B313" s="34"/>
      <c r="C313" s="12"/>
      <c r="D313" s="12"/>
      <c r="E313" s="12"/>
      <c r="F313" s="12"/>
      <c r="G313" s="18"/>
      <c r="H313" s="35"/>
      <c r="I313" s="12"/>
      <c r="M313" s="12"/>
      <c r="N313" s="18"/>
      <c r="O313" s="12"/>
      <c r="P313" s="12"/>
      <c r="Q313" s="12"/>
      <c r="R313" s="36"/>
      <c r="S313" s="36"/>
      <c r="T313" s="12"/>
      <c r="U313" s="12"/>
      <c r="V313" s="12"/>
      <c r="W313" s="12"/>
      <c r="X313" s="12"/>
    </row>
    <row r="314" customFormat="false" ht="15.75" hidden="false" customHeight="false" outlineLevel="0" collapsed="false">
      <c r="A314" s="12"/>
      <c r="B314" s="34"/>
      <c r="C314" s="12"/>
      <c r="D314" s="12"/>
      <c r="E314" s="12"/>
      <c r="F314" s="12"/>
      <c r="G314" s="18"/>
      <c r="H314" s="35"/>
      <c r="I314" s="12"/>
      <c r="M314" s="12"/>
      <c r="N314" s="18"/>
      <c r="O314" s="12"/>
      <c r="P314" s="12"/>
      <c r="Q314" s="12"/>
      <c r="R314" s="36"/>
      <c r="S314" s="36"/>
      <c r="T314" s="12"/>
      <c r="U314" s="12"/>
      <c r="V314" s="12"/>
      <c r="W314" s="12"/>
      <c r="X314" s="12"/>
    </row>
    <row r="315" customFormat="false" ht="15.75" hidden="false" customHeight="false" outlineLevel="0" collapsed="false">
      <c r="A315" s="12"/>
      <c r="B315" s="34"/>
      <c r="C315" s="12"/>
      <c r="D315" s="12"/>
      <c r="E315" s="12"/>
      <c r="F315" s="12"/>
      <c r="G315" s="18"/>
      <c r="H315" s="35"/>
      <c r="I315" s="12"/>
      <c r="M315" s="12"/>
      <c r="N315" s="18"/>
      <c r="O315" s="12"/>
      <c r="P315" s="12"/>
      <c r="Q315" s="12"/>
      <c r="R315" s="36"/>
      <c r="S315" s="36"/>
      <c r="T315" s="12"/>
      <c r="U315" s="12"/>
      <c r="V315" s="12"/>
      <c r="W315" s="12"/>
      <c r="X315" s="12"/>
    </row>
    <row r="316" customFormat="false" ht="15.75" hidden="false" customHeight="false" outlineLevel="0" collapsed="false">
      <c r="A316" s="12"/>
      <c r="B316" s="34"/>
      <c r="C316" s="12"/>
      <c r="D316" s="12"/>
      <c r="E316" s="12"/>
      <c r="F316" s="12"/>
      <c r="G316" s="18"/>
      <c r="H316" s="35"/>
      <c r="I316" s="12"/>
      <c r="M316" s="12"/>
      <c r="N316" s="18"/>
      <c r="O316" s="12"/>
      <c r="P316" s="12"/>
      <c r="Q316" s="12"/>
      <c r="R316" s="36"/>
      <c r="S316" s="36"/>
      <c r="T316" s="12"/>
      <c r="U316" s="12"/>
      <c r="V316" s="12"/>
      <c r="W316" s="12"/>
      <c r="X316" s="12"/>
    </row>
    <row r="317" customFormat="false" ht="15.75" hidden="false" customHeight="false" outlineLevel="0" collapsed="false">
      <c r="A317" s="12"/>
      <c r="B317" s="34"/>
      <c r="C317" s="12"/>
      <c r="D317" s="12"/>
      <c r="E317" s="12"/>
      <c r="F317" s="12"/>
      <c r="G317" s="18"/>
      <c r="H317" s="35"/>
      <c r="I317" s="12"/>
      <c r="M317" s="12"/>
      <c r="N317" s="18"/>
      <c r="O317" s="12"/>
      <c r="P317" s="12"/>
      <c r="Q317" s="12"/>
      <c r="R317" s="36"/>
      <c r="S317" s="36"/>
      <c r="T317" s="12"/>
      <c r="U317" s="12"/>
      <c r="V317" s="12"/>
      <c r="W317" s="12"/>
      <c r="X317" s="12"/>
    </row>
    <row r="318" customFormat="false" ht="15.75" hidden="false" customHeight="false" outlineLevel="0" collapsed="false">
      <c r="A318" s="12"/>
      <c r="B318" s="34"/>
      <c r="C318" s="12"/>
      <c r="D318" s="12"/>
      <c r="E318" s="12"/>
      <c r="F318" s="12"/>
      <c r="G318" s="18"/>
      <c r="H318" s="35"/>
      <c r="I318" s="12"/>
      <c r="M318" s="12"/>
      <c r="N318" s="18"/>
      <c r="O318" s="12"/>
      <c r="P318" s="12"/>
      <c r="Q318" s="12"/>
      <c r="R318" s="36"/>
      <c r="S318" s="36"/>
      <c r="T318" s="12"/>
      <c r="U318" s="12"/>
      <c r="V318" s="12"/>
      <c r="W318" s="12"/>
      <c r="X318" s="12"/>
    </row>
    <row r="319" customFormat="false" ht="15.75" hidden="false" customHeight="false" outlineLevel="0" collapsed="false">
      <c r="A319" s="12"/>
      <c r="B319" s="34"/>
      <c r="C319" s="12"/>
      <c r="D319" s="12"/>
      <c r="E319" s="12"/>
      <c r="F319" s="12"/>
      <c r="G319" s="18"/>
      <c r="H319" s="35"/>
      <c r="I319" s="12"/>
      <c r="M319" s="12"/>
      <c r="N319" s="18"/>
      <c r="O319" s="12"/>
      <c r="P319" s="12"/>
      <c r="Q319" s="12"/>
      <c r="R319" s="36"/>
      <c r="S319" s="36"/>
      <c r="T319" s="12"/>
      <c r="U319" s="12"/>
      <c r="V319" s="12"/>
      <c r="W319" s="12"/>
      <c r="X319" s="12"/>
    </row>
    <row r="320" customFormat="false" ht="15.75" hidden="false" customHeight="false" outlineLevel="0" collapsed="false">
      <c r="A320" s="12"/>
      <c r="B320" s="34"/>
      <c r="C320" s="12"/>
      <c r="D320" s="12"/>
      <c r="E320" s="12"/>
      <c r="F320" s="12"/>
      <c r="G320" s="18"/>
      <c r="H320" s="35"/>
      <c r="I320" s="12"/>
      <c r="M320" s="12"/>
      <c r="N320" s="18"/>
      <c r="O320" s="12"/>
      <c r="P320" s="12"/>
      <c r="Q320" s="12"/>
      <c r="R320" s="36"/>
      <c r="S320" s="36"/>
      <c r="T320" s="12"/>
      <c r="U320" s="12"/>
      <c r="V320" s="12"/>
      <c r="W320" s="12"/>
      <c r="X320" s="12"/>
    </row>
    <row r="321" customFormat="false" ht="15.75" hidden="false" customHeight="false" outlineLevel="0" collapsed="false">
      <c r="A321" s="12"/>
      <c r="B321" s="34"/>
      <c r="C321" s="12"/>
      <c r="D321" s="12"/>
      <c r="E321" s="12"/>
      <c r="F321" s="12"/>
      <c r="G321" s="18"/>
      <c r="H321" s="35"/>
      <c r="I321" s="12"/>
      <c r="M321" s="12"/>
      <c r="N321" s="18"/>
      <c r="O321" s="12"/>
      <c r="P321" s="12"/>
      <c r="Q321" s="12"/>
      <c r="R321" s="36"/>
      <c r="S321" s="36"/>
      <c r="T321" s="12"/>
      <c r="U321" s="12"/>
      <c r="V321" s="12"/>
      <c r="W321" s="12"/>
      <c r="X321" s="12"/>
    </row>
    <row r="322" customFormat="false" ht="15.75" hidden="false" customHeight="false" outlineLevel="0" collapsed="false">
      <c r="A322" s="12"/>
      <c r="B322" s="34"/>
      <c r="C322" s="12"/>
      <c r="D322" s="12"/>
      <c r="E322" s="12"/>
      <c r="F322" s="12"/>
      <c r="G322" s="18"/>
      <c r="H322" s="35"/>
      <c r="I322" s="12"/>
      <c r="M322" s="12"/>
      <c r="N322" s="18"/>
      <c r="O322" s="12"/>
      <c r="P322" s="12"/>
      <c r="Q322" s="12"/>
      <c r="R322" s="36"/>
      <c r="S322" s="36"/>
      <c r="T322" s="12"/>
      <c r="U322" s="12"/>
      <c r="V322" s="12"/>
      <c r="W322" s="12"/>
      <c r="X322" s="12"/>
    </row>
    <row r="323" customFormat="false" ht="15.75" hidden="false" customHeight="false" outlineLevel="0" collapsed="false">
      <c r="A323" s="12"/>
      <c r="B323" s="34"/>
      <c r="C323" s="12"/>
      <c r="D323" s="12"/>
      <c r="E323" s="12"/>
      <c r="F323" s="12"/>
      <c r="G323" s="18"/>
      <c r="H323" s="35"/>
      <c r="I323" s="12"/>
      <c r="M323" s="12"/>
      <c r="N323" s="18"/>
      <c r="O323" s="12"/>
      <c r="P323" s="12"/>
      <c r="Q323" s="12"/>
      <c r="R323" s="36"/>
      <c r="S323" s="36"/>
      <c r="T323" s="12"/>
      <c r="U323" s="12"/>
      <c r="V323" s="12"/>
      <c r="W323" s="12"/>
      <c r="X323" s="12"/>
    </row>
    <row r="324" customFormat="false" ht="15.75" hidden="false" customHeight="false" outlineLevel="0" collapsed="false">
      <c r="A324" s="12"/>
      <c r="B324" s="34"/>
      <c r="C324" s="12"/>
      <c r="D324" s="12"/>
      <c r="E324" s="12"/>
      <c r="F324" s="12"/>
      <c r="G324" s="18"/>
      <c r="H324" s="35"/>
      <c r="I324" s="12"/>
      <c r="M324" s="12"/>
      <c r="N324" s="18"/>
      <c r="O324" s="12"/>
      <c r="P324" s="12"/>
      <c r="Q324" s="12"/>
      <c r="R324" s="36"/>
      <c r="S324" s="36"/>
      <c r="T324" s="12"/>
      <c r="U324" s="12"/>
      <c r="V324" s="12"/>
      <c r="W324" s="12"/>
      <c r="X324" s="12"/>
    </row>
    <row r="325" customFormat="false" ht="15.75" hidden="false" customHeight="false" outlineLevel="0" collapsed="false">
      <c r="A325" s="12"/>
      <c r="B325" s="34"/>
      <c r="C325" s="12"/>
      <c r="D325" s="12"/>
      <c r="E325" s="12"/>
      <c r="F325" s="12"/>
      <c r="G325" s="18"/>
      <c r="H325" s="35"/>
      <c r="I325" s="12"/>
      <c r="M325" s="12"/>
      <c r="N325" s="18"/>
      <c r="O325" s="12"/>
      <c r="P325" s="12"/>
      <c r="Q325" s="12"/>
      <c r="R325" s="36"/>
      <c r="S325" s="36"/>
      <c r="T325" s="12"/>
      <c r="U325" s="12"/>
      <c r="V325" s="12"/>
      <c r="W325" s="12"/>
      <c r="X325" s="12"/>
    </row>
    <row r="326" customFormat="false" ht="15.75" hidden="false" customHeight="false" outlineLevel="0" collapsed="false">
      <c r="A326" s="12"/>
      <c r="B326" s="34"/>
      <c r="C326" s="12"/>
      <c r="D326" s="12"/>
      <c r="E326" s="12"/>
      <c r="F326" s="12"/>
      <c r="G326" s="18"/>
      <c r="H326" s="35"/>
      <c r="I326" s="12"/>
      <c r="M326" s="12"/>
      <c r="N326" s="18"/>
      <c r="O326" s="12"/>
      <c r="P326" s="12"/>
      <c r="Q326" s="12"/>
      <c r="R326" s="36"/>
      <c r="S326" s="36"/>
      <c r="T326" s="12"/>
      <c r="U326" s="12"/>
      <c r="V326" s="12"/>
      <c r="W326" s="12"/>
      <c r="X326" s="12"/>
    </row>
    <row r="327" customFormat="false" ht="15.75" hidden="false" customHeight="false" outlineLevel="0" collapsed="false">
      <c r="A327" s="12"/>
      <c r="B327" s="34"/>
      <c r="C327" s="12"/>
      <c r="D327" s="12"/>
      <c r="E327" s="12"/>
      <c r="F327" s="12"/>
      <c r="G327" s="18"/>
      <c r="H327" s="35"/>
      <c r="I327" s="12"/>
      <c r="M327" s="12"/>
      <c r="N327" s="18"/>
      <c r="O327" s="12"/>
      <c r="P327" s="12"/>
      <c r="Q327" s="12"/>
      <c r="R327" s="36"/>
      <c r="S327" s="36"/>
      <c r="T327" s="12"/>
      <c r="U327" s="12"/>
      <c r="V327" s="12"/>
      <c r="W327" s="12"/>
      <c r="X327" s="12"/>
    </row>
    <row r="328" customFormat="false" ht="15.75" hidden="false" customHeight="false" outlineLevel="0" collapsed="false">
      <c r="A328" s="12"/>
      <c r="B328" s="34"/>
      <c r="C328" s="12"/>
      <c r="D328" s="12"/>
      <c r="E328" s="12"/>
      <c r="F328" s="12"/>
      <c r="G328" s="18"/>
      <c r="H328" s="35"/>
      <c r="I328" s="12"/>
      <c r="M328" s="12"/>
      <c r="N328" s="18"/>
      <c r="O328" s="12"/>
      <c r="P328" s="12"/>
      <c r="Q328" s="12"/>
      <c r="R328" s="36"/>
      <c r="S328" s="36"/>
      <c r="T328" s="12"/>
      <c r="U328" s="12"/>
      <c r="V328" s="12"/>
      <c r="W328" s="12"/>
      <c r="X328" s="12"/>
    </row>
    <row r="329" customFormat="false" ht="15.75" hidden="false" customHeight="false" outlineLevel="0" collapsed="false">
      <c r="A329" s="12"/>
      <c r="B329" s="34"/>
      <c r="C329" s="12"/>
      <c r="D329" s="12"/>
      <c r="E329" s="12"/>
      <c r="F329" s="12"/>
      <c r="G329" s="18"/>
      <c r="H329" s="35"/>
      <c r="I329" s="12"/>
      <c r="M329" s="12"/>
      <c r="N329" s="18"/>
      <c r="O329" s="12"/>
      <c r="P329" s="12"/>
      <c r="Q329" s="12"/>
      <c r="R329" s="36"/>
      <c r="S329" s="36"/>
      <c r="T329" s="12"/>
      <c r="U329" s="12"/>
      <c r="V329" s="12"/>
      <c r="W329" s="12"/>
      <c r="X329" s="12"/>
    </row>
    <row r="330" customFormat="false" ht="15.75" hidden="false" customHeight="false" outlineLevel="0" collapsed="false">
      <c r="A330" s="12"/>
      <c r="B330" s="34"/>
      <c r="C330" s="12"/>
      <c r="D330" s="12"/>
      <c r="E330" s="12"/>
      <c r="F330" s="12"/>
      <c r="G330" s="18"/>
      <c r="H330" s="35"/>
      <c r="I330" s="12"/>
      <c r="M330" s="12"/>
      <c r="N330" s="18"/>
      <c r="O330" s="12"/>
      <c r="P330" s="12"/>
      <c r="Q330" s="12"/>
      <c r="R330" s="36"/>
      <c r="S330" s="36"/>
      <c r="T330" s="12"/>
      <c r="U330" s="12"/>
      <c r="V330" s="12"/>
      <c r="W330" s="12"/>
      <c r="X330" s="12"/>
    </row>
    <row r="331" customFormat="false" ht="15.75" hidden="false" customHeight="false" outlineLevel="0" collapsed="false">
      <c r="A331" s="12"/>
      <c r="B331" s="34"/>
      <c r="C331" s="12"/>
      <c r="D331" s="12"/>
      <c r="E331" s="12"/>
      <c r="F331" s="12"/>
      <c r="G331" s="18"/>
      <c r="H331" s="35"/>
      <c r="I331" s="12"/>
      <c r="M331" s="12"/>
      <c r="N331" s="18"/>
      <c r="O331" s="12"/>
      <c r="P331" s="12"/>
      <c r="Q331" s="12"/>
      <c r="R331" s="36"/>
      <c r="S331" s="36"/>
      <c r="T331" s="12"/>
      <c r="U331" s="12"/>
      <c r="V331" s="12"/>
      <c r="W331" s="12"/>
      <c r="X331" s="12"/>
    </row>
    <row r="332" customFormat="false" ht="15.75" hidden="false" customHeight="false" outlineLevel="0" collapsed="false">
      <c r="A332" s="12"/>
      <c r="B332" s="34"/>
      <c r="C332" s="12"/>
      <c r="D332" s="12"/>
      <c r="E332" s="12"/>
      <c r="F332" s="12"/>
      <c r="G332" s="18"/>
      <c r="H332" s="35"/>
      <c r="I332" s="12"/>
      <c r="M332" s="12"/>
      <c r="N332" s="18"/>
      <c r="O332" s="12"/>
      <c r="P332" s="12"/>
      <c r="Q332" s="12"/>
      <c r="R332" s="36"/>
      <c r="S332" s="36"/>
      <c r="T332" s="12"/>
      <c r="U332" s="12"/>
      <c r="V332" s="12"/>
      <c r="W332" s="12"/>
      <c r="X332" s="12"/>
    </row>
    <row r="333" customFormat="false" ht="15.75" hidden="false" customHeight="false" outlineLevel="0" collapsed="false">
      <c r="A333" s="12"/>
      <c r="B333" s="34"/>
      <c r="C333" s="12"/>
      <c r="D333" s="12"/>
      <c r="E333" s="12"/>
      <c r="F333" s="12"/>
      <c r="G333" s="18"/>
      <c r="H333" s="35"/>
      <c r="I333" s="12"/>
      <c r="M333" s="12"/>
      <c r="N333" s="18"/>
      <c r="O333" s="12"/>
      <c r="P333" s="12"/>
      <c r="Q333" s="12"/>
      <c r="R333" s="36"/>
      <c r="S333" s="36"/>
      <c r="T333" s="12"/>
      <c r="U333" s="12"/>
      <c r="V333" s="12"/>
      <c r="W333" s="12"/>
      <c r="X333" s="12"/>
    </row>
    <row r="334" customFormat="false" ht="15.75" hidden="false" customHeight="false" outlineLevel="0" collapsed="false">
      <c r="A334" s="12"/>
      <c r="B334" s="34"/>
      <c r="C334" s="12"/>
      <c r="D334" s="12"/>
      <c r="E334" s="12"/>
      <c r="F334" s="12"/>
      <c r="G334" s="18"/>
      <c r="H334" s="35"/>
      <c r="I334" s="12"/>
      <c r="M334" s="12"/>
      <c r="N334" s="18"/>
      <c r="O334" s="12"/>
      <c r="P334" s="12"/>
      <c r="Q334" s="12"/>
      <c r="R334" s="36"/>
      <c r="S334" s="36"/>
      <c r="T334" s="12"/>
      <c r="U334" s="12"/>
      <c r="V334" s="12"/>
      <c r="W334" s="12"/>
      <c r="X334" s="12"/>
    </row>
    <row r="335" customFormat="false" ht="15.75" hidden="false" customHeight="false" outlineLevel="0" collapsed="false">
      <c r="A335" s="12"/>
      <c r="B335" s="34"/>
      <c r="C335" s="12"/>
      <c r="D335" s="12"/>
      <c r="E335" s="12"/>
      <c r="F335" s="12"/>
      <c r="G335" s="18"/>
      <c r="H335" s="35"/>
      <c r="I335" s="12"/>
      <c r="M335" s="12"/>
      <c r="N335" s="18"/>
      <c r="O335" s="12"/>
      <c r="P335" s="12"/>
      <c r="Q335" s="12"/>
      <c r="R335" s="36"/>
      <c r="S335" s="36"/>
      <c r="T335" s="12"/>
      <c r="U335" s="12"/>
      <c r="V335" s="12"/>
      <c r="W335" s="12"/>
      <c r="X335" s="12"/>
    </row>
    <row r="336" customFormat="false" ht="15.75" hidden="false" customHeight="false" outlineLevel="0" collapsed="false">
      <c r="A336" s="12"/>
      <c r="B336" s="34"/>
      <c r="C336" s="12"/>
      <c r="D336" s="12"/>
      <c r="E336" s="12"/>
      <c r="F336" s="12"/>
      <c r="G336" s="18"/>
      <c r="H336" s="35"/>
      <c r="I336" s="12"/>
      <c r="M336" s="12"/>
      <c r="N336" s="18"/>
      <c r="O336" s="12"/>
      <c r="P336" s="12"/>
      <c r="Q336" s="12"/>
      <c r="R336" s="36"/>
      <c r="S336" s="36"/>
      <c r="T336" s="12"/>
      <c r="U336" s="12"/>
      <c r="V336" s="12"/>
      <c r="W336" s="12"/>
      <c r="X336" s="12"/>
    </row>
    <row r="337" customFormat="false" ht="15.75" hidden="false" customHeight="false" outlineLevel="0" collapsed="false">
      <c r="A337" s="12"/>
      <c r="B337" s="34"/>
      <c r="C337" s="12"/>
      <c r="D337" s="12"/>
      <c r="E337" s="12"/>
      <c r="F337" s="12"/>
      <c r="G337" s="18"/>
      <c r="H337" s="35"/>
      <c r="I337" s="12"/>
      <c r="M337" s="12"/>
      <c r="N337" s="18"/>
      <c r="O337" s="12"/>
      <c r="P337" s="12"/>
      <c r="Q337" s="12"/>
      <c r="R337" s="36"/>
      <c r="S337" s="36"/>
      <c r="T337" s="12"/>
      <c r="U337" s="12"/>
      <c r="V337" s="12"/>
      <c r="W337" s="12"/>
      <c r="X337" s="12"/>
    </row>
    <row r="338" customFormat="false" ht="15.75" hidden="false" customHeight="false" outlineLevel="0" collapsed="false">
      <c r="A338" s="12"/>
      <c r="B338" s="34"/>
      <c r="C338" s="12"/>
      <c r="D338" s="12"/>
      <c r="E338" s="12"/>
      <c r="F338" s="12"/>
      <c r="G338" s="18"/>
      <c r="H338" s="35"/>
      <c r="I338" s="12"/>
      <c r="M338" s="12"/>
      <c r="N338" s="18"/>
      <c r="O338" s="12"/>
      <c r="P338" s="12"/>
      <c r="Q338" s="12"/>
      <c r="R338" s="36"/>
      <c r="S338" s="36"/>
      <c r="T338" s="12"/>
      <c r="U338" s="12"/>
      <c r="V338" s="12"/>
      <c r="W338" s="12"/>
      <c r="X338" s="12"/>
    </row>
    <row r="339" customFormat="false" ht="15.75" hidden="false" customHeight="false" outlineLevel="0" collapsed="false">
      <c r="A339" s="12"/>
      <c r="B339" s="34"/>
      <c r="C339" s="12"/>
      <c r="D339" s="12"/>
      <c r="E339" s="12"/>
      <c r="F339" s="12"/>
      <c r="G339" s="18"/>
      <c r="H339" s="35"/>
      <c r="I339" s="12"/>
      <c r="M339" s="12"/>
      <c r="N339" s="18"/>
      <c r="O339" s="12"/>
      <c r="P339" s="12"/>
      <c r="Q339" s="12"/>
      <c r="R339" s="36"/>
      <c r="S339" s="36"/>
      <c r="T339" s="12"/>
      <c r="U339" s="12"/>
      <c r="V339" s="12"/>
      <c r="W339" s="12"/>
      <c r="X339" s="12"/>
    </row>
    <row r="340" customFormat="false" ht="15.75" hidden="false" customHeight="false" outlineLevel="0" collapsed="false">
      <c r="A340" s="12"/>
      <c r="B340" s="34"/>
      <c r="C340" s="12"/>
      <c r="D340" s="12"/>
      <c r="E340" s="12"/>
      <c r="F340" s="12"/>
      <c r="G340" s="18"/>
      <c r="H340" s="35"/>
      <c r="I340" s="12"/>
      <c r="M340" s="12"/>
      <c r="N340" s="18"/>
      <c r="O340" s="12"/>
      <c r="P340" s="12"/>
      <c r="Q340" s="12"/>
      <c r="R340" s="36"/>
      <c r="S340" s="36"/>
      <c r="T340" s="12"/>
      <c r="U340" s="12"/>
      <c r="V340" s="12"/>
      <c r="W340" s="12"/>
      <c r="X340" s="12"/>
    </row>
    <row r="341" customFormat="false" ht="15.75" hidden="false" customHeight="false" outlineLevel="0" collapsed="false">
      <c r="A341" s="12"/>
      <c r="B341" s="34"/>
      <c r="C341" s="12"/>
      <c r="D341" s="12"/>
      <c r="E341" s="12"/>
      <c r="F341" s="12"/>
      <c r="G341" s="18"/>
      <c r="H341" s="35"/>
      <c r="I341" s="12"/>
      <c r="M341" s="12"/>
      <c r="N341" s="18"/>
      <c r="O341" s="12"/>
      <c r="P341" s="12"/>
      <c r="Q341" s="12"/>
      <c r="R341" s="36"/>
      <c r="S341" s="36"/>
      <c r="T341" s="12"/>
      <c r="U341" s="12"/>
      <c r="V341" s="12"/>
      <c r="W341" s="12"/>
      <c r="X341" s="12"/>
    </row>
    <row r="342" customFormat="false" ht="15.75" hidden="false" customHeight="false" outlineLevel="0" collapsed="false">
      <c r="A342" s="12"/>
      <c r="B342" s="34"/>
      <c r="C342" s="12"/>
      <c r="D342" s="12"/>
      <c r="E342" s="12"/>
      <c r="F342" s="12"/>
      <c r="G342" s="18"/>
      <c r="H342" s="35"/>
      <c r="I342" s="12"/>
      <c r="M342" s="12"/>
      <c r="N342" s="18"/>
      <c r="O342" s="12"/>
      <c r="P342" s="12"/>
      <c r="Q342" s="12"/>
      <c r="R342" s="36"/>
      <c r="S342" s="36"/>
      <c r="T342" s="12"/>
      <c r="U342" s="12"/>
      <c r="V342" s="12"/>
      <c r="W342" s="12"/>
      <c r="X342" s="12"/>
    </row>
    <row r="343" customFormat="false" ht="15.75" hidden="false" customHeight="false" outlineLevel="0" collapsed="false">
      <c r="A343" s="12"/>
      <c r="B343" s="34"/>
      <c r="C343" s="12"/>
      <c r="D343" s="12"/>
      <c r="E343" s="12"/>
      <c r="F343" s="12"/>
      <c r="G343" s="18"/>
      <c r="H343" s="35"/>
      <c r="I343" s="12"/>
      <c r="M343" s="12"/>
      <c r="N343" s="18"/>
      <c r="O343" s="12"/>
      <c r="P343" s="12"/>
      <c r="Q343" s="12"/>
      <c r="R343" s="36"/>
      <c r="S343" s="36"/>
      <c r="T343" s="12"/>
      <c r="U343" s="12"/>
      <c r="V343" s="12"/>
      <c r="W343" s="12"/>
      <c r="X343" s="12"/>
    </row>
    <row r="344" customFormat="false" ht="15.75" hidden="false" customHeight="false" outlineLevel="0" collapsed="false">
      <c r="A344" s="12"/>
      <c r="B344" s="34"/>
      <c r="C344" s="12"/>
      <c r="D344" s="12"/>
      <c r="E344" s="12"/>
      <c r="F344" s="12"/>
      <c r="G344" s="18"/>
      <c r="H344" s="35"/>
      <c r="I344" s="12"/>
      <c r="M344" s="12"/>
      <c r="N344" s="18"/>
      <c r="O344" s="12"/>
      <c r="P344" s="12"/>
      <c r="Q344" s="12"/>
      <c r="R344" s="36"/>
      <c r="S344" s="36"/>
      <c r="T344" s="12"/>
      <c r="U344" s="12"/>
      <c r="V344" s="12"/>
      <c r="W344" s="12"/>
      <c r="X344" s="12"/>
    </row>
    <row r="345" customFormat="false" ht="15.75" hidden="false" customHeight="false" outlineLevel="0" collapsed="false">
      <c r="A345" s="12"/>
      <c r="B345" s="34"/>
      <c r="C345" s="12"/>
      <c r="D345" s="12"/>
      <c r="E345" s="12"/>
      <c r="F345" s="12"/>
      <c r="G345" s="18"/>
      <c r="H345" s="35"/>
      <c r="I345" s="12"/>
      <c r="M345" s="12"/>
      <c r="N345" s="18"/>
      <c r="O345" s="12"/>
      <c r="P345" s="12"/>
      <c r="Q345" s="12"/>
      <c r="R345" s="36"/>
      <c r="S345" s="36"/>
      <c r="T345" s="12"/>
      <c r="U345" s="12"/>
      <c r="V345" s="12"/>
      <c r="W345" s="12"/>
      <c r="X345" s="12"/>
    </row>
    <row r="346" customFormat="false" ht="15.75" hidden="false" customHeight="false" outlineLevel="0" collapsed="false">
      <c r="A346" s="12"/>
      <c r="B346" s="34"/>
      <c r="C346" s="12"/>
      <c r="D346" s="12"/>
      <c r="E346" s="12"/>
      <c r="F346" s="12"/>
      <c r="G346" s="18"/>
      <c r="H346" s="35"/>
      <c r="I346" s="12"/>
      <c r="M346" s="12"/>
      <c r="N346" s="18"/>
      <c r="O346" s="12"/>
      <c r="P346" s="12"/>
      <c r="Q346" s="12"/>
      <c r="R346" s="36"/>
      <c r="S346" s="36"/>
      <c r="T346" s="12"/>
      <c r="U346" s="12"/>
      <c r="V346" s="12"/>
      <c r="W346" s="12"/>
      <c r="X346" s="12"/>
    </row>
    <row r="347" customFormat="false" ht="15.75" hidden="false" customHeight="false" outlineLevel="0" collapsed="false">
      <c r="A347" s="12"/>
      <c r="B347" s="34"/>
      <c r="C347" s="12"/>
      <c r="D347" s="12"/>
      <c r="E347" s="12"/>
      <c r="F347" s="12"/>
      <c r="G347" s="18"/>
      <c r="H347" s="35"/>
      <c r="I347" s="12"/>
      <c r="M347" s="12"/>
      <c r="N347" s="18"/>
      <c r="O347" s="12"/>
      <c r="P347" s="12"/>
      <c r="Q347" s="12"/>
      <c r="R347" s="36"/>
      <c r="S347" s="36"/>
      <c r="T347" s="12"/>
      <c r="U347" s="12"/>
      <c r="V347" s="12"/>
      <c r="W347" s="12"/>
      <c r="X347" s="12"/>
    </row>
    <row r="348" customFormat="false" ht="15.75" hidden="false" customHeight="false" outlineLevel="0" collapsed="false">
      <c r="A348" s="12"/>
      <c r="B348" s="34"/>
      <c r="C348" s="12"/>
      <c r="D348" s="12"/>
      <c r="E348" s="12"/>
      <c r="F348" s="12"/>
      <c r="G348" s="18"/>
      <c r="H348" s="35"/>
      <c r="I348" s="12"/>
      <c r="M348" s="12"/>
      <c r="N348" s="18"/>
      <c r="O348" s="12"/>
      <c r="P348" s="12"/>
      <c r="Q348" s="12"/>
      <c r="R348" s="36"/>
      <c r="S348" s="36"/>
      <c r="T348" s="12"/>
      <c r="U348" s="12"/>
      <c r="V348" s="12"/>
      <c r="W348" s="12"/>
      <c r="X348" s="12"/>
    </row>
    <row r="349" customFormat="false" ht="15.75" hidden="false" customHeight="false" outlineLevel="0" collapsed="false">
      <c r="A349" s="12"/>
      <c r="B349" s="34"/>
      <c r="C349" s="12"/>
      <c r="D349" s="12"/>
      <c r="E349" s="12"/>
      <c r="F349" s="12"/>
      <c r="G349" s="18"/>
      <c r="H349" s="35"/>
      <c r="I349" s="12"/>
      <c r="M349" s="12"/>
      <c r="N349" s="18"/>
      <c r="O349" s="12"/>
      <c r="P349" s="12"/>
      <c r="Q349" s="12"/>
      <c r="R349" s="36"/>
      <c r="S349" s="36"/>
      <c r="T349" s="12"/>
      <c r="U349" s="12"/>
      <c r="V349" s="12"/>
      <c r="W349" s="12"/>
      <c r="X349" s="12"/>
    </row>
    <row r="350" customFormat="false" ht="15.75" hidden="false" customHeight="false" outlineLevel="0" collapsed="false">
      <c r="A350" s="12"/>
      <c r="B350" s="34"/>
      <c r="C350" s="12"/>
      <c r="D350" s="12"/>
      <c r="E350" s="12"/>
      <c r="F350" s="12"/>
      <c r="G350" s="18"/>
      <c r="H350" s="35"/>
      <c r="I350" s="12"/>
      <c r="M350" s="12"/>
      <c r="N350" s="18"/>
      <c r="O350" s="12"/>
      <c r="P350" s="12"/>
      <c r="Q350" s="12"/>
      <c r="R350" s="36"/>
      <c r="S350" s="36"/>
      <c r="T350" s="12"/>
      <c r="U350" s="12"/>
      <c r="V350" s="12"/>
      <c r="W350" s="12"/>
      <c r="X350" s="12"/>
    </row>
    <row r="351" customFormat="false" ht="15.75" hidden="false" customHeight="false" outlineLevel="0" collapsed="false">
      <c r="A351" s="12"/>
      <c r="B351" s="34"/>
      <c r="C351" s="12"/>
      <c r="D351" s="12"/>
      <c r="E351" s="12"/>
      <c r="F351" s="12"/>
      <c r="G351" s="18"/>
      <c r="H351" s="35"/>
      <c r="I351" s="12"/>
      <c r="M351" s="12"/>
      <c r="N351" s="18"/>
      <c r="O351" s="12"/>
      <c r="P351" s="12"/>
      <c r="Q351" s="12"/>
      <c r="R351" s="36"/>
      <c r="S351" s="36"/>
      <c r="T351" s="12"/>
      <c r="U351" s="12"/>
      <c r="V351" s="12"/>
      <c r="W351" s="12"/>
      <c r="X351" s="12"/>
    </row>
    <row r="352" customFormat="false" ht="15.75" hidden="false" customHeight="false" outlineLevel="0" collapsed="false">
      <c r="A352" s="12"/>
      <c r="B352" s="34"/>
      <c r="C352" s="12"/>
      <c r="D352" s="12"/>
      <c r="E352" s="12"/>
      <c r="F352" s="12"/>
      <c r="G352" s="18"/>
      <c r="H352" s="35"/>
      <c r="I352" s="12"/>
      <c r="M352" s="12"/>
      <c r="N352" s="18"/>
      <c r="O352" s="12"/>
      <c r="P352" s="12"/>
      <c r="Q352" s="12"/>
      <c r="R352" s="36"/>
      <c r="S352" s="36"/>
      <c r="T352" s="12"/>
      <c r="U352" s="12"/>
      <c r="V352" s="12"/>
      <c r="W352" s="12"/>
      <c r="X352" s="12"/>
    </row>
    <row r="353" customFormat="false" ht="15.75" hidden="false" customHeight="false" outlineLevel="0" collapsed="false">
      <c r="A353" s="12"/>
      <c r="B353" s="34"/>
      <c r="C353" s="12"/>
      <c r="D353" s="12"/>
      <c r="E353" s="12"/>
      <c r="F353" s="12"/>
      <c r="G353" s="18"/>
      <c r="H353" s="35"/>
      <c r="I353" s="12"/>
      <c r="M353" s="12"/>
      <c r="N353" s="18"/>
      <c r="O353" s="12"/>
      <c r="P353" s="12"/>
      <c r="Q353" s="12"/>
      <c r="R353" s="36"/>
      <c r="S353" s="36"/>
      <c r="T353" s="12"/>
      <c r="U353" s="12"/>
      <c r="V353" s="12"/>
      <c r="W353" s="12"/>
      <c r="X353" s="12"/>
    </row>
    <row r="354" customFormat="false" ht="15.75" hidden="false" customHeight="false" outlineLevel="0" collapsed="false">
      <c r="A354" s="12"/>
      <c r="B354" s="34"/>
      <c r="C354" s="12"/>
      <c r="D354" s="12"/>
      <c r="E354" s="12"/>
      <c r="F354" s="12"/>
      <c r="G354" s="18"/>
      <c r="H354" s="35"/>
      <c r="I354" s="12"/>
      <c r="M354" s="12"/>
      <c r="N354" s="18"/>
      <c r="O354" s="12"/>
      <c r="P354" s="12"/>
      <c r="Q354" s="12"/>
      <c r="R354" s="36"/>
      <c r="S354" s="36"/>
      <c r="T354" s="12"/>
      <c r="U354" s="12"/>
      <c r="V354" s="12"/>
      <c r="W354" s="12"/>
      <c r="X354" s="12"/>
    </row>
    <row r="355" customFormat="false" ht="15.75" hidden="false" customHeight="false" outlineLevel="0" collapsed="false">
      <c r="A355" s="12"/>
      <c r="B355" s="34"/>
      <c r="C355" s="12"/>
      <c r="D355" s="12"/>
      <c r="E355" s="12"/>
      <c r="F355" s="12"/>
      <c r="G355" s="18"/>
      <c r="H355" s="35"/>
      <c r="I355" s="12"/>
      <c r="M355" s="12"/>
      <c r="N355" s="18"/>
      <c r="O355" s="12"/>
      <c r="P355" s="12"/>
      <c r="Q355" s="12"/>
      <c r="R355" s="36"/>
      <c r="S355" s="36"/>
      <c r="T355" s="12"/>
      <c r="U355" s="12"/>
      <c r="V355" s="12"/>
      <c r="W355" s="12"/>
      <c r="X355" s="12"/>
    </row>
    <row r="356" customFormat="false" ht="15.75" hidden="false" customHeight="false" outlineLevel="0" collapsed="false">
      <c r="A356" s="12"/>
      <c r="B356" s="34"/>
      <c r="C356" s="12"/>
      <c r="D356" s="12"/>
      <c r="E356" s="12"/>
      <c r="F356" s="12"/>
      <c r="G356" s="18"/>
      <c r="H356" s="35"/>
      <c r="I356" s="12"/>
      <c r="M356" s="12"/>
      <c r="N356" s="18"/>
      <c r="O356" s="12"/>
      <c r="P356" s="12"/>
      <c r="Q356" s="12"/>
      <c r="R356" s="36"/>
      <c r="S356" s="36"/>
      <c r="T356" s="12"/>
      <c r="U356" s="12"/>
      <c r="V356" s="12"/>
      <c r="W356" s="12"/>
      <c r="X356" s="12"/>
    </row>
    <row r="357" customFormat="false" ht="15.75" hidden="false" customHeight="false" outlineLevel="0" collapsed="false">
      <c r="A357" s="12"/>
      <c r="B357" s="34"/>
      <c r="C357" s="12"/>
      <c r="D357" s="12"/>
      <c r="E357" s="12"/>
      <c r="F357" s="12"/>
      <c r="G357" s="18"/>
      <c r="H357" s="35"/>
      <c r="I357" s="12"/>
      <c r="M357" s="12"/>
      <c r="N357" s="18"/>
      <c r="O357" s="12"/>
      <c r="P357" s="12"/>
      <c r="Q357" s="12"/>
      <c r="R357" s="36"/>
      <c r="S357" s="36"/>
      <c r="T357" s="12"/>
      <c r="U357" s="12"/>
      <c r="V357" s="12"/>
      <c r="W357" s="12"/>
      <c r="X357" s="12"/>
    </row>
    <row r="358" customFormat="false" ht="15.75" hidden="false" customHeight="false" outlineLevel="0" collapsed="false">
      <c r="A358" s="12"/>
      <c r="B358" s="34"/>
      <c r="C358" s="12"/>
      <c r="D358" s="12"/>
      <c r="E358" s="12"/>
      <c r="F358" s="12"/>
      <c r="G358" s="18"/>
      <c r="H358" s="35"/>
      <c r="I358" s="12"/>
      <c r="M358" s="12"/>
      <c r="N358" s="18"/>
      <c r="O358" s="12"/>
      <c r="P358" s="12"/>
      <c r="Q358" s="12"/>
      <c r="R358" s="36"/>
      <c r="S358" s="36"/>
      <c r="T358" s="12"/>
      <c r="U358" s="12"/>
      <c r="V358" s="12"/>
      <c r="W358" s="12"/>
      <c r="X358" s="12"/>
    </row>
    <row r="359" customFormat="false" ht="15.75" hidden="false" customHeight="false" outlineLevel="0" collapsed="false">
      <c r="A359" s="12"/>
      <c r="B359" s="34"/>
      <c r="C359" s="12"/>
      <c r="D359" s="12"/>
      <c r="E359" s="12"/>
      <c r="F359" s="12"/>
      <c r="G359" s="18"/>
      <c r="H359" s="35"/>
      <c r="I359" s="12"/>
      <c r="M359" s="12"/>
      <c r="N359" s="18"/>
      <c r="O359" s="12"/>
      <c r="P359" s="12"/>
      <c r="Q359" s="12"/>
      <c r="R359" s="36"/>
      <c r="S359" s="36"/>
      <c r="T359" s="12"/>
      <c r="U359" s="12"/>
      <c r="V359" s="12"/>
      <c r="W359" s="12"/>
      <c r="X359" s="12"/>
    </row>
    <row r="360" customFormat="false" ht="15.75" hidden="false" customHeight="false" outlineLevel="0" collapsed="false">
      <c r="A360" s="12"/>
      <c r="B360" s="34"/>
      <c r="C360" s="12"/>
      <c r="D360" s="12"/>
      <c r="E360" s="12"/>
      <c r="F360" s="12"/>
      <c r="G360" s="18"/>
      <c r="H360" s="35"/>
      <c r="I360" s="12"/>
      <c r="M360" s="12"/>
      <c r="N360" s="18"/>
      <c r="O360" s="12"/>
      <c r="P360" s="12"/>
      <c r="Q360" s="12"/>
      <c r="R360" s="36"/>
      <c r="S360" s="36"/>
      <c r="T360" s="12"/>
      <c r="U360" s="12"/>
      <c r="V360" s="12"/>
      <c r="W360" s="12"/>
      <c r="X360" s="12"/>
    </row>
    <row r="361" customFormat="false" ht="15.75" hidden="false" customHeight="false" outlineLevel="0" collapsed="false">
      <c r="A361" s="12"/>
      <c r="B361" s="34"/>
      <c r="C361" s="12"/>
      <c r="D361" s="12"/>
      <c r="E361" s="12"/>
      <c r="F361" s="12"/>
      <c r="G361" s="18"/>
      <c r="H361" s="35"/>
      <c r="I361" s="12"/>
      <c r="M361" s="12"/>
      <c r="N361" s="18"/>
      <c r="O361" s="12"/>
      <c r="P361" s="12"/>
      <c r="Q361" s="12"/>
      <c r="R361" s="36"/>
      <c r="S361" s="36"/>
      <c r="T361" s="12"/>
      <c r="U361" s="12"/>
      <c r="V361" s="12"/>
      <c r="W361" s="12"/>
      <c r="X361" s="12"/>
    </row>
    <row r="362" customFormat="false" ht="15.75" hidden="false" customHeight="false" outlineLevel="0" collapsed="false">
      <c r="A362" s="12"/>
      <c r="B362" s="34"/>
      <c r="C362" s="12"/>
      <c r="D362" s="12"/>
      <c r="E362" s="12"/>
      <c r="F362" s="12"/>
      <c r="G362" s="18"/>
      <c r="H362" s="35"/>
      <c r="I362" s="12"/>
      <c r="M362" s="12"/>
      <c r="N362" s="18"/>
      <c r="O362" s="12"/>
      <c r="P362" s="12"/>
      <c r="Q362" s="12"/>
      <c r="R362" s="36"/>
      <c r="S362" s="36"/>
      <c r="T362" s="12"/>
      <c r="U362" s="12"/>
      <c r="V362" s="12"/>
      <c r="W362" s="12"/>
      <c r="X362" s="12"/>
    </row>
    <row r="363" customFormat="false" ht="15.75" hidden="false" customHeight="false" outlineLevel="0" collapsed="false">
      <c r="A363" s="12"/>
      <c r="B363" s="34"/>
      <c r="C363" s="12"/>
      <c r="D363" s="12"/>
      <c r="E363" s="12"/>
      <c r="F363" s="12"/>
      <c r="G363" s="18"/>
      <c r="H363" s="35"/>
      <c r="I363" s="12"/>
      <c r="M363" s="12"/>
      <c r="N363" s="18"/>
      <c r="O363" s="12"/>
      <c r="P363" s="12"/>
      <c r="Q363" s="12"/>
      <c r="R363" s="36"/>
      <c r="S363" s="36"/>
      <c r="T363" s="12"/>
      <c r="U363" s="12"/>
      <c r="V363" s="12"/>
      <c r="W363" s="12"/>
      <c r="X363" s="12"/>
    </row>
    <row r="364" customFormat="false" ht="15.75" hidden="false" customHeight="false" outlineLevel="0" collapsed="false">
      <c r="A364" s="12"/>
      <c r="B364" s="34"/>
      <c r="C364" s="12"/>
      <c r="D364" s="12"/>
      <c r="E364" s="12"/>
      <c r="F364" s="12"/>
      <c r="G364" s="18"/>
      <c r="H364" s="35"/>
      <c r="I364" s="12"/>
      <c r="M364" s="12"/>
      <c r="N364" s="18"/>
      <c r="O364" s="12"/>
      <c r="P364" s="12"/>
      <c r="Q364" s="12"/>
      <c r="R364" s="36"/>
      <c r="S364" s="36"/>
      <c r="T364" s="12"/>
      <c r="U364" s="12"/>
      <c r="V364" s="12"/>
      <c r="W364" s="12"/>
      <c r="X364" s="12"/>
    </row>
    <row r="365" customFormat="false" ht="15.75" hidden="false" customHeight="false" outlineLevel="0" collapsed="false">
      <c r="A365" s="12"/>
      <c r="B365" s="34"/>
      <c r="C365" s="12"/>
      <c r="D365" s="12"/>
      <c r="E365" s="12"/>
      <c r="F365" s="12"/>
      <c r="G365" s="18"/>
      <c r="H365" s="35"/>
      <c r="I365" s="12"/>
      <c r="M365" s="12"/>
      <c r="N365" s="18"/>
      <c r="O365" s="12"/>
      <c r="P365" s="12"/>
      <c r="Q365" s="12"/>
      <c r="R365" s="36"/>
      <c r="S365" s="36"/>
      <c r="T365" s="12"/>
      <c r="U365" s="12"/>
      <c r="V365" s="12"/>
      <c r="W365" s="12"/>
      <c r="X365" s="12"/>
    </row>
    <row r="366" customFormat="false" ht="15.75" hidden="false" customHeight="false" outlineLevel="0" collapsed="false">
      <c r="A366" s="12"/>
      <c r="B366" s="34"/>
      <c r="C366" s="12"/>
      <c r="D366" s="12"/>
      <c r="E366" s="12"/>
      <c r="F366" s="12"/>
      <c r="G366" s="18"/>
      <c r="H366" s="35"/>
      <c r="I366" s="12"/>
      <c r="M366" s="12"/>
      <c r="N366" s="18"/>
      <c r="O366" s="12"/>
      <c r="P366" s="12"/>
      <c r="Q366" s="12"/>
      <c r="R366" s="36"/>
      <c r="S366" s="36"/>
      <c r="T366" s="12"/>
      <c r="U366" s="12"/>
      <c r="V366" s="12"/>
      <c r="W366" s="12"/>
      <c r="X366" s="12"/>
    </row>
    <row r="367" customFormat="false" ht="15.75" hidden="false" customHeight="false" outlineLevel="0" collapsed="false">
      <c r="A367" s="12"/>
      <c r="B367" s="34"/>
      <c r="C367" s="12"/>
      <c r="D367" s="12"/>
      <c r="E367" s="12"/>
      <c r="F367" s="12"/>
      <c r="G367" s="18"/>
      <c r="H367" s="35"/>
      <c r="I367" s="12"/>
      <c r="M367" s="12"/>
      <c r="N367" s="18"/>
      <c r="O367" s="12"/>
      <c r="P367" s="12"/>
      <c r="Q367" s="12"/>
      <c r="R367" s="36"/>
      <c r="S367" s="36"/>
      <c r="T367" s="12"/>
      <c r="U367" s="12"/>
      <c r="V367" s="12"/>
      <c r="W367" s="12"/>
      <c r="X367" s="12"/>
    </row>
    <row r="368" customFormat="false" ht="15.75" hidden="false" customHeight="false" outlineLevel="0" collapsed="false">
      <c r="A368" s="12"/>
      <c r="B368" s="34"/>
      <c r="C368" s="12"/>
      <c r="D368" s="12"/>
      <c r="E368" s="12"/>
      <c r="F368" s="12"/>
      <c r="G368" s="18"/>
      <c r="H368" s="35"/>
      <c r="I368" s="12"/>
      <c r="M368" s="12"/>
      <c r="N368" s="18"/>
      <c r="O368" s="12"/>
      <c r="P368" s="12"/>
      <c r="Q368" s="12"/>
      <c r="R368" s="36"/>
      <c r="S368" s="36"/>
      <c r="T368" s="12"/>
      <c r="U368" s="12"/>
      <c r="V368" s="12"/>
      <c r="W368" s="12"/>
      <c r="X368" s="12"/>
    </row>
    <row r="369" customFormat="false" ht="15.75" hidden="false" customHeight="false" outlineLevel="0" collapsed="false">
      <c r="A369" s="12"/>
      <c r="B369" s="34"/>
      <c r="C369" s="12"/>
      <c r="D369" s="12"/>
      <c r="E369" s="12"/>
      <c r="F369" s="12"/>
      <c r="G369" s="18"/>
      <c r="H369" s="35"/>
      <c r="I369" s="12"/>
      <c r="M369" s="12"/>
      <c r="N369" s="18"/>
      <c r="O369" s="12"/>
      <c r="P369" s="12"/>
      <c r="Q369" s="12"/>
      <c r="R369" s="36"/>
      <c r="S369" s="36"/>
      <c r="T369" s="12"/>
      <c r="U369" s="12"/>
      <c r="V369" s="12"/>
      <c r="W369" s="12"/>
      <c r="X369" s="12"/>
    </row>
    <row r="370" customFormat="false" ht="15.75" hidden="false" customHeight="false" outlineLevel="0" collapsed="false">
      <c r="A370" s="12"/>
      <c r="B370" s="34"/>
      <c r="C370" s="12"/>
      <c r="D370" s="12"/>
      <c r="E370" s="12"/>
      <c r="F370" s="12"/>
      <c r="G370" s="18"/>
      <c r="H370" s="35"/>
      <c r="I370" s="12"/>
      <c r="M370" s="12"/>
      <c r="N370" s="18"/>
      <c r="O370" s="12"/>
      <c r="P370" s="12"/>
      <c r="Q370" s="12"/>
      <c r="R370" s="36"/>
      <c r="S370" s="36"/>
      <c r="T370" s="12"/>
      <c r="U370" s="12"/>
      <c r="V370" s="12"/>
      <c r="W370" s="12"/>
      <c r="X370" s="12"/>
    </row>
    <row r="371" customFormat="false" ht="15.75" hidden="false" customHeight="false" outlineLevel="0" collapsed="false">
      <c r="A371" s="12"/>
      <c r="B371" s="34"/>
      <c r="C371" s="12"/>
      <c r="D371" s="12"/>
      <c r="E371" s="12"/>
      <c r="F371" s="12"/>
      <c r="G371" s="18"/>
      <c r="H371" s="35"/>
      <c r="I371" s="12"/>
      <c r="M371" s="12"/>
      <c r="N371" s="18"/>
      <c r="O371" s="12"/>
      <c r="P371" s="12"/>
      <c r="Q371" s="12"/>
      <c r="R371" s="36"/>
      <c r="S371" s="36"/>
      <c r="T371" s="12"/>
      <c r="U371" s="12"/>
      <c r="V371" s="12"/>
      <c r="W371" s="12"/>
      <c r="X371" s="12"/>
    </row>
    <row r="372" customFormat="false" ht="15.75" hidden="false" customHeight="false" outlineLevel="0" collapsed="false">
      <c r="A372" s="12"/>
      <c r="B372" s="34"/>
      <c r="C372" s="12"/>
      <c r="D372" s="12"/>
      <c r="E372" s="12"/>
      <c r="F372" s="12"/>
      <c r="G372" s="18"/>
      <c r="H372" s="35"/>
      <c r="I372" s="12"/>
      <c r="M372" s="12"/>
      <c r="N372" s="18"/>
      <c r="O372" s="12"/>
      <c r="P372" s="12"/>
      <c r="Q372" s="12"/>
      <c r="R372" s="36"/>
      <c r="S372" s="36"/>
      <c r="T372" s="12"/>
      <c r="U372" s="12"/>
      <c r="V372" s="12"/>
      <c r="W372" s="12"/>
      <c r="X372" s="12"/>
    </row>
    <row r="373" customFormat="false" ht="15.75" hidden="false" customHeight="false" outlineLevel="0" collapsed="false">
      <c r="A373" s="12"/>
      <c r="B373" s="34"/>
      <c r="C373" s="12"/>
      <c r="D373" s="12"/>
      <c r="E373" s="12"/>
      <c r="F373" s="12"/>
      <c r="G373" s="18"/>
      <c r="H373" s="35"/>
      <c r="I373" s="12"/>
      <c r="M373" s="12"/>
      <c r="N373" s="18"/>
      <c r="O373" s="12"/>
      <c r="P373" s="12"/>
      <c r="Q373" s="12"/>
      <c r="R373" s="36"/>
      <c r="S373" s="36"/>
      <c r="T373" s="12"/>
      <c r="U373" s="12"/>
      <c r="V373" s="12"/>
      <c r="W373" s="12"/>
      <c r="X373" s="12"/>
    </row>
    <row r="374" customFormat="false" ht="15.75" hidden="false" customHeight="false" outlineLevel="0" collapsed="false">
      <c r="A374" s="12"/>
      <c r="B374" s="34"/>
      <c r="C374" s="12"/>
      <c r="D374" s="12"/>
      <c r="E374" s="12"/>
      <c r="F374" s="12"/>
      <c r="G374" s="18"/>
      <c r="H374" s="35"/>
      <c r="I374" s="12"/>
      <c r="M374" s="12"/>
      <c r="N374" s="18"/>
      <c r="O374" s="12"/>
      <c r="P374" s="12"/>
      <c r="Q374" s="12"/>
      <c r="R374" s="36"/>
      <c r="S374" s="36"/>
      <c r="T374" s="12"/>
      <c r="U374" s="12"/>
      <c r="V374" s="12"/>
      <c r="W374" s="12"/>
      <c r="X374" s="12"/>
    </row>
    <row r="375" customFormat="false" ht="15.75" hidden="false" customHeight="false" outlineLevel="0" collapsed="false">
      <c r="A375" s="12"/>
      <c r="B375" s="34"/>
      <c r="C375" s="12"/>
      <c r="D375" s="12"/>
      <c r="E375" s="12"/>
      <c r="F375" s="12"/>
      <c r="G375" s="18"/>
      <c r="H375" s="35"/>
      <c r="I375" s="12"/>
      <c r="M375" s="12"/>
      <c r="N375" s="18"/>
      <c r="O375" s="12"/>
      <c r="P375" s="12"/>
      <c r="Q375" s="12"/>
      <c r="R375" s="36"/>
      <c r="S375" s="36"/>
      <c r="T375" s="12"/>
      <c r="U375" s="12"/>
      <c r="V375" s="12"/>
      <c r="W375" s="12"/>
      <c r="X375" s="12"/>
    </row>
    <row r="376" customFormat="false" ht="15.75" hidden="false" customHeight="false" outlineLevel="0" collapsed="false">
      <c r="A376" s="12"/>
      <c r="B376" s="34"/>
      <c r="C376" s="12"/>
      <c r="D376" s="12"/>
      <c r="E376" s="12"/>
      <c r="F376" s="12"/>
      <c r="G376" s="18"/>
      <c r="H376" s="35"/>
      <c r="I376" s="12"/>
      <c r="M376" s="12"/>
      <c r="N376" s="18"/>
      <c r="O376" s="12"/>
      <c r="P376" s="12"/>
      <c r="Q376" s="12"/>
      <c r="R376" s="36"/>
      <c r="S376" s="36"/>
      <c r="T376" s="12"/>
      <c r="U376" s="12"/>
      <c r="V376" s="12"/>
      <c r="W376" s="12"/>
      <c r="X376" s="12"/>
    </row>
    <row r="377" customFormat="false" ht="15.75" hidden="false" customHeight="false" outlineLevel="0" collapsed="false">
      <c r="A377" s="12"/>
      <c r="B377" s="34"/>
      <c r="C377" s="12"/>
      <c r="D377" s="12"/>
      <c r="E377" s="12"/>
      <c r="F377" s="12"/>
      <c r="G377" s="18"/>
      <c r="H377" s="35"/>
      <c r="I377" s="12"/>
      <c r="M377" s="12"/>
      <c r="N377" s="18"/>
      <c r="O377" s="12"/>
      <c r="P377" s="12"/>
      <c r="Q377" s="12"/>
      <c r="R377" s="36"/>
      <c r="S377" s="36"/>
      <c r="T377" s="12"/>
      <c r="U377" s="12"/>
      <c r="V377" s="12"/>
      <c r="W377" s="12"/>
      <c r="X377" s="12"/>
    </row>
    <row r="378" customFormat="false" ht="15.75" hidden="false" customHeight="false" outlineLevel="0" collapsed="false">
      <c r="A378" s="12"/>
      <c r="B378" s="34"/>
      <c r="C378" s="12"/>
      <c r="D378" s="12"/>
      <c r="E378" s="12"/>
      <c r="F378" s="12"/>
      <c r="G378" s="18"/>
      <c r="H378" s="35"/>
      <c r="I378" s="12"/>
      <c r="M378" s="12"/>
      <c r="N378" s="18"/>
      <c r="O378" s="12"/>
      <c r="P378" s="12"/>
      <c r="Q378" s="12"/>
      <c r="R378" s="36"/>
      <c r="S378" s="36"/>
      <c r="T378" s="12"/>
      <c r="U378" s="12"/>
      <c r="V378" s="12"/>
      <c r="W378" s="12"/>
      <c r="X378" s="12"/>
    </row>
    <row r="379" customFormat="false" ht="15.75" hidden="false" customHeight="false" outlineLevel="0" collapsed="false">
      <c r="A379" s="12"/>
      <c r="B379" s="34"/>
      <c r="C379" s="12"/>
      <c r="D379" s="12"/>
      <c r="E379" s="12"/>
      <c r="F379" s="12"/>
      <c r="G379" s="18"/>
      <c r="H379" s="35"/>
      <c r="I379" s="12"/>
      <c r="M379" s="12"/>
      <c r="N379" s="18"/>
      <c r="O379" s="12"/>
      <c r="P379" s="12"/>
      <c r="Q379" s="12"/>
      <c r="R379" s="36"/>
      <c r="S379" s="36"/>
      <c r="T379" s="12"/>
      <c r="U379" s="12"/>
      <c r="V379" s="12"/>
      <c r="W379" s="12"/>
      <c r="X379" s="12"/>
    </row>
    <row r="380" customFormat="false" ht="15.75" hidden="false" customHeight="false" outlineLevel="0" collapsed="false">
      <c r="A380" s="12"/>
      <c r="B380" s="34"/>
      <c r="C380" s="12"/>
      <c r="D380" s="12"/>
      <c r="E380" s="12"/>
      <c r="F380" s="12"/>
      <c r="G380" s="18"/>
      <c r="H380" s="35"/>
      <c r="I380" s="12"/>
      <c r="M380" s="12"/>
      <c r="N380" s="18"/>
      <c r="O380" s="12"/>
      <c r="P380" s="12"/>
      <c r="Q380" s="12"/>
      <c r="R380" s="36"/>
      <c r="S380" s="36"/>
      <c r="T380" s="12"/>
      <c r="U380" s="12"/>
      <c r="V380" s="12"/>
      <c r="W380" s="12"/>
      <c r="X380" s="12"/>
    </row>
    <row r="381" customFormat="false" ht="15.75" hidden="false" customHeight="false" outlineLevel="0" collapsed="false">
      <c r="A381" s="12"/>
      <c r="B381" s="34"/>
      <c r="C381" s="12"/>
      <c r="D381" s="12"/>
      <c r="E381" s="12"/>
      <c r="F381" s="12"/>
      <c r="G381" s="18"/>
      <c r="H381" s="35"/>
      <c r="I381" s="12"/>
      <c r="M381" s="12"/>
      <c r="N381" s="18"/>
      <c r="O381" s="12"/>
      <c r="P381" s="12"/>
      <c r="Q381" s="12"/>
      <c r="R381" s="36"/>
      <c r="S381" s="36"/>
      <c r="T381" s="12"/>
      <c r="U381" s="12"/>
      <c r="V381" s="12"/>
      <c r="W381" s="12"/>
      <c r="X381" s="12"/>
    </row>
    <row r="382" customFormat="false" ht="15.75" hidden="false" customHeight="false" outlineLevel="0" collapsed="false">
      <c r="A382" s="12"/>
      <c r="B382" s="34"/>
      <c r="C382" s="12"/>
      <c r="D382" s="12"/>
      <c r="E382" s="12"/>
      <c r="F382" s="12"/>
      <c r="G382" s="18"/>
      <c r="H382" s="35"/>
      <c r="I382" s="12"/>
      <c r="M382" s="12"/>
      <c r="N382" s="18"/>
      <c r="O382" s="12"/>
      <c r="P382" s="12"/>
      <c r="Q382" s="12"/>
      <c r="R382" s="36"/>
      <c r="S382" s="36"/>
      <c r="T382" s="12"/>
      <c r="U382" s="12"/>
      <c r="V382" s="12"/>
      <c r="W382" s="12"/>
      <c r="X382" s="12"/>
    </row>
    <row r="383" customFormat="false" ht="15.75" hidden="false" customHeight="false" outlineLevel="0" collapsed="false">
      <c r="A383" s="12"/>
      <c r="B383" s="34"/>
      <c r="C383" s="12"/>
      <c r="D383" s="12"/>
      <c r="E383" s="12"/>
      <c r="F383" s="12"/>
      <c r="G383" s="18"/>
      <c r="H383" s="35"/>
      <c r="I383" s="12"/>
      <c r="M383" s="12"/>
      <c r="N383" s="18"/>
      <c r="O383" s="12"/>
      <c r="P383" s="12"/>
      <c r="Q383" s="12"/>
      <c r="R383" s="36"/>
      <c r="S383" s="36"/>
      <c r="T383" s="12"/>
      <c r="U383" s="12"/>
      <c r="V383" s="12"/>
      <c r="W383" s="12"/>
      <c r="X383" s="12"/>
    </row>
    <row r="384" customFormat="false" ht="15.75" hidden="false" customHeight="false" outlineLevel="0" collapsed="false">
      <c r="A384" s="12"/>
      <c r="B384" s="34"/>
      <c r="C384" s="12"/>
      <c r="D384" s="12"/>
      <c r="E384" s="12"/>
      <c r="F384" s="12"/>
      <c r="G384" s="18"/>
      <c r="H384" s="35"/>
      <c r="I384" s="12"/>
      <c r="M384" s="12"/>
      <c r="N384" s="18"/>
      <c r="O384" s="12"/>
      <c r="P384" s="12"/>
      <c r="Q384" s="12"/>
      <c r="R384" s="36"/>
      <c r="S384" s="36"/>
      <c r="T384" s="12"/>
      <c r="U384" s="12"/>
      <c r="V384" s="12"/>
      <c r="W384" s="12"/>
      <c r="X384" s="12"/>
    </row>
    <row r="385" customFormat="false" ht="15.75" hidden="false" customHeight="false" outlineLevel="0" collapsed="false">
      <c r="A385" s="12"/>
      <c r="B385" s="34"/>
      <c r="C385" s="12"/>
      <c r="D385" s="12"/>
      <c r="E385" s="12"/>
      <c r="F385" s="12"/>
      <c r="G385" s="18"/>
      <c r="H385" s="35"/>
      <c r="I385" s="12"/>
      <c r="M385" s="12"/>
      <c r="N385" s="18"/>
      <c r="O385" s="12"/>
      <c r="P385" s="12"/>
      <c r="Q385" s="12"/>
      <c r="R385" s="36"/>
      <c r="S385" s="36"/>
      <c r="T385" s="12"/>
      <c r="U385" s="12"/>
      <c r="V385" s="12"/>
      <c r="W385" s="12"/>
      <c r="X385" s="12"/>
    </row>
    <row r="386" customFormat="false" ht="15.75" hidden="false" customHeight="false" outlineLevel="0" collapsed="false">
      <c r="A386" s="12"/>
      <c r="B386" s="34"/>
      <c r="C386" s="12"/>
      <c r="D386" s="12"/>
      <c r="E386" s="12"/>
      <c r="F386" s="12"/>
      <c r="G386" s="18"/>
      <c r="H386" s="35"/>
      <c r="I386" s="12"/>
      <c r="M386" s="12"/>
      <c r="N386" s="18"/>
      <c r="O386" s="12"/>
      <c r="P386" s="12"/>
      <c r="Q386" s="12"/>
      <c r="R386" s="36"/>
      <c r="S386" s="36"/>
      <c r="T386" s="12"/>
      <c r="U386" s="12"/>
      <c r="V386" s="12"/>
      <c r="W386" s="12"/>
      <c r="X386" s="12"/>
    </row>
    <row r="387" customFormat="false" ht="15.75" hidden="false" customHeight="false" outlineLevel="0" collapsed="false">
      <c r="A387" s="12"/>
      <c r="B387" s="34"/>
      <c r="C387" s="12"/>
      <c r="D387" s="12"/>
      <c r="E387" s="12"/>
      <c r="F387" s="12"/>
      <c r="G387" s="18"/>
      <c r="H387" s="35"/>
      <c r="I387" s="12"/>
      <c r="M387" s="12"/>
      <c r="N387" s="18"/>
      <c r="O387" s="12"/>
      <c r="P387" s="12"/>
      <c r="Q387" s="12"/>
      <c r="R387" s="36"/>
      <c r="S387" s="36"/>
      <c r="T387" s="12"/>
      <c r="U387" s="12"/>
      <c r="V387" s="12"/>
      <c r="W387" s="12"/>
      <c r="X387" s="12"/>
    </row>
    <row r="388" customFormat="false" ht="15.75" hidden="false" customHeight="false" outlineLevel="0" collapsed="false">
      <c r="A388" s="12"/>
      <c r="B388" s="34"/>
      <c r="C388" s="12"/>
      <c r="D388" s="12"/>
      <c r="E388" s="12"/>
      <c r="F388" s="12"/>
      <c r="G388" s="18"/>
      <c r="H388" s="35"/>
      <c r="I388" s="12"/>
      <c r="M388" s="12"/>
      <c r="N388" s="18"/>
      <c r="O388" s="12"/>
      <c r="P388" s="12"/>
      <c r="Q388" s="12"/>
      <c r="R388" s="36"/>
      <c r="S388" s="36"/>
      <c r="T388" s="12"/>
      <c r="U388" s="12"/>
      <c r="V388" s="12"/>
      <c r="W388" s="12"/>
      <c r="X388" s="12"/>
    </row>
    <row r="389" customFormat="false" ht="15.75" hidden="false" customHeight="false" outlineLevel="0" collapsed="false">
      <c r="A389" s="12"/>
      <c r="B389" s="34"/>
      <c r="C389" s="12"/>
      <c r="D389" s="12"/>
      <c r="E389" s="12"/>
      <c r="F389" s="12"/>
      <c r="G389" s="18"/>
      <c r="H389" s="35"/>
      <c r="I389" s="12"/>
      <c r="M389" s="12"/>
      <c r="N389" s="18"/>
      <c r="O389" s="12"/>
      <c r="P389" s="12"/>
      <c r="Q389" s="12"/>
      <c r="R389" s="36"/>
      <c r="S389" s="36"/>
      <c r="T389" s="12"/>
      <c r="U389" s="12"/>
      <c r="V389" s="12"/>
      <c r="W389" s="12"/>
      <c r="X389" s="12"/>
    </row>
    <row r="390" customFormat="false" ht="15.75" hidden="false" customHeight="false" outlineLevel="0" collapsed="false">
      <c r="A390" s="12"/>
      <c r="B390" s="34"/>
      <c r="C390" s="12"/>
      <c r="D390" s="12"/>
      <c r="E390" s="12"/>
      <c r="F390" s="12"/>
      <c r="G390" s="18"/>
      <c r="H390" s="35"/>
      <c r="I390" s="12"/>
      <c r="M390" s="12"/>
      <c r="N390" s="18"/>
      <c r="O390" s="12"/>
      <c r="P390" s="12"/>
      <c r="Q390" s="12"/>
      <c r="R390" s="36"/>
      <c r="S390" s="36"/>
      <c r="T390" s="12"/>
      <c r="U390" s="12"/>
      <c r="V390" s="12"/>
      <c r="W390" s="12"/>
      <c r="X390" s="12"/>
    </row>
    <row r="391" customFormat="false" ht="15.75" hidden="false" customHeight="false" outlineLevel="0" collapsed="false">
      <c r="A391" s="12"/>
      <c r="B391" s="34"/>
      <c r="C391" s="12"/>
      <c r="D391" s="12"/>
      <c r="E391" s="12"/>
      <c r="F391" s="12"/>
      <c r="G391" s="18"/>
      <c r="H391" s="35"/>
      <c r="I391" s="12"/>
      <c r="M391" s="12"/>
      <c r="N391" s="18"/>
      <c r="O391" s="12"/>
      <c r="P391" s="12"/>
      <c r="Q391" s="12"/>
      <c r="R391" s="36"/>
      <c r="S391" s="36"/>
      <c r="T391" s="12"/>
      <c r="U391" s="12"/>
      <c r="V391" s="12"/>
      <c r="W391" s="12"/>
      <c r="X391" s="12"/>
    </row>
    <row r="392" customFormat="false" ht="15.75" hidden="false" customHeight="false" outlineLevel="0" collapsed="false">
      <c r="A392" s="12"/>
      <c r="B392" s="34"/>
      <c r="C392" s="12"/>
      <c r="D392" s="12"/>
      <c r="E392" s="12"/>
      <c r="F392" s="12"/>
      <c r="G392" s="18"/>
      <c r="H392" s="35"/>
      <c r="I392" s="12"/>
      <c r="M392" s="12"/>
      <c r="N392" s="18"/>
      <c r="O392" s="12"/>
      <c r="P392" s="12"/>
      <c r="Q392" s="12"/>
      <c r="R392" s="36"/>
      <c r="S392" s="36"/>
      <c r="T392" s="12"/>
      <c r="U392" s="12"/>
      <c r="V392" s="12"/>
      <c r="W392" s="12"/>
      <c r="X392" s="12"/>
    </row>
    <row r="393" customFormat="false" ht="15.75" hidden="false" customHeight="false" outlineLevel="0" collapsed="false">
      <c r="A393" s="12"/>
      <c r="B393" s="34"/>
      <c r="C393" s="12"/>
      <c r="D393" s="12"/>
      <c r="E393" s="12"/>
      <c r="F393" s="12"/>
      <c r="G393" s="18"/>
      <c r="H393" s="35"/>
      <c r="I393" s="12"/>
      <c r="M393" s="12"/>
      <c r="N393" s="18"/>
      <c r="O393" s="12"/>
      <c r="P393" s="12"/>
      <c r="Q393" s="12"/>
      <c r="R393" s="36"/>
      <c r="S393" s="36"/>
      <c r="T393" s="12"/>
      <c r="U393" s="12"/>
      <c r="V393" s="12"/>
      <c r="W393" s="12"/>
      <c r="X393" s="12"/>
    </row>
    <row r="394" customFormat="false" ht="15.75" hidden="false" customHeight="false" outlineLevel="0" collapsed="false">
      <c r="A394" s="12"/>
      <c r="B394" s="34"/>
      <c r="C394" s="12"/>
      <c r="D394" s="12"/>
      <c r="E394" s="12"/>
      <c r="F394" s="12"/>
      <c r="G394" s="18"/>
      <c r="H394" s="35"/>
      <c r="I394" s="12"/>
      <c r="M394" s="12"/>
      <c r="N394" s="18"/>
      <c r="O394" s="12"/>
      <c r="P394" s="12"/>
      <c r="Q394" s="12"/>
      <c r="R394" s="36"/>
      <c r="S394" s="36"/>
      <c r="T394" s="12"/>
      <c r="U394" s="12"/>
      <c r="V394" s="12"/>
      <c r="W394" s="12"/>
      <c r="X394" s="12"/>
    </row>
    <row r="395" customFormat="false" ht="15.75" hidden="false" customHeight="false" outlineLevel="0" collapsed="false">
      <c r="A395" s="12"/>
      <c r="B395" s="34"/>
      <c r="C395" s="12"/>
      <c r="D395" s="12"/>
      <c r="E395" s="12"/>
      <c r="F395" s="12"/>
      <c r="G395" s="18"/>
      <c r="H395" s="35"/>
      <c r="I395" s="12"/>
      <c r="M395" s="12"/>
      <c r="N395" s="18"/>
      <c r="O395" s="12"/>
      <c r="P395" s="12"/>
      <c r="Q395" s="12"/>
      <c r="R395" s="36"/>
      <c r="S395" s="36"/>
      <c r="T395" s="12"/>
      <c r="U395" s="12"/>
      <c r="V395" s="12"/>
      <c r="W395" s="12"/>
      <c r="X395" s="12"/>
    </row>
    <row r="396" customFormat="false" ht="15.75" hidden="false" customHeight="false" outlineLevel="0" collapsed="false">
      <c r="A396" s="12"/>
      <c r="B396" s="34"/>
      <c r="C396" s="12"/>
      <c r="D396" s="12"/>
      <c r="E396" s="12"/>
      <c r="F396" s="12"/>
      <c r="G396" s="18"/>
      <c r="H396" s="35"/>
      <c r="I396" s="12"/>
      <c r="M396" s="12"/>
      <c r="N396" s="18"/>
      <c r="O396" s="12"/>
      <c r="P396" s="12"/>
      <c r="Q396" s="12"/>
      <c r="R396" s="36"/>
      <c r="S396" s="36"/>
      <c r="T396" s="12"/>
      <c r="U396" s="12"/>
      <c r="V396" s="12"/>
      <c r="W396" s="12"/>
      <c r="X396" s="12"/>
    </row>
    <row r="397" customFormat="false" ht="15.75" hidden="false" customHeight="false" outlineLevel="0" collapsed="false">
      <c r="A397" s="12"/>
      <c r="B397" s="34"/>
      <c r="C397" s="12"/>
      <c r="D397" s="12"/>
      <c r="E397" s="12"/>
      <c r="F397" s="12"/>
      <c r="G397" s="18"/>
      <c r="H397" s="35"/>
      <c r="I397" s="12"/>
      <c r="M397" s="12"/>
      <c r="N397" s="18"/>
      <c r="O397" s="12"/>
      <c r="P397" s="12"/>
      <c r="Q397" s="12"/>
      <c r="R397" s="36"/>
      <c r="S397" s="36"/>
      <c r="T397" s="12"/>
      <c r="U397" s="12"/>
      <c r="V397" s="12"/>
      <c r="W397" s="12"/>
      <c r="X397" s="12"/>
    </row>
    <row r="398" customFormat="false" ht="15.75" hidden="false" customHeight="false" outlineLevel="0" collapsed="false">
      <c r="A398" s="12"/>
      <c r="B398" s="34"/>
      <c r="C398" s="12"/>
      <c r="D398" s="12"/>
      <c r="E398" s="12"/>
      <c r="F398" s="12"/>
      <c r="G398" s="18"/>
      <c r="H398" s="35"/>
      <c r="I398" s="12"/>
      <c r="M398" s="12"/>
      <c r="N398" s="18"/>
      <c r="O398" s="12"/>
      <c r="P398" s="12"/>
      <c r="Q398" s="12"/>
      <c r="R398" s="36"/>
      <c r="S398" s="36"/>
      <c r="T398" s="12"/>
      <c r="U398" s="12"/>
      <c r="V398" s="12"/>
      <c r="W398" s="12"/>
      <c r="X398" s="12"/>
    </row>
    <row r="399" customFormat="false" ht="15.75" hidden="false" customHeight="false" outlineLevel="0" collapsed="false">
      <c r="A399" s="12"/>
      <c r="B399" s="34"/>
      <c r="C399" s="12"/>
      <c r="D399" s="12"/>
      <c r="E399" s="12"/>
      <c r="F399" s="12"/>
      <c r="G399" s="18"/>
      <c r="H399" s="35"/>
      <c r="I399" s="12"/>
      <c r="M399" s="12"/>
      <c r="N399" s="18"/>
      <c r="O399" s="12"/>
      <c r="P399" s="12"/>
      <c r="Q399" s="12"/>
      <c r="R399" s="36"/>
      <c r="S399" s="36"/>
      <c r="T399" s="12"/>
      <c r="U399" s="12"/>
      <c r="V399" s="12"/>
      <c r="W399" s="12"/>
      <c r="X399" s="12"/>
    </row>
    <row r="400" customFormat="false" ht="15.75" hidden="false" customHeight="false" outlineLevel="0" collapsed="false">
      <c r="A400" s="12"/>
      <c r="B400" s="34"/>
      <c r="C400" s="12"/>
      <c r="D400" s="12"/>
      <c r="E400" s="12"/>
      <c r="F400" s="12"/>
      <c r="G400" s="18"/>
      <c r="H400" s="35"/>
      <c r="I400" s="12"/>
      <c r="M400" s="12"/>
      <c r="N400" s="18"/>
      <c r="O400" s="12"/>
      <c r="P400" s="12"/>
      <c r="Q400" s="12"/>
      <c r="R400" s="36"/>
      <c r="S400" s="36"/>
      <c r="T400" s="12"/>
      <c r="U400" s="12"/>
      <c r="V400" s="12"/>
      <c r="W400" s="12"/>
      <c r="X400" s="12"/>
    </row>
    <row r="401" customFormat="false" ht="15.75" hidden="false" customHeight="false" outlineLevel="0" collapsed="false">
      <c r="A401" s="12"/>
      <c r="B401" s="34"/>
      <c r="C401" s="12"/>
      <c r="D401" s="12"/>
      <c r="E401" s="12"/>
      <c r="F401" s="12"/>
      <c r="G401" s="18"/>
      <c r="H401" s="35"/>
      <c r="I401" s="12"/>
      <c r="M401" s="12"/>
      <c r="N401" s="18"/>
      <c r="O401" s="12"/>
      <c r="P401" s="12"/>
      <c r="Q401" s="12"/>
      <c r="R401" s="36"/>
      <c r="S401" s="36"/>
      <c r="T401" s="12"/>
      <c r="U401" s="12"/>
      <c r="V401" s="12"/>
      <c r="W401" s="12"/>
      <c r="X401" s="12"/>
    </row>
    <row r="402" customFormat="false" ht="15.75" hidden="false" customHeight="false" outlineLevel="0" collapsed="false">
      <c r="A402" s="12"/>
      <c r="B402" s="34"/>
      <c r="C402" s="12"/>
      <c r="D402" s="12"/>
      <c r="E402" s="12"/>
      <c r="F402" s="12"/>
      <c r="G402" s="18"/>
      <c r="H402" s="35"/>
      <c r="I402" s="12"/>
      <c r="M402" s="12"/>
      <c r="N402" s="18"/>
      <c r="O402" s="12"/>
      <c r="P402" s="12"/>
      <c r="Q402" s="12"/>
      <c r="R402" s="36"/>
      <c r="S402" s="36"/>
      <c r="T402" s="12"/>
      <c r="U402" s="12"/>
      <c r="V402" s="12"/>
      <c r="W402" s="12"/>
      <c r="X402" s="12"/>
    </row>
    <row r="403" customFormat="false" ht="15.75" hidden="false" customHeight="false" outlineLevel="0" collapsed="false">
      <c r="A403" s="12"/>
      <c r="B403" s="34"/>
      <c r="C403" s="12"/>
      <c r="D403" s="12"/>
      <c r="E403" s="12"/>
      <c r="F403" s="12"/>
      <c r="G403" s="18"/>
      <c r="H403" s="35"/>
      <c r="I403" s="12"/>
      <c r="M403" s="12"/>
      <c r="N403" s="18"/>
      <c r="O403" s="12"/>
      <c r="P403" s="12"/>
      <c r="Q403" s="12"/>
      <c r="R403" s="36"/>
      <c r="S403" s="36"/>
      <c r="T403" s="12"/>
      <c r="U403" s="12"/>
      <c r="V403" s="12"/>
      <c r="W403" s="12"/>
      <c r="X403" s="12"/>
    </row>
    <row r="404" customFormat="false" ht="15.75" hidden="false" customHeight="false" outlineLevel="0" collapsed="false">
      <c r="A404" s="12"/>
      <c r="B404" s="34"/>
      <c r="C404" s="12"/>
      <c r="D404" s="12"/>
      <c r="E404" s="12"/>
      <c r="F404" s="12"/>
      <c r="G404" s="18"/>
      <c r="H404" s="35"/>
      <c r="I404" s="12"/>
      <c r="M404" s="12"/>
      <c r="N404" s="18"/>
      <c r="O404" s="12"/>
      <c r="P404" s="12"/>
      <c r="Q404" s="12"/>
      <c r="R404" s="36"/>
      <c r="S404" s="36"/>
      <c r="T404" s="12"/>
      <c r="U404" s="12"/>
      <c r="V404" s="12"/>
      <c r="W404" s="12"/>
      <c r="X404" s="12"/>
    </row>
    <row r="405" customFormat="false" ht="15.75" hidden="false" customHeight="false" outlineLevel="0" collapsed="false">
      <c r="A405" s="12"/>
      <c r="B405" s="34"/>
      <c r="C405" s="12"/>
      <c r="D405" s="12"/>
      <c r="E405" s="12"/>
      <c r="F405" s="12"/>
      <c r="G405" s="18"/>
      <c r="H405" s="35"/>
      <c r="I405" s="12"/>
      <c r="M405" s="12"/>
      <c r="N405" s="18"/>
      <c r="O405" s="12"/>
      <c r="P405" s="12"/>
      <c r="Q405" s="12"/>
      <c r="R405" s="36"/>
      <c r="S405" s="36"/>
      <c r="T405" s="12"/>
      <c r="U405" s="12"/>
      <c r="V405" s="12"/>
      <c r="W405" s="12"/>
      <c r="X405" s="12"/>
    </row>
    <row r="406" customFormat="false" ht="15.75" hidden="false" customHeight="false" outlineLevel="0" collapsed="false">
      <c r="A406" s="12"/>
      <c r="B406" s="34"/>
      <c r="C406" s="12"/>
      <c r="D406" s="12"/>
      <c r="E406" s="12"/>
      <c r="F406" s="12"/>
      <c r="G406" s="18"/>
      <c r="H406" s="35"/>
      <c r="I406" s="12"/>
      <c r="M406" s="12"/>
      <c r="N406" s="18"/>
      <c r="O406" s="12"/>
      <c r="P406" s="12"/>
      <c r="Q406" s="12"/>
      <c r="R406" s="36"/>
      <c r="S406" s="36"/>
      <c r="T406" s="12"/>
      <c r="U406" s="12"/>
      <c r="V406" s="12"/>
      <c r="W406" s="12"/>
      <c r="X406" s="12"/>
    </row>
    <row r="407" customFormat="false" ht="15.75" hidden="false" customHeight="false" outlineLevel="0" collapsed="false">
      <c r="A407" s="12"/>
      <c r="B407" s="34"/>
      <c r="C407" s="12"/>
      <c r="D407" s="12"/>
      <c r="E407" s="12"/>
      <c r="F407" s="12"/>
      <c r="G407" s="18"/>
      <c r="H407" s="35"/>
      <c r="I407" s="12"/>
      <c r="M407" s="12"/>
      <c r="N407" s="18"/>
      <c r="O407" s="12"/>
      <c r="P407" s="12"/>
      <c r="Q407" s="12"/>
      <c r="R407" s="36"/>
      <c r="S407" s="36"/>
      <c r="T407" s="12"/>
      <c r="U407" s="12"/>
      <c r="V407" s="12"/>
      <c r="W407" s="12"/>
      <c r="X407" s="12"/>
    </row>
    <row r="408" customFormat="false" ht="15.75" hidden="false" customHeight="false" outlineLevel="0" collapsed="false">
      <c r="A408" s="12"/>
      <c r="B408" s="34"/>
      <c r="C408" s="12"/>
      <c r="D408" s="12"/>
      <c r="E408" s="12"/>
      <c r="F408" s="12"/>
      <c r="G408" s="18"/>
      <c r="H408" s="35"/>
      <c r="I408" s="12"/>
      <c r="M408" s="12"/>
      <c r="N408" s="18"/>
      <c r="O408" s="12"/>
      <c r="P408" s="12"/>
      <c r="Q408" s="12"/>
      <c r="R408" s="36"/>
      <c r="S408" s="36"/>
      <c r="T408" s="12"/>
      <c r="U408" s="12"/>
      <c r="V408" s="12"/>
      <c r="W408" s="12"/>
      <c r="X408" s="12"/>
    </row>
    <row r="409" customFormat="false" ht="15.75" hidden="false" customHeight="false" outlineLevel="0" collapsed="false">
      <c r="A409" s="12"/>
      <c r="B409" s="34"/>
      <c r="C409" s="12"/>
      <c r="D409" s="12"/>
      <c r="E409" s="12"/>
      <c r="F409" s="12"/>
      <c r="G409" s="18"/>
      <c r="H409" s="35"/>
      <c r="I409" s="12"/>
      <c r="M409" s="12"/>
      <c r="N409" s="18"/>
      <c r="O409" s="12"/>
      <c r="P409" s="12"/>
      <c r="Q409" s="12"/>
      <c r="R409" s="36"/>
      <c r="S409" s="36"/>
      <c r="T409" s="12"/>
      <c r="U409" s="12"/>
      <c r="V409" s="12"/>
      <c r="W409" s="12"/>
      <c r="X409" s="12"/>
    </row>
    <row r="410" customFormat="false" ht="15.75" hidden="false" customHeight="false" outlineLevel="0" collapsed="false">
      <c r="A410" s="12"/>
      <c r="B410" s="34"/>
      <c r="C410" s="12"/>
      <c r="D410" s="12"/>
      <c r="E410" s="12"/>
      <c r="F410" s="12"/>
      <c r="G410" s="18"/>
      <c r="H410" s="35"/>
      <c r="I410" s="12"/>
      <c r="M410" s="12"/>
      <c r="N410" s="18"/>
      <c r="O410" s="12"/>
      <c r="P410" s="12"/>
      <c r="Q410" s="12"/>
      <c r="R410" s="36"/>
      <c r="S410" s="36"/>
      <c r="T410" s="12"/>
      <c r="U410" s="12"/>
      <c r="V410" s="12"/>
      <c r="W410" s="12"/>
      <c r="X410" s="12"/>
    </row>
    <row r="411" customFormat="false" ht="15.75" hidden="false" customHeight="false" outlineLevel="0" collapsed="false">
      <c r="A411" s="12"/>
      <c r="B411" s="34"/>
      <c r="C411" s="12"/>
      <c r="D411" s="12"/>
      <c r="E411" s="12"/>
      <c r="F411" s="12"/>
      <c r="G411" s="18"/>
      <c r="H411" s="35"/>
      <c r="I411" s="12"/>
      <c r="M411" s="12"/>
      <c r="N411" s="18"/>
      <c r="O411" s="12"/>
      <c r="P411" s="12"/>
      <c r="Q411" s="12"/>
      <c r="R411" s="36"/>
      <c r="S411" s="36"/>
      <c r="T411" s="12"/>
      <c r="U411" s="12"/>
      <c r="V411" s="12"/>
      <c r="W411" s="12"/>
      <c r="X411" s="12"/>
    </row>
    <row r="412" customFormat="false" ht="15.75" hidden="false" customHeight="false" outlineLevel="0" collapsed="false">
      <c r="A412" s="12"/>
      <c r="B412" s="34"/>
      <c r="C412" s="12"/>
      <c r="D412" s="12"/>
      <c r="E412" s="12"/>
      <c r="F412" s="12"/>
      <c r="G412" s="18"/>
      <c r="H412" s="35"/>
      <c r="I412" s="12"/>
      <c r="M412" s="12"/>
      <c r="N412" s="18"/>
      <c r="O412" s="12"/>
      <c r="P412" s="12"/>
      <c r="Q412" s="12"/>
      <c r="R412" s="36"/>
      <c r="S412" s="36"/>
      <c r="T412" s="12"/>
      <c r="U412" s="12"/>
      <c r="V412" s="12"/>
      <c r="W412" s="12"/>
      <c r="X412" s="12"/>
    </row>
    <row r="413" customFormat="false" ht="15.75" hidden="false" customHeight="false" outlineLevel="0" collapsed="false">
      <c r="A413" s="12"/>
      <c r="B413" s="34"/>
      <c r="C413" s="12"/>
      <c r="D413" s="12"/>
      <c r="E413" s="12"/>
      <c r="F413" s="12"/>
      <c r="G413" s="18"/>
      <c r="H413" s="35"/>
      <c r="I413" s="12"/>
      <c r="M413" s="12"/>
      <c r="N413" s="18"/>
      <c r="O413" s="12"/>
      <c r="P413" s="12"/>
      <c r="Q413" s="12"/>
      <c r="R413" s="36"/>
      <c r="S413" s="36"/>
      <c r="T413" s="12"/>
      <c r="U413" s="12"/>
      <c r="V413" s="12"/>
      <c r="W413" s="12"/>
      <c r="X413" s="12"/>
    </row>
    <row r="414" customFormat="false" ht="15.75" hidden="false" customHeight="false" outlineLevel="0" collapsed="false">
      <c r="A414" s="12"/>
      <c r="B414" s="34"/>
      <c r="C414" s="12"/>
      <c r="D414" s="12"/>
      <c r="E414" s="12"/>
      <c r="F414" s="12"/>
      <c r="G414" s="18"/>
      <c r="H414" s="35"/>
      <c r="I414" s="12"/>
      <c r="M414" s="12"/>
      <c r="N414" s="18"/>
      <c r="O414" s="12"/>
      <c r="P414" s="12"/>
      <c r="Q414" s="12"/>
      <c r="R414" s="36"/>
      <c r="S414" s="36"/>
      <c r="T414" s="12"/>
      <c r="U414" s="12"/>
      <c r="V414" s="12"/>
      <c r="W414" s="12"/>
      <c r="X414" s="12"/>
    </row>
    <row r="415" customFormat="false" ht="15.75" hidden="false" customHeight="false" outlineLevel="0" collapsed="false">
      <c r="A415" s="12"/>
      <c r="B415" s="34"/>
      <c r="C415" s="12"/>
      <c r="D415" s="12"/>
      <c r="E415" s="12"/>
      <c r="F415" s="12"/>
      <c r="G415" s="18"/>
      <c r="H415" s="35"/>
      <c r="I415" s="12"/>
      <c r="M415" s="12"/>
      <c r="N415" s="18"/>
      <c r="O415" s="12"/>
      <c r="P415" s="12"/>
      <c r="Q415" s="12"/>
      <c r="R415" s="36"/>
      <c r="S415" s="36"/>
      <c r="T415" s="12"/>
      <c r="U415" s="12"/>
      <c r="V415" s="12"/>
      <c r="W415" s="12"/>
      <c r="X415" s="12"/>
    </row>
    <row r="416" customFormat="false" ht="15.75" hidden="false" customHeight="false" outlineLevel="0" collapsed="false">
      <c r="A416" s="12"/>
      <c r="B416" s="34"/>
      <c r="C416" s="12"/>
      <c r="D416" s="12"/>
      <c r="E416" s="12"/>
      <c r="F416" s="12"/>
      <c r="G416" s="18"/>
      <c r="H416" s="35"/>
      <c r="I416" s="12"/>
      <c r="M416" s="12"/>
      <c r="N416" s="18"/>
      <c r="O416" s="12"/>
      <c r="P416" s="12"/>
      <c r="Q416" s="12"/>
      <c r="R416" s="36"/>
      <c r="S416" s="36"/>
      <c r="T416" s="12"/>
      <c r="U416" s="12"/>
      <c r="V416" s="12"/>
      <c r="W416" s="12"/>
      <c r="X416" s="12"/>
    </row>
    <row r="417" customFormat="false" ht="15.75" hidden="false" customHeight="false" outlineLevel="0" collapsed="false">
      <c r="A417" s="12"/>
      <c r="B417" s="34"/>
      <c r="C417" s="12"/>
      <c r="D417" s="12"/>
      <c r="E417" s="12"/>
      <c r="F417" s="12"/>
      <c r="G417" s="18"/>
      <c r="H417" s="35"/>
      <c r="I417" s="12"/>
      <c r="M417" s="12"/>
      <c r="N417" s="18"/>
      <c r="O417" s="12"/>
      <c r="P417" s="12"/>
      <c r="Q417" s="12"/>
      <c r="R417" s="36"/>
      <c r="S417" s="36"/>
      <c r="T417" s="12"/>
      <c r="U417" s="12"/>
      <c r="V417" s="12"/>
      <c r="W417" s="12"/>
      <c r="X417" s="12"/>
    </row>
    <row r="418" customFormat="false" ht="15.75" hidden="false" customHeight="false" outlineLevel="0" collapsed="false">
      <c r="A418" s="12"/>
      <c r="B418" s="34"/>
      <c r="C418" s="12"/>
      <c r="D418" s="12"/>
      <c r="E418" s="12"/>
      <c r="F418" s="12"/>
      <c r="G418" s="18"/>
      <c r="H418" s="35"/>
      <c r="I418" s="12"/>
      <c r="M418" s="12"/>
      <c r="N418" s="18"/>
      <c r="O418" s="12"/>
      <c r="P418" s="12"/>
      <c r="Q418" s="12"/>
      <c r="R418" s="36"/>
      <c r="S418" s="36"/>
      <c r="T418" s="12"/>
      <c r="U418" s="12"/>
      <c r="V418" s="12"/>
      <c r="W418" s="12"/>
      <c r="X418" s="12"/>
    </row>
    <row r="419" customFormat="false" ht="15.75" hidden="false" customHeight="false" outlineLevel="0" collapsed="false">
      <c r="A419" s="12"/>
      <c r="B419" s="34"/>
      <c r="C419" s="12"/>
      <c r="D419" s="12"/>
      <c r="E419" s="12"/>
      <c r="F419" s="12"/>
      <c r="G419" s="18"/>
      <c r="H419" s="35"/>
      <c r="I419" s="12"/>
      <c r="M419" s="12"/>
      <c r="N419" s="18"/>
      <c r="O419" s="12"/>
      <c r="P419" s="12"/>
      <c r="Q419" s="12"/>
      <c r="R419" s="36"/>
      <c r="S419" s="36"/>
      <c r="T419" s="12"/>
      <c r="U419" s="12"/>
      <c r="V419" s="12"/>
      <c r="W419" s="12"/>
      <c r="X419" s="12"/>
    </row>
    <row r="420" customFormat="false" ht="15.75" hidden="false" customHeight="false" outlineLevel="0" collapsed="false">
      <c r="A420" s="12"/>
      <c r="B420" s="34"/>
      <c r="C420" s="12"/>
      <c r="D420" s="12"/>
      <c r="E420" s="12"/>
      <c r="F420" s="12"/>
      <c r="G420" s="18"/>
      <c r="H420" s="35"/>
      <c r="I420" s="12"/>
      <c r="M420" s="12"/>
      <c r="N420" s="18"/>
      <c r="O420" s="12"/>
      <c r="P420" s="12"/>
      <c r="Q420" s="12"/>
      <c r="R420" s="36"/>
      <c r="S420" s="36"/>
      <c r="T420" s="12"/>
      <c r="U420" s="12"/>
      <c r="V420" s="12"/>
      <c r="W420" s="12"/>
      <c r="X420" s="12"/>
    </row>
    <row r="421" customFormat="false" ht="15.75" hidden="false" customHeight="false" outlineLevel="0" collapsed="false">
      <c r="A421" s="12"/>
      <c r="B421" s="34"/>
      <c r="C421" s="12"/>
      <c r="D421" s="12"/>
      <c r="E421" s="12"/>
      <c r="F421" s="12"/>
      <c r="G421" s="18"/>
      <c r="H421" s="35"/>
      <c r="I421" s="12"/>
      <c r="M421" s="12"/>
      <c r="N421" s="18"/>
      <c r="O421" s="12"/>
      <c r="P421" s="12"/>
      <c r="Q421" s="12"/>
      <c r="R421" s="36"/>
      <c r="S421" s="36"/>
      <c r="T421" s="12"/>
      <c r="U421" s="12"/>
      <c r="V421" s="12"/>
      <c r="W421" s="12"/>
      <c r="X421" s="12"/>
    </row>
    <row r="422" customFormat="false" ht="15.75" hidden="false" customHeight="false" outlineLevel="0" collapsed="false">
      <c r="A422" s="12"/>
      <c r="B422" s="34"/>
      <c r="C422" s="12"/>
      <c r="D422" s="12"/>
      <c r="E422" s="12"/>
      <c r="F422" s="12"/>
      <c r="G422" s="18"/>
      <c r="H422" s="35"/>
      <c r="I422" s="12"/>
      <c r="M422" s="12"/>
      <c r="N422" s="18"/>
      <c r="O422" s="12"/>
      <c r="P422" s="12"/>
      <c r="Q422" s="12"/>
      <c r="R422" s="36"/>
      <c r="S422" s="36"/>
      <c r="T422" s="12"/>
      <c r="U422" s="12"/>
      <c r="V422" s="12"/>
      <c r="W422" s="12"/>
      <c r="X422" s="12"/>
    </row>
    <row r="423" customFormat="false" ht="15.75" hidden="false" customHeight="false" outlineLevel="0" collapsed="false">
      <c r="A423" s="12"/>
      <c r="B423" s="34"/>
      <c r="C423" s="12"/>
      <c r="D423" s="12"/>
      <c r="E423" s="12"/>
      <c r="F423" s="12"/>
      <c r="G423" s="18"/>
      <c r="H423" s="35"/>
      <c r="I423" s="12"/>
      <c r="M423" s="12"/>
      <c r="N423" s="18"/>
      <c r="O423" s="12"/>
      <c r="P423" s="12"/>
      <c r="Q423" s="12"/>
      <c r="R423" s="36"/>
      <c r="S423" s="36"/>
      <c r="T423" s="12"/>
      <c r="U423" s="12"/>
      <c r="V423" s="12"/>
      <c r="W423" s="12"/>
      <c r="X423" s="12"/>
    </row>
    <row r="424" customFormat="false" ht="15.75" hidden="false" customHeight="false" outlineLevel="0" collapsed="false">
      <c r="A424" s="12"/>
      <c r="B424" s="34"/>
      <c r="C424" s="12"/>
      <c r="D424" s="12"/>
      <c r="E424" s="12"/>
      <c r="F424" s="12"/>
      <c r="G424" s="18"/>
      <c r="H424" s="35"/>
      <c r="I424" s="12"/>
      <c r="M424" s="12"/>
      <c r="N424" s="18"/>
      <c r="O424" s="12"/>
      <c r="P424" s="12"/>
      <c r="Q424" s="12"/>
      <c r="R424" s="36"/>
      <c r="S424" s="36"/>
      <c r="T424" s="12"/>
      <c r="U424" s="12"/>
      <c r="V424" s="12"/>
      <c r="W424" s="12"/>
      <c r="X424" s="12"/>
    </row>
    <row r="425" customFormat="false" ht="15.75" hidden="false" customHeight="false" outlineLevel="0" collapsed="false">
      <c r="A425" s="12"/>
      <c r="B425" s="34"/>
      <c r="C425" s="12"/>
      <c r="D425" s="12"/>
      <c r="E425" s="12"/>
      <c r="F425" s="12"/>
      <c r="G425" s="18"/>
      <c r="H425" s="35"/>
      <c r="I425" s="12"/>
      <c r="M425" s="12"/>
      <c r="N425" s="18"/>
      <c r="O425" s="12"/>
      <c r="P425" s="12"/>
      <c r="Q425" s="12"/>
      <c r="R425" s="36"/>
      <c r="S425" s="36"/>
      <c r="T425" s="12"/>
      <c r="U425" s="12"/>
      <c r="V425" s="12"/>
      <c r="W425" s="12"/>
      <c r="X425" s="12"/>
    </row>
    <row r="426" customFormat="false" ht="15.75" hidden="false" customHeight="false" outlineLevel="0" collapsed="false">
      <c r="A426" s="12"/>
      <c r="B426" s="34"/>
      <c r="C426" s="12"/>
      <c r="D426" s="12"/>
      <c r="E426" s="12"/>
      <c r="F426" s="12"/>
      <c r="G426" s="18"/>
      <c r="H426" s="35"/>
      <c r="I426" s="12"/>
      <c r="M426" s="12"/>
      <c r="N426" s="18"/>
      <c r="O426" s="12"/>
      <c r="P426" s="12"/>
      <c r="Q426" s="12"/>
      <c r="R426" s="36"/>
      <c r="S426" s="36"/>
      <c r="T426" s="12"/>
      <c r="U426" s="12"/>
      <c r="V426" s="12"/>
      <c r="W426" s="12"/>
      <c r="X426" s="12"/>
    </row>
    <row r="427" customFormat="false" ht="15.75" hidden="false" customHeight="false" outlineLevel="0" collapsed="false">
      <c r="A427" s="12"/>
      <c r="B427" s="34"/>
      <c r="C427" s="12"/>
      <c r="D427" s="12"/>
      <c r="E427" s="12"/>
      <c r="F427" s="12"/>
      <c r="G427" s="18"/>
      <c r="H427" s="35"/>
      <c r="I427" s="12"/>
      <c r="M427" s="12"/>
      <c r="N427" s="18"/>
      <c r="O427" s="12"/>
      <c r="P427" s="12"/>
      <c r="Q427" s="12"/>
      <c r="R427" s="36"/>
      <c r="S427" s="36"/>
      <c r="T427" s="12"/>
      <c r="U427" s="12"/>
      <c r="V427" s="12"/>
      <c r="W427" s="12"/>
      <c r="X427" s="12"/>
    </row>
    <row r="428" customFormat="false" ht="15.75" hidden="false" customHeight="false" outlineLevel="0" collapsed="false">
      <c r="A428" s="12"/>
      <c r="B428" s="34"/>
      <c r="C428" s="12"/>
      <c r="D428" s="12"/>
      <c r="E428" s="12"/>
      <c r="F428" s="12"/>
      <c r="G428" s="18"/>
      <c r="H428" s="35"/>
      <c r="I428" s="12"/>
      <c r="M428" s="12"/>
      <c r="N428" s="18"/>
      <c r="O428" s="12"/>
      <c r="P428" s="12"/>
      <c r="Q428" s="12"/>
      <c r="R428" s="36"/>
      <c r="S428" s="36"/>
      <c r="T428" s="12"/>
      <c r="U428" s="12"/>
      <c r="V428" s="12"/>
      <c r="W428" s="12"/>
      <c r="X428" s="12"/>
    </row>
    <row r="429" customFormat="false" ht="15.75" hidden="false" customHeight="false" outlineLevel="0" collapsed="false">
      <c r="A429" s="12"/>
      <c r="B429" s="34"/>
      <c r="C429" s="12"/>
      <c r="D429" s="12"/>
      <c r="E429" s="12"/>
      <c r="F429" s="12"/>
      <c r="G429" s="18"/>
      <c r="H429" s="35"/>
      <c r="I429" s="12"/>
      <c r="M429" s="12"/>
      <c r="N429" s="18"/>
      <c r="O429" s="12"/>
      <c r="P429" s="12"/>
      <c r="Q429" s="12"/>
      <c r="R429" s="36"/>
      <c r="S429" s="36"/>
      <c r="T429" s="12"/>
      <c r="U429" s="12"/>
      <c r="V429" s="12"/>
      <c r="W429" s="12"/>
      <c r="X429" s="12"/>
    </row>
    <row r="430" customFormat="false" ht="15.75" hidden="false" customHeight="false" outlineLevel="0" collapsed="false">
      <c r="A430" s="12"/>
      <c r="B430" s="34"/>
      <c r="C430" s="12"/>
      <c r="D430" s="12"/>
      <c r="E430" s="12"/>
      <c r="F430" s="12"/>
      <c r="G430" s="18"/>
      <c r="H430" s="35"/>
      <c r="I430" s="12"/>
      <c r="M430" s="12"/>
      <c r="N430" s="18"/>
      <c r="O430" s="12"/>
      <c r="P430" s="12"/>
      <c r="Q430" s="12"/>
      <c r="R430" s="36"/>
      <c r="S430" s="36"/>
      <c r="T430" s="12"/>
      <c r="U430" s="12"/>
      <c r="V430" s="12"/>
      <c r="W430" s="12"/>
      <c r="X430" s="12"/>
    </row>
    <row r="431" customFormat="false" ht="15.75" hidden="false" customHeight="false" outlineLevel="0" collapsed="false">
      <c r="A431" s="12"/>
      <c r="B431" s="34"/>
      <c r="C431" s="12"/>
      <c r="D431" s="12"/>
      <c r="E431" s="12"/>
      <c r="F431" s="12"/>
      <c r="G431" s="18"/>
      <c r="H431" s="35"/>
      <c r="I431" s="12"/>
      <c r="M431" s="12"/>
      <c r="N431" s="18"/>
      <c r="O431" s="12"/>
      <c r="P431" s="12"/>
      <c r="Q431" s="12"/>
      <c r="R431" s="36"/>
      <c r="S431" s="36"/>
      <c r="T431" s="12"/>
      <c r="U431" s="12"/>
      <c r="V431" s="12"/>
      <c r="W431" s="12"/>
      <c r="X431" s="12"/>
    </row>
    <row r="432" customFormat="false" ht="15.75" hidden="false" customHeight="false" outlineLevel="0" collapsed="false">
      <c r="A432" s="12"/>
      <c r="B432" s="34"/>
      <c r="C432" s="12"/>
      <c r="D432" s="12"/>
      <c r="E432" s="12"/>
      <c r="F432" s="12"/>
      <c r="G432" s="18"/>
      <c r="H432" s="35"/>
      <c r="I432" s="12"/>
      <c r="M432" s="12"/>
      <c r="N432" s="18"/>
      <c r="O432" s="12"/>
      <c r="P432" s="12"/>
      <c r="Q432" s="12"/>
      <c r="R432" s="36"/>
      <c r="S432" s="36"/>
      <c r="T432" s="12"/>
      <c r="U432" s="12"/>
      <c r="V432" s="12"/>
      <c r="W432" s="12"/>
      <c r="X432" s="12"/>
    </row>
    <row r="433" customFormat="false" ht="15.75" hidden="false" customHeight="false" outlineLevel="0" collapsed="false">
      <c r="A433" s="12"/>
      <c r="B433" s="34"/>
      <c r="C433" s="12"/>
      <c r="D433" s="12"/>
      <c r="E433" s="12"/>
      <c r="F433" s="12"/>
      <c r="G433" s="18"/>
      <c r="H433" s="35"/>
      <c r="I433" s="12"/>
      <c r="M433" s="12"/>
      <c r="N433" s="18"/>
      <c r="O433" s="12"/>
      <c r="P433" s="12"/>
      <c r="Q433" s="12"/>
      <c r="R433" s="36"/>
      <c r="S433" s="36"/>
      <c r="T433" s="12"/>
      <c r="U433" s="12"/>
      <c r="V433" s="12"/>
      <c r="W433" s="12"/>
      <c r="X433" s="12"/>
    </row>
    <row r="434" customFormat="false" ht="15.75" hidden="false" customHeight="false" outlineLevel="0" collapsed="false">
      <c r="A434" s="12"/>
      <c r="B434" s="34"/>
      <c r="C434" s="12"/>
      <c r="D434" s="12"/>
      <c r="E434" s="12"/>
      <c r="F434" s="12"/>
      <c r="G434" s="18"/>
      <c r="H434" s="35"/>
      <c r="I434" s="12"/>
      <c r="M434" s="12"/>
      <c r="N434" s="18"/>
      <c r="O434" s="12"/>
      <c r="P434" s="12"/>
      <c r="Q434" s="12"/>
      <c r="R434" s="36"/>
      <c r="S434" s="36"/>
      <c r="T434" s="12"/>
      <c r="U434" s="12"/>
      <c r="V434" s="12"/>
      <c r="W434" s="12"/>
      <c r="X434" s="12"/>
    </row>
    <row r="435" customFormat="false" ht="15.75" hidden="false" customHeight="false" outlineLevel="0" collapsed="false">
      <c r="A435" s="12"/>
      <c r="B435" s="34"/>
      <c r="C435" s="12"/>
      <c r="D435" s="12"/>
      <c r="E435" s="12"/>
      <c r="F435" s="12"/>
      <c r="G435" s="18"/>
      <c r="H435" s="35"/>
      <c r="I435" s="12"/>
      <c r="M435" s="12"/>
      <c r="N435" s="18"/>
      <c r="O435" s="12"/>
      <c r="P435" s="12"/>
      <c r="Q435" s="12"/>
      <c r="R435" s="36"/>
      <c r="S435" s="36"/>
      <c r="T435" s="12"/>
      <c r="U435" s="12"/>
      <c r="V435" s="12"/>
      <c r="W435" s="12"/>
      <c r="X435" s="12"/>
    </row>
    <row r="436" customFormat="false" ht="15.75" hidden="false" customHeight="false" outlineLevel="0" collapsed="false">
      <c r="A436" s="12"/>
      <c r="B436" s="34"/>
      <c r="C436" s="12"/>
      <c r="D436" s="12"/>
      <c r="E436" s="12"/>
      <c r="F436" s="12"/>
      <c r="G436" s="18"/>
      <c r="H436" s="35"/>
      <c r="I436" s="12"/>
      <c r="M436" s="12"/>
      <c r="N436" s="18"/>
      <c r="O436" s="12"/>
      <c r="P436" s="12"/>
      <c r="Q436" s="12"/>
      <c r="R436" s="36"/>
      <c r="S436" s="36"/>
      <c r="T436" s="12"/>
      <c r="U436" s="12"/>
      <c r="V436" s="12"/>
      <c r="W436" s="12"/>
      <c r="X436" s="12"/>
    </row>
    <row r="437" customFormat="false" ht="15.75" hidden="false" customHeight="false" outlineLevel="0" collapsed="false">
      <c r="A437" s="12"/>
      <c r="B437" s="34"/>
      <c r="C437" s="12"/>
      <c r="D437" s="12"/>
      <c r="E437" s="12"/>
      <c r="F437" s="12"/>
      <c r="G437" s="18"/>
      <c r="H437" s="35"/>
      <c r="I437" s="12"/>
      <c r="M437" s="12"/>
      <c r="N437" s="18"/>
      <c r="O437" s="12"/>
      <c r="P437" s="12"/>
      <c r="Q437" s="12"/>
      <c r="R437" s="36"/>
      <c r="S437" s="36"/>
      <c r="T437" s="12"/>
      <c r="U437" s="12"/>
      <c r="V437" s="12"/>
      <c r="W437" s="12"/>
      <c r="X437" s="12"/>
    </row>
    <row r="438" customFormat="false" ht="15.75" hidden="false" customHeight="false" outlineLevel="0" collapsed="false">
      <c r="A438" s="12"/>
      <c r="B438" s="34"/>
      <c r="C438" s="12"/>
      <c r="D438" s="12"/>
      <c r="E438" s="12"/>
      <c r="F438" s="12"/>
      <c r="G438" s="18"/>
      <c r="H438" s="35"/>
      <c r="I438" s="12"/>
      <c r="M438" s="12"/>
      <c r="N438" s="18"/>
      <c r="O438" s="12"/>
      <c r="P438" s="12"/>
      <c r="Q438" s="12"/>
      <c r="R438" s="36"/>
      <c r="S438" s="36"/>
      <c r="T438" s="12"/>
      <c r="U438" s="12"/>
      <c r="V438" s="12"/>
      <c r="W438" s="12"/>
      <c r="X438" s="12"/>
    </row>
    <row r="439" customFormat="false" ht="15.75" hidden="false" customHeight="false" outlineLevel="0" collapsed="false">
      <c r="A439" s="12"/>
      <c r="B439" s="34"/>
      <c r="C439" s="12"/>
      <c r="D439" s="12"/>
      <c r="E439" s="12"/>
      <c r="F439" s="12"/>
      <c r="G439" s="18"/>
      <c r="H439" s="35"/>
      <c r="I439" s="12"/>
      <c r="M439" s="12"/>
      <c r="N439" s="18"/>
      <c r="O439" s="12"/>
      <c r="P439" s="12"/>
      <c r="Q439" s="12"/>
      <c r="R439" s="36"/>
      <c r="S439" s="36"/>
      <c r="T439" s="12"/>
      <c r="U439" s="12"/>
      <c r="V439" s="12"/>
      <c r="W439" s="12"/>
      <c r="X439" s="12"/>
    </row>
    <row r="440" customFormat="false" ht="15.75" hidden="false" customHeight="false" outlineLevel="0" collapsed="false">
      <c r="A440" s="12"/>
      <c r="B440" s="34"/>
      <c r="C440" s="12"/>
      <c r="D440" s="12"/>
      <c r="E440" s="12"/>
      <c r="F440" s="12"/>
      <c r="G440" s="18"/>
      <c r="H440" s="35"/>
      <c r="I440" s="12"/>
      <c r="M440" s="12"/>
      <c r="N440" s="18"/>
      <c r="O440" s="12"/>
      <c r="P440" s="12"/>
      <c r="Q440" s="12"/>
      <c r="R440" s="36"/>
      <c r="S440" s="36"/>
      <c r="T440" s="12"/>
      <c r="U440" s="12"/>
      <c r="V440" s="12"/>
      <c r="W440" s="12"/>
      <c r="X440" s="12"/>
    </row>
    <row r="441" customFormat="false" ht="15.75" hidden="false" customHeight="false" outlineLevel="0" collapsed="false">
      <c r="A441" s="12"/>
      <c r="B441" s="34"/>
      <c r="C441" s="12"/>
      <c r="D441" s="12"/>
      <c r="E441" s="12"/>
      <c r="F441" s="12"/>
      <c r="G441" s="18"/>
      <c r="H441" s="35"/>
      <c r="I441" s="12"/>
      <c r="M441" s="12"/>
      <c r="N441" s="18"/>
      <c r="O441" s="12"/>
      <c r="P441" s="12"/>
      <c r="Q441" s="12"/>
      <c r="R441" s="36"/>
      <c r="S441" s="36"/>
      <c r="T441" s="12"/>
      <c r="U441" s="12"/>
      <c r="V441" s="12"/>
      <c r="W441" s="12"/>
      <c r="X441" s="12"/>
    </row>
    <row r="442" customFormat="false" ht="15.75" hidden="false" customHeight="false" outlineLevel="0" collapsed="false">
      <c r="A442" s="12"/>
      <c r="B442" s="34"/>
      <c r="C442" s="12"/>
      <c r="D442" s="12"/>
      <c r="E442" s="12"/>
      <c r="F442" s="12"/>
      <c r="G442" s="18"/>
      <c r="H442" s="35"/>
      <c r="I442" s="12"/>
      <c r="M442" s="12"/>
      <c r="N442" s="18"/>
      <c r="O442" s="12"/>
      <c r="P442" s="12"/>
      <c r="Q442" s="12"/>
      <c r="R442" s="36"/>
      <c r="S442" s="36"/>
      <c r="T442" s="12"/>
      <c r="U442" s="12"/>
      <c r="V442" s="12"/>
      <c r="W442" s="12"/>
      <c r="X442" s="12"/>
    </row>
    <row r="443" customFormat="false" ht="15.75" hidden="false" customHeight="false" outlineLevel="0" collapsed="false">
      <c r="A443" s="12"/>
      <c r="B443" s="34"/>
      <c r="C443" s="12"/>
      <c r="D443" s="12"/>
      <c r="E443" s="12"/>
      <c r="F443" s="12"/>
      <c r="G443" s="18"/>
      <c r="H443" s="35"/>
      <c r="I443" s="12"/>
      <c r="M443" s="12"/>
      <c r="N443" s="18"/>
      <c r="O443" s="12"/>
      <c r="P443" s="12"/>
      <c r="Q443" s="12"/>
      <c r="R443" s="36"/>
      <c r="S443" s="36"/>
      <c r="T443" s="12"/>
      <c r="U443" s="12"/>
      <c r="V443" s="12"/>
      <c r="W443" s="12"/>
      <c r="X443" s="12"/>
    </row>
    <row r="444" customFormat="false" ht="15.75" hidden="false" customHeight="false" outlineLevel="0" collapsed="false">
      <c r="A444" s="12"/>
      <c r="B444" s="34"/>
      <c r="C444" s="12"/>
      <c r="D444" s="12"/>
      <c r="E444" s="12"/>
      <c r="F444" s="12"/>
      <c r="G444" s="18"/>
      <c r="H444" s="35"/>
      <c r="I444" s="12"/>
      <c r="M444" s="12"/>
      <c r="N444" s="18"/>
      <c r="O444" s="12"/>
      <c r="P444" s="12"/>
      <c r="Q444" s="12"/>
      <c r="R444" s="36"/>
      <c r="S444" s="36"/>
      <c r="T444" s="12"/>
      <c r="U444" s="12"/>
      <c r="V444" s="12"/>
      <c r="W444" s="12"/>
      <c r="X444" s="12"/>
    </row>
    <row r="445" customFormat="false" ht="15.75" hidden="false" customHeight="false" outlineLevel="0" collapsed="false">
      <c r="A445" s="12"/>
      <c r="B445" s="34"/>
      <c r="C445" s="12"/>
      <c r="D445" s="12"/>
      <c r="E445" s="12"/>
      <c r="F445" s="12"/>
      <c r="G445" s="18"/>
      <c r="H445" s="35"/>
      <c r="I445" s="12"/>
      <c r="M445" s="12"/>
      <c r="N445" s="18"/>
      <c r="O445" s="12"/>
      <c r="P445" s="12"/>
      <c r="Q445" s="12"/>
      <c r="R445" s="36"/>
      <c r="S445" s="36"/>
      <c r="T445" s="12"/>
      <c r="U445" s="12"/>
      <c r="V445" s="12"/>
      <c r="W445" s="12"/>
      <c r="X445" s="12"/>
    </row>
    <row r="446" customFormat="false" ht="15.75" hidden="false" customHeight="false" outlineLevel="0" collapsed="false">
      <c r="A446" s="12"/>
      <c r="B446" s="34"/>
      <c r="C446" s="12"/>
      <c r="D446" s="12"/>
      <c r="E446" s="12"/>
      <c r="F446" s="12"/>
      <c r="G446" s="18"/>
      <c r="H446" s="35"/>
      <c r="I446" s="12"/>
      <c r="M446" s="12"/>
      <c r="N446" s="18"/>
      <c r="O446" s="12"/>
      <c r="P446" s="12"/>
      <c r="Q446" s="12"/>
      <c r="R446" s="36"/>
      <c r="S446" s="36"/>
      <c r="T446" s="12"/>
      <c r="U446" s="12"/>
      <c r="V446" s="12"/>
      <c r="W446" s="12"/>
      <c r="X446" s="12"/>
    </row>
    <row r="447" customFormat="false" ht="15.75" hidden="false" customHeight="false" outlineLevel="0" collapsed="false">
      <c r="A447" s="12"/>
      <c r="B447" s="34"/>
      <c r="C447" s="12"/>
      <c r="D447" s="12"/>
      <c r="E447" s="12"/>
      <c r="F447" s="12"/>
      <c r="G447" s="18"/>
      <c r="H447" s="35"/>
      <c r="I447" s="12"/>
      <c r="M447" s="12"/>
      <c r="N447" s="18"/>
      <c r="O447" s="12"/>
      <c r="P447" s="12"/>
      <c r="Q447" s="12"/>
      <c r="R447" s="36"/>
      <c r="S447" s="36"/>
      <c r="T447" s="12"/>
      <c r="U447" s="12"/>
      <c r="V447" s="12"/>
      <c r="W447" s="12"/>
      <c r="X447" s="12"/>
    </row>
    <row r="448" customFormat="false" ht="15.75" hidden="false" customHeight="false" outlineLevel="0" collapsed="false">
      <c r="A448" s="12"/>
      <c r="B448" s="34"/>
      <c r="C448" s="12"/>
      <c r="D448" s="12"/>
      <c r="E448" s="12"/>
      <c r="F448" s="12"/>
      <c r="G448" s="18"/>
      <c r="H448" s="35"/>
      <c r="I448" s="12"/>
      <c r="M448" s="12"/>
      <c r="N448" s="18"/>
      <c r="O448" s="12"/>
      <c r="P448" s="12"/>
      <c r="Q448" s="12"/>
      <c r="R448" s="36"/>
      <c r="S448" s="36"/>
      <c r="T448" s="12"/>
      <c r="U448" s="12"/>
      <c r="V448" s="12"/>
      <c r="W448" s="12"/>
      <c r="X448" s="12"/>
    </row>
    <row r="449" customFormat="false" ht="15.75" hidden="false" customHeight="false" outlineLevel="0" collapsed="false">
      <c r="A449" s="12"/>
      <c r="B449" s="34"/>
      <c r="C449" s="12"/>
      <c r="D449" s="12"/>
      <c r="E449" s="12"/>
      <c r="F449" s="12"/>
      <c r="G449" s="18"/>
      <c r="H449" s="35"/>
      <c r="I449" s="12"/>
      <c r="M449" s="12"/>
      <c r="N449" s="18"/>
      <c r="O449" s="12"/>
      <c r="P449" s="12"/>
      <c r="Q449" s="12"/>
      <c r="R449" s="36"/>
      <c r="S449" s="36"/>
      <c r="T449" s="12"/>
      <c r="U449" s="12"/>
      <c r="V449" s="12"/>
      <c r="W449" s="12"/>
      <c r="X449" s="12"/>
    </row>
    <row r="450" customFormat="false" ht="15.75" hidden="false" customHeight="false" outlineLevel="0" collapsed="false">
      <c r="A450" s="12"/>
      <c r="B450" s="34"/>
      <c r="C450" s="12"/>
      <c r="D450" s="12"/>
      <c r="E450" s="12"/>
      <c r="F450" s="12"/>
      <c r="G450" s="18"/>
      <c r="H450" s="35"/>
      <c r="I450" s="12"/>
      <c r="M450" s="12"/>
      <c r="N450" s="18"/>
      <c r="O450" s="12"/>
      <c r="P450" s="12"/>
      <c r="Q450" s="12"/>
      <c r="R450" s="36"/>
      <c r="S450" s="36"/>
      <c r="T450" s="12"/>
      <c r="U450" s="12"/>
      <c r="V450" s="12"/>
      <c r="W450" s="12"/>
      <c r="X450" s="12"/>
    </row>
    <row r="451" customFormat="false" ht="15.75" hidden="false" customHeight="false" outlineLevel="0" collapsed="false">
      <c r="A451" s="12"/>
      <c r="B451" s="34"/>
      <c r="C451" s="12"/>
      <c r="D451" s="12"/>
      <c r="E451" s="12"/>
      <c r="F451" s="12"/>
      <c r="G451" s="18"/>
      <c r="H451" s="35"/>
      <c r="I451" s="12"/>
      <c r="M451" s="12"/>
      <c r="N451" s="18"/>
      <c r="O451" s="12"/>
      <c r="P451" s="12"/>
      <c r="Q451" s="12"/>
      <c r="R451" s="36"/>
      <c r="S451" s="36"/>
      <c r="T451" s="12"/>
      <c r="U451" s="12"/>
      <c r="V451" s="12"/>
      <c r="W451" s="12"/>
      <c r="X451" s="12"/>
    </row>
    <row r="452" customFormat="false" ht="15.75" hidden="false" customHeight="false" outlineLevel="0" collapsed="false">
      <c r="A452" s="12"/>
      <c r="B452" s="34"/>
      <c r="C452" s="12"/>
      <c r="D452" s="12"/>
      <c r="E452" s="12"/>
      <c r="F452" s="12"/>
      <c r="G452" s="18"/>
      <c r="H452" s="35"/>
      <c r="I452" s="12"/>
      <c r="M452" s="12"/>
      <c r="N452" s="18"/>
      <c r="O452" s="12"/>
      <c r="P452" s="12"/>
      <c r="Q452" s="12"/>
      <c r="R452" s="36"/>
      <c r="S452" s="36"/>
      <c r="T452" s="12"/>
      <c r="U452" s="12"/>
      <c r="V452" s="12"/>
      <c r="W452" s="12"/>
      <c r="X452" s="12"/>
    </row>
    <row r="453" customFormat="false" ht="15.75" hidden="false" customHeight="false" outlineLevel="0" collapsed="false">
      <c r="A453" s="12"/>
      <c r="B453" s="34"/>
      <c r="C453" s="12"/>
      <c r="D453" s="12"/>
      <c r="E453" s="12"/>
      <c r="F453" s="12"/>
      <c r="G453" s="18"/>
      <c r="H453" s="35"/>
      <c r="I453" s="12"/>
      <c r="M453" s="12"/>
      <c r="N453" s="18"/>
      <c r="O453" s="12"/>
      <c r="P453" s="12"/>
      <c r="Q453" s="12"/>
      <c r="R453" s="36"/>
      <c r="S453" s="36"/>
      <c r="T453" s="12"/>
      <c r="U453" s="12"/>
      <c r="V453" s="12"/>
      <c r="W453" s="12"/>
      <c r="X453" s="12"/>
    </row>
    <row r="454" customFormat="false" ht="15.75" hidden="false" customHeight="false" outlineLevel="0" collapsed="false">
      <c r="A454" s="12"/>
      <c r="B454" s="34"/>
      <c r="C454" s="12"/>
      <c r="D454" s="12"/>
      <c r="E454" s="12"/>
      <c r="F454" s="12"/>
      <c r="G454" s="18"/>
      <c r="H454" s="35"/>
      <c r="I454" s="12"/>
      <c r="M454" s="12"/>
      <c r="N454" s="18"/>
      <c r="O454" s="12"/>
      <c r="P454" s="12"/>
      <c r="Q454" s="12"/>
      <c r="R454" s="36"/>
      <c r="S454" s="36"/>
      <c r="T454" s="12"/>
      <c r="U454" s="12"/>
      <c r="V454" s="12"/>
      <c r="W454" s="12"/>
      <c r="X454" s="12"/>
    </row>
    <row r="455" customFormat="false" ht="15.75" hidden="false" customHeight="false" outlineLevel="0" collapsed="false">
      <c r="A455" s="12"/>
      <c r="B455" s="34"/>
      <c r="C455" s="12"/>
      <c r="D455" s="12"/>
      <c r="E455" s="12"/>
      <c r="F455" s="12"/>
      <c r="G455" s="18"/>
      <c r="H455" s="35"/>
      <c r="I455" s="12"/>
      <c r="M455" s="12"/>
      <c r="N455" s="18"/>
      <c r="O455" s="12"/>
      <c r="P455" s="12"/>
      <c r="Q455" s="12"/>
      <c r="R455" s="36"/>
      <c r="S455" s="36"/>
      <c r="T455" s="12"/>
      <c r="U455" s="12"/>
      <c r="V455" s="12"/>
      <c r="W455" s="12"/>
      <c r="X455" s="12"/>
    </row>
    <row r="456" customFormat="false" ht="15.75" hidden="false" customHeight="false" outlineLevel="0" collapsed="false">
      <c r="A456" s="12"/>
      <c r="B456" s="34"/>
      <c r="C456" s="12"/>
      <c r="D456" s="12"/>
      <c r="E456" s="12"/>
      <c r="F456" s="12"/>
      <c r="G456" s="18"/>
      <c r="H456" s="35"/>
      <c r="I456" s="12"/>
      <c r="M456" s="12"/>
      <c r="N456" s="18"/>
      <c r="O456" s="12"/>
      <c r="P456" s="12"/>
      <c r="Q456" s="12"/>
      <c r="R456" s="36"/>
      <c r="S456" s="36"/>
      <c r="T456" s="12"/>
      <c r="U456" s="12"/>
      <c r="V456" s="12"/>
      <c r="W456" s="12"/>
      <c r="X456" s="12"/>
    </row>
    <row r="457" customFormat="false" ht="15.75" hidden="false" customHeight="false" outlineLevel="0" collapsed="false">
      <c r="A457" s="12"/>
      <c r="B457" s="34"/>
      <c r="C457" s="12"/>
      <c r="D457" s="12"/>
      <c r="E457" s="12"/>
      <c r="F457" s="12"/>
      <c r="G457" s="18"/>
      <c r="H457" s="35"/>
      <c r="I457" s="12"/>
      <c r="M457" s="12"/>
      <c r="N457" s="18"/>
      <c r="O457" s="12"/>
      <c r="P457" s="12"/>
      <c r="Q457" s="12"/>
      <c r="R457" s="36"/>
      <c r="S457" s="36"/>
      <c r="T457" s="12"/>
      <c r="U457" s="12"/>
      <c r="V457" s="12"/>
      <c r="W457" s="12"/>
      <c r="X457" s="12"/>
    </row>
    <row r="458" customFormat="false" ht="15.75" hidden="false" customHeight="false" outlineLevel="0" collapsed="false">
      <c r="A458" s="12"/>
      <c r="B458" s="34"/>
      <c r="C458" s="12"/>
      <c r="D458" s="12"/>
      <c r="E458" s="12"/>
      <c r="F458" s="12"/>
      <c r="G458" s="18"/>
      <c r="H458" s="35"/>
      <c r="I458" s="12"/>
      <c r="M458" s="12"/>
      <c r="N458" s="18"/>
      <c r="O458" s="12"/>
      <c r="P458" s="12"/>
      <c r="Q458" s="12"/>
      <c r="R458" s="36"/>
      <c r="S458" s="36"/>
      <c r="T458" s="12"/>
      <c r="U458" s="12"/>
      <c r="V458" s="12"/>
      <c r="W458" s="12"/>
      <c r="X458" s="12"/>
    </row>
    <row r="459" customFormat="false" ht="15.75" hidden="false" customHeight="false" outlineLevel="0" collapsed="false">
      <c r="A459" s="12"/>
      <c r="B459" s="34"/>
      <c r="C459" s="12"/>
      <c r="D459" s="12"/>
      <c r="E459" s="12"/>
      <c r="F459" s="12"/>
      <c r="G459" s="18"/>
      <c r="H459" s="35"/>
      <c r="I459" s="12"/>
      <c r="M459" s="12"/>
      <c r="N459" s="18"/>
      <c r="O459" s="12"/>
      <c r="P459" s="12"/>
      <c r="Q459" s="12"/>
      <c r="R459" s="36"/>
      <c r="S459" s="36"/>
      <c r="T459" s="12"/>
      <c r="U459" s="12"/>
      <c r="V459" s="12"/>
      <c r="W459" s="12"/>
      <c r="X459" s="12"/>
    </row>
    <row r="460" customFormat="false" ht="15.75" hidden="false" customHeight="false" outlineLevel="0" collapsed="false">
      <c r="A460" s="12"/>
      <c r="B460" s="34"/>
      <c r="C460" s="12"/>
      <c r="D460" s="12"/>
      <c r="E460" s="12"/>
      <c r="F460" s="12"/>
      <c r="G460" s="18"/>
      <c r="H460" s="35"/>
      <c r="I460" s="12"/>
      <c r="M460" s="12"/>
      <c r="N460" s="18"/>
      <c r="O460" s="12"/>
      <c r="P460" s="12"/>
      <c r="Q460" s="12"/>
      <c r="R460" s="36"/>
      <c r="S460" s="36"/>
      <c r="T460" s="12"/>
      <c r="U460" s="12"/>
      <c r="V460" s="12"/>
      <c r="W460" s="12"/>
      <c r="X460" s="12"/>
    </row>
    <row r="461" customFormat="false" ht="15.75" hidden="false" customHeight="false" outlineLevel="0" collapsed="false">
      <c r="A461" s="12"/>
      <c r="B461" s="34"/>
      <c r="C461" s="12"/>
      <c r="D461" s="12"/>
      <c r="E461" s="12"/>
      <c r="F461" s="12"/>
      <c r="G461" s="18"/>
      <c r="H461" s="35"/>
      <c r="I461" s="12"/>
      <c r="M461" s="12"/>
      <c r="N461" s="18"/>
      <c r="O461" s="12"/>
      <c r="P461" s="12"/>
      <c r="Q461" s="12"/>
      <c r="R461" s="36"/>
      <c r="S461" s="36"/>
      <c r="T461" s="12"/>
      <c r="U461" s="12"/>
      <c r="V461" s="12"/>
      <c r="W461" s="12"/>
      <c r="X461" s="12"/>
    </row>
    <row r="462" customFormat="false" ht="15.75" hidden="false" customHeight="false" outlineLevel="0" collapsed="false">
      <c r="A462" s="12"/>
      <c r="B462" s="34"/>
      <c r="C462" s="12"/>
      <c r="D462" s="12"/>
      <c r="E462" s="12"/>
      <c r="F462" s="12"/>
      <c r="G462" s="18"/>
      <c r="H462" s="35"/>
      <c r="I462" s="12"/>
      <c r="M462" s="12"/>
      <c r="N462" s="18"/>
      <c r="O462" s="12"/>
      <c r="P462" s="12"/>
      <c r="Q462" s="12"/>
      <c r="R462" s="36"/>
      <c r="S462" s="36"/>
      <c r="T462" s="12"/>
      <c r="U462" s="12"/>
      <c r="V462" s="12"/>
      <c r="W462" s="12"/>
      <c r="X462" s="12"/>
    </row>
    <row r="463" customFormat="false" ht="15.75" hidden="false" customHeight="false" outlineLevel="0" collapsed="false">
      <c r="A463" s="12"/>
      <c r="B463" s="34"/>
      <c r="C463" s="12"/>
      <c r="D463" s="12"/>
      <c r="E463" s="12"/>
      <c r="F463" s="12"/>
      <c r="G463" s="18"/>
      <c r="H463" s="35"/>
      <c r="I463" s="12"/>
      <c r="M463" s="12"/>
      <c r="N463" s="18"/>
      <c r="O463" s="12"/>
      <c r="P463" s="12"/>
      <c r="Q463" s="12"/>
      <c r="R463" s="36"/>
      <c r="S463" s="36"/>
      <c r="T463" s="12"/>
      <c r="U463" s="12"/>
      <c r="V463" s="12"/>
      <c r="W463" s="12"/>
      <c r="X463" s="12"/>
    </row>
    <row r="464" customFormat="false" ht="15.75" hidden="false" customHeight="false" outlineLevel="0" collapsed="false">
      <c r="A464" s="12"/>
      <c r="B464" s="34"/>
      <c r="C464" s="12"/>
      <c r="D464" s="12"/>
      <c r="E464" s="12"/>
      <c r="F464" s="12"/>
      <c r="G464" s="18"/>
      <c r="H464" s="35"/>
      <c r="I464" s="12"/>
      <c r="M464" s="12"/>
      <c r="N464" s="18"/>
      <c r="O464" s="12"/>
      <c r="P464" s="12"/>
      <c r="Q464" s="12"/>
      <c r="R464" s="36"/>
      <c r="S464" s="36"/>
      <c r="T464" s="12"/>
      <c r="U464" s="12"/>
      <c r="V464" s="12"/>
      <c r="W464" s="12"/>
      <c r="X464" s="12"/>
    </row>
    <row r="465" customFormat="false" ht="15.75" hidden="false" customHeight="false" outlineLevel="0" collapsed="false">
      <c r="A465" s="12"/>
      <c r="B465" s="34"/>
      <c r="C465" s="12"/>
      <c r="D465" s="12"/>
      <c r="E465" s="12"/>
      <c r="F465" s="12"/>
      <c r="G465" s="18"/>
      <c r="H465" s="35"/>
      <c r="I465" s="12"/>
      <c r="M465" s="12"/>
      <c r="N465" s="18"/>
      <c r="O465" s="12"/>
      <c r="P465" s="12"/>
      <c r="Q465" s="12"/>
      <c r="R465" s="36"/>
      <c r="S465" s="36"/>
      <c r="T465" s="12"/>
      <c r="U465" s="12"/>
      <c r="V465" s="12"/>
      <c r="W465" s="12"/>
      <c r="X465" s="12"/>
    </row>
    <row r="466" customFormat="false" ht="15.75" hidden="false" customHeight="false" outlineLevel="0" collapsed="false">
      <c r="A466" s="12"/>
      <c r="B466" s="34"/>
      <c r="C466" s="12"/>
      <c r="D466" s="12"/>
      <c r="E466" s="12"/>
      <c r="F466" s="12"/>
      <c r="G466" s="18"/>
      <c r="H466" s="35"/>
      <c r="I466" s="12"/>
      <c r="M466" s="12"/>
      <c r="N466" s="18"/>
      <c r="O466" s="12"/>
      <c r="P466" s="12"/>
      <c r="Q466" s="12"/>
      <c r="R466" s="36"/>
      <c r="S466" s="36"/>
      <c r="T466" s="12"/>
      <c r="U466" s="12"/>
      <c r="V466" s="12"/>
      <c r="W466" s="12"/>
      <c r="X466" s="12"/>
    </row>
    <row r="467" customFormat="false" ht="15.75" hidden="false" customHeight="false" outlineLevel="0" collapsed="false">
      <c r="A467" s="12"/>
      <c r="B467" s="34"/>
      <c r="C467" s="12"/>
      <c r="D467" s="12"/>
      <c r="E467" s="12"/>
      <c r="F467" s="12"/>
      <c r="G467" s="18"/>
      <c r="H467" s="35"/>
      <c r="I467" s="12"/>
      <c r="M467" s="12"/>
      <c r="N467" s="18"/>
      <c r="O467" s="12"/>
      <c r="P467" s="12"/>
      <c r="Q467" s="12"/>
      <c r="R467" s="36"/>
      <c r="S467" s="36"/>
      <c r="T467" s="12"/>
      <c r="U467" s="12"/>
      <c r="V467" s="12"/>
      <c r="W467" s="12"/>
      <c r="X467" s="12"/>
    </row>
    <row r="468" customFormat="false" ht="15.75" hidden="false" customHeight="false" outlineLevel="0" collapsed="false">
      <c r="A468" s="12"/>
      <c r="B468" s="34"/>
      <c r="C468" s="12"/>
      <c r="D468" s="12"/>
      <c r="E468" s="12"/>
      <c r="F468" s="12"/>
      <c r="G468" s="18"/>
      <c r="H468" s="35"/>
      <c r="I468" s="12"/>
      <c r="M468" s="12"/>
      <c r="N468" s="18"/>
      <c r="O468" s="12"/>
      <c r="P468" s="12"/>
      <c r="Q468" s="12"/>
      <c r="R468" s="36"/>
      <c r="S468" s="36"/>
      <c r="T468" s="12"/>
      <c r="U468" s="12"/>
      <c r="V468" s="12"/>
      <c r="W468" s="12"/>
      <c r="X468" s="12"/>
    </row>
    <row r="469" customFormat="false" ht="15.75" hidden="false" customHeight="false" outlineLevel="0" collapsed="false">
      <c r="A469" s="12"/>
      <c r="B469" s="34"/>
      <c r="C469" s="12"/>
      <c r="D469" s="12"/>
      <c r="E469" s="12"/>
      <c r="F469" s="12"/>
      <c r="G469" s="18"/>
      <c r="H469" s="35"/>
      <c r="I469" s="12"/>
      <c r="M469" s="12"/>
      <c r="N469" s="18"/>
      <c r="O469" s="12"/>
      <c r="P469" s="12"/>
      <c r="Q469" s="12"/>
      <c r="R469" s="36"/>
      <c r="S469" s="36"/>
      <c r="T469" s="12"/>
      <c r="U469" s="12"/>
      <c r="V469" s="12"/>
      <c r="W469" s="12"/>
      <c r="X469" s="12"/>
    </row>
    <row r="470" customFormat="false" ht="15.75" hidden="false" customHeight="false" outlineLevel="0" collapsed="false">
      <c r="A470" s="12"/>
      <c r="B470" s="34"/>
      <c r="C470" s="12"/>
      <c r="D470" s="12"/>
      <c r="E470" s="12"/>
      <c r="F470" s="12"/>
      <c r="G470" s="18"/>
      <c r="H470" s="35"/>
      <c r="I470" s="12"/>
      <c r="M470" s="12"/>
      <c r="N470" s="18"/>
      <c r="O470" s="12"/>
      <c r="P470" s="12"/>
      <c r="Q470" s="12"/>
      <c r="R470" s="36"/>
      <c r="S470" s="36"/>
      <c r="T470" s="12"/>
      <c r="U470" s="12"/>
      <c r="V470" s="12"/>
      <c r="W470" s="12"/>
      <c r="X470" s="12"/>
    </row>
    <row r="471" customFormat="false" ht="15.75" hidden="false" customHeight="false" outlineLevel="0" collapsed="false">
      <c r="A471" s="12"/>
      <c r="B471" s="34"/>
      <c r="C471" s="12"/>
      <c r="D471" s="12"/>
      <c r="E471" s="12"/>
      <c r="F471" s="12"/>
      <c r="G471" s="18"/>
      <c r="H471" s="35"/>
      <c r="I471" s="12"/>
      <c r="M471" s="12"/>
      <c r="N471" s="18"/>
      <c r="O471" s="12"/>
      <c r="P471" s="12"/>
      <c r="Q471" s="12"/>
      <c r="R471" s="36"/>
      <c r="S471" s="36"/>
      <c r="T471" s="12"/>
      <c r="U471" s="12"/>
      <c r="V471" s="12"/>
      <c r="W471" s="12"/>
      <c r="X471" s="12"/>
    </row>
    <row r="472" customFormat="false" ht="15.75" hidden="false" customHeight="false" outlineLevel="0" collapsed="false">
      <c r="A472" s="12"/>
      <c r="B472" s="34"/>
      <c r="C472" s="12"/>
      <c r="D472" s="12"/>
      <c r="E472" s="12"/>
      <c r="F472" s="12"/>
      <c r="G472" s="18"/>
      <c r="H472" s="35"/>
      <c r="I472" s="12"/>
      <c r="M472" s="12"/>
      <c r="N472" s="18"/>
      <c r="O472" s="12"/>
      <c r="P472" s="12"/>
      <c r="Q472" s="12"/>
      <c r="R472" s="36"/>
      <c r="S472" s="36"/>
      <c r="T472" s="12"/>
      <c r="U472" s="12"/>
      <c r="V472" s="12"/>
      <c r="W472" s="12"/>
      <c r="X472" s="12"/>
    </row>
    <row r="473" customFormat="false" ht="15.75" hidden="false" customHeight="false" outlineLevel="0" collapsed="false">
      <c r="A473" s="12"/>
      <c r="B473" s="34"/>
      <c r="C473" s="12"/>
      <c r="D473" s="12"/>
      <c r="E473" s="12"/>
      <c r="F473" s="12"/>
      <c r="G473" s="18"/>
      <c r="H473" s="35"/>
      <c r="I473" s="12"/>
      <c r="M473" s="12"/>
      <c r="N473" s="18"/>
      <c r="O473" s="12"/>
      <c r="P473" s="12"/>
      <c r="Q473" s="12"/>
      <c r="R473" s="36"/>
      <c r="S473" s="36"/>
      <c r="T473" s="12"/>
      <c r="U473" s="12"/>
      <c r="V473" s="12"/>
      <c r="W473" s="12"/>
      <c r="X473" s="12"/>
    </row>
    <row r="474" customFormat="false" ht="15.75" hidden="false" customHeight="false" outlineLevel="0" collapsed="false">
      <c r="A474" s="12"/>
      <c r="B474" s="34"/>
      <c r="C474" s="12"/>
      <c r="D474" s="12"/>
      <c r="E474" s="12"/>
      <c r="F474" s="12"/>
      <c r="G474" s="18"/>
      <c r="H474" s="35"/>
      <c r="I474" s="12"/>
      <c r="M474" s="12"/>
      <c r="N474" s="18"/>
      <c r="O474" s="12"/>
      <c r="P474" s="12"/>
      <c r="Q474" s="12"/>
      <c r="R474" s="36"/>
      <c r="S474" s="36"/>
      <c r="T474" s="12"/>
      <c r="U474" s="12"/>
      <c r="V474" s="12"/>
      <c r="W474" s="12"/>
      <c r="X474" s="12"/>
    </row>
    <row r="475" customFormat="false" ht="15.75" hidden="false" customHeight="false" outlineLevel="0" collapsed="false">
      <c r="A475" s="12"/>
      <c r="B475" s="34"/>
      <c r="C475" s="12"/>
      <c r="D475" s="12"/>
      <c r="E475" s="12"/>
      <c r="F475" s="12"/>
      <c r="G475" s="18"/>
      <c r="H475" s="35"/>
      <c r="I475" s="12"/>
      <c r="M475" s="12"/>
      <c r="N475" s="18"/>
      <c r="O475" s="12"/>
      <c r="P475" s="12"/>
      <c r="Q475" s="12"/>
      <c r="R475" s="36"/>
      <c r="S475" s="36"/>
      <c r="T475" s="12"/>
      <c r="U475" s="12"/>
      <c r="V475" s="12"/>
      <c r="W475" s="12"/>
      <c r="X475" s="12"/>
    </row>
    <row r="476" customFormat="false" ht="15.75" hidden="false" customHeight="false" outlineLevel="0" collapsed="false">
      <c r="A476" s="12"/>
      <c r="B476" s="34"/>
      <c r="C476" s="12"/>
      <c r="D476" s="12"/>
      <c r="E476" s="12"/>
      <c r="F476" s="12"/>
      <c r="G476" s="18"/>
      <c r="H476" s="35"/>
      <c r="I476" s="12"/>
      <c r="M476" s="12"/>
      <c r="N476" s="18"/>
      <c r="O476" s="12"/>
      <c r="P476" s="12"/>
      <c r="Q476" s="12"/>
      <c r="R476" s="36"/>
      <c r="S476" s="36"/>
      <c r="T476" s="12"/>
      <c r="U476" s="12"/>
      <c r="V476" s="12"/>
      <c r="W476" s="12"/>
      <c r="X476" s="12"/>
    </row>
    <row r="477" customFormat="false" ht="15.75" hidden="false" customHeight="false" outlineLevel="0" collapsed="false">
      <c r="A477" s="12"/>
      <c r="B477" s="34"/>
      <c r="C477" s="12"/>
      <c r="D477" s="12"/>
      <c r="E477" s="12"/>
      <c r="F477" s="12"/>
      <c r="G477" s="18"/>
      <c r="H477" s="35"/>
      <c r="I477" s="12"/>
      <c r="M477" s="12"/>
      <c r="N477" s="18"/>
      <c r="O477" s="12"/>
      <c r="P477" s="12"/>
      <c r="Q477" s="12"/>
      <c r="R477" s="36"/>
      <c r="S477" s="36"/>
      <c r="T477" s="12"/>
      <c r="U477" s="12"/>
      <c r="V477" s="12"/>
      <c r="W477" s="12"/>
      <c r="X477" s="12"/>
    </row>
    <row r="478" customFormat="false" ht="15.75" hidden="false" customHeight="false" outlineLevel="0" collapsed="false">
      <c r="A478" s="12"/>
      <c r="B478" s="34"/>
      <c r="C478" s="12"/>
      <c r="D478" s="12"/>
      <c r="E478" s="12"/>
      <c r="F478" s="12"/>
      <c r="G478" s="18"/>
      <c r="H478" s="35"/>
      <c r="I478" s="12"/>
      <c r="M478" s="12"/>
      <c r="N478" s="18"/>
      <c r="O478" s="12"/>
      <c r="P478" s="12"/>
      <c r="Q478" s="12"/>
      <c r="R478" s="36"/>
      <c r="S478" s="36"/>
      <c r="T478" s="12"/>
      <c r="U478" s="12"/>
      <c r="V478" s="12"/>
      <c r="W478" s="12"/>
      <c r="X478" s="12"/>
    </row>
    <row r="479" customFormat="false" ht="15.75" hidden="false" customHeight="false" outlineLevel="0" collapsed="false">
      <c r="A479" s="12"/>
      <c r="B479" s="34"/>
      <c r="C479" s="12"/>
      <c r="D479" s="12"/>
      <c r="E479" s="12"/>
      <c r="F479" s="12"/>
      <c r="G479" s="18"/>
      <c r="H479" s="35"/>
      <c r="I479" s="12"/>
      <c r="M479" s="12"/>
      <c r="N479" s="18"/>
      <c r="O479" s="12"/>
      <c r="P479" s="12"/>
      <c r="Q479" s="12"/>
      <c r="R479" s="36"/>
      <c r="S479" s="36"/>
      <c r="T479" s="12"/>
      <c r="U479" s="12"/>
      <c r="V479" s="12"/>
      <c r="W479" s="12"/>
      <c r="X479" s="12"/>
    </row>
    <row r="480" customFormat="false" ht="15.75" hidden="false" customHeight="false" outlineLevel="0" collapsed="false">
      <c r="A480" s="12"/>
      <c r="B480" s="34"/>
      <c r="C480" s="12"/>
      <c r="D480" s="12"/>
      <c r="E480" s="12"/>
      <c r="F480" s="12"/>
      <c r="G480" s="18"/>
      <c r="H480" s="35"/>
      <c r="I480" s="12"/>
      <c r="M480" s="12"/>
      <c r="N480" s="18"/>
      <c r="O480" s="12"/>
      <c r="P480" s="12"/>
      <c r="Q480" s="12"/>
      <c r="R480" s="36"/>
      <c r="S480" s="36"/>
      <c r="T480" s="12"/>
      <c r="U480" s="12"/>
      <c r="V480" s="12"/>
      <c r="W480" s="12"/>
      <c r="X480" s="12"/>
    </row>
    <row r="481" customFormat="false" ht="15.75" hidden="false" customHeight="false" outlineLevel="0" collapsed="false">
      <c r="A481" s="12"/>
      <c r="B481" s="34"/>
      <c r="C481" s="12"/>
      <c r="D481" s="12"/>
      <c r="E481" s="12"/>
      <c r="F481" s="12"/>
      <c r="G481" s="18"/>
      <c r="H481" s="35"/>
      <c r="I481" s="12"/>
      <c r="M481" s="12"/>
      <c r="N481" s="18"/>
      <c r="O481" s="12"/>
      <c r="P481" s="12"/>
      <c r="Q481" s="12"/>
      <c r="R481" s="36"/>
      <c r="S481" s="36"/>
      <c r="T481" s="12"/>
      <c r="U481" s="12"/>
      <c r="V481" s="12"/>
      <c r="W481" s="12"/>
      <c r="X481" s="12"/>
    </row>
    <row r="482" customFormat="false" ht="15.75" hidden="false" customHeight="false" outlineLevel="0" collapsed="false">
      <c r="A482" s="12"/>
      <c r="B482" s="34"/>
      <c r="C482" s="12"/>
      <c r="D482" s="12"/>
      <c r="E482" s="12"/>
      <c r="F482" s="12"/>
      <c r="G482" s="18"/>
      <c r="H482" s="35"/>
      <c r="I482" s="12"/>
      <c r="M482" s="12"/>
      <c r="N482" s="18"/>
      <c r="O482" s="12"/>
      <c r="P482" s="12"/>
      <c r="Q482" s="12"/>
      <c r="R482" s="36"/>
      <c r="S482" s="36"/>
      <c r="T482" s="12"/>
      <c r="U482" s="12"/>
      <c r="V482" s="12"/>
      <c r="W482" s="12"/>
      <c r="X482" s="12"/>
    </row>
    <row r="483" customFormat="false" ht="15.75" hidden="false" customHeight="false" outlineLevel="0" collapsed="false">
      <c r="A483" s="12"/>
      <c r="B483" s="34"/>
      <c r="C483" s="12"/>
      <c r="D483" s="12"/>
      <c r="E483" s="12"/>
      <c r="F483" s="12"/>
      <c r="G483" s="18"/>
      <c r="H483" s="35"/>
      <c r="I483" s="12"/>
      <c r="M483" s="12"/>
      <c r="N483" s="18"/>
      <c r="O483" s="12"/>
      <c r="P483" s="12"/>
      <c r="Q483" s="12"/>
      <c r="R483" s="36"/>
      <c r="S483" s="36"/>
      <c r="T483" s="12"/>
      <c r="U483" s="12"/>
      <c r="V483" s="12"/>
      <c r="W483" s="12"/>
      <c r="X483" s="12"/>
    </row>
    <row r="484" customFormat="false" ht="15.75" hidden="false" customHeight="false" outlineLevel="0" collapsed="false">
      <c r="A484" s="12"/>
      <c r="B484" s="34"/>
      <c r="C484" s="12"/>
      <c r="D484" s="12"/>
      <c r="E484" s="12"/>
      <c r="F484" s="12"/>
      <c r="G484" s="18"/>
      <c r="H484" s="35"/>
      <c r="I484" s="12"/>
      <c r="M484" s="12"/>
      <c r="N484" s="18"/>
      <c r="O484" s="12"/>
      <c r="P484" s="12"/>
      <c r="Q484" s="12"/>
      <c r="R484" s="36"/>
      <c r="S484" s="36"/>
      <c r="T484" s="12"/>
      <c r="U484" s="12"/>
      <c r="V484" s="12"/>
      <c r="W484" s="12"/>
      <c r="X484" s="12"/>
    </row>
    <row r="485" customFormat="false" ht="15.75" hidden="false" customHeight="false" outlineLevel="0" collapsed="false">
      <c r="A485" s="12"/>
      <c r="B485" s="34"/>
      <c r="C485" s="12"/>
      <c r="D485" s="12"/>
      <c r="E485" s="12"/>
      <c r="F485" s="12"/>
      <c r="G485" s="18"/>
      <c r="H485" s="35"/>
      <c r="I485" s="12"/>
      <c r="M485" s="12"/>
      <c r="N485" s="18"/>
      <c r="O485" s="12"/>
      <c r="P485" s="12"/>
      <c r="Q485" s="12"/>
      <c r="R485" s="36"/>
      <c r="S485" s="36"/>
      <c r="T485" s="12"/>
      <c r="U485" s="12"/>
      <c r="V485" s="12"/>
      <c r="W485" s="12"/>
      <c r="X485" s="12"/>
    </row>
    <row r="486" customFormat="false" ht="15.75" hidden="false" customHeight="false" outlineLevel="0" collapsed="false">
      <c r="A486" s="12"/>
      <c r="B486" s="34"/>
      <c r="C486" s="12"/>
      <c r="D486" s="12"/>
      <c r="E486" s="12"/>
      <c r="F486" s="12"/>
      <c r="G486" s="18"/>
      <c r="H486" s="35"/>
      <c r="I486" s="12"/>
      <c r="M486" s="12"/>
      <c r="N486" s="18"/>
      <c r="O486" s="12"/>
      <c r="P486" s="12"/>
      <c r="Q486" s="12"/>
      <c r="R486" s="36"/>
      <c r="S486" s="36"/>
      <c r="T486" s="12"/>
      <c r="U486" s="12"/>
      <c r="V486" s="12"/>
      <c r="W486" s="12"/>
      <c r="X486" s="12"/>
    </row>
    <row r="487" customFormat="false" ht="15.75" hidden="false" customHeight="false" outlineLevel="0" collapsed="false">
      <c r="A487" s="12"/>
      <c r="B487" s="34"/>
      <c r="C487" s="12"/>
      <c r="D487" s="12"/>
      <c r="E487" s="12"/>
      <c r="F487" s="12"/>
      <c r="G487" s="18"/>
      <c r="H487" s="35"/>
      <c r="I487" s="12"/>
      <c r="M487" s="12"/>
      <c r="N487" s="18"/>
      <c r="O487" s="12"/>
      <c r="P487" s="12"/>
      <c r="Q487" s="12"/>
      <c r="R487" s="36"/>
      <c r="S487" s="36"/>
      <c r="T487" s="12"/>
      <c r="U487" s="12"/>
      <c r="V487" s="12"/>
      <c r="W487" s="12"/>
      <c r="X487" s="12"/>
    </row>
    <row r="488" customFormat="false" ht="15.75" hidden="false" customHeight="false" outlineLevel="0" collapsed="false">
      <c r="A488" s="12"/>
      <c r="B488" s="34"/>
      <c r="C488" s="12"/>
      <c r="D488" s="12"/>
      <c r="E488" s="12"/>
      <c r="F488" s="12"/>
      <c r="G488" s="18"/>
      <c r="H488" s="35"/>
      <c r="I488" s="12"/>
      <c r="M488" s="12"/>
      <c r="N488" s="18"/>
      <c r="O488" s="12"/>
      <c r="P488" s="12"/>
      <c r="Q488" s="12"/>
      <c r="R488" s="36"/>
      <c r="S488" s="36"/>
      <c r="T488" s="12"/>
      <c r="U488" s="12"/>
      <c r="V488" s="12"/>
      <c r="W488" s="12"/>
      <c r="X488" s="12"/>
    </row>
    <row r="489" customFormat="false" ht="15.75" hidden="false" customHeight="false" outlineLevel="0" collapsed="false">
      <c r="A489" s="12"/>
      <c r="B489" s="34"/>
      <c r="C489" s="12"/>
      <c r="D489" s="12"/>
      <c r="E489" s="12"/>
      <c r="F489" s="12"/>
      <c r="G489" s="18"/>
      <c r="H489" s="35"/>
      <c r="I489" s="12"/>
      <c r="M489" s="12"/>
      <c r="N489" s="18"/>
      <c r="O489" s="12"/>
      <c r="P489" s="12"/>
      <c r="Q489" s="12"/>
      <c r="R489" s="36"/>
      <c r="S489" s="36"/>
      <c r="T489" s="12"/>
      <c r="U489" s="12"/>
      <c r="V489" s="12"/>
      <c r="W489" s="12"/>
      <c r="X489" s="12"/>
    </row>
    <row r="490" customFormat="false" ht="15.75" hidden="false" customHeight="false" outlineLevel="0" collapsed="false">
      <c r="A490" s="12"/>
      <c r="B490" s="34"/>
      <c r="C490" s="12"/>
      <c r="D490" s="12"/>
      <c r="E490" s="12"/>
      <c r="F490" s="12"/>
      <c r="G490" s="18"/>
      <c r="H490" s="35"/>
      <c r="I490" s="12"/>
      <c r="M490" s="12"/>
      <c r="N490" s="18"/>
      <c r="O490" s="12"/>
      <c r="P490" s="12"/>
      <c r="Q490" s="12"/>
      <c r="R490" s="36"/>
      <c r="S490" s="36"/>
      <c r="T490" s="12"/>
      <c r="U490" s="12"/>
      <c r="V490" s="12"/>
      <c r="W490" s="12"/>
      <c r="X490" s="12"/>
    </row>
    <row r="491" customFormat="false" ht="15.75" hidden="false" customHeight="false" outlineLevel="0" collapsed="false">
      <c r="A491" s="12"/>
      <c r="B491" s="34"/>
      <c r="C491" s="12"/>
      <c r="D491" s="12"/>
      <c r="E491" s="12"/>
      <c r="F491" s="12"/>
      <c r="G491" s="18"/>
      <c r="H491" s="35"/>
      <c r="I491" s="12"/>
      <c r="M491" s="12"/>
      <c r="N491" s="18"/>
      <c r="O491" s="12"/>
      <c r="P491" s="12"/>
      <c r="Q491" s="12"/>
      <c r="R491" s="36"/>
      <c r="S491" s="36"/>
      <c r="T491" s="12"/>
      <c r="U491" s="12"/>
      <c r="V491" s="12"/>
      <c r="W491" s="12"/>
      <c r="X491" s="12"/>
    </row>
    <row r="492" customFormat="false" ht="15.75" hidden="false" customHeight="false" outlineLevel="0" collapsed="false">
      <c r="A492" s="12"/>
      <c r="B492" s="34"/>
      <c r="C492" s="12"/>
      <c r="D492" s="12"/>
      <c r="E492" s="12"/>
      <c r="F492" s="12"/>
      <c r="G492" s="18"/>
      <c r="H492" s="35"/>
      <c r="I492" s="12"/>
      <c r="M492" s="12"/>
      <c r="N492" s="18"/>
      <c r="O492" s="12"/>
      <c r="P492" s="12"/>
      <c r="Q492" s="12"/>
      <c r="R492" s="36"/>
      <c r="S492" s="36"/>
      <c r="T492" s="12"/>
      <c r="U492" s="12"/>
      <c r="V492" s="12"/>
      <c r="W492" s="12"/>
      <c r="X492" s="12"/>
    </row>
    <row r="493" customFormat="false" ht="15.75" hidden="false" customHeight="false" outlineLevel="0" collapsed="false">
      <c r="A493" s="12"/>
      <c r="B493" s="34"/>
      <c r="C493" s="12"/>
      <c r="D493" s="12"/>
      <c r="E493" s="12"/>
      <c r="F493" s="12"/>
      <c r="G493" s="18"/>
      <c r="H493" s="35"/>
      <c r="I493" s="12"/>
      <c r="M493" s="12"/>
      <c r="N493" s="18"/>
      <c r="O493" s="12"/>
      <c r="P493" s="12"/>
      <c r="Q493" s="12"/>
      <c r="R493" s="36"/>
      <c r="S493" s="36"/>
      <c r="T493" s="12"/>
      <c r="U493" s="12"/>
      <c r="V493" s="12"/>
      <c r="W493" s="12"/>
      <c r="X493" s="12"/>
    </row>
    <row r="494" customFormat="false" ht="15.75" hidden="false" customHeight="false" outlineLevel="0" collapsed="false">
      <c r="A494" s="12"/>
      <c r="B494" s="34"/>
      <c r="C494" s="12"/>
      <c r="D494" s="12"/>
      <c r="E494" s="12"/>
      <c r="F494" s="12"/>
      <c r="G494" s="18"/>
      <c r="H494" s="35"/>
      <c r="I494" s="12"/>
      <c r="M494" s="12"/>
      <c r="N494" s="18"/>
      <c r="O494" s="12"/>
      <c r="P494" s="12"/>
      <c r="Q494" s="12"/>
      <c r="R494" s="36"/>
      <c r="S494" s="36"/>
      <c r="T494" s="12"/>
      <c r="U494" s="12"/>
      <c r="V494" s="12"/>
      <c r="W494" s="12"/>
      <c r="X494" s="12"/>
    </row>
    <row r="495" customFormat="false" ht="15.75" hidden="false" customHeight="false" outlineLevel="0" collapsed="false">
      <c r="A495" s="12"/>
      <c r="B495" s="34"/>
      <c r="C495" s="12"/>
      <c r="D495" s="12"/>
      <c r="E495" s="12"/>
      <c r="F495" s="12"/>
      <c r="G495" s="18"/>
      <c r="H495" s="35"/>
      <c r="I495" s="12"/>
      <c r="M495" s="12"/>
      <c r="N495" s="18"/>
      <c r="O495" s="12"/>
      <c r="P495" s="12"/>
      <c r="Q495" s="12"/>
      <c r="R495" s="36"/>
      <c r="S495" s="36"/>
      <c r="T495" s="12"/>
      <c r="U495" s="12"/>
      <c r="V495" s="12"/>
      <c r="W495" s="12"/>
      <c r="X495" s="12"/>
    </row>
    <row r="496" customFormat="false" ht="15.75" hidden="false" customHeight="false" outlineLevel="0" collapsed="false">
      <c r="A496" s="12"/>
      <c r="B496" s="34"/>
      <c r="C496" s="12"/>
      <c r="D496" s="12"/>
      <c r="E496" s="12"/>
      <c r="F496" s="12"/>
      <c r="G496" s="18"/>
      <c r="H496" s="35"/>
      <c r="I496" s="12"/>
      <c r="M496" s="12"/>
      <c r="N496" s="18"/>
      <c r="O496" s="12"/>
      <c r="P496" s="12"/>
      <c r="Q496" s="12"/>
      <c r="R496" s="36"/>
      <c r="S496" s="36"/>
      <c r="T496" s="12"/>
      <c r="U496" s="12"/>
      <c r="V496" s="12"/>
      <c r="W496" s="12"/>
      <c r="X496" s="12"/>
    </row>
    <row r="497" customFormat="false" ht="15.75" hidden="false" customHeight="false" outlineLevel="0" collapsed="false">
      <c r="A497" s="12"/>
      <c r="B497" s="34"/>
      <c r="C497" s="12"/>
      <c r="D497" s="12"/>
      <c r="E497" s="12"/>
      <c r="F497" s="12"/>
      <c r="G497" s="18"/>
      <c r="H497" s="35"/>
      <c r="I497" s="12"/>
      <c r="M497" s="12"/>
      <c r="N497" s="18"/>
      <c r="O497" s="12"/>
      <c r="P497" s="12"/>
      <c r="Q497" s="12"/>
      <c r="R497" s="36"/>
      <c r="S497" s="36"/>
      <c r="T497" s="12"/>
      <c r="U497" s="12"/>
      <c r="V497" s="12"/>
      <c r="W497" s="12"/>
      <c r="X497" s="12"/>
    </row>
    <row r="498" customFormat="false" ht="15.75" hidden="false" customHeight="false" outlineLevel="0" collapsed="false">
      <c r="A498" s="12"/>
      <c r="B498" s="34"/>
      <c r="C498" s="12"/>
      <c r="D498" s="12"/>
      <c r="E498" s="12"/>
      <c r="F498" s="12"/>
      <c r="G498" s="18"/>
      <c r="H498" s="35"/>
      <c r="I498" s="12"/>
      <c r="M498" s="12"/>
      <c r="N498" s="18"/>
      <c r="O498" s="12"/>
      <c r="P498" s="12"/>
      <c r="Q498" s="12"/>
      <c r="R498" s="36"/>
      <c r="S498" s="36"/>
      <c r="T498" s="12"/>
      <c r="U498" s="12"/>
      <c r="V498" s="12"/>
      <c r="W498" s="12"/>
      <c r="X498" s="12"/>
    </row>
    <row r="499" customFormat="false" ht="15.75" hidden="false" customHeight="false" outlineLevel="0" collapsed="false">
      <c r="A499" s="12"/>
      <c r="B499" s="34"/>
      <c r="C499" s="12"/>
      <c r="D499" s="12"/>
      <c r="E499" s="12"/>
      <c r="F499" s="12"/>
      <c r="G499" s="18"/>
      <c r="H499" s="35"/>
      <c r="I499" s="12"/>
      <c r="M499" s="12"/>
      <c r="N499" s="18"/>
      <c r="O499" s="12"/>
      <c r="P499" s="12"/>
      <c r="Q499" s="12"/>
      <c r="R499" s="36"/>
      <c r="S499" s="36"/>
      <c r="T499" s="12"/>
      <c r="U499" s="12"/>
      <c r="V499" s="12"/>
      <c r="W499" s="12"/>
      <c r="X499" s="12"/>
    </row>
    <row r="500" customFormat="false" ht="15.75" hidden="false" customHeight="false" outlineLevel="0" collapsed="false">
      <c r="A500" s="12"/>
      <c r="B500" s="34"/>
      <c r="C500" s="12"/>
      <c r="D500" s="12"/>
      <c r="E500" s="12"/>
      <c r="F500" s="12"/>
      <c r="G500" s="18"/>
      <c r="H500" s="35"/>
      <c r="I500" s="12"/>
      <c r="M500" s="12"/>
      <c r="N500" s="18"/>
      <c r="O500" s="12"/>
      <c r="P500" s="12"/>
      <c r="Q500" s="12"/>
      <c r="R500" s="36"/>
      <c r="S500" s="36"/>
      <c r="T500" s="12"/>
      <c r="U500" s="12"/>
      <c r="V500" s="12"/>
      <c r="W500" s="12"/>
      <c r="X500" s="12"/>
    </row>
    <row r="501" customFormat="false" ht="15.75" hidden="false" customHeight="false" outlineLevel="0" collapsed="false">
      <c r="A501" s="12"/>
      <c r="B501" s="34"/>
      <c r="C501" s="12"/>
      <c r="D501" s="12"/>
      <c r="E501" s="12"/>
      <c r="F501" s="12"/>
      <c r="G501" s="18"/>
      <c r="H501" s="35"/>
      <c r="I501" s="12"/>
      <c r="M501" s="12"/>
      <c r="N501" s="18"/>
      <c r="O501" s="12"/>
      <c r="P501" s="12"/>
      <c r="Q501" s="12"/>
      <c r="R501" s="36"/>
      <c r="S501" s="36"/>
      <c r="T501" s="12"/>
      <c r="U501" s="12"/>
      <c r="V501" s="12"/>
      <c r="W501" s="12"/>
      <c r="X501" s="12"/>
    </row>
    <row r="502" customFormat="false" ht="15.75" hidden="false" customHeight="false" outlineLevel="0" collapsed="false">
      <c r="A502" s="12"/>
      <c r="B502" s="34"/>
      <c r="C502" s="12"/>
      <c r="D502" s="12"/>
      <c r="E502" s="12"/>
      <c r="F502" s="12"/>
      <c r="G502" s="18"/>
      <c r="H502" s="35"/>
      <c r="I502" s="12"/>
      <c r="M502" s="12"/>
      <c r="N502" s="18"/>
      <c r="O502" s="12"/>
      <c r="P502" s="12"/>
      <c r="Q502" s="12"/>
      <c r="R502" s="36"/>
      <c r="S502" s="36"/>
      <c r="T502" s="12"/>
      <c r="U502" s="12"/>
      <c r="V502" s="12"/>
      <c r="W502" s="12"/>
      <c r="X502" s="12"/>
    </row>
    <row r="503" customFormat="false" ht="15.75" hidden="false" customHeight="false" outlineLevel="0" collapsed="false">
      <c r="A503" s="12"/>
      <c r="B503" s="34"/>
      <c r="C503" s="12"/>
      <c r="D503" s="12"/>
      <c r="E503" s="12"/>
      <c r="F503" s="12"/>
      <c r="G503" s="18"/>
      <c r="H503" s="35"/>
      <c r="I503" s="12"/>
      <c r="M503" s="12"/>
      <c r="N503" s="18"/>
      <c r="O503" s="12"/>
      <c r="P503" s="12"/>
      <c r="Q503" s="12"/>
      <c r="R503" s="36"/>
      <c r="S503" s="36"/>
      <c r="T503" s="12"/>
      <c r="U503" s="12"/>
      <c r="V503" s="12"/>
      <c r="W503" s="12"/>
      <c r="X503" s="12"/>
    </row>
    <row r="504" customFormat="false" ht="15.75" hidden="false" customHeight="false" outlineLevel="0" collapsed="false">
      <c r="A504" s="12"/>
      <c r="B504" s="34"/>
      <c r="C504" s="12"/>
      <c r="D504" s="12"/>
      <c r="E504" s="12"/>
      <c r="F504" s="12"/>
      <c r="G504" s="18"/>
      <c r="H504" s="35"/>
      <c r="I504" s="12"/>
      <c r="M504" s="12"/>
      <c r="N504" s="18"/>
      <c r="O504" s="12"/>
      <c r="P504" s="12"/>
      <c r="Q504" s="12"/>
      <c r="R504" s="36"/>
      <c r="S504" s="36"/>
      <c r="T504" s="12"/>
      <c r="U504" s="12"/>
      <c r="V504" s="12"/>
      <c r="W504" s="12"/>
      <c r="X504" s="12"/>
    </row>
    <row r="505" customFormat="false" ht="15.75" hidden="false" customHeight="false" outlineLevel="0" collapsed="false">
      <c r="A505" s="12"/>
      <c r="B505" s="34"/>
      <c r="C505" s="12"/>
      <c r="D505" s="12"/>
      <c r="E505" s="12"/>
      <c r="F505" s="12"/>
      <c r="G505" s="18"/>
      <c r="H505" s="35"/>
      <c r="I505" s="12"/>
      <c r="M505" s="12"/>
      <c r="N505" s="18"/>
      <c r="O505" s="12"/>
      <c r="P505" s="12"/>
      <c r="Q505" s="12"/>
      <c r="R505" s="36"/>
      <c r="S505" s="36"/>
      <c r="T505" s="12"/>
      <c r="U505" s="12"/>
      <c r="V505" s="12"/>
      <c r="W505" s="12"/>
      <c r="X505" s="12"/>
    </row>
    <row r="506" customFormat="false" ht="15.75" hidden="false" customHeight="false" outlineLevel="0" collapsed="false">
      <c r="A506" s="12"/>
      <c r="B506" s="34"/>
      <c r="C506" s="12"/>
      <c r="D506" s="12"/>
      <c r="E506" s="12"/>
      <c r="F506" s="12"/>
      <c r="G506" s="18"/>
      <c r="H506" s="35"/>
      <c r="I506" s="12"/>
      <c r="M506" s="12"/>
      <c r="N506" s="18"/>
      <c r="O506" s="12"/>
      <c r="P506" s="12"/>
      <c r="Q506" s="12"/>
      <c r="R506" s="36"/>
      <c r="S506" s="36"/>
      <c r="T506" s="12"/>
      <c r="U506" s="12"/>
      <c r="V506" s="12"/>
      <c r="W506" s="12"/>
      <c r="X506" s="12"/>
    </row>
    <row r="507" customFormat="false" ht="15.75" hidden="false" customHeight="false" outlineLevel="0" collapsed="false">
      <c r="A507" s="12"/>
      <c r="B507" s="34"/>
      <c r="C507" s="12"/>
      <c r="D507" s="12"/>
      <c r="E507" s="12"/>
      <c r="F507" s="12"/>
      <c r="G507" s="18"/>
      <c r="H507" s="35"/>
      <c r="I507" s="12"/>
      <c r="M507" s="12"/>
      <c r="N507" s="18"/>
      <c r="O507" s="12"/>
      <c r="P507" s="12"/>
      <c r="Q507" s="12"/>
      <c r="R507" s="36"/>
      <c r="S507" s="36"/>
      <c r="T507" s="12"/>
      <c r="U507" s="12"/>
      <c r="V507" s="12"/>
      <c r="W507" s="12"/>
      <c r="X507" s="12"/>
    </row>
    <row r="508" customFormat="false" ht="15.75" hidden="false" customHeight="false" outlineLevel="0" collapsed="false">
      <c r="A508" s="12"/>
      <c r="B508" s="34"/>
      <c r="C508" s="12"/>
      <c r="D508" s="12"/>
      <c r="E508" s="12"/>
      <c r="F508" s="12"/>
      <c r="G508" s="18"/>
      <c r="H508" s="35"/>
      <c r="I508" s="12"/>
      <c r="M508" s="12"/>
      <c r="N508" s="18"/>
      <c r="O508" s="12"/>
      <c r="P508" s="12"/>
      <c r="Q508" s="12"/>
      <c r="R508" s="36"/>
      <c r="S508" s="36"/>
      <c r="T508" s="12"/>
      <c r="U508" s="12"/>
      <c r="V508" s="12"/>
      <c r="W508" s="12"/>
      <c r="X508" s="12"/>
    </row>
    <row r="509" customFormat="false" ht="15.75" hidden="false" customHeight="false" outlineLevel="0" collapsed="false">
      <c r="A509" s="12"/>
      <c r="B509" s="34"/>
      <c r="C509" s="12"/>
      <c r="D509" s="12"/>
      <c r="E509" s="12"/>
      <c r="F509" s="12"/>
      <c r="G509" s="18"/>
      <c r="H509" s="35"/>
      <c r="I509" s="12"/>
      <c r="M509" s="12"/>
      <c r="N509" s="18"/>
      <c r="O509" s="12"/>
      <c r="P509" s="12"/>
      <c r="Q509" s="12"/>
      <c r="R509" s="36"/>
      <c r="S509" s="36"/>
      <c r="T509" s="12"/>
      <c r="U509" s="12"/>
      <c r="V509" s="12"/>
      <c r="W509" s="12"/>
      <c r="X509" s="12"/>
    </row>
    <row r="510" customFormat="false" ht="15.75" hidden="false" customHeight="false" outlineLevel="0" collapsed="false">
      <c r="A510" s="12"/>
      <c r="B510" s="34"/>
      <c r="C510" s="12"/>
      <c r="D510" s="12"/>
      <c r="E510" s="12"/>
      <c r="F510" s="12"/>
      <c r="G510" s="18"/>
      <c r="H510" s="35"/>
      <c r="I510" s="12"/>
      <c r="M510" s="12"/>
      <c r="N510" s="18"/>
      <c r="O510" s="12"/>
      <c r="P510" s="12"/>
      <c r="Q510" s="12"/>
      <c r="R510" s="36"/>
      <c r="S510" s="36"/>
      <c r="T510" s="12"/>
      <c r="U510" s="12"/>
      <c r="V510" s="12"/>
      <c r="W510" s="12"/>
      <c r="X510" s="12"/>
    </row>
    <row r="511" customFormat="false" ht="15.75" hidden="false" customHeight="false" outlineLevel="0" collapsed="false">
      <c r="A511" s="12"/>
      <c r="B511" s="34"/>
      <c r="C511" s="12"/>
      <c r="D511" s="12"/>
      <c r="E511" s="12"/>
      <c r="F511" s="12"/>
      <c r="G511" s="18"/>
      <c r="H511" s="35"/>
      <c r="I511" s="12"/>
      <c r="M511" s="12"/>
      <c r="N511" s="18"/>
      <c r="O511" s="12"/>
      <c r="P511" s="12"/>
      <c r="Q511" s="12"/>
      <c r="R511" s="36"/>
      <c r="S511" s="36"/>
      <c r="T511" s="12"/>
      <c r="U511" s="12"/>
      <c r="V511" s="12"/>
      <c r="W511" s="12"/>
      <c r="X511" s="12"/>
    </row>
    <row r="512" customFormat="false" ht="15.75" hidden="false" customHeight="false" outlineLevel="0" collapsed="false">
      <c r="A512" s="12"/>
      <c r="B512" s="34"/>
      <c r="C512" s="12"/>
      <c r="D512" s="12"/>
      <c r="E512" s="12"/>
      <c r="F512" s="12"/>
      <c r="G512" s="18"/>
      <c r="H512" s="35"/>
      <c r="I512" s="12"/>
      <c r="M512" s="12"/>
      <c r="N512" s="18"/>
      <c r="O512" s="12"/>
      <c r="P512" s="12"/>
      <c r="Q512" s="12"/>
      <c r="R512" s="36"/>
      <c r="S512" s="36"/>
      <c r="T512" s="12"/>
      <c r="U512" s="12"/>
      <c r="V512" s="12"/>
      <c r="W512" s="12"/>
      <c r="X512" s="12"/>
    </row>
    <row r="513" customFormat="false" ht="15.75" hidden="false" customHeight="false" outlineLevel="0" collapsed="false">
      <c r="A513" s="12"/>
      <c r="B513" s="34"/>
      <c r="C513" s="12"/>
      <c r="D513" s="12"/>
      <c r="E513" s="12"/>
      <c r="F513" s="12"/>
      <c r="G513" s="18"/>
      <c r="H513" s="35"/>
      <c r="I513" s="12"/>
      <c r="M513" s="12"/>
      <c r="N513" s="18"/>
      <c r="O513" s="12"/>
      <c r="P513" s="12"/>
      <c r="Q513" s="12"/>
      <c r="R513" s="36"/>
      <c r="S513" s="36"/>
      <c r="T513" s="12"/>
      <c r="U513" s="12"/>
      <c r="V513" s="12"/>
      <c r="W513" s="12"/>
      <c r="X513" s="12"/>
    </row>
    <row r="514" customFormat="false" ht="15.75" hidden="false" customHeight="false" outlineLevel="0" collapsed="false">
      <c r="A514" s="12"/>
      <c r="B514" s="34"/>
      <c r="C514" s="12"/>
      <c r="D514" s="12"/>
      <c r="E514" s="12"/>
      <c r="F514" s="12"/>
      <c r="G514" s="18"/>
      <c r="H514" s="35"/>
      <c r="I514" s="12"/>
      <c r="M514" s="12"/>
      <c r="N514" s="18"/>
      <c r="O514" s="12"/>
      <c r="P514" s="12"/>
      <c r="Q514" s="12"/>
      <c r="R514" s="36"/>
      <c r="S514" s="36"/>
      <c r="T514" s="12"/>
      <c r="U514" s="12"/>
      <c r="V514" s="12"/>
      <c r="W514" s="12"/>
      <c r="X514" s="12"/>
    </row>
    <row r="515" customFormat="false" ht="15.75" hidden="false" customHeight="false" outlineLevel="0" collapsed="false">
      <c r="A515" s="12"/>
      <c r="B515" s="34"/>
      <c r="C515" s="12"/>
      <c r="D515" s="12"/>
      <c r="E515" s="12"/>
      <c r="F515" s="12"/>
      <c r="G515" s="18"/>
      <c r="H515" s="35"/>
      <c r="I515" s="12"/>
      <c r="M515" s="12"/>
      <c r="N515" s="18"/>
      <c r="O515" s="12"/>
      <c r="P515" s="12"/>
      <c r="Q515" s="12"/>
      <c r="R515" s="36"/>
      <c r="S515" s="36"/>
      <c r="T515" s="12"/>
      <c r="U515" s="12"/>
      <c r="V515" s="12"/>
      <c r="W515" s="12"/>
      <c r="X515" s="12"/>
    </row>
    <row r="516" customFormat="false" ht="15.75" hidden="false" customHeight="false" outlineLevel="0" collapsed="false">
      <c r="A516" s="12"/>
      <c r="B516" s="34"/>
      <c r="C516" s="12"/>
      <c r="D516" s="12"/>
      <c r="E516" s="12"/>
      <c r="F516" s="12"/>
      <c r="G516" s="18"/>
      <c r="H516" s="35"/>
      <c r="I516" s="12"/>
      <c r="M516" s="12"/>
      <c r="N516" s="18"/>
      <c r="O516" s="12"/>
      <c r="P516" s="12"/>
      <c r="Q516" s="12"/>
      <c r="R516" s="36"/>
      <c r="S516" s="36"/>
      <c r="T516" s="12"/>
      <c r="U516" s="12"/>
      <c r="V516" s="12"/>
      <c r="W516" s="12"/>
      <c r="X516" s="12"/>
    </row>
    <row r="517" customFormat="false" ht="15.75" hidden="false" customHeight="false" outlineLevel="0" collapsed="false">
      <c r="A517" s="12"/>
      <c r="B517" s="34"/>
      <c r="C517" s="12"/>
      <c r="D517" s="12"/>
      <c r="E517" s="12"/>
      <c r="F517" s="12"/>
      <c r="G517" s="18"/>
      <c r="H517" s="35"/>
      <c r="I517" s="12"/>
      <c r="M517" s="12"/>
      <c r="N517" s="18"/>
      <c r="O517" s="12"/>
      <c r="P517" s="12"/>
      <c r="Q517" s="12"/>
      <c r="R517" s="36"/>
      <c r="S517" s="36"/>
      <c r="T517" s="12"/>
      <c r="U517" s="12"/>
      <c r="V517" s="12"/>
      <c r="W517" s="12"/>
      <c r="X517" s="12"/>
    </row>
    <row r="518" customFormat="false" ht="15.75" hidden="false" customHeight="false" outlineLevel="0" collapsed="false">
      <c r="A518" s="12"/>
      <c r="B518" s="34"/>
      <c r="C518" s="12"/>
      <c r="D518" s="12"/>
      <c r="E518" s="12"/>
      <c r="F518" s="12"/>
      <c r="G518" s="18"/>
      <c r="H518" s="35"/>
      <c r="I518" s="12"/>
      <c r="M518" s="12"/>
      <c r="N518" s="18"/>
      <c r="O518" s="12"/>
      <c r="P518" s="12"/>
      <c r="Q518" s="12"/>
      <c r="R518" s="36"/>
      <c r="S518" s="36"/>
      <c r="T518" s="12"/>
      <c r="U518" s="12"/>
      <c r="V518" s="12"/>
      <c r="W518" s="12"/>
      <c r="X518" s="12"/>
    </row>
    <row r="519" customFormat="false" ht="15.75" hidden="false" customHeight="false" outlineLevel="0" collapsed="false">
      <c r="A519" s="12"/>
      <c r="B519" s="34"/>
      <c r="C519" s="12"/>
      <c r="D519" s="12"/>
      <c r="E519" s="12"/>
      <c r="F519" s="12"/>
      <c r="G519" s="18"/>
      <c r="H519" s="35"/>
      <c r="I519" s="12"/>
      <c r="M519" s="12"/>
      <c r="N519" s="18"/>
      <c r="O519" s="12"/>
      <c r="P519" s="12"/>
      <c r="Q519" s="12"/>
      <c r="R519" s="36"/>
      <c r="S519" s="36"/>
      <c r="T519" s="12"/>
      <c r="U519" s="12"/>
      <c r="V519" s="12"/>
      <c r="W519" s="12"/>
      <c r="X519" s="12"/>
    </row>
    <row r="520" customFormat="false" ht="15.75" hidden="false" customHeight="false" outlineLevel="0" collapsed="false">
      <c r="A520" s="12"/>
      <c r="B520" s="34"/>
      <c r="C520" s="12"/>
      <c r="D520" s="12"/>
      <c r="E520" s="12"/>
      <c r="F520" s="12"/>
      <c r="G520" s="18"/>
      <c r="H520" s="35"/>
      <c r="I520" s="12"/>
      <c r="M520" s="12"/>
      <c r="N520" s="18"/>
      <c r="O520" s="12"/>
      <c r="P520" s="12"/>
      <c r="Q520" s="12"/>
      <c r="R520" s="36"/>
      <c r="S520" s="36"/>
      <c r="T520" s="12"/>
      <c r="U520" s="12"/>
      <c r="V520" s="12"/>
      <c r="W520" s="12"/>
      <c r="X520" s="12"/>
    </row>
    <row r="521" customFormat="false" ht="15.75" hidden="false" customHeight="false" outlineLevel="0" collapsed="false">
      <c r="A521" s="12"/>
      <c r="B521" s="34"/>
      <c r="C521" s="12"/>
      <c r="D521" s="12"/>
      <c r="E521" s="12"/>
      <c r="F521" s="12"/>
      <c r="G521" s="18"/>
      <c r="H521" s="35"/>
      <c r="I521" s="12"/>
      <c r="M521" s="12"/>
      <c r="N521" s="18"/>
      <c r="O521" s="12"/>
      <c r="P521" s="12"/>
      <c r="Q521" s="12"/>
      <c r="R521" s="36"/>
      <c r="S521" s="36"/>
      <c r="T521" s="12"/>
      <c r="U521" s="12"/>
      <c r="V521" s="12"/>
      <c r="W521" s="12"/>
      <c r="X521" s="12"/>
    </row>
    <row r="522" customFormat="false" ht="15.75" hidden="false" customHeight="false" outlineLevel="0" collapsed="false">
      <c r="A522" s="12"/>
      <c r="B522" s="34"/>
      <c r="C522" s="12"/>
      <c r="D522" s="12"/>
      <c r="E522" s="12"/>
      <c r="F522" s="12"/>
      <c r="G522" s="18"/>
      <c r="H522" s="35"/>
      <c r="I522" s="12"/>
      <c r="M522" s="12"/>
      <c r="N522" s="18"/>
      <c r="O522" s="12"/>
      <c r="P522" s="12"/>
      <c r="Q522" s="12"/>
      <c r="R522" s="36"/>
      <c r="S522" s="36"/>
      <c r="T522" s="12"/>
      <c r="U522" s="12"/>
      <c r="V522" s="12"/>
      <c r="W522" s="12"/>
      <c r="X522" s="12"/>
    </row>
    <row r="523" customFormat="false" ht="15.75" hidden="false" customHeight="false" outlineLevel="0" collapsed="false">
      <c r="A523" s="12"/>
      <c r="B523" s="34"/>
      <c r="C523" s="12"/>
      <c r="D523" s="12"/>
      <c r="E523" s="12"/>
      <c r="F523" s="12"/>
      <c r="G523" s="18"/>
      <c r="H523" s="35"/>
      <c r="I523" s="12"/>
      <c r="M523" s="12"/>
      <c r="N523" s="18"/>
      <c r="O523" s="12"/>
      <c r="P523" s="12"/>
      <c r="Q523" s="12"/>
      <c r="R523" s="36"/>
      <c r="S523" s="36"/>
      <c r="T523" s="12"/>
      <c r="U523" s="12"/>
      <c r="V523" s="12"/>
      <c r="W523" s="12"/>
      <c r="X523" s="12"/>
    </row>
    <row r="524" customFormat="false" ht="15.75" hidden="false" customHeight="false" outlineLevel="0" collapsed="false">
      <c r="A524" s="12"/>
      <c r="B524" s="34"/>
      <c r="C524" s="12"/>
      <c r="D524" s="12"/>
      <c r="E524" s="12"/>
      <c r="F524" s="12"/>
      <c r="G524" s="18"/>
      <c r="H524" s="35"/>
      <c r="I524" s="12"/>
      <c r="M524" s="12"/>
      <c r="N524" s="18"/>
      <c r="O524" s="12"/>
      <c r="P524" s="12"/>
      <c r="Q524" s="12"/>
      <c r="R524" s="36"/>
      <c r="S524" s="36"/>
      <c r="T524" s="12"/>
      <c r="U524" s="12"/>
      <c r="V524" s="12"/>
      <c r="W524" s="12"/>
      <c r="X524" s="12"/>
    </row>
    <row r="525" customFormat="false" ht="15.75" hidden="false" customHeight="false" outlineLevel="0" collapsed="false">
      <c r="A525" s="12"/>
      <c r="B525" s="34"/>
      <c r="C525" s="12"/>
      <c r="D525" s="12"/>
      <c r="E525" s="12"/>
      <c r="F525" s="12"/>
      <c r="G525" s="18"/>
      <c r="H525" s="35"/>
      <c r="I525" s="12"/>
      <c r="M525" s="12"/>
      <c r="N525" s="18"/>
      <c r="O525" s="12"/>
      <c r="P525" s="12"/>
      <c r="Q525" s="12"/>
      <c r="R525" s="36"/>
      <c r="S525" s="36"/>
      <c r="T525" s="12"/>
      <c r="U525" s="12"/>
      <c r="V525" s="12"/>
      <c r="W525" s="12"/>
      <c r="X525" s="12"/>
    </row>
    <row r="526" customFormat="false" ht="15.75" hidden="false" customHeight="false" outlineLevel="0" collapsed="false">
      <c r="A526" s="12"/>
      <c r="B526" s="34"/>
      <c r="C526" s="12"/>
      <c r="D526" s="12"/>
      <c r="E526" s="12"/>
      <c r="F526" s="12"/>
      <c r="G526" s="18"/>
      <c r="H526" s="35"/>
      <c r="I526" s="12"/>
      <c r="M526" s="12"/>
      <c r="N526" s="18"/>
      <c r="O526" s="12"/>
      <c r="P526" s="12"/>
      <c r="Q526" s="12"/>
      <c r="R526" s="36"/>
      <c r="S526" s="36"/>
      <c r="T526" s="12"/>
      <c r="U526" s="12"/>
      <c r="V526" s="12"/>
      <c r="W526" s="12"/>
      <c r="X526" s="12"/>
    </row>
    <row r="527" customFormat="false" ht="15.75" hidden="false" customHeight="false" outlineLevel="0" collapsed="false">
      <c r="A527" s="12"/>
      <c r="B527" s="34"/>
      <c r="C527" s="12"/>
      <c r="D527" s="12"/>
      <c r="E527" s="12"/>
      <c r="F527" s="12"/>
      <c r="G527" s="18"/>
      <c r="H527" s="35"/>
      <c r="I527" s="12"/>
      <c r="M527" s="12"/>
      <c r="N527" s="18"/>
      <c r="O527" s="12"/>
      <c r="P527" s="12"/>
      <c r="Q527" s="12"/>
      <c r="R527" s="36"/>
      <c r="S527" s="36"/>
      <c r="T527" s="12"/>
      <c r="U527" s="12"/>
      <c r="V527" s="12"/>
      <c r="W527" s="12"/>
      <c r="X527" s="12"/>
    </row>
    <row r="528" customFormat="false" ht="15.75" hidden="false" customHeight="false" outlineLevel="0" collapsed="false">
      <c r="A528" s="12"/>
      <c r="B528" s="34"/>
      <c r="C528" s="12"/>
      <c r="D528" s="12"/>
      <c r="E528" s="12"/>
      <c r="F528" s="12"/>
      <c r="G528" s="18"/>
      <c r="H528" s="35"/>
      <c r="I528" s="12"/>
      <c r="M528" s="12"/>
      <c r="N528" s="18"/>
      <c r="O528" s="12"/>
      <c r="P528" s="12"/>
      <c r="Q528" s="12"/>
      <c r="R528" s="36"/>
      <c r="S528" s="36"/>
      <c r="T528" s="12"/>
      <c r="U528" s="12"/>
      <c r="V528" s="12"/>
      <c r="W528" s="12"/>
      <c r="X528" s="12"/>
    </row>
    <row r="529" customFormat="false" ht="15.75" hidden="false" customHeight="false" outlineLevel="0" collapsed="false">
      <c r="A529" s="12"/>
      <c r="B529" s="34"/>
      <c r="C529" s="12"/>
      <c r="D529" s="12"/>
      <c r="E529" s="12"/>
      <c r="F529" s="12"/>
      <c r="G529" s="18"/>
      <c r="H529" s="35"/>
      <c r="I529" s="12"/>
      <c r="M529" s="12"/>
      <c r="N529" s="18"/>
      <c r="O529" s="12"/>
      <c r="P529" s="12"/>
      <c r="Q529" s="12"/>
      <c r="R529" s="36"/>
      <c r="S529" s="36"/>
      <c r="T529" s="12"/>
      <c r="U529" s="12"/>
      <c r="V529" s="12"/>
      <c r="W529" s="12"/>
      <c r="X529" s="12"/>
    </row>
    <row r="530" customFormat="false" ht="15.75" hidden="false" customHeight="false" outlineLevel="0" collapsed="false">
      <c r="A530" s="12"/>
      <c r="B530" s="34"/>
      <c r="C530" s="12"/>
      <c r="D530" s="12"/>
      <c r="E530" s="12"/>
      <c r="F530" s="12"/>
      <c r="G530" s="18"/>
      <c r="H530" s="35"/>
      <c r="I530" s="12"/>
      <c r="M530" s="12"/>
      <c r="N530" s="18"/>
      <c r="O530" s="12"/>
      <c r="P530" s="12"/>
      <c r="Q530" s="12"/>
      <c r="R530" s="36"/>
      <c r="S530" s="36"/>
      <c r="T530" s="12"/>
      <c r="U530" s="12"/>
      <c r="V530" s="12"/>
      <c r="W530" s="12"/>
      <c r="X530" s="12"/>
    </row>
    <row r="531" customFormat="false" ht="15.75" hidden="false" customHeight="false" outlineLevel="0" collapsed="false">
      <c r="A531" s="12"/>
      <c r="B531" s="34"/>
      <c r="C531" s="12"/>
      <c r="D531" s="12"/>
      <c r="E531" s="12"/>
      <c r="F531" s="12"/>
      <c r="G531" s="18"/>
      <c r="H531" s="35"/>
      <c r="I531" s="12"/>
      <c r="M531" s="12"/>
      <c r="N531" s="18"/>
      <c r="O531" s="12"/>
      <c r="P531" s="12"/>
      <c r="Q531" s="12"/>
      <c r="R531" s="36"/>
      <c r="S531" s="36"/>
      <c r="T531" s="12"/>
      <c r="U531" s="12"/>
      <c r="V531" s="12"/>
      <c r="W531" s="12"/>
      <c r="X531" s="12"/>
    </row>
    <row r="532" customFormat="false" ht="15.75" hidden="false" customHeight="false" outlineLevel="0" collapsed="false">
      <c r="A532" s="12"/>
      <c r="B532" s="34"/>
      <c r="C532" s="12"/>
      <c r="D532" s="12"/>
      <c r="E532" s="12"/>
      <c r="F532" s="12"/>
      <c r="G532" s="18"/>
      <c r="H532" s="35"/>
      <c r="I532" s="12"/>
      <c r="M532" s="12"/>
      <c r="N532" s="18"/>
      <c r="O532" s="12"/>
      <c r="P532" s="12"/>
      <c r="Q532" s="12"/>
      <c r="R532" s="36"/>
      <c r="S532" s="36"/>
      <c r="T532" s="12"/>
      <c r="U532" s="12"/>
      <c r="V532" s="12"/>
      <c r="W532" s="12"/>
      <c r="X532" s="12"/>
    </row>
    <row r="533" customFormat="false" ht="15.75" hidden="false" customHeight="false" outlineLevel="0" collapsed="false">
      <c r="A533" s="12"/>
      <c r="B533" s="34"/>
      <c r="C533" s="12"/>
      <c r="D533" s="12"/>
      <c r="E533" s="12"/>
      <c r="F533" s="12"/>
      <c r="G533" s="18"/>
      <c r="H533" s="35"/>
      <c r="I533" s="12"/>
      <c r="M533" s="12"/>
      <c r="N533" s="18"/>
      <c r="O533" s="12"/>
      <c r="P533" s="12"/>
      <c r="Q533" s="12"/>
      <c r="R533" s="36"/>
      <c r="S533" s="36"/>
      <c r="T533" s="12"/>
      <c r="U533" s="12"/>
      <c r="V533" s="12"/>
      <c r="W533" s="12"/>
      <c r="X533" s="12"/>
    </row>
    <row r="534" customFormat="false" ht="15.75" hidden="false" customHeight="false" outlineLevel="0" collapsed="false">
      <c r="A534" s="12"/>
      <c r="B534" s="34"/>
      <c r="C534" s="12"/>
      <c r="D534" s="12"/>
      <c r="E534" s="12"/>
      <c r="F534" s="12"/>
      <c r="G534" s="18"/>
      <c r="H534" s="35"/>
      <c r="I534" s="12"/>
      <c r="M534" s="12"/>
      <c r="N534" s="18"/>
      <c r="O534" s="12"/>
      <c r="P534" s="12"/>
      <c r="Q534" s="12"/>
      <c r="R534" s="36"/>
      <c r="S534" s="36"/>
      <c r="T534" s="12"/>
      <c r="U534" s="12"/>
      <c r="V534" s="12"/>
      <c r="W534" s="12"/>
      <c r="X534" s="12"/>
    </row>
    <row r="535" customFormat="false" ht="15.75" hidden="false" customHeight="false" outlineLevel="0" collapsed="false">
      <c r="A535" s="12"/>
      <c r="B535" s="34"/>
      <c r="C535" s="12"/>
      <c r="D535" s="12"/>
      <c r="E535" s="12"/>
      <c r="F535" s="12"/>
      <c r="G535" s="18"/>
      <c r="H535" s="35"/>
      <c r="I535" s="12"/>
      <c r="M535" s="12"/>
      <c r="N535" s="18"/>
      <c r="O535" s="12"/>
      <c r="P535" s="12"/>
      <c r="Q535" s="12"/>
      <c r="R535" s="36"/>
      <c r="S535" s="36"/>
      <c r="T535" s="12"/>
      <c r="U535" s="12"/>
      <c r="V535" s="12"/>
      <c r="W535" s="12"/>
      <c r="X535" s="12"/>
    </row>
    <row r="536" customFormat="false" ht="15.75" hidden="false" customHeight="false" outlineLevel="0" collapsed="false">
      <c r="A536" s="12"/>
      <c r="B536" s="34"/>
      <c r="C536" s="12"/>
      <c r="D536" s="12"/>
      <c r="E536" s="12"/>
      <c r="F536" s="12"/>
      <c r="G536" s="18"/>
      <c r="H536" s="35"/>
      <c r="I536" s="12"/>
      <c r="M536" s="12"/>
      <c r="N536" s="18"/>
      <c r="O536" s="12"/>
      <c r="P536" s="12"/>
      <c r="Q536" s="12"/>
      <c r="R536" s="36"/>
      <c r="S536" s="36"/>
      <c r="T536" s="12"/>
      <c r="U536" s="12"/>
      <c r="V536" s="12"/>
      <c r="W536" s="12"/>
      <c r="X536" s="12"/>
    </row>
    <row r="537" customFormat="false" ht="15.75" hidden="false" customHeight="false" outlineLevel="0" collapsed="false">
      <c r="A537" s="12"/>
      <c r="B537" s="34"/>
      <c r="C537" s="12"/>
      <c r="D537" s="12"/>
      <c r="E537" s="12"/>
      <c r="F537" s="12"/>
      <c r="G537" s="18"/>
      <c r="H537" s="35"/>
      <c r="I537" s="12"/>
      <c r="M537" s="12"/>
      <c r="N537" s="18"/>
      <c r="O537" s="12"/>
      <c r="P537" s="12"/>
      <c r="Q537" s="12"/>
      <c r="R537" s="36"/>
      <c r="S537" s="36"/>
      <c r="T537" s="12"/>
      <c r="U537" s="12"/>
      <c r="V537" s="12"/>
      <c r="W537" s="12"/>
      <c r="X537" s="12"/>
    </row>
    <row r="538" customFormat="false" ht="15.75" hidden="false" customHeight="false" outlineLevel="0" collapsed="false">
      <c r="A538" s="12"/>
      <c r="B538" s="34"/>
      <c r="C538" s="12"/>
      <c r="D538" s="12"/>
      <c r="E538" s="12"/>
      <c r="F538" s="12"/>
      <c r="G538" s="18"/>
      <c r="H538" s="35"/>
      <c r="I538" s="12"/>
      <c r="M538" s="12"/>
      <c r="N538" s="18"/>
      <c r="O538" s="12"/>
      <c r="P538" s="12"/>
      <c r="Q538" s="12"/>
      <c r="R538" s="36"/>
      <c r="S538" s="36"/>
      <c r="T538" s="12"/>
      <c r="U538" s="12"/>
      <c r="V538" s="12"/>
      <c r="W538" s="12"/>
      <c r="X538" s="12"/>
    </row>
    <row r="539" customFormat="false" ht="15.75" hidden="false" customHeight="false" outlineLevel="0" collapsed="false">
      <c r="A539" s="12"/>
      <c r="B539" s="34"/>
      <c r="C539" s="12"/>
      <c r="D539" s="12"/>
      <c r="E539" s="12"/>
      <c r="F539" s="12"/>
      <c r="G539" s="18"/>
      <c r="H539" s="35"/>
      <c r="I539" s="12"/>
      <c r="M539" s="12"/>
      <c r="N539" s="18"/>
      <c r="O539" s="12"/>
      <c r="P539" s="12"/>
      <c r="Q539" s="12"/>
      <c r="R539" s="36"/>
      <c r="S539" s="36"/>
      <c r="T539" s="12"/>
      <c r="U539" s="12"/>
      <c r="V539" s="12"/>
      <c r="W539" s="12"/>
      <c r="X539" s="12"/>
    </row>
    <row r="540" customFormat="false" ht="15.75" hidden="false" customHeight="false" outlineLevel="0" collapsed="false">
      <c r="A540" s="12"/>
      <c r="B540" s="34"/>
      <c r="C540" s="12"/>
      <c r="D540" s="12"/>
      <c r="E540" s="12"/>
      <c r="F540" s="12"/>
      <c r="G540" s="18"/>
      <c r="H540" s="35"/>
      <c r="I540" s="12"/>
      <c r="M540" s="12"/>
      <c r="N540" s="18"/>
      <c r="O540" s="12"/>
      <c r="P540" s="12"/>
      <c r="Q540" s="12"/>
      <c r="R540" s="36"/>
      <c r="S540" s="36"/>
      <c r="T540" s="12"/>
      <c r="U540" s="12"/>
      <c r="V540" s="12"/>
      <c r="W540" s="12"/>
      <c r="X540" s="12"/>
    </row>
    <row r="541" customFormat="false" ht="15.75" hidden="false" customHeight="false" outlineLevel="0" collapsed="false">
      <c r="A541" s="12"/>
      <c r="B541" s="34"/>
      <c r="C541" s="12"/>
      <c r="D541" s="12"/>
      <c r="E541" s="12"/>
      <c r="F541" s="12"/>
      <c r="G541" s="18"/>
      <c r="H541" s="35"/>
      <c r="I541" s="12"/>
      <c r="M541" s="12"/>
      <c r="N541" s="18"/>
      <c r="O541" s="12"/>
      <c r="P541" s="12"/>
      <c r="Q541" s="12"/>
      <c r="R541" s="36"/>
      <c r="S541" s="36"/>
      <c r="T541" s="12"/>
      <c r="U541" s="12"/>
      <c r="V541" s="12"/>
      <c r="W541" s="12"/>
      <c r="X541" s="12"/>
    </row>
    <row r="542" customFormat="false" ht="15.75" hidden="false" customHeight="false" outlineLevel="0" collapsed="false">
      <c r="A542" s="12"/>
      <c r="B542" s="34"/>
      <c r="C542" s="12"/>
      <c r="D542" s="12"/>
      <c r="E542" s="12"/>
      <c r="F542" s="12"/>
      <c r="G542" s="18"/>
      <c r="H542" s="35"/>
      <c r="I542" s="12"/>
      <c r="M542" s="12"/>
      <c r="N542" s="18"/>
      <c r="O542" s="12"/>
      <c r="P542" s="12"/>
      <c r="Q542" s="12"/>
      <c r="R542" s="36"/>
      <c r="S542" s="36"/>
      <c r="T542" s="12"/>
      <c r="U542" s="12"/>
      <c r="V542" s="12"/>
      <c r="W542" s="12"/>
      <c r="X542" s="12"/>
    </row>
    <row r="543" customFormat="false" ht="15.75" hidden="false" customHeight="false" outlineLevel="0" collapsed="false">
      <c r="A543" s="12"/>
      <c r="B543" s="34"/>
      <c r="C543" s="12"/>
      <c r="D543" s="12"/>
      <c r="E543" s="12"/>
      <c r="F543" s="12"/>
      <c r="G543" s="18"/>
      <c r="H543" s="35"/>
      <c r="I543" s="12"/>
      <c r="M543" s="12"/>
      <c r="N543" s="18"/>
      <c r="O543" s="12"/>
      <c r="P543" s="12"/>
      <c r="Q543" s="12"/>
      <c r="R543" s="36"/>
      <c r="S543" s="36"/>
      <c r="T543" s="12"/>
      <c r="U543" s="12"/>
      <c r="V543" s="12"/>
      <c r="W543" s="12"/>
      <c r="X543" s="12"/>
    </row>
    <row r="544" customFormat="false" ht="15.75" hidden="false" customHeight="false" outlineLevel="0" collapsed="false">
      <c r="A544" s="12"/>
      <c r="B544" s="34"/>
      <c r="C544" s="12"/>
      <c r="D544" s="12"/>
      <c r="E544" s="12"/>
      <c r="F544" s="12"/>
      <c r="G544" s="18"/>
      <c r="H544" s="35"/>
      <c r="I544" s="12"/>
      <c r="M544" s="12"/>
      <c r="N544" s="18"/>
      <c r="O544" s="12"/>
      <c r="P544" s="12"/>
      <c r="Q544" s="12"/>
      <c r="R544" s="36"/>
      <c r="S544" s="36"/>
      <c r="T544" s="12"/>
      <c r="U544" s="12"/>
      <c r="V544" s="12"/>
      <c r="W544" s="12"/>
      <c r="X544" s="12"/>
    </row>
    <row r="545" customFormat="false" ht="15.75" hidden="false" customHeight="false" outlineLevel="0" collapsed="false">
      <c r="A545" s="12"/>
      <c r="B545" s="34"/>
      <c r="C545" s="12"/>
      <c r="D545" s="12"/>
      <c r="E545" s="12"/>
      <c r="F545" s="12"/>
      <c r="G545" s="18"/>
      <c r="H545" s="35"/>
      <c r="I545" s="12"/>
      <c r="M545" s="12"/>
      <c r="N545" s="18"/>
      <c r="O545" s="12"/>
      <c r="P545" s="12"/>
      <c r="Q545" s="12"/>
      <c r="R545" s="36"/>
      <c r="S545" s="36"/>
      <c r="T545" s="12"/>
      <c r="U545" s="12"/>
      <c r="V545" s="12"/>
      <c r="W545" s="12"/>
      <c r="X545" s="12"/>
    </row>
    <row r="546" customFormat="false" ht="15.75" hidden="false" customHeight="false" outlineLevel="0" collapsed="false">
      <c r="A546" s="12"/>
      <c r="B546" s="34"/>
      <c r="C546" s="12"/>
      <c r="D546" s="12"/>
      <c r="E546" s="12"/>
      <c r="F546" s="12"/>
      <c r="G546" s="18"/>
      <c r="H546" s="35"/>
      <c r="I546" s="12"/>
      <c r="M546" s="12"/>
      <c r="N546" s="18"/>
      <c r="O546" s="12"/>
      <c r="P546" s="12"/>
      <c r="Q546" s="12"/>
      <c r="R546" s="36"/>
      <c r="S546" s="36"/>
      <c r="T546" s="12"/>
      <c r="U546" s="12"/>
      <c r="V546" s="12"/>
      <c r="W546" s="12"/>
      <c r="X546" s="12"/>
    </row>
    <row r="547" customFormat="false" ht="15.75" hidden="false" customHeight="false" outlineLevel="0" collapsed="false">
      <c r="A547" s="12"/>
      <c r="B547" s="34"/>
      <c r="C547" s="12"/>
      <c r="D547" s="12"/>
      <c r="E547" s="12"/>
      <c r="F547" s="12"/>
      <c r="G547" s="18"/>
      <c r="H547" s="35"/>
      <c r="I547" s="12"/>
      <c r="M547" s="12"/>
      <c r="N547" s="18"/>
      <c r="O547" s="12"/>
      <c r="P547" s="12"/>
      <c r="Q547" s="12"/>
      <c r="R547" s="36"/>
      <c r="S547" s="36"/>
      <c r="T547" s="12"/>
      <c r="U547" s="12"/>
      <c r="V547" s="12"/>
      <c r="W547" s="12"/>
      <c r="X547" s="12"/>
    </row>
    <row r="548" customFormat="false" ht="15.75" hidden="false" customHeight="false" outlineLevel="0" collapsed="false">
      <c r="A548" s="12"/>
      <c r="B548" s="34"/>
      <c r="C548" s="12"/>
      <c r="D548" s="12"/>
      <c r="E548" s="12"/>
      <c r="F548" s="12"/>
      <c r="G548" s="18"/>
      <c r="H548" s="35"/>
      <c r="I548" s="12"/>
      <c r="M548" s="12"/>
      <c r="N548" s="18"/>
      <c r="O548" s="12"/>
      <c r="P548" s="12"/>
      <c r="Q548" s="12"/>
      <c r="R548" s="36"/>
      <c r="S548" s="36"/>
      <c r="T548" s="12"/>
      <c r="U548" s="12"/>
      <c r="V548" s="12"/>
      <c r="W548" s="12"/>
      <c r="X548" s="12"/>
    </row>
    <row r="549" customFormat="false" ht="15.75" hidden="false" customHeight="false" outlineLevel="0" collapsed="false">
      <c r="A549" s="12"/>
      <c r="B549" s="34"/>
      <c r="C549" s="12"/>
      <c r="D549" s="12"/>
      <c r="E549" s="12"/>
      <c r="F549" s="12"/>
      <c r="G549" s="18"/>
      <c r="H549" s="35"/>
      <c r="I549" s="12"/>
      <c r="M549" s="12"/>
      <c r="N549" s="18"/>
      <c r="O549" s="12"/>
      <c r="P549" s="12"/>
      <c r="Q549" s="12"/>
      <c r="R549" s="36"/>
      <c r="S549" s="36"/>
      <c r="T549" s="12"/>
      <c r="U549" s="12"/>
      <c r="V549" s="12"/>
      <c r="W549" s="12"/>
      <c r="X549" s="12"/>
    </row>
    <row r="550" customFormat="false" ht="15.75" hidden="false" customHeight="false" outlineLevel="0" collapsed="false">
      <c r="A550" s="12"/>
      <c r="B550" s="34"/>
      <c r="C550" s="12"/>
      <c r="D550" s="12"/>
      <c r="E550" s="12"/>
      <c r="F550" s="12"/>
      <c r="G550" s="18"/>
      <c r="H550" s="35"/>
      <c r="I550" s="12"/>
      <c r="M550" s="12"/>
      <c r="N550" s="18"/>
      <c r="O550" s="12"/>
      <c r="P550" s="12"/>
      <c r="Q550" s="12"/>
      <c r="R550" s="36"/>
      <c r="S550" s="36"/>
      <c r="T550" s="12"/>
      <c r="U550" s="12"/>
      <c r="V550" s="12"/>
      <c r="W550" s="12"/>
      <c r="X550" s="12"/>
    </row>
    <row r="551" customFormat="false" ht="15.75" hidden="false" customHeight="false" outlineLevel="0" collapsed="false">
      <c r="A551" s="12"/>
      <c r="B551" s="34"/>
      <c r="C551" s="12"/>
      <c r="D551" s="12"/>
      <c r="E551" s="12"/>
      <c r="F551" s="12"/>
      <c r="G551" s="18"/>
      <c r="H551" s="35"/>
      <c r="I551" s="12"/>
      <c r="M551" s="12"/>
      <c r="N551" s="18"/>
      <c r="O551" s="12"/>
      <c r="P551" s="12"/>
      <c r="Q551" s="12"/>
      <c r="R551" s="36"/>
      <c r="S551" s="36"/>
      <c r="T551" s="12"/>
      <c r="U551" s="12"/>
      <c r="V551" s="12"/>
      <c r="W551" s="12"/>
      <c r="X551" s="12"/>
    </row>
    <row r="552" customFormat="false" ht="15.75" hidden="false" customHeight="false" outlineLevel="0" collapsed="false">
      <c r="A552" s="12"/>
      <c r="B552" s="34"/>
      <c r="C552" s="12"/>
      <c r="D552" s="12"/>
      <c r="E552" s="12"/>
      <c r="F552" s="12"/>
      <c r="G552" s="18"/>
      <c r="H552" s="35"/>
      <c r="I552" s="12"/>
      <c r="M552" s="12"/>
      <c r="N552" s="18"/>
      <c r="O552" s="12"/>
      <c r="P552" s="12"/>
      <c r="Q552" s="12"/>
      <c r="R552" s="36"/>
      <c r="S552" s="36"/>
      <c r="T552" s="12"/>
      <c r="U552" s="12"/>
      <c r="V552" s="12"/>
      <c r="W552" s="12"/>
      <c r="X552" s="12"/>
    </row>
    <row r="553" customFormat="false" ht="15.75" hidden="false" customHeight="false" outlineLevel="0" collapsed="false">
      <c r="A553" s="12"/>
      <c r="B553" s="34"/>
      <c r="C553" s="12"/>
      <c r="D553" s="12"/>
      <c r="E553" s="12"/>
      <c r="F553" s="12"/>
      <c r="G553" s="18"/>
      <c r="H553" s="35"/>
      <c r="I553" s="12"/>
      <c r="M553" s="12"/>
      <c r="N553" s="18"/>
      <c r="O553" s="12"/>
      <c r="P553" s="12"/>
      <c r="Q553" s="12"/>
      <c r="R553" s="36"/>
      <c r="S553" s="36"/>
      <c r="T553" s="12"/>
      <c r="U553" s="12"/>
      <c r="V553" s="12"/>
      <c r="W553" s="12"/>
      <c r="X553" s="12"/>
    </row>
    <row r="554" customFormat="false" ht="15.75" hidden="false" customHeight="false" outlineLevel="0" collapsed="false">
      <c r="A554" s="12"/>
      <c r="B554" s="34"/>
      <c r="C554" s="12"/>
      <c r="D554" s="12"/>
      <c r="E554" s="12"/>
      <c r="F554" s="12"/>
      <c r="G554" s="18"/>
      <c r="H554" s="35"/>
      <c r="I554" s="12"/>
      <c r="M554" s="12"/>
      <c r="N554" s="18"/>
      <c r="O554" s="12"/>
      <c r="P554" s="12"/>
      <c r="Q554" s="12"/>
      <c r="R554" s="36"/>
      <c r="S554" s="36"/>
      <c r="T554" s="12"/>
      <c r="U554" s="12"/>
      <c r="V554" s="12"/>
      <c r="W554" s="12"/>
      <c r="X554" s="12"/>
    </row>
    <row r="555" customFormat="false" ht="15.75" hidden="false" customHeight="false" outlineLevel="0" collapsed="false">
      <c r="A555" s="12"/>
      <c r="B555" s="34"/>
      <c r="C555" s="12"/>
      <c r="D555" s="12"/>
      <c r="E555" s="12"/>
      <c r="F555" s="12"/>
      <c r="G555" s="18"/>
      <c r="H555" s="35"/>
      <c r="I555" s="12"/>
      <c r="M555" s="12"/>
      <c r="N555" s="18"/>
      <c r="O555" s="12"/>
      <c r="P555" s="12"/>
      <c r="Q555" s="12"/>
      <c r="R555" s="36"/>
      <c r="S555" s="36"/>
      <c r="T555" s="12"/>
      <c r="U555" s="12"/>
      <c r="V555" s="12"/>
      <c r="W555" s="12"/>
      <c r="X555" s="12"/>
    </row>
    <row r="556" customFormat="false" ht="15.75" hidden="false" customHeight="false" outlineLevel="0" collapsed="false">
      <c r="A556" s="12"/>
      <c r="B556" s="34"/>
      <c r="C556" s="12"/>
      <c r="D556" s="12"/>
      <c r="E556" s="12"/>
      <c r="F556" s="12"/>
      <c r="G556" s="18"/>
      <c r="H556" s="35"/>
      <c r="I556" s="12"/>
      <c r="M556" s="12"/>
      <c r="N556" s="18"/>
      <c r="O556" s="12"/>
      <c r="P556" s="12"/>
      <c r="Q556" s="12"/>
      <c r="R556" s="36"/>
      <c r="S556" s="36"/>
      <c r="T556" s="12"/>
      <c r="U556" s="12"/>
      <c r="V556" s="12"/>
      <c r="W556" s="12"/>
      <c r="X556" s="12"/>
    </row>
    <row r="557" customFormat="false" ht="15.75" hidden="false" customHeight="false" outlineLevel="0" collapsed="false">
      <c r="A557" s="12"/>
      <c r="B557" s="34"/>
      <c r="C557" s="12"/>
      <c r="D557" s="12"/>
      <c r="E557" s="12"/>
      <c r="F557" s="12"/>
      <c r="G557" s="18"/>
      <c r="H557" s="35"/>
      <c r="I557" s="12"/>
      <c r="M557" s="12"/>
      <c r="N557" s="18"/>
      <c r="O557" s="12"/>
      <c r="P557" s="12"/>
      <c r="Q557" s="12"/>
      <c r="R557" s="36"/>
      <c r="S557" s="36"/>
      <c r="T557" s="12"/>
      <c r="U557" s="12"/>
      <c r="V557" s="12"/>
      <c r="W557" s="12"/>
      <c r="X557" s="12"/>
    </row>
    <row r="558" customFormat="false" ht="15.75" hidden="false" customHeight="false" outlineLevel="0" collapsed="false">
      <c r="A558" s="12"/>
      <c r="B558" s="34"/>
      <c r="C558" s="12"/>
      <c r="D558" s="12"/>
      <c r="E558" s="12"/>
      <c r="F558" s="12"/>
      <c r="G558" s="18"/>
      <c r="H558" s="35"/>
      <c r="I558" s="12"/>
      <c r="M558" s="12"/>
      <c r="N558" s="18"/>
      <c r="O558" s="12"/>
      <c r="P558" s="12"/>
      <c r="Q558" s="12"/>
      <c r="R558" s="36"/>
      <c r="S558" s="36"/>
      <c r="T558" s="12"/>
      <c r="U558" s="12"/>
      <c r="V558" s="12"/>
      <c r="W558" s="12"/>
      <c r="X558" s="12"/>
    </row>
    <row r="559" customFormat="false" ht="15.75" hidden="false" customHeight="false" outlineLevel="0" collapsed="false">
      <c r="A559" s="12"/>
      <c r="B559" s="34"/>
      <c r="C559" s="12"/>
      <c r="D559" s="12"/>
      <c r="E559" s="12"/>
      <c r="F559" s="12"/>
      <c r="G559" s="18"/>
      <c r="H559" s="35"/>
      <c r="I559" s="12"/>
      <c r="M559" s="12"/>
      <c r="N559" s="18"/>
      <c r="O559" s="12"/>
      <c r="P559" s="12"/>
      <c r="Q559" s="12"/>
      <c r="R559" s="36"/>
      <c r="S559" s="36"/>
      <c r="T559" s="12"/>
      <c r="U559" s="12"/>
      <c r="V559" s="12"/>
      <c r="W559" s="12"/>
      <c r="X559" s="12"/>
    </row>
    <row r="560" customFormat="false" ht="15.75" hidden="false" customHeight="false" outlineLevel="0" collapsed="false">
      <c r="A560" s="12"/>
      <c r="B560" s="34"/>
      <c r="C560" s="12"/>
      <c r="D560" s="12"/>
      <c r="E560" s="12"/>
      <c r="F560" s="12"/>
      <c r="G560" s="18"/>
      <c r="H560" s="35"/>
      <c r="I560" s="12"/>
      <c r="M560" s="12"/>
      <c r="N560" s="18"/>
      <c r="O560" s="12"/>
      <c r="P560" s="12"/>
      <c r="Q560" s="12"/>
      <c r="R560" s="36"/>
      <c r="S560" s="36"/>
      <c r="T560" s="12"/>
      <c r="U560" s="12"/>
      <c r="V560" s="12"/>
      <c r="W560" s="12"/>
      <c r="X560" s="12"/>
    </row>
    <row r="561" customFormat="false" ht="15.75" hidden="false" customHeight="false" outlineLevel="0" collapsed="false">
      <c r="A561" s="12"/>
      <c r="B561" s="34"/>
      <c r="C561" s="12"/>
      <c r="D561" s="12"/>
      <c r="E561" s="12"/>
      <c r="F561" s="12"/>
      <c r="G561" s="18"/>
      <c r="H561" s="35"/>
      <c r="I561" s="12"/>
      <c r="M561" s="12"/>
      <c r="N561" s="18"/>
      <c r="O561" s="12"/>
      <c r="P561" s="12"/>
      <c r="Q561" s="12"/>
      <c r="R561" s="36"/>
      <c r="S561" s="36"/>
      <c r="T561" s="12"/>
      <c r="U561" s="12"/>
      <c r="V561" s="12"/>
      <c r="W561" s="12"/>
      <c r="X561" s="12"/>
    </row>
    <row r="562" customFormat="false" ht="15.75" hidden="false" customHeight="false" outlineLevel="0" collapsed="false">
      <c r="A562" s="12"/>
      <c r="B562" s="34"/>
      <c r="C562" s="12"/>
      <c r="D562" s="12"/>
      <c r="E562" s="12"/>
      <c r="F562" s="12"/>
      <c r="G562" s="18"/>
      <c r="H562" s="35"/>
      <c r="I562" s="12"/>
      <c r="M562" s="12"/>
      <c r="N562" s="18"/>
      <c r="O562" s="12"/>
      <c r="P562" s="12"/>
      <c r="Q562" s="12"/>
      <c r="R562" s="36"/>
      <c r="S562" s="36"/>
      <c r="T562" s="12"/>
      <c r="U562" s="12"/>
      <c r="V562" s="12"/>
      <c r="W562" s="12"/>
      <c r="X562" s="12"/>
    </row>
    <row r="563" customFormat="false" ht="15.75" hidden="false" customHeight="false" outlineLevel="0" collapsed="false">
      <c r="A563" s="12"/>
      <c r="B563" s="34"/>
      <c r="C563" s="12"/>
      <c r="D563" s="12"/>
      <c r="E563" s="12"/>
      <c r="F563" s="12"/>
      <c r="G563" s="18"/>
      <c r="H563" s="35"/>
      <c r="I563" s="12"/>
      <c r="M563" s="12"/>
      <c r="N563" s="18"/>
      <c r="O563" s="12"/>
      <c r="P563" s="12"/>
      <c r="Q563" s="12"/>
      <c r="R563" s="36"/>
      <c r="S563" s="36"/>
      <c r="T563" s="12"/>
      <c r="U563" s="12"/>
      <c r="V563" s="12"/>
      <c r="W563" s="12"/>
      <c r="X563" s="12"/>
    </row>
    <row r="564" customFormat="false" ht="15.75" hidden="false" customHeight="false" outlineLevel="0" collapsed="false">
      <c r="A564" s="12"/>
      <c r="B564" s="34"/>
      <c r="C564" s="12"/>
      <c r="D564" s="12"/>
      <c r="E564" s="12"/>
      <c r="F564" s="12"/>
      <c r="G564" s="18"/>
      <c r="H564" s="35"/>
      <c r="I564" s="12"/>
      <c r="M564" s="12"/>
      <c r="N564" s="18"/>
      <c r="O564" s="12"/>
      <c r="P564" s="12"/>
      <c r="Q564" s="12"/>
      <c r="R564" s="36"/>
      <c r="S564" s="36"/>
      <c r="T564" s="12"/>
      <c r="U564" s="12"/>
      <c r="V564" s="12"/>
      <c r="W564" s="12"/>
      <c r="X564" s="12"/>
    </row>
    <row r="565" customFormat="false" ht="15.75" hidden="false" customHeight="false" outlineLevel="0" collapsed="false">
      <c r="A565" s="12"/>
      <c r="B565" s="34"/>
      <c r="C565" s="12"/>
      <c r="D565" s="12"/>
      <c r="E565" s="12"/>
      <c r="F565" s="12"/>
      <c r="G565" s="18"/>
      <c r="H565" s="35"/>
      <c r="I565" s="12"/>
      <c r="M565" s="12"/>
      <c r="N565" s="18"/>
      <c r="O565" s="12"/>
      <c r="P565" s="12"/>
      <c r="Q565" s="12"/>
      <c r="R565" s="36"/>
      <c r="S565" s="36"/>
      <c r="T565" s="12"/>
      <c r="U565" s="12"/>
      <c r="V565" s="12"/>
      <c r="W565" s="12"/>
      <c r="X565" s="12"/>
    </row>
    <row r="566" customFormat="false" ht="15.75" hidden="false" customHeight="false" outlineLevel="0" collapsed="false">
      <c r="A566" s="12"/>
      <c r="B566" s="34"/>
      <c r="C566" s="12"/>
      <c r="D566" s="12"/>
      <c r="E566" s="12"/>
      <c r="F566" s="12"/>
      <c r="G566" s="18"/>
      <c r="H566" s="35"/>
      <c r="I566" s="12"/>
      <c r="M566" s="12"/>
      <c r="N566" s="18"/>
      <c r="O566" s="12"/>
      <c r="P566" s="12"/>
      <c r="Q566" s="12"/>
      <c r="R566" s="36"/>
      <c r="S566" s="36"/>
      <c r="T566" s="12"/>
      <c r="U566" s="12"/>
      <c r="V566" s="12"/>
      <c r="W566" s="12"/>
      <c r="X566" s="12"/>
    </row>
    <row r="567" customFormat="false" ht="15.75" hidden="false" customHeight="false" outlineLevel="0" collapsed="false">
      <c r="A567" s="12"/>
      <c r="B567" s="34"/>
      <c r="C567" s="12"/>
      <c r="D567" s="12"/>
      <c r="E567" s="12"/>
      <c r="F567" s="12"/>
      <c r="G567" s="18"/>
      <c r="H567" s="35"/>
      <c r="I567" s="12"/>
      <c r="M567" s="12"/>
      <c r="N567" s="18"/>
      <c r="O567" s="12"/>
      <c r="P567" s="12"/>
      <c r="Q567" s="12"/>
      <c r="R567" s="36"/>
      <c r="S567" s="36"/>
      <c r="T567" s="12"/>
      <c r="U567" s="12"/>
      <c r="V567" s="12"/>
      <c r="W567" s="12"/>
      <c r="X567" s="12"/>
    </row>
    <row r="568" customFormat="false" ht="15.75" hidden="false" customHeight="false" outlineLevel="0" collapsed="false">
      <c r="A568" s="12"/>
      <c r="B568" s="34"/>
      <c r="C568" s="12"/>
      <c r="D568" s="12"/>
      <c r="E568" s="12"/>
      <c r="F568" s="12"/>
      <c r="G568" s="18"/>
      <c r="H568" s="35"/>
      <c r="I568" s="12"/>
      <c r="M568" s="12"/>
      <c r="N568" s="18"/>
      <c r="O568" s="12"/>
      <c r="P568" s="12"/>
      <c r="Q568" s="12"/>
      <c r="R568" s="36"/>
      <c r="S568" s="36"/>
      <c r="T568" s="12"/>
      <c r="U568" s="12"/>
      <c r="V568" s="12"/>
      <c r="W568" s="12"/>
      <c r="X568" s="12"/>
    </row>
    <row r="569" customFormat="false" ht="15.75" hidden="false" customHeight="false" outlineLevel="0" collapsed="false">
      <c r="A569" s="12"/>
      <c r="B569" s="34"/>
      <c r="C569" s="12"/>
      <c r="D569" s="12"/>
      <c r="E569" s="12"/>
      <c r="F569" s="12"/>
      <c r="G569" s="18"/>
      <c r="H569" s="35"/>
      <c r="I569" s="12"/>
      <c r="M569" s="12"/>
      <c r="N569" s="18"/>
      <c r="O569" s="12"/>
      <c r="P569" s="12"/>
      <c r="Q569" s="12"/>
      <c r="R569" s="36"/>
      <c r="S569" s="36"/>
      <c r="T569" s="12"/>
      <c r="U569" s="12"/>
      <c r="V569" s="12"/>
      <c r="W569" s="12"/>
      <c r="X569" s="12"/>
    </row>
    <row r="570" customFormat="false" ht="15.75" hidden="false" customHeight="false" outlineLevel="0" collapsed="false">
      <c r="A570" s="12"/>
      <c r="B570" s="34"/>
      <c r="C570" s="12"/>
      <c r="D570" s="12"/>
      <c r="E570" s="12"/>
      <c r="F570" s="12"/>
      <c r="G570" s="18"/>
      <c r="H570" s="35"/>
      <c r="I570" s="12"/>
      <c r="M570" s="12"/>
      <c r="N570" s="18"/>
      <c r="O570" s="12"/>
      <c r="P570" s="12"/>
      <c r="Q570" s="12"/>
      <c r="R570" s="36"/>
      <c r="S570" s="36"/>
      <c r="T570" s="12"/>
      <c r="U570" s="12"/>
      <c r="V570" s="12"/>
      <c r="W570" s="12"/>
      <c r="X570" s="12"/>
    </row>
    <row r="571" customFormat="false" ht="15.75" hidden="false" customHeight="false" outlineLevel="0" collapsed="false">
      <c r="A571" s="12"/>
      <c r="B571" s="34"/>
      <c r="C571" s="12"/>
      <c r="D571" s="12"/>
      <c r="E571" s="12"/>
      <c r="F571" s="12"/>
      <c r="G571" s="18"/>
      <c r="H571" s="35"/>
      <c r="I571" s="12"/>
      <c r="M571" s="12"/>
      <c r="N571" s="18"/>
      <c r="O571" s="12"/>
      <c r="P571" s="12"/>
      <c r="Q571" s="12"/>
      <c r="R571" s="36"/>
      <c r="S571" s="36"/>
      <c r="T571" s="12"/>
      <c r="U571" s="12"/>
      <c r="V571" s="12"/>
      <c r="W571" s="12"/>
      <c r="X571" s="12"/>
    </row>
    <row r="572" customFormat="false" ht="15.75" hidden="false" customHeight="false" outlineLevel="0" collapsed="false">
      <c r="A572" s="12"/>
      <c r="B572" s="34"/>
      <c r="C572" s="12"/>
      <c r="D572" s="12"/>
      <c r="E572" s="12"/>
      <c r="F572" s="12"/>
      <c r="G572" s="18"/>
      <c r="H572" s="35"/>
      <c r="I572" s="12"/>
      <c r="M572" s="12"/>
      <c r="N572" s="18"/>
      <c r="O572" s="12"/>
      <c r="P572" s="12"/>
      <c r="Q572" s="12"/>
      <c r="R572" s="36"/>
      <c r="S572" s="36"/>
      <c r="T572" s="12"/>
      <c r="U572" s="12"/>
      <c r="V572" s="12"/>
      <c r="W572" s="12"/>
      <c r="X572" s="12"/>
    </row>
    <row r="573" customFormat="false" ht="15.75" hidden="false" customHeight="false" outlineLevel="0" collapsed="false">
      <c r="A573" s="12"/>
      <c r="B573" s="34"/>
      <c r="C573" s="12"/>
      <c r="D573" s="12"/>
      <c r="E573" s="12"/>
      <c r="F573" s="12"/>
      <c r="G573" s="18"/>
      <c r="H573" s="35"/>
      <c r="I573" s="12"/>
      <c r="M573" s="12"/>
      <c r="N573" s="18"/>
      <c r="O573" s="12"/>
      <c r="P573" s="12"/>
      <c r="Q573" s="12"/>
      <c r="R573" s="36"/>
      <c r="S573" s="36"/>
      <c r="T573" s="12"/>
      <c r="U573" s="12"/>
      <c r="V573" s="12"/>
      <c r="W573" s="12"/>
      <c r="X573" s="12"/>
    </row>
    <row r="574" customFormat="false" ht="15.75" hidden="false" customHeight="false" outlineLevel="0" collapsed="false">
      <c r="A574" s="12"/>
      <c r="B574" s="34"/>
      <c r="C574" s="12"/>
      <c r="D574" s="12"/>
      <c r="E574" s="12"/>
      <c r="F574" s="12"/>
      <c r="G574" s="18"/>
      <c r="H574" s="35"/>
      <c r="I574" s="12"/>
      <c r="M574" s="12"/>
      <c r="N574" s="18"/>
      <c r="O574" s="12"/>
      <c r="P574" s="12"/>
      <c r="Q574" s="12"/>
      <c r="R574" s="36"/>
      <c r="S574" s="36"/>
      <c r="T574" s="12"/>
      <c r="U574" s="12"/>
      <c r="V574" s="12"/>
      <c r="W574" s="12"/>
      <c r="X574" s="12"/>
    </row>
    <row r="575" customFormat="false" ht="15.75" hidden="false" customHeight="false" outlineLevel="0" collapsed="false">
      <c r="A575" s="12"/>
      <c r="B575" s="34"/>
      <c r="C575" s="12"/>
      <c r="D575" s="12"/>
      <c r="E575" s="12"/>
      <c r="F575" s="12"/>
      <c r="G575" s="18"/>
      <c r="H575" s="35"/>
      <c r="I575" s="12"/>
      <c r="M575" s="12"/>
      <c r="N575" s="18"/>
      <c r="O575" s="12"/>
      <c r="P575" s="12"/>
      <c r="Q575" s="12"/>
      <c r="R575" s="36"/>
      <c r="S575" s="36"/>
      <c r="T575" s="12"/>
      <c r="U575" s="12"/>
      <c r="V575" s="12"/>
      <c r="W575" s="12"/>
      <c r="X575" s="12"/>
    </row>
    <row r="576" customFormat="false" ht="15.75" hidden="false" customHeight="false" outlineLevel="0" collapsed="false">
      <c r="A576" s="12"/>
      <c r="B576" s="34"/>
      <c r="C576" s="12"/>
      <c r="D576" s="12"/>
      <c r="E576" s="12"/>
      <c r="F576" s="12"/>
      <c r="G576" s="18"/>
      <c r="H576" s="35"/>
      <c r="I576" s="12"/>
      <c r="M576" s="12"/>
      <c r="N576" s="18"/>
      <c r="O576" s="12"/>
      <c r="P576" s="12"/>
      <c r="Q576" s="12"/>
      <c r="R576" s="36"/>
      <c r="S576" s="36"/>
      <c r="T576" s="12"/>
      <c r="U576" s="12"/>
      <c r="V576" s="12"/>
      <c r="W576" s="12"/>
      <c r="X576" s="12"/>
    </row>
    <row r="577" customFormat="false" ht="15.75" hidden="false" customHeight="false" outlineLevel="0" collapsed="false">
      <c r="A577" s="12"/>
      <c r="B577" s="34"/>
      <c r="C577" s="12"/>
      <c r="D577" s="12"/>
      <c r="E577" s="12"/>
      <c r="F577" s="12"/>
      <c r="G577" s="18"/>
      <c r="H577" s="35"/>
      <c r="I577" s="12"/>
      <c r="M577" s="12"/>
      <c r="N577" s="18"/>
      <c r="O577" s="12"/>
      <c r="P577" s="12"/>
      <c r="Q577" s="12"/>
      <c r="R577" s="36"/>
      <c r="S577" s="36"/>
      <c r="T577" s="12"/>
      <c r="U577" s="12"/>
      <c r="V577" s="12"/>
      <c r="W577" s="12"/>
      <c r="X577" s="12"/>
    </row>
    <row r="578" customFormat="false" ht="15.75" hidden="false" customHeight="false" outlineLevel="0" collapsed="false">
      <c r="A578" s="12"/>
      <c r="B578" s="34"/>
      <c r="C578" s="12"/>
      <c r="D578" s="12"/>
      <c r="E578" s="12"/>
      <c r="F578" s="12"/>
      <c r="G578" s="18"/>
      <c r="H578" s="35"/>
      <c r="I578" s="12"/>
      <c r="M578" s="12"/>
      <c r="N578" s="18"/>
      <c r="O578" s="12"/>
      <c r="P578" s="12"/>
      <c r="Q578" s="12"/>
      <c r="R578" s="36"/>
      <c r="S578" s="36"/>
      <c r="T578" s="12"/>
      <c r="U578" s="12"/>
      <c r="V578" s="12"/>
      <c r="W578" s="12"/>
      <c r="X578" s="12"/>
    </row>
    <row r="579" customFormat="false" ht="15.75" hidden="false" customHeight="false" outlineLevel="0" collapsed="false">
      <c r="A579" s="12"/>
      <c r="B579" s="34"/>
      <c r="C579" s="12"/>
      <c r="D579" s="12"/>
      <c r="E579" s="12"/>
      <c r="F579" s="12"/>
      <c r="G579" s="18"/>
      <c r="H579" s="35"/>
      <c r="I579" s="12"/>
      <c r="M579" s="12"/>
      <c r="N579" s="18"/>
      <c r="O579" s="12"/>
      <c r="P579" s="12"/>
      <c r="Q579" s="12"/>
      <c r="R579" s="36"/>
      <c r="S579" s="36"/>
      <c r="T579" s="12"/>
      <c r="U579" s="12"/>
      <c r="V579" s="12"/>
      <c r="W579" s="12"/>
      <c r="X579" s="12"/>
    </row>
    <row r="580" customFormat="false" ht="15.75" hidden="false" customHeight="false" outlineLevel="0" collapsed="false">
      <c r="A580" s="12"/>
      <c r="B580" s="34"/>
      <c r="C580" s="12"/>
      <c r="D580" s="12"/>
      <c r="E580" s="12"/>
      <c r="F580" s="12"/>
      <c r="G580" s="18"/>
      <c r="H580" s="35"/>
      <c r="I580" s="12"/>
      <c r="M580" s="12"/>
      <c r="N580" s="18"/>
      <c r="O580" s="12"/>
      <c r="P580" s="12"/>
      <c r="Q580" s="12"/>
      <c r="R580" s="36"/>
      <c r="S580" s="36"/>
      <c r="T580" s="12"/>
      <c r="U580" s="12"/>
      <c r="V580" s="12"/>
      <c r="W580" s="12"/>
      <c r="X580" s="12"/>
    </row>
    <row r="581" customFormat="false" ht="15.75" hidden="false" customHeight="false" outlineLevel="0" collapsed="false">
      <c r="A581" s="12"/>
      <c r="B581" s="34"/>
      <c r="C581" s="12"/>
      <c r="D581" s="12"/>
      <c r="E581" s="12"/>
      <c r="F581" s="12"/>
      <c r="G581" s="18"/>
      <c r="H581" s="35"/>
      <c r="I581" s="12"/>
      <c r="M581" s="12"/>
      <c r="N581" s="18"/>
      <c r="O581" s="12"/>
      <c r="P581" s="12"/>
      <c r="Q581" s="12"/>
      <c r="R581" s="36"/>
      <c r="S581" s="36"/>
      <c r="T581" s="12"/>
      <c r="U581" s="12"/>
      <c r="V581" s="12"/>
      <c r="W581" s="12"/>
      <c r="X581" s="12"/>
    </row>
    <row r="582" customFormat="false" ht="15.75" hidden="false" customHeight="false" outlineLevel="0" collapsed="false">
      <c r="A582" s="12"/>
      <c r="B582" s="34"/>
      <c r="C582" s="12"/>
      <c r="D582" s="12"/>
      <c r="E582" s="12"/>
      <c r="F582" s="12"/>
      <c r="G582" s="18"/>
      <c r="H582" s="35"/>
      <c r="I582" s="12"/>
      <c r="M582" s="12"/>
      <c r="N582" s="18"/>
      <c r="O582" s="12"/>
      <c r="P582" s="12"/>
      <c r="Q582" s="12"/>
      <c r="R582" s="36"/>
      <c r="S582" s="36"/>
      <c r="T582" s="12"/>
      <c r="U582" s="12"/>
      <c r="V582" s="12"/>
      <c r="W582" s="12"/>
      <c r="X582" s="12"/>
    </row>
    <row r="583" customFormat="false" ht="15.75" hidden="false" customHeight="false" outlineLevel="0" collapsed="false">
      <c r="A583" s="12"/>
      <c r="B583" s="34"/>
      <c r="C583" s="12"/>
      <c r="D583" s="12"/>
      <c r="E583" s="12"/>
      <c r="F583" s="12"/>
      <c r="G583" s="18"/>
      <c r="H583" s="35"/>
      <c r="I583" s="12"/>
      <c r="M583" s="12"/>
      <c r="N583" s="18"/>
      <c r="O583" s="12"/>
      <c r="P583" s="12"/>
      <c r="Q583" s="12"/>
      <c r="R583" s="36"/>
      <c r="S583" s="36"/>
      <c r="T583" s="12"/>
      <c r="U583" s="12"/>
      <c r="V583" s="12"/>
      <c r="W583" s="12"/>
      <c r="X583" s="12"/>
    </row>
    <row r="584" customFormat="false" ht="15.75" hidden="false" customHeight="false" outlineLevel="0" collapsed="false">
      <c r="A584" s="12"/>
      <c r="B584" s="34"/>
      <c r="C584" s="12"/>
      <c r="D584" s="12"/>
      <c r="E584" s="12"/>
      <c r="F584" s="12"/>
      <c r="G584" s="18"/>
      <c r="H584" s="35"/>
      <c r="I584" s="12"/>
      <c r="M584" s="12"/>
      <c r="N584" s="18"/>
      <c r="O584" s="12"/>
      <c r="P584" s="12"/>
      <c r="Q584" s="12"/>
      <c r="R584" s="36"/>
      <c r="S584" s="36"/>
      <c r="T584" s="12"/>
      <c r="U584" s="12"/>
      <c r="V584" s="12"/>
      <c r="W584" s="12"/>
      <c r="X584" s="12"/>
    </row>
    <row r="585" customFormat="false" ht="15.75" hidden="false" customHeight="false" outlineLevel="0" collapsed="false">
      <c r="A585" s="12"/>
      <c r="B585" s="34"/>
      <c r="C585" s="12"/>
      <c r="D585" s="12"/>
      <c r="E585" s="12"/>
      <c r="F585" s="12"/>
      <c r="G585" s="18"/>
      <c r="H585" s="35"/>
      <c r="I585" s="12"/>
      <c r="M585" s="12"/>
      <c r="N585" s="18"/>
      <c r="O585" s="12"/>
      <c r="P585" s="12"/>
      <c r="Q585" s="12"/>
      <c r="R585" s="36"/>
      <c r="S585" s="36"/>
      <c r="T585" s="12"/>
      <c r="U585" s="12"/>
      <c r="V585" s="12"/>
      <c r="W585" s="12"/>
      <c r="X585" s="12"/>
    </row>
    <row r="586" customFormat="false" ht="15.75" hidden="false" customHeight="false" outlineLevel="0" collapsed="false">
      <c r="A586" s="12"/>
      <c r="B586" s="34"/>
      <c r="C586" s="12"/>
      <c r="D586" s="12"/>
      <c r="E586" s="12"/>
      <c r="F586" s="12"/>
      <c r="G586" s="18"/>
      <c r="H586" s="35"/>
      <c r="I586" s="12"/>
      <c r="M586" s="12"/>
      <c r="N586" s="18"/>
      <c r="O586" s="12"/>
      <c r="P586" s="12"/>
      <c r="Q586" s="12"/>
      <c r="R586" s="36"/>
      <c r="S586" s="36"/>
      <c r="T586" s="12"/>
      <c r="U586" s="12"/>
      <c r="V586" s="12"/>
      <c r="W586" s="12"/>
      <c r="X586" s="12"/>
    </row>
    <row r="587" customFormat="false" ht="15.75" hidden="false" customHeight="false" outlineLevel="0" collapsed="false">
      <c r="A587" s="12"/>
      <c r="B587" s="34"/>
      <c r="C587" s="12"/>
      <c r="D587" s="12"/>
      <c r="E587" s="12"/>
      <c r="F587" s="12"/>
      <c r="G587" s="18"/>
      <c r="H587" s="35"/>
      <c r="I587" s="12"/>
      <c r="M587" s="12"/>
      <c r="N587" s="18"/>
      <c r="O587" s="12"/>
      <c r="P587" s="12"/>
      <c r="Q587" s="12"/>
      <c r="R587" s="36"/>
      <c r="S587" s="36"/>
      <c r="T587" s="12"/>
      <c r="U587" s="12"/>
      <c r="V587" s="12"/>
      <c r="W587" s="12"/>
      <c r="X587" s="12"/>
    </row>
    <row r="588" customFormat="false" ht="15.75" hidden="false" customHeight="false" outlineLevel="0" collapsed="false">
      <c r="A588" s="12"/>
      <c r="B588" s="34"/>
      <c r="C588" s="12"/>
      <c r="D588" s="12"/>
      <c r="E588" s="12"/>
      <c r="F588" s="12"/>
      <c r="G588" s="18"/>
      <c r="H588" s="35"/>
      <c r="I588" s="12"/>
      <c r="M588" s="12"/>
      <c r="N588" s="18"/>
      <c r="O588" s="12"/>
      <c r="P588" s="12"/>
      <c r="Q588" s="12"/>
      <c r="R588" s="36"/>
      <c r="S588" s="36"/>
      <c r="T588" s="12"/>
      <c r="U588" s="12"/>
      <c r="V588" s="12"/>
      <c r="W588" s="12"/>
      <c r="X588" s="12"/>
    </row>
    <row r="589" customFormat="false" ht="15.75" hidden="false" customHeight="false" outlineLevel="0" collapsed="false">
      <c r="A589" s="12"/>
      <c r="B589" s="34"/>
      <c r="C589" s="12"/>
      <c r="D589" s="12"/>
      <c r="E589" s="12"/>
      <c r="F589" s="12"/>
      <c r="G589" s="18"/>
      <c r="H589" s="35"/>
      <c r="I589" s="12"/>
      <c r="M589" s="12"/>
      <c r="N589" s="18"/>
      <c r="O589" s="12"/>
      <c r="P589" s="12"/>
      <c r="Q589" s="12"/>
      <c r="R589" s="36"/>
      <c r="S589" s="36"/>
      <c r="T589" s="12"/>
      <c r="U589" s="12"/>
      <c r="V589" s="12"/>
      <c r="W589" s="12"/>
      <c r="X589" s="12"/>
    </row>
    <row r="590" customFormat="false" ht="15.75" hidden="false" customHeight="false" outlineLevel="0" collapsed="false">
      <c r="A590" s="12"/>
      <c r="B590" s="34"/>
      <c r="C590" s="12"/>
      <c r="D590" s="12"/>
      <c r="E590" s="12"/>
      <c r="F590" s="12"/>
      <c r="G590" s="18"/>
      <c r="H590" s="35"/>
      <c r="I590" s="12"/>
      <c r="M590" s="12"/>
      <c r="N590" s="18"/>
      <c r="O590" s="12"/>
      <c r="P590" s="12"/>
      <c r="Q590" s="12"/>
      <c r="R590" s="36"/>
      <c r="S590" s="36"/>
      <c r="T590" s="12"/>
      <c r="U590" s="12"/>
      <c r="V590" s="12"/>
      <c r="W590" s="12"/>
      <c r="X590" s="12"/>
    </row>
    <row r="591" customFormat="false" ht="15.75" hidden="false" customHeight="false" outlineLevel="0" collapsed="false">
      <c r="A591" s="12"/>
      <c r="B591" s="34"/>
      <c r="C591" s="12"/>
      <c r="D591" s="12"/>
      <c r="E591" s="12"/>
      <c r="F591" s="12"/>
      <c r="G591" s="18"/>
      <c r="H591" s="35"/>
      <c r="I591" s="12"/>
      <c r="M591" s="12"/>
      <c r="N591" s="18"/>
      <c r="O591" s="12"/>
      <c r="P591" s="12"/>
      <c r="Q591" s="12"/>
      <c r="R591" s="36"/>
      <c r="S591" s="36"/>
      <c r="T591" s="12"/>
      <c r="U591" s="12"/>
      <c r="V591" s="12"/>
      <c r="W591" s="12"/>
      <c r="X591" s="12"/>
    </row>
    <row r="592" customFormat="false" ht="15.75" hidden="false" customHeight="false" outlineLevel="0" collapsed="false">
      <c r="A592" s="12"/>
      <c r="B592" s="34"/>
      <c r="C592" s="12"/>
      <c r="D592" s="12"/>
      <c r="E592" s="12"/>
      <c r="F592" s="12"/>
      <c r="G592" s="18"/>
      <c r="H592" s="35"/>
      <c r="I592" s="12"/>
      <c r="M592" s="12"/>
      <c r="N592" s="18"/>
      <c r="O592" s="12"/>
      <c r="P592" s="12"/>
      <c r="Q592" s="12"/>
      <c r="R592" s="36"/>
      <c r="S592" s="36"/>
      <c r="T592" s="12"/>
      <c r="U592" s="12"/>
      <c r="V592" s="12"/>
      <c r="W592" s="12"/>
      <c r="X592" s="12"/>
    </row>
    <row r="593" customFormat="false" ht="15.75" hidden="false" customHeight="false" outlineLevel="0" collapsed="false">
      <c r="A593" s="12"/>
      <c r="B593" s="34"/>
      <c r="C593" s="12"/>
      <c r="D593" s="12"/>
      <c r="E593" s="12"/>
      <c r="F593" s="12"/>
      <c r="G593" s="18"/>
      <c r="H593" s="35"/>
      <c r="I593" s="12"/>
      <c r="M593" s="12"/>
      <c r="N593" s="18"/>
      <c r="O593" s="12"/>
      <c r="P593" s="12"/>
      <c r="Q593" s="12"/>
      <c r="R593" s="36"/>
      <c r="S593" s="36"/>
      <c r="T593" s="12"/>
      <c r="U593" s="12"/>
      <c r="V593" s="12"/>
      <c r="W593" s="12"/>
      <c r="X593" s="12"/>
    </row>
    <row r="594" customFormat="false" ht="15.75" hidden="false" customHeight="false" outlineLevel="0" collapsed="false">
      <c r="A594" s="12"/>
      <c r="B594" s="34"/>
      <c r="C594" s="12"/>
      <c r="D594" s="12"/>
      <c r="E594" s="12"/>
      <c r="F594" s="12"/>
      <c r="G594" s="18"/>
      <c r="H594" s="35"/>
      <c r="I594" s="12"/>
      <c r="M594" s="12"/>
      <c r="N594" s="18"/>
      <c r="O594" s="12"/>
      <c r="P594" s="12"/>
      <c r="Q594" s="12"/>
      <c r="R594" s="36"/>
      <c r="S594" s="36"/>
      <c r="T594" s="12"/>
      <c r="U594" s="12"/>
      <c r="V594" s="12"/>
      <c r="W594" s="12"/>
      <c r="X594" s="12"/>
    </row>
    <row r="595" customFormat="false" ht="15.75" hidden="false" customHeight="false" outlineLevel="0" collapsed="false">
      <c r="A595" s="12"/>
      <c r="B595" s="34"/>
      <c r="C595" s="12"/>
      <c r="D595" s="12"/>
      <c r="E595" s="12"/>
      <c r="F595" s="12"/>
      <c r="G595" s="18"/>
      <c r="H595" s="35"/>
      <c r="I595" s="12"/>
      <c r="M595" s="12"/>
      <c r="N595" s="18"/>
      <c r="O595" s="12"/>
      <c r="P595" s="12"/>
      <c r="Q595" s="12"/>
      <c r="R595" s="36"/>
      <c r="S595" s="36"/>
      <c r="T595" s="12"/>
      <c r="U595" s="12"/>
      <c r="V595" s="12"/>
      <c r="W595" s="12"/>
      <c r="X595" s="12"/>
    </row>
    <row r="596" customFormat="false" ht="15.75" hidden="false" customHeight="false" outlineLevel="0" collapsed="false">
      <c r="A596" s="12"/>
      <c r="B596" s="34"/>
      <c r="C596" s="12"/>
      <c r="D596" s="12"/>
      <c r="E596" s="12"/>
      <c r="F596" s="12"/>
      <c r="G596" s="18"/>
      <c r="H596" s="35"/>
      <c r="I596" s="12"/>
      <c r="M596" s="12"/>
      <c r="N596" s="18"/>
      <c r="O596" s="12"/>
      <c r="P596" s="12"/>
      <c r="Q596" s="12"/>
      <c r="R596" s="36"/>
      <c r="S596" s="36"/>
      <c r="T596" s="12"/>
      <c r="U596" s="12"/>
      <c r="V596" s="12"/>
      <c r="W596" s="12"/>
      <c r="X596" s="12"/>
    </row>
    <row r="597" customFormat="false" ht="15.75" hidden="false" customHeight="false" outlineLevel="0" collapsed="false">
      <c r="A597" s="12"/>
      <c r="B597" s="34"/>
      <c r="C597" s="12"/>
      <c r="D597" s="12"/>
      <c r="E597" s="12"/>
      <c r="F597" s="12"/>
      <c r="G597" s="18"/>
      <c r="H597" s="35"/>
      <c r="I597" s="12"/>
      <c r="M597" s="12"/>
      <c r="N597" s="18"/>
      <c r="O597" s="12"/>
      <c r="P597" s="12"/>
      <c r="Q597" s="12"/>
      <c r="R597" s="36"/>
      <c r="S597" s="36"/>
      <c r="T597" s="12"/>
      <c r="U597" s="12"/>
      <c r="V597" s="12"/>
      <c r="W597" s="12"/>
      <c r="X597" s="12"/>
    </row>
    <row r="598" customFormat="false" ht="15.75" hidden="false" customHeight="false" outlineLevel="0" collapsed="false">
      <c r="A598" s="12"/>
      <c r="B598" s="34"/>
      <c r="C598" s="12"/>
      <c r="D598" s="12"/>
      <c r="E598" s="12"/>
      <c r="F598" s="12"/>
      <c r="G598" s="18"/>
      <c r="H598" s="35"/>
      <c r="I598" s="12"/>
      <c r="M598" s="12"/>
      <c r="N598" s="18"/>
      <c r="O598" s="12"/>
      <c r="P598" s="12"/>
      <c r="Q598" s="12"/>
      <c r="R598" s="36"/>
      <c r="S598" s="36"/>
      <c r="T598" s="12"/>
      <c r="U598" s="12"/>
      <c r="V598" s="12"/>
      <c r="W598" s="12"/>
      <c r="X598" s="12"/>
    </row>
    <row r="599" customFormat="false" ht="15.75" hidden="false" customHeight="false" outlineLevel="0" collapsed="false">
      <c r="A599" s="12"/>
      <c r="B599" s="34"/>
      <c r="C599" s="12"/>
      <c r="D599" s="12"/>
      <c r="E599" s="12"/>
      <c r="F599" s="12"/>
      <c r="G599" s="18"/>
      <c r="H599" s="35"/>
      <c r="I599" s="12"/>
      <c r="M599" s="12"/>
      <c r="N599" s="18"/>
      <c r="O599" s="12"/>
      <c r="P599" s="12"/>
      <c r="Q599" s="12"/>
      <c r="R599" s="36"/>
      <c r="S599" s="36"/>
      <c r="T599" s="12"/>
      <c r="U599" s="12"/>
      <c r="V599" s="12"/>
      <c r="W599" s="12"/>
      <c r="X599" s="12"/>
    </row>
    <row r="600" customFormat="false" ht="15.75" hidden="false" customHeight="false" outlineLevel="0" collapsed="false">
      <c r="A600" s="12"/>
      <c r="B600" s="34"/>
      <c r="C600" s="12"/>
      <c r="D600" s="12"/>
      <c r="E600" s="12"/>
      <c r="F600" s="12"/>
      <c r="G600" s="18"/>
      <c r="H600" s="35"/>
      <c r="I600" s="12"/>
      <c r="M600" s="12"/>
      <c r="N600" s="18"/>
      <c r="O600" s="12"/>
      <c r="P600" s="12"/>
      <c r="Q600" s="12"/>
      <c r="R600" s="36"/>
      <c r="S600" s="36"/>
      <c r="T600" s="12"/>
      <c r="U600" s="12"/>
      <c r="V600" s="12"/>
      <c r="W600" s="12"/>
      <c r="X600" s="12"/>
    </row>
    <row r="601" customFormat="false" ht="15.75" hidden="false" customHeight="false" outlineLevel="0" collapsed="false">
      <c r="A601" s="12"/>
      <c r="B601" s="34"/>
      <c r="C601" s="12"/>
      <c r="D601" s="12"/>
      <c r="E601" s="12"/>
      <c r="F601" s="12"/>
      <c r="G601" s="18"/>
      <c r="H601" s="35"/>
      <c r="I601" s="12"/>
      <c r="M601" s="12"/>
      <c r="N601" s="18"/>
      <c r="O601" s="12"/>
      <c r="P601" s="12"/>
      <c r="Q601" s="12"/>
      <c r="R601" s="36"/>
      <c r="S601" s="36"/>
      <c r="T601" s="12"/>
      <c r="U601" s="12"/>
      <c r="V601" s="12"/>
      <c r="W601" s="12"/>
      <c r="X601" s="12"/>
    </row>
    <row r="602" customFormat="false" ht="15.75" hidden="false" customHeight="false" outlineLevel="0" collapsed="false">
      <c r="A602" s="12"/>
      <c r="B602" s="34"/>
      <c r="C602" s="12"/>
      <c r="D602" s="12"/>
      <c r="E602" s="12"/>
      <c r="F602" s="12"/>
      <c r="G602" s="18"/>
      <c r="H602" s="35"/>
      <c r="I602" s="12"/>
      <c r="M602" s="12"/>
      <c r="N602" s="18"/>
      <c r="O602" s="12"/>
      <c r="P602" s="12"/>
      <c r="Q602" s="12"/>
      <c r="R602" s="36"/>
      <c r="S602" s="36"/>
      <c r="T602" s="12"/>
      <c r="U602" s="12"/>
      <c r="V602" s="12"/>
      <c r="W602" s="12"/>
      <c r="X602" s="12"/>
    </row>
    <row r="603" customFormat="false" ht="15.75" hidden="false" customHeight="false" outlineLevel="0" collapsed="false">
      <c r="A603" s="12"/>
      <c r="B603" s="34"/>
      <c r="C603" s="12"/>
      <c r="D603" s="12"/>
      <c r="E603" s="12"/>
      <c r="F603" s="12"/>
      <c r="G603" s="18"/>
      <c r="H603" s="35"/>
      <c r="I603" s="12"/>
      <c r="M603" s="12"/>
      <c r="N603" s="18"/>
      <c r="O603" s="12"/>
      <c r="P603" s="12"/>
      <c r="Q603" s="12"/>
      <c r="R603" s="36"/>
      <c r="S603" s="36"/>
      <c r="T603" s="12"/>
      <c r="U603" s="12"/>
      <c r="V603" s="12"/>
      <c r="W603" s="12"/>
      <c r="X603" s="12"/>
    </row>
    <row r="604" customFormat="false" ht="15.75" hidden="false" customHeight="false" outlineLevel="0" collapsed="false">
      <c r="A604" s="12"/>
      <c r="B604" s="34"/>
      <c r="C604" s="12"/>
      <c r="D604" s="12"/>
      <c r="E604" s="12"/>
      <c r="F604" s="12"/>
      <c r="G604" s="18"/>
      <c r="H604" s="35"/>
      <c r="I604" s="12"/>
      <c r="M604" s="12"/>
      <c r="N604" s="18"/>
      <c r="O604" s="12"/>
      <c r="P604" s="12"/>
      <c r="Q604" s="12"/>
      <c r="R604" s="36"/>
      <c r="S604" s="36"/>
      <c r="T604" s="12"/>
      <c r="U604" s="12"/>
      <c r="V604" s="12"/>
      <c r="W604" s="12"/>
      <c r="X604" s="12"/>
    </row>
    <row r="605" customFormat="false" ht="15.75" hidden="false" customHeight="false" outlineLevel="0" collapsed="false">
      <c r="A605" s="12"/>
      <c r="B605" s="34"/>
      <c r="C605" s="12"/>
      <c r="D605" s="12"/>
      <c r="E605" s="12"/>
      <c r="F605" s="12"/>
      <c r="G605" s="18"/>
      <c r="H605" s="35"/>
      <c r="I605" s="12"/>
      <c r="M605" s="12"/>
      <c r="N605" s="18"/>
      <c r="O605" s="12"/>
      <c r="P605" s="12"/>
      <c r="Q605" s="12"/>
      <c r="R605" s="36"/>
      <c r="S605" s="36"/>
      <c r="T605" s="12"/>
      <c r="U605" s="12"/>
      <c r="V605" s="12"/>
      <c r="W605" s="12"/>
      <c r="X605" s="12"/>
    </row>
    <row r="606" customFormat="false" ht="15.75" hidden="false" customHeight="false" outlineLevel="0" collapsed="false">
      <c r="A606" s="12"/>
      <c r="B606" s="34"/>
      <c r="C606" s="12"/>
      <c r="D606" s="12"/>
      <c r="E606" s="12"/>
      <c r="F606" s="12"/>
      <c r="G606" s="18"/>
      <c r="H606" s="35"/>
      <c r="I606" s="12"/>
      <c r="M606" s="12"/>
      <c r="N606" s="18"/>
      <c r="O606" s="12"/>
      <c r="P606" s="12"/>
      <c r="Q606" s="12"/>
      <c r="R606" s="36"/>
      <c r="S606" s="36"/>
      <c r="T606" s="12"/>
      <c r="U606" s="12"/>
      <c r="V606" s="12"/>
      <c r="W606" s="12"/>
      <c r="X606" s="12"/>
    </row>
    <row r="607" customFormat="false" ht="15.75" hidden="false" customHeight="false" outlineLevel="0" collapsed="false">
      <c r="A607" s="12"/>
      <c r="B607" s="34"/>
      <c r="C607" s="12"/>
      <c r="D607" s="12"/>
      <c r="E607" s="12"/>
      <c r="F607" s="12"/>
      <c r="G607" s="18"/>
      <c r="H607" s="35"/>
      <c r="I607" s="12"/>
      <c r="M607" s="12"/>
      <c r="N607" s="18"/>
      <c r="O607" s="12"/>
      <c r="P607" s="12"/>
      <c r="Q607" s="12"/>
      <c r="R607" s="36"/>
      <c r="S607" s="36"/>
      <c r="T607" s="12"/>
      <c r="U607" s="12"/>
      <c r="V607" s="12"/>
      <c r="W607" s="12"/>
      <c r="X607" s="12"/>
    </row>
    <row r="608" customFormat="false" ht="15.75" hidden="false" customHeight="false" outlineLevel="0" collapsed="false">
      <c r="A608" s="12"/>
      <c r="B608" s="34"/>
      <c r="C608" s="12"/>
      <c r="D608" s="12"/>
      <c r="E608" s="12"/>
      <c r="F608" s="12"/>
      <c r="G608" s="18"/>
      <c r="H608" s="35"/>
      <c r="I608" s="12"/>
      <c r="M608" s="12"/>
      <c r="N608" s="18"/>
      <c r="O608" s="12"/>
      <c r="P608" s="12"/>
      <c r="Q608" s="12"/>
      <c r="R608" s="36"/>
      <c r="S608" s="36"/>
      <c r="T608" s="12"/>
      <c r="U608" s="12"/>
      <c r="V608" s="12"/>
      <c r="W608" s="12"/>
      <c r="X608" s="12"/>
    </row>
    <row r="609" customFormat="false" ht="15.75" hidden="false" customHeight="false" outlineLevel="0" collapsed="false">
      <c r="A609" s="12"/>
      <c r="B609" s="34"/>
      <c r="C609" s="12"/>
      <c r="D609" s="12"/>
      <c r="E609" s="12"/>
      <c r="F609" s="12"/>
      <c r="G609" s="18"/>
      <c r="H609" s="35"/>
      <c r="I609" s="12"/>
      <c r="M609" s="12"/>
      <c r="N609" s="18"/>
      <c r="O609" s="12"/>
      <c r="P609" s="12"/>
      <c r="Q609" s="12"/>
      <c r="R609" s="36"/>
      <c r="S609" s="36"/>
      <c r="T609" s="12"/>
      <c r="U609" s="12"/>
      <c r="V609" s="12"/>
      <c r="W609" s="12"/>
      <c r="X609" s="12"/>
    </row>
    <row r="610" customFormat="false" ht="15.75" hidden="false" customHeight="false" outlineLevel="0" collapsed="false">
      <c r="A610" s="12"/>
      <c r="B610" s="34"/>
      <c r="C610" s="12"/>
      <c r="D610" s="12"/>
      <c r="E610" s="12"/>
      <c r="F610" s="12"/>
      <c r="G610" s="18"/>
      <c r="H610" s="35"/>
      <c r="I610" s="12"/>
      <c r="M610" s="12"/>
      <c r="N610" s="18"/>
      <c r="O610" s="12"/>
      <c r="P610" s="12"/>
      <c r="Q610" s="12"/>
      <c r="R610" s="36"/>
      <c r="S610" s="36"/>
      <c r="T610" s="12"/>
      <c r="U610" s="12"/>
      <c r="V610" s="12"/>
      <c r="W610" s="12"/>
      <c r="X610" s="12"/>
    </row>
    <row r="611" customFormat="false" ht="15.75" hidden="false" customHeight="false" outlineLevel="0" collapsed="false">
      <c r="A611" s="12"/>
      <c r="B611" s="34"/>
      <c r="C611" s="12"/>
      <c r="D611" s="12"/>
      <c r="E611" s="12"/>
      <c r="F611" s="12"/>
      <c r="G611" s="18"/>
      <c r="H611" s="35"/>
      <c r="I611" s="12"/>
      <c r="M611" s="12"/>
      <c r="N611" s="18"/>
      <c r="O611" s="12"/>
      <c r="P611" s="12"/>
      <c r="Q611" s="12"/>
      <c r="R611" s="36"/>
      <c r="S611" s="36"/>
      <c r="T611" s="12"/>
      <c r="U611" s="12"/>
      <c r="V611" s="12"/>
      <c r="W611" s="12"/>
      <c r="X611" s="12"/>
    </row>
    <row r="612" customFormat="false" ht="15.75" hidden="false" customHeight="false" outlineLevel="0" collapsed="false">
      <c r="A612" s="12"/>
      <c r="B612" s="34"/>
      <c r="C612" s="12"/>
      <c r="D612" s="12"/>
      <c r="E612" s="12"/>
      <c r="F612" s="12"/>
      <c r="G612" s="18"/>
      <c r="H612" s="35"/>
      <c r="I612" s="12"/>
      <c r="M612" s="12"/>
      <c r="N612" s="18"/>
      <c r="O612" s="12"/>
      <c r="P612" s="12"/>
      <c r="Q612" s="12"/>
      <c r="R612" s="36"/>
      <c r="S612" s="36"/>
      <c r="T612" s="12"/>
      <c r="U612" s="12"/>
      <c r="V612" s="12"/>
      <c r="W612" s="12"/>
      <c r="X612" s="12"/>
    </row>
    <row r="613" customFormat="false" ht="15.75" hidden="false" customHeight="false" outlineLevel="0" collapsed="false">
      <c r="A613" s="12"/>
      <c r="B613" s="34"/>
      <c r="C613" s="12"/>
      <c r="D613" s="12"/>
      <c r="E613" s="12"/>
      <c r="F613" s="12"/>
      <c r="G613" s="18"/>
      <c r="H613" s="35"/>
      <c r="I613" s="12"/>
      <c r="M613" s="12"/>
      <c r="N613" s="18"/>
      <c r="O613" s="12"/>
      <c r="P613" s="12"/>
      <c r="Q613" s="12"/>
      <c r="R613" s="36"/>
      <c r="S613" s="36"/>
      <c r="T613" s="12"/>
      <c r="U613" s="12"/>
      <c r="V613" s="12"/>
      <c r="W613" s="12"/>
      <c r="X613" s="12"/>
    </row>
    <row r="614" customFormat="false" ht="15.75" hidden="false" customHeight="false" outlineLevel="0" collapsed="false">
      <c r="A614" s="12"/>
      <c r="B614" s="34"/>
      <c r="C614" s="12"/>
      <c r="D614" s="12"/>
      <c r="E614" s="12"/>
      <c r="F614" s="12"/>
      <c r="G614" s="18"/>
      <c r="H614" s="35"/>
      <c r="I614" s="12"/>
      <c r="M614" s="12"/>
      <c r="N614" s="18"/>
      <c r="O614" s="12"/>
      <c r="P614" s="12"/>
      <c r="Q614" s="12"/>
      <c r="R614" s="36"/>
      <c r="S614" s="36"/>
      <c r="T614" s="12"/>
      <c r="U614" s="12"/>
      <c r="V614" s="12"/>
      <c r="W614" s="12"/>
      <c r="X614" s="12"/>
    </row>
    <row r="615" customFormat="false" ht="15.75" hidden="false" customHeight="false" outlineLevel="0" collapsed="false">
      <c r="A615" s="12"/>
      <c r="B615" s="34"/>
      <c r="C615" s="12"/>
      <c r="D615" s="12"/>
      <c r="E615" s="12"/>
      <c r="F615" s="12"/>
      <c r="G615" s="18"/>
      <c r="H615" s="35"/>
      <c r="I615" s="12"/>
      <c r="M615" s="12"/>
      <c r="N615" s="18"/>
      <c r="O615" s="12"/>
      <c r="P615" s="12"/>
      <c r="Q615" s="12"/>
      <c r="R615" s="36"/>
      <c r="S615" s="36"/>
      <c r="T615" s="12"/>
      <c r="U615" s="12"/>
      <c r="V615" s="12"/>
      <c r="W615" s="12"/>
      <c r="X615" s="12"/>
    </row>
    <row r="616" customFormat="false" ht="15.75" hidden="false" customHeight="false" outlineLevel="0" collapsed="false">
      <c r="A616" s="12"/>
      <c r="B616" s="34"/>
      <c r="C616" s="12"/>
      <c r="D616" s="12"/>
      <c r="E616" s="12"/>
      <c r="F616" s="12"/>
      <c r="G616" s="18"/>
      <c r="H616" s="35"/>
      <c r="I616" s="12"/>
      <c r="M616" s="12"/>
      <c r="N616" s="18"/>
      <c r="O616" s="12"/>
      <c r="P616" s="12"/>
      <c r="Q616" s="12"/>
      <c r="R616" s="36"/>
      <c r="S616" s="36"/>
      <c r="T616" s="12"/>
      <c r="U616" s="12"/>
      <c r="V616" s="12"/>
      <c r="W616" s="12"/>
      <c r="X616" s="12"/>
    </row>
    <row r="617" customFormat="false" ht="15.75" hidden="false" customHeight="false" outlineLevel="0" collapsed="false">
      <c r="A617" s="12"/>
      <c r="B617" s="34"/>
      <c r="C617" s="12"/>
      <c r="D617" s="12"/>
      <c r="E617" s="12"/>
      <c r="F617" s="12"/>
      <c r="G617" s="18"/>
      <c r="H617" s="35"/>
      <c r="I617" s="12"/>
      <c r="M617" s="12"/>
      <c r="N617" s="18"/>
      <c r="O617" s="12"/>
      <c r="P617" s="12"/>
      <c r="Q617" s="12"/>
      <c r="R617" s="36"/>
      <c r="S617" s="36"/>
      <c r="T617" s="12"/>
      <c r="U617" s="12"/>
      <c r="V617" s="12"/>
      <c r="W617" s="12"/>
      <c r="X617" s="12"/>
    </row>
    <row r="618" customFormat="false" ht="15.75" hidden="false" customHeight="false" outlineLevel="0" collapsed="false">
      <c r="A618" s="12"/>
      <c r="B618" s="34"/>
      <c r="C618" s="12"/>
      <c r="D618" s="12"/>
      <c r="E618" s="12"/>
      <c r="F618" s="12"/>
      <c r="G618" s="18"/>
      <c r="H618" s="35"/>
      <c r="I618" s="12"/>
      <c r="M618" s="12"/>
      <c r="N618" s="18"/>
      <c r="O618" s="12"/>
      <c r="P618" s="12"/>
      <c r="Q618" s="12"/>
      <c r="R618" s="36"/>
      <c r="S618" s="36"/>
      <c r="T618" s="12"/>
      <c r="U618" s="12"/>
      <c r="V618" s="12"/>
      <c r="W618" s="12"/>
      <c r="X618" s="12"/>
    </row>
    <row r="619" customFormat="false" ht="15.75" hidden="false" customHeight="false" outlineLevel="0" collapsed="false">
      <c r="A619" s="12"/>
      <c r="B619" s="34"/>
      <c r="C619" s="12"/>
      <c r="D619" s="12"/>
      <c r="E619" s="12"/>
      <c r="F619" s="12"/>
      <c r="G619" s="18"/>
      <c r="H619" s="35"/>
      <c r="I619" s="12"/>
      <c r="M619" s="12"/>
      <c r="N619" s="18"/>
      <c r="O619" s="12"/>
      <c r="P619" s="12"/>
      <c r="Q619" s="12"/>
      <c r="R619" s="36"/>
      <c r="S619" s="36"/>
      <c r="T619" s="12"/>
      <c r="U619" s="12"/>
      <c r="V619" s="12"/>
      <c r="W619" s="12"/>
      <c r="X619" s="12"/>
    </row>
    <row r="620" customFormat="false" ht="15.75" hidden="false" customHeight="false" outlineLevel="0" collapsed="false">
      <c r="A620" s="12"/>
      <c r="B620" s="34"/>
      <c r="C620" s="12"/>
      <c r="D620" s="12"/>
      <c r="E620" s="12"/>
      <c r="F620" s="12"/>
      <c r="G620" s="18"/>
      <c r="H620" s="35"/>
      <c r="I620" s="12"/>
      <c r="M620" s="12"/>
      <c r="N620" s="18"/>
      <c r="O620" s="12"/>
      <c r="P620" s="12"/>
      <c r="Q620" s="12"/>
      <c r="R620" s="36"/>
      <c r="S620" s="36"/>
      <c r="T620" s="12"/>
      <c r="U620" s="12"/>
      <c r="V620" s="12"/>
      <c r="W620" s="12"/>
      <c r="X620" s="12"/>
    </row>
    <row r="621" customFormat="false" ht="15.75" hidden="false" customHeight="false" outlineLevel="0" collapsed="false">
      <c r="A621" s="12"/>
      <c r="B621" s="34"/>
      <c r="C621" s="12"/>
      <c r="D621" s="12"/>
      <c r="E621" s="12"/>
      <c r="F621" s="12"/>
      <c r="G621" s="18"/>
      <c r="H621" s="35"/>
      <c r="I621" s="12"/>
      <c r="M621" s="12"/>
      <c r="N621" s="18"/>
      <c r="O621" s="12"/>
      <c r="P621" s="12"/>
      <c r="Q621" s="12"/>
      <c r="R621" s="36"/>
      <c r="S621" s="36"/>
      <c r="T621" s="12"/>
      <c r="U621" s="12"/>
      <c r="V621" s="12"/>
      <c r="W621" s="12"/>
      <c r="X621" s="12"/>
    </row>
    <row r="622" customFormat="false" ht="15.75" hidden="false" customHeight="false" outlineLevel="0" collapsed="false">
      <c r="A622" s="12"/>
      <c r="B622" s="34"/>
      <c r="C622" s="12"/>
      <c r="D622" s="12"/>
      <c r="E622" s="12"/>
      <c r="F622" s="12"/>
      <c r="G622" s="18"/>
      <c r="H622" s="35"/>
      <c r="I622" s="12"/>
      <c r="M622" s="12"/>
      <c r="N622" s="18"/>
      <c r="O622" s="12"/>
      <c r="P622" s="12"/>
      <c r="Q622" s="12"/>
      <c r="R622" s="36"/>
      <c r="S622" s="36"/>
      <c r="T622" s="12"/>
      <c r="U622" s="12"/>
      <c r="V622" s="12"/>
      <c r="W622" s="12"/>
      <c r="X622" s="12"/>
    </row>
    <row r="623" customFormat="false" ht="15.75" hidden="false" customHeight="false" outlineLevel="0" collapsed="false">
      <c r="A623" s="12"/>
      <c r="B623" s="34"/>
      <c r="C623" s="12"/>
      <c r="D623" s="12"/>
      <c r="E623" s="12"/>
      <c r="F623" s="12"/>
      <c r="G623" s="18"/>
      <c r="H623" s="35"/>
      <c r="I623" s="12"/>
      <c r="M623" s="12"/>
      <c r="N623" s="18"/>
      <c r="O623" s="12"/>
      <c r="P623" s="12"/>
      <c r="Q623" s="12"/>
      <c r="R623" s="36"/>
      <c r="S623" s="36"/>
      <c r="T623" s="12"/>
      <c r="U623" s="12"/>
      <c r="V623" s="12"/>
      <c r="W623" s="12"/>
      <c r="X623" s="12"/>
    </row>
    <row r="624" customFormat="false" ht="15.75" hidden="false" customHeight="false" outlineLevel="0" collapsed="false">
      <c r="A624" s="12"/>
      <c r="B624" s="34"/>
      <c r="C624" s="12"/>
      <c r="D624" s="12"/>
      <c r="E624" s="12"/>
      <c r="F624" s="12"/>
      <c r="G624" s="18"/>
      <c r="H624" s="35"/>
      <c r="I624" s="12"/>
      <c r="M624" s="12"/>
      <c r="N624" s="18"/>
      <c r="O624" s="12"/>
      <c r="P624" s="12"/>
      <c r="Q624" s="12"/>
      <c r="R624" s="36"/>
      <c r="S624" s="36"/>
      <c r="T624" s="12"/>
      <c r="U624" s="12"/>
      <c r="V624" s="12"/>
      <c r="W624" s="12"/>
      <c r="X624" s="12"/>
    </row>
    <row r="625" customFormat="false" ht="15.75" hidden="false" customHeight="false" outlineLevel="0" collapsed="false">
      <c r="A625" s="12"/>
      <c r="B625" s="34"/>
      <c r="C625" s="12"/>
      <c r="D625" s="12"/>
      <c r="E625" s="12"/>
      <c r="F625" s="12"/>
      <c r="G625" s="18"/>
      <c r="H625" s="35"/>
      <c r="I625" s="12"/>
      <c r="M625" s="12"/>
      <c r="N625" s="18"/>
      <c r="O625" s="12"/>
      <c r="P625" s="12"/>
      <c r="Q625" s="12"/>
      <c r="R625" s="36"/>
      <c r="S625" s="36"/>
      <c r="T625" s="12"/>
      <c r="U625" s="12"/>
      <c r="V625" s="12"/>
      <c r="W625" s="12"/>
      <c r="X625" s="12"/>
    </row>
    <row r="626" customFormat="false" ht="15.75" hidden="false" customHeight="false" outlineLevel="0" collapsed="false">
      <c r="A626" s="12"/>
      <c r="B626" s="34"/>
      <c r="C626" s="12"/>
      <c r="D626" s="12"/>
      <c r="E626" s="12"/>
      <c r="F626" s="12"/>
      <c r="G626" s="18"/>
      <c r="H626" s="35"/>
      <c r="I626" s="12"/>
      <c r="M626" s="12"/>
      <c r="N626" s="18"/>
      <c r="O626" s="12"/>
      <c r="P626" s="12"/>
      <c r="Q626" s="12"/>
      <c r="R626" s="36"/>
      <c r="S626" s="36"/>
      <c r="T626" s="12"/>
      <c r="U626" s="12"/>
      <c r="V626" s="12"/>
      <c r="W626" s="12"/>
      <c r="X626" s="12"/>
    </row>
    <row r="627" customFormat="false" ht="15.75" hidden="false" customHeight="false" outlineLevel="0" collapsed="false">
      <c r="A627" s="12"/>
      <c r="B627" s="34"/>
      <c r="C627" s="12"/>
      <c r="D627" s="12"/>
      <c r="E627" s="12"/>
      <c r="F627" s="12"/>
      <c r="G627" s="18"/>
      <c r="H627" s="35"/>
      <c r="I627" s="12"/>
      <c r="M627" s="12"/>
      <c r="N627" s="18"/>
      <c r="O627" s="12"/>
      <c r="P627" s="12"/>
      <c r="Q627" s="12"/>
      <c r="R627" s="36"/>
      <c r="S627" s="36"/>
      <c r="T627" s="12"/>
      <c r="U627" s="12"/>
      <c r="V627" s="12"/>
      <c r="W627" s="12"/>
      <c r="X627" s="12"/>
    </row>
    <row r="628" customFormat="false" ht="15.75" hidden="false" customHeight="false" outlineLevel="0" collapsed="false">
      <c r="A628" s="12"/>
      <c r="B628" s="34"/>
      <c r="C628" s="12"/>
      <c r="D628" s="12"/>
      <c r="E628" s="12"/>
      <c r="F628" s="12"/>
      <c r="G628" s="18"/>
      <c r="H628" s="35"/>
      <c r="I628" s="12"/>
      <c r="M628" s="12"/>
      <c r="N628" s="18"/>
      <c r="O628" s="12"/>
      <c r="P628" s="12"/>
      <c r="Q628" s="12"/>
      <c r="R628" s="36"/>
      <c r="S628" s="36"/>
      <c r="T628" s="12"/>
      <c r="U628" s="12"/>
      <c r="V628" s="12"/>
      <c r="W628" s="12"/>
      <c r="X628" s="12"/>
    </row>
    <row r="629" customFormat="false" ht="15.75" hidden="false" customHeight="false" outlineLevel="0" collapsed="false">
      <c r="A629" s="12"/>
      <c r="B629" s="34"/>
      <c r="C629" s="12"/>
      <c r="D629" s="12"/>
      <c r="E629" s="12"/>
      <c r="F629" s="12"/>
      <c r="G629" s="18"/>
      <c r="H629" s="35"/>
      <c r="I629" s="12"/>
      <c r="M629" s="12"/>
      <c r="N629" s="18"/>
      <c r="O629" s="12"/>
      <c r="P629" s="12"/>
      <c r="Q629" s="12"/>
      <c r="R629" s="36"/>
      <c r="S629" s="36"/>
      <c r="T629" s="12"/>
      <c r="U629" s="12"/>
      <c r="V629" s="12"/>
      <c r="W629" s="12"/>
      <c r="X629" s="12"/>
    </row>
    <row r="630" customFormat="false" ht="15.75" hidden="false" customHeight="false" outlineLevel="0" collapsed="false">
      <c r="A630" s="12"/>
      <c r="B630" s="34"/>
      <c r="C630" s="12"/>
      <c r="D630" s="12"/>
      <c r="E630" s="12"/>
      <c r="F630" s="12"/>
      <c r="G630" s="18"/>
      <c r="H630" s="35"/>
      <c r="I630" s="12"/>
      <c r="M630" s="12"/>
      <c r="N630" s="18"/>
      <c r="O630" s="12"/>
      <c r="P630" s="12"/>
      <c r="Q630" s="12"/>
      <c r="R630" s="36"/>
      <c r="S630" s="36"/>
      <c r="T630" s="12"/>
      <c r="U630" s="12"/>
      <c r="V630" s="12"/>
      <c r="W630" s="12"/>
      <c r="X630" s="12"/>
    </row>
    <row r="631" customFormat="false" ht="15.75" hidden="false" customHeight="false" outlineLevel="0" collapsed="false">
      <c r="A631" s="12"/>
      <c r="B631" s="34"/>
      <c r="C631" s="12"/>
      <c r="D631" s="12"/>
      <c r="E631" s="12"/>
      <c r="F631" s="12"/>
      <c r="G631" s="18"/>
      <c r="H631" s="35"/>
      <c r="I631" s="12"/>
      <c r="M631" s="12"/>
      <c r="N631" s="18"/>
      <c r="O631" s="12"/>
      <c r="P631" s="12"/>
      <c r="Q631" s="12"/>
      <c r="R631" s="36"/>
      <c r="S631" s="36"/>
      <c r="T631" s="12"/>
      <c r="U631" s="12"/>
      <c r="V631" s="12"/>
      <c r="W631" s="12"/>
      <c r="X631" s="12"/>
    </row>
    <row r="632" customFormat="false" ht="15.75" hidden="false" customHeight="false" outlineLevel="0" collapsed="false">
      <c r="A632" s="12"/>
      <c r="B632" s="34"/>
      <c r="C632" s="12"/>
      <c r="D632" s="12"/>
      <c r="E632" s="12"/>
      <c r="F632" s="12"/>
      <c r="G632" s="18"/>
      <c r="H632" s="35"/>
      <c r="I632" s="12"/>
      <c r="M632" s="12"/>
      <c r="N632" s="18"/>
      <c r="O632" s="12"/>
      <c r="P632" s="12"/>
      <c r="Q632" s="12"/>
      <c r="R632" s="36"/>
      <c r="S632" s="36"/>
      <c r="T632" s="12"/>
      <c r="U632" s="12"/>
      <c r="V632" s="12"/>
      <c r="W632" s="12"/>
      <c r="X632" s="12"/>
    </row>
    <row r="633" customFormat="false" ht="15.75" hidden="false" customHeight="false" outlineLevel="0" collapsed="false">
      <c r="A633" s="12"/>
      <c r="B633" s="34"/>
      <c r="C633" s="12"/>
      <c r="D633" s="12"/>
      <c r="E633" s="12"/>
      <c r="F633" s="12"/>
      <c r="G633" s="18"/>
      <c r="H633" s="35"/>
      <c r="I633" s="12"/>
      <c r="M633" s="12"/>
      <c r="N633" s="18"/>
      <c r="O633" s="12"/>
      <c r="P633" s="12"/>
      <c r="Q633" s="12"/>
      <c r="R633" s="36"/>
      <c r="S633" s="36"/>
      <c r="T633" s="12"/>
      <c r="U633" s="12"/>
      <c r="V633" s="12"/>
      <c r="W633" s="12"/>
      <c r="X633" s="12"/>
    </row>
    <row r="634" customFormat="false" ht="15.75" hidden="false" customHeight="false" outlineLevel="0" collapsed="false">
      <c r="A634" s="12"/>
      <c r="B634" s="34"/>
      <c r="C634" s="12"/>
      <c r="D634" s="12"/>
      <c r="E634" s="12"/>
      <c r="F634" s="12"/>
      <c r="G634" s="18"/>
      <c r="H634" s="35"/>
      <c r="I634" s="12"/>
      <c r="M634" s="12"/>
      <c r="N634" s="18"/>
      <c r="O634" s="12"/>
      <c r="P634" s="12"/>
      <c r="Q634" s="12"/>
      <c r="R634" s="36"/>
      <c r="S634" s="36"/>
      <c r="T634" s="12"/>
      <c r="U634" s="12"/>
      <c r="V634" s="12"/>
      <c r="W634" s="12"/>
      <c r="X634" s="12"/>
    </row>
    <row r="635" customFormat="false" ht="15.75" hidden="false" customHeight="false" outlineLevel="0" collapsed="false">
      <c r="A635" s="12"/>
      <c r="B635" s="34"/>
      <c r="C635" s="12"/>
      <c r="D635" s="12"/>
      <c r="E635" s="12"/>
      <c r="F635" s="12"/>
      <c r="G635" s="18"/>
      <c r="H635" s="35"/>
      <c r="I635" s="12"/>
      <c r="M635" s="12"/>
      <c r="N635" s="18"/>
      <c r="O635" s="12"/>
      <c r="P635" s="12"/>
      <c r="Q635" s="12"/>
      <c r="R635" s="36"/>
      <c r="S635" s="36"/>
      <c r="T635" s="12"/>
      <c r="U635" s="12"/>
      <c r="V635" s="12"/>
      <c r="W635" s="12"/>
      <c r="X635" s="12"/>
    </row>
    <row r="636" customFormat="false" ht="15.75" hidden="false" customHeight="false" outlineLevel="0" collapsed="false">
      <c r="A636" s="12"/>
      <c r="B636" s="34"/>
      <c r="C636" s="12"/>
      <c r="D636" s="12"/>
      <c r="E636" s="12"/>
      <c r="F636" s="12"/>
      <c r="G636" s="18"/>
      <c r="H636" s="35"/>
      <c r="I636" s="12"/>
      <c r="M636" s="12"/>
      <c r="N636" s="18"/>
      <c r="O636" s="12"/>
      <c r="P636" s="12"/>
      <c r="Q636" s="12"/>
      <c r="R636" s="36"/>
      <c r="S636" s="36"/>
      <c r="T636" s="12"/>
      <c r="U636" s="12"/>
      <c r="V636" s="12"/>
      <c r="W636" s="12"/>
      <c r="X636" s="12"/>
    </row>
    <row r="637" customFormat="false" ht="15.75" hidden="false" customHeight="false" outlineLevel="0" collapsed="false">
      <c r="A637" s="12"/>
      <c r="B637" s="34"/>
      <c r="C637" s="12"/>
      <c r="D637" s="12"/>
      <c r="E637" s="12"/>
      <c r="F637" s="12"/>
      <c r="G637" s="18"/>
      <c r="H637" s="35"/>
      <c r="I637" s="12"/>
      <c r="M637" s="12"/>
      <c r="N637" s="18"/>
      <c r="O637" s="12"/>
      <c r="P637" s="12"/>
      <c r="Q637" s="12"/>
      <c r="R637" s="36"/>
      <c r="S637" s="36"/>
      <c r="T637" s="12"/>
      <c r="U637" s="12"/>
      <c r="V637" s="12"/>
      <c r="W637" s="12"/>
      <c r="X637" s="12"/>
    </row>
    <row r="638" customFormat="false" ht="15.75" hidden="false" customHeight="false" outlineLevel="0" collapsed="false">
      <c r="A638" s="12"/>
      <c r="B638" s="34"/>
      <c r="C638" s="12"/>
      <c r="D638" s="12"/>
      <c r="E638" s="12"/>
      <c r="F638" s="12"/>
      <c r="G638" s="18"/>
      <c r="H638" s="35"/>
      <c r="I638" s="12"/>
      <c r="M638" s="12"/>
      <c r="N638" s="18"/>
      <c r="O638" s="12"/>
      <c r="P638" s="12"/>
      <c r="Q638" s="12"/>
      <c r="R638" s="36"/>
      <c r="S638" s="36"/>
      <c r="T638" s="12"/>
      <c r="U638" s="12"/>
      <c r="V638" s="12"/>
      <c r="W638" s="12"/>
      <c r="X638" s="12"/>
    </row>
    <row r="639" customFormat="false" ht="15.75" hidden="false" customHeight="false" outlineLevel="0" collapsed="false">
      <c r="A639" s="12"/>
      <c r="B639" s="34"/>
      <c r="C639" s="12"/>
      <c r="D639" s="12"/>
      <c r="E639" s="12"/>
      <c r="F639" s="12"/>
      <c r="G639" s="18"/>
      <c r="H639" s="35"/>
      <c r="I639" s="12"/>
      <c r="M639" s="12"/>
      <c r="N639" s="18"/>
      <c r="O639" s="12"/>
      <c r="P639" s="12"/>
      <c r="Q639" s="12"/>
      <c r="R639" s="36"/>
      <c r="S639" s="36"/>
      <c r="T639" s="12"/>
      <c r="U639" s="12"/>
      <c r="V639" s="12"/>
      <c r="W639" s="12"/>
      <c r="X639" s="12"/>
    </row>
    <row r="640" customFormat="false" ht="15.75" hidden="false" customHeight="false" outlineLevel="0" collapsed="false">
      <c r="A640" s="12"/>
      <c r="B640" s="34"/>
      <c r="C640" s="12"/>
      <c r="D640" s="12"/>
      <c r="E640" s="12"/>
      <c r="F640" s="12"/>
      <c r="G640" s="18"/>
      <c r="H640" s="35"/>
      <c r="I640" s="12"/>
      <c r="M640" s="12"/>
      <c r="N640" s="18"/>
      <c r="O640" s="12"/>
      <c r="P640" s="12"/>
      <c r="Q640" s="12"/>
      <c r="R640" s="36"/>
      <c r="S640" s="36"/>
      <c r="T640" s="12"/>
      <c r="U640" s="12"/>
      <c r="V640" s="12"/>
      <c r="W640" s="12"/>
      <c r="X640" s="12"/>
    </row>
    <row r="641" customFormat="false" ht="15.75" hidden="false" customHeight="false" outlineLevel="0" collapsed="false">
      <c r="A641" s="12"/>
      <c r="B641" s="34"/>
      <c r="C641" s="12"/>
      <c r="D641" s="12"/>
      <c r="E641" s="12"/>
      <c r="F641" s="12"/>
      <c r="G641" s="18"/>
      <c r="H641" s="35"/>
      <c r="I641" s="12"/>
      <c r="M641" s="12"/>
      <c r="N641" s="18"/>
      <c r="O641" s="12"/>
      <c r="P641" s="12"/>
      <c r="Q641" s="12"/>
      <c r="R641" s="36"/>
      <c r="S641" s="36"/>
      <c r="T641" s="12"/>
      <c r="U641" s="12"/>
      <c r="V641" s="12"/>
      <c r="W641" s="12"/>
      <c r="X641" s="12"/>
    </row>
    <row r="642" customFormat="false" ht="15.75" hidden="false" customHeight="false" outlineLevel="0" collapsed="false">
      <c r="A642" s="12"/>
      <c r="B642" s="34"/>
      <c r="C642" s="12"/>
      <c r="D642" s="12"/>
      <c r="E642" s="12"/>
      <c r="F642" s="12"/>
      <c r="G642" s="18"/>
      <c r="H642" s="35"/>
      <c r="I642" s="12"/>
      <c r="M642" s="12"/>
      <c r="N642" s="18"/>
      <c r="O642" s="12"/>
      <c r="P642" s="12"/>
      <c r="Q642" s="12"/>
      <c r="R642" s="36"/>
      <c r="S642" s="36"/>
      <c r="T642" s="12"/>
      <c r="U642" s="12"/>
      <c r="V642" s="12"/>
      <c r="W642" s="12"/>
      <c r="X642" s="12"/>
    </row>
    <row r="643" customFormat="false" ht="15.75" hidden="false" customHeight="false" outlineLevel="0" collapsed="false">
      <c r="A643" s="12"/>
      <c r="B643" s="34"/>
      <c r="C643" s="12"/>
      <c r="D643" s="12"/>
      <c r="E643" s="12"/>
      <c r="F643" s="12"/>
      <c r="G643" s="18"/>
      <c r="H643" s="35"/>
      <c r="I643" s="12"/>
      <c r="M643" s="12"/>
      <c r="N643" s="18"/>
      <c r="O643" s="12"/>
      <c r="P643" s="12"/>
      <c r="Q643" s="12"/>
      <c r="R643" s="36"/>
      <c r="S643" s="36"/>
      <c r="T643" s="12"/>
      <c r="U643" s="12"/>
      <c r="V643" s="12"/>
      <c r="W643" s="12"/>
      <c r="X643" s="12"/>
    </row>
    <row r="644" customFormat="false" ht="15.75" hidden="false" customHeight="false" outlineLevel="0" collapsed="false">
      <c r="A644" s="12"/>
      <c r="B644" s="34"/>
      <c r="C644" s="12"/>
      <c r="D644" s="12"/>
      <c r="E644" s="12"/>
      <c r="F644" s="12"/>
      <c r="G644" s="18"/>
      <c r="H644" s="35"/>
      <c r="I644" s="12"/>
      <c r="M644" s="12"/>
      <c r="N644" s="18"/>
      <c r="O644" s="12"/>
      <c r="P644" s="12"/>
      <c r="Q644" s="12"/>
      <c r="R644" s="36"/>
      <c r="S644" s="36"/>
      <c r="T644" s="12"/>
      <c r="U644" s="12"/>
      <c r="V644" s="12"/>
      <c r="W644" s="12"/>
      <c r="X644" s="12"/>
    </row>
    <row r="645" customFormat="false" ht="15.75" hidden="false" customHeight="false" outlineLevel="0" collapsed="false">
      <c r="A645" s="12"/>
      <c r="B645" s="34"/>
      <c r="C645" s="12"/>
      <c r="D645" s="12"/>
      <c r="E645" s="12"/>
      <c r="F645" s="12"/>
      <c r="G645" s="18"/>
      <c r="H645" s="35"/>
      <c r="I645" s="12"/>
      <c r="M645" s="12"/>
      <c r="N645" s="18"/>
      <c r="O645" s="12"/>
      <c r="P645" s="12"/>
      <c r="Q645" s="12"/>
      <c r="R645" s="36"/>
      <c r="S645" s="36"/>
      <c r="T645" s="12"/>
      <c r="U645" s="12"/>
      <c r="V645" s="12"/>
      <c r="W645" s="12"/>
      <c r="X645" s="12"/>
    </row>
    <row r="646" customFormat="false" ht="15.75" hidden="false" customHeight="false" outlineLevel="0" collapsed="false">
      <c r="A646" s="12"/>
      <c r="B646" s="34"/>
      <c r="C646" s="12"/>
      <c r="D646" s="12"/>
      <c r="E646" s="12"/>
      <c r="F646" s="12"/>
      <c r="G646" s="18"/>
      <c r="H646" s="35"/>
      <c r="I646" s="12"/>
      <c r="M646" s="12"/>
      <c r="N646" s="18"/>
      <c r="O646" s="12"/>
      <c r="P646" s="12"/>
      <c r="Q646" s="12"/>
      <c r="R646" s="36"/>
      <c r="S646" s="36"/>
      <c r="T646" s="12"/>
      <c r="U646" s="12"/>
      <c r="V646" s="12"/>
      <c r="W646" s="12"/>
      <c r="X646" s="12"/>
    </row>
    <row r="647" customFormat="false" ht="15.75" hidden="false" customHeight="false" outlineLevel="0" collapsed="false">
      <c r="A647" s="12"/>
      <c r="B647" s="34"/>
      <c r="C647" s="12"/>
      <c r="D647" s="12"/>
      <c r="E647" s="12"/>
      <c r="F647" s="12"/>
      <c r="G647" s="18"/>
      <c r="H647" s="35"/>
      <c r="I647" s="12"/>
      <c r="M647" s="12"/>
      <c r="N647" s="18"/>
      <c r="O647" s="12"/>
      <c r="P647" s="12"/>
      <c r="Q647" s="12"/>
      <c r="R647" s="36"/>
      <c r="S647" s="36"/>
      <c r="T647" s="12"/>
      <c r="U647" s="12"/>
      <c r="V647" s="12"/>
      <c r="W647" s="12"/>
      <c r="X647" s="12"/>
    </row>
    <row r="648" customFormat="false" ht="15.75" hidden="false" customHeight="false" outlineLevel="0" collapsed="false">
      <c r="A648" s="12"/>
      <c r="B648" s="34"/>
      <c r="C648" s="12"/>
      <c r="D648" s="12"/>
      <c r="E648" s="12"/>
      <c r="F648" s="12"/>
      <c r="G648" s="18"/>
      <c r="H648" s="35"/>
      <c r="I648" s="12"/>
      <c r="M648" s="12"/>
      <c r="N648" s="18"/>
      <c r="O648" s="12"/>
      <c r="P648" s="12"/>
      <c r="Q648" s="12"/>
      <c r="R648" s="36"/>
      <c r="S648" s="36"/>
      <c r="T648" s="12"/>
      <c r="U648" s="12"/>
      <c r="V648" s="12"/>
      <c r="W648" s="12"/>
      <c r="X648" s="12"/>
    </row>
    <row r="649" customFormat="false" ht="15.75" hidden="false" customHeight="false" outlineLevel="0" collapsed="false">
      <c r="A649" s="12"/>
      <c r="B649" s="34"/>
      <c r="C649" s="12"/>
      <c r="D649" s="12"/>
      <c r="E649" s="12"/>
      <c r="F649" s="12"/>
      <c r="G649" s="18"/>
      <c r="H649" s="35"/>
      <c r="I649" s="12"/>
      <c r="M649" s="12"/>
      <c r="N649" s="18"/>
      <c r="O649" s="12"/>
      <c r="P649" s="12"/>
      <c r="Q649" s="12"/>
      <c r="R649" s="36"/>
      <c r="S649" s="36"/>
      <c r="T649" s="12"/>
      <c r="U649" s="12"/>
      <c r="V649" s="12"/>
      <c r="W649" s="12"/>
      <c r="X649" s="12"/>
    </row>
    <row r="650" customFormat="false" ht="15.75" hidden="false" customHeight="false" outlineLevel="0" collapsed="false">
      <c r="A650" s="12"/>
      <c r="B650" s="34"/>
      <c r="C650" s="12"/>
      <c r="D650" s="12"/>
      <c r="E650" s="12"/>
      <c r="F650" s="12"/>
      <c r="G650" s="18"/>
      <c r="H650" s="35"/>
      <c r="I650" s="12"/>
      <c r="M650" s="12"/>
      <c r="N650" s="18"/>
      <c r="O650" s="12"/>
      <c r="P650" s="12"/>
      <c r="Q650" s="12"/>
      <c r="R650" s="36"/>
      <c r="S650" s="36"/>
      <c r="T650" s="12"/>
      <c r="U650" s="12"/>
      <c r="V650" s="12"/>
      <c r="W650" s="12"/>
      <c r="X650" s="12"/>
    </row>
    <row r="651" customFormat="false" ht="15.75" hidden="false" customHeight="false" outlineLevel="0" collapsed="false">
      <c r="A651" s="12"/>
      <c r="B651" s="34"/>
      <c r="C651" s="12"/>
      <c r="D651" s="12"/>
      <c r="E651" s="12"/>
      <c r="F651" s="12"/>
      <c r="G651" s="18"/>
      <c r="H651" s="35"/>
      <c r="I651" s="12"/>
      <c r="M651" s="12"/>
      <c r="N651" s="18"/>
      <c r="O651" s="12"/>
      <c r="P651" s="12"/>
      <c r="Q651" s="12"/>
      <c r="R651" s="36"/>
      <c r="S651" s="36"/>
      <c r="T651" s="12"/>
      <c r="U651" s="12"/>
      <c r="V651" s="12"/>
      <c r="W651" s="12"/>
      <c r="X651" s="12"/>
    </row>
    <row r="652" customFormat="false" ht="15.75" hidden="false" customHeight="false" outlineLevel="0" collapsed="false">
      <c r="A652" s="12"/>
      <c r="B652" s="34"/>
      <c r="C652" s="12"/>
      <c r="D652" s="12"/>
      <c r="E652" s="12"/>
      <c r="F652" s="12"/>
      <c r="G652" s="18"/>
      <c r="H652" s="35"/>
      <c r="I652" s="12"/>
      <c r="M652" s="12"/>
      <c r="N652" s="18"/>
      <c r="O652" s="12"/>
      <c r="P652" s="12"/>
      <c r="Q652" s="12"/>
      <c r="R652" s="36"/>
      <c r="S652" s="36"/>
      <c r="T652" s="12"/>
      <c r="U652" s="12"/>
      <c r="V652" s="12"/>
      <c r="W652" s="12"/>
      <c r="X652" s="12"/>
    </row>
    <row r="653" customFormat="false" ht="15.75" hidden="false" customHeight="false" outlineLevel="0" collapsed="false">
      <c r="A653" s="12"/>
      <c r="B653" s="34"/>
      <c r="C653" s="12"/>
      <c r="D653" s="12"/>
      <c r="E653" s="12"/>
      <c r="F653" s="12"/>
      <c r="G653" s="18"/>
      <c r="H653" s="35"/>
      <c r="I653" s="12"/>
      <c r="M653" s="12"/>
      <c r="N653" s="18"/>
      <c r="O653" s="12"/>
      <c r="P653" s="12"/>
      <c r="Q653" s="12"/>
      <c r="R653" s="36"/>
      <c r="S653" s="36"/>
      <c r="T653" s="12"/>
      <c r="U653" s="12"/>
      <c r="V653" s="12"/>
      <c r="W653" s="12"/>
      <c r="X653" s="12"/>
    </row>
    <row r="654" customFormat="false" ht="15.75" hidden="false" customHeight="false" outlineLevel="0" collapsed="false">
      <c r="A654" s="12"/>
      <c r="B654" s="34"/>
      <c r="C654" s="12"/>
      <c r="D654" s="12"/>
      <c r="E654" s="12"/>
      <c r="F654" s="12"/>
      <c r="G654" s="18"/>
      <c r="H654" s="35"/>
      <c r="I654" s="12"/>
      <c r="M654" s="12"/>
      <c r="N654" s="18"/>
      <c r="O654" s="12"/>
      <c r="P654" s="12"/>
      <c r="Q654" s="12"/>
      <c r="R654" s="36"/>
      <c r="S654" s="36"/>
      <c r="T654" s="12"/>
      <c r="U654" s="12"/>
      <c r="V654" s="12"/>
      <c r="W654" s="12"/>
      <c r="X654" s="12"/>
    </row>
    <row r="655" customFormat="false" ht="15.75" hidden="false" customHeight="false" outlineLevel="0" collapsed="false">
      <c r="A655" s="12"/>
      <c r="B655" s="34"/>
      <c r="C655" s="12"/>
      <c r="D655" s="12"/>
      <c r="E655" s="12"/>
      <c r="F655" s="12"/>
      <c r="G655" s="18"/>
      <c r="H655" s="35"/>
      <c r="I655" s="12"/>
      <c r="M655" s="12"/>
      <c r="N655" s="18"/>
      <c r="O655" s="12"/>
      <c r="P655" s="12"/>
      <c r="Q655" s="12"/>
      <c r="R655" s="36"/>
      <c r="S655" s="36"/>
      <c r="T655" s="12"/>
      <c r="U655" s="12"/>
      <c r="V655" s="12"/>
      <c r="W655" s="12"/>
      <c r="X655" s="12"/>
    </row>
    <row r="656" customFormat="false" ht="15.75" hidden="false" customHeight="false" outlineLevel="0" collapsed="false">
      <c r="A656" s="12"/>
      <c r="B656" s="34"/>
      <c r="C656" s="12"/>
      <c r="D656" s="12"/>
      <c r="E656" s="12"/>
      <c r="F656" s="12"/>
      <c r="G656" s="18"/>
      <c r="H656" s="35"/>
      <c r="I656" s="12"/>
      <c r="M656" s="12"/>
      <c r="N656" s="18"/>
      <c r="O656" s="12"/>
      <c r="P656" s="12"/>
      <c r="Q656" s="12"/>
      <c r="R656" s="36"/>
      <c r="S656" s="36"/>
      <c r="T656" s="12"/>
      <c r="U656" s="12"/>
      <c r="V656" s="12"/>
      <c r="W656" s="12"/>
      <c r="X656" s="12"/>
    </row>
    <row r="657" customFormat="false" ht="15.75" hidden="false" customHeight="false" outlineLevel="0" collapsed="false">
      <c r="A657" s="12"/>
      <c r="B657" s="34"/>
      <c r="C657" s="12"/>
      <c r="D657" s="12"/>
      <c r="E657" s="12"/>
      <c r="F657" s="12"/>
      <c r="G657" s="18"/>
      <c r="H657" s="35"/>
      <c r="I657" s="12"/>
      <c r="M657" s="12"/>
      <c r="N657" s="18"/>
      <c r="O657" s="12"/>
      <c r="P657" s="12"/>
      <c r="Q657" s="12"/>
      <c r="R657" s="36"/>
      <c r="S657" s="36"/>
      <c r="T657" s="12"/>
      <c r="U657" s="12"/>
      <c r="V657" s="12"/>
      <c r="W657" s="12"/>
      <c r="X657" s="12"/>
    </row>
    <row r="658" customFormat="false" ht="15.75" hidden="false" customHeight="false" outlineLevel="0" collapsed="false">
      <c r="A658" s="12"/>
      <c r="B658" s="34"/>
      <c r="C658" s="12"/>
      <c r="D658" s="12"/>
      <c r="E658" s="12"/>
      <c r="F658" s="12"/>
      <c r="G658" s="18"/>
      <c r="H658" s="35"/>
      <c r="I658" s="12"/>
      <c r="M658" s="12"/>
      <c r="N658" s="18"/>
      <c r="O658" s="12"/>
      <c r="P658" s="12"/>
      <c r="Q658" s="12"/>
      <c r="R658" s="36"/>
      <c r="S658" s="36"/>
      <c r="T658" s="12"/>
      <c r="U658" s="12"/>
      <c r="V658" s="12"/>
      <c r="W658" s="12"/>
      <c r="X658" s="12"/>
    </row>
    <row r="659" customFormat="false" ht="15.75" hidden="false" customHeight="false" outlineLevel="0" collapsed="false">
      <c r="A659" s="12"/>
      <c r="B659" s="34"/>
      <c r="C659" s="12"/>
      <c r="D659" s="12"/>
      <c r="E659" s="12"/>
      <c r="F659" s="12"/>
      <c r="G659" s="18"/>
      <c r="H659" s="35"/>
      <c r="I659" s="12"/>
      <c r="M659" s="12"/>
      <c r="N659" s="18"/>
      <c r="O659" s="12"/>
      <c r="P659" s="12"/>
      <c r="Q659" s="12"/>
      <c r="R659" s="36"/>
      <c r="S659" s="36"/>
      <c r="T659" s="12"/>
      <c r="U659" s="12"/>
      <c r="V659" s="12"/>
      <c r="W659" s="12"/>
      <c r="X659" s="12"/>
    </row>
    <row r="660" customFormat="false" ht="15.75" hidden="false" customHeight="false" outlineLevel="0" collapsed="false">
      <c r="A660" s="12"/>
      <c r="B660" s="34"/>
      <c r="C660" s="12"/>
      <c r="D660" s="12"/>
      <c r="E660" s="12"/>
      <c r="F660" s="12"/>
      <c r="G660" s="18"/>
      <c r="H660" s="35"/>
      <c r="I660" s="12"/>
      <c r="M660" s="12"/>
      <c r="N660" s="18"/>
      <c r="O660" s="12"/>
      <c r="P660" s="12"/>
      <c r="Q660" s="12"/>
      <c r="R660" s="36"/>
      <c r="S660" s="36"/>
      <c r="T660" s="12"/>
      <c r="U660" s="12"/>
      <c r="V660" s="12"/>
      <c r="W660" s="12"/>
      <c r="X660" s="12"/>
    </row>
    <row r="661" customFormat="false" ht="15.75" hidden="false" customHeight="false" outlineLevel="0" collapsed="false">
      <c r="A661" s="12"/>
      <c r="B661" s="34"/>
      <c r="C661" s="12"/>
      <c r="D661" s="12"/>
      <c r="E661" s="12"/>
      <c r="F661" s="12"/>
      <c r="G661" s="18"/>
      <c r="H661" s="35"/>
      <c r="I661" s="12"/>
      <c r="M661" s="12"/>
      <c r="N661" s="18"/>
      <c r="O661" s="12"/>
      <c r="P661" s="12"/>
      <c r="Q661" s="12"/>
      <c r="R661" s="36"/>
      <c r="S661" s="36"/>
      <c r="T661" s="12"/>
      <c r="U661" s="12"/>
      <c r="V661" s="12"/>
      <c r="W661" s="12"/>
      <c r="X661" s="12"/>
    </row>
    <row r="662" customFormat="false" ht="15.75" hidden="false" customHeight="false" outlineLevel="0" collapsed="false">
      <c r="A662" s="12"/>
      <c r="B662" s="34"/>
      <c r="C662" s="12"/>
      <c r="D662" s="12"/>
      <c r="E662" s="12"/>
      <c r="F662" s="12"/>
      <c r="G662" s="18"/>
      <c r="H662" s="35"/>
      <c r="I662" s="12"/>
      <c r="M662" s="12"/>
      <c r="N662" s="18"/>
      <c r="O662" s="12"/>
      <c r="P662" s="12"/>
      <c r="Q662" s="12"/>
      <c r="R662" s="36"/>
      <c r="S662" s="36"/>
      <c r="T662" s="12"/>
      <c r="U662" s="12"/>
      <c r="V662" s="12"/>
      <c r="W662" s="12"/>
      <c r="X662" s="12"/>
    </row>
    <row r="663" customFormat="false" ht="15.75" hidden="false" customHeight="false" outlineLevel="0" collapsed="false">
      <c r="A663" s="12"/>
      <c r="B663" s="34"/>
      <c r="C663" s="12"/>
      <c r="D663" s="12"/>
      <c r="E663" s="12"/>
      <c r="F663" s="12"/>
      <c r="G663" s="18"/>
      <c r="H663" s="35"/>
      <c r="I663" s="12"/>
      <c r="M663" s="12"/>
      <c r="N663" s="18"/>
      <c r="O663" s="12"/>
      <c r="P663" s="12"/>
      <c r="Q663" s="12"/>
      <c r="R663" s="36"/>
      <c r="S663" s="36"/>
      <c r="T663" s="12"/>
      <c r="U663" s="12"/>
      <c r="V663" s="12"/>
      <c r="W663" s="12"/>
      <c r="X663" s="12"/>
    </row>
    <row r="664" customFormat="false" ht="15.75" hidden="false" customHeight="false" outlineLevel="0" collapsed="false">
      <c r="A664" s="12"/>
      <c r="B664" s="34"/>
      <c r="C664" s="12"/>
      <c r="D664" s="12"/>
      <c r="E664" s="12"/>
      <c r="F664" s="12"/>
      <c r="G664" s="18"/>
      <c r="H664" s="35"/>
      <c r="I664" s="12"/>
      <c r="M664" s="12"/>
      <c r="N664" s="18"/>
      <c r="O664" s="12"/>
      <c r="P664" s="12"/>
      <c r="Q664" s="12"/>
      <c r="R664" s="36"/>
      <c r="S664" s="36"/>
      <c r="T664" s="12"/>
      <c r="U664" s="12"/>
      <c r="V664" s="12"/>
      <c r="W664" s="12"/>
      <c r="X664" s="12"/>
    </row>
    <row r="665" customFormat="false" ht="15.75" hidden="false" customHeight="false" outlineLevel="0" collapsed="false">
      <c r="A665" s="12"/>
      <c r="B665" s="34"/>
      <c r="C665" s="12"/>
      <c r="D665" s="12"/>
      <c r="E665" s="12"/>
      <c r="F665" s="12"/>
      <c r="G665" s="18"/>
      <c r="H665" s="35"/>
      <c r="I665" s="12"/>
      <c r="M665" s="12"/>
      <c r="N665" s="18"/>
      <c r="O665" s="12"/>
      <c r="P665" s="12"/>
      <c r="Q665" s="12"/>
      <c r="R665" s="36"/>
      <c r="S665" s="36"/>
      <c r="T665" s="12"/>
      <c r="U665" s="12"/>
      <c r="V665" s="12"/>
      <c r="W665" s="12"/>
      <c r="X665" s="12"/>
    </row>
    <row r="666" customFormat="false" ht="15.75" hidden="false" customHeight="false" outlineLevel="0" collapsed="false">
      <c r="A666" s="12"/>
      <c r="B666" s="34"/>
      <c r="C666" s="12"/>
      <c r="D666" s="12"/>
      <c r="E666" s="12"/>
      <c r="F666" s="12"/>
      <c r="G666" s="18"/>
      <c r="H666" s="35"/>
      <c r="I666" s="12"/>
      <c r="M666" s="12"/>
      <c r="N666" s="18"/>
      <c r="O666" s="12"/>
      <c r="P666" s="12"/>
      <c r="Q666" s="12"/>
      <c r="R666" s="36"/>
      <c r="S666" s="36"/>
      <c r="T666" s="12"/>
      <c r="U666" s="12"/>
      <c r="V666" s="12"/>
      <c r="W666" s="12"/>
      <c r="X666" s="12"/>
    </row>
    <row r="667" customFormat="false" ht="15.75" hidden="false" customHeight="false" outlineLevel="0" collapsed="false">
      <c r="A667" s="12"/>
      <c r="B667" s="34"/>
      <c r="C667" s="12"/>
      <c r="D667" s="12"/>
      <c r="E667" s="12"/>
      <c r="F667" s="12"/>
      <c r="G667" s="18"/>
      <c r="H667" s="35"/>
      <c r="I667" s="12"/>
      <c r="M667" s="12"/>
      <c r="N667" s="18"/>
      <c r="O667" s="12"/>
      <c r="P667" s="12"/>
      <c r="Q667" s="12"/>
      <c r="R667" s="36"/>
      <c r="S667" s="36"/>
      <c r="T667" s="12"/>
      <c r="U667" s="12"/>
      <c r="V667" s="12"/>
      <c r="W667" s="12"/>
      <c r="X667" s="12"/>
    </row>
    <row r="668" customFormat="false" ht="15.75" hidden="false" customHeight="false" outlineLevel="0" collapsed="false">
      <c r="A668" s="12"/>
      <c r="B668" s="34"/>
      <c r="C668" s="12"/>
      <c r="D668" s="12"/>
      <c r="E668" s="12"/>
      <c r="F668" s="12"/>
      <c r="G668" s="18"/>
      <c r="H668" s="35"/>
      <c r="I668" s="12"/>
      <c r="M668" s="12"/>
      <c r="N668" s="18"/>
      <c r="O668" s="12"/>
      <c r="P668" s="12"/>
      <c r="Q668" s="12"/>
      <c r="R668" s="36"/>
      <c r="S668" s="36"/>
      <c r="T668" s="12"/>
      <c r="U668" s="12"/>
      <c r="V668" s="12"/>
      <c r="W668" s="12"/>
      <c r="X668" s="12"/>
    </row>
    <row r="669" customFormat="false" ht="15.75" hidden="false" customHeight="false" outlineLevel="0" collapsed="false">
      <c r="A669" s="12"/>
      <c r="B669" s="34"/>
      <c r="C669" s="12"/>
      <c r="D669" s="12"/>
      <c r="E669" s="12"/>
      <c r="F669" s="12"/>
      <c r="G669" s="18"/>
      <c r="H669" s="35"/>
      <c r="I669" s="12"/>
      <c r="M669" s="12"/>
      <c r="N669" s="18"/>
      <c r="O669" s="12"/>
      <c r="P669" s="12"/>
      <c r="Q669" s="12"/>
      <c r="R669" s="36"/>
      <c r="S669" s="36"/>
      <c r="T669" s="12"/>
      <c r="U669" s="12"/>
      <c r="V669" s="12"/>
      <c r="W669" s="12"/>
      <c r="X669" s="12"/>
    </row>
    <row r="670" customFormat="false" ht="15.75" hidden="false" customHeight="false" outlineLevel="0" collapsed="false">
      <c r="A670" s="12"/>
      <c r="B670" s="34"/>
      <c r="C670" s="12"/>
      <c r="D670" s="12"/>
      <c r="E670" s="12"/>
      <c r="F670" s="12"/>
      <c r="G670" s="18"/>
      <c r="H670" s="35"/>
      <c r="I670" s="12"/>
      <c r="M670" s="12"/>
      <c r="N670" s="18"/>
      <c r="O670" s="12"/>
      <c r="P670" s="12"/>
      <c r="Q670" s="12"/>
      <c r="R670" s="36"/>
      <c r="S670" s="36"/>
      <c r="T670" s="12"/>
      <c r="U670" s="12"/>
      <c r="V670" s="12"/>
      <c r="W670" s="12"/>
      <c r="X670" s="12"/>
    </row>
    <row r="671" customFormat="false" ht="15.75" hidden="false" customHeight="false" outlineLevel="0" collapsed="false">
      <c r="A671" s="12"/>
      <c r="B671" s="34"/>
      <c r="C671" s="12"/>
      <c r="D671" s="12"/>
      <c r="E671" s="12"/>
      <c r="F671" s="12"/>
      <c r="G671" s="18"/>
      <c r="H671" s="35"/>
      <c r="I671" s="12"/>
      <c r="M671" s="12"/>
      <c r="N671" s="18"/>
      <c r="O671" s="12"/>
      <c r="P671" s="12"/>
      <c r="Q671" s="12"/>
      <c r="R671" s="36"/>
      <c r="S671" s="36"/>
      <c r="T671" s="12"/>
      <c r="U671" s="12"/>
      <c r="V671" s="12"/>
      <c r="W671" s="12"/>
      <c r="X671" s="12"/>
    </row>
    <row r="672" customFormat="false" ht="15.75" hidden="false" customHeight="false" outlineLevel="0" collapsed="false">
      <c r="A672" s="12"/>
      <c r="B672" s="34"/>
      <c r="C672" s="12"/>
      <c r="D672" s="12"/>
      <c r="E672" s="12"/>
      <c r="F672" s="12"/>
      <c r="G672" s="18"/>
      <c r="H672" s="35"/>
      <c r="I672" s="12"/>
      <c r="M672" s="12"/>
      <c r="N672" s="18"/>
      <c r="O672" s="12"/>
      <c r="P672" s="12"/>
      <c r="Q672" s="12"/>
      <c r="R672" s="36"/>
      <c r="S672" s="36"/>
      <c r="T672" s="12"/>
      <c r="U672" s="12"/>
      <c r="V672" s="12"/>
      <c r="W672" s="12"/>
      <c r="X672" s="12"/>
    </row>
    <row r="673" customFormat="false" ht="15.75" hidden="false" customHeight="false" outlineLevel="0" collapsed="false">
      <c r="A673" s="12"/>
      <c r="B673" s="34"/>
      <c r="C673" s="12"/>
      <c r="D673" s="12"/>
      <c r="E673" s="12"/>
      <c r="F673" s="12"/>
      <c r="G673" s="18"/>
      <c r="H673" s="35"/>
      <c r="I673" s="12"/>
      <c r="M673" s="12"/>
      <c r="N673" s="18"/>
      <c r="O673" s="12"/>
      <c r="P673" s="12"/>
      <c r="Q673" s="12"/>
      <c r="R673" s="36"/>
      <c r="S673" s="36"/>
      <c r="T673" s="12"/>
      <c r="U673" s="12"/>
      <c r="V673" s="12"/>
      <c r="W673" s="12"/>
      <c r="X673" s="12"/>
    </row>
    <row r="674" customFormat="false" ht="15.75" hidden="false" customHeight="false" outlineLevel="0" collapsed="false">
      <c r="A674" s="12"/>
      <c r="B674" s="34"/>
      <c r="C674" s="12"/>
      <c r="D674" s="12"/>
      <c r="E674" s="12"/>
      <c r="F674" s="12"/>
      <c r="G674" s="18"/>
      <c r="H674" s="35"/>
      <c r="I674" s="12"/>
      <c r="M674" s="12"/>
      <c r="N674" s="18"/>
      <c r="O674" s="12"/>
      <c r="P674" s="12"/>
      <c r="Q674" s="12"/>
      <c r="R674" s="36"/>
      <c r="S674" s="36"/>
      <c r="T674" s="12"/>
      <c r="U674" s="12"/>
      <c r="V674" s="12"/>
      <c r="W674" s="12"/>
      <c r="X674" s="12"/>
    </row>
    <row r="675" customFormat="false" ht="15.75" hidden="false" customHeight="false" outlineLevel="0" collapsed="false">
      <c r="A675" s="12"/>
      <c r="B675" s="34"/>
      <c r="C675" s="12"/>
      <c r="D675" s="12"/>
      <c r="E675" s="12"/>
      <c r="F675" s="12"/>
      <c r="G675" s="18"/>
      <c r="H675" s="35"/>
      <c r="I675" s="12"/>
      <c r="M675" s="12"/>
      <c r="N675" s="18"/>
      <c r="O675" s="12"/>
      <c r="P675" s="12"/>
      <c r="Q675" s="12"/>
      <c r="R675" s="36"/>
      <c r="S675" s="36"/>
      <c r="T675" s="12"/>
      <c r="U675" s="12"/>
      <c r="V675" s="12"/>
      <c r="W675" s="12"/>
      <c r="X675" s="12"/>
    </row>
    <row r="676" customFormat="false" ht="15.75" hidden="false" customHeight="false" outlineLevel="0" collapsed="false">
      <c r="A676" s="12"/>
      <c r="B676" s="34"/>
      <c r="C676" s="12"/>
      <c r="D676" s="12"/>
      <c r="E676" s="12"/>
      <c r="F676" s="12"/>
      <c r="G676" s="18"/>
      <c r="H676" s="35"/>
      <c r="I676" s="12"/>
      <c r="M676" s="12"/>
      <c r="N676" s="18"/>
      <c r="O676" s="12"/>
      <c r="P676" s="12"/>
      <c r="Q676" s="12"/>
      <c r="R676" s="36"/>
      <c r="S676" s="36"/>
      <c r="T676" s="12"/>
      <c r="U676" s="12"/>
      <c r="V676" s="12"/>
      <c r="W676" s="12"/>
      <c r="X676" s="12"/>
    </row>
    <row r="677" customFormat="false" ht="15.75" hidden="false" customHeight="false" outlineLevel="0" collapsed="false">
      <c r="A677" s="12"/>
      <c r="B677" s="34"/>
      <c r="C677" s="12"/>
      <c r="D677" s="12"/>
      <c r="E677" s="12"/>
      <c r="F677" s="12"/>
      <c r="G677" s="18"/>
      <c r="H677" s="35"/>
      <c r="I677" s="12"/>
      <c r="M677" s="12"/>
      <c r="N677" s="18"/>
      <c r="O677" s="12"/>
      <c r="P677" s="12"/>
      <c r="Q677" s="12"/>
      <c r="R677" s="36"/>
      <c r="S677" s="36"/>
      <c r="T677" s="12"/>
      <c r="U677" s="12"/>
      <c r="V677" s="12"/>
      <c r="W677" s="12"/>
      <c r="X677" s="12"/>
    </row>
    <row r="678" customFormat="false" ht="15.75" hidden="false" customHeight="false" outlineLevel="0" collapsed="false">
      <c r="A678" s="12"/>
      <c r="B678" s="34"/>
      <c r="C678" s="12"/>
      <c r="D678" s="12"/>
      <c r="E678" s="12"/>
      <c r="F678" s="12"/>
      <c r="G678" s="18"/>
      <c r="H678" s="35"/>
      <c r="I678" s="12"/>
      <c r="M678" s="12"/>
      <c r="N678" s="18"/>
      <c r="O678" s="12"/>
      <c r="P678" s="12"/>
      <c r="Q678" s="12"/>
      <c r="R678" s="36"/>
      <c r="S678" s="36"/>
      <c r="T678" s="12"/>
      <c r="U678" s="12"/>
      <c r="V678" s="12"/>
      <c r="W678" s="12"/>
      <c r="X678" s="12"/>
    </row>
    <row r="679" customFormat="false" ht="15.75" hidden="false" customHeight="false" outlineLevel="0" collapsed="false">
      <c r="A679" s="12"/>
      <c r="B679" s="34"/>
      <c r="C679" s="12"/>
      <c r="D679" s="12"/>
      <c r="E679" s="12"/>
      <c r="F679" s="12"/>
      <c r="G679" s="18"/>
      <c r="H679" s="35"/>
      <c r="I679" s="12"/>
      <c r="M679" s="12"/>
      <c r="N679" s="18"/>
      <c r="O679" s="12"/>
      <c r="P679" s="12"/>
      <c r="Q679" s="12"/>
      <c r="R679" s="36"/>
      <c r="S679" s="36"/>
      <c r="T679" s="12"/>
      <c r="U679" s="12"/>
      <c r="V679" s="12"/>
      <c r="W679" s="12"/>
      <c r="X679" s="12"/>
    </row>
    <row r="680" customFormat="false" ht="15.75" hidden="false" customHeight="false" outlineLevel="0" collapsed="false">
      <c r="A680" s="12"/>
      <c r="B680" s="34"/>
      <c r="C680" s="12"/>
      <c r="D680" s="12"/>
      <c r="E680" s="12"/>
      <c r="F680" s="12"/>
      <c r="G680" s="18"/>
      <c r="H680" s="35"/>
      <c r="I680" s="12"/>
      <c r="M680" s="12"/>
      <c r="N680" s="18"/>
      <c r="O680" s="12"/>
      <c r="P680" s="12"/>
      <c r="Q680" s="12"/>
      <c r="R680" s="36"/>
      <c r="S680" s="36"/>
      <c r="T680" s="12"/>
      <c r="U680" s="12"/>
      <c r="V680" s="12"/>
      <c r="W680" s="12"/>
      <c r="X680" s="12"/>
    </row>
    <row r="681" customFormat="false" ht="15.75" hidden="false" customHeight="false" outlineLevel="0" collapsed="false">
      <c r="A681" s="12"/>
      <c r="B681" s="34"/>
      <c r="C681" s="12"/>
      <c r="D681" s="12"/>
      <c r="E681" s="12"/>
      <c r="F681" s="12"/>
      <c r="G681" s="18"/>
      <c r="H681" s="35"/>
      <c r="I681" s="12"/>
      <c r="M681" s="12"/>
      <c r="N681" s="18"/>
      <c r="O681" s="12"/>
      <c r="P681" s="12"/>
      <c r="Q681" s="12"/>
      <c r="R681" s="36"/>
      <c r="S681" s="36"/>
      <c r="T681" s="12"/>
      <c r="U681" s="12"/>
      <c r="V681" s="12"/>
      <c r="W681" s="12"/>
      <c r="X681" s="12"/>
    </row>
    <row r="682" customFormat="false" ht="15.75" hidden="false" customHeight="false" outlineLevel="0" collapsed="false">
      <c r="A682" s="12"/>
      <c r="B682" s="34"/>
      <c r="C682" s="12"/>
      <c r="D682" s="12"/>
      <c r="E682" s="12"/>
      <c r="F682" s="12"/>
      <c r="G682" s="18"/>
      <c r="H682" s="35"/>
      <c r="I682" s="12"/>
      <c r="M682" s="12"/>
      <c r="N682" s="18"/>
      <c r="O682" s="12"/>
      <c r="P682" s="12"/>
      <c r="Q682" s="12"/>
      <c r="R682" s="36"/>
      <c r="S682" s="36"/>
      <c r="T682" s="12"/>
      <c r="U682" s="12"/>
      <c r="V682" s="12"/>
      <c r="W682" s="12"/>
      <c r="X682" s="12"/>
    </row>
    <row r="683" customFormat="false" ht="15.75" hidden="false" customHeight="false" outlineLevel="0" collapsed="false">
      <c r="A683" s="12"/>
      <c r="B683" s="34"/>
      <c r="C683" s="12"/>
      <c r="D683" s="12"/>
      <c r="E683" s="12"/>
      <c r="F683" s="12"/>
      <c r="G683" s="18"/>
      <c r="H683" s="35"/>
      <c r="I683" s="12"/>
      <c r="M683" s="12"/>
      <c r="N683" s="18"/>
      <c r="O683" s="12"/>
      <c r="P683" s="12"/>
      <c r="Q683" s="12"/>
      <c r="R683" s="36"/>
      <c r="S683" s="36"/>
      <c r="T683" s="12"/>
      <c r="U683" s="12"/>
      <c r="V683" s="12"/>
      <c r="W683" s="12"/>
      <c r="X683" s="12"/>
    </row>
    <row r="684" customFormat="false" ht="15.75" hidden="false" customHeight="false" outlineLevel="0" collapsed="false">
      <c r="A684" s="12"/>
      <c r="B684" s="34"/>
      <c r="C684" s="12"/>
      <c r="D684" s="12"/>
      <c r="E684" s="12"/>
      <c r="F684" s="12"/>
      <c r="G684" s="18"/>
      <c r="H684" s="35"/>
      <c r="I684" s="12"/>
      <c r="M684" s="12"/>
      <c r="N684" s="18"/>
      <c r="O684" s="12"/>
      <c r="P684" s="12"/>
      <c r="Q684" s="12"/>
      <c r="R684" s="36"/>
      <c r="S684" s="36"/>
      <c r="T684" s="12"/>
      <c r="U684" s="12"/>
      <c r="V684" s="12"/>
      <c r="W684" s="12"/>
      <c r="X684" s="12"/>
    </row>
    <row r="685" customFormat="false" ht="15.75" hidden="false" customHeight="false" outlineLevel="0" collapsed="false">
      <c r="A685" s="12"/>
      <c r="B685" s="34"/>
      <c r="C685" s="12"/>
      <c r="D685" s="12"/>
      <c r="E685" s="12"/>
      <c r="F685" s="12"/>
      <c r="G685" s="18"/>
      <c r="H685" s="35"/>
      <c r="I685" s="12"/>
      <c r="M685" s="12"/>
      <c r="N685" s="18"/>
      <c r="O685" s="12"/>
      <c r="P685" s="12"/>
      <c r="Q685" s="12"/>
      <c r="R685" s="36"/>
      <c r="S685" s="36"/>
      <c r="T685" s="12"/>
      <c r="U685" s="12"/>
      <c r="V685" s="12"/>
      <c r="W685" s="12"/>
      <c r="X685" s="12"/>
    </row>
    <row r="686" customFormat="false" ht="15.75" hidden="false" customHeight="false" outlineLevel="0" collapsed="false">
      <c r="A686" s="12"/>
      <c r="B686" s="34"/>
      <c r="C686" s="12"/>
      <c r="D686" s="12"/>
      <c r="E686" s="12"/>
      <c r="F686" s="12"/>
      <c r="G686" s="18"/>
      <c r="H686" s="35"/>
      <c r="I686" s="12"/>
      <c r="M686" s="12"/>
      <c r="N686" s="18"/>
      <c r="O686" s="12"/>
      <c r="P686" s="12"/>
      <c r="Q686" s="12"/>
      <c r="R686" s="36"/>
      <c r="S686" s="36"/>
      <c r="T686" s="12"/>
      <c r="U686" s="12"/>
      <c r="V686" s="12"/>
      <c r="W686" s="12"/>
      <c r="X686" s="12"/>
    </row>
    <row r="687" customFormat="false" ht="15.75" hidden="false" customHeight="false" outlineLevel="0" collapsed="false">
      <c r="A687" s="12"/>
      <c r="B687" s="34"/>
      <c r="C687" s="12"/>
      <c r="D687" s="12"/>
      <c r="E687" s="12"/>
      <c r="F687" s="12"/>
      <c r="G687" s="18"/>
      <c r="H687" s="35"/>
      <c r="I687" s="12"/>
      <c r="M687" s="12"/>
      <c r="N687" s="18"/>
      <c r="O687" s="12"/>
      <c r="P687" s="12"/>
      <c r="Q687" s="12"/>
      <c r="R687" s="36"/>
      <c r="S687" s="36"/>
      <c r="T687" s="12"/>
      <c r="U687" s="12"/>
      <c r="V687" s="12"/>
      <c r="W687" s="12"/>
      <c r="X687" s="12"/>
    </row>
    <row r="688" customFormat="false" ht="15.75" hidden="false" customHeight="false" outlineLevel="0" collapsed="false">
      <c r="A688" s="12"/>
      <c r="B688" s="34"/>
      <c r="C688" s="12"/>
      <c r="D688" s="12"/>
      <c r="E688" s="12"/>
      <c r="F688" s="12"/>
      <c r="G688" s="18"/>
      <c r="H688" s="35"/>
      <c r="I688" s="12"/>
      <c r="M688" s="12"/>
      <c r="N688" s="18"/>
      <c r="O688" s="12"/>
      <c r="P688" s="12"/>
      <c r="Q688" s="12"/>
      <c r="R688" s="36"/>
      <c r="S688" s="36"/>
      <c r="T688" s="12"/>
      <c r="U688" s="12"/>
      <c r="V688" s="12"/>
      <c r="W688" s="12"/>
      <c r="X688" s="12"/>
    </row>
    <row r="689" customFormat="false" ht="15.75" hidden="false" customHeight="false" outlineLevel="0" collapsed="false">
      <c r="A689" s="12"/>
      <c r="B689" s="34"/>
      <c r="C689" s="12"/>
      <c r="D689" s="12"/>
      <c r="E689" s="12"/>
      <c r="F689" s="12"/>
      <c r="G689" s="18"/>
      <c r="H689" s="35"/>
      <c r="I689" s="12"/>
      <c r="M689" s="12"/>
      <c r="N689" s="18"/>
      <c r="O689" s="12"/>
      <c r="P689" s="12"/>
      <c r="Q689" s="12"/>
      <c r="R689" s="36"/>
      <c r="S689" s="36"/>
      <c r="T689" s="12"/>
      <c r="U689" s="12"/>
      <c r="V689" s="12"/>
      <c r="W689" s="12"/>
      <c r="X689" s="12"/>
    </row>
    <row r="690" customFormat="false" ht="15.75" hidden="false" customHeight="false" outlineLevel="0" collapsed="false">
      <c r="A690" s="12"/>
      <c r="B690" s="34"/>
      <c r="C690" s="12"/>
      <c r="D690" s="12"/>
      <c r="E690" s="12"/>
      <c r="F690" s="12"/>
      <c r="G690" s="18"/>
      <c r="H690" s="35"/>
      <c r="I690" s="12"/>
      <c r="M690" s="12"/>
      <c r="N690" s="18"/>
      <c r="O690" s="12"/>
      <c r="P690" s="12"/>
      <c r="Q690" s="12"/>
      <c r="R690" s="36"/>
      <c r="S690" s="36"/>
      <c r="T690" s="12"/>
      <c r="U690" s="12"/>
      <c r="V690" s="12"/>
      <c r="W690" s="12"/>
      <c r="X690" s="12"/>
    </row>
    <row r="691" customFormat="false" ht="15.75" hidden="false" customHeight="false" outlineLevel="0" collapsed="false">
      <c r="A691" s="12"/>
      <c r="B691" s="34"/>
      <c r="C691" s="12"/>
      <c r="D691" s="12"/>
      <c r="E691" s="12"/>
      <c r="F691" s="12"/>
      <c r="G691" s="18"/>
      <c r="H691" s="35"/>
      <c r="I691" s="12"/>
      <c r="M691" s="12"/>
      <c r="N691" s="18"/>
      <c r="O691" s="12"/>
      <c r="P691" s="12"/>
      <c r="Q691" s="12"/>
      <c r="R691" s="36"/>
      <c r="S691" s="36"/>
      <c r="T691" s="12"/>
      <c r="U691" s="12"/>
      <c r="V691" s="12"/>
      <c r="W691" s="12"/>
      <c r="X691" s="12"/>
    </row>
    <row r="692" customFormat="false" ht="15.75" hidden="false" customHeight="false" outlineLevel="0" collapsed="false">
      <c r="A692" s="12"/>
      <c r="B692" s="34"/>
      <c r="C692" s="12"/>
      <c r="D692" s="12"/>
      <c r="E692" s="12"/>
      <c r="F692" s="12"/>
      <c r="G692" s="18"/>
      <c r="H692" s="35"/>
      <c r="I692" s="12"/>
      <c r="M692" s="12"/>
      <c r="N692" s="18"/>
      <c r="O692" s="12"/>
      <c r="P692" s="12"/>
      <c r="Q692" s="12"/>
      <c r="R692" s="36"/>
      <c r="S692" s="36"/>
      <c r="T692" s="12"/>
      <c r="U692" s="12"/>
      <c r="V692" s="12"/>
      <c r="W692" s="12"/>
      <c r="X692" s="12"/>
    </row>
    <row r="693" customFormat="false" ht="15.75" hidden="false" customHeight="false" outlineLevel="0" collapsed="false">
      <c r="A693" s="12"/>
      <c r="B693" s="34"/>
      <c r="C693" s="12"/>
      <c r="D693" s="12"/>
      <c r="E693" s="12"/>
      <c r="F693" s="12"/>
      <c r="G693" s="18"/>
      <c r="H693" s="35"/>
      <c r="I693" s="12"/>
      <c r="M693" s="12"/>
      <c r="N693" s="18"/>
      <c r="O693" s="12"/>
      <c r="P693" s="12"/>
      <c r="Q693" s="12"/>
      <c r="R693" s="36"/>
      <c r="S693" s="36"/>
      <c r="T693" s="12"/>
      <c r="U693" s="12"/>
      <c r="V693" s="12"/>
      <c r="W693" s="12"/>
      <c r="X693" s="12"/>
    </row>
    <row r="694" customFormat="false" ht="15.75" hidden="false" customHeight="false" outlineLevel="0" collapsed="false">
      <c r="A694" s="12"/>
      <c r="B694" s="34"/>
      <c r="C694" s="12"/>
      <c r="D694" s="12"/>
      <c r="E694" s="12"/>
      <c r="F694" s="12"/>
      <c r="G694" s="18"/>
      <c r="H694" s="35"/>
      <c r="I694" s="12"/>
      <c r="M694" s="12"/>
      <c r="N694" s="18"/>
      <c r="O694" s="12"/>
      <c r="P694" s="12"/>
      <c r="Q694" s="12"/>
      <c r="R694" s="36"/>
      <c r="S694" s="36"/>
      <c r="T694" s="12"/>
      <c r="U694" s="12"/>
      <c r="V694" s="12"/>
      <c r="W694" s="12"/>
      <c r="X694" s="12"/>
    </row>
    <row r="695" customFormat="false" ht="15.75" hidden="false" customHeight="false" outlineLevel="0" collapsed="false">
      <c r="A695" s="12"/>
      <c r="B695" s="34"/>
      <c r="C695" s="12"/>
      <c r="D695" s="12"/>
      <c r="E695" s="12"/>
      <c r="F695" s="12"/>
      <c r="G695" s="18"/>
      <c r="H695" s="35"/>
      <c r="I695" s="12"/>
      <c r="M695" s="12"/>
      <c r="N695" s="18"/>
      <c r="O695" s="12"/>
      <c r="P695" s="12"/>
      <c r="Q695" s="12"/>
      <c r="R695" s="36"/>
      <c r="S695" s="36"/>
      <c r="T695" s="12"/>
      <c r="U695" s="12"/>
      <c r="V695" s="12"/>
      <c r="W695" s="12"/>
      <c r="X695" s="12"/>
    </row>
    <row r="696" customFormat="false" ht="15.75" hidden="false" customHeight="false" outlineLevel="0" collapsed="false">
      <c r="A696" s="12"/>
      <c r="B696" s="34"/>
      <c r="C696" s="12"/>
      <c r="D696" s="12"/>
      <c r="E696" s="12"/>
      <c r="F696" s="12"/>
      <c r="G696" s="18"/>
      <c r="H696" s="35"/>
      <c r="I696" s="12"/>
      <c r="M696" s="12"/>
      <c r="N696" s="18"/>
      <c r="O696" s="12"/>
      <c r="P696" s="12"/>
      <c r="Q696" s="12"/>
      <c r="R696" s="36"/>
      <c r="S696" s="36"/>
      <c r="T696" s="12"/>
      <c r="U696" s="12"/>
      <c r="V696" s="12"/>
      <c r="W696" s="12"/>
      <c r="X696" s="12"/>
    </row>
    <row r="697" customFormat="false" ht="15.75" hidden="false" customHeight="false" outlineLevel="0" collapsed="false">
      <c r="A697" s="12"/>
      <c r="B697" s="34"/>
      <c r="C697" s="12"/>
      <c r="D697" s="12"/>
      <c r="E697" s="12"/>
      <c r="F697" s="12"/>
      <c r="G697" s="18"/>
      <c r="H697" s="35"/>
      <c r="I697" s="12"/>
      <c r="M697" s="12"/>
      <c r="N697" s="18"/>
      <c r="O697" s="12"/>
      <c r="P697" s="12"/>
      <c r="Q697" s="12"/>
      <c r="R697" s="36"/>
      <c r="S697" s="36"/>
      <c r="T697" s="12"/>
      <c r="U697" s="12"/>
      <c r="V697" s="12"/>
      <c r="W697" s="12"/>
      <c r="X697" s="12"/>
    </row>
    <row r="698" customFormat="false" ht="15.75" hidden="false" customHeight="false" outlineLevel="0" collapsed="false">
      <c r="A698" s="12"/>
      <c r="B698" s="34"/>
      <c r="C698" s="12"/>
      <c r="D698" s="12"/>
      <c r="E698" s="12"/>
      <c r="F698" s="12"/>
      <c r="G698" s="18"/>
      <c r="H698" s="35"/>
      <c r="I698" s="12"/>
      <c r="M698" s="12"/>
      <c r="N698" s="18"/>
      <c r="O698" s="12"/>
      <c r="P698" s="12"/>
      <c r="Q698" s="12"/>
      <c r="R698" s="36"/>
      <c r="S698" s="36"/>
      <c r="T698" s="12"/>
      <c r="U698" s="12"/>
      <c r="V698" s="12"/>
      <c r="W698" s="12"/>
      <c r="X698" s="12"/>
    </row>
    <row r="699" customFormat="false" ht="15.75" hidden="false" customHeight="false" outlineLevel="0" collapsed="false">
      <c r="A699" s="12"/>
      <c r="B699" s="34"/>
      <c r="C699" s="12"/>
      <c r="D699" s="12"/>
      <c r="E699" s="12"/>
      <c r="F699" s="12"/>
      <c r="G699" s="18"/>
      <c r="H699" s="35"/>
      <c r="I699" s="12"/>
      <c r="M699" s="12"/>
      <c r="N699" s="18"/>
      <c r="O699" s="12"/>
      <c r="P699" s="12"/>
      <c r="Q699" s="12"/>
      <c r="R699" s="36"/>
      <c r="S699" s="36"/>
      <c r="T699" s="12"/>
      <c r="U699" s="12"/>
      <c r="V699" s="12"/>
      <c r="W699" s="12"/>
      <c r="X699" s="12"/>
    </row>
    <row r="700" customFormat="false" ht="15.75" hidden="false" customHeight="false" outlineLevel="0" collapsed="false">
      <c r="A700" s="12"/>
      <c r="B700" s="34"/>
      <c r="C700" s="12"/>
      <c r="D700" s="12"/>
      <c r="E700" s="12"/>
      <c r="F700" s="12"/>
      <c r="G700" s="18"/>
      <c r="H700" s="35"/>
      <c r="I700" s="12"/>
      <c r="M700" s="12"/>
      <c r="N700" s="18"/>
      <c r="O700" s="12"/>
      <c r="P700" s="12"/>
      <c r="Q700" s="12"/>
      <c r="R700" s="36"/>
      <c r="S700" s="36"/>
      <c r="T700" s="12"/>
      <c r="U700" s="12"/>
      <c r="V700" s="12"/>
      <c r="W700" s="12"/>
      <c r="X700" s="12"/>
    </row>
    <row r="701" customFormat="false" ht="15.75" hidden="false" customHeight="false" outlineLevel="0" collapsed="false">
      <c r="A701" s="12"/>
      <c r="B701" s="34"/>
      <c r="C701" s="12"/>
      <c r="D701" s="12"/>
      <c r="E701" s="12"/>
      <c r="F701" s="12"/>
      <c r="G701" s="18"/>
      <c r="H701" s="35"/>
      <c r="I701" s="12"/>
      <c r="M701" s="12"/>
      <c r="N701" s="18"/>
      <c r="O701" s="12"/>
      <c r="P701" s="12"/>
      <c r="Q701" s="12"/>
      <c r="R701" s="36"/>
      <c r="S701" s="36"/>
      <c r="T701" s="12"/>
      <c r="U701" s="12"/>
      <c r="V701" s="12"/>
      <c r="W701" s="12"/>
      <c r="X701" s="12"/>
    </row>
    <row r="702" customFormat="false" ht="15.75" hidden="false" customHeight="false" outlineLevel="0" collapsed="false">
      <c r="A702" s="12"/>
      <c r="B702" s="34"/>
      <c r="C702" s="12"/>
      <c r="D702" s="12"/>
      <c r="E702" s="12"/>
      <c r="F702" s="12"/>
      <c r="G702" s="18"/>
      <c r="H702" s="35"/>
      <c r="I702" s="12"/>
      <c r="M702" s="12"/>
      <c r="N702" s="18"/>
      <c r="O702" s="12"/>
      <c r="P702" s="12"/>
      <c r="Q702" s="12"/>
      <c r="R702" s="36"/>
      <c r="S702" s="36"/>
      <c r="T702" s="12"/>
      <c r="U702" s="12"/>
      <c r="V702" s="12"/>
      <c r="W702" s="12"/>
      <c r="X702" s="12"/>
    </row>
    <row r="703" customFormat="false" ht="15.75" hidden="false" customHeight="false" outlineLevel="0" collapsed="false">
      <c r="A703" s="12"/>
      <c r="B703" s="34"/>
      <c r="C703" s="12"/>
      <c r="D703" s="12"/>
      <c r="E703" s="12"/>
      <c r="F703" s="12"/>
      <c r="G703" s="18"/>
      <c r="H703" s="35"/>
      <c r="I703" s="12"/>
      <c r="M703" s="12"/>
      <c r="N703" s="18"/>
      <c r="O703" s="12"/>
      <c r="P703" s="12"/>
      <c r="Q703" s="12"/>
      <c r="R703" s="36"/>
      <c r="S703" s="36"/>
      <c r="T703" s="12"/>
      <c r="U703" s="12"/>
      <c r="V703" s="12"/>
      <c r="W703" s="12"/>
      <c r="X703" s="12"/>
    </row>
    <row r="704" customFormat="false" ht="15.75" hidden="false" customHeight="false" outlineLevel="0" collapsed="false">
      <c r="A704" s="12"/>
      <c r="B704" s="34"/>
      <c r="C704" s="12"/>
      <c r="D704" s="12"/>
      <c r="E704" s="12"/>
      <c r="F704" s="12"/>
      <c r="G704" s="18"/>
      <c r="H704" s="35"/>
      <c r="I704" s="12"/>
      <c r="M704" s="12"/>
      <c r="N704" s="18"/>
      <c r="O704" s="12"/>
      <c r="P704" s="12"/>
      <c r="Q704" s="12"/>
      <c r="R704" s="36"/>
      <c r="S704" s="36"/>
      <c r="T704" s="12"/>
      <c r="U704" s="12"/>
      <c r="V704" s="12"/>
      <c r="W704" s="12"/>
      <c r="X704" s="12"/>
    </row>
    <row r="705" customFormat="false" ht="15.75" hidden="false" customHeight="false" outlineLevel="0" collapsed="false">
      <c r="A705" s="12"/>
      <c r="B705" s="34"/>
      <c r="C705" s="12"/>
      <c r="D705" s="12"/>
      <c r="E705" s="12"/>
      <c r="F705" s="12"/>
      <c r="G705" s="18"/>
      <c r="H705" s="35"/>
      <c r="I705" s="12"/>
      <c r="M705" s="12"/>
      <c r="N705" s="18"/>
      <c r="O705" s="12"/>
      <c r="P705" s="12"/>
      <c r="Q705" s="12"/>
      <c r="R705" s="36"/>
      <c r="S705" s="36"/>
      <c r="T705" s="12"/>
      <c r="U705" s="12"/>
      <c r="V705" s="12"/>
      <c r="W705" s="12"/>
      <c r="X705" s="12"/>
    </row>
    <row r="706" customFormat="false" ht="15.75" hidden="false" customHeight="false" outlineLevel="0" collapsed="false">
      <c r="A706" s="12"/>
      <c r="B706" s="34"/>
      <c r="C706" s="12"/>
      <c r="D706" s="12"/>
      <c r="E706" s="12"/>
      <c r="F706" s="12"/>
      <c r="G706" s="18"/>
      <c r="H706" s="35"/>
      <c r="I706" s="12"/>
      <c r="M706" s="12"/>
      <c r="N706" s="18"/>
      <c r="O706" s="12"/>
      <c r="P706" s="12"/>
      <c r="Q706" s="12"/>
      <c r="R706" s="36"/>
      <c r="S706" s="36"/>
      <c r="T706" s="12"/>
      <c r="U706" s="12"/>
      <c r="V706" s="12"/>
      <c r="W706" s="12"/>
      <c r="X706" s="12"/>
    </row>
    <row r="707" customFormat="false" ht="15.75" hidden="false" customHeight="false" outlineLevel="0" collapsed="false">
      <c r="A707" s="12"/>
      <c r="B707" s="34"/>
      <c r="C707" s="12"/>
      <c r="D707" s="12"/>
      <c r="E707" s="12"/>
      <c r="F707" s="12"/>
      <c r="G707" s="18"/>
      <c r="H707" s="35"/>
      <c r="I707" s="12"/>
      <c r="M707" s="12"/>
      <c r="N707" s="18"/>
      <c r="O707" s="12"/>
      <c r="P707" s="12"/>
      <c r="Q707" s="12"/>
      <c r="R707" s="36"/>
      <c r="S707" s="36"/>
      <c r="T707" s="12"/>
      <c r="U707" s="12"/>
      <c r="V707" s="12"/>
      <c r="W707" s="12"/>
      <c r="X707" s="12"/>
    </row>
    <row r="708" customFormat="false" ht="15.75" hidden="false" customHeight="false" outlineLevel="0" collapsed="false">
      <c r="A708" s="12"/>
      <c r="B708" s="34"/>
      <c r="C708" s="12"/>
      <c r="D708" s="12"/>
      <c r="E708" s="12"/>
      <c r="F708" s="12"/>
      <c r="G708" s="18"/>
      <c r="H708" s="35"/>
      <c r="I708" s="12"/>
      <c r="M708" s="12"/>
      <c r="N708" s="18"/>
      <c r="O708" s="12"/>
      <c r="P708" s="12"/>
      <c r="Q708" s="12"/>
      <c r="R708" s="36"/>
      <c r="S708" s="36"/>
      <c r="T708" s="12"/>
      <c r="U708" s="12"/>
      <c r="V708" s="12"/>
      <c r="W708" s="12"/>
      <c r="X708" s="12"/>
    </row>
    <row r="709" customFormat="false" ht="15.75" hidden="false" customHeight="false" outlineLevel="0" collapsed="false">
      <c r="A709" s="12"/>
      <c r="B709" s="34"/>
      <c r="C709" s="12"/>
      <c r="D709" s="12"/>
      <c r="E709" s="12"/>
      <c r="F709" s="12"/>
      <c r="G709" s="18"/>
      <c r="H709" s="35"/>
      <c r="I709" s="12"/>
      <c r="M709" s="12"/>
      <c r="N709" s="18"/>
      <c r="O709" s="12"/>
      <c r="P709" s="12"/>
      <c r="Q709" s="12"/>
      <c r="R709" s="36"/>
      <c r="S709" s="36"/>
      <c r="T709" s="12"/>
      <c r="U709" s="12"/>
      <c r="V709" s="12"/>
      <c r="W709" s="12"/>
      <c r="X709" s="12"/>
    </row>
    <row r="710" customFormat="false" ht="15.75" hidden="false" customHeight="false" outlineLevel="0" collapsed="false">
      <c r="A710" s="12"/>
      <c r="B710" s="34"/>
      <c r="C710" s="12"/>
      <c r="D710" s="12"/>
      <c r="E710" s="12"/>
      <c r="F710" s="12"/>
      <c r="G710" s="18"/>
      <c r="H710" s="35"/>
      <c r="I710" s="12"/>
      <c r="M710" s="12"/>
      <c r="N710" s="18"/>
      <c r="O710" s="12"/>
      <c r="P710" s="12"/>
      <c r="Q710" s="12"/>
      <c r="R710" s="36"/>
      <c r="S710" s="36"/>
      <c r="T710" s="12"/>
      <c r="U710" s="12"/>
      <c r="V710" s="12"/>
      <c r="W710" s="12"/>
      <c r="X710" s="12"/>
    </row>
    <row r="711" customFormat="false" ht="15.75" hidden="false" customHeight="false" outlineLevel="0" collapsed="false">
      <c r="A711" s="12"/>
      <c r="B711" s="34"/>
      <c r="C711" s="12"/>
      <c r="D711" s="12"/>
      <c r="E711" s="12"/>
      <c r="F711" s="12"/>
      <c r="G711" s="18"/>
      <c r="H711" s="35"/>
      <c r="I711" s="12"/>
      <c r="M711" s="12"/>
      <c r="N711" s="18"/>
      <c r="O711" s="12"/>
      <c r="P711" s="12"/>
      <c r="Q711" s="12"/>
      <c r="R711" s="36"/>
      <c r="S711" s="36"/>
      <c r="T711" s="12"/>
      <c r="U711" s="12"/>
      <c r="V711" s="12"/>
      <c r="W711" s="12"/>
      <c r="X711" s="12"/>
    </row>
    <row r="712" customFormat="false" ht="15.75" hidden="false" customHeight="false" outlineLevel="0" collapsed="false">
      <c r="A712" s="12"/>
      <c r="B712" s="34"/>
      <c r="C712" s="12"/>
      <c r="D712" s="12"/>
      <c r="E712" s="12"/>
      <c r="F712" s="12"/>
      <c r="G712" s="18"/>
      <c r="H712" s="35"/>
      <c r="I712" s="12"/>
      <c r="M712" s="12"/>
      <c r="N712" s="18"/>
      <c r="O712" s="12"/>
      <c r="P712" s="12"/>
      <c r="Q712" s="12"/>
      <c r="R712" s="36"/>
      <c r="S712" s="36"/>
      <c r="T712" s="12"/>
      <c r="U712" s="12"/>
      <c r="V712" s="12"/>
      <c r="W712" s="12"/>
      <c r="X712" s="12"/>
    </row>
    <row r="713" customFormat="false" ht="15.75" hidden="false" customHeight="false" outlineLevel="0" collapsed="false">
      <c r="A713" s="12"/>
      <c r="B713" s="34"/>
      <c r="C713" s="12"/>
      <c r="D713" s="12"/>
      <c r="E713" s="12"/>
      <c r="F713" s="12"/>
      <c r="G713" s="18"/>
      <c r="H713" s="35"/>
      <c r="I713" s="12"/>
      <c r="M713" s="12"/>
      <c r="N713" s="18"/>
      <c r="O713" s="12"/>
      <c r="P713" s="12"/>
      <c r="Q713" s="12"/>
      <c r="R713" s="36"/>
      <c r="S713" s="36"/>
      <c r="T713" s="12"/>
      <c r="U713" s="12"/>
      <c r="V713" s="12"/>
      <c r="W713" s="12"/>
      <c r="X713" s="12"/>
    </row>
    <row r="714" customFormat="false" ht="15.75" hidden="false" customHeight="false" outlineLevel="0" collapsed="false">
      <c r="A714" s="12"/>
      <c r="B714" s="34"/>
      <c r="C714" s="12"/>
      <c r="D714" s="12"/>
      <c r="E714" s="12"/>
      <c r="F714" s="12"/>
      <c r="G714" s="18"/>
      <c r="H714" s="35"/>
      <c r="I714" s="12"/>
      <c r="M714" s="12"/>
      <c r="N714" s="18"/>
      <c r="O714" s="12"/>
      <c r="P714" s="12"/>
      <c r="Q714" s="12"/>
      <c r="R714" s="36"/>
      <c r="S714" s="36"/>
      <c r="T714" s="12"/>
      <c r="U714" s="12"/>
      <c r="V714" s="12"/>
      <c r="W714" s="12"/>
      <c r="X714" s="12"/>
    </row>
    <row r="715" customFormat="false" ht="15.75" hidden="false" customHeight="false" outlineLevel="0" collapsed="false">
      <c r="A715" s="12"/>
      <c r="B715" s="34"/>
      <c r="C715" s="12"/>
      <c r="D715" s="12"/>
      <c r="E715" s="12"/>
      <c r="F715" s="12"/>
      <c r="G715" s="18"/>
      <c r="H715" s="35"/>
      <c r="I715" s="12"/>
      <c r="M715" s="12"/>
      <c r="N715" s="18"/>
      <c r="O715" s="12"/>
      <c r="P715" s="12"/>
      <c r="Q715" s="12"/>
      <c r="R715" s="36"/>
      <c r="S715" s="36"/>
      <c r="T715" s="12"/>
      <c r="U715" s="12"/>
      <c r="V715" s="12"/>
      <c r="W715" s="12"/>
      <c r="X715" s="12"/>
    </row>
    <row r="716" customFormat="false" ht="15.75" hidden="false" customHeight="false" outlineLevel="0" collapsed="false">
      <c r="A716" s="12"/>
      <c r="B716" s="34"/>
      <c r="C716" s="12"/>
      <c r="D716" s="12"/>
      <c r="E716" s="12"/>
      <c r="F716" s="12"/>
      <c r="G716" s="18"/>
      <c r="H716" s="35"/>
      <c r="I716" s="12"/>
      <c r="M716" s="12"/>
      <c r="N716" s="18"/>
      <c r="O716" s="12"/>
      <c r="P716" s="12"/>
      <c r="Q716" s="12"/>
      <c r="R716" s="36"/>
      <c r="S716" s="36"/>
      <c r="T716" s="12"/>
      <c r="U716" s="12"/>
      <c r="V716" s="12"/>
      <c r="W716" s="12"/>
      <c r="X716" s="12"/>
    </row>
    <row r="717" customFormat="false" ht="15.75" hidden="false" customHeight="false" outlineLevel="0" collapsed="false">
      <c r="A717" s="12"/>
      <c r="B717" s="34"/>
      <c r="C717" s="12"/>
      <c r="D717" s="12"/>
      <c r="E717" s="12"/>
      <c r="F717" s="12"/>
      <c r="G717" s="18"/>
      <c r="H717" s="35"/>
      <c r="I717" s="12"/>
      <c r="M717" s="12"/>
      <c r="N717" s="18"/>
      <c r="O717" s="12"/>
      <c r="P717" s="12"/>
      <c r="Q717" s="12"/>
      <c r="R717" s="36"/>
      <c r="S717" s="36"/>
      <c r="T717" s="12"/>
      <c r="U717" s="12"/>
      <c r="V717" s="12"/>
      <c r="W717" s="12"/>
      <c r="X717" s="12"/>
    </row>
    <row r="718" customFormat="false" ht="15.75" hidden="false" customHeight="false" outlineLevel="0" collapsed="false">
      <c r="A718" s="12"/>
      <c r="B718" s="34"/>
      <c r="C718" s="12"/>
      <c r="D718" s="12"/>
      <c r="E718" s="12"/>
      <c r="F718" s="12"/>
      <c r="G718" s="18"/>
      <c r="H718" s="35"/>
      <c r="I718" s="12"/>
      <c r="M718" s="12"/>
      <c r="N718" s="18"/>
      <c r="O718" s="12"/>
      <c r="P718" s="12"/>
      <c r="Q718" s="12"/>
      <c r="R718" s="36"/>
      <c r="S718" s="36"/>
      <c r="T718" s="12"/>
      <c r="U718" s="12"/>
      <c r="V718" s="12"/>
      <c r="W718" s="12"/>
      <c r="X718" s="12"/>
    </row>
    <row r="719" customFormat="false" ht="15.75" hidden="false" customHeight="false" outlineLevel="0" collapsed="false">
      <c r="A719" s="12"/>
      <c r="B719" s="34"/>
      <c r="C719" s="12"/>
      <c r="D719" s="12"/>
      <c r="E719" s="12"/>
      <c r="F719" s="12"/>
      <c r="G719" s="18"/>
      <c r="H719" s="35"/>
      <c r="I719" s="12"/>
      <c r="M719" s="12"/>
      <c r="N719" s="18"/>
      <c r="O719" s="12"/>
      <c r="P719" s="12"/>
      <c r="Q719" s="12"/>
      <c r="R719" s="36"/>
      <c r="S719" s="36"/>
      <c r="T719" s="12"/>
      <c r="U719" s="12"/>
      <c r="V719" s="12"/>
      <c r="W719" s="12"/>
      <c r="X719" s="12"/>
    </row>
    <row r="720" customFormat="false" ht="15.75" hidden="false" customHeight="false" outlineLevel="0" collapsed="false">
      <c r="A720" s="12"/>
      <c r="B720" s="34"/>
      <c r="C720" s="12"/>
      <c r="D720" s="12"/>
      <c r="E720" s="12"/>
      <c r="F720" s="12"/>
      <c r="G720" s="18"/>
      <c r="H720" s="35"/>
      <c r="I720" s="12"/>
      <c r="M720" s="12"/>
      <c r="N720" s="18"/>
      <c r="O720" s="12"/>
      <c r="P720" s="12"/>
      <c r="Q720" s="12"/>
      <c r="R720" s="36"/>
      <c r="S720" s="36"/>
      <c r="T720" s="12"/>
      <c r="U720" s="12"/>
      <c r="V720" s="12"/>
      <c r="W720" s="12"/>
      <c r="X720" s="12"/>
    </row>
    <row r="721" customFormat="false" ht="15.75" hidden="false" customHeight="false" outlineLevel="0" collapsed="false">
      <c r="A721" s="12"/>
      <c r="B721" s="34"/>
      <c r="C721" s="12"/>
      <c r="D721" s="12"/>
      <c r="E721" s="12"/>
      <c r="F721" s="12"/>
      <c r="G721" s="18"/>
      <c r="H721" s="35"/>
      <c r="I721" s="12"/>
      <c r="M721" s="12"/>
      <c r="N721" s="18"/>
      <c r="O721" s="12"/>
      <c r="P721" s="12"/>
      <c r="Q721" s="12"/>
      <c r="R721" s="36"/>
      <c r="S721" s="36"/>
      <c r="T721" s="12"/>
      <c r="U721" s="12"/>
      <c r="V721" s="12"/>
      <c r="W721" s="12"/>
      <c r="X721" s="12"/>
    </row>
    <row r="722" customFormat="false" ht="15.75" hidden="false" customHeight="false" outlineLevel="0" collapsed="false">
      <c r="A722" s="12"/>
      <c r="B722" s="34"/>
      <c r="C722" s="12"/>
      <c r="D722" s="12"/>
      <c r="E722" s="12"/>
      <c r="F722" s="12"/>
      <c r="G722" s="18"/>
      <c r="H722" s="35"/>
      <c r="I722" s="12"/>
      <c r="M722" s="12"/>
      <c r="N722" s="18"/>
      <c r="O722" s="12"/>
      <c r="P722" s="12"/>
      <c r="Q722" s="12"/>
      <c r="R722" s="36"/>
      <c r="S722" s="36"/>
      <c r="T722" s="12"/>
      <c r="U722" s="12"/>
      <c r="V722" s="12"/>
      <c r="W722" s="12"/>
      <c r="X722" s="12"/>
    </row>
    <row r="723" customFormat="false" ht="15.75" hidden="false" customHeight="false" outlineLevel="0" collapsed="false">
      <c r="A723" s="12"/>
      <c r="B723" s="34"/>
      <c r="C723" s="12"/>
      <c r="D723" s="12"/>
      <c r="E723" s="12"/>
      <c r="F723" s="12"/>
      <c r="G723" s="18"/>
      <c r="H723" s="35"/>
      <c r="I723" s="12"/>
      <c r="M723" s="12"/>
      <c r="N723" s="18"/>
      <c r="O723" s="12"/>
      <c r="P723" s="12"/>
      <c r="Q723" s="12"/>
      <c r="R723" s="36"/>
      <c r="S723" s="36"/>
      <c r="T723" s="12"/>
      <c r="U723" s="12"/>
      <c r="V723" s="12"/>
      <c r="W723" s="12"/>
      <c r="X723" s="12"/>
    </row>
    <row r="724" customFormat="false" ht="15.75" hidden="false" customHeight="false" outlineLevel="0" collapsed="false">
      <c r="A724" s="12"/>
      <c r="B724" s="34"/>
      <c r="C724" s="12"/>
      <c r="D724" s="12"/>
      <c r="E724" s="12"/>
      <c r="F724" s="12"/>
      <c r="G724" s="18"/>
      <c r="H724" s="35"/>
      <c r="I724" s="12"/>
      <c r="M724" s="12"/>
      <c r="N724" s="18"/>
      <c r="O724" s="12"/>
      <c r="P724" s="12"/>
      <c r="Q724" s="12"/>
      <c r="R724" s="36"/>
      <c r="S724" s="36"/>
      <c r="T724" s="12"/>
      <c r="U724" s="12"/>
      <c r="V724" s="12"/>
      <c r="W724" s="12"/>
      <c r="X724" s="12"/>
    </row>
    <row r="725" customFormat="false" ht="15.75" hidden="false" customHeight="false" outlineLevel="0" collapsed="false">
      <c r="A725" s="12"/>
      <c r="B725" s="34"/>
      <c r="C725" s="12"/>
      <c r="D725" s="12"/>
      <c r="E725" s="12"/>
      <c r="F725" s="12"/>
      <c r="G725" s="18"/>
      <c r="H725" s="35"/>
      <c r="I725" s="12"/>
      <c r="M725" s="12"/>
      <c r="N725" s="18"/>
      <c r="O725" s="12"/>
      <c r="P725" s="12"/>
      <c r="Q725" s="12"/>
      <c r="R725" s="36"/>
      <c r="S725" s="36"/>
      <c r="T725" s="12"/>
      <c r="U725" s="12"/>
      <c r="V725" s="12"/>
      <c r="W725" s="12"/>
      <c r="X725" s="12"/>
    </row>
    <row r="726" customFormat="false" ht="15.75" hidden="false" customHeight="false" outlineLevel="0" collapsed="false">
      <c r="A726" s="12"/>
      <c r="B726" s="34"/>
      <c r="C726" s="12"/>
      <c r="D726" s="12"/>
      <c r="E726" s="12"/>
      <c r="F726" s="12"/>
      <c r="G726" s="18"/>
      <c r="H726" s="35"/>
      <c r="I726" s="12"/>
      <c r="M726" s="12"/>
      <c r="N726" s="18"/>
      <c r="O726" s="12"/>
      <c r="P726" s="12"/>
      <c r="Q726" s="12"/>
      <c r="R726" s="36"/>
      <c r="S726" s="36"/>
      <c r="T726" s="12"/>
      <c r="U726" s="12"/>
      <c r="V726" s="12"/>
      <c r="W726" s="12"/>
      <c r="X726" s="12"/>
    </row>
    <row r="727" customFormat="false" ht="15.75" hidden="false" customHeight="false" outlineLevel="0" collapsed="false">
      <c r="A727" s="12"/>
      <c r="B727" s="34"/>
      <c r="C727" s="12"/>
      <c r="D727" s="12"/>
      <c r="E727" s="12"/>
      <c r="F727" s="12"/>
      <c r="G727" s="18"/>
      <c r="H727" s="35"/>
      <c r="I727" s="12"/>
      <c r="M727" s="12"/>
      <c r="N727" s="18"/>
      <c r="O727" s="12"/>
      <c r="P727" s="12"/>
      <c r="Q727" s="12"/>
      <c r="R727" s="36"/>
      <c r="S727" s="36"/>
      <c r="T727" s="12"/>
      <c r="U727" s="12"/>
      <c r="V727" s="12"/>
      <c r="W727" s="12"/>
      <c r="X727" s="12"/>
    </row>
    <row r="728" customFormat="false" ht="15.75" hidden="false" customHeight="false" outlineLevel="0" collapsed="false">
      <c r="A728" s="12"/>
      <c r="B728" s="34"/>
      <c r="C728" s="12"/>
      <c r="D728" s="12"/>
      <c r="E728" s="12"/>
      <c r="F728" s="12"/>
      <c r="G728" s="18"/>
      <c r="H728" s="35"/>
      <c r="I728" s="12"/>
      <c r="M728" s="12"/>
      <c r="N728" s="18"/>
      <c r="O728" s="12"/>
      <c r="P728" s="12"/>
      <c r="Q728" s="12"/>
      <c r="R728" s="36"/>
      <c r="S728" s="36"/>
      <c r="T728" s="12"/>
      <c r="U728" s="12"/>
      <c r="V728" s="12"/>
      <c r="W728" s="12"/>
      <c r="X728" s="12"/>
    </row>
    <row r="729" customFormat="false" ht="15.75" hidden="false" customHeight="false" outlineLevel="0" collapsed="false">
      <c r="A729" s="12"/>
      <c r="B729" s="34"/>
      <c r="C729" s="12"/>
      <c r="D729" s="12"/>
      <c r="E729" s="12"/>
      <c r="F729" s="12"/>
      <c r="G729" s="18"/>
      <c r="H729" s="35"/>
      <c r="I729" s="12"/>
      <c r="M729" s="12"/>
      <c r="N729" s="18"/>
      <c r="O729" s="12"/>
      <c r="P729" s="12"/>
      <c r="Q729" s="12"/>
      <c r="R729" s="36"/>
      <c r="S729" s="36"/>
      <c r="T729" s="12"/>
      <c r="U729" s="12"/>
      <c r="V729" s="12"/>
      <c r="W729" s="12"/>
      <c r="X729" s="12"/>
    </row>
    <row r="730" customFormat="false" ht="15.75" hidden="false" customHeight="false" outlineLevel="0" collapsed="false">
      <c r="A730" s="12"/>
      <c r="B730" s="34"/>
      <c r="C730" s="12"/>
      <c r="D730" s="12"/>
      <c r="E730" s="12"/>
      <c r="F730" s="12"/>
      <c r="G730" s="18"/>
      <c r="H730" s="35"/>
      <c r="I730" s="12"/>
      <c r="M730" s="12"/>
      <c r="N730" s="18"/>
      <c r="O730" s="12"/>
      <c r="P730" s="12"/>
      <c r="Q730" s="12"/>
      <c r="R730" s="36"/>
      <c r="S730" s="36"/>
      <c r="T730" s="12"/>
      <c r="U730" s="12"/>
      <c r="V730" s="12"/>
      <c r="W730" s="12"/>
      <c r="X730" s="12"/>
    </row>
    <row r="731" customFormat="false" ht="15.75" hidden="false" customHeight="false" outlineLevel="0" collapsed="false">
      <c r="A731" s="12"/>
      <c r="B731" s="34"/>
      <c r="C731" s="12"/>
      <c r="D731" s="12"/>
      <c r="E731" s="12"/>
      <c r="F731" s="12"/>
      <c r="G731" s="18"/>
      <c r="H731" s="35"/>
      <c r="I731" s="12"/>
      <c r="M731" s="12"/>
      <c r="N731" s="18"/>
      <c r="O731" s="12"/>
      <c r="P731" s="12"/>
      <c r="Q731" s="12"/>
      <c r="R731" s="36"/>
      <c r="S731" s="36"/>
      <c r="T731" s="12"/>
      <c r="U731" s="12"/>
      <c r="V731" s="12"/>
      <c r="W731" s="12"/>
      <c r="X731" s="12"/>
    </row>
    <row r="732" customFormat="false" ht="15.75" hidden="false" customHeight="false" outlineLevel="0" collapsed="false">
      <c r="A732" s="12"/>
      <c r="B732" s="34"/>
      <c r="C732" s="12"/>
      <c r="D732" s="12"/>
      <c r="E732" s="12"/>
      <c r="F732" s="12"/>
      <c r="G732" s="18"/>
      <c r="H732" s="35"/>
      <c r="I732" s="12"/>
      <c r="M732" s="12"/>
      <c r="N732" s="18"/>
      <c r="O732" s="12"/>
      <c r="P732" s="12"/>
      <c r="Q732" s="12"/>
      <c r="R732" s="36"/>
      <c r="S732" s="36"/>
      <c r="T732" s="12"/>
      <c r="U732" s="12"/>
      <c r="V732" s="12"/>
      <c r="W732" s="12"/>
      <c r="X732" s="12"/>
    </row>
    <row r="733" customFormat="false" ht="15.75" hidden="false" customHeight="false" outlineLevel="0" collapsed="false">
      <c r="A733" s="12"/>
      <c r="B733" s="34"/>
      <c r="C733" s="12"/>
      <c r="D733" s="12"/>
      <c r="E733" s="12"/>
      <c r="F733" s="12"/>
      <c r="G733" s="18"/>
      <c r="H733" s="35"/>
      <c r="I733" s="12"/>
      <c r="M733" s="12"/>
      <c r="N733" s="18"/>
      <c r="O733" s="12"/>
      <c r="P733" s="12"/>
      <c r="Q733" s="12"/>
      <c r="R733" s="36"/>
      <c r="S733" s="36"/>
      <c r="T733" s="12"/>
      <c r="U733" s="12"/>
      <c r="V733" s="12"/>
      <c r="W733" s="12"/>
      <c r="X733" s="12"/>
    </row>
    <row r="734" customFormat="false" ht="15.75" hidden="false" customHeight="false" outlineLevel="0" collapsed="false">
      <c r="A734" s="12"/>
      <c r="B734" s="34"/>
      <c r="C734" s="12"/>
      <c r="D734" s="12"/>
      <c r="E734" s="12"/>
      <c r="F734" s="12"/>
      <c r="G734" s="18"/>
      <c r="H734" s="35"/>
      <c r="I734" s="12"/>
      <c r="M734" s="12"/>
      <c r="N734" s="18"/>
      <c r="O734" s="12"/>
      <c r="P734" s="12"/>
      <c r="Q734" s="12"/>
      <c r="R734" s="36"/>
      <c r="S734" s="36"/>
      <c r="T734" s="12"/>
      <c r="U734" s="12"/>
      <c r="V734" s="12"/>
      <c r="W734" s="12"/>
      <c r="X734" s="12"/>
    </row>
    <row r="735" customFormat="false" ht="15.75" hidden="false" customHeight="false" outlineLevel="0" collapsed="false">
      <c r="A735" s="12"/>
      <c r="B735" s="34"/>
      <c r="C735" s="12"/>
      <c r="D735" s="12"/>
      <c r="E735" s="12"/>
      <c r="F735" s="12"/>
      <c r="G735" s="18"/>
      <c r="H735" s="35"/>
      <c r="I735" s="12"/>
      <c r="M735" s="12"/>
      <c r="N735" s="18"/>
      <c r="O735" s="12"/>
      <c r="P735" s="12"/>
      <c r="Q735" s="12"/>
      <c r="R735" s="36"/>
      <c r="S735" s="36"/>
      <c r="T735" s="12"/>
      <c r="U735" s="12"/>
      <c r="V735" s="12"/>
      <c r="W735" s="12"/>
      <c r="X735" s="12"/>
    </row>
    <row r="736" customFormat="false" ht="15.75" hidden="false" customHeight="false" outlineLevel="0" collapsed="false">
      <c r="A736" s="12"/>
      <c r="B736" s="34"/>
      <c r="C736" s="12"/>
      <c r="D736" s="12"/>
      <c r="E736" s="12"/>
      <c r="F736" s="12"/>
      <c r="G736" s="18"/>
      <c r="H736" s="35"/>
      <c r="I736" s="12"/>
      <c r="M736" s="12"/>
      <c r="N736" s="18"/>
      <c r="O736" s="12"/>
      <c r="P736" s="12"/>
      <c r="Q736" s="12"/>
      <c r="R736" s="36"/>
      <c r="S736" s="36"/>
      <c r="T736" s="12"/>
      <c r="U736" s="12"/>
      <c r="V736" s="12"/>
      <c r="W736" s="12"/>
      <c r="X736" s="12"/>
    </row>
    <row r="737" customFormat="false" ht="15.75" hidden="false" customHeight="false" outlineLevel="0" collapsed="false">
      <c r="A737" s="12"/>
      <c r="B737" s="34"/>
      <c r="C737" s="12"/>
      <c r="D737" s="12"/>
      <c r="E737" s="12"/>
      <c r="F737" s="12"/>
      <c r="G737" s="18"/>
      <c r="H737" s="35"/>
      <c r="I737" s="12"/>
      <c r="M737" s="12"/>
      <c r="N737" s="18"/>
      <c r="O737" s="12"/>
      <c r="P737" s="12"/>
      <c r="Q737" s="12"/>
      <c r="R737" s="36"/>
      <c r="S737" s="36"/>
      <c r="T737" s="12"/>
      <c r="U737" s="12"/>
      <c r="V737" s="12"/>
      <c r="W737" s="12"/>
      <c r="X737" s="12"/>
    </row>
    <row r="738" customFormat="false" ht="15.75" hidden="false" customHeight="false" outlineLevel="0" collapsed="false">
      <c r="A738" s="12"/>
      <c r="B738" s="34"/>
      <c r="C738" s="12"/>
      <c r="D738" s="12"/>
      <c r="E738" s="12"/>
      <c r="F738" s="12"/>
      <c r="G738" s="18"/>
      <c r="H738" s="35"/>
      <c r="I738" s="12"/>
      <c r="M738" s="12"/>
      <c r="N738" s="18"/>
      <c r="O738" s="12"/>
      <c r="P738" s="12"/>
      <c r="Q738" s="12"/>
      <c r="R738" s="36"/>
      <c r="S738" s="36"/>
      <c r="T738" s="12"/>
      <c r="U738" s="12"/>
      <c r="V738" s="12"/>
      <c r="W738" s="12"/>
      <c r="X738" s="12"/>
    </row>
    <row r="739" customFormat="false" ht="15.75" hidden="false" customHeight="false" outlineLevel="0" collapsed="false">
      <c r="A739" s="12"/>
      <c r="B739" s="34"/>
      <c r="C739" s="12"/>
      <c r="D739" s="12"/>
      <c r="E739" s="12"/>
      <c r="F739" s="12"/>
      <c r="G739" s="18"/>
      <c r="H739" s="35"/>
      <c r="I739" s="12"/>
      <c r="M739" s="12"/>
      <c r="N739" s="18"/>
      <c r="O739" s="12"/>
      <c r="P739" s="12"/>
      <c r="Q739" s="12"/>
      <c r="R739" s="36"/>
      <c r="S739" s="36"/>
      <c r="T739" s="12"/>
      <c r="U739" s="12"/>
      <c r="V739" s="12"/>
      <c r="W739" s="12"/>
      <c r="X739" s="12"/>
    </row>
    <row r="740" customFormat="false" ht="15.75" hidden="false" customHeight="false" outlineLevel="0" collapsed="false">
      <c r="A740" s="12"/>
      <c r="B740" s="34"/>
      <c r="C740" s="12"/>
      <c r="D740" s="12"/>
      <c r="E740" s="12"/>
      <c r="F740" s="12"/>
      <c r="G740" s="18"/>
      <c r="H740" s="35"/>
      <c r="I740" s="12"/>
      <c r="M740" s="12"/>
      <c r="N740" s="18"/>
      <c r="O740" s="12"/>
      <c r="P740" s="12"/>
      <c r="Q740" s="12"/>
      <c r="R740" s="36"/>
      <c r="S740" s="36"/>
      <c r="T740" s="12"/>
      <c r="U740" s="12"/>
      <c r="V740" s="12"/>
      <c r="W740" s="12"/>
      <c r="X740" s="12"/>
    </row>
    <row r="741" customFormat="false" ht="15.75" hidden="false" customHeight="false" outlineLevel="0" collapsed="false">
      <c r="A741" s="12"/>
      <c r="B741" s="34"/>
      <c r="C741" s="12"/>
      <c r="D741" s="12"/>
      <c r="E741" s="12"/>
      <c r="F741" s="12"/>
      <c r="G741" s="18"/>
      <c r="H741" s="35"/>
      <c r="I741" s="12"/>
      <c r="M741" s="12"/>
      <c r="N741" s="18"/>
      <c r="O741" s="12"/>
      <c r="P741" s="12"/>
      <c r="Q741" s="12"/>
      <c r="R741" s="36"/>
      <c r="S741" s="36"/>
      <c r="T741" s="12"/>
      <c r="U741" s="12"/>
      <c r="V741" s="12"/>
      <c r="W741" s="12"/>
      <c r="X741" s="12"/>
    </row>
    <row r="742" customFormat="false" ht="15.75" hidden="false" customHeight="false" outlineLevel="0" collapsed="false">
      <c r="A742" s="12"/>
      <c r="B742" s="34"/>
      <c r="C742" s="12"/>
      <c r="D742" s="12"/>
      <c r="E742" s="12"/>
      <c r="F742" s="12"/>
      <c r="G742" s="18"/>
      <c r="H742" s="35"/>
      <c r="I742" s="12"/>
      <c r="M742" s="12"/>
      <c r="N742" s="18"/>
      <c r="O742" s="12"/>
      <c r="P742" s="12"/>
      <c r="Q742" s="12"/>
      <c r="R742" s="36"/>
      <c r="S742" s="36"/>
      <c r="T742" s="12"/>
      <c r="U742" s="12"/>
      <c r="V742" s="12"/>
      <c r="W742" s="12"/>
      <c r="X742" s="12"/>
    </row>
    <row r="743" customFormat="false" ht="15.75" hidden="false" customHeight="false" outlineLevel="0" collapsed="false">
      <c r="A743" s="12"/>
      <c r="B743" s="34"/>
      <c r="C743" s="12"/>
      <c r="D743" s="12"/>
      <c r="E743" s="12"/>
      <c r="F743" s="12"/>
      <c r="G743" s="18"/>
      <c r="H743" s="35"/>
      <c r="I743" s="12"/>
      <c r="M743" s="12"/>
      <c r="N743" s="18"/>
      <c r="O743" s="12"/>
      <c r="P743" s="12"/>
      <c r="Q743" s="12"/>
      <c r="R743" s="36"/>
      <c r="S743" s="36"/>
      <c r="T743" s="12"/>
      <c r="U743" s="12"/>
      <c r="V743" s="12"/>
      <c r="W743" s="12"/>
      <c r="X743" s="12"/>
    </row>
    <row r="744" customFormat="false" ht="15.75" hidden="false" customHeight="false" outlineLevel="0" collapsed="false">
      <c r="A744" s="12"/>
      <c r="B744" s="34"/>
      <c r="C744" s="12"/>
      <c r="D744" s="12"/>
      <c r="E744" s="12"/>
      <c r="F744" s="12"/>
      <c r="G744" s="18"/>
      <c r="H744" s="35"/>
      <c r="I744" s="12"/>
      <c r="M744" s="12"/>
      <c r="N744" s="18"/>
      <c r="O744" s="12"/>
      <c r="P744" s="12"/>
      <c r="Q744" s="12"/>
      <c r="R744" s="36"/>
      <c r="S744" s="36"/>
      <c r="T744" s="12"/>
      <c r="U744" s="12"/>
      <c r="V744" s="12"/>
      <c r="W744" s="12"/>
      <c r="X744" s="12"/>
    </row>
    <row r="745" customFormat="false" ht="15.75" hidden="false" customHeight="false" outlineLevel="0" collapsed="false">
      <c r="A745" s="12"/>
      <c r="B745" s="34"/>
      <c r="C745" s="12"/>
      <c r="D745" s="12"/>
      <c r="E745" s="12"/>
      <c r="F745" s="12"/>
      <c r="G745" s="18"/>
      <c r="H745" s="35"/>
      <c r="I745" s="12"/>
      <c r="M745" s="12"/>
      <c r="N745" s="18"/>
      <c r="O745" s="12"/>
      <c r="P745" s="12"/>
      <c r="Q745" s="12"/>
      <c r="R745" s="36"/>
      <c r="S745" s="36"/>
      <c r="T745" s="12"/>
      <c r="U745" s="12"/>
      <c r="V745" s="12"/>
      <c r="W745" s="12"/>
      <c r="X745" s="12"/>
    </row>
    <row r="746" customFormat="false" ht="15.75" hidden="false" customHeight="false" outlineLevel="0" collapsed="false">
      <c r="A746" s="12"/>
      <c r="B746" s="34"/>
      <c r="C746" s="12"/>
      <c r="D746" s="12"/>
      <c r="E746" s="12"/>
      <c r="F746" s="12"/>
      <c r="G746" s="18"/>
      <c r="H746" s="35"/>
      <c r="I746" s="12"/>
      <c r="M746" s="12"/>
      <c r="N746" s="18"/>
      <c r="O746" s="12"/>
      <c r="P746" s="12"/>
      <c r="Q746" s="12"/>
      <c r="R746" s="36"/>
      <c r="S746" s="36"/>
      <c r="T746" s="12"/>
      <c r="U746" s="12"/>
      <c r="V746" s="12"/>
      <c r="W746" s="12"/>
      <c r="X746" s="12"/>
    </row>
    <row r="747" customFormat="false" ht="15.75" hidden="false" customHeight="false" outlineLevel="0" collapsed="false">
      <c r="A747" s="12"/>
      <c r="B747" s="34"/>
      <c r="C747" s="12"/>
      <c r="D747" s="12"/>
      <c r="E747" s="12"/>
      <c r="F747" s="12"/>
      <c r="G747" s="18"/>
      <c r="H747" s="35"/>
      <c r="I747" s="12"/>
      <c r="M747" s="12"/>
      <c r="N747" s="18"/>
      <c r="O747" s="12"/>
      <c r="P747" s="12"/>
      <c r="Q747" s="12"/>
      <c r="R747" s="36"/>
      <c r="S747" s="36"/>
      <c r="T747" s="12"/>
      <c r="U747" s="12"/>
      <c r="V747" s="12"/>
      <c r="W747" s="12"/>
      <c r="X747" s="12"/>
    </row>
    <row r="748" customFormat="false" ht="15.75" hidden="false" customHeight="false" outlineLevel="0" collapsed="false">
      <c r="A748" s="12"/>
      <c r="B748" s="34"/>
      <c r="C748" s="12"/>
      <c r="D748" s="12"/>
      <c r="E748" s="12"/>
      <c r="F748" s="12"/>
      <c r="G748" s="18"/>
      <c r="H748" s="35"/>
      <c r="I748" s="12"/>
      <c r="M748" s="12"/>
      <c r="N748" s="18"/>
      <c r="O748" s="12"/>
      <c r="P748" s="12"/>
      <c r="Q748" s="12"/>
      <c r="R748" s="36"/>
      <c r="S748" s="36"/>
      <c r="T748" s="12"/>
      <c r="U748" s="12"/>
      <c r="V748" s="12"/>
      <c r="W748" s="12"/>
      <c r="X748" s="12"/>
    </row>
    <row r="749" customFormat="false" ht="15.75" hidden="false" customHeight="false" outlineLevel="0" collapsed="false">
      <c r="A749" s="12"/>
      <c r="B749" s="34"/>
      <c r="C749" s="12"/>
      <c r="D749" s="12"/>
      <c r="E749" s="12"/>
      <c r="F749" s="12"/>
      <c r="G749" s="18"/>
      <c r="H749" s="35"/>
      <c r="I749" s="12"/>
      <c r="M749" s="12"/>
      <c r="N749" s="18"/>
      <c r="O749" s="12"/>
      <c r="P749" s="12"/>
      <c r="Q749" s="12"/>
      <c r="R749" s="36"/>
      <c r="S749" s="36"/>
      <c r="T749" s="12"/>
      <c r="U749" s="12"/>
      <c r="V749" s="12"/>
      <c r="W749" s="12"/>
      <c r="X749" s="12"/>
    </row>
    <row r="750" customFormat="false" ht="15.75" hidden="false" customHeight="false" outlineLevel="0" collapsed="false">
      <c r="A750" s="12"/>
      <c r="B750" s="34"/>
      <c r="C750" s="12"/>
      <c r="D750" s="12"/>
      <c r="E750" s="12"/>
      <c r="F750" s="12"/>
      <c r="G750" s="18"/>
      <c r="H750" s="35"/>
      <c r="I750" s="12"/>
      <c r="M750" s="12"/>
      <c r="N750" s="18"/>
      <c r="O750" s="12"/>
      <c r="P750" s="12"/>
      <c r="Q750" s="12"/>
      <c r="R750" s="36"/>
      <c r="S750" s="36"/>
      <c r="T750" s="12"/>
      <c r="U750" s="12"/>
      <c r="V750" s="12"/>
      <c r="W750" s="12"/>
      <c r="X750" s="12"/>
    </row>
    <row r="751" customFormat="false" ht="15.75" hidden="false" customHeight="false" outlineLevel="0" collapsed="false">
      <c r="A751" s="12"/>
      <c r="B751" s="34"/>
      <c r="C751" s="12"/>
      <c r="D751" s="12"/>
      <c r="E751" s="12"/>
      <c r="F751" s="12"/>
      <c r="G751" s="18"/>
      <c r="H751" s="35"/>
      <c r="I751" s="12"/>
      <c r="M751" s="12"/>
      <c r="N751" s="18"/>
      <c r="O751" s="12"/>
      <c r="P751" s="12"/>
      <c r="Q751" s="12"/>
      <c r="R751" s="36"/>
      <c r="S751" s="36"/>
      <c r="T751" s="12"/>
      <c r="U751" s="12"/>
      <c r="V751" s="12"/>
      <c r="W751" s="12"/>
      <c r="X751" s="12"/>
    </row>
    <row r="752" customFormat="false" ht="15.75" hidden="false" customHeight="false" outlineLevel="0" collapsed="false">
      <c r="A752" s="12"/>
      <c r="B752" s="34"/>
      <c r="C752" s="12"/>
      <c r="D752" s="12"/>
      <c r="E752" s="12"/>
      <c r="F752" s="12"/>
      <c r="G752" s="18"/>
      <c r="H752" s="35"/>
      <c r="I752" s="12"/>
      <c r="M752" s="12"/>
      <c r="N752" s="18"/>
      <c r="O752" s="12"/>
      <c r="P752" s="12"/>
      <c r="Q752" s="12"/>
      <c r="R752" s="36"/>
      <c r="S752" s="36"/>
      <c r="T752" s="12"/>
      <c r="U752" s="12"/>
      <c r="V752" s="12"/>
      <c r="W752" s="12"/>
      <c r="X752" s="12"/>
    </row>
    <row r="753" customFormat="false" ht="15.75" hidden="false" customHeight="false" outlineLevel="0" collapsed="false">
      <c r="A753" s="12"/>
      <c r="B753" s="34"/>
      <c r="C753" s="12"/>
      <c r="D753" s="12"/>
      <c r="E753" s="12"/>
      <c r="F753" s="12"/>
      <c r="G753" s="18"/>
      <c r="H753" s="35"/>
      <c r="I753" s="12"/>
      <c r="M753" s="12"/>
      <c r="N753" s="18"/>
      <c r="O753" s="12"/>
      <c r="P753" s="12"/>
      <c r="Q753" s="12"/>
      <c r="R753" s="36"/>
      <c r="S753" s="36"/>
      <c r="T753" s="12"/>
      <c r="U753" s="12"/>
      <c r="V753" s="12"/>
      <c r="W753" s="12"/>
      <c r="X753" s="12"/>
    </row>
    <row r="754" customFormat="false" ht="15.75" hidden="false" customHeight="false" outlineLevel="0" collapsed="false">
      <c r="A754" s="12"/>
      <c r="B754" s="34"/>
      <c r="C754" s="12"/>
      <c r="D754" s="12"/>
      <c r="E754" s="12"/>
      <c r="F754" s="12"/>
      <c r="G754" s="18"/>
      <c r="H754" s="35"/>
      <c r="I754" s="12"/>
      <c r="M754" s="12"/>
      <c r="N754" s="18"/>
      <c r="O754" s="12"/>
      <c r="P754" s="12"/>
      <c r="Q754" s="12"/>
      <c r="R754" s="36"/>
      <c r="S754" s="36"/>
      <c r="T754" s="12"/>
      <c r="U754" s="12"/>
      <c r="V754" s="12"/>
      <c r="W754" s="12"/>
      <c r="X754" s="12"/>
    </row>
    <row r="755" customFormat="false" ht="15.75" hidden="false" customHeight="false" outlineLevel="0" collapsed="false">
      <c r="A755" s="12"/>
      <c r="B755" s="34"/>
      <c r="C755" s="12"/>
      <c r="D755" s="12"/>
      <c r="E755" s="12"/>
      <c r="F755" s="12"/>
      <c r="G755" s="18"/>
      <c r="H755" s="35"/>
      <c r="I755" s="12"/>
      <c r="M755" s="12"/>
      <c r="N755" s="18"/>
      <c r="O755" s="12"/>
      <c r="P755" s="12"/>
      <c r="Q755" s="12"/>
      <c r="R755" s="36"/>
      <c r="S755" s="36"/>
      <c r="T755" s="12"/>
      <c r="U755" s="12"/>
      <c r="V755" s="12"/>
      <c r="W755" s="12"/>
      <c r="X755" s="12"/>
    </row>
    <row r="756" customFormat="false" ht="15.75" hidden="false" customHeight="false" outlineLevel="0" collapsed="false">
      <c r="A756" s="12"/>
      <c r="B756" s="34"/>
      <c r="C756" s="12"/>
      <c r="D756" s="12"/>
      <c r="E756" s="12"/>
      <c r="F756" s="12"/>
      <c r="G756" s="18"/>
      <c r="H756" s="35"/>
      <c r="I756" s="12"/>
      <c r="M756" s="12"/>
      <c r="N756" s="18"/>
      <c r="O756" s="12"/>
      <c r="P756" s="12"/>
      <c r="Q756" s="12"/>
      <c r="R756" s="36"/>
      <c r="S756" s="36"/>
      <c r="T756" s="12"/>
      <c r="U756" s="12"/>
      <c r="V756" s="12"/>
      <c r="W756" s="12"/>
      <c r="X756" s="12"/>
    </row>
    <row r="757" customFormat="false" ht="15.75" hidden="false" customHeight="false" outlineLevel="0" collapsed="false">
      <c r="A757" s="12"/>
      <c r="B757" s="34"/>
      <c r="C757" s="12"/>
      <c r="D757" s="12"/>
      <c r="E757" s="12"/>
      <c r="F757" s="12"/>
      <c r="G757" s="18"/>
      <c r="H757" s="35"/>
      <c r="I757" s="12"/>
      <c r="M757" s="12"/>
      <c r="N757" s="18"/>
      <c r="O757" s="12"/>
      <c r="P757" s="12"/>
      <c r="Q757" s="12"/>
      <c r="R757" s="36"/>
      <c r="S757" s="36"/>
      <c r="T757" s="12"/>
      <c r="U757" s="12"/>
      <c r="V757" s="12"/>
      <c r="W757" s="12"/>
      <c r="X757" s="12"/>
    </row>
    <row r="758" customFormat="false" ht="15.75" hidden="false" customHeight="false" outlineLevel="0" collapsed="false">
      <c r="A758" s="12"/>
      <c r="B758" s="34"/>
      <c r="C758" s="12"/>
      <c r="D758" s="12"/>
      <c r="E758" s="12"/>
      <c r="F758" s="12"/>
      <c r="G758" s="18"/>
      <c r="H758" s="35"/>
      <c r="I758" s="12"/>
      <c r="M758" s="12"/>
      <c r="N758" s="18"/>
      <c r="O758" s="12"/>
      <c r="P758" s="12"/>
      <c r="Q758" s="12"/>
      <c r="R758" s="36"/>
      <c r="S758" s="36"/>
      <c r="T758" s="12"/>
      <c r="U758" s="12"/>
      <c r="V758" s="12"/>
      <c r="W758" s="12"/>
      <c r="X758" s="12"/>
    </row>
    <row r="759" customFormat="false" ht="15.75" hidden="false" customHeight="false" outlineLevel="0" collapsed="false">
      <c r="A759" s="12"/>
      <c r="B759" s="34"/>
      <c r="C759" s="12"/>
      <c r="D759" s="12"/>
      <c r="E759" s="12"/>
      <c r="F759" s="12"/>
      <c r="G759" s="18"/>
      <c r="H759" s="35"/>
      <c r="I759" s="12"/>
      <c r="M759" s="12"/>
      <c r="N759" s="18"/>
      <c r="O759" s="12"/>
      <c r="P759" s="12"/>
      <c r="Q759" s="12"/>
      <c r="R759" s="36"/>
      <c r="S759" s="36"/>
      <c r="T759" s="12"/>
      <c r="U759" s="12"/>
      <c r="V759" s="12"/>
      <c r="W759" s="12"/>
      <c r="X759" s="12"/>
    </row>
    <row r="760" customFormat="false" ht="15.75" hidden="false" customHeight="false" outlineLevel="0" collapsed="false">
      <c r="A760" s="12"/>
      <c r="B760" s="34"/>
      <c r="C760" s="12"/>
      <c r="D760" s="12"/>
      <c r="E760" s="12"/>
      <c r="F760" s="12"/>
      <c r="G760" s="18"/>
      <c r="H760" s="35"/>
      <c r="I760" s="12"/>
      <c r="M760" s="12"/>
      <c r="N760" s="18"/>
      <c r="O760" s="12"/>
      <c r="P760" s="12"/>
      <c r="Q760" s="12"/>
      <c r="R760" s="36"/>
      <c r="S760" s="36"/>
      <c r="T760" s="12"/>
      <c r="U760" s="12"/>
      <c r="V760" s="12"/>
      <c r="W760" s="12"/>
      <c r="X760" s="12"/>
    </row>
    <row r="761" customFormat="false" ht="15.75" hidden="false" customHeight="false" outlineLevel="0" collapsed="false">
      <c r="A761" s="12"/>
      <c r="B761" s="34"/>
      <c r="C761" s="12"/>
      <c r="D761" s="12"/>
      <c r="E761" s="12"/>
      <c r="F761" s="12"/>
      <c r="G761" s="18"/>
      <c r="H761" s="35"/>
      <c r="I761" s="12"/>
      <c r="M761" s="12"/>
      <c r="N761" s="18"/>
      <c r="O761" s="12"/>
      <c r="P761" s="12"/>
      <c r="Q761" s="12"/>
      <c r="R761" s="36"/>
      <c r="S761" s="36"/>
      <c r="T761" s="12"/>
      <c r="U761" s="12"/>
      <c r="V761" s="12"/>
      <c r="W761" s="12"/>
      <c r="X761" s="12"/>
    </row>
    <row r="762" customFormat="false" ht="15.75" hidden="false" customHeight="false" outlineLevel="0" collapsed="false">
      <c r="A762" s="12"/>
      <c r="B762" s="34"/>
      <c r="C762" s="12"/>
      <c r="D762" s="12"/>
      <c r="E762" s="12"/>
      <c r="F762" s="12"/>
      <c r="G762" s="18"/>
      <c r="H762" s="35"/>
      <c r="I762" s="12"/>
      <c r="M762" s="12"/>
      <c r="N762" s="18"/>
      <c r="O762" s="12"/>
      <c r="P762" s="12"/>
      <c r="Q762" s="12"/>
      <c r="R762" s="36"/>
      <c r="S762" s="36"/>
      <c r="T762" s="12"/>
      <c r="U762" s="12"/>
      <c r="V762" s="12"/>
      <c r="W762" s="12"/>
      <c r="X762" s="12"/>
    </row>
    <row r="763" customFormat="false" ht="15.75" hidden="false" customHeight="false" outlineLevel="0" collapsed="false">
      <c r="A763" s="12"/>
      <c r="B763" s="34"/>
      <c r="C763" s="12"/>
      <c r="D763" s="12"/>
      <c r="E763" s="12"/>
      <c r="F763" s="12"/>
      <c r="G763" s="18"/>
      <c r="H763" s="35"/>
      <c r="I763" s="12"/>
      <c r="M763" s="12"/>
      <c r="N763" s="18"/>
      <c r="O763" s="12"/>
      <c r="P763" s="12"/>
      <c r="Q763" s="12"/>
      <c r="R763" s="36"/>
      <c r="S763" s="36"/>
      <c r="T763" s="12"/>
      <c r="U763" s="12"/>
      <c r="V763" s="12"/>
      <c r="W763" s="12"/>
      <c r="X763" s="12"/>
    </row>
    <row r="764" customFormat="false" ht="15.75" hidden="false" customHeight="false" outlineLevel="0" collapsed="false">
      <c r="A764" s="12"/>
      <c r="B764" s="34"/>
      <c r="C764" s="12"/>
      <c r="D764" s="12"/>
      <c r="E764" s="12"/>
      <c r="F764" s="12"/>
      <c r="G764" s="18"/>
      <c r="H764" s="35"/>
      <c r="I764" s="12"/>
      <c r="M764" s="12"/>
      <c r="N764" s="18"/>
      <c r="O764" s="12"/>
      <c r="P764" s="12"/>
      <c r="Q764" s="12"/>
      <c r="R764" s="36"/>
      <c r="S764" s="36"/>
      <c r="T764" s="12"/>
      <c r="U764" s="12"/>
      <c r="V764" s="12"/>
      <c r="W764" s="12"/>
      <c r="X764" s="12"/>
    </row>
    <row r="765" customFormat="false" ht="15.75" hidden="false" customHeight="false" outlineLevel="0" collapsed="false">
      <c r="A765" s="12"/>
      <c r="B765" s="34"/>
      <c r="C765" s="12"/>
      <c r="D765" s="12"/>
      <c r="E765" s="12"/>
      <c r="F765" s="12"/>
      <c r="G765" s="18"/>
      <c r="H765" s="35"/>
      <c r="I765" s="12"/>
      <c r="M765" s="12"/>
      <c r="N765" s="18"/>
      <c r="O765" s="12"/>
      <c r="P765" s="12"/>
      <c r="Q765" s="12"/>
      <c r="R765" s="36"/>
      <c r="S765" s="36"/>
      <c r="T765" s="12"/>
      <c r="U765" s="12"/>
      <c r="V765" s="12"/>
      <c r="W765" s="12"/>
      <c r="X765" s="12"/>
    </row>
    <row r="766" customFormat="false" ht="15.75" hidden="false" customHeight="false" outlineLevel="0" collapsed="false">
      <c r="A766" s="12"/>
      <c r="B766" s="34"/>
      <c r="C766" s="12"/>
      <c r="D766" s="12"/>
      <c r="E766" s="12"/>
      <c r="F766" s="12"/>
      <c r="G766" s="18"/>
      <c r="H766" s="35"/>
      <c r="I766" s="12"/>
      <c r="M766" s="12"/>
      <c r="N766" s="18"/>
      <c r="O766" s="12"/>
      <c r="P766" s="12"/>
      <c r="Q766" s="12"/>
      <c r="R766" s="36"/>
      <c r="S766" s="36"/>
      <c r="T766" s="12"/>
      <c r="U766" s="12"/>
      <c r="V766" s="12"/>
      <c r="W766" s="12"/>
      <c r="X766" s="12"/>
    </row>
    <row r="767" customFormat="false" ht="15.75" hidden="false" customHeight="false" outlineLevel="0" collapsed="false">
      <c r="A767" s="12"/>
      <c r="B767" s="34"/>
      <c r="C767" s="12"/>
      <c r="D767" s="12"/>
      <c r="E767" s="12"/>
      <c r="F767" s="12"/>
      <c r="G767" s="18"/>
      <c r="H767" s="35"/>
      <c r="I767" s="12"/>
      <c r="M767" s="12"/>
      <c r="N767" s="18"/>
      <c r="O767" s="12"/>
      <c r="P767" s="12"/>
      <c r="Q767" s="12"/>
      <c r="R767" s="36"/>
      <c r="S767" s="36"/>
      <c r="T767" s="12"/>
      <c r="U767" s="12"/>
      <c r="V767" s="12"/>
      <c r="W767" s="12"/>
      <c r="X767" s="12"/>
    </row>
    <row r="768" customFormat="false" ht="15.75" hidden="false" customHeight="false" outlineLevel="0" collapsed="false">
      <c r="A768" s="12"/>
      <c r="B768" s="34"/>
      <c r="C768" s="12"/>
      <c r="D768" s="12"/>
      <c r="E768" s="12"/>
      <c r="F768" s="12"/>
      <c r="G768" s="18"/>
      <c r="H768" s="35"/>
      <c r="I768" s="12"/>
      <c r="M768" s="12"/>
      <c r="N768" s="18"/>
      <c r="O768" s="12"/>
      <c r="P768" s="12"/>
      <c r="Q768" s="12"/>
      <c r="R768" s="36"/>
      <c r="S768" s="36"/>
      <c r="T768" s="12"/>
      <c r="U768" s="12"/>
      <c r="V768" s="12"/>
      <c r="W768" s="12"/>
      <c r="X768" s="12"/>
    </row>
    <row r="769" customFormat="false" ht="15.75" hidden="false" customHeight="false" outlineLevel="0" collapsed="false">
      <c r="A769" s="12"/>
      <c r="B769" s="34"/>
      <c r="C769" s="12"/>
      <c r="D769" s="12"/>
      <c r="E769" s="12"/>
      <c r="F769" s="12"/>
      <c r="G769" s="18"/>
      <c r="H769" s="35"/>
      <c r="I769" s="12"/>
      <c r="M769" s="12"/>
      <c r="N769" s="18"/>
      <c r="O769" s="12"/>
      <c r="P769" s="12"/>
      <c r="Q769" s="12"/>
      <c r="R769" s="36"/>
      <c r="S769" s="36"/>
      <c r="T769" s="12"/>
      <c r="U769" s="12"/>
      <c r="V769" s="12"/>
      <c r="W769" s="12"/>
      <c r="X769" s="12"/>
    </row>
    <row r="770" customFormat="false" ht="15.75" hidden="false" customHeight="false" outlineLevel="0" collapsed="false">
      <c r="A770" s="12"/>
      <c r="B770" s="34"/>
      <c r="C770" s="12"/>
      <c r="D770" s="12"/>
      <c r="E770" s="12"/>
      <c r="F770" s="12"/>
      <c r="G770" s="18"/>
      <c r="H770" s="35"/>
      <c r="I770" s="12"/>
      <c r="M770" s="12"/>
      <c r="N770" s="18"/>
      <c r="O770" s="12"/>
      <c r="P770" s="12"/>
      <c r="Q770" s="12"/>
      <c r="R770" s="36"/>
      <c r="S770" s="36"/>
      <c r="T770" s="12"/>
      <c r="U770" s="12"/>
      <c r="V770" s="12"/>
      <c r="W770" s="12"/>
      <c r="X770" s="12"/>
    </row>
    <row r="771" customFormat="false" ht="15.75" hidden="false" customHeight="false" outlineLevel="0" collapsed="false">
      <c r="A771" s="12"/>
      <c r="B771" s="34"/>
      <c r="C771" s="12"/>
      <c r="D771" s="12"/>
      <c r="E771" s="12"/>
      <c r="F771" s="12"/>
      <c r="G771" s="18"/>
      <c r="H771" s="35"/>
      <c r="I771" s="12"/>
      <c r="M771" s="12"/>
      <c r="N771" s="18"/>
      <c r="O771" s="12"/>
      <c r="P771" s="12"/>
      <c r="Q771" s="12"/>
      <c r="R771" s="36"/>
      <c r="S771" s="36"/>
      <c r="T771" s="12"/>
      <c r="U771" s="12"/>
      <c r="V771" s="12"/>
      <c r="W771" s="12"/>
      <c r="X771" s="12"/>
    </row>
    <row r="772" customFormat="false" ht="15.75" hidden="false" customHeight="false" outlineLevel="0" collapsed="false">
      <c r="A772" s="12"/>
      <c r="B772" s="34"/>
      <c r="C772" s="12"/>
      <c r="D772" s="12"/>
      <c r="E772" s="12"/>
      <c r="F772" s="12"/>
      <c r="G772" s="18"/>
      <c r="H772" s="35"/>
      <c r="I772" s="12"/>
      <c r="M772" s="12"/>
      <c r="N772" s="18"/>
      <c r="O772" s="12"/>
      <c r="P772" s="12"/>
      <c r="Q772" s="12"/>
      <c r="R772" s="36"/>
      <c r="S772" s="36"/>
      <c r="T772" s="12"/>
      <c r="U772" s="12"/>
      <c r="V772" s="12"/>
      <c r="W772" s="12"/>
      <c r="X772" s="12"/>
    </row>
    <row r="773" customFormat="false" ht="15.75" hidden="false" customHeight="false" outlineLevel="0" collapsed="false">
      <c r="A773" s="12"/>
      <c r="B773" s="34"/>
      <c r="C773" s="12"/>
      <c r="D773" s="12"/>
      <c r="E773" s="12"/>
      <c r="F773" s="12"/>
      <c r="G773" s="18"/>
      <c r="H773" s="35"/>
      <c r="I773" s="12"/>
      <c r="M773" s="12"/>
      <c r="N773" s="18"/>
      <c r="O773" s="12"/>
      <c r="P773" s="12"/>
      <c r="Q773" s="12"/>
      <c r="R773" s="36"/>
      <c r="S773" s="36"/>
      <c r="T773" s="12"/>
      <c r="U773" s="12"/>
      <c r="V773" s="12"/>
      <c r="W773" s="12"/>
      <c r="X773" s="12"/>
    </row>
    <row r="774" customFormat="false" ht="15.75" hidden="false" customHeight="false" outlineLevel="0" collapsed="false">
      <c r="A774" s="12"/>
      <c r="B774" s="34"/>
      <c r="C774" s="12"/>
      <c r="D774" s="12"/>
      <c r="E774" s="12"/>
      <c r="F774" s="12"/>
      <c r="G774" s="18"/>
      <c r="H774" s="35"/>
      <c r="I774" s="12"/>
      <c r="M774" s="12"/>
      <c r="N774" s="18"/>
      <c r="O774" s="12"/>
      <c r="P774" s="12"/>
      <c r="Q774" s="12"/>
      <c r="R774" s="36"/>
      <c r="S774" s="36"/>
      <c r="T774" s="12"/>
      <c r="U774" s="12"/>
      <c r="V774" s="12"/>
      <c r="W774" s="12"/>
      <c r="X774" s="12"/>
    </row>
    <row r="775" customFormat="false" ht="15.75" hidden="false" customHeight="false" outlineLevel="0" collapsed="false">
      <c r="A775" s="12"/>
      <c r="B775" s="34"/>
      <c r="C775" s="12"/>
      <c r="D775" s="12"/>
      <c r="E775" s="12"/>
      <c r="F775" s="12"/>
      <c r="G775" s="18"/>
      <c r="H775" s="35"/>
      <c r="I775" s="12"/>
      <c r="M775" s="12"/>
      <c r="N775" s="18"/>
      <c r="O775" s="12"/>
      <c r="P775" s="12"/>
      <c r="Q775" s="12"/>
      <c r="R775" s="36"/>
      <c r="S775" s="36"/>
      <c r="T775" s="12"/>
      <c r="U775" s="12"/>
      <c r="V775" s="12"/>
      <c r="W775" s="12"/>
      <c r="X775" s="12"/>
    </row>
    <row r="776" customFormat="false" ht="15.75" hidden="false" customHeight="false" outlineLevel="0" collapsed="false">
      <c r="A776" s="12"/>
      <c r="B776" s="34"/>
      <c r="C776" s="12"/>
      <c r="D776" s="12"/>
      <c r="E776" s="12"/>
      <c r="F776" s="12"/>
      <c r="G776" s="18"/>
      <c r="H776" s="35"/>
      <c r="I776" s="12"/>
      <c r="M776" s="12"/>
      <c r="N776" s="18"/>
      <c r="O776" s="12"/>
      <c r="P776" s="12"/>
      <c r="Q776" s="12"/>
      <c r="R776" s="36"/>
      <c r="S776" s="36"/>
      <c r="T776" s="12"/>
      <c r="U776" s="12"/>
      <c r="V776" s="12"/>
      <c r="W776" s="12"/>
      <c r="X776" s="12"/>
    </row>
    <row r="777" customFormat="false" ht="15.75" hidden="false" customHeight="false" outlineLevel="0" collapsed="false">
      <c r="A777" s="12"/>
      <c r="B777" s="34"/>
      <c r="C777" s="12"/>
      <c r="D777" s="12"/>
      <c r="E777" s="12"/>
      <c r="F777" s="12"/>
      <c r="G777" s="18"/>
      <c r="H777" s="35"/>
      <c r="I777" s="12"/>
      <c r="M777" s="12"/>
      <c r="N777" s="18"/>
      <c r="O777" s="12"/>
      <c r="P777" s="12"/>
      <c r="Q777" s="12"/>
      <c r="R777" s="36"/>
      <c r="S777" s="36"/>
      <c r="T777" s="12"/>
      <c r="U777" s="12"/>
      <c r="V777" s="12"/>
      <c r="W777" s="12"/>
      <c r="X777" s="12"/>
    </row>
    <row r="778" customFormat="false" ht="15.75" hidden="false" customHeight="false" outlineLevel="0" collapsed="false">
      <c r="A778" s="12"/>
      <c r="B778" s="34"/>
      <c r="C778" s="12"/>
      <c r="D778" s="12"/>
      <c r="E778" s="12"/>
      <c r="F778" s="12"/>
      <c r="G778" s="18"/>
      <c r="H778" s="35"/>
      <c r="I778" s="12"/>
      <c r="M778" s="12"/>
      <c r="N778" s="18"/>
      <c r="O778" s="12"/>
      <c r="P778" s="12"/>
      <c r="Q778" s="12"/>
      <c r="R778" s="36"/>
      <c r="S778" s="36"/>
      <c r="T778" s="12"/>
      <c r="U778" s="12"/>
      <c r="V778" s="12"/>
      <c r="W778" s="12"/>
      <c r="X778" s="12"/>
    </row>
    <row r="779" customFormat="false" ht="15.75" hidden="false" customHeight="false" outlineLevel="0" collapsed="false">
      <c r="A779" s="12"/>
      <c r="B779" s="34"/>
      <c r="C779" s="12"/>
      <c r="D779" s="12"/>
      <c r="E779" s="12"/>
      <c r="F779" s="12"/>
      <c r="G779" s="18"/>
      <c r="H779" s="35"/>
      <c r="I779" s="12"/>
      <c r="M779" s="12"/>
      <c r="N779" s="18"/>
      <c r="O779" s="12"/>
      <c r="P779" s="12"/>
      <c r="Q779" s="12"/>
      <c r="R779" s="36"/>
      <c r="S779" s="36"/>
      <c r="T779" s="12"/>
      <c r="U779" s="12"/>
      <c r="V779" s="12"/>
      <c r="W779" s="12"/>
      <c r="X779" s="12"/>
    </row>
    <row r="780" customFormat="false" ht="15.75" hidden="false" customHeight="false" outlineLevel="0" collapsed="false">
      <c r="A780" s="12"/>
      <c r="B780" s="34"/>
      <c r="C780" s="12"/>
      <c r="D780" s="12"/>
      <c r="E780" s="12"/>
      <c r="F780" s="12"/>
      <c r="G780" s="18"/>
      <c r="H780" s="35"/>
      <c r="I780" s="12"/>
      <c r="M780" s="12"/>
      <c r="N780" s="18"/>
      <c r="O780" s="12"/>
      <c r="P780" s="12"/>
      <c r="Q780" s="12"/>
      <c r="R780" s="36"/>
      <c r="S780" s="36"/>
      <c r="T780" s="12"/>
      <c r="U780" s="12"/>
      <c r="V780" s="12"/>
      <c r="W780" s="12"/>
      <c r="X780" s="12"/>
    </row>
    <row r="781" customFormat="false" ht="15.75" hidden="false" customHeight="false" outlineLevel="0" collapsed="false">
      <c r="A781" s="12"/>
      <c r="B781" s="34"/>
      <c r="C781" s="12"/>
      <c r="D781" s="12"/>
      <c r="E781" s="12"/>
      <c r="F781" s="12"/>
      <c r="G781" s="18"/>
      <c r="H781" s="35"/>
      <c r="I781" s="12"/>
      <c r="M781" s="12"/>
      <c r="N781" s="18"/>
      <c r="O781" s="12"/>
      <c r="P781" s="12"/>
      <c r="Q781" s="12"/>
      <c r="R781" s="36"/>
      <c r="S781" s="36"/>
      <c r="T781" s="12"/>
      <c r="U781" s="12"/>
      <c r="V781" s="12"/>
      <c r="W781" s="12"/>
      <c r="X781" s="12"/>
    </row>
    <row r="782" customFormat="false" ht="15.75" hidden="false" customHeight="false" outlineLevel="0" collapsed="false">
      <c r="A782" s="12"/>
      <c r="B782" s="34"/>
      <c r="C782" s="12"/>
      <c r="D782" s="12"/>
      <c r="E782" s="12"/>
      <c r="F782" s="12"/>
      <c r="G782" s="18"/>
      <c r="H782" s="35"/>
      <c r="I782" s="12"/>
      <c r="M782" s="12"/>
      <c r="N782" s="18"/>
      <c r="O782" s="12"/>
      <c r="P782" s="12"/>
      <c r="Q782" s="12"/>
      <c r="R782" s="36"/>
      <c r="S782" s="36"/>
      <c r="T782" s="12"/>
      <c r="U782" s="12"/>
      <c r="V782" s="12"/>
      <c r="W782" s="12"/>
      <c r="X782" s="12"/>
    </row>
    <row r="783" customFormat="false" ht="15.75" hidden="false" customHeight="false" outlineLevel="0" collapsed="false">
      <c r="A783" s="12"/>
      <c r="B783" s="34"/>
      <c r="C783" s="12"/>
      <c r="D783" s="12"/>
      <c r="E783" s="12"/>
      <c r="F783" s="12"/>
      <c r="G783" s="18"/>
      <c r="H783" s="35"/>
      <c r="I783" s="12"/>
      <c r="M783" s="12"/>
      <c r="N783" s="18"/>
      <c r="O783" s="12"/>
      <c r="P783" s="12"/>
      <c r="Q783" s="12"/>
      <c r="R783" s="36"/>
      <c r="S783" s="36"/>
      <c r="T783" s="12"/>
      <c r="U783" s="12"/>
      <c r="V783" s="12"/>
      <c r="W783" s="12"/>
      <c r="X783" s="12"/>
    </row>
    <row r="784" customFormat="false" ht="15.75" hidden="false" customHeight="false" outlineLevel="0" collapsed="false">
      <c r="A784" s="12"/>
      <c r="B784" s="34"/>
      <c r="C784" s="12"/>
      <c r="D784" s="12"/>
      <c r="E784" s="12"/>
      <c r="F784" s="12"/>
      <c r="G784" s="18"/>
      <c r="H784" s="35"/>
      <c r="I784" s="12"/>
      <c r="M784" s="12"/>
      <c r="N784" s="18"/>
      <c r="O784" s="12"/>
      <c r="P784" s="12"/>
      <c r="Q784" s="12"/>
      <c r="R784" s="36"/>
      <c r="S784" s="36"/>
      <c r="T784" s="12"/>
      <c r="U784" s="12"/>
      <c r="V784" s="12"/>
      <c r="W784" s="12"/>
      <c r="X784" s="12"/>
    </row>
    <row r="785" customFormat="false" ht="15.75" hidden="false" customHeight="false" outlineLevel="0" collapsed="false">
      <c r="A785" s="12"/>
      <c r="B785" s="34"/>
      <c r="C785" s="12"/>
      <c r="D785" s="12"/>
      <c r="E785" s="12"/>
      <c r="F785" s="12"/>
      <c r="G785" s="18"/>
      <c r="H785" s="35"/>
      <c r="I785" s="12"/>
      <c r="M785" s="12"/>
      <c r="N785" s="18"/>
      <c r="O785" s="12"/>
      <c r="P785" s="12"/>
      <c r="Q785" s="12"/>
      <c r="R785" s="36"/>
      <c r="S785" s="36"/>
      <c r="T785" s="12"/>
      <c r="U785" s="12"/>
      <c r="V785" s="12"/>
      <c r="W785" s="12"/>
      <c r="X785" s="12"/>
    </row>
    <row r="786" customFormat="false" ht="15.75" hidden="false" customHeight="false" outlineLevel="0" collapsed="false">
      <c r="A786" s="12"/>
      <c r="B786" s="34"/>
      <c r="C786" s="12"/>
      <c r="D786" s="12"/>
      <c r="E786" s="12"/>
      <c r="F786" s="12"/>
      <c r="G786" s="18"/>
      <c r="H786" s="35"/>
      <c r="I786" s="12"/>
      <c r="M786" s="12"/>
      <c r="N786" s="18"/>
      <c r="O786" s="12"/>
      <c r="P786" s="12"/>
      <c r="Q786" s="12"/>
      <c r="R786" s="36"/>
      <c r="S786" s="36"/>
      <c r="T786" s="12"/>
      <c r="U786" s="12"/>
      <c r="V786" s="12"/>
      <c r="W786" s="12"/>
      <c r="X786" s="12"/>
    </row>
    <row r="787" customFormat="false" ht="15.75" hidden="false" customHeight="false" outlineLevel="0" collapsed="false">
      <c r="A787" s="12"/>
      <c r="B787" s="34"/>
      <c r="C787" s="12"/>
      <c r="D787" s="12"/>
      <c r="E787" s="12"/>
      <c r="F787" s="12"/>
      <c r="G787" s="18"/>
      <c r="H787" s="35"/>
      <c r="I787" s="12"/>
      <c r="M787" s="12"/>
      <c r="N787" s="18"/>
      <c r="O787" s="12"/>
      <c r="P787" s="12"/>
      <c r="Q787" s="12"/>
      <c r="R787" s="36"/>
      <c r="S787" s="36"/>
      <c r="T787" s="12"/>
      <c r="U787" s="12"/>
      <c r="V787" s="12"/>
      <c r="W787" s="12"/>
      <c r="X787" s="12"/>
    </row>
    <row r="788" customFormat="false" ht="15.75" hidden="false" customHeight="false" outlineLevel="0" collapsed="false">
      <c r="A788" s="12"/>
      <c r="B788" s="34"/>
      <c r="C788" s="12"/>
      <c r="D788" s="12"/>
      <c r="E788" s="12"/>
      <c r="F788" s="12"/>
      <c r="G788" s="18"/>
      <c r="H788" s="35"/>
      <c r="I788" s="12"/>
      <c r="M788" s="12"/>
      <c r="N788" s="18"/>
      <c r="O788" s="12"/>
      <c r="P788" s="12"/>
      <c r="Q788" s="12"/>
      <c r="R788" s="36"/>
      <c r="S788" s="36"/>
      <c r="T788" s="12"/>
      <c r="U788" s="12"/>
      <c r="V788" s="12"/>
      <c r="W788" s="12"/>
      <c r="X788" s="12"/>
    </row>
    <row r="789" customFormat="false" ht="15.75" hidden="false" customHeight="false" outlineLevel="0" collapsed="false">
      <c r="A789" s="12"/>
      <c r="B789" s="34"/>
      <c r="C789" s="12"/>
      <c r="D789" s="12"/>
      <c r="E789" s="12"/>
      <c r="F789" s="12"/>
      <c r="G789" s="18"/>
      <c r="H789" s="35"/>
      <c r="I789" s="12"/>
      <c r="M789" s="12"/>
      <c r="N789" s="18"/>
      <c r="O789" s="12"/>
      <c r="P789" s="12"/>
      <c r="Q789" s="12"/>
      <c r="R789" s="36"/>
      <c r="S789" s="36"/>
      <c r="T789" s="12"/>
      <c r="U789" s="12"/>
      <c r="V789" s="12"/>
      <c r="W789" s="12"/>
      <c r="X789" s="12"/>
    </row>
    <row r="790" customFormat="false" ht="15.75" hidden="false" customHeight="false" outlineLevel="0" collapsed="false">
      <c r="A790" s="12"/>
      <c r="B790" s="34"/>
      <c r="C790" s="12"/>
      <c r="D790" s="12"/>
      <c r="E790" s="12"/>
      <c r="F790" s="12"/>
      <c r="G790" s="18"/>
      <c r="H790" s="35"/>
      <c r="I790" s="12"/>
      <c r="M790" s="12"/>
      <c r="N790" s="18"/>
      <c r="O790" s="12"/>
      <c r="P790" s="12"/>
      <c r="Q790" s="12"/>
      <c r="R790" s="36"/>
      <c r="S790" s="36"/>
      <c r="T790" s="12"/>
      <c r="U790" s="12"/>
      <c r="V790" s="12"/>
      <c r="W790" s="12"/>
      <c r="X790" s="12"/>
    </row>
    <row r="791" customFormat="false" ht="15.75" hidden="false" customHeight="false" outlineLevel="0" collapsed="false">
      <c r="A791" s="12"/>
      <c r="B791" s="34"/>
      <c r="C791" s="12"/>
      <c r="D791" s="12"/>
      <c r="E791" s="12"/>
      <c r="F791" s="12"/>
      <c r="G791" s="18"/>
      <c r="H791" s="35"/>
      <c r="I791" s="12"/>
      <c r="M791" s="12"/>
      <c r="N791" s="18"/>
      <c r="O791" s="12"/>
      <c r="P791" s="12"/>
      <c r="Q791" s="12"/>
      <c r="R791" s="36"/>
      <c r="S791" s="36"/>
      <c r="T791" s="12"/>
      <c r="U791" s="12"/>
      <c r="V791" s="12"/>
      <c r="W791" s="12"/>
      <c r="X791" s="12"/>
    </row>
    <row r="792" customFormat="false" ht="15.75" hidden="false" customHeight="false" outlineLevel="0" collapsed="false">
      <c r="A792" s="12"/>
      <c r="B792" s="34"/>
      <c r="C792" s="12"/>
      <c r="D792" s="12"/>
      <c r="E792" s="12"/>
      <c r="F792" s="12"/>
      <c r="G792" s="18"/>
      <c r="H792" s="35"/>
      <c r="I792" s="12"/>
      <c r="M792" s="12"/>
      <c r="N792" s="18"/>
      <c r="O792" s="12"/>
      <c r="P792" s="12"/>
      <c r="Q792" s="12"/>
      <c r="R792" s="36"/>
      <c r="S792" s="36"/>
      <c r="T792" s="12"/>
      <c r="U792" s="12"/>
      <c r="V792" s="12"/>
      <c r="W792" s="12"/>
      <c r="X792" s="12"/>
    </row>
    <row r="793" customFormat="false" ht="15.75" hidden="false" customHeight="false" outlineLevel="0" collapsed="false">
      <c r="A793" s="12"/>
      <c r="B793" s="34"/>
      <c r="C793" s="12"/>
      <c r="D793" s="12"/>
      <c r="E793" s="12"/>
      <c r="F793" s="12"/>
      <c r="G793" s="18"/>
      <c r="H793" s="35"/>
      <c r="I793" s="12"/>
      <c r="M793" s="12"/>
      <c r="N793" s="18"/>
      <c r="O793" s="12"/>
      <c r="P793" s="12"/>
      <c r="Q793" s="12"/>
      <c r="R793" s="36"/>
      <c r="S793" s="36"/>
      <c r="T793" s="12"/>
      <c r="U793" s="12"/>
      <c r="V793" s="12"/>
      <c r="W793" s="12"/>
      <c r="X793" s="12"/>
    </row>
    <row r="794" customFormat="false" ht="15.75" hidden="false" customHeight="false" outlineLevel="0" collapsed="false">
      <c r="A794" s="12"/>
      <c r="B794" s="34"/>
      <c r="C794" s="12"/>
      <c r="D794" s="12"/>
      <c r="E794" s="12"/>
      <c r="F794" s="12"/>
      <c r="G794" s="18"/>
      <c r="H794" s="35"/>
      <c r="I794" s="12"/>
      <c r="M794" s="12"/>
      <c r="N794" s="18"/>
      <c r="O794" s="12"/>
      <c r="P794" s="12"/>
      <c r="Q794" s="12"/>
      <c r="R794" s="36"/>
      <c r="S794" s="36"/>
      <c r="T794" s="12"/>
      <c r="U794" s="12"/>
      <c r="V794" s="12"/>
      <c r="W794" s="12"/>
      <c r="X794" s="12"/>
    </row>
    <row r="795" customFormat="false" ht="15.75" hidden="false" customHeight="false" outlineLevel="0" collapsed="false">
      <c r="A795" s="12"/>
      <c r="B795" s="34"/>
      <c r="C795" s="12"/>
      <c r="D795" s="12"/>
      <c r="E795" s="12"/>
      <c r="F795" s="12"/>
      <c r="G795" s="18"/>
      <c r="H795" s="35"/>
      <c r="I795" s="12"/>
      <c r="M795" s="12"/>
      <c r="N795" s="18"/>
      <c r="O795" s="12"/>
      <c r="P795" s="12"/>
      <c r="Q795" s="12"/>
      <c r="R795" s="36"/>
      <c r="S795" s="36"/>
      <c r="T795" s="12"/>
      <c r="U795" s="12"/>
      <c r="V795" s="12"/>
      <c r="W795" s="12"/>
      <c r="X795" s="12"/>
    </row>
    <row r="796" customFormat="false" ht="15.75" hidden="false" customHeight="false" outlineLevel="0" collapsed="false">
      <c r="A796" s="12"/>
      <c r="B796" s="34"/>
      <c r="C796" s="12"/>
      <c r="D796" s="12"/>
      <c r="E796" s="12"/>
      <c r="F796" s="12"/>
      <c r="G796" s="18"/>
      <c r="H796" s="35"/>
      <c r="I796" s="12"/>
      <c r="M796" s="12"/>
      <c r="N796" s="18"/>
      <c r="O796" s="12"/>
      <c r="P796" s="12"/>
      <c r="Q796" s="12"/>
      <c r="R796" s="36"/>
      <c r="S796" s="36"/>
      <c r="T796" s="12"/>
      <c r="U796" s="12"/>
      <c r="V796" s="12"/>
      <c r="W796" s="12"/>
      <c r="X796" s="12"/>
    </row>
    <row r="797" customFormat="false" ht="15.75" hidden="false" customHeight="false" outlineLevel="0" collapsed="false">
      <c r="A797" s="12"/>
      <c r="B797" s="34"/>
      <c r="C797" s="12"/>
      <c r="D797" s="12"/>
      <c r="E797" s="12"/>
      <c r="F797" s="12"/>
      <c r="G797" s="18"/>
      <c r="H797" s="35"/>
      <c r="I797" s="12"/>
      <c r="M797" s="12"/>
      <c r="N797" s="18"/>
      <c r="O797" s="12"/>
      <c r="P797" s="12"/>
      <c r="Q797" s="12"/>
      <c r="R797" s="36"/>
      <c r="S797" s="36"/>
      <c r="T797" s="12"/>
      <c r="U797" s="12"/>
      <c r="V797" s="12"/>
      <c r="W797" s="12"/>
      <c r="X797" s="12"/>
    </row>
    <row r="798" customFormat="false" ht="15.75" hidden="false" customHeight="false" outlineLevel="0" collapsed="false">
      <c r="A798" s="12"/>
      <c r="B798" s="34"/>
      <c r="C798" s="12"/>
      <c r="D798" s="12"/>
      <c r="E798" s="12"/>
      <c r="F798" s="12"/>
      <c r="G798" s="18"/>
      <c r="H798" s="35"/>
      <c r="I798" s="12"/>
      <c r="M798" s="12"/>
      <c r="N798" s="18"/>
      <c r="O798" s="12"/>
      <c r="P798" s="12"/>
      <c r="Q798" s="12"/>
      <c r="R798" s="36"/>
      <c r="S798" s="36"/>
      <c r="T798" s="12"/>
      <c r="U798" s="12"/>
      <c r="V798" s="12"/>
      <c r="W798" s="12"/>
      <c r="X798" s="12"/>
    </row>
    <row r="799" customFormat="false" ht="15.75" hidden="false" customHeight="false" outlineLevel="0" collapsed="false">
      <c r="A799" s="12"/>
      <c r="B799" s="34"/>
      <c r="C799" s="12"/>
      <c r="D799" s="12"/>
      <c r="E799" s="12"/>
      <c r="F799" s="12"/>
      <c r="G799" s="18"/>
      <c r="H799" s="35"/>
      <c r="I799" s="12"/>
      <c r="M799" s="12"/>
      <c r="N799" s="18"/>
      <c r="O799" s="12"/>
      <c r="P799" s="12"/>
      <c r="Q799" s="12"/>
      <c r="R799" s="36"/>
      <c r="S799" s="36"/>
      <c r="T799" s="12"/>
      <c r="U799" s="12"/>
      <c r="V799" s="12"/>
      <c r="W799" s="12"/>
      <c r="X799" s="12"/>
    </row>
    <row r="800" customFormat="false" ht="15.75" hidden="false" customHeight="false" outlineLevel="0" collapsed="false">
      <c r="A800" s="12"/>
      <c r="B800" s="34"/>
      <c r="C800" s="12"/>
      <c r="D800" s="12"/>
      <c r="E800" s="12"/>
      <c r="F800" s="12"/>
      <c r="G800" s="18"/>
      <c r="H800" s="35"/>
      <c r="I800" s="12"/>
      <c r="M800" s="12"/>
      <c r="N800" s="18"/>
      <c r="O800" s="12"/>
      <c r="P800" s="12"/>
      <c r="Q800" s="12"/>
      <c r="R800" s="36"/>
      <c r="S800" s="36"/>
      <c r="T800" s="12"/>
      <c r="U800" s="12"/>
      <c r="V800" s="12"/>
      <c r="W800" s="12"/>
      <c r="X800" s="12"/>
    </row>
    <row r="801" customFormat="false" ht="15.75" hidden="false" customHeight="false" outlineLevel="0" collapsed="false">
      <c r="A801" s="12"/>
      <c r="B801" s="34"/>
      <c r="C801" s="12"/>
      <c r="D801" s="12"/>
      <c r="E801" s="12"/>
      <c r="F801" s="12"/>
      <c r="G801" s="18"/>
      <c r="H801" s="35"/>
      <c r="I801" s="12"/>
      <c r="M801" s="12"/>
      <c r="N801" s="18"/>
      <c r="O801" s="12"/>
      <c r="P801" s="12"/>
      <c r="Q801" s="12"/>
      <c r="R801" s="36"/>
      <c r="S801" s="36"/>
      <c r="T801" s="12"/>
      <c r="U801" s="12"/>
      <c r="V801" s="12"/>
      <c r="W801" s="12"/>
      <c r="X801" s="12"/>
    </row>
    <row r="802" customFormat="false" ht="15.75" hidden="false" customHeight="false" outlineLevel="0" collapsed="false">
      <c r="A802" s="12"/>
      <c r="B802" s="34"/>
      <c r="C802" s="12"/>
      <c r="D802" s="12"/>
      <c r="E802" s="12"/>
      <c r="F802" s="12"/>
      <c r="G802" s="18"/>
      <c r="H802" s="35"/>
      <c r="I802" s="12"/>
      <c r="M802" s="12"/>
      <c r="N802" s="18"/>
      <c r="O802" s="12"/>
      <c r="P802" s="12"/>
      <c r="Q802" s="12"/>
      <c r="R802" s="36"/>
      <c r="S802" s="36"/>
      <c r="T802" s="12"/>
      <c r="U802" s="12"/>
      <c r="V802" s="12"/>
      <c r="W802" s="12"/>
      <c r="X802" s="12"/>
    </row>
    <row r="803" customFormat="false" ht="15.75" hidden="false" customHeight="false" outlineLevel="0" collapsed="false">
      <c r="A803" s="12"/>
      <c r="B803" s="34"/>
      <c r="C803" s="12"/>
      <c r="D803" s="12"/>
      <c r="E803" s="12"/>
      <c r="F803" s="12"/>
      <c r="G803" s="18"/>
      <c r="H803" s="35"/>
      <c r="I803" s="12"/>
      <c r="M803" s="12"/>
      <c r="N803" s="18"/>
      <c r="O803" s="12"/>
      <c r="P803" s="12"/>
      <c r="Q803" s="12"/>
      <c r="R803" s="36"/>
      <c r="S803" s="36"/>
      <c r="T803" s="12"/>
      <c r="U803" s="12"/>
      <c r="V803" s="12"/>
      <c r="W803" s="12"/>
      <c r="X803" s="12"/>
    </row>
    <row r="804" customFormat="false" ht="15.75" hidden="false" customHeight="false" outlineLevel="0" collapsed="false">
      <c r="A804" s="12"/>
      <c r="B804" s="34"/>
      <c r="C804" s="12"/>
      <c r="D804" s="12"/>
      <c r="E804" s="12"/>
      <c r="F804" s="12"/>
      <c r="G804" s="18"/>
      <c r="H804" s="35"/>
      <c r="I804" s="12"/>
      <c r="M804" s="12"/>
      <c r="N804" s="18"/>
      <c r="O804" s="12"/>
      <c r="P804" s="12"/>
      <c r="Q804" s="12"/>
      <c r="R804" s="36"/>
      <c r="S804" s="36"/>
      <c r="T804" s="12"/>
      <c r="U804" s="12"/>
      <c r="V804" s="12"/>
      <c r="W804" s="12"/>
      <c r="X804" s="12"/>
    </row>
    <row r="805" customFormat="false" ht="15.75" hidden="false" customHeight="false" outlineLevel="0" collapsed="false">
      <c r="A805" s="12"/>
      <c r="B805" s="34"/>
      <c r="C805" s="12"/>
      <c r="D805" s="12"/>
      <c r="E805" s="12"/>
      <c r="F805" s="12"/>
      <c r="G805" s="18"/>
      <c r="H805" s="35"/>
      <c r="I805" s="12"/>
      <c r="M805" s="12"/>
      <c r="N805" s="18"/>
      <c r="O805" s="12"/>
      <c r="P805" s="12"/>
      <c r="Q805" s="12"/>
      <c r="R805" s="36"/>
      <c r="S805" s="36"/>
      <c r="T805" s="12"/>
      <c r="U805" s="12"/>
      <c r="V805" s="12"/>
      <c r="W805" s="12"/>
      <c r="X805" s="12"/>
    </row>
    <row r="806" customFormat="false" ht="15.75" hidden="false" customHeight="false" outlineLevel="0" collapsed="false">
      <c r="A806" s="12"/>
      <c r="B806" s="34"/>
      <c r="C806" s="12"/>
      <c r="D806" s="12"/>
      <c r="E806" s="12"/>
      <c r="F806" s="12"/>
      <c r="G806" s="18"/>
      <c r="H806" s="35"/>
      <c r="I806" s="12"/>
      <c r="M806" s="12"/>
      <c r="N806" s="18"/>
      <c r="O806" s="12"/>
      <c r="P806" s="12"/>
      <c r="Q806" s="12"/>
      <c r="R806" s="36"/>
      <c r="S806" s="36"/>
      <c r="T806" s="12"/>
      <c r="U806" s="12"/>
      <c r="V806" s="12"/>
      <c r="W806" s="12"/>
      <c r="X806" s="12"/>
    </row>
    <row r="807" customFormat="false" ht="15.75" hidden="false" customHeight="false" outlineLevel="0" collapsed="false">
      <c r="A807" s="12"/>
      <c r="B807" s="34"/>
      <c r="C807" s="12"/>
      <c r="D807" s="12"/>
      <c r="E807" s="12"/>
      <c r="F807" s="12"/>
      <c r="G807" s="18"/>
      <c r="H807" s="35"/>
      <c r="I807" s="12"/>
      <c r="M807" s="12"/>
      <c r="N807" s="18"/>
      <c r="O807" s="12"/>
      <c r="P807" s="12"/>
      <c r="Q807" s="12"/>
      <c r="R807" s="36"/>
      <c r="S807" s="36"/>
      <c r="T807" s="12"/>
      <c r="U807" s="12"/>
      <c r="V807" s="12"/>
      <c r="W807" s="12"/>
      <c r="X807" s="12"/>
    </row>
    <row r="808" customFormat="false" ht="15.75" hidden="false" customHeight="false" outlineLevel="0" collapsed="false">
      <c r="A808" s="12"/>
      <c r="B808" s="34"/>
      <c r="C808" s="12"/>
      <c r="D808" s="12"/>
      <c r="E808" s="12"/>
      <c r="F808" s="12"/>
      <c r="G808" s="18"/>
      <c r="H808" s="35"/>
      <c r="I808" s="12"/>
      <c r="M808" s="12"/>
      <c r="N808" s="18"/>
      <c r="O808" s="12"/>
      <c r="P808" s="12"/>
      <c r="Q808" s="12"/>
      <c r="R808" s="36"/>
      <c r="S808" s="36"/>
      <c r="T808" s="12"/>
      <c r="U808" s="12"/>
      <c r="V808" s="12"/>
      <c r="W808" s="12"/>
      <c r="X808" s="12"/>
    </row>
    <row r="809" customFormat="false" ht="15.75" hidden="false" customHeight="false" outlineLevel="0" collapsed="false">
      <c r="A809" s="12"/>
      <c r="B809" s="34"/>
      <c r="C809" s="12"/>
      <c r="D809" s="12"/>
      <c r="E809" s="12"/>
      <c r="F809" s="12"/>
      <c r="G809" s="18"/>
      <c r="H809" s="35"/>
      <c r="I809" s="12"/>
      <c r="M809" s="12"/>
      <c r="N809" s="18"/>
      <c r="O809" s="12"/>
      <c r="P809" s="12"/>
      <c r="Q809" s="12"/>
      <c r="R809" s="36"/>
      <c r="S809" s="36"/>
      <c r="T809" s="12"/>
      <c r="U809" s="12"/>
      <c r="V809" s="12"/>
      <c r="W809" s="12"/>
      <c r="X809" s="12"/>
    </row>
    <row r="810" customFormat="false" ht="15.75" hidden="false" customHeight="false" outlineLevel="0" collapsed="false">
      <c r="A810" s="12"/>
      <c r="B810" s="34"/>
      <c r="C810" s="12"/>
      <c r="D810" s="12"/>
      <c r="E810" s="12"/>
      <c r="F810" s="12"/>
      <c r="G810" s="18"/>
      <c r="H810" s="35"/>
      <c r="I810" s="12"/>
      <c r="M810" s="12"/>
      <c r="N810" s="18"/>
      <c r="O810" s="12"/>
      <c r="P810" s="12"/>
      <c r="Q810" s="12"/>
      <c r="R810" s="36"/>
      <c r="S810" s="36"/>
      <c r="T810" s="12"/>
      <c r="U810" s="12"/>
      <c r="V810" s="12"/>
      <c r="W810" s="12"/>
      <c r="X810" s="12"/>
    </row>
    <row r="811" customFormat="false" ht="15.75" hidden="false" customHeight="false" outlineLevel="0" collapsed="false">
      <c r="A811" s="12"/>
      <c r="B811" s="34"/>
      <c r="C811" s="12"/>
      <c r="D811" s="12"/>
      <c r="E811" s="12"/>
      <c r="F811" s="12"/>
      <c r="G811" s="18"/>
      <c r="H811" s="35"/>
      <c r="I811" s="12"/>
      <c r="M811" s="12"/>
      <c r="N811" s="18"/>
      <c r="O811" s="12"/>
      <c r="P811" s="12"/>
      <c r="Q811" s="12"/>
      <c r="R811" s="36"/>
      <c r="S811" s="36"/>
      <c r="T811" s="12"/>
      <c r="U811" s="12"/>
      <c r="V811" s="12"/>
      <c r="W811" s="12"/>
      <c r="X811" s="12"/>
    </row>
    <row r="812" customFormat="false" ht="15.75" hidden="false" customHeight="false" outlineLevel="0" collapsed="false">
      <c r="A812" s="12"/>
      <c r="B812" s="34"/>
      <c r="C812" s="12"/>
      <c r="D812" s="12"/>
      <c r="E812" s="12"/>
      <c r="F812" s="12"/>
      <c r="G812" s="18"/>
      <c r="H812" s="35"/>
      <c r="I812" s="12"/>
      <c r="M812" s="12"/>
      <c r="N812" s="18"/>
      <c r="O812" s="12"/>
      <c r="P812" s="12"/>
      <c r="Q812" s="12"/>
      <c r="R812" s="36"/>
      <c r="S812" s="36"/>
      <c r="T812" s="12"/>
      <c r="U812" s="12"/>
      <c r="V812" s="12"/>
      <c r="W812" s="12"/>
      <c r="X812" s="12"/>
    </row>
    <row r="813" customFormat="false" ht="15.75" hidden="false" customHeight="false" outlineLevel="0" collapsed="false">
      <c r="A813" s="12"/>
      <c r="B813" s="34"/>
      <c r="C813" s="12"/>
      <c r="D813" s="12"/>
      <c r="E813" s="12"/>
      <c r="F813" s="12"/>
      <c r="G813" s="18"/>
      <c r="H813" s="35"/>
      <c r="I813" s="12"/>
      <c r="M813" s="12"/>
      <c r="N813" s="18"/>
      <c r="O813" s="12"/>
      <c r="P813" s="12"/>
      <c r="Q813" s="12"/>
      <c r="R813" s="36"/>
      <c r="S813" s="36"/>
      <c r="T813" s="12"/>
      <c r="U813" s="12"/>
      <c r="V813" s="12"/>
      <c r="W813" s="12"/>
      <c r="X813" s="12"/>
    </row>
    <row r="814" customFormat="false" ht="15.75" hidden="false" customHeight="false" outlineLevel="0" collapsed="false">
      <c r="A814" s="12"/>
      <c r="B814" s="34"/>
      <c r="C814" s="12"/>
      <c r="D814" s="12"/>
      <c r="E814" s="12"/>
      <c r="F814" s="12"/>
      <c r="G814" s="18"/>
      <c r="H814" s="35"/>
      <c r="I814" s="12"/>
      <c r="M814" s="12"/>
      <c r="N814" s="18"/>
      <c r="O814" s="12"/>
      <c r="P814" s="12"/>
      <c r="Q814" s="12"/>
      <c r="R814" s="36"/>
      <c r="S814" s="36"/>
      <c r="T814" s="12"/>
      <c r="U814" s="12"/>
      <c r="V814" s="12"/>
      <c r="W814" s="12"/>
      <c r="X814" s="12"/>
    </row>
    <row r="815" customFormat="false" ht="15.75" hidden="false" customHeight="false" outlineLevel="0" collapsed="false">
      <c r="A815" s="12"/>
      <c r="B815" s="34"/>
      <c r="C815" s="12"/>
      <c r="D815" s="12"/>
      <c r="E815" s="12"/>
      <c r="F815" s="12"/>
      <c r="G815" s="18"/>
      <c r="H815" s="35"/>
      <c r="I815" s="12"/>
      <c r="M815" s="12"/>
      <c r="N815" s="18"/>
      <c r="O815" s="12"/>
      <c r="P815" s="12"/>
      <c r="Q815" s="12"/>
      <c r="R815" s="36"/>
      <c r="S815" s="36"/>
      <c r="T815" s="12"/>
      <c r="U815" s="12"/>
      <c r="V815" s="12"/>
      <c r="W815" s="12"/>
      <c r="X815" s="12"/>
    </row>
    <row r="816" customFormat="false" ht="15.75" hidden="false" customHeight="false" outlineLevel="0" collapsed="false">
      <c r="A816" s="12"/>
      <c r="B816" s="34"/>
      <c r="C816" s="12"/>
      <c r="D816" s="12"/>
      <c r="E816" s="12"/>
      <c r="F816" s="12"/>
      <c r="G816" s="18"/>
      <c r="H816" s="35"/>
      <c r="I816" s="12"/>
      <c r="M816" s="12"/>
      <c r="N816" s="18"/>
      <c r="O816" s="12"/>
      <c r="P816" s="12"/>
      <c r="Q816" s="12"/>
      <c r="R816" s="36"/>
      <c r="S816" s="36"/>
      <c r="T816" s="12"/>
      <c r="U816" s="12"/>
      <c r="V816" s="12"/>
      <c r="W816" s="12"/>
      <c r="X816" s="12"/>
    </row>
    <row r="817" customFormat="false" ht="15.75" hidden="false" customHeight="false" outlineLevel="0" collapsed="false">
      <c r="A817" s="12"/>
      <c r="B817" s="34"/>
      <c r="C817" s="12"/>
      <c r="D817" s="12"/>
      <c r="E817" s="12"/>
      <c r="F817" s="12"/>
      <c r="G817" s="18"/>
      <c r="H817" s="35"/>
      <c r="I817" s="12"/>
      <c r="M817" s="12"/>
      <c r="N817" s="18"/>
      <c r="O817" s="12"/>
      <c r="P817" s="12"/>
      <c r="Q817" s="12"/>
      <c r="R817" s="36"/>
      <c r="S817" s="36"/>
      <c r="T817" s="12"/>
      <c r="U817" s="12"/>
      <c r="V817" s="12"/>
      <c r="W817" s="12"/>
      <c r="X817" s="12"/>
    </row>
    <row r="818" customFormat="false" ht="15.75" hidden="false" customHeight="false" outlineLevel="0" collapsed="false">
      <c r="A818" s="12"/>
      <c r="B818" s="34"/>
      <c r="C818" s="12"/>
      <c r="D818" s="12"/>
      <c r="E818" s="12"/>
      <c r="F818" s="12"/>
      <c r="G818" s="18"/>
      <c r="H818" s="35"/>
      <c r="I818" s="12"/>
      <c r="M818" s="12"/>
      <c r="N818" s="18"/>
      <c r="O818" s="12"/>
      <c r="P818" s="12"/>
      <c r="Q818" s="12"/>
      <c r="R818" s="36"/>
      <c r="S818" s="36"/>
      <c r="T818" s="12"/>
      <c r="U818" s="12"/>
      <c r="V818" s="12"/>
      <c r="W818" s="12"/>
      <c r="X818" s="12"/>
    </row>
    <row r="819" customFormat="false" ht="15.75" hidden="false" customHeight="false" outlineLevel="0" collapsed="false">
      <c r="A819" s="12"/>
      <c r="B819" s="34"/>
      <c r="C819" s="12"/>
      <c r="D819" s="12"/>
      <c r="E819" s="12"/>
      <c r="F819" s="12"/>
      <c r="G819" s="18"/>
      <c r="H819" s="35"/>
      <c r="I819" s="12"/>
      <c r="M819" s="12"/>
      <c r="N819" s="18"/>
      <c r="O819" s="12"/>
      <c r="P819" s="12"/>
      <c r="Q819" s="12"/>
      <c r="R819" s="36"/>
      <c r="S819" s="36"/>
      <c r="T819" s="12"/>
      <c r="U819" s="12"/>
      <c r="V819" s="12"/>
      <c r="W819" s="12"/>
      <c r="X819" s="12"/>
    </row>
    <row r="820" customFormat="false" ht="15.75" hidden="false" customHeight="false" outlineLevel="0" collapsed="false">
      <c r="A820" s="12"/>
      <c r="B820" s="34"/>
      <c r="C820" s="12"/>
      <c r="D820" s="12"/>
      <c r="E820" s="12"/>
      <c r="F820" s="12"/>
      <c r="G820" s="18"/>
      <c r="H820" s="35"/>
      <c r="I820" s="12"/>
      <c r="M820" s="12"/>
      <c r="N820" s="18"/>
      <c r="O820" s="12"/>
      <c r="P820" s="12"/>
      <c r="Q820" s="12"/>
      <c r="R820" s="36"/>
      <c r="S820" s="36"/>
      <c r="T820" s="12"/>
      <c r="U820" s="12"/>
      <c r="V820" s="12"/>
      <c r="W820" s="12"/>
      <c r="X820" s="12"/>
    </row>
    <row r="821" customFormat="false" ht="15.75" hidden="false" customHeight="false" outlineLevel="0" collapsed="false">
      <c r="A821" s="12"/>
      <c r="B821" s="34"/>
      <c r="C821" s="12"/>
      <c r="D821" s="12"/>
      <c r="E821" s="12"/>
      <c r="F821" s="12"/>
      <c r="G821" s="18"/>
      <c r="H821" s="35"/>
      <c r="I821" s="12"/>
      <c r="M821" s="12"/>
      <c r="N821" s="18"/>
      <c r="O821" s="12"/>
      <c r="P821" s="12"/>
      <c r="Q821" s="12"/>
      <c r="R821" s="36"/>
      <c r="S821" s="36"/>
      <c r="T821" s="12"/>
      <c r="U821" s="12"/>
      <c r="V821" s="12"/>
      <c r="W821" s="12"/>
      <c r="X821" s="12"/>
    </row>
    <row r="822" customFormat="false" ht="15.75" hidden="false" customHeight="false" outlineLevel="0" collapsed="false">
      <c r="A822" s="12"/>
      <c r="B822" s="34"/>
      <c r="C822" s="12"/>
      <c r="D822" s="12"/>
      <c r="E822" s="12"/>
      <c r="F822" s="12"/>
      <c r="G822" s="18"/>
      <c r="H822" s="35"/>
      <c r="I822" s="12"/>
      <c r="M822" s="12"/>
      <c r="N822" s="18"/>
      <c r="O822" s="12"/>
      <c r="P822" s="12"/>
      <c r="Q822" s="12"/>
      <c r="R822" s="36"/>
      <c r="S822" s="36"/>
      <c r="T822" s="12"/>
      <c r="U822" s="12"/>
      <c r="V822" s="12"/>
      <c r="W822" s="12"/>
      <c r="X822" s="12"/>
    </row>
    <row r="823" customFormat="false" ht="15.75" hidden="false" customHeight="false" outlineLevel="0" collapsed="false">
      <c r="A823" s="12"/>
      <c r="B823" s="34"/>
      <c r="C823" s="12"/>
      <c r="D823" s="12"/>
      <c r="E823" s="12"/>
      <c r="F823" s="12"/>
      <c r="G823" s="18"/>
      <c r="H823" s="35"/>
      <c r="I823" s="12"/>
      <c r="M823" s="12"/>
      <c r="N823" s="18"/>
      <c r="O823" s="12"/>
      <c r="P823" s="12"/>
      <c r="Q823" s="12"/>
      <c r="R823" s="36"/>
      <c r="S823" s="36"/>
      <c r="T823" s="12"/>
      <c r="U823" s="12"/>
      <c r="V823" s="12"/>
      <c r="W823" s="12"/>
      <c r="X823" s="12"/>
    </row>
    <row r="824" customFormat="false" ht="15.75" hidden="false" customHeight="false" outlineLevel="0" collapsed="false">
      <c r="A824" s="12"/>
      <c r="B824" s="34"/>
      <c r="C824" s="12"/>
      <c r="D824" s="12"/>
      <c r="E824" s="12"/>
      <c r="F824" s="12"/>
      <c r="G824" s="18"/>
      <c r="H824" s="35"/>
      <c r="I824" s="12"/>
      <c r="M824" s="12"/>
      <c r="N824" s="18"/>
      <c r="O824" s="12"/>
      <c r="P824" s="12"/>
      <c r="Q824" s="12"/>
      <c r="R824" s="36"/>
      <c r="S824" s="36"/>
      <c r="T824" s="12"/>
      <c r="U824" s="12"/>
      <c r="V824" s="12"/>
      <c r="W824" s="12"/>
      <c r="X824" s="12"/>
    </row>
    <row r="825" customFormat="false" ht="15.75" hidden="false" customHeight="false" outlineLevel="0" collapsed="false">
      <c r="A825" s="12"/>
      <c r="B825" s="34"/>
      <c r="C825" s="12"/>
      <c r="D825" s="12"/>
      <c r="E825" s="12"/>
      <c r="F825" s="12"/>
      <c r="G825" s="18"/>
      <c r="H825" s="35"/>
      <c r="I825" s="12"/>
      <c r="M825" s="12"/>
      <c r="N825" s="18"/>
      <c r="O825" s="12"/>
      <c r="P825" s="12"/>
      <c r="Q825" s="12"/>
      <c r="R825" s="36"/>
      <c r="S825" s="36"/>
      <c r="T825" s="12"/>
      <c r="U825" s="12"/>
      <c r="V825" s="12"/>
      <c r="W825" s="12"/>
      <c r="X825" s="12"/>
    </row>
    <row r="826" customFormat="false" ht="15.75" hidden="false" customHeight="false" outlineLevel="0" collapsed="false">
      <c r="A826" s="12"/>
      <c r="B826" s="34"/>
      <c r="C826" s="12"/>
      <c r="D826" s="12"/>
      <c r="E826" s="12"/>
      <c r="F826" s="12"/>
      <c r="G826" s="18"/>
      <c r="H826" s="35"/>
      <c r="I826" s="12"/>
      <c r="M826" s="12"/>
      <c r="N826" s="18"/>
      <c r="O826" s="12"/>
      <c r="P826" s="12"/>
      <c r="Q826" s="12"/>
      <c r="R826" s="36"/>
      <c r="S826" s="36"/>
      <c r="T826" s="12"/>
      <c r="U826" s="12"/>
      <c r="V826" s="12"/>
      <c r="W826" s="12"/>
      <c r="X826" s="12"/>
    </row>
    <row r="827" customFormat="false" ht="15.75" hidden="false" customHeight="false" outlineLevel="0" collapsed="false">
      <c r="A827" s="12"/>
      <c r="B827" s="34"/>
      <c r="C827" s="12"/>
      <c r="D827" s="12"/>
      <c r="E827" s="12"/>
      <c r="F827" s="12"/>
      <c r="G827" s="18"/>
      <c r="H827" s="35"/>
      <c r="I827" s="12"/>
      <c r="M827" s="12"/>
      <c r="N827" s="18"/>
      <c r="O827" s="12"/>
      <c r="P827" s="12"/>
      <c r="Q827" s="12"/>
      <c r="R827" s="36"/>
      <c r="S827" s="36"/>
      <c r="T827" s="12"/>
      <c r="U827" s="12"/>
      <c r="V827" s="12"/>
      <c r="W827" s="12"/>
      <c r="X827" s="12"/>
    </row>
    <row r="828" customFormat="false" ht="15.75" hidden="false" customHeight="false" outlineLevel="0" collapsed="false">
      <c r="A828" s="12"/>
      <c r="B828" s="34"/>
      <c r="C828" s="12"/>
      <c r="D828" s="12"/>
      <c r="E828" s="12"/>
      <c r="F828" s="12"/>
      <c r="G828" s="18"/>
      <c r="H828" s="35"/>
      <c r="I828" s="12"/>
      <c r="M828" s="12"/>
      <c r="N828" s="18"/>
      <c r="O828" s="12"/>
      <c r="P828" s="12"/>
      <c r="Q828" s="12"/>
      <c r="R828" s="36"/>
      <c r="S828" s="36"/>
      <c r="T828" s="12"/>
      <c r="U828" s="12"/>
      <c r="V828" s="12"/>
      <c r="W828" s="12"/>
      <c r="X828" s="12"/>
    </row>
    <row r="829" customFormat="false" ht="15.75" hidden="false" customHeight="false" outlineLevel="0" collapsed="false">
      <c r="A829" s="12"/>
      <c r="B829" s="34"/>
      <c r="C829" s="12"/>
      <c r="D829" s="12"/>
      <c r="E829" s="12"/>
      <c r="F829" s="12"/>
      <c r="G829" s="18"/>
      <c r="H829" s="35"/>
      <c r="I829" s="12"/>
      <c r="M829" s="12"/>
      <c r="N829" s="18"/>
      <c r="O829" s="12"/>
      <c r="P829" s="12"/>
      <c r="Q829" s="12"/>
      <c r="R829" s="36"/>
      <c r="S829" s="36"/>
      <c r="T829" s="12"/>
      <c r="U829" s="12"/>
      <c r="V829" s="12"/>
      <c r="W829" s="12"/>
      <c r="X829" s="12"/>
    </row>
    <row r="830" customFormat="false" ht="15.75" hidden="false" customHeight="false" outlineLevel="0" collapsed="false">
      <c r="A830" s="12"/>
      <c r="B830" s="34"/>
      <c r="C830" s="12"/>
      <c r="D830" s="12"/>
      <c r="E830" s="12"/>
      <c r="F830" s="12"/>
      <c r="G830" s="18"/>
      <c r="H830" s="35"/>
      <c r="I830" s="12"/>
      <c r="M830" s="12"/>
      <c r="N830" s="18"/>
      <c r="O830" s="12"/>
      <c r="P830" s="12"/>
      <c r="Q830" s="12"/>
      <c r="R830" s="36"/>
      <c r="S830" s="36"/>
      <c r="T830" s="12"/>
      <c r="U830" s="12"/>
      <c r="V830" s="12"/>
      <c r="W830" s="12"/>
      <c r="X830" s="12"/>
    </row>
    <row r="831" customFormat="false" ht="15.75" hidden="false" customHeight="false" outlineLevel="0" collapsed="false">
      <c r="A831" s="12"/>
      <c r="B831" s="34"/>
      <c r="C831" s="12"/>
      <c r="D831" s="12"/>
      <c r="E831" s="12"/>
      <c r="F831" s="12"/>
      <c r="G831" s="18"/>
      <c r="H831" s="35"/>
      <c r="I831" s="12"/>
      <c r="M831" s="12"/>
      <c r="N831" s="18"/>
      <c r="O831" s="12"/>
      <c r="P831" s="12"/>
      <c r="Q831" s="12"/>
      <c r="R831" s="36"/>
      <c r="S831" s="36"/>
      <c r="T831" s="12"/>
      <c r="U831" s="12"/>
      <c r="V831" s="12"/>
      <c r="W831" s="12"/>
      <c r="X831" s="12"/>
    </row>
    <row r="832" customFormat="false" ht="15.75" hidden="false" customHeight="false" outlineLevel="0" collapsed="false">
      <c r="A832" s="12"/>
      <c r="B832" s="34"/>
      <c r="C832" s="12"/>
      <c r="D832" s="12"/>
      <c r="E832" s="12"/>
      <c r="F832" s="12"/>
      <c r="G832" s="18"/>
      <c r="H832" s="35"/>
      <c r="I832" s="12"/>
      <c r="M832" s="12"/>
      <c r="N832" s="18"/>
      <c r="O832" s="12"/>
      <c r="P832" s="12"/>
      <c r="Q832" s="12"/>
      <c r="R832" s="36"/>
      <c r="S832" s="36"/>
      <c r="T832" s="12"/>
      <c r="U832" s="12"/>
      <c r="V832" s="12"/>
      <c r="W832" s="12"/>
      <c r="X832" s="12"/>
    </row>
    <row r="833" customFormat="false" ht="15.75" hidden="false" customHeight="false" outlineLevel="0" collapsed="false">
      <c r="A833" s="12"/>
      <c r="B833" s="34"/>
      <c r="C833" s="12"/>
      <c r="D833" s="12"/>
      <c r="E833" s="12"/>
      <c r="F833" s="12"/>
      <c r="G833" s="18"/>
      <c r="H833" s="35"/>
      <c r="I833" s="12"/>
      <c r="M833" s="12"/>
      <c r="N833" s="18"/>
      <c r="O833" s="12"/>
      <c r="P833" s="12"/>
      <c r="Q833" s="12"/>
      <c r="R833" s="36"/>
      <c r="S833" s="36"/>
      <c r="T833" s="12"/>
      <c r="U833" s="12"/>
      <c r="V833" s="12"/>
      <c r="W833" s="12"/>
      <c r="X833" s="12"/>
    </row>
    <row r="834" customFormat="false" ht="15.75" hidden="false" customHeight="false" outlineLevel="0" collapsed="false">
      <c r="A834" s="12"/>
      <c r="B834" s="34"/>
      <c r="C834" s="12"/>
      <c r="D834" s="12"/>
      <c r="E834" s="12"/>
      <c r="F834" s="12"/>
      <c r="G834" s="18"/>
      <c r="H834" s="35"/>
      <c r="I834" s="12"/>
      <c r="M834" s="12"/>
      <c r="N834" s="18"/>
      <c r="O834" s="12"/>
      <c r="P834" s="12"/>
      <c r="Q834" s="12"/>
      <c r="R834" s="36"/>
      <c r="S834" s="36"/>
      <c r="T834" s="12"/>
      <c r="U834" s="12"/>
      <c r="V834" s="12"/>
      <c r="W834" s="12"/>
      <c r="X834" s="12"/>
    </row>
    <row r="835" customFormat="false" ht="15.75" hidden="false" customHeight="false" outlineLevel="0" collapsed="false">
      <c r="A835" s="12"/>
      <c r="B835" s="34"/>
      <c r="C835" s="12"/>
      <c r="D835" s="12"/>
      <c r="E835" s="12"/>
      <c r="F835" s="12"/>
      <c r="G835" s="18"/>
      <c r="H835" s="35"/>
      <c r="I835" s="12"/>
      <c r="M835" s="12"/>
      <c r="N835" s="18"/>
      <c r="O835" s="12"/>
      <c r="P835" s="12"/>
      <c r="Q835" s="12"/>
      <c r="R835" s="36"/>
      <c r="S835" s="36"/>
      <c r="T835" s="12"/>
      <c r="U835" s="12"/>
      <c r="V835" s="12"/>
      <c r="W835" s="12"/>
      <c r="X835" s="12"/>
    </row>
    <row r="836" customFormat="false" ht="15.75" hidden="false" customHeight="false" outlineLevel="0" collapsed="false">
      <c r="A836" s="12"/>
      <c r="B836" s="34"/>
      <c r="C836" s="12"/>
      <c r="D836" s="12"/>
      <c r="E836" s="12"/>
      <c r="F836" s="12"/>
      <c r="G836" s="18"/>
      <c r="H836" s="35"/>
      <c r="I836" s="12"/>
      <c r="M836" s="12"/>
      <c r="N836" s="18"/>
      <c r="O836" s="12"/>
      <c r="P836" s="12"/>
      <c r="Q836" s="12"/>
      <c r="R836" s="36"/>
      <c r="S836" s="36"/>
      <c r="T836" s="12"/>
      <c r="U836" s="12"/>
      <c r="V836" s="12"/>
      <c r="W836" s="12"/>
      <c r="X836" s="12"/>
    </row>
    <row r="837" customFormat="false" ht="15.75" hidden="false" customHeight="false" outlineLevel="0" collapsed="false">
      <c r="A837" s="12"/>
      <c r="B837" s="34"/>
      <c r="C837" s="12"/>
      <c r="D837" s="12"/>
      <c r="E837" s="12"/>
      <c r="F837" s="12"/>
      <c r="G837" s="18"/>
      <c r="H837" s="35"/>
      <c r="I837" s="12"/>
      <c r="M837" s="12"/>
      <c r="N837" s="18"/>
      <c r="O837" s="12"/>
      <c r="P837" s="12"/>
      <c r="Q837" s="12"/>
      <c r="R837" s="36"/>
      <c r="S837" s="36"/>
      <c r="T837" s="12"/>
      <c r="U837" s="12"/>
      <c r="V837" s="12"/>
      <c r="W837" s="12"/>
      <c r="X837" s="12"/>
    </row>
    <row r="838" customFormat="false" ht="15.75" hidden="false" customHeight="false" outlineLevel="0" collapsed="false">
      <c r="A838" s="12"/>
      <c r="B838" s="34"/>
      <c r="C838" s="12"/>
      <c r="D838" s="12"/>
      <c r="E838" s="12"/>
      <c r="F838" s="12"/>
      <c r="G838" s="18"/>
      <c r="H838" s="35"/>
      <c r="I838" s="12"/>
      <c r="M838" s="12"/>
      <c r="N838" s="18"/>
      <c r="O838" s="12"/>
      <c r="P838" s="12"/>
      <c r="Q838" s="12"/>
      <c r="R838" s="36"/>
      <c r="S838" s="36"/>
      <c r="T838" s="12"/>
      <c r="U838" s="12"/>
      <c r="V838" s="12"/>
      <c r="W838" s="12"/>
      <c r="X838" s="12"/>
    </row>
    <row r="839" customFormat="false" ht="15.75" hidden="false" customHeight="false" outlineLevel="0" collapsed="false">
      <c r="A839" s="12"/>
      <c r="B839" s="34"/>
      <c r="C839" s="12"/>
      <c r="D839" s="12"/>
      <c r="E839" s="12"/>
      <c r="F839" s="12"/>
      <c r="G839" s="18"/>
      <c r="H839" s="35"/>
      <c r="I839" s="12"/>
      <c r="M839" s="12"/>
      <c r="N839" s="18"/>
      <c r="O839" s="12"/>
      <c r="P839" s="12"/>
      <c r="Q839" s="12"/>
      <c r="R839" s="36"/>
      <c r="S839" s="36"/>
      <c r="T839" s="12"/>
      <c r="U839" s="12"/>
      <c r="V839" s="12"/>
      <c r="W839" s="12"/>
      <c r="X839" s="12"/>
    </row>
    <row r="840" customFormat="false" ht="15.75" hidden="false" customHeight="false" outlineLevel="0" collapsed="false">
      <c r="A840" s="12"/>
      <c r="B840" s="34"/>
      <c r="C840" s="12"/>
      <c r="D840" s="12"/>
      <c r="E840" s="12"/>
      <c r="F840" s="12"/>
      <c r="G840" s="18"/>
      <c r="H840" s="35"/>
      <c r="I840" s="12"/>
      <c r="M840" s="12"/>
      <c r="N840" s="18"/>
      <c r="O840" s="12"/>
      <c r="P840" s="12"/>
      <c r="Q840" s="12"/>
      <c r="R840" s="36"/>
      <c r="S840" s="36"/>
      <c r="T840" s="12"/>
      <c r="U840" s="12"/>
      <c r="V840" s="12"/>
      <c r="W840" s="12"/>
      <c r="X840" s="12"/>
    </row>
    <row r="841" customFormat="false" ht="15.75" hidden="false" customHeight="false" outlineLevel="0" collapsed="false">
      <c r="A841" s="12"/>
      <c r="B841" s="34"/>
      <c r="C841" s="12"/>
      <c r="D841" s="12"/>
      <c r="E841" s="12"/>
      <c r="F841" s="12"/>
      <c r="G841" s="18"/>
      <c r="H841" s="35"/>
      <c r="I841" s="12"/>
      <c r="M841" s="12"/>
      <c r="N841" s="18"/>
      <c r="O841" s="12"/>
      <c r="P841" s="12"/>
      <c r="Q841" s="12"/>
      <c r="R841" s="36"/>
      <c r="S841" s="36"/>
      <c r="T841" s="12"/>
      <c r="U841" s="12"/>
      <c r="V841" s="12"/>
      <c r="W841" s="12"/>
      <c r="X841" s="12"/>
    </row>
    <row r="842" customFormat="false" ht="15.75" hidden="false" customHeight="false" outlineLevel="0" collapsed="false">
      <c r="A842" s="12"/>
      <c r="B842" s="34"/>
      <c r="C842" s="12"/>
      <c r="D842" s="12"/>
      <c r="E842" s="12"/>
      <c r="F842" s="12"/>
      <c r="G842" s="18"/>
      <c r="H842" s="35"/>
      <c r="I842" s="12"/>
      <c r="M842" s="12"/>
      <c r="N842" s="18"/>
      <c r="O842" s="12"/>
      <c r="P842" s="12"/>
      <c r="Q842" s="12"/>
      <c r="R842" s="36"/>
      <c r="S842" s="36"/>
      <c r="T842" s="12"/>
      <c r="U842" s="12"/>
      <c r="V842" s="12"/>
      <c r="W842" s="12"/>
      <c r="X842" s="12"/>
    </row>
    <row r="843" customFormat="false" ht="15.75" hidden="false" customHeight="false" outlineLevel="0" collapsed="false">
      <c r="A843" s="12"/>
      <c r="B843" s="34"/>
      <c r="C843" s="12"/>
      <c r="D843" s="12"/>
      <c r="E843" s="12"/>
      <c r="F843" s="12"/>
      <c r="G843" s="18"/>
      <c r="H843" s="35"/>
      <c r="I843" s="12"/>
      <c r="M843" s="12"/>
      <c r="N843" s="18"/>
      <c r="O843" s="12"/>
      <c r="P843" s="12"/>
      <c r="Q843" s="12"/>
      <c r="R843" s="36"/>
      <c r="S843" s="36"/>
      <c r="T843" s="12"/>
      <c r="U843" s="12"/>
      <c r="V843" s="12"/>
      <c r="W843" s="12"/>
      <c r="X843" s="12"/>
    </row>
    <row r="844" customFormat="false" ht="15.75" hidden="false" customHeight="false" outlineLevel="0" collapsed="false">
      <c r="A844" s="12"/>
      <c r="B844" s="34"/>
      <c r="C844" s="12"/>
      <c r="D844" s="12"/>
      <c r="E844" s="12"/>
      <c r="F844" s="12"/>
      <c r="G844" s="18"/>
      <c r="H844" s="35"/>
      <c r="I844" s="12"/>
      <c r="M844" s="12"/>
      <c r="N844" s="18"/>
      <c r="O844" s="12"/>
      <c r="P844" s="12"/>
      <c r="Q844" s="12"/>
      <c r="R844" s="36"/>
      <c r="S844" s="36"/>
      <c r="T844" s="12"/>
      <c r="U844" s="12"/>
      <c r="V844" s="12"/>
      <c r="W844" s="12"/>
      <c r="X844" s="12"/>
    </row>
    <row r="845" customFormat="false" ht="15.75" hidden="false" customHeight="false" outlineLevel="0" collapsed="false">
      <c r="A845" s="12"/>
      <c r="B845" s="34"/>
      <c r="C845" s="12"/>
      <c r="D845" s="12"/>
      <c r="E845" s="12"/>
      <c r="F845" s="12"/>
      <c r="G845" s="18"/>
      <c r="H845" s="35"/>
      <c r="I845" s="12"/>
      <c r="M845" s="12"/>
      <c r="N845" s="18"/>
      <c r="O845" s="12"/>
      <c r="P845" s="12"/>
      <c r="Q845" s="12"/>
      <c r="R845" s="36"/>
      <c r="S845" s="36"/>
      <c r="T845" s="12"/>
      <c r="U845" s="12"/>
      <c r="V845" s="12"/>
      <c r="W845" s="12"/>
      <c r="X845" s="12"/>
    </row>
    <row r="846" customFormat="false" ht="15.75" hidden="false" customHeight="false" outlineLevel="0" collapsed="false">
      <c r="A846" s="12"/>
      <c r="B846" s="34"/>
      <c r="C846" s="12"/>
      <c r="D846" s="12"/>
      <c r="E846" s="12"/>
      <c r="F846" s="12"/>
      <c r="G846" s="18"/>
      <c r="H846" s="35"/>
      <c r="I846" s="12"/>
      <c r="M846" s="12"/>
      <c r="N846" s="18"/>
      <c r="O846" s="12"/>
      <c r="P846" s="12"/>
      <c r="Q846" s="12"/>
      <c r="R846" s="36"/>
      <c r="S846" s="36"/>
      <c r="T846" s="12"/>
      <c r="U846" s="12"/>
      <c r="V846" s="12"/>
      <c r="W846" s="12"/>
      <c r="X846" s="12"/>
    </row>
    <row r="847" customFormat="false" ht="15.75" hidden="false" customHeight="false" outlineLevel="0" collapsed="false">
      <c r="A847" s="12"/>
      <c r="B847" s="34"/>
      <c r="C847" s="12"/>
      <c r="D847" s="12"/>
      <c r="E847" s="12"/>
      <c r="F847" s="12"/>
      <c r="G847" s="18"/>
      <c r="H847" s="35"/>
      <c r="I847" s="12"/>
      <c r="M847" s="12"/>
      <c r="N847" s="18"/>
      <c r="O847" s="12"/>
      <c r="P847" s="12"/>
      <c r="Q847" s="12"/>
      <c r="R847" s="36"/>
      <c r="S847" s="36"/>
      <c r="T847" s="12"/>
      <c r="U847" s="12"/>
      <c r="V847" s="12"/>
      <c r="W847" s="12"/>
      <c r="X847" s="12"/>
    </row>
    <row r="848" customFormat="false" ht="15.75" hidden="false" customHeight="false" outlineLevel="0" collapsed="false">
      <c r="A848" s="12"/>
      <c r="B848" s="34"/>
      <c r="C848" s="12"/>
      <c r="D848" s="12"/>
      <c r="E848" s="12"/>
      <c r="F848" s="12"/>
      <c r="G848" s="18"/>
      <c r="H848" s="35"/>
      <c r="I848" s="12"/>
      <c r="M848" s="12"/>
      <c r="N848" s="18"/>
      <c r="O848" s="12"/>
      <c r="P848" s="12"/>
      <c r="Q848" s="12"/>
      <c r="R848" s="36"/>
      <c r="S848" s="36"/>
      <c r="T848" s="12"/>
      <c r="U848" s="12"/>
      <c r="V848" s="12"/>
      <c r="W848" s="12"/>
      <c r="X848" s="12"/>
    </row>
    <row r="849" customFormat="false" ht="15.75" hidden="false" customHeight="false" outlineLevel="0" collapsed="false">
      <c r="A849" s="12"/>
      <c r="B849" s="34"/>
      <c r="C849" s="12"/>
      <c r="D849" s="12"/>
      <c r="E849" s="12"/>
      <c r="F849" s="12"/>
      <c r="G849" s="18"/>
      <c r="H849" s="35"/>
      <c r="I849" s="12"/>
      <c r="M849" s="12"/>
      <c r="N849" s="18"/>
      <c r="O849" s="12"/>
      <c r="P849" s="12"/>
      <c r="Q849" s="12"/>
      <c r="R849" s="36"/>
      <c r="S849" s="36"/>
      <c r="T849" s="12"/>
      <c r="U849" s="12"/>
      <c r="V849" s="12"/>
      <c r="W849" s="12"/>
      <c r="X849" s="12"/>
    </row>
    <row r="850" customFormat="false" ht="15.75" hidden="false" customHeight="false" outlineLevel="0" collapsed="false">
      <c r="A850" s="12"/>
      <c r="B850" s="34"/>
      <c r="C850" s="12"/>
      <c r="D850" s="12"/>
      <c r="E850" s="12"/>
      <c r="F850" s="12"/>
      <c r="G850" s="18"/>
      <c r="H850" s="35"/>
      <c r="I850" s="12"/>
      <c r="M850" s="12"/>
      <c r="N850" s="18"/>
      <c r="O850" s="12"/>
      <c r="P850" s="12"/>
      <c r="Q850" s="12"/>
      <c r="R850" s="36"/>
      <c r="S850" s="36"/>
      <c r="T850" s="12"/>
      <c r="U850" s="12"/>
      <c r="V850" s="12"/>
      <c r="W850" s="12"/>
      <c r="X850" s="12"/>
    </row>
    <row r="851" customFormat="false" ht="15.75" hidden="false" customHeight="false" outlineLevel="0" collapsed="false">
      <c r="A851" s="12"/>
      <c r="B851" s="34"/>
      <c r="C851" s="12"/>
      <c r="D851" s="12"/>
      <c r="E851" s="12"/>
      <c r="F851" s="12"/>
      <c r="G851" s="18"/>
      <c r="H851" s="35"/>
      <c r="I851" s="12"/>
      <c r="M851" s="12"/>
      <c r="N851" s="18"/>
      <c r="O851" s="12"/>
      <c r="P851" s="12"/>
      <c r="Q851" s="12"/>
      <c r="R851" s="36"/>
      <c r="S851" s="36"/>
      <c r="T851" s="12"/>
      <c r="U851" s="12"/>
      <c r="V851" s="12"/>
      <c r="W851" s="12"/>
      <c r="X851" s="12"/>
    </row>
    <row r="852" customFormat="false" ht="15.75" hidden="false" customHeight="false" outlineLevel="0" collapsed="false">
      <c r="A852" s="12"/>
      <c r="B852" s="34"/>
      <c r="C852" s="12"/>
      <c r="D852" s="12"/>
      <c r="E852" s="12"/>
      <c r="F852" s="12"/>
      <c r="G852" s="18"/>
      <c r="H852" s="35"/>
      <c r="I852" s="12"/>
      <c r="M852" s="12"/>
      <c r="N852" s="18"/>
      <c r="O852" s="12"/>
      <c r="P852" s="12"/>
      <c r="Q852" s="12"/>
      <c r="R852" s="36"/>
      <c r="S852" s="36"/>
      <c r="T852" s="12"/>
      <c r="U852" s="12"/>
      <c r="V852" s="12"/>
      <c r="W852" s="12"/>
      <c r="X852" s="12"/>
    </row>
    <row r="853" customFormat="false" ht="15.75" hidden="false" customHeight="false" outlineLevel="0" collapsed="false">
      <c r="A853" s="12"/>
      <c r="B853" s="34"/>
      <c r="C853" s="12"/>
      <c r="D853" s="12"/>
      <c r="E853" s="12"/>
      <c r="F853" s="12"/>
      <c r="G853" s="18"/>
      <c r="H853" s="35"/>
      <c r="I853" s="12"/>
      <c r="M853" s="12"/>
      <c r="N853" s="18"/>
      <c r="O853" s="12"/>
      <c r="P853" s="12"/>
      <c r="Q853" s="12"/>
      <c r="R853" s="36"/>
      <c r="S853" s="36"/>
      <c r="T853" s="12"/>
      <c r="U853" s="12"/>
      <c r="V853" s="12"/>
      <c r="W853" s="12"/>
      <c r="X853" s="12"/>
    </row>
    <row r="854" customFormat="false" ht="15.75" hidden="false" customHeight="false" outlineLevel="0" collapsed="false">
      <c r="A854" s="12"/>
      <c r="B854" s="34"/>
      <c r="C854" s="12"/>
      <c r="D854" s="12"/>
      <c r="E854" s="12"/>
      <c r="F854" s="12"/>
      <c r="G854" s="18"/>
      <c r="H854" s="35"/>
      <c r="I854" s="12"/>
      <c r="M854" s="12"/>
      <c r="N854" s="18"/>
      <c r="O854" s="12"/>
      <c r="P854" s="12"/>
      <c r="Q854" s="12"/>
      <c r="R854" s="36"/>
      <c r="S854" s="36"/>
      <c r="T854" s="12"/>
      <c r="U854" s="12"/>
      <c r="V854" s="12"/>
      <c r="W854" s="12"/>
      <c r="X854" s="12"/>
    </row>
    <row r="855" customFormat="false" ht="15.75" hidden="false" customHeight="false" outlineLevel="0" collapsed="false">
      <c r="A855" s="12"/>
      <c r="B855" s="34"/>
      <c r="C855" s="12"/>
      <c r="D855" s="12"/>
      <c r="E855" s="12"/>
      <c r="F855" s="12"/>
      <c r="G855" s="18"/>
      <c r="H855" s="35"/>
      <c r="I855" s="12"/>
      <c r="M855" s="12"/>
      <c r="N855" s="18"/>
      <c r="O855" s="12"/>
      <c r="P855" s="12"/>
      <c r="Q855" s="12"/>
      <c r="R855" s="36"/>
      <c r="S855" s="36"/>
      <c r="T855" s="12"/>
      <c r="U855" s="12"/>
      <c r="V855" s="12"/>
      <c r="W855" s="12"/>
      <c r="X855" s="12"/>
    </row>
    <row r="856" customFormat="false" ht="15.75" hidden="false" customHeight="false" outlineLevel="0" collapsed="false">
      <c r="A856" s="12"/>
      <c r="B856" s="34"/>
      <c r="C856" s="12"/>
      <c r="D856" s="12"/>
      <c r="E856" s="12"/>
      <c r="F856" s="12"/>
      <c r="G856" s="18"/>
      <c r="H856" s="35"/>
      <c r="I856" s="12"/>
      <c r="M856" s="12"/>
      <c r="N856" s="18"/>
      <c r="O856" s="12"/>
      <c r="P856" s="12"/>
      <c r="Q856" s="12"/>
      <c r="R856" s="36"/>
      <c r="S856" s="36"/>
      <c r="T856" s="12"/>
      <c r="U856" s="12"/>
      <c r="V856" s="12"/>
      <c r="W856" s="12"/>
      <c r="X856" s="12"/>
    </row>
    <row r="857" customFormat="false" ht="15.75" hidden="false" customHeight="false" outlineLevel="0" collapsed="false">
      <c r="A857" s="12"/>
      <c r="B857" s="34"/>
      <c r="C857" s="12"/>
      <c r="D857" s="12"/>
      <c r="E857" s="12"/>
      <c r="F857" s="12"/>
      <c r="G857" s="18"/>
      <c r="H857" s="35"/>
      <c r="I857" s="12"/>
      <c r="M857" s="12"/>
      <c r="N857" s="18"/>
      <c r="O857" s="12"/>
      <c r="P857" s="12"/>
      <c r="Q857" s="12"/>
      <c r="R857" s="36"/>
      <c r="S857" s="36"/>
      <c r="T857" s="12"/>
      <c r="U857" s="12"/>
      <c r="V857" s="12"/>
      <c r="W857" s="12"/>
      <c r="X857" s="12"/>
    </row>
    <row r="858" customFormat="false" ht="15.75" hidden="false" customHeight="false" outlineLevel="0" collapsed="false">
      <c r="A858" s="12"/>
      <c r="B858" s="34"/>
      <c r="C858" s="12"/>
      <c r="D858" s="12"/>
      <c r="E858" s="12"/>
      <c r="F858" s="12"/>
      <c r="G858" s="18"/>
      <c r="H858" s="35"/>
      <c r="I858" s="12"/>
      <c r="M858" s="12"/>
      <c r="N858" s="18"/>
      <c r="O858" s="12"/>
      <c r="P858" s="12"/>
      <c r="Q858" s="12"/>
      <c r="R858" s="36"/>
      <c r="S858" s="36"/>
      <c r="T858" s="12"/>
      <c r="U858" s="12"/>
      <c r="V858" s="12"/>
      <c r="W858" s="12"/>
      <c r="X858" s="12"/>
    </row>
    <row r="859" customFormat="false" ht="15.75" hidden="false" customHeight="false" outlineLevel="0" collapsed="false">
      <c r="A859" s="12"/>
      <c r="B859" s="34"/>
      <c r="C859" s="12"/>
      <c r="D859" s="12"/>
      <c r="E859" s="12"/>
      <c r="F859" s="12"/>
      <c r="G859" s="18"/>
      <c r="H859" s="35"/>
      <c r="I859" s="12"/>
      <c r="M859" s="12"/>
      <c r="N859" s="18"/>
      <c r="O859" s="12"/>
      <c r="P859" s="12"/>
      <c r="Q859" s="12"/>
      <c r="R859" s="36"/>
      <c r="S859" s="36"/>
      <c r="T859" s="12"/>
      <c r="U859" s="12"/>
      <c r="V859" s="12"/>
      <c r="W859" s="12"/>
      <c r="X859" s="12"/>
    </row>
    <row r="860" customFormat="false" ht="15.75" hidden="false" customHeight="false" outlineLevel="0" collapsed="false">
      <c r="A860" s="12"/>
      <c r="B860" s="34"/>
      <c r="C860" s="12"/>
      <c r="D860" s="12"/>
      <c r="E860" s="12"/>
      <c r="F860" s="12"/>
      <c r="G860" s="18"/>
      <c r="H860" s="35"/>
      <c r="I860" s="12"/>
      <c r="M860" s="12"/>
      <c r="N860" s="18"/>
      <c r="O860" s="12"/>
      <c r="P860" s="12"/>
      <c r="Q860" s="12"/>
      <c r="R860" s="36"/>
      <c r="S860" s="36"/>
      <c r="T860" s="12"/>
      <c r="U860" s="12"/>
      <c r="V860" s="12"/>
      <c r="W860" s="12"/>
      <c r="X860" s="12"/>
    </row>
    <row r="861" customFormat="false" ht="15.75" hidden="false" customHeight="false" outlineLevel="0" collapsed="false">
      <c r="A861" s="12"/>
      <c r="B861" s="34"/>
      <c r="C861" s="12"/>
      <c r="D861" s="12"/>
      <c r="E861" s="12"/>
      <c r="F861" s="12"/>
      <c r="G861" s="18"/>
      <c r="H861" s="35"/>
      <c r="I861" s="12"/>
      <c r="M861" s="12"/>
      <c r="N861" s="18"/>
      <c r="O861" s="12"/>
      <c r="P861" s="12"/>
      <c r="Q861" s="12"/>
      <c r="R861" s="36"/>
      <c r="S861" s="36"/>
      <c r="T861" s="12"/>
      <c r="U861" s="12"/>
      <c r="V861" s="12"/>
      <c r="W861" s="12"/>
      <c r="X861" s="12"/>
    </row>
    <row r="862" customFormat="false" ht="15.75" hidden="false" customHeight="false" outlineLevel="0" collapsed="false">
      <c r="A862" s="12"/>
      <c r="B862" s="34"/>
      <c r="C862" s="12"/>
      <c r="D862" s="12"/>
      <c r="E862" s="12"/>
      <c r="F862" s="12"/>
      <c r="G862" s="18"/>
      <c r="H862" s="35"/>
      <c r="I862" s="12"/>
      <c r="M862" s="12"/>
      <c r="N862" s="18"/>
      <c r="O862" s="12"/>
      <c r="P862" s="12"/>
      <c r="Q862" s="12"/>
      <c r="R862" s="36"/>
      <c r="S862" s="36"/>
      <c r="T862" s="12"/>
      <c r="U862" s="12"/>
      <c r="V862" s="12"/>
      <c r="W862" s="12"/>
      <c r="X862" s="12"/>
    </row>
    <row r="863" customFormat="false" ht="15.75" hidden="false" customHeight="false" outlineLevel="0" collapsed="false">
      <c r="A863" s="12"/>
      <c r="B863" s="34"/>
      <c r="C863" s="12"/>
      <c r="D863" s="12"/>
      <c r="E863" s="12"/>
      <c r="F863" s="12"/>
      <c r="G863" s="18"/>
      <c r="H863" s="35"/>
      <c r="I863" s="12"/>
      <c r="M863" s="12"/>
      <c r="N863" s="18"/>
      <c r="O863" s="12"/>
      <c r="P863" s="12"/>
      <c r="Q863" s="12"/>
      <c r="R863" s="36"/>
      <c r="S863" s="36"/>
      <c r="T863" s="12"/>
      <c r="U863" s="12"/>
      <c r="V863" s="12"/>
      <c r="W863" s="12"/>
      <c r="X863" s="12"/>
    </row>
    <row r="864" customFormat="false" ht="15.75" hidden="false" customHeight="false" outlineLevel="0" collapsed="false">
      <c r="A864" s="12"/>
      <c r="B864" s="34"/>
      <c r="C864" s="12"/>
      <c r="D864" s="12"/>
      <c r="E864" s="12"/>
      <c r="F864" s="12"/>
      <c r="G864" s="18"/>
      <c r="H864" s="35"/>
      <c r="I864" s="12"/>
      <c r="M864" s="12"/>
      <c r="N864" s="18"/>
      <c r="O864" s="12"/>
      <c r="P864" s="12"/>
      <c r="Q864" s="12"/>
      <c r="R864" s="36"/>
      <c r="S864" s="36"/>
      <c r="T864" s="12"/>
      <c r="U864" s="12"/>
      <c r="V864" s="12"/>
      <c r="W864" s="12"/>
      <c r="X864" s="12"/>
    </row>
    <row r="865" customFormat="false" ht="15.75" hidden="false" customHeight="false" outlineLevel="0" collapsed="false">
      <c r="A865" s="12"/>
      <c r="B865" s="34"/>
      <c r="C865" s="12"/>
      <c r="D865" s="12"/>
      <c r="E865" s="12"/>
      <c r="F865" s="12"/>
      <c r="G865" s="18"/>
      <c r="H865" s="35"/>
      <c r="I865" s="12"/>
      <c r="M865" s="12"/>
      <c r="N865" s="18"/>
      <c r="O865" s="12"/>
      <c r="P865" s="12"/>
      <c r="Q865" s="12"/>
      <c r="R865" s="36"/>
      <c r="S865" s="36"/>
      <c r="T865" s="12"/>
      <c r="U865" s="12"/>
      <c r="V865" s="12"/>
      <c r="W865" s="12"/>
      <c r="X865" s="12"/>
    </row>
    <row r="866" customFormat="false" ht="15.75" hidden="false" customHeight="false" outlineLevel="0" collapsed="false">
      <c r="A866" s="12"/>
      <c r="B866" s="34"/>
      <c r="C866" s="12"/>
      <c r="D866" s="12"/>
      <c r="E866" s="12"/>
      <c r="F866" s="12"/>
      <c r="G866" s="18"/>
      <c r="H866" s="35"/>
      <c r="I866" s="12"/>
      <c r="M866" s="12"/>
      <c r="N866" s="18"/>
      <c r="O866" s="12"/>
      <c r="P866" s="12"/>
      <c r="Q866" s="12"/>
      <c r="R866" s="36"/>
      <c r="S866" s="36"/>
      <c r="T866" s="12"/>
      <c r="U866" s="12"/>
      <c r="V866" s="12"/>
      <c r="W866" s="12"/>
      <c r="X866" s="12"/>
    </row>
    <row r="867" customFormat="false" ht="15.75" hidden="false" customHeight="false" outlineLevel="0" collapsed="false">
      <c r="A867" s="12"/>
      <c r="B867" s="34"/>
      <c r="C867" s="12"/>
      <c r="D867" s="12"/>
      <c r="E867" s="12"/>
      <c r="F867" s="12"/>
      <c r="G867" s="18"/>
      <c r="H867" s="35"/>
      <c r="I867" s="12"/>
      <c r="M867" s="12"/>
      <c r="N867" s="18"/>
      <c r="O867" s="12"/>
      <c r="P867" s="12"/>
      <c r="Q867" s="12"/>
      <c r="R867" s="36"/>
      <c r="S867" s="36"/>
      <c r="T867" s="12"/>
      <c r="U867" s="12"/>
      <c r="V867" s="12"/>
      <c r="W867" s="12"/>
      <c r="X867" s="12"/>
    </row>
    <row r="868" customFormat="false" ht="15.75" hidden="false" customHeight="false" outlineLevel="0" collapsed="false">
      <c r="A868" s="12"/>
      <c r="B868" s="34"/>
      <c r="C868" s="12"/>
      <c r="D868" s="12"/>
      <c r="E868" s="12"/>
      <c r="F868" s="12"/>
      <c r="G868" s="18"/>
      <c r="H868" s="35"/>
      <c r="I868" s="12"/>
      <c r="M868" s="12"/>
      <c r="N868" s="18"/>
      <c r="O868" s="12"/>
      <c r="P868" s="12"/>
      <c r="Q868" s="12"/>
      <c r="R868" s="36"/>
      <c r="S868" s="36"/>
      <c r="T868" s="12"/>
      <c r="U868" s="12"/>
      <c r="V868" s="12"/>
      <c r="W868" s="12"/>
      <c r="X868" s="12"/>
    </row>
    <row r="869" customFormat="false" ht="15.75" hidden="false" customHeight="false" outlineLevel="0" collapsed="false">
      <c r="A869" s="12"/>
      <c r="B869" s="34"/>
      <c r="C869" s="12"/>
      <c r="D869" s="12"/>
      <c r="E869" s="12"/>
      <c r="F869" s="12"/>
      <c r="G869" s="18"/>
      <c r="H869" s="35"/>
      <c r="I869" s="12"/>
      <c r="M869" s="12"/>
      <c r="N869" s="18"/>
      <c r="O869" s="12"/>
      <c r="P869" s="12"/>
      <c r="Q869" s="12"/>
      <c r="R869" s="36"/>
      <c r="S869" s="36"/>
      <c r="T869" s="12"/>
      <c r="U869" s="12"/>
      <c r="V869" s="12"/>
      <c r="W869" s="12"/>
      <c r="X869" s="12"/>
    </row>
    <row r="870" customFormat="false" ht="15.75" hidden="false" customHeight="false" outlineLevel="0" collapsed="false">
      <c r="A870" s="12"/>
      <c r="B870" s="34"/>
      <c r="C870" s="12"/>
      <c r="D870" s="12"/>
      <c r="E870" s="12"/>
      <c r="F870" s="12"/>
      <c r="G870" s="18"/>
      <c r="H870" s="35"/>
      <c r="I870" s="12"/>
      <c r="M870" s="12"/>
      <c r="N870" s="18"/>
      <c r="O870" s="12"/>
      <c r="P870" s="12"/>
      <c r="Q870" s="12"/>
      <c r="R870" s="36"/>
      <c r="S870" s="36"/>
      <c r="T870" s="12"/>
      <c r="U870" s="12"/>
      <c r="V870" s="12"/>
      <c r="W870" s="12"/>
      <c r="X870" s="12"/>
    </row>
    <row r="871" customFormat="false" ht="15.75" hidden="false" customHeight="false" outlineLevel="0" collapsed="false">
      <c r="A871" s="12"/>
      <c r="B871" s="34"/>
      <c r="C871" s="12"/>
      <c r="D871" s="12"/>
      <c r="E871" s="12"/>
      <c r="F871" s="12"/>
      <c r="G871" s="18"/>
      <c r="H871" s="35"/>
      <c r="I871" s="12"/>
      <c r="M871" s="12"/>
      <c r="N871" s="18"/>
      <c r="O871" s="12"/>
      <c r="P871" s="12"/>
      <c r="Q871" s="12"/>
      <c r="R871" s="36"/>
      <c r="S871" s="36"/>
      <c r="T871" s="12"/>
      <c r="U871" s="12"/>
      <c r="V871" s="12"/>
      <c r="W871" s="12"/>
      <c r="X871" s="12"/>
    </row>
    <row r="872" customFormat="false" ht="15.75" hidden="false" customHeight="false" outlineLevel="0" collapsed="false">
      <c r="A872" s="12"/>
      <c r="B872" s="34"/>
      <c r="C872" s="12"/>
      <c r="D872" s="12"/>
      <c r="E872" s="12"/>
      <c r="F872" s="12"/>
      <c r="G872" s="18"/>
      <c r="H872" s="35"/>
      <c r="I872" s="12"/>
      <c r="M872" s="12"/>
      <c r="N872" s="18"/>
      <c r="O872" s="12"/>
      <c r="P872" s="12"/>
      <c r="Q872" s="12"/>
      <c r="R872" s="36"/>
      <c r="S872" s="36"/>
      <c r="T872" s="12"/>
      <c r="U872" s="12"/>
      <c r="V872" s="12"/>
      <c r="W872" s="12"/>
      <c r="X872" s="12"/>
    </row>
    <row r="873" customFormat="false" ht="15.75" hidden="false" customHeight="false" outlineLevel="0" collapsed="false">
      <c r="A873" s="12"/>
      <c r="B873" s="34"/>
      <c r="C873" s="12"/>
      <c r="D873" s="12"/>
      <c r="E873" s="12"/>
      <c r="F873" s="12"/>
      <c r="G873" s="18"/>
      <c r="H873" s="35"/>
      <c r="I873" s="12"/>
      <c r="M873" s="12"/>
      <c r="N873" s="18"/>
      <c r="O873" s="12"/>
      <c r="P873" s="12"/>
      <c r="Q873" s="12"/>
      <c r="R873" s="36"/>
      <c r="S873" s="36"/>
      <c r="T873" s="12"/>
      <c r="U873" s="12"/>
      <c r="V873" s="12"/>
      <c r="W873" s="12"/>
      <c r="X873" s="12"/>
    </row>
    <row r="874" customFormat="false" ht="15.75" hidden="false" customHeight="false" outlineLevel="0" collapsed="false">
      <c r="A874" s="12"/>
      <c r="B874" s="34"/>
      <c r="C874" s="12"/>
      <c r="D874" s="12"/>
      <c r="E874" s="12"/>
      <c r="F874" s="12"/>
      <c r="G874" s="18"/>
      <c r="H874" s="35"/>
      <c r="I874" s="12"/>
      <c r="M874" s="12"/>
      <c r="N874" s="18"/>
      <c r="O874" s="12"/>
      <c r="P874" s="12"/>
      <c r="Q874" s="12"/>
      <c r="R874" s="36"/>
      <c r="S874" s="36"/>
      <c r="T874" s="12"/>
      <c r="U874" s="12"/>
      <c r="V874" s="12"/>
      <c r="W874" s="12"/>
      <c r="X874" s="12"/>
    </row>
    <row r="875" customFormat="false" ht="15.75" hidden="false" customHeight="false" outlineLevel="0" collapsed="false">
      <c r="A875" s="12"/>
      <c r="B875" s="34"/>
      <c r="C875" s="12"/>
      <c r="D875" s="12"/>
      <c r="E875" s="12"/>
      <c r="F875" s="12"/>
      <c r="G875" s="18"/>
      <c r="H875" s="35"/>
      <c r="I875" s="12"/>
      <c r="M875" s="12"/>
      <c r="N875" s="18"/>
      <c r="O875" s="12"/>
      <c r="P875" s="12"/>
      <c r="Q875" s="12"/>
      <c r="R875" s="36"/>
      <c r="S875" s="36"/>
      <c r="T875" s="12"/>
      <c r="U875" s="12"/>
      <c r="V875" s="12"/>
      <c r="W875" s="12"/>
      <c r="X875" s="12"/>
    </row>
    <row r="876" customFormat="false" ht="15.75" hidden="false" customHeight="false" outlineLevel="0" collapsed="false">
      <c r="A876" s="12"/>
      <c r="B876" s="34"/>
      <c r="C876" s="12"/>
      <c r="D876" s="12"/>
      <c r="E876" s="12"/>
      <c r="F876" s="12"/>
      <c r="G876" s="18"/>
      <c r="H876" s="35"/>
      <c r="I876" s="12"/>
      <c r="M876" s="12"/>
      <c r="N876" s="18"/>
      <c r="O876" s="12"/>
      <c r="P876" s="12"/>
      <c r="Q876" s="12"/>
      <c r="R876" s="36"/>
      <c r="S876" s="36"/>
      <c r="T876" s="12"/>
      <c r="U876" s="12"/>
      <c r="V876" s="12"/>
      <c r="W876" s="12"/>
      <c r="X876" s="12"/>
    </row>
    <row r="877" customFormat="false" ht="15.75" hidden="false" customHeight="false" outlineLevel="0" collapsed="false">
      <c r="A877" s="12"/>
      <c r="B877" s="34"/>
      <c r="C877" s="12"/>
      <c r="D877" s="12"/>
      <c r="E877" s="12"/>
      <c r="F877" s="12"/>
      <c r="G877" s="18"/>
      <c r="H877" s="35"/>
      <c r="I877" s="12"/>
      <c r="M877" s="12"/>
      <c r="N877" s="18"/>
      <c r="O877" s="12"/>
      <c r="P877" s="12"/>
      <c r="Q877" s="12"/>
      <c r="R877" s="36"/>
      <c r="S877" s="36"/>
      <c r="T877" s="12"/>
      <c r="U877" s="12"/>
      <c r="V877" s="12"/>
      <c r="W877" s="12"/>
      <c r="X877" s="12"/>
    </row>
    <row r="878" customFormat="false" ht="15.75" hidden="false" customHeight="false" outlineLevel="0" collapsed="false">
      <c r="A878" s="12"/>
      <c r="B878" s="34"/>
      <c r="C878" s="12"/>
      <c r="D878" s="12"/>
      <c r="E878" s="12"/>
      <c r="F878" s="12"/>
      <c r="G878" s="18"/>
      <c r="H878" s="35"/>
      <c r="I878" s="12"/>
      <c r="M878" s="12"/>
      <c r="N878" s="18"/>
      <c r="O878" s="12"/>
      <c r="P878" s="12"/>
      <c r="Q878" s="12"/>
      <c r="R878" s="36"/>
      <c r="S878" s="36"/>
      <c r="T878" s="12"/>
      <c r="U878" s="12"/>
      <c r="V878" s="12"/>
      <c r="W878" s="12"/>
      <c r="X878" s="12"/>
    </row>
    <row r="879" customFormat="false" ht="15.75" hidden="false" customHeight="false" outlineLevel="0" collapsed="false">
      <c r="A879" s="12"/>
      <c r="B879" s="34"/>
      <c r="C879" s="12"/>
      <c r="D879" s="12"/>
      <c r="E879" s="12"/>
      <c r="F879" s="12"/>
      <c r="G879" s="18"/>
      <c r="H879" s="35"/>
      <c r="I879" s="12"/>
      <c r="M879" s="12"/>
      <c r="N879" s="18"/>
      <c r="O879" s="12"/>
      <c r="P879" s="12"/>
      <c r="Q879" s="12"/>
      <c r="R879" s="36"/>
      <c r="S879" s="36"/>
      <c r="T879" s="12"/>
      <c r="U879" s="12"/>
      <c r="V879" s="12"/>
      <c r="W879" s="12"/>
      <c r="X879" s="12"/>
    </row>
    <row r="880" customFormat="false" ht="15.75" hidden="false" customHeight="false" outlineLevel="0" collapsed="false">
      <c r="A880" s="12"/>
      <c r="B880" s="34"/>
      <c r="C880" s="12"/>
      <c r="D880" s="12"/>
      <c r="E880" s="12"/>
      <c r="F880" s="12"/>
      <c r="G880" s="18"/>
      <c r="H880" s="35"/>
      <c r="I880" s="12"/>
      <c r="M880" s="12"/>
      <c r="N880" s="18"/>
      <c r="O880" s="12"/>
      <c r="P880" s="12"/>
      <c r="Q880" s="12"/>
      <c r="R880" s="36"/>
      <c r="S880" s="36"/>
      <c r="T880" s="12"/>
      <c r="U880" s="12"/>
      <c r="V880" s="12"/>
      <c r="W880" s="12"/>
      <c r="X880" s="12"/>
    </row>
    <row r="881" customFormat="false" ht="15.75" hidden="false" customHeight="false" outlineLevel="0" collapsed="false">
      <c r="A881" s="12"/>
      <c r="B881" s="34"/>
      <c r="C881" s="12"/>
      <c r="D881" s="12"/>
      <c r="E881" s="12"/>
      <c r="F881" s="12"/>
      <c r="G881" s="18"/>
      <c r="H881" s="35"/>
      <c r="I881" s="12"/>
      <c r="M881" s="12"/>
      <c r="N881" s="18"/>
      <c r="O881" s="12"/>
      <c r="P881" s="12"/>
      <c r="Q881" s="12"/>
      <c r="R881" s="36"/>
      <c r="S881" s="36"/>
      <c r="T881" s="12"/>
      <c r="U881" s="12"/>
      <c r="V881" s="12"/>
      <c r="W881" s="12"/>
      <c r="X881" s="12"/>
    </row>
    <row r="882" customFormat="false" ht="15.75" hidden="false" customHeight="false" outlineLevel="0" collapsed="false">
      <c r="A882" s="12"/>
      <c r="B882" s="34"/>
      <c r="C882" s="12"/>
      <c r="D882" s="12"/>
      <c r="E882" s="12"/>
      <c r="F882" s="12"/>
      <c r="G882" s="18"/>
      <c r="H882" s="35"/>
      <c r="I882" s="12"/>
      <c r="M882" s="12"/>
      <c r="N882" s="18"/>
      <c r="O882" s="12"/>
      <c r="P882" s="12"/>
      <c r="Q882" s="12"/>
      <c r="R882" s="36"/>
      <c r="S882" s="36"/>
      <c r="T882" s="12"/>
      <c r="U882" s="12"/>
      <c r="V882" s="12"/>
      <c r="W882" s="12"/>
      <c r="X882" s="12"/>
    </row>
    <row r="883" customFormat="false" ht="15.75" hidden="false" customHeight="false" outlineLevel="0" collapsed="false">
      <c r="A883" s="12"/>
      <c r="B883" s="34"/>
      <c r="C883" s="12"/>
      <c r="D883" s="12"/>
      <c r="E883" s="12"/>
      <c r="F883" s="12"/>
      <c r="G883" s="18"/>
      <c r="H883" s="35"/>
      <c r="I883" s="12"/>
      <c r="M883" s="12"/>
      <c r="N883" s="18"/>
      <c r="O883" s="12"/>
      <c r="P883" s="12"/>
      <c r="Q883" s="12"/>
      <c r="R883" s="36"/>
      <c r="S883" s="36"/>
      <c r="T883" s="12"/>
      <c r="U883" s="12"/>
      <c r="V883" s="12"/>
      <c r="W883" s="12"/>
      <c r="X883" s="12"/>
    </row>
    <row r="884" customFormat="false" ht="15.75" hidden="false" customHeight="false" outlineLevel="0" collapsed="false">
      <c r="A884" s="12"/>
      <c r="B884" s="34"/>
      <c r="C884" s="12"/>
      <c r="D884" s="12"/>
      <c r="E884" s="12"/>
      <c r="F884" s="12"/>
      <c r="G884" s="18"/>
      <c r="H884" s="35"/>
      <c r="I884" s="12"/>
      <c r="M884" s="12"/>
      <c r="N884" s="18"/>
      <c r="O884" s="12"/>
      <c r="P884" s="12"/>
      <c r="Q884" s="12"/>
      <c r="R884" s="36"/>
      <c r="S884" s="36"/>
      <c r="T884" s="12"/>
      <c r="U884" s="12"/>
      <c r="V884" s="12"/>
      <c r="W884" s="12"/>
      <c r="X884" s="12"/>
    </row>
    <row r="885" customFormat="false" ht="15.75" hidden="false" customHeight="false" outlineLevel="0" collapsed="false">
      <c r="A885" s="12"/>
      <c r="B885" s="34"/>
      <c r="C885" s="12"/>
      <c r="D885" s="12"/>
      <c r="E885" s="12"/>
      <c r="F885" s="12"/>
      <c r="G885" s="18"/>
      <c r="H885" s="35"/>
      <c r="I885" s="12"/>
      <c r="M885" s="12"/>
      <c r="N885" s="18"/>
      <c r="O885" s="12"/>
      <c r="P885" s="12"/>
      <c r="Q885" s="12"/>
      <c r="R885" s="36"/>
      <c r="S885" s="36"/>
      <c r="T885" s="12"/>
      <c r="U885" s="12"/>
      <c r="V885" s="12"/>
      <c r="W885" s="12"/>
      <c r="X885" s="12"/>
    </row>
    <row r="886" customFormat="false" ht="15.75" hidden="false" customHeight="false" outlineLevel="0" collapsed="false">
      <c r="A886" s="12"/>
      <c r="B886" s="34"/>
      <c r="C886" s="12"/>
      <c r="D886" s="12"/>
      <c r="E886" s="12"/>
      <c r="F886" s="12"/>
      <c r="G886" s="18"/>
      <c r="H886" s="35"/>
      <c r="I886" s="12"/>
      <c r="M886" s="12"/>
      <c r="N886" s="18"/>
      <c r="O886" s="12"/>
      <c r="P886" s="12"/>
      <c r="Q886" s="12"/>
      <c r="R886" s="36"/>
      <c r="S886" s="36"/>
      <c r="T886" s="12"/>
      <c r="U886" s="12"/>
      <c r="V886" s="12"/>
      <c r="W886" s="12"/>
      <c r="X886" s="12"/>
    </row>
    <row r="887" customFormat="false" ht="15.75" hidden="false" customHeight="false" outlineLevel="0" collapsed="false">
      <c r="A887" s="12"/>
      <c r="B887" s="34"/>
      <c r="C887" s="12"/>
      <c r="D887" s="12"/>
      <c r="E887" s="12"/>
      <c r="F887" s="12"/>
      <c r="G887" s="18"/>
      <c r="H887" s="35"/>
      <c r="I887" s="12"/>
      <c r="M887" s="12"/>
      <c r="N887" s="18"/>
      <c r="O887" s="12"/>
      <c r="P887" s="12"/>
      <c r="Q887" s="12"/>
      <c r="R887" s="36"/>
      <c r="S887" s="36"/>
      <c r="T887" s="12"/>
      <c r="U887" s="12"/>
      <c r="V887" s="12"/>
      <c r="W887" s="12"/>
      <c r="X887" s="12"/>
    </row>
    <row r="888" customFormat="false" ht="15.75" hidden="false" customHeight="false" outlineLevel="0" collapsed="false">
      <c r="A888" s="12"/>
      <c r="B888" s="34"/>
      <c r="C888" s="12"/>
      <c r="D888" s="12"/>
      <c r="E888" s="12"/>
      <c r="F888" s="12"/>
      <c r="G888" s="18"/>
      <c r="H888" s="35"/>
      <c r="I888" s="12"/>
      <c r="M888" s="12"/>
      <c r="N888" s="18"/>
      <c r="O888" s="12"/>
      <c r="P888" s="12"/>
      <c r="Q888" s="12"/>
      <c r="R888" s="36"/>
      <c r="S888" s="36"/>
      <c r="T888" s="12"/>
      <c r="U888" s="12"/>
      <c r="V888" s="12"/>
      <c r="W888" s="12"/>
      <c r="X888" s="12"/>
    </row>
    <row r="889" customFormat="false" ht="15.75" hidden="false" customHeight="false" outlineLevel="0" collapsed="false">
      <c r="A889" s="12"/>
      <c r="B889" s="34"/>
      <c r="C889" s="12"/>
      <c r="D889" s="12"/>
      <c r="E889" s="12"/>
      <c r="F889" s="12"/>
      <c r="G889" s="18"/>
      <c r="H889" s="35"/>
      <c r="I889" s="12"/>
      <c r="M889" s="12"/>
      <c r="N889" s="18"/>
      <c r="O889" s="12"/>
      <c r="P889" s="12"/>
      <c r="Q889" s="12"/>
      <c r="R889" s="36"/>
      <c r="S889" s="36"/>
      <c r="T889" s="12"/>
      <c r="U889" s="12"/>
      <c r="V889" s="12"/>
      <c r="W889" s="12"/>
      <c r="X889" s="12"/>
    </row>
    <row r="890" customFormat="false" ht="15.75" hidden="false" customHeight="false" outlineLevel="0" collapsed="false">
      <c r="A890" s="12"/>
      <c r="B890" s="34"/>
      <c r="C890" s="12"/>
      <c r="D890" s="12"/>
      <c r="E890" s="12"/>
      <c r="F890" s="12"/>
      <c r="G890" s="18"/>
      <c r="H890" s="35"/>
      <c r="I890" s="12"/>
      <c r="M890" s="12"/>
      <c r="N890" s="18"/>
      <c r="O890" s="12"/>
      <c r="P890" s="12"/>
      <c r="Q890" s="12"/>
      <c r="R890" s="36"/>
      <c r="S890" s="36"/>
      <c r="T890" s="12"/>
      <c r="U890" s="12"/>
      <c r="V890" s="12"/>
      <c r="W890" s="12"/>
      <c r="X890" s="12"/>
    </row>
    <row r="891" customFormat="false" ht="15.75" hidden="false" customHeight="false" outlineLevel="0" collapsed="false">
      <c r="A891" s="12"/>
      <c r="B891" s="34"/>
      <c r="C891" s="12"/>
      <c r="D891" s="12"/>
      <c r="E891" s="12"/>
      <c r="F891" s="12"/>
      <c r="G891" s="18"/>
      <c r="H891" s="35"/>
      <c r="I891" s="12"/>
      <c r="M891" s="12"/>
      <c r="N891" s="18"/>
      <c r="O891" s="12"/>
      <c r="P891" s="12"/>
      <c r="Q891" s="12"/>
      <c r="R891" s="36"/>
      <c r="S891" s="36"/>
      <c r="T891" s="12"/>
      <c r="U891" s="12"/>
      <c r="V891" s="12"/>
      <c r="W891" s="12"/>
      <c r="X891" s="12"/>
    </row>
    <row r="892" customFormat="false" ht="15.75" hidden="false" customHeight="false" outlineLevel="0" collapsed="false">
      <c r="A892" s="12"/>
      <c r="B892" s="34"/>
      <c r="C892" s="12"/>
      <c r="D892" s="12"/>
      <c r="E892" s="12"/>
      <c r="F892" s="12"/>
      <c r="G892" s="18"/>
      <c r="H892" s="35"/>
      <c r="I892" s="12"/>
      <c r="M892" s="12"/>
      <c r="N892" s="18"/>
      <c r="O892" s="12"/>
      <c r="P892" s="12"/>
      <c r="Q892" s="12"/>
      <c r="R892" s="36"/>
      <c r="S892" s="36"/>
      <c r="T892" s="12"/>
      <c r="U892" s="12"/>
      <c r="V892" s="12"/>
      <c r="W892" s="12"/>
      <c r="X892" s="12"/>
    </row>
    <row r="893" customFormat="false" ht="15.75" hidden="false" customHeight="false" outlineLevel="0" collapsed="false">
      <c r="A893" s="12"/>
      <c r="B893" s="34"/>
      <c r="C893" s="12"/>
      <c r="D893" s="12"/>
      <c r="E893" s="12"/>
      <c r="F893" s="12"/>
      <c r="G893" s="18"/>
      <c r="H893" s="35"/>
      <c r="I893" s="12"/>
      <c r="M893" s="12"/>
      <c r="N893" s="18"/>
      <c r="O893" s="12"/>
      <c r="P893" s="12"/>
      <c r="Q893" s="12"/>
      <c r="R893" s="36"/>
      <c r="S893" s="36"/>
      <c r="T893" s="12"/>
      <c r="U893" s="12"/>
      <c r="V893" s="12"/>
      <c r="W893" s="12"/>
      <c r="X893" s="12"/>
    </row>
    <row r="894" customFormat="false" ht="15.75" hidden="false" customHeight="false" outlineLevel="0" collapsed="false">
      <c r="A894" s="12"/>
      <c r="B894" s="34"/>
      <c r="C894" s="12"/>
      <c r="D894" s="12"/>
      <c r="E894" s="12"/>
      <c r="F894" s="12"/>
      <c r="G894" s="18"/>
      <c r="H894" s="35"/>
      <c r="I894" s="12"/>
      <c r="M894" s="12"/>
      <c r="N894" s="18"/>
      <c r="O894" s="12"/>
      <c r="P894" s="12"/>
      <c r="Q894" s="12"/>
      <c r="R894" s="36"/>
      <c r="S894" s="36"/>
      <c r="T894" s="12"/>
      <c r="U894" s="12"/>
      <c r="V894" s="12"/>
      <c r="W894" s="12"/>
      <c r="X894" s="12"/>
    </row>
    <row r="895" customFormat="false" ht="15.75" hidden="false" customHeight="false" outlineLevel="0" collapsed="false">
      <c r="A895" s="12"/>
      <c r="B895" s="34"/>
      <c r="C895" s="12"/>
      <c r="D895" s="12"/>
      <c r="E895" s="12"/>
      <c r="F895" s="12"/>
      <c r="G895" s="18"/>
      <c r="H895" s="35"/>
      <c r="I895" s="12"/>
      <c r="M895" s="12"/>
      <c r="N895" s="18"/>
      <c r="O895" s="12"/>
      <c r="P895" s="12"/>
      <c r="Q895" s="12"/>
      <c r="R895" s="36"/>
      <c r="S895" s="36"/>
      <c r="T895" s="12"/>
      <c r="U895" s="12"/>
      <c r="V895" s="12"/>
      <c r="W895" s="12"/>
      <c r="X895" s="12"/>
    </row>
    <row r="896" customFormat="false" ht="15.75" hidden="false" customHeight="false" outlineLevel="0" collapsed="false">
      <c r="A896" s="12"/>
      <c r="B896" s="34"/>
      <c r="C896" s="12"/>
      <c r="D896" s="12"/>
      <c r="E896" s="12"/>
      <c r="F896" s="12"/>
      <c r="G896" s="18"/>
      <c r="H896" s="35"/>
      <c r="I896" s="12"/>
      <c r="M896" s="12"/>
      <c r="N896" s="18"/>
      <c r="O896" s="12"/>
      <c r="P896" s="12"/>
      <c r="Q896" s="12"/>
      <c r="R896" s="36"/>
      <c r="S896" s="36"/>
      <c r="T896" s="12"/>
      <c r="U896" s="12"/>
      <c r="V896" s="12"/>
      <c r="W896" s="12"/>
      <c r="X896" s="12"/>
    </row>
    <row r="897" customFormat="false" ht="15.75" hidden="false" customHeight="false" outlineLevel="0" collapsed="false">
      <c r="A897" s="12"/>
      <c r="B897" s="34"/>
      <c r="C897" s="12"/>
      <c r="D897" s="12"/>
      <c r="E897" s="12"/>
      <c r="F897" s="12"/>
      <c r="G897" s="18"/>
      <c r="H897" s="35"/>
      <c r="I897" s="12"/>
      <c r="M897" s="12"/>
      <c r="N897" s="18"/>
      <c r="O897" s="12"/>
      <c r="P897" s="12"/>
      <c r="Q897" s="12"/>
      <c r="R897" s="36"/>
      <c r="S897" s="36"/>
      <c r="T897" s="12"/>
      <c r="U897" s="12"/>
      <c r="V897" s="12"/>
      <c r="W897" s="12"/>
      <c r="X897" s="12"/>
    </row>
    <row r="898" customFormat="false" ht="15.75" hidden="false" customHeight="false" outlineLevel="0" collapsed="false">
      <c r="A898" s="12"/>
      <c r="B898" s="34"/>
      <c r="C898" s="12"/>
      <c r="D898" s="12"/>
      <c r="E898" s="12"/>
      <c r="F898" s="12"/>
      <c r="G898" s="18"/>
      <c r="H898" s="35"/>
      <c r="I898" s="12"/>
      <c r="M898" s="12"/>
      <c r="N898" s="18"/>
      <c r="O898" s="12"/>
      <c r="P898" s="12"/>
      <c r="Q898" s="12"/>
      <c r="R898" s="36"/>
      <c r="S898" s="36"/>
      <c r="T898" s="12"/>
      <c r="U898" s="12"/>
      <c r="V898" s="12"/>
      <c r="W898" s="12"/>
      <c r="X898" s="12"/>
    </row>
    <row r="899" customFormat="false" ht="15.75" hidden="false" customHeight="false" outlineLevel="0" collapsed="false">
      <c r="A899" s="12"/>
      <c r="B899" s="34"/>
      <c r="C899" s="12"/>
      <c r="D899" s="12"/>
      <c r="E899" s="12"/>
      <c r="F899" s="12"/>
      <c r="G899" s="18"/>
      <c r="H899" s="35"/>
      <c r="I899" s="12"/>
      <c r="M899" s="12"/>
      <c r="N899" s="18"/>
      <c r="O899" s="12"/>
      <c r="P899" s="12"/>
      <c r="Q899" s="12"/>
      <c r="R899" s="36"/>
      <c r="S899" s="36"/>
      <c r="T899" s="12"/>
      <c r="U899" s="12"/>
      <c r="V899" s="12"/>
      <c r="W899" s="12"/>
      <c r="X899" s="12"/>
    </row>
    <row r="900" customFormat="false" ht="15.75" hidden="false" customHeight="false" outlineLevel="0" collapsed="false">
      <c r="A900" s="12"/>
      <c r="B900" s="34"/>
      <c r="C900" s="12"/>
      <c r="D900" s="12"/>
      <c r="E900" s="12"/>
      <c r="F900" s="12"/>
      <c r="G900" s="18"/>
      <c r="H900" s="35"/>
      <c r="I900" s="12"/>
      <c r="M900" s="12"/>
      <c r="N900" s="18"/>
      <c r="O900" s="12"/>
      <c r="P900" s="12"/>
      <c r="Q900" s="12"/>
      <c r="R900" s="36"/>
      <c r="S900" s="36"/>
      <c r="T900" s="12"/>
      <c r="U900" s="12"/>
      <c r="V900" s="12"/>
      <c r="W900" s="12"/>
      <c r="X900" s="12"/>
    </row>
    <row r="901" customFormat="false" ht="15.75" hidden="false" customHeight="false" outlineLevel="0" collapsed="false">
      <c r="A901" s="12"/>
      <c r="B901" s="34"/>
      <c r="C901" s="12"/>
      <c r="D901" s="12"/>
      <c r="E901" s="12"/>
      <c r="F901" s="12"/>
      <c r="G901" s="18"/>
      <c r="H901" s="35"/>
      <c r="I901" s="12"/>
      <c r="M901" s="12"/>
      <c r="N901" s="18"/>
      <c r="O901" s="12"/>
      <c r="P901" s="12"/>
      <c r="Q901" s="12"/>
      <c r="R901" s="36"/>
      <c r="S901" s="36"/>
      <c r="T901" s="12"/>
      <c r="U901" s="12"/>
      <c r="V901" s="12"/>
      <c r="W901" s="12"/>
      <c r="X901" s="12"/>
    </row>
    <row r="902" customFormat="false" ht="15.75" hidden="false" customHeight="false" outlineLevel="0" collapsed="false">
      <c r="A902" s="12"/>
      <c r="B902" s="34"/>
      <c r="C902" s="12"/>
      <c r="D902" s="12"/>
      <c r="E902" s="12"/>
      <c r="F902" s="12"/>
      <c r="G902" s="18"/>
      <c r="H902" s="35"/>
      <c r="I902" s="12"/>
      <c r="M902" s="12"/>
      <c r="N902" s="18"/>
      <c r="O902" s="12"/>
      <c r="P902" s="12"/>
      <c r="Q902" s="12"/>
      <c r="R902" s="36"/>
      <c r="S902" s="36"/>
      <c r="T902" s="12"/>
      <c r="U902" s="12"/>
      <c r="V902" s="12"/>
      <c r="W902" s="12"/>
      <c r="X902" s="12"/>
    </row>
    <row r="903" customFormat="false" ht="15.75" hidden="false" customHeight="false" outlineLevel="0" collapsed="false">
      <c r="A903" s="12"/>
      <c r="B903" s="34"/>
      <c r="C903" s="12"/>
      <c r="D903" s="12"/>
      <c r="E903" s="12"/>
      <c r="F903" s="12"/>
      <c r="G903" s="18"/>
      <c r="H903" s="35"/>
      <c r="I903" s="12"/>
      <c r="M903" s="12"/>
      <c r="N903" s="18"/>
      <c r="O903" s="12"/>
      <c r="P903" s="12"/>
      <c r="Q903" s="12"/>
      <c r="R903" s="36"/>
      <c r="S903" s="36"/>
      <c r="T903" s="12"/>
      <c r="U903" s="12"/>
      <c r="V903" s="12"/>
      <c r="W903" s="12"/>
      <c r="X903" s="12"/>
    </row>
    <row r="904" customFormat="false" ht="15.75" hidden="false" customHeight="false" outlineLevel="0" collapsed="false">
      <c r="A904" s="12"/>
      <c r="B904" s="34"/>
      <c r="C904" s="12"/>
      <c r="D904" s="12"/>
      <c r="E904" s="12"/>
      <c r="F904" s="12"/>
      <c r="G904" s="18"/>
      <c r="H904" s="35"/>
      <c r="I904" s="12"/>
      <c r="M904" s="12"/>
      <c r="N904" s="18"/>
      <c r="O904" s="12"/>
      <c r="P904" s="12"/>
      <c r="Q904" s="12"/>
      <c r="R904" s="36"/>
      <c r="S904" s="36"/>
      <c r="T904" s="12"/>
      <c r="U904" s="12"/>
      <c r="V904" s="12"/>
      <c r="W904" s="12"/>
      <c r="X904" s="12"/>
    </row>
    <row r="905" customFormat="false" ht="15.75" hidden="false" customHeight="false" outlineLevel="0" collapsed="false">
      <c r="A905" s="12"/>
      <c r="B905" s="34"/>
      <c r="C905" s="12"/>
      <c r="D905" s="12"/>
      <c r="E905" s="12"/>
      <c r="F905" s="12"/>
      <c r="G905" s="18"/>
      <c r="H905" s="35"/>
      <c r="I905" s="12"/>
      <c r="M905" s="12"/>
      <c r="N905" s="18"/>
      <c r="O905" s="12"/>
      <c r="P905" s="12"/>
      <c r="Q905" s="12"/>
      <c r="R905" s="36"/>
      <c r="S905" s="36"/>
      <c r="T905" s="12"/>
      <c r="U905" s="12"/>
      <c r="V905" s="12"/>
      <c r="W905" s="12"/>
      <c r="X905" s="12"/>
    </row>
    <row r="906" customFormat="false" ht="15.75" hidden="false" customHeight="false" outlineLevel="0" collapsed="false">
      <c r="A906" s="12"/>
      <c r="B906" s="34"/>
      <c r="C906" s="12"/>
      <c r="D906" s="12"/>
      <c r="E906" s="12"/>
      <c r="F906" s="12"/>
      <c r="G906" s="18"/>
      <c r="H906" s="35"/>
      <c r="I906" s="12"/>
      <c r="M906" s="12"/>
      <c r="N906" s="18"/>
      <c r="O906" s="12"/>
      <c r="P906" s="12"/>
      <c r="Q906" s="12"/>
      <c r="R906" s="36"/>
      <c r="S906" s="36"/>
      <c r="T906" s="12"/>
      <c r="U906" s="12"/>
      <c r="V906" s="12"/>
      <c r="W906" s="12"/>
      <c r="X906" s="12"/>
    </row>
    <row r="907" customFormat="false" ht="15.75" hidden="false" customHeight="false" outlineLevel="0" collapsed="false">
      <c r="A907" s="12"/>
      <c r="B907" s="34"/>
      <c r="C907" s="12"/>
      <c r="D907" s="12"/>
      <c r="E907" s="12"/>
      <c r="F907" s="12"/>
      <c r="G907" s="18"/>
      <c r="H907" s="35"/>
      <c r="I907" s="12"/>
      <c r="M907" s="12"/>
      <c r="N907" s="18"/>
      <c r="O907" s="12"/>
      <c r="P907" s="12"/>
      <c r="Q907" s="12"/>
      <c r="R907" s="36"/>
      <c r="S907" s="36"/>
      <c r="T907" s="12"/>
      <c r="U907" s="12"/>
      <c r="V907" s="12"/>
      <c r="W907" s="12"/>
      <c r="X907" s="12"/>
    </row>
    <row r="908" customFormat="false" ht="15.75" hidden="false" customHeight="false" outlineLevel="0" collapsed="false">
      <c r="A908" s="12"/>
      <c r="B908" s="34"/>
      <c r="C908" s="12"/>
      <c r="D908" s="12"/>
      <c r="E908" s="12"/>
      <c r="F908" s="12"/>
      <c r="G908" s="18"/>
      <c r="H908" s="35"/>
      <c r="I908" s="12"/>
      <c r="M908" s="12"/>
      <c r="N908" s="18"/>
      <c r="O908" s="12"/>
      <c r="P908" s="12"/>
      <c r="Q908" s="12"/>
      <c r="R908" s="36"/>
      <c r="S908" s="36"/>
      <c r="T908" s="12"/>
      <c r="U908" s="12"/>
      <c r="V908" s="12"/>
      <c r="W908" s="12"/>
      <c r="X908" s="12"/>
    </row>
    <row r="909" customFormat="false" ht="15.75" hidden="false" customHeight="false" outlineLevel="0" collapsed="false">
      <c r="A909" s="12"/>
      <c r="B909" s="34"/>
      <c r="C909" s="12"/>
      <c r="D909" s="12"/>
      <c r="E909" s="12"/>
      <c r="F909" s="12"/>
      <c r="G909" s="18"/>
      <c r="H909" s="35"/>
      <c r="I909" s="12"/>
      <c r="M909" s="12"/>
      <c r="N909" s="18"/>
      <c r="O909" s="12"/>
      <c r="P909" s="12"/>
      <c r="Q909" s="12"/>
      <c r="R909" s="36"/>
      <c r="S909" s="36"/>
      <c r="T909" s="12"/>
      <c r="U909" s="12"/>
      <c r="V909" s="12"/>
      <c r="W909" s="12"/>
      <c r="X909" s="12"/>
    </row>
    <row r="910" customFormat="false" ht="15.75" hidden="false" customHeight="false" outlineLevel="0" collapsed="false">
      <c r="A910" s="12"/>
      <c r="B910" s="34"/>
      <c r="C910" s="12"/>
      <c r="D910" s="12"/>
      <c r="E910" s="12"/>
      <c r="F910" s="12"/>
      <c r="G910" s="18"/>
      <c r="H910" s="35"/>
      <c r="I910" s="12"/>
      <c r="M910" s="12"/>
      <c r="N910" s="18"/>
      <c r="O910" s="12"/>
      <c r="P910" s="12"/>
      <c r="Q910" s="12"/>
      <c r="R910" s="36"/>
      <c r="S910" s="36"/>
      <c r="T910" s="12"/>
      <c r="U910" s="12"/>
      <c r="V910" s="12"/>
      <c r="W910" s="12"/>
      <c r="X910" s="12"/>
    </row>
    <row r="911" customFormat="false" ht="15.75" hidden="false" customHeight="false" outlineLevel="0" collapsed="false">
      <c r="A911" s="12"/>
      <c r="B911" s="34"/>
      <c r="C911" s="12"/>
      <c r="D911" s="12"/>
      <c r="E911" s="12"/>
      <c r="F911" s="12"/>
      <c r="G911" s="18"/>
      <c r="H911" s="35"/>
      <c r="I911" s="12"/>
      <c r="M911" s="12"/>
      <c r="N911" s="18"/>
      <c r="O911" s="12"/>
      <c r="P911" s="12"/>
      <c r="Q911" s="12"/>
      <c r="R911" s="36"/>
      <c r="S911" s="36"/>
      <c r="T911" s="12"/>
      <c r="U911" s="12"/>
      <c r="V911" s="12"/>
      <c r="W911" s="12"/>
      <c r="X911" s="12"/>
    </row>
    <row r="912" customFormat="false" ht="15.75" hidden="false" customHeight="false" outlineLevel="0" collapsed="false">
      <c r="A912" s="12"/>
      <c r="B912" s="34"/>
      <c r="C912" s="12"/>
      <c r="D912" s="12"/>
      <c r="E912" s="12"/>
      <c r="F912" s="12"/>
      <c r="G912" s="18"/>
      <c r="H912" s="35"/>
      <c r="I912" s="12"/>
      <c r="M912" s="12"/>
      <c r="N912" s="18"/>
      <c r="O912" s="12"/>
      <c r="P912" s="12"/>
      <c r="Q912" s="12"/>
      <c r="R912" s="36"/>
      <c r="S912" s="36"/>
      <c r="T912" s="12"/>
      <c r="U912" s="12"/>
      <c r="V912" s="12"/>
      <c r="W912" s="12"/>
      <c r="X912" s="12"/>
    </row>
    <row r="913" customFormat="false" ht="15.75" hidden="false" customHeight="false" outlineLevel="0" collapsed="false">
      <c r="A913" s="12"/>
      <c r="B913" s="34"/>
      <c r="C913" s="12"/>
      <c r="D913" s="12"/>
      <c r="E913" s="12"/>
      <c r="F913" s="12"/>
      <c r="G913" s="18"/>
      <c r="H913" s="35"/>
      <c r="I913" s="12"/>
      <c r="M913" s="12"/>
      <c r="N913" s="18"/>
      <c r="O913" s="12"/>
      <c r="P913" s="12"/>
      <c r="Q913" s="12"/>
      <c r="R913" s="36"/>
      <c r="S913" s="36"/>
      <c r="T913" s="12"/>
      <c r="U913" s="12"/>
      <c r="V913" s="12"/>
      <c r="W913" s="12"/>
      <c r="X913" s="12"/>
    </row>
    <row r="914" customFormat="false" ht="15.75" hidden="false" customHeight="false" outlineLevel="0" collapsed="false">
      <c r="A914" s="12"/>
      <c r="B914" s="34"/>
      <c r="C914" s="12"/>
      <c r="D914" s="12"/>
      <c r="E914" s="12"/>
      <c r="F914" s="12"/>
      <c r="G914" s="18"/>
      <c r="H914" s="35"/>
      <c r="I914" s="12"/>
      <c r="M914" s="12"/>
      <c r="N914" s="18"/>
      <c r="O914" s="12"/>
      <c r="P914" s="12"/>
      <c r="Q914" s="12"/>
      <c r="R914" s="36"/>
      <c r="S914" s="36"/>
      <c r="T914" s="12"/>
      <c r="U914" s="12"/>
      <c r="V914" s="12"/>
      <c r="W914" s="12"/>
      <c r="X914" s="12"/>
    </row>
    <row r="915" customFormat="false" ht="15.75" hidden="false" customHeight="false" outlineLevel="0" collapsed="false">
      <c r="A915" s="12"/>
      <c r="B915" s="34"/>
      <c r="C915" s="12"/>
      <c r="D915" s="12"/>
      <c r="E915" s="12"/>
      <c r="F915" s="12"/>
      <c r="G915" s="18"/>
      <c r="H915" s="35"/>
      <c r="I915" s="12"/>
      <c r="M915" s="12"/>
      <c r="N915" s="18"/>
      <c r="O915" s="12"/>
      <c r="P915" s="12"/>
      <c r="Q915" s="12"/>
      <c r="R915" s="36"/>
      <c r="S915" s="36"/>
      <c r="T915" s="12"/>
      <c r="U915" s="12"/>
      <c r="V915" s="12"/>
      <c r="W915" s="12"/>
      <c r="X915" s="12"/>
    </row>
    <row r="916" customFormat="false" ht="15.75" hidden="false" customHeight="false" outlineLevel="0" collapsed="false">
      <c r="A916" s="12"/>
      <c r="B916" s="34"/>
      <c r="C916" s="12"/>
      <c r="D916" s="12"/>
      <c r="E916" s="12"/>
      <c r="F916" s="12"/>
      <c r="G916" s="18"/>
      <c r="H916" s="35"/>
      <c r="I916" s="12"/>
      <c r="M916" s="12"/>
      <c r="N916" s="18"/>
      <c r="O916" s="12"/>
      <c r="P916" s="12"/>
      <c r="Q916" s="12"/>
      <c r="R916" s="36"/>
      <c r="S916" s="36"/>
      <c r="T916" s="12"/>
      <c r="U916" s="12"/>
      <c r="V916" s="12"/>
      <c r="W916" s="12"/>
      <c r="X916" s="12"/>
    </row>
    <row r="917" customFormat="false" ht="15.75" hidden="false" customHeight="false" outlineLevel="0" collapsed="false">
      <c r="A917" s="12"/>
      <c r="B917" s="34"/>
      <c r="C917" s="12"/>
      <c r="D917" s="12"/>
      <c r="E917" s="12"/>
      <c r="F917" s="12"/>
      <c r="G917" s="18"/>
      <c r="H917" s="35"/>
      <c r="I917" s="12"/>
      <c r="M917" s="12"/>
      <c r="N917" s="18"/>
      <c r="O917" s="12"/>
      <c r="P917" s="12"/>
      <c r="Q917" s="12"/>
      <c r="R917" s="36"/>
      <c r="S917" s="36"/>
      <c r="T917" s="12"/>
      <c r="U917" s="12"/>
      <c r="V917" s="12"/>
      <c r="W917" s="12"/>
      <c r="X917" s="12"/>
    </row>
    <row r="918" customFormat="false" ht="15.75" hidden="false" customHeight="false" outlineLevel="0" collapsed="false">
      <c r="A918" s="12"/>
      <c r="B918" s="34"/>
      <c r="C918" s="12"/>
      <c r="D918" s="12"/>
      <c r="E918" s="12"/>
      <c r="F918" s="12"/>
      <c r="G918" s="18"/>
      <c r="H918" s="35"/>
      <c r="I918" s="12"/>
      <c r="M918" s="12"/>
      <c r="N918" s="18"/>
      <c r="O918" s="12"/>
      <c r="P918" s="12"/>
      <c r="Q918" s="12"/>
      <c r="R918" s="36"/>
      <c r="S918" s="36"/>
      <c r="T918" s="12"/>
      <c r="U918" s="12"/>
      <c r="V918" s="12"/>
      <c r="W918" s="12"/>
      <c r="X918" s="12"/>
    </row>
    <row r="919" customFormat="false" ht="15.75" hidden="false" customHeight="false" outlineLevel="0" collapsed="false">
      <c r="A919" s="12"/>
      <c r="B919" s="34"/>
      <c r="C919" s="12"/>
      <c r="D919" s="12"/>
      <c r="E919" s="12"/>
      <c r="F919" s="12"/>
      <c r="G919" s="18"/>
      <c r="H919" s="35"/>
      <c r="I919" s="12"/>
      <c r="M919" s="12"/>
      <c r="N919" s="18"/>
      <c r="O919" s="12"/>
      <c r="P919" s="12"/>
      <c r="Q919" s="12"/>
      <c r="R919" s="36"/>
      <c r="S919" s="36"/>
      <c r="T919" s="12"/>
      <c r="U919" s="12"/>
      <c r="V919" s="12"/>
      <c r="W919" s="12"/>
      <c r="X919" s="12"/>
    </row>
    <row r="920" customFormat="false" ht="15.75" hidden="false" customHeight="false" outlineLevel="0" collapsed="false">
      <c r="A920" s="12"/>
      <c r="B920" s="34"/>
      <c r="C920" s="12"/>
      <c r="D920" s="12"/>
      <c r="E920" s="12"/>
      <c r="F920" s="12"/>
      <c r="G920" s="18"/>
      <c r="H920" s="35"/>
      <c r="I920" s="12"/>
      <c r="M920" s="12"/>
      <c r="N920" s="18"/>
      <c r="O920" s="12"/>
      <c r="P920" s="12"/>
      <c r="Q920" s="12"/>
      <c r="R920" s="36"/>
      <c r="S920" s="36"/>
      <c r="T920" s="12"/>
      <c r="U920" s="12"/>
      <c r="V920" s="12"/>
      <c r="W920" s="12"/>
      <c r="X920" s="12"/>
    </row>
    <row r="921" customFormat="false" ht="15.75" hidden="false" customHeight="false" outlineLevel="0" collapsed="false">
      <c r="A921" s="12"/>
      <c r="B921" s="34"/>
      <c r="C921" s="12"/>
      <c r="D921" s="12"/>
      <c r="E921" s="12"/>
      <c r="F921" s="12"/>
      <c r="G921" s="18"/>
      <c r="H921" s="35"/>
      <c r="I921" s="12"/>
      <c r="M921" s="12"/>
      <c r="N921" s="18"/>
      <c r="O921" s="12"/>
      <c r="P921" s="12"/>
      <c r="Q921" s="12"/>
      <c r="R921" s="36"/>
      <c r="S921" s="36"/>
      <c r="T921" s="12"/>
      <c r="U921" s="12"/>
      <c r="V921" s="12"/>
      <c r="W921" s="12"/>
      <c r="X921" s="12"/>
    </row>
    <row r="922" customFormat="false" ht="15.75" hidden="false" customHeight="false" outlineLevel="0" collapsed="false">
      <c r="A922" s="12"/>
      <c r="B922" s="34"/>
      <c r="C922" s="12"/>
      <c r="D922" s="12"/>
      <c r="E922" s="12"/>
      <c r="F922" s="12"/>
      <c r="G922" s="18"/>
      <c r="H922" s="35"/>
      <c r="I922" s="12"/>
      <c r="M922" s="12"/>
      <c r="N922" s="18"/>
      <c r="O922" s="12"/>
      <c r="P922" s="12"/>
      <c r="Q922" s="12"/>
      <c r="R922" s="36"/>
      <c r="S922" s="36"/>
      <c r="T922" s="12"/>
      <c r="U922" s="12"/>
      <c r="V922" s="12"/>
      <c r="W922" s="12"/>
      <c r="X922" s="12"/>
    </row>
    <row r="923" customFormat="false" ht="15.75" hidden="false" customHeight="false" outlineLevel="0" collapsed="false">
      <c r="A923" s="12"/>
      <c r="B923" s="34"/>
      <c r="C923" s="12"/>
      <c r="D923" s="12"/>
      <c r="E923" s="12"/>
      <c r="F923" s="12"/>
      <c r="G923" s="18"/>
      <c r="H923" s="35"/>
      <c r="I923" s="12"/>
      <c r="M923" s="12"/>
      <c r="N923" s="18"/>
      <c r="O923" s="12"/>
      <c r="P923" s="12"/>
      <c r="Q923" s="12"/>
      <c r="R923" s="36"/>
      <c r="S923" s="36"/>
      <c r="T923" s="12"/>
      <c r="U923" s="12"/>
      <c r="V923" s="12"/>
      <c r="W923" s="12"/>
      <c r="X923" s="12"/>
    </row>
    <row r="924" customFormat="false" ht="15.75" hidden="false" customHeight="false" outlineLevel="0" collapsed="false">
      <c r="A924" s="12"/>
      <c r="B924" s="34"/>
      <c r="C924" s="12"/>
      <c r="D924" s="12"/>
      <c r="E924" s="12"/>
      <c r="F924" s="12"/>
      <c r="G924" s="18"/>
      <c r="H924" s="35"/>
      <c r="I924" s="12"/>
      <c r="M924" s="12"/>
      <c r="N924" s="18"/>
      <c r="O924" s="12"/>
      <c r="P924" s="12"/>
      <c r="Q924" s="12"/>
      <c r="R924" s="36"/>
      <c r="S924" s="36"/>
      <c r="T924" s="12"/>
      <c r="U924" s="12"/>
      <c r="V924" s="12"/>
      <c r="W924" s="12"/>
      <c r="X924" s="12"/>
    </row>
    <row r="925" customFormat="false" ht="15.75" hidden="false" customHeight="false" outlineLevel="0" collapsed="false">
      <c r="A925" s="12"/>
      <c r="B925" s="34"/>
      <c r="C925" s="12"/>
      <c r="D925" s="12"/>
      <c r="E925" s="12"/>
      <c r="F925" s="12"/>
      <c r="G925" s="18"/>
      <c r="H925" s="35"/>
      <c r="I925" s="12"/>
      <c r="M925" s="12"/>
      <c r="N925" s="18"/>
      <c r="O925" s="12"/>
      <c r="P925" s="12"/>
      <c r="Q925" s="12"/>
      <c r="R925" s="36"/>
      <c r="S925" s="36"/>
      <c r="T925" s="12"/>
      <c r="U925" s="12"/>
      <c r="V925" s="12"/>
      <c r="W925" s="12"/>
      <c r="X925" s="12"/>
    </row>
    <row r="926" customFormat="false" ht="15.75" hidden="false" customHeight="false" outlineLevel="0" collapsed="false">
      <c r="A926" s="12"/>
      <c r="B926" s="34"/>
      <c r="C926" s="12"/>
      <c r="D926" s="12"/>
      <c r="E926" s="12"/>
      <c r="F926" s="12"/>
      <c r="G926" s="18"/>
      <c r="H926" s="35"/>
      <c r="I926" s="12"/>
      <c r="M926" s="12"/>
      <c r="N926" s="18"/>
      <c r="O926" s="12"/>
      <c r="P926" s="12"/>
      <c r="Q926" s="12"/>
      <c r="R926" s="36"/>
      <c r="S926" s="36"/>
      <c r="T926" s="12"/>
      <c r="U926" s="12"/>
      <c r="V926" s="12"/>
      <c r="W926" s="12"/>
      <c r="X926" s="12"/>
    </row>
    <row r="927" customFormat="false" ht="15.75" hidden="false" customHeight="false" outlineLevel="0" collapsed="false">
      <c r="A927" s="12"/>
      <c r="B927" s="34"/>
      <c r="C927" s="12"/>
      <c r="D927" s="12"/>
      <c r="E927" s="12"/>
      <c r="F927" s="12"/>
      <c r="G927" s="18"/>
      <c r="H927" s="35"/>
      <c r="I927" s="12"/>
      <c r="M927" s="12"/>
      <c r="N927" s="18"/>
      <c r="O927" s="12"/>
      <c r="P927" s="12"/>
      <c r="Q927" s="12"/>
      <c r="R927" s="36"/>
      <c r="S927" s="36"/>
      <c r="T927" s="12"/>
      <c r="U927" s="12"/>
      <c r="V927" s="12"/>
      <c r="W927" s="12"/>
      <c r="X927" s="12"/>
    </row>
    <row r="928" customFormat="false" ht="15.75" hidden="false" customHeight="false" outlineLevel="0" collapsed="false">
      <c r="A928" s="12"/>
      <c r="B928" s="34"/>
      <c r="C928" s="12"/>
      <c r="D928" s="12"/>
      <c r="E928" s="12"/>
      <c r="F928" s="12"/>
      <c r="G928" s="18"/>
      <c r="H928" s="35"/>
      <c r="I928" s="12"/>
      <c r="M928" s="12"/>
      <c r="N928" s="18"/>
      <c r="O928" s="12"/>
      <c r="P928" s="12"/>
      <c r="Q928" s="12"/>
      <c r="R928" s="36"/>
      <c r="S928" s="36"/>
      <c r="T928" s="12"/>
      <c r="U928" s="12"/>
      <c r="V928" s="12"/>
      <c r="W928" s="12"/>
      <c r="X928" s="12"/>
    </row>
    <row r="1048575" customFormat="false" ht="12.8" hidden="false" customHeight="true" outlineLevel="0" collapsed="false"/>
    <row r="1048576" customFormat="false" ht="12.8" hidden="false" customHeight="true" outlineLevel="0" collapsed="false"/>
  </sheetData>
  <conditionalFormatting sqref="R2:S928">
    <cfRule type="expression" priority="2" aboveAverage="0" equalAverage="0" bottom="0" percent="0" rank="0" text="" dxfId="0">
      <formula>LEN(TRIM(R2))&gt;0</formula>
    </cfRule>
  </conditionalFormatting>
  <conditionalFormatting sqref="Q2:Q928">
    <cfRule type="expression" priority="3" aboveAverage="0" equalAverage="0" bottom="0" percent="0" rank="0" text="" dxfId="0">
      <formula>LEN(TRIM(Q2))&gt;0</formula>
    </cfRule>
  </conditionalFormatting>
  <conditionalFormatting sqref="G2:G928 N2:N928">
    <cfRule type="containsText" priority="4" operator="containsText" aboveAverage="0" equalAverage="0" bottom="0" percent="0" rank="0" text="x" dxfId="0">
      <formula>NOT(ISERROR(SEARCH("x",G2)))</formula>
    </cfRule>
  </conditionalFormatting>
  <conditionalFormatting sqref="T2:T928">
    <cfRule type="expression" priority="5" aboveAverage="0" equalAverage="0" bottom="0" percent="0" rank="0" text="" dxfId="0">
      <formula>LEN(TRIM(T2))&gt;0</formula>
    </cfRule>
  </conditionalFormatting>
  <conditionalFormatting sqref="W2:W928">
    <cfRule type="expression" priority="6" aboveAverage="0" equalAverage="0" bottom="0" percent="0" rank="0" text="" dxfId="0">
      <formula>LEN(TRIM(W2))&gt;0</formula>
    </cfRule>
  </conditionalFormatting>
  <conditionalFormatting sqref="X2:X928">
    <cfRule type="cellIs" priority="7" operator="equal" aboveAverage="0" equalAverage="0" bottom="0" percent="0" rank="0" text="" dxfId="0">
      <formula>"Completo"</formula>
    </cfRule>
    <cfRule type="cellIs" priority="8" operator="equal" aboveAverage="0" equalAverage="0" bottom="0" percent="0" rank="0" text="" dxfId="1">
      <formula>"No aplica"</formula>
    </cfRule>
  </conditionalFormatting>
  <conditionalFormatting sqref="G2:I928 O2:P928 U2:V928 X2:X928">
    <cfRule type="cellIs" priority="9" operator="equal" aboveAverage="0" equalAverage="0" bottom="0" percent="0" rank="0" text="" dxfId="0">
      <formula>"Completo"</formula>
    </cfRule>
    <cfRule type="cellIs" priority="10" operator="equal" aboveAverage="0" equalAverage="0" bottom="0" percent="0" rank="0" text="" dxfId="1">
      <formula>"No Aplica"</formula>
    </cfRule>
  </conditionalFormatting>
  <dataValidations count="5">
    <dataValidation allowBlank="true" errorStyle="stop" operator="between" showDropDown="false" showErrorMessage="true" showInputMessage="false" sqref="D2:D928" type="list">
      <formula1>LEYENDA!$B$2:$D$2</formula1>
      <formula2>0</formula2>
    </dataValidation>
    <dataValidation allowBlank="true" errorStyle="stop" operator="between" showDropDown="false" showErrorMessage="false" showInputMessage="false" sqref="E2:E928" type="list">
      <formula1>LEYENDA!$A$8:$A$12</formula1>
      <formula2>0</formula2>
    </dataValidation>
    <dataValidation allowBlank="true" errorStyle="stop" operator="between" showDropDown="false" showErrorMessage="false" showInputMessage="false" sqref="T2:T928" type="list">
      <formula1>LEYENDA!$A$23:$A$24</formula1>
      <formula2>0</formula2>
    </dataValidation>
    <dataValidation allowBlank="true" errorStyle="stop" operator="between" showDropDown="false" showErrorMessage="false" showInputMessage="false" sqref="R2:R928" type="list">
      <formula1>LEYENDA!$A$15:$A$19</formula1>
      <formula2>0</formula2>
    </dataValidation>
    <dataValidation allowBlank="true" errorStyle="stop" operator="between" showDropDown="false" showErrorMessage="true" showInputMessage="false" sqref="H2:I928 O2:P928 U2:V928 X2:X928" type="list">
      <formula1>LEYENDA!$B$1:$C$1</formula1>
      <formula2>0</formula2>
    </dataValidation>
  </dataValidations>
  <hyperlinks>
    <hyperlink ref="U2" r:id="rId2" display="Completo"/>
    <hyperlink ref="V2" r:id="rId3" display="Completo"/>
    <hyperlink ref="P12" r:id="rId4" display="Completo"/>
    <hyperlink ref="U12" r:id="rId5" display="Completo"/>
    <hyperlink ref="V12" r:id="rId6" display="Completo"/>
    <hyperlink ref="P27" r:id="rId7" display="Completo"/>
    <hyperlink ref="P28" r:id="rId8" display="Completo"/>
    <hyperlink ref="U28" r:id="rId9" display="Completo"/>
    <hyperlink ref="V28" r:id="rId10" display="Completo"/>
    <hyperlink ref="U29" r:id="rId11" display="Completo"/>
    <hyperlink ref="V29" r:id="rId12" display="Completo"/>
    <hyperlink ref="U30" r:id="rId13" display="Completo"/>
    <hyperlink ref="V30" r:id="rId14" display="Completo"/>
    <hyperlink ref="U31" r:id="rId15" display="Completo"/>
    <hyperlink ref="V31" r:id="rId16" display="Completo"/>
    <hyperlink ref="P41" r:id="rId17" display="Completo"/>
    <hyperlink ref="U41" r:id="rId18" display="Completo"/>
    <hyperlink ref="V41" r:id="rId19" display="Completo"/>
    <hyperlink ref="P42" r:id="rId20" display="Completo"/>
    <hyperlink ref="U42" r:id="rId21" display="Completo"/>
    <hyperlink ref="V42" r:id="rId22" display="Completo"/>
    <hyperlink ref="P43" r:id="rId23" display="Completo"/>
    <hyperlink ref="U43" r:id="rId24" display="Completo"/>
    <hyperlink ref="V43" r:id="rId25" display="Completo"/>
    <hyperlink ref="P44" r:id="rId26" display="Completo"/>
    <hyperlink ref="U44" r:id="rId27" display="Completo"/>
    <hyperlink ref="V44" r:id="rId28" display="Completo"/>
    <hyperlink ref="U49" r:id="rId29" display="Completo"/>
    <hyperlink ref="V49" r:id="rId30" display="Completo"/>
    <hyperlink ref="P53" r:id="rId31" display="Completo"/>
    <hyperlink ref="P54" r:id="rId32" display="Completo"/>
    <hyperlink ref="P56" r:id="rId33" display="Completo"/>
    <hyperlink ref="P65" r:id="rId34" display="Completo"/>
    <hyperlink ref="H66" r:id="rId35" display="Completo"/>
    <hyperlink ref="P69" r:id="rId36" display="Completo"/>
    <hyperlink ref="P71" r:id="rId37" display="Completo"/>
    <hyperlink ref="P74" r:id="rId38" display="Completo"/>
    <hyperlink ref="U74" r:id="rId39" display="Completo"/>
    <hyperlink ref="V74" r:id="rId40" display="Completo"/>
    <hyperlink ref="P75" r:id="rId41" display="Completo"/>
    <hyperlink ref="U75" r:id="rId42" display="Completo"/>
    <hyperlink ref="V75" r:id="rId43" display="Completo"/>
  </hyperlinks>
  <printOptions headings="false" gridLines="true" gridLinesSet="true" horizontalCentered="true" verticalCentered="false"/>
  <pageMargins left="0.7" right="0.7" top="0.75" bottom="0.75" header="0.511811023622047" footer="0.511811023622047"/>
  <pageSetup paperSize="9" scale="100" fitToWidth="1" fitToHeight="0" pageOrder="overThenDown" orientation="landscape" blackAndWhite="false" draft="false" cellComments="none" horizontalDpi="300" verticalDpi="300" copies="1"/>
  <headerFooter differentFirst="false" differentOddEven="false">
    <oddHeader/>
    <oddFooter/>
  </headerFooter>
  <drawing r:id="rId44"/>
  <legacyDrawing r:id="rId45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AF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6" ySplit="3" topLeftCell="G4" activePane="bottomRight" state="frozen"/>
      <selection pane="topLeft" activeCell="A1" activeCellId="0" sqref="A1"/>
      <selection pane="topRight" activeCell="G1" activeCellId="0" sqref="G1"/>
      <selection pane="bottomLeft" activeCell="A4" activeCellId="0" sqref="A4"/>
      <selection pane="bottomRight" activeCell="G1" activeCellId="0" sqref="G1"/>
    </sheetView>
  </sheetViews>
  <sheetFormatPr defaultColWidth="12.6328125" defaultRowHeight="15.75" zeroHeight="false" outlineLevelRow="0" outlineLevelCol="0"/>
  <cols>
    <col collapsed="false" customWidth="true" hidden="false" outlineLevel="0" max="1" min="1" style="1" width="10.25"/>
    <col collapsed="false" customWidth="true" hidden="false" outlineLevel="0" max="2" min="2" style="1" width="10.38"/>
    <col collapsed="false" customWidth="true" hidden="false" outlineLevel="0" max="3" min="3" style="1" width="16.89"/>
    <col collapsed="false" customWidth="true" hidden="false" outlineLevel="0" max="4" min="4" style="1" width="11.25"/>
    <col collapsed="false" customWidth="true" hidden="false" outlineLevel="0" max="5" min="5" style="1" width="17.13"/>
    <col collapsed="false" customWidth="true" hidden="false" outlineLevel="0" max="6" min="6" style="1" width="31.25"/>
    <col collapsed="false" customWidth="true" hidden="false" outlineLevel="0" max="7" min="7" style="1" width="15.88"/>
    <col collapsed="false" customWidth="true" hidden="false" outlineLevel="0" max="8" min="8" style="1" width="10.88"/>
    <col collapsed="false" customWidth="true" hidden="false" outlineLevel="0" max="9" min="9" style="1" width="13.25"/>
    <col collapsed="false" customWidth="true" hidden="false" outlineLevel="0" max="10" min="10" style="1" width="12.5"/>
    <col collapsed="false" customWidth="true" hidden="false" outlineLevel="0" max="11" min="11" style="1" width="10"/>
    <col collapsed="false" customWidth="true" hidden="false" outlineLevel="0" max="12" min="12" style="1" width="12.25"/>
    <col collapsed="false" customWidth="true" hidden="false" outlineLevel="0" max="13" min="13" style="1" width="26.12"/>
    <col collapsed="false" customWidth="true" hidden="false" outlineLevel="0" max="14" min="14" style="1" width="18"/>
    <col collapsed="false" customWidth="true" hidden="false" outlineLevel="0" max="16" min="15" style="1" width="10.63"/>
    <col collapsed="false" customWidth="true" hidden="false" outlineLevel="0" max="17" min="17" style="1" width="8.5"/>
    <col collapsed="false" customWidth="true" hidden="false" outlineLevel="0" max="19" min="19" style="1" width="25.38"/>
    <col collapsed="false" customWidth="true" hidden="false" outlineLevel="0" max="20" min="20" style="1" width="17.88"/>
    <col collapsed="false" customWidth="true" hidden="false" outlineLevel="0" max="21" min="21" style="1" width="10.13"/>
    <col collapsed="false" customWidth="true" hidden="false" outlineLevel="0" max="22" min="22" style="1" width="11.12"/>
    <col collapsed="false" customWidth="true" hidden="false" outlineLevel="0" max="23" min="23" style="1" width="24.88"/>
  </cols>
  <sheetData>
    <row r="1" customFormat="false" ht="68" hidden="false" customHeight="false" outlineLevel="0" collapsed="false">
      <c r="A1" s="2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/>
      <c r="J1" s="4" t="s">
        <v>8</v>
      </c>
      <c r="K1" s="2"/>
      <c r="L1" s="2" t="s">
        <v>9</v>
      </c>
      <c r="M1" s="2" t="s">
        <v>10</v>
      </c>
      <c r="N1" s="4" t="s">
        <v>11</v>
      </c>
      <c r="O1" s="3" t="s">
        <v>12</v>
      </c>
      <c r="P1" s="7" t="s">
        <v>13</v>
      </c>
      <c r="Q1" s="7" t="s">
        <v>14</v>
      </c>
      <c r="R1" s="7" t="s">
        <v>15</v>
      </c>
      <c r="S1" s="7" t="s">
        <v>16</v>
      </c>
      <c r="T1" s="7" t="s">
        <v>17</v>
      </c>
      <c r="U1" s="8" t="s">
        <v>18</v>
      </c>
      <c r="V1" s="9" t="s">
        <v>19</v>
      </c>
      <c r="W1" s="9" t="s">
        <v>20</v>
      </c>
      <c r="X1" s="10" t="s">
        <v>15</v>
      </c>
      <c r="Y1" s="11" t="s">
        <v>21</v>
      </c>
      <c r="Z1" s="11" t="s">
        <v>22</v>
      </c>
      <c r="AA1" s="12"/>
      <c r="AB1" s="12"/>
      <c r="AC1" s="12"/>
      <c r="AD1" s="12"/>
      <c r="AE1" s="12"/>
      <c r="AF1" s="12"/>
    </row>
    <row r="2" customFormat="false" ht="15.75" hidden="false" customHeight="false" outlineLevel="0" collapsed="false">
      <c r="A2" s="63" t="n">
        <v>628219</v>
      </c>
      <c r="B2" s="29" t="n">
        <v>44622</v>
      </c>
      <c r="C2" s="21" t="s">
        <v>2688</v>
      </c>
      <c r="D2" s="21" t="s">
        <v>290</v>
      </c>
      <c r="E2" s="21" t="s">
        <v>25</v>
      </c>
      <c r="F2" s="21" t="s">
        <v>1771</v>
      </c>
      <c r="G2" s="30"/>
      <c r="H2" s="31" t="s">
        <v>28</v>
      </c>
      <c r="I2" s="21" t="s">
        <v>28</v>
      </c>
      <c r="J2" s="21"/>
      <c r="K2" s="21"/>
      <c r="L2" s="21"/>
      <c r="M2" s="21"/>
      <c r="N2" s="30"/>
      <c r="O2" s="21"/>
      <c r="P2" s="21"/>
      <c r="Q2" s="21"/>
      <c r="R2" s="32"/>
      <c r="S2" s="32"/>
      <c r="T2" s="21"/>
      <c r="U2" s="21" t="s">
        <v>37</v>
      </c>
      <c r="V2" s="21" t="s">
        <v>37</v>
      </c>
      <c r="W2" s="21"/>
      <c r="X2" s="21" t="s">
        <v>28</v>
      </c>
    </row>
    <row r="3" customFormat="false" ht="15.75" hidden="false" customHeight="false" outlineLevel="0" collapsed="false">
      <c r="A3" s="63" t="n">
        <v>881697</v>
      </c>
      <c r="B3" s="29" t="n">
        <v>44622</v>
      </c>
      <c r="C3" s="21" t="s">
        <v>2575</v>
      </c>
      <c r="D3" s="21" t="s">
        <v>290</v>
      </c>
      <c r="E3" s="21" t="s">
        <v>25</v>
      </c>
      <c r="F3" s="21" t="s">
        <v>3328</v>
      </c>
      <c r="G3" s="30"/>
      <c r="H3" s="31" t="s">
        <v>28</v>
      </c>
      <c r="I3" s="21" t="s">
        <v>28</v>
      </c>
      <c r="J3" s="21"/>
      <c r="K3" s="21"/>
      <c r="L3" s="21"/>
      <c r="M3" s="21"/>
      <c r="N3" s="30"/>
      <c r="O3" s="21" t="s">
        <v>28</v>
      </c>
      <c r="P3" s="74" t="s">
        <v>28</v>
      </c>
      <c r="Q3" s="21" t="s">
        <v>2981</v>
      </c>
      <c r="R3" s="32" t="s">
        <v>2850</v>
      </c>
      <c r="S3" s="32"/>
      <c r="T3" s="21"/>
      <c r="U3" s="21"/>
      <c r="V3" s="21"/>
      <c r="W3" s="21"/>
      <c r="X3" s="21" t="s">
        <v>28</v>
      </c>
    </row>
    <row r="4" customFormat="false" ht="15.75" hidden="false" customHeight="false" outlineLevel="0" collapsed="false">
      <c r="A4" s="61" t="n">
        <v>6276</v>
      </c>
      <c r="B4" s="29" t="n">
        <v>44623</v>
      </c>
      <c r="C4" s="21" t="s">
        <v>67</v>
      </c>
      <c r="D4" s="21" t="s">
        <v>24</v>
      </c>
      <c r="E4" s="21" t="s">
        <v>25</v>
      </c>
      <c r="F4" s="21" t="s">
        <v>3329</v>
      </c>
      <c r="G4" s="30"/>
      <c r="H4" s="45" t="str">
        <f aca="false">HYPERLINK("https://photos.app.goo.gl/cXWoZLzPU2jx1aFq7", "Completo")</f>
        <v>Completo</v>
      </c>
      <c r="I4" s="21" t="s">
        <v>28</v>
      </c>
      <c r="J4" s="21"/>
      <c r="K4" s="21"/>
      <c r="L4" s="21"/>
      <c r="M4" s="21"/>
      <c r="N4" s="30"/>
      <c r="O4" s="21"/>
      <c r="P4" s="21"/>
      <c r="Q4" s="21"/>
      <c r="R4" s="32"/>
      <c r="S4" s="32"/>
      <c r="T4" s="21"/>
      <c r="U4" s="21" t="s">
        <v>37</v>
      </c>
      <c r="V4" s="21" t="s">
        <v>37</v>
      </c>
      <c r="W4" s="21"/>
      <c r="X4" s="21"/>
    </row>
    <row r="5" customFormat="false" ht="15.75" hidden="false" customHeight="false" outlineLevel="0" collapsed="false">
      <c r="A5" s="61" t="n">
        <v>6277</v>
      </c>
      <c r="B5" s="29" t="n">
        <v>44623</v>
      </c>
      <c r="C5" s="21"/>
      <c r="D5" s="21" t="s">
        <v>24</v>
      </c>
      <c r="E5" s="21" t="s">
        <v>34</v>
      </c>
      <c r="F5" s="21" t="s">
        <v>3330</v>
      </c>
      <c r="G5" s="30"/>
      <c r="H5" s="31"/>
      <c r="I5" s="21"/>
      <c r="J5" s="21"/>
      <c r="K5" s="21"/>
      <c r="L5" s="21"/>
      <c r="M5" s="21"/>
      <c r="N5" s="30"/>
      <c r="O5" s="21"/>
      <c r="P5" s="21"/>
      <c r="Q5" s="21"/>
      <c r="R5" s="32"/>
      <c r="S5" s="32"/>
      <c r="T5" s="21"/>
      <c r="U5" s="21" t="s">
        <v>37</v>
      </c>
      <c r="V5" s="21" t="s">
        <v>37</v>
      </c>
      <c r="W5" s="21"/>
      <c r="X5" s="21" t="s">
        <v>28</v>
      </c>
    </row>
    <row r="6" customFormat="false" ht="15.75" hidden="false" customHeight="false" outlineLevel="0" collapsed="false">
      <c r="A6" s="61" t="n">
        <v>6278</v>
      </c>
      <c r="B6" s="29" t="n">
        <v>44623</v>
      </c>
      <c r="C6" s="21" t="s">
        <v>299</v>
      </c>
      <c r="D6" s="21" t="s">
        <v>24</v>
      </c>
      <c r="E6" s="21" t="s">
        <v>34</v>
      </c>
      <c r="F6" s="21" t="s">
        <v>3331</v>
      </c>
      <c r="G6" s="30"/>
      <c r="H6" s="31"/>
      <c r="I6" s="21"/>
      <c r="J6" s="21"/>
      <c r="K6" s="21"/>
      <c r="L6" s="21"/>
      <c r="M6" s="21"/>
      <c r="N6" s="30"/>
      <c r="O6" s="21"/>
      <c r="P6" s="21"/>
      <c r="Q6" s="21"/>
      <c r="R6" s="32"/>
      <c r="S6" s="32"/>
      <c r="T6" s="21"/>
      <c r="U6" s="21" t="s">
        <v>37</v>
      </c>
      <c r="V6" s="21" t="s">
        <v>37</v>
      </c>
      <c r="W6" s="21"/>
      <c r="X6" s="21" t="s">
        <v>28</v>
      </c>
    </row>
    <row r="7" customFormat="false" ht="15.75" hidden="false" customHeight="false" outlineLevel="0" collapsed="false">
      <c r="A7" s="61" t="n">
        <v>6279</v>
      </c>
      <c r="B7" s="29" t="n">
        <v>44623</v>
      </c>
      <c r="C7" s="21" t="s">
        <v>299</v>
      </c>
      <c r="D7" s="21" t="s">
        <v>24</v>
      </c>
      <c r="E7" s="21" t="s">
        <v>34</v>
      </c>
      <c r="F7" s="21" t="s">
        <v>3332</v>
      </c>
      <c r="G7" s="30"/>
      <c r="H7" s="31"/>
      <c r="I7" s="21"/>
      <c r="J7" s="21"/>
      <c r="K7" s="21"/>
      <c r="L7" s="21"/>
      <c r="M7" s="21"/>
      <c r="N7" s="30"/>
      <c r="O7" s="21"/>
      <c r="P7" s="21"/>
      <c r="Q7" s="21"/>
      <c r="R7" s="32"/>
      <c r="S7" s="32"/>
      <c r="T7" s="21"/>
      <c r="U7" s="21" t="s">
        <v>37</v>
      </c>
      <c r="V7" s="21" t="s">
        <v>37</v>
      </c>
      <c r="W7" s="21"/>
      <c r="X7" s="21" t="s">
        <v>28</v>
      </c>
    </row>
    <row r="8" customFormat="false" ht="15.75" hidden="false" customHeight="false" outlineLevel="0" collapsed="false">
      <c r="A8" s="61" t="n">
        <v>6280</v>
      </c>
      <c r="B8" s="29" t="n">
        <v>44623</v>
      </c>
      <c r="C8" s="21" t="s">
        <v>299</v>
      </c>
      <c r="D8" s="21" t="s">
        <v>24</v>
      </c>
      <c r="E8" s="21" t="s">
        <v>34</v>
      </c>
      <c r="F8" s="21" t="s">
        <v>3333</v>
      </c>
      <c r="G8" s="30"/>
      <c r="H8" s="31"/>
      <c r="I8" s="21"/>
      <c r="J8" s="21"/>
      <c r="K8" s="21"/>
      <c r="L8" s="21"/>
      <c r="M8" s="21"/>
      <c r="N8" s="30"/>
      <c r="O8" s="21"/>
      <c r="P8" s="21"/>
      <c r="Q8" s="21"/>
      <c r="R8" s="32"/>
      <c r="S8" s="32"/>
      <c r="T8" s="21"/>
      <c r="U8" s="21" t="s">
        <v>37</v>
      </c>
      <c r="V8" s="21" t="s">
        <v>37</v>
      </c>
      <c r="W8" s="21"/>
      <c r="X8" s="21" t="s">
        <v>28</v>
      </c>
    </row>
    <row r="9" customFormat="false" ht="15.75" hidden="false" customHeight="false" outlineLevel="0" collapsed="false">
      <c r="A9" s="61" t="n">
        <v>6281</v>
      </c>
      <c r="B9" s="29" t="n">
        <v>44623</v>
      </c>
      <c r="C9" s="21" t="s">
        <v>299</v>
      </c>
      <c r="D9" s="21" t="s">
        <v>24</v>
      </c>
      <c r="E9" s="21" t="s">
        <v>34</v>
      </c>
      <c r="F9" s="21" t="s">
        <v>3331</v>
      </c>
      <c r="G9" s="30"/>
      <c r="H9" s="31"/>
      <c r="I9" s="21"/>
      <c r="J9" s="21"/>
      <c r="K9" s="21"/>
      <c r="L9" s="21"/>
      <c r="M9" s="21"/>
      <c r="N9" s="30"/>
      <c r="O9" s="21"/>
      <c r="P9" s="21"/>
      <c r="Q9" s="21"/>
      <c r="R9" s="32"/>
      <c r="S9" s="32"/>
      <c r="T9" s="21"/>
      <c r="U9" s="21" t="s">
        <v>37</v>
      </c>
      <c r="V9" s="21" t="s">
        <v>37</v>
      </c>
      <c r="W9" s="21"/>
      <c r="X9" s="21" t="s">
        <v>28</v>
      </c>
    </row>
    <row r="10" customFormat="false" ht="15.75" hidden="false" customHeight="false" outlineLevel="0" collapsed="false">
      <c r="A10" s="61" t="n">
        <v>6282</v>
      </c>
      <c r="B10" s="29" t="n">
        <v>44624</v>
      </c>
      <c r="C10" s="21" t="s">
        <v>705</v>
      </c>
      <c r="D10" s="21" t="s">
        <v>24</v>
      </c>
      <c r="E10" s="21" t="s">
        <v>34</v>
      </c>
      <c r="F10" s="21" t="s">
        <v>3334</v>
      </c>
      <c r="G10" s="30"/>
      <c r="H10" s="31"/>
      <c r="I10" s="21"/>
      <c r="J10" s="21"/>
      <c r="K10" s="21"/>
      <c r="L10" s="21"/>
      <c r="M10" s="21"/>
      <c r="N10" s="30"/>
      <c r="O10" s="21"/>
      <c r="P10" s="21"/>
      <c r="Q10" s="21"/>
      <c r="R10" s="32"/>
      <c r="S10" s="32"/>
      <c r="T10" s="21"/>
      <c r="U10" s="21" t="s">
        <v>37</v>
      </c>
      <c r="V10" s="21" t="s">
        <v>37</v>
      </c>
      <c r="W10" s="21"/>
      <c r="X10" s="21" t="s">
        <v>28</v>
      </c>
    </row>
    <row r="11" customFormat="false" ht="15.75" hidden="false" customHeight="false" outlineLevel="0" collapsed="false">
      <c r="A11" s="61" t="n">
        <v>6283</v>
      </c>
      <c r="B11" s="29" t="n">
        <v>44625</v>
      </c>
      <c r="C11" s="21" t="s">
        <v>23</v>
      </c>
      <c r="D11" s="21" t="s">
        <v>24</v>
      </c>
      <c r="E11" s="21" t="s">
        <v>25</v>
      </c>
      <c r="F11" s="21" t="s">
        <v>3335</v>
      </c>
      <c r="G11" s="30"/>
      <c r="H11" s="31"/>
      <c r="I11" s="21"/>
      <c r="J11" s="21"/>
      <c r="K11" s="21"/>
      <c r="L11" s="21"/>
      <c r="M11" s="21"/>
      <c r="N11" s="30"/>
      <c r="O11" s="21"/>
      <c r="P11" s="21"/>
      <c r="Q11" s="21"/>
      <c r="R11" s="32"/>
      <c r="S11" s="32"/>
      <c r="T11" s="21"/>
      <c r="U11" s="21" t="s">
        <v>37</v>
      </c>
      <c r="V11" s="21" t="s">
        <v>37</v>
      </c>
      <c r="W11" s="21"/>
      <c r="X11" s="21" t="s">
        <v>28</v>
      </c>
    </row>
    <row r="12" customFormat="false" ht="15.75" hidden="false" customHeight="false" outlineLevel="0" collapsed="false">
      <c r="A12" s="61" t="n">
        <v>6284</v>
      </c>
      <c r="B12" s="29" t="n">
        <v>44625</v>
      </c>
      <c r="C12" s="21" t="s">
        <v>2463</v>
      </c>
      <c r="D12" s="21" t="s">
        <v>24</v>
      </c>
      <c r="E12" s="21" t="s">
        <v>34</v>
      </c>
      <c r="F12" s="21" t="s">
        <v>3336</v>
      </c>
      <c r="G12" s="30"/>
      <c r="H12" s="31"/>
      <c r="I12" s="21"/>
      <c r="J12" s="21"/>
      <c r="K12" s="21"/>
      <c r="L12" s="21"/>
      <c r="M12" s="21"/>
      <c r="N12" s="30"/>
      <c r="O12" s="21"/>
      <c r="P12" s="21"/>
      <c r="Q12" s="21"/>
      <c r="R12" s="32"/>
      <c r="S12" s="32"/>
      <c r="T12" s="21"/>
      <c r="U12" s="21" t="s">
        <v>37</v>
      </c>
      <c r="V12" s="21" t="s">
        <v>37</v>
      </c>
      <c r="W12" s="21"/>
      <c r="X12" s="21" t="s">
        <v>28</v>
      </c>
    </row>
    <row r="13" customFormat="false" ht="15.75" hidden="false" customHeight="false" outlineLevel="0" collapsed="false">
      <c r="A13" s="61" t="n">
        <v>6285</v>
      </c>
      <c r="B13" s="29" t="n">
        <v>44627</v>
      </c>
      <c r="C13" s="21" t="s">
        <v>616</v>
      </c>
      <c r="D13" s="21" t="s">
        <v>24</v>
      </c>
      <c r="E13" s="21" t="s">
        <v>3337</v>
      </c>
      <c r="F13" s="21" t="s">
        <v>3338</v>
      </c>
      <c r="G13" s="30"/>
      <c r="H13" s="45" t="str">
        <f aca="false">HYPERLINK("https://photos.app.goo.gl/oanWUs9Yvbv3aH7J7", "Completo")</f>
        <v>Completo</v>
      </c>
      <c r="I13" s="21" t="s">
        <v>28</v>
      </c>
      <c r="J13" s="21"/>
      <c r="K13" s="21"/>
      <c r="L13" s="21"/>
      <c r="M13" s="21" t="s">
        <v>2255</v>
      </c>
      <c r="N13" s="69" t="s">
        <v>3339</v>
      </c>
      <c r="O13" s="21" t="s">
        <v>28</v>
      </c>
      <c r="P13" s="21" t="s">
        <v>28</v>
      </c>
      <c r="Q13" s="21" t="s">
        <v>2803</v>
      </c>
      <c r="R13" s="32" t="s">
        <v>74</v>
      </c>
      <c r="S13" s="32" t="s">
        <v>36</v>
      </c>
      <c r="T13" s="21" t="s">
        <v>74</v>
      </c>
      <c r="U13" s="74" t="s">
        <v>28</v>
      </c>
      <c r="V13" s="74" t="s">
        <v>28</v>
      </c>
      <c r="W13" s="21" t="s">
        <v>36</v>
      </c>
      <c r="X13" s="21" t="s">
        <v>28</v>
      </c>
    </row>
    <row r="14" customFormat="false" ht="15.75" hidden="false" customHeight="false" outlineLevel="0" collapsed="false">
      <c r="A14" s="61" t="n">
        <v>6286</v>
      </c>
      <c r="B14" s="29" t="n">
        <v>44627</v>
      </c>
      <c r="C14" s="21" t="s">
        <v>616</v>
      </c>
      <c r="D14" s="21" t="s">
        <v>24</v>
      </c>
      <c r="E14" s="21" t="s">
        <v>3337</v>
      </c>
      <c r="F14" s="21" t="s">
        <v>3340</v>
      </c>
      <c r="G14" s="30"/>
      <c r="H14" s="45" t="str">
        <f aca="false">HYPERLINK("https://photos.app.goo.gl/ftX684W2eptYqWZQ6", "Completo")</f>
        <v>Completo</v>
      </c>
      <c r="I14" s="21" t="s">
        <v>28</v>
      </c>
      <c r="J14" s="21"/>
      <c r="K14" s="21"/>
      <c r="L14" s="21"/>
      <c r="M14" s="21" t="s">
        <v>3341</v>
      </c>
      <c r="N14" s="69" t="s">
        <v>3339</v>
      </c>
      <c r="O14" s="21" t="s">
        <v>28</v>
      </c>
      <c r="P14" s="21" t="s">
        <v>28</v>
      </c>
      <c r="Q14" s="21" t="s">
        <v>702</v>
      </c>
      <c r="R14" s="32" t="s">
        <v>74</v>
      </c>
      <c r="S14" s="32" t="s">
        <v>36</v>
      </c>
      <c r="T14" s="21" t="s">
        <v>74</v>
      </c>
      <c r="U14" s="74" t="s">
        <v>28</v>
      </c>
      <c r="V14" s="74" t="s">
        <v>28</v>
      </c>
      <c r="W14" s="21" t="s">
        <v>36</v>
      </c>
      <c r="X14" s="21" t="s">
        <v>28</v>
      </c>
    </row>
    <row r="15" customFormat="false" ht="15.75" hidden="false" customHeight="false" outlineLevel="0" collapsed="false">
      <c r="A15" s="61" t="n">
        <v>6287</v>
      </c>
      <c r="B15" s="29" t="n">
        <v>44627</v>
      </c>
      <c r="C15" s="21" t="s">
        <v>2463</v>
      </c>
      <c r="D15" s="21" t="s">
        <v>24</v>
      </c>
      <c r="E15" s="21" t="s">
        <v>34</v>
      </c>
      <c r="F15" s="21" t="s">
        <v>2269</v>
      </c>
      <c r="G15" s="30"/>
      <c r="H15" s="31"/>
      <c r="I15" s="21"/>
      <c r="J15" s="21"/>
      <c r="K15" s="21"/>
      <c r="L15" s="21"/>
      <c r="M15" s="21"/>
      <c r="N15" s="30"/>
      <c r="O15" s="21"/>
      <c r="P15" s="21"/>
      <c r="Q15" s="21"/>
      <c r="R15" s="32"/>
      <c r="S15" s="32"/>
      <c r="T15" s="21"/>
      <c r="U15" s="21" t="s">
        <v>37</v>
      </c>
      <c r="V15" s="21" t="s">
        <v>37</v>
      </c>
      <c r="W15" s="21"/>
      <c r="X15" s="21" t="s">
        <v>28</v>
      </c>
    </row>
    <row r="16" customFormat="false" ht="15.75" hidden="false" customHeight="false" outlineLevel="0" collapsed="false">
      <c r="A16" s="61" t="n">
        <v>6288</v>
      </c>
      <c r="B16" s="29" t="n">
        <v>44627</v>
      </c>
      <c r="C16" s="21" t="s">
        <v>1456</v>
      </c>
      <c r="D16" s="21" t="s">
        <v>24</v>
      </c>
      <c r="E16" s="21" t="s">
        <v>34</v>
      </c>
      <c r="F16" s="21" t="s">
        <v>3342</v>
      </c>
      <c r="G16" s="30"/>
      <c r="H16" s="31"/>
      <c r="I16" s="21"/>
      <c r="J16" s="21"/>
      <c r="K16" s="21"/>
      <c r="L16" s="21"/>
      <c r="M16" s="21"/>
      <c r="N16" s="30"/>
      <c r="O16" s="21"/>
      <c r="P16" s="21"/>
      <c r="Q16" s="21"/>
      <c r="R16" s="32"/>
      <c r="S16" s="32"/>
      <c r="T16" s="21"/>
      <c r="U16" s="21" t="s">
        <v>37</v>
      </c>
      <c r="V16" s="21" t="s">
        <v>37</v>
      </c>
      <c r="W16" s="21"/>
      <c r="X16" s="21" t="s">
        <v>28</v>
      </c>
    </row>
    <row r="17" customFormat="false" ht="15.75" hidden="false" customHeight="false" outlineLevel="0" collapsed="false">
      <c r="A17" s="76" t="n">
        <v>924797</v>
      </c>
      <c r="B17" s="29" t="n">
        <v>44628</v>
      </c>
      <c r="C17" s="21" t="s">
        <v>3343</v>
      </c>
      <c r="D17" s="21" t="s">
        <v>290</v>
      </c>
      <c r="E17" s="21" t="s">
        <v>34</v>
      </c>
      <c r="F17" s="21" t="s">
        <v>3344</v>
      </c>
      <c r="G17" s="30" t="s">
        <v>3345</v>
      </c>
      <c r="H17" s="45" t="str">
        <f aca="false">HYPERLINK("https://photos.app.goo.gl/9g1wX2z2QCJm2zCE6", "Completo")</f>
        <v>Completo</v>
      </c>
      <c r="I17" s="21" t="s">
        <v>28</v>
      </c>
      <c r="J17" s="21" t="n">
        <v>3513593882</v>
      </c>
      <c r="K17" s="21" t="s">
        <v>770</v>
      </c>
      <c r="L17" s="21"/>
      <c r="M17" s="21"/>
      <c r="N17" s="30" t="s">
        <v>3346</v>
      </c>
      <c r="O17" s="21" t="s">
        <v>28</v>
      </c>
      <c r="P17" s="21"/>
      <c r="Q17" s="21" t="s">
        <v>399</v>
      </c>
      <c r="R17" s="32" t="s">
        <v>25</v>
      </c>
      <c r="S17" s="32"/>
      <c r="T17" s="21"/>
      <c r="U17" s="21" t="s">
        <v>37</v>
      </c>
      <c r="V17" s="21" t="s">
        <v>37</v>
      </c>
      <c r="W17" s="21"/>
      <c r="X17" s="21" t="s">
        <v>28</v>
      </c>
    </row>
    <row r="18" customFormat="false" ht="15.75" hidden="false" customHeight="false" outlineLevel="0" collapsed="false">
      <c r="A18" s="63" t="n">
        <v>930640</v>
      </c>
      <c r="B18" s="29" t="n">
        <v>44628</v>
      </c>
      <c r="C18" s="21" t="s">
        <v>3343</v>
      </c>
      <c r="D18" s="21" t="s">
        <v>290</v>
      </c>
      <c r="E18" s="21" t="s">
        <v>34</v>
      </c>
      <c r="F18" s="21" t="s">
        <v>3344</v>
      </c>
      <c r="G18" s="30" t="s">
        <v>3345</v>
      </c>
      <c r="H18" s="45" t="str">
        <f aca="false">HYPERLINK("https://photos.app.goo.gl/vLS86wxX7ZAdQM1v7", "Completo")</f>
        <v>Completo</v>
      </c>
      <c r="I18" s="21" t="s">
        <v>28</v>
      </c>
      <c r="J18" s="21" t="n">
        <v>3513593882</v>
      </c>
      <c r="K18" s="21" t="s">
        <v>770</v>
      </c>
      <c r="L18" s="21"/>
      <c r="M18" s="21"/>
      <c r="N18" s="30" t="s">
        <v>3347</v>
      </c>
      <c r="O18" s="21" t="s">
        <v>28</v>
      </c>
      <c r="P18" s="21"/>
      <c r="Q18" s="21" t="s">
        <v>2515</v>
      </c>
      <c r="R18" s="32" t="s">
        <v>25</v>
      </c>
      <c r="S18" s="32"/>
      <c r="T18" s="21"/>
      <c r="U18" s="21" t="s">
        <v>37</v>
      </c>
      <c r="V18" s="21" t="s">
        <v>37</v>
      </c>
      <c r="W18" s="21"/>
      <c r="X18" s="21" t="s">
        <v>28</v>
      </c>
    </row>
    <row r="19" customFormat="false" ht="15.75" hidden="false" customHeight="false" outlineLevel="0" collapsed="false">
      <c r="A19" s="61" t="n">
        <v>6289</v>
      </c>
      <c r="B19" s="29" t="n">
        <v>44624</v>
      </c>
      <c r="C19" s="21" t="s">
        <v>1666</v>
      </c>
      <c r="D19" s="21" t="s">
        <v>24</v>
      </c>
      <c r="E19" s="21" t="s">
        <v>34</v>
      </c>
      <c r="F19" s="21" t="s">
        <v>3348</v>
      </c>
      <c r="G19" s="30" t="s">
        <v>3349</v>
      </c>
      <c r="H19" s="45" t="str">
        <f aca="false">HYPERLINK("https://photos.app.goo.gl/DeAGeEMr5KVBMjrq7", "Completo")</f>
        <v>Completo</v>
      </c>
      <c r="I19" s="21" t="s">
        <v>28</v>
      </c>
      <c r="J19" s="21"/>
      <c r="K19" s="21"/>
      <c r="L19" s="21"/>
      <c r="M19" s="21"/>
      <c r="N19" s="30"/>
      <c r="O19" s="21"/>
      <c r="P19" s="21"/>
      <c r="Q19" s="21"/>
      <c r="R19" s="32"/>
      <c r="S19" s="32"/>
      <c r="T19" s="21"/>
      <c r="U19" s="21"/>
      <c r="V19" s="21"/>
      <c r="W19" s="21"/>
      <c r="X19" s="21" t="s">
        <v>28</v>
      </c>
    </row>
    <row r="20" customFormat="false" ht="15.75" hidden="false" customHeight="false" outlineLevel="0" collapsed="false">
      <c r="A20" s="63" t="n">
        <v>1235618</v>
      </c>
      <c r="B20" s="29" t="n">
        <v>44629</v>
      </c>
      <c r="C20" s="21" t="s">
        <v>3350</v>
      </c>
      <c r="D20" s="21" t="s">
        <v>290</v>
      </c>
      <c r="E20" s="21" t="s">
        <v>34</v>
      </c>
      <c r="F20" s="21" t="s">
        <v>3351</v>
      </c>
      <c r="G20" s="30" t="s">
        <v>3352</v>
      </c>
      <c r="H20" s="45" t="str">
        <f aca="false">HYPERLINK("https://photos.app.goo.gl/TZw7GgeyFwWdKnRn6", "Completo")</f>
        <v>Completo</v>
      </c>
      <c r="I20" s="21" t="s">
        <v>28</v>
      </c>
      <c r="J20" s="21"/>
      <c r="K20" s="21"/>
      <c r="L20" s="21"/>
      <c r="M20" s="21"/>
      <c r="N20" s="30"/>
      <c r="O20" s="21" t="s">
        <v>28</v>
      </c>
      <c r="P20" s="74" t="s">
        <v>28</v>
      </c>
      <c r="Q20" s="21" t="s">
        <v>2981</v>
      </c>
      <c r="R20" s="32" t="s">
        <v>2850</v>
      </c>
      <c r="S20" s="32" t="s">
        <v>36</v>
      </c>
      <c r="T20" s="21" t="s">
        <v>74</v>
      </c>
      <c r="U20" s="74" t="s">
        <v>28</v>
      </c>
      <c r="V20" s="74" t="s">
        <v>28</v>
      </c>
      <c r="W20" s="21" t="s">
        <v>36</v>
      </c>
      <c r="X20" s="21" t="s">
        <v>28</v>
      </c>
    </row>
    <row r="21" customFormat="false" ht="15.75" hidden="false" customHeight="false" outlineLevel="0" collapsed="false">
      <c r="A21" s="61" t="n">
        <v>6290</v>
      </c>
      <c r="B21" s="29" t="n">
        <v>44629</v>
      </c>
      <c r="C21" s="21" t="s">
        <v>3350</v>
      </c>
      <c r="D21" s="21" t="s">
        <v>24</v>
      </c>
      <c r="E21" s="21" t="s">
        <v>34</v>
      </c>
      <c r="F21" s="21" t="s">
        <v>3351</v>
      </c>
      <c r="G21" s="30" t="s">
        <v>3352</v>
      </c>
      <c r="H21" s="45" t="str">
        <f aca="false">HYPERLINK("https://photos.app.goo.gl/Kj8rcd1fjJHKVf5g8", "Completo")</f>
        <v>Completo</v>
      </c>
      <c r="I21" s="21" t="s">
        <v>28</v>
      </c>
      <c r="J21" s="21"/>
      <c r="K21" s="21"/>
      <c r="L21" s="21"/>
      <c r="M21" s="21"/>
      <c r="N21" s="30"/>
      <c r="O21" s="21" t="s">
        <v>28</v>
      </c>
      <c r="P21" s="74" t="s">
        <v>28</v>
      </c>
      <c r="Q21" s="21" t="s">
        <v>2981</v>
      </c>
      <c r="R21" s="32" t="s">
        <v>2850</v>
      </c>
      <c r="S21" s="32" t="s">
        <v>36</v>
      </c>
      <c r="T21" s="21"/>
      <c r="U21" s="21"/>
      <c r="V21" s="21"/>
      <c r="W21" s="21"/>
      <c r="X21" s="21" t="s">
        <v>28</v>
      </c>
    </row>
    <row r="22" customFormat="false" ht="15.75" hidden="false" customHeight="false" outlineLevel="0" collapsed="false">
      <c r="A22" s="61" t="n">
        <v>6291</v>
      </c>
      <c r="B22" s="29" t="n">
        <v>44629</v>
      </c>
      <c r="C22" s="21" t="s">
        <v>3350</v>
      </c>
      <c r="D22" s="21" t="s">
        <v>24</v>
      </c>
      <c r="E22" s="21" t="s">
        <v>34</v>
      </c>
      <c r="F22" s="21" t="s">
        <v>3351</v>
      </c>
      <c r="G22" s="30" t="s">
        <v>3353</v>
      </c>
      <c r="H22" s="45" t="str">
        <f aca="false">HYPERLINK("https://photos.app.goo.gl/9pUkzXMkPnjVKXmD7", "Completo")</f>
        <v>Completo</v>
      </c>
      <c r="I22" s="21" t="s">
        <v>28</v>
      </c>
      <c r="J22" s="21"/>
      <c r="K22" s="21"/>
      <c r="L22" s="21"/>
      <c r="M22" s="21"/>
      <c r="N22" s="69" t="s">
        <v>3354</v>
      </c>
      <c r="O22" s="21" t="s">
        <v>28</v>
      </c>
      <c r="P22" s="21" t="s">
        <v>28</v>
      </c>
      <c r="Q22" s="21" t="s">
        <v>2515</v>
      </c>
      <c r="R22" s="32" t="s">
        <v>74</v>
      </c>
      <c r="S22" s="32" t="s">
        <v>36</v>
      </c>
      <c r="T22" s="21" t="s">
        <v>74</v>
      </c>
      <c r="U22" s="74" t="s">
        <v>28</v>
      </c>
      <c r="V22" s="74" t="s">
        <v>28</v>
      </c>
      <c r="W22" s="21" t="s">
        <v>36</v>
      </c>
      <c r="X22" s="21" t="s">
        <v>28</v>
      </c>
    </row>
    <row r="23" customFormat="false" ht="15.75" hidden="false" customHeight="false" outlineLevel="0" collapsed="false">
      <c r="A23" s="61" t="n">
        <v>6292</v>
      </c>
      <c r="B23" s="29" t="n">
        <v>44629</v>
      </c>
      <c r="C23" s="21" t="s">
        <v>3355</v>
      </c>
      <c r="D23" s="21" t="s">
        <v>24</v>
      </c>
      <c r="E23" s="21" t="s">
        <v>34</v>
      </c>
      <c r="F23" s="21" t="s">
        <v>3356</v>
      </c>
      <c r="G23" s="30" t="s">
        <v>3357</v>
      </c>
      <c r="H23" s="45" t="str">
        <f aca="false">HYPERLINK("https://photos.app.goo.gl/g6Y9DT96ePkVRmLu7", "Completo")</f>
        <v>Completo</v>
      </c>
      <c r="I23" s="21" t="s">
        <v>28</v>
      </c>
      <c r="J23" s="21" t="s">
        <v>3358</v>
      </c>
      <c r="K23" s="21" t="s">
        <v>3359</v>
      </c>
      <c r="L23" s="21"/>
      <c r="M23" s="21"/>
      <c r="N23" s="30"/>
      <c r="O23" s="21"/>
      <c r="P23" s="21"/>
      <c r="Q23" s="21"/>
      <c r="R23" s="32"/>
      <c r="S23" s="32"/>
      <c r="T23" s="21"/>
      <c r="U23" s="21"/>
      <c r="V23" s="21"/>
      <c r="W23" s="21"/>
      <c r="X23" s="21" t="s">
        <v>28</v>
      </c>
    </row>
    <row r="24" customFormat="false" ht="15.75" hidden="false" customHeight="false" outlineLevel="0" collapsed="false">
      <c r="A24" s="61" t="n">
        <v>6293</v>
      </c>
      <c r="B24" s="29" t="n">
        <v>44624</v>
      </c>
      <c r="C24" s="21" t="s">
        <v>1352</v>
      </c>
      <c r="D24" s="21" t="s">
        <v>24</v>
      </c>
      <c r="E24" s="21" t="s">
        <v>34</v>
      </c>
      <c r="F24" s="21" t="s">
        <v>1287</v>
      </c>
      <c r="G24" s="30" t="s">
        <v>3360</v>
      </c>
      <c r="H24" s="45" t="str">
        <f aca="false">HYPERLINK("https://photos.app.goo.gl/x3entfHuDWjGfQxm7", "Completo")</f>
        <v>Completo</v>
      </c>
      <c r="I24" s="21" t="s">
        <v>28</v>
      </c>
      <c r="J24" s="21"/>
      <c r="K24" s="21"/>
      <c r="L24" s="21"/>
      <c r="M24" s="21"/>
      <c r="N24" s="30" t="s">
        <v>3361</v>
      </c>
      <c r="O24" s="21" t="s">
        <v>28</v>
      </c>
      <c r="P24" s="21" t="s">
        <v>28</v>
      </c>
      <c r="Q24" s="21" t="s">
        <v>201</v>
      </c>
      <c r="R24" s="32" t="s">
        <v>25</v>
      </c>
      <c r="S24" s="32" t="s">
        <v>29</v>
      </c>
      <c r="T24" s="21" t="s">
        <v>74</v>
      </c>
      <c r="U24" s="74" t="s">
        <v>28</v>
      </c>
      <c r="V24" s="74" t="s">
        <v>28</v>
      </c>
      <c r="W24" s="21" t="s">
        <v>3362</v>
      </c>
      <c r="X24" s="21" t="s">
        <v>28</v>
      </c>
    </row>
    <row r="25" customFormat="false" ht="15.75" hidden="false" customHeight="false" outlineLevel="0" collapsed="false">
      <c r="A25" s="61" t="n">
        <v>6294</v>
      </c>
      <c r="B25" s="29" t="n">
        <v>44624</v>
      </c>
      <c r="C25" s="21" t="s">
        <v>1352</v>
      </c>
      <c r="D25" s="21" t="s">
        <v>24</v>
      </c>
      <c r="E25" s="21" t="s">
        <v>34</v>
      </c>
      <c r="F25" s="21" t="s">
        <v>3363</v>
      </c>
      <c r="G25" s="30" t="s">
        <v>3364</v>
      </c>
      <c r="H25" s="45" t="str">
        <f aca="false">HYPERLINK("https://photos.app.goo.gl/UDLjS2DWETXKgioB8", "Completo")</f>
        <v>Completo</v>
      </c>
      <c r="I25" s="21" t="s">
        <v>28</v>
      </c>
      <c r="J25" s="21"/>
      <c r="K25" s="21"/>
      <c r="L25" s="21"/>
      <c r="M25" s="21"/>
      <c r="N25" s="30"/>
      <c r="O25" s="21"/>
      <c r="P25" s="21"/>
      <c r="Q25" s="21"/>
      <c r="R25" s="32"/>
      <c r="S25" s="32"/>
      <c r="T25" s="21" t="s">
        <v>74</v>
      </c>
      <c r="U25" s="74" t="s">
        <v>28</v>
      </c>
      <c r="V25" s="74" t="s">
        <v>28</v>
      </c>
      <c r="W25" s="21" t="s">
        <v>36</v>
      </c>
      <c r="X25" s="21" t="s">
        <v>28</v>
      </c>
    </row>
    <row r="26" customFormat="false" ht="15.75" hidden="false" customHeight="false" outlineLevel="0" collapsed="false">
      <c r="A26" s="61" t="n">
        <v>6295</v>
      </c>
      <c r="B26" s="29" t="n">
        <v>44624</v>
      </c>
      <c r="C26" s="21" t="s">
        <v>1352</v>
      </c>
      <c r="D26" s="21" t="s">
        <v>24</v>
      </c>
      <c r="E26" s="21" t="s">
        <v>34</v>
      </c>
      <c r="F26" s="21" t="s">
        <v>3363</v>
      </c>
      <c r="G26" s="30" t="s">
        <v>3364</v>
      </c>
      <c r="H26" s="45" t="str">
        <f aca="false">HYPERLINK("https://photos.app.goo.gl/UDLjS2DWETXKgioB8", "Completo")</f>
        <v>Completo</v>
      </c>
      <c r="I26" s="21" t="s">
        <v>28</v>
      </c>
      <c r="J26" s="21"/>
      <c r="K26" s="21"/>
      <c r="L26" s="21"/>
      <c r="M26" s="21"/>
      <c r="N26" s="30"/>
      <c r="O26" s="21" t="s">
        <v>28</v>
      </c>
      <c r="P26" s="21" t="s">
        <v>28</v>
      </c>
      <c r="Q26" s="21" t="s">
        <v>2981</v>
      </c>
      <c r="R26" s="32" t="s">
        <v>2850</v>
      </c>
      <c r="S26" s="32" t="s">
        <v>36</v>
      </c>
      <c r="T26" s="21" t="s">
        <v>74</v>
      </c>
      <c r="U26" s="74" t="s">
        <v>28</v>
      </c>
      <c r="V26" s="74" t="s">
        <v>28</v>
      </c>
      <c r="W26" s="21" t="s">
        <v>36</v>
      </c>
      <c r="X26" s="21" t="s">
        <v>28</v>
      </c>
    </row>
    <row r="27" customFormat="false" ht="15.75" hidden="false" customHeight="false" outlineLevel="0" collapsed="false">
      <c r="A27" s="61" t="n">
        <v>6296</v>
      </c>
      <c r="B27" s="29" t="n">
        <v>44624</v>
      </c>
      <c r="C27" s="21" t="s">
        <v>1352</v>
      </c>
      <c r="D27" s="21" t="s">
        <v>24</v>
      </c>
      <c r="E27" s="21" t="s">
        <v>34</v>
      </c>
      <c r="F27" s="21" t="s">
        <v>3363</v>
      </c>
      <c r="G27" s="30" t="s">
        <v>3364</v>
      </c>
      <c r="H27" s="45" t="str">
        <f aca="false">HYPERLINK("https://photos.app.goo.gl/UDLjS2DWETXKgioB8", "Completo")</f>
        <v>Completo</v>
      </c>
      <c r="I27" s="21" t="s">
        <v>28</v>
      </c>
      <c r="J27" s="21"/>
      <c r="K27" s="21"/>
      <c r="L27" s="21"/>
      <c r="M27" s="21"/>
      <c r="N27" s="30"/>
      <c r="O27" s="21"/>
      <c r="P27" s="21"/>
      <c r="Q27" s="21"/>
      <c r="R27" s="32"/>
      <c r="S27" s="32"/>
      <c r="T27" s="21" t="s">
        <v>74</v>
      </c>
      <c r="U27" s="74" t="s">
        <v>28</v>
      </c>
      <c r="V27" s="74" t="s">
        <v>28</v>
      </c>
      <c r="W27" s="21" t="s">
        <v>36</v>
      </c>
      <c r="X27" s="21" t="s">
        <v>28</v>
      </c>
    </row>
    <row r="28" customFormat="false" ht="15.75" hidden="false" customHeight="false" outlineLevel="0" collapsed="false">
      <c r="A28" s="61" t="n">
        <v>6297</v>
      </c>
      <c r="B28" s="29" t="n">
        <v>44624</v>
      </c>
      <c r="C28" s="21" t="s">
        <v>1352</v>
      </c>
      <c r="D28" s="21" t="s">
        <v>24</v>
      </c>
      <c r="E28" s="21" t="s">
        <v>34</v>
      </c>
      <c r="F28" s="21" t="s">
        <v>3363</v>
      </c>
      <c r="G28" s="30" t="s">
        <v>3364</v>
      </c>
      <c r="H28" s="45" t="str">
        <f aca="false">HYPERLINK("https://photos.app.goo.gl/UDLjS2DWETXKgioB8", "Completo")</f>
        <v>Completo</v>
      </c>
      <c r="I28" s="21" t="s">
        <v>28</v>
      </c>
      <c r="J28" s="21"/>
      <c r="K28" s="21"/>
      <c r="L28" s="21"/>
      <c r="M28" s="21"/>
      <c r="N28" s="30"/>
      <c r="O28" s="21" t="s">
        <v>28</v>
      </c>
      <c r="P28" s="74" t="s">
        <v>28</v>
      </c>
      <c r="Q28" s="21" t="s">
        <v>2981</v>
      </c>
      <c r="R28" s="32" t="s">
        <v>2850</v>
      </c>
      <c r="S28" s="32" t="s">
        <v>36</v>
      </c>
      <c r="T28" s="21" t="s">
        <v>74</v>
      </c>
      <c r="U28" s="74" t="s">
        <v>28</v>
      </c>
      <c r="V28" s="74" t="s">
        <v>28</v>
      </c>
      <c r="W28" s="21" t="s">
        <v>36</v>
      </c>
      <c r="X28" s="21" t="s">
        <v>28</v>
      </c>
    </row>
    <row r="29" customFormat="false" ht="15.75" hidden="false" customHeight="false" outlineLevel="0" collapsed="false">
      <c r="A29" s="61" t="n">
        <v>6298</v>
      </c>
      <c r="B29" s="29" t="n">
        <v>44624</v>
      </c>
      <c r="C29" s="21" t="s">
        <v>1352</v>
      </c>
      <c r="D29" s="21" t="s">
        <v>24</v>
      </c>
      <c r="E29" s="21" t="s">
        <v>34</v>
      </c>
      <c r="F29" s="21" t="s">
        <v>3363</v>
      </c>
      <c r="G29" s="30" t="s">
        <v>3364</v>
      </c>
      <c r="H29" s="45" t="str">
        <f aca="false">HYPERLINK("https://photos.app.goo.gl/UDLjS2DWETXKgioB8", "Completo")</f>
        <v>Completo</v>
      </c>
      <c r="I29" s="21" t="s">
        <v>28</v>
      </c>
      <c r="J29" s="21"/>
      <c r="K29" s="21"/>
      <c r="L29" s="21"/>
      <c r="M29" s="21"/>
      <c r="N29" s="30"/>
      <c r="O29" s="21" t="s">
        <v>28</v>
      </c>
      <c r="P29" s="74" t="s">
        <v>28</v>
      </c>
      <c r="Q29" s="21" t="s">
        <v>2981</v>
      </c>
      <c r="R29" s="32" t="s">
        <v>2850</v>
      </c>
      <c r="S29" s="32" t="s">
        <v>36</v>
      </c>
      <c r="T29" s="21" t="s">
        <v>74</v>
      </c>
      <c r="U29" s="74" t="s">
        <v>28</v>
      </c>
      <c r="V29" s="74" t="s">
        <v>28</v>
      </c>
      <c r="W29" s="21" t="s">
        <v>36</v>
      </c>
      <c r="X29" s="21" t="s">
        <v>28</v>
      </c>
    </row>
    <row r="30" customFormat="false" ht="15.75" hidden="false" customHeight="false" outlineLevel="0" collapsed="false">
      <c r="A30" s="61" t="n">
        <v>6299</v>
      </c>
      <c r="B30" s="29" t="n">
        <v>44624</v>
      </c>
      <c r="C30" s="21" t="s">
        <v>1352</v>
      </c>
      <c r="D30" s="21" t="s">
        <v>24</v>
      </c>
      <c r="E30" s="21" t="s">
        <v>34</v>
      </c>
      <c r="F30" s="21" t="s">
        <v>3365</v>
      </c>
      <c r="G30" s="30" t="s">
        <v>3366</v>
      </c>
      <c r="H30" s="45" t="str">
        <f aca="false">HYPERLINK("https://photos.app.goo.gl/UKCpiVvhvcWavuFs8", "Completo")</f>
        <v>Completo</v>
      </c>
      <c r="I30" s="21" t="s">
        <v>37</v>
      </c>
      <c r="J30" s="21"/>
      <c r="K30" s="21"/>
      <c r="L30" s="21"/>
      <c r="M30" s="21"/>
      <c r="N30" s="30"/>
      <c r="O30" s="21"/>
      <c r="P30" s="21"/>
      <c r="Q30" s="21"/>
      <c r="R30" s="32"/>
      <c r="S30" s="32"/>
      <c r="T30" s="21"/>
      <c r="U30" s="21"/>
      <c r="V30" s="21"/>
      <c r="W30" s="21"/>
      <c r="X30" s="21" t="s">
        <v>28</v>
      </c>
    </row>
    <row r="31" customFormat="false" ht="15.75" hidden="false" customHeight="false" outlineLevel="0" collapsed="false">
      <c r="A31" s="61" t="n">
        <v>6300</v>
      </c>
      <c r="B31" s="29" t="n">
        <v>44630</v>
      </c>
      <c r="C31" s="21" t="s">
        <v>3367</v>
      </c>
      <c r="D31" s="21" t="s">
        <v>24</v>
      </c>
      <c r="E31" s="21" t="s">
        <v>34</v>
      </c>
      <c r="F31" s="21" t="s">
        <v>3368</v>
      </c>
      <c r="G31" s="30" t="s">
        <v>3369</v>
      </c>
      <c r="H31" s="45" t="str">
        <f aca="false">HYPERLINK("https://photos.app.goo.gl/4QgFFiXM3m5E9HG18", "Completo")</f>
        <v>Completo</v>
      </c>
      <c r="I31" s="21"/>
      <c r="J31" s="21" t="n">
        <v>3516325996</v>
      </c>
      <c r="K31" s="21" t="s">
        <v>3370</v>
      </c>
      <c r="L31" s="21"/>
      <c r="M31" s="21"/>
      <c r="N31" s="30"/>
      <c r="O31" s="21"/>
      <c r="P31" s="21"/>
      <c r="Q31" s="21"/>
      <c r="R31" s="32"/>
      <c r="S31" s="32"/>
      <c r="T31" s="21"/>
      <c r="U31" s="21" t="s">
        <v>37</v>
      </c>
      <c r="V31" s="21" t="s">
        <v>37</v>
      </c>
      <c r="W31" s="21"/>
      <c r="X31" s="21" t="s">
        <v>28</v>
      </c>
    </row>
    <row r="32" customFormat="false" ht="15.75" hidden="false" customHeight="false" outlineLevel="0" collapsed="false">
      <c r="A32" s="61" t="n">
        <v>6301</v>
      </c>
      <c r="B32" s="29" t="n">
        <v>44634</v>
      </c>
      <c r="C32" s="21" t="s">
        <v>1456</v>
      </c>
      <c r="D32" s="21" t="s">
        <v>24</v>
      </c>
      <c r="E32" s="21" t="s">
        <v>25</v>
      </c>
      <c r="F32" s="21" t="s">
        <v>3371</v>
      </c>
      <c r="G32" s="30" t="s">
        <v>3372</v>
      </c>
      <c r="H32" s="45" t="str">
        <f aca="false">HYPERLINK("https://photos.app.goo.gl/MM8CvYQar2oEbcj9A", "Completo")</f>
        <v>Completo</v>
      </c>
      <c r="I32" s="21" t="s">
        <v>28</v>
      </c>
      <c r="J32" s="21"/>
      <c r="K32" s="21"/>
      <c r="L32" s="21"/>
      <c r="M32" s="21"/>
      <c r="N32" s="30"/>
      <c r="O32" s="21"/>
      <c r="P32" s="21"/>
      <c r="Q32" s="21"/>
      <c r="R32" s="32"/>
      <c r="S32" s="32"/>
      <c r="T32" s="21"/>
      <c r="U32" s="21" t="s">
        <v>37</v>
      </c>
      <c r="V32" s="21" t="s">
        <v>37</v>
      </c>
      <c r="W32" s="21"/>
      <c r="X32" s="21" t="s">
        <v>28</v>
      </c>
    </row>
    <row r="33" customFormat="false" ht="15.75" hidden="false" customHeight="false" outlineLevel="0" collapsed="false">
      <c r="A33" s="61" t="n">
        <v>6302</v>
      </c>
      <c r="B33" s="29" t="n">
        <v>44634</v>
      </c>
      <c r="C33" s="21" t="s">
        <v>944</v>
      </c>
      <c r="D33" s="21" t="s">
        <v>24</v>
      </c>
      <c r="E33" s="21" t="s">
        <v>34</v>
      </c>
      <c r="F33" s="21" t="s">
        <v>3373</v>
      </c>
      <c r="G33" s="30"/>
      <c r="H33" s="31"/>
      <c r="I33" s="21"/>
      <c r="J33" s="21"/>
      <c r="K33" s="21"/>
      <c r="L33" s="21"/>
      <c r="M33" s="21"/>
      <c r="N33" s="30"/>
      <c r="O33" s="21"/>
      <c r="P33" s="21"/>
      <c r="Q33" s="21"/>
      <c r="R33" s="32"/>
      <c r="S33" s="32"/>
      <c r="T33" s="21"/>
      <c r="U33" s="21"/>
      <c r="V33" s="21"/>
      <c r="W33" s="21"/>
      <c r="X33" s="21" t="s">
        <v>28</v>
      </c>
    </row>
    <row r="34" customFormat="false" ht="15.75" hidden="false" customHeight="false" outlineLevel="0" collapsed="false">
      <c r="A34" s="61" t="n">
        <v>6303</v>
      </c>
      <c r="B34" s="29" t="n">
        <v>44635</v>
      </c>
      <c r="C34" s="21" t="s">
        <v>1347</v>
      </c>
      <c r="D34" s="21" t="s">
        <v>24</v>
      </c>
      <c r="E34" s="21" t="s">
        <v>74</v>
      </c>
      <c r="F34" s="21" t="s">
        <v>3374</v>
      </c>
      <c r="G34" s="69" t="s">
        <v>3375</v>
      </c>
      <c r="H34" s="45" t="str">
        <f aca="false">HYPERLINK("https://photos.app.goo.gl/3S35T6fyxCBvmnVRA", "Completo")</f>
        <v>Completo</v>
      </c>
      <c r="I34" s="21" t="s">
        <v>28</v>
      </c>
      <c r="J34" s="21"/>
      <c r="K34" s="21"/>
      <c r="L34" s="21"/>
      <c r="M34" s="21" t="s">
        <v>3376</v>
      </c>
      <c r="N34" s="30"/>
      <c r="O34" s="21"/>
      <c r="P34" s="21"/>
      <c r="Q34" s="21"/>
      <c r="R34" s="32"/>
      <c r="S34" s="32"/>
      <c r="T34" s="21" t="s">
        <v>74</v>
      </c>
      <c r="U34" s="74" t="s">
        <v>28</v>
      </c>
      <c r="V34" s="74" t="s">
        <v>28</v>
      </c>
      <c r="W34" s="21" t="s">
        <v>36</v>
      </c>
      <c r="X34" s="21" t="s">
        <v>28</v>
      </c>
    </row>
    <row r="35" customFormat="false" ht="15.75" hidden="false" customHeight="false" outlineLevel="0" collapsed="false">
      <c r="A35" s="80" t="n">
        <v>6304</v>
      </c>
      <c r="B35" s="81" t="n">
        <v>44635</v>
      </c>
      <c r="C35" s="24" t="s">
        <v>3377</v>
      </c>
      <c r="D35" s="24" t="s">
        <v>24</v>
      </c>
      <c r="E35" s="24" t="s">
        <v>25</v>
      </c>
      <c r="F35" s="24" t="s">
        <v>3378</v>
      </c>
      <c r="G35" s="30" t="s">
        <v>1450</v>
      </c>
      <c r="H35" s="45" t="str">
        <f aca="false">HYPERLINK("https://photos.app.goo.gl/dHsYVxSSjwE1gyhLA", "Completo")</f>
        <v>Completo</v>
      </c>
      <c r="I35" s="21" t="s">
        <v>28</v>
      </c>
      <c r="J35" s="21"/>
      <c r="K35" s="21"/>
      <c r="L35" s="21"/>
      <c r="M35" s="21"/>
      <c r="N35" s="30"/>
      <c r="O35" s="21"/>
      <c r="P35" s="21"/>
      <c r="Q35" s="21"/>
      <c r="R35" s="32"/>
      <c r="S35" s="32"/>
      <c r="T35" s="21" t="s">
        <v>3286</v>
      </c>
      <c r="U35" s="74" t="s">
        <v>28</v>
      </c>
      <c r="V35" s="46" t="str">
        <f aca="false">HYPERLINK("https://photos.app.goo.gl/oCynqVYwFvz317ss7", "Completo")</f>
        <v>Completo</v>
      </c>
      <c r="W35" s="21" t="s">
        <v>29</v>
      </c>
      <c r="X35" s="21" t="s">
        <v>28</v>
      </c>
    </row>
    <row r="36" customFormat="false" ht="15.75" hidden="false" customHeight="false" outlineLevel="0" collapsed="false">
      <c r="A36" s="80" t="n">
        <v>6305</v>
      </c>
      <c r="B36" s="81" t="n">
        <v>44635</v>
      </c>
      <c r="C36" s="24" t="s">
        <v>3377</v>
      </c>
      <c r="D36" s="24" t="s">
        <v>24</v>
      </c>
      <c r="E36" s="24" t="s">
        <v>25</v>
      </c>
      <c r="F36" s="24" t="s">
        <v>3378</v>
      </c>
      <c r="G36" s="30" t="s">
        <v>1450</v>
      </c>
      <c r="H36" s="45" t="str">
        <f aca="false">HYPERLINK("https://photos.app.goo.gl/iBrZwtuwspwmmPP8A", "Completo")</f>
        <v>Completo</v>
      </c>
      <c r="I36" s="21" t="s">
        <v>28</v>
      </c>
      <c r="J36" s="21"/>
      <c r="K36" s="21"/>
      <c r="L36" s="21"/>
      <c r="M36" s="21"/>
      <c r="N36" s="30"/>
      <c r="O36" s="21"/>
      <c r="P36" s="21"/>
      <c r="Q36" s="21"/>
      <c r="R36" s="32"/>
      <c r="S36" s="32"/>
      <c r="T36" s="21" t="s">
        <v>3286</v>
      </c>
      <c r="U36" s="74" t="s">
        <v>28</v>
      </c>
      <c r="V36" s="46" t="str">
        <f aca="false">HYPERLINK("https://photos.app.goo.gl/KEpJDxFLyo7KXaRs5", "Completo")</f>
        <v>Completo</v>
      </c>
      <c r="W36" s="21" t="s">
        <v>29</v>
      </c>
      <c r="X36" s="21" t="s">
        <v>28</v>
      </c>
    </row>
    <row r="37" customFormat="false" ht="15.75" hidden="false" customHeight="false" outlineLevel="0" collapsed="false">
      <c r="A37" s="80" t="n">
        <v>6306</v>
      </c>
      <c r="B37" s="81" t="n">
        <v>44635</v>
      </c>
      <c r="C37" s="24" t="s">
        <v>3377</v>
      </c>
      <c r="D37" s="24" t="s">
        <v>24</v>
      </c>
      <c r="E37" s="24" t="s">
        <v>25</v>
      </c>
      <c r="F37" s="24" t="s">
        <v>3378</v>
      </c>
      <c r="G37" s="30" t="s">
        <v>1450</v>
      </c>
      <c r="H37" s="45" t="str">
        <f aca="false">HYPERLINK("https://photos.app.goo.gl/bD4M6L4kRWZJp57j7", "Completo")</f>
        <v>Completo</v>
      </c>
      <c r="I37" s="21" t="s">
        <v>28</v>
      </c>
      <c r="J37" s="21"/>
      <c r="K37" s="21"/>
      <c r="L37" s="21"/>
      <c r="M37" s="21"/>
      <c r="N37" s="30" t="s">
        <v>3379</v>
      </c>
      <c r="O37" s="21" t="s">
        <v>28</v>
      </c>
      <c r="P37" s="21" t="s">
        <v>28</v>
      </c>
      <c r="Q37" s="21" t="s">
        <v>73</v>
      </c>
      <c r="R37" s="32" t="s">
        <v>74</v>
      </c>
      <c r="S37" s="32" t="s">
        <v>36</v>
      </c>
      <c r="T37" s="21" t="s">
        <v>3286</v>
      </c>
      <c r="U37" s="74" t="s">
        <v>28</v>
      </c>
      <c r="V37" s="46" t="str">
        <f aca="false">HYPERLINK("https://photos.app.goo.gl/3N8WqzXVNKB97kAV8", "Completo")</f>
        <v>Completo</v>
      </c>
      <c r="W37" s="21" t="s">
        <v>36</v>
      </c>
      <c r="X37" s="21" t="s">
        <v>28</v>
      </c>
    </row>
    <row r="38" customFormat="false" ht="15.75" hidden="false" customHeight="false" outlineLevel="0" collapsed="false">
      <c r="A38" s="80" t="n">
        <v>6307</v>
      </c>
      <c r="B38" s="81" t="n">
        <v>44635</v>
      </c>
      <c r="C38" s="24" t="s">
        <v>3377</v>
      </c>
      <c r="D38" s="24" t="s">
        <v>24</v>
      </c>
      <c r="E38" s="24" t="s">
        <v>25</v>
      </c>
      <c r="F38" s="24" t="s">
        <v>3380</v>
      </c>
      <c r="G38" s="30" t="s">
        <v>3381</v>
      </c>
      <c r="H38" s="45" t="str">
        <f aca="false">HYPERLINK("https://photos.app.goo.gl/dKcXAdi5Ah3xVyKeA", "Completo")</f>
        <v>Completo</v>
      </c>
      <c r="I38" s="21" t="s">
        <v>28</v>
      </c>
      <c r="J38" s="21"/>
      <c r="K38" s="21"/>
      <c r="L38" s="21"/>
      <c r="M38" s="21"/>
      <c r="N38" s="30"/>
      <c r="O38" s="21" t="s">
        <v>28</v>
      </c>
      <c r="P38" s="21" t="s">
        <v>28</v>
      </c>
      <c r="Q38" s="21" t="s">
        <v>73</v>
      </c>
      <c r="R38" s="32" t="s">
        <v>74</v>
      </c>
      <c r="S38" s="32" t="s">
        <v>36</v>
      </c>
      <c r="T38" s="21" t="s">
        <v>3286</v>
      </c>
      <c r="U38" s="74" t="s">
        <v>28</v>
      </c>
      <c r="V38" s="46" t="str">
        <f aca="false">HYPERLINK("https://photos.app.goo.gl/siuT5PRRgF2tV6uG7", "Completo")</f>
        <v>Completo</v>
      </c>
      <c r="W38" s="21" t="s">
        <v>36</v>
      </c>
      <c r="X38" s="21" t="s">
        <v>28</v>
      </c>
    </row>
    <row r="39" customFormat="false" ht="15.75" hidden="false" customHeight="false" outlineLevel="0" collapsed="false">
      <c r="A39" s="80" t="n">
        <v>6308</v>
      </c>
      <c r="B39" s="81" t="n">
        <v>44635</v>
      </c>
      <c r="C39" s="24" t="s">
        <v>3377</v>
      </c>
      <c r="D39" s="24" t="s">
        <v>24</v>
      </c>
      <c r="E39" s="24" t="s">
        <v>25</v>
      </c>
      <c r="F39" s="24" t="s">
        <v>3380</v>
      </c>
      <c r="G39" s="30" t="s">
        <v>3381</v>
      </c>
      <c r="H39" s="45" t="str">
        <f aca="false">HYPERLINK("https://photos.app.goo.gl/7QXjg7qGWtf871JC7", "Completo")</f>
        <v>Completo</v>
      </c>
      <c r="I39" s="21" t="s">
        <v>28</v>
      </c>
      <c r="J39" s="21"/>
      <c r="K39" s="21"/>
      <c r="L39" s="21"/>
      <c r="M39" s="21"/>
      <c r="N39" s="30"/>
      <c r="O39" s="21"/>
      <c r="P39" s="21"/>
      <c r="Q39" s="21"/>
      <c r="R39" s="32"/>
      <c r="S39" s="32"/>
      <c r="T39" s="21" t="s">
        <v>3286</v>
      </c>
      <c r="U39" s="46" t="str">
        <f aca="false">HYPERLINK("https://drive.google.com/file/d/1bbHKOyr1wxgCd63Q-GHdaZVe8rS4BM3k/view?usp=drivesdk", "Completo")</f>
        <v>Completo</v>
      </c>
      <c r="V39" s="46" t="str">
        <f aca="false">HYPERLINK("https://photos.app.goo.gl/L4inxVUFTi9yyZy96", "Completo")</f>
        <v>Completo</v>
      </c>
      <c r="W39" s="21" t="s">
        <v>36</v>
      </c>
      <c r="X39" s="21" t="s">
        <v>28</v>
      </c>
    </row>
    <row r="40" customFormat="false" ht="15.75" hidden="false" customHeight="false" outlineLevel="0" collapsed="false">
      <c r="A40" s="80" t="n">
        <v>6309</v>
      </c>
      <c r="B40" s="81" t="n">
        <v>44635</v>
      </c>
      <c r="C40" s="24" t="s">
        <v>3377</v>
      </c>
      <c r="D40" s="24" t="s">
        <v>24</v>
      </c>
      <c r="E40" s="24" t="s">
        <v>25</v>
      </c>
      <c r="F40" s="24" t="s">
        <v>3382</v>
      </c>
      <c r="G40" s="30" t="s">
        <v>3383</v>
      </c>
      <c r="H40" s="45" t="str">
        <f aca="false">HYPERLINK("https://photos.app.goo.gl/QozSjyAzpyApDADd7", "Completo")</f>
        <v>Completo</v>
      </c>
      <c r="I40" s="21" t="s">
        <v>28</v>
      </c>
      <c r="J40" s="21"/>
      <c r="K40" s="21"/>
      <c r="L40" s="21"/>
      <c r="M40" s="21"/>
      <c r="N40" s="30"/>
      <c r="O40" s="21" t="s">
        <v>28</v>
      </c>
      <c r="P40" s="74" t="s">
        <v>28</v>
      </c>
      <c r="Q40" s="21" t="s">
        <v>2981</v>
      </c>
      <c r="R40" s="32" t="s">
        <v>2850</v>
      </c>
      <c r="S40" s="32" t="s">
        <v>36</v>
      </c>
      <c r="T40" s="21" t="s">
        <v>74</v>
      </c>
      <c r="U40" s="74" t="s">
        <v>28</v>
      </c>
      <c r="V40" s="74" t="s">
        <v>28</v>
      </c>
      <c r="W40" s="21" t="s">
        <v>36</v>
      </c>
      <c r="X40" s="21" t="s">
        <v>28</v>
      </c>
    </row>
    <row r="41" customFormat="false" ht="15.75" hidden="false" customHeight="false" outlineLevel="0" collapsed="false">
      <c r="A41" s="80" t="n">
        <v>6310</v>
      </c>
      <c r="B41" s="81" t="n">
        <v>44635</v>
      </c>
      <c r="C41" s="24" t="s">
        <v>3377</v>
      </c>
      <c r="D41" s="24" t="s">
        <v>24</v>
      </c>
      <c r="E41" s="24" t="s">
        <v>25</v>
      </c>
      <c r="F41" s="24" t="s">
        <v>3382</v>
      </c>
      <c r="G41" s="30" t="s">
        <v>3383</v>
      </c>
      <c r="H41" s="45" t="str">
        <f aca="false">HYPERLINK("https://photos.app.goo.gl/tgUx3df62JHT9UoU6", "Completo")</f>
        <v>Completo</v>
      </c>
      <c r="I41" s="21" t="s">
        <v>28</v>
      </c>
      <c r="J41" s="21"/>
      <c r="K41" s="21"/>
      <c r="L41" s="21"/>
      <c r="M41" s="21"/>
      <c r="N41" s="30"/>
      <c r="O41" s="21" t="s">
        <v>28</v>
      </c>
      <c r="P41" s="74" t="s">
        <v>28</v>
      </c>
      <c r="Q41" s="21" t="s">
        <v>2981</v>
      </c>
      <c r="R41" s="32" t="s">
        <v>2850</v>
      </c>
      <c r="S41" s="32" t="s">
        <v>36</v>
      </c>
      <c r="T41" s="21" t="s">
        <v>74</v>
      </c>
      <c r="U41" s="74" t="s">
        <v>28</v>
      </c>
      <c r="V41" s="74" t="s">
        <v>28</v>
      </c>
      <c r="W41" s="21" t="s">
        <v>36</v>
      </c>
      <c r="X41" s="21" t="s">
        <v>28</v>
      </c>
    </row>
    <row r="42" customFormat="false" ht="15.75" hidden="false" customHeight="false" outlineLevel="0" collapsed="false">
      <c r="A42" s="82" t="n">
        <v>789292</v>
      </c>
      <c r="B42" s="81" t="n">
        <v>44635</v>
      </c>
      <c r="C42" s="24" t="s">
        <v>3377</v>
      </c>
      <c r="D42" s="24" t="s">
        <v>290</v>
      </c>
      <c r="E42" s="24" t="s">
        <v>25</v>
      </c>
      <c r="F42" s="24" t="s">
        <v>3380</v>
      </c>
      <c r="G42" s="30" t="s">
        <v>3381</v>
      </c>
      <c r="H42" s="45" t="str">
        <f aca="false">HYPERLINK("https://photos.app.goo.gl/nkdnEVTDgG95QFz77", "Completo")</f>
        <v>Completo</v>
      </c>
      <c r="I42" s="21" t="s">
        <v>28</v>
      </c>
      <c r="J42" s="21"/>
      <c r="K42" s="21"/>
      <c r="L42" s="21"/>
      <c r="M42" s="21"/>
      <c r="N42" s="30" t="s">
        <v>3384</v>
      </c>
      <c r="O42" s="21" t="s">
        <v>28</v>
      </c>
      <c r="P42" s="21" t="s">
        <v>28</v>
      </c>
      <c r="Q42" s="21" t="s">
        <v>73</v>
      </c>
      <c r="R42" s="32" t="s">
        <v>74</v>
      </c>
      <c r="S42" s="32" t="s">
        <v>36</v>
      </c>
      <c r="T42" s="21" t="s">
        <v>74</v>
      </c>
      <c r="U42" s="74" t="s">
        <v>28</v>
      </c>
      <c r="V42" s="74" t="s">
        <v>28</v>
      </c>
      <c r="W42" s="21" t="s">
        <v>36</v>
      </c>
      <c r="X42" s="21" t="s">
        <v>28</v>
      </c>
    </row>
    <row r="43" customFormat="false" ht="15.75" hidden="false" customHeight="false" outlineLevel="0" collapsed="false">
      <c r="A43" s="82" t="n">
        <v>787831</v>
      </c>
      <c r="B43" s="81" t="n">
        <v>44635</v>
      </c>
      <c r="C43" s="24" t="s">
        <v>3377</v>
      </c>
      <c r="D43" s="24" t="s">
        <v>290</v>
      </c>
      <c r="E43" s="24" t="s">
        <v>25</v>
      </c>
      <c r="F43" s="24" t="s">
        <v>3380</v>
      </c>
      <c r="G43" s="30" t="s">
        <v>3381</v>
      </c>
      <c r="H43" s="45" t="str">
        <f aca="false">HYPERLINK("https://photos.app.goo.gl/F5FMHgbXi2ctVJqz7", "Completo")</f>
        <v>Completo</v>
      </c>
      <c r="I43" s="21" t="s">
        <v>28</v>
      </c>
      <c r="J43" s="21"/>
      <c r="K43" s="21"/>
      <c r="L43" s="21"/>
      <c r="M43" s="21"/>
      <c r="N43" s="30"/>
      <c r="O43" s="21"/>
      <c r="P43" s="21"/>
      <c r="Q43" s="21"/>
      <c r="R43" s="32" t="s">
        <v>3175</v>
      </c>
      <c r="S43" s="32"/>
      <c r="T43" s="21" t="s">
        <v>74</v>
      </c>
      <c r="U43" s="74" t="s">
        <v>28</v>
      </c>
      <c r="V43" s="74" t="s">
        <v>28</v>
      </c>
      <c r="W43" s="21" t="s">
        <v>36</v>
      </c>
      <c r="X43" s="21" t="s">
        <v>28</v>
      </c>
    </row>
    <row r="44" customFormat="false" ht="15.75" hidden="false" customHeight="false" outlineLevel="0" collapsed="false">
      <c r="A44" s="80" t="n">
        <v>6311</v>
      </c>
      <c r="B44" s="81" t="n">
        <v>44635</v>
      </c>
      <c r="C44" s="24" t="s">
        <v>3377</v>
      </c>
      <c r="D44" s="24" t="s">
        <v>24</v>
      </c>
      <c r="E44" s="24" t="s">
        <v>25</v>
      </c>
      <c r="F44" s="24" t="s">
        <v>3380</v>
      </c>
      <c r="G44" s="30" t="s">
        <v>3385</v>
      </c>
      <c r="H44" s="45" t="str">
        <f aca="false">HYPERLINK("https://photos.app.goo.gl/5NvvJxFujxvhWBfCA", "Completo")</f>
        <v>Completo</v>
      </c>
      <c r="I44" s="21" t="s">
        <v>28</v>
      </c>
      <c r="J44" s="21"/>
      <c r="K44" s="21"/>
      <c r="L44" s="21"/>
      <c r="M44" s="21"/>
      <c r="N44" s="30" t="s">
        <v>3384</v>
      </c>
      <c r="O44" s="21" t="s">
        <v>28</v>
      </c>
      <c r="P44" s="21" t="s">
        <v>28</v>
      </c>
      <c r="Q44" s="21" t="s">
        <v>73</v>
      </c>
      <c r="R44" s="32" t="s">
        <v>74</v>
      </c>
      <c r="S44" s="32" t="s">
        <v>36</v>
      </c>
      <c r="T44" s="21" t="s">
        <v>74</v>
      </c>
      <c r="U44" s="74" t="s">
        <v>28</v>
      </c>
      <c r="V44" s="74" t="s">
        <v>28</v>
      </c>
      <c r="W44" s="21" t="s">
        <v>36</v>
      </c>
      <c r="X44" s="21" t="s">
        <v>28</v>
      </c>
    </row>
    <row r="45" customFormat="false" ht="15.75" hidden="false" customHeight="false" outlineLevel="0" collapsed="false">
      <c r="A45" s="61" t="n">
        <v>6312</v>
      </c>
      <c r="B45" s="29" t="n">
        <v>44636</v>
      </c>
      <c r="C45" s="21" t="s">
        <v>776</v>
      </c>
      <c r="D45" s="21" t="s">
        <v>24</v>
      </c>
      <c r="E45" s="21" t="s">
        <v>34</v>
      </c>
      <c r="F45" s="21" t="s">
        <v>3386</v>
      </c>
      <c r="G45" s="30"/>
      <c r="H45" s="31"/>
      <c r="I45" s="21"/>
      <c r="J45" s="21"/>
      <c r="K45" s="21"/>
      <c r="L45" s="21"/>
      <c r="M45" s="21"/>
      <c r="N45" s="30"/>
      <c r="O45" s="21"/>
      <c r="P45" s="21"/>
      <c r="Q45" s="21"/>
      <c r="R45" s="32"/>
      <c r="S45" s="32"/>
      <c r="T45" s="21"/>
      <c r="U45" s="21"/>
      <c r="V45" s="21"/>
      <c r="W45" s="21"/>
      <c r="X45" s="21" t="s">
        <v>28</v>
      </c>
    </row>
    <row r="46" customFormat="false" ht="15.75" hidden="false" customHeight="false" outlineLevel="0" collapsed="false">
      <c r="A46" s="61" t="n">
        <v>6313</v>
      </c>
      <c r="B46" s="29" t="n">
        <v>44636</v>
      </c>
      <c r="C46" s="21" t="s">
        <v>776</v>
      </c>
      <c r="D46" s="21" t="s">
        <v>24</v>
      </c>
      <c r="E46" s="21" t="s">
        <v>34</v>
      </c>
      <c r="F46" s="21" t="s">
        <v>3387</v>
      </c>
      <c r="G46" s="30"/>
      <c r="H46" s="31"/>
      <c r="I46" s="21"/>
      <c r="J46" s="21"/>
      <c r="K46" s="21"/>
      <c r="L46" s="21"/>
      <c r="M46" s="21"/>
      <c r="N46" s="30"/>
      <c r="O46" s="21"/>
      <c r="P46" s="21"/>
      <c r="Q46" s="21"/>
      <c r="R46" s="32"/>
      <c r="S46" s="32"/>
      <c r="T46" s="21"/>
      <c r="U46" s="21"/>
      <c r="V46" s="21"/>
      <c r="W46" s="21"/>
      <c r="X46" s="21" t="s">
        <v>28</v>
      </c>
    </row>
    <row r="47" customFormat="false" ht="15.75" hidden="false" customHeight="false" outlineLevel="0" collapsed="false">
      <c r="A47" s="61" t="n">
        <v>6314</v>
      </c>
      <c r="B47" s="29" t="n">
        <v>44636</v>
      </c>
      <c r="C47" s="21" t="s">
        <v>893</v>
      </c>
      <c r="D47" s="21" t="s">
        <v>24</v>
      </c>
      <c r="E47" s="21" t="s">
        <v>34</v>
      </c>
      <c r="F47" s="21" t="s">
        <v>2446</v>
      </c>
      <c r="G47" s="30"/>
      <c r="H47" s="31"/>
      <c r="I47" s="21"/>
      <c r="J47" s="21"/>
      <c r="K47" s="21"/>
      <c r="L47" s="21"/>
      <c r="M47" s="21"/>
      <c r="N47" s="30"/>
      <c r="O47" s="21"/>
      <c r="P47" s="21"/>
      <c r="Q47" s="21"/>
      <c r="R47" s="32"/>
      <c r="S47" s="32"/>
      <c r="T47" s="21"/>
      <c r="U47" s="21" t="s">
        <v>37</v>
      </c>
      <c r="V47" s="21" t="s">
        <v>37</v>
      </c>
      <c r="W47" s="21"/>
      <c r="X47" s="21" t="s">
        <v>28</v>
      </c>
    </row>
    <row r="48" customFormat="false" ht="15.75" hidden="false" customHeight="false" outlineLevel="0" collapsed="false">
      <c r="A48" s="61" t="n">
        <v>6315</v>
      </c>
      <c r="B48" s="29" t="n">
        <v>44636</v>
      </c>
      <c r="C48" s="21" t="s">
        <v>893</v>
      </c>
      <c r="D48" s="21" t="s">
        <v>24</v>
      </c>
      <c r="E48" s="21" t="s">
        <v>34</v>
      </c>
      <c r="F48" s="21" t="s">
        <v>3388</v>
      </c>
      <c r="G48" s="30"/>
      <c r="H48" s="31"/>
      <c r="I48" s="21"/>
      <c r="J48" s="21"/>
      <c r="K48" s="21"/>
      <c r="L48" s="21"/>
      <c r="M48" s="21"/>
      <c r="N48" s="30"/>
      <c r="O48" s="21"/>
      <c r="P48" s="21"/>
      <c r="Q48" s="21"/>
      <c r="R48" s="32"/>
      <c r="S48" s="32"/>
      <c r="T48" s="21"/>
      <c r="U48" s="21" t="s">
        <v>37</v>
      </c>
      <c r="V48" s="21" t="s">
        <v>37</v>
      </c>
      <c r="W48" s="21"/>
      <c r="X48" s="21" t="s">
        <v>28</v>
      </c>
    </row>
    <row r="49" customFormat="false" ht="15.75" hidden="false" customHeight="false" outlineLevel="0" collapsed="false">
      <c r="A49" s="63" t="n">
        <v>988348</v>
      </c>
      <c r="B49" s="29" t="n">
        <v>44637</v>
      </c>
      <c r="C49" s="21" t="s">
        <v>980</v>
      </c>
      <c r="D49" s="21" t="s">
        <v>290</v>
      </c>
      <c r="E49" s="21" t="s">
        <v>25</v>
      </c>
      <c r="F49" s="21" t="s">
        <v>3389</v>
      </c>
      <c r="G49" s="30" t="s">
        <v>3390</v>
      </c>
      <c r="H49" s="21" t="s">
        <v>28</v>
      </c>
      <c r="I49" s="21" t="s">
        <v>28</v>
      </c>
      <c r="J49" s="21"/>
      <c r="K49" s="21"/>
      <c r="L49" s="21"/>
      <c r="M49" s="21"/>
      <c r="N49" s="30"/>
      <c r="O49" s="21"/>
      <c r="P49" s="21"/>
      <c r="Q49" s="21"/>
      <c r="R49" s="32" t="s">
        <v>3391</v>
      </c>
      <c r="S49" s="32"/>
      <c r="T49" s="21" t="s">
        <v>74</v>
      </c>
      <c r="U49" s="74" t="s">
        <v>28</v>
      </c>
      <c r="V49" s="74" t="s">
        <v>28</v>
      </c>
      <c r="W49" s="21" t="s">
        <v>36</v>
      </c>
      <c r="X49" s="21" t="s">
        <v>28</v>
      </c>
    </row>
    <row r="50" customFormat="false" ht="15.75" hidden="false" customHeight="false" outlineLevel="0" collapsed="false">
      <c r="A50" s="61" t="n">
        <v>6316</v>
      </c>
      <c r="B50" s="29" t="n">
        <v>44637</v>
      </c>
      <c r="C50" s="21" t="s">
        <v>980</v>
      </c>
      <c r="D50" s="21" t="s">
        <v>24</v>
      </c>
      <c r="E50" s="21" t="s">
        <v>25</v>
      </c>
      <c r="F50" s="21" t="s">
        <v>3392</v>
      </c>
      <c r="G50" s="30" t="s">
        <v>3393</v>
      </c>
      <c r="H50" s="45" t="str">
        <f aca="false">HYPERLINK("https://photos.app.goo.gl/kmfwhZuG9k4S1juz7", "Completo")</f>
        <v>Completo</v>
      </c>
      <c r="I50" s="21" t="s">
        <v>28</v>
      </c>
      <c r="J50" s="21"/>
      <c r="K50" s="21"/>
      <c r="L50" s="21"/>
      <c r="M50" s="21"/>
      <c r="N50" s="30"/>
      <c r="O50" s="21"/>
      <c r="P50" s="21"/>
      <c r="Q50" s="21"/>
      <c r="R50" s="32" t="s">
        <v>3391</v>
      </c>
      <c r="S50" s="32"/>
      <c r="T50" s="21" t="s">
        <v>74</v>
      </c>
      <c r="U50" s="74" t="s">
        <v>28</v>
      </c>
      <c r="V50" s="74" t="s">
        <v>28</v>
      </c>
      <c r="W50" s="21" t="s">
        <v>36</v>
      </c>
      <c r="X50" s="21" t="s">
        <v>28</v>
      </c>
    </row>
    <row r="51" customFormat="false" ht="15.75" hidden="false" customHeight="false" outlineLevel="0" collapsed="false">
      <c r="A51" s="61" t="n">
        <v>6317</v>
      </c>
      <c r="B51" s="29" t="n">
        <v>44637</v>
      </c>
      <c r="C51" s="21" t="s">
        <v>980</v>
      </c>
      <c r="D51" s="21" t="s">
        <v>24</v>
      </c>
      <c r="E51" s="21" t="s">
        <v>25</v>
      </c>
      <c r="F51" s="21" t="s">
        <v>3394</v>
      </c>
      <c r="G51" s="30" t="s">
        <v>3395</v>
      </c>
      <c r="H51" s="45" t="str">
        <f aca="false">HYPERLINK("https://photos.app.goo.gl/TxELH9fE4Zc4rQzw5", "Completo")</f>
        <v>Completo</v>
      </c>
      <c r="I51" s="21" t="s">
        <v>28</v>
      </c>
      <c r="J51" s="21"/>
      <c r="K51" s="21"/>
      <c r="L51" s="21"/>
      <c r="M51" s="21"/>
      <c r="N51" s="30"/>
      <c r="O51" s="21"/>
      <c r="P51" s="21"/>
      <c r="Q51" s="21"/>
      <c r="R51" s="32" t="s">
        <v>3391</v>
      </c>
      <c r="S51" s="32"/>
      <c r="T51" s="21" t="s">
        <v>74</v>
      </c>
      <c r="U51" s="74" t="s">
        <v>28</v>
      </c>
      <c r="V51" s="74" t="s">
        <v>28</v>
      </c>
      <c r="W51" s="21" t="s">
        <v>36</v>
      </c>
      <c r="X51" s="21" t="s">
        <v>28</v>
      </c>
    </row>
    <row r="52" customFormat="false" ht="15.75" hidden="false" customHeight="false" outlineLevel="0" collapsed="false">
      <c r="A52" s="61" t="n">
        <v>6318</v>
      </c>
      <c r="B52" s="29" t="n">
        <v>44637</v>
      </c>
      <c r="C52" s="21" t="s">
        <v>980</v>
      </c>
      <c r="D52" s="21" t="s">
        <v>24</v>
      </c>
      <c r="E52" s="21" t="s">
        <v>25</v>
      </c>
      <c r="F52" s="21" t="s">
        <v>3396</v>
      </c>
      <c r="G52" s="30" t="s">
        <v>3397</v>
      </c>
      <c r="H52" s="45" t="str">
        <f aca="false">HYPERLINK("https://photos.app.goo.gl/MG1DfvK4skHpN1yY6", "Completo")</f>
        <v>Completo</v>
      </c>
      <c r="I52" s="21" t="s">
        <v>28</v>
      </c>
      <c r="J52" s="21"/>
      <c r="K52" s="21"/>
      <c r="L52" s="21"/>
      <c r="M52" s="21"/>
      <c r="N52" s="30"/>
      <c r="O52" s="21"/>
      <c r="P52" s="21"/>
      <c r="Q52" s="21"/>
      <c r="R52" s="32" t="s">
        <v>3391</v>
      </c>
      <c r="S52" s="32"/>
      <c r="T52" s="21" t="s">
        <v>3175</v>
      </c>
      <c r="U52" s="74" t="s">
        <v>28</v>
      </c>
      <c r="V52" s="74" t="s">
        <v>28</v>
      </c>
      <c r="W52" s="21" t="s">
        <v>36</v>
      </c>
      <c r="X52" s="21" t="s">
        <v>28</v>
      </c>
    </row>
    <row r="53" customFormat="false" ht="15.75" hidden="false" customHeight="false" outlineLevel="0" collapsed="false">
      <c r="A53" s="61" t="n">
        <v>6319</v>
      </c>
      <c r="B53" s="29" t="n">
        <v>44637</v>
      </c>
      <c r="C53" s="21" t="s">
        <v>980</v>
      </c>
      <c r="D53" s="21" t="s">
        <v>24</v>
      </c>
      <c r="E53" s="21" t="s">
        <v>25</v>
      </c>
      <c r="F53" s="21" t="s">
        <v>3398</v>
      </c>
      <c r="G53" s="30" t="s">
        <v>3397</v>
      </c>
      <c r="H53" s="45" t="str">
        <f aca="false">HYPERLINK("https://photos.app.goo.gl/TBQukY8A8Q9gfq4g9", "Completo")</f>
        <v>Completo</v>
      </c>
      <c r="I53" s="21" t="s">
        <v>28</v>
      </c>
      <c r="J53" s="21"/>
      <c r="K53" s="21"/>
      <c r="L53" s="21"/>
      <c r="M53" s="21"/>
      <c r="N53" s="30"/>
      <c r="O53" s="21"/>
      <c r="P53" s="21"/>
      <c r="Q53" s="21"/>
      <c r="R53" s="32" t="s">
        <v>3391</v>
      </c>
      <c r="S53" s="32"/>
      <c r="T53" s="21" t="s">
        <v>3175</v>
      </c>
      <c r="U53" s="74" t="s">
        <v>28</v>
      </c>
      <c r="V53" s="74" t="s">
        <v>28</v>
      </c>
      <c r="W53" s="21" t="s">
        <v>36</v>
      </c>
      <c r="X53" s="21" t="s">
        <v>28</v>
      </c>
    </row>
    <row r="54" customFormat="false" ht="15.75" hidden="false" customHeight="false" outlineLevel="0" collapsed="false">
      <c r="A54" s="61" t="n">
        <v>6320</v>
      </c>
      <c r="B54" s="29" t="n">
        <v>44637</v>
      </c>
      <c r="C54" s="21" t="s">
        <v>3399</v>
      </c>
      <c r="D54" s="21" t="s">
        <v>24</v>
      </c>
      <c r="E54" s="21" t="s">
        <v>34</v>
      </c>
      <c r="F54" s="21" t="s">
        <v>3400</v>
      </c>
      <c r="G54" s="30"/>
      <c r="H54" s="31"/>
      <c r="I54" s="21"/>
      <c r="J54" s="21" t="n">
        <v>4750911</v>
      </c>
      <c r="K54" s="21" t="s">
        <v>3401</v>
      </c>
      <c r="L54" s="21"/>
      <c r="M54" s="21" t="s">
        <v>3402</v>
      </c>
      <c r="N54" s="30"/>
      <c r="O54" s="21"/>
      <c r="P54" s="21"/>
      <c r="Q54" s="21"/>
      <c r="R54" s="32"/>
      <c r="S54" s="32"/>
      <c r="T54" s="21"/>
      <c r="U54" s="21"/>
      <c r="V54" s="21"/>
      <c r="W54" s="21"/>
      <c r="X54" s="21" t="s">
        <v>28</v>
      </c>
    </row>
    <row r="55" customFormat="false" ht="15.75" hidden="false" customHeight="false" outlineLevel="0" collapsed="false">
      <c r="A55" s="61" t="n">
        <v>6321</v>
      </c>
      <c r="B55" s="29" t="n">
        <v>44638</v>
      </c>
      <c r="C55" s="21" t="s">
        <v>299</v>
      </c>
      <c r="D55" s="21" t="s">
        <v>24</v>
      </c>
      <c r="E55" s="21" t="s">
        <v>34</v>
      </c>
      <c r="F55" s="21" t="s">
        <v>3403</v>
      </c>
      <c r="G55" s="30"/>
      <c r="H55" s="31"/>
      <c r="I55" s="21"/>
      <c r="J55" s="21"/>
      <c r="K55" s="21"/>
      <c r="L55" s="21"/>
      <c r="M55" s="21"/>
      <c r="N55" s="30"/>
      <c r="O55" s="21"/>
      <c r="P55" s="21"/>
      <c r="Q55" s="21"/>
      <c r="R55" s="32"/>
      <c r="S55" s="32"/>
      <c r="T55" s="21"/>
      <c r="U55" s="21" t="s">
        <v>37</v>
      </c>
      <c r="V55" s="21" t="s">
        <v>37</v>
      </c>
      <c r="W55" s="21"/>
      <c r="X55" s="21" t="s">
        <v>28</v>
      </c>
    </row>
    <row r="56" customFormat="false" ht="15.75" hidden="false" customHeight="false" outlineLevel="0" collapsed="false">
      <c r="A56" s="61" t="n">
        <v>6322</v>
      </c>
      <c r="B56" s="29" t="n">
        <v>44638</v>
      </c>
      <c r="C56" s="21" t="s">
        <v>299</v>
      </c>
      <c r="D56" s="21" t="s">
        <v>24</v>
      </c>
      <c r="E56" s="21" t="s">
        <v>34</v>
      </c>
      <c r="F56" s="21" t="s">
        <v>119</v>
      </c>
      <c r="G56" s="30"/>
      <c r="H56" s="31"/>
      <c r="I56" s="21"/>
      <c r="J56" s="21"/>
      <c r="K56" s="21"/>
      <c r="L56" s="21"/>
      <c r="M56" s="21"/>
      <c r="N56" s="30"/>
      <c r="O56" s="21"/>
      <c r="P56" s="21"/>
      <c r="Q56" s="21"/>
      <c r="R56" s="32"/>
      <c r="S56" s="32"/>
      <c r="T56" s="21"/>
      <c r="U56" s="21" t="s">
        <v>37</v>
      </c>
      <c r="V56" s="21" t="s">
        <v>37</v>
      </c>
      <c r="W56" s="21"/>
      <c r="X56" s="21" t="s">
        <v>28</v>
      </c>
    </row>
    <row r="57" customFormat="false" ht="15.75" hidden="false" customHeight="false" outlineLevel="0" collapsed="false">
      <c r="A57" s="61" t="n">
        <v>6323</v>
      </c>
      <c r="B57" s="29" t="n">
        <v>44638</v>
      </c>
      <c r="C57" s="21" t="s">
        <v>299</v>
      </c>
      <c r="D57" s="21" t="s">
        <v>24</v>
      </c>
      <c r="E57" s="21" t="s">
        <v>34</v>
      </c>
      <c r="F57" s="21" t="s">
        <v>3331</v>
      </c>
      <c r="G57" s="30"/>
      <c r="H57" s="31"/>
      <c r="I57" s="21"/>
      <c r="J57" s="21"/>
      <c r="K57" s="21"/>
      <c r="L57" s="21"/>
      <c r="M57" s="21"/>
      <c r="N57" s="30"/>
      <c r="O57" s="21"/>
      <c r="P57" s="21"/>
      <c r="Q57" s="21"/>
      <c r="R57" s="32"/>
      <c r="S57" s="32"/>
      <c r="T57" s="21"/>
      <c r="U57" s="21" t="s">
        <v>37</v>
      </c>
      <c r="V57" s="21" t="s">
        <v>37</v>
      </c>
      <c r="W57" s="21"/>
      <c r="X57" s="21" t="s">
        <v>28</v>
      </c>
    </row>
    <row r="58" customFormat="false" ht="15.75" hidden="false" customHeight="false" outlineLevel="0" collapsed="false">
      <c r="A58" s="63" t="n">
        <v>1000036</v>
      </c>
      <c r="B58" s="29" t="n">
        <v>44639</v>
      </c>
      <c r="C58" s="21" t="s">
        <v>814</v>
      </c>
      <c r="D58" s="21" t="s">
        <v>24</v>
      </c>
      <c r="E58" s="21" t="s">
        <v>25</v>
      </c>
      <c r="F58" s="21" t="s">
        <v>3404</v>
      </c>
      <c r="G58" s="30" t="s">
        <v>3405</v>
      </c>
      <c r="H58" s="45" t="str">
        <f aca="false">HYPERLINK("https://photos.app.goo.gl/KzYgQxd82N6NKXtp6", "Completo")</f>
        <v>Completo</v>
      </c>
      <c r="I58" s="21" t="s">
        <v>28</v>
      </c>
      <c r="J58" s="21"/>
      <c r="K58" s="21"/>
      <c r="L58" s="21"/>
      <c r="M58" s="21"/>
      <c r="N58" s="30"/>
      <c r="O58" s="21"/>
      <c r="P58" s="21"/>
      <c r="Q58" s="21"/>
      <c r="R58" s="32"/>
      <c r="S58" s="32"/>
      <c r="T58" s="21"/>
      <c r="U58" s="21"/>
      <c r="V58" s="21"/>
      <c r="W58" s="21"/>
      <c r="X58" s="21" t="s">
        <v>28</v>
      </c>
    </row>
    <row r="59" customFormat="false" ht="15.75" hidden="false" customHeight="false" outlineLevel="0" collapsed="false">
      <c r="A59" s="61" t="n">
        <v>6324</v>
      </c>
      <c r="B59" s="29" t="n">
        <v>44639</v>
      </c>
      <c r="C59" s="21" t="s">
        <v>3120</v>
      </c>
      <c r="D59" s="21" t="s">
        <v>24</v>
      </c>
      <c r="E59" s="21" t="s">
        <v>25</v>
      </c>
      <c r="F59" s="21" t="s">
        <v>3122</v>
      </c>
      <c r="G59" s="30" t="s">
        <v>3406</v>
      </c>
      <c r="H59" s="45" t="str">
        <f aca="false">HYPERLINK("https://photos.app.goo.gl/steC5mnUxah6E7AE9", "Completo")</f>
        <v>Completo</v>
      </c>
      <c r="I59" s="21" t="s">
        <v>28</v>
      </c>
      <c r="J59" s="21"/>
      <c r="K59" s="21"/>
      <c r="L59" s="21"/>
      <c r="M59" s="21"/>
      <c r="N59" s="30" t="s">
        <v>3406</v>
      </c>
      <c r="O59" s="21" t="s">
        <v>28</v>
      </c>
      <c r="P59" s="46" t="str">
        <f aca="false">HYPERLINK("https://photos.app.goo.gl/btajmoFBP4mSk1bQ6", "Completo")</f>
        <v>Completo</v>
      </c>
      <c r="Q59" s="21" t="s">
        <v>2515</v>
      </c>
      <c r="R59" s="32" t="s">
        <v>3286</v>
      </c>
      <c r="S59" s="32" t="s">
        <v>3407</v>
      </c>
      <c r="T59" s="21" t="s">
        <v>3286</v>
      </c>
      <c r="U59" s="21" t="s">
        <v>37</v>
      </c>
      <c r="V59" s="21" t="s">
        <v>37</v>
      </c>
      <c r="W59" s="21"/>
      <c r="X59" s="21" t="s">
        <v>37</v>
      </c>
    </row>
    <row r="60" customFormat="false" ht="15.75" hidden="false" customHeight="false" outlineLevel="0" collapsed="false">
      <c r="A60" s="61" t="n">
        <v>6325</v>
      </c>
      <c r="B60" s="29" t="n">
        <v>44639</v>
      </c>
      <c r="C60" s="21" t="s">
        <v>1666</v>
      </c>
      <c r="D60" s="21" t="s">
        <v>24</v>
      </c>
      <c r="E60" s="21" t="s">
        <v>25</v>
      </c>
      <c r="F60" s="21" t="s">
        <v>3408</v>
      </c>
      <c r="G60" s="30"/>
      <c r="H60" s="45" t="str">
        <f aca="false">HYPERLINK("https://photos.app.goo.gl/vDdmyt9N116rnTeR8", "Completo")</f>
        <v>Completo</v>
      </c>
      <c r="I60" s="21" t="s">
        <v>28</v>
      </c>
      <c r="J60" s="21"/>
      <c r="K60" s="21"/>
      <c r="L60" s="21"/>
      <c r="M60" s="21"/>
      <c r="N60" s="30"/>
      <c r="O60" s="21"/>
      <c r="P60" s="21"/>
      <c r="Q60" s="21"/>
      <c r="R60" s="32"/>
      <c r="S60" s="32"/>
      <c r="T60" s="21"/>
      <c r="U60" s="21" t="s">
        <v>37</v>
      </c>
      <c r="V60" s="21" t="s">
        <v>37</v>
      </c>
      <c r="W60" s="21"/>
      <c r="X60" s="21" t="s">
        <v>28</v>
      </c>
    </row>
    <row r="61" customFormat="false" ht="15.75" hidden="false" customHeight="false" outlineLevel="0" collapsed="false">
      <c r="A61" s="63" t="n">
        <v>1290404</v>
      </c>
      <c r="B61" s="29" t="n">
        <v>44639</v>
      </c>
      <c r="C61" s="21" t="s">
        <v>1010</v>
      </c>
      <c r="D61" s="21" t="s">
        <v>290</v>
      </c>
      <c r="E61" s="21" t="s">
        <v>25</v>
      </c>
      <c r="F61" s="21" t="s">
        <v>3409</v>
      </c>
      <c r="G61" s="30" t="s">
        <v>3410</v>
      </c>
      <c r="H61" s="45" t="str">
        <f aca="false">HYPERLINK("https://photos.app.goo.gl/KmQRDC6W1DwWexnV8", "Completo")</f>
        <v>Completo</v>
      </c>
      <c r="I61" s="21" t="s">
        <v>28</v>
      </c>
      <c r="J61" s="21"/>
      <c r="K61" s="21"/>
      <c r="L61" s="21"/>
      <c r="M61" s="21"/>
      <c r="N61" s="30"/>
      <c r="O61" s="21"/>
      <c r="P61" s="21"/>
      <c r="Q61" s="21"/>
      <c r="R61" s="32"/>
      <c r="S61" s="32"/>
      <c r="T61" s="21"/>
      <c r="U61" s="21"/>
      <c r="V61" s="21"/>
      <c r="W61" s="21"/>
      <c r="X61" s="21"/>
    </row>
    <row r="62" customFormat="false" ht="15.75" hidden="false" customHeight="false" outlineLevel="0" collapsed="false">
      <c r="A62" s="63" t="n">
        <v>445963</v>
      </c>
      <c r="B62" s="29" t="n">
        <v>44639</v>
      </c>
      <c r="C62" s="21" t="s">
        <v>1013</v>
      </c>
      <c r="D62" s="21" t="s">
        <v>290</v>
      </c>
      <c r="E62" s="21" t="s">
        <v>25</v>
      </c>
      <c r="F62" s="21" t="s">
        <v>3411</v>
      </c>
      <c r="G62" s="30" t="s">
        <v>3410</v>
      </c>
      <c r="H62" s="45" t="str">
        <f aca="false">HYPERLINK("https://photos.app.goo.gl/LxAdc6SgnqowoWUx9", "Completo")</f>
        <v>Completo</v>
      </c>
      <c r="I62" s="21" t="s">
        <v>28</v>
      </c>
      <c r="J62" s="21"/>
      <c r="K62" s="21"/>
      <c r="L62" s="21"/>
      <c r="M62" s="21"/>
      <c r="N62" s="30" t="s">
        <v>3412</v>
      </c>
      <c r="O62" s="21"/>
      <c r="P62" s="74" t="s">
        <v>28</v>
      </c>
      <c r="Q62" s="21" t="s">
        <v>3413</v>
      </c>
      <c r="R62" s="32" t="s">
        <v>2565</v>
      </c>
      <c r="S62" s="32" t="s">
        <v>36</v>
      </c>
      <c r="T62" s="21" t="s">
        <v>2565</v>
      </c>
      <c r="U62" s="74" t="s">
        <v>28</v>
      </c>
      <c r="V62" s="74" t="s">
        <v>28</v>
      </c>
      <c r="W62" s="21" t="s">
        <v>36</v>
      </c>
      <c r="X62" s="21"/>
    </row>
    <row r="63" customFormat="false" ht="15.75" hidden="false" customHeight="false" outlineLevel="0" collapsed="false">
      <c r="A63" s="76" t="n">
        <v>561746</v>
      </c>
      <c r="B63" s="29" t="n">
        <v>44639</v>
      </c>
      <c r="C63" s="21" t="s">
        <v>1010</v>
      </c>
      <c r="D63" s="21" t="s">
        <v>290</v>
      </c>
      <c r="E63" s="21" t="s">
        <v>25</v>
      </c>
      <c r="F63" s="21" t="s">
        <v>1011</v>
      </c>
      <c r="G63" s="30" t="s">
        <v>3414</v>
      </c>
      <c r="H63" s="45" t="str">
        <f aca="false">HYPERLINK("https://photos.app.goo.gl/XxtJbt6Z3BmRCmiC8", "Completo")</f>
        <v>Completo</v>
      </c>
      <c r="I63" s="21" t="s">
        <v>28</v>
      </c>
      <c r="J63" s="21"/>
      <c r="K63" s="21"/>
      <c r="L63" s="21"/>
      <c r="M63" s="21"/>
      <c r="N63" s="30"/>
      <c r="O63" s="21"/>
      <c r="P63" s="21"/>
      <c r="Q63" s="21"/>
      <c r="R63" s="32"/>
      <c r="S63" s="32"/>
      <c r="T63" s="21" t="s">
        <v>74</v>
      </c>
      <c r="U63" s="74" t="s">
        <v>28</v>
      </c>
      <c r="V63" s="74" t="s">
        <v>28</v>
      </c>
      <c r="W63" s="21" t="s">
        <v>36</v>
      </c>
      <c r="X63" s="21" t="s">
        <v>28</v>
      </c>
    </row>
    <row r="64" customFormat="false" ht="15.75" hidden="false" customHeight="false" outlineLevel="0" collapsed="false">
      <c r="A64" s="61" t="n">
        <v>6326</v>
      </c>
      <c r="B64" s="29" t="n">
        <v>44639</v>
      </c>
      <c r="C64" s="21" t="s">
        <v>1013</v>
      </c>
      <c r="D64" s="21" t="s">
        <v>24</v>
      </c>
      <c r="E64" s="21" t="s">
        <v>25</v>
      </c>
      <c r="F64" s="21" t="s">
        <v>1011</v>
      </c>
      <c r="G64" s="30" t="s">
        <v>3414</v>
      </c>
      <c r="H64" s="45" t="str">
        <f aca="false">HYPERLINK("https://photos.app.goo.gl/VtmxmuBdD22PTv1d8", "Completo")</f>
        <v>Completo</v>
      </c>
      <c r="I64" s="21" t="s">
        <v>28</v>
      </c>
      <c r="J64" s="21"/>
      <c r="K64" s="21"/>
      <c r="L64" s="21"/>
      <c r="M64" s="21"/>
      <c r="N64" s="30" t="s">
        <v>3414</v>
      </c>
      <c r="O64" s="21" t="s">
        <v>28</v>
      </c>
      <c r="P64" s="21"/>
      <c r="Q64" s="21" t="s">
        <v>3415</v>
      </c>
      <c r="R64" s="32" t="s">
        <v>25</v>
      </c>
      <c r="S64" s="32"/>
      <c r="T64" s="21" t="s">
        <v>74</v>
      </c>
      <c r="U64" s="74" t="s">
        <v>28</v>
      </c>
      <c r="V64" s="74" t="s">
        <v>28</v>
      </c>
      <c r="W64" s="21" t="s">
        <v>36</v>
      </c>
      <c r="X64" s="21" t="s">
        <v>28</v>
      </c>
    </row>
    <row r="65" customFormat="false" ht="15.75" hidden="false" customHeight="false" outlineLevel="0" collapsed="false">
      <c r="A65" s="61" t="n">
        <v>6327</v>
      </c>
      <c r="B65" s="29" t="n">
        <v>44639</v>
      </c>
      <c r="C65" s="21" t="s">
        <v>1010</v>
      </c>
      <c r="D65" s="21" t="s">
        <v>24</v>
      </c>
      <c r="E65" s="21" t="s">
        <v>25</v>
      </c>
      <c r="F65" s="21" t="s">
        <v>1011</v>
      </c>
      <c r="G65" s="30" t="s">
        <v>3414</v>
      </c>
      <c r="H65" s="45" t="str">
        <f aca="false">HYPERLINK("https://photos.app.goo.gl/AdSFRHoyf2jPHyMR6", "Completo")</f>
        <v>Completo</v>
      </c>
      <c r="I65" s="21" t="s">
        <v>28</v>
      </c>
      <c r="J65" s="21"/>
      <c r="K65" s="21"/>
      <c r="L65" s="21"/>
      <c r="M65" s="21"/>
      <c r="N65" s="30"/>
      <c r="O65" s="21"/>
      <c r="P65" s="21"/>
      <c r="Q65" s="21"/>
      <c r="R65" s="32"/>
      <c r="S65" s="32"/>
      <c r="T65" s="21" t="s">
        <v>74</v>
      </c>
      <c r="U65" s="74" t="s">
        <v>28</v>
      </c>
      <c r="V65" s="74" t="s">
        <v>28</v>
      </c>
      <c r="W65" s="21" t="s">
        <v>36</v>
      </c>
      <c r="X65" s="21" t="s">
        <v>28</v>
      </c>
    </row>
    <row r="66" customFormat="false" ht="15.75" hidden="false" customHeight="false" outlineLevel="0" collapsed="false">
      <c r="A66" s="63" t="n">
        <v>1087695</v>
      </c>
      <c r="B66" s="29" t="n">
        <v>44639</v>
      </c>
      <c r="C66" s="21" t="s">
        <v>599</v>
      </c>
      <c r="D66" s="21" t="s">
        <v>290</v>
      </c>
      <c r="E66" s="21" t="s">
        <v>25</v>
      </c>
      <c r="F66" s="21" t="s">
        <v>3416</v>
      </c>
      <c r="G66" s="30" t="s">
        <v>3417</v>
      </c>
      <c r="H66" s="45" t="str">
        <f aca="false">HYPERLINK("https://photos.app.goo.gl/4cHXUu6V2MU9y1SV8", "Completo")</f>
        <v>Completo</v>
      </c>
      <c r="I66" s="21" t="s">
        <v>28</v>
      </c>
      <c r="J66" s="21"/>
      <c r="K66" s="21"/>
      <c r="L66" s="21"/>
      <c r="M66" s="21"/>
      <c r="N66" s="30"/>
      <c r="O66" s="21" t="s">
        <v>28</v>
      </c>
      <c r="P66" s="74" t="s">
        <v>28</v>
      </c>
      <c r="Q66" s="21" t="s">
        <v>3418</v>
      </c>
      <c r="R66" s="32" t="s">
        <v>2850</v>
      </c>
      <c r="S66" s="32" t="s">
        <v>36</v>
      </c>
      <c r="T66" s="21"/>
      <c r="U66" s="21"/>
      <c r="V66" s="21"/>
      <c r="W66" s="21"/>
      <c r="X66" s="21" t="s">
        <v>28</v>
      </c>
    </row>
    <row r="67" customFormat="false" ht="15.75" hidden="false" customHeight="false" outlineLevel="0" collapsed="false">
      <c r="A67" s="61" t="s">
        <v>3419</v>
      </c>
      <c r="B67" s="29" t="n">
        <v>44639</v>
      </c>
      <c r="C67" s="21" t="s">
        <v>599</v>
      </c>
      <c r="D67" s="21" t="s">
        <v>290</v>
      </c>
      <c r="E67" s="21" t="s">
        <v>25</v>
      </c>
      <c r="F67" s="21" t="s">
        <v>3420</v>
      </c>
      <c r="G67" s="30" t="s">
        <v>3421</v>
      </c>
      <c r="H67" s="45" t="str">
        <f aca="false">HYPERLINK("https://photos.app.goo.gl/QJiRQ8izDj14dDvEA", "Completo")</f>
        <v>Completo</v>
      </c>
      <c r="I67" s="21" t="s">
        <v>28</v>
      </c>
      <c r="J67" s="21"/>
      <c r="K67" s="21"/>
      <c r="L67" s="21"/>
      <c r="M67" s="21"/>
      <c r="N67" s="30"/>
      <c r="O67" s="21" t="s">
        <v>28</v>
      </c>
      <c r="P67" s="74" t="s">
        <v>28</v>
      </c>
      <c r="Q67" s="21" t="s">
        <v>3418</v>
      </c>
      <c r="R67" s="32" t="s">
        <v>2850</v>
      </c>
      <c r="S67" s="32" t="s">
        <v>36</v>
      </c>
      <c r="T67" s="21"/>
      <c r="U67" s="21"/>
      <c r="V67" s="21"/>
      <c r="W67" s="21" t="s">
        <v>3422</v>
      </c>
      <c r="X67" s="21" t="s">
        <v>28</v>
      </c>
    </row>
    <row r="68" customFormat="false" ht="15.75" hidden="false" customHeight="false" outlineLevel="0" collapsed="false">
      <c r="A68" s="61" t="s">
        <v>3423</v>
      </c>
      <c r="B68" s="29" t="n">
        <v>44639</v>
      </c>
      <c r="C68" s="21" t="s">
        <v>3424</v>
      </c>
      <c r="D68" s="21" t="s">
        <v>290</v>
      </c>
      <c r="E68" s="21" t="s">
        <v>25</v>
      </c>
      <c r="F68" s="21" t="s">
        <v>600</v>
      </c>
      <c r="G68" s="30" t="s">
        <v>3425</v>
      </c>
      <c r="H68" s="45" t="str">
        <f aca="false">HYPERLINK("https://photos.app.goo.gl/bvhTyr43AKbChhmQ8", "Completo")</f>
        <v>Completo</v>
      </c>
      <c r="I68" s="21" t="s">
        <v>28</v>
      </c>
      <c r="J68" s="21"/>
      <c r="K68" s="21"/>
      <c r="L68" s="21"/>
      <c r="M68" s="21"/>
      <c r="N68" s="30"/>
      <c r="O68" s="21"/>
      <c r="P68" s="21"/>
      <c r="Q68" s="21"/>
      <c r="R68" s="32"/>
      <c r="S68" s="32"/>
      <c r="T68" s="21"/>
      <c r="U68" s="21"/>
      <c r="V68" s="21"/>
      <c r="W68" s="21"/>
      <c r="X68" s="21" t="s">
        <v>37</v>
      </c>
    </row>
    <row r="69" customFormat="false" ht="15.75" hidden="false" customHeight="false" outlineLevel="0" collapsed="false">
      <c r="A69" s="61" t="s">
        <v>3426</v>
      </c>
      <c r="B69" s="29" t="n">
        <v>44639</v>
      </c>
      <c r="C69" s="21" t="s">
        <v>3427</v>
      </c>
      <c r="D69" s="21" t="s">
        <v>290</v>
      </c>
      <c r="E69" s="21" t="s">
        <v>25</v>
      </c>
      <c r="F69" s="21" t="s">
        <v>600</v>
      </c>
      <c r="G69" s="30" t="s">
        <v>3428</v>
      </c>
      <c r="H69" s="31" t="s">
        <v>28</v>
      </c>
      <c r="I69" s="21" t="s">
        <v>28</v>
      </c>
      <c r="J69" s="21"/>
      <c r="K69" s="21"/>
      <c r="L69" s="21"/>
      <c r="M69" s="21"/>
      <c r="N69" s="30"/>
      <c r="O69" s="21"/>
      <c r="P69" s="21"/>
      <c r="Q69" s="21"/>
      <c r="R69" s="32"/>
      <c r="S69" s="32"/>
      <c r="T69" s="21"/>
      <c r="U69" s="21"/>
      <c r="V69" s="21"/>
      <c r="W69" s="21"/>
      <c r="X69" s="21" t="s">
        <v>37</v>
      </c>
    </row>
    <row r="70" customFormat="false" ht="15.75" hidden="false" customHeight="false" outlineLevel="0" collapsed="false">
      <c r="A70" s="61" t="n">
        <v>6328</v>
      </c>
      <c r="B70" s="29" t="n">
        <v>44641</v>
      </c>
      <c r="C70" s="21" t="s">
        <v>3429</v>
      </c>
      <c r="D70" s="21" t="s">
        <v>24</v>
      </c>
      <c r="E70" s="21" t="s">
        <v>25</v>
      </c>
      <c r="F70" s="21" t="s">
        <v>3430</v>
      </c>
      <c r="G70" s="30" t="s">
        <v>3431</v>
      </c>
      <c r="H70" s="31" t="s">
        <v>28</v>
      </c>
      <c r="I70" s="46" t="str">
        <f aca="false">HYPERLINK("https://photos.app.goo.gl/mTEexWTrWM6NmfHm7", "Completo")</f>
        <v>Completo</v>
      </c>
      <c r="J70" s="21"/>
      <c r="K70" s="21"/>
      <c r="L70" s="21"/>
      <c r="M70" s="21"/>
      <c r="N70" s="30" t="s">
        <v>3432</v>
      </c>
      <c r="O70" s="21" t="s">
        <v>28</v>
      </c>
      <c r="P70" s="21" t="s">
        <v>28</v>
      </c>
      <c r="Q70" s="21" t="s">
        <v>73</v>
      </c>
      <c r="R70" s="32" t="s">
        <v>3433</v>
      </c>
      <c r="S70" s="32" t="s">
        <v>36</v>
      </c>
      <c r="T70" s="21" t="s">
        <v>74</v>
      </c>
      <c r="U70" s="74" t="s">
        <v>28</v>
      </c>
      <c r="V70" s="74" t="s">
        <v>28</v>
      </c>
      <c r="W70" s="21" t="s">
        <v>36</v>
      </c>
      <c r="X70" s="21" t="s">
        <v>28</v>
      </c>
    </row>
    <row r="71" customFormat="false" ht="15.75" hidden="false" customHeight="false" outlineLevel="0" collapsed="false">
      <c r="A71" s="61" t="n">
        <v>6329</v>
      </c>
      <c r="B71" s="29" t="n">
        <v>44641</v>
      </c>
      <c r="C71" s="21" t="s">
        <v>3343</v>
      </c>
      <c r="D71" s="21" t="s">
        <v>24</v>
      </c>
      <c r="E71" s="21" t="s">
        <v>34</v>
      </c>
      <c r="F71" s="21" t="s">
        <v>903</v>
      </c>
      <c r="G71" s="30"/>
      <c r="H71" s="31"/>
      <c r="I71" s="21"/>
      <c r="J71" s="21"/>
      <c r="K71" s="21"/>
      <c r="L71" s="21"/>
      <c r="M71" s="21"/>
      <c r="N71" s="30"/>
      <c r="O71" s="21"/>
      <c r="P71" s="21"/>
      <c r="Q71" s="21"/>
      <c r="R71" s="32"/>
      <c r="S71" s="32"/>
      <c r="T71" s="21"/>
      <c r="U71" s="21" t="s">
        <v>37</v>
      </c>
      <c r="V71" s="21" t="s">
        <v>37</v>
      </c>
      <c r="W71" s="21"/>
      <c r="X71" s="21" t="s">
        <v>28</v>
      </c>
    </row>
    <row r="72" customFormat="false" ht="15.75" hidden="false" customHeight="false" outlineLevel="0" collapsed="false">
      <c r="A72" s="61" t="n">
        <v>6330</v>
      </c>
      <c r="B72" s="29" t="n">
        <v>44642</v>
      </c>
      <c r="C72" s="21" t="s">
        <v>299</v>
      </c>
      <c r="D72" s="21" t="s">
        <v>24</v>
      </c>
      <c r="E72" s="21" t="s">
        <v>34</v>
      </c>
      <c r="F72" s="21" t="s">
        <v>3434</v>
      </c>
      <c r="G72" s="30"/>
      <c r="H72" s="31"/>
      <c r="I72" s="21"/>
      <c r="J72" s="21"/>
      <c r="K72" s="21"/>
      <c r="L72" s="21"/>
      <c r="M72" s="21"/>
      <c r="N72" s="30"/>
      <c r="O72" s="21"/>
      <c r="P72" s="21"/>
      <c r="Q72" s="21"/>
      <c r="R72" s="32"/>
      <c r="S72" s="32"/>
      <c r="T72" s="21"/>
      <c r="U72" s="21" t="s">
        <v>37</v>
      </c>
      <c r="V72" s="21" t="s">
        <v>37</v>
      </c>
      <c r="W72" s="21"/>
      <c r="X72" s="21" t="s">
        <v>28</v>
      </c>
    </row>
    <row r="73" customFormat="false" ht="15.75" hidden="false" customHeight="false" outlineLevel="0" collapsed="false">
      <c r="A73" s="61" t="n">
        <v>6331</v>
      </c>
      <c r="B73" s="29" t="n">
        <v>44643</v>
      </c>
      <c r="C73" s="21" t="s">
        <v>3435</v>
      </c>
      <c r="D73" s="21" t="s">
        <v>24</v>
      </c>
      <c r="E73" s="21" t="s">
        <v>34</v>
      </c>
      <c r="F73" s="21" t="s">
        <v>1668</v>
      </c>
      <c r="G73" s="30"/>
      <c r="H73" s="31"/>
      <c r="I73" s="21"/>
      <c r="J73" s="21"/>
      <c r="K73" s="21"/>
      <c r="L73" s="21"/>
      <c r="M73" s="21"/>
      <c r="N73" s="30"/>
      <c r="O73" s="21"/>
      <c r="P73" s="21"/>
      <c r="Q73" s="21"/>
      <c r="R73" s="32"/>
      <c r="S73" s="32"/>
      <c r="T73" s="21"/>
      <c r="U73" s="21" t="s">
        <v>37</v>
      </c>
      <c r="V73" s="21" t="s">
        <v>37</v>
      </c>
      <c r="W73" s="21"/>
      <c r="X73" s="21" t="s">
        <v>37</v>
      </c>
    </row>
    <row r="74" customFormat="false" ht="15.75" hidden="false" customHeight="false" outlineLevel="0" collapsed="false">
      <c r="A74" s="61" t="n">
        <v>6332</v>
      </c>
      <c r="B74" s="29" t="n">
        <v>44643</v>
      </c>
      <c r="C74" s="21" t="s">
        <v>3436</v>
      </c>
      <c r="D74" s="21" t="s">
        <v>24</v>
      </c>
      <c r="E74" s="21" t="s">
        <v>34</v>
      </c>
      <c r="F74" s="21" t="s">
        <v>3437</v>
      </c>
      <c r="G74" s="30"/>
      <c r="H74" s="31"/>
      <c r="I74" s="21"/>
      <c r="J74" s="21"/>
      <c r="K74" s="21"/>
      <c r="L74" s="21"/>
      <c r="M74" s="21"/>
      <c r="N74" s="30"/>
      <c r="O74" s="21"/>
      <c r="P74" s="21"/>
      <c r="Q74" s="21"/>
      <c r="R74" s="32"/>
      <c r="S74" s="32"/>
      <c r="T74" s="21"/>
      <c r="U74" s="21" t="s">
        <v>37</v>
      </c>
      <c r="V74" s="21" t="s">
        <v>37</v>
      </c>
      <c r="W74" s="21"/>
      <c r="X74" s="21" t="s">
        <v>28</v>
      </c>
    </row>
    <row r="75" customFormat="false" ht="15.75" hidden="false" customHeight="false" outlineLevel="0" collapsed="false">
      <c r="A75" s="61" t="n">
        <v>6333</v>
      </c>
      <c r="B75" s="29" t="n">
        <v>44644</v>
      </c>
      <c r="C75" s="21" t="s">
        <v>3438</v>
      </c>
      <c r="D75" s="21" t="s">
        <v>24</v>
      </c>
      <c r="E75" s="21" t="s">
        <v>34</v>
      </c>
      <c r="F75" s="21" t="s">
        <v>3439</v>
      </c>
      <c r="G75" s="30"/>
      <c r="H75" s="31"/>
      <c r="I75" s="21"/>
      <c r="J75" s="21"/>
      <c r="K75" s="21"/>
      <c r="L75" s="21"/>
      <c r="M75" s="21"/>
      <c r="N75" s="30"/>
      <c r="O75" s="21"/>
      <c r="P75" s="21"/>
      <c r="Q75" s="21"/>
      <c r="R75" s="32"/>
      <c r="S75" s="32"/>
      <c r="T75" s="21"/>
      <c r="U75" s="21" t="s">
        <v>37</v>
      </c>
      <c r="V75" s="21" t="s">
        <v>37</v>
      </c>
      <c r="W75" s="21"/>
      <c r="X75" s="21" t="s">
        <v>28</v>
      </c>
    </row>
    <row r="76" customFormat="false" ht="15.75" hidden="false" customHeight="false" outlineLevel="0" collapsed="false">
      <c r="A76" s="63" t="n">
        <v>783448</v>
      </c>
      <c r="B76" s="29" t="n">
        <v>44644</v>
      </c>
      <c r="C76" s="21" t="s">
        <v>1588</v>
      </c>
      <c r="D76" s="21" t="s">
        <v>24</v>
      </c>
      <c r="E76" s="21" t="s">
        <v>25</v>
      </c>
      <c r="F76" s="21" t="s">
        <v>3440</v>
      </c>
      <c r="G76" s="30" t="s">
        <v>3441</v>
      </c>
      <c r="H76" s="45" t="str">
        <f aca="false">HYPERLINK("https://photos.app.goo.gl/DErtvJFJ1CEAJvq48", "Completo")</f>
        <v>Completo</v>
      </c>
      <c r="I76" s="21" t="s">
        <v>28</v>
      </c>
      <c r="J76" s="21"/>
      <c r="K76" s="21"/>
      <c r="L76" s="21"/>
      <c r="M76" s="21"/>
      <c r="N76" s="30"/>
      <c r="O76" s="21"/>
      <c r="P76" s="21"/>
      <c r="Q76" s="21"/>
      <c r="R76" s="32"/>
      <c r="S76" s="32"/>
      <c r="T76" s="21"/>
      <c r="U76" s="21"/>
      <c r="V76" s="21"/>
      <c r="W76" s="21"/>
      <c r="X76" s="21" t="s">
        <v>28</v>
      </c>
    </row>
    <row r="77" customFormat="false" ht="15.75" hidden="false" customHeight="false" outlineLevel="0" collapsed="false">
      <c r="A77" s="61" t="n">
        <v>6334</v>
      </c>
      <c r="B77" s="29" t="n">
        <v>44644</v>
      </c>
      <c r="C77" s="21" t="s">
        <v>1588</v>
      </c>
      <c r="D77" s="21" t="s">
        <v>24</v>
      </c>
      <c r="E77" s="21" t="s">
        <v>25</v>
      </c>
      <c r="F77" s="21" t="s">
        <v>3442</v>
      </c>
      <c r="G77" s="30" t="s">
        <v>3441</v>
      </c>
      <c r="H77" s="45" t="str">
        <f aca="false">HYPERLINK("https://photos.app.goo.gl/fzvariA15qCkQh1e9", "Completo")</f>
        <v>Completo</v>
      </c>
      <c r="I77" s="21" t="s">
        <v>28</v>
      </c>
      <c r="J77" s="21"/>
      <c r="K77" s="21"/>
      <c r="L77" s="21"/>
      <c r="M77" s="21"/>
      <c r="N77" s="30"/>
      <c r="O77" s="21"/>
      <c r="P77" s="21"/>
      <c r="Q77" s="21"/>
      <c r="R77" s="32"/>
      <c r="S77" s="32"/>
      <c r="T77" s="21"/>
      <c r="U77" s="21"/>
      <c r="V77" s="21"/>
      <c r="W77" s="47" t="n">
        <v>706746</v>
      </c>
      <c r="X77" s="21" t="s">
        <v>28</v>
      </c>
    </row>
    <row r="78" customFormat="false" ht="15.75" hidden="false" customHeight="false" outlineLevel="0" collapsed="false">
      <c r="A78" s="61" t="n">
        <v>6335</v>
      </c>
      <c r="B78" s="29" t="n">
        <v>44645</v>
      </c>
      <c r="C78" s="21" t="s">
        <v>3443</v>
      </c>
      <c r="D78" s="21" t="s">
        <v>24</v>
      </c>
      <c r="E78" s="21" t="s">
        <v>25</v>
      </c>
      <c r="F78" s="21" t="s">
        <v>3444</v>
      </c>
      <c r="G78" s="30" t="s">
        <v>3445</v>
      </c>
      <c r="H78" s="45" t="str">
        <f aca="false">HYPERLINK("https://photos.app.goo.gl/S6kFhN7fdNMErSsj6", "Completo")</f>
        <v>Completo</v>
      </c>
      <c r="I78" s="21" t="s">
        <v>28</v>
      </c>
      <c r="J78" s="21"/>
      <c r="K78" s="21"/>
      <c r="L78" s="21"/>
      <c r="M78" s="21"/>
      <c r="N78" s="30"/>
      <c r="O78" s="21"/>
      <c r="P78" s="21"/>
      <c r="Q78" s="21"/>
      <c r="R78" s="32"/>
      <c r="S78" s="32"/>
      <c r="T78" s="21"/>
      <c r="U78" s="21"/>
      <c r="V78" s="21"/>
      <c r="W78" s="21"/>
      <c r="X78" s="21" t="s">
        <v>28</v>
      </c>
    </row>
    <row r="79" customFormat="false" ht="15.75" hidden="false" customHeight="false" outlineLevel="0" collapsed="false">
      <c r="A79" s="61" t="n">
        <v>6336</v>
      </c>
      <c r="B79" s="29" t="n">
        <v>44645</v>
      </c>
      <c r="C79" s="21" t="s">
        <v>3446</v>
      </c>
      <c r="D79" s="21" t="s">
        <v>24</v>
      </c>
      <c r="E79" s="21" t="s">
        <v>25</v>
      </c>
      <c r="F79" s="21" t="s">
        <v>3447</v>
      </c>
      <c r="G79" s="30" t="s">
        <v>3445</v>
      </c>
      <c r="H79" s="45" t="str">
        <f aca="false">HYPERLINK("https://photos.app.goo.gl/7aeqd99zGzFBsfr97", "Completo")</f>
        <v>Completo</v>
      </c>
      <c r="I79" s="21" t="s">
        <v>28</v>
      </c>
      <c r="J79" s="21"/>
      <c r="K79" s="21"/>
      <c r="L79" s="21"/>
      <c r="M79" s="21"/>
      <c r="N79" s="30"/>
      <c r="O79" s="21"/>
      <c r="P79" s="21"/>
      <c r="Q79" s="21"/>
      <c r="R79" s="32"/>
      <c r="S79" s="32"/>
      <c r="T79" s="21"/>
      <c r="U79" s="21"/>
      <c r="V79" s="21"/>
      <c r="W79" s="21"/>
      <c r="X79" s="21" t="s">
        <v>28</v>
      </c>
    </row>
    <row r="80" customFormat="false" ht="15.75" hidden="false" customHeight="false" outlineLevel="0" collapsed="false">
      <c r="A80" s="61" t="n">
        <v>6337</v>
      </c>
      <c r="B80" s="29" t="n">
        <v>44645</v>
      </c>
      <c r="C80" s="21" t="s">
        <v>3446</v>
      </c>
      <c r="D80" s="21" t="s">
        <v>24</v>
      </c>
      <c r="E80" s="21" t="s">
        <v>25</v>
      </c>
      <c r="F80" s="21" t="s">
        <v>3448</v>
      </c>
      <c r="G80" s="30" t="s">
        <v>3449</v>
      </c>
      <c r="H80" s="45" t="str">
        <f aca="false">HYPERLINK("https://photos.app.goo.gl/FtzsHTsSkuuU8K7c9", "Completo")</f>
        <v>Completo</v>
      </c>
      <c r="I80" s="21" t="s">
        <v>28</v>
      </c>
      <c r="J80" s="21"/>
      <c r="K80" s="21"/>
      <c r="L80" s="21"/>
      <c r="M80" s="21"/>
      <c r="N80" s="30"/>
      <c r="O80" s="21"/>
      <c r="P80" s="21"/>
      <c r="Q80" s="21"/>
      <c r="R80" s="32"/>
      <c r="S80" s="32"/>
      <c r="T80" s="21"/>
      <c r="U80" s="21"/>
      <c r="V80" s="21"/>
      <c r="W80" s="21"/>
      <c r="X80" s="21" t="s">
        <v>28</v>
      </c>
    </row>
    <row r="81" customFormat="false" ht="15.75" hidden="false" customHeight="false" outlineLevel="0" collapsed="false">
      <c r="A81" s="61" t="s">
        <v>3450</v>
      </c>
      <c r="B81" s="29" t="n">
        <v>44645</v>
      </c>
      <c r="C81" s="21" t="s">
        <v>1456</v>
      </c>
      <c r="D81" s="21" t="s">
        <v>578</v>
      </c>
      <c r="E81" s="21" t="s">
        <v>25</v>
      </c>
      <c r="F81" s="21" t="s">
        <v>3451</v>
      </c>
      <c r="G81" s="30" t="s">
        <v>3452</v>
      </c>
      <c r="H81" s="45" t="str">
        <f aca="false">HYPERLINK("https://photos.app.goo.gl/8t9fK3uDaPQczd8i7", "Completo")</f>
        <v>Completo</v>
      </c>
      <c r="I81" s="21" t="s">
        <v>28</v>
      </c>
      <c r="J81" s="21"/>
      <c r="K81" s="21"/>
      <c r="L81" s="21"/>
      <c r="M81" s="21"/>
      <c r="N81" s="30"/>
      <c r="O81" s="21"/>
      <c r="P81" s="21"/>
      <c r="Q81" s="21"/>
      <c r="R81" s="32"/>
      <c r="S81" s="32"/>
      <c r="T81" s="21"/>
      <c r="U81" s="21" t="s">
        <v>37</v>
      </c>
      <c r="V81" s="21" t="s">
        <v>37</v>
      </c>
      <c r="W81" s="21"/>
      <c r="X81" s="21" t="s">
        <v>37</v>
      </c>
    </row>
    <row r="82" customFormat="false" ht="15.75" hidden="false" customHeight="false" outlineLevel="0" collapsed="false">
      <c r="A82" s="61" t="n">
        <v>6338</v>
      </c>
      <c r="B82" s="29" t="n">
        <v>44648</v>
      </c>
      <c r="C82" s="21" t="s">
        <v>2337</v>
      </c>
      <c r="D82" s="21" t="s">
        <v>24</v>
      </c>
      <c r="E82" s="21" t="s">
        <v>74</v>
      </c>
      <c r="F82" s="21" t="s">
        <v>3453</v>
      </c>
      <c r="G82" s="69" t="s">
        <v>3454</v>
      </c>
      <c r="H82" s="45" t="str">
        <f aca="false">HYPERLINK("https://photos.app.goo.gl/H78gKJAh9JVxjuRb8", "Completo")</f>
        <v>Completo</v>
      </c>
      <c r="I82" s="21" t="s">
        <v>28</v>
      </c>
      <c r="J82" s="21" t="s">
        <v>29</v>
      </c>
      <c r="K82" s="21" t="s">
        <v>29</v>
      </c>
      <c r="L82" s="21" t="s">
        <v>29</v>
      </c>
      <c r="M82" s="21" t="s">
        <v>2133</v>
      </c>
      <c r="N82" s="30"/>
      <c r="O82" s="21" t="s">
        <v>28</v>
      </c>
      <c r="P82" s="74" t="s">
        <v>28</v>
      </c>
      <c r="Q82" s="21" t="s">
        <v>2981</v>
      </c>
      <c r="R82" s="32" t="s">
        <v>2850</v>
      </c>
      <c r="S82" s="32" t="s">
        <v>36</v>
      </c>
      <c r="T82" s="21" t="s">
        <v>74</v>
      </c>
      <c r="U82" s="74" t="s">
        <v>28</v>
      </c>
      <c r="V82" s="74" t="s">
        <v>28</v>
      </c>
      <c r="W82" s="21" t="s">
        <v>36</v>
      </c>
      <c r="X82" s="21" t="s">
        <v>28</v>
      </c>
    </row>
    <row r="83" customFormat="false" ht="15.75" hidden="false" customHeight="false" outlineLevel="0" collapsed="false">
      <c r="A83" s="61" t="n">
        <v>6339</v>
      </c>
      <c r="B83" s="29" t="n">
        <v>44648</v>
      </c>
      <c r="C83" s="21" t="s">
        <v>3455</v>
      </c>
      <c r="D83" s="21" t="s">
        <v>24</v>
      </c>
      <c r="E83" s="21" t="s">
        <v>74</v>
      </c>
      <c r="F83" s="21" t="s">
        <v>3456</v>
      </c>
      <c r="G83" s="69" t="s">
        <v>3457</v>
      </c>
      <c r="H83" s="45" t="str">
        <f aca="false">HYPERLINK("https://photos.app.goo.gl/m63HskR8TdR5PpJN8", "Completo")</f>
        <v>Completo</v>
      </c>
      <c r="I83" s="21" t="s">
        <v>28</v>
      </c>
      <c r="J83" s="21" t="s">
        <v>29</v>
      </c>
      <c r="K83" s="21" t="s">
        <v>29</v>
      </c>
      <c r="L83" s="21" t="s">
        <v>29</v>
      </c>
      <c r="M83" s="21" t="s">
        <v>3458</v>
      </c>
      <c r="N83" s="30"/>
      <c r="O83" s="21" t="s">
        <v>28</v>
      </c>
      <c r="P83" s="74" t="s">
        <v>28</v>
      </c>
      <c r="Q83" s="21" t="s">
        <v>2803</v>
      </c>
      <c r="R83" s="32" t="s">
        <v>2850</v>
      </c>
      <c r="S83" s="32" t="s">
        <v>36</v>
      </c>
      <c r="T83" s="21"/>
      <c r="U83" s="21"/>
      <c r="V83" s="46" t="str">
        <f aca="false">HYPERLINK("https://photos.app.goo.gl/5Y1TLT4PmmpkAgbt8", "Completo")</f>
        <v>Completo</v>
      </c>
      <c r="W83" s="21"/>
      <c r="X83" s="21" t="s">
        <v>28</v>
      </c>
    </row>
    <row r="84" customFormat="false" ht="15.75" hidden="false" customHeight="false" outlineLevel="0" collapsed="false">
      <c r="A84" s="61" t="n">
        <v>6340</v>
      </c>
      <c r="B84" s="29" t="n">
        <v>44649</v>
      </c>
      <c r="C84" s="21" t="s">
        <v>1352</v>
      </c>
      <c r="D84" s="21" t="s">
        <v>24</v>
      </c>
      <c r="E84" s="21" t="s">
        <v>34</v>
      </c>
      <c r="F84" s="21" t="s">
        <v>3459</v>
      </c>
      <c r="G84" s="30"/>
      <c r="H84" s="31"/>
      <c r="I84" s="21"/>
      <c r="J84" s="21"/>
      <c r="K84" s="21"/>
      <c r="L84" s="21"/>
      <c r="M84" s="21"/>
      <c r="N84" s="30"/>
      <c r="O84" s="21"/>
      <c r="P84" s="21"/>
      <c r="Q84" s="21"/>
      <c r="R84" s="32"/>
      <c r="S84" s="32"/>
      <c r="T84" s="21"/>
      <c r="U84" s="21" t="s">
        <v>37</v>
      </c>
      <c r="V84" s="21" t="s">
        <v>37</v>
      </c>
      <c r="W84" s="21"/>
      <c r="X84" s="21" t="s">
        <v>28</v>
      </c>
    </row>
    <row r="85" customFormat="false" ht="15.75" hidden="false" customHeight="false" outlineLevel="0" collapsed="false">
      <c r="A85" s="61" t="n">
        <v>6341</v>
      </c>
      <c r="B85" s="29" t="n">
        <v>44649</v>
      </c>
      <c r="C85" s="21" t="s">
        <v>1251</v>
      </c>
      <c r="D85" s="21" t="s">
        <v>24</v>
      </c>
      <c r="E85" s="21" t="s">
        <v>34</v>
      </c>
      <c r="F85" s="21" t="s">
        <v>3460</v>
      </c>
      <c r="G85" s="30"/>
      <c r="H85" s="31"/>
      <c r="I85" s="21"/>
      <c r="J85" s="21"/>
      <c r="K85" s="21"/>
      <c r="L85" s="21"/>
      <c r="M85" s="21"/>
      <c r="N85" s="30"/>
      <c r="O85" s="21"/>
      <c r="P85" s="21"/>
      <c r="Q85" s="21"/>
      <c r="R85" s="32"/>
      <c r="S85" s="32"/>
      <c r="T85" s="21"/>
      <c r="U85" s="21" t="s">
        <v>37</v>
      </c>
      <c r="V85" s="21" t="s">
        <v>37</v>
      </c>
      <c r="W85" s="21"/>
      <c r="X85" s="21" t="s">
        <v>28</v>
      </c>
    </row>
    <row r="86" customFormat="false" ht="15.75" hidden="false" customHeight="false" outlineLevel="0" collapsed="false">
      <c r="A86" s="61" t="n">
        <v>6342</v>
      </c>
      <c r="B86" s="29" t="n">
        <v>44649</v>
      </c>
      <c r="C86" s="83" t="s">
        <v>1251</v>
      </c>
      <c r="D86" s="21" t="s">
        <v>24</v>
      </c>
      <c r="E86" s="21" t="s">
        <v>34</v>
      </c>
      <c r="F86" s="83" t="s">
        <v>875</v>
      </c>
      <c r="G86" s="30"/>
      <c r="H86" s="31"/>
      <c r="I86" s="21"/>
      <c r="J86" s="21"/>
      <c r="K86" s="21"/>
      <c r="L86" s="21"/>
      <c r="M86" s="21"/>
      <c r="N86" s="30"/>
      <c r="O86" s="21"/>
      <c r="P86" s="21"/>
      <c r="Q86" s="21"/>
      <c r="R86" s="32"/>
      <c r="S86" s="32"/>
      <c r="T86" s="21"/>
      <c r="U86" s="21" t="s">
        <v>37</v>
      </c>
      <c r="V86" s="21" t="s">
        <v>37</v>
      </c>
      <c r="W86" s="21" t="s">
        <v>3461</v>
      </c>
      <c r="X86" s="21" t="s">
        <v>28</v>
      </c>
    </row>
    <row r="87" customFormat="false" ht="15.75" hidden="false" customHeight="false" outlineLevel="0" collapsed="false">
      <c r="A87" s="61" t="n">
        <v>6343</v>
      </c>
      <c r="B87" s="29" t="n">
        <v>44649</v>
      </c>
      <c r="C87" s="21" t="s">
        <v>1251</v>
      </c>
      <c r="D87" s="21" t="s">
        <v>24</v>
      </c>
      <c r="E87" s="21" t="s">
        <v>34</v>
      </c>
      <c r="F87" s="21" t="s">
        <v>3462</v>
      </c>
      <c r="G87" s="30"/>
      <c r="H87" s="31"/>
      <c r="I87" s="21"/>
      <c r="J87" s="21"/>
      <c r="K87" s="21"/>
      <c r="L87" s="21"/>
      <c r="M87" s="21"/>
      <c r="N87" s="30"/>
      <c r="O87" s="21"/>
      <c r="P87" s="21"/>
      <c r="Q87" s="21"/>
      <c r="R87" s="32"/>
      <c r="S87" s="32"/>
      <c r="T87" s="21"/>
      <c r="U87" s="21" t="s">
        <v>37</v>
      </c>
      <c r="V87" s="21" t="s">
        <v>37</v>
      </c>
      <c r="W87" s="21"/>
      <c r="X87" s="21" t="s">
        <v>28</v>
      </c>
    </row>
    <row r="88" customFormat="false" ht="15.75" hidden="false" customHeight="false" outlineLevel="0" collapsed="false">
      <c r="A88" s="61" t="n">
        <v>6344</v>
      </c>
      <c r="B88" s="29" t="n">
        <v>44649</v>
      </c>
      <c r="C88" s="21" t="s">
        <v>1251</v>
      </c>
      <c r="D88" s="21" t="s">
        <v>24</v>
      </c>
      <c r="E88" s="21" t="s">
        <v>34</v>
      </c>
      <c r="F88" s="21" t="s">
        <v>874</v>
      </c>
      <c r="G88" s="30"/>
      <c r="H88" s="31"/>
      <c r="I88" s="21"/>
      <c r="J88" s="21"/>
      <c r="K88" s="21"/>
      <c r="L88" s="21"/>
      <c r="M88" s="21"/>
      <c r="N88" s="30"/>
      <c r="O88" s="21"/>
      <c r="P88" s="21"/>
      <c r="Q88" s="21"/>
      <c r="R88" s="32"/>
      <c r="S88" s="32"/>
      <c r="T88" s="21"/>
      <c r="U88" s="21" t="s">
        <v>37</v>
      </c>
      <c r="V88" s="21" t="s">
        <v>37</v>
      </c>
      <c r="W88" s="21"/>
      <c r="X88" s="21" t="s">
        <v>28</v>
      </c>
    </row>
    <row r="89" customFormat="false" ht="15.75" hidden="false" customHeight="false" outlineLevel="0" collapsed="false">
      <c r="A89" s="61" t="n">
        <v>6345</v>
      </c>
      <c r="B89" s="29" t="n">
        <v>44649</v>
      </c>
      <c r="C89" s="83" t="s">
        <v>1251</v>
      </c>
      <c r="D89" s="21" t="s">
        <v>24</v>
      </c>
      <c r="E89" s="21" t="s">
        <v>34</v>
      </c>
      <c r="F89" s="83" t="s">
        <v>874</v>
      </c>
      <c r="G89" s="30"/>
      <c r="H89" s="31"/>
      <c r="I89" s="21"/>
      <c r="J89" s="21"/>
      <c r="K89" s="21"/>
      <c r="L89" s="21"/>
      <c r="M89" s="21"/>
      <c r="N89" s="30"/>
      <c r="O89" s="21"/>
      <c r="P89" s="21"/>
      <c r="Q89" s="21"/>
      <c r="R89" s="32"/>
      <c r="S89" s="32"/>
      <c r="T89" s="21"/>
      <c r="U89" s="21" t="s">
        <v>37</v>
      </c>
      <c r="V89" s="21" t="s">
        <v>37</v>
      </c>
      <c r="W89" s="21" t="s">
        <v>3461</v>
      </c>
      <c r="X89" s="21" t="s">
        <v>28</v>
      </c>
    </row>
    <row r="90" customFormat="false" ht="15.75" hidden="false" customHeight="false" outlineLevel="0" collapsed="false">
      <c r="A90" s="21" t="n">
        <v>6346</v>
      </c>
      <c r="B90" s="29" t="n">
        <v>44650</v>
      </c>
      <c r="C90" s="21" t="s">
        <v>3463</v>
      </c>
      <c r="D90" s="21" t="s">
        <v>24</v>
      </c>
      <c r="E90" s="21" t="s">
        <v>74</v>
      </c>
      <c r="F90" s="21" t="s">
        <v>3464</v>
      </c>
      <c r="G90" s="69" t="s">
        <v>3465</v>
      </c>
      <c r="H90" s="45" t="str">
        <f aca="false">HYPERLINK("https://photos.app.goo.gl/3QJj5NVssAY2di8z5", "Completo")</f>
        <v>Completo</v>
      </c>
      <c r="I90" s="21" t="s">
        <v>28</v>
      </c>
      <c r="J90" s="21" t="s">
        <v>29</v>
      </c>
      <c r="K90" s="21" t="s">
        <v>29</v>
      </c>
      <c r="L90" s="21" t="s">
        <v>29</v>
      </c>
      <c r="M90" s="21" t="s">
        <v>3466</v>
      </c>
      <c r="N90" s="30"/>
      <c r="O90" s="21"/>
      <c r="P90" s="21"/>
      <c r="Q90" s="21"/>
      <c r="R90" s="32"/>
      <c r="S90" s="32"/>
      <c r="T90" s="21"/>
      <c r="U90" s="21" t="s">
        <v>37</v>
      </c>
      <c r="V90" s="21" t="s">
        <v>37</v>
      </c>
      <c r="W90" s="21"/>
      <c r="X90" s="21" t="s">
        <v>37</v>
      </c>
    </row>
    <row r="91" customFormat="false" ht="15.75" hidden="false" customHeight="false" outlineLevel="0" collapsed="false">
      <c r="A91" s="21" t="n">
        <v>6347</v>
      </c>
      <c r="B91" s="29" t="n">
        <v>44651</v>
      </c>
      <c r="C91" s="21" t="s">
        <v>78</v>
      </c>
      <c r="D91" s="21" t="s">
        <v>24</v>
      </c>
      <c r="E91" s="21" t="s">
        <v>25</v>
      </c>
      <c r="F91" s="21" t="s">
        <v>3467</v>
      </c>
      <c r="G91" s="30"/>
      <c r="H91" s="45" t="str">
        <f aca="false">HYPERLINK("https://photos.app.goo.gl/WFveL8v2QQdYxrsA6", "Completo")</f>
        <v>Completo</v>
      </c>
      <c r="I91" s="21" t="s">
        <v>28</v>
      </c>
      <c r="J91" s="21"/>
      <c r="K91" s="21"/>
      <c r="L91" s="21"/>
      <c r="M91" s="21"/>
      <c r="N91" s="30"/>
      <c r="O91" s="21"/>
      <c r="P91" s="21"/>
      <c r="Q91" s="21"/>
      <c r="R91" s="32"/>
      <c r="S91" s="32"/>
      <c r="T91" s="21"/>
      <c r="U91" s="21" t="s">
        <v>37</v>
      </c>
      <c r="V91" s="21" t="s">
        <v>37</v>
      </c>
      <c r="W91" s="21"/>
      <c r="X91" s="21" t="s">
        <v>28</v>
      </c>
    </row>
    <row r="92" customFormat="false" ht="15.75" hidden="false" customHeight="false" outlineLevel="0" collapsed="false">
      <c r="A92" s="21"/>
      <c r="B92" s="29"/>
      <c r="C92" s="21"/>
      <c r="D92" s="21"/>
      <c r="E92" s="21"/>
      <c r="F92" s="21"/>
      <c r="G92" s="30"/>
      <c r="H92" s="31"/>
      <c r="I92" s="21"/>
      <c r="J92" s="21"/>
      <c r="K92" s="21"/>
      <c r="L92" s="21"/>
      <c r="M92" s="21"/>
      <c r="N92" s="30"/>
      <c r="O92" s="21"/>
      <c r="P92" s="21"/>
      <c r="Q92" s="21"/>
      <c r="R92" s="32"/>
      <c r="S92" s="32"/>
      <c r="T92" s="21"/>
      <c r="U92" s="21"/>
      <c r="V92" s="21"/>
      <c r="W92" s="21"/>
      <c r="X92" s="21"/>
    </row>
    <row r="93" customFormat="false" ht="15.75" hidden="false" customHeight="false" outlineLevel="0" collapsed="false">
      <c r="A93" s="21"/>
      <c r="B93" s="29"/>
      <c r="C93" s="21"/>
      <c r="D93" s="21"/>
      <c r="E93" s="21"/>
      <c r="F93" s="21"/>
      <c r="G93" s="30"/>
      <c r="H93" s="31"/>
      <c r="I93" s="21"/>
      <c r="J93" s="21"/>
      <c r="K93" s="21"/>
      <c r="L93" s="21"/>
      <c r="M93" s="21"/>
      <c r="N93" s="30"/>
      <c r="O93" s="21"/>
      <c r="P93" s="21"/>
      <c r="Q93" s="21"/>
      <c r="R93" s="32"/>
      <c r="S93" s="32"/>
      <c r="T93" s="21"/>
      <c r="U93" s="21"/>
      <c r="V93" s="21"/>
      <c r="W93" s="21"/>
      <c r="X93" s="21"/>
    </row>
    <row r="94" customFormat="false" ht="15.75" hidden="false" customHeight="false" outlineLevel="0" collapsed="false">
      <c r="A94" s="21"/>
      <c r="B94" s="29"/>
      <c r="C94" s="21"/>
      <c r="D94" s="21"/>
      <c r="E94" s="21"/>
      <c r="F94" s="21"/>
      <c r="G94" s="30"/>
      <c r="H94" s="31"/>
      <c r="I94" s="21"/>
      <c r="J94" s="21"/>
      <c r="K94" s="21"/>
      <c r="L94" s="21"/>
      <c r="M94" s="21"/>
      <c r="N94" s="30"/>
      <c r="O94" s="21"/>
      <c r="P94" s="21"/>
      <c r="Q94" s="21"/>
      <c r="R94" s="32"/>
      <c r="S94" s="32"/>
      <c r="T94" s="21"/>
      <c r="U94" s="21"/>
      <c r="V94" s="21"/>
      <c r="W94" s="21"/>
      <c r="X94" s="21"/>
    </row>
    <row r="95" customFormat="false" ht="15.75" hidden="false" customHeight="false" outlineLevel="0" collapsed="false">
      <c r="A95" s="21"/>
      <c r="B95" s="29"/>
      <c r="C95" s="21"/>
      <c r="D95" s="21"/>
      <c r="E95" s="21"/>
      <c r="F95" s="21"/>
      <c r="G95" s="30"/>
      <c r="H95" s="31"/>
      <c r="I95" s="21"/>
      <c r="J95" s="21"/>
      <c r="K95" s="21"/>
      <c r="L95" s="21"/>
      <c r="M95" s="21"/>
      <c r="N95" s="30"/>
      <c r="O95" s="21"/>
      <c r="P95" s="21"/>
      <c r="Q95" s="21"/>
      <c r="R95" s="32"/>
      <c r="S95" s="32"/>
      <c r="T95" s="21"/>
      <c r="U95" s="21"/>
      <c r="V95" s="21"/>
      <c r="W95" s="21"/>
      <c r="X95" s="21"/>
    </row>
    <row r="96" customFormat="false" ht="15.75" hidden="false" customHeight="false" outlineLevel="0" collapsed="false">
      <c r="A96" s="21"/>
      <c r="B96" s="29"/>
      <c r="C96" s="21"/>
      <c r="D96" s="21"/>
      <c r="E96" s="21"/>
      <c r="F96" s="21"/>
      <c r="G96" s="30"/>
      <c r="H96" s="31"/>
      <c r="I96" s="21"/>
      <c r="J96" s="21"/>
      <c r="K96" s="21"/>
      <c r="L96" s="21"/>
      <c r="M96" s="21"/>
      <c r="N96" s="30"/>
      <c r="O96" s="21"/>
      <c r="P96" s="21"/>
      <c r="Q96" s="21"/>
      <c r="R96" s="32"/>
      <c r="S96" s="32"/>
      <c r="T96" s="21"/>
      <c r="U96" s="21"/>
      <c r="V96" s="21"/>
      <c r="W96" s="21"/>
      <c r="X96" s="21"/>
    </row>
    <row r="97" customFormat="false" ht="15.75" hidden="false" customHeight="false" outlineLevel="0" collapsed="false">
      <c r="A97" s="21"/>
      <c r="B97" s="29"/>
      <c r="C97" s="21"/>
      <c r="D97" s="21"/>
      <c r="E97" s="21"/>
      <c r="F97" s="21"/>
      <c r="G97" s="30"/>
      <c r="H97" s="31"/>
      <c r="I97" s="21"/>
      <c r="J97" s="21"/>
      <c r="K97" s="21"/>
      <c r="L97" s="21"/>
      <c r="M97" s="21"/>
      <c r="N97" s="30"/>
      <c r="O97" s="21"/>
      <c r="P97" s="21"/>
      <c r="Q97" s="21"/>
      <c r="R97" s="32"/>
      <c r="S97" s="32"/>
      <c r="T97" s="21"/>
      <c r="U97" s="21"/>
      <c r="V97" s="21"/>
      <c r="W97" s="21"/>
      <c r="X97" s="21"/>
    </row>
    <row r="98" customFormat="false" ht="15.75" hidden="false" customHeight="false" outlineLevel="0" collapsed="false">
      <c r="A98" s="21"/>
      <c r="B98" s="29"/>
      <c r="C98" s="21"/>
      <c r="D98" s="21"/>
      <c r="E98" s="21"/>
      <c r="F98" s="21"/>
      <c r="G98" s="30"/>
      <c r="H98" s="31"/>
      <c r="I98" s="21"/>
      <c r="J98" s="21"/>
      <c r="K98" s="21"/>
      <c r="L98" s="21"/>
      <c r="M98" s="21"/>
      <c r="N98" s="30"/>
      <c r="O98" s="21"/>
      <c r="P98" s="21"/>
      <c r="Q98" s="21"/>
      <c r="R98" s="32"/>
      <c r="S98" s="32"/>
      <c r="T98" s="21"/>
      <c r="U98" s="21"/>
      <c r="V98" s="21"/>
      <c r="W98" s="21"/>
      <c r="X98" s="21"/>
    </row>
    <row r="99" customFormat="false" ht="15.75" hidden="false" customHeight="false" outlineLevel="0" collapsed="false">
      <c r="A99" s="21"/>
      <c r="B99" s="29"/>
      <c r="C99" s="21"/>
      <c r="D99" s="21"/>
      <c r="E99" s="21"/>
      <c r="F99" s="21"/>
      <c r="G99" s="30"/>
      <c r="H99" s="31"/>
      <c r="I99" s="21"/>
      <c r="J99" s="21"/>
      <c r="K99" s="21"/>
      <c r="L99" s="21"/>
      <c r="M99" s="21"/>
      <c r="N99" s="30"/>
      <c r="O99" s="21"/>
      <c r="P99" s="21"/>
      <c r="Q99" s="21"/>
      <c r="R99" s="32"/>
      <c r="S99" s="32"/>
      <c r="T99" s="21"/>
      <c r="U99" s="21"/>
      <c r="V99" s="21"/>
      <c r="W99" s="21"/>
      <c r="X99" s="21"/>
    </row>
    <row r="100" customFormat="false" ht="15.75" hidden="false" customHeight="false" outlineLevel="0" collapsed="false">
      <c r="A100" s="21"/>
      <c r="B100" s="29"/>
      <c r="C100" s="21"/>
      <c r="D100" s="21"/>
      <c r="E100" s="21"/>
      <c r="F100" s="21"/>
      <c r="G100" s="30"/>
      <c r="H100" s="31"/>
      <c r="I100" s="21"/>
      <c r="J100" s="21"/>
      <c r="K100" s="21"/>
      <c r="L100" s="21"/>
      <c r="M100" s="21"/>
      <c r="N100" s="30"/>
      <c r="O100" s="21"/>
      <c r="P100" s="21"/>
      <c r="Q100" s="21"/>
      <c r="R100" s="32"/>
      <c r="S100" s="32"/>
      <c r="T100" s="21"/>
      <c r="U100" s="21"/>
      <c r="V100" s="21"/>
      <c r="W100" s="21"/>
      <c r="X100" s="21"/>
    </row>
    <row r="101" customFormat="false" ht="15.75" hidden="false" customHeight="false" outlineLevel="0" collapsed="false">
      <c r="A101" s="21"/>
      <c r="B101" s="29"/>
      <c r="C101" s="21"/>
      <c r="D101" s="21"/>
      <c r="E101" s="21"/>
      <c r="F101" s="21"/>
      <c r="G101" s="30"/>
      <c r="H101" s="31"/>
      <c r="I101" s="21"/>
      <c r="J101" s="21"/>
      <c r="K101" s="21"/>
      <c r="L101" s="21"/>
      <c r="M101" s="21"/>
      <c r="N101" s="30"/>
      <c r="O101" s="21"/>
      <c r="P101" s="21"/>
      <c r="Q101" s="21"/>
      <c r="R101" s="32"/>
      <c r="S101" s="32"/>
      <c r="T101" s="21"/>
      <c r="U101" s="21"/>
      <c r="V101" s="21"/>
      <c r="W101" s="21"/>
      <c r="X101" s="21"/>
    </row>
    <row r="102" customFormat="false" ht="15.75" hidden="false" customHeight="false" outlineLevel="0" collapsed="false">
      <c r="A102" s="21"/>
      <c r="B102" s="29"/>
      <c r="C102" s="21"/>
      <c r="D102" s="21"/>
      <c r="E102" s="21"/>
      <c r="F102" s="21"/>
      <c r="G102" s="30"/>
      <c r="H102" s="31"/>
      <c r="I102" s="21"/>
      <c r="J102" s="21"/>
      <c r="K102" s="21"/>
      <c r="L102" s="21"/>
      <c r="M102" s="21"/>
      <c r="N102" s="30"/>
      <c r="O102" s="21"/>
      <c r="P102" s="21"/>
      <c r="Q102" s="21"/>
      <c r="R102" s="32"/>
      <c r="S102" s="32"/>
      <c r="T102" s="21"/>
      <c r="U102" s="21"/>
      <c r="V102" s="21"/>
      <c r="W102" s="21"/>
      <c r="X102" s="21"/>
    </row>
    <row r="103" customFormat="false" ht="15.75" hidden="false" customHeight="false" outlineLevel="0" collapsed="false">
      <c r="A103" s="21"/>
      <c r="B103" s="29"/>
      <c r="C103" s="21"/>
      <c r="D103" s="21"/>
      <c r="E103" s="21"/>
      <c r="F103" s="21"/>
      <c r="G103" s="30"/>
      <c r="H103" s="31"/>
      <c r="I103" s="21"/>
      <c r="J103" s="21"/>
      <c r="K103" s="21"/>
      <c r="L103" s="21"/>
      <c r="M103" s="21"/>
      <c r="N103" s="30"/>
      <c r="O103" s="21"/>
      <c r="P103" s="21"/>
      <c r="Q103" s="21"/>
      <c r="R103" s="32"/>
      <c r="S103" s="32"/>
      <c r="T103" s="21"/>
      <c r="U103" s="21"/>
      <c r="V103" s="21"/>
      <c r="W103" s="21"/>
      <c r="X103" s="21"/>
    </row>
    <row r="104" customFormat="false" ht="15.75" hidden="false" customHeight="false" outlineLevel="0" collapsed="false">
      <c r="A104" s="21"/>
      <c r="B104" s="29"/>
      <c r="C104" s="21"/>
      <c r="D104" s="21"/>
      <c r="E104" s="21"/>
      <c r="F104" s="21"/>
      <c r="G104" s="30"/>
      <c r="H104" s="31"/>
      <c r="I104" s="21"/>
      <c r="J104" s="21"/>
      <c r="K104" s="21"/>
      <c r="L104" s="21"/>
      <c r="M104" s="21"/>
      <c r="N104" s="30"/>
      <c r="O104" s="21"/>
      <c r="P104" s="21"/>
      <c r="Q104" s="21"/>
      <c r="R104" s="32"/>
      <c r="S104" s="32"/>
      <c r="T104" s="21"/>
      <c r="U104" s="21"/>
      <c r="V104" s="21"/>
      <c r="W104" s="21"/>
      <c r="X104" s="21"/>
    </row>
    <row r="105" customFormat="false" ht="15.75" hidden="false" customHeight="false" outlineLevel="0" collapsed="false">
      <c r="A105" s="21"/>
      <c r="B105" s="29"/>
      <c r="C105" s="21"/>
      <c r="D105" s="21"/>
      <c r="E105" s="21"/>
      <c r="F105" s="21"/>
      <c r="G105" s="30"/>
      <c r="H105" s="31"/>
      <c r="I105" s="21"/>
      <c r="J105" s="21"/>
      <c r="K105" s="21"/>
      <c r="L105" s="21"/>
      <c r="M105" s="21"/>
      <c r="N105" s="30"/>
      <c r="O105" s="21"/>
      <c r="P105" s="21"/>
      <c r="Q105" s="21"/>
      <c r="R105" s="32"/>
      <c r="S105" s="32"/>
      <c r="T105" s="21"/>
      <c r="U105" s="21"/>
      <c r="V105" s="21"/>
      <c r="W105" s="21"/>
      <c r="X105" s="21"/>
    </row>
    <row r="106" customFormat="false" ht="15.75" hidden="false" customHeight="false" outlineLevel="0" collapsed="false">
      <c r="A106" s="21"/>
      <c r="B106" s="29"/>
      <c r="C106" s="21"/>
      <c r="D106" s="21"/>
      <c r="E106" s="21"/>
      <c r="F106" s="21"/>
      <c r="G106" s="30"/>
      <c r="H106" s="31"/>
      <c r="I106" s="21"/>
      <c r="J106" s="21"/>
      <c r="K106" s="21"/>
      <c r="L106" s="21"/>
      <c r="M106" s="21"/>
      <c r="N106" s="30"/>
      <c r="O106" s="21"/>
      <c r="P106" s="21"/>
      <c r="Q106" s="21"/>
      <c r="R106" s="32"/>
      <c r="S106" s="32"/>
      <c r="T106" s="21"/>
      <c r="U106" s="21"/>
      <c r="V106" s="21"/>
      <c r="W106" s="21"/>
      <c r="X106" s="21"/>
    </row>
    <row r="107" customFormat="false" ht="15.75" hidden="false" customHeight="false" outlineLevel="0" collapsed="false">
      <c r="A107" s="21"/>
      <c r="B107" s="29"/>
      <c r="C107" s="21"/>
      <c r="D107" s="21"/>
      <c r="E107" s="21"/>
      <c r="F107" s="21"/>
      <c r="G107" s="30"/>
      <c r="H107" s="31"/>
      <c r="I107" s="21"/>
      <c r="J107" s="21"/>
      <c r="K107" s="21"/>
      <c r="L107" s="21"/>
      <c r="M107" s="21"/>
      <c r="N107" s="30"/>
      <c r="O107" s="21"/>
      <c r="P107" s="21"/>
      <c r="Q107" s="21"/>
      <c r="R107" s="32"/>
      <c r="S107" s="32"/>
      <c r="T107" s="21"/>
      <c r="U107" s="21"/>
      <c r="V107" s="21"/>
      <c r="W107" s="21"/>
      <c r="X107" s="21"/>
    </row>
    <row r="108" customFormat="false" ht="15.75" hidden="false" customHeight="false" outlineLevel="0" collapsed="false">
      <c r="A108" s="21"/>
      <c r="B108" s="29"/>
      <c r="C108" s="21"/>
      <c r="D108" s="21"/>
      <c r="E108" s="21"/>
      <c r="F108" s="21"/>
      <c r="G108" s="30"/>
      <c r="H108" s="31"/>
      <c r="I108" s="21"/>
      <c r="J108" s="21"/>
      <c r="K108" s="21"/>
      <c r="L108" s="21"/>
      <c r="M108" s="21"/>
      <c r="N108" s="30"/>
      <c r="O108" s="21"/>
      <c r="P108" s="21"/>
      <c r="Q108" s="21"/>
      <c r="R108" s="32"/>
      <c r="S108" s="32"/>
      <c r="T108" s="21"/>
      <c r="U108" s="21"/>
      <c r="V108" s="21"/>
      <c r="W108" s="21"/>
      <c r="X108" s="21"/>
    </row>
    <row r="109" customFormat="false" ht="15.75" hidden="false" customHeight="false" outlineLevel="0" collapsed="false">
      <c r="A109" s="21"/>
      <c r="B109" s="29"/>
      <c r="C109" s="21"/>
      <c r="D109" s="21"/>
      <c r="E109" s="21"/>
      <c r="F109" s="21"/>
      <c r="G109" s="30"/>
      <c r="H109" s="31"/>
      <c r="I109" s="21"/>
      <c r="J109" s="21"/>
      <c r="K109" s="21"/>
      <c r="L109" s="21"/>
      <c r="M109" s="21"/>
      <c r="N109" s="30"/>
      <c r="O109" s="21"/>
      <c r="P109" s="21"/>
      <c r="Q109" s="21"/>
      <c r="R109" s="32"/>
      <c r="S109" s="32"/>
      <c r="T109" s="21"/>
      <c r="U109" s="21"/>
      <c r="V109" s="21"/>
      <c r="W109" s="21"/>
      <c r="X109" s="21"/>
    </row>
    <row r="110" customFormat="false" ht="15.75" hidden="false" customHeight="false" outlineLevel="0" collapsed="false">
      <c r="A110" s="21"/>
      <c r="B110" s="29"/>
      <c r="C110" s="21"/>
      <c r="D110" s="21"/>
      <c r="E110" s="21"/>
      <c r="F110" s="21"/>
      <c r="G110" s="30"/>
      <c r="H110" s="31"/>
      <c r="I110" s="21"/>
      <c r="J110" s="21"/>
      <c r="K110" s="21"/>
      <c r="L110" s="21"/>
      <c r="M110" s="21"/>
      <c r="N110" s="30"/>
      <c r="O110" s="21"/>
      <c r="P110" s="21"/>
      <c r="Q110" s="21"/>
      <c r="R110" s="32"/>
      <c r="S110" s="32"/>
      <c r="T110" s="21"/>
      <c r="U110" s="21"/>
      <c r="V110" s="21"/>
      <c r="W110" s="21"/>
      <c r="X110" s="21"/>
    </row>
    <row r="111" customFormat="false" ht="15.75" hidden="false" customHeight="false" outlineLevel="0" collapsed="false">
      <c r="A111" s="21"/>
      <c r="B111" s="29"/>
      <c r="C111" s="21"/>
      <c r="D111" s="21"/>
      <c r="E111" s="21"/>
      <c r="F111" s="21"/>
      <c r="G111" s="30"/>
      <c r="H111" s="31"/>
      <c r="I111" s="21"/>
      <c r="J111" s="21"/>
      <c r="K111" s="21"/>
      <c r="L111" s="21"/>
      <c r="M111" s="21"/>
      <c r="N111" s="30"/>
      <c r="O111" s="21"/>
      <c r="P111" s="21"/>
      <c r="Q111" s="21"/>
      <c r="R111" s="32"/>
      <c r="S111" s="32"/>
      <c r="T111" s="21"/>
      <c r="U111" s="21"/>
      <c r="V111" s="21"/>
      <c r="W111" s="21"/>
      <c r="X111" s="21"/>
    </row>
    <row r="112" customFormat="false" ht="15.75" hidden="false" customHeight="false" outlineLevel="0" collapsed="false">
      <c r="A112" s="21"/>
      <c r="B112" s="29"/>
      <c r="C112" s="21"/>
      <c r="D112" s="21"/>
      <c r="E112" s="21"/>
      <c r="F112" s="21"/>
      <c r="G112" s="30"/>
      <c r="H112" s="31"/>
      <c r="I112" s="21"/>
      <c r="J112" s="21"/>
      <c r="K112" s="21"/>
      <c r="L112" s="21"/>
      <c r="M112" s="21"/>
      <c r="N112" s="30"/>
      <c r="O112" s="21"/>
      <c r="P112" s="21"/>
      <c r="Q112" s="21"/>
      <c r="R112" s="32"/>
      <c r="S112" s="32"/>
      <c r="T112" s="21"/>
      <c r="U112" s="21"/>
      <c r="V112" s="21"/>
      <c r="W112" s="21"/>
      <c r="X112" s="21"/>
    </row>
    <row r="113" customFormat="false" ht="15.75" hidden="false" customHeight="false" outlineLevel="0" collapsed="false">
      <c r="A113" s="21"/>
      <c r="B113" s="29"/>
      <c r="C113" s="21"/>
      <c r="D113" s="21"/>
      <c r="E113" s="21"/>
      <c r="F113" s="21"/>
      <c r="G113" s="30"/>
      <c r="H113" s="31"/>
      <c r="I113" s="21"/>
      <c r="J113" s="21"/>
      <c r="K113" s="21"/>
      <c r="L113" s="21"/>
      <c r="M113" s="21"/>
      <c r="N113" s="30"/>
      <c r="O113" s="21"/>
      <c r="P113" s="21"/>
      <c r="Q113" s="21"/>
      <c r="R113" s="32"/>
      <c r="S113" s="32"/>
      <c r="T113" s="21"/>
      <c r="U113" s="21"/>
      <c r="V113" s="21"/>
      <c r="W113" s="21"/>
      <c r="X113" s="21"/>
    </row>
    <row r="114" customFormat="false" ht="15.75" hidden="false" customHeight="false" outlineLevel="0" collapsed="false">
      <c r="A114" s="21"/>
      <c r="B114" s="29"/>
      <c r="C114" s="21"/>
      <c r="D114" s="21"/>
      <c r="E114" s="21"/>
      <c r="F114" s="21"/>
      <c r="G114" s="30"/>
      <c r="H114" s="31"/>
      <c r="I114" s="21"/>
      <c r="J114" s="21"/>
      <c r="K114" s="21"/>
      <c r="L114" s="21"/>
      <c r="M114" s="21"/>
      <c r="N114" s="30"/>
      <c r="O114" s="21"/>
      <c r="P114" s="21"/>
      <c r="Q114" s="21"/>
      <c r="R114" s="32"/>
      <c r="S114" s="32"/>
      <c r="T114" s="21"/>
      <c r="U114" s="21"/>
      <c r="V114" s="21"/>
      <c r="W114" s="21"/>
      <c r="X114" s="21"/>
    </row>
    <row r="115" customFormat="false" ht="15.75" hidden="false" customHeight="false" outlineLevel="0" collapsed="false">
      <c r="A115" s="21"/>
      <c r="B115" s="29"/>
      <c r="C115" s="21"/>
      <c r="D115" s="21"/>
      <c r="E115" s="21"/>
      <c r="F115" s="21"/>
      <c r="G115" s="30"/>
      <c r="H115" s="31"/>
      <c r="I115" s="21"/>
      <c r="J115" s="21"/>
      <c r="K115" s="21"/>
      <c r="L115" s="21"/>
      <c r="M115" s="21"/>
      <c r="N115" s="30"/>
      <c r="O115" s="21"/>
      <c r="P115" s="21"/>
      <c r="Q115" s="21"/>
      <c r="R115" s="32"/>
      <c r="S115" s="32"/>
      <c r="T115" s="21"/>
      <c r="U115" s="21"/>
      <c r="V115" s="21"/>
      <c r="W115" s="21"/>
      <c r="X115" s="21"/>
    </row>
    <row r="116" customFormat="false" ht="15.75" hidden="false" customHeight="false" outlineLevel="0" collapsed="false">
      <c r="A116" s="21"/>
      <c r="B116" s="29"/>
      <c r="C116" s="21"/>
      <c r="D116" s="21"/>
      <c r="E116" s="21"/>
      <c r="F116" s="21"/>
      <c r="G116" s="30"/>
      <c r="H116" s="31"/>
      <c r="I116" s="21"/>
      <c r="J116" s="21"/>
      <c r="K116" s="21"/>
      <c r="L116" s="21"/>
      <c r="M116" s="21"/>
      <c r="N116" s="30"/>
      <c r="O116" s="21"/>
      <c r="P116" s="21"/>
      <c r="Q116" s="21"/>
      <c r="R116" s="32"/>
      <c r="S116" s="32"/>
      <c r="T116" s="21"/>
      <c r="U116" s="21"/>
      <c r="V116" s="21"/>
      <c r="W116" s="21"/>
      <c r="X116" s="21"/>
    </row>
    <row r="117" customFormat="false" ht="15.75" hidden="false" customHeight="false" outlineLevel="0" collapsed="false">
      <c r="A117" s="21"/>
      <c r="B117" s="29"/>
      <c r="C117" s="21"/>
      <c r="D117" s="21"/>
      <c r="E117" s="21"/>
      <c r="F117" s="21"/>
      <c r="G117" s="30"/>
      <c r="H117" s="31"/>
      <c r="I117" s="21"/>
      <c r="J117" s="21"/>
      <c r="K117" s="21"/>
      <c r="L117" s="21"/>
      <c r="M117" s="21"/>
      <c r="N117" s="30"/>
      <c r="O117" s="21"/>
      <c r="P117" s="21"/>
      <c r="Q117" s="21"/>
      <c r="R117" s="32"/>
      <c r="S117" s="32"/>
      <c r="T117" s="21"/>
      <c r="U117" s="21"/>
      <c r="V117" s="21"/>
      <c r="W117" s="21"/>
      <c r="X117" s="21"/>
    </row>
    <row r="118" customFormat="false" ht="15.75" hidden="false" customHeight="false" outlineLevel="0" collapsed="false">
      <c r="A118" s="21"/>
      <c r="B118" s="29"/>
      <c r="C118" s="21"/>
      <c r="D118" s="21"/>
      <c r="E118" s="21"/>
      <c r="F118" s="21"/>
      <c r="G118" s="30"/>
      <c r="H118" s="31"/>
      <c r="I118" s="21"/>
      <c r="J118" s="21"/>
      <c r="K118" s="21"/>
      <c r="L118" s="21"/>
      <c r="M118" s="21"/>
      <c r="N118" s="30"/>
      <c r="O118" s="21"/>
      <c r="P118" s="21"/>
      <c r="Q118" s="21"/>
      <c r="R118" s="32"/>
      <c r="S118" s="32"/>
      <c r="T118" s="21"/>
      <c r="U118" s="21"/>
      <c r="V118" s="21"/>
      <c r="W118" s="21"/>
      <c r="X118" s="21"/>
    </row>
    <row r="119" customFormat="false" ht="15.75" hidden="false" customHeight="false" outlineLevel="0" collapsed="false">
      <c r="A119" s="21"/>
      <c r="B119" s="29"/>
      <c r="C119" s="21"/>
      <c r="D119" s="21"/>
      <c r="E119" s="21"/>
      <c r="F119" s="21"/>
      <c r="G119" s="30"/>
      <c r="H119" s="31"/>
      <c r="I119" s="21"/>
      <c r="J119" s="21"/>
      <c r="K119" s="21"/>
      <c r="L119" s="21"/>
      <c r="M119" s="21"/>
      <c r="N119" s="30"/>
      <c r="O119" s="21"/>
      <c r="P119" s="21"/>
      <c r="Q119" s="21"/>
      <c r="R119" s="32"/>
      <c r="S119" s="32"/>
      <c r="T119" s="21"/>
      <c r="U119" s="21"/>
      <c r="V119" s="21"/>
      <c r="W119" s="21"/>
      <c r="X119" s="21"/>
    </row>
    <row r="120" customFormat="false" ht="15.75" hidden="false" customHeight="false" outlineLevel="0" collapsed="false">
      <c r="A120" s="21"/>
      <c r="B120" s="29"/>
      <c r="C120" s="21"/>
      <c r="D120" s="21"/>
      <c r="E120" s="21"/>
      <c r="F120" s="21"/>
      <c r="G120" s="30"/>
      <c r="H120" s="31"/>
      <c r="I120" s="21"/>
      <c r="J120" s="21"/>
      <c r="K120" s="21"/>
      <c r="L120" s="21"/>
      <c r="M120" s="21"/>
      <c r="N120" s="30"/>
      <c r="O120" s="21"/>
      <c r="P120" s="21"/>
      <c r="Q120" s="21"/>
      <c r="R120" s="32"/>
      <c r="S120" s="32"/>
      <c r="T120" s="21"/>
      <c r="U120" s="21"/>
      <c r="V120" s="21"/>
      <c r="W120" s="21"/>
      <c r="X120" s="21"/>
    </row>
    <row r="121" customFormat="false" ht="15.75" hidden="false" customHeight="false" outlineLevel="0" collapsed="false">
      <c r="A121" s="21"/>
      <c r="B121" s="29"/>
      <c r="C121" s="21"/>
      <c r="D121" s="21"/>
      <c r="E121" s="21"/>
      <c r="F121" s="21"/>
      <c r="G121" s="30"/>
      <c r="H121" s="31"/>
      <c r="I121" s="21"/>
      <c r="J121" s="21"/>
      <c r="K121" s="21"/>
      <c r="L121" s="21"/>
      <c r="M121" s="21"/>
      <c r="N121" s="30"/>
      <c r="O121" s="21"/>
      <c r="P121" s="21"/>
      <c r="Q121" s="21"/>
      <c r="R121" s="32"/>
      <c r="S121" s="32"/>
      <c r="T121" s="21"/>
      <c r="U121" s="21"/>
      <c r="V121" s="21"/>
      <c r="W121" s="21"/>
      <c r="X121" s="21"/>
    </row>
    <row r="122" customFormat="false" ht="15.75" hidden="false" customHeight="false" outlineLevel="0" collapsed="false">
      <c r="A122" s="21"/>
      <c r="B122" s="29"/>
      <c r="C122" s="21"/>
      <c r="D122" s="21"/>
      <c r="E122" s="21"/>
      <c r="F122" s="21"/>
      <c r="G122" s="30"/>
      <c r="H122" s="31"/>
      <c r="I122" s="21"/>
      <c r="J122" s="21"/>
      <c r="K122" s="21"/>
      <c r="L122" s="21"/>
      <c r="M122" s="21"/>
      <c r="N122" s="30"/>
      <c r="O122" s="21"/>
      <c r="P122" s="21"/>
      <c r="Q122" s="21"/>
      <c r="R122" s="32"/>
      <c r="S122" s="32"/>
      <c r="T122" s="21"/>
      <c r="U122" s="21"/>
      <c r="V122" s="21"/>
      <c r="W122" s="21"/>
      <c r="X122" s="21"/>
    </row>
    <row r="123" customFormat="false" ht="15.75" hidden="false" customHeight="false" outlineLevel="0" collapsed="false">
      <c r="A123" s="12"/>
      <c r="B123" s="34"/>
      <c r="C123" s="12"/>
      <c r="D123" s="12"/>
      <c r="E123" s="12"/>
      <c r="F123" s="12"/>
      <c r="G123" s="18"/>
      <c r="H123" s="35"/>
      <c r="I123" s="12"/>
      <c r="M123" s="12"/>
      <c r="N123" s="18"/>
      <c r="O123" s="12"/>
      <c r="P123" s="12"/>
      <c r="Q123" s="12"/>
      <c r="R123" s="36"/>
      <c r="S123" s="36"/>
      <c r="T123" s="12"/>
      <c r="U123" s="12"/>
      <c r="V123" s="12"/>
      <c r="W123" s="12"/>
      <c r="X123" s="12"/>
    </row>
    <row r="124" customFormat="false" ht="15.75" hidden="false" customHeight="false" outlineLevel="0" collapsed="false">
      <c r="A124" s="12"/>
      <c r="B124" s="34"/>
      <c r="C124" s="12"/>
      <c r="D124" s="12"/>
      <c r="E124" s="12"/>
      <c r="F124" s="12"/>
      <c r="G124" s="18"/>
      <c r="H124" s="35"/>
      <c r="I124" s="12"/>
      <c r="M124" s="12"/>
      <c r="N124" s="18"/>
      <c r="O124" s="12"/>
      <c r="P124" s="12"/>
      <c r="Q124" s="12"/>
      <c r="R124" s="36"/>
      <c r="S124" s="36"/>
      <c r="T124" s="12"/>
      <c r="U124" s="12"/>
      <c r="V124" s="12"/>
      <c r="W124" s="12"/>
      <c r="X124" s="12"/>
    </row>
    <row r="125" customFormat="false" ht="15.75" hidden="false" customHeight="false" outlineLevel="0" collapsed="false">
      <c r="A125" s="12"/>
      <c r="B125" s="34"/>
      <c r="C125" s="12"/>
      <c r="D125" s="12"/>
      <c r="E125" s="12"/>
      <c r="F125" s="12"/>
      <c r="G125" s="18"/>
      <c r="H125" s="35"/>
      <c r="I125" s="12"/>
      <c r="M125" s="12"/>
      <c r="N125" s="18"/>
      <c r="O125" s="12"/>
      <c r="P125" s="12"/>
      <c r="Q125" s="12"/>
      <c r="R125" s="36"/>
      <c r="S125" s="36"/>
      <c r="T125" s="12"/>
      <c r="U125" s="12"/>
      <c r="V125" s="12"/>
      <c r="W125" s="12"/>
      <c r="X125" s="12"/>
    </row>
    <row r="126" customFormat="false" ht="15.75" hidden="false" customHeight="false" outlineLevel="0" collapsed="false">
      <c r="A126" s="12"/>
      <c r="B126" s="34"/>
      <c r="C126" s="12"/>
      <c r="D126" s="12"/>
      <c r="E126" s="12"/>
      <c r="F126" s="12"/>
      <c r="G126" s="18"/>
      <c r="H126" s="35"/>
      <c r="I126" s="12"/>
      <c r="M126" s="12"/>
      <c r="N126" s="18"/>
      <c r="O126" s="12"/>
      <c r="P126" s="12"/>
      <c r="Q126" s="12"/>
      <c r="R126" s="36"/>
      <c r="S126" s="36"/>
      <c r="T126" s="12"/>
      <c r="U126" s="12"/>
      <c r="V126" s="12"/>
      <c r="W126" s="12"/>
      <c r="X126" s="12"/>
    </row>
    <row r="127" customFormat="false" ht="15.75" hidden="false" customHeight="false" outlineLevel="0" collapsed="false">
      <c r="A127" s="12"/>
      <c r="B127" s="34"/>
      <c r="C127" s="12"/>
      <c r="D127" s="12"/>
      <c r="E127" s="12"/>
      <c r="F127" s="12"/>
      <c r="G127" s="18"/>
      <c r="H127" s="35"/>
      <c r="I127" s="12"/>
      <c r="M127" s="12"/>
      <c r="N127" s="18"/>
      <c r="O127" s="12"/>
      <c r="P127" s="12"/>
      <c r="Q127" s="12"/>
      <c r="R127" s="36"/>
      <c r="S127" s="36"/>
      <c r="T127" s="12"/>
      <c r="U127" s="12"/>
      <c r="V127" s="12"/>
      <c r="W127" s="12"/>
      <c r="X127" s="12"/>
    </row>
    <row r="128" customFormat="false" ht="15.75" hidden="false" customHeight="false" outlineLevel="0" collapsed="false">
      <c r="A128" s="12"/>
      <c r="B128" s="34"/>
      <c r="C128" s="12"/>
      <c r="D128" s="12"/>
      <c r="E128" s="12"/>
      <c r="F128" s="12"/>
      <c r="G128" s="18"/>
      <c r="H128" s="35"/>
      <c r="I128" s="12"/>
      <c r="M128" s="12"/>
      <c r="N128" s="18"/>
      <c r="O128" s="12"/>
      <c r="P128" s="12"/>
      <c r="Q128" s="12"/>
      <c r="R128" s="36"/>
      <c r="S128" s="36"/>
      <c r="T128" s="12"/>
      <c r="U128" s="12"/>
      <c r="V128" s="12"/>
      <c r="W128" s="12"/>
      <c r="X128" s="12"/>
    </row>
    <row r="129" customFormat="false" ht="15.75" hidden="false" customHeight="false" outlineLevel="0" collapsed="false">
      <c r="A129" s="12"/>
      <c r="B129" s="34"/>
      <c r="C129" s="12"/>
      <c r="D129" s="12"/>
      <c r="E129" s="12"/>
      <c r="F129" s="12"/>
      <c r="G129" s="18"/>
      <c r="H129" s="35"/>
      <c r="I129" s="12"/>
      <c r="M129" s="12"/>
      <c r="N129" s="18"/>
      <c r="O129" s="12"/>
      <c r="P129" s="12"/>
      <c r="Q129" s="12"/>
      <c r="R129" s="36"/>
      <c r="S129" s="36"/>
      <c r="T129" s="12"/>
      <c r="U129" s="12"/>
      <c r="V129" s="12"/>
      <c r="W129" s="12"/>
      <c r="X129" s="12"/>
    </row>
    <row r="130" customFormat="false" ht="15.75" hidden="false" customHeight="false" outlineLevel="0" collapsed="false">
      <c r="A130" s="12"/>
      <c r="B130" s="34"/>
      <c r="C130" s="12"/>
      <c r="D130" s="12"/>
      <c r="E130" s="12"/>
      <c r="F130" s="12"/>
      <c r="G130" s="18"/>
      <c r="H130" s="35"/>
      <c r="I130" s="12"/>
      <c r="M130" s="12"/>
      <c r="N130" s="18"/>
      <c r="O130" s="12"/>
      <c r="P130" s="12"/>
      <c r="Q130" s="12"/>
      <c r="R130" s="36"/>
      <c r="S130" s="36"/>
      <c r="T130" s="12"/>
      <c r="U130" s="12"/>
      <c r="V130" s="12"/>
      <c r="W130" s="12"/>
      <c r="X130" s="12"/>
    </row>
    <row r="131" customFormat="false" ht="15.75" hidden="false" customHeight="false" outlineLevel="0" collapsed="false">
      <c r="A131" s="12"/>
      <c r="B131" s="34"/>
      <c r="C131" s="12"/>
      <c r="D131" s="12"/>
      <c r="E131" s="12"/>
      <c r="F131" s="12"/>
      <c r="G131" s="18"/>
      <c r="H131" s="35"/>
      <c r="I131" s="12"/>
      <c r="M131" s="12"/>
      <c r="N131" s="18"/>
      <c r="O131" s="12"/>
      <c r="P131" s="12"/>
      <c r="Q131" s="12"/>
      <c r="R131" s="36"/>
      <c r="S131" s="36"/>
      <c r="T131" s="12"/>
      <c r="U131" s="12"/>
      <c r="V131" s="12"/>
      <c r="W131" s="12"/>
      <c r="X131" s="12"/>
    </row>
    <row r="132" customFormat="false" ht="15.75" hidden="false" customHeight="false" outlineLevel="0" collapsed="false">
      <c r="A132" s="12"/>
      <c r="B132" s="34"/>
      <c r="C132" s="12"/>
      <c r="D132" s="12"/>
      <c r="E132" s="12"/>
      <c r="F132" s="12"/>
      <c r="G132" s="18"/>
      <c r="H132" s="35"/>
      <c r="I132" s="12"/>
      <c r="M132" s="12"/>
      <c r="N132" s="18"/>
      <c r="O132" s="12"/>
      <c r="P132" s="12"/>
      <c r="Q132" s="12"/>
      <c r="R132" s="36"/>
      <c r="S132" s="36"/>
      <c r="T132" s="12"/>
      <c r="U132" s="12"/>
      <c r="V132" s="12"/>
      <c r="W132" s="12"/>
      <c r="X132" s="12"/>
    </row>
    <row r="133" customFormat="false" ht="15.75" hidden="false" customHeight="false" outlineLevel="0" collapsed="false">
      <c r="A133" s="12"/>
      <c r="B133" s="34"/>
      <c r="C133" s="12"/>
      <c r="D133" s="12"/>
      <c r="E133" s="12"/>
      <c r="F133" s="12"/>
      <c r="G133" s="18"/>
      <c r="H133" s="35"/>
      <c r="I133" s="12"/>
      <c r="M133" s="12"/>
      <c r="N133" s="18"/>
      <c r="O133" s="12"/>
      <c r="P133" s="12"/>
      <c r="Q133" s="12"/>
      <c r="R133" s="36"/>
      <c r="S133" s="36"/>
      <c r="T133" s="12"/>
      <c r="U133" s="12"/>
      <c r="V133" s="12"/>
      <c r="W133" s="12"/>
      <c r="X133" s="12"/>
    </row>
    <row r="134" customFormat="false" ht="15.75" hidden="false" customHeight="false" outlineLevel="0" collapsed="false">
      <c r="A134" s="12"/>
      <c r="B134" s="34"/>
      <c r="C134" s="12"/>
      <c r="D134" s="12"/>
      <c r="E134" s="12"/>
      <c r="F134" s="12"/>
      <c r="G134" s="18"/>
      <c r="H134" s="35"/>
      <c r="I134" s="12"/>
      <c r="M134" s="12"/>
      <c r="N134" s="18"/>
      <c r="O134" s="12"/>
      <c r="P134" s="12"/>
      <c r="Q134" s="12"/>
      <c r="R134" s="36"/>
      <c r="S134" s="36"/>
      <c r="T134" s="12"/>
      <c r="U134" s="12"/>
      <c r="V134" s="12"/>
      <c r="W134" s="12"/>
      <c r="X134" s="12"/>
    </row>
    <row r="135" customFormat="false" ht="15.75" hidden="false" customHeight="false" outlineLevel="0" collapsed="false">
      <c r="A135" s="12"/>
      <c r="B135" s="34"/>
      <c r="C135" s="12"/>
      <c r="D135" s="12"/>
      <c r="E135" s="12"/>
      <c r="F135" s="12"/>
      <c r="G135" s="18"/>
      <c r="H135" s="35"/>
      <c r="I135" s="12"/>
      <c r="M135" s="12"/>
      <c r="N135" s="18"/>
      <c r="O135" s="12"/>
      <c r="P135" s="12"/>
      <c r="Q135" s="12"/>
      <c r="R135" s="36"/>
      <c r="S135" s="36"/>
      <c r="T135" s="12"/>
      <c r="U135" s="12"/>
      <c r="V135" s="12"/>
      <c r="W135" s="12"/>
      <c r="X135" s="12"/>
    </row>
    <row r="136" customFormat="false" ht="15.75" hidden="false" customHeight="false" outlineLevel="0" collapsed="false">
      <c r="A136" s="12"/>
      <c r="B136" s="34"/>
      <c r="C136" s="12"/>
      <c r="D136" s="12"/>
      <c r="E136" s="12"/>
      <c r="F136" s="12"/>
      <c r="G136" s="18"/>
      <c r="H136" s="35"/>
      <c r="I136" s="12"/>
      <c r="M136" s="12"/>
      <c r="N136" s="18"/>
      <c r="O136" s="12"/>
      <c r="P136" s="12"/>
      <c r="Q136" s="12"/>
      <c r="R136" s="36"/>
      <c r="S136" s="36"/>
      <c r="T136" s="12"/>
      <c r="U136" s="12"/>
      <c r="V136" s="12"/>
      <c r="W136" s="12"/>
      <c r="X136" s="12"/>
    </row>
    <row r="137" customFormat="false" ht="15.75" hidden="false" customHeight="false" outlineLevel="0" collapsed="false">
      <c r="A137" s="12"/>
      <c r="B137" s="34"/>
      <c r="C137" s="12"/>
      <c r="D137" s="12"/>
      <c r="E137" s="12"/>
      <c r="F137" s="12"/>
      <c r="G137" s="18"/>
      <c r="H137" s="35"/>
      <c r="I137" s="12"/>
      <c r="M137" s="12"/>
      <c r="N137" s="18"/>
      <c r="O137" s="12"/>
      <c r="P137" s="12"/>
      <c r="Q137" s="12"/>
      <c r="R137" s="36"/>
      <c r="S137" s="36"/>
      <c r="T137" s="12"/>
      <c r="U137" s="12"/>
      <c r="V137" s="12"/>
      <c r="W137" s="12"/>
      <c r="X137" s="12"/>
    </row>
    <row r="138" customFormat="false" ht="15.75" hidden="false" customHeight="false" outlineLevel="0" collapsed="false">
      <c r="A138" s="12"/>
      <c r="B138" s="34"/>
      <c r="C138" s="12"/>
      <c r="D138" s="12"/>
      <c r="E138" s="12"/>
      <c r="F138" s="12"/>
      <c r="G138" s="18"/>
      <c r="H138" s="35"/>
      <c r="I138" s="12"/>
      <c r="M138" s="12"/>
      <c r="N138" s="18"/>
      <c r="O138" s="12"/>
      <c r="P138" s="12"/>
      <c r="Q138" s="12"/>
      <c r="R138" s="36"/>
      <c r="S138" s="36"/>
      <c r="T138" s="12"/>
      <c r="U138" s="12"/>
      <c r="V138" s="12"/>
      <c r="W138" s="12"/>
      <c r="X138" s="12"/>
    </row>
    <row r="139" customFormat="false" ht="15.75" hidden="false" customHeight="false" outlineLevel="0" collapsed="false">
      <c r="A139" s="12"/>
      <c r="B139" s="34"/>
      <c r="C139" s="12"/>
      <c r="D139" s="12"/>
      <c r="E139" s="12"/>
      <c r="F139" s="12"/>
      <c r="G139" s="18"/>
      <c r="H139" s="35"/>
      <c r="I139" s="12"/>
      <c r="M139" s="12"/>
      <c r="N139" s="18"/>
      <c r="O139" s="12"/>
      <c r="P139" s="12"/>
      <c r="Q139" s="12"/>
      <c r="R139" s="36"/>
      <c r="S139" s="36"/>
      <c r="T139" s="12"/>
      <c r="U139" s="12"/>
      <c r="V139" s="12"/>
      <c r="W139" s="12"/>
      <c r="X139" s="12"/>
    </row>
    <row r="140" customFormat="false" ht="15.75" hidden="false" customHeight="false" outlineLevel="0" collapsed="false">
      <c r="A140" s="12"/>
      <c r="B140" s="34"/>
      <c r="C140" s="12"/>
      <c r="D140" s="12"/>
      <c r="E140" s="12"/>
      <c r="F140" s="12"/>
      <c r="G140" s="18"/>
      <c r="H140" s="35"/>
      <c r="I140" s="12"/>
      <c r="M140" s="12"/>
      <c r="N140" s="18"/>
      <c r="O140" s="12"/>
      <c r="P140" s="12"/>
      <c r="Q140" s="12"/>
      <c r="R140" s="36"/>
      <c r="S140" s="36"/>
      <c r="T140" s="12"/>
      <c r="U140" s="12"/>
      <c r="V140" s="12"/>
      <c r="W140" s="12"/>
      <c r="X140" s="12"/>
    </row>
    <row r="141" customFormat="false" ht="15.75" hidden="false" customHeight="false" outlineLevel="0" collapsed="false">
      <c r="A141" s="12"/>
      <c r="B141" s="34"/>
      <c r="C141" s="12"/>
      <c r="D141" s="12"/>
      <c r="E141" s="12"/>
      <c r="F141" s="12"/>
      <c r="G141" s="18"/>
      <c r="H141" s="35"/>
      <c r="I141" s="12"/>
      <c r="M141" s="12"/>
      <c r="N141" s="18"/>
      <c r="O141" s="12"/>
      <c r="P141" s="12"/>
      <c r="Q141" s="12"/>
      <c r="R141" s="36"/>
      <c r="S141" s="36"/>
      <c r="T141" s="12"/>
      <c r="U141" s="12"/>
      <c r="V141" s="12"/>
      <c r="W141" s="12"/>
      <c r="X141" s="12"/>
    </row>
    <row r="142" customFormat="false" ht="15.75" hidden="false" customHeight="false" outlineLevel="0" collapsed="false">
      <c r="A142" s="12"/>
      <c r="B142" s="34"/>
      <c r="C142" s="12"/>
      <c r="D142" s="12"/>
      <c r="E142" s="12"/>
      <c r="F142" s="12"/>
      <c r="G142" s="18"/>
      <c r="H142" s="35"/>
      <c r="I142" s="12"/>
      <c r="M142" s="12"/>
      <c r="N142" s="18"/>
      <c r="O142" s="12"/>
      <c r="P142" s="12"/>
      <c r="Q142" s="12"/>
      <c r="R142" s="36"/>
      <c r="S142" s="36"/>
      <c r="T142" s="12"/>
      <c r="U142" s="12"/>
      <c r="V142" s="12"/>
      <c r="W142" s="12"/>
      <c r="X142" s="12"/>
    </row>
    <row r="143" customFormat="false" ht="15.75" hidden="false" customHeight="false" outlineLevel="0" collapsed="false">
      <c r="A143" s="12"/>
      <c r="B143" s="34"/>
      <c r="C143" s="12"/>
      <c r="D143" s="12"/>
      <c r="E143" s="12"/>
      <c r="F143" s="12"/>
      <c r="G143" s="18"/>
      <c r="H143" s="35"/>
      <c r="I143" s="12"/>
      <c r="M143" s="12"/>
      <c r="N143" s="18"/>
      <c r="O143" s="12"/>
      <c r="P143" s="12"/>
      <c r="Q143" s="12"/>
      <c r="R143" s="36"/>
      <c r="S143" s="36"/>
      <c r="T143" s="12"/>
      <c r="U143" s="12"/>
      <c r="V143" s="12"/>
      <c r="W143" s="12"/>
      <c r="X143" s="12"/>
    </row>
    <row r="144" customFormat="false" ht="15.75" hidden="false" customHeight="false" outlineLevel="0" collapsed="false">
      <c r="A144" s="12"/>
      <c r="B144" s="34"/>
      <c r="C144" s="12"/>
      <c r="D144" s="12"/>
      <c r="E144" s="12"/>
      <c r="F144" s="12"/>
      <c r="G144" s="18"/>
      <c r="H144" s="35"/>
      <c r="I144" s="12"/>
      <c r="M144" s="12"/>
      <c r="N144" s="18"/>
      <c r="O144" s="12"/>
      <c r="P144" s="12"/>
      <c r="Q144" s="12"/>
      <c r="R144" s="36"/>
      <c r="S144" s="36"/>
      <c r="T144" s="12"/>
      <c r="U144" s="12"/>
      <c r="V144" s="12"/>
      <c r="W144" s="12"/>
      <c r="X144" s="12"/>
    </row>
    <row r="145" customFormat="false" ht="15.75" hidden="false" customHeight="false" outlineLevel="0" collapsed="false">
      <c r="A145" s="12"/>
      <c r="B145" s="34"/>
      <c r="C145" s="12"/>
      <c r="D145" s="12"/>
      <c r="E145" s="12"/>
      <c r="F145" s="12"/>
      <c r="G145" s="18"/>
      <c r="H145" s="35"/>
      <c r="I145" s="12"/>
      <c r="M145" s="12"/>
      <c r="N145" s="18"/>
      <c r="O145" s="12"/>
      <c r="P145" s="12"/>
      <c r="Q145" s="12"/>
      <c r="R145" s="36"/>
      <c r="S145" s="36"/>
      <c r="T145" s="12"/>
      <c r="U145" s="12"/>
      <c r="V145" s="12"/>
      <c r="W145" s="12"/>
      <c r="X145" s="12"/>
    </row>
    <row r="146" customFormat="false" ht="15.75" hidden="false" customHeight="false" outlineLevel="0" collapsed="false">
      <c r="A146" s="12"/>
      <c r="B146" s="34"/>
      <c r="C146" s="12"/>
      <c r="D146" s="12"/>
      <c r="E146" s="12"/>
      <c r="F146" s="12"/>
      <c r="G146" s="18"/>
      <c r="H146" s="35"/>
      <c r="I146" s="12"/>
      <c r="M146" s="12"/>
      <c r="N146" s="18"/>
      <c r="O146" s="12"/>
      <c r="P146" s="12"/>
      <c r="Q146" s="12"/>
      <c r="R146" s="36"/>
      <c r="S146" s="36"/>
      <c r="T146" s="12"/>
      <c r="U146" s="12"/>
      <c r="V146" s="12"/>
      <c r="W146" s="12"/>
      <c r="X146" s="12"/>
    </row>
    <row r="147" customFormat="false" ht="15.75" hidden="false" customHeight="false" outlineLevel="0" collapsed="false">
      <c r="A147" s="12"/>
      <c r="B147" s="34"/>
      <c r="C147" s="12"/>
      <c r="D147" s="12"/>
      <c r="E147" s="12"/>
      <c r="F147" s="12"/>
      <c r="G147" s="18"/>
      <c r="H147" s="35"/>
      <c r="I147" s="12"/>
      <c r="M147" s="12"/>
      <c r="N147" s="18"/>
      <c r="O147" s="12"/>
      <c r="P147" s="12"/>
      <c r="Q147" s="12"/>
      <c r="R147" s="36"/>
      <c r="S147" s="36"/>
      <c r="T147" s="12"/>
      <c r="U147" s="12"/>
      <c r="V147" s="12"/>
      <c r="W147" s="12"/>
      <c r="X147" s="12"/>
    </row>
    <row r="148" customFormat="false" ht="15.75" hidden="false" customHeight="false" outlineLevel="0" collapsed="false">
      <c r="A148" s="12"/>
      <c r="B148" s="34"/>
      <c r="C148" s="12"/>
      <c r="D148" s="12"/>
      <c r="E148" s="12"/>
      <c r="F148" s="12"/>
      <c r="G148" s="18"/>
      <c r="H148" s="35"/>
      <c r="I148" s="12"/>
      <c r="M148" s="12"/>
      <c r="N148" s="18"/>
      <c r="O148" s="12"/>
      <c r="P148" s="12"/>
      <c r="Q148" s="12"/>
      <c r="R148" s="36"/>
      <c r="S148" s="36"/>
      <c r="T148" s="12"/>
      <c r="U148" s="12"/>
      <c r="V148" s="12"/>
      <c r="W148" s="12"/>
      <c r="X148" s="12"/>
    </row>
    <row r="149" customFormat="false" ht="15.75" hidden="false" customHeight="false" outlineLevel="0" collapsed="false">
      <c r="A149" s="12"/>
      <c r="B149" s="34"/>
      <c r="C149" s="12"/>
      <c r="D149" s="12"/>
      <c r="E149" s="12"/>
      <c r="F149" s="12"/>
      <c r="G149" s="18"/>
      <c r="H149" s="35"/>
      <c r="I149" s="12"/>
      <c r="M149" s="12"/>
      <c r="N149" s="18"/>
      <c r="O149" s="12"/>
      <c r="P149" s="12"/>
      <c r="Q149" s="12"/>
      <c r="R149" s="36"/>
      <c r="S149" s="36"/>
      <c r="T149" s="12"/>
      <c r="U149" s="12"/>
      <c r="V149" s="12"/>
      <c r="W149" s="12"/>
      <c r="X149" s="12"/>
    </row>
    <row r="150" customFormat="false" ht="15.75" hidden="false" customHeight="false" outlineLevel="0" collapsed="false">
      <c r="A150" s="12"/>
      <c r="B150" s="34"/>
      <c r="C150" s="12"/>
      <c r="D150" s="12"/>
      <c r="E150" s="12"/>
      <c r="F150" s="12"/>
      <c r="G150" s="18"/>
      <c r="H150" s="35"/>
      <c r="I150" s="12"/>
      <c r="M150" s="12"/>
      <c r="N150" s="18"/>
      <c r="O150" s="12"/>
      <c r="P150" s="12"/>
      <c r="Q150" s="12"/>
      <c r="R150" s="36"/>
      <c r="S150" s="36"/>
      <c r="T150" s="12"/>
      <c r="U150" s="12"/>
      <c r="V150" s="12"/>
      <c r="W150" s="12"/>
      <c r="X150" s="12"/>
    </row>
    <row r="151" customFormat="false" ht="15.75" hidden="false" customHeight="false" outlineLevel="0" collapsed="false">
      <c r="A151" s="12"/>
      <c r="B151" s="34"/>
      <c r="C151" s="12"/>
      <c r="D151" s="12"/>
      <c r="E151" s="12"/>
      <c r="F151" s="12"/>
      <c r="G151" s="18"/>
      <c r="H151" s="35"/>
      <c r="I151" s="12"/>
      <c r="M151" s="12"/>
      <c r="N151" s="18"/>
      <c r="O151" s="12"/>
      <c r="P151" s="12"/>
      <c r="Q151" s="12"/>
      <c r="R151" s="36"/>
      <c r="S151" s="36"/>
      <c r="T151" s="12"/>
      <c r="U151" s="12"/>
      <c r="V151" s="12"/>
      <c r="W151" s="12"/>
      <c r="X151" s="12"/>
    </row>
    <row r="152" customFormat="false" ht="15.75" hidden="false" customHeight="false" outlineLevel="0" collapsed="false">
      <c r="A152" s="12"/>
      <c r="B152" s="34"/>
      <c r="C152" s="12"/>
      <c r="D152" s="12"/>
      <c r="E152" s="12"/>
      <c r="F152" s="12"/>
      <c r="G152" s="18"/>
      <c r="H152" s="35"/>
      <c r="I152" s="12"/>
      <c r="M152" s="12"/>
      <c r="N152" s="18"/>
      <c r="O152" s="12"/>
      <c r="P152" s="12"/>
      <c r="Q152" s="12"/>
      <c r="R152" s="36"/>
      <c r="S152" s="36"/>
      <c r="T152" s="12"/>
      <c r="U152" s="12"/>
      <c r="V152" s="12"/>
      <c r="W152" s="12"/>
      <c r="X152" s="12"/>
    </row>
    <row r="153" customFormat="false" ht="15.75" hidden="false" customHeight="false" outlineLevel="0" collapsed="false">
      <c r="A153" s="12"/>
      <c r="B153" s="34"/>
      <c r="C153" s="12"/>
      <c r="D153" s="12"/>
      <c r="E153" s="12"/>
      <c r="F153" s="12"/>
      <c r="G153" s="18"/>
      <c r="H153" s="35"/>
      <c r="I153" s="12"/>
      <c r="M153" s="12"/>
      <c r="N153" s="18"/>
      <c r="O153" s="12"/>
      <c r="P153" s="12"/>
      <c r="Q153" s="12"/>
      <c r="R153" s="36"/>
      <c r="S153" s="36"/>
      <c r="T153" s="12"/>
      <c r="U153" s="12"/>
      <c r="V153" s="12"/>
      <c r="W153" s="12"/>
      <c r="X153" s="12"/>
    </row>
    <row r="154" customFormat="false" ht="15.75" hidden="false" customHeight="false" outlineLevel="0" collapsed="false">
      <c r="A154" s="12"/>
      <c r="B154" s="34"/>
      <c r="C154" s="12"/>
      <c r="D154" s="12"/>
      <c r="E154" s="12"/>
      <c r="F154" s="12"/>
      <c r="G154" s="18"/>
      <c r="H154" s="35"/>
      <c r="I154" s="12"/>
      <c r="M154" s="12"/>
      <c r="N154" s="18"/>
      <c r="O154" s="12"/>
      <c r="P154" s="12"/>
      <c r="Q154" s="12"/>
      <c r="R154" s="36"/>
      <c r="S154" s="36"/>
      <c r="T154" s="12"/>
      <c r="U154" s="12"/>
      <c r="V154" s="12"/>
      <c r="W154" s="12"/>
      <c r="X154" s="12"/>
    </row>
    <row r="155" customFormat="false" ht="15.75" hidden="false" customHeight="false" outlineLevel="0" collapsed="false">
      <c r="A155" s="12"/>
      <c r="B155" s="34"/>
      <c r="C155" s="12"/>
      <c r="D155" s="12"/>
      <c r="E155" s="12"/>
      <c r="F155" s="12"/>
      <c r="G155" s="18"/>
      <c r="H155" s="35"/>
      <c r="I155" s="12"/>
      <c r="M155" s="12"/>
      <c r="N155" s="18"/>
      <c r="O155" s="12"/>
      <c r="P155" s="12"/>
      <c r="Q155" s="12"/>
      <c r="R155" s="36"/>
      <c r="S155" s="36"/>
      <c r="T155" s="12"/>
      <c r="U155" s="12"/>
      <c r="V155" s="12"/>
      <c r="W155" s="12"/>
      <c r="X155" s="12"/>
    </row>
    <row r="156" customFormat="false" ht="15.75" hidden="false" customHeight="false" outlineLevel="0" collapsed="false">
      <c r="A156" s="12"/>
      <c r="B156" s="34"/>
      <c r="C156" s="12"/>
      <c r="D156" s="12"/>
      <c r="E156" s="12"/>
      <c r="F156" s="12"/>
      <c r="G156" s="18"/>
      <c r="H156" s="35"/>
      <c r="I156" s="12"/>
      <c r="M156" s="12"/>
      <c r="N156" s="18"/>
      <c r="O156" s="12"/>
      <c r="P156" s="12"/>
      <c r="Q156" s="12"/>
      <c r="R156" s="36"/>
      <c r="S156" s="36"/>
      <c r="T156" s="12"/>
      <c r="U156" s="12"/>
      <c r="V156" s="12"/>
      <c r="W156" s="12"/>
      <c r="X156" s="12"/>
    </row>
    <row r="157" customFormat="false" ht="15.75" hidden="false" customHeight="false" outlineLevel="0" collapsed="false">
      <c r="A157" s="12"/>
      <c r="B157" s="34"/>
      <c r="C157" s="12"/>
      <c r="D157" s="12"/>
      <c r="E157" s="12"/>
      <c r="F157" s="12"/>
      <c r="G157" s="18"/>
      <c r="H157" s="35"/>
      <c r="I157" s="12"/>
      <c r="M157" s="12"/>
      <c r="N157" s="18"/>
      <c r="O157" s="12"/>
      <c r="P157" s="12"/>
      <c r="Q157" s="12"/>
      <c r="R157" s="36"/>
      <c r="S157" s="36"/>
      <c r="T157" s="12"/>
      <c r="U157" s="12"/>
      <c r="V157" s="12"/>
      <c r="W157" s="12"/>
      <c r="X157" s="12"/>
    </row>
    <row r="158" customFormat="false" ht="15.75" hidden="false" customHeight="false" outlineLevel="0" collapsed="false">
      <c r="A158" s="12"/>
      <c r="B158" s="34"/>
      <c r="C158" s="12"/>
      <c r="D158" s="12"/>
      <c r="E158" s="12"/>
      <c r="F158" s="12"/>
      <c r="G158" s="18"/>
      <c r="H158" s="35"/>
      <c r="I158" s="12"/>
      <c r="M158" s="12"/>
      <c r="N158" s="18"/>
      <c r="O158" s="12"/>
      <c r="P158" s="12"/>
      <c r="Q158" s="12"/>
      <c r="R158" s="36"/>
      <c r="S158" s="36"/>
      <c r="T158" s="12"/>
      <c r="U158" s="12"/>
      <c r="V158" s="12"/>
      <c r="W158" s="12"/>
      <c r="X158" s="12"/>
    </row>
    <row r="159" customFormat="false" ht="15.75" hidden="false" customHeight="false" outlineLevel="0" collapsed="false">
      <c r="A159" s="12"/>
      <c r="B159" s="34"/>
      <c r="C159" s="12"/>
      <c r="D159" s="12"/>
      <c r="E159" s="12"/>
      <c r="F159" s="12"/>
      <c r="G159" s="18"/>
      <c r="H159" s="35"/>
      <c r="I159" s="12"/>
      <c r="M159" s="12"/>
      <c r="N159" s="18"/>
      <c r="O159" s="12"/>
      <c r="P159" s="12"/>
      <c r="Q159" s="12"/>
      <c r="R159" s="36"/>
      <c r="S159" s="36"/>
      <c r="T159" s="12"/>
      <c r="U159" s="12"/>
      <c r="V159" s="12"/>
      <c r="W159" s="12"/>
      <c r="X159" s="12"/>
    </row>
    <row r="160" customFormat="false" ht="15.75" hidden="false" customHeight="false" outlineLevel="0" collapsed="false">
      <c r="A160" s="12"/>
      <c r="B160" s="34"/>
      <c r="C160" s="12"/>
      <c r="D160" s="12"/>
      <c r="E160" s="12"/>
      <c r="F160" s="12"/>
      <c r="G160" s="18"/>
      <c r="H160" s="35"/>
      <c r="I160" s="12"/>
      <c r="M160" s="12"/>
      <c r="N160" s="18"/>
      <c r="O160" s="12"/>
      <c r="P160" s="12"/>
      <c r="Q160" s="12"/>
      <c r="R160" s="36"/>
      <c r="S160" s="36"/>
      <c r="T160" s="12"/>
      <c r="U160" s="12"/>
      <c r="V160" s="12"/>
      <c r="W160" s="12"/>
      <c r="X160" s="12"/>
    </row>
    <row r="161" customFormat="false" ht="15.75" hidden="false" customHeight="false" outlineLevel="0" collapsed="false">
      <c r="A161" s="12"/>
      <c r="B161" s="34"/>
      <c r="C161" s="12"/>
      <c r="D161" s="12"/>
      <c r="E161" s="12"/>
      <c r="F161" s="12"/>
      <c r="G161" s="18"/>
      <c r="H161" s="35"/>
      <c r="I161" s="12"/>
      <c r="M161" s="12"/>
      <c r="N161" s="18"/>
      <c r="O161" s="12"/>
      <c r="P161" s="12"/>
      <c r="Q161" s="12"/>
      <c r="R161" s="36"/>
      <c r="S161" s="36"/>
      <c r="T161" s="12"/>
      <c r="U161" s="12"/>
      <c r="V161" s="12"/>
      <c r="W161" s="12"/>
      <c r="X161" s="12"/>
    </row>
    <row r="162" customFormat="false" ht="15.75" hidden="false" customHeight="false" outlineLevel="0" collapsed="false">
      <c r="A162" s="12"/>
      <c r="B162" s="34"/>
      <c r="C162" s="12"/>
      <c r="D162" s="12"/>
      <c r="E162" s="12"/>
      <c r="F162" s="12"/>
      <c r="G162" s="18"/>
      <c r="H162" s="35"/>
      <c r="I162" s="12"/>
      <c r="M162" s="12"/>
      <c r="N162" s="18"/>
      <c r="O162" s="12"/>
      <c r="P162" s="12"/>
      <c r="Q162" s="12"/>
      <c r="R162" s="36"/>
      <c r="S162" s="36"/>
      <c r="T162" s="12"/>
      <c r="U162" s="12"/>
      <c r="V162" s="12"/>
      <c r="W162" s="12"/>
      <c r="X162" s="12"/>
    </row>
    <row r="163" customFormat="false" ht="15.75" hidden="false" customHeight="false" outlineLevel="0" collapsed="false">
      <c r="A163" s="12"/>
      <c r="B163" s="34"/>
      <c r="C163" s="12"/>
      <c r="D163" s="12"/>
      <c r="E163" s="12"/>
      <c r="F163" s="12"/>
      <c r="G163" s="18"/>
      <c r="H163" s="35"/>
      <c r="I163" s="12"/>
      <c r="M163" s="12"/>
      <c r="N163" s="18"/>
      <c r="O163" s="12"/>
      <c r="P163" s="12"/>
      <c r="Q163" s="12"/>
      <c r="R163" s="36"/>
      <c r="S163" s="36"/>
      <c r="T163" s="12"/>
      <c r="U163" s="12"/>
      <c r="V163" s="12"/>
      <c r="W163" s="12"/>
      <c r="X163" s="12"/>
    </row>
    <row r="164" customFormat="false" ht="15.75" hidden="false" customHeight="false" outlineLevel="0" collapsed="false">
      <c r="A164" s="12"/>
      <c r="B164" s="34"/>
      <c r="C164" s="12"/>
      <c r="D164" s="12"/>
      <c r="E164" s="12"/>
      <c r="F164" s="12"/>
      <c r="G164" s="18"/>
      <c r="H164" s="35"/>
      <c r="I164" s="12"/>
      <c r="M164" s="12"/>
      <c r="N164" s="18"/>
      <c r="O164" s="12"/>
      <c r="P164" s="12"/>
      <c r="Q164" s="12"/>
      <c r="R164" s="36"/>
      <c r="S164" s="36"/>
      <c r="T164" s="12"/>
      <c r="U164" s="12"/>
      <c r="V164" s="12"/>
      <c r="W164" s="12"/>
      <c r="X164" s="12"/>
    </row>
    <row r="165" customFormat="false" ht="15.75" hidden="false" customHeight="false" outlineLevel="0" collapsed="false">
      <c r="A165" s="12"/>
      <c r="B165" s="34"/>
      <c r="C165" s="12"/>
      <c r="D165" s="12"/>
      <c r="E165" s="12"/>
      <c r="F165" s="12"/>
      <c r="G165" s="18"/>
      <c r="H165" s="35"/>
      <c r="I165" s="12"/>
      <c r="M165" s="12"/>
      <c r="N165" s="18"/>
      <c r="O165" s="12"/>
      <c r="P165" s="12"/>
      <c r="Q165" s="12"/>
      <c r="R165" s="36"/>
      <c r="S165" s="36"/>
      <c r="T165" s="12"/>
      <c r="U165" s="12"/>
      <c r="V165" s="12"/>
      <c r="W165" s="12"/>
      <c r="X165" s="12"/>
    </row>
    <row r="166" customFormat="false" ht="15.75" hidden="false" customHeight="false" outlineLevel="0" collapsed="false">
      <c r="A166" s="12"/>
      <c r="B166" s="34"/>
      <c r="C166" s="12"/>
      <c r="D166" s="12"/>
      <c r="E166" s="12"/>
      <c r="F166" s="12"/>
      <c r="G166" s="18"/>
      <c r="H166" s="35"/>
      <c r="I166" s="12"/>
      <c r="M166" s="12"/>
      <c r="N166" s="18"/>
      <c r="O166" s="12"/>
      <c r="P166" s="12"/>
      <c r="Q166" s="12"/>
      <c r="R166" s="36"/>
      <c r="S166" s="36"/>
      <c r="T166" s="12"/>
      <c r="U166" s="12"/>
      <c r="V166" s="12"/>
      <c r="W166" s="12"/>
      <c r="X166" s="12"/>
    </row>
    <row r="167" customFormat="false" ht="15.75" hidden="false" customHeight="false" outlineLevel="0" collapsed="false">
      <c r="A167" s="12"/>
      <c r="B167" s="34"/>
      <c r="C167" s="12"/>
      <c r="D167" s="12"/>
      <c r="E167" s="12"/>
      <c r="F167" s="12"/>
      <c r="G167" s="18"/>
      <c r="H167" s="35"/>
      <c r="I167" s="12"/>
      <c r="M167" s="12"/>
      <c r="N167" s="18"/>
      <c r="O167" s="12"/>
      <c r="P167" s="12"/>
      <c r="Q167" s="12"/>
      <c r="R167" s="36"/>
      <c r="S167" s="36"/>
      <c r="T167" s="12"/>
      <c r="U167" s="12"/>
      <c r="V167" s="12"/>
      <c r="W167" s="12"/>
      <c r="X167" s="12"/>
    </row>
    <row r="168" customFormat="false" ht="15.75" hidden="false" customHeight="false" outlineLevel="0" collapsed="false">
      <c r="A168" s="12"/>
      <c r="B168" s="34"/>
      <c r="C168" s="12"/>
      <c r="D168" s="12"/>
      <c r="E168" s="12"/>
      <c r="F168" s="12"/>
      <c r="G168" s="18"/>
      <c r="H168" s="35"/>
      <c r="I168" s="12"/>
      <c r="M168" s="12"/>
      <c r="N168" s="18"/>
      <c r="O168" s="12"/>
      <c r="P168" s="12"/>
      <c r="Q168" s="12"/>
      <c r="R168" s="36"/>
      <c r="S168" s="36"/>
      <c r="T168" s="12"/>
      <c r="U168" s="12"/>
      <c r="V168" s="12"/>
      <c r="W168" s="12"/>
      <c r="X168" s="12"/>
    </row>
    <row r="169" customFormat="false" ht="15.75" hidden="false" customHeight="false" outlineLevel="0" collapsed="false">
      <c r="A169" s="12"/>
      <c r="B169" s="34"/>
      <c r="C169" s="12"/>
      <c r="D169" s="12"/>
      <c r="E169" s="12"/>
      <c r="F169" s="12"/>
      <c r="G169" s="18"/>
      <c r="H169" s="35"/>
      <c r="I169" s="12"/>
      <c r="M169" s="12"/>
      <c r="N169" s="18"/>
      <c r="O169" s="12"/>
      <c r="P169" s="12"/>
      <c r="Q169" s="12"/>
      <c r="R169" s="36"/>
      <c r="S169" s="36"/>
      <c r="T169" s="12"/>
      <c r="U169" s="12"/>
      <c r="V169" s="12"/>
      <c r="W169" s="12"/>
      <c r="X169" s="12"/>
    </row>
    <row r="170" customFormat="false" ht="15.75" hidden="false" customHeight="false" outlineLevel="0" collapsed="false">
      <c r="A170" s="12"/>
      <c r="B170" s="34"/>
      <c r="C170" s="12"/>
      <c r="D170" s="12"/>
      <c r="E170" s="12"/>
      <c r="F170" s="12"/>
      <c r="G170" s="18"/>
      <c r="H170" s="35"/>
      <c r="I170" s="12"/>
      <c r="M170" s="12"/>
      <c r="N170" s="18"/>
      <c r="O170" s="12"/>
      <c r="P170" s="12"/>
      <c r="Q170" s="12"/>
      <c r="R170" s="36"/>
      <c r="S170" s="36"/>
      <c r="T170" s="12"/>
      <c r="U170" s="12"/>
      <c r="V170" s="12"/>
      <c r="W170" s="12"/>
      <c r="X170" s="12"/>
    </row>
    <row r="171" customFormat="false" ht="15.75" hidden="false" customHeight="false" outlineLevel="0" collapsed="false">
      <c r="A171" s="12"/>
      <c r="B171" s="34"/>
      <c r="C171" s="12"/>
      <c r="D171" s="12"/>
      <c r="E171" s="12"/>
      <c r="F171" s="12"/>
      <c r="G171" s="18"/>
      <c r="H171" s="35"/>
      <c r="I171" s="12"/>
      <c r="M171" s="12"/>
      <c r="N171" s="18"/>
      <c r="O171" s="12"/>
      <c r="P171" s="12"/>
      <c r="Q171" s="12"/>
      <c r="R171" s="36"/>
      <c r="S171" s="36"/>
      <c r="T171" s="12"/>
      <c r="U171" s="12"/>
      <c r="V171" s="12"/>
      <c r="W171" s="12"/>
      <c r="X171" s="12"/>
    </row>
    <row r="172" customFormat="false" ht="15.75" hidden="false" customHeight="false" outlineLevel="0" collapsed="false">
      <c r="A172" s="12"/>
      <c r="B172" s="34"/>
      <c r="C172" s="12"/>
      <c r="D172" s="12"/>
      <c r="E172" s="12"/>
      <c r="F172" s="12"/>
      <c r="G172" s="18"/>
      <c r="H172" s="35"/>
      <c r="I172" s="12"/>
      <c r="M172" s="12"/>
      <c r="N172" s="18"/>
      <c r="O172" s="12"/>
      <c r="P172" s="12"/>
      <c r="Q172" s="12"/>
      <c r="R172" s="36"/>
      <c r="S172" s="36"/>
      <c r="T172" s="12"/>
      <c r="U172" s="12"/>
      <c r="V172" s="12"/>
      <c r="W172" s="12"/>
      <c r="X172" s="12"/>
    </row>
    <row r="173" customFormat="false" ht="15.75" hidden="false" customHeight="false" outlineLevel="0" collapsed="false">
      <c r="A173" s="12"/>
      <c r="B173" s="34"/>
      <c r="C173" s="12"/>
      <c r="D173" s="12"/>
      <c r="E173" s="12"/>
      <c r="F173" s="12"/>
      <c r="G173" s="18"/>
      <c r="H173" s="35"/>
      <c r="I173" s="12"/>
      <c r="M173" s="12"/>
      <c r="N173" s="18"/>
      <c r="O173" s="12"/>
      <c r="P173" s="12"/>
      <c r="Q173" s="12"/>
      <c r="R173" s="36"/>
      <c r="S173" s="36"/>
      <c r="T173" s="12"/>
      <c r="U173" s="12"/>
      <c r="V173" s="12"/>
      <c r="W173" s="12"/>
      <c r="X173" s="12"/>
    </row>
    <row r="174" customFormat="false" ht="15.75" hidden="false" customHeight="false" outlineLevel="0" collapsed="false">
      <c r="A174" s="12"/>
      <c r="B174" s="34"/>
      <c r="C174" s="12"/>
      <c r="D174" s="12"/>
      <c r="E174" s="12"/>
      <c r="F174" s="12"/>
      <c r="G174" s="18"/>
      <c r="H174" s="35"/>
      <c r="I174" s="12"/>
      <c r="M174" s="12"/>
      <c r="N174" s="18"/>
      <c r="O174" s="12"/>
      <c r="P174" s="12"/>
      <c r="Q174" s="12"/>
      <c r="R174" s="36"/>
      <c r="S174" s="36"/>
      <c r="T174" s="12"/>
      <c r="U174" s="12"/>
      <c r="V174" s="12"/>
      <c r="W174" s="12"/>
      <c r="X174" s="12"/>
    </row>
    <row r="175" customFormat="false" ht="15.75" hidden="false" customHeight="false" outlineLevel="0" collapsed="false">
      <c r="A175" s="12"/>
      <c r="B175" s="34"/>
      <c r="C175" s="12"/>
      <c r="D175" s="12"/>
      <c r="E175" s="12"/>
      <c r="F175" s="12"/>
      <c r="G175" s="18"/>
      <c r="H175" s="35"/>
      <c r="I175" s="12"/>
      <c r="M175" s="12"/>
      <c r="N175" s="18"/>
      <c r="O175" s="12"/>
      <c r="P175" s="12"/>
      <c r="Q175" s="12"/>
      <c r="R175" s="36"/>
      <c r="S175" s="36"/>
      <c r="T175" s="12"/>
      <c r="U175" s="12"/>
      <c r="V175" s="12"/>
      <c r="W175" s="12"/>
      <c r="X175" s="12"/>
    </row>
    <row r="176" customFormat="false" ht="15.75" hidden="false" customHeight="false" outlineLevel="0" collapsed="false">
      <c r="A176" s="12"/>
      <c r="B176" s="34"/>
      <c r="C176" s="12"/>
      <c r="D176" s="12"/>
      <c r="E176" s="12"/>
      <c r="F176" s="12"/>
      <c r="G176" s="18"/>
      <c r="H176" s="35"/>
      <c r="I176" s="12"/>
      <c r="M176" s="12"/>
      <c r="N176" s="18"/>
      <c r="O176" s="12"/>
      <c r="P176" s="12"/>
      <c r="Q176" s="12"/>
      <c r="R176" s="36"/>
      <c r="S176" s="36"/>
      <c r="T176" s="12"/>
      <c r="U176" s="12"/>
      <c r="V176" s="12"/>
      <c r="W176" s="12"/>
      <c r="X176" s="12"/>
    </row>
    <row r="177" customFormat="false" ht="15.75" hidden="false" customHeight="false" outlineLevel="0" collapsed="false">
      <c r="A177" s="12"/>
      <c r="B177" s="34"/>
      <c r="C177" s="12"/>
      <c r="D177" s="12"/>
      <c r="E177" s="12"/>
      <c r="F177" s="12"/>
      <c r="G177" s="18"/>
      <c r="H177" s="35"/>
      <c r="I177" s="12"/>
      <c r="M177" s="12"/>
      <c r="N177" s="18"/>
      <c r="O177" s="12"/>
      <c r="P177" s="12"/>
      <c r="Q177" s="12"/>
      <c r="R177" s="36"/>
      <c r="S177" s="36"/>
      <c r="T177" s="12"/>
      <c r="U177" s="12"/>
      <c r="V177" s="12"/>
      <c r="W177" s="12"/>
      <c r="X177" s="12"/>
    </row>
    <row r="178" customFormat="false" ht="15.75" hidden="false" customHeight="false" outlineLevel="0" collapsed="false">
      <c r="A178" s="12"/>
      <c r="B178" s="34"/>
      <c r="C178" s="12"/>
      <c r="D178" s="12"/>
      <c r="E178" s="12"/>
      <c r="F178" s="12"/>
      <c r="G178" s="18"/>
      <c r="H178" s="35"/>
      <c r="I178" s="12"/>
      <c r="M178" s="12"/>
      <c r="N178" s="18"/>
      <c r="O178" s="12"/>
      <c r="P178" s="12"/>
      <c r="Q178" s="12"/>
      <c r="R178" s="36"/>
      <c r="S178" s="36"/>
      <c r="T178" s="12"/>
      <c r="U178" s="12"/>
      <c r="V178" s="12"/>
      <c r="W178" s="12"/>
      <c r="X178" s="12"/>
    </row>
    <row r="179" customFormat="false" ht="15.75" hidden="false" customHeight="false" outlineLevel="0" collapsed="false">
      <c r="A179" s="12"/>
      <c r="B179" s="34"/>
      <c r="C179" s="12"/>
      <c r="D179" s="12"/>
      <c r="E179" s="12"/>
      <c r="F179" s="12"/>
      <c r="G179" s="18"/>
      <c r="H179" s="35"/>
      <c r="I179" s="12"/>
      <c r="M179" s="12"/>
      <c r="N179" s="18"/>
      <c r="O179" s="12"/>
      <c r="P179" s="12"/>
      <c r="Q179" s="12"/>
      <c r="R179" s="36"/>
      <c r="S179" s="36"/>
      <c r="T179" s="12"/>
      <c r="U179" s="12"/>
      <c r="V179" s="12"/>
      <c r="W179" s="12"/>
      <c r="X179" s="12"/>
    </row>
    <row r="180" customFormat="false" ht="15.75" hidden="false" customHeight="false" outlineLevel="0" collapsed="false">
      <c r="A180" s="12"/>
      <c r="B180" s="34"/>
      <c r="C180" s="12"/>
      <c r="D180" s="12"/>
      <c r="E180" s="12"/>
      <c r="F180" s="12"/>
      <c r="G180" s="18"/>
      <c r="H180" s="35"/>
      <c r="I180" s="12"/>
      <c r="M180" s="12"/>
      <c r="N180" s="18"/>
      <c r="O180" s="12"/>
      <c r="P180" s="12"/>
      <c r="Q180" s="12"/>
      <c r="R180" s="36"/>
      <c r="S180" s="36"/>
      <c r="T180" s="12"/>
      <c r="U180" s="12"/>
      <c r="V180" s="12"/>
      <c r="W180" s="12"/>
      <c r="X180" s="12"/>
    </row>
    <row r="181" customFormat="false" ht="15.75" hidden="false" customHeight="false" outlineLevel="0" collapsed="false">
      <c r="A181" s="12"/>
      <c r="B181" s="34"/>
      <c r="C181" s="12"/>
      <c r="D181" s="12"/>
      <c r="E181" s="12"/>
      <c r="F181" s="12"/>
      <c r="G181" s="18"/>
      <c r="H181" s="35"/>
      <c r="I181" s="12"/>
      <c r="M181" s="12"/>
      <c r="N181" s="18"/>
      <c r="O181" s="12"/>
      <c r="P181" s="12"/>
      <c r="Q181" s="12"/>
      <c r="R181" s="36"/>
      <c r="S181" s="36"/>
      <c r="T181" s="12"/>
      <c r="U181" s="12"/>
      <c r="V181" s="12"/>
      <c r="W181" s="12"/>
      <c r="X181" s="12"/>
    </row>
    <row r="182" customFormat="false" ht="15.75" hidden="false" customHeight="false" outlineLevel="0" collapsed="false">
      <c r="A182" s="12"/>
      <c r="B182" s="34"/>
      <c r="C182" s="12"/>
      <c r="D182" s="12"/>
      <c r="E182" s="12"/>
      <c r="F182" s="12"/>
      <c r="G182" s="18"/>
      <c r="H182" s="35"/>
      <c r="I182" s="12"/>
      <c r="M182" s="12"/>
      <c r="N182" s="18"/>
      <c r="O182" s="12"/>
      <c r="P182" s="12"/>
      <c r="Q182" s="12"/>
      <c r="R182" s="36"/>
      <c r="S182" s="36"/>
      <c r="T182" s="12"/>
      <c r="U182" s="12"/>
      <c r="V182" s="12"/>
      <c r="W182" s="12"/>
      <c r="X182" s="12"/>
    </row>
    <row r="183" customFormat="false" ht="15.75" hidden="false" customHeight="false" outlineLevel="0" collapsed="false">
      <c r="A183" s="12"/>
      <c r="B183" s="34"/>
      <c r="C183" s="12"/>
      <c r="D183" s="12"/>
      <c r="E183" s="12"/>
      <c r="F183" s="12"/>
      <c r="G183" s="18"/>
      <c r="H183" s="35"/>
      <c r="I183" s="12"/>
      <c r="M183" s="12"/>
      <c r="N183" s="18"/>
      <c r="O183" s="12"/>
      <c r="P183" s="12"/>
      <c r="Q183" s="12"/>
      <c r="R183" s="36"/>
      <c r="S183" s="36"/>
      <c r="T183" s="12"/>
      <c r="U183" s="12"/>
      <c r="V183" s="12"/>
      <c r="W183" s="12"/>
      <c r="X183" s="12"/>
    </row>
    <row r="184" customFormat="false" ht="15.75" hidden="false" customHeight="false" outlineLevel="0" collapsed="false">
      <c r="A184" s="12"/>
      <c r="B184" s="34"/>
      <c r="C184" s="12"/>
      <c r="D184" s="12"/>
      <c r="E184" s="12"/>
      <c r="F184" s="12"/>
      <c r="G184" s="18"/>
      <c r="H184" s="35"/>
      <c r="I184" s="12"/>
      <c r="M184" s="12"/>
      <c r="N184" s="18"/>
      <c r="O184" s="12"/>
      <c r="P184" s="12"/>
      <c r="Q184" s="12"/>
      <c r="R184" s="36"/>
      <c r="S184" s="36"/>
      <c r="T184" s="12"/>
      <c r="U184" s="12"/>
      <c r="V184" s="12"/>
      <c r="W184" s="12"/>
      <c r="X184" s="12"/>
    </row>
    <row r="185" customFormat="false" ht="15.75" hidden="false" customHeight="false" outlineLevel="0" collapsed="false">
      <c r="A185" s="12"/>
      <c r="B185" s="34"/>
      <c r="C185" s="12"/>
      <c r="D185" s="12"/>
      <c r="E185" s="12"/>
      <c r="F185" s="12"/>
      <c r="G185" s="18"/>
      <c r="H185" s="35"/>
      <c r="I185" s="12"/>
      <c r="M185" s="12"/>
      <c r="N185" s="18"/>
      <c r="O185" s="12"/>
      <c r="P185" s="12"/>
      <c r="Q185" s="12"/>
      <c r="R185" s="36"/>
      <c r="S185" s="36"/>
      <c r="T185" s="12"/>
      <c r="U185" s="12"/>
      <c r="V185" s="12"/>
      <c r="W185" s="12"/>
      <c r="X185" s="12"/>
    </row>
    <row r="186" customFormat="false" ht="15.75" hidden="false" customHeight="false" outlineLevel="0" collapsed="false">
      <c r="A186" s="12"/>
      <c r="B186" s="34"/>
      <c r="C186" s="12"/>
      <c r="D186" s="12"/>
      <c r="E186" s="12"/>
      <c r="F186" s="12"/>
      <c r="G186" s="18"/>
      <c r="H186" s="35"/>
      <c r="I186" s="12"/>
      <c r="M186" s="12"/>
      <c r="N186" s="18"/>
      <c r="O186" s="12"/>
      <c r="P186" s="12"/>
      <c r="Q186" s="12"/>
      <c r="R186" s="36"/>
      <c r="S186" s="36"/>
      <c r="T186" s="12"/>
      <c r="U186" s="12"/>
      <c r="V186" s="12"/>
      <c r="W186" s="12"/>
      <c r="X186" s="12"/>
    </row>
    <row r="187" customFormat="false" ht="15.75" hidden="false" customHeight="false" outlineLevel="0" collapsed="false">
      <c r="A187" s="12"/>
      <c r="B187" s="34"/>
      <c r="C187" s="12"/>
      <c r="D187" s="12"/>
      <c r="E187" s="12"/>
      <c r="F187" s="12"/>
      <c r="G187" s="18"/>
      <c r="H187" s="35"/>
      <c r="I187" s="12"/>
      <c r="M187" s="12"/>
      <c r="N187" s="18"/>
      <c r="O187" s="12"/>
      <c r="P187" s="12"/>
      <c r="Q187" s="12"/>
      <c r="R187" s="36"/>
      <c r="S187" s="36"/>
      <c r="T187" s="12"/>
      <c r="U187" s="12"/>
      <c r="V187" s="12"/>
      <c r="W187" s="12"/>
      <c r="X187" s="12"/>
    </row>
    <row r="188" customFormat="false" ht="15.75" hidden="false" customHeight="false" outlineLevel="0" collapsed="false">
      <c r="A188" s="12"/>
      <c r="B188" s="34"/>
      <c r="C188" s="12"/>
      <c r="D188" s="12"/>
      <c r="E188" s="12"/>
      <c r="F188" s="12"/>
      <c r="G188" s="18"/>
      <c r="H188" s="35"/>
      <c r="I188" s="12"/>
      <c r="M188" s="12"/>
      <c r="N188" s="18"/>
      <c r="O188" s="12"/>
      <c r="P188" s="12"/>
      <c r="Q188" s="12"/>
      <c r="R188" s="36"/>
      <c r="S188" s="36"/>
      <c r="T188" s="12"/>
      <c r="U188" s="12"/>
      <c r="V188" s="12"/>
      <c r="W188" s="12"/>
      <c r="X188" s="12"/>
    </row>
    <row r="189" customFormat="false" ht="15.75" hidden="false" customHeight="false" outlineLevel="0" collapsed="false">
      <c r="A189" s="12"/>
      <c r="B189" s="34"/>
      <c r="C189" s="12"/>
      <c r="D189" s="12"/>
      <c r="E189" s="12"/>
      <c r="F189" s="12"/>
      <c r="G189" s="18"/>
      <c r="H189" s="35"/>
      <c r="I189" s="12"/>
      <c r="M189" s="12"/>
      <c r="N189" s="18"/>
      <c r="O189" s="12"/>
      <c r="P189" s="12"/>
      <c r="Q189" s="12"/>
      <c r="R189" s="36"/>
      <c r="S189" s="36"/>
      <c r="T189" s="12"/>
      <c r="U189" s="12"/>
      <c r="V189" s="12"/>
      <c r="W189" s="12"/>
      <c r="X189" s="12"/>
    </row>
    <row r="190" customFormat="false" ht="15.75" hidden="false" customHeight="false" outlineLevel="0" collapsed="false">
      <c r="A190" s="12"/>
      <c r="B190" s="34"/>
      <c r="C190" s="12"/>
      <c r="D190" s="12"/>
      <c r="E190" s="12"/>
      <c r="F190" s="12"/>
      <c r="G190" s="18"/>
      <c r="H190" s="35"/>
      <c r="I190" s="12"/>
      <c r="M190" s="12"/>
      <c r="N190" s="18"/>
      <c r="O190" s="12"/>
      <c r="P190" s="12"/>
      <c r="Q190" s="12"/>
      <c r="R190" s="36"/>
      <c r="S190" s="36"/>
      <c r="T190" s="12"/>
      <c r="U190" s="12"/>
      <c r="V190" s="12"/>
      <c r="W190" s="12"/>
      <c r="X190" s="12"/>
    </row>
    <row r="191" customFormat="false" ht="15.75" hidden="false" customHeight="false" outlineLevel="0" collapsed="false">
      <c r="A191" s="12"/>
      <c r="B191" s="34"/>
      <c r="C191" s="12"/>
      <c r="D191" s="12"/>
      <c r="E191" s="12"/>
      <c r="F191" s="12"/>
      <c r="G191" s="18"/>
      <c r="H191" s="35"/>
      <c r="I191" s="12"/>
      <c r="M191" s="12"/>
      <c r="N191" s="18"/>
      <c r="O191" s="12"/>
      <c r="P191" s="12"/>
      <c r="Q191" s="12"/>
      <c r="R191" s="36"/>
      <c r="S191" s="36"/>
      <c r="T191" s="12"/>
      <c r="U191" s="12"/>
      <c r="V191" s="12"/>
      <c r="W191" s="12"/>
      <c r="X191" s="12"/>
    </row>
    <row r="192" customFormat="false" ht="15.75" hidden="false" customHeight="false" outlineLevel="0" collapsed="false">
      <c r="A192" s="12"/>
      <c r="B192" s="34"/>
      <c r="C192" s="12"/>
      <c r="D192" s="12"/>
      <c r="E192" s="12"/>
      <c r="F192" s="12"/>
      <c r="G192" s="18"/>
      <c r="H192" s="35"/>
      <c r="I192" s="12"/>
      <c r="M192" s="12"/>
      <c r="N192" s="18"/>
      <c r="O192" s="12"/>
      <c r="P192" s="12"/>
      <c r="Q192" s="12"/>
      <c r="R192" s="36"/>
      <c r="S192" s="36"/>
      <c r="T192" s="12"/>
      <c r="U192" s="12"/>
      <c r="V192" s="12"/>
      <c r="W192" s="12"/>
      <c r="X192" s="12"/>
    </row>
    <row r="193" customFormat="false" ht="15.75" hidden="false" customHeight="false" outlineLevel="0" collapsed="false">
      <c r="A193" s="12"/>
      <c r="B193" s="34"/>
      <c r="C193" s="12"/>
      <c r="D193" s="12"/>
      <c r="E193" s="12"/>
      <c r="F193" s="12"/>
      <c r="G193" s="18"/>
      <c r="H193" s="35"/>
      <c r="I193" s="12"/>
      <c r="M193" s="12"/>
      <c r="N193" s="18"/>
      <c r="O193" s="12"/>
      <c r="P193" s="12"/>
      <c r="Q193" s="12"/>
      <c r="R193" s="36"/>
      <c r="S193" s="36"/>
      <c r="T193" s="12"/>
      <c r="U193" s="12"/>
      <c r="V193" s="12"/>
      <c r="W193" s="12"/>
      <c r="X193" s="12"/>
    </row>
    <row r="194" customFormat="false" ht="15.75" hidden="false" customHeight="false" outlineLevel="0" collapsed="false">
      <c r="A194" s="12"/>
      <c r="B194" s="34"/>
      <c r="C194" s="12"/>
      <c r="D194" s="12"/>
      <c r="E194" s="12"/>
      <c r="F194" s="12"/>
      <c r="G194" s="18"/>
      <c r="H194" s="35"/>
      <c r="I194" s="12"/>
      <c r="M194" s="12"/>
      <c r="N194" s="18"/>
      <c r="O194" s="12"/>
      <c r="P194" s="12"/>
      <c r="Q194" s="12"/>
      <c r="R194" s="36"/>
      <c r="S194" s="36"/>
      <c r="T194" s="12"/>
      <c r="U194" s="12"/>
      <c r="V194" s="12"/>
      <c r="W194" s="12"/>
      <c r="X194" s="12"/>
    </row>
    <row r="195" customFormat="false" ht="15.75" hidden="false" customHeight="false" outlineLevel="0" collapsed="false">
      <c r="A195" s="12"/>
      <c r="B195" s="34"/>
      <c r="C195" s="12"/>
      <c r="D195" s="12"/>
      <c r="E195" s="12"/>
      <c r="F195" s="12"/>
      <c r="G195" s="18"/>
      <c r="H195" s="35"/>
      <c r="I195" s="12"/>
      <c r="M195" s="12"/>
      <c r="N195" s="18"/>
      <c r="O195" s="12"/>
      <c r="P195" s="12"/>
      <c r="Q195" s="12"/>
      <c r="R195" s="36"/>
      <c r="S195" s="36"/>
      <c r="T195" s="12"/>
      <c r="U195" s="12"/>
      <c r="V195" s="12"/>
      <c r="W195" s="12"/>
      <c r="X195" s="12"/>
    </row>
    <row r="196" customFormat="false" ht="15.75" hidden="false" customHeight="false" outlineLevel="0" collapsed="false">
      <c r="A196" s="12"/>
      <c r="B196" s="34"/>
      <c r="C196" s="12"/>
      <c r="D196" s="12"/>
      <c r="E196" s="12"/>
      <c r="F196" s="12"/>
      <c r="G196" s="18"/>
      <c r="H196" s="35"/>
      <c r="I196" s="12"/>
      <c r="M196" s="12"/>
      <c r="N196" s="18"/>
      <c r="O196" s="12"/>
      <c r="P196" s="12"/>
      <c r="Q196" s="12"/>
      <c r="R196" s="36"/>
      <c r="S196" s="36"/>
      <c r="T196" s="12"/>
      <c r="U196" s="12"/>
      <c r="V196" s="12"/>
      <c r="W196" s="12"/>
      <c r="X196" s="12"/>
    </row>
    <row r="197" customFormat="false" ht="15.75" hidden="false" customHeight="false" outlineLevel="0" collapsed="false">
      <c r="A197" s="12"/>
      <c r="B197" s="34"/>
      <c r="C197" s="12"/>
      <c r="D197" s="12"/>
      <c r="E197" s="12"/>
      <c r="F197" s="12"/>
      <c r="G197" s="18"/>
      <c r="H197" s="35"/>
      <c r="I197" s="12"/>
      <c r="M197" s="12"/>
      <c r="N197" s="18"/>
      <c r="O197" s="12"/>
      <c r="P197" s="12"/>
      <c r="Q197" s="12"/>
      <c r="R197" s="36"/>
      <c r="S197" s="36"/>
      <c r="T197" s="12"/>
      <c r="U197" s="12"/>
      <c r="V197" s="12"/>
      <c r="W197" s="12"/>
      <c r="X197" s="12"/>
    </row>
    <row r="198" customFormat="false" ht="15.75" hidden="false" customHeight="false" outlineLevel="0" collapsed="false">
      <c r="A198" s="12"/>
      <c r="B198" s="34"/>
      <c r="C198" s="12"/>
      <c r="D198" s="12"/>
      <c r="E198" s="12"/>
      <c r="F198" s="12"/>
      <c r="G198" s="18"/>
      <c r="H198" s="35"/>
      <c r="I198" s="12"/>
      <c r="M198" s="12"/>
      <c r="N198" s="18"/>
      <c r="O198" s="12"/>
      <c r="P198" s="12"/>
      <c r="Q198" s="12"/>
      <c r="R198" s="36"/>
      <c r="S198" s="36"/>
      <c r="T198" s="12"/>
      <c r="U198" s="12"/>
      <c r="V198" s="12"/>
      <c r="W198" s="12"/>
      <c r="X198" s="12"/>
    </row>
    <row r="199" customFormat="false" ht="15.75" hidden="false" customHeight="false" outlineLevel="0" collapsed="false">
      <c r="A199" s="12"/>
      <c r="B199" s="34"/>
      <c r="C199" s="12"/>
      <c r="D199" s="12"/>
      <c r="E199" s="12"/>
      <c r="F199" s="12"/>
      <c r="G199" s="18"/>
      <c r="H199" s="35"/>
      <c r="I199" s="12"/>
      <c r="M199" s="12"/>
      <c r="N199" s="18"/>
      <c r="O199" s="12"/>
      <c r="P199" s="12"/>
      <c r="Q199" s="12"/>
      <c r="R199" s="36"/>
      <c r="S199" s="36"/>
      <c r="T199" s="12"/>
      <c r="U199" s="12"/>
      <c r="V199" s="12"/>
      <c r="W199" s="12"/>
      <c r="X199" s="12"/>
    </row>
    <row r="200" customFormat="false" ht="15.75" hidden="false" customHeight="false" outlineLevel="0" collapsed="false">
      <c r="A200" s="12"/>
      <c r="B200" s="34"/>
      <c r="C200" s="12"/>
      <c r="D200" s="12"/>
      <c r="E200" s="12"/>
      <c r="F200" s="12"/>
      <c r="G200" s="18"/>
      <c r="H200" s="35"/>
      <c r="I200" s="12"/>
      <c r="M200" s="12"/>
      <c r="N200" s="18"/>
      <c r="O200" s="12"/>
      <c r="P200" s="12"/>
      <c r="Q200" s="12"/>
      <c r="R200" s="36"/>
      <c r="S200" s="36"/>
      <c r="T200" s="12"/>
      <c r="U200" s="12"/>
      <c r="V200" s="12"/>
      <c r="W200" s="12"/>
      <c r="X200" s="12"/>
    </row>
    <row r="201" customFormat="false" ht="15.75" hidden="false" customHeight="false" outlineLevel="0" collapsed="false">
      <c r="A201" s="12"/>
      <c r="B201" s="34"/>
      <c r="C201" s="12"/>
      <c r="D201" s="12"/>
      <c r="E201" s="12"/>
      <c r="F201" s="12"/>
      <c r="G201" s="18"/>
      <c r="H201" s="35"/>
      <c r="I201" s="12"/>
      <c r="M201" s="12"/>
      <c r="N201" s="18"/>
      <c r="O201" s="12"/>
      <c r="P201" s="12"/>
      <c r="Q201" s="12"/>
      <c r="R201" s="36"/>
      <c r="S201" s="36"/>
      <c r="T201" s="12"/>
      <c r="U201" s="12"/>
      <c r="V201" s="12"/>
      <c r="W201" s="12"/>
      <c r="X201" s="12"/>
    </row>
    <row r="202" customFormat="false" ht="15.75" hidden="false" customHeight="false" outlineLevel="0" collapsed="false">
      <c r="A202" s="12"/>
      <c r="B202" s="34"/>
      <c r="C202" s="12"/>
      <c r="D202" s="12"/>
      <c r="E202" s="12"/>
      <c r="F202" s="12"/>
      <c r="G202" s="18"/>
      <c r="H202" s="35"/>
      <c r="I202" s="12"/>
      <c r="M202" s="12"/>
      <c r="N202" s="18"/>
      <c r="O202" s="12"/>
      <c r="P202" s="12"/>
      <c r="Q202" s="12"/>
      <c r="R202" s="36"/>
      <c r="S202" s="36"/>
      <c r="T202" s="12"/>
      <c r="U202" s="12"/>
      <c r="V202" s="12"/>
      <c r="W202" s="12"/>
      <c r="X202" s="12"/>
    </row>
    <row r="203" customFormat="false" ht="15.75" hidden="false" customHeight="false" outlineLevel="0" collapsed="false">
      <c r="A203" s="12"/>
      <c r="B203" s="34"/>
      <c r="C203" s="12"/>
      <c r="D203" s="12"/>
      <c r="E203" s="12"/>
      <c r="F203" s="12"/>
      <c r="G203" s="18"/>
      <c r="H203" s="35"/>
      <c r="I203" s="12"/>
      <c r="M203" s="12"/>
      <c r="N203" s="18"/>
      <c r="O203" s="12"/>
      <c r="P203" s="12"/>
      <c r="Q203" s="12"/>
      <c r="R203" s="36"/>
      <c r="S203" s="36"/>
      <c r="T203" s="12"/>
      <c r="U203" s="12"/>
      <c r="V203" s="12"/>
      <c r="W203" s="12"/>
      <c r="X203" s="12"/>
    </row>
    <row r="204" customFormat="false" ht="15.75" hidden="false" customHeight="false" outlineLevel="0" collapsed="false">
      <c r="A204" s="12"/>
      <c r="B204" s="34"/>
      <c r="C204" s="12"/>
      <c r="D204" s="12"/>
      <c r="E204" s="12"/>
      <c r="F204" s="12"/>
      <c r="G204" s="18"/>
      <c r="H204" s="35"/>
      <c r="I204" s="12"/>
      <c r="M204" s="12"/>
      <c r="N204" s="18"/>
      <c r="O204" s="12"/>
      <c r="P204" s="12"/>
      <c r="Q204" s="12"/>
      <c r="R204" s="36"/>
      <c r="S204" s="36"/>
      <c r="T204" s="12"/>
      <c r="U204" s="12"/>
      <c r="V204" s="12"/>
      <c r="W204" s="12"/>
      <c r="X204" s="12"/>
    </row>
    <row r="205" customFormat="false" ht="15.75" hidden="false" customHeight="false" outlineLevel="0" collapsed="false">
      <c r="A205" s="12"/>
      <c r="B205" s="34"/>
      <c r="C205" s="12"/>
      <c r="D205" s="12"/>
      <c r="E205" s="12"/>
      <c r="F205" s="12"/>
      <c r="G205" s="18"/>
      <c r="H205" s="35"/>
      <c r="I205" s="12"/>
      <c r="M205" s="12"/>
      <c r="N205" s="18"/>
      <c r="O205" s="12"/>
      <c r="P205" s="12"/>
      <c r="Q205" s="12"/>
      <c r="R205" s="36"/>
      <c r="S205" s="36"/>
      <c r="T205" s="12"/>
      <c r="U205" s="12"/>
      <c r="V205" s="12"/>
      <c r="W205" s="12"/>
      <c r="X205" s="12"/>
    </row>
    <row r="206" customFormat="false" ht="15.75" hidden="false" customHeight="false" outlineLevel="0" collapsed="false">
      <c r="A206" s="12"/>
      <c r="B206" s="34"/>
      <c r="C206" s="12"/>
      <c r="D206" s="12"/>
      <c r="E206" s="12"/>
      <c r="F206" s="12"/>
      <c r="G206" s="18"/>
      <c r="H206" s="35"/>
      <c r="I206" s="12"/>
      <c r="M206" s="12"/>
      <c r="N206" s="18"/>
      <c r="O206" s="12"/>
      <c r="P206" s="12"/>
      <c r="Q206" s="12"/>
      <c r="R206" s="36"/>
      <c r="S206" s="36"/>
      <c r="T206" s="12"/>
      <c r="U206" s="12"/>
      <c r="V206" s="12"/>
      <c r="W206" s="12"/>
      <c r="X206" s="12"/>
    </row>
    <row r="207" customFormat="false" ht="15.75" hidden="false" customHeight="false" outlineLevel="0" collapsed="false">
      <c r="A207" s="12"/>
      <c r="B207" s="34"/>
      <c r="C207" s="12"/>
      <c r="D207" s="12"/>
      <c r="E207" s="12"/>
      <c r="F207" s="12"/>
      <c r="G207" s="18"/>
      <c r="H207" s="35"/>
      <c r="I207" s="12"/>
      <c r="M207" s="12"/>
      <c r="N207" s="18"/>
      <c r="O207" s="12"/>
      <c r="P207" s="12"/>
      <c r="Q207" s="12"/>
      <c r="R207" s="36"/>
      <c r="S207" s="36"/>
      <c r="T207" s="12"/>
      <c r="U207" s="12"/>
      <c r="V207" s="12"/>
      <c r="W207" s="12"/>
      <c r="X207" s="12"/>
    </row>
    <row r="208" customFormat="false" ht="15.75" hidden="false" customHeight="false" outlineLevel="0" collapsed="false">
      <c r="A208" s="12"/>
      <c r="B208" s="34"/>
      <c r="C208" s="12"/>
      <c r="D208" s="12"/>
      <c r="E208" s="12"/>
      <c r="F208" s="12"/>
      <c r="G208" s="18"/>
      <c r="H208" s="35"/>
      <c r="I208" s="12"/>
      <c r="M208" s="12"/>
      <c r="N208" s="18"/>
      <c r="O208" s="12"/>
      <c r="P208" s="12"/>
      <c r="Q208" s="12"/>
      <c r="R208" s="36"/>
      <c r="S208" s="36"/>
      <c r="T208" s="12"/>
      <c r="U208" s="12"/>
      <c r="V208" s="12"/>
      <c r="W208" s="12"/>
      <c r="X208" s="12"/>
    </row>
    <row r="209" customFormat="false" ht="15.75" hidden="false" customHeight="false" outlineLevel="0" collapsed="false">
      <c r="A209" s="12"/>
      <c r="B209" s="34"/>
      <c r="C209" s="12"/>
      <c r="D209" s="12"/>
      <c r="E209" s="12"/>
      <c r="F209" s="12"/>
      <c r="G209" s="18"/>
      <c r="H209" s="35"/>
      <c r="I209" s="12"/>
      <c r="M209" s="12"/>
      <c r="N209" s="18"/>
      <c r="O209" s="12"/>
      <c r="P209" s="12"/>
      <c r="Q209" s="12"/>
      <c r="R209" s="36"/>
      <c r="S209" s="36"/>
      <c r="T209" s="12"/>
      <c r="U209" s="12"/>
      <c r="V209" s="12"/>
      <c r="W209" s="12"/>
      <c r="X209" s="12"/>
    </row>
    <row r="210" customFormat="false" ht="15.75" hidden="false" customHeight="false" outlineLevel="0" collapsed="false">
      <c r="A210" s="12"/>
      <c r="B210" s="34"/>
      <c r="C210" s="12"/>
      <c r="D210" s="12"/>
      <c r="E210" s="12"/>
      <c r="F210" s="12"/>
      <c r="G210" s="18"/>
      <c r="H210" s="35"/>
      <c r="I210" s="12"/>
      <c r="M210" s="12"/>
      <c r="N210" s="18"/>
      <c r="O210" s="12"/>
      <c r="P210" s="12"/>
      <c r="Q210" s="12"/>
      <c r="R210" s="36"/>
      <c r="S210" s="36"/>
      <c r="T210" s="12"/>
      <c r="U210" s="12"/>
      <c r="V210" s="12"/>
      <c r="W210" s="12"/>
      <c r="X210" s="12"/>
    </row>
    <row r="211" customFormat="false" ht="15.75" hidden="false" customHeight="false" outlineLevel="0" collapsed="false">
      <c r="A211" s="12"/>
      <c r="B211" s="34"/>
      <c r="C211" s="12"/>
      <c r="D211" s="12"/>
      <c r="E211" s="12"/>
      <c r="F211" s="12"/>
      <c r="G211" s="18"/>
      <c r="H211" s="35"/>
      <c r="I211" s="12"/>
      <c r="M211" s="12"/>
      <c r="N211" s="18"/>
      <c r="O211" s="12"/>
      <c r="P211" s="12"/>
      <c r="Q211" s="12"/>
      <c r="R211" s="36"/>
      <c r="S211" s="36"/>
      <c r="T211" s="12"/>
      <c r="U211" s="12"/>
      <c r="V211" s="12"/>
      <c r="W211" s="12"/>
      <c r="X211" s="12"/>
    </row>
    <row r="212" customFormat="false" ht="15.75" hidden="false" customHeight="false" outlineLevel="0" collapsed="false">
      <c r="A212" s="12"/>
      <c r="B212" s="34"/>
      <c r="C212" s="12"/>
      <c r="D212" s="12"/>
      <c r="E212" s="12"/>
      <c r="F212" s="12"/>
      <c r="G212" s="18"/>
      <c r="H212" s="35"/>
      <c r="I212" s="12"/>
      <c r="M212" s="12"/>
      <c r="N212" s="18"/>
      <c r="O212" s="12"/>
      <c r="P212" s="12"/>
      <c r="Q212" s="12"/>
      <c r="R212" s="36"/>
      <c r="S212" s="36"/>
      <c r="T212" s="12"/>
      <c r="U212" s="12"/>
      <c r="V212" s="12"/>
      <c r="W212" s="12"/>
      <c r="X212" s="12"/>
    </row>
    <row r="213" customFormat="false" ht="15.75" hidden="false" customHeight="false" outlineLevel="0" collapsed="false">
      <c r="A213" s="12"/>
      <c r="B213" s="34"/>
      <c r="C213" s="12"/>
      <c r="D213" s="12"/>
      <c r="E213" s="12"/>
      <c r="F213" s="12"/>
      <c r="G213" s="18"/>
      <c r="H213" s="35"/>
      <c r="I213" s="12"/>
      <c r="M213" s="12"/>
      <c r="N213" s="18"/>
      <c r="O213" s="12"/>
      <c r="P213" s="12"/>
      <c r="Q213" s="12"/>
      <c r="R213" s="36"/>
      <c r="S213" s="36"/>
      <c r="T213" s="12"/>
      <c r="U213" s="12"/>
      <c r="V213" s="12"/>
      <c r="W213" s="12"/>
      <c r="X213" s="12"/>
    </row>
    <row r="214" customFormat="false" ht="15.75" hidden="false" customHeight="false" outlineLevel="0" collapsed="false">
      <c r="A214" s="12"/>
      <c r="B214" s="34"/>
      <c r="C214" s="12"/>
      <c r="D214" s="12"/>
      <c r="E214" s="12"/>
      <c r="F214" s="12"/>
      <c r="G214" s="18"/>
      <c r="H214" s="35"/>
      <c r="I214" s="12"/>
      <c r="M214" s="12"/>
      <c r="N214" s="18"/>
      <c r="O214" s="12"/>
      <c r="P214" s="12"/>
      <c r="Q214" s="12"/>
      <c r="R214" s="36"/>
      <c r="S214" s="36"/>
      <c r="T214" s="12"/>
      <c r="U214" s="12"/>
      <c r="V214" s="12"/>
      <c r="W214" s="12"/>
      <c r="X214" s="12"/>
    </row>
    <row r="215" customFormat="false" ht="15.75" hidden="false" customHeight="false" outlineLevel="0" collapsed="false">
      <c r="A215" s="12"/>
      <c r="B215" s="34"/>
      <c r="C215" s="12"/>
      <c r="D215" s="12"/>
      <c r="E215" s="12"/>
      <c r="F215" s="12"/>
      <c r="G215" s="18"/>
      <c r="H215" s="35"/>
      <c r="I215" s="12"/>
      <c r="M215" s="12"/>
      <c r="N215" s="18"/>
      <c r="O215" s="12"/>
      <c r="P215" s="12"/>
      <c r="Q215" s="12"/>
      <c r="R215" s="36"/>
      <c r="S215" s="36"/>
      <c r="T215" s="12"/>
      <c r="U215" s="12"/>
      <c r="V215" s="12"/>
      <c r="W215" s="12"/>
      <c r="X215" s="12"/>
    </row>
    <row r="216" customFormat="false" ht="15.75" hidden="false" customHeight="false" outlineLevel="0" collapsed="false">
      <c r="A216" s="12"/>
      <c r="B216" s="34"/>
      <c r="C216" s="12"/>
      <c r="D216" s="12"/>
      <c r="E216" s="12"/>
      <c r="F216" s="12"/>
      <c r="G216" s="18"/>
      <c r="H216" s="35"/>
      <c r="I216" s="12"/>
      <c r="M216" s="12"/>
      <c r="N216" s="18"/>
      <c r="O216" s="12"/>
      <c r="P216" s="12"/>
      <c r="Q216" s="12"/>
      <c r="R216" s="36"/>
      <c r="S216" s="36"/>
      <c r="T216" s="12"/>
      <c r="U216" s="12"/>
      <c r="V216" s="12"/>
      <c r="W216" s="12"/>
      <c r="X216" s="12"/>
    </row>
    <row r="217" customFormat="false" ht="15.75" hidden="false" customHeight="false" outlineLevel="0" collapsed="false">
      <c r="A217" s="12"/>
      <c r="B217" s="34"/>
      <c r="C217" s="12"/>
      <c r="D217" s="12"/>
      <c r="E217" s="12"/>
      <c r="F217" s="12"/>
      <c r="G217" s="18"/>
      <c r="H217" s="35"/>
      <c r="I217" s="12"/>
      <c r="M217" s="12"/>
      <c r="N217" s="18"/>
      <c r="O217" s="12"/>
      <c r="P217" s="12"/>
      <c r="Q217" s="12"/>
      <c r="R217" s="36"/>
      <c r="S217" s="36"/>
      <c r="T217" s="12"/>
      <c r="U217" s="12"/>
      <c r="V217" s="12"/>
      <c r="W217" s="12"/>
      <c r="X217" s="12"/>
    </row>
    <row r="218" customFormat="false" ht="15.75" hidden="false" customHeight="false" outlineLevel="0" collapsed="false">
      <c r="A218" s="12"/>
      <c r="B218" s="34"/>
      <c r="C218" s="12"/>
      <c r="D218" s="12"/>
      <c r="E218" s="12"/>
      <c r="F218" s="12"/>
      <c r="G218" s="18"/>
      <c r="H218" s="35"/>
      <c r="I218" s="12"/>
      <c r="M218" s="12"/>
      <c r="N218" s="18"/>
      <c r="O218" s="12"/>
      <c r="P218" s="12"/>
      <c r="Q218" s="12"/>
      <c r="R218" s="36"/>
      <c r="S218" s="36"/>
      <c r="T218" s="12"/>
      <c r="U218" s="12"/>
      <c r="V218" s="12"/>
      <c r="W218" s="12"/>
      <c r="X218" s="12"/>
    </row>
    <row r="219" customFormat="false" ht="15.75" hidden="false" customHeight="false" outlineLevel="0" collapsed="false">
      <c r="A219" s="12"/>
      <c r="B219" s="34"/>
      <c r="C219" s="12"/>
      <c r="D219" s="12"/>
      <c r="E219" s="12"/>
      <c r="F219" s="12"/>
      <c r="G219" s="18"/>
      <c r="H219" s="35"/>
      <c r="I219" s="12"/>
      <c r="M219" s="12"/>
      <c r="N219" s="18"/>
      <c r="O219" s="12"/>
      <c r="P219" s="12"/>
      <c r="Q219" s="12"/>
      <c r="R219" s="36"/>
      <c r="S219" s="36"/>
      <c r="T219" s="12"/>
      <c r="U219" s="12"/>
      <c r="V219" s="12"/>
      <c r="W219" s="12"/>
      <c r="X219" s="12"/>
    </row>
    <row r="220" customFormat="false" ht="15.75" hidden="false" customHeight="false" outlineLevel="0" collapsed="false">
      <c r="A220" s="12"/>
      <c r="B220" s="34"/>
      <c r="C220" s="12"/>
      <c r="D220" s="12"/>
      <c r="E220" s="12"/>
      <c r="F220" s="12"/>
      <c r="G220" s="18"/>
      <c r="H220" s="35"/>
      <c r="I220" s="12"/>
      <c r="M220" s="12"/>
      <c r="N220" s="18"/>
      <c r="O220" s="12"/>
      <c r="P220" s="12"/>
      <c r="Q220" s="12"/>
      <c r="R220" s="36"/>
      <c r="S220" s="36"/>
      <c r="T220" s="12"/>
      <c r="U220" s="12"/>
      <c r="V220" s="12"/>
      <c r="W220" s="12"/>
      <c r="X220" s="12"/>
    </row>
    <row r="221" customFormat="false" ht="15.75" hidden="false" customHeight="false" outlineLevel="0" collapsed="false">
      <c r="A221" s="12"/>
      <c r="B221" s="34"/>
      <c r="C221" s="12"/>
      <c r="D221" s="12"/>
      <c r="E221" s="12"/>
      <c r="F221" s="12"/>
      <c r="G221" s="18"/>
      <c r="H221" s="35"/>
      <c r="I221" s="12"/>
      <c r="M221" s="12"/>
      <c r="N221" s="18"/>
      <c r="O221" s="12"/>
      <c r="P221" s="12"/>
      <c r="Q221" s="12"/>
      <c r="R221" s="36"/>
      <c r="S221" s="36"/>
      <c r="T221" s="12"/>
      <c r="U221" s="12"/>
      <c r="V221" s="12"/>
      <c r="W221" s="12"/>
      <c r="X221" s="12"/>
    </row>
    <row r="222" customFormat="false" ht="15.75" hidden="false" customHeight="false" outlineLevel="0" collapsed="false">
      <c r="A222" s="12"/>
      <c r="B222" s="34"/>
      <c r="C222" s="12"/>
      <c r="D222" s="12"/>
      <c r="E222" s="12"/>
      <c r="F222" s="12"/>
      <c r="G222" s="18"/>
      <c r="H222" s="35"/>
      <c r="I222" s="12"/>
      <c r="M222" s="12"/>
      <c r="N222" s="18"/>
      <c r="O222" s="12"/>
      <c r="P222" s="12"/>
      <c r="Q222" s="12"/>
      <c r="R222" s="36"/>
      <c r="S222" s="36"/>
      <c r="T222" s="12"/>
      <c r="U222" s="12"/>
      <c r="V222" s="12"/>
      <c r="W222" s="12"/>
      <c r="X222" s="12"/>
    </row>
    <row r="223" customFormat="false" ht="15.75" hidden="false" customHeight="false" outlineLevel="0" collapsed="false">
      <c r="A223" s="12"/>
      <c r="B223" s="34"/>
      <c r="C223" s="12"/>
      <c r="D223" s="12"/>
      <c r="E223" s="12"/>
      <c r="F223" s="12"/>
      <c r="G223" s="18"/>
      <c r="H223" s="35"/>
      <c r="I223" s="12"/>
      <c r="M223" s="12"/>
      <c r="N223" s="18"/>
      <c r="O223" s="12"/>
      <c r="P223" s="12"/>
      <c r="Q223" s="12"/>
      <c r="R223" s="36"/>
      <c r="S223" s="36"/>
      <c r="T223" s="12"/>
      <c r="U223" s="12"/>
      <c r="V223" s="12"/>
      <c r="W223" s="12"/>
      <c r="X223" s="12"/>
    </row>
    <row r="224" customFormat="false" ht="15.75" hidden="false" customHeight="false" outlineLevel="0" collapsed="false">
      <c r="A224" s="12"/>
      <c r="B224" s="34"/>
      <c r="C224" s="12"/>
      <c r="D224" s="12"/>
      <c r="E224" s="12"/>
      <c r="F224" s="12"/>
      <c r="G224" s="18"/>
      <c r="H224" s="35"/>
      <c r="I224" s="12"/>
      <c r="M224" s="12"/>
      <c r="N224" s="18"/>
      <c r="O224" s="12"/>
      <c r="P224" s="12"/>
      <c r="Q224" s="12"/>
      <c r="R224" s="36"/>
      <c r="S224" s="36"/>
      <c r="T224" s="12"/>
      <c r="U224" s="12"/>
      <c r="V224" s="12"/>
      <c r="W224" s="12"/>
      <c r="X224" s="12"/>
    </row>
    <row r="225" customFormat="false" ht="15.75" hidden="false" customHeight="false" outlineLevel="0" collapsed="false">
      <c r="A225" s="12"/>
      <c r="B225" s="34"/>
      <c r="C225" s="12"/>
      <c r="D225" s="12"/>
      <c r="E225" s="12"/>
      <c r="F225" s="12"/>
      <c r="G225" s="18"/>
      <c r="H225" s="35"/>
      <c r="I225" s="12"/>
      <c r="M225" s="12"/>
      <c r="N225" s="18"/>
      <c r="O225" s="12"/>
      <c r="P225" s="12"/>
      <c r="Q225" s="12"/>
      <c r="R225" s="36"/>
      <c r="S225" s="36"/>
      <c r="T225" s="12"/>
      <c r="U225" s="12"/>
      <c r="V225" s="12"/>
      <c r="W225" s="12"/>
      <c r="X225" s="12"/>
    </row>
    <row r="226" customFormat="false" ht="15.75" hidden="false" customHeight="false" outlineLevel="0" collapsed="false">
      <c r="A226" s="12"/>
      <c r="B226" s="34"/>
      <c r="C226" s="12"/>
      <c r="D226" s="12"/>
      <c r="E226" s="12"/>
      <c r="F226" s="12"/>
      <c r="G226" s="18"/>
      <c r="H226" s="35"/>
      <c r="I226" s="12"/>
      <c r="M226" s="12"/>
      <c r="N226" s="18"/>
      <c r="O226" s="12"/>
      <c r="P226" s="12"/>
      <c r="Q226" s="12"/>
      <c r="R226" s="36"/>
      <c r="S226" s="36"/>
      <c r="T226" s="12"/>
      <c r="U226" s="12"/>
      <c r="V226" s="12"/>
      <c r="W226" s="12"/>
      <c r="X226" s="12"/>
    </row>
    <row r="227" customFormat="false" ht="15.75" hidden="false" customHeight="false" outlineLevel="0" collapsed="false">
      <c r="A227" s="12"/>
      <c r="B227" s="34"/>
      <c r="C227" s="12"/>
      <c r="D227" s="12"/>
      <c r="E227" s="12"/>
      <c r="F227" s="12"/>
      <c r="G227" s="18"/>
      <c r="H227" s="35"/>
      <c r="I227" s="12"/>
      <c r="M227" s="12"/>
      <c r="N227" s="18"/>
      <c r="O227" s="12"/>
      <c r="P227" s="12"/>
      <c r="Q227" s="12"/>
      <c r="R227" s="36"/>
      <c r="S227" s="36"/>
      <c r="T227" s="12"/>
      <c r="U227" s="12"/>
      <c r="V227" s="12"/>
      <c r="W227" s="12"/>
      <c r="X227" s="12"/>
    </row>
    <row r="228" customFormat="false" ht="15.75" hidden="false" customHeight="false" outlineLevel="0" collapsed="false">
      <c r="A228" s="12"/>
      <c r="B228" s="34"/>
      <c r="C228" s="12"/>
      <c r="D228" s="12"/>
      <c r="E228" s="12"/>
      <c r="F228" s="12"/>
      <c r="G228" s="18"/>
      <c r="H228" s="35"/>
      <c r="I228" s="12"/>
      <c r="M228" s="12"/>
      <c r="N228" s="18"/>
      <c r="O228" s="12"/>
      <c r="P228" s="12"/>
      <c r="Q228" s="12"/>
      <c r="R228" s="36"/>
      <c r="S228" s="36"/>
      <c r="T228" s="12"/>
      <c r="U228" s="12"/>
      <c r="V228" s="12"/>
      <c r="W228" s="12"/>
      <c r="X228" s="12"/>
    </row>
    <row r="229" customFormat="false" ht="15.75" hidden="false" customHeight="false" outlineLevel="0" collapsed="false">
      <c r="A229" s="12"/>
      <c r="B229" s="34"/>
      <c r="C229" s="12"/>
      <c r="D229" s="12"/>
      <c r="E229" s="12"/>
      <c r="F229" s="12"/>
      <c r="G229" s="18"/>
      <c r="H229" s="35"/>
      <c r="I229" s="12"/>
      <c r="M229" s="12"/>
      <c r="N229" s="18"/>
      <c r="O229" s="12"/>
      <c r="P229" s="12"/>
      <c r="Q229" s="12"/>
      <c r="R229" s="36"/>
      <c r="S229" s="36"/>
      <c r="T229" s="12"/>
      <c r="U229" s="12"/>
      <c r="V229" s="12"/>
      <c r="W229" s="12"/>
      <c r="X229" s="12"/>
    </row>
    <row r="230" customFormat="false" ht="15.75" hidden="false" customHeight="false" outlineLevel="0" collapsed="false">
      <c r="A230" s="12"/>
      <c r="B230" s="34"/>
      <c r="C230" s="12"/>
      <c r="D230" s="12"/>
      <c r="E230" s="12"/>
      <c r="F230" s="12"/>
      <c r="G230" s="18"/>
      <c r="H230" s="35"/>
      <c r="I230" s="12"/>
      <c r="M230" s="12"/>
      <c r="N230" s="18"/>
      <c r="O230" s="12"/>
      <c r="P230" s="12"/>
      <c r="Q230" s="12"/>
      <c r="R230" s="36"/>
      <c r="S230" s="36"/>
      <c r="T230" s="12"/>
      <c r="U230" s="12"/>
      <c r="V230" s="12"/>
      <c r="W230" s="12"/>
      <c r="X230" s="12"/>
    </row>
    <row r="231" customFormat="false" ht="15.75" hidden="false" customHeight="false" outlineLevel="0" collapsed="false">
      <c r="A231" s="12"/>
      <c r="B231" s="34"/>
      <c r="C231" s="12"/>
      <c r="D231" s="12"/>
      <c r="E231" s="12"/>
      <c r="F231" s="12"/>
      <c r="G231" s="18"/>
      <c r="H231" s="35"/>
      <c r="I231" s="12"/>
      <c r="M231" s="12"/>
      <c r="N231" s="18"/>
      <c r="O231" s="12"/>
      <c r="P231" s="12"/>
      <c r="Q231" s="12"/>
      <c r="R231" s="36"/>
      <c r="S231" s="36"/>
      <c r="T231" s="12"/>
      <c r="U231" s="12"/>
      <c r="V231" s="12"/>
      <c r="W231" s="12"/>
      <c r="X231" s="12"/>
    </row>
    <row r="232" customFormat="false" ht="15.75" hidden="false" customHeight="false" outlineLevel="0" collapsed="false">
      <c r="A232" s="12"/>
      <c r="B232" s="34"/>
      <c r="C232" s="12"/>
      <c r="D232" s="12"/>
      <c r="E232" s="12"/>
      <c r="F232" s="12"/>
      <c r="G232" s="18"/>
      <c r="H232" s="35"/>
      <c r="I232" s="12"/>
      <c r="M232" s="12"/>
      <c r="N232" s="18"/>
      <c r="O232" s="12"/>
      <c r="P232" s="12"/>
      <c r="Q232" s="12"/>
      <c r="R232" s="36"/>
      <c r="S232" s="36"/>
      <c r="T232" s="12"/>
      <c r="U232" s="12"/>
      <c r="V232" s="12"/>
      <c r="W232" s="12"/>
      <c r="X232" s="12"/>
    </row>
    <row r="233" customFormat="false" ht="15.75" hidden="false" customHeight="false" outlineLevel="0" collapsed="false">
      <c r="A233" s="12"/>
      <c r="B233" s="34"/>
      <c r="C233" s="12"/>
      <c r="D233" s="12"/>
      <c r="E233" s="12"/>
      <c r="F233" s="12"/>
      <c r="G233" s="18"/>
      <c r="H233" s="35"/>
      <c r="I233" s="12"/>
      <c r="M233" s="12"/>
      <c r="N233" s="18"/>
      <c r="O233" s="12"/>
      <c r="P233" s="12"/>
      <c r="Q233" s="12"/>
      <c r="R233" s="36"/>
      <c r="S233" s="36"/>
      <c r="T233" s="12"/>
      <c r="U233" s="12"/>
      <c r="V233" s="12"/>
      <c r="W233" s="12"/>
      <c r="X233" s="12"/>
    </row>
    <row r="234" customFormat="false" ht="15.75" hidden="false" customHeight="false" outlineLevel="0" collapsed="false">
      <c r="A234" s="12"/>
      <c r="B234" s="34"/>
      <c r="C234" s="12"/>
      <c r="D234" s="12"/>
      <c r="E234" s="12"/>
      <c r="F234" s="12"/>
      <c r="G234" s="18"/>
      <c r="H234" s="35"/>
      <c r="I234" s="12"/>
      <c r="M234" s="12"/>
      <c r="N234" s="18"/>
      <c r="O234" s="12"/>
      <c r="P234" s="12"/>
      <c r="Q234" s="12"/>
      <c r="R234" s="36"/>
      <c r="S234" s="36"/>
      <c r="T234" s="12"/>
      <c r="U234" s="12"/>
      <c r="V234" s="12"/>
      <c r="W234" s="12"/>
      <c r="X234" s="12"/>
    </row>
    <row r="235" customFormat="false" ht="15.75" hidden="false" customHeight="false" outlineLevel="0" collapsed="false">
      <c r="A235" s="12"/>
      <c r="B235" s="34"/>
      <c r="C235" s="12"/>
      <c r="D235" s="12"/>
      <c r="E235" s="12"/>
      <c r="F235" s="12"/>
      <c r="G235" s="18"/>
      <c r="H235" s="35"/>
      <c r="I235" s="12"/>
      <c r="M235" s="12"/>
      <c r="N235" s="18"/>
      <c r="O235" s="12"/>
      <c r="P235" s="12"/>
      <c r="Q235" s="12"/>
      <c r="R235" s="36"/>
      <c r="S235" s="36"/>
      <c r="T235" s="12"/>
      <c r="U235" s="12"/>
      <c r="V235" s="12"/>
      <c r="W235" s="12"/>
      <c r="X235" s="12"/>
    </row>
    <row r="236" customFormat="false" ht="15.75" hidden="false" customHeight="false" outlineLevel="0" collapsed="false">
      <c r="A236" s="12"/>
      <c r="B236" s="34"/>
      <c r="C236" s="12"/>
      <c r="D236" s="12"/>
      <c r="E236" s="12"/>
      <c r="F236" s="12"/>
      <c r="G236" s="18"/>
      <c r="H236" s="35"/>
      <c r="I236" s="12"/>
      <c r="M236" s="12"/>
      <c r="N236" s="18"/>
      <c r="O236" s="12"/>
      <c r="P236" s="12"/>
      <c r="Q236" s="12"/>
      <c r="R236" s="36"/>
      <c r="S236" s="36"/>
      <c r="T236" s="12"/>
      <c r="U236" s="12"/>
      <c r="V236" s="12"/>
      <c r="W236" s="12"/>
      <c r="X236" s="12"/>
    </row>
    <row r="237" customFormat="false" ht="15.75" hidden="false" customHeight="false" outlineLevel="0" collapsed="false">
      <c r="A237" s="12"/>
      <c r="B237" s="34"/>
      <c r="C237" s="12"/>
      <c r="D237" s="12"/>
      <c r="E237" s="12"/>
      <c r="F237" s="12"/>
      <c r="G237" s="18"/>
      <c r="H237" s="35"/>
      <c r="I237" s="12"/>
      <c r="M237" s="12"/>
      <c r="N237" s="18"/>
      <c r="O237" s="12"/>
      <c r="P237" s="12"/>
      <c r="Q237" s="12"/>
      <c r="R237" s="36"/>
      <c r="S237" s="36"/>
      <c r="T237" s="12"/>
      <c r="U237" s="12"/>
      <c r="V237" s="12"/>
      <c r="W237" s="12"/>
      <c r="X237" s="12"/>
    </row>
    <row r="238" customFormat="false" ht="15.75" hidden="false" customHeight="false" outlineLevel="0" collapsed="false">
      <c r="A238" s="12"/>
      <c r="B238" s="34"/>
      <c r="C238" s="12"/>
      <c r="D238" s="12"/>
      <c r="E238" s="12"/>
      <c r="F238" s="12"/>
      <c r="G238" s="18"/>
      <c r="H238" s="35"/>
      <c r="I238" s="12"/>
      <c r="M238" s="12"/>
      <c r="N238" s="18"/>
      <c r="O238" s="12"/>
      <c r="P238" s="12"/>
      <c r="Q238" s="12"/>
      <c r="R238" s="36"/>
      <c r="S238" s="36"/>
      <c r="T238" s="12"/>
      <c r="U238" s="12"/>
      <c r="V238" s="12"/>
      <c r="W238" s="12"/>
      <c r="X238" s="12"/>
    </row>
    <row r="239" customFormat="false" ht="15.75" hidden="false" customHeight="false" outlineLevel="0" collapsed="false">
      <c r="A239" s="12"/>
      <c r="B239" s="34"/>
      <c r="C239" s="12"/>
      <c r="D239" s="12"/>
      <c r="E239" s="12"/>
      <c r="F239" s="12"/>
      <c r="G239" s="18"/>
      <c r="H239" s="35"/>
      <c r="I239" s="12"/>
      <c r="M239" s="12"/>
      <c r="N239" s="18"/>
      <c r="O239" s="12"/>
      <c r="P239" s="12"/>
      <c r="Q239" s="12"/>
      <c r="R239" s="36"/>
      <c r="S239" s="36"/>
      <c r="T239" s="12"/>
      <c r="U239" s="12"/>
      <c r="V239" s="12"/>
      <c r="W239" s="12"/>
      <c r="X239" s="12"/>
    </row>
    <row r="240" customFormat="false" ht="15.75" hidden="false" customHeight="false" outlineLevel="0" collapsed="false">
      <c r="A240" s="12"/>
      <c r="B240" s="34"/>
      <c r="C240" s="12"/>
      <c r="D240" s="12"/>
      <c r="E240" s="12"/>
      <c r="F240" s="12"/>
      <c r="G240" s="18"/>
      <c r="H240" s="35"/>
      <c r="I240" s="12"/>
      <c r="M240" s="12"/>
      <c r="N240" s="18"/>
      <c r="O240" s="12"/>
      <c r="P240" s="12"/>
      <c r="Q240" s="12"/>
      <c r="R240" s="36"/>
      <c r="S240" s="36"/>
      <c r="T240" s="12"/>
      <c r="U240" s="12"/>
      <c r="V240" s="12"/>
      <c r="W240" s="12"/>
      <c r="X240" s="12"/>
    </row>
    <row r="241" customFormat="false" ht="15.75" hidden="false" customHeight="false" outlineLevel="0" collapsed="false">
      <c r="A241" s="12"/>
      <c r="B241" s="34"/>
      <c r="C241" s="12"/>
      <c r="D241" s="12"/>
      <c r="E241" s="12"/>
      <c r="F241" s="12"/>
      <c r="G241" s="18"/>
      <c r="H241" s="35"/>
      <c r="I241" s="12"/>
      <c r="M241" s="12"/>
      <c r="N241" s="18"/>
      <c r="O241" s="12"/>
      <c r="P241" s="12"/>
      <c r="Q241" s="12"/>
      <c r="R241" s="36"/>
      <c r="S241" s="36"/>
      <c r="T241" s="12"/>
      <c r="U241" s="12"/>
      <c r="V241" s="12"/>
      <c r="W241" s="12"/>
      <c r="X241" s="12"/>
    </row>
    <row r="242" customFormat="false" ht="15.75" hidden="false" customHeight="false" outlineLevel="0" collapsed="false">
      <c r="A242" s="12"/>
      <c r="B242" s="34"/>
      <c r="C242" s="12"/>
      <c r="D242" s="12"/>
      <c r="E242" s="12"/>
      <c r="F242" s="12"/>
      <c r="G242" s="18"/>
      <c r="H242" s="35"/>
      <c r="I242" s="12"/>
      <c r="M242" s="12"/>
      <c r="N242" s="18"/>
      <c r="O242" s="12"/>
      <c r="P242" s="12"/>
      <c r="Q242" s="12"/>
      <c r="R242" s="36"/>
      <c r="S242" s="36"/>
      <c r="T242" s="12"/>
      <c r="U242" s="12"/>
      <c r="V242" s="12"/>
      <c r="W242" s="12"/>
      <c r="X242" s="12"/>
    </row>
    <row r="243" customFormat="false" ht="15.75" hidden="false" customHeight="false" outlineLevel="0" collapsed="false">
      <c r="A243" s="12"/>
      <c r="B243" s="34"/>
      <c r="C243" s="12"/>
      <c r="D243" s="12"/>
      <c r="E243" s="12"/>
      <c r="F243" s="12"/>
      <c r="G243" s="18"/>
      <c r="H243" s="35"/>
      <c r="I243" s="12"/>
      <c r="M243" s="12"/>
      <c r="N243" s="18"/>
      <c r="O243" s="12"/>
      <c r="P243" s="12"/>
      <c r="Q243" s="12"/>
      <c r="R243" s="36"/>
      <c r="S243" s="36"/>
      <c r="T243" s="12"/>
      <c r="U243" s="12"/>
      <c r="V243" s="12"/>
      <c r="W243" s="12"/>
      <c r="X243" s="12"/>
    </row>
    <row r="244" customFormat="false" ht="15.75" hidden="false" customHeight="false" outlineLevel="0" collapsed="false">
      <c r="A244" s="12"/>
      <c r="B244" s="34"/>
      <c r="C244" s="12"/>
      <c r="D244" s="12"/>
      <c r="E244" s="12"/>
      <c r="F244" s="12"/>
      <c r="G244" s="18"/>
      <c r="H244" s="35"/>
      <c r="I244" s="12"/>
      <c r="M244" s="12"/>
      <c r="N244" s="18"/>
      <c r="O244" s="12"/>
      <c r="P244" s="12"/>
      <c r="Q244" s="12"/>
      <c r="R244" s="36"/>
      <c r="S244" s="36"/>
      <c r="T244" s="12"/>
      <c r="U244" s="12"/>
      <c r="V244" s="12"/>
      <c r="W244" s="12"/>
      <c r="X244" s="12"/>
    </row>
    <row r="245" customFormat="false" ht="15.75" hidden="false" customHeight="false" outlineLevel="0" collapsed="false">
      <c r="A245" s="12"/>
      <c r="B245" s="34"/>
      <c r="C245" s="12"/>
      <c r="D245" s="12"/>
      <c r="E245" s="12"/>
      <c r="F245" s="12"/>
      <c r="G245" s="18"/>
      <c r="H245" s="35"/>
      <c r="I245" s="12"/>
      <c r="M245" s="12"/>
      <c r="N245" s="18"/>
      <c r="O245" s="12"/>
      <c r="P245" s="12"/>
      <c r="Q245" s="12"/>
      <c r="R245" s="36"/>
      <c r="S245" s="36"/>
      <c r="T245" s="12"/>
      <c r="U245" s="12"/>
      <c r="V245" s="12"/>
      <c r="W245" s="12"/>
      <c r="X245" s="12"/>
    </row>
    <row r="246" customFormat="false" ht="15.75" hidden="false" customHeight="false" outlineLevel="0" collapsed="false">
      <c r="A246" s="12"/>
      <c r="B246" s="34"/>
      <c r="C246" s="12"/>
      <c r="D246" s="12"/>
      <c r="E246" s="12"/>
      <c r="F246" s="12"/>
      <c r="G246" s="18"/>
      <c r="H246" s="35"/>
      <c r="I246" s="12"/>
      <c r="M246" s="12"/>
      <c r="N246" s="18"/>
      <c r="O246" s="12"/>
      <c r="P246" s="12"/>
      <c r="Q246" s="12"/>
      <c r="R246" s="36"/>
      <c r="S246" s="36"/>
      <c r="T246" s="12"/>
      <c r="U246" s="12"/>
      <c r="V246" s="12"/>
      <c r="W246" s="12"/>
      <c r="X246" s="12"/>
    </row>
    <row r="247" customFormat="false" ht="15.75" hidden="false" customHeight="false" outlineLevel="0" collapsed="false">
      <c r="A247" s="12"/>
      <c r="B247" s="34"/>
      <c r="C247" s="12"/>
      <c r="D247" s="12"/>
      <c r="E247" s="12"/>
      <c r="F247" s="12"/>
      <c r="G247" s="18"/>
      <c r="H247" s="35"/>
      <c r="I247" s="12"/>
      <c r="M247" s="12"/>
      <c r="N247" s="18"/>
      <c r="O247" s="12"/>
      <c r="P247" s="12"/>
      <c r="Q247" s="12"/>
      <c r="R247" s="36"/>
      <c r="S247" s="36"/>
      <c r="T247" s="12"/>
      <c r="U247" s="12"/>
      <c r="V247" s="12"/>
      <c r="W247" s="12"/>
      <c r="X247" s="12"/>
    </row>
    <row r="248" customFormat="false" ht="15.75" hidden="false" customHeight="false" outlineLevel="0" collapsed="false">
      <c r="A248" s="12"/>
      <c r="B248" s="34"/>
      <c r="C248" s="12"/>
      <c r="D248" s="12"/>
      <c r="E248" s="12"/>
      <c r="F248" s="12"/>
      <c r="G248" s="18"/>
      <c r="H248" s="35"/>
      <c r="I248" s="12"/>
      <c r="M248" s="12"/>
      <c r="N248" s="18"/>
      <c r="O248" s="12"/>
      <c r="P248" s="12"/>
      <c r="Q248" s="12"/>
      <c r="R248" s="36"/>
      <c r="S248" s="36"/>
      <c r="T248" s="12"/>
      <c r="U248" s="12"/>
      <c r="V248" s="12"/>
      <c r="W248" s="12"/>
      <c r="X248" s="12"/>
    </row>
    <row r="249" customFormat="false" ht="15.75" hidden="false" customHeight="false" outlineLevel="0" collapsed="false">
      <c r="A249" s="12"/>
      <c r="B249" s="34"/>
      <c r="C249" s="12"/>
      <c r="D249" s="12"/>
      <c r="E249" s="12"/>
      <c r="F249" s="12"/>
      <c r="G249" s="18"/>
      <c r="H249" s="35"/>
      <c r="I249" s="12"/>
      <c r="M249" s="12"/>
      <c r="N249" s="18"/>
      <c r="O249" s="12"/>
      <c r="P249" s="12"/>
      <c r="Q249" s="12"/>
      <c r="R249" s="36"/>
      <c r="S249" s="36"/>
      <c r="T249" s="12"/>
      <c r="U249" s="12"/>
      <c r="V249" s="12"/>
      <c r="W249" s="12"/>
      <c r="X249" s="12"/>
    </row>
    <row r="250" customFormat="false" ht="15.75" hidden="false" customHeight="false" outlineLevel="0" collapsed="false">
      <c r="A250" s="12"/>
      <c r="B250" s="34"/>
      <c r="C250" s="12"/>
      <c r="D250" s="12"/>
      <c r="E250" s="12"/>
      <c r="F250" s="12"/>
      <c r="G250" s="18"/>
      <c r="H250" s="35"/>
      <c r="I250" s="12"/>
      <c r="M250" s="12"/>
      <c r="N250" s="18"/>
      <c r="O250" s="12"/>
      <c r="P250" s="12"/>
      <c r="Q250" s="12"/>
      <c r="R250" s="36"/>
      <c r="S250" s="36"/>
      <c r="T250" s="12"/>
      <c r="U250" s="12"/>
      <c r="V250" s="12"/>
      <c r="W250" s="12"/>
      <c r="X250" s="12"/>
    </row>
    <row r="251" customFormat="false" ht="15.75" hidden="false" customHeight="false" outlineLevel="0" collapsed="false">
      <c r="A251" s="12"/>
      <c r="B251" s="34"/>
      <c r="C251" s="12"/>
      <c r="D251" s="12"/>
      <c r="E251" s="12"/>
      <c r="F251" s="12"/>
      <c r="G251" s="18"/>
      <c r="H251" s="35"/>
      <c r="I251" s="12"/>
      <c r="M251" s="12"/>
      <c r="N251" s="18"/>
      <c r="O251" s="12"/>
      <c r="P251" s="12"/>
      <c r="Q251" s="12"/>
      <c r="R251" s="36"/>
      <c r="S251" s="36"/>
      <c r="T251" s="12"/>
      <c r="U251" s="12"/>
      <c r="V251" s="12"/>
      <c r="W251" s="12"/>
      <c r="X251" s="12"/>
    </row>
    <row r="252" customFormat="false" ht="15.75" hidden="false" customHeight="false" outlineLevel="0" collapsed="false">
      <c r="A252" s="12"/>
      <c r="B252" s="34"/>
      <c r="C252" s="12"/>
      <c r="D252" s="12"/>
      <c r="E252" s="12"/>
      <c r="F252" s="12"/>
      <c r="G252" s="18"/>
      <c r="H252" s="35"/>
      <c r="I252" s="12"/>
      <c r="M252" s="12"/>
      <c r="N252" s="18"/>
      <c r="O252" s="12"/>
      <c r="P252" s="12"/>
      <c r="Q252" s="12"/>
      <c r="R252" s="36"/>
      <c r="S252" s="36"/>
      <c r="T252" s="12"/>
      <c r="U252" s="12"/>
      <c r="V252" s="12"/>
      <c r="W252" s="12"/>
      <c r="X252" s="12"/>
    </row>
    <row r="253" customFormat="false" ht="15.75" hidden="false" customHeight="false" outlineLevel="0" collapsed="false">
      <c r="A253" s="12"/>
      <c r="B253" s="34"/>
      <c r="C253" s="12"/>
      <c r="D253" s="12"/>
      <c r="E253" s="12"/>
      <c r="F253" s="12"/>
      <c r="G253" s="18"/>
      <c r="H253" s="35"/>
      <c r="I253" s="12"/>
      <c r="M253" s="12"/>
      <c r="N253" s="18"/>
      <c r="O253" s="12"/>
      <c r="P253" s="12"/>
      <c r="Q253" s="12"/>
      <c r="R253" s="36"/>
      <c r="S253" s="36"/>
      <c r="T253" s="12"/>
      <c r="U253" s="12"/>
      <c r="V253" s="12"/>
      <c r="W253" s="12"/>
      <c r="X253" s="12"/>
    </row>
    <row r="254" customFormat="false" ht="15.75" hidden="false" customHeight="false" outlineLevel="0" collapsed="false">
      <c r="A254" s="12"/>
      <c r="B254" s="34"/>
      <c r="C254" s="12"/>
      <c r="D254" s="12"/>
      <c r="E254" s="12"/>
      <c r="F254" s="12"/>
      <c r="G254" s="18"/>
      <c r="H254" s="35"/>
      <c r="I254" s="12"/>
      <c r="M254" s="12"/>
      <c r="N254" s="18"/>
      <c r="O254" s="12"/>
      <c r="P254" s="12"/>
      <c r="Q254" s="12"/>
      <c r="R254" s="36"/>
      <c r="S254" s="36"/>
      <c r="T254" s="12"/>
      <c r="U254" s="12"/>
      <c r="V254" s="12"/>
      <c r="W254" s="12"/>
      <c r="X254" s="12"/>
    </row>
    <row r="255" customFormat="false" ht="15.75" hidden="false" customHeight="false" outlineLevel="0" collapsed="false">
      <c r="A255" s="12"/>
      <c r="B255" s="34"/>
      <c r="C255" s="12"/>
      <c r="D255" s="12"/>
      <c r="E255" s="12"/>
      <c r="F255" s="12"/>
      <c r="G255" s="18"/>
      <c r="H255" s="35"/>
      <c r="I255" s="12"/>
      <c r="M255" s="12"/>
      <c r="N255" s="18"/>
      <c r="O255" s="12"/>
      <c r="P255" s="12"/>
      <c r="Q255" s="12"/>
      <c r="R255" s="36"/>
      <c r="S255" s="36"/>
      <c r="T255" s="12"/>
      <c r="U255" s="12"/>
      <c r="V255" s="12"/>
      <c r="W255" s="12"/>
      <c r="X255" s="12"/>
    </row>
    <row r="256" customFormat="false" ht="15.75" hidden="false" customHeight="false" outlineLevel="0" collapsed="false">
      <c r="A256" s="12"/>
      <c r="B256" s="34"/>
      <c r="C256" s="12"/>
      <c r="D256" s="12"/>
      <c r="E256" s="12"/>
      <c r="F256" s="12"/>
      <c r="G256" s="18"/>
      <c r="H256" s="35"/>
      <c r="I256" s="12"/>
      <c r="M256" s="12"/>
      <c r="N256" s="18"/>
      <c r="O256" s="12"/>
      <c r="P256" s="12"/>
      <c r="Q256" s="12"/>
      <c r="R256" s="36"/>
      <c r="S256" s="36"/>
      <c r="T256" s="12"/>
      <c r="U256" s="12"/>
      <c r="V256" s="12"/>
      <c r="W256" s="12"/>
      <c r="X256" s="12"/>
    </row>
    <row r="257" customFormat="false" ht="15.75" hidden="false" customHeight="false" outlineLevel="0" collapsed="false">
      <c r="A257" s="12"/>
      <c r="B257" s="34"/>
      <c r="C257" s="12"/>
      <c r="D257" s="12"/>
      <c r="E257" s="12"/>
      <c r="F257" s="12"/>
      <c r="G257" s="18"/>
      <c r="H257" s="35"/>
      <c r="I257" s="12"/>
      <c r="M257" s="12"/>
      <c r="N257" s="18"/>
      <c r="O257" s="12"/>
      <c r="P257" s="12"/>
      <c r="Q257" s="12"/>
      <c r="R257" s="36"/>
      <c r="S257" s="36"/>
      <c r="T257" s="12"/>
      <c r="U257" s="12"/>
      <c r="V257" s="12"/>
      <c r="W257" s="12"/>
      <c r="X257" s="12"/>
    </row>
    <row r="258" customFormat="false" ht="15.75" hidden="false" customHeight="false" outlineLevel="0" collapsed="false">
      <c r="A258" s="12"/>
      <c r="B258" s="34"/>
      <c r="C258" s="12"/>
      <c r="D258" s="12"/>
      <c r="E258" s="12"/>
      <c r="F258" s="12"/>
      <c r="G258" s="18"/>
      <c r="H258" s="35"/>
      <c r="I258" s="12"/>
      <c r="M258" s="12"/>
      <c r="N258" s="18"/>
      <c r="O258" s="12"/>
      <c r="P258" s="12"/>
      <c r="Q258" s="12"/>
      <c r="R258" s="36"/>
      <c r="S258" s="36"/>
      <c r="T258" s="12"/>
      <c r="U258" s="12"/>
      <c r="V258" s="12"/>
      <c r="W258" s="12"/>
      <c r="X258" s="12"/>
    </row>
    <row r="259" customFormat="false" ht="15.75" hidden="false" customHeight="false" outlineLevel="0" collapsed="false">
      <c r="A259" s="12"/>
      <c r="B259" s="34"/>
      <c r="C259" s="12"/>
      <c r="D259" s="12"/>
      <c r="E259" s="12"/>
      <c r="F259" s="12"/>
      <c r="G259" s="18"/>
      <c r="H259" s="35"/>
      <c r="I259" s="12"/>
      <c r="M259" s="12"/>
      <c r="N259" s="18"/>
      <c r="O259" s="12"/>
      <c r="P259" s="12"/>
      <c r="Q259" s="12"/>
      <c r="R259" s="36"/>
      <c r="S259" s="36"/>
      <c r="T259" s="12"/>
      <c r="U259" s="12"/>
      <c r="V259" s="12"/>
      <c r="W259" s="12"/>
      <c r="X259" s="12"/>
    </row>
    <row r="260" customFormat="false" ht="15.75" hidden="false" customHeight="false" outlineLevel="0" collapsed="false">
      <c r="A260" s="12"/>
      <c r="B260" s="34"/>
      <c r="C260" s="12"/>
      <c r="D260" s="12"/>
      <c r="E260" s="12"/>
      <c r="F260" s="12"/>
      <c r="G260" s="18"/>
      <c r="H260" s="35"/>
      <c r="I260" s="12"/>
      <c r="M260" s="12"/>
      <c r="N260" s="18"/>
      <c r="O260" s="12"/>
      <c r="P260" s="12"/>
      <c r="Q260" s="12"/>
      <c r="R260" s="36"/>
      <c r="S260" s="36"/>
      <c r="T260" s="12"/>
      <c r="U260" s="12"/>
      <c r="V260" s="12"/>
      <c r="W260" s="12"/>
      <c r="X260" s="12"/>
    </row>
    <row r="261" customFormat="false" ht="15.75" hidden="false" customHeight="false" outlineLevel="0" collapsed="false">
      <c r="A261" s="12"/>
      <c r="B261" s="34"/>
      <c r="C261" s="12"/>
      <c r="D261" s="12"/>
      <c r="E261" s="12"/>
      <c r="F261" s="12"/>
      <c r="G261" s="18"/>
      <c r="H261" s="35"/>
      <c r="I261" s="12"/>
      <c r="M261" s="12"/>
      <c r="N261" s="18"/>
      <c r="O261" s="12"/>
      <c r="P261" s="12"/>
      <c r="Q261" s="12"/>
      <c r="R261" s="36"/>
      <c r="S261" s="36"/>
      <c r="T261" s="12"/>
      <c r="U261" s="12"/>
      <c r="V261" s="12"/>
      <c r="W261" s="12"/>
      <c r="X261" s="12"/>
    </row>
    <row r="262" customFormat="false" ht="15.75" hidden="false" customHeight="false" outlineLevel="0" collapsed="false">
      <c r="A262" s="12"/>
      <c r="B262" s="34"/>
      <c r="C262" s="12"/>
      <c r="D262" s="12"/>
      <c r="E262" s="12"/>
      <c r="F262" s="12"/>
      <c r="G262" s="18"/>
      <c r="H262" s="35"/>
      <c r="I262" s="12"/>
      <c r="M262" s="12"/>
      <c r="N262" s="18"/>
      <c r="O262" s="12"/>
      <c r="P262" s="12"/>
      <c r="Q262" s="12"/>
      <c r="R262" s="36"/>
      <c r="S262" s="36"/>
      <c r="T262" s="12"/>
      <c r="U262" s="12"/>
      <c r="V262" s="12"/>
      <c r="W262" s="12"/>
      <c r="X262" s="12"/>
    </row>
    <row r="263" customFormat="false" ht="15.75" hidden="false" customHeight="false" outlineLevel="0" collapsed="false">
      <c r="A263" s="12"/>
      <c r="B263" s="34"/>
      <c r="C263" s="12"/>
      <c r="D263" s="12"/>
      <c r="E263" s="12"/>
      <c r="F263" s="12"/>
      <c r="G263" s="18"/>
      <c r="H263" s="35"/>
      <c r="I263" s="12"/>
      <c r="M263" s="12"/>
      <c r="N263" s="18"/>
      <c r="O263" s="12"/>
      <c r="P263" s="12"/>
      <c r="Q263" s="12"/>
      <c r="R263" s="36"/>
      <c r="S263" s="36"/>
      <c r="T263" s="12"/>
      <c r="U263" s="12"/>
      <c r="V263" s="12"/>
      <c r="W263" s="12"/>
      <c r="X263" s="12"/>
    </row>
    <row r="264" customFormat="false" ht="15.75" hidden="false" customHeight="false" outlineLevel="0" collapsed="false">
      <c r="A264" s="12"/>
      <c r="B264" s="34"/>
      <c r="C264" s="12"/>
      <c r="D264" s="12"/>
      <c r="E264" s="12"/>
      <c r="F264" s="12"/>
      <c r="G264" s="18"/>
      <c r="H264" s="35"/>
      <c r="I264" s="12"/>
      <c r="M264" s="12"/>
      <c r="N264" s="18"/>
      <c r="O264" s="12"/>
      <c r="P264" s="12"/>
      <c r="Q264" s="12"/>
      <c r="R264" s="36"/>
      <c r="S264" s="36"/>
      <c r="T264" s="12"/>
      <c r="U264" s="12"/>
      <c r="V264" s="12"/>
      <c r="W264" s="12"/>
      <c r="X264" s="12"/>
    </row>
    <row r="265" customFormat="false" ht="15.75" hidden="false" customHeight="false" outlineLevel="0" collapsed="false">
      <c r="A265" s="12"/>
      <c r="B265" s="34"/>
      <c r="C265" s="12"/>
      <c r="D265" s="12"/>
      <c r="E265" s="12"/>
      <c r="F265" s="12"/>
      <c r="G265" s="18"/>
      <c r="H265" s="35"/>
      <c r="I265" s="12"/>
      <c r="M265" s="12"/>
      <c r="N265" s="18"/>
      <c r="O265" s="12"/>
      <c r="P265" s="12"/>
      <c r="Q265" s="12"/>
      <c r="R265" s="36"/>
      <c r="S265" s="36"/>
      <c r="T265" s="12"/>
      <c r="U265" s="12"/>
      <c r="V265" s="12"/>
      <c r="W265" s="12"/>
      <c r="X265" s="12"/>
    </row>
    <row r="266" customFormat="false" ht="15.75" hidden="false" customHeight="false" outlineLevel="0" collapsed="false">
      <c r="A266" s="12"/>
      <c r="B266" s="34"/>
      <c r="C266" s="12"/>
      <c r="D266" s="12"/>
      <c r="E266" s="12"/>
      <c r="F266" s="12"/>
      <c r="G266" s="18"/>
      <c r="H266" s="35"/>
      <c r="I266" s="12"/>
      <c r="M266" s="12"/>
      <c r="N266" s="18"/>
      <c r="O266" s="12"/>
      <c r="P266" s="12"/>
      <c r="Q266" s="12"/>
      <c r="R266" s="36"/>
      <c r="S266" s="36"/>
      <c r="T266" s="12"/>
      <c r="U266" s="12"/>
      <c r="V266" s="12"/>
      <c r="W266" s="12"/>
      <c r="X266" s="12"/>
    </row>
    <row r="267" customFormat="false" ht="15.75" hidden="false" customHeight="false" outlineLevel="0" collapsed="false">
      <c r="A267" s="12"/>
      <c r="B267" s="34"/>
      <c r="C267" s="12"/>
      <c r="D267" s="12"/>
      <c r="E267" s="12"/>
      <c r="F267" s="12"/>
      <c r="G267" s="18"/>
      <c r="H267" s="35"/>
      <c r="I267" s="12"/>
      <c r="M267" s="12"/>
      <c r="N267" s="18"/>
      <c r="O267" s="12"/>
      <c r="P267" s="12"/>
      <c r="Q267" s="12"/>
      <c r="R267" s="36"/>
      <c r="S267" s="36"/>
      <c r="T267" s="12"/>
      <c r="U267" s="12"/>
      <c r="V267" s="12"/>
      <c r="W267" s="12"/>
      <c r="X267" s="12"/>
    </row>
    <row r="268" customFormat="false" ht="15.75" hidden="false" customHeight="false" outlineLevel="0" collapsed="false">
      <c r="A268" s="12"/>
      <c r="B268" s="34"/>
      <c r="C268" s="12"/>
      <c r="D268" s="12"/>
      <c r="E268" s="12"/>
      <c r="F268" s="12"/>
      <c r="G268" s="18"/>
      <c r="H268" s="35"/>
      <c r="I268" s="12"/>
      <c r="M268" s="12"/>
      <c r="N268" s="18"/>
      <c r="O268" s="12"/>
      <c r="P268" s="12"/>
      <c r="Q268" s="12"/>
      <c r="R268" s="36"/>
      <c r="S268" s="36"/>
      <c r="T268" s="12"/>
      <c r="U268" s="12"/>
      <c r="V268" s="12"/>
      <c r="W268" s="12"/>
      <c r="X268" s="12"/>
    </row>
    <row r="269" customFormat="false" ht="15.75" hidden="false" customHeight="false" outlineLevel="0" collapsed="false">
      <c r="A269" s="12"/>
      <c r="B269" s="34"/>
      <c r="C269" s="12"/>
      <c r="D269" s="12"/>
      <c r="E269" s="12"/>
      <c r="F269" s="12"/>
      <c r="G269" s="18"/>
      <c r="H269" s="35"/>
      <c r="I269" s="12"/>
      <c r="M269" s="12"/>
      <c r="N269" s="18"/>
      <c r="O269" s="12"/>
      <c r="P269" s="12"/>
      <c r="Q269" s="12"/>
      <c r="R269" s="36"/>
      <c r="S269" s="36"/>
      <c r="T269" s="12"/>
      <c r="U269" s="12"/>
      <c r="V269" s="12"/>
      <c r="W269" s="12"/>
      <c r="X269" s="12"/>
    </row>
    <row r="270" customFormat="false" ht="15.75" hidden="false" customHeight="false" outlineLevel="0" collapsed="false">
      <c r="A270" s="12"/>
      <c r="B270" s="34"/>
      <c r="C270" s="12"/>
      <c r="D270" s="12"/>
      <c r="E270" s="12"/>
      <c r="F270" s="12"/>
      <c r="G270" s="18"/>
      <c r="H270" s="35"/>
      <c r="I270" s="12"/>
      <c r="M270" s="12"/>
      <c r="N270" s="18"/>
      <c r="O270" s="12"/>
      <c r="P270" s="12"/>
      <c r="Q270" s="12"/>
      <c r="R270" s="36"/>
      <c r="S270" s="36"/>
      <c r="T270" s="12"/>
      <c r="U270" s="12"/>
      <c r="V270" s="12"/>
      <c r="W270" s="12"/>
      <c r="X270" s="12"/>
    </row>
    <row r="271" customFormat="false" ht="15.75" hidden="false" customHeight="false" outlineLevel="0" collapsed="false">
      <c r="A271" s="12"/>
      <c r="B271" s="34"/>
      <c r="C271" s="12"/>
      <c r="D271" s="12"/>
      <c r="E271" s="12"/>
      <c r="F271" s="12"/>
      <c r="G271" s="18"/>
      <c r="H271" s="35"/>
      <c r="I271" s="12"/>
      <c r="M271" s="12"/>
      <c r="N271" s="18"/>
      <c r="O271" s="12"/>
      <c r="P271" s="12"/>
      <c r="Q271" s="12"/>
      <c r="R271" s="36"/>
      <c r="S271" s="36"/>
      <c r="T271" s="12"/>
      <c r="U271" s="12"/>
      <c r="V271" s="12"/>
      <c r="W271" s="12"/>
      <c r="X271" s="12"/>
    </row>
    <row r="272" customFormat="false" ht="15.75" hidden="false" customHeight="false" outlineLevel="0" collapsed="false">
      <c r="A272" s="12"/>
      <c r="B272" s="34"/>
      <c r="C272" s="12"/>
      <c r="D272" s="12"/>
      <c r="E272" s="12"/>
      <c r="F272" s="12"/>
      <c r="G272" s="18"/>
      <c r="H272" s="35"/>
      <c r="I272" s="12"/>
      <c r="M272" s="12"/>
      <c r="N272" s="18"/>
      <c r="O272" s="12"/>
      <c r="P272" s="12"/>
      <c r="Q272" s="12"/>
      <c r="R272" s="36"/>
      <c r="S272" s="36"/>
      <c r="T272" s="12"/>
      <c r="U272" s="12"/>
      <c r="V272" s="12"/>
      <c r="W272" s="12"/>
      <c r="X272" s="12"/>
    </row>
    <row r="273" customFormat="false" ht="15.75" hidden="false" customHeight="false" outlineLevel="0" collapsed="false">
      <c r="A273" s="12"/>
      <c r="B273" s="34"/>
      <c r="C273" s="12"/>
      <c r="D273" s="12"/>
      <c r="E273" s="12"/>
      <c r="F273" s="12"/>
      <c r="G273" s="18"/>
      <c r="H273" s="35"/>
      <c r="I273" s="12"/>
      <c r="M273" s="12"/>
      <c r="N273" s="18"/>
      <c r="O273" s="12"/>
      <c r="P273" s="12"/>
      <c r="Q273" s="12"/>
      <c r="R273" s="36"/>
      <c r="S273" s="36"/>
      <c r="T273" s="12"/>
      <c r="U273" s="12"/>
      <c r="V273" s="12"/>
      <c r="W273" s="12"/>
      <c r="X273" s="12"/>
    </row>
    <row r="274" customFormat="false" ht="15.75" hidden="false" customHeight="false" outlineLevel="0" collapsed="false">
      <c r="A274" s="12"/>
      <c r="B274" s="34"/>
      <c r="C274" s="12"/>
      <c r="D274" s="12"/>
      <c r="E274" s="12"/>
      <c r="F274" s="12"/>
      <c r="G274" s="18"/>
      <c r="H274" s="35"/>
      <c r="I274" s="12"/>
      <c r="M274" s="12"/>
      <c r="N274" s="18"/>
      <c r="O274" s="12"/>
      <c r="P274" s="12"/>
      <c r="Q274" s="12"/>
      <c r="R274" s="36"/>
      <c r="S274" s="36"/>
      <c r="T274" s="12"/>
      <c r="U274" s="12"/>
      <c r="V274" s="12"/>
      <c r="W274" s="12"/>
      <c r="X274" s="12"/>
    </row>
    <row r="275" customFormat="false" ht="15.75" hidden="false" customHeight="false" outlineLevel="0" collapsed="false">
      <c r="A275" s="12"/>
      <c r="B275" s="34"/>
      <c r="C275" s="12"/>
      <c r="D275" s="12"/>
      <c r="E275" s="12"/>
      <c r="F275" s="12"/>
      <c r="G275" s="18"/>
      <c r="H275" s="35"/>
      <c r="I275" s="12"/>
      <c r="M275" s="12"/>
      <c r="N275" s="18"/>
      <c r="O275" s="12"/>
      <c r="P275" s="12"/>
      <c r="Q275" s="12"/>
      <c r="R275" s="36"/>
      <c r="S275" s="36"/>
      <c r="T275" s="12"/>
      <c r="U275" s="12"/>
      <c r="V275" s="12"/>
      <c r="W275" s="12"/>
      <c r="X275" s="12"/>
    </row>
    <row r="276" customFormat="false" ht="15.75" hidden="false" customHeight="false" outlineLevel="0" collapsed="false">
      <c r="A276" s="12"/>
      <c r="B276" s="34"/>
      <c r="C276" s="12"/>
      <c r="D276" s="12"/>
      <c r="E276" s="12"/>
      <c r="F276" s="12"/>
      <c r="G276" s="18"/>
      <c r="H276" s="35"/>
      <c r="I276" s="12"/>
      <c r="M276" s="12"/>
      <c r="N276" s="18"/>
      <c r="O276" s="12"/>
      <c r="P276" s="12"/>
      <c r="Q276" s="12"/>
      <c r="R276" s="36"/>
      <c r="S276" s="36"/>
      <c r="T276" s="12"/>
      <c r="U276" s="12"/>
      <c r="V276" s="12"/>
      <c r="W276" s="12"/>
      <c r="X276" s="12"/>
    </row>
    <row r="277" customFormat="false" ht="15.75" hidden="false" customHeight="false" outlineLevel="0" collapsed="false">
      <c r="A277" s="12"/>
      <c r="B277" s="34"/>
      <c r="C277" s="12"/>
      <c r="D277" s="12"/>
      <c r="E277" s="12"/>
      <c r="F277" s="12"/>
      <c r="G277" s="18"/>
      <c r="H277" s="35"/>
      <c r="I277" s="12"/>
      <c r="M277" s="12"/>
      <c r="N277" s="18"/>
      <c r="O277" s="12"/>
      <c r="P277" s="12"/>
      <c r="Q277" s="12"/>
      <c r="R277" s="36"/>
      <c r="S277" s="36"/>
      <c r="T277" s="12"/>
      <c r="U277" s="12"/>
      <c r="V277" s="12"/>
      <c r="W277" s="12"/>
      <c r="X277" s="12"/>
    </row>
    <row r="278" customFormat="false" ht="15.75" hidden="false" customHeight="false" outlineLevel="0" collapsed="false">
      <c r="A278" s="12"/>
      <c r="B278" s="34"/>
      <c r="C278" s="12"/>
      <c r="D278" s="12"/>
      <c r="E278" s="12"/>
      <c r="F278" s="12"/>
      <c r="G278" s="18"/>
      <c r="H278" s="35"/>
      <c r="I278" s="12"/>
      <c r="M278" s="12"/>
      <c r="N278" s="18"/>
      <c r="O278" s="12"/>
      <c r="P278" s="12"/>
      <c r="Q278" s="12"/>
      <c r="R278" s="36"/>
      <c r="S278" s="36"/>
      <c r="T278" s="12"/>
      <c r="U278" s="12"/>
      <c r="V278" s="12"/>
      <c r="W278" s="12"/>
      <c r="X278" s="12"/>
    </row>
    <row r="279" customFormat="false" ht="15.75" hidden="false" customHeight="false" outlineLevel="0" collapsed="false">
      <c r="A279" s="12"/>
      <c r="B279" s="34"/>
      <c r="C279" s="12"/>
      <c r="D279" s="12"/>
      <c r="E279" s="12"/>
      <c r="F279" s="12"/>
      <c r="G279" s="18"/>
      <c r="H279" s="35"/>
      <c r="I279" s="12"/>
      <c r="M279" s="12"/>
      <c r="N279" s="18"/>
      <c r="O279" s="12"/>
      <c r="P279" s="12"/>
      <c r="Q279" s="12"/>
      <c r="R279" s="36"/>
      <c r="S279" s="36"/>
      <c r="T279" s="12"/>
      <c r="U279" s="12"/>
      <c r="V279" s="12"/>
      <c r="W279" s="12"/>
      <c r="X279" s="12"/>
    </row>
    <row r="280" customFormat="false" ht="15.75" hidden="false" customHeight="false" outlineLevel="0" collapsed="false">
      <c r="A280" s="12"/>
      <c r="B280" s="34"/>
      <c r="C280" s="12"/>
      <c r="D280" s="12"/>
      <c r="E280" s="12"/>
      <c r="F280" s="12"/>
      <c r="G280" s="18"/>
      <c r="H280" s="35"/>
      <c r="I280" s="12"/>
      <c r="M280" s="12"/>
      <c r="N280" s="18"/>
      <c r="O280" s="12"/>
      <c r="P280" s="12"/>
      <c r="Q280" s="12"/>
      <c r="R280" s="36"/>
      <c r="S280" s="36"/>
      <c r="T280" s="12"/>
      <c r="U280" s="12"/>
      <c r="V280" s="12"/>
      <c r="W280" s="12"/>
      <c r="X280" s="12"/>
    </row>
    <row r="281" customFormat="false" ht="15.75" hidden="false" customHeight="false" outlineLevel="0" collapsed="false">
      <c r="A281" s="12"/>
      <c r="B281" s="34"/>
      <c r="C281" s="12"/>
      <c r="D281" s="12"/>
      <c r="E281" s="12"/>
      <c r="F281" s="12"/>
      <c r="G281" s="18"/>
      <c r="H281" s="35"/>
      <c r="I281" s="12"/>
      <c r="M281" s="12"/>
      <c r="N281" s="18"/>
      <c r="O281" s="12"/>
      <c r="P281" s="12"/>
      <c r="Q281" s="12"/>
      <c r="R281" s="36"/>
      <c r="S281" s="36"/>
      <c r="T281" s="12"/>
      <c r="U281" s="12"/>
      <c r="V281" s="12"/>
      <c r="W281" s="12"/>
      <c r="X281" s="12"/>
    </row>
    <row r="282" customFormat="false" ht="15.75" hidden="false" customHeight="false" outlineLevel="0" collapsed="false">
      <c r="A282" s="12"/>
      <c r="B282" s="34"/>
      <c r="C282" s="12"/>
      <c r="D282" s="12"/>
      <c r="E282" s="12"/>
      <c r="F282" s="12"/>
      <c r="G282" s="18"/>
      <c r="H282" s="35"/>
      <c r="I282" s="12"/>
      <c r="M282" s="12"/>
      <c r="N282" s="18"/>
      <c r="O282" s="12"/>
      <c r="P282" s="12"/>
      <c r="Q282" s="12"/>
      <c r="R282" s="36"/>
      <c r="S282" s="36"/>
      <c r="T282" s="12"/>
      <c r="U282" s="12"/>
      <c r="V282" s="12"/>
      <c r="W282" s="12"/>
      <c r="X282" s="12"/>
    </row>
    <row r="283" customFormat="false" ht="15.75" hidden="false" customHeight="false" outlineLevel="0" collapsed="false">
      <c r="A283" s="12"/>
      <c r="B283" s="34"/>
      <c r="C283" s="12"/>
      <c r="D283" s="12"/>
      <c r="E283" s="12"/>
      <c r="F283" s="12"/>
      <c r="G283" s="18"/>
      <c r="H283" s="35"/>
      <c r="I283" s="12"/>
      <c r="M283" s="12"/>
      <c r="N283" s="18"/>
      <c r="O283" s="12"/>
      <c r="P283" s="12"/>
      <c r="Q283" s="12"/>
      <c r="R283" s="36"/>
      <c r="S283" s="36"/>
      <c r="T283" s="12"/>
      <c r="U283" s="12"/>
      <c r="V283" s="12"/>
      <c r="W283" s="12"/>
      <c r="X283" s="12"/>
    </row>
    <row r="284" customFormat="false" ht="15.75" hidden="false" customHeight="false" outlineLevel="0" collapsed="false">
      <c r="A284" s="12"/>
      <c r="B284" s="34"/>
      <c r="C284" s="12"/>
      <c r="D284" s="12"/>
      <c r="E284" s="12"/>
      <c r="F284" s="12"/>
      <c r="G284" s="18"/>
      <c r="H284" s="35"/>
      <c r="I284" s="12"/>
      <c r="M284" s="12"/>
      <c r="N284" s="18"/>
      <c r="O284" s="12"/>
      <c r="P284" s="12"/>
      <c r="Q284" s="12"/>
      <c r="R284" s="36"/>
      <c r="S284" s="36"/>
      <c r="T284" s="12"/>
      <c r="U284" s="12"/>
      <c r="V284" s="12"/>
      <c r="W284" s="12"/>
      <c r="X284" s="12"/>
    </row>
    <row r="285" customFormat="false" ht="15.75" hidden="false" customHeight="false" outlineLevel="0" collapsed="false">
      <c r="A285" s="12"/>
      <c r="B285" s="34"/>
      <c r="C285" s="12"/>
      <c r="D285" s="12"/>
      <c r="E285" s="12"/>
      <c r="F285" s="12"/>
      <c r="G285" s="18"/>
      <c r="H285" s="35"/>
      <c r="I285" s="12"/>
      <c r="M285" s="12"/>
      <c r="N285" s="18"/>
      <c r="O285" s="12"/>
      <c r="P285" s="12"/>
      <c r="Q285" s="12"/>
      <c r="R285" s="36"/>
      <c r="S285" s="36"/>
      <c r="T285" s="12"/>
      <c r="U285" s="12"/>
      <c r="V285" s="12"/>
      <c r="W285" s="12"/>
      <c r="X285" s="12"/>
    </row>
    <row r="286" customFormat="false" ht="15.75" hidden="false" customHeight="false" outlineLevel="0" collapsed="false">
      <c r="A286" s="12"/>
      <c r="B286" s="34"/>
      <c r="C286" s="12"/>
      <c r="D286" s="12"/>
      <c r="E286" s="12"/>
      <c r="F286" s="12"/>
      <c r="G286" s="18"/>
      <c r="H286" s="35"/>
      <c r="I286" s="12"/>
      <c r="M286" s="12"/>
      <c r="N286" s="18"/>
      <c r="O286" s="12"/>
      <c r="P286" s="12"/>
      <c r="Q286" s="12"/>
      <c r="R286" s="36"/>
      <c r="S286" s="36"/>
      <c r="T286" s="12"/>
      <c r="U286" s="12"/>
      <c r="V286" s="12"/>
      <c r="W286" s="12"/>
      <c r="X286" s="12"/>
    </row>
    <row r="287" customFormat="false" ht="15.75" hidden="false" customHeight="false" outlineLevel="0" collapsed="false">
      <c r="A287" s="12"/>
      <c r="B287" s="34"/>
      <c r="C287" s="12"/>
      <c r="D287" s="12"/>
      <c r="E287" s="12"/>
      <c r="F287" s="12"/>
      <c r="G287" s="18"/>
      <c r="H287" s="35"/>
      <c r="I287" s="12"/>
      <c r="M287" s="12"/>
      <c r="N287" s="18"/>
      <c r="O287" s="12"/>
      <c r="P287" s="12"/>
      <c r="Q287" s="12"/>
      <c r="R287" s="36"/>
      <c r="S287" s="36"/>
      <c r="T287" s="12"/>
      <c r="U287" s="12"/>
      <c r="V287" s="12"/>
      <c r="W287" s="12"/>
      <c r="X287" s="12"/>
    </row>
    <row r="288" customFormat="false" ht="15.75" hidden="false" customHeight="false" outlineLevel="0" collapsed="false">
      <c r="A288" s="12"/>
      <c r="B288" s="34"/>
      <c r="C288" s="12"/>
      <c r="D288" s="12"/>
      <c r="E288" s="12"/>
      <c r="F288" s="12"/>
      <c r="G288" s="18"/>
      <c r="H288" s="35"/>
      <c r="I288" s="12"/>
      <c r="M288" s="12"/>
      <c r="N288" s="18"/>
      <c r="O288" s="12"/>
      <c r="P288" s="12"/>
      <c r="Q288" s="12"/>
      <c r="R288" s="36"/>
      <c r="S288" s="36"/>
      <c r="T288" s="12"/>
      <c r="U288" s="12"/>
      <c r="V288" s="12"/>
      <c r="W288" s="12"/>
      <c r="X288" s="12"/>
    </row>
    <row r="289" customFormat="false" ht="15.75" hidden="false" customHeight="false" outlineLevel="0" collapsed="false">
      <c r="A289" s="12"/>
      <c r="B289" s="34"/>
      <c r="C289" s="12"/>
      <c r="D289" s="12"/>
      <c r="E289" s="12"/>
      <c r="F289" s="12"/>
      <c r="G289" s="18"/>
      <c r="H289" s="35"/>
      <c r="I289" s="12"/>
      <c r="M289" s="12"/>
      <c r="N289" s="18"/>
      <c r="O289" s="12"/>
      <c r="P289" s="12"/>
      <c r="Q289" s="12"/>
      <c r="R289" s="36"/>
      <c r="S289" s="36"/>
      <c r="T289" s="12"/>
      <c r="U289" s="12"/>
      <c r="V289" s="12"/>
      <c r="W289" s="12"/>
      <c r="X289" s="12"/>
    </row>
    <row r="290" customFormat="false" ht="15.75" hidden="false" customHeight="false" outlineLevel="0" collapsed="false">
      <c r="A290" s="12"/>
      <c r="B290" s="34"/>
      <c r="C290" s="12"/>
      <c r="D290" s="12"/>
      <c r="E290" s="12"/>
      <c r="F290" s="12"/>
      <c r="G290" s="18"/>
      <c r="H290" s="35"/>
      <c r="I290" s="12"/>
      <c r="M290" s="12"/>
      <c r="N290" s="18"/>
      <c r="O290" s="12"/>
      <c r="P290" s="12"/>
      <c r="Q290" s="12"/>
      <c r="R290" s="36"/>
      <c r="S290" s="36"/>
      <c r="T290" s="12"/>
      <c r="U290" s="12"/>
      <c r="V290" s="12"/>
      <c r="W290" s="12"/>
      <c r="X290" s="12"/>
    </row>
    <row r="291" customFormat="false" ht="15.75" hidden="false" customHeight="false" outlineLevel="0" collapsed="false">
      <c r="A291" s="12"/>
      <c r="B291" s="34"/>
      <c r="C291" s="12"/>
      <c r="D291" s="12"/>
      <c r="E291" s="12"/>
      <c r="F291" s="12"/>
      <c r="G291" s="18"/>
      <c r="H291" s="35"/>
      <c r="I291" s="12"/>
      <c r="M291" s="12"/>
      <c r="N291" s="18"/>
      <c r="O291" s="12"/>
      <c r="P291" s="12"/>
      <c r="Q291" s="12"/>
      <c r="R291" s="36"/>
      <c r="S291" s="36"/>
      <c r="T291" s="12"/>
      <c r="U291" s="12"/>
      <c r="V291" s="12"/>
      <c r="W291" s="12"/>
      <c r="X291" s="12"/>
    </row>
    <row r="292" customFormat="false" ht="15.75" hidden="false" customHeight="false" outlineLevel="0" collapsed="false">
      <c r="A292" s="12"/>
      <c r="B292" s="34"/>
      <c r="C292" s="12"/>
      <c r="D292" s="12"/>
      <c r="E292" s="12"/>
      <c r="F292" s="12"/>
      <c r="G292" s="18"/>
      <c r="H292" s="35"/>
      <c r="I292" s="12"/>
      <c r="M292" s="12"/>
      <c r="N292" s="18"/>
      <c r="O292" s="12"/>
      <c r="P292" s="12"/>
      <c r="Q292" s="12"/>
      <c r="R292" s="36"/>
      <c r="S292" s="36"/>
      <c r="T292" s="12"/>
      <c r="U292" s="12"/>
      <c r="V292" s="12"/>
      <c r="W292" s="12"/>
      <c r="X292" s="12"/>
    </row>
    <row r="293" customFormat="false" ht="15.75" hidden="false" customHeight="false" outlineLevel="0" collapsed="false">
      <c r="A293" s="12"/>
      <c r="B293" s="34"/>
      <c r="C293" s="12"/>
      <c r="D293" s="12"/>
      <c r="E293" s="12"/>
      <c r="F293" s="12"/>
      <c r="G293" s="18"/>
      <c r="H293" s="35"/>
      <c r="I293" s="12"/>
      <c r="M293" s="12"/>
      <c r="N293" s="18"/>
      <c r="O293" s="12"/>
      <c r="P293" s="12"/>
      <c r="Q293" s="12"/>
      <c r="R293" s="36"/>
      <c r="S293" s="36"/>
      <c r="T293" s="12"/>
      <c r="U293" s="12"/>
      <c r="V293" s="12"/>
      <c r="W293" s="12"/>
      <c r="X293" s="12"/>
    </row>
    <row r="294" customFormat="false" ht="15.75" hidden="false" customHeight="false" outlineLevel="0" collapsed="false">
      <c r="A294" s="12"/>
      <c r="B294" s="34"/>
      <c r="C294" s="12"/>
      <c r="D294" s="12"/>
      <c r="E294" s="12"/>
      <c r="F294" s="12"/>
      <c r="G294" s="18"/>
      <c r="H294" s="35"/>
      <c r="I294" s="12"/>
      <c r="M294" s="12"/>
      <c r="N294" s="18"/>
      <c r="O294" s="12"/>
      <c r="P294" s="12"/>
      <c r="Q294" s="12"/>
      <c r="R294" s="36"/>
      <c r="S294" s="36"/>
      <c r="T294" s="12"/>
      <c r="U294" s="12"/>
      <c r="V294" s="12"/>
      <c r="W294" s="12"/>
      <c r="X294" s="12"/>
    </row>
    <row r="295" customFormat="false" ht="15.75" hidden="false" customHeight="false" outlineLevel="0" collapsed="false">
      <c r="A295" s="12"/>
      <c r="B295" s="34"/>
      <c r="C295" s="12"/>
      <c r="D295" s="12"/>
      <c r="E295" s="12"/>
      <c r="F295" s="12"/>
      <c r="G295" s="18"/>
      <c r="H295" s="35"/>
      <c r="I295" s="12"/>
      <c r="M295" s="12"/>
      <c r="N295" s="18"/>
      <c r="O295" s="12"/>
      <c r="P295" s="12"/>
      <c r="Q295" s="12"/>
      <c r="R295" s="36"/>
      <c r="S295" s="36"/>
      <c r="T295" s="12"/>
      <c r="U295" s="12"/>
      <c r="V295" s="12"/>
      <c r="W295" s="12"/>
      <c r="X295" s="12"/>
    </row>
    <row r="296" customFormat="false" ht="15.75" hidden="false" customHeight="false" outlineLevel="0" collapsed="false">
      <c r="A296" s="12"/>
      <c r="B296" s="34"/>
      <c r="C296" s="12"/>
      <c r="D296" s="12"/>
      <c r="E296" s="12"/>
      <c r="F296" s="12"/>
      <c r="G296" s="18"/>
      <c r="H296" s="35"/>
      <c r="I296" s="12"/>
      <c r="M296" s="12"/>
      <c r="N296" s="18"/>
      <c r="O296" s="12"/>
      <c r="P296" s="12"/>
      <c r="Q296" s="12"/>
      <c r="R296" s="36"/>
      <c r="S296" s="36"/>
      <c r="T296" s="12"/>
      <c r="U296" s="12"/>
      <c r="V296" s="12"/>
      <c r="W296" s="12"/>
      <c r="X296" s="12"/>
    </row>
    <row r="297" customFormat="false" ht="15.75" hidden="false" customHeight="false" outlineLevel="0" collapsed="false">
      <c r="A297" s="12"/>
      <c r="B297" s="34"/>
      <c r="C297" s="12"/>
      <c r="D297" s="12"/>
      <c r="E297" s="12"/>
      <c r="F297" s="12"/>
      <c r="G297" s="18"/>
      <c r="H297" s="35"/>
      <c r="I297" s="12"/>
      <c r="M297" s="12"/>
      <c r="N297" s="18"/>
      <c r="O297" s="12"/>
      <c r="P297" s="12"/>
      <c r="Q297" s="12"/>
      <c r="R297" s="36"/>
      <c r="S297" s="36"/>
      <c r="T297" s="12"/>
      <c r="U297" s="12"/>
      <c r="V297" s="12"/>
      <c r="W297" s="12"/>
      <c r="X297" s="12"/>
    </row>
    <row r="298" customFormat="false" ht="15.75" hidden="false" customHeight="false" outlineLevel="0" collapsed="false">
      <c r="A298" s="12"/>
      <c r="B298" s="34"/>
      <c r="C298" s="12"/>
      <c r="D298" s="12"/>
      <c r="E298" s="12"/>
      <c r="F298" s="12"/>
      <c r="G298" s="18"/>
      <c r="H298" s="35"/>
      <c r="I298" s="12"/>
      <c r="M298" s="12"/>
      <c r="N298" s="18"/>
      <c r="O298" s="12"/>
      <c r="P298" s="12"/>
      <c r="Q298" s="12"/>
      <c r="R298" s="36"/>
      <c r="S298" s="36"/>
      <c r="T298" s="12"/>
      <c r="U298" s="12"/>
      <c r="V298" s="12"/>
      <c r="W298" s="12"/>
      <c r="X298" s="12"/>
    </row>
    <row r="299" customFormat="false" ht="15.75" hidden="false" customHeight="false" outlineLevel="0" collapsed="false">
      <c r="A299" s="12"/>
      <c r="B299" s="34"/>
      <c r="C299" s="12"/>
      <c r="D299" s="12"/>
      <c r="E299" s="12"/>
      <c r="F299" s="12"/>
      <c r="G299" s="18"/>
      <c r="H299" s="35"/>
      <c r="I299" s="12"/>
      <c r="M299" s="12"/>
      <c r="N299" s="18"/>
      <c r="O299" s="12"/>
      <c r="P299" s="12"/>
      <c r="Q299" s="12"/>
      <c r="R299" s="36"/>
      <c r="S299" s="36"/>
      <c r="T299" s="12"/>
      <c r="U299" s="12"/>
      <c r="V299" s="12"/>
      <c r="W299" s="12"/>
      <c r="X299" s="12"/>
    </row>
    <row r="300" customFormat="false" ht="15.75" hidden="false" customHeight="false" outlineLevel="0" collapsed="false">
      <c r="A300" s="12"/>
      <c r="B300" s="34"/>
      <c r="C300" s="12"/>
      <c r="D300" s="12"/>
      <c r="E300" s="12"/>
      <c r="F300" s="12"/>
      <c r="G300" s="18"/>
      <c r="H300" s="35"/>
      <c r="I300" s="12"/>
      <c r="M300" s="12"/>
      <c r="N300" s="18"/>
      <c r="O300" s="12"/>
      <c r="P300" s="12"/>
      <c r="Q300" s="12"/>
      <c r="R300" s="36"/>
      <c r="S300" s="36"/>
      <c r="T300" s="12"/>
      <c r="U300" s="12"/>
      <c r="V300" s="12"/>
      <c r="W300" s="12"/>
      <c r="X300" s="12"/>
    </row>
    <row r="301" customFormat="false" ht="15.75" hidden="false" customHeight="false" outlineLevel="0" collapsed="false">
      <c r="A301" s="12"/>
      <c r="B301" s="34"/>
      <c r="C301" s="12"/>
      <c r="D301" s="12"/>
      <c r="E301" s="12"/>
      <c r="F301" s="12"/>
      <c r="G301" s="18"/>
      <c r="H301" s="35"/>
      <c r="I301" s="12"/>
      <c r="M301" s="12"/>
      <c r="N301" s="18"/>
      <c r="O301" s="12"/>
      <c r="P301" s="12"/>
      <c r="Q301" s="12"/>
      <c r="R301" s="36"/>
      <c r="S301" s="36"/>
      <c r="T301" s="12"/>
      <c r="U301" s="12"/>
      <c r="V301" s="12"/>
      <c r="W301" s="12"/>
      <c r="X301" s="12"/>
    </row>
    <row r="302" customFormat="false" ht="15.75" hidden="false" customHeight="false" outlineLevel="0" collapsed="false">
      <c r="A302" s="12"/>
      <c r="B302" s="34"/>
      <c r="C302" s="12"/>
      <c r="D302" s="12"/>
      <c r="E302" s="12"/>
      <c r="F302" s="12"/>
      <c r="G302" s="18"/>
      <c r="H302" s="35"/>
      <c r="I302" s="12"/>
      <c r="M302" s="12"/>
      <c r="N302" s="18"/>
      <c r="O302" s="12"/>
      <c r="P302" s="12"/>
      <c r="Q302" s="12"/>
      <c r="R302" s="36"/>
      <c r="S302" s="36"/>
      <c r="T302" s="12"/>
      <c r="U302" s="12"/>
      <c r="V302" s="12"/>
      <c r="W302" s="12"/>
      <c r="X302" s="12"/>
    </row>
    <row r="303" customFormat="false" ht="15.75" hidden="false" customHeight="false" outlineLevel="0" collapsed="false">
      <c r="A303" s="12"/>
      <c r="B303" s="34"/>
      <c r="C303" s="12"/>
      <c r="D303" s="12"/>
      <c r="E303" s="12"/>
      <c r="F303" s="12"/>
      <c r="G303" s="18"/>
      <c r="H303" s="35"/>
      <c r="I303" s="12"/>
      <c r="M303" s="12"/>
      <c r="N303" s="18"/>
      <c r="O303" s="12"/>
      <c r="P303" s="12"/>
      <c r="Q303" s="12"/>
      <c r="R303" s="36"/>
      <c r="S303" s="36"/>
      <c r="T303" s="12"/>
      <c r="U303" s="12"/>
      <c r="V303" s="12"/>
      <c r="W303" s="12"/>
      <c r="X303" s="12"/>
    </row>
    <row r="304" customFormat="false" ht="15.75" hidden="false" customHeight="false" outlineLevel="0" collapsed="false">
      <c r="A304" s="12"/>
      <c r="B304" s="34"/>
      <c r="C304" s="12"/>
      <c r="D304" s="12"/>
      <c r="E304" s="12"/>
      <c r="F304" s="12"/>
      <c r="G304" s="18"/>
      <c r="H304" s="35"/>
      <c r="I304" s="12"/>
      <c r="M304" s="12"/>
      <c r="N304" s="18"/>
      <c r="O304" s="12"/>
      <c r="P304" s="12"/>
      <c r="Q304" s="12"/>
      <c r="R304" s="36"/>
      <c r="S304" s="36"/>
      <c r="T304" s="12"/>
      <c r="U304" s="12"/>
      <c r="V304" s="12"/>
      <c r="W304" s="12"/>
      <c r="X304" s="12"/>
    </row>
    <row r="305" customFormat="false" ht="15.75" hidden="false" customHeight="false" outlineLevel="0" collapsed="false">
      <c r="A305" s="12"/>
      <c r="B305" s="34"/>
      <c r="C305" s="12"/>
      <c r="D305" s="12"/>
      <c r="E305" s="12"/>
      <c r="F305" s="12"/>
      <c r="G305" s="18"/>
      <c r="H305" s="35"/>
      <c r="I305" s="12"/>
      <c r="M305" s="12"/>
      <c r="N305" s="18"/>
      <c r="O305" s="12"/>
      <c r="P305" s="12"/>
      <c r="Q305" s="12"/>
      <c r="R305" s="36"/>
      <c r="S305" s="36"/>
      <c r="T305" s="12"/>
      <c r="U305" s="12"/>
      <c r="V305" s="12"/>
      <c r="W305" s="12"/>
      <c r="X305" s="12"/>
    </row>
    <row r="306" customFormat="false" ht="15.75" hidden="false" customHeight="false" outlineLevel="0" collapsed="false">
      <c r="A306" s="12"/>
      <c r="B306" s="34"/>
      <c r="C306" s="12"/>
      <c r="D306" s="12"/>
      <c r="E306" s="12"/>
      <c r="F306" s="12"/>
      <c r="G306" s="18"/>
      <c r="H306" s="35"/>
      <c r="I306" s="12"/>
      <c r="M306" s="12"/>
      <c r="N306" s="18"/>
      <c r="O306" s="12"/>
      <c r="P306" s="12"/>
      <c r="Q306" s="12"/>
      <c r="R306" s="36"/>
      <c r="S306" s="36"/>
      <c r="T306" s="12"/>
      <c r="U306" s="12"/>
      <c r="V306" s="12"/>
      <c r="W306" s="12"/>
      <c r="X306" s="12"/>
    </row>
    <row r="307" customFormat="false" ht="15.75" hidden="false" customHeight="false" outlineLevel="0" collapsed="false">
      <c r="A307" s="12"/>
      <c r="B307" s="34"/>
      <c r="C307" s="12"/>
      <c r="D307" s="12"/>
      <c r="E307" s="12"/>
      <c r="F307" s="12"/>
      <c r="G307" s="18"/>
      <c r="H307" s="35"/>
      <c r="I307" s="12"/>
      <c r="M307" s="12"/>
      <c r="N307" s="18"/>
      <c r="O307" s="12"/>
      <c r="P307" s="12"/>
      <c r="Q307" s="12"/>
      <c r="R307" s="36"/>
      <c r="S307" s="36"/>
      <c r="T307" s="12"/>
      <c r="U307" s="12"/>
      <c r="V307" s="12"/>
      <c r="W307" s="12"/>
      <c r="X307" s="12"/>
    </row>
    <row r="308" customFormat="false" ht="15.75" hidden="false" customHeight="false" outlineLevel="0" collapsed="false">
      <c r="A308" s="12"/>
      <c r="B308" s="34"/>
      <c r="C308" s="12"/>
      <c r="D308" s="12"/>
      <c r="E308" s="12"/>
      <c r="F308" s="12"/>
      <c r="G308" s="18"/>
      <c r="H308" s="35"/>
      <c r="I308" s="12"/>
      <c r="M308" s="12"/>
      <c r="N308" s="18"/>
      <c r="O308" s="12"/>
      <c r="P308" s="12"/>
      <c r="Q308" s="12"/>
      <c r="R308" s="36"/>
      <c r="S308" s="36"/>
      <c r="T308" s="12"/>
      <c r="U308" s="12"/>
      <c r="V308" s="12"/>
      <c r="W308" s="12"/>
      <c r="X308" s="12"/>
    </row>
    <row r="309" customFormat="false" ht="15.75" hidden="false" customHeight="false" outlineLevel="0" collapsed="false">
      <c r="A309" s="12"/>
      <c r="B309" s="34"/>
      <c r="C309" s="12"/>
      <c r="D309" s="12"/>
      <c r="E309" s="12"/>
      <c r="F309" s="12"/>
      <c r="G309" s="18"/>
      <c r="H309" s="35"/>
      <c r="I309" s="12"/>
      <c r="M309" s="12"/>
      <c r="N309" s="18"/>
      <c r="O309" s="12"/>
      <c r="P309" s="12"/>
      <c r="Q309" s="12"/>
      <c r="R309" s="36"/>
      <c r="S309" s="36"/>
      <c r="T309" s="12"/>
      <c r="U309" s="12"/>
      <c r="V309" s="12"/>
      <c r="W309" s="12"/>
      <c r="X309" s="12"/>
    </row>
    <row r="310" customFormat="false" ht="15.75" hidden="false" customHeight="false" outlineLevel="0" collapsed="false">
      <c r="A310" s="12"/>
      <c r="B310" s="34"/>
      <c r="C310" s="12"/>
      <c r="D310" s="12"/>
      <c r="E310" s="12"/>
      <c r="F310" s="12"/>
      <c r="G310" s="18"/>
      <c r="H310" s="35"/>
      <c r="I310" s="12"/>
      <c r="M310" s="12"/>
      <c r="N310" s="18"/>
      <c r="O310" s="12"/>
      <c r="P310" s="12"/>
      <c r="Q310" s="12"/>
      <c r="R310" s="36"/>
      <c r="S310" s="36"/>
      <c r="T310" s="12"/>
      <c r="U310" s="12"/>
      <c r="V310" s="12"/>
      <c r="W310" s="12"/>
      <c r="X310" s="12"/>
    </row>
    <row r="311" customFormat="false" ht="15.75" hidden="false" customHeight="false" outlineLevel="0" collapsed="false">
      <c r="A311" s="12"/>
      <c r="B311" s="34"/>
      <c r="C311" s="12"/>
      <c r="D311" s="12"/>
      <c r="E311" s="12"/>
      <c r="F311" s="12"/>
      <c r="G311" s="18"/>
      <c r="H311" s="35"/>
      <c r="I311" s="12"/>
      <c r="M311" s="12"/>
      <c r="N311" s="18"/>
      <c r="O311" s="12"/>
      <c r="P311" s="12"/>
      <c r="Q311" s="12"/>
      <c r="R311" s="36"/>
      <c r="S311" s="36"/>
      <c r="T311" s="12"/>
      <c r="U311" s="12"/>
      <c r="V311" s="12"/>
      <c r="W311" s="12"/>
      <c r="X311" s="12"/>
    </row>
    <row r="312" customFormat="false" ht="15.75" hidden="false" customHeight="false" outlineLevel="0" collapsed="false">
      <c r="A312" s="12"/>
      <c r="B312" s="34"/>
      <c r="C312" s="12"/>
      <c r="D312" s="12"/>
      <c r="E312" s="12"/>
      <c r="F312" s="12"/>
      <c r="G312" s="18"/>
      <c r="H312" s="35"/>
      <c r="I312" s="12"/>
      <c r="M312" s="12"/>
      <c r="N312" s="18"/>
      <c r="O312" s="12"/>
      <c r="P312" s="12"/>
      <c r="Q312" s="12"/>
      <c r="R312" s="36"/>
      <c r="S312" s="36"/>
      <c r="T312" s="12"/>
      <c r="U312" s="12"/>
      <c r="V312" s="12"/>
      <c r="W312" s="12"/>
      <c r="X312" s="12"/>
    </row>
    <row r="313" customFormat="false" ht="15.75" hidden="false" customHeight="false" outlineLevel="0" collapsed="false">
      <c r="A313" s="12"/>
      <c r="B313" s="34"/>
      <c r="C313" s="12"/>
      <c r="D313" s="12"/>
      <c r="E313" s="12"/>
      <c r="F313" s="12"/>
      <c r="G313" s="18"/>
      <c r="H313" s="35"/>
      <c r="I313" s="12"/>
      <c r="M313" s="12"/>
      <c r="N313" s="18"/>
      <c r="O313" s="12"/>
      <c r="P313" s="12"/>
      <c r="Q313" s="12"/>
      <c r="R313" s="36"/>
      <c r="S313" s="36"/>
      <c r="T313" s="12"/>
      <c r="U313" s="12"/>
      <c r="V313" s="12"/>
      <c r="W313" s="12"/>
      <c r="X313" s="12"/>
    </row>
    <row r="314" customFormat="false" ht="15.75" hidden="false" customHeight="false" outlineLevel="0" collapsed="false">
      <c r="A314" s="12"/>
      <c r="B314" s="34"/>
      <c r="C314" s="12"/>
      <c r="D314" s="12"/>
      <c r="E314" s="12"/>
      <c r="F314" s="12"/>
      <c r="G314" s="18"/>
      <c r="H314" s="35"/>
      <c r="I314" s="12"/>
      <c r="M314" s="12"/>
      <c r="N314" s="18"/>
      <c r="O314" s="12"/>
      <c r="P314" s="12"/>
      <c r="Q314" s="12"/>
      <c r="R314" s="36"/>
      <c r="S314" s="36"/>
      <c r="T314" s="12"/>
      <c r="U314" s="12"/>
      <c r="V314" s="12"/>
      <c r="W314" s="12"/>
      <c r="X314" s="12"/>
    </row>
    <row r="315" customFormat="false" ht="15.75" hidden="false" customHeight="false" outlineLevel="0" collapsed="false">
      <c r="A315" s="12"/>
      <c r="B315" s="34"/>
      <c r="C315" s="12"/>
      <c r="D315" s="12"/>
      <c r="E315" s="12"/>
      <c r="F315" s="12"/>
      <c r="G315" s="18"/>
      <c r="H315" s="35"/>
      <c r="I315" s="12"/>
      <c r="M315" s="12"/>
      <c r="N315" s="18"/>
      <c r="O315" s="12"/>
      <c r="P315" s="12"/>
      <c r="Q315" s="12"/>
      <c r="R315" s="36"/>
      <c r="S315" s="36"/>
      <c r="T315" s="12"/>
      <c r="U315" s="12"/>
      <c r="V315" s="12"/>
      <c r="W315" s="12"/>
      <c r="X315" s="12"/>
    </row>
    <row r="316" customFormat="false" ht="15.75" hidden="false" customHeight="false" outlineLevel="0" collapsed="false">
      <c r="A316" s="12"/>
      <c r="B316" s="34"/>
      <c r="C316" s="12"/>
      <c r="D316" s="12"/>
      <c r="E316" s="12"/>
      <c r="F316" s="12"/>
      <c r="G316" s="18"/>
      <c r="H316" s="35"/>
      <c r="I316" s="12"/>
      <c r="M316" s="12"/>
      <c r="N316" s="18"/>
      <c r="O316" s="12"/>
      <c r="P316" s="12"/>
      <c r="Q316" s="12"/>
      <c r="R316" s="36"/>
      <c r="S316" s="36"/>
      <c r="T316" s="12"/>
      <c r="U316" s="12"/>
      <c r="V316" s="12"/>
      <c r="W316" s="12"/>
      <c r="X316" s="12"/>
    </row>
    <row r="317" customFormat="false" ht="15.75" hidden="false" customHeight="false" outlineLevel="0" collapsed="false">
      <c r="A317" s="12"/>
      <c r="B317" s="34"/>
      <c r="C317" s="12"/>
      <c r="D317" s="12"/>
      <c r="E317" s="12"/>
      <c r="F317" s="12"/>
      <c r="G317" s="18"/>
      <c r="H317" s="35"/>
      <c r="I317" s="12"/>
      <c r="M317" s="12"/>
      <c r="N317" s="18"/>
      <c r="O317" s="12"/>
      <c r="P317" s="12"/>
      <c r="Q317" s="12"/>
      <c r="R317" s="36"/>
      <c r="S317" s="36"/>
      <c r="T317" s="12"/>
      <c r="U317" s="12"/>
      <c r="V317" s="12"/>
      <c r="W317" s="12"/>
      <c r="X317" s="12"/>
    </row>
    <row r="318" customFormat="false" ht="15.75" hidden="false" customHeight="false" outlineLevel="0" collapsed="false">
      <c r="A318" s="12"/>
      <c r="B318" s="34"/>
      <c r="C318" s="12"/>
      <c r="D318" s="12"/>
      <c r="E318" s="12"/>
      <c r="F318" s="12"/>
      <c r="G318" s="18"/>
      <c r="H318" s="35"/>
      <c r="I318" s="12"/>
      <c r="M318" s="12"/>
      <c r="N318" s="18"/>
      <c r="O318" s="12"/>
      <c r="P318" s="12"/>
      <c r="Q318" s="12"/>
      <c r="R318" s="36"/>
      <c r="S318" s="36"/>
      <c r="T318" s="12"/>
      <c r="U318" s="12"/>
      <c r="V318" s="12"/>
      <c r="W318" s="12"/>
      <c r="X318" s="12"/>
    </row>
    <row r="319" customFormat="false" ht="15.75" hidden="false" customHeight="false" outlineLevel="0" collapsed="false">
      <c r="A319" s="12"/>
      <c r="B319" s="34"/>
      <c r="C319" s="12"/>
      <c r="D319" s="12"/>
      <c r="E319" s="12"/>
      <c r="F319" s="12"/>
      <c r="G319" s="18"/>
      <c r="H319" s="35"/>
      <c r="I319" s="12"/>
      <c r="M319" s="12"/>
      <c r="N319" s="18"/>
      <c r="O319" s="12"/>
      <c r="P319" s="12"/>
      <c r="Q319" s="12"/>
      <c r="R319" s="36"/>
      <c r="S319" s="36"/>
      <c r="T319" s="12"/>
      <c r="U319" s="12"/>
      <c r="V319" s="12"/>
      <c r="W319" s="12"/>
      <c r="X319" s="12"/>
    </row>
    <row r="320" customFormat="false" ht="15.75" hidden="false" customHeight="false" outlineLevel="0" collapsed="false">
      <c r="A320" s="12"/>
      <c r="B320" s="34"/>
      <c r="C320" s="12"/>
      <c r="D320" s="12"/>
      <c r="E320" s="12"/>
      <c r="F320" s="12"/>
      <c r="G320" s="18"/>
      <c r="H320" s="35"/>
      <c r="I320" s="12"/>
      <c r="M320" s="12"/>
      <c r="N320" s="18"/>
      <c r="O320" s="12"/>
      <c r="P320" s="12"/>
      <c r="Q320" s="12"/>
      <c r="R320" s="36"/>
      <c r="S320" s="36"/>
      <c r="T320" s="12"/>
      <c r="U320" s="12"/>
      <c r="V320" s="12"/>
      <c r="W320" s="12"/>
      <c r="X320" s="12"/>
    </row>
    <row r="321" customFormat="false" ht="15.75" hidden="false" customHeight="false" outlineLevel="0" collapsed="false">
      <c r="A321" s="12"/>
      <c r="B321" s="34"/>
      <c r="C321" s="12"/>
      <c r="D321" s="12"/>
      <c r="E321" s="12"/>
      <c r="F321" s="12"/>
      <c r="G321" s="18"/>
      <c r="H321" s="35"/>
      <c r="I321" s="12"/>
      <c r="M321" s="12"/>
      <c r="N321" s="18"/>
      <c r="O321" s="12"/>
      <c r="P321" s="12"/>
      <c r="Q321" s="12"/>
      <c r="R321" s="36"/>
      <c r="S321" s="36"/>
      <c r="T321" s="12"/>
      <c r="U321" s="12"/>
      <c r="V321" s="12"/>
      <c r="W321" s="12"/>
      <c r="X321" s="12"/>
    </row>
    <row r="322" customFormat="false" ht="15.75" hidden="false" customHeight="false" outlineLevel="0" collapsed="false">
      <c r="A322" s="12"/>
      <c r="B322" s="34"/>
      <c r="C322" s="12"/>
      <c r="D322" s="12"/>
      <c r="E322" s="12"/>
      <c r="F322" s="12"/>
      <c r="G322" s="18"/>
      <c r="H322" s="35"/>
      <c r="I322" s="12"/>
      <c r="M322" s="12"/>
      <c r="N322" s="18"/>
      <c r="O322" s="12"/>
      <c r="P322" s="12"/>
      <c r="Q322" s="12"/>
      <c r="R322" s="36"/>
      <c r="S322" s="36"/>
      <c r="T322" s="12"/>
      <c r="U322" s="12"/>
      <c r="V322" s="12"/>
      <c r="W322" s="12"/>
      <c r="X322" s="12"/>
    </row>
    <row r="323" customFormat="false" ht="15.75" hidden="false" customHeight="false" outlineLevel="0" collapsed="false">
      <c r="A323" s="12"/>
      <c r="B323" s="34"/>
      <c r="C323" s="12"/>
      <c r="D323" s="12"/>
      <c r="E323" s="12"/>
      <c r="F323" s="12"/>
      <c r="G323" s="18"/>
      <c r="H323" s="35"/>
      <c r="I323" s="12"/>
      <c r="M323" s="12"/>
      <c r="N323" s="18"/>
      <c r="O323" s="12"/>
      <c r="P323" s="12"/>
      <c r="Q323" s="12"/>
      <c r="R323" s="36"/>
      <c r="S323" s="36"/>
      <c r="T323" s="12"/>
      <c r="U323" s="12"/>
      <c r="V323" s="12"/>
      <c r="W323" s="12"/>
      <c r="X323" s="12"/>
    </row>
    <row r="324" customFormat="false" ht="15.75" hidden="false" customHeight="false" outlineLevel="0" collapsed="false">
      <c r="A324" s="12"/>
      <c r="B324" s="34"/>
      <c r="C324" s="12"/>
      <c r="D324" s="12"/>
      <c r="E324" s="12"/>
      <c r="F324" s="12"/>
      <c r="G324" s="18"/>
      <c r="H324" s="35"/>
      <c r="I324" s="12"/>
      <c r="M324" s="12"/>
      <c r="N324" s="18"/>
      <c r="O324" s="12"/>
      <c r="P324" s="12"/>
      <c r="Q324" s="12"/>
      <c r="R324" s="36"/>
      <c r="S324" s="36"/>
      <c r="T324" s="12"/>
      <c r="U324" s="12"/>
      <c r="V324" s="12"/>
      <c r="W324" s="12"/>
      <c r="X324" s="12"/>
    </row>
    <row r="325" customFormat="false" ht="15.75" hidden="false" customHeight="false" outlineLevel="0" collapsed="false">
      <c r="A325" s="12"/>
      <c r="B325" s="34"/>
      <c r="C325" s="12"/>
      <c r="D325" s="12"/>
      <c r="E325" s="12"/>
      <c r="F325" s="12"/>
      <c r="G325" s="18"/>
      <c r="H325" s="35"/>
      <c r="I325" s="12"/>
      <c r="M325" s="12"/>
      <c r="N325" s="18"/>
      <c r="O325" s="12"/>
      <c r="P325" s="12"/>
      <c r="Q325" s="12"/>
      <c r="R325" s="36"/>
      <c r="S325" s="36"/>
      <c r="T325" s="12"/>
      <c r="U325" s="12"/>
      <c r="V325" s="12"/>
      <c r="W325" s="12"/>
      <c r="X325" s="12"/>
    </row>
    <row r="326" customFormat="false" ht="15.75" hidden="false" customHeight="false" outlineLevel="0" collapsed="false">
      <c r="A326" s="12"/>
      <c r="B326" s="34"/>
      <c r="C326" s="12"/>
      <c r="D326" s="12"/>
      <c r="E326" s="12"/>
      <c r="F326" s="12"/>
      <c r="G326" s="18"/>
      <c r="H326" s="35"/>
      <c r="I326" s="12"/>
      <c r="M326" s="12"/>
      <c r="N326" s="18"/>
      <c r="O326" s="12"/>
      <c r="P326" s="12"/>
      <c r="Q326" s="12"/>
      <c r="R326" s="36"/>
      <c r="S326" s="36"/>
      <c r="T326" s="12"/>
      <c r="U326" s="12"/>
      <c r="V326" s="12"/>
      <c r="W326" s="12"/>
      <c r="X326" s="12"/>
    </row>
    <row r="327" customFormat="false" ht="15.75" hidden="false" customHeight="false" outlineLevel="0" collapsed="false">
      <c r="A327" s="12"/>
      <c r="B327" s="34"/>
      <c r="C327" s="12"/>
      <c r="D327" s="12"/>
      <c r="E327" s="12"/>
      <c r="F327" s="12"/>
      <c r="G327" s="18"/>
      <c r="H327" s="35"/>
      <c r="I327" s="12"/>
      <c r="M327" s="12"/>
      <c r="N327" s="18"/>
      <c r="O327" s="12"/>
      <c r="P327" s="12"/>
      <c r="Q327" s="12"/>
      <c r="R327" s="36"/>
      <c r="S327" s="36"/>
      <c r="T327" s="12"/>
      <c r="U327" s="12"/>
      <c r="V327" s="12"/>
      <c r="W327" s="12"/>
      <c r="X327" s="12"/>
    </row>
    <row r="328" customFormat="false" ht="15.75" hidden="false" customHeight="false" outlineLevel="0" collapsed="false">
      <c r="A328" s="12"/>
      <c r="B328" s="34"/>
      <c r="C328" s="12"/>
      <c r="D328" s="12"/>
      <c r="E328" s="12"/>
      <c r="F328" s="12"/>
      <c r="G328" s="18"/>
      <c r="H328" s="35"/>
      <c r="I328" s="12"/>
      <c r="M328" s="12"/>
      <c r="N328" s="18"/>
      <c r="O328" s="12"/>
      <c r="P328" s="12"/>
      <c r="Q328" s="12"/>
      <c r="R328" s="36"/>
      <c r="S328" s="36"/>
      <c r="T328" s="12"/>
      <c r="U328" s="12"/>
      <c r="V328" s="12"/>
      <c r="W328" s="12"/>
      <c r="X328" s="12"/>
    </row>
    <row r="329" customFormat="false" ht="15.75" hidden="false" customHeight="false" outlineLevel="0" collapsed="false">
      <c r="A329" s="12"/>
      <c r="B329" s="34"/>
      <c r="C329" s="12"/>
      <c r="D329" s="12"/>
      <c r="E329" s="12"/>
      <c r="F329" s="12"/>
      <c r="G329" s="18"/>
      <c r="H329" s="35"/>
      <c r="I329" s="12"/>
      <c r="M329" s="12"/>
      <c r="N329" s="18"/>
      <c r="O329" s="12"/>
      <c r="P329" s="12"/>
      <c r="Q329" s="12"/>
      <c r="R329" s="36"/>
      <c r="S329" s="36"/>
      <c r="T329" s="12"/>
      <c r="U329" s="12"/>
      <c r="V329" s="12"/>
      <c r="W329" s="12"/>
      <c r="X329" s="12"/>
    </row>
    <row r="330" customFormat="false" ht="15.75" hidden="false" customHeight="false" outlineLevel="0" collapsed="false">
      <c r="A330" s="12"/>
      <c r="B330" s="34"/>
      <c r="C330" s="12"/>
      <c r="D330" s="12"/>
      <c r="E330" s="12"/>
      <c r="F330" s="12"/>
      <c r="G330" s="18"/>
      <c r="H330" s="35"/>
      <c r="I330" s="12"/>
      <c r="M330" s="12"/>
      <c r="N330" s="18"/>
      <c r="O330" s="12"/>
      <c r="P330" s="12"/>
      <c r="Q330" s="12"/>
      <c r="R330" s="36"/>
      <c r="S330" s="36"/>
      <c r="T330" s="12"/>
      <c r="U330" s="12"/>
      <c r="V330" s="12"/>
      <c r="W330" s="12"/>
      <c r="X330" s="12"/>
    </row>
    <row r="331" customFormat="false" ht="15.75" hidden="false" customHeight="false" outlineLevel="0" collapsed="false">
      <c r="A331" s="12"/>
      <c r="B331" s="34"/>
      <c r="C331" s="12"/>
      <c r="D331" s="12"/>
      <c r="E331" s="12"/>
      <c r="F331" s="12"/>
      <c r="G331" s="18"/>
      <c r="H331" s="35"/>
      <c r="I331" s="12"/>
      <c r="M331" s="12"/>
      <c r="N331" s="18"/>
      <c r="O331" s="12"/>
      <c r="P331" s="12"/>
      <c r="Q331" s="12"/>
      <c r="R331" s="36"/>
      <c r="S331" s="36"/>
      <c r="T331" s="12"/>
      <c r="U331" s="12"/>
      <c r="V331" s="12"/>
      <c r="W331" s="12"/>
      <c r="X331" s="12"/>
    </row>
    <row r="332" customFormat="false" ht="15.75" hidden="false" customHeight="false" outlineLevel="0" collapsed="false">
      <c r="A332" s="12"/>
      <c r="B332" s="34"/>
      <c r="C332" s="12"/>
      <c r="D332" s="12"/>
      <c r="E332" s="12"/>
      <c r="F332" s="12"/>
      <c r="G332" s="18"/>
      <c r="H332" s="35"/>
      <c r="I332" s="12"/>
      <c r="M332" s="12"/>
      <c r="N332" s="18"/>
      <c r="O332" s="12"/>
      <c r="P332" s="12"/>
      <c r="Q332" s="12"/>
      <c r="R332" s="36"/>
      <c r="S332" s="36"/>
      <c r="T332" s="12"/>
      <c r="U332" s="12"/>
      <c r="V332" s="12"/>
      <c r="W332" s="12"/>
      <c r="X332" s="12"/>
    </row>
    <row r="333" customFormat="false" ht="15.75" hidden="false" customHeight="false" outlineLevel="0" collapsed="false">
      <c r="A333" s="12"/>
      <c r="B333" s="34"/>
      <c r="C333" s="12"/>
      <c r="D333" s="12"/>
      <c r="E333" s="12"/>
      <c r="F333" s="12"/>
      <c r="G333" s="18"/>
      <c r="H333" s="35"/>
      <c r="I333" s="12"/>
      <c r="M333" s="12"/>
      <c r="N333" s="18"/>
      <c r="O333" s="12"/>
      <c r="P333" s="12"/>
      <c r="Q333" s="12"/>
      <c r="R333" s="36"/>
      <c r="S333" s="36"/>
      <c r="T333" s="12"/>
      <c r="U333" s="12"/>
      <c r="V333" s="12"/>
      <c r="W333" s="12"/>
      <c r="X333" s="12"/>
    </row>
    <row r="334" customFormat="false" ht="15.75" hidden="false" customHeight="false" outlineLevel="0" collapsed="false">
      <c r="A334" s="12"/>
      <c r="B334" s="34"/>
      <c r="C334" s="12"/>
      <c r="D334" s="12"/>
      <c r="E334" s="12"/>
      <c r="F334" s="12"/>
      <c r="G334" s="18"/>
      <c r="H334" s="35"/>
      <c r="I334" s="12"/>
      <c r="M334" s="12"/>
      <c r="N334" s="18"/>
      <c r="O334" s="12"/>
      <c r="P334" s="12"/>
      <c r="Q334" s="12"/>
      <c r="R334" s="36"/>
      <c r="S334" s="36"/>
      <c r="T334" s="12"/>
      <c r="U334" s="12"/>
      <c r="V334" s="12"/>
      <c r="W334" s="12"/>
      <c r="X334" s="12"/>
    </row>
    <row r="335" customFormat="false" ht="15.75" hidden="false" customHeight="false" outlineLevel="0" collapsed="false">
      <c r="A335" s="12"/>
      <c r="B335" s="34"/>
      <c r="C335" s="12"/>
      <c r="D335" s="12"/>
      <c r="E335" s="12"/>
      <c r="F335" s="12"/>
      <c r="G335" s="18"/>
      <c r="H335" s="35"/>
      <c r="I335" s="12"/>
      <c r="M335" s="12"/>
      <c r="N335" s="18"/>
      <c r="O335" s="12"/>
      <c r="P335" s="12"/>
      <c r="Q335" s="12"/>
      <c r="R335" s="36"/>
      <c r="S335" s="36"/>
      <c r="T335" s="12"/>
      <c r="U335" s="12"/>
      <c r="V335" s="12"/>
      <c r="W335" s="12"/>
      <c r="X335" s="12"/>
    </row>
    <row r="336" customFormat="false" ht="15.75" hidden="false" customHeight="false" outlineLevel="0" collapsed="false">
      <c r="A336" s="12"/>
      <c r="B336" s="34"/>
      <c r="C336" s="12"/>
      <c r="D336" s="12"/>
      <c r="E336" s="12"/>
      <c r="F336" s="12"/>
      <c r="G336" s="18"/>
      <c r="H336" s="35"/>
      <c r="I336" s="12"/>
      <c r="M336" s="12"/>
      <c r="N336" s="18"/>
      <c r="O336" s="12"/>
      <c r="P336" s="12"/>
      <c r="Q336" s="12"/>
      <c r="R336" s="36"/>
      <c r="S336" s="36"/>
      <c r="T336" s="12"/>
      <c r="U336" s="12"/>
      <c r="V336" s="12"/>
      <c r="W336" s="12"/>
      <c r="X336" s="12"/>
    </row>
    <row r="337" customFormat="false" ht="15.75" hidden="false" customHeight="false" outlineLevel="0" collapsed="false">
      <c r="A337" s="12"/>
      <c r="B337" s="34"/>
      <c r="C337" s="12"/>
      <c r="D337" s="12"/>
      <c r="E337" s="12"/>
      <c r="F337" s="12"/>
      <c r="G337" s="18"/>
      <c r="H337" s="35"/>
      <c r="I337" s="12"/>
      <c r="M337" s="12"/>
      <c r="N337" s="18"/>
      <c r="O337" s="12"/>
      <c r="P337" s="12"/>
      <c r="Q337" s="12"/>
      <c r="R337" s="36"/>
      <c r="S337" s="36"/>
      <c r="T337" s="12"/>
      <c r="U337" s="12"/>
      <c r="V337" s="12"/>
      <c r="W337" s="12"/>
      <c r="X337" s="12"/>
    </row>
    <row r="338" customFormat="false" ht="15.75" hidden="false" customHeight="false" outlineLevel="0" collapsed="false">
      <c r="A338" s="12"/>
      <c r="B338" s="34"/>
      <c r="C338" s="12"/>
      <c r="D338" s="12"/>
      <c r="E338" s="12"/>
      <c r="F338" s="12"/>
      <c r="G338" s="18"/>
      <c r="H338" s="35"/>
      <c r="I338" s="12"/>
      <c r="M338" s="12"/>
      <c r="N338" s="18"/>
      <c r="O338" s="12"/>
      <c r="P338" s="12"/>
      <c r="Q338" s="12"/>
      <c r="R338" s="36"/>
      <c r="S338" s="36"/>
      <c r="T338" s="12"/>
      <c r="U338" s="12"/>
      <c r="V338" s="12"/>
      <c r="W338" s="12"/>
      <c r="X338" s="12"/>
    </row>
    <row r="339" customFormat="false" ht="15.75" hidden="false" customHeight="false" outlineLevel="0" collapsed="false">
      <c r="A339" s="12"/>
      <c r="B339" s="34"/>
      <c r="C339" s="12"/>
      <c r="D339" s="12"/>
      <c r="E339" s="12"/>
      <c r="F339" s="12"/>
      <c r="G339" s="18"/>
      <c r="H339" s="35"/>
      <c r="I339" s="12"/>
      <c r="M339" s="12"/>
      <c r="N339" s="18"/>
      <c r="O339" s="12"/>
      <c r="P339" s="12"/>
      <c r="Q339" s="12"/>
      <c r="R339" s="36"/>
      <c r="S339" s="36"/>
      <c r="T339" s="12"/>
      <c r="U339" s="12"/>
      <c r="V339" s="12"/>
      <c r="W339" s="12"/>
      <c r="X339" s="12"/>
    </row>
    <row r="340" customFormat="false" ht="15.75" hidden="false" customHeight="false" outlineLevel="0" collapsed="false">
      <c r="A340" s="12"/>
      <c r="B340" s="34"/>
      <c r="C340" s="12"/>
      <c r="D340" s="12"/>
      <c r="E340" s="12"/>
      <c r="F340" s="12"/>
      <c r="G340" s="18"/>
      <c r="H340" s="35"/>
      <c r="I340" s="12"/>
      <c r="M340" s="12"/>
      <c r="N340" s="18"/>
      <c r="O340" s="12"/>
      <c r="P340" s="12"/>
      <c r="Q340" s="12"/>
      <c r="R340" s="36"/>
      <c r="S340" s="36"/>
      <c r="T340" s="12"/>
      <c r="U340" s="12"/>
      <c r="V340" s="12"/>
      <c r="W340" s="12"/>
      <c r="X340" s="12"/>
    </row>
    <row r="341" customFormat="false" ht="15.75" hidden="false" customHeight="false" outlineLevel="0" collapsed="false">
      <c r="A341" s="12"/>
      <c r="B341" s="34"/>
      <c r="C341" s="12"/>
      <c r="D341" s="12"/>
      <c r="E341" s="12"/>
      <c r="F341" s="12"/>
      <c r="G341" s="18"/>
      <c r="H341" s="35"/>
      <c r="I341" s="12"/>
      <c r="M341" s="12"/>
      <c r="N341" s="18"/>
      <c r="O341" s="12"/>
      <c r="P341" s="12"/>
      <c r="Q341" s="12"/>
      <c r="R341" s="36"/>
      <c r="S341" s="36"/>
      <c r="T341" s="12"/>
      <c r="U341" s="12"/>
      <c r="V341" s="12"/>
      <c r="W341" s="12"/>
      <c r="X341" s="12"/>
    </row>
    <row r="342" customFormat="false" ht="15.75" hidden="false" customHeight="false" outlineLevel="0" collapsed="false">
      <c r="A342" s="12"/>
      <c r="B342" s="34"/>
      <c r="C342" s="12"/>
      <c r="D342" s="12"/>
      <c r="E342" s="12"/>
      <c r="F342" s="12"/>
      <c r="G342" s="18"/>
      <c r="H342" s="35"/>
      <c r="I342" s="12"/>
      <c r="M342" s="12"/>
      <c r="N342" s="18"/>
      <c r="O342" s="12"/>
      <c r="P342" s="12"/>
      <c r="Q342" s="12"/>
      <c r="R342" s="36"/>
      <c r="S342" s="36"/>
      <c r="T342" s="12"/>
      <c r="U342" s="12"/>
      <c r="V342" s="12"/>
      <c r="W342" s="12"/>
      <c r="X342" s="12"/>
    </row>
    <row r="343" customFormat="false" ht="15.75" hidden="false" customHeight="false" outlineLevel="0" collapsed="false">
      <c r="A343" s="12"/>
      <c r="B343" s="34"/>
      <c r="C343" s="12"/>
      <c r="D343" s="12"/>
      <c r="E343" s="12"/>
      <c r="F343" s="12"/>
      <c r="G343" s="18"/>
      <c r="H343" s="35"/>
      <c r="I343" s="12"/>
      <c r="M343" s="12"/>
      <c r="N343" s="18"/>
      <c r="O343" s="12"/>
      <c r="P343" s="12"/>
      <c r="Q343" s="12"/>
      <c r="R343" s="36"/>
      <c r="S343" s="36"/>
      <c r="T343" s="12"/>
      <c r="U343" s="12"/>
      <c r="V343" s="12"/>
      <c r="W343" s="12"/>
      <c r="X343" s="12"/>
    </row>
    <row r="344" customFormat="false" ht="15.75" hidden="false" customHeight="false" outlineLevel="0" collapsed="false">
      <c r="A344" s="12"/>
      <c r="B344" s="34"/>
      <c r="C344" s="12"/>
      <c r="D344" s="12"/>
      <c r="E344" s="12"/>
      <c r="F344" s="12"/>
      <c r="G344" s="18"/>
      <c r="H344" s="35"/>
      <c r="I344" s="12"/>
      <c r="M344" s="12"/>
      <c r="N344" s="18"/>
      <c r="O344" s="12"/>
      <c r="P344" s="12"/>
      <c r="Q344" s="12"/>
      <c r="R344" s="36"/>
      <c r="S344" s="36"/>
      <c r="T344" s="12"/>
      <c r="U344" s="12"/>
      <c r="V344" s="12"/>
      <c r="W344" s="12"/>
      <c r="X344" s="12"/>
    </row>
    <row r="345" customFormat="false" ht="15.75" hidden="false" customHeight="false" outlineLevel="0" collapsed="false">
      <c r="A345" s="12"/>
      <c r="B345" s="34"/>
      <c r="C345" s="12"/>
      <c r="D345" s="12"/>
      <c r="E345" s="12"/>
      <c r="F345" s="12"/>
      <c r="G345" s="18"/>
      <c r="H345" s="35"/>
      <c r="I345" s="12"/>
      <c r="M345" s="12"/>
      <c r="N345" s="18"/>
      <c r="O345" s="12"/>
      <c r="P345" s="12"/>
      <c r="Q345" s="12"/>
      <c r="R345" s="36"/>
      <c r="S345" s="36"/>
      <c r="T345" s="12"/>
      <c r="U345" s="12"/>
      <c r="V345" s="12"/>
      <c r="W345" s="12"/>
      <c r="X345" s="12"/>
    </row>
    <row r="346" customFormat="false" ht="15.75" hidden="false" customHeight="false" outlineLevel="0" collapsed="false">
      <c r="A346" s="12"/>
      <c r="B346" s="34"/>
      <c r="C346" s="12"/>
      <c r="D346" s="12"/>
      <c r="E346" s="12"/>
      <c r="F346" s="12"/>
      <c r="G346" s="18"/>
      <c r="H346" s="35"/>
      <c r="I346" s="12"/>
      <c r="M346" s="12"/>
      <c r="N346" s="18"/>
      <c r="O346" s="12"/>
      <c r="P346" s="12"/>
      <c r="Q346" s="12"/>
      <c r="R346" s="36"/>
      <c r="S346" s="36"/>
      <c r="T346" s="12"/>
      <c r="U346" s="12"/>
      <c r="V346" s="12"/>
      <c r="W346" s="12"/>
      <c r="X346" s="12"/>
    </row>
    <row r="347" customFormat="false" ht="15.75" hidden="false" customHeight="false" outlineLevel="0" collapsed="false">
      <c r="A347" s="12"/>
      <c r="B347" s="34"/>
      <c r="C347" s="12"/>
      <c r="D347" s="12"/>
      <c r="E347" s="12"/>
      <c r="F347" s="12"/>
      <c r="G347" s="18"/>
      <c r="H347" s="35"/>
      <c r="I347" s="12"/>
      <c r="M347" s="12"/>
      <c r="N347" s="18"/>
      <c r="O347" s="12"/>
      <c r="P347" s="12"/>
      <c r="Q347" s="12"/>
      <c r="R347" s="36"/>
      <c r="S347" s="36"/>
      <c r="T347" s="12"/>
      <c r="U347" s="12"/>
      <c r="V347" s="12"/>
      <c r="W347" s="12"/>
      <c r="X347" s="12"/>
    </row>
    <row r="348" customFormat="false" ht="15.75" hidden="false" customHeight="false" outlineLevel="0" collapsed="false">
      <c r="A348" s="12"/>
      <c r="B348" s="34"/>
      <c r="C348" s="12"/>
      <c r="D348" s="12"/>
      <c r="E348" s="12"/>
      <c r="F348" s="12"/>
      <c r="G348" s="18"/>
      <c r="H348" s="35"/>
      <c r="I348" s="12"/>
      <c r="M348" s="12"/>
      <c r="N348" s="18"/>
      <c r="O348" s="12"/>
      <c r="P348" s="12"/>
      <c r="Q348" s="12"/>
      <c r="R348" s="36"/>
      <c r="S348" s="36"/>
      <c r="T348" s="12"/>
      <c r="U348" s="12"/>
      <c r="V348" s="12"/>
      <c r="W348" s="12"/>
      <c r="X348" s="12"/>
    </row>
    <row r="349" customFormat="false" ht="15.75" hidden="false" customHeight="false" outlineLevel="0" collapsed="false">
      <c r="A349" s="12"/>
      <c r="B349" s="34"/>
      <c r="C349" s="12"/>
      <c r="D349" s="12"/>
      <c r="E349" s="12"/>
      <c r="F349" s="12"/>
      <c r="G349" s="18"/>
      <c r="H349" s="35"/>
      <c r="I349" s="12"/>
      <c r="M349" s="12"/>
      <c r="N349" s="18"/>
      <c r="O349" s="12"/>
      <c r="P349" s="12"/>
      <c r="Q349" s="12"/>
      <c r="R349" s="36"/>
      <c r="S349" s="36"/>
      <c r="T349" s="12"/>
      <c r="U349" s="12"/>
      <c r="V349" s="12"/>
      <c r="W349" s="12"/>
      <c r="X349" s="12"/>
    </row>
    <row r="350" customFormat="false" ht="15.75" hidden="false" customHeight="false" outlineLevel="0" collapsed="false">
      <c r="A350" s="12"/>
      <c r="B350" s="34"/>
      <c r="C350" s="12"/>
      <c r="D350" s="12"/>
      <c r="E350" s="12"/>
      <c r="F350" s="12"/>
      <c r="G350" s="18"/>
      <c r="H350" s="35"/>
      <c r="I350" s="12"/>
      <c r="M350" s="12"/>
      <c r="N350" s="18"/>
      <c r="O350" s="12"/>
      <c r="P350" s="12"/>
      <c r="Q350" s="12"/>
      <c r="R350" s="36"/>
      <c r="S350" s="36"/>
      <c r="T350" s="12"/>
      <c r="U350" s="12"/>
      <c r="V350" s="12"/>
      <c r="W350" s="12"/>
      <c r="X350" s="12"/>
    </row>
    <row r="351" customFormat="false" ht="15.75" hidden="false" customHeight="false" outlineLevel="0" collapsed="false">
      <c r="A351" s="12"/>
      <c r="B351" s="34"/>
      <c r="C351" s="12"/>
      <c r="D351" s="12"/>
      <c r="E351" s="12"/>
      <c r="F351" s="12"/>
      <c r="G351" s="18"/>
      <c r="H351" s="35"/>
      <c r="I351" s="12"/>
      <c r="M351" s="12"/>
      <c r="N351" s="18"/>
      <c r="O351" s="12"/>
      <c r="P351" s="12"/>
      <c r="Q351" s="12"/>
      <c r="R351" s="36"/>
      <c r="S351" s="36"/>
      <c r="T351" s="12"/>
      <c r="U351" s="12"/>
      <c r="V351" s="12"/>
      <c r="W351" s="12"/>
      <c r="X351" s="12"/>
    </row>
    <row r="352" customFormat="false" ht="15.75" hidden="false" customHeight="false" outlineLevel="0" collapsed="false">
      <c r="A352" s="12"/>
      <c r="B352" s="34"/>
      <c r="C352" s="12"/>
      <c r="D352" s="12"/>
      <c r="E352" s="12"/>
      <c r="F352" s="12"/>
      <c r="G352" s="18"/>
      <c r="H352" s="35"/>
      <c r="I352" s="12"/>
      <c r="M352" s="12"/>
      <c r="N352" s="18"/>
      <c r="O352" s="12"/>
      <c r="P352" s="12"/>
      <c r="Q352" s="12"/>
      <c r="R352" s="36"/>
      <c r="S352" s="36"/>
      <c r="T352" s="12"/>
      <c r="U352" s="12"/>
      <c r="V352" s="12"/>
      <c r="W352" s="12"/>
      <c r="X352" s="12"/>
    </row>
    <row r="353" customFormat="false" ht="15.75" hidden="false" customHeight="false" outlineLevel="0" collapsed="false">
      <c r="A353" s="12"/>
      <c r="B353" s="34"/>
      <c r="C353" s="12"/>
      <c r="D353" s="12"/>
      <c r="E353" s="12"/>
      <c r="F353" s="12"/>
      <c r="G353" s="18"/>
      <c r="H353" s="35"/>
      <c r="I353" s="12"/>
      <c r="M353" s="12"/>
      <c r="N353" s="18"/>
      <c r="O353" s="12"/>
      <c r="P353" s="12"/>
      <c r="Q353" s="12"/>
      <c r="R353" s="36"/>
      <c r="S353" s="36"/>
      <c r="T353" s="12"/>
      <c r="U353" s="12"/>
      <c r="V353" s="12"/>
      <c r="W353" s="12"/>
      <c r="X353" s="12"/>
    </row>
    <row r="354" customFormat="false" ht="15.75" hidden="false" customHeight="false" outlineLevel="0" collapsed="false">
      <c r="A354" s="12"/>
      <c r="B354" s="34"/>
      <c r="C354" s="12"/>
      <c r="D354" s="12"/>
      <c r="E354" s="12"/>
      <c r="F354" s="12"/>
      <c r="G354" s="18"/>
      <c r="H354" s="35"/>
      <c r="I354" s="12"/>
      <c r="M354" s="12"/>
      <c r="N354" s="18"/>
      <c r="O354" s="12"/>
      <c r="P354" s="12"/>
      <c r="Q354" s="12"/>
      <c r="R354" s="36"/>
      <c r="S354" s="36"/>
      <c r="T354" s="12"/>
      <c r="U354" s="12"/>
      <c r="V354" s="12"/>
      <c r="W354" s="12"/>
      <c r="X354" s="12"/>
    </row>
    <row r="355" customFormat="false" ht="15.75" hidden="false" customHeight="false" outlineLevel="0" collapsed="false">
      <c r="A355" s="12"/>
      <c r="B355" s="34"/>
      <c r="C355" s="12"/>
      <c r="D355" s="12"/>
      <c r="E355" s="12"/>
      <c r="F355" s="12"/>
      <c r="G355" s="18"/>
      <c r="H355" s="35"/>
      <c r="I355" s="12"/>
      <c r="M355" s="12"/>
      <c r="N355" s="18"/>
      <c r="O355" s="12"/>
      <c r="P355" s="12"/>
      <c r="Q355" s="12"/>
      <c r="R355" s="36"/>
      <c r="S355" s="36"/>
      <c r="T355" s="12"/>
      <c r="U355" s="12"/>
      <c r="V355" s="12"/>
      <c r="W355" s="12"/>
      <c r="X355" s="12"/>
    </row>
    <row r="356" customFormat="false" ht="15.75" hidden="false" customHeight="false" outlineLevel="0" collapsed="false">
      <c r="A356" s="12"/>
      <c r="B356" s="34"/>
      <c r="C356" s="12"/>
      <c r="D356" s="12"/>
      <c r="E356" s="12"/>
      <c r="F356" s="12"/>
      <c r="G356" s="18"/>
      <c r="H356" s="35"/>
      <c r="I356" s="12"/>
      <c r="M356" s="12"/>
      <c r="N356" s="18"/>
      <c r="O356" s="12"/>
      <c r="P356" s="12"/>
      <c r="Q356" s="12"/>
      <c r="R356" s="36"/>
      <c r="S356" s="36"/>
      <c r="T356" s="12"/>
      <c r="U356" s="12"/>
      <c r="V356" s="12"/>
      <c r="W356" s="12"/>
      <c r="X356" s="12"/>
    </row>
    <row r="357" customFormat="false" ht="15.75" hidden="false" customHeight="false" outlineLevel="0" collapsed="false">
      <c r="A357" s="12"/>
      <c r="B357" s="34"/>
      <c r="C357" s="12"/>
      <c r="D357" s="12"/>
      <c r="E357" s="12"/>
      <c r="F357" s="12"/>
      <c r="G357" s="18"/>
      <c r="H357" s="35"/>
      <c r="I357" s="12"/>
      <c r="M357" s="12"/>
      <c r="N357" s="18"/>
      <c r="O357" s="12"/>
      <c r="P357" s="12"/>
      <c r="Q357" s="12"/>
      <c r="R357" s="36"/>
      <c r="S357" s="36"/>
      <c r="T357" s="12"/>
      <c r="U357" s="12"/>
      <c r="V357" s="12"/>
      <c r="W357" s="12"/>
      <c r="X357" s="12"/>
    </row>
    <row r="358" customFormat="false" ht="15.75" hidden="false" customHeight="false" outlineLevel="0" collapsed="false">
      <c r="A358" s="12"/>
      <c r="B358" s="34"/>
      <c r="C358" s="12"/>
      <c r="D358" s="12"/>
      <c r="E358" s="12"/>
      <c r="F358" s="12"/>
      <c r="G358" s="18"/>
      <c r="H358" s="35"/>
      <c r="I358" s="12"/>
      <c r="M358" s="12"/>
      <c r="N358" s="18"/>
      <c r="O358" s="12"/>
      <c r="P358" s="12"/>
      <c r="Q358" s="12"/>
      <c r="R358" s="36"/>
      <c r="S358" s="36"/>
      <c r="T358" s="12"/>
      <c r="U358" s="12"/>
      <c r="V358" s="12"/>
      <c r="W358" s="12"/>
      <c r="X358" s="12"/>
    </row>
    <row r="359" customFormat="false" ht="15.75" hidden="false" customHeight="false" outlineLevel="0" collapsed="false">
      <c r="A359" s="12"/>
      <c r="B359" s="34"/>
      <c r="C359" s="12"/>
      <c r="D359" s="12"/>
      <c r="E359" s="12"/>
      <c r="F359" s="12"/>
      <c r="G359" s="18"/>
      <c r="H359" s="35"/>
      <c r="I359" s="12"/>
      <c r="M359" s="12"/>
      <c r="N359" s="18"/>
      <c r="O359" s="12"/>
      <c r="P359" s="12"/>
      <c r="Q359" s="12"/>
      <c r="R359" s="36"/>
      <c r="S359" s="36"/>
      <c r="T359" s="12"/>
      <c r="U359" s="12"/>
      <c r="V359" s="12"/>
      <c r="W359" s="12"/>
      <c r="X359" s="12"/>
    </row>
    <row r="360" customFormat="false" ht="15.75" hidden="false" customHeight="false" outlineLevel="0" collapsed="false">
      <c r="A360" s="12"/>
      <c r="B360" s="34"/>
      <c r="C360" s="12"/>
      <c r="D360" s="12"/>
      <c r="E360" s="12"/>
      <c r="F360" s="12"/>
      <c r="G360" s="18"/>
      <c r="H360" s="35"/>
      <c r="I360" s="12"/>
      <c r="M360" s="12"/>
      <c r="N360" s="18"/>
      <c r="O360" s="12"/>
      <c r="P360" s="12"/>
      <c r="Q360" s="12"/>
      <c r="R360" s="36"/>
      <c r="S360" s="36"/>
      <c r="T360" s="12"/>
      <c r="U360" s="12"/>
      <c r="V360" s="12"/>
      <c r="W360" s="12"/>
      <c r="X360" s="12"/>
    </row>
    <row r="361" customFormat="false" ht="15.75" hidden="false" customHeight="false" outlineLevel="0" collapsed="false">
      <c r="A361" s="12"/>
      <c r="B361" s="34"/>
      <c r="C361" s="12"/>
      <c r="D361" s="12"/>
      <c r="E361" s="12"/>
      <c r="F361" s="12"/>
      <c r="G361" s="18"/>
      <c r="H361" s="35"/>
      <c r="I361" s="12"/>
      <c r="M361" s="12"/>
      <c r="N361" s="18"/>
      <c r="O361" s="12"/>
      <c r="P361" s="12"/>
      <c r="Q361" s="12"/>
      <c r="R361" s="36"/>
      <c r="S361" s="36"/>
      <c r="T361" s="12"/>
      <c r="U361" s="12"/>
      <c r="V361" s="12"/>
      <c r="W361" s="12"/>
      <c r="X361" s="12"/>
    </row>
    <row r="362" customFormat="false" ht="15.75" hidden="false" customHeight="false" outlineLevel="0" collapsed="false">
      <c r="A362" s="12"/>
      <c r="B362" s="34"/>
      <c r="C362" s="12"/>
      <c r="D362" s="12"/>
      <c r="E362" s="12"/>
      <c r="F362" s="12"/>
      <c r="G362" s="18"/>
      <c r="H362" s="35"/>
      <c r="I362" s="12"/>
      <c r="M362" s="12"/>
      <c r="N362" s="18"/>
      <c r="O362" s="12"/>
      <c r="P362" s="12"/>
      <c r="Q362" s="12"/>
      <c r="R362" s="36"/>
      <c r="S362" s="36"/>
      <c r="T362" s="12"/>
      <c r="U362" s="12"/>
      <c r="V362" s="12"/>
      <c r="W362" s="12"/>
      <c r="X362" s="12"/>
    </row>
    <row r="363" customFormat="false" ht="15.75" hidden="false" customHeight="false" outlineLevel="0" collapsed="false">
      <c r="A363" s="12"/>
      <c r="B363" s="34"/>
      <c r="C363" s="12"/>
      <c r="D363" s="12"/>
      <c r="E363" s="12"/>
      <c r="F363" s="12"/>
      <c r="G363" s="18"/>
      <c r="H363" s="35"/>
      <c r="I363" s="12"/>
      <c r="M363" s="12"/>
      <c r="N363" s="18"/>
      <c r="O363" s="12"/>
      <c r="P363" s="12"/>
      <c r="Q363" s="12"/>
      <c r="R363" s="36"/>
      <c r="S363" s="36"/>
      <c r="T363" s="12"/>
      <c r="U363" s="12"/>
      <c r="V363" s="12"/>
      <c r="W363" s="12"/>
      <c r="X363" s="12"/>
    </row>
    <row r="364" customFormat="false" ht="15.75" hidden="false" customHeight="false" outlineLevel="0" collapsed="false">
      <c r="A364" s="12"/>
      <c r="B364" s="34"/>
      <c r="C364" s="12"/>
      <c r="D364" s="12"/>
      <c r="E364" s="12"/>
      <c r="F364" s="12"/>
      <c r="G364" s="18"/>
      <c r="H364" s="35"/>
      <c r="I364" s="12"/>
      <c r="M364" s="12"/>
      <c r="N364" s="18"/>
      <c r="O364" s="12"/>
      <c r="P364" s="12"/>
      <c r="Q364" s="12"/>
      <c r="R364" s="36"/>
      <c r="S364" s="36"/>
      <c r="T364" s="12"/>
      <c r="U364" s="12"/>
      <c r="V364" s="12"/>
      <c r="W364" s="12"/>
      <c r="X364" s="12"/>
    </row>
    <row r="365" customFormat="false" ht="15.75" hidden="false" customHeight="false" outlineLevel="0" collapsed="false">
      <c r="A365" s="12"/>
      <c r="B365" s="34"/>
      <c r="C365" s="12"/>
      <c r="D365" s="12"/>
      <c r="E365" s="12"/>
      <c r="F365" s="12"/>
      <c r="G365" s="18"/>
      <c r="H365" s="35"/>
      <c r="I365" s="12"/>
      <c r="M365" s="12"/>
      <c r="N365" s="18"/>
      <c r="O365" s="12"/>
      <c r="P365" s="12"/>
      <c r="Q365" s="12"/>
      <c r="R365" s="36"/>
      <c r="S365" s="36"/>
      <c r="T365" s="12"/>
      <c r="U365" s="12"/>
      <c r="V365" s="12"/>
      <c r="W365" s="12"/>
      <c r="X365" s="12"/>
    </row>
    <row r="366" customFormat="false" ht="15.75" hidden="false" customHeight="false" outlineLevel="0" collapsed="false">
      <c r="A366" s="12"/>
      <c r="B366" s="34"/>
      <c r="C366" s="12"/>
      <c r="D366" s="12"/>
      <c r="E366" s="12"/>
      <c r="F366" s="12"/>
      <c r="G366" s="18"/>
      <c r="H366" s="35"/>
      <c r="I366" s="12"/>
      <c r="M366" s="12"/>
      <c r="N366" s="18"/>
      <c r="O366" s="12"/>
      <c r="P366" s="12"/>
      <c r="Q366" s="12"/>
      <c r="R366" s="36"/>
      <c r="S366" s="36"/>
      <c r="T366" s="12"/>
      <c r="U366" s="12"/>
      <c r="V366" s="12"/>
      <c r="W366" s="12"/>
      <c r="X366" s="12"/>
    </row>
    <row r="367" customFormat="false" ht="15.75" hidden="false" customHeight="false" outlineLevel="0" collapsed="false">
      <c r="A367" s="12"/>
      <c r="B367" s="34"/>
      <c r="C367" s="12"/>
      <c r="D367" s="12"/>
      <c r="E367" s="12"/>
      <c r="F367" s="12"/>
      <c r="G367" s="18"/>
      <c r="H367" s="35"/>
      <c r="I367" s="12"/>
      <c r="M367" s="12"/>
      <c r="N367" s="18"/>
      <c r="O367" s="12"/>
      <c r="P367" s="12"/>
      <c r="Q367" s="12"/>
      <c r="R367" s="36"/>
      <c r="S367" s="36"/>
      <c r="T367" s="12"/>
      <c r="U367" s="12"/>
      <c r="V367" s="12"/>
      <c r="W367" s="12"/>
      <c r="X367" s="12"/>
    </row>
    <row r="368" customFormat="false" ht="15.75" hidden="false" customHeight="false" outlineLevel="0" collapsed="false">
      <c r="A368" s="12"/>
      <c r="B368" s="34"/>
      <c r="C368" s="12"/>
      <c r="D368" s="12"/>
      <c r="E368" s="12"/>
      <c r="F368" s="12"/>
      <c r="G368" s="18"/>
      <c r="H368" s="35"/>
      <c r="I368" s="12"/>
      <c r="M368" s="12"/>
      <c r="N368" s="18"/>
      <c r="O368" s="12"/>
      <c r="P368" s="12"/>
      <c r="Q368" s="12"/>
      <c r="R368" s="36"/>
      <c r="S368" s="36"/>
      <c r="T368" s="12"/>
      <c r="U368" s="12"/>
      <c r="V368" s="12"/>
      <c r="W368" s="12"/>
      <c r="X368" s="12"/>
    </row>
    <row r="369" customFormat="false" ht="15.75" hidden="false" customHeight="false" outlineLevel="0" collapsed="false">
      <c r="A369" s="12"/>
      <c r="B369" s="34"/>
      <c r="C369" s="12"/>
      <c r="D369" s="12"/>
      <c r="E369" s="12"/>
      <c r="F369" s="12"/>
      <c r="G369" s="18"/>
      <c r="H369" s="35"/>
      <c r="I369" s="12"/>
      <c r="M369" s="12"/>
      <c r="N369" s="18"/>
      <c r="O369" s="12"/>
      <c r="P369" s="12"/>
      <c r="Q369" s="12"/>
      <c r="R369" s="36"/>
      <c r="S369" s="36"/>
      <c r="T369" s="12"/>
      <c r="U369" s="12"/>
      <c r="V369" s="12"/>
      <c r="W369" s="12"/>
      <c r="X369" s="12"/>
    </row>
    <row r="370" customFormat="false" ht="15.75" hidden="false" customHeight="false" outlineLevel="0" collapsed="false">
      <c r="A370" s="12"/>
      <c r="B370" s="34"/>
      <c r="C370" s="12"/>
      <c r="D370" s="12"/>
      <c r="E370" s="12"/>
      <c r="F370" s="12"/>
      <c r="G370" s="18"/>
      <c r="H370" s="35"/>
      <c r="I370" s="12"/>
      <c r="M370" s="12"/>
      <c r="N370" s="18"/>
      <c r="O370" s="12"/>
      <c r="P370" s="12"/>
      <c r="Q370" s="12"/>
      <c r="R370" s="36"/>
      <c r="S370" s="36"/>
      <c r="T370" s="12"/>
      <c r="U370" s="12"/>
      <c r="V370" s="12"/>
      <c r="W370" s="12"/>
      <c r="X370" s="12"/>
    </row>
    <row r="371" customFormat="false" ht="15.75" hidden="false" customHeight="false" outlineLevel="0" collapsed="false">
      <c r="A371" s="12"/>
      <c r="B371" s="34"/>
      <c r="C371" s="12"/>
      <c r="D371" s="12"/>
      <c r="E371" s="12"/>
      <c r="F371" s="12"/>
      <c r="G371" s="18"/>
      <c r="H371" s="35"/>
      <c r="I371" s="12"/>
      <c r="M371" s="12"/>
      <c r="N371" s="18"/>
      <c r="O371" s="12"/>
      <c r="P371" s="12"/>
      <c r="Q371" s="12"/>
      <c r="R371" s="36"/>
      <c r="S371" s="36"/>
      <c r="T371" s="12"/>
      <c r="U371" s="12"/>
      <c r="V371" s="12"/>
      <c r="W371" s="12"/>
      <c r="X371" s="12"/>
    </row>
    <row r="372" customFormat="false" ht="15.75" hidden="false" customHeight="false" outlineLevel="0" collapsed="false">
      <c r="A372" s="12"/>
      <c r="B372" s="34"/>
      <c r="C372" s="12"/>
      <c r="D372" s="12"/>
      <c r="E372" s="12"/>
      <c r="F372" s="12"/>
      <c r="G372" s="18"/>
      <c r="H372" s="35"/>
      <c r="I372" s="12"/>
      <c r="M372" s="12"/>
      <c r="N372" s="18"/>
      <c r="O372" s="12"/>
      <c r="P372" s="12"/>
      <c r="Q372" s="12"/>
      <c r="R372" s="36"/>
      <c r="S372" s="36"/>
      <c r="T372" s="12"/>
      <c r="U372" s="12"/>
      <c r="V372" s="12"/>
      <c r="W372" s="12"/>
      <c r="X372" s="12"/>
    </row>
    <row r="373" customFormat="false" ht="15.75" hidden="false" customHeight="false" outlineLevel="0" collapsed="false">
      <c r="A373" s="12"/>
      <c r="B373" s="34"/>
      <c r="C373" s="12"/>
      <c r="D373" s="12"/>
      <c r="E373" s="12"/>
      <c r="F373" s="12"/>
      <c r="G373" s="18"/>
      <c r="H373" s="35"/>
      <c r="I373" s="12"/>
      <c r="M373" s="12"/>
      <c r="N373" s="18"/>
      <c r="O373" s="12"/>
      <c r="P373" s="12"/>
      <c r="Q373" s="12"/>
      <c r="R373" s="36"/>
      <c r="S373" s="36"/>
      <c r="T373" s="12"/>
      <c r="U373" s="12"/>
      <c r="V373" s="12"/>
      <c r="W373" s="12"/>
      <c r="X373" s="12"/>
    </row>
    <row r="374" customFormat="false" ht="15.75" hidden="false" customHeight="false" outlineLevel="0" collapsed="false">
      <c r="A374" s="12"/>
      <c r="B374" s="34"/>
      <c r="C374" s="12"/>
      <c r="D374" s="12"/>
      <c r="E374" s="12"/>
      <c r="F374" s="12"/>
      <c r="G374" s="18"/>
      <c r="H374" s="35"/>
      <c r="I374" s="12"/>
      <c r="M374" s="12"/>
      <c r="N374" s="18"/>
      <c r="O374" s="12"/>
      <c r="P374" s="12"/>
      <c r="Q374" s="12"/>
      <c r="R374" s="36"/>
      <c r="S374" s="36"/>
      <c r="T374" s="12"/>
      <c r="U374" s="12"/>
      <c r="V374" s="12"/>
      <c r="W374" s="12"/>
      <c r="X374" s="12"/>
    </row>
    <row r="375" customFormat="false" ht="15.75" hidden="false" customHeight="false" outlineLevel="0" collapsed="false">
      <c r="A375" s="12"/>
      <c r="B375" s="34"/>
      <c r="C375" s="12"/>
      <c r="D375" s="12"/>
      <c r="E375" s="12"/>
      <c r="F375" s="12"/>
      <c r="G375" s="18"/>
      <c r="H375" s="35"/>
      <c r="I375" s="12"/>
      <c r="M375" s="12"/>
      <c r="N375" s="18"/>
      <c r="O375" s="12"/>
      <c r="P375" s="12"/>
      <c r="Q375" s="12"/>
      <c r="R375" s="36"/>
      <c r="S375" s="36"/>
      <c r="T375" s="12"/>
      <c r="U375" s="12"/>
      <c r="V375" s="12"/>
      <c r="W375" s="12"/>
      <c r="X375" s="12"/>
    </row>
    <row r="376" customFormat="false" ht="15.75" hidden="false" customHeight="false" outlineLevel="0" collapsed="false">
      <c r="A376" s="12"/>
      <c r="B376" s="34"/>
      <c r="C376" s="12"/>
      <c r="D376" s="12"/>
      <c r="E376" s="12"/>
      <c r="F376" s="12"/>
      <c r="G376" s="18"/>
      <c r="H376" s="35"/>
      <c r="I376" s="12"/>
      <c r="M376" s="12"/>
      <c r="N376" s="18"/>
      <c r="O376" s="12"/>
      <c r="P376" s="12"/>
      <c r="Q376" s="12"/>
      <c r="R376" s="36"/>
      <c r="S376" s="36"/>
      <c r="T376" s="12"/>
      <c r="U376" s="12"/>
      <c r="V376" s="12"/>
      <c r="W376" s="12"/>
      <c r="X376" s="12"/>
    </row>
    <row r="377" customFormat="false" ht="15.75" hidden="false" customHeight="false" outlineLevel="0" collapsed="false">
      <c r="A377" s="12"/>
      <c r="B377" s="34"/>
      <c r="C377" s="12"/>
      <c r="D377" s="12"/>
      <c r="E377" s="12"/>
      <c r="F377" s="12"/>
      <c r="G377" s="18"/>
      <c r="H377" s="35"/>
      <c r="I377" s="12"/>
      <c r="M377" s="12"/>
      <c r="N377" s="18"/>
      <c r="O377" s="12"/>
      <c r="P377" s="12"/>
      <c r="Q377" s="12"/>
      <c r="R377" s="36"/>
      <c r="S377" s="36"/>
      <c r="T377" s="12"/>
      <c r="U377" s="12"/>
      <c r="V377" s="12"/>
      <c r="W377" s="12"/>
      <c r="X377" s="12"/>
    </row>
    <row r="378" customFormat="false" ht="15.75" hidden="false" customHeight="false" outlineLevel="0" collapsed="false">
      <c r="A378" s="12"/>
      <c r="B378" s="34"/>
      <c r="C378" s="12"/>
      <c r="D378" s="12"/>
      <c r="E378" s="12"/>
      <c r="F378" s="12"/>
      <c r="G378" s="18"/>
      <c r="H378" s="35"/>
      <c r="I378" s="12"/>
      <c r="M378" s="12"/>
      <c r="N378" s="18"/>
      <c r="O378" s="12"/>
      <c r="P378" s="12"/>
      <c r="Q378" s="12"/>
      <c r="R378" s="36"/>
      <c r="S378" s="36"/>
      <c r="T378" s="12"/>
      <c r="U378" s="12"/>
      <c r="V378" s="12"/>
      <c r="W378" s="12"/>
      <c r="X378" s="12"/>
    </row>
    <row r="379" customFormat="false" ht="15.75" hidden="false" customHeight="false" outlineLevel="0" collapsed="false">
      <c r="A379" s="12"/>
      <c r="B379" s="34"/>
      <c r="C379" s="12"/>
      <c r="D379" s="12"/>
      <c r="E379" s="12"/>
      <c r="F379" s="12"/>
      <c r="G379" s="18"/>
      <c r="H379" s="35"/>
      <c r="I379" s="12"/>
      <c r="M379" s="12"/>
      <c r="N379" s="18"/>
      <c r="O379" s="12"/>
      <c r="P379" s="12"/>
      <c r="Q379" s="12"/>
      <c r="R379" s="36"/>
      <c r="S379" s="36"/>
      <c r="T379" s="12"/>
      <c r="U379" s="12"/>
      <c r="V379" s="12"/>
      <c r="W379" s="12"/>
      <c r="X379" s="12"/>
    </row>
    <row r="380" customFormat="false" ht="15.75" hidden="false" customHeight="false" outlineLevel="0" collapsed="false">
      <c r="A380" s="12"/>
      <c r="B380" s="34"/>
      <c r="C380" s="12"/>
      <c r="D380" s="12"/>
      <c r="E380" s="12"/>
      <c r="F380" s="12"/>
      <c r="G380" s="18"/>
      <c r="H380" s="35"/>
      <c r="I380" s="12"/>
      <c r="M380" s="12"/>
      <c r="N380" s="18"/>
      <c r="O380" s="12"/>
      <c r="P380" s="12"/>
      <c r="Q380" s="12"/>
      <c r="R380" s="36"/>
      <c r="S380" s="36"/>
      <c r="T380" s="12"/>
      <c r="U380" s="12"/>
      <c r="V380" s="12"/>
      <c r="W380" s="12"/>
      <c r="X380" s="12"/>
    </row>
    <row r="381" customFormat="false" ht="15.75" hidden="false" customHeight="false" outlineLevel="0" collapsed="false">
      <c r="A381" s="12"/>
      <c r="B381" s="34"/>
      <c r="C381" s="12"/>
      <c r="D381" s="12"/>
      <c r="E381" s="12"/>
      <c r="F381" s="12"/>
      <c r="G381" s="18"/>
      <c r="H381" s="35"/>
      <c r="I381" s="12"/>
      <c r="M381" s="12"/>
      <c r="N381" s="18"/>
      <c r="O381" s="12"/>
      <c r="P381" s="12"/>
      <c r="Q381" s="12"/>
      <c r="R381" s="36"/>
      <c r="S381" s="36"/>
      <c r="T381" s="12"/>
      <c r="U381" s="12"/>
      <c r="V381" s="12"/>
      <c r="W381" s="12"/>
      <c r="X381" s="12"/>
    </row>
    <row r="382" customFormat="false" ht="15.75" hidden="false" customHeight="false" outlineLevel="0" collapsed="false">
      <c r="A382" s="12"/>
      <c r="B382" s="34"/>
      <c r="C382" s="12"/>
      <c r="D382" s="12"/>
      <c r="E382" s="12"/>
      <c r="F382" s="12"/>
      <c r="G382" s="18"/>
      <c r="H382" s="35"/>
      <c r="I382" s="12"/>
      <c r="M382" s="12"/>
      <c r="N382" s="18"/>
      <c r="O382" s="12"/>
      <c r="P382" s="12"/>
      <c r="Q382" s="12"/>
      <c r="R382" s="36"/>
      <c r="S382" s="36"/>
      <c r="T382" s="12"/>
      <c r="U382" s="12"/>
      <c r="V382" s="12"/>
      <c r="W382" s="12"/>
      <c r="X382" s="12"/>
    </row>
    <row r="383" customFormat="false" ht="15.75" hidden="false" customHeight="false" outlineLevel="0" collapsed="false">
      <c r="A383" s="12"/>
      <c r="B383" s="34"/>
      <c r="C383" s="12"/>
      <c r="D383" s="12"/>
      <c r="E383" s="12"/>
      <c r="F383" s="12"/>
      <c r="G383" s="18"/>
      <c r="H383" s="35"/>
      <c r="I383" s="12"/>
      <c r="M383" s="12"/>
      <c r="N383" s="18"/>
      <c r="O383" s="12"/>
      <c r="P383" s="12"/>
      <c r="Q383" s="12"/>
      <c r="R383" s="36"/>
      <c r="S383" s="36"/>
      <c r="T383" s="12"/>
      <c r="U383" s="12"/>
      <c r="V383" s="12"/>
      <c r="W383" s="12"/>
      <c r="X383" s="12"/>
    </row>
    <row r="384" customFormat="false" ht="15.75" hidden="false" customHeight="false" outlineLevel="0" collapsed="false">
      <c r="A384" s="12"/>
      <c r="B384" s="34"/>
      <c r="C384" s="12"/>
      <c r="D384" s="12"/>
      <c r="E384" s="12"/>
      <c r="F384" s="12"/>
      <c r="G384" s="18"/>
      <c r="H384" s="35"/>
      <c r="I384" s="12"/>
      <c r="M384" s="12"/>
      <c r="N384" s="18"/>
      <c r="O384" s="12"/>
      <c r="P384" s="12"/>
      <c r="Q384" s="12"/>
      <c r="R384" s="36"/>
      <c r="S384" s="36"/>
      <c r="T384" s="12"/>
      <c r="U384" s="12"/>
      <c r="V384" s="12"/>
      <c r="W384" s="12"/>
      <c r="X384" s="12"/>
    </row>
    <row r="385" customFormat="false" ht="15.75" hidden="false" customHeight="false" outlineLevel="0" collapsed="false">
      <c r="A385" s="12"/>
      <c r="B385" s="34"/>
      <c r="C385" s="12"/>
      <c r="D385" s="12"/>
      <c r="E385" s="12"/>
      <c r="F385" s="12"/>
      <c r="G385" s="18"/>
      <c r="H385" s="35"/>
      <c r="I385" s="12"/>
      <c r="M385" s="12"/>
      <c r="N385" s="18"/>
      <c r="O385" s="12"/>
      <c r="P385" s="12"/>
      <c r="Q385" s="12"/>
      <c r="R385" s="36"/>
      <c r="S385" s="36"/>
      <c r="T385" s="12"/>
      <c r="U385" s="12"/>
      <c r="V385" s="12"/>
      <c r="W385" s="12"/>
      <c r="X385" s="12"/>
    </row>
    <row r="386" customFormat="false" ht="15.75" hidden="false" customHeight="false" outlineLevel="0" collapsed="false">
      <c r="A386" s="12"/>
      <c r="B386" s="34"/>
      <c r="C386" s="12"/>
      <c r="D386" s="12"/>
      <c r="E386" s="12"/>
      <c r="F386" s="12"/>
      <c r="G386" s="18"/>
      <c r="H386" s="35"/>
      <c r="I386" s="12"/>
      <c r="M386" s="12"/>
      <c r="N386" s="18"/>
      <c r="O386" s="12"/>
      <c r="P386" s="12"/>
      <c r="Q386" s="12"/>
      <c r="R386" s="36"/>
      <c r="S386" s="36"/>
      <c r="T386" s="12"/>
      <c r="U386" s="12"/>
      <c r="V386" s="12"/>
      <c r="W386" s="12"/>
      <c r="X386" s="12"/>
    </row>
    <row r="387" customFormat="false" ht="15.75" hidden="false" customHeight="false" outlineLevel="0" collapsed="false">
      <c r="A387" s="12"/>
      <c r="B387" s="34"/>
      <c r="C387" s="12"/>
      <c r="D387" s="12"/>
      <c r="E387" s="12"/>
      <c r="F387" s="12"/>
      <c r="G387" s="18"/>
      <c r="H387" s="35"/>
      <c r="I387" s="12"/>
      <c r="M387" s="12"/>
      <c r="N387" s="18"/>
      <c r="O387" s="12"/>
      <c r="P387" s="12"/>
      <c r="Q387" s="12"/>
      <c r="R387" s="36"/>
      <c r="S387" s="36"/>
      <c r="T387" s="12"/>
      <c r="U387" s="12"/>
      <c r="V387" s="12"/>
      <c r="W387" s="12"/>
      <c r="X387" s="12"/>
    </row>
    <row r="388" customFormat="false" ht="15.75" hidden="false" customHeight="false" outlineLevel="0" collapsed="false">
      <c r="A388" s="12"/>
      <c r="B388" s="34"/>
      <c r="C388" s="12"/>
      <c r="D388" s="12"/>
      <c r="E388" s="12"/>
      <c r="F388" s="12"/>
      <c r="G388" s="18"/>
      <c r="H388" s="35"/>
      <c r="I388" s="12"/>
      <c r="M388" s="12"/>
      <c r="N388" s="18"/>
      <c r="O388" s="12"/>
      <c r="P388" s="12"/>
      <c r="Q388" s="12"/>
      <c r="R388" s="36"/>
      <c r="S388" s="36"/>
      <c r="T388" s="12"/>
      <c r="U388" s="12"/>
      <c r="V388" s="12"/>
      <c r="W388" s="12"/>
      <c r="X388" s="12"/>
    </row>
    <row r="389" customFormat="false" ht="15.75" hidden="false" customHeight="false" outlineLevel="0" collapsed="false">
      <c r="A389" s="12"/>
      <c r="B389" s="34"/>
      <c r="C389" s="12"/>
      <c r="D389" s="12"/>
      <c r="E389" s="12"/>
      <c r="F389" s="12"/>
      <c r="G389" s="18"/>
      <c r="H389" s="35"/>
      <c r="I389" s="12"/>
      <c r="M389" s="12"/>
      <c r="N389" s="18"/>
      <c r="O389" s="12"/>
      <c r="P389" s="12"/>
      <c r="Q389" s="12"/>
      <c r="R389" s="36"/>
      <c r="S389" s="36"/>
      <c r="T389" s="12"/>
      <c r="U389" s="12"/>
      <c r="V389" s="12"/>
      <c r="W389" s="12"/>
      <c r="X389" s="12"/>
    </row>
    <row r="390" customFormat="false" ht="15.75" hidden="false" customHeight="false" outlineLevel="0" collapsed="false">
      <c r="A390" s="12"/>
      <c r="B390" s="34"/>
      <c r="C390" s="12"/>
      <c r="D390" s="12"/>
      <c r="E390" s="12"/>
      <c r="F390" s="12"/>
      <c r="G390" s="18"/>
      <c r="H390" s="35"/>
      <c r="I390" s="12"/>
      <c r="M390" s="12"/>
      <c r="N390" s="18"/>
      <c r="O390" s="12"/>
      <c r="P390" s="12"/>
      <c r="Q390" s="12"/>
      <c r="R390" s="36"/>
      <c r="S390" s="36"/>
      <c r="T390" s="12"/>
      <c r="U390" s="12"/>
      <c r="V390" s="12"/>
      <c r="W390" s="12"/>
      <c r="X390" s="12"/>
    </row>
    <row r="391" customFormat="false" ht="15.75" hidden="false" customHeight="false" outlineLevel="0" collapsed="false">
      <c r="A391" s="12"/>
      <c r="B391" s="34"/>
      <c r="C391" s="12"/>
      <c r="D391" s="12"/>
      <c r="E391" s="12"/>
      <c r="F391" s="12"/>
      <c r="G391" s="18"/>
      <c r="H391" s="35"/>
      <c r="I391" s="12"/>
      <c r="M391" s="12"/>
      <c r="N391" s="18"/>
      <c r="O391" s="12"/>
      <c r="P391" s="12"/>
      <c r="Q391" s="12"/>
      <c r="R391" s="36"/>
      <c r="S391" s="36"/>
      <c r="T391" s="12"/>
      <c r="U391" s="12"/>
      <c r="V391" s="12"/>
      <c r="W391" s="12"/>
      <c r="X391" s="12"/>
    </row>
    <row r="392" customFormat="false" ht="15.75" hidden="false" customHeight="false" outlineLevel="0" collapsed="false">
      <c r="A392" s="12"/>
      <c r="B392" s="34"/>
      <c r="C392" s="12"/>
      <c r="D392" s="12"/>
      <c r="E392" s="12"/>
      <c r="F392" s="12"/>
      <c r="G392" s="18"/>
      <c r="H392" s="35"/>
      <c r="I392" s="12"/>
      <c r="M392" s="12"/>
      <c r="N392" s="18"/>
      <c r="O392" s="12"/>
      <c r="P392" s="12"/>
      <c r="Q392" s="12"/>
      <c r="R392" s="36"/>
      <c r="S392" s="36"/>
      <c r="T392" s="12"/>
      <c r="U392" s="12"/>
      <c r="V392" s="12"/>
      <c r="W392" s="12"/>
      <c r="X392" s="12"/>
    </row>
    <row r="393" customFormat="false" ht="15.75" hidden="false" customHeight="false" outlineLevel="0" collapsed="false">
      <c r="A393" s="12"/>
      <c r="B393" s="34"/>
      <c r="C393" s="12"/>
      <c r="D393" s="12"/>
      <c r="E393" s="12"/>
      <c r="F393" s="12"/>
      <c r="G393" s="18"/>
      <c r="H393" s="35"/>
      <c r="I393" s="12"/>
      <c r="M393" s="12"/>
      <c r="N393" s="18"/>
      <c r="O393" s="12"/>
      <c r="P393" s="12"/>
      <c r="Q393" s="12"/>
      <c r="R393" s="36"/>
      <c r="S393" s="36"/>
      <c r="T393" s="12"/>
      <c r="U393" s="12"/>
      <c r="V393" s="12"/>
      <c r="W393" s="12"/>
      <c r="X393" s="12"/>
    </row>
    <row r="394" customFormat="false" ht="15.75" hidden="false" customHeight="false" outlineLevel="0" collapsed="false">
      <c r="A394" s="12"/>
      <c r="B394" s="34"/>
      <c r="C394" s="12"/>
      <c r="D394" s="12"/>
      <c r="E394" s="12"/>
      <c r="F394" s="12"/>
      <c r="G394" s="18"/>
      <c r="H394" s="35"/>
      <c r="I394" s="12"/>
      <c r="M394" s="12"/>
      <c r="N394" s="18"/>
      <c r="O394" s="12"/>
      <c r="P394" s="12"/>
      <c r="Q394" s="12"/>
      <c r="R394" s="36"/>
      <c r="S394" s="36"/>
      <c r="T394" s="12"/>
      <c r="U394" s="12"/>
      <c r="V394" s="12"/>
      <c r="W394" s="12"/>
      <c r="X394" s="12"/>
    </row>
    <row r="395" customFormat="false" ht="15.75" hidden="false" customHeight="false" outlineLevel="0" collapsed="false">
      <c r="A395" s="12"/>
      <c r="B395" s="34"/>
      <c r="C395" s="12"/>
      <c r="D395" s="12"/>
      <c r="E395" s="12"/>
      <c r="F395" s="12"/>
      <c r="G395" s="18"/>
      <c r="H395" s="35"/>
      <c r="I395" s="12"/>
      <c r="M395" s="12"/>
      <c r="N395" s="18"/>
      <c r="O395" s="12"/>
      <c r="P395" s="12"/>
      <c r="Q395" s="12"/>
      <c r="R395" s="36"/>
      <c r="S395" s="36"/>
      <c r="T395" s="12"/>
      <c r="U395" s="12"/>
      <c r="V395" s="12"/>
      <c r="W395" s="12"/>
      <c r="X395" s="12"/>
    </row>
    <row r="396" customFormat="false" ht="15.75" hidden="false" customHeight="false" outlineLevel="0" collapsed="false">
      <c r="A396" s="12"/>
      <c r="B396" s="34"/>
      <c r="C396" s="12"/>
      <c r="D396" s="12"/>
      <c r="E396" s="12"/>
      <c r="F396" s="12"/>
      <c r="G396" s="18"/>
      <c r="H396" s="35"/>
      <c r="I396" s="12"/>
      <c r="M396" s="12"/>
      <c r="N396" s="18"/>
      <c r="O396" s="12"/>
      <c r="P396" s="12"/>
      <c r="Q396" s="12"/>
      <c r="R396" s="36"/>
      <c r="S396" s="36"/>
      <c r="T396" s="12"/>
      <c r="U396" s="12"/>
      <c r="V396" s="12"/>
      <c r="W396" s="12"/>
      <c r="X396" s="12"/>
    </row>
    <row r="397" customFormat="false" ht="15.75" hidden="false" customHeight="false" outlineLevel="0" collapsed="false">
      <c r="A397" s="12"/>
      <c r="B397" s="34"/>
      <c r="C397" s="12"/>
      <c r="D397" s="12"/>
      <c r="E397" s="12"/>
      <c r="F397" s="12"/>
      <c r="G397" s="18"/>
      <c r="H397" s="35"/>
      <c r="I397" s="12"/>
      <c r="M397" s="12"/>
      <c r="N397" s="18"/>
      <c r="O397" s="12"/>
      <c r="P397" s="12"/>
      <c r="Q397" s="12"/>
      <c r="R397" s="36"/>
      <c r="S397" s="36"/>
      <c r="T397" s="12"/>
      <c r="U397" s="12"/>
      <c r="V397" s="12"/>
      <c r="W397" s="12"/>
      <c r="X397" s="12"/>
    </row>
    <row r="398" customFormat="false" ht="15.75" hidden="false" customHeight="false" outlineLevel="0" collapsed="false">
      <c r="A398" s="12"/>
      <c r="B398" s="34"/>
      <c r="C398" s="12"/>
      <c r="D398" s="12"/>
      <c r="E398" s="12"/>
      <c r="F398" s="12"/>
      <c r="G398" s="18"/>
      <c r="H398" s="35"/>
      <c r="I398" s="12"/>
      <c r="M398" s="12"/>
      <c r="N398" s="18"/>
      <c r="O398" s="12"/>
      <c r="P398" s="12"/>
      <c r="Q398" s="12"/>
      <c r="R398" s="36"/>
      <c r="S398" s="36"/>
      <c r="T398" s="12"/>
      <c r="U398" s="12"/>
      <c r="V398" s="12"/>
      <c r="W398" s="12"/>
      <c r="X398" s="12"/>
    </row>
    <row r="399" customFormat="false" ht="15.75" hidden="false" customHeight="false" outlineLevel="0" collapsed="false">
      <c r="A399" s="12"/>
      <c r="B399" s="34"/>
      <c r="C399" s="12"/>
      <c r="D399" s="12"/>
      <c r="E399" s="12"/>
      <c r="F399" s="12"/>
      <c r="G399" s="18"/>
      <c r="H399" s="35"/>
      <c r="I399" s="12"/>
      <c r="M399" s="12"/>
      <c r="N399" s="18"/>
      <c r="O399" s="12"/>
      <c r="P399" s="12"/>
      <c r="Q399" s="12"/>
      <c r="R399" s="36"/>
      <c r="S399" s="36"/>
      <c r="T399" s="12"/>
      <c r="U399" s="12"/>
      <c r="V399" s="12"/>
      <c r="W399" s="12"/>
      <c r="X399" s="12"/>
    </row>
    <row r="400" customFormat="false" ht="15.75" hidden="false" customHeight="false" outlineLevel="0" collapsed="false">
      <c r="A400" s="12"/>
      <c r="B400" s="34"/>
      <c r="C400" s="12"/>
      <c r="D400" s="12"/>
      <c r="E400" s="12"/>
      <c r="F400" s="12"/>
      <c r="G400" s="18"/>
      <c r="H400" s="35"/>
      <c r="I400" s="12"/>
      <c r="M400" s="12"/>
      <c r="N400" s="18"/>
      <c r="O400" s="12"/>
      <c r="P400" s="12"/>
      <c r="Q400" s="12"/>
      <c r="R400" s="36"/>
      <c r="S400" s="36"/>
      <c r="T400" s="12"/>
      <c r="U400" s="12"/>
      <c r="V400" s="12"/>
      <c r="W400" s="12"/>
      <c r="X400" s="12"/>
    </row>
    <row r="401" customFormat="false" ht="15.75" hidden="false" customHeight="false" outlineLevel="0" collapsed="false">
      <c r="A401" s="12"/>
      <c r="B401" s="34"/>
      <c r="C401" s="12"/>
      <c r="D401" s="12"/>
      <c r="E401" s="12"/>
      <c r="F401" s="12"/>
      <c r="G401" s="18"/>
      <c r="H401" s="35"/>
      <c r="I401" s="12"/>
      <c r="M401" s="12"/>
      <c r="N401" s="18"/>
      <c r="O401" s="12"/>
      <c r="P401" s="12"/>
      <c r="Q401" s="12"/>
      <c r="R401" s="36"/>
      <c r="S401" s="36"/>
      <c r="T401" s="12"/>
      <c r="U401" s="12"/>
      <c r="V401" s="12"/>
      <c r="W401" s="12"/>
      <c r="X401" s="12"/>
    </row>
    <row r="402" customFormat="false" ht="15.75" hidden="false" customHeight="false" outlineLevel="0" collapsed="false">
      <c r="A402" s="12"/>
      <c r="B402" s="34"/>
      <c r="C402" s="12"/>
      <c r="D402" s="12"/>
      <c r="E402" s="12"/>
      <c r="F402" s="12"/>
      <c r="G402" s="18"/>
      <c r="H402" s="35"/>
      <c r="I402" s="12"/>
      <c r="M402" s="12"/>
      <c r="N402" s="18"/>
      <c r="O402" s="12"/>
      <c r="P402" s="12"/>
      <c r="Q402" s="12"/>
      <c r="R402" s="36"/>
      <c r="S402" s="36"/>
      <c r="T402" s="12"/>
      <c r="U402" s="12"/>
      <c r="V402" s="12"/>
      <c r="W402" s="12"/>
      <c r="X402" s="12"/>
    </row>
    <row r="403" customFormat="false" ht="15.75" hidden="false" customHeight="false" outlineLevel="0" collapsed="false">
      <c r="A403" s="12"/>
      <c r="B403" s="34"/>
      <c r="C403" s="12"/>
      <c r="D403" s="12"/>
      <c r="E403" s="12"/>
      <c r="F403" s="12"/>
      <c r="G403" s="18"/>
      <c r="H403" s="35"/>
      <c r="I403" s="12"/>
      <c r="M403" s="12"/>
      <c r="N403" s="18"/>
      <c r="O403" s="12"/>
      <c r="P403" s="12"/>
      <c r="Q403" s="12"/>
      <c r="R403" s="36"/>
      <c r="S403" s="36"/>
      <c r="T403" s="12"/>
      <c r="U403" s="12"/>
      <c r="V403" s="12"/>
      <c r="W403" s="12"/>
      <c r="X403" s="12"/>
    </row>
    <row r="404" customFormat="false" ht="15.75" hidden="false" customHeight="false" outlineLevel="0" collapsed="false">
      <c r="A404" s="12"/>
      <c r="B404" s="34"/>
      <c r="C404" s="12"/>
      <c r="D404" s="12"/>
      <c r="E404" s="12"/>
      <c r="F404" s="12"/>
      <c r="G404" s="18"/>
      <c r="H404" s="35"/>
      <c r="I404" s="12"/>
      <c r="M404" s="12"/>
      <c r="N404" s="18"/>
      <c r="O404" s="12"/>
      <c r="P404" s="12"/>
      <c r="Q404" s="12"/>
      <c r="R404" s="36"/>
      <c r="S404" s="36"/>
      <c r="T404" s="12"/>
      <c r="U404" s="12"/>
      <c r="V404" s="12"/>
      <c r="W404" s="12"/>
      <c r="X404" s="12"/>
    </row>
    <row r="405" customFormat="false" ht="15.75" hidden="false" customHeight="false" outlineLevel="0" collapsed="false">
      <c r="A405" s="12"/>
      <c r="B405" s="34"/>
      <c r="C405" s="12"/>
      <c r="D405" s="12"/>
      <c r="E405" s="12"/>
      <c r="F405" s="12"/>
      <c r="G405" s="18"/>
      <c r="H405" s="35"/>
      <c r="I405" s="12"/>
      <c r="M405" s="12"/>
      <c r="N405" s="18"/>
      <c r="O405" s="12"/>
      <c r="P405" s="12"/>
      <c r="Q405" s="12"/>
      <c r="R405" s="36"/>
      <c r="S405" s="36"/>
      <c r="T405" s="12"/>
      <c r="U405" s="12"/>
      <c r="V405" s="12"/>
      <c r="W405" s="12"/>
      <c r="X405" s="12"/>
    </row>
    <row r="406" customFormat="false" ht="15.75" hidden="false" customHeight="false" outlineLevel="0" collapsed="false">
      <c r="A406" s="12"/>
      <c r="B406" s="34"/>
      <c r="C406" s="12"/>
      <c r="D406" s="12"/>
      <c r="E406" s="12"/>
      <c r="F406" s="12"/>
      <c r="G406" s="18"/>
      <c r="H406" s="35"/>
      <c r="I406" s="12"/>
      <c r="M406" s="12"/>
      <c r="N406" s="18"/>
      <c r="O406" s="12"/>
      <c r="P406" s="12"/>
      <c r="Q406" s="12"/>
      <c r="R406" s="36"/>
      <c r="S406" s="36"/>
      <c r="T406" s="12"/>
      <c r="U406" s="12"/>
      <c r="V406" s="12"/>
      <c r="W406" s="12"/>
      <c r="X406" s="12"/>
    </row>
    <row r="407" customFormat="false" ht="15.75" hidden="false" customHeight="false" outlineLevel="0" collapsed="false">
      <c r="A407" s="12"/>
      <c r="B407" s="34"/>
      <c r="C407" s="12"/>
      <c r="D407" s="12"/>
      <c r="E407" s="12"/>
      <c r="F407" s="12"/>
      <c r="G407" s="18"/>
      <c r="H407" s="35"/>
      <c r="I407" s="12"/>
      <c r="M407" s="12"/>
      <c r="N407" s="18"/>
      <c r="O407" s="12"/>
      <c r="P407" s="12"/>
      <c r="Q407" s="12"/>
      <c r="R407" s="36"/>
      <c r="S407" s="36"/>
      <c r="T407" s="12"/>
      <c r="U407" s="12"/>
      <c r="V407" s="12"/>
      <c r="W407" s="12"/>
      <c r="X407" s="12"/>
    </row>
    <row r="408" customFormat="false" ht="15.75" hidden="false" customHeight="false" outlineLevel="0" collapsed="false">
      <c r="A408" s="12"/>
      <c r="B408" s="34"/>
      <c r="C408" s="12"/>
      <c r="D408" s="12"/>
      <c r="E408" s="12"/>
      <c r="F408" s="12"/>
      <c r="G408" s="18"/>
      <c r="H408" s="35"/>
      <c r="I408" s="12"/>
      <c r="M408" s="12"/>
      <c r="N408" s="18"/>
      <c r="O408" s="12"/>
      <c r="P408" s="12"/>
      <c r="Q408" s="12"/>
      <c r="R408" s="36"/>
      <c r="S408" s="36"/>
      <c r="T408" s="12"/>
      <c r="U408" s="12"/>
      <c r="V408" s="12"/>
      <c r="W408" s="12"/>
      <c r="X408" s="12"/>
    </row>
    <row r="409" customFormat="false" ht="15.75" hidden="false" customHeight="false" outlineLevel="0" collapsed="false">
      <c r="A409" s="12"/>
      <c r="B409" s="34"/>
      <c r="C409" s="12"/>
      <c r="D409" s="12"/>
      <c r="E409" s="12"/>
      <c r="F409" s="12"/>
      <c r="G409" s="18"/>
      <c r="H409" s="35"/>
      <c r="I409" s="12"/>
      <c r="M409" s="12"/>
      <c r="N409" s="18"/>
      <c r="O409" s="12"/>
      <c r="P409" s="12"/>
      <c r="Q409" s="12"/>
      <c r="R409" s="36"/>
      <c r="S409" s="36"/>
      <c r="T409" s="12"/>
      <c r="U409" s="12"/>
      <c r="V409" s="12"/>
      <c r="W409" s="12"/>
      <c r="X409" s="12"/>
    </row>
    <row r="410" customFormat="false" ht="15.75" hidden="false" customHeight="false" outlineLevel="0" collapsed="false">
      <c r="A410" s="12"/>
      <c r="B410" s="34"/>
      <c r="C410" s="12"/>
      <c r="D410" s="12"/>
      <c r="E410" s="12"/>
      <c r="F410" s="12"/>
      <c r="G410" s="18"/>
      <c r="H410" s="35"/>
      <c r="I410" s="12"/>
      <c r="M410" s="12"/>
      <c r="N410" s="18"/>
      <c r="O410" s="12"/>
      <c r="P410" s="12"/>
      <c r="Q410" s="12"/>
      <c r="R410" s="36"/>
      <c r="S410" s="36"/>
      <c r="T410" s="12"/>
      <c r="U410" s="12"/>
      <c r="V410" s="12"/>
      <c r="W410" s="12"/>
      <c r="X410" s="12"/>
    </row>
    <row r="411" customFormat="false" ht="15.75" hidden="false" customHeight="false" outlineLevel="0" collapsed="false">
      <c r="A411" s="12"/>
      <c r="B411" s="34"/>
      <c r="C411" s="12"/>
      <c r="D411" s="12"/>
      <c r="E411" s="12"/>
      <c r="F411" s="12"/>
      <c r="G411" s="18"/>
      <c r="H411" s="35"/>
      <c r="I411" s="12"/>
      <c r="M411" s="12"/>
      <c r="N411" s="18"/>
      <c r="O411" s="12"/>
      <c r="P411" s="12"/>
      <c r="Q411" s="12"/>
      <c r="R411" s="36"/>
      <c r="S411" s="36"/>
      <c r="T411" s="12"/>
      <c r="U411" s="12"/>
      <c r="V411" s="12"/>
      <c r="W411" s="12"/>
      <c r="X411" s="12"/>
    </row>
    <row r="412" customFormat="false" ht="15.75" hidden="false" customHeight="false" outlineLevel="0" collapsed="false">
      <c r="A412" s="12"/>
      <c r="B412" s="34"/>
      <c r="C412" s="12"/>
      <c r="D412" s="12"/>
      <c r="E412" s="12"/>
      <c r="F412" s="12"/>
      <c r="G412" s="18"/>
      <c r="H412" s="35"/>
      <c r="I412" s="12"/>
      <c r="M412" s="12"/>
      <c r="N412" s="18"/>
      <c r="O412" s="12"/>
      <c r="P412" s="12"/>
      <c r="Q412" s="12"/>
      <c r="R412" s="36"/>
      <c r="S412" s="36"/>
      <c r="T412" s="12"/>
      <c r="U412" s="12"/>
      <c r="V412" s="12"/>
      <c r="W412" s="12"/>
      <c r="X412" s="12"/>
    </row>
    <row r="413" customFormat="false" ht="15.75" hidden="false" customHeight="false" outlineLevel="0" collapsed="false">
      <c r="A413" s="12"/>
      <c r="B413" s="34"/>
      <c r="C413" s="12"/>
      <c r="D413" s="12"/>
      <c r="E413" s="12"/>
      <c r="F413" s="12"/>
      <c r="G413" s="18"/>
      <c r="H413" s="35"/>
      <c r="I413" s="12"/>
      <c r="M413" s="12"/>
      <c r="N413" s="18"/>
      <c r="O413" s="12"/>
      <c r="P413" s="12"/>
      <c r="Q413" s="12"/>
      <c r="R413" s="36"/>
      <c r="S413" s="36"/>
      <c r="T413" s="12"/>
      <c r="U413" s="12"/>
      <c r="V413" s="12"/>
      <c r="W413" s="12"/>
      <c r="X413" s="12"/>
    </row>
    <row r="414" customFormat="false" ht="15.75" hidden="false" customHeight="false" outlineLevel="0" collapsed="false">
      <c r="A414" s="12"/>
      <c r="B414" s="34"/>
      <c r="C414" s="12"/>
      <c r="D414" s="12"/>
      <c r="E414" s="12"/>
      <c r="F414" s="12"/>
      <c r="G414" s="18"/>
      <c r="H414" s="35"/>
      <c r="I414" s="12"/>
      <c r="M414" s="12"/>
      <c r="N414" s="18"/>
      <c r="O414" s="12"/>
      <c r="P414" s="12"/>
      <c r="Q414" s="12"/>
      <c r="R414" s="36"/>
      <c r="S414" s="36"/>
      <c r="T414" s="12"/>
      <c r="U414" s="12"/>
      <c r="V414" s="12"/>
      <c r="W414" s="12"/>
      <c r="X414" s="12"/>
    </row>
    <row r="415" customFormat="false" ht="15.75" hidden="false" customHeight="false" outlineLevel="0" collapsed="false">
      <c r="A415" s="12"/>
      <c r="B415" s="34"/>
      <c r="C415" s="12"/>
      <c r="D415" s="12"/>
      <c r="E415" s="12"/>
      <c r="F415" s="12"/>
      <c r="G415" s="18"/>
      <c r="H415" s="35"/>
      <c r="I415" s="12"/>
      <c r="M415" s="12"/>
      <c r="N415" s="18"/>
      <c r="O415" s="12"/>
      <c r="P415" s="12"/>
      <c r="Q415" s="12"/>
      <c r="R415" s="36"/>
      <c r="S415" s="36"/>
      <c r="T415" s="12"/>
      <c r="U415" s="12"/>
      <c r="V415" s="12"/>
      <c r="W415" s="12"/>
      <c r="X415" s="12"/>
    </row>
    <row r="416" customFormat="false" ht="15.75" hidden="false" customHeight="false" outlineLevel="0" collapsed="false">
      <c r="A416" s="12"/>
      <c r="B416" s="34"/>
      <c r="C416" s="12"/>
      <c r="D416" s="12"/>
      <c r="E416" s="12"/>
      <c r="F416" s="12"/>
      <c r="G416" s="18"/>
      <c r="H416" s="35"/>
      <c r="I416" s="12"/>
      <c r="M416" s="12"/>
      <c r="N416" s="18"/>
      <c r="O416" s="12"/>
      <c r="P416" s="12"/>
      <c r="Q416" s="12"/>
      <c r="R416" s="36"/>
      <c r="S416" s="36"/>
      <c r="T416" s="12"/>
      <c r="U416" s="12"/>
      <c r="V416" s="12"/>
      <c r="W416" s="12"/>
      <c r="X416" s="12"/>
    </row>
    <row r="417" customFormat="false" ht="15.75" hidden="false" customHeight="false" outlineLevel="0" collapsed="false">
      <c r="A417" s="12"/>
      <c r="B417" s="34"/>
      <c r="C417" s="12"/>
      <c r="D417" s="12"/>
      <c r="E417" s="12"/>
      <c r="F417" s="12"/>
      <c r="G417" s="18"/>
      <c r="H417" s="35"/>
      <c r="I417" s="12"/>
      <c r="M417" s="12"/>
      <c r="N417" s="18"/>
      <c r="O417" s="12"/>
      <c r="P417" s="12"/>
      <c r="Q417" s="12"/>
      <c r="R417" s="36"/>
      <c r="S417" s="36"/>
      <c r="T417" s="12"/>
      <c r="U417" s="12"/>
      <c r="V417" s="12"/>
      <c r="W417" s="12"/>
      <c r="X417" s="12"/>
    </row>
    <row r="418" customFormat="false" ht="15.75" hidden="false" customHeight="false" outlineLevel="0" collapsed="false">
      <c r="A418" s="12"/>
      <c r="B418" s="34"/>
      <c r="C418" s="12"/>
      <c r="D418" s="12"/>
      <c r="E418" s="12"/>
      <c r="F418" s="12"/>
      <c r="G418" s="18"/>
      <c r="H418" s="35"/>
      <c r="I418" s="12"/>
      <c r="M418" s="12"/>
      <c r="N418" s="18"/>
      <c r="O418" s="12"/>
      <c r="P418" s="12"/>
      <c r="Q418" s="12"/>
      <c r="R418" s="36"/>
      <c r="S418" s="36"/>
      <c r="T418" s="12"/>
      <c r="U418" s="12"/>
      <c r="V418" s="12"/>
      <c r="W418" s="12"/>
      <c r="X418" s="12"/>
    </row>
    <row r="419" customFormat="false" ht="15.75" hidden="false" customHeight="false" outlineLevel="0" collapsed="false">
      <c r="A419" s="12"/>
      <c r="B419" s="34"/>
      <c r="C419" s="12"/>
      <c r="D419" s="12"/>
      <c r="E419" s="12"/>
      <c r="F419" s="12"/>
      <c r="G419" s="18"/>
      <c r="H419" s="35"/>
      <c r="I419" s="12"/>
      <c r="M419" s="12"/>
      <c r="N419" s="18"/>
      <c r="O419" s="12"/>
      <c r="P419" s="12"/>
      <c r="Q419" s="12"/>
      <c r="R419" s="36"/>
      <c r="S419" s="36"/>
      <c r="T419" s="12"/>
      <c r="U419" s="12"/>
      <c r="V419" s="12"/>
      <c r="W419" s="12"/>
      <c r="X419" s="12"/>
    </row>
    <row r="420" customFormat="false" ht="15.75" hidden="false" customHeight="false" outlineLevel="0" collapsed="false">
      <c r="A420" s="12"/>
      <c r="B420" s="34"/>
      <c r="C420" s="12"/>
      <c r="D420" s="12"/>
      <c r="E420" s="12"/>
      <c r="F420" s="12"/>
      <c r="G420" s="18"/>
      <c r="H420" s="35"/>
      <c r="I420" s="12"/>
      <c r="M420" s="12"/>
      <c r="N420" s="18"/>
      <c r="O420" s="12"/>
      <c r="P420" s="12"/>
      <c r="Q420" s="12"/>
      <c r="R420" s="36"/>
      <c r="S420" s="36"/>
      <c r="T420" s="12"/>
      <c r="U420" s="12"/>
      <c r="V420" s="12"/>
      <c r="W420" s="12"/>
      <c r="X420" s="12"/>
    </row>
    <row r="421" customFormat="false" ht="15.75" hidden="false" customHeight="false" outlineLevel="0" collapsed="false">
      <c r="A421" s="12"/>
      <c r="B421" s="34"/>
      <c r="C421" s="12"/>
      <c r="D421" s="12"/>
      <c r="E421" s="12"/>
      <c r="F421" s="12"/>
      <c r="G421" s="18"/>
      <c r="H421" s="35"/>
      <c r="I421" s="12"/>
      <c r="M421" s="12"/>
      <c r="N421" s="18"/>
      <c r="O421" s="12"/>
      <c r="P421" s="12"/>
      <c r="Q421" s="12"/>
      <c r="R421" s="36"/>
      <c r="S421" s="36"/>
      <c r="T421" s="12"/>
      <c r="U421" s="12"/>
      <c r="V421" s="12"/>
      <c r="W421" s="12"/>
      <c r="X421" s="12"/>
    </row>
    <row r="422" customFormat="false" ht="15.75" hidden="false" customHeight="false" outlineLevel="0" collapsed="false">
      <c r="A422" s="12"/>
      <c r="B422" s="34"/>
      <c r="C422" s="12"/>
      <c r="D422" s="12"/>
      <c r="E422" s="12"/>
      <c r="F422" s="12"/>
      <c r="G422" s="18"/>
      <c r="H422" s="35"/>
      <c r="I422" s="12"/>
      <c r="M422" s="12"/>
      <c r="N422" s="18"/>
      <c r="O422" s="12"/>
      <c r="P422" s="12"/>
      <c r="Q422" s="12"/>
      <c r="R422" s="36"/>
      <c r="S422" s="36"/>
      <c r="T422" s="12"/>
      <c r="U422" s="12"/>
      <c r="V422" s="12"/>
      <c r="W422" s="12"/>
      <c r="X422" s="12"/>
    </row>
    <row r="423" customFormat="false" ht="15.75" hidden="false" customHeight="false" outlineLevel="0" collapsed="false">
      <c r="A423" s="12"/>
      <c r="B423" s="34"/>
      <c r="C423" s="12"/>
      <c r="D423" s="12"/>
      <c r="E423" s="12"/>
      <c r="F423" s="12"/>
      <c r="G423" s="18"/>
      <c r="H423" s="35"/>
      <c r="I423" s="12"/>
      <c r="M423" s="12"/>
      <c r="N423" s="18"/>
      <c r="O423" s="12"/>
      <c r="P423" s="12"/>
      <c r="Q423" s="12"/>
      <c r="R423" s="36"/>
      <c r="S423" s="36"/>
      <c r="T423" s="12"/>
      <c r="U423" s="12"/>
      <c r="V423" s="12"/>
      <c r="W423" s="12"/>
      <c r="X423" s="12"/>
    </row>
    <row r="424" customFormat="false" ht="15.75" hidden="false" customHeight="false" outlineLevel="0" collapsed="false">
      <c r="A424" s="12"/>
      <c r="B424" s="34"/>
      <c r="C424" s="12"/>
      <c r="D424" s="12"/>
      <c r="E424" s="12"/>
      <c r="F424" s="12"/>
      <c r="G424" s="18"/>
      <c r="H424" s="35"/>
      <c r="I424" s="12"/>
      <c r="M424" s="12"/>
      <c r="N424" s="18"/>
      <c r="O424" s="12"/>
      <c r="P424" s="12"/>
      <c r="Q424" s="12"/>
      <c r="R424" s="36"/>
      <c r="S424" s="36"/>
      <c r="T424" s="12"/>
      <c r="U424" s="12"/>
      <c r="V424" s="12"/>
      <c r="W424" s="12"/>
      <c r="X424" s="12"/>
    </row>
    <row r="425" customFormat="false" ht="15.75" hidden="false" customHeight="false" outlineLevel="0" collapsed="false">
      <c r="A425" s="12"/>
      <c r="B425" s="34"/>
      <c r="C425" s="12"/>
      <c r="D425" s="12"/>
      <c r="E425" s="12"/>
      <c r="F425" s="12"/>
      <c r="G425" s="18"/>
      <c r="H425" s="35"/>
      <c r="I425" s="12"/>
      <c r="M425" s="12"/>
      <c r="N425" s="18"/>
      <c r="O425" s="12"/>
      <c r="P425" s="12"/>
      <c r="Q425" s="12"/>
      <c r="R425" s="36"/>
      <c r="S425" s="36"/>
      <c r="T425" s="12"/>
      <c r="U425" s="12"/>
      <c r="V425" s="12"/>
      <c r="W425" s="12"/>
      <c r="X425" s="12"/>
    </row>
    <row r="426" customFormat="false" ht="15.75" hidden="false" customHeight="false" outlineLevel="0" collapsed="false">
      <c r="A426" s="12"/>
      <c r="B426" s="34"/>
      <c r="C426" s="12"/>
      <c r="D426" s="12"/>
      <c r="E426" s="12"/>
      <c r="F426" s="12"/>
      <c r="G426" s="18"/>
      <c r="H426" s="35"/>
      <c r="I426" s="12"/>
      <c r="M426" s="12"/>
      <c r="N426" s="18"/>
      <c r="O426" s="12"/>
      <c r="P426" s="12"/>
      <c r="Q426" s="12"/>
      <c r="R426" s="36"/>
      <c r="S426" s="36"/>
      <c r="T426" s="12"/>
      <c r="U426" s="12"/>
      <c r="V426" s="12"/>
      <c r="W426" s="12"/>
      <c r="X426" s="12"/>
    </row>
    <row r="427" customFormat="false" ht="15.75" hidden="false" customHeight="false" outlineLevel="0" collapsed="false">
      <c r="A427" s="12"/>
      <c r="B427" s="34"/>
      <c r="C427" s="12"/>
      <c r="D427" s="12"/>
      <c r="E427" s="12"/>
      <c r="F427" s="12"/>
      <c r="G427" s="18"/>
      <c r="H427" s="35"/>
      <c r="I427" s="12"/>
      <c r="M427" s="12"/>
      <c r="N427" s="18"/>
      <c r="O427" s="12"/>
      <c r="P427" s="12"/>
      <c r="Q427" s="12"/>
      <c r="R427" s="36"/>
      <c r="S427" s="36"/>
      <c r="T427" s="12"/>
      <c r="U427" s="12"/>
      <c r="V427" s="12"/>
      <c r="W427" s="12"/>
      <c r="X427" s="12"/>
    </row>
    <row r="428" customFormat="false" ht="15.75" hidden="false" customHeight="false" outlineLevel="0" collapsed="false">
      <c r="A428" s="12"/>
      <c r="B428" s="34"/>
      <c r="C428" s="12"/>
      <c r="D428" s="12"/>
      <c r="E428" s="12"/>
      <c r="F428" s="12"/>
      <c r="G428" s="18"/>
      <c r="H428" s="35"/>
      <c r="I428" s="12"/>
      <c r="M428" s="12"/>
      <c r="N428" s="18"/>
      <c r="O428" s="12"/>
      <c r="P428" s="12"/>
      <c r="Q428" s="12"/>
      <c r="R428" s="36"/>
      <c r="S428" s="36"/>
      <c r="T428" s="12"/>
      <c r="U428" s="12"/>
      <c r="V428" s="12"/>
      <c r="W428" s="12"/>
      <c r="X428" s="12"/>
    </row>
    <row r="429" customFormat="false" ht="15.75" hidden="false" customHeight="false" outlineLevel="0" collapsed="false">
      <c r="A429" s="12"/>
      <c r="B429" s="34"/>
      <c r="C429" s="12"/>
      <c r="D429" s="12"/>
      <c r="E429" s="12"/>
      <c r="F429" s="12"/>
      <c r="G429" s="18"/>
      <c r="H429" s="35"/>
      <c r="I429" s="12"/>
      <c r="M429" s="12"/>
      <c r="N429" s="18"/>
      <c r="O429" s="12"/>
      <c r="P429" s="12"/>
      <c r="Q429" s="12"/>
      <c r="R429" s="36"/>
      <c r="S429" s="36"/>
      <c r="T429" s="12"/>
      <c r="U429" s="12"/>
      <c r="V429" s="12"/>
      <c r="W429" s="12"/>
      <c r="X429" s="12"/>
    </row>
    <row r="430" customFormat="false" ht="15.75" hidden="false" customHeight="false" outlineLevel="0" collapsed="false">
      <c r="A430" s="12"/>
      <c r="B430" s="34"/>
      <c r="C430" s="12"/>
      <c r="D430" s="12"/>
      <c r="E430" s="12"/>
      <c r="F430" s="12"/>
      <c r="G430" s="18"/>
      <c r="H430" s="35"/>
      <c r="I430" s="12"/>
      <c r="M430" s="12"/>
      <c r="N430" s="18"/>
      <c r="O430" s="12"/>
      <c r="P430" s="12"/>
      <c r="Q430" s="12"/>
      <c r="R430" s="36"/>
      <c r="S430" s="36"/>
      <c r="T430" s="12"/>
      <c r="U430" s="12"/>
      <c r="V430" s="12"/>
      <c r="W430" s="12"/>
      <c r="X430" s="12"/>
    </row>
    <row r="431" customFormat="false" ht="15.75" hidden="false" customHeight="false" outlineLevel="0" collapsed="false">
      <c r="A431" s="12"/>
      <c r="B431" s="34"/>
      <c r="C431" s="12"/>
      <c r="D431" s="12"/>
      <c r="E431" s="12"/>
      <c r="F431" s="12"/>
      <c r="G431" s="18"/>
      <c r="H431" s="35"/>
      <c r="I431" s="12"/>
      <c r="M431" s="12"/>
      <c r="N431" s="18"/>
      <c r="O431" s="12"/>
      <c r="P431" s="12"/>
      <c r="Q431" s="12"/>
      <c r="R431" s="36"/>
      <c r="S431" s="36"/>
      <c r="T431" s="12"/>
      <c r="U431" s="12"/>
      <c r="V431" s="12"/>
      <c r="W431" s="12"/>
      <c r="X431" s="12"/>
    </row>
    <row r="432" customFormat="false" ht="15.75" hidden="false" customHeight="false" outlineLevel="0" collapsed="false">
      <c r="A432" s="12"/>
      <c r="B432" s="34"/>
      <c r="C432" s="12"/>
      <c r="D432" s="12"/>
      <c r="E432" s="12"/>
      <c r="F432" s="12"/>
      <c r="G432" s="18"/>
      <c r="H432" s="35"/>
      <c r="I432" s="12"/>
      <c r="M432" s="12"/>
      <c r="N432" s="18"/>
      <c r="O432" s="12"/>
      <c r="P432" s="12"/>
      <c r="Q432" s="12"/>
      <c r="R432" s="36"/>
      <c r="S432" s="36"/>
      <c r="T432" s="12"/>
      <c r="U432" s="12"/>
      <c r="V432" s="12"/>
      <c r="W432" s="12"/>
      <c r="X432" s="12"/>
    </row>
    <row r="433" customFormat="false" ht="15.75" hidden="false" customHeight="false" outlineLevel="0" collapsed="false">
      <c r="A433" s="12"/>
      <c r="B433" s="34"/>
      <c r="C433" s="12"/>
      <c r="D433" s="12"/>
      <c r="E433" s="12"/>
      <c r="F433" s="12"/>
      <c r="G433" s="18"/>
      <c r="H433" s="35"/>
      <c r="I433" s="12"/>
      <c r="M433" s="12"/>
      <c r="N433" s="18"/>
      <c r="O433" s="12"/>
      <c r="P433" s="12"/>
      <c r="Q433" s="12"/>
      <c r="R433" s="36"/>
      <c r="S433" s="36"/>
      <c r="T433" s="12"/>
      <c r="U433" s="12"/>
      <c r="V433" s="12"/>
      <c r="W433" s="12"/>
      <c r="X433" s="12"/>
    </row>
    <row r="434" customFormat="false" ht="15.75" hidden="false" customHeight="false" outlineLevel="0" collapsed="false">
      <c r="A434" s="12"/>
      <c r="B434" s="34"/>
      <c r="C434" s="12"/>
      <c r="D434" s="12"/>
      <c r="E434" s="12"/>
      <c r="F434" s="12"/>
      <c r="G434" s="18"/>
      <c r="H434" s="35"/>
      <c r="I434" s="12"/>
      <c r="M434" s="12"/>
      <c r="N434" s="18"/>
      <c r="O434" s="12"/>
      <c r="P434" s="12"/>
      <c r="Q434" s="12"/>
      <c r="R434" s="36"/>
      <c r="S434" s="36"/>
      <c r="T434" s="12"/>
      <c r="U434" s="12"/>
      <c r="V434" s="12"/>
      <c r="W434" s="12"/>
      <c r="X434" s="12"/>
    </row>
    <row r="435" customFormat="false" ht="15.75" hidden="false" customHeight="false" outlineLevel="0" collapsed="false">
      <c r="A435" s="12"/>
      <c r="B435" s="34"/>
      <c r="C435" s="12"/>
      <c r="D435" s="12"/>
      <c r="E435" s="12"/>
      <c r="F435" s="12"/>
      <c r="G435" s="18"/>
      <c r="H435" s="35"/>
      <c r="I435" s="12"/>
      <c r="M435" s="12"/>
      <c r="N435" s="18"/>
      <c r="O435" s="12"/>
      <c r="P435" s="12"/>
      <c r="Q435" s="12"/>
      <c r="R435" s="36"/>
      <c r="S435" s="36"/>
      <c r="T435" s="12"/>
      <c r="U435" s="12"/>
      <c r="V435" s="12"/>
      <c r="W435" s="12"/>
      <c r="X435" s="12"/>
    </row>
    <row r="436" customFormat="false" ht="15.75" hidden="false" customHeight="false" outlineLevel="0" collapsed="false">
      <c r="A436" s="12"/>
      <c r="B436" s="34"/>
      <c r="C436" s="12"/>
      <c r="D436" s="12"/>
      <c r="E436" s="12"/>
      <c r="F436" s="12"/>
      <c r="G436" s="18"/>
      <c r="H436" s="35"/>
      <c r="I436" s="12"/>
      <c r="M436" s="12"/>
      <c r="N436" s="18"/>
      <c r="O436" s="12"/>
      <c r="P436" s="12"/>
      <c r="Q436" s="12"/>
      <c r="R436" s="36"/>
      <c r="S436" s="36"/>
      <c r="T436" s="12"/>
      <c r="U436" s="12"/>
      <c r="V436" s="12"/>
      <c r="W436" s="12"/>
      <c r="X436" s="12"/>
    </row>
    <row r="437" customFormat="false" ht="15.75" hidden="false" customHeight="false" outlineLevel="0" collapsed="false">
      <c r="A437" s="12"/>
      <c r="B437" s="34"/>
      <c r="C437" s="12"/>
      <c r="D437" s="12"/>
      <c r="E437" s="12"/>
      <c r="F437" s="12"/>
      <c r="G437" s="18"/>
      <c r="H437" s="35"/>
      <c r="I437" s="12"/>
      <c r="M437" s="12"/>
      <c r="N437" s="18"/>
      <c r="O437" s="12"/>
      <c r="P437" s="12"/>
      <c r="Q437" s="12"/>
      <c r="R437" s="36"/>
      <c r="S437" s="36"/>
      <c r="T437" s="12"/>
      <c r="U437" s="12"/>
      <c r="V437" s="12"/>
      <c r="W437" s="12"/>
      <c r="X437" s="12"/>
    </row>
    <row r="438" customFormat="false" ht="15.75" hidden="false" customHeight="false" outlineLevel="0" collapsed="false">
      <c r="A438" s="12"/>
      <c r="B438" s="34"/>
      <c r="C438" s="12"/>
      <c r="D438" s="12"/>
      <c r="E438" s="12"/>
      <c r="F438" s="12"/>
      <c r="G438" s="18"/>
      <c r="H438" s="35"/>
      <c r="I438" s="12"/>
      <c r="M438" s="12"/>
      <c r="N438" s="18"/>
      <c r="O438" s="12"/>
      <c r="P438" s="12"/>
      <c r="Q438" s="12"/>
      <c r="R438" s="36"/>
      <c r="S438" s="36"/>
      <c r="T438" s="12"/>
      <c r="U438" s="12"/>
      <c r="V438" s="12"/>
      <c r="W438" s="12"/>
      <c r="X438" s="12"/>
    </row>
    <row r="439" customFormat="false" ht="15.75" hidden="false" customHeight="false" outlineLevel="0" collapsed="false">
      <c r="A439" s="12"/>
      <c r="B439" s="34"/>
      <c r="C439" s="12"/>
      <c r="D439" s="12"/>
      <c r="E439" s="12"/>
      <c r="F439" s="12"/>
      <c r="G439" s="18"/>
      <c r="H439" s="35"/>
      <c r="I439" s="12"/>
      <c r="M439" s="12"/>
      <c r="N439" s="18"/>
      <c r="O439" s="12"/>
      <c r="P439" s="12"/>
      <c r="Q439" s="12"/>
      <c r="R439" s="36"/>
      <c r="S439" s="36"/>
      <c r="T439" s="12"/>
      <c r="U439" s="12"/>
      <c r="V439" s="12"/>
      <c r="W439" s="12"/>
      <c r="X439" s="12"/>
    </row>
    <row r="440" customFormat="false" ht="15.75" hidden="false" customHeight="false" outlineLevel="0" collapsed="false">
      <c r="A440" s="12"/>
      <c r="B440" s="34"/>
      <c r="C440" s="12"/>
      <c r="D440" s="12"/>
      <c r="E440" s="12"/>
      <c r="F440" s="12"/>
      <c r="G440" s="18"/>
      <c r="H440" s="35"/>
      <c r="I440" s="12"/>
      <c r="M440" s="12"/>
      <c r="N440" s="18"/>
      <c r="O440" s="12"/>
      <c r="P440" s="12"/>
      <c r="Q440" s="12"/>
      <c r="R440" s="36"/>
      <c r="S440" s="36"/>
      <c r="T440" s="12"/>
      <c r="U440" s="12"/>
      <c r="V440" s="12"/>
      <c r="W440" s="12"/>
      <c r="X440" s="12"/>
    </row>
    <row r="441" customFormat="false" ht="15.75" hidden="false" customHeight="false" outlineLevel="0" collapsed="false">
      <c r="A441" s="12"/>
      <c r="B441" s="34"/>
      <c r="C441" s="12"/>
      <c r="D441" s="12"/>
      <c r="E441" s="12"/>
      <c r="F441" s="12"/>
      <c r="G441" s="18"/>
      <c r="H441" s="35"/>
      <c r="I441" s="12"/>
      <c r="M441" s="12"/>
      <c r="N441" s="18"/>
      <c r="O441" s="12"/>
      <c r="P441" s="12"/>
      <c r="Q441" s="12"/>
      <c r="R441" s="36"/>
      <c r="S441" s="36"/>
      <c r="T441" s="12"/>
      <c r="U441" s="12"/>
      <c r="V441" s="12"/>
      <c r="W441" s="12"/>
      <c r="X441" s="12"/>
    </row>
    <row r="442" customFormat="false" ht="15.75" hidden="false" customHeight="false" outlineLevel="0" collapsed="false">
      <c r="A442" s="12"/>
      <c r="B442" s="34"/>
      <c r="C442" s="12"/>
      <c r="D442" s="12"/>
      <c r="E442" s="12"/>
      <c r="F442" s="12"/>
      <c r="G442" s="18"/>
      <c r="H442" s="35"/>
      <c r="I442" s="12"/>
      <c r="M442" s="12"/>
      <c r="N442" s="18"/>
      <c r="O442" s="12"/>
      <c r="P442" s="12"/>
      <c r="Q442" s="12"/>
      <c r="R442" s="36"/>
      <c r="S442" s="36"/>
      <c r="T442" s="12"/>
      <c r="U442" s="12"/>
      <c r="V442" s="12"/>
      <c r="W442" s="12"/>
      <c r="X442" s="12"/>
    </row>
    <row r="443" customFormat="false" ht="15.75" hidden="false" customHeight="false" outlineLevel="0" collapsed="false">
      <c r="A443" s="12"/>
      <c r="B443" s="34"/>
      <c r="C443" s="12"/>
      <c r="D443" s="12"/>
      <c r="E443" s="12"/>
      <c r="F443" s="12"/>
      <c r="G443" s="18"/>
      <c r="H443" s="35"/>
      <c r="I443" s="12"/>
      <c r="M443" s="12"/>
      <c r="N443" s="18"/>
      <c r="O443" s="12"/>
      <c r="P443" s="12"/>
      <c r="Q443" s="12"/>
      <c r="R443" s="36"/>
      <c r="S443" s="36"/>
      <c r="T443" s="12"/>
      <c r="U443" s="12"/>
      <c r="V443" s="12"/>
      <c r="W443" s="12"/>
      <c r="X443" s="12"/>
    </row>
    <row r="444" customFormat="false" ht="15.75" hidden="false" customHeight="false" outlineLevel="0" collapsed="false">
      <c r="A444" s="12"/>
      <c r="B444" s="34"/>
      <c r="C444" s="12"/>
      <c r="D444" s="12"/>
      <c r="E444" s="12"/>
      <c r="F444" s="12"/>
      <c r="G444" s="18"/>
      <c r="H444" s="35"/>
      <c r="I444" s="12"/>
      <c r="M444" s="12"/>
      <c r="N444" s="18"/>
      <c r="O444" s="12"/>
      <c r="P444" s="12"/>
      <c r="Q444" s="12"/>
      <c r="R444" s="36"/>
      <c r="S444" s="36"/>
      <c r="T444" s="12"/>
      <c r="U444" s="12"/>
      <c r="V444" s="12"/>
      <c r="W444" s="12"/>
      <c r="X444" s="12"/>
    </row>
    <row r="445" customFormat="false" ht="15.75" hidden="false" customHeight="false" outlineLevel="0" collapsed="false">
      <c r="A445" s="12"/>
      <c r="B445" s="34"/>
      <c r="C445" s="12"/>
      <c r="D445" s="12"/>
      <c r="E445" s="12"/>
      <c r="F445" s="12"/>
      <c r="G445" s="18"/>
      <c r="H445" s="35"/>
      <c r="I445" s="12"/>
      <c r="M445" s="12"/>
      <c r="N445" s="18"/>
      <c r="O445" s="12"/>
      <c r="P445" s="12"/>
      <c r="Q445" s="12"/>
      <c r="R445" s="36"/>
      <c r="S445" s="36"/>
      <c r="T445" s="12"/>
      <c r="U445" s="12"/>
      <c r="V445" s="12"/>
      <c r="W445" s="12"/>
      <c r="X445" s="12"/>
    </row>
    <row r="446" customFormat="false" ht="15.75" hidden="false" customHeight="false" outlineLevel="0" collapsed="false">
      <c r="A446" s="12"/>
      <c r="B446" s="34"/>
      <c r="C446" s="12"/>
      <c r="D446" s="12"/>
      <c r="E446" s="12"/>
      <c r="F446" s="12"/>
      <c r="G446" s="18"/>
      <c r="H446" s="35"/>
      <c r="I446" s="12"/>
      <c r="M446" s="12"/>
      <c r="N446" s="18"/>
      <c r="O446" s="12"/>
      <c r="P446" s="12"/>
      <c r="Q446" s="12"/>
      <c r="R446" s="36"/>
      <c r="S446" s="36"/>
      <c r="T446" s="12"/>
      <c r="U446" s="12"/>
      <c r="V446" s="12"/>
      <c r="W446" s="12"/>
      <c r="X446" s="12"/>
    </row>
    <row r="447" customFormat="false" ht="15.75" hidden="false" customHeight="false" outlineLevel="0" collapsed="false">
      <c r="A447" s="12"/>
      <c r="B447" s="34"/>
      <c r="C447" s="12"/>
      <c r="D447" s="12"/>
      <c r="E447" s="12"/>
      <c r="F447" s="12"/>
      <c r="G447" s="18"/>
      <c r="H447" s="35"/>
      <c r="I447" s="12"/>
      <c r="M447" s="12"/>
      <c r="N447" s="18"/>
      <c r="O447" s="12"/>
      <c r="P447" s="12"/>
      <c r="Q447" s="12"/>
      <c r="R447" s="36"/>
      <c r="S447" s="36"/>
      <c r="T447" s="12"/>
      <c r="U447" s="12"/>
      <c r="V447" s="12"/>
      <c r="W447" s="12"/>
      <c r="X447" s="12"/>
    </row>
    <row r="448" customFormat="false" ht="15.75" hidden="false" customHeight="false" outlineLevel="0" collapsed="false">
      <c r="A448" s="12"/>
      <c r="B448" s="34"/>
      <c r="C448" s="12"/>
      <c r="D448" s="12"/>
      <c r="E448" s="12"/>
      <c r="F448" s="12"/>
      <c r="G448" s="18"/>
      <c r="H448" s="35"/>
      <c r="I448" s="12"/>
      <c r="M448" s="12"/>
      <c r="N448" s="18"/>
      <c r="O448" s="12"/>
      <c r="P448" s="12"/>
      <c r="Q448" s="12"/>
      <c r="R448" s="36"/>
      <c r="S448" s="36"/>
      <c r="T448" s="12"/>
      <c r="U448" s="12"/>
      <c r="V448" s="12"/>
      <c r="W448" s="12"/>
      <c r="X448" s="12"/>
    </row>
    <row r="449" customFormat="false" ht="15.75" hidden="false" customHeight="false" outlineLevel="0" collapsed="false">
      <c r="A449" s="12"/>
      <c r="B449" s="34"/>
      <c r="C449" s="12"/>
      <c r="D449" s="12"/>
      <c r="E449" s="12"/>
      <c r="F449" s="12"/>
      <c r="G449" s="18"/>
      <c r="H449" s="35"/>
      <c r="I449" s="12"/>
      <c r="M449" s="12"/>
      <c r="N449" s="18"/>
      <c r="O449" s="12"/>
      <c r="P449" s="12"/>
      <c r="Q449" s="12"/>
      <c r="R449" s="36"/>
      <c r="S449" s="36"/>
      <c r="T449" s="12"/>
      <c r="U449" s="12"/>
      <c r="V449" s="12"/>
      <c r="W449" s="12"/>
      <c r="X449" s="12"/>
    </row>
    <row r="450" customFormat="false" ht="15.75" hidden="false" customHeight="false" outlineLevel="0" collapsed="false">
      <c r="A450" s="12"/>
      <c r="B450" s="34"/>
      <c r="C450" s="12"/>
      <c r="D450" s="12"/>
      <c r="E450" s="12"/>
      <c r="F450" s="12"/>
      <c r="G450" s="18"/>
      <c r="H450" s="35"/>
      <c r="I450" s="12"/>
      <c r="M450" s="12"/>
      <c r="N450" s="18"/>
      <c r="O450" s="12"/>
      <c r="P450" s="12"/>
      <c r="Q450" s="12"/>
      <c r="R450" s="36"/>
      <c r="S450" s="36"/>
      <c r="T450" s="12"/>
      <c r="U450" s="12"/>
      <c r="V450" s="12"/>
      <c r="W450" s="12"/>
      <c r="X450" s="12"/>
    </row>
    <row r="451" customFormat="false" ht="15.75" hidden="false" customHeight="false" outlineLevel="0" collapsed="false">
      <c r="A451" s="12"/>
      <c r="B451" s="34"/>
      <c r="C451" s="12"/>
      <c r="D451" s="12"/>
      <c r="E451" s="12"/>
      <c r="F451" s="12"/>
      <c r="G451" s="18"/>
      <c r="H451" s="35"/>
      <c r="I451" s="12"/>
      <c r="M451" s="12"/>
      <c r="N451" s="18"/>
      <c r="O451" s="12"/>
      <c r="P451" s="12"/>
      <c r="Q451" s="12"/>
      <c r="R451" s="36"/>
      <c r="S451" s="36"/>
      <c r="T451" s="12"/>
      <c r="U451" s="12"/>
      <c r="V451" s="12"/>
      <c r="W451" s="12"/>
      <c r="X451" s="12"/>
    </row>
    <row r="452" customFormat="false" ht="15.75" hidden="false" customHeight="false" outlineLevel="0" collapsed="false">
      <c r="A452" s="12"/>
      <c r="B452" s="34"/>
      <c r="C452" s="12"/>
      <c r="D452" s="12"/>
      <c r="E452" s="12"/>
      <c r="F452" s="12"/>
      <c r="G452" s="18"/>
      <c r="H452" s="35"/>
      <c r="I452" s="12"/>
      <c r="M452" s="12"/>
      <c r="N452" s="18"/>
      <c r="O452" s="12"/>
      <c r="P452" s="12"/>
      <c r="Q452" s="12"/>
      <c r="R452" s="36"/>
      <c r="S452" s="36"/>
      <c r="T452" s="12"/>
      <c r="U452" s="12"/>
      <c r="V452" s="12"/>
      <c r="W452" s="12"/>
      <c r="X452" s="12"/>
    </row>
    <row r="453" customFormat="false" ht="15.75" hidden="false" customHeight="false" outlineLevel="0" collapsed="false">
      <c r="A453" s="12"/>
      <c r="B453" s="34"/>
      <c r="C453" s="12"/>
      <c r="D453" s="12"/>
      <c r="E453" s="12"/>
      <c r="F453" s="12"/>
      <c r="G453" s="18"/>
      <c r="H453" s="35"/>
      <c r="I453" s="12"/>
      <c r="M453" s="12"/>
      <c r="N453" s="18"/>
      <c r="O453" s="12"/>
      <c r="P453" s="12"/>
      <c r="Q453" s="12"/>
      <c r="R453" s="36"/>
      <c r="S453" s="36"/>
      <c r="T453" s="12"/>
      <c r="U453" s="12"/>
      <c r="V453" s="12"/>
      <c r="W453" s="12"/>
      <c r="X453" s="12"/>
    </row>
    <row r="454" customFormat="false" ht="15.75" hidden="false" customHeight="false" outlineLevel="0" collapsed="false">
      <c r="A454" s="12"/>
      <c r="B454" s="34"/>
      <c r="C454" s="12"/>
      <c r="D454" s="12"/>
      <c r="E454" s="12"/>
      <c r="F454" s="12"/>
      <c r="G454" s="18"/>
      <c r="H454" s="35"/>
      <c r="I454" s="12"/>
      <c r="M454" s="12"/>
      <c r="N454" s="18"/>
      <c r="O454" s="12"/>
      <c r="P454" s="12"/>
      <c r="Q454" s="12"/>
      <c r="R454" s="36"/>
      <c r="S454" s="36"/>
      <c r="T454" s="12"/>
      <c r="U454" s="12"/>
      <c r="V454" s="12"/>
      <c r="W454" s="12"/>
      <c r="X454" s="12"/>
    </row>
    <row r="455" customFormat="false" ht="15.75" hidden="false" customHeight="false" outlineLevel="0" collapsed="false">
      <c r="A455" s="12"/>
      <c r="B455" s="34"/>
      <c r="C455" s="12"/>
      <c r="D455" s="12"/>
      <c r="E455" s="12"/>
      <c r="F455" s="12"/>
      <c r="G455" s="18"/>
      <c r="H455" s="35"/>
      <c r="I455" s="12"/>
      <c r="M455" s="12"/>
      <c r="N455" s="18"/>
      <c r="O455" s="12"/>
      <c r="P455" s="12"/>
      <c r="Q455" s="12"/>
      <c r="R455" s="36"/>
      <c r="S455" s="36"/>
      <c r="T455" s="12"/>
      <c r="U455" s="12"/>
      <c r="V455" s="12"/>
      <c r="W455" s="12"/>
      <c r="X455" s="12"/>
    </row>
    <row r="456" customFormat="false" ht="15.75" hidden="false" customHeight="false" outlineLevel="0" collapsed="false">
      <c r="A456" s="12"/>
      <c r="B456" s="34"/>
      <c r="C456" s="12"/>
      <c r="D456" s="12"/>
      <c r="E456" s="12"/>
      <c r="F456" s="12"/>
      <c r="G456" s="18"/>
      <c r="H456" s="35"/>
      <c r="I456" s="12"/>
      <c r="M456" s="12"/>
      <c r="N456" s="18"/>
      <c r="O456" s="12"/>
      <c r="P456" s="12"/>
      <c r="Q456" s="12"/>
      <c r="R456" s="36"/>
      <c r="S456" s="36"/>
      <c r="T456" s="12"/>
      <c r="U456" s="12"/>
      <c r="V456" s="12"/>
      <c r="W456" s="12"/>
      <c r="X456" s="12"/>
    </row>
    <row r="457" customFormat="false" ht="15.75" hidden="false" customHeight="false" outlineLevel="0" collapsed="false">
      <c r="A457" s="12"/>
      <c r="B457" s="34"/>
      <c r="C457" s="12"/>
      <c r="D457" s="12"/>
      <c r="E457" s="12"/>
      <c r="F457" s="12"/>
      <c r="G457" s="18"/>
      <c r="H457" s="35"/>
      <c r="I457" s="12"/>
      <c r="M457" s="12"/>
      <c r="N457" s="18"/>
      <c r="O457" s="12"/>
      <c r="P457" s="12"/>
      <c r="Q457" s="12"/>
      <c r="R457" s="36"/>
      <c r="S457" s="36"/>
      <c r="T457" s="12"/>
      <c r="U457" s="12"/>
      <c r="V457" s="12"/>
      <c r="W457" s="12"/>
      <c r="X457" s="12"/>
    </row>
    <row r="458" customFormat="false" ht="15.75" hidden="false" customHeight="false" outlineLevel="0" collapsed="false">
      <c r="A458" s="12"/>
      <c r="B458" s="34"/>
      <c r="C458" s="12"/>
      <c r="D458" s="12"/>
      <c r="E458" s="12"/>
      <c r="F458" s="12"/>
      <c r="G458" s="18"/>
      <c r="H458" s="35"/>
      <c r="I458" s="12"/>
      <c r="M458" s="12"/>
      <c r="N458" s="18"/>
      <c r="O458" s="12"/>
      <c r="P458" s="12"/>
      <c r="Q458" s="12"/>
      <c r="R458" s="36"/>
      <c r="S458" s="36"/>
      <c r="T458" s="12"/>
      <c r="U458" s="12"/>
      <c r="V458" s="12"/>
      <c r="W458" s="12"/>
      <c r="X458" s="12"/>
    </row>
    <row r="459" customFormat="false" ht="15.75" hidden="false" customHeight="false" outlineLevel="0" collapsed="false">
      <c r="A459" s="12"/>
      <c r="B459" s="34"/>
      <c r="C459" s="12"/>
      <c r="D459" s="12"/>
      <c r="E459" s="12"/>
      <c r="F459" s="12"/>
      <c r="G459" s="18"/>
      <c r="H459" s="35"/>
      <c r="I459" s="12"/>
      <c r="M459" s="12"/>
      <c r="N459" s="18"/>
      <c r="O459" s="12"/>
      <c r="P459" s="12"/>
      <c r="Q459" s="12"/>
      <c r="R459" s="36"/>
      <c r="S459" s="36"/>
      <c r="T459" s="12"/>
      <c r="U459" s="12"/>
      <c r="V459" s="12"/>
      <c r="W459" s="12"/>
      <c r="X459" s="12"/>
    </row>
    <row r="460" customFormat="false" ht="15.75" hidden="false" customHeight="false" outlineLevel="0" collapsed="false">
      <c r="A460" s="12"/>
      <c r="B460" s="34"/>
      <c r="C460" s="12"/>
      <c r="D460" s="12"/>
      <c r="E460" s="12"/>
      <c r="F460" s="12"/>
      <c r="G460" s="18"/>
      <c r="H460" s="35"/>
      <c r="I460" s="12"/>
      <c r="M460" s="12"/>
      <c r="N460" s="18"/>
      <c r="O460" s="12"/>
      <c r="P460" s="12"/>
      <c r="Q460" s="12"/>
      <c r="R460" s="36"/>
      <c r="S460" s="36"/>
      <c r="T460" s="12"/>
      <c r="U460" s="12"/>
      <c r="V460" s="12"/>
      <c r="W460" s="12"/>
      <c r="X460" s="12"/>
    </row>
    <row r="461" customFormat="false" ht="15.75" hidden="false" customHeight="false" outlineLevel="0" collapsed="false">
      <c r="A461" s="12"/>
      <c r="B461" s="34"/>
      <c r="C461" s="12"/>
      <c r="D461" s="12"/>
      <c r="E461" s="12"/>
      <c r="F461" s="12"/>
      <c r="G461" s="18"/>
      <c r="H461" s="35"/>
      <c r="I461" s="12"/>
      <c r="M461" s="12"/>
      <c r="N461" s="18"/>
      <c r="O461" s="12"/>
      <c r="P461" s="12"/>
      <c r="Q461" s="12"/>
      <c r="R461" s="36"/>
      <c r="S461" s="36"/>
      <c r="T461" s="12"/>
      <c r="U461" s="12"/>
      <c r="V461" s="12"/>
      <c r="W461" s="12"/>
      <c r="X461" s="12"/>
    </row>
    <row r="462" customFormat="false" ht="15.75" hidden="false" customHeight="false" outlineLevel="0" collapsed="false">
      <c r="A462" s="12"/>
      <c r="B462" s="34"/>
      <c r="C462" s="12"/>
      <c r="D462" s="12"/>
      <c r="E462" s="12"/>
      <c r="F462" s="12"/>
      <c r="G462" s="18"/>
      <c r="H462" s="35"/>
      <c r="I462" s="12"/>
      <c r="M462" s="12"/>
      <c r="N462" s="18"/>
      <c r="O462" s="12"/>
      <c r="P462" s="12"/>
      <c r="Q462" s="12"/>
      <c r="R462" s="36"/>
      <c r="S462" s="36"/>
      <c r="T462" s="12"/>
      <c r="U462" s="12"/>
      <c r="V462" s="12"/>
      <c r="W462" s="12"/>
      <c r="X462" s="12"/>
    </row>
    <row r="463" customFormat="false" ht="15.75" hidden="false" customHeight="false" outlineLevel="0" collapsed="false">
      <c r="A463" s="12"/>
      <c r="B463" s="34"/>
      <c r="C463" s="12"/>
      <c r="D463" s="12"/>
      <c r="E463" s="12"/>
      <c r="F463" s="12"/>
      <c r="G463" s="18"/>
      <c r="H463" s="35"/>
      <c r="I463" s="12"/>
      <c r="M463" s="12"/>
      <c r="N463" s="18"/>
      <c r="O463" s="12"/>
      <c r="P463" s="12"/>
      <c r="Q463" s="12"/>
      <c r="R463" s="36"/>
      <c r="S463" s="36"/>
      <c r="T463" s="12"/>
      <c r="U463" s="12"/>
      <c r="V463" s="12"/>
      <c r="W463" s="12"/>
      <c r="X463" s="12"/>
    </row>
    <row r="464" customFormat="false" ht="15.75" hidden="false" customHeight="false" outlineLevel="0" collapsed="false">
      <c r="A464" s="12"/>
      <c r="B464" s="34"/>
      <c r="C464" s="12"/>
      <c r="D464" s="12"/>
      <c r="E464" s="12"/>
      <c r="F464" s="12"/>
      <c r="G464" s="18"/>
      <c r="H464" s="35"/>
      <c r="I464" s="12"/>
      <c r="M464" s="12"/>
      <c r="N464" s="18"/>
      <c r="O464" s="12"/>
      <c r="P464" s="12"/>
      <c r="Q464" s="12"/>
      <c r="R464" s="36"/>
      <c r="S464" s="36"/>
      <c r="T464" s="12"/>
      <c r="U464" s="12"/>
      <c r="V464" s="12"/>
      <c r="W464" s="12"/>
      <c r="X464" s="12"/>
    </row>
    <row r="465" customFormat="false" ht="15.75" hidden="false" customHeight="false" outlineLevel="0" collapsed="false">
      <c r="A465" s="12"/>
      <c r="B465" s="34"/>
      <c r="C465" s="12"/>
      <c r="D465" s="12"/>
      <c r="E465" s="12"/>
      <c r="F465" s="12"/>
      <c r="G465" s="18"/>
      <c r="H465" s="35"/>
      <c r="I465" s="12"/>
      <c r="M465" s="12"/>
      <c r="N465" s="18"/>
      <c r="O465" s="12"/>
      <c r="P465" s="12"/>
      <c r="Q465" s="12"/>
      <c r="R465" s="36"/>
      <c r="S465" s="36"/>
      <c r="T465" s="12"/>
      <c r="U465" s="12"/>
      <c r="V465" s="12"/>
      <c r="W465" s="12"/>
      <c r="X465" s="12"/>
    </row>
    <row r="466" customFormat="false" ht="15.75" hidden="false" customHeight="false" outlineLevel="0" collapsed="false">
      <c r="A466" s="12"/>
      <c r="B466" s="34"/>
      <c r="C466" s="12"/>
      <c r="D466" s="12"/>
      <c r="E466" s="12"/>
      <c r="F466" s="12"/>
      <c r="G466" s="18"/>
      <c r="H466" s="35"/>
      <c r="I466" s="12"/>
      <c r="M466" s="12"/>
      <c r="N466" s="18"/>
      <c r="O466" s="12"/>
      <c r="P466" s="12"/>
      <c r="Q466" s="12"/>
      <c r="R466" s="36"/>
      <c r="S466" s="36"/>
      <c r="T466" s="12"/>
      <c r="U466" s="12"/>
      <c r="V466" s="12"/>
      <c r="W466" s="12"/>
      <c r="X466" s="12"/>
    </row>
    <row r="467" customFormat="false" ht="15.75" hidden="false" customHeight="false" outlineLevel="0" collapsed="false">
      <c r="A467" s="12"/>
      <c r="B467" s="34"/>
      <c r="C467" s="12"/>
      <c r="D467" s="12"/>
      <c r="E467" s="12"/>
      <c r="F467" s="12"/>
      <c r="G467" s="18"/>
      <c r="H467" s="35"/>
      <c r="I467" s="12"/>
      <c r="M467" s="12"/>
      <c r="N467" s="18"/>
      <c r="O467" s="12"/>
      <c r="P467" s="12"/>
      <c r="Q467" s="12"/>
      <c r="R467" s="36"/>
      <c r="S467" s="36"/>
      <c r="T467" s="12"/>
      <c r="U467" s="12"/>
      <c r="V467" s="12"/>
      <c r="W467" s="12"/>
      <c r="X467" s="12"/>
    </row>
    <row r="468" customFormat="false" ht="15.75" hidden="false" customHeight="false" outlineLevel="0" collapsed="false">
      <c r="A468" s="12"/>
      <c r="B468" s="34"/>
      <c r="C468" s="12"/>
      <c r="D468" s="12"/>
      <c r="E468" s="12"/>
      <c r="F468" s="12"/>
      <c r="G468" s="18"/>
      <c r="H468" s="35"/>
      <c r="I468" s="12"/>
      <c r="M468" s="12"/>
      <c r="N468" s="18"/>
      <c r="O468" s="12"/>
      <c r="P468" s="12"/>
      <c r="Q468" s="12"/>
      <c r="R468" s="36"/>
      <c r="S468" s="36"/>
      <c r="T468" s="12"/>
      <c r="U468" s="12"/>
      <c r="V468" s="12"/>
      <c r="W468" s="12"/>
      <c r="X468" s="12"/>
    </row>
    <row r="469" customFormat="false" ht="15.75" hidden="false" customHeight="false" outlineLevel="0" collapsed="false">
      <c r="A469" s="12"/>
      <c r="B469" s="34"/>
      <c r="C469" s="12"/>
      <c r="D469" s="12"/>
      <c r="E469" s="12"/>
      <c r="F469" s="12"/>
      <c r="G469" s="18"/>
      <c r="H469" s="35"/>
      <c r="I469" s="12"/>
      <c r="M469" s="12"/>
      <c r="N469" s="18"/>
      <c r="O469" s="12"/>
      <c r="P469" s="12"/>
      <c r="Q469" s="12"/>
      <c r="R469" s="36"/>
      <c r="S469" s="36"/>
      <c r="T469" s="12"/>
      <c r="U469" s="12"/>
      <c r="V469" s="12"/>
      <c r="W469" s="12"/>
      <c r="X469" s="12"/>
    </row>
    <row r="470" customFormat="false" ht="15.75" hidden="false" customHeight="false" outlineLevel="0" collapsed="false">
      <c r="A470" s="12"/>
      <c r="B470" s="34"/>
      <c r="C470" s="12"/>
      <c r="D470" s="12"/>
      <c r="E470" s="12"/>
      <c r="F470" s="12"/>
      <c r="G470" s="18"/>
      <c r="H470" s="35"/>
      <c r="I470" s="12"/>
      <c r="M470" s="12"/>
      <c r="N470" s="18"/>
      <c r="O470" s="12"/>
      <c r="P470" s="12"/>
      <c r="Q470" s="12"/>
      <c r="R470" s="36"/>
      <c r="S470" s="36"/>
      <c r="T470" s="12"/>
      <c r="U470" s="12"/>
      <c r="V470" s="12"/>
      <c r="W470" s="12"/>
      <c r="X470" s="12"/>
    </row>
    <row r="471" customFormat="false" ht="15.75" hidden="false" customHeight="false" outlineLevel="0" collapsed="false">
      <c r="A471" s="12"/>
      <c r="B471" s="34"/>
      <c r="C471" s="12"/>
      <c r="D471" s="12"/>
      <c r="E471" s="12"/>
      <c r="F471" s="12"/>
      <c r="G471" s="18"/>
      <c r="H471" s="35"/>
      <c r="I471" s="12"/>
      <c r="M471" s="12"/>
      <c r="N471" s="18"/>
      <c r="O471" s="12"/>
      <c r="P471" s="12"/>
      <c r="Q471" s="12"/>
      <c r="R471" s="36"/>
      <c r="S471" s="36"/>
      <c r="T471" s="12"/>
      <c r="U471" s="12"/>
      <c r="V471" s="12"/>
      <c r="W471" s="12"/>
      <c r="X471" s="12"/>
    </row>
    <row r="472" customFormat="false" ht="15.75" hidden="false" customHeight="false" outlineLevel="0" collapsed="false">
      <c r="A472" s="12"/>
      <c r="B472" s="34"/>
      <c r="C472" s="12"/>
      <c r="D472" s="12"/>
      <c r="E472" s="12"/>
      <c r="F472" s="12"/>
      <c r="G472" s="18"/>
      <c r="H472" s="35"/>
      <c r="I472" s="12"/>
      <c r="M472" s="12"/>
      <c r="N472" s="18"/>
      <c r="O472" s="12"/>
      <c r="P472" s="12"/>
      <c r="Q472" s="12"/>
      <c r="R472" s="36"/>
      <c r="S472" s="36"/>
      <c r="T472" s="12"/>
      <c r="U472" s="12"/>
      <c r="V472" s="12"/>
      <c r="W472" s="12"/>
      <c r="X472" s="12"/>
    </row>
    <row r="473" customFormat="false" ht="15.75" hidden="false" customHeight="false" outlineLevel="0" collapsed="false">
      <c r="A473" s="12"/>
      <c r="B473" s="34"/>
      <c r="C473" s="12"/>
      <c r="D473" s="12"/>
      <c r="E473" s="12"/>
      <c r="F473" s="12"/>
      <c r="G473" s="18"/>
      <c r="H473" s="35"/>
      <c r="I473" s="12"/>
      <c r="M473" s="12"/>
      <c r="N473" s="18"/>
      <c r="O473" s="12"/>
      <c r="P473" s="12"/>
      <c r="Q473" s="12"/>
      <c r="R473" s="36"/>
      <c r="S473" s="36"/>
      <c r="T473" s="12"/>
      <c r="U473" s="12"/>
      <c r="V473" s="12"/>
      <c r="W473" s="12"/>
      <c r="X473" s="12"/>
    </row>
    <row r="474" customFormat="false" ht="15.75" hidden="false" customHeight="false" outlineLevel="0" collapsed="false">
      <c r="A474" s="12"/>
      <c r="B474" s="34"/>
      <c r="C474" s="12"/>
      <c r="D474" s="12"/>
      <c r="E474" s="12"/>
      <c r="F474" s="12"/>
      <c r="G474" s="18"/>
      <c r="H474" s="35"/>
      <c r="I474" s="12"/>
      <c r="M474" s="12"/>
      <c r="N474" s="18"/>
      <c r="O474" s="12"/>
      <c r="P474" s="12"/>
      <c r="Q474" s="12"/>
      <c r="R474" s="36"/>
      <c r="S474" s="36"/>
      <c r="T474" s="12"/>
      <c r="U474" s="12"/>
      <c r="V474" s="12"/>
      <c r="W474" s="12"/>
      <c r="X474" s="12"/>
    </row>
    <row r="475" customFormat="false" ht="15.75" hidden="false" customHeight="false" outlineLevel="0" collapsed="false">
      <c r="A475" s="12"/>
      <c r="B475" s="34"/>
      <c r="C475" s="12"/>
      <c r="D475" s="12"/>
      <c r="E475" s="12"/>
      <c r="F475" s="12"/>
      <c r="G475" s="18"/>
      <c r="H475" s="35"/>
      <c r="I475" s="12"/>
      <c r="M475" s="12"/>
      <c r="N475" s="18"/>
      <c r="O475" s="12"/>
      <c r="P475" s="12"/>
      <c r="Q475" s="12"/>
      <c r="R475" s="36"/>
      <c r="S475" s="36"/>
      <c r="T475" s="12"/>
      <c r="U475" s="12"/>
      <c r="V475" s="12"/>
      <c r="W475" s="12"/>
      <c r="X475" s="12"/>
    </row>
    <row r="476" customFormat="false" ht="15.75" hidden="false" customHeight="false" outlineLevel="0" collapsed="false">
      <c r="A476" s="12"/>
      <c r="B476" s="34"/>
      <c r="C476" s="12"/>
      <c r="D476" s="12"/>
      <c r="E476" s="12"/>
      <c r="F476" s="12"/>
      <c r="G476" s="18"/>
      <c r="H476" s="35"/>
      <c r="I476" s="12"/>
      <c r="M476" s="12"/>
      <c r="N476" s="18"/>
      <c r="O476" s="12"/>
      <c r="P476" s="12"/>
      <c r="Q476" s="12"/>
      <c r="R476" s="36"/>
      <c r="S476" s="36"/>
      <c r="T476" s="12"/>
      <c r="U476" s="12"/>
      <c r="V476" s="12"/>
      <c r="W476" s="12"/>
      <c r="X476" s="12"/>
    </row>
    <row r="477" customFormat="false" ht="15.75" hidden="false" customHeight="false" outlineLevel="0" collapsed="false">
      <c r="A477" s="12"/>
      <c r="B477" s="34"/>
      <c r="C477" s="12"/>
      <c r="D477" s="12"/>
      <c r="E477" s="12"/>
      <c r="F477" s="12"/>
      <c r="G477" s="18"/>
      <c r="H477" s="35"/>
      <c r="I477" s="12"/>
      <c r="M477" s="12"/>
      <c r="N477" s="18"/>
      <c r="O477" s="12"/>
      <c r="P477" s="12"/>
      <c r="Q477" s="12"/>
      <c r="R477" s="36"/>
      <c r="S477" s="36"/>
      <c r="T477" s="12"/>
      <c r="U477" s="12"/>
      <c r="V477" s="12"/>
      <c r="W477" s="12"/>
      <c r="X477" s="12"/>
    </row>
    <row r="478" customFormat="false" ht="15.75" hidden="false" customHeight="false" outlineLevel="0" collapsed="false">
      <c r="A478" s="12"/>
      <c r="B478" s="34"/>
      <c r="C478" s="12"/>
      <c r="D478" s="12"/>
      <c r="E478" s="12"/>
      <c r="F478" s="12"/>
      <c r="G478" s="18"/>
      <c r="H478" s="35"/>
      <c r="I478" s="12"/>
      <c r="M478" s="12"/>
      <c r="N478" s="18"/>
      <c r="O478" s="12"/>
      <c r="P478" s="12"/>
      <c r="Q478" s="12"/>
      <c r="R478" s="36"/>
      <c r="S478" s="36"/>
      <c r="T478" s="12"/>
      <c r="U478" s="12"/>
      <c r="V478" s="12"/>
      <c r="W478" s="12"/>
      <c r="X478" s="12"/>
    </row>
    <row r="479" customFormat="false" ht="15.75" hidden="false" customHeight="false" outlineLevel="0" collapsed="false">
      <c r="A479" s="12"/>
      <c r="B479" s="34"/>
      <c r="C479" s="12"/>
      <c r="D479" s="12"/>
      <c r="E479" s="12"/>
      <c r="F479" s="12"/>
      <c r="G479" s="18"/>
      <c r="H479" s="35"/>
      <c r="I479" s="12"/>
      <c r="M479" s="12"/>
      <c r="N479" s="18"/>
      <c r="O479" s="12"/>
      <c r="P479" s="12"/>
      <c r="Q479" s="12"/>
      <c r="R479" s="36"/>
      <c r="S479" s="36"/>
      <c r="T479" s="12"/>
      <c r="U479" s="12"/>
      <c r="V479" s="12"/>
      <c r="W479" s="12"/>
      <c r="X479" s="12"/>
    </row>
    <row r="480" customFormat="false" ht="15.75" hidden="false" customHeight="false" outlineLevel="0" collapsed="false">
      <c r="A480" s="12"/>
      <c r="B480" s="34"/>
      <c r="C480" s="12"/>
      <c r="D480" s="12"/>
      <c r="E480" s="12"/>
      <c r="F480" s="12"/>
      <c r="G480" s="18"/>
      <c r="H480" s="35"/>
      <c r="I480" s="12"/>
      <c r="M480" s="12"/>
      <c r="N480" s="18"/>
      <c r="O480" s="12"/>
      <c r="P480" s="12"/>
      <c r="Q480" s="12"/>
      <c r="R480" s="36"/>
      <c r="S480" s="36"/>
      <c r="T480" s="12"/>
      <c r="U480" s="12"/>
      <c r="V480" s="12"/>
      <c r="W480" s="12"/>
      <c r="X480" s="12"/>
    </row>
    <row r="481" customFormat="false" ht="15.75" hidden="false" customHeight="false" outlineLevel="0" collapsed="false">
      <c r="A481" s="12"/>
      <c r="B481" s="34"/>
      <c r="C481" s="12"/>
      <c r="D481" s="12"/>
      <c r="E481" s="12"/>
      <c r="F481" s="12"/>
      <c r="G481" s="18"/>
      <c r="H481" s="35"/>
      <c r="I481" s="12"/>
      <c r="M481" s="12"/>
      <c r="N481" s="18"/>
      <c r="O481" s="12"/>
      <c r="P481" s="12"/>
      <c r="Q481" s="12"/>
      <c r="R481" s="36"/>
      <c r="S481" s="36"/>
      <c r="T481" s="12"/>
      <c r="U481" s="12"/>
      <c r="V481" s="12"/>
      <c r="W481" s="12"/>
      <c r="X481" s="12"/>
    </row>
    <row r="482" customFormat="false" ht="15.75" hidden="false" customHeight="false" outlineLevel="0" collapsed="false">
      <c r="A482" s="12"/>
      <c r="B482" s="34"/>
      <c r="C482" s="12"/>
      <c r="D482" s="12"/>
      <c r="E482" s="12"/>
      <c r="F482" s="12"/>
      <c r="G482" s="18"/>
      <c r="H482" s="35"/>
      <c r="I482" s="12"/>
      <c r="M482" s="12"/>
      <c r="N482" s="18"/>
      <c r="O482" s="12"/>
      <c r="P482" s="12"/>
      <c r="Q482" s="12"/>
      <c r="R482" s="36"/>
      <c r="S482" s="36"/>
      <c r="T482" s="12"/>
      <c r="U482" s="12"/>
      <c r="V482" s="12"/>
      <c r="W482" s="12"/>
      <c r="X482" s="12"/>
    </row>
    <row r="483" customFormat="false" ht="15.75" hidden="false" customHeight="false" outlineLevel="0" collapsed="false">
      <c r="A483" s="12"/>
      <c r="B483" s="34"/>
      <c r="C483" s="12"/>
      <c r="D483" s="12"/>
      <c r="E483" s="12"/>
      <c r="F483" s="12"/>
      <c r="G483" s="18"/>
      <c r="H483" s="35"/>
      <c r="I483" s="12"/>
      <c r="M483" s="12"/>
      <c r="N483" s="18"/>
      <c r="O483" s="12"/>
      <c r="P483" s="12"/>
      <c r="Q483" s="12"/>
      <c r="R483" s="36"/>
      <c r="S483" s="36"/>
      <c r="T483" s="12"/>
      <c r="U483" s="12"/>
      <c r="V483" s="12"/>
      <c r="W483" s="12"/>
      <c r="X483" s="12"/>
    </row>
    <row r="484" customFormat="false" ht="15.75" hidden="false" customHeight="false" outlineLevel="0" collapsed="false">
      <c r="A484" s="12"/>
      <c r="B484" s="34"/>
      <c r="C484" s="12"/>
      <c r="D484" s="12"/>
      <c r="E484" s="12"/>
      <c r="F484" s="12"/>
      <c r="G484" s="18"/>
      <c r="H484" s="35"/>
      <c r="I484" s="12"/>
      <c r="M484" s="12"/>
      <c r="N484" s="18"/>
      <c r="O484" s="12"/>
      <c r="P484" s="12"/>
      <c r="Q484" s="12"/>
      <c r="R484" s="36"/>
      <c r="S484" s="36"/>
      <c r="T484" s="12"/>
      <c r="U484" s="12"/>
      <c r="V484" s="12"/>
      <c r="W484" s="12"/>
      <c r="X484" s="12"/>
    </row>
    <row r="485" customFormat="false" ht="15.75" hidden="false" customHeight="false" outlineLevel="0" collapsed="false">
      <c r="A485" s="12"/>
      <c r="B485" s="34"/>
      <c r="C485" s="12"/>
      <c r="D485" s="12"/>
      <c r="E485" s="12"/>
      <c r="F485" s="12"/>
      <c r="G485" s="18"/>
      <c r="H485" s="35"/>
      <c r="I485" s="12"/>
      <c r="M485" s="12"/>
      <c r="N485" s="18"/>
      <c r="O485" s="12"/>
      <c r="P485" s="12"/>
      <c r="Q485" s="12"/>
      <c r="R485" s="36"/>
      <c r="S485" s="36"/>
      <c r="T485" s="12"/>
      <c r="U485" s="12"/>
      <c r="V485" s="12"/>
      <c r="W485" s="12"/>
      <c r="X485" s="12"/>
    </row>
    <row r="486" customFormat="false" ht="15.75" hidden="false" customHeight="false" outlineLevel="0" collapsed="false">
      <c r="A486" s="12"/>
      <c r="B486" s="34"/>
      <c r="C486" s="12"/>
      <c r="D486" s="12"/>
      <c r="E486" s="12"/>
      <c r="F486" s="12"/>
      <c r="G486" s="18"/>
      <c r="H486" s="35"/>
      <c r="I486" s="12"/>
      <c r="M486" s="12"/>
      <c r="N486" s="18"/>
      <c r="O486" s="12"/>
      <c r="P486" s="12"/>
      <c r="Q486" s="12"/>
      <c r="R486" s="36"/>
      <c r="S486" s="36"/>
      <c r="T486" s="12"/>
      <c r="U486" s="12"/>
      <c r="V486" s="12"/>
      <c r="W486" s="12"/>
      <c r="X486" s="12"/>
    </row>
    <row r="487" customFormat="false" ht="15.75" hidden="false" customHeight="false" outlineLevel="0" collapsed="false">
      <c r="A487" s="12"/>
      <c r="B487" s="34"/>
      <c r="C487" s="12"/>
      <c r="D487" s="12"/>
      <c r="E487" s="12"/>
      <c r="F487" s="12"/>
      <c r="G487" s="18"/>
      <c r="H487" s="35"/>
      <c r="I487" s="12"/>
      <c r="M487" s="12"/>
      <c r="N487" s="18"/>
      <c r="O487" s="12"/>
      <c r="P487" s="12"/>
      <c r="Q487" s="12"/>
      <c r="R487" s="36"/>
      <c r="S487" s="36"/>
      <c r="T487" s="12"/>
      <c r="U487" s="12"/>
      <c r="V487" s="12"/>
      <c r="W487" s="12"/>
      <c r="X487" s="12"/>
    </row>
    <row r="488" customFormat="false" ht="15.75" hidden="false" customHeight="false" outlineLevel="0" collapsed="false">
      <c r="A488" s="12"/>
      <c r="B488" s="34"/>
      <c r="C488" s="12"/>
      <c r="D488" s="12"/>
      <c r="E488" s="12"/>
      <c r="F488" s="12"/>
      <c r="G488" s="18"/>
      <c r="H488" s="35"/>
      <c r="I488" s="12"/>
      <c r="M488" s="12"/>
      <c r="N488" s="18"/>
      <c r="O488" s="12"/>
      <c r="P488" s="12"/>
      <c r="Q488" s="12"/>
      <c r="R488" s="36"/>
      <c r="S488" s="36"/>
      <c r="T488" s="12"/>
      <c r="U488" s="12"/>
      <c r="V488" s="12"/>
      <c r="W488" s="12"/>
      <c r="X488" s="12"/>
    </row>
    <row r="489" customFormat="false" ht="15.75" hidden="false" customHeight="false" outlineLevel="0" collapsed="false">
      <c r="A489" s="12"/>
      <c r="B489" s="34"/>
      <c r="C489" s="12"/>
      <c r="D489" s="12"/>
      <c r="E489" s="12"/>
      <c r="F489" s="12"/>
      <c r="G489" s="18"/>
      <c r="H489" s="35"/>
      <c r="I489" s="12"/>
      <c r="M489" s="12"/>
      <c r="N489" s="18"/>
      <c r="O489" s="12"/>
      <c r="P489" s="12"/>
      <c r="Q489" s="12"/>
      <c r="R489" s="36"/>
      <c r="S489" s="36"/>
      <c r="T489" s="12"/>
      <c r="U489" s="12"/>
      <c r="V489" s="12"/>
      <c r="W489" s="12"/>
      <c r="X489" s="12"/>
    </row>
    <row r="490" customFormat="false" ht="15.75" hidden="false" customHeight="false" outlineLevel="0" collapsed="false">
      <c r="A490" s="12"/>
      <c r="B490" s="34"/>
      <c r="C490" s="12"/>
      <c r="D490" s="12"/>
      <c r="E490" s="12"/>
      <c r="F490" s="12"/>
      <c r="G490" s="18"/>
      <c r="H490" s="35"/>
      <c r="I490" s="12"/>
      <c r="M490" s="12"/>
      <c r="N490" s="18"/>
      <c r="O490" s="12"/>
      <c r="P490" s="12"/>
      <c r="Q490" s="12"/>
      <c r="R490" s="36"/>
      <c r="S490" s="36"/>
      <c r="T490" s="12"/>
      <c r="U490" s="12"/>
      <c r="V490" s="12"/>
      <c r="W490" s="12"/>
      <c r="X490" s="12"/>
    </row>
    <row r="491" customFormat="false" ht="15.75" hidden="false" customHeight="false" outlineLevel="0" collapsed="false">
      <c r="A491" s="12"/>
      <c r="B491" s="34"/>
      <c r="C491" s="12"/>
      <c r="D491" s="12"/>
      <c r="E491" s="12"/>
      <c r="F491" s="12"/>
      <c r="G491" s="18"/>
      <c r="H491" s="35"/>
      <c r="I491" s="12"/>
      <c r="M491" s="12"/>
      <c r="N491" s="18"/>
      <c r="O491" s="12"/>
      <c r="P491" s="12"/>
      <c r="Q491" s="12"/>
      <c r="R491" s="36"/>
      <c r="S491" s="36"/>
      <c r="T491" s="12"/>
      <c r="U491" s="12"/>
      <c r="V491" s="12"/>
      <c r="W491" s="12"/>
      <c r="X491" s="12"/>
    </row>
    <row r="492" customFormat="false" ht="15.75" hidden="false" customHeight="false" outlineLevel="0" collapsed="false">
      <c r="A492" s="12"/>
      <c r="B492" s="34"/>
      <c r="C492" s="12"/>
      <c r="D492" s="12"/>
      <c r="E492" s="12"/>
      <c r="F492" s="12"/>
      <c r="G492" s="18"/>
      <c r="H492" s="35"/>
      <c r="I492" s="12"/>
      <c r="M492" s="12"/>
      <c r="N492" s="18"/>
      <c r="O492" s="12"/>
      <c r="P492" s="12"/>
      <c r="Q492" s="12"/>
      <c r="R492" s="36"/>
      <c r="S492" s="36"/>
      <c r="T492" s="12"/>
      <c r="U492" s="12"/>
      <c r="V492" s="12"/>
      <c r="W492" s="12"/>
      <c r="X492" s="12"/>
    </row>
    <row r="493" customFormat="false" ht="15.75" hidden="false" customHeight="false" outlineLevel="0" collapsed="false">
      <c r="A493" s="12"/>
      <c r="B493" s="34"/>
      <c r="C493" s="12"/>
      <c r="D493" s="12"/>
      <c r="E493" s="12"/>
      <c r="F493" s="12"/>
      <c r="G493" s="18"/>
      <c r="H493" s="35"/>
      <c r="I493" s="12"/>
      <c r="M493" s="12"/>
      <c r="N493" s="18"/>
      <c r="O493" s="12"/>
      <c r="P493" s="12"/>
      <c r="Q493" s="12"/>
      <c r="R493" s="36"/>
      <c r="S493" s="36"/>
      <c r="T493" s="12"/>
      <c r="U493" s="12"/>
      <c r="V493" s="12"/>
      <c r="W493" s="12"/>
      <c r="X493" s="12"/>
    </row>
    <row r="494" customFormat="false" ht="15.75" hidden="false" customHeight="false" outlineLevel="0" collapsed="false">
      <c r="A494" s="12"/>
      <c r="B494" s="34"/>
      <c r="C494" s="12"/>
      <c r="D494" s="12"/>
      <c r="E494" s="12"/>
      <c r="F494" s="12"/>
      <c r="G494" s="18"/>
      <c r="H494" s="35"/>
      <c r="I494" s="12"/>
      <c r="M494" s="12"/>
      <c r="N494" s="18"/>
      <c r="O494" s="12"/>
      <c r="P494" s="12"/>
      <c r="Q494" s="12"/>
      <c r="R494" s="36"/>
      <c r="S494" s="36"/>
      <c r="T494" s="12"/>
      <c r="U494" s="12"/>
      <c r="V494" s="12"/>
      <c r="W494" s="12"/>
      <c r="X494" s="12"/>
    </row>
    <row r="495" customFormat="false" ht="15.75" hidden="false" customHeight="false" outlineLevel="0" collapsed="false">
      <c r="A495" s="12"/>
      <c r="B495" s="34"/>
      <c r="C495" s="12"/>
      <c r="D495" s="12"/>
      <c r="E495" s="12"/>
      <c r="F495" s="12"/>
      <c r="G495" s="18"/>
      <c r="H495" s="35"/>
      <c r="I495" s="12"/>
      <c r="M495" s="12"/>
      <c r="N495" s="18"/>
      <c r="O495" s="12"/>
      <c r="P495" s="12"/>
      <c r="Q495" s="12"/>
      <c r="R495" s="36"/>
      <c r="S495" s="36"/>
      <c r="T495" s="12"/>
      <c r="U495" s="12"/>
      <c r="V495" s="12"/>
      <c r="W495" s="12"/>
      <c r="X495" s="12"/>
    </row>
    <row r="496" customFormat="false" ht="15.75" hidden="false" customHeight="false" outlineLevel="0" collapsed="false">
      <c r="A496" s="12"/>
      <c r="B496" s="34"/>
      <c r="C496" s="12"/>
      <c r="D496" s="12"/>
      <c r="E496" s="12"/>
      <c r="F496" s="12"/>
      <c r="G496" s="18"/>
      <c r="H496" s="35"/>
      <c r="I496" s="12"/>
      <c r="M496" s="12"/>
      <c r="N496" s="18"/>
      <c r="O496" s="12"/>
      <c r="P496" s="12"/>
      <c r="Q496" s="12"/>
      <c r="R496" s="36"/>
      <c r="S496" s="36"/>
      <c r="T496" s="12"/>
      <c r="U496" s="12"/>
      <c r="V496" s="12"/>
      <c r="W496" s="12"/>
      <c r="X496" s="12"/>
    </row>
    <row r="497" customFormat="false" ht="15.75" hidden="false" customHeight="false" outlineLevel="0" collapsed="false">
      <c r="A497" s="12"/>
      <c r="B497" s="34"/>
      <c r="C497" s="12"/>
      <c r="D497" s="12"/>
      <c r="E497" s="12"/>
      <c r="F497" s="12"/>
      <c r="G497" s="18"/>
      <c r="H497" s="35"/>
      <c r="I497" s="12"/>
      <c r="M497" s="12"/>
      <c r="N497" s="18"/>
      <c r="O497" s="12"/>
      <c r="P497" s="12"/>
      <c r="Q497" s="12"/>
      <c r="R497" s="36"/>
      <c r="S497" s="36"/>
      <c r="T497" s="12"/>
      <c r="U497" s="12"/>
      <c r="V497" s="12"/>
      <c r="W497" s="12"/>
      <c r="X497" s="12"/>
    </row>
    <row r="498" customFormat="false" ht="15.75" hidden="false" customHeight="false" outlineLevel="0" collapsed="false">
      <c r="A498" s="12"/>
      <c r="B498" s="34"/>
      <c r="C498" s="12"/>
      <c r="D498" s="12"/>
      <c r="E498" s="12"/>
      <c r="F498" s="12"/>
      <c r="G498" s="18"/>
      <c r="H498" s="35"/>
      <c r="I498" s="12"/>
      <c r="M498" s="12"/>
      <c r="N498" s="18"/>
      <c r="O498" s="12"/>
      <c r="P498" s="12"/>
      <c r="Q498" s="12"/>
      <c r="R498" s="36"/>
      <c r="S498" s="36"/>
      <c r="T498" s="12"/>
      <c r="U498" s="12"/>
      <c r="V498" s="12"/>
      <c r="W498" s="12"/>
      <c r="X498" s="12"/>
    </row>
    <row r="499" customFormat="false" ht="15.75" hidden="false" customHeight="false" outlineLevel="0" collapsed="false">
      <c r="A499" s="12"/>
      <c r="B499" s="34"/>
      <c r="C499" s="12"/>
      <c r="D499" s="12"/>
      <c r="E499" s="12"/>
      <c r="F499" s="12"/>
      <c r="G499" s="18"/>
      <c r="H499" s="35"/>
      <c r="I499" s="12"/>
      <c r="M499" s="12"/>
      <c r="N499" s="18"/>
      <c r="O499" s="12"/>
      <c r="P499" s="12"/>
      <c r="Q499" s="12"/>
      <c r="R499" s="36"/>
      <c r="S499" s="36"/>
      <c r="T499" s="12"/>
      <c r="U499" s="12"/>
      <c r="V499" s="12"/>
      <c r="W499" s="12"/>
      <c r="X499" s="12"/>
    </row>
    <row r="500" customFormat="false" ht="15.75" hidden="false" customHeight="false" outlineLevel="0" collapsed="false">
      <c r="A500" s="12"/>
      <c r="B500" s="34"/>
      <c r="C500" s="12"/>
      <c r="D500" s="12"/>
      <c r="E500" s="12"/>
      <c r="F500" s="12"/>
      <c r="G500" s="18"/>
      <c r="H500" s="35"/>
      <c r="I500" s="12"/>
      <c r="M500" s="12"/>
      <c r="N500" s="18"/>
      <c r="O500" s="12"/>
      <c r="P500" s="12"/>
      <c r="Q500" s="12"/>
      <c r="R500" s="36"/>
      <c r="S500" s="36"/>
      <c r="T500" s="12"/>
      <c r="U500" s="12"/>
      <c r="V500" s="12"/>
      <c r="W500" s="12"/>
      <c r="X500" s="12"/>
    </row>
    <row r="501" customFormat="false" ht="15.75" hidden="false" customHeight="false" outlineLevel="0" collapsed="false">
      <c r="A501" s="12"/>
      <c r="B501" s="34"/>
      <c r="C501" s="12"/>
      <c r="D501" s="12"/>
      <c r="E501" s="12"/>
      <c r="F501" s="12"/>
      <c r="G501" s="18"/>
      <c r="H501" s="35"/>
      <c r="I501" s="12"/>
      <c r="M501" s="12"/>
      <c r="N501" s="18"/>
      <c r="O501" s="12"/>
      <c r="P501" s="12"/>
      <c r="Q501" s="12"/>
      <c r="R501" s="36"/>
      <c r="S501" s="36"/>
      <c r="T501" s="12"/>
      <c r="U501" s="12"/>
      <c r="V501" s="12"/>
      <c r="W501" s="12"/>
      <c r="X501" s="12"/>
    </row>
    <row r="502" customFormat="false" ht="15.75" hidden="false" customHeight="false" outlineLevel="0" collapsed="false">
      <c r="A502" s="12"/>
      <c r="B502" s="34"/>
      <c r="C502" s="12"/>
      <c r="D502" s="12"/>
      <c r="E502" s="12"/>
      <c r="F502" s="12"/>
      <c r="G502" s="18"/>
      <c r="H502" s="35"/>
      <c r="I502" s="12"/>
      <c r="M502" s="12"/>
      <c r="N502" s="18"/>
      <c r="O502" s="12"/>
      <c r="P502" s="12"/>
      <c r="Q502" s="12"/>
      <c r="R502" s="36"/>
      <c r="S502" s="36"/>
      <c r="T502" s="12"/>
      <c r="U502" s="12"/>
      <c r="V502" s="12"/>
      <c r="W502" s="12"/>
      <c r="X502" s="12"/>
    </row>
    <row r="503" customFormat="false" ht="15.75" hidden="false" customHeight="false" outlineLevel="0" collapsed="false">
      <c r="A503" s="12"/>
      <c r="B503" s="34"/>
      <c r="C503" s="12"/>
      <c r="D503" s="12"/>
      <c r="E503" s="12"/>
      <c r="F503" s="12"/>
      <c r="G503" s="18"/>
      <c r="H503" s="35"/>
      <c r="I503" s="12"/>
      <c r="M503" s="12"/>
      <c r="N503" s="18"/>
      <c r="O503" s="12"/>
      <c r="P503" s="12"/>
      <c r="Q503" s="12"/>
      <c r="R503" s="36"/>
      <c r="S503" s="36"/>
      <c r="T503" s="12"/>
      <c r="U503" s="12"/>
      <c r="V503" s="12"/>
      <c r="W503" s="12"/>
      <c r="X503" s="12"/>
    </row>
    <row r="504" customFormat="false" ht="15.75" hidden="false" customHeight="false" outlineLevel="0" collapsed="false">
      <c r="A504" s="12"/>
      <c r="B504" s="34"/>
      <c r="C504" s="12"/>
      <c r="D504" s="12"/>
      <c r="E504" s="12"/>
      <c r="F504" s="12"/>
      <c r="G504" s="18"/>
      <c r="H504" s="35"/>
      <c r="I504" s="12"/>
      <c r="M504" s="12"/>
      <c r="N504" s="18"/>
      <c r="O504" s="12"/>
      <c r="P504" s="12"/>
      <c r="Q504" s="12"/>
      <c r="R504" s="36"/>
      <c r="S504" s="36"/>
      <c r="T504" s="12"/>
      <c r="U504" s="12"/>
      <c r="V504" s="12"/>
      <c r="W504" s="12"/>
      <c r="X504" s="12"/>
    </row>
    <row r="505" customFormat="false" ht="15.75" hidden="false" customHeight="false" outlineLevel="0" collapsed="false">
      <c r="A505" s="12"/>
      <c r="B505" s="34"/>
      <c r="C505" s="12"/>
      <c r="D505" s="12"/>
      <c r="E505" s="12"/>
      <c r="F505" s="12"/>
      <c r="G505" s="18"/>
      <c r="H505" s="35"/>
      <c r="I505" s="12"/>
      <c r="M505" s="12"/>
      <c r="N505" s="18"/>
      <c r="O505" s="12"/>
      <c r="P505" s="12"/>
      <c r="Q505" s="12"/>
      <c r="R505" s="36"/>
      <c r="S505" s="36"/>
      <c r="T505" s="12"/>
      <c r="U505" s="12"/>
      <c r="V505" s="12"/>
      <c r="W505" s="12"/>
      <c r="X505" s="12"/>
    </row>
    <row r="506" customFormat="false" ht="15.75" hidden="false" customHeight="false" outlineLevel="0" collapsed="false">
      <c r="A506" s="12"/>
      <c r="B506" s="34"/>
      <c r="C506" s="12"/>
      <c r="D506" s="12"/>
      <c r="E506" s="12"/>
      <c r="F506" s="12"/>
      <c r="G506" s="18"/>
      <c r="H506" s="35"/>
      <c r="I506" s="12"/>
      <c r="M506" s="12"/>
      <c r="N506" s="18"/>
      <c r="O506" s="12"/>
      <c r="P506" s="12"/>
      <c r="Q506" s="12"/>
      <c r="R506" s="36"/>
      <c r="S506" s="36"/>
      <c r="T506" s="12"/>
      <c r="U506" s="12"/>
      <c r="V506" s="12"/>
      <c r="W506" s="12"/>
      <c r="X506" s="12"/>
    </row>
    <row r="507" customFormat="false" ht="15.75" hidden="false" customHeight="false" outlineLevel="0" collapsed="false">
      <c r="A507" s="12"/>
      <c r="B507" s="34"/>
      <c r="C507" s="12"/>
      <c r="D507" s="12"/>
      <c r="E507" s="12"/>
      <c r="F507" s="12"/>
      <c r="G507" s="18"/>
      <c r="H507" s="35"/>
      <c r="I507" s="12"/>
      <c r="M507" s="12"/>
      <c r="N507" s="18"/>
      <c r="O507" s="12"/>
      <c r="P507" s="12"/>
      <c r="Q507" s="12"/>
      <c r="R507" s="36"/>
      <c r="S507" s="36"/>
      <c r="T507" s="12"/>
      <c r="U507" s="12"/>
      <c r="V507" s="12"/>
      <c r="W507" s="12"/>
      <c r="X507" s="12"/>
    </row>
    <row r="508" customFormat="false" ht="15.75" hidden="false" customHeight="false" outlineLevel="0" collapsed="false">
      <c r="A508" s="12"/>
      <c r="B508" s="34"/>
      <c r="C508" s="12"/>
      <c r="D508" s="12"/>
      <c r="E508" s="12"/>
      <c r="F508" s="12"/>
      <c r="G508" s="18"/>
      <c r="H508" s="35"/>
      <c r="I508" s="12"/>
      <c r="M508" s="12"/>
      <c r="N508" s="18"/>
      <c r="O508" s="12"/>
      <c r="P508" s="12"/>
      <c r="Q508" s="12"/>
      <c r="R508" s="36"/>
      <c r="S508" s="36"/>
      <c r="T508" s="12"/>
      <c r="U508" s="12"/>
      <c r="V508" s="12"/>
      <c r="W508" s="12"/>
      <c r="X508" s="12"/>
    </row>
    <row r="509" customFormat="false" ht="15.75" hidden="false" customHeight="false" outlineLevel="0" collapsed="false">
      <c r="A509" s="12"/>
      <c r="B509" s="34"/>
      <c r="C509" s="12"/>
      <c r="D509" s="12"/>
      <c r="E509" s="12"/>
      <c r="F509" s="12"/>
      <c r="G509" s="18"/>
      <c r="H509" s="35"/>
      <c r="I509" s="12"/>
      <c r="M509" s="12"/>
      <c r="N509" s="18"/>
      <c r="O509" s="12"/>
      <c r="P509" s="12"/>
      <c r="Q509" s="12"/>
      <c r="R509" s="36"/>
      <c r="S509" s="36"/>
      <c r="T509" s="12"/>
      <c r="U509" s="12"/>
      <c r="V509" s="12"/>
      <c r="W509" s="12"/>
      <c r="X509" s="12"/>
    </row>
    <row r="510" customFormat="false" ht="15.75" hidden="false" customHeight="false" outlineLevel="0" collapsed="false">
      <c r="A510" s="12"/>
      <c r="B510" s="34"/>
      <c r="C510" s="12"/>
      <c r="D510" s="12"/>
      <c r="E510" s="12"/>
      <c r="F510" s="12"/>
      <c r="G510" s="18"/>
      <c r="H510" s="35"/>
      <c r="I510" s="12"/>
      <c r="M510" s="12"/>
      <c r="N510" s="18"/>
      <c r="O510" s="12"/>
      <c r="P510" s="12"/>
      <c r="Q510" s="12"/>
      <c r="R510" s="36"/>
      <c r="S510" s="36"/>
      <c r="T510" s="12"/>
      <c r="U510" s="12"/>
      <c r="V510" s="12"/>
      <c r="W510" s="12"/>
      <c r="X510" s="12"/>
    </row>
    <row r="511" customFormat="false" ht="15.75" hidden="false" customHeight="false" outlineLevel="0" collapsed="false">
      <c r="A511" s="12"/>
      <c r="B511" s="34"/>
      <c r="C511" s="12"/>
      <c r="D511" s="12"/>
      <c r="E511" s="12"/>
      <c r="F511" s="12"/>
      <c r="G511" s="18"/>
      <c r="H511" s="35"/>
      <c r="I511" s="12"/>
      <c r="M511" s="12"/>
      <c r="N511" s="18"/>
      <c r="O511" s="12"/>
      <c r="P511" s="12"/>
      <c r="Q511" s="12"/>
      <c r="R511" s="36"/>
      <c r="S511" s="36"/>
      <c r="T511" s="12"/>
      <c r="U511" s="12"/>
      <c r="V511" s="12"/>
      <c r="W511" s="12"/>
      <c r="X511" s="12"/>
    </row>
    <row r="512" customFormat="false" ht="15.75" hidden="false" customHeight="false" outlineLevel="0" collapsed="false">
      <c r="A512" s="12"/>
      <c r="B512" s="34"/>
      <c r="C512" s="12"/>
      <c r="D512" s="12"/>
      <c r="E512" s="12"/>
      <c r="F512" s="12"/>
      <c r="G512" s="18"/>
      <c r="H512" s="35"/>
      <c r="I512" s="12"/>
      <c r="M512" s="12"/>
      <c r="N512" s="18"/>
      <c r="O512" s="12"/>
      <c r="P512" s="12"/>
      <c r="Q512" s="12"/>
      <c r="R512" s="36"/>
      <c r="S512" s="36"/>
      <c r="T512" s="12"/>
      <c r="U512" s="12"/>
      <c r="V512" s="12"/>
      <c r="W512" s="12"/>
      <c r="X512" s="12"/>
    </row>
    <row r="513" customFormat="false" ht="15.75" hidden="false" customHeight="false" outlineLevel="0" collapsed="false">
      <c r="A513" s="12"/>
      <c r="B513" s="34"/>
      <c r="C513" s="12"/>
      <c r="D513" s="12"/>
      <c r="E513" s="12"/>
      <c r="F513" s="12"/>
      <c r="G513" s="18"/>
      <c r="H513" s="35"/>
      <c r="I513" s="12"/>
      <c r="M513" s="12"/>
      <c r="N513" s="18"/>
      <c r="O513" s="12"/>
      <c r="P513" s="12"/>
      <c r="Q513" s="12"/>
      <c r="R513" s="36"/>
      <c r="S513" s="36"/>
      <c r="T513" s="12"/>
      <c r="U513" s="12"/>
      <c r="V513" s="12"/>
      <c r="W513" s="12"/>
      <c r="X513" s="12"/>
    </row>
    <row r="514" customFormat="false" ht="15.75" hidden="false" customHeight="false" outlineLevel="0" collapsed="false">
      <c r="A514" s="12"/>
      <c r="B514" s="34"/>
      <c r="C514" s="12"/>
      <c r="D514" s="12"/>
      <c r="E514" s="12"/>
      <c r="F514" s="12"/>
      <c r="G514" s="18"/>
      <c r="H514" s="35"/>
      <c r="I514" s="12"/>
      <c r="M514" s="12"/>
      <c r="N514" s="18"/>
      <c r="O514" s="12"/>
      <c r="P514" s="12"/>
      <c r="Q514" s="12"/>
      <c r="R514" s="36"/>
      <c r="S514" s="36"/>
      <c r="T514" s="12"/>
      <c r="U514" s="12"/>
      <c r="V514" s="12"/>
      <c r="W514" s="12"/>
      <c r="X514" s="12"/>
    </row>
    <row r="515" customFormat="false" ht="15.75" hidden="false" customHeight="false" outlineLevel="0" collapsed="false">
      <c r="A515" s="12"/>
      <c r="B515" s="34"/>
      <c r="C515" s="12"/>
      <c r="D515" s="12"/>
      <c r="E515" s="12"/>
      <c r="F515" s="12"/>
      <c r="G515" s="18"/>
      <c r="H515" s="35"/>
      <c r="I515" s="12"/>
      <c r="M515" s="12"/>
      <c r="N515" s="18"/>
      <c r="O515" s="12"/>
      <c r="P515" s="12"/>
      <c r="Q515" s="12"/>
      <c r="R515" s="36"/>
      <c r="S515" s="36"/>
      <c r="T515" s="12"/>
      <c r="U515" s="12"/>
      <c r="V515" s="12"/>
      <c r="W515" s="12"/>
      <c r="X515" s="12"/>
    </row>
    <row r="516" customFormat="false" ht="15.75" hidden="false" customHeight="false" outlineLevel="0" collapsed="false">
      <c r="A516" s="12"/>
      <c r="B516" s="34"/>
      <c r="C516" s="12"/>
      <c r="D516" s="12"/>
      <c r="E516" s="12"/>
      <c r="F516" s="12"/>
      <c r="G516" s="18"/>
      <c r="H516" s="35"/>
      <c r="I516" s="12"/>
      <c r="M516" s="12"/>
      <c r="N516" s="18"/>
      <c r="O516" s="12"/>
      <c r="P516" s="12"/>
      <c r="Q516" s="12"/>
      <c r="R516" s="36"/>
      <c r="S516" s="36"/>
      <c r="T516" s="12"/>
      <c r="U516" s="12"/>
      <c r="V516" s="12"/>
      <c r="W516" s="12"/>
      <c r="X516" s="12"/>
    </row>
    <row r="517" customFormat="false" ht="15.75" hidden="false" customHeight="false" outlineLevel="0" collapsed="false">
      <c r="A517" s="12"/>
      <c r="B517" s="34"/>
      <c r="C517" s="12"/>
      <c r="D517" s="12"/>
      <c r="E517" s="12"/>
      <c r="F517" s="12"/>
      <c r="G517" s="18"/>
      <c r="H517" s="35"/>
      <c r="I517" s="12"/>
      <c r="M517" s="12"/>
      <c r="N517" s="18"/>
      <c r="O517" s="12"/>
      <c r="P517" s="12"/>
      <c r="Q517" s="12"/>
      <c r="R517" s="36"/>
      <c r="S517" s="36"/>
      <c r="T517" s="12"/>
      <c r="U517" s="12"/>
      <c r="V517" s="12"/>
      <c r="W517" s="12"/>
      <c r="X517" s="12"/>
    </row>
    <row r="518" customFormat="false" ht="15.75" hidden="false" customHeight="false" outlineLevel="0" collapsed="false">
      <c r="A518" s="12"/>
      <c r="B518" s="34"/>
      <c r="C518" s="12"/>
      <c r="D518" s="12"/>
      <c r="E518" s="12"/>
      <c r="F518" s="12"/>
      <c r="G518" s="18"/>
      <c r="H518" s="35"/>
      <c r="I518" s="12"/>
      <c r="M518" s="12"/>
      <c r="N518" s="18"/>
      <c r="O518" s="12"/>
      <c r="P518" s="12"/>
      <c r="Q518" s="12"/>
      <c r="R518" s="36"/>
      <c r="S518" s="36"/>
      <c r="T518" s="12"/>
      <c r="U518" s="12"/>
      <c r="V518" s="12"/>
      <c r="W518" s="12"/>
      <c r="X518" s="12"/>
    </row>
    <row r="519" customFormat="false" ht="15.75" hidden="false" customHeight="false" outlineLevel="0" collapsed="false">
      <c r="A519" s="12"/>
      <c r="B519" s="34"/>
      <c r="C519" s="12"/>
      <c r="D519" s="12"/>
      <c r="E519" s="12"/>
      <c r="F519" s="12"/>
      <c r="G519" s="18"/>
      <c r="H519" s="35"/>
      <c r="I519" s="12"/>
      <c r="M519" s="12"/>
      <c r="N519" s="18"/>
      <c r="O519" s="12"/>
      <c r="P519" s="12"/>
      <c r="Q519" s="12"/>
      <c r="R519" s="36"/>
      <c r="S519" s="36"/>
      <c r="T519" s="12"/>
      <c r="U519" s="12"/>
      <c r="V519" s="12"/>
      <c r="W519" s="12"/>
      <c r="X519" s="12"/>
    </row>
    <row r="520" customFormat="false" ht="15.75" hidden="false" customHeight="false" outlineLevel="0" collapsed="false">
      <c r="A520" s="12"/>
      <c r="B520" s="34"/>
      <c r="C520" s="12"/>
      <c r="D520" s="12"/>
      <c r="E520" s="12"/>
      <c r="F520" s="12"/>
      <c r="G520" s="18"/>
      <c r="H520" s="35"/>
      <c r="I520" s="12"/>
      <c r="M520" s="12"/>
      <c r="N520" s="18"/>
      <c r="O520" s="12"/>
      <c r="P520" s="12"/>
      <c r="Q520" s="12"/>
      <c r="R520" s="36"/>
      <c r="S520" s="36"/>
      <c r="T520" s="12"/>
      <c r="U520" s="12"/>
      <c r="V520" s="12"/>
      <c r="W520" s="12"/>
      <c r="X520" s="12"/>
    </row>
    <row r="521" customFormat="false" ht="15.75" hidden="false" customHeight="false" outlineLevel="0" collapsed="false">
      <c r="A521" s="12"/>
      <c r="B521" s="34"/>
      <c r="C521" s="12"/>
      <c r="D521" s="12"/>
      <c r="E521" s="12"/>
      <c r="F521" s="12"/>
      <c r="G521" s="18"/>
      <c r="H521" s="35"/>
      <c r="I521" s="12"/>
      <c r="M521" s="12"/>
      <c r="N521" s="18"/>
      <c r="O521" s="12"/>
      <c r="P521" s="12"/>
      <c r="Q521" s="12"/>
      <c r="R521" s="36"/>
      <c r="S521" s="36"/>
      <c r="T521" s="12"/>
      <c r="U521" s="12"/>
      <c r="V521" s="12"/>
      <c r="W521" s="12"/>
      <c r="X521" s="12"/>
    </row>
    <row r="522" customFormat="false" ht="15.75" hidden="false" customHeight="false" outlineLevel="0" collapsed="false">
      <c r="A522" s="12"/>
      <c r="B522" s="34"/>
      <c r="C522" s="12"/>
      <c r="D522" s="12"/>
      <c r="E522" s="12"/>
      <c r="F522" s="12"/>
      <c r="G522" s="18"/>
      <c r="H522" s="35"/>
      <c r="I522" s="12"/>
      <c r="M522" s="12"/>
      <c r="N522" s="18"/>
      <c r="O522" s="12"/>
      <c r="P522" s="12"/>
      <c r="Q522" s="12"/>
      <c r="R522" s="36"/>
      <c r="S522" s="36"/>
      <c r="T522" s="12"/>
      <c r="U522" s="12"/>
      <c r="V522" s="12"/>
      <c r="W522" s="12"/>
      <c r="X522" s="12"/>
    </row>
    <row r="523" customFormat="false" ht="15.75" hidden="false" customHeight="false" outlineLevel="0" collapsed="false">
      <c r="A523" s="12"/>
      <c r="B523" s="34"/>
      <c r="C523" s="12"/>
      <c r="D523" s="12"/>
      <c r="E523" s="12"/>
      <c r="F523" s="12"/>
      <c r="G523" s="18"/>
      <c r="H523" s="35"/>
      <c r="I523" s="12"/>
      <c r="M523" s="12"/>
      <c r="N523" s="18"/>
      <c r="O523" s="12"/>
      <c r="P523" s="12"/>
      <c r="Q523" s="12"/>
      <c r="R523" s="36"/>
      <c r="S523" s="36"/>
      <c r="T523" s="12"/>
      <c r="U523" s="12"/>
      <c r="V523" s="12"/>
      <c r="W523" s="12"/>
      <c r="X523" s="12"/>
    </row>
    <row r="524" customFormat="false" ht="15.75" hidden="false" customHeight="false" outlineLevel="0" collapsed="false">
      <c r="A524" s="12"/>
      <c r="B524" s="34"/>
      <c r="C524" s="12"/>
      <c r="D524" s="12"/>
      <c r="E524" s="12"/>
      <c r="F524" s="12"/>
      <c r="G524" s="18"/>
      <c r="H524" s="35"/>
      <c r="I524" s="12"/>
      <c r="M524" s="12"/>
      <c r="N524" s="18"/>
      <c r="O524" s="12"/>
      <c r="P524" s="12"/>
      <c r="Q524" s="12"/>
      <c r="R524" s="36"/>
      <c r="S524" s="36"/>
      <c r="T524" s="12"/>
      <c r="U524" s="12"/>
      <c r="V524" s="12"/>
      <c r="W524" s="12"/>
      <c r="X524" s="12"/>
    </row>
    <row r="525" customFormat="false" ht="15.75" hidden="false" customHeight="false" outlineLevel="0" collapsed="false">
      <c r="A525" s="12"/>
      <c r="B525" s="34"/>
      <c r="C525" s="12"/>
      <c r="D525" s="12"/>
      <c r="E525" s="12"/>
      <c r="F525" s="12"/>
      <c r="G525" s="18"/>
      <c r="H525" s="35"/>
      <c r="I525" s="12"/>
      <c r="M525" s="12"/>
      <c r="N525" s="18"/>
      <c r="O525" s="12"/>
      <c r="P525" s="12"/>
      <c r="Q525" s="12"/>
      <c r="R525" s="36"/>
      <c r="S525" s="36"/>
      <c r="T525" s="12"/>
      <c r="U525" s="12"/>
      <c r="V525" s="12"/>
      <c r="W525" s="12"/>
      <c r="X525" s="12"/>
    </row>
    <row r="526" customFormat="false" ht="15.75" hidden="false" customHeight="false" outlineLevel="0" collapsed="false">
      <c r="A526" s="12"/>
      <c r="B526" s="34"/>
      <c r="C526" s="12"/>
      <c r="D526" s="12"/>
      <c r="E526" s="12"/>
      <c r="F526" s="12"/>
      <c r="G526" s="18"/>
      <c r="H526" s="35"/>
      <c r="I526" s="12"/>
      <c r="M526" s="12"/>
      <c r="N526" s="18"/>
      <c r="O526" s="12"/>
      <c r="P526" s="12"/>
      <c r="Q526" s="12"/>
      <c r="R526" s="36"/>
      <c r="S526" s="36"/>
      <c r="T526" s="12"/>
      <c r="U526" s="12"/>
      <c r="V526" s="12"/>
      <c r="W526" s="12"/>
      <c r="X526" s="12"/>
    </row>
    <row r="527" customFormat="false" ht="15.75" hidden="false" customHeight="false" outlineLevel="0" collapsed="false">
      <c r="A527" s="12"/>
      <c r="B527" s="34"/>
      <c r="C527" s="12"/>
      <c r="D527" s="12"/>
      <c r="E527" s="12"/>
      <c r="F527" s="12"/>
      <c r="G527" s="18"/>
      <c r="H527" s="35"/>
      <c r="I527" s="12"/>
      <c r="M527" s="12"/>
      <c r="N527" s="18"/>
      <c r="O527" s="12"/>
      <c r="P527" s="12"/>
      <c r="Q527" s="12"/>
      <c r="R527" s="36"/>
      <c r="S527" s="36"/>
      <c r="T527" s="12"/>
      <c r="U527" s="12"/>
      <c r="V527" s="12"/>
      <c r="W527" s="12"/>
      <c r="X527" s="12"/>
    </row>
    <row r="528" customFormat="false" ht="15.75" hidden="false" customHeight="false" outlineLevel="0" collapsed="false">
      <c r="A528" s="12"/>
      <c r="B528" s="34"/>
      <c r="C528" s="12"/>
      <c r="D528" s="12"/>
      <c r="E528" s="12"/>
      <c r="F528" s="12"/>
      <c r="G528" s="18"/>
      <c r="H528" s="35"/>
      <c r="I528" s="12"/>
      <c r="M528" s="12"/>
      <c r="N528" s="18"/>
      <c r="O528" s="12"/>
      <c r="P528" s="12"/>
      <c r="Q528" s="12"/>
      <c r="R528" s="36"/>
      <c r="S528" s="36"/>
      <c r="T528" s="12"/>
      <c r="U528" s="12"/>
      <c r="V528" s="12"/>
      <c r="W528" s="12"/>
      <c r="X528" s="12"/>
    </row>
    <row r="529" customFormat="false" ht="15.75" hidden="false" customHeight="false" outlineLevel="0" collapsed="false">
      <c r="A529" s="12"/>
      <c r="B529" s="34"/>
      <c r="C529" s="12"/>
      <c r="D529" s="12"/>
      <c r="E529" s="12"/>
      <c r="F529" s="12"/>
      <c r="G529" s="18"/>
      <c r="H529" s="35"/>
      <c r="I529" s="12"/>
      <c r="M529" s="12"/>
      <c r="N529" s="18"/>
      <c r="O529" s="12"/>
      <c r="P529" s="12"/>
      <c r="Q529" s="12"/>
      <c r="R529" s="36"/>
      <c r="S529" s="36"/>
      <c r="T529" s="12"/>
      <c r="U529" s="12"/>
      <c r="V529" s="12"/>
      <c r="W529" s="12"/>
      <c r="X529" s="12"/>
    </row>
    <row r="530" customFormat="false" ht="15.75" hidden="false" customHeight="false" outlineLevel="0" collapsed="false">
      <c r="A530" s="12"/>
      <c r="B530" s="34"/>
      <c r="C530" s="12"/>
      <c r="D530" s="12"/>
      <c r="E530" s="12"/>
      <c r="F530" s="12"/>
      <c r="G530" s="18"/>
      <c r="H530" s="35"/>
      <c r="I530" s="12"/>
      <c r="M530" s="12"/>
      <c r="N530" s="18"/>
      <c r="O530" s="12"/>
      <c r="P530" s="12"/>
      <c r="Q530" s="12"/>
      <c r="R530" s="36"/>
      <c r="S530" s="36"/>
      <c r="T530" s="12"/>
      <c r="U530" s="12"/>
      <c r="V530" s="12"/>
      <c r="W530" s="12"/>
      <c r="X530" s="12"/>
    </row>
    <row r="531" customFormat="false" ht="15.75" hidden="false" customHeight="false" outlineLevel="0" collapsed="false">
      <c r="A531" s="12"/>
      <c r="B531" s="34"/>
      <c r="C531" s="12"/>
      <c r="D531" s="12"/>
      <c r="E531" s="12"/>
      <c r="F531" s="12"/>
      <c r="G531" s="18"/>
      <c r="H531" s="35"/>
      <c r="I531" s="12"/>
      <c r="M531" s="12"/>
      <c r="N531" s="18"/>
      <c r="O531" s="12"/>
      <c r="P531" s="12"/>
      <c r="Q531" s="12"/>
      <c r="R531" s="36"/>
      <c r="S531" s="36"/>
      <c r="T531" s="12"/>
      <c r="U531" s="12"/>
      <c r="V531" s="12"/>
      <c r="W531" s="12"/>
      <c r="X531" s="12"/>
    </row>
    <row r="532" customFormat="false" ht="15.75" hidden="false" customHeight="false" outlineLevel="0" collapsed="false">
      <c r="A532" s="12"/>
      <c r="B532" s="34"/>
      <c r="C532" s="12"/>
      <c r="D532" s="12"/>
      <c r="E532" s="12"/>
      <c r="F532" s="12"/>
      <c r="G532" s="18"/>
      <c r="H532" s="35"/>
      <c r="I532" s="12"/>
      <c r="M532" s="12"/>
      <c r="N532" s="18"/>
      <c r="O532" s="12"/>
      <c r="P532" s="12"/>
      <c r="Q532" s="12"/>
      <c r="R532" s="36"/>
      <c r="S532" s="36"/>
      <c r="T532" s="12"/>
      <c r="U532" s="12"/>
      <c r="V532" s="12"/>
      <c r="W532" s="12"/>
      <c r="X532" s="12"/>
    </row>
    <row r="533" customFormat="false" ht="15.75" hidden="false" customHeight="false" outlineLevel="0" collapsed="false">
      <c r="A533" s="12"/>
      <c r="B533" s="34"/>
      <c r="C533" s="12"/>
      <c r="D533" s="12"/>
      <c r="E533" s="12"/>
      <c r="F533" s="12"/>
      <c r="G533" s="18"/>
      <c r="H533" s="35"/>
      <c r="I533" s="12"/>
      <c r="M533" s="12"/>
      <c r="N533" s="18"/>
      <c r="O533" s="12"/>
      <c r="P533" s="12"/>
      <c r="Q533" s="12"/>
      <c r="R533" s="36"/>
      <c r="S533" s="36"/>
      <c r="T533" s="12"/>
      <c r="U533" s="12"/>
      <c r="V533" s="12"/>
      <c r="W533" s="12"/>
      <c r="X533" s="12"/>
    </row>
    <row r="534" customFormat="false" ht="15.75" hidden="false" customHeight="false" outlineLevel="0" collapsed="false">
      <c r="A534" s="12"/>
      <c r="B534" s="34"/>
      <c r="C534" s="12"/>
      <c r="D534" s="12"/>
      <c r="E534" s="12"/>
      <c r="F534" s="12"/>
      <c r="G534" s="18"/>
      <c r="H534" s="35"/>
      <c r="I534" s="12"/>
      <c r="M534" s="12"/>
      <c r="N534" s="18"/>
      <c r="O534" s="12"/>
      <c r="P534" s="12"/>
      <c r="Q534" s="12"/>
      <c r="R534" s="36"/>
      <c r="S534" s="36"/>
      <c r="T534" s="12"/>
      <c r="U534" s="12"/>
      <c r="V534" s="12"/>
      <c r="W534" s="12"/>
      <c r="X534" s="12"/>
    </row>
    <row r="535" customFormat="false" ht="15.75" hidden="false" customHeight="false" outlineLevel="0" collapsed="false">
      <c r="A535" s="12"/>
      <c r="B535" s="34"/>
      <c r="C535" s="12"/>
      <c r="D535" s="12"/>
      <c r="E535" s="12"/>
      <c r="F535" s="12"/>
      <c r="G535" s="18"/>
      <c r="H535" s="35"/>
      <c r="I535" s="12"/>
      <c r="M535" s="12"/>
      <c r="N535" s="18"/>
      <c r="O535" s="12"/>
      <c r="P535" s="12"/>
      <c r="Q535" s="12"/>
      <c r="R535" s="36"/>
      <c r="S535" s="36"/>
      <c r="T535" s="12"/>
      <c r="U535" s="12"/>
      <c r="V535" s="12"/>
      <c r="W535" s="12"/>
      <c r="X535" s="12"/>
    </row>
    <row r="536" customFormat="false" ht="15.75" hidden="false" customHeight="false" outlineLevel="0" collapsed="false">
      <c r="A536" s="12"/>
      <c r="B536" s="34"/>
      <c r="C536" s="12"/>
      <c r="D536" s="12"/>
      <c r="E536" s="12"/>
      <c r="F536" s="12"/>
      <c r="G536" s="18"/>
      <c r="H536" s="35"/>
      <c r="I536" s="12"/>
      <c r="M536" s="12"/>
      <c r="N536" s="18"/>
      <c r="O536" s="12"/>
      <c r="P536" s="12"/>
      <c r="Q536" s="12"/>
      <c r="R536" s="36"/>
      <c r="S536" s="36"/>
      <c r="T536" s="12"/>
      <c r="U536" s="12"/>
      <c r="V536" s="12"/>
      <c r="W536" s="12"/>
      <c r="X536" s="12"/>
    </row>
    <row r="537" customFormat="false" ht="15.75" hidden="false" customHeight="false" outlineLevel="0" collapsed="false">
      <c r="A537" s="12"/>
      <c r="B537" s="34"/>
      <c r="C537" s="12"/>
      <c r="D537" s="12"/>
      <c r="E537" s="12"/>
      <c r="F537" s="12"/>
      <c r="G537" s="18"/>
      <c r="H537" s="35"/>
      <c r="I537" s="12"/>
      <c r="M537" s="12"/>
      <c r="N537" s="18"/>
      <c r="O537" s="12"/>
      <c r="P537" s="12"/>
      <c r="Q537" s="12"/>
      <c r="R537" s="36"/>
      <c r="S537" s="36"/>
      <c r="T537" s="12"/>
      <c r="U537" s="12"/>
      <c r="V537" s="12"/>
      <c r="W537" s="12"/>
      <c r="X537" s="12"/>
    </row>
    <row r="538" customFormat="false" ht="15.75" hidden="false" customHeight="false" outlineLevel="0" collapsed="false">
      <c r="A538" s="12"/>
      <c r="B538" s="34"/>
      <c r="C538" s="12"/>
      <c r="D538" s="12"/>
      <c r="E538" s="12"/>
      <c r="F538" s="12"/>
      <c r="G538" s="18"/>
      <c r="H538" s="35"/>
      <c r="I538" s="12"/>
      <c r="M538" s="12"/>
      <c r="N538" s="18"/>
      <c r="O538" s="12"/>
      <c r="P538" s="12"/>
      <c r="Q538" s="12"/>
      <c r="R538" s="36"/>
      <c r="S538" s="36"/>
      <c r="T538" s="12"/>
      <c r="U538" s="12"/>
      <c r="V538" s="12"/>
      <c r="W538" s="12"/>
      <c r="X538" s="12"/>
    </row>
    <row r="539" customFormat="false" ht="15.75" hidden="false" customHeight="false" outlineLevel="0" collapsed="false">
      <c r="A539" s="12"/>
      <c r="B539" s="34"/>
      <c r="C539" s="12"/>
      <c r="D539" s="12"/>
      <c r="E539" s="12"/>
      <c r="F539" s="12"/>
      <c r="G539" s="18"/>
      <c r="H539" s="35"/>
      <c r="I539" s="12"/>
      <c r="M539" s="12"/>
      <c r="N539" s="18"/>
      <c r="O539" s="12"/>
      <c r="P539" s="12"/>
      <c r="Q539" s="12"/>
      <c r="R539" s="36"/>
      <c r="S539" s="36"/>
      <c r="T539" s="12"/>
      <c r="U539" s="12"/>
      <c r="V539" s="12"/>
      <c r="W539" s="12"/>
      <c r="X539" s="12"/>
    </row>
    <row r="540" customFormat="false" ht="15.75" hidden="false" customHeight="false" outlineLevel="0" collapsed="false">
      <c r="A540" s="12"/>
      <c r="B540" s="34"/>
      <c r="C540" s="12"/>
      <c r="D540" s="12"/>
      <c r="E540" s="12"/>
      <c r="F540" s="12"/>
      <c r="G540" s="18"/>
      <c r="H540" s="35"/>
      <c r="I540" s="12"/>
      <c r="M540" s="12"/>
      <c r="N540" s="18"/>
      <c r="O540" s="12"/>
      <c r="P540" s="12"/>
      <c r="Q540" s="12"/>
      <c r="R540" s="36"/>
      <c r="S540" s="36"/>
      <c r="T540" s="12"/>
      <c r="U540" s="12"/>
      <c r="V540" s="12"/>
      <c r="W540" s="12"/>
      <c r="X540" s="12"/>
    </row>
    <row r="541" customFormat="false" ht="15.75" hidden="false" customHeight="false" outlineLevel="0" collapsed="false">
      <c r="A541" s="12"/>
      <c r="B541" s="34"/>
      <c r="C541" s="12"/>
      <c r="D541" s="12"/>
      <c r="E541" s="12"/>
      <c r="F541" s="12"/>
      <c r="G541" s="18"/>
      <c r="H541" s="35"/>
      <c r="I541" s="12"/>
      <c r="M541" s="12"/>
      <c r="N541" s="18"/>
      <c r="O541" s="12"/>
      <c r="P541" s="12"/>
      <c r="Q541" s="12"/>
      <c r="R541" s="36"/>
      <c r="S541" s="36"/>
      <c r="T541" s="12"/>
      <c r="U541" s="12"/>
      <c r="V541" s="12"/>
      <c r="W541" s="12"/>
      <c r="X541" s="12"/>
    </row>
    <row r="542" customFormat="false" ht="15.75" hidden="false" customHeight="false" outlineLevel="0" collapsed="false">
      <c r="A542" s="12"/>
      <c r="B542" s="34"/>
      <c r="C542" s="12"/>
      <c r="D542" s="12"/>
      <c r="E542" s="12"/>
      <c r="F542" s="12"/>
      <c r="G542" s="18"/>
      <c r="H542" s="35"/>
      <c r="I542" s="12"/>
      <c r="M542" s="12"/>
      <c r="N542" s="18"/>
      <c r="O542" s="12"/>
      <c r="P542" s="12"/>
      <c r="Q542" s="12"/>
      <c r="R542" s="36"/>
      <c r="S542" s="36"/>
      <c r="T542" s="12"/>
      <c r="U542" s="12"/>
      <c r="V542" s="12"/>
      <c r="W542" s="12"/>
      <c r="X542" s="12"/>
    </row>
    <row r="543" customFormat="false" ht="15.75" hidden="false" customHeight="false" outlineLevel="0" collapsed="false">
      <c r="A543" s="12"/>
      <c r="B543" s="34"/>
      <c r="C543" s="12"/>
      <c r="D543" s="12"/>
      <c r="E543" s="12"/>
      <c r="F543" s="12"/>
      <c r="G543" s="18"/>
      <c r="H543" s="35"/>
      <c r="I543" s="12"/>
      <c r="M543" s="12"/>
      <c r="N543" s="18"/>
      <c r="O543" s="12"/>
      <c r="P543" s="12"/>
      <c r="Q543" s="12"/>
      <c r="R543" s="36"/>
      <c r="S543" s="36"/>
      <c r="T543" s="12"/>
      <c r="U543" s="12"/>
      <c r="V543" s="12"/>
      <c r="W543" s="12"/>
      <c r="X543" s="12"/>
    </row>
    <row r="544" customFormat="false" ht="15.75" hidden="false" customHeight="false" outlineLevel="0" collapsed="false">
      <c r="A544" s="12"/>
      <c r="B544" s="34"/>
      <c r="C544" s="12"/>
      <c r="D544" s="12"/>
      <c r="E544" s="12"/>
      <c r="F544" s="12"/>
      <c r="G544" s="18"/>
      <c r="H544" s="35"/>
      <c r="I544" s="12"/>
      <c r="M544" s="12"/>
      <c r="N544" s="18"/>
      <c r="O544" s="12"/>
      <c r="P544" s="12"/>
      <c r="Q544" s="12"/>
      <c r="R544" s="36"/>
      <c r="S544" s="36"/>
      <c r="T544" s="12"/>
      <c r="U544" s="12"/>
      <c r="V544" s="12"/>
      <c r="W544" s="12"/>
      <c r="X544" s="12"/>
    </row>
    <row r="545" customFormat="false" ht="15.75" hidden="false" customHeight="false" outlineLevel="0" collapsed="false">
      <c r="A545" s="12"/>
      <c r="B545" s="34"/>
      <c r="C545" s="12"/>
      <c r="D545" s="12"/>
      <c r="E545" s="12"/>
      <c r="F545" s="12"/>
      <c r="G545" s="18"/>
      <c r="H545" s="35"/>
      <c r="I545" s="12"/>
      <c r="M545" s="12"/>
      <c r="N545" s="18"/>
      <c r="O545" s="12"/>
      <c r="P545" s="12"/>
      <c r="Q545" s="12"/>
      <c r="R545" s="36"/>
      <c r="S545" s="36"/>
      <c r="T545" s="12"/>
      <c r="U545" s="12"/>
      <c r="V545" s="12"/>
      <c r="W545" s="12"/>
      <c r="X545" s="12"/>
    </row>
    <row r="546" customFormat="false" ht="15.75" hidden="false" customHeight="false" outlineLevel="0" collapsed="false">
      <c r="A546" s="12"/>
      <c r="B546" s="34"/>
      <c r="C546" s="12"/>
      <c r="D546" s="12"/>
      <c r="E546" s="12"/>
      <c r="F546" s="12"/>
      <c r="G546" s="18"/>
      <c r="H546" s="35"/>
      <c r="I546" s="12"/>
      <c r="M546" s="12"/>
      <c r="N546" s="18"/>
      <c r="O546" s="12"/>
      <c r="P546" s="12"/>
      <c r="Q546" s="12"/>
      <c r="R546" s="36"/>
      <c r="S546" s="36"/>
      <c r="T546" s="12"/>
      <c r="U546" s="12"/>
      <c r="V546" s="12"/>
      <c r="W546" s="12"/>
      <c r="X546" s="12"/>
    </row>
    <row r="547" customFormat="false" ht="15.75" hidden="false" customHeight="false" outlineLevel="0" collapsed="false">
      <c r="A547" s="12"/>
      <c r="B547" s="34"/>
      <c r="C547" s="12"/>
      <c r="D547" s="12"/>
      <c r="E547" s="12"/>
      <c r="F547" s="12"/>
      <c r="G547" s="18"/>
      <c r="H547" s="35"/>
      <c r="I547" s="12"/>
      <c r="M547" s="12"/>
      <c r="N547" s="18"/>
      <c r="O547" s="12"/>
      <c r="P547" s="12"/>
      <c r="Q547" s="12"/>
      <c r="R547" s="36"/>
      <c r="S547" s="36"/>
      <c r="T547" s="12"/>
      <c r="U547" s="12"/>
      <c r="V547" s="12"/>
      <c r="W547" s="12"/>
      <c r="X547" s="12"/>
    </row>
    <row r="548" customFormat="false" ht="15.75" hidden="false" customHeight="false" outlineLevel="0" collapsed="false">
      <c r="A548" s="12"/>
      <c r="B548" s="34"/>
      <c r="C548" s="12"/>
      <c r="D548" s="12"/>
      <c r="E548" s="12"/>
      <c r="F548" s="12"/>
      <c r="G548" s="18"/>
      <c r="H548" s="35"/>
      <c r="I548" s="12"/>
      <c r="M548" s="12"/>
      <c r="N548" s="18"/>
      <c r="O548" s="12"/>
      <c r="P548" s="12"/>
      <c r="Q548" s="12"/>
      <c r="R548" s="36"/>
      <c r="S548" s="36"/>
      <c r="T548" s="12"/>
      <c r="U548" s="12"/>
      <c r="V548" s="12"/>
      <c r="W548" s="12"/>
      <c r="X548" s="12"/>
    </row>
    <row r="549" customFormat="false" ht="15.75" hidden="false" customHeight="false" outlineLevel="0" collapsed="false">
      <c r="A549" s="12"/>
      <c r="B549" s="34"/>
      <c r="C549" s="12"/>
      <c r="D549" s="12"/>
      <c r="E549" s="12"/>
      <c r="F549" s="12"/>
      <c r="G549" s="18"/>
      <c r="H549" s="35"/>
      <c r="I549" s="12"/>
      <c r="M549" s="12"/>
      <c r="N549" s="18"/>
      <c r="O549" s="12"/>
      <c r="P549" s="12"/>
      <c r="Q549" s="12"/>
      <c r="R549" s="36"/>
      <c r="S549" s="36"/>
      <c r="T549" s="12"/>
      <c r="U549" s="12"/>
      <c r="V549" s="12"/>
      <c r="W549" s="12"/>
      <c r="X549" s="12"/>
    </row>
    <row r="550" customFormat="false" ht="15.75" hidden="false" customHeight="false" outlineLevel="0" collapsed="false">
      <c r="A550" s="12"/>
      <c r="B550" s="34"/>
      <c r="C550" s="12"/>
      <c r="D550" s="12"/>
      <c r="E550" s="12"/>
      <c r="F550" s="12"/>
      <c r="G550" s="18"/>
      <c r="H550" s="35"/>
      <c r="I550" s="12"/>
      <c r="M550" s="12"/>
      <c r="N550" s="18"/>
      <c r="O550" s="12"/>
      <c r="P550" s="12"/>
      <c r="Q550" s="12"/>
      <c r="R550" s="36"/>
      <c r="S550" s="36"/>
      <c r="T550" s="12"/>
      <c r="U550" s="12"/>
      <c r="V550" s="12"/>
      <c r="W550" s="12"/>
      <c r="X550" s="12"/>
    </row>
    <row r="551" customFormat="false" ht="15.75" hidden="false" customHeight="false" outlineLevel="0" collapsed="false">
      <c r="A551" s="12"/>
      <c r="B551" s="34"/>
      <c r="C551" s="12"/>
      <c r="D551" s="12"/>
      <c r="E551" s="12"/>
      <c r="F551" s="12"/>
      <c r="G551" s="18"/>
      <c r="H551" s="35"/>
      <c r="I551" s="12"/>
      <c r="M551" s="12"/>
      <c r="N551" s="18"/>
      <c r="O551" s="12"/>
      <c r="P551" s="12"/>
      <c r="Q551" s="12"/>
      <c r="R551" s="36"/>
      <c r="S551" s="36"/>
      <c r="T551" s="12"/>
      <c r="U551" s="12"/>
      <c r="V551" s="12"/>
      <c r="W551" s="12"/>
      <c r="X551" s="12"/>
    </row>
    <row r="552" customFormat="false" ht="15.75" hidden="false" customHeight="false" outlineLevel="0" collapsed="false">
      <c r="A552" s="12"/>
      <c r="B552" s="34"/>
      <c r="C552" s="12"/>
      <c r="D552" s="12"/>
      <c r="E552" s="12"/>
      <c r="F552" s="12"/>
      <c r="G552" s="18"/>
      <c r="H552" s="35"/>
      <c r="I552" s="12"/>
      <c r="M552" s="12"/>
      <c r="N552" s="18"/>
      <c r="O552" s="12"/>
      <c r="P552" s="12"/>
      <c r="Q552" s="12"/>
      <c r="R552" s="36"/>
      <c r="S552" s="36"/>
      <c r="T552" s="12"/>
      <c r="U552" s="12"/>
      <c r="V552" s="12"/>
      <c r="W552" s="12"/>
      <c r="X552" s="12"/>
    </row>
    <row r="553" customFormat="false" ht="15.75" hidden="false" customHeight="false" outlineLevel="0" collapsed="false">
      <c r="A553" s="12"/>
      <c r="B553" s="34"/>
      <c r="C553" s="12"/>
      <c r="D553" s="12"/>
      <c r="E553" s="12"/>
      <c r="F553" s="12"/>
      <c r="G553" s="18"/>
      <c r="H553" s="35"/>
      <c r="I553" s="12"/>
      <c r="M553" s="12"/>
      <c r="N553" s="18"/>
      <c r="O553" s="12"/>
      <c r="P553" s="12"/>
      <c r="Q553" s="12"/>
      <c r="R553" s="36"/>
      <c r="S553" s="36"/>
      <c r="T553" s="12"/>
      <c r="U553" s="12"/>
      <c r="V553" s="12"/>
      <c r="W553" s="12"/>
      <c r="X553" s="12"/>
    </row>
    <row r="554" customFormat="false" ht="15.75" hidden="false" customHeight="false" outlineLevel="0" collapsed="false">
      <c r="A554" s="12"/>
      <c r="B554" s="34"/>
      <c r="C554" s="12"/>
      <c r="D554" s="12"/>
      <c r="E554" s="12"/>
      <c r="F554" s="12"/>
      <c r="G554" s="18"/>
      <c r="H554" s="35"/>
      <c r="I554" s="12"/>
      <c r="M554" s="12"/>
      <c r="N554" s="18"/>
      <c r="O554" s="12"/>
      <c r="P554" s="12"/>
      <c r="Q554" s="12"/>
      <c r="R554" s="36"/>
      <c r="S554" s="36"/>
      <c r="T554" s="12"/>
      <c r="U554" s="12"/>
      <c r="V554" s="12"/>
      <c r="W554" s="12"/>
      <c r="X554" s="12"/>
    </row>
    <row r="555" customFormat="false" ht="15.75" hidden="false" customHeight="false" outlineLevel="0" collapsed="false">
      <c r="A555" s="12"/>
      <c r="B555" s="34"/>
      <c r="C555" s="12"/>
      <c r="D555" s="12"/>
      <c r="E555" s="12"/>
      <c r="F555" s="12"/>
      <c r="G555" s="18"/>
      <c r="H555" s="35"/>
      <c r="I555" s="12"/>
      <c r="M555" s="12"/>
      <c r="N555" s="18"/>
      <c r="O555" s="12"/>
      <c r="P555" s="12"/>
      <c r="Q555" s="12"/>
      <c r="R555" s="36"/>
      <c r="S555" s="36"/>
      <c r="T555" s="12"/>
      <c r="U555" s="12"/>
      <c r="V555" s="12"/>
      <c r="W555" s="12"/>
      <c r="X555" s="12"/>
    </row>
    <row r="556" customFormat="false" ht="15.75" hidden="false" customHeight="false" outlineLevel="0" collapsed="false">
      <c r="A556" s="12"/>
      <c r="B556" s="34"/>
      <c r="C556" s="12"/>
      <c r="D556" s="12"/>
      <c r="E556" s="12"/>
      <c r="F556" s="12"/>
      <c r="G556" s="18"/>
      <c r="H556" s="35"/>
      <c r="I556" s="12"/>
      <c r="M556" s="12"/>
      <c r="N556" s="18"/>
      <c r="O556" s="12"/>
      <c r="P556" s="12"/>
      <c r="Q556" s="12"/>
      <c r="R556" s="36"/>
      <c r="S556" s="36"/>
      <c r="T556" s="12"/>
      <c r="U556" s="12"/>
      <c r="V556" s="12"/>
      <c r="W556" s="12"/>
      <c r="X556" s="12"/>
    </row>
    <row r="557" customFormat="false" ht="15.75" hidden="false" customHeight="false" outlineLevel="0" collapsed="false">
      <c r="A557" s="12"/>
      <c r="B557" s="34"/>
      <c r="C557" s="12"/>
      <c r="D557" s="12"/>
      <c r="E557" s="12"/>
      <c r="F557" s="12"/>
      <c r="G557" s="18"/>
      <c r="H557" s="35"/>
      <c r="I557" s="12"/>
      <c r="M557" s="12"/>
      <c r="N557" s="18"/>
      <c r="O557" s="12"/>
      <c r="P557" s="12"/>
      <c r="Q557" s="12"/>
      <c r="R557" s="36"/>
      <c r="S557" s="36"/>
      <c r="T557" s="12"/>
      <c r="U557" s="12"/>
      <c r="V557" s="12"/>
      <c r="W557" s="12"/>
      <c r="X557" s="12"/>
    </row>
    <row r="558" customFormat="false" ht="15.75" hidden="false" customHeight="false" outlineLevel="0" collapsed="false">
      <c r="A558" s="12"/>
      <c r="B558" s="34"/>
      <c r="C558" s="12"/>
      <c r="D558" s="12"/>
      <c r="E558" s="12"/>
      <c r="F558" s="12"/>
      <c r="G558" s="18"/>
      <c r="H558" s="35"/>
      <c r="I558" s="12"/>
      <c r="M558" s="12"/>
      <c r="N558" s="18"/>
      <c r="O558" s="12"/>
      <c r="P558" s="12"/>
      <c r="Q558" s="12"/>
      <c r="R558" s="36"/>
      <c r="S558" s="36"/>
      <c r="T558" s="12"/>
      <c r="U558" s="12"/>
      <c r="V558" s="12"/>
      <c r="W558" s="12"/>
      <c r="X558" s="12"/>
    </row>
    <row r="559" customFormat="false" ht="15.75" hidden="false" customHeight="false" outlineLevel="0" collapsed="false">
      <c r="A559" s="12"/>
      <c r="B559" s="34"/>
      <c r="C559" s="12"/>
      <c r="D559" s="12"/>
      <c r="E559" s="12"/>
      <c r="F559" s="12"/>
      <c r="G559" s="18"/>
      <c r="H559" s="35"/>
      <c r="I559" s="12"/>
      <c r="M559" s="12"/>
      <c r="N559" s="18"/>
      <c r="O559" s="12"/>
      <c r="P559" s="12"/>
      <c r="Q559" s="12"/>
      <c r="R559" s="36"/>
      <c r="S559" s="36"/>
      <c r="T559" s="12"/>
      <c r="U559" s="12"/>
      <c r="V559" s="12"/>
      <c r="W559" s="12"/>
      <c r="X559" s="12"/>
    </row>
    <row r="560" customFormat="false" ht="15.75" hidden="false" customHeight="false" outlineLevel="0" collapsed="false">
      <c r="A560" s="12"/>
      <c r="B560" s="34"/>
      <c r="C560" s="12"/>
      <c r="D560" s="12"/>
      <c r="E560" s="12"/>
      <c r="F560" s="12"/>
      <c r="G560" s="18"/>
      <c r="H560" s="35"/>
      <c r="I560" s="12"/>
      <c r="M560" s="12"/>
      <c r="N560" s="18"/>
      <c r="O560" s="12"/>
      <c r="P560" s="12"/>
      <c r="Q560" s="12"/>
      <c r="R560" s="36"/>
      <c r="S560" s="36"/>
      <c r="T560" s="12"/>
      <c r="U560" s="12"/>
      <c r="V560" s="12"/>
      <c r="W560" s="12"/>
      <c r="X560" s="12"/>
    </row>
    <row r="561" customFormat="false" ht="15.75" hidden="false" customHeight="false" outlineLevel="0" collapsed="false">
      <c r="A561" s="12"/>
      <c r="B561" s="34"/>
      <c r="C561" s="12"/>
      <c r="D561" s="12"/>
      <c r="E561" s="12"/>
      <c r="F561" s="12"/>
      <c r="G561" s="18"/>
      <c r="H561" s="35"/>
      <c r="I561" s="12"/>
      <c r="M561" s="12"/>
      <c r="N561" s="18"/>
      <c r="O561" s="12"/>
      <c r="P561" s="12"/>
      <c r="Q561" s="12"/>
      <c r="R561" s="36"/>
      <c r="S561" s="36"/>
      <c r="T561" s="12"/>
      <c r="U561" s="12"/>
      <c r="V561" s="12"/>
      <c r="W561" s="12"/>
      <c r="X561" s="12"/>
    </row>
    <row r="562" customFormat="false" ht="15.75" hidden="false" customHeight="false" outlineLevel="0" collapsed="false">
      <c r="A562" s="12"/>
      <c r="B562" s="34"/>
      <c r="C562" s="12"/>
      <c r="D562" s="12"/>
      <c r="E562" s="12"/>
      <c r="F562" s="12"/>
      <c r="G562" s="18"/>
      <c r="H562" s="35"/>
      <c r="I562" s="12"/>
      <c r="M562" s="12"/>
      <c r="N562" s="18"/>
      <c r="O562" s="12"/>
      <c r="P562" s="12"/>
      <c r="Q562" s="12"/>
      <c r="R562" s="36"/>
      <c r="S562" s="36"/>
      <c r="T562" s="12"/>
      <c r="U562" s="12"/>
      <c r="V562" s="12"/>
      <c r="W562" s="12"/>
      <c r="X562" s="12"/>
    </row>
    <row r="563" customFormat="false" ht="15.75" hidden="false" customHeight="false" outlineLevel="0" collapsed="false">
      <c r="A563" s="12"/>
      <c r="B563" s="34"/>
      <c r="C563" s="12"/>
      <c r="D563" s="12"/>
      <c r="E563" s="12"/>
      <c r="F563" s="12"/>
      <c r="G563" s="18"/>
      <c r="H563" s="35"/>
      <c r="I563" s="12"/>
      <c r="M563" s="12"/>
      <c r="N563" s="18"/>
      <c r="O563" s="12"/>
      <c r="P563" s="12"/>
      <c r="Q563" s="12"/>
      <c r="R563" s="36"/>
      <c r="S563" s="36"/>
      <c r="T563" s="12"/>
      <c r="U563" s="12"/>
      <c r="V563" s="12"/>
      <c r="W563" s="12"/>
      <c r="X563" s="12"/>
    </row>
    <row r="564" customFormat="false" ht="15.75" hidden="false" customHeight="false" outlineLevel="0" collapsed="false">
      <c r="A564" s="12"/>
      <c r="B564" s="34"/>
      <c r="C564" s="12"/>
      <c r="D564" s="12"/>
      <c r="E564" s="12"/>
      <c r="F564" s="12"/>
      <c r="G564" s="18"/>
      <c r="H564" s="35"/>
      <c r="I564" s="12"/>
      <c r="M564" s="12"/>
      <c r="N564" s="18"/>
      <c r="O564" s="12"/>
      <c r="P564" s="12"/>
      <c r="Q564" s="12"/>
      <c r="R564" s="36"/>
      <c r="S564" s="36"/>
      <c r="T564" s="12"/>
      <c r="U564" s="12"/>
      <c r="V564" s="12"/>
      <c r="W564" s="12"/>
      <c r="X564" s="12"/>
    </row>
    <row r="565" customFormat="false" ht="15.75" hidden="false" customHeight="false" outlineLevel="0" collapsed="false">
      <c r="A565" s="12"/>
      <c r="B565" s="34"/>
      <c r="C565" s="12"/>
      <c r="D565" s="12"/>
      <c r="E565" s="12"/>
      <c r="F565" s="12"/>
      <c r="G565" s="18"/>
      <c r="H565" s="35"/>
      <c r="I565" s="12"/>
      <c r="M565" s="12"/>
      <c r="N565" s="18"/>
      <c r="O565" s="12"/>
      <c r="P565" s="12"/>
      <c r="Q565" s="12"/>
      <c r="R565" s="36"/>
      <c r="S565" s="36"/>
      <c r="T565" s="12"/>
      <c r="U565" s="12"/>
      <c r="V565" s="12"/>
      <c r="W565" s="12"/>
      <c r="X565" s="12"/>
    </row>
    <row r="566" customFormat="false" ht="15.75" hidden="false" customHeight="false" outlineLevel="0" collapsed="false">
      <c r="A566" s="12"/>
      <c r="B566" s="34"/>
      <c r="C566" s="12"/>
      <c r="D566" s="12"/>
      <c r="E566" s="12"/>
      <c r="F566" s="12"/>
      <c r="G566" s="18"/>
      <c r="H566" s="35"/>
      <c r="I566" s="12"/>
      <c r="M566" s="12"/>
      <c r="N566" s="18"/>
      <c r="O566" s="12"/>
      <c r="P566" s="12"/>
      <c r="Q566" s="12"/>
      <c r="R566" s="36"/>
      <c r="S566" s="36"/>
      <c r="T566" s="12"/>
      <c r="U566" s="12"/>
      <c r="V566" s="12"/>
      <c r="W566" s="12"/>
      <c r="X566" s="12"/>
    </row>
    <row r="567" customFormat="false" ht="15.75" hidden="false" customHeight="false" outlineLevel="0" collapsed="false">
      <c r="A567" s="12"/>
      <c r="B567" s="34"/>
      <c r="C567" s="12"/>
      <c r="D567" s="12"/>
      <c r="E567" s="12"/>
      <c r="F567" s="12"/>
      <c r="G567" s="18"/>
      <c r="H567" s="35"/>
      <c r="I567" s="12"/>
      <c r="M567" s="12"/>
      <c r="N567" s="18"/>
      <c r="O567" s="12"/>
      <c r="P567" s="12"/>
      <c r="Q567" s="12"/>
      <c r="R567" s="36"/>
      <c r="S567" s="36"/>
      <c r="T567" s="12"/>
      <c r="U567" s="12"/>
      <c r="V567" s="12"/>
      <c r="W567" s="12"/>
      <c r="X567" s="12"/>
    </row>
    <row r="568" customFormat="false" ht="15.75" hidden="false" customHeight="false" outlineLevel="0" collapsed="false">
      <c r="A568" s="12"/>
      <c r="B568" s="34"/>
      <c r="C568" s="12"/>
      <c r="D568" s="12"/>
      <c r="E568" s="12"/>
      <c r="F568" s="12"/>
      <c r="G568" s="18"/>
      <c r="H568" s="35"/>
      <c r="I568" s="12"/>
      <c r="M568" s="12"/>
      <c r="N568" s="18"/>
      <c r="O568" s="12"/>
      <c r="P568" s="12"/>
      <c r="Q568" s="12"/>
      <c r="R568" s="36"/>
      <c r="S568" s="36"/>
      <c r="T568" s="12"/>
      <c r="U568" s="12"/>
      <c r="V568" s="12"/>
      <c r="W568" s="12"/>
      <c r="X568" s="12"/>
    </row>
    <row r="569" customFormat="false" ht="15.75" hidden="false" customHeight="false" outlineLevel="0" collapsed="false">
      <c r="A569" s="12"/>
      <c r="B569" s="34"/>
      <c r="C569" s="12"/>
      <c r="D569" s="12"/>
      <c r="E569" s="12"/>
      <c r="F569" s="12"/>
      <c r="G569" s="18"/>
      <c r="H569" s="35"/>
      <c r="I569" s="12"/>
      <c r="M569" s="12"/>
      <c r="N569" s="18"/>
      <c r="O569" s="12"/>
      <c r="P569" s="12"/>
      <c r="Q569" s="12"/>
      <c r="R569" s="36"/>
      <c r="S569" s="36"/>
      <c r="T569" s="12"/>
      <c r="U569" s="12"/>
      <c r="V569" s="12"/>
      <c r="W569" s="12"/>
      <c r="X569" s="12"/>
    </row>
    <row r="570" customFormat="false" ht="15.75" hidden="false" customHeight="false" outlineLevel="0" collapsed="false">
      <c r="A570" s="12"/>
      <c r="B570" s="34"/>
      <c r="C570" s="12"/>
      <c r="D570" s="12"/>
      <c r="E570" s="12"/>
      <c r="F570" s="12"/>
      <c r="G570" s="18"/>
      <c r="H570" s="35"/>
      <c r="I570" s="12"/>
      <c r="M570" s="12"/>
      <c r="N570" s="18"/>
      <c r="O570" s="12"/>
      <c r="P570" s="12"/>
      <c r="Q570" s="12"/>
      <c r="R570" s="36"/>
      <c r="S570" s="36"/>
      <c r="T570" s="12"/>
      <c r="U570" s="12"/>
      <c r="V570" s="12"/>
      <c r="W570" s="12"/>
      <c r="X570" s="12"/>
    </row>
    <row r="571" customFormat="false" ht="15.75" hidden="false" customHeight="false" outlineLevel="0" collapsed="false">
      <c r="A571" s="12"/>
      <c r="B571" s="34"/>
      <c r="C571" s="12"/>
      <c r="D571" s="12"/>
      <c r="E571" s="12"/>
      <c r="F571" s="12"/>
      <c r="G571" s="18"/>
      <c r="H571" s="35"/>
      <c r="I571" s="12"/>
      <c r="M571" s="12"/>
      <c r="N571" s="18"/>
      <c r="O571" s="12"/>
      <c r="P571" s="12"/>
      <c r="Q571" s="12"/>
      <c r="R571" s="36"/>
      <c r="S571" s="36"/>
      <c r="T571" s="12"/>
      <c r="U571" s="12"/>
      <c r="V571" s="12"/>
      <c r="W571" s="12"/>
      <c r="X571" s="12"/>
    </row>
    <row r="572" customFormat="false" ht="15.75" hidden="false" customHeight="false" outlineLevel="0" collapsed="false">
      <c r="A572" s="12"/>
      <c r="B572" s="34"/>
      <c r="C572" s="12"/>
      <c r="D572" s="12"/>
      <c r="E572" s="12"/>
      <c r="F572" s="12"/>
      <c r="G572" s="18"/>
      <c r="H572" s="35"/>
      <c r="I572" s="12"/>
      <c r="M572" s="12"/>
      <c r="N572" s="18"/>
      <c r="O572" s="12"/>
      <c r="P572" s="12"/>
      <c r="Q572" s="12"/>
      <c r="R572" s="36"/>
      <c r="S572" s="36"/>
      <c r="T572" s="12"/>
      <c r="U572" s="12"/>
      <c r="V572" s="12"/>
      <c r="W572" s="12"/>
      <c r="X572" s="12"/>
    </row>
    <row r="573" customFormat="false" ht="15.75" hidden="false" customHeight="false" outlineLevel="0" collapsed="false">
      <c r="A573" s="12"/>
      <c r="B573" s="34"/>
      <c r="C573" s="12"/>
      <c r="D573" s="12"/>
      <c r="E573" s="12"/>
      <c r="F573" s="12"/>
      <c r="G573" s="18"/>
      <c r="H573" s="35"/>
      <c r="I573" s="12"/>
      <c r="M573" s="12"/>
      <c r="N573" s="18"/>
      <c r="O573" s="12"/>
      <c r="P573" s="12"/>
      <c r="Q573" s="12"/>
      <c r="R573" s="36"/>
      <c r="S573" s="36"/>
      <c r="T573" s="12"/>
      <c r="U573" s="12"/>
      <c r="V573" s="12"/>
      <c r="W573" s="12"/>
      <c r="X573" s="12"/>
    </row>
    <row r="574" customFormat="false" ht="15.75" hidden="false" customHeight="false" outlineLevel="0" collapsed="false">
      <c r="A574" s="12"/>
      <c r="B574" s="34"/>
      <c r="C574" s="12"/>
      <c r="D574" s="12"/>
      <c r="E574" s="12"/>
      <c r="F574" s="12"/>
      <c r="G574" s="18"/>
      <c r="H574" s="35"/>
      <c r="I574" s="12"/>
      <c r="M574" s="12"/>
      <c r="N574" s="18"/>
      <c r="O574" s="12"/>
      <c r="P574" s="12"/>
      <c r="Q574" s="12"/>
      <c r="R574" s="36"/>
      <c r="S574" s="36"/>
      <c r="T574" s="12"/>
      <c r="U574" s="12"/>
      <c r="V574" s="12"/>
      <c r="W574" s="12"/>
      <c r="X574" s="12"/>
    </row>
    <row r="575" customFormat="false" ht="15.75" hidden="false" customHeight="false" outlineLevel="0" collapsed="false">
      <c r="A575" s="12"/>
      <c r="B575" s="34"/>
      <c r="C575" s="12"/>
      <c r="D575" s="12"/>
      <c r="E575" s="12"/>
      <c r="F575" s="12"/>
      <c r="G575" s="18"/>
      <c r="H575" s="35"/>
      <c r="I575" s="12"/>
      <c r="M575" s="12"/>
      <c r="N575" s="18"/>
      <c r="O575" s="12"/>
      <c r="P575" s="12"/>
      <c r="Q575" s="12"/>
      <c r="R575" s="36"/>
      <c r="S575" s="36"/>
      <c r="T575" s="12"/>
      <c r="U575" s="12"/>
      <c r="V575" s="12"/>
      <c r="W575" s="12"/>
      <c r="X575" s="12"/>
    </row>
    <row r="576" customFormat="false" ht="15.75" hidden="false" customHeight="false" outlineLevel="0" collapsed="false">
      <c r="A576" s="12"/>
      <c r="B576" s="34"/>
      <c r="C576" s="12"/>
      <c r="D576" s="12"/>
      <c r="E576" s="12"/>
      <c r="F576" s="12"/>
      <c r="G576" s="18"/>
      <c r="H576" s="35"/>
      <c r="I576" s="12"/>
      <c r="M576" s="12"/>
      <c r="N576" s="18"/>
      <c r="O576" s="12"/>
      <c r="P576" s="12"/>
      <c r="Q576" s="12"/>
      <c r="R576" s="36"/>
      <c r="S576" s="36"/>
      <c r="T576" s="12"/>
      <c r="U576" s="12"/>
      <c r="V576" s="12"/>
      <c r="W576" s="12"/>
      <c r="X576" s="12"/>
    </row>
    <row r="577" customFormat="false" ht="15.75" hidden="false" customHeight="false" outlineLevel="0" collapsed="false">
      <c r="A577" s="12"/>
      <c r="B577" s="34"/>
      <c r="C577" s="12"/>
      <c r="D577" s="12"/>
      <c r="E577" s="12"/>
      <c r="F577" s="12"/>
      <c r="G577" s="18"/>
      <c r="H577" s="35"/>
      <c r="I577" s="12"/>
      <c r="M577" s="12"/>
      <c r="N577" s="18"/>
      <c r="O577" s="12"/>
      <c r="P577" s="12"/>
      <c r="Q577" s="12"/>
      <c r="R577" s="36"/>
      <c r="S577" s="36"/>
      <c r="T577" s="12"/>
      <c r="U577" s="12"/>
      <c r="V577" s="12"/>
      <c r="W577" s="12"/>
      <c r="X577" s="12"/>
    </row>
    <row r="578" customFormat="false" ht="15.75" hidden="false" customHeight="false" outlineLevel="0" collapsed="false">
      <c r="A578" s="12"/>
      <c r="B578" s="34"/>
      <c r="C578" s="12"/>
      <c r="D578" s="12"/>
      <c r="E578" s="12"/>
      <c r="F578" s="12"/>
      <c r="G578" s="18"/>
      <c r="H578" s="35"/>
      <c r="I578" s="12"/>
      <c r="M578" s="12"/>
      <c r="N578" s="18"/>
      <c r="O578" s="12"/>
      <c r="P578" s="12"/>
      <c r="Q578" s="12"/>
      <c r="R578" s="36"/>
      <c r="S578" s="36"/>
      <c r="T578" s="12"/>
      <c r="U578" s="12"/>
      <c r="V578" s="12"/>
      <c r="W578" s="12"/>
      <c r="X578" s="12"/>
    </row>
    <row r="579" customFormat="false" ht="15.75" hidden="false" customHeight="false" outlineLevel="0" collapsed="false">
      <c r="A579" s="12"/>
      <c r="B579" s="34"/>
      <c r="C579" s="12"/>
      <c r="D579" s="12"/>
      <c r="E579" s="12"/>
      <c r="F579" s="12"/>
      <c r="G579" s="18"/>
      <c r="H579" s="35"/>
      <c r="I579" s="12"/>
      <c r="M579" s="12"/>
      <c r="N579" s="18"/>
      <c r="O579" s="12"/>
      <c r="P579" s="12"/>
      <c r="Q579" s="12"/>
      <c r="R579" s="36"/>
      <c r="S579" s="36"/>
      <c r="T579" s="12"/>
      <c r="U579" s="12"/>
      <c r="V579" s="12"/>
      <c r="W579" s="12"/>
      <c r="X579" s="12"/>
    </row>
    <row r="580" customFormat="false" ht="15.75" hidden="false" customHeight="false" outlineLevel="0" collapsed="false">
      <c r="A580" s="12"/>
      <c r="B580" s="34"/>
      <c r="C580" s="12"/>
      <c r="D580" s="12"/>
      <c r="E580" s="12"/>
      <c r="F580" s="12"/>
      <c r="G580" s="18"/>
      <c r="H580" s="35"/>
      <c r="I580" s="12"/>
      <c r="M580" s="12"/>
      <c r="N580" s="18"/>
      <c r="O580" s="12"/>
      <c r="P580" s="12"/>
      <c r="Q580" s="12"/>
      <c r="R580" s="36"/>
      <c r="S580" s="36"/>
      <c r="T580" s="12"/>
      <c r="U580" s="12"/>
      <c r="V580" s="12"/>
      <c r="W580" s="12"/>
      <c r="X580" s="12"/>
    </row>
    <row r="581" customFormat="false" ht="15.75" hidden="false" customHeight="false" outlineLevel="0" collapsed="false">
      <c r="A581" s="12"/>
      <c r="B581" s="34"/>
      <c r="C581" s="12"/>
      <c r="D581" s="12"/>
      <c r="E581" s="12"/>
      <c r="F581" s="12"/>
      <c r="G581" s="18"/>
      <c r="H581" s="35"/>
      <c r="I581" s="12"/>
      <c r="M581" s="12"/>
      <c r="N581" s="18"/>
      <c r="O581" s="12"/>
      <c r="P581" s="12"/>
      <c r="Q581" s="12"/>
      <c r="R581" s="36"/>
      <c r="S581" s="36"/>
      <c r="T581" s="12"/>
      <c r="U581" s="12"/>
      <c r="V581" s="12"/>
      <c r="W581" s="12"/>
      <c r="X581" s="12"/>
    </row>
    <row r="582" customFormat="false" ht="15.75" hidden="false" customHeight="false" outlineLevel="0" collapsed="false">
      <c r="A582" s="12"/>
      <c r="B582" s="34"/>
      <c r="C582" s="12"/>
      <c r="D582" s="12"/>
      <c r="E582" s="12"/>
      <c r="F582" s="12"/>
      <c r="G582" s="18"/>
      <c r="H582" s="35"/>
      <c r="I582" s="12"/>
      <c r="M582" s="12"/>
      <c r="N582" s="18"/>
      <c r="O582" s="12"/>
      <c r="P582" s="12"/>
      <c r="Q582" s="12"/>
      <c r="R582" s="36"/>
      <c r="S582" s="36"/>
      <c r="T582" s="12"/>
      <c r="U582" s="12"/>
      <c r="V582" s="12"/>
      <c r="W582" s="12"/>
      <c r="X582" s="12"/>
    </row>
    <row r="583" customFormat="false" ht="15.75" hidden="false" customHeight="false" outlineLevel="0" collapsed="false">
      <c r="A583" s="12"/>
      <c r="B583" s="34"/>
      <c r="C583" s="12"/>
      <c r="D583" s="12"/>
      <c r="E583" s="12"/>
      <c r="F583" s="12"/>
      <c r="G583" s="18"/>
      <c r="H583" s="35"/>
      <c r="I583" s="12"/>
      <c r="M583" s="12"/>
      <c r="N583" s="18"/>
      <c r="O583" s="12"/>
      <c r="P583" s="12"/>
      <c r="Q583" s="12"/>
      <c r="R583" s="36"/>
      <c r="S583" s="36"/>
      <c r="T583" s="12"/>
      <c r="U583" s="12"/>
      <c r="V583" s="12"/>
      <c r="W583" s="12"/>
      <c r="X583" s="12"/>
    </row>
    <row r="584" customFormat="false" ht="15.75" hidden="false" customHeight="false" outlineLevel="0" collapsed="false">
      <c r="A584" s="12"/>
      <c r="B584" s="34"/>
      <c r="C584" s="12"/>
      <c r="D584" s="12"/>
      <c r="E584" s="12"/>
      <c r="F584" s="12"/>
      <c r="G584" s="18"/>
      <c r="H584" s="35"/>
      <c r="I584" s="12"/>
      <c r="M584" s="12"/>
      <c r="N584" s="18"/>
      <c r="O584" s="12"/>
      <c r="P584" s="12"/>
      <c r="Q584" s="12"/>
      <c r="R584" s="36"/>
      <c r="S584" s="36"/>
      <c r="T584" s="12"/>
      <c r="U584" s="12"/>
      <c r="V584" s="12"/>
      <c r="W584" s="12"/>
      <c r="X584" s="12"/>
    </row>
    <row r="585" customFormat="false" ht="15.75" hidden="false" customHeight="false" outlineLevel="0" collapsed="false">
      <c r="A585" s="12"/>
      <c r="B585" s="34"/>
      <c r="C585" s="12"/>
      <c r="D585" s="12"/>
      <c r="E585" s="12"/>
      <c r="F585" s="12"/>
      <c r="G585" s="18"/>
      <c r="H585" s="35"/>
      <c r="I585" s="12"/>
      <c r="M585" s="12"/>
      <c r="N585" s="18"/>
      <c r="O585" s="12"/>
      <c r="P585" s="12"/>
      <c r="Q585" s="12"/>
      <c r="R585" s="36"/>
      <c r="S585" s="36"/>
      <c r="T585" s="12"/>
      <c r="U585" s="12"/>
      <c r="V585" s="12"/>
      <c r="W585" s="12"/>
      <c r="X585" s="12"/>
    </row>
    <row r="586" customFormat="false" ht="15.75" hidden="false" customHeight="false" outlineLevel="0" collapsed="false">
      <c r="A586" s="12"/>
      <c r="B586" s="34"/>
      <c r="C586" s="12"/>
      <c r="D586" s="12"/>
      <c r="E586" s="12"/>
      <c r="F586" s="12"/>
      <c r="G586" s="18"/>
      <c r="H586" s="35"/>
      <c r="I586" s="12"/>
      <c r="M586" s="12"/>
      <c r="N586" s="18"/>
      <c r="O586" s="12"/>
      <c r="P586" s="12"/>
      <c r="Q586" s="12"/>
      <c r="R586" s="36"/>
      <c r="S586" s="36"/>
      <c r="T586" s="12"/>
      <c r="U586" s="12"/>
      <c r="V586" s="12"/>
      <c r="W586" s="12"/>
      <c r="X586" s="12"/>
    </row>
    <row r="587" customFormat="false" ht="15.75" hidden="false" customHeight="false" outlineLevel="0" collapsed="false">
      <c r="A587" s="12"/>
      <c r="B587" s="34"/>
      <c r="C587" s="12"/>
      <c r="D587" s="12"/>
      <c r="E587" s="12"/>
      <c r="F587" s="12"/>
      <c r="G587" s="18"/>
      <c r="H587" s="35"/>
      <c r="I587" s="12"/>
      <c r="M587" s="12"/>
      <c r="N587" s="18"/>
      <c r="O587" s="12"/>
      <c r="P587" s="12"/>
      <c r="Q587" s="12"/>
      <c r="R587" s="36"/>
      <c r="S587" s="36"/>
      <c r="T587" s="12"/>
      <c r="U587" s="12"/>
      <c r="V587" s="12"/>
      <c r="W587" s="12"/>
      <c r="X587" s="12"/>
    </row>
    <row r="588" customFormat="false" ht="15.75" hidden="false" customHeight="false" outlineLevel="0" collapsed="false">
      <c r="A588" s="12"/>
      <c r="B588" s="34"/>
      <c r="C588" s="12"/>
      <c r="D588" s="12"/>
      <c r="E588" s="12"/>
      <c r="F588" s="12"/>
      <c r="G588" s="18"/>
      <c r="H588" s="35"/>
      <c r="I588" s="12"/>
      <c r="M588" s="12"/>
      <c r="N588" s="18"/>
      <c r="O588" s="12"/>
      <c r="P588" s="12"/>
      <c r="Q588" s="12"/>
      <c r="R588" s="36"/>
      <c r="S588" s="36"/>
      <c r="T588" s="12"/>
      <c r="U588" s="12"/>
      <c r="V588" s="12"/>
      <c r="W588" s="12"/>
      <c r="X588" s="12"/>
    </row>
    <row r="589" customFormat="false" ht="15.75" hidden="false" customHeight="false" outlineLevel="0" collapsed="false">
      <c r="A589" s="12"/>
      <c r="B589" s="34"/>
      <c r="C589" s="12"/>
      <c r="D589" s="12"/>
      <c r="E589" s="12"/>
      <c r="F589" s="12"/>
      <c r="G589" s="18"/>
      <c r="H589" s="35"/>
      <c r="I589" s="12"/>
      <c r="M589" s="12"/>
      <c r="N589" s="18"/>
      <c r="O589" s="12"/>
      <c r="P589" s="12"/>
      <c r="Q589" s="12"/>
      <c r="R589" s="36"/>
      <c r="S589" s="36"/>
      <c r="T589" s="12"/>
      <c r="U589" s="12"/>
      <c r="V589" s="12"/>
      <c r="W589" s="12"/>
      <c r="X589" s="12"/>
    </row>
    <row r="590" customFormat="false" ht="15.75" hidden="false" customHeight="false" outlineLevel="0" collapsed="false">
      <c r="A590" s="12"/>
      <c r="B590" s="34"/>
      <c r="C590" s="12"/>
      <c r="D590" s="12"/>
      <c r="E590" s="12"/>
      <c r="F590" s="12"/>
      <c r="G590" s="18"/>
      <c r="H590" s="35"/>
      <c r="I590" s="12"/>
      <c r="M590" s="12"/>
      <c r="N590" s="18"/>
      <c r="O590" s="12"/>
      <c r="P590" s="12"/>
      <c r="Q590" s="12"/>
      <c r="R590" s="36"/>
      <c r="S590" s="36"/>
      <c r="T590" s="12"/>
      <c r="U590" s="12"/>
      <c r="V590" s="12"/>
      <c r="W590" s="12"/>
      <c r="X590" s="12"/>
    </row>
    <row r="591" customFormat="false" ht="15.75" hidden="false" customHeight="false" outlineLevel="0" collapsed="false">
      <c r="A591" s="12"/>
      <c r="B591" s="34"/>
      <c r="C591" s="12"/>
      <c r="D591" s="12"/>
      <c r="E591" s="12"/>
      <c r="F591" s="12"/>
      <c r="G591" s="18"/>
      <c r="H591" s="35"/>
      <c r="I591" s="12"/>
      <c r="M591" s="12"/>
      <c r="N591" s="18"/>
      <c r="O591" s="12"/>
      <c r="P591" s="12"/>
      <c r="Q591" s="12"/>
      <c r="R591" s="36"/>
      <c r="S591" s="36"/>
      <c r="T591" s="12"/>
      <c r="U591" s="12"/>
      <c r="V591" s="12"/>
      <c r="W591" s="12"/>
      <c r="X591" s="12"/>
    </row>
    <row r="592" customFormat="false" ht="15.75" hidden="false" customHeight="false" outlineLevel="0" collapsed="false">
      <c r="A592" s="12"/>
      <c r="B592" s="34"/>
      <c r="C592" s="12"/>
      <c r="D592" s="12"/>
      <c r="E592" s="12"/>
      <c r="F592" s="12"/>
      <c r="G592" s="18"/>
      <c r="H592" s="35"/>
      <c r="I592" s="12"/>
      <c r="M592" s="12"/>
      <c r="N592" s="18"/>
      <c r="O592" s="12"/>
      <c r="P592" s="12"/>
      <c r="Q592" s="12"/>
      <c r="R592" s="36"/>
      <c r="S592" s="36"/>
      <c r="T592" s="12"/>
      <c r="U592" s="12"/>
      <c r="V592" s="12"/>
      <c r="W592" s="12"/>
      <c r="X592" s="12"/>
    </row>
    <row r="593" customFormat="false" ht="15.75" hidden="false" customHeight="false" outlineLevel="0" collapsed="false">
      <c r="A593" s="12"/>
      <c r="B593" s="34"/>
      <c r="C593" s="12"/>
      <c r="D593" s="12"/>
      <c r="E593" s="12"/>
      <c r="F593" s="12"/>
      <c r="G593" s="18"/>
      <c r="H593" s="35"/>
      <c r="I593" s="12"/>
      <c r="M593" s="12"/>
      <c r="N593" s="18"/>
      <c r="O593" s="12"/>
      <c r="P593" s="12"/>
      <c r="Q593" s="12"/>
      <c r="R593" s="36"/>
      <c r="S593" s="36"/>
      <c r="T593" s="12"/>
      <c r="U593" s="12"/>
      <c r="V593" s="12"/>
      <c r="W593" s="12"/>
      <c r="X593" s="12"/>
    </row>
    <row r="594" customFormat="false" ht="15.75" hidden="false" customHeight="false" outlineLevel="0" collapsed="false">
      <c r="A594" s="12"/>
      <c r="B594" s="34"/>
      <c r="C594" s="12"/>
      <c r="D594" s="12"/>
      <c r="E594" s="12"/>
      <c r="F594" s="12"/>
      <c r="G594" s="18"/>
      <c r="H594" s="35"/>
      <c r="I594" s="12"/>
      <c r="M594" s="12"/>
      <c r="N594" s="18"/>
      <c r="O594" s="12"/>
      <c r="P594" s="12"/>
      <c r="Q594" s="12"/>
      <c r="R594" s="36"/>
      <c r="S594" s="36"/>
      <c r="T594" s="12"/>
      <c r="U594" s="12"/>
      <c r="V594" s="12"/>
      <c r="W594" s="12"/>
      <c r="X594" s="12"/>
    </row>
    <row r="595" customFormat="false" ht="15.75" hidden="false" customHeight="false" outlineLevel="0" collapsed="false">
      <c r="A595" s="12"/>
      <c r="B595" s="34"/>
      <c r="C595" s="12"/>
      <c r="D595" s="12"/>
      <c r="E595" s="12"/>
      <c r="F595" s="12"/>
      <c r="G595" s="18"/>
      <c r="H595" s="35"/>
      <c r="I595" s="12"/>
      <c r="M595" s="12"/>
      <c r="N595" s="18"/>
      <c r="O595" s="12"/>
      <c r="P595" s="12"/>
      <c r="Q595" s="12"/>
      <c r="R595" s="36"/>
      <c r="S595" s="36"/>
      <c r="T595" s="12"/>
      <c r="U595" s="12"/>
      <c r="V595" s="12"/>
      <c r="W595" s="12"/>
      <c r="X595" s="12"/>
    </row>
    <row r="596" customFormat="false" ht="15.75" hidden="false" customHeight="false" outlineLevel="0" collapsed="false">
      <c r="A596" s="12"/>
      <c r="B596" s="34"/>
      <c r="C596" s="12"/>
      <c r="D596" s="12"/>
      <c r="E596" s="12"/>
      <c r="F596" s="12"/>
      <c r="G596" s="18"/>
      <c r="H596" s="35"/>
      <c r="I596" s="12"/>
      <c r="M596" s="12"/>
      <c r="N596" s="18"/>
      <c r="O596" s="12"/>
      <c r="P596" s="12"/>
      <c r="Q596" s="12"/>
      <c r="R596" s="36"/>
      <c r="S596" s="36"/>
      <c r="T596" s="12"/>
      <c r="U596" s="12"/>
      <c r="V596" s="12"/>
      <c r="W596" s="12"/>
      <c r="X596" s="12"/>
    </row>
    <row r="597" customFormat="false" ht="15.75" hidden="false" customHeight="false" outlineLevel="0" collapsed="false">
      <c r="A597" s="12"/>
      <c r="B597" s="34"/>
      <c r="C597" s="12"/>
      <c r="D597" s="12"/>
      <c r="E597" s="12"/>
      <c r="F597" s="12"/>
      <c r="G597" s="18"/>
      <c r="H597" s="35"/>
      <c r="I597" s="12"/>
      <c r="M597" s="12"/>
      <c r="N597" s="18"/>
      <c r="O597" s="12"/>
      <c r="P597" s="12"/>
      <c r="Q597" s="12"/>
      <c r="R597" s="36"/>
      <c r="S597" s="36"/>
      <c r="T597" s="12"/>
      <c r="U597" s="12"/>
      <c r="V597" s="12"/>
      <c r="W597" s="12"/>
      <c r="X597" s="12"/>
    </row>
    <row r="598" customFormat="false" ht="15.75" hidden="false" customHeight="false" outlineLevel="0" collapsed="false">
      <c r="A598" s="12"/>
      <c r="B598" s="34"/>
      <c r="C598" s="12"/>
      <c r="D598" s="12"/>
      <c r="E598" s="12"/>
      <c r="F598" s="12"/>
      <c r="G598" s="18"/>
      <c r="H598" s="35"/>
      <c r="I598" s="12"/>
      <c r="M598" s="12"/>
      <c r="N598" s="18"/>
      <c r="O598" s="12"/>
      <c r="P598" s="12"/>
      <c r="Q598" s="12"/>
      <c r="R598" s="36"/>
      <c r="S598" s="36"/>
      <c r="T598" s="12"/>
      <c r="U598" s="12"/>
      <c r="V598" s="12"/>
      <c r="W598" s="12"/>
      <c r="X598" s="12"/>
    </row>
    <row r="599" customFormat="false" ht="15.75" hidden="false" customHeight="false" outlineLevel="0" collapsed="false">
      <c r="A599" s="12"/>
      <c r="B599" s="34"/>
      <c r="C599" s="12"/>
      <c r="D599" s="12"/>
      <c r="E599" s="12"/>
      <c r="F599" s="12"/>
      <c r="G599" s="18"/>
      <c r="H599" s="35"/>
      <c r="I599" s="12"/>
      <c r="M599" s="12"/>
      <c r="N599" s="18"/>
      <c r="O599" s="12"/>
      <c r="P599" s="12"/>
      <c r="Q599" s="12"/>
      <c r="R599" s="36"/>
      <c r="S599" s="36"/>
      <c r="T599" s="12"/>
      <c r="U599" s="12"/>
      <c r="V599" s="12"/>
      <c r="W599" s="12"/>
      <c r="X599" s="12"/>
    </row>
    <row r="600" customFormat="false" ht="15.75" hidden="false" customHeight="false" outlineLevel="0" collapsed="false">
      <c r="A600" s="12"/>
      <c r="B600" s="34"/>
      <c r="C600" s="12"/>
      <c r="D600" s="12"/>
      <c r="E600" s="12"/>
      <c r="F600" s="12"/>
      <c r="G600" s="18"/>
      <c r="H600" s="35"/>
      <c r="I600" s="12"/>
      <c r="M600" s="12"/>
      <c r="N600" s="18"/>
      <c r="O600" s="12"/>
      <c r="P600" s="12"/>
      <c r="Q600" s="12"/>
      <c r="R600" s="36"/>
      <c r="S600" s="36"/>
      <c r="T600" s="12"/>
      <c r="U600" s="12"/>
      <c r="V600" s="12"/>
      <c r="W600" s="12"/>
      <c r="X600" s="12"/>
    </row>
    <row r="601" customFormat="false" ht="15.75" hidden="false" customHeight="false" outlineLevel="0" collapsed="false">
      <c r="A601" s="12"/>
      <c r="B601" s="34"/>
      <c r="C601" s="12"/>
      <c r="D601" s="12"/>
      <c r="E601" s="12"/>
      <c r="F601" s="12"/>
      <c r="G601" s="18"/>
      <c r="H601" s="35"/>
      <c r="I601" s="12"/>
      <c r="M601" s="12"/>
      <c r="N601" s="18"/>
      <c r="O601" s="12"/>
      <c r="P601" s="12"/>
      <c r="Q601" s="12"/>
      <c r="R601" s="36"/>
      <c r="S601" s="36"/>
      <c r="T601" s="12"/>
      <c r="U601" s="12"/>
      <c r="V601" s="12"/>
      <c r="W601" s="12"/>
      <c r="X601" s="12"/>
    </row>
    <row r="602" customFormat="false" ht="15.75" hidden="false" customHeight="false" outlineLevel="0" collapsed="false">
      <c r="A602" s="12"/>
      <c r="B602" s="34"/>
      <c r="C602" s="12"/>
      <c r="D602" s="12"/>
      <c r="E602" s="12"/>
      <c r="F602" s="12"/>
      <c r="G602" s="18"/>
      <c r="H602" s="35"/>
      <c r="I602" s="12"/>
      <c r="M602" s="12"/>
      <c r="N602" s="18"/>
      <c r="O602" s="12"/>
      <c r="P602" s="12"/>
      <c r="Q602" s="12"/>
      <c r="R602" s="36"/>
      <c r="S602" s="36"/>
      <c r="T602" s="12"/>
      <c r="U602" s="12"/>
      <c r="V602" s="12"/>
      <c r="W602" s="12"/>
      <c r="X602" s="12"/>
    </row>
    <row r="603" customFormat="false" ht="15.75" hidden="false" customHeight="false" outlineLevel="0" collapsed="false">
      <c r="A603" s="12"/>
      <c r="B603" s="34"/>
      <c r="C603" s="12"/>
      <c r="D603" s="12"/>
      <c r="E603" s="12"/>
      <c r="F603" s="12"/>
      <c r="G603" s="18"/>
      <c r="H603" s="35"/>
      <c r="I603" s="12"/>
      <c r="M603" s="12"/>
      <c r="N603" s="18"/>
      <c r="O603" s="12"/>
      <c r="P603" s="12"/>
      <c r="Q603" s="12"/>
      <c r="R603" s="36"/>
      <c r="S603" s="36"/>
      <c r="T603" s="12"/>
      <c r="U603" s="12"/>
      <c r="V603" s="12"/>
      <c r="W603" s="12"/>
      <c r="X603" s="12"/>
    </row>
    <row r="604" customFormat="false" ht="15.75" hidden="false" customHeight="false" outlineLevel="0" collapsed="false">
      <c r="A604" s="12"/>
      <c r="B604" s="34"/>
      <c r="C604" s="12"/>
      <c r="D604" s="12"/>
      <c r="E604" s="12"/>
      <c r="F604" s="12"/>
      <c r="G604" s="18"/>
      <c r="H604" s="35"/>
      <c r="I604" s="12"/>
      <c r="M604" s="12"/>
      <c r="N604" s="18"/>
      <c r="O604" s="12"/>
      <c r="P604" s="12"/>
      <c r="Q604" s="12"/>
      <c r="R604" s="36"/>
      <c r="S604" s="36"/>
      <c r="T604" s="12"/>
      <c r="U604" s="12"/>
      <c r="V604" s="12"/>
      <c r="W604" s="12"/>
      <c r="X604" s="12"/>
    </row>
    <row r="605" customFormat="false" ht="15.75" hidden="false" customHeight="false" outlineLevel="0" collapsed="false">
      <c r="A605" s="12"/>
      <c r="B605" s="34"/>
      <c r="C605" s="12"/>
      <c r="D605" s="12"/>
      <c r="E605" s="12"/>
      <c r="F605" s="12"/>
      <c r="G605" s="18"/>
      <c r="H605" s="35"/>
      <c r="I605" s="12"/>
      <c r="M605" s="12"/>
      <c r="N605" s="18"/>
      <c r="O605" s="12"/>
      <c r="P605" s="12"/>
      <c r="Q605" s="12"/>
      <c r="R605" s="36"/>
      <c r="S605" s="36"/>
      <c r="T605" s="12"/>
      <c r="U605" s="12"/>
      <c r="V605" s="12"/>
      <c r="W605" s="12"/>
      <c r="X605" s="12"/>
    </row>
    <row r="606" customFormat="false" ht="15.75" hidden="false" customHeight="false" outlineLevel="0" collapsed="false">
      <c r="A606" s="12"/>
      <c r="B606" s="34"/>
      <c r="C606" s="12"/>
      <c r="D606" s="12"/>
      <c r="E606" s="12"/>
      <c r="F606" s="12"/>
      <c r="G606" s="18"/>
      <c r="H606" s="35"/>
      <c r="I606" s="12"/>
      <c r="M606" s="12"/>
      <c r="N606" s="18"/>
      <c r="O606" s="12"/>
      <c r="P606" s="12"/>
      <c r="Q606" s="12"/>
      <c r="R606" s="36"/>
      <c r="S606" s="36"/>
      <c r="T606" s="12"/>
      <c r="U606" s="12"/>
      <c r="V606" s="12"/>
      <c r="W606" s="12"/>
      <c r="X606" s="12"/>
    </row>
    <row r="607" customFormat="false" ht="15.75" hidden="false" customHeight="false" outlineLevel="0" collapsed="false">
      <c r="A607" s="12"/>
      <c r="B607" s="34"/>
      <c r="C607" s="12"/>
      <c r="D607" s="12"/>
      <c r="E607" s="12"/>
      <c r="F607" s="12"/>
      <c r="G607" s="18"/>
      <c r="H607" s="35"/>
      <c r="I607" s="12"/>
      <c r="M607" s="12"/>
      <c r="N607" s="18"/>
      <c r="O607" s="12"/>
      <c r="P607" s="12"/>
      <c r="Q607" s="12"/>
      <c r="R607" s="36"/>
      <c r="S607" s="36"/>
      <c r="T607" s="12"/>
      <c r="U607" s="12"/>
      <c r="V607" s="12"/>
      <c r="W607" s="12"/>
      <c r="X607" s="12"/>
    </row>
    <row r="608" customFormat="false" ht="15.75" hidden="false" customHeight="false" outlineLevel="0" collapsed="false">
      <c r="A608" s="12"/>
      <c r="B608" s="34"/>
      <c r="C608" s="12"/>
      <c r="D608" s="12"/>
      <c r="E608" s="12"/>
      <c r="F608" s="12"/>
      <c r="G608" s="18"/>
      <c r="H608" s="35"/>
      <c r="I608" s="12"/>
      <c r="M608" s="12"/>
      <c r="N608" s="18"/>
      <c r="O608" s="12"/>
      <c r="P608" s="12"/>
      <c r="Q608" s="12"/>
      <c r="R608" s="36"/>
      <c r="S608" s="36"/>
      <c r="T608" s="12"/>
      <c r="U608" s="12"/>
      <c r="V608" s="12"/>
      <c r="W608" s="12"/>
      <c r="X608" s="12"/>
    </row>
    <row r="609" customFormat="false" ht="15.75" hidden="false" customHeight="false" outlineLevel="0" collapsed="false">
      <c r="A609" s="12"/>
      <c r="B609" s="34"/>
      <c r="C609" s="12"/>
      <c r="D609" s="12"/>
      <c r="E609" s="12"/>
      <c r="F609" s="12"/>
      <c r="G609" s="18"/>
      <c r="H609" s="35"/>
      <c r="I609" s="12"/>
      <c r="M609" s="12"/>
      <c r="N609" s="18"/>
      <c r="O609" s="12"/>
      <c r="P609" s="12"/>
      <c r="Q609" s="12"/>
      <c r="R609" s="36"/>
      <c r="S609" s="36"/>
      <c r="T609" s="12"/>
      <c r="U609" s="12"/>
      <c r="V609" s="12"/>
      <c r="W609" s="12"/>
      <c r="X609" s="12"/>
    </row>
    <row r="610" customFormat="false" ht="15.75" hidden="false" customHeight="false" outlineLevel="0" collapsed="false">
      <c r="A610" s="12"/>
      <c r="B610" s="34"/>
      <c r="C610" s="12"/>
      <c r="D610" s="12"/>
      <c r="E610" s="12"/>
      <c r="F610" s="12"/>
      <c r="G610" s="18"/>
      <c r="H610" s="35"/>
      <c r="I610" s="12"/>
      <c r="M610" s="12"/>
      <c r="N610" s="18"/>
      <c r="O610" s="12"/>
      <c r="P610" s="12"/>
      <c r="Q610" s="12"/>
      <c r="R610" s="36"/>
      <c r="S610" s="36"/>
      <c r="T610" s="12"/>
      <c r="U610" s="12"/>
      <c r="V610" s="12"/>
      <c r="W610" s="12"/>
      <c r="X610" s="12"/>
    </row>
    <row r="611" customFormat="false" ht="15.75" hidden="false" customHeight="false" outlineLevel="0" collapsed="false">
      <c r="A611" s="12"/>
      <c r="B611" s="34"/>
      <c r="C611" s="12"/>
      <c r="D611" s="12"/>
      <c r="E611" s="12"/>
      <c r="F611" s="12"/>
      <c r="G611" s="18"/>
      <c r="H611" s="35"/>
      <c r="I611" s="12"/>
      <c r="M611" s="12"/>
      <c r="N611" s="18"/>
      <c r="O611" s="12"/>
      <c r="P611" s="12"/>
      <c r="Q611" s="12"/>
      <c r="R611" s="36"/>
      <c r="S611" s="36"/>
      <c r="T611" s="12"/>
      <c r="U611" s="12"/>
      <c r="V611" s="12"/>
      <c r="W611" s="12"/>
      <c r="X611" s="12"/>
    </row>
    <row r="612" customFormat="false" ht="15.75" hidden="false" customHeight="false" outlineLevel="0" collapsed="false">
      <c r="A612" s="12"/>
      <c r="B612" s="34"/>
      <c r="C612" s="12"/>
      <c r="D612" s="12"/>
      <c r="E612" s="12"/>
      <c r="F612" s="12"/>
      <c r="G612" s="18"/>
      <c r="H612" s="35"/>
      <c r="I612" s="12"/>
      <c r="M612" s="12"/>
      <c r="N612" s="18"/>
      <c r="O612" s="12"/>
      <c r="P612" s="12"/>
      <c r="Q612" s="12"/>
      <c r="R612" s="36"/>
      <c r="S612" s="36"/>
      <c r="T612" s="12"/>
      <c r="U612" s="12"/>
      <c r="V612" s="12"/>
      <c r="W612" s="12"/>
      <c r="X612" s="12"/>
    </row>
    <row r="613" customFormat="false" ht="15.75" hidden="false" customHeight="false" outlineLevel="0" collapsed="false">
      <c r="A613" s="12"/>
      <c r="B613" s="34"/>
      <c r="C613" s="12"/>
      <c r="D613" s="12"/>
      <c r="E613" s="12"/>
      <c r="F613" s="12"/>
      <c r="G613" s="18"/>
      <c r="H613" s="35"/>
      <c r="I613" s="12"/>
      <c r="M613" s="12"/>
      <c r="N613" s="18"/>
      <c r="O613" s="12"/>
      <c r="P613" s="12"/>
      <c r="Q613" s="12"/>
      <c r="R613" s="36"/>
      <c r="S613" s="36"/>
      <c r="T613" s="12"/>
      <c r="U613" s="12"/>
      <c r="V613" s="12"/>
      <c r="W613" s="12"/>
      <c r="X613" s="12"/>
    </row>
    <row r="614" customFormat="false" ht="15.75" hidden="false" customHeight="false" outlineLevel="0" collapsed="false">
      <c r="A614" s="12"/>
      <c r="B614" s="34"/>
      <c r="C614" s="12"/>
      <c r="D614" s="12"/>
      <c r="E614" s="12"/>
      <c r="F614" s="12"/>
      <c r="G614" s="18"/>
      <c r="H614" s="35"/>
      <c r="I614" s="12"/>
      <c r="M614" s="12"/>
      <c r="N614" s="18"/>
      <c r="O614" s="12"/>
      <c r="P614" s="12"/>
      <c r="Q614" s="12"/>
      <c r="R614" s="36"/>
      <c r="S614" s="36"/>
      <c r="T614" s="12"/>
      <c r="U614" s="12"/>
      <c r="V614" s="12"/>
      <c r="W614" s="12"/>
      <c r="X614" s="12"/>
    </row>
    <row r="615" customFormat="false" ht="15.75" hidden="false" customHeight="false" outlineLevel="0" collapsed="false">
      <c r="A615" s="12"/>
      <c r="B615" s="34"/>
      <c r="C615" s="12"/>
      <c r="D615" s="12"/>
      <c r="E615" s="12"/>
      <c r="F615" s="12"/>
      <c r="G615" s="18"/>
      <c r="H615" s="35"/>
      <c r="I615" s="12"/>
      <c r="M615" s="12"/>
      <c r="N615" s="18"/>
      <c r="O615" s="12"/>
      <c r="P615" s="12"/>
      <c r="Q615" s="12"/>
      <c r="R615" s="36"/>
      <c r="S615" s="36"/>
      <c r="T615" s="12"/>
      <c r="U615" s="12"/>
      <c r="V615" s="12"/>
      <c r="W615" s="12"/>
      <c r="X615" s="12"/>
    </row>
    <row r="616" customFormat="false" ht="15.75" hidden="false" customHeight="false" outlineLevel="0" collapsed="false">
      <c r="A616" s="12"/>
      <c r="B616" s="34"/>
      <c r="C616" s="12"/>
      <c r="D616" s="12"/>
      <c r="E616" s="12"/>
      <c r="F616" s="12"/>
      <c r="G616" s="18"/>
      <c r="H616" s="35"/>
      <c r="I616" s="12"/>
      <c r="M616" s="12"/>
      <c r="N616" s="18"/>
      <c r="O616" s="12"/>
      <c r="P616" s="12"/>
      <c r="Q616" s="12"/>
      <c r="R616" s="36"/>
      <c r="S616" s="36"/>
      <c r="T616" s="12"/>
      <c r="U616" s="12"/>
      <c r="V616" s="12"/>
      <c r="W616" s="12"/>
      <c r="X616" s="12"/>
    </row>
    <row r="617" customFormat="false" ht="15.75" hidden="false" customHeight="false" outlineLevel="0" collapsed="false">
      <c r="A617" s="12"/>
      <c r="B617" s="34"/>
      <c r="C617" s="12"/>
      <c r="D617" s="12"/>
      <c r="E617" s="12"/>
      <c r="F617" s="12"/>
      <c r="G617" s="18"/>
      <c r="H617" s="35"/>
      <c r="I617" s="12"/>
      <c r="M617" s="12"/>
      <c r="N617" s="18"/>
      <c r="O617" s="12"/>
      <c r="P617" s="12"/>
      <c r="Q617" s="12"/>
      <c r="R617" s="36"/>
      <c r="S617" s="36"/>
      <c r="T617" s="12"/>
      <c r="U617" s="12"/>
      <c r="V617" s="12"/>
      <c r="W617" s="12"/>
      <c r="X617" s="12"/>
    </row>
    <row r="618" customFormat="false" ht="15.75" hidden="false" customHeight="false" outlineLevel="0" collapsed="false">
      <c r="A618" s="12"/>
      <c r="B618" s="34"/>
      <c r="C618" s="12"/>
      <c r="D618" s="12"/>
      <c r="E618" s="12"/>
      <c r="F618" s="12"/>
      <c r="G618" s="18"/>
      <c r="H618" s="35"/>
      <c r="I618" s="12"/>
      <c r="M618" s="12"/>
      <c r="N618" s="18"/>
      <c r="O618" s="12"/>
      <c r="P618" s="12"/>
      <c r="Q618" s="12"/>
      <c r="R618" s="36"/>
      <c r="S618" s="36"/>
      <c r="T618" s="12"/>
      <c r="U618" s="12"/>
      <c r="V618" s="12"/>
      <c r="W618" s="12"/>
      <c r="X618" s="12"/>
    </row>
    <row r="619" customFormat="false" ht="15.75" hidden="false" customHeight="false" outlineLevel="0" collapsed="false">
      <c r="A619" s="12"/>
      <c r="B619" s="34"/>
      <c r="C619" s="12"/>
      <c r="D619" s="12"/>
      <c r="E619" s="12"/>
      <c r="F619" s="12"/>
      <c r="G619" s="18"/>
      <c r="H619" s="35"/>
      <c r="I619" s="12"/>
      <c r="M619" s="12"/>
      <c r="N619" s="18"/>
      <c r="O619" s="12"/>
      <c r="P619" s="12"/>
      <c r="Q619" s="12"/>
      <c r="R619" s="36"/>
      <c r="S619" s="36"/>
      <c r="T619" s="12"/>
      <c r="U619" s="12"/>
      <c r="V619" s="12"/>
      <c r="W619" s="12"/>
      <c r="X619" s="12"/>
    </row>
    <row r="620" customFormat="false" ht="15.75" hidden="false" customHeight="false" outlineLevel="0" collapsed="false">
      <c r="A620" s="12"/>
      <c r="B620" s="34"/>
      <c r="C620" s="12"/>
      <c r="D620" s="12"/>
      <c r="E620" s="12"/>
      <c r="F620" s="12"/>
      <c r="G620" s="18"/>
      <c r="H620" s="35"/>
      <c r="I620" s="12"/>
      <c r="M620" s="12"/>
      <c r="N620" s="18"/>
      <c r="O620" s="12"/>
      <c r="P620" s="12"/>
      <c r="Q620" s="12"/>
      <c r="R620" s="36"/>
      <c r="S620" s="36"/>
      <c r="T620" s="12"/>
      <c r="U620" s="12"/>
      <c r="V620" s="12"/>
      <c r="W620" s="12"/>
      <c r="X620" s="12"/>
    </row>
    <row r="621" customFormat="false" ht="15.75" hidden="false" customHeight="false" outlineLevel="0" collapsed="false">
      <c r="A621" s="12"/>
      <c r="B621" s="34"/>
      <c r="C621" s="12"/>
      <c r="D621" s="12"/>
      <c r="E621" s="12"/>
      <c r="F621" s="12"/>
      <c r="G621" s="18"/>
      <c r="H621" s="35"/>
      <c r="I621" s="12"/>
      <c r="M621" s="12"/>
      <c r="N621" s="18"/>
      <c r="O621" s="12"/>
      <c r="P621" s="12"/>
      <c r="Q621" s="12"/>
      <c r="R621" s="36"/>
      <c r="S621" s="36"/>
      <c r="T621" s="12"/>
      <c r="U621" s="12"/>
      <c r="V621" s="12"/>
      <c r="W621" s="12"/>
      <c r="X621" s="12"/>
    </row>
    <row r="622" customFormat="false" ht="15.75" hidden="false" customHeight="false" outlineLevel="0" collapsed="false">
      <c r="A622" s="12"/>
      <c r="B622" s="34"/>
      <c r="C622" s="12"/>
      <c r="D622" s="12"/>
      <c r="E622" s="12"/>
      <c r="F622" s="12"/>
      <c r="G622" s="18"/>
      <c r="H622" s="35"/>
      <c r="I622" s="12"/>
      <c r="M622" s="12"/>
      <c r="N622" s="18"/>
      <c r="O622" s="12"/>
      <c r="P622" s="12"/>
      <c r="Q622" s="12"/>
      <c r="R622" s="36"/>
      <c r="S622" s="36"/>
      <c r="T622" s="12"/>
      <c r="U622" s="12"/>
      <c r="V622" s="12"/>
      <c r="W622" s="12"/>
      <c r="X622" s="12"/>
    </row>
    <row r="623" customFormat="false" ht="15.75" hidden="false" customHeight="false" outlineLevel="0" collapsed="false">
      <c r="A623" s="12"/>
      <c r="B623" s="34"/>
      <c r="C623" s="12"/>
      <c r="D623" s="12"/>
      <c r="E623" s="12"/>
      <c r="F623" s="12"/>
      <c r="G623" s="18"/>
      <c r="H623" s="35"/>
      <c r="I623" s="12"/>
      <c r="M623" s="12"/>
      <c r="N623" s="18"/>
      <c r="O623" s="12"/>
      <c r="P623" s="12"/>
      <c r="Q623" s="12"/>
      <c r="R623" s="36"/>
      <c r="S623" s="36"/>
      <c r="T623" s="12"/>
      <c r="U623" s="12"/>
      <c r="V623" s="12"/>
      <c r="W623" s="12"/>
      <c r="X623" s="12"/>
    </row>
    <row r="624" customFormat="false" ht="15.75" hidden="false" customHeight="false" outlineLevel="0" collapsed="false">
      <c r="A624" s="12"/>
      <c r="B624" s="34"/>
      <c r="C624" s="12"/>
      <c r="D624" s="12"/>
      <c r="E624" s="12"/>
      <c r="F624" s="12"/>
      <c r="G624" s="18"/>
      <c r="H624" s="35"/>
      <c r="I624" s="12"/>
      <c r="M624" s="12"/>
      <c r="N624" s="18"/>
      <c r="O624" s="12"/>
      <c r="P624" s="12"/>
      <c r="Q624" s="12"/>
      <c r="R624" s="36"/>
      <c r="S624" s="36"/>
      <c r="T624" s="12"/>
      <c r="U624" s="12"/>
      <c r="V624" s="12"/>
      <c r="W624" s="12"/>
      <c r="X624" s="12"/>
    </row>
    <row r="625" customFormat="false" ht="15.75" hidden="false" customHeight="false" outlineLevel="0" collapsed="false">
      <c r="A625" s="12"/>
      <c r="B625" s="34"/>
      <c r="C625" s="12"/>
      <c r="D625" s="12"/>
      <c r="E625" s="12"/>
      <c r="F625" s="12"/>
      <c r="G625" s="18"/>
      <c r="H625" s="35"/>
      <c r="I625" s="12"/>
      <c r="M625" s="12"/>
      <c r="N625" s="18"/>
      <c r="O625" s="12"/>
      <c r="P625" s="12"/>
      <c r="Q625" s="12"/>
      <c r="R625" s="36"/>
      <c r="S625" s="36"/>
      <c r="T625" s="12"/>
      <c r="U625" s="12"/>
      <c r="V625" s="12"/>
      <c r="W625" s="12"/>
      <c r="X625" s="12"/>
    </row>
    <row r="626" customFormat="false" ht="15.75" hidden="false" customHeight="false" outlineLevel="0" collapsed="false">
      <c r="A626" s="12"/>
      <c r="B626" s="34"/>
      <c r="C626" s="12"/>
      <c r="D626" s="12"/>
      <c r="E626" s="12"/>
      <c r="F626" s="12"/>
      <c r="G626" s="18"/>
      <c r="H626" s="35"/>
      <c r="I626" s="12"/>
      <c r="M626" s="12"/>
      <c r="N626" s="18"/>
      <c r="O626" s="12"/>
      <c r="P626" s="12"/>
      <c r="Q626" s="12"/>
      <c r="R626" s="36"/>
      <c r="S626" s="36"/>
      <c r="T626" s="12"/>
      <c r="U626" s="12"/>
      <c r="V626" s="12"/>
      <c r="W626" s="12"/>
      <c r="X626" s="12"/>
    </row>
    <row r="627" customFormat="false" ht="15.75" hidden="false" customHeight="false" outlineLevel="0" collapsed="false">
      <c r="A627" s="12"/>
      <c r="B627" s="34"/>
      <c r="C627" s="12"/>
      <c r="D627" s="12"/>
      <c r="E627" s="12"/>
      <c r="F627" s="12"/>
      <c r="G627" s="18"/>
      <c r="H627" s="35"/>
      <c r="I627" s="12"/>
      <c r="M627" s="12"/>
      <c r="N627" s="18"/>
      <c r="O627" s="12"/>
      <c r="P627" s="12"/>
      <c r="Q627" s="12"/>
      <c r="R627" s="36"/>
      <c r="S627" s="36"/>
      <c r="T627" s="12"/>
      <c r="U627" s="12"/>
      <c r="V627" s="12"/>
      <c r="W627" s="12"/>
      <c r="X627" s="12"/>
    </row>
    <row r="628" customFormat="false" ht="15.75" hidden="false" customHeight="false" outlineLevel="0" collapsed="false">
      <c r="A628" s="12"/>
      <c r="B628" s="34"/>
      <c r="C628" s="12"/>
      <c r="D628" s="12"/>
      <c r="E628" s="12"/>
      <c r="F628" s="12"/>
      <c r="G628" s="18"/>
      <c r="H628" s="35"/>
      <c r="I628" s="12"/>
      <c r="M628" s="12"/>
      <c r="N628" s="18"/>
      <c r="O628" s="12"/>
      <c r="P628" s="12"/>
      <c r="Q628" s="12"/>
      <c r="R628" s="36"/>
      <c r="S628" s="36"/>
      <c r="T628" s="12"/>
      <c r="U628" s="12"/>
      <c r="V628" s="12"/>
      <c r="W628" s="12"/>
      <c r="X628" s="12"/>
    </row>
    <row r="629" customFormat="false" ht="15.75" hidden="false" customHeight="false" outlineLevel="0" collapsed="false">
      <c r="A629" s="12"/>
      <c r="B629" s="34"/>
      <c r="C629" s="12"/>
      <c r="D629" s="12"/>
      <c r="E629" s="12"/>
      <c r="F629" s="12"/>
      <c r="G629" s="18"/>
      <c r="H629" s="35"/>
      <c r="I629" s="12"/>
      <c r="M629" s="12"/>
      <c r="N629" s="18"/>
      <c r="O629" s="12"/>
      <c r="P629" s="12"/>
      <c r="Q629" s="12"/>
      <c r="R629" s="36"/>
      <c r="S629" s="36"/>
      <c r="T629" s="12"/>
      <c r="U629" s="12"/>
      <c r="V629" s="12"/>
      <c r="W629" s="12"/>
      <c r="X629" s="12"/>
    </row>
    <row r="630" customFormat="false" ht="15.75" hidden="false" customHeight="false" outlineLevel="0" collapsed="false">
      <c r="A630" s="12"/>
      <c r="B630" s="34"/>
      <c r="C630" s="12"/>
      <c r="D630" s="12"/>
      <c r="E630" s="12"/>
      <c r="F630" s="12"/>
      <c r="G630" s="18"/>
      <c r="H630" s="35"/>
      <c r="I630" s="12"/>
      <c r="M630" s="12"/>
      <c r="N630" s="18"/>
      <c r="O630" s="12"/>
      <c r="P630" s="12"/>
      <c r="Q630" s="12"/>
      <c r="R630" s="36"/>
      <c r="S630" s="36"/>
      <c r="T630" s="12"/>
      <c r="U630" s="12"/>
      <c r="V630" s="12"/>
      <c r="W630" s="12"/>
      <c r="X630" s="12"/>
    </row>
    <row r="631" customFormat="false" ht="15.75" hidden="false" customHeight="false" outlineLevel="0" collapsed="false">
      <c r="A631" s="12"/>
      <c r="B631" s="34"/>
      <c r="C631" s="12"/>
      <c r="D631" s="12"/>
      <c r="E631" s="12"/>
      <c r="F631" s="12"/>
      <c r="G631" s="18"/>
      <c r="H631" s="35"/>
      <c r="I631" s="12"/>
      <c r="M631" s="12"/>
      <c r="N631" s="18"/>
      <c r="O631" s="12"/>
      <c r="P631" s="12"/>
      <c r="Q631" s="12"/>
      <c r="R631" s="36"/>
      <c r="S631" s="36"/>
      <c r="T631" s="12"/>
      <c r="U631" s="12"/>
      <c r="V631" s="12"/>
      <c r="W631" s="12"/>
      <c r="X631" s="12"/>
    </row>
    <row r="632" customFormat="false" ht="15.75" hidden="false" customHeight="false" outlineLevel="0" collapsed="false">
      <c r="A632" s="12"/>
      <c r="B632" s="34"/>
      <c r="C632" s="12"/>
      <c r="D632" s="12"/>
      <c r="E632" s="12"/>
      <c r="F632" s="12"/>
      <c r="G632" s="18"/>
      <c r="H632" s="35"/>
      <c r="I632" s="12"/>
      <c r="M632" s="12"/>
      <c r="N632" s="18"/>
      <c r="O632" s="12"/>
      <c r="P632" s="12"/>
      <c r="Q632" s="12"/>
      <c r="R632" s="36"/>
      <c r="S632" s="36"/>
      <c r="T632" s="12"/>
      <c r="U632" s="12"/>
      <c r="V632" s="12"/>
      <c r="W632" s="12"/>
      <c r="X632" s="12"/>
    </row>
    <row r="633" customFormat="false" ht="15.75" hidden="false" customHeight="false" outlineLevel="0" collapsed="false">
      <c r="A633" s="12"/>
      <c r="B633" s="34"/>
      <c r="C633" s="12"/>
      <c r="D633" s="12"/>
      <c r="E633" s="12"/>
      <c r="F633" s="12"/>
      <c r="G633" s="18"/>
      <c r="H633" s="35"/>
      <c r="I633" s="12"/>
      <c r="M633" s="12"/>
      <c r="N633" s="18"/>
      <c r="O633" s="12"/>
      <c r="P633" s="12"/>
      <c r="Q633" s="12"/>
      <c r="R633" s="36"/>
      <c r="S633" s="36"/>
      <c r="T633" s="12"/>
      <c r="U633" s="12"/>
      <c r="V633" s="12"/>
      <c r="W633" s="12"/>
      <c r="X633" s="12"/>
    </row>
    <row r="634" customFormat="false" ht="15.75" hidden="false" customHeight="false" outlineLevel="0" collapsed="false">
      <c r="A634" s="12"/>
      <c r="B634" s="34"/>
      <c r="C634" s="12"/>
      <c r="D634" s="12"/>
      <c r="E634" s="12"/>
      <c r="F634" s="12"/>
      <c r="G634" s="18"/>
      <c r="H634" s="35"/>
      <c r="I634" s="12"/>
      <c r="M634" s="12"/>
      <c r="N634" s="18"/>
      <c r="O634" s="12"/>
      <c r="P634" s="12"/>
      <c r="Q634" s="12"/>
      <c r="R634" s="36"/>
      <c r="S634" s="36"/>
      <c r="T634" s="12"/>
      <c r="U634" s="12"/>
      <c r="V634" s="12"/>
      <c r="W634" s="12"/>
      <c r="X634" s="12"/>
    </row>
    <row r="635" customFormat="false" ht="15.75" hidden="false" customHeight="false" outlineLevel="0" collapsed="false">
      <c r="A635" s="12"/>
      <c r="B635" s="34"/>
      <c r="C635" s="12"/>
      <c r="D635" s="12"/>
      <c r="E635" s="12"/>
      <c r="F635" s="12"/>
      <c r="G635" s="18"/>
      <c r="H635" s="35"/>
      <c r="I635" s="12"/>
      <c r="M635" s="12"/>
      <c r="N635" s="18"/>
      <c r="O635" s="12"/>
      <c r="P635" s="12"/>
      <c r="Q635" s="12"/>
      <c r="R635" s="36"/>
      <c r="S635" s="36"/>
      <c r="T635" s="12"/>
      <c r="U635" s="12"/>
      <c r="V635" s="12"/>
      <c r="W635" s="12"/>
      <c r="X635" s="12"/>
    </row>
    <row r="636" customFormat="false" ht="15.75" hidden="false" customHeight="false" outlineLevel="0" collapsed="false">
      <c r="A636" s="12"/>
      <c r="B636" s="34"/>
      <c r="C636" s="12"/>
      <c r="D636" s="12"/>
      <c r="E636" s="12"/>
      <c r="F636" s="12"/>
      <c r="G636" s="18"/>
      <c r="H636" s="35"/>
      <c r="I636" s="12"/>
      <c r="M636" s="12"/>
      <c r="N636" s="18"/>
      <c r="O636" s="12"/>
      <c r="P636" s="12"/>
      <c r="Q636" s="12"/>
      <c r="R636" s="36"/>
      <c r="S636" s="36"/>
      <c r="T636" s="12"/>
      <c r="U636" s="12"/>
      <c r="V636" s="12"/>
      <c r="W636" s="12"/>
      <c r="X636" s="12"/>
    </row>
    <row r="637" customFormat="false" ht="15.75" hidden="false" customHeight="false" outlineLevel="0" collapsed="false">
      <c r="A637" s="12"/>
      <c r="B637" s="34"/>
      <c r="C637" s="12"/>
      <c r="D637" s="12"/>
      <c r="E637" s="12"/>
      <c r="F637" s="12"/>
      <c r="G637" s="18"/>
      <c r="H637" s="35"/>
      <c r="I637" s="12"/>
      <c r="M637" s="12"/>
      <c r="N637" s="18"/>
      <c r="O637" s="12"/>
      <c r="P637" s="12"/>
      <c r="Q637" s="12"/>
      <c r="R637" s="36"/>
      <c r="S637" s="36"/>
      <c r="T637" s="12"/>
      <c r="U637" s="12"/>
      <c r="V637" s="12"/>
      <c r="W637" s="12"/>
      <c r="X637" s="12"/>
    </row>
    <row r="638" customFormat="false" ht="15.75" hidden="false" customHeight="false" outlineLevel="0" collapsed="false">
      <c r="A638" s="12"/>
      <c r="B638" s="34"/>
      <c r="C638" s="12"/>
      <c r="D638" s="12"/>
      <c r="E638" s="12"/>
      <c r="F638" s="12"/>
      <c r="G638" s="18"/>
      <c r="H638" s="35"/>
      <c r="I638" s="12"/>
      <c r="M638" s="12"/>
      <c r="N638" s="18"/>
      <c r="O638" s="12"/>
      <c r="P638" s="12"/>
      <c r="Q638" s="12"/>
      <c r="R638" s="36"/>
      <c r="S638" s="36"/>
      <c r="T638" s="12"/>
      <c r="U638" s="12"/>
      <c r="V638" s="12"/>
      <c r="W638" s="12"/>
      <c r="X638" s="12"/>
    </row>
    <row r="639" customFormat="false" ht="15.75" hidden="false" customHeight="false" outlineLevel="0" collapsed="false">
      <c r="A639" s="12"/>
      <c r="B639" s="34"/>
      <c r="C639" s="12"/>
      <c r="D639" s="12"/>
      <c r="E639" s="12"/>
      <c r="F639" s="12"/>
      <c r="G639" s="18"/>
      <c r="H639" s="35"/>
      <c r="I639" s="12"/>
      <c r="M639" s="12"/>
      <c r="N639" s="18"/>
      <c r="O639" s="12"/>
      <c r="P639" s="12"/>
      <c r="Q639" s="12"/>
      <c r="R639" s="36"/>
      <c r="S639" s="36"/>
      <c r="T639" s="12"/>
      <c r="U639" s="12"/>
      <c r="V639" s="12"/>
      <c r="W639" s="12"/>
      <c r="X639" s="12"/>
    </row>
    <row r="640" customFormat="false" ht="15.75" hidden="false" customHeight="false" outlineLevel="0" collapsed="false">
      <c r="A640" s="12"/>
      <c r="B640" s="34"/>
      <c r="C640" s="12"/>
      <c r="D640" s="12"/>
      <c r="E640" s="12"/>
      <c r="F640" s="12"/>
      <c r="G640" s="18"/>
      <c r="H640" s="35"/>
      <c r="I640" s="12"/>
      <c r="M640" s="12"/>
      <c r="N640" s="18"/>
      <c r="O640" s="12"/>
      <c r="P640" s="12"/>
      <c r="Q640" s="12"/>
      <c r="R640" s="36"/>
      <c r="S640" s="36"/>
      <c r="T640" s="12"/>
      <c r="U640" s="12"/>
      <c r="V640" s="12"/>
      <c r="W640" s="12"/>
      <c r="X640" s="12"/>
    </row>
    <row r="641" customFormat="false" ht="15.75" hidden="false" customHeight="false" outlineLevel="0" collapsed="false">
      <c r="A641" s="12"/>
      <c r="B641" s="34"/>
      <c r="C641" s="12"/>
      <c r="D641" s="12"/>
      <c r="E641" s="12"/>
      <c r="F641" s="12"/>
      <c r="G641" s="18"/>
      <c r="H641" s="35"/>
      <c r="I641" s="12"/>
      <c r="M641" s="12"/>
      <c r="N641" s="18"/>
      <c r="O641" s="12"/>
      <c r="P641" s="12"/>
      <c r="Q641" s="12"/>
      <c r="R641" s="36"/>
      <c r="S641" s="36"/>
      <c r="T641" s="12"/>
      <c r="U641" s="12"/>
      <c r="V641" s="12"/>
      <c r="W641" s="12"/>
      <c r="X641" s="12"/>
    </row>
    <row r="642" customFormat="false" ht="15.75" hidden="false" customHeight="false" outlineLevel="0" collapsed="false">
      <c r="A642" s="12"/>
      <c r="B642" s="34"/>
      <c r="C642" s="12"/>
      <c r="D642" s="12"/>
      <c r="E642" s="12"/>
      <c r="F642" s="12"/>
      <c r="G642" s="18"/>
      <c r="H642" s="35"/>
      <c r="I642" s="12"/>
      <c r="M642" s="12"/>
      <c r="N642" s="18"/>
      <c r="O642" s="12"/>
      <c r="P642" s="12"/>
      <c r="Q642" s="12"/>
      <c r="R642" s="36"/>
      <c r="S642" s="36"/>
      <c r="T642" s="12"/>
      <c r="U642" s="12"/>
      <c r="V642" s="12"/>
      <c r="W642" s="12"/>
      <c r="X642" s="12"/>
    </row>
    <row r="643" customFormat="false" ht="15.75" hidden="false" customHeight="false" outlineLevel="0" collapsed="false">
      <c r="A643" s="12"/>
      <c r="B643" s="34"/>
      <c r="C643" s="12"/>
      <c r="D643" s="12"/>
      <c r="E643" s="12"/>
      <c r="F643" s="12"/>
      <c r="G643" s="18"/>
      <c r="H643" s="35"/>
      <c r="I643" s="12"/>
      <c r="M643" s="12"/>
      <c r="N643" s="18"/>
      <c r="O643" s="12"/>
      <c r="P643" s="12"/>
      <c r="Q643" s="12"/>
      <c r="R643" s="36"/>
      <c r="S643" s="36"/>
      <c r="T643" s="12"/>
      <c r="U643" s="12"/>
      <c r="V643" s="12"/>
      <c r="W643" s="12"/>
      <c r="X643" s="12"/>
    </row>
    <row r="644" customFormat="false" ht="15.75" hidden="false" customHeight="false" outlineLevel="0" collapsed="false">
      <c r="A644" s="12"/>
      <c r="B644" s="34"/>
      <c r="C644" s="12"/>
      <c r="D644" s="12"/>
      <c r="E644" s="12"/>
      <c r="F644" s="12"/>
      <c r="G644" s="18"/>
      <c r="H644" s="35"/>
      <c r="I644" s="12"/>
      <c r="M644" s="12"/>
      <c r="N644" s="18"/>
      <c r="O644" s="12"/>
      <c r="P644" s="12"/>
      <c r="Q644" s="12"/>
      <c r="R644" s="36"/>
      <c r="S644" s="36"/>
      <c r="T644" s="12"/>
      <c r="U644" s="12"/>
      <c r="V644" s="12"/>
      <c r="W644" s="12"/>
      <c r="X644" s="12"/>
    </row>
    <row r="645" customFormat="false" ht="15.75" hidden="false" customHeight="false" outlineLevel="0" collapsed="false">
      <c r="A645" s="12"/>
      <c r="B645" s="34"/>
      <c r="C645" s="12"/>
      <c r="D645" s="12"/>
      <c r="E645" s="12"/>
      <c r="F645" s="12"/>
      <c r="G645" s="18"/>
      <c r="H645" s="35"/>
      <c r="I645" s="12"/>
      <c r="M645" s="12"/>
      <c r="N645" s="18"/>
      <c r="O645" s="12"/>
      <c r="P645" s="12"/>
      <c r="Q645" s="12"/>
      <c r="R645" s="36"/>
      <c r="S645" s="36"/>
      <c r="T645" s="12"/>
      <c r="U645" s="12"/>
      <c r="V645" s="12"/>
      <c r="W645" s="12"/>
      <c r="X645" s="12"/>
    </row>
    <row r="646" customFormat="false" ht="15.75" hidden="false" customHeight="false" outlineLevel="0" collapsed="false">
      <c r="A646" s="12"/>
      <c r="B646" s="34"/>
      <c r="C646" s="12"/>
      <c r="D646" s="12"/>
      <c r="E646" s="12"/>
      <c r="F646" s="12"/>
      <c r="G646" s="18"/>
      <c r="H646" s="35"/>
      <c r="I646" s="12"/>
      <c r="M646" s="12"/>
      <c r="N646" s="18"/>
      <c r="O646" s="12"/>
      <c r="P646" s="12"/>
      <c r="Q646" s="12"/>
      <c r="R646" s="36"/>
      <c r="S646" s="36"/>
      <c r="T646" s="12"/>
      <c r="U646" s="12"/>
      <c r="V646" s="12"/>
      <c r="W646" s="12"/>
      <c r="X646" s="12"/>
    </row>
    <row r="647" customFormat="false" ht="15.75" hidden="false" customHeight="false" outlineLevel="0" collapsed="false">
      <c r="A647" s="12"/>
      <c r="B647" s="34"/>
      <c r="C647" s="12"/>
      <c r="D647" s="12"/>
      <c r="E647" s="12"/>
      <c r="F647" s="12"/>
      <c r="G647" s="18"/>
      <c r="H647" s="35"/>
      <c r="I647" s="12"/>
      <c r="M647" s="12"/>
      <c r="N647" s="18"/>
      <c r="O647" s="12"/>
      <c r="P647" s="12"/>
      <c r="Q647" s="12"/>
      <c r="R647" s="36"/>
      <c r="S647" s="36"/>
      <c r="T647" s="12"/>
      <c r="U647" s="12"/>
      <c r="V647" s="12"/>
      <c r="W647" s="12"/>
      <c r="X647" s="12"/>
    </row>
    <row r="648" customFormat="false" ht="15.75" hidden="false" customHeight="false" outlineLevel="0" collapsed="false">
      <c r="A648" s="12"/>
      <c r="B648" s="34"/>
      <c r="C648" s="12"/>
      <c r="D648" s="12"/>
      <c r="E648" s="12"/>
      <c r="F648" s="12"/>
      <c r="G648" s="18"/>
      <c r="H648" s="35"/>
      <c r="I648" s="12"/>
      <c r="M648" s="12"/>
      <c r="N648" s="18"/>
      <c r="O648" s="12"/>
      <c r="P648" s="12"/>
      <c r="Q648" s="12"/>
      <c r="R648" s="36"/>
      <c r="S648" s="36"/>
      <c r="T648" s="12"/>
      <c r="U648" s="12"/>
      <c r="V648" s="12"/>
      <c r="W648" s="12"/>
      <c r="X648" s="12"/>
    </row>
    <row r="649" customFormat="false" ht="15.75" hidden="false" customHeight="false" outlineLevel="0" collapsed="false">
      <c r="A649" s="12"/>
      <c r="B649" s="34"/>
      <c r="C649" s="12"/>
      <c r="D649" s="12"/>
      <c r="E649" s="12"/>
      <c r="F649" s="12"/>
      <c r="G649" s="18"/>
      <c r="H649" s="35"/>
      <c r="I649" s="12"/>
      <c r="M649" s="12"/>
      <c r="N649" s="18"/>
      <c r="O649" s="12"/>
      <c r="P649" s="12"/>
      <c r="Q649" s="12"/>
      <c r="R649" s="36"/>
      <c r="S649" s="36"/>
      <c r="T649" s="12"/>
      <c r="U649" s="12"/>
      <c r="V649" s="12"/>
      <c r="W649" s="12"/>
      <c r="X649" s="12"/>
    </row>
    <row r="650" customFormat="false" ht="15.75" hidden="false" customHeight="false" outlineLevel="0" collapsed="false">
      <c r="A650" s="12"/>
      <c r="B650" s="34"/>
      <c r="C650" s="12"/>
      <c r="D650" s="12"/>
      <c r="E650" s="12"/>
      <c r="F650" s="12"/>
      <c r="G650" s="18"/>
      <c r="H650" s="35"/>
      <c r="I650" s="12"/>
      <c r="M650" s="12"/>
      <c r="N650" s="18"/>
      <c r="O650" s="12"/>
      <c r="P650" s="12"/>
      <c r="Q650" s="12"/>
      <c r="R650" s="36"/>
      <c r="S650" s="36"/>
      <c r="T650" s="12"/>
      <c r="U650" s="12"/>
      <c r="V650" s="12"/>
      <c r="W650" s="12"/>
      <c r="X650" s="12"/>
    </row>
    <row r="651" customFormat="false" ht="15.75" hidden="false" customHeight="false" outlineLevel="0" collapsed="false">
      <c r="A651" s="12"/>
      <c r="B651" s="34"/>
      <c r="C651" s="12"/>
      <c r="D651" s="12"/>
      <c r="E651" s="12"/>
      <c r="F651" s="12"/>
      <c r="G651" s="18"/>
      <c r="H651" s="35"/>
      <c r="I651" s="12"/>
      <c r="M651" s="12"/>
      <c r="N651" s="18"/>
      <c r="O651" s="12"/>
      <c r="P651" s="12"/>
      <c r="Q651" s="12"/>
      <c r="R651" s="36"/>
      <c r="S651" s="36"/>
      <c r="T651" s="12"/>
      <c r="U651" s="12"/>
      <c r="V651" s="12"/>
      <c r="W651" s="12"/>
      <c r="X651" s="12"/>
    </row>
    <row r="652" customFormat="false" ht="15.75" hidden="false" customHeight="false" outlineLevel="0" collapsed="false">
      <c r="A652" s="12"/>
      <c r="B652" s="34"/>
      <c r="C652" s="12"/>
      <c r="D652" s="12"/>
      <c r="E652" s="12"/>
      <c r="F652" s="12"/>
      <c r="G652" s="18"/>
      <c r="H652" s="35"/>
      <c r="I652" s="12"/>
      <c r="M652" s="12"/>
      <c r="N652" s="18"/>
      <c r="O652" s="12"/>
      <c r="P652" s="12"/>
      <c r="Q652" s="12"/>
      <c r="R652" s="36"/>
      <c r="S652" s="36"/>
      <c r="T652" s="12"/>
      <c r="U652" s="12"/>
      <c r="V652" s="12"/>
      <c r="W652" s="12"/>
      <c r="X652" s="12"/>
    </row>
    <row r="653" customFormat="false" ht="15.75" hidden="false" customHeight="false" outlineLevel="0" collapsed="false">
      <c r="A653" s="12"/>
      <c r="B653" s="34"/>
      <c r="C653" s="12"/>
      <c r="D653" s="12"/>
      <c r="E653" s="12"/>
      <c r="F653" s="12"/>
      <c r="G653" s="18"/>
      <c r="H653" s="35"/>
      <c r="I653" s="12"/>
      <c r="M653" s="12"/>
      <c r="N653" s="18"/>
      <c r="O653" s="12"/>
      <c r="P653" s="12"/>
      <c r="Q653" s="12"/>
      <c r="R653" s="36"/>
      <c r="S653" s="36"/>
      <c r="T653" s="12"/>
      <c r="U653" s="12"/>
      <c r="V653" s="12"/>
      <c r="W653" s="12"/>
      <c r="X653" s="12"/>
    </row>
    <row r="654" customFormat="false" ht="15.75" hidden="false" customHeight="false" outlineLevel="0" collapsed="false">
      <c r="A654" s="12"/>
      <c r="B654" s="34"/>
      <c r="C654" s="12"/>
      <c r="D654" s="12"/>
      <c r="E654" s="12"/>
      <c r="F654" s="12"/>
      <c r="G654" s="18"/>
      <c r="H654" s="35"/>
      <c r="I654" s="12"/>
      <c r="M654" s="12"/>
      <c r="N654" s="18"/>
      <c r="O654" s="12"/>
      <c r="P654" s="12"/>
      <c r="Q654" s="12"/>
      <c r="R654" s="36"/>
      <c r="S654" s="36"/>
      <c r="T654" s="12"/>
      <c r="U654" s="12"/>
      <c r="V654" s="12"/>
      <c r="W654" s="12"/>
      <c r="X654" s="12"/>
    </row>
    <row r="655" customFormat="false" ht="15.75" hidden="false" customHeight="false" outlineLevel="0" collapsed="false">
      <c r="A655" s="12"/>
      <c r="B655" s="34"/>
      <c r="C655" s="12"/>
      <c r="D655" s="12"/>
      <c r="E655" s="12"/>
      <c r="F655" s="12"/>
      <c r="G655" s="18"/>
      <c r="H655" s="35"/>
      <c r="I655" s="12"/>
      <c r="M655" s="12"/>
      <c r="N655" s="18"/>
      <c r="O655" s="12"/>
      <c r="P655" s="12"/>
      <c r="Q655" s="12"/>
      <c r="R655" s="36"/>
      <c r="S655" s="36"/>
      <c r="T655" s="12"/>
      <c r="U655" s="12"/>
      <c r="V655" s="12"/>
      <c r="W655" s="12"/>
      <c r="X655" s="12"/>
    </row>
    <row r="656" customFormat="false" ht="15.75" hidden="false" customHeight="false" outlineLevel="0" collapsed="false">
      <c r="A656" s="12"/>
      <c r="B656" s="34"/>
      <c r="C656" s="12"/>
      <c r="D656" s="12"/>
      <c r="E656" s="12"/>
      <c r="F656" s="12"/>
      <c r="G656" s="18"/>
      <c r="H656" s="35"/>
      <c r="I656" s="12"/>
      <c r="M656" s="12"/>
      <c r="N656" s="18"/>
      <c r="O656" s="12"/>
      <c r="P656" s="12"/>
      <c r="Q656" s="12"/>
      <c r="R656" s="36"/>
      <c r="S656" s="36"/>
      <c r="T656" s="12"/>
      <c r="U656" s="12"/>
      <c r="V656" s="12"/>
      <c r="W656" s="12"/>
      <c r="X656" s="12"/>
    </row>
    <row r="657" customFormat="false" ht="15.75" hidden="false" customHeight="false" outlineLevel="0" collapsed="false">
      <c r="A657" s="12"/>
      <c r="B657" s="34"/>
      <c r="C657" s="12"/>
      <c r="D657" s="12"/>
      <c r="E657" s="12"/>
      <c r="F657" s="12"/>
      <c r="G657" s="18"/>
      <c r="H657" s="35"/>
      <c r="I657" s="12"/>
      <c r="M657" s="12"/>
      <c r="N657" s="18"/>
      <c r="O657" s="12"/>
      <c r="P657" s="12"/>
      <c r="Q657" s="12"/>
      <c r="R657" s="36"/>
      <c r="S657" s="36"/>
      <c r="T657" s="12"/>
      <c r="U657" s="12"/>
      <c r="V657" s="12"/>
      <c r="W657" s="12"/>
      <c r="X657" s="12"/>
    </row>
    <row r="658" customFormat="false" ht="15.75" hidden="false" customHeight="false" outlineLevel="0" collapsed="false">
      <c r="A658" s="12"/>
      <c r="B658" s="34"/>
      <c r="C658" s="12"/>
      <c r="D658" s="12"/>
      <c r="E658" s="12"/>
      <c r="F658" s="12"/>
      <c r="G658" s="18"/>
      <c r="H658" s="35"/>
      <c r="I658" s="12"/>
      <c r="M658" s="12"/>
      <c r="N658" s="18"/>
      <c r="O658" s="12"/>
      <c r="P658" s="12"/>
      <c r="Q658" s="12"/>
      <c r="R658" s="36"/>
      <c r="S658" s="36"/>
      <c r="T658" s="12"/>
      <c r="U658" s="12"/>
      <c r="V658" s="12"/>
      <c r="W658" s="12"/>
      <c r="X658" s="12"/>
    </row>
    <row r="659" customFormat="false" ht="15.75" hidden="false" customHeight="false" outlineLevel="0" collapsed="false">
      <c r="A659" s="12"/>
      <c r="B659" s="34"/>
      <c r="C659" s="12"/>
      <c r="D659" s="12"/>
      <c r="E659" s="12"/>
      <c r="F659" s="12"/>
      <c r="G659" s="18"/>
      <c r="H659" s="35"/>
      <c r="I659" s="12"/>
      <c r="M659" s="12"/>
      <c r="N659" s="18"/>
      <c r="O659" s="12"/>
      <c r="P659" s="12"/>
      <c r="Q659" s="12"/>
      <c r="R659" s="36"/>
      <c r="S659" s="36"/>
      <c r="T659" s="12"/>
      <c r="U659" s="12"/>
      <c r="V659" s="12"/>
      <c r="W659" s="12"/>
      <c r="X659" s="12"/>
    </row>
    <row r="660" customFormat="false" ht="15.75" hidden="false" customHeight="false" outlineLevel="0" collapsed="false">
      <c r="A660" s="12"/>
      <c r="B660" s="34"/>
      <c r="C660" s="12"/>
      <c r="D660" s="12"/>
      <c r="E660" s="12"/>
      <c r="F660" s="12"/>
      <c r="G660" s="18"/>
      <c r="H660" s="35"/>
      <c r="I660" s="12"/>
      <c r="M660" s="12"/>
      <c r="N660" s="18"/>
      <c r="O660" s="12"/>
      <c r="P660" s="12"/>
      <c r="Q660" s="12"/>
      <c r="R660" s="36"/>
      <c r="S660" s="36"/>
      <c r="T660" s="12"/>
      <c r="U660" s="12"/>
      <c r="V660" s="12"/>
      <c r="W660" s="12"/>
      <c r="X660" s="12"/>
    </row>
    <row r="661" customFormat="false" ht="15.75" hidden="false" customHeight="false" outlineLevel="0" collapsed="false">
      <c r="A661" s="12"/>
      <c r="B661" s="34"/>
      <c r="C661" s="12"/>
      <c r="D661" s="12"/>
      <c r="E661" s="12"/>
      <c r="F661" s="12"/>
      <c r="G661" s="18"/>
      <c r="H661" s="35"/>
      <c r="I661" s="12"/>
      <c r="M661" s="12"/>
      <c r="N661" s="18"/>
      <c r="O661" s="12"/>
      <c r="P661" s="12"/>
      <c r="Q661" s="12"/>
      <c r="R661" s="36"/>
      <c r="S661" s="36"/>
      <c r="T661" s="12"/>
      <c r="U661" s="12"/>
      <c r="V661" s="12"/>
      <c r="W661" s="12"/>
      <c r="X661" s="12"/>
    </row>
    <row r="662" customFormat="false" ht="15.75" hidden="false" customHeight="false" outlineLevel="0" collapsed="false">
      <c r="A662" s="12"/>
      <c r="B662" s="34"/>
      <c r="C662" s="12"/>
      <c r="D662" s="12"/>
      <c r="E662" s="12"/>
      <c r="F662" s="12"/>
      <c r="G662" s="18"/>
      <c r="H662" s="35"/>
      <c r="I662" s="12"/>
      <c r="M662" s="12"/>
      <c r="N662" s="18"/>
      <c r="O662" s="12"/>
      <c r="P662" s="12"/>
      <c r="Q662" s="12"/>
      <c r="R662" s="36"/>
      <c r="S662" s="36"/>
      <c r="T662" s="12"/>
      <c r="U662" s="12"/>
      <c r="V662" s="12"/>
      <c r="W662" s="12"/>
      <c r="X662" s="12"/>
    </row>
    <row r="663" customFormat="false" ht="15.75" hidden="false" customHeight="false" outlineLevel="0" collapsed="false">
      <c r="A663" s="12"/>
      <c r="B663" s="34"/>
      <c r="C663" s="12"/>
      <c r="D663" s="12"/>
      <c r="E663" s="12"/>
      <c r="F663" s="12"/>
      <c r="G663" s="18"/>
      <c r="H663" s="35"/>
      <c r="I663" s="12"/>
      <c r="M663" s="12"/>
      <c r="N663" s="18"/>
      <c r="O663" s="12"/>
      <c r="P663" s="12"/>
      <c r="Q663" s="12"/>
      <c r="R663" s="36"/>
      <c r="S663" s="36"/>
      <c r="T663" s="12"/>
      <c r="U663" s="12"/>
      <c r="V663" s="12"/>
      <c r="W663" s="12"/>
      <c r="X663" s="12"/>
    </row>
    <row r="664" customFormat="false" ht="15.75" hidden="false" customHeight="false" outlineLevel="0" collapsed="false">
      <c r="A664" s="12"/>
      <c r="B664" s="34"/>
      <c r="C664" s="12"/>
      <c r="D664" s="12"/>
      <c r="E664" s="12"/>
      <c r="F664" s="12"/>
      <c r="G664" s="18"/>
      <c r="H664" s="35"/>
      <c r="I664" s="12"/>
      <c r="M664" s="12"/>
      <c r="N664" s="18"/>
      <c r="O664" s="12"/>
      <c r="P664" s="12"/>
      <c r="Q664" s="12"/>
      <c r="R664" s="36"/>
      <c r="S664" s="36"/>
      <c r="T664" s="12"/>
      <c r="U664" s="12"/>
      <c r="V664" s="12"/>
      <c r="W664" s="12"/>
      <c r="X664" s="12"/>
    </row>
    <row r="665" customFormat="false" ht="15.75" hidden="false" customHeight="false" outlineLevel="0" collapsed="false">
      <c r="A665" s="12"/>
      <c r="B665" s="34"/>
      <c r="C665" s="12"/>
      <c r="D665" s="12"/>
      <c r="E665" s="12"/>
      <c r="F665" s="12"/>
      <c r="G665" s="18"/>
      <c r="H665" s="35"/>
      <c r="I665" s="12"/>
      <c r="M665" s="12"/>
      <c r="N665" s="18"/>
      <c r="O665" s="12"/>
      <c r="P665" s="12"/>
      <c r="Q665" s="12"/>
      <c r="R665" s="36"/>
      <c r="S665" s="36"/>
      <c r="T665" s="12"/>
      <c r="U665" s="12"/>
      <c r="V665" s="12"/>
      <c r="W665" s="12"/>
      <c r="X665" s="12"/>
    </row>
    <row r="666" customFormat="false" ht="15.75" hidden="false" customHeight="false" outlineLevel="0" collapsed="false">
      <c r="A666" s="12"/>
      <c r="B666" s="34"/>
      <c r="C666" s="12"/>
      <c r="D666" s="12"/>
      <c r="E666" s="12"/>
      <c r="F666" s="12"/>
      <c r="G666" s="18"/>
      <c r="H666" s="35"/>
      <c r="I666" s="12"/>
      <c r="M666" s="12"/>
      <c r="N666" s="18"/>
      <c r="O666" s="12"/>
      <c r="P666" s="12"/>
      <c r="Q666" s="12"/>
      <c r="R666" s="36"/>
      <c r="S666" s="36"/>
      <c r="T666" s="12"/>
      <c r="U666" s="12"/>
      <c r="V666" s="12"/>
      <c r="W666" s="12"/>
      <c r="X666" s="12"/>
    </row>
    <row r="667" customFormat="false" ht="15.75" hidden="false" customHeight="false" outlineLevel="0" collapsed="false">
      <c r="A667" s="12"/>
      <c r="B667" s="34"/>
      <c r="C667" s="12"/>
      <c r="D667" s="12"/>
      <c r="E667" s="12"/>
      <c r="F667" s="12"/>
      <c r="G667" s="18"/>
      <c r="H667" s="35"/>
      <c r="I667" s="12"/>
      <c r="M667" s="12"/>
      <c r="N667" s="18"/>
      <c r="O667" s="12"/>
      <c r="P667" s="12"/>
      <c r="Q667" s="12"/>
      <c r="R667" s="36"/>
      <c r="S667" s="36"/>
      <c r="T667" s="12"/>
      <c r="U667" s="12"/>
      <c r="V667" s="12"/>
      <c r="W667" s="12"/>
      <c r="X667" s="12"/>
    </row>
    <row r="668" customFormat="false" ht="15.75" hidden="false" customHeight="false" outlineLevel="0" collapsed="false">
      <c r="A668" s="12"/>
      <c r="B668" s="34"/>
      <c r="C668" s="12"/>
      <c r="D668" s="12"/>
      <c r="E668" s="12"/>
      <c r="F668" s="12"/>
      <c r="G668" s="18"/>
      <c r="H668" s="35"/>
      <c r="I668" s="12"/>
      <c r="M668" s="12"/>
      <c r="N668" s="18"/>
      <c r="O668" s="12"/>
      <c r="P668" s="12"/>
      <c r="Q668" s="12"/>
      <c r="R668" s="36"/>
      <c r="S668" s="36"/>
      <c r="T668" s="12"/>
      <c r="U668" s="12"/>
      <c r="V668" s="12"/>
      <c r="W668" s="12"/>
      <c r="X668" s="12"/>
    </row>
    <row r="669" customFormat="false" ht="15.75" hidden="false" customHeight="false" outlineLevel="0" collapsed="false">
      <c r="A669" s="12"/>
      <c r="B669" s="34"/>
      <c r="C669" s="12"/>
      <c r="D669" s="12"/>
      <c r="E669" s="12"/>
      <c r="F669" s="12"/>
      <c r="G669" s="18"/>
      <c r="H669" s="35"/>
      <c r="I669" s="12"/>
      <c r="M669" s="12"/>
      <c r="N669" s="18"/>
      <c r="O669" s="12"/>
      <c r="P669" s="12"/>
      <c r="Q669" s="12"/>
      <c r="R669" s="36"/>
      <c r="S669" s="36"/>
      <c r="T669" s="12"/>
      <c r="U669" s="12"/>
      <c r="V669" s="12"/>
      <c r="W669" s="12"/>
      <c r="X669" s="12"/>
    </row>
    <row r="670" customFormat="false" ht="15.75" hidden="false" customHeight="false" outlineLevel="0" collapsed="false">
      <c r="A670" s="12"/>
      <c r="B670" s="34"/>
      <c r="C670" s="12"/>
      <c r="D670" s="12"/>
      <c r="E670" s="12"/>
      <c r="F670" s="12"/>
      <c r="G670" s="18"/>
      <c r="H670" s="35"/>
      <c r="I670" s="12"/>
      <c r="M670" s="12"/>
      <c r="N670" s="18"/>
      <c r="O670" s="12"/>
      <c r="P670" s="12"/>
      <c r="Q670" s="12"/>
      <c r="R670" s="36"/>
      <c r="S670" s="36"/>
      <c r="T670" s="12"/>
      <c r="U670" s="12"/>
      <c r="V670" s="12"/>
      <c r="W670" s="12"/>
      <c r="X670" s="12"/>
    </row>
    <row r="671" customFormat="false" ht="15.75" hidden="false" customHeight="false" outlineLevel="0" collapsed="false">
      <c r="A671" s="12"/>
      <c r="B671" s="34"/>
      <c r="C671" s="12"/>
      <c r="D671" s="12"/>
      <c r="E671" s="12"/>
      <c r="F671" s="12"/>
      <c r="G671" s="18"/>
      <c r="H671" s="35"/>
      <c r="I671" s="12"/>
      <c r="M671" s="12"/>
      <c r="N671" s="18"/>
      <c r="O671" s="12"/>
      <c r="P671" s="12"/>
      <c r="Q671" s="12"/>
      <c r="R671" s="36"/>
      <c r="S671" s="36"/>
      <c r="T671" s="12"/>
      <c r="U671" s="12"/>
      <c r="V671" s="12"/>
      <c r="W671" s="12"/>
      <c r="X671" s="12"/>
    </row>
    <row r="672" customFormat="false" ht="15.75" hidden="false" customHeight="false" outlineLevel="0" collapsed="false">
      <c r="A672" s="12"/>
      <c r="B672" s="34"/>
      <c r="C672" s="12"/>
      <c r="D672" s="12"/>
      <c r="E672" s="12"/>
      <c r="F672" s="12"/>
      <c r="G672" s="18"/>
      <c r="H672" s="35"/>
      <c r="I672" s="12"/>
      <c r="M672" s="12"/>
      <c r="N672" s="18"/>
      <c r="O672" s="12"/>
      <c r="P672" s="12"/>
      <c r="Q672" s="12"/>
      <c r="R672" s="36"/>
      <c r="S672" s="36"/>
      <c r="T672" s="12"/>
      <c r="U672" s="12"/>
      <c r="V672" s="12"/>
      <c r="W672" s="12"/>
      <c r="X672" s="12"/>
    </row>
    <row r="673" customFormat="false" ht="15.75" hidden="false" customHeight="false" outlineLevel="0" collapsed="false">
      <c r="A673" s="12"/>
      <c r="B673" s="34"/>
      <c r="C673" s="12"/>
      <c r="D673" s="12"/>
      <c r="E673" s="12"/>
      <c r="F673" s="12"/>
      <c r="G673" s="18"/>
      <c r="H673" s="35"/>
      <c r="I673" s="12"/>
      <c r="M673" s="12"/>
      <c r="N673" s="18"/>
      <c r="O673" s="12"/>
      <c r="P673" s="12"/>
      <c r="Q673" s="12"/>
      <c r="R673" s="36"/>
      <c r="S673" s="36"/>
      <c r="T673" s="12"/>
      <c r="U673" s="12"/>
      <c r="V673" s="12"/>
      <c r="W673" s="12"/>
      <c r="X673" s="12"/>
    </row>
    <row r="674" customFormat="false" ht="15.75" hidden="false" customHeight="false" outlineLevel="0" collapsed="false">
      <c r="A674" s="12"/>
      <c r="B674" s="34"/>
      <c r="C674" s="12"/>
      <c r="D674" s="12"/>
      <c r="E674" s="12"/>
      <c r="F674" s="12"/>
      <c r="G674" s="18"/>
      <c r="H674" s="35"/>
      <c r="I674" s="12"/>
      <c r="M674" s="12"/>
      <c r="N674" s="18"/>
      <c r="O674" s="12"/>
      <c r="P674" s="12"/>
      <c r="Q674" s="12"/>
      <c r="R674" s="36"/>
      <c r="S674" s="36"/>
      <c r="T674" s="12"/>
      <c r="U674" s="12"/>
      <c r="V674" s="12"/>
      <c r="W674" s="12"/>
      <c r="X674" s="12"/>
    </row>
    <row r="675" customFormat="false" ht="15.75" hidden="false" customHeight="false" outlineLevel="0" collapsed="false">
      <c r="A675" s="12"/>
      <c r="B675" s="34"/>
      <c r="C675" s="12"/>
      <c r="D675" s="12"/>
      <c r="E675" s="12"/>
      <c r="F675" s="12"/>
      <c r="G675" s="18"/>
      <c r="H675" s="35"/>
      <c r="I675" s="12"/>
      <c r="M675" s="12"/>
      <c r="N675" s="18"/>
      <c r="O675" s="12"/>
      <c r="P675" s="12"/>
      <c r="Q675" s="12"/>
      <c r="R675" s="36"/>
      <c r="S675" s="36"/>
      <c r="T675" s="12"/>
      <c r="U675" s="12"/>
      <c r="V675" s="12"/>
      <c r="W675" s="12"/>
      <c r="X675" s="12"/>
    </row>
    <row r="676" customFormat="false" ht="15.75" hidden="false" customHeight="false" outlineLevel="0" collapsed="false">
      <c r="A676" s="12"/>
      <c r="B676" s="34"/>
      <c r="C676" s="12"/>
      <c r="D676" s="12"/>
      <c r="E676" s="12"/>
      <c r="F676" s="12"/>
      <c r="G676" s="18"/>
      <c r="H676" s="35"/>
      <c r="I676" s="12"/>
      <c r="M676" s="12"/>
      <c r="N676" s="18"/>
      <c r="O676" s="12"/>
      <c r="P676" s="12"/>
      <c r="Q676" s="12"/>
      <c r="R676" s="36"/>
      <c r="S676" s="36"/>
      <c r="T676" s="12"/>
      <c r="U676" s="12"/>
      <c r="V676" s="12"/>
      <c r="W676" s="12"/>
      <c r="X676" s="12"/>
    </row>
    <row r="677" customFormat="false" ht="15.75" hidden="false" customHeight="false" outlineLevel="0" collapsed="false">
      <c r="A677" s="12"/>
      <c r="B677" s="34"/>
      <c r="C677" s="12"/>
      <c r="D677" s="12"/>
      <c r="E677" s="12"/>
      <c r="F677" s="12"/>
      <c r="G677" s="18"/>
      <c r="H677" s="35"/>
      <c r="I677" s="12"/>
      <c r="M677" s="12"/>
      <c r="N677" s="18"/>
      <c r="O677" s="12"/>
      <c r="P677" s="12"/>
      <c r="Q677" s="12"/>
      <c r="R677" s="36"/>
      <c r="S677" s="36"/>
      <c r="T677" s="12"/>
      <c r="U677" s="12"/>
      <c r="V677" s="12"/>
      <c r="W677" s="12"/>
      <c r="X677" s="12"/>
    </row>
    <row r="678" customFormat="false" ht="15.75" hidden="false" customHeight="false" outlineLevel="0" collapsed="false">
      <c r="A678" s="12"/>
      <c r="B678" s="34"/>
      <c r="C678" s="12"/>
      <c r="D678" s="12"/>
      <c r="E678" s="12"/>
      <c r="F678" s="12"/>
      <c r="G678" s="18"/>
      <c r="H678" s="35"/>
      <c r="I678" s="12"/>
      <c r="M678" s="12"/>
      <c r="N678" s="18"/>
      <c r="O678" s="12"/>
      <c r="P678" s="12"/>
      <c r="Q678" s="12"/>
      <c r="R678" s="36"/>
      <c r="S678" s="36"/>
      <c r="T678" s="12"/>
      <c r="U678" s="12"/>
      <c r="V678" s="12"/>
      <c r="W678" s="12"/>
      <c r="X678" s="12"/>
    </row>
    <row r="679" customFormat="false" ht="15.75" hidden="false" customHeight="false" outlineLevel="0" collapsed="false">
      <c r="A679" s="12"/>
      <c r="B679" s="34"/>
      <c r="C679" s="12"/>
      <c r="D679" s="12"/>
      <c r="E679" s="12"/>
      <c r="F679" s="12"/>
      <c r="G679" s="18"/>
      <c r="H679" s="35"/>
      <c r="I679" s="12"/>
      <c r="M679" s="12"/>
      <c r="N679" s="18"/>
      <c r="O679" s="12"/>
      <c r="P679" s="12"/>
      <c r="Q679" s="12"/>
      <c r="R679" s="36"/>
      <c r="S679" s="36"/>
      <c r="T679" s="12"/>
      <c r="U679" s="12"/>
      <c r="V679" s="12"/>
      <c r="W679" s="12"/>
      <c r="X679" s="12"/>
    </row>
    <row r="680" customFormat="false" ht="15.75" hidden="false" customHeight="false" outlineLevel="0" collapsed="false">
      <c r="A680" s="12"/>
      <c r="B680" s="34"/>
      <c r="C680" s="12"/>
      <c r="D680" s="12"/>
      <c r="E680" s="12"/>
      <c r="F680" s="12"/>
      <c r="G680" s="18"/>
      <c r="H680" s="35"/>
      <c r="I680" s="12"/>
      <c r="M680" s="12"/>
      <c r="N680" s="18"/>
      <c r="O680" s="12"/>
      <c r="P680" s="12"/>
      <c r="Q680" s="12"/>
      <c r="R680" s="36"/>
      <c r="S680" s="36"/>
      <c r="T680" s="12"/>
      <c r="U680" s="12"/>
      <c r="V680" s="12"/>
      <c r="W680" s="12"/>
      <c r="X680" s="12"/>
    </row>
    <row r="681" customFormat="false" ht="15.75" hidden="false" customHeight="false" outlineLevel="0" collapsed="false">
      <c r="A681" s="12"/>
      <c r="B681" s="34"/>
      <c r="C681" s="12"/>
      <c r="D681" s="12"/>
      <c r="E681" s="12"/>
      <c r="F681" s="12"/>
      <c r="G681" s="18"/>
      <c r="H681" s="35"/>
      <c r="I681" s="12"/>
      <c r="M681" s="12"/>
      <c r="N681" s="18"/>
      <c r="O681" s="12"/>
      <c r="P681" s="12"/>
      <c r="Q681" s="12"/>
      <c r="R681" s="36"/>
      <c r="S681" s="36"/>
      <c r="T681" s="12"/>
      <c r="U681" s="12"/>
      <c r="V681" s="12"/>
      <c r="W681" s="12"/>
      <c r="X681" s="12"/>
    </row>
    <row r="682" customFormat="false" ht="15.75" hidden="false" customHeight="false" outlineLevel="0" collapsed="false">
      <c r="A682" s="12"/>
      <c r="B682" s="34"/>
      <c r="C682" s="12"/>
      <c r="D682" s="12"/>
      <c r="E682" s="12"/>
      <c r="F682" s="12"/>
      <c r="G682" s="18"/>
      <c r="H682" s="35"/>
      <c r="I682" s="12"/>
      <c r="M682" s="12"/>
      <c r="N682" s="18"/>
      <c r="O682" s="12"/>
      <c r="P682" s="12"/>
      <c r="Q682" s="12"/>
      <c r="R682" s="36"/>
      <c r="S682" s="36"/>
      <c r="T682" s="12"/>
      <c r="U682" s="12"/>
      <c r="V682" s="12"/>
      <c r="W682" s="12"/>
      <c r="X682" s="12"/>
    </row>
    <row r="683" customFormat="false" ht="15.75" hidden="false" customHeight="false" outlineLevel="0" collapsed="false">
      <c r="A683" s="12"/>
      <c r="B683" s="34"/>
      <c r="C683" s="12"/>
      <c r="D683" s="12"/>
      <c r="E683" s="12"/>
      <c r="F683" s="12"/>
      <c r="G683" s="18"/>
      <c r="H683" s="35"/>
      <c r="I683" s="12"/>
      <c r="M683" s="12"/>
      <c r="N683" s="18"/>
      <c r="O683" s="12"/>
      <c r="P683" s="12"/>
      <c r="Q683" s="12"/>
      <c r="R683" s="36"/>
      <c r="S683" s="36"/>
      <c r="T683" s="12"/>
      <c r="U683" s="12"/>
      <c r="V683" s="12"/>
      <c r="W683" s="12"/>
      <c r="X683" s="12"/>
    </row>
    <row r="684" customFormat="false" ht="15.75" hidden="false" customHeight="false" outlineLevel="0" collapsed="false">
      <c r="A684" s="12"/>
      <c r="B684" s="34"/>
      <c r="C684" s="12"/>
      <c r="D684" s="12"/>
      <c r="E684" s="12"/>
      <c r="F684" s="12"/>
      <c r="G684" s="18"/>
      <c r="H684" s="35"/>
      <c r="I684" s="12"/>
      <c r="M684" s="12"/>
      <c r="N684" s="18"/>
      <c r="O684" s="12"/>
      <c r="P684" s="12"/>
      <c r="Q684" s="12"/>
      <c r="R684" s="36"/>
      <c r="S684" s="36"/>
      <c r="T684" s="12"/>
      <c r="U684" s="12"/>
      <c r="V684" s="12"/>
      <c r="W684" s="12"/>
      <c r="X684" s="12"/>
    </row>
    <row r="685" customFormat="false" ht="15.75" hidden="false" customHeight="false" outlineLevel="0" collapsed="false">
      <c r="A685" s="12"/>
      <c r="B685" s="34"/>
      <c r="C685" s="12"/>
      <c r="D685" s="12"/>
      <c r="E685" s="12"/>
      <c r="F685" s="12"/>
      <c r="G685" s="18"/>
      <c r="H685" s="35"/>
      <c r="I685" s="12"/>
      <c r="M685" s="12"/>
      <c r="N685" s="18"/>
      <c r="O685" s="12"/>
      <c r="P685" s="12"/>
      <c r="Q685" s="12"/>
      <c r="R685" s="36"/>
      <c r="S685" s="36"/>
      <c r="T685" s="12"/>
      <c r="U685" s="12"/>
      <c r="V685" s="12"/>
      <c r="W685" s="12"/>
      <c r="X685" s="12"/>
    </row>
    <row r="686" customFormat="false" ht="15.75" hidden="false" customHeight="false" outlineLevel="0" collapsed="false">
      <c r="A686" s="12"/>
      <c r="B686" s="34"/>
      <c r="C686" s="12"/>
      <c r="D686" s="12"/>
      <c r="E686" s="12"/>
      <c r="F686" s="12"/>
      <c r="G686" s="18"/>
      <c r="H686" s="35"/>
      <c r="I686" s="12"/>
      <c r="M686" s="12"/>
      <c r="N686" s="18"/>
      <c r="O686" s="12"/>
      <c r="P686" s="12"/>
      <c r="Q686" s="12"/>
      <c r="R686" s="36"/>
      <c r="S686" s="36"/>
      <c r="T686" s="12"/>
      <c r="U686" s="12"/>
      <c r="V686" s="12"/>
      <c r="W686" s="12"/>
      <c r="X686" s="12"/>
    </row>
    <row r="687" customFormat="false" ht="15.75" hidden="false" customHeight="false" outlineLevel="0" collapsed="false">
      <c r="A687" s="12"/>
      <c r="B687" s="34"/>
      <c r="C687" s="12"/>
      <c r="D687" s="12"/>
      <c r="E687" s="12"/>
      <c r="F687" s="12"/>
      <c r="G687" s="18"/>
      <c r="H687" s="35"/>
      <c r="I687" s="12"/>
      <c r="M687" s="12"/>
      <c r="N687" s="18"/>
      <c r="O687" s="12"/>
      <c r="P687" s="12"/>
      <c r="Q687" s="12"/>
      <c r="R687" s="36"/>
      <c r="S687" s="36"/>
      <c r="T687" s="12"/>
      <c r="U687" s="12"/>
      <c r="V687" s="12"/>
      <c r="W687" s="12"/>
      <c r="X687" s="12"/>
    </row>
    <row r="688" customFormat="false" ht="15.75" hidden="false" customHeight="false" outlineLevel="0" collapsed="false">
      <c r="A688" s="12"/>
      <c r="B688" s="34"/>
      <c r="C688" s="12"/>
      <c r="D688" s="12"/>
      <c r="E688" s="12"/>
      <c r="F688" s="12"/>
      <c r="G688" s="18"/>
      <c r="H688" s="35"/>
      <c r="I688" s="12"/>
      <c r="M688" s="12"/>
      <c r="N688" s="18"/>
      <c r="O688" s="12"/>
      <c r="P688" s="12"/>
      <c r="Q688" s="12"/>
      <c r="R688" s="36"/>
      <c r="S688" s="36"/>
      <c r="T688" s="12"/>
      <c r="U688" s="12"/>
      <c r="V688" s="12"/>
      <c r="W688" s="12"/>
      <c r="X688" s="12"/>
    </row>
    <row r="689" customFormat="false" ht="15.75" hidden="false" customHeight="false" outlineLevel="0" collapsed="false">
      <c r="A689" s="12"/>
      <c r="B689" s="34"/>
      <c r="C689" s="12"/>
      <c r="D689" s="12"/>
      <c r="E689" s="12"/>
      <c r="F689" s="12"/>
      <c r="G689" s="18"/>
      <c r="H689" s="35"/>
      <c r="I689" s="12"/>
      <c r="M689" s="12"/>
      <c r="N689" s="18"/>
      <c r="O689" s="12"/>
      <c r="P689" s="12"/>
      <c r="Q689" s="12"/>
      <c r="R689" s="36"/>
      <c r="S689" s="36"/>
      <c r="T689" s="12"/>
      <c r="U689" s="12"/>
      <c r="V689" s="12"/>
      <c r="W689" s="12"/>
      <c r="X689" s="12"/>
    </row>
    <row r="690" customFormat="false" ht="15.75" hidden="false" customHeight="false" outlineLevel="0" collapsed="false">
      <c r="A690" s="12"/>
      <c r="B690" s="34"/>
      <c r="C690" s="12"/>
      <c r="D690" s="12"/>
      <c r="E690" s="12"/>
      <c r="F690" s="12"/>
      <c r="G690" s="18"/>
      <c r="H690" s="35"/>
      <c r="I690" s="12"/>
      <c r="M690" s="12"/>
      <c r="N690" s="18"/>
      <c r="O690" s="12"/>
      <c r="P690" s="12"/>
      <c r="Q690" s="12"/>
      <c r="R690" s="36"/>
      <c r="S690" s="36"/>
      <c r="T690" s="12"/>
      <c r="U690" s="12"/>
      <c r="V690" s="12"/>
      <c r="W690" s="12"/>
      <c r="X690" s="12"/>
    </row>
    <row r="691" customFormat="false" ht="15.75" hidden="false" customHeight="false" outlineLevel="0" collapsed="false">
      <c r="A691" s="12"/>
      <c r="B691" s="34"/>
      <c r="C691" s="12"/>
      <c r="D691" s="12"/>
      <c r="E691" s="12"/>
      <c r="F691" s="12"/>
      <c r="G691" s="18"/>
      <c r="H691" s="35"/>
      <c r="I691" s="12"/>
      <c r="M691" s="12"/>
      <c r="N691" s="18"/>
      <c r="O691" s="12"/>
      <c r="P691" s="12"/>
      <c r="Q691" s="12"/>
      <c r="R691" s="36"/>
      <c r="S691" s="36"/>
      <c r="T691" s="12"/>
      <c r="U691" s="12"/>
      <c r="V691" s="12"/>
      <c r="W691" s="12"/>
      <c r="X691" s="12"/>
    </row>
    <row r="692" customFormat="false" ht="15.75" hidden="false" customHeight="false" outlineLevel="0" collapsed="false">
      <c r="A692" s="12"/>
      <c r="B692" s="34"/>
      <c r="C692" s="12"/>
      <c r="D692" s="12"/>
      <c r="E692" s="12"/>
      <c r="F692" s="12"/>
      <c r="G692" s="18"/>
      <c r="H692" s="35"/>
      <c r="I692" s="12"/>
      <c r="M692" s="12"/>
      <c r="N692" s="18"/>
      <c r="O692" s="12"/>
      <c r="P692" s="12"/>
      <c r="Q692" s="12"/>
      <c r="R692" s="36"/>
      <c r="S692" s="36"/>
      <c r="T692" s="12"/>
      <c r="U692" s="12"/>
      <c r="V692" s="12"/>
      <c r="W692" s="12"/>
      <c r="X692" s="12"/>
    </row>
    <row r="693" customFormat="false" ht="15.75" hidden="false" customHeight="false" outlineLevel="0" collapsed="false">
      <c r="A693" s="12"/>
      <c r="B693" s="34"/>
      <c r="C693" s="12"/>
      <c r="D693" s="12"/>
      <c r="E693" s="12"/>
      <c r="F693" s="12"/>
      <c r="G693" s="18"/>
      <c r="H693" s="35"/>
      <c r="I693" s="12"/>
      <c r="M693" s="12"/>
      <c r="N693" s="18"/>
      <c r="O693" s="12"/>
      <c r="P693" s="12"/>
      <c r="Q693" s="12"/>
      <c r="R693" s="36"/>
      <c r="S693" s="36"/>
      <c r="T693" s="12"/>
      <c r="U693" s="12"/>
      <c r="V693" s="12"/>
      <c r="W693" s="12"/>
      <c r="X693" s="12"/>
    </row>
    <row r="694" customFormat="false" ht="15.75" hidden="false" customHeight="false" outlineLevel="0" collapsed="false">
      <c r="A694" s="12"/>
      <c r="B694" s="34"/>
      <c r="C694" s="12"/>
      <c r="D694" s="12"/>
      <c r="E694" s="12"/>
      <c r="F694" s="12"/>
      <c r="G694" s="18"/>
      <c r="H694" s="35"/>
      <c r="I694" s="12"/>
      <c r="M694" s="12"/>
      <c r="N694" s="18"/>
      <c r="O694" s="12"/>
      <c r="P694" s="12"/>
      <c r="Q694" s="12"/>
      <c r="R694" s="36"/>
      <c r="S694" s="36"/>
      <c r="T694" s="12"/>
      <c r="U694" s="12"/>
      <c r="V694" s="12"/>
      <c r="W694" s="12"/>
      <c r="X694" s="12"/>
    </row>
    <row r="695" customFormat="false" ht="15.75" hidden="false" customHeight="false" outlineLevel="0" collapsed="false">
      <c r="A695" s="12"/>
      <c r="B695" s="34"/>
      <c r="C695" s="12"/>
      <c r="D695" s="12"/>
      <c r="E695" s="12"/>
      <c r="F695" s="12"/>
      <c r="G695" s="18"/>
      <c r="H695" s="35"/>
      <c r="I695" s="12"/>
      <c r="M695" s="12"/>
      <c r="N695" s="18"/>
      <c r="O695" s="12"/>
      <c r="P695" s="12"/>
      <c r="Q695" s="12"/>
      <c r="R695" s="36"/>
      <c r="S695" s="36"/>
      <c r="T695" s="12"/>
      <c r="U695" s="12"/>
      <c r="V695" s="12"/>
      <c r="W695" s="12"/>
      <c r="X695" s="12"/>
    </row>
    <row r="696" customFormat="false" ht="15.75" hidden="false" customHeight="false" outlineLevel="0" collapsed="false">
      <c r="A696" s="12"/>
      <c r="B696" s="34"/>
      <c r="C696" s="12"/>
      <c r="D696" s="12"/>
      <c r="E696" s="12"/>
      <c r="F696" s="12"/>
      <c r="G696" s="18"/>
      <c r="H696" s="35"/>
      <c r="I696" s="12"/>
      <c r="M696" s="12"/>
      <c r="N696" s="18"/>
      <c r="O696" s="12"/>
      <c r="P696" s="12"/>
      <c r="Q696" s="12"/>
      <c r="R696" s="36"/>
      <c r="S696" s="36"/>
      <c r="T696" s="12"/>
      <c r="U696" s="12"/>
      <c r="V696" s="12"/>
      <c r="W696" s="12"/>
      <c r="X696" s="12"/>
    </row>
    <row r="697" customFormat="false" ht="15.75" hidden="false" customHeight="false" outlineLevel="0" collapsed="false">
      <c r="A697" s="12"/>
      <c r="B697" s="34"/>
      <c r="C697" s="12"/>
      <c r="D697" s="12"/>
      <c r="E697" s="12"/>
      <c r="F697" s="12"/>
      <c r="G697" s="18"/>
      <c r="H697" s="35"/>
      <c r="I697" s="12"/>
      <c r="M697" s="12"/>
      <c r="N697" s="18"/>
      <c r="O697" s="12"/>
      <c r="P697" s="12"/>
      <c r="Q697" s="12"/>
      <c r="R697" s="36"/>
      <c r="S697" s="36"/>
      <c r="T697" s="12"/>
      <c r="U697" s="12"/>
      <c r="V697" s="12"/>
      <c r="W697" s="12"/>
      <c r="X697" s="12"/>
    </row>
    <row r="698" customFormat="false" ht="15.75" hidden="false" customHeight="false" outlineLevel="0" collapsed="false">
      <c r="A698" s="12"/>
      <c r="B698" s="34"/>
      <c r="C698" s="12"/>
      <c r="D698" s="12"/>
      <c r="E698" s="12"/>
      <c r="F698" s="12"/>
      <c r="G698" s="18"/>
      <c r="H698" s="35"/>
      <c r="I698" s="12"/>
      <c r="M698" s="12"/>
      <c r="N698" s="18"/>
      <c r="O698" s="12"/>
      <c r="P698" s="12"/>
      <c r="Q698" s="12"/>
      <c r="R698" s="36"/>
      <c r="S698" s="36"/>
      <c r="T698" s="12"/>
      <c r="U698" s="12"/>
      <c r="V698" s="12"/>
      <c r="W698" s="12"/>
      <c r="X698" s="12"/>
    </row>
    <row r="699" customFormat="false" ht="15.75" hidden="false" customHeight="false" outlineLevel="0" collapsed="false">
      <c r="A699" s="12"/>
      <c r="B699" s="34"/>
      <c r="C699" s="12"/>
      <c r="D699" s="12"/>
      <c r="E699" s="12"/>
      <c r="F699" s="12"/>
      <c r="G699" s="18"/>
      <c r="H699" s="35"/>
      <c r="I699" s="12"/>
      <c r="M699" s="12"/>
      <c r="N699" s="18"/>
      <c r="O699" s="12"/>
      <c r="P699" s="12"/>
      <c r="Q699" s="12"/>
      <c r="R699" s="36"/>
      <c r="S699" s="36"/>
      <c r="T699" s="12"/>
      <c r="U699" s="12"/>
      <c r="V699" s="12"/>
      <c r="W699" s="12"/>
      <c r="X699" s="12"/>
    </row>
    <row r="700" customFormat="false" ht="15.75" hidden="false" customHeight="false" outlineLevel="0" collapsed="false">
      <c r="A700" s="12"/>
      <c r="B700" s="34"/>
      <c r="C700" s="12"/>
      <c r="D700" s="12"/>
      <c r="E700" s="12"/>
      <c r="F700" s="12"/>
      <c r="G700" s="18"/>
      <c r="H700" s="35"/>
      <c r="I700" s="12"/>
      <c r="M700" s="12"/>
      <c r="N700" s="18"/>
      <c r="O700" s="12"/>
      <c r="P700" s="12"/>
      <c r="Q700" s="12"/>
      <c r="R700" s="36"/>
      <c r="S700" s="36"/>
      <c r="T700" s="12"/>
      <c r="U700" s="12"/>
      <c r="V700" s="12"/>
      <c r="W700" s="12"/>
      <c r="X700" s="12"/>
    </row>
    <row r="701" customFormat="false" ht="15.75" hidden="false" customHeight="false" outlineLevel="0" collapsed="false">
      <c r="A701" s="12"/>
      <c r="B701" s="34"/>
      <c r="C701" s="12"/>
      <c r="D701" s="12"/>
      <c r="E701" s="12"/>
      <c r="F701" s="12"/>
      <c r="G701" s="18"/>
      <c r="H701" s="35"/>
      <c r="I701" s="12"/>
      <c r="M701" s="12"/>
      <c r="N701" s="18"/>
      <c r="O701" s="12"/>
      <c r="P701" s="12"/>
      <c r="Q701" s="12"/>
      <c r="R701" s="36"/>
      <c r="S701" s="36"/>
      <c r="T701" s="12"/>
      <c r="U701" s="12"/>
      <c r="V701" s="12"/>
      <c r="W701" s="12"/>
      <c r="X701" s="12"/>
    </row>
    <row r="702" customFormat="false" ht="15.75" hidden="false" customHeight="false" outlineLevel="0" collapsed="false">
      <c r="A702" s="12"/>
      <c r="B702" s="34"/>
      <c r="C702" s="12"/>
      <c r="D702" s="12"/>
      <c r="E702" s="12"/>
      <c r="F702" s="12"/>
      <c r="G702" s="18"/>
      <c r="H702" s="35"/>
      <c r="I702" s="12"/>
      <c r="M702" s="12"/>
      <c r="N702" s="18"/>
      <c r="O702" s="12"/>
      <c r="P702" s="12"/>
      <c r="Q702" s="12"/>
      <c r="R702" s="36"/>
      <c r="S702" s="36"/>
      <c r="T702" s="12"/>
      <c r="U702" s="12"/>
      <c r="V702" s="12"/>
      <c r="W702" s="12"/>
      <c r="X702" s="12"/>
    </row>
    <row r="703" customFormat="false" ht="15.75" hidden="false" customHeight="false" outlineLevel="0" collapsed="false">
      <c r="A703" s="12"/>
      <c r="B703" s="34"/>
      <c r="C703" s="12"/>
      <c r="D703" s="12"/>
      <c r="E703" s="12"/>
      <c r="F703" s="12"/>
      <c r="G703" s="18"/>
      <c r="H703" s="35"/>
      <c r="I703" s="12"/>
      <c r="M703" s="12"/>
      <c r="N703" s="18"/>
      <c r="O703" s="12"/>
      <c r="P703" s="12"/>
      <c r="Q703" s="12"/>
      <c r="R703" s="36"/>
      <c r="S703" s="36"/>
      <c r="T703" s="12"/>
      <c r="U703" s="12"/>
      <c r="V703" s="12"/>
      <c r="W703" s="12"/>
      <c r="X703" s="12"/>
    </row>
    <row r="704" customFormat="false" ht="15.75" hidden="false" customHeight="false" outlineLevel="0" collapsed="false">
      <c r="A704" s="12"/>
      <c r="B704" s="34"/>
      <c r="C704" s="12"/>
      <c r="D704" s="12"/>
      <c r="E704" s="12"/>
      <c r="F704" s="12"/>
      <c r="G704" s="18"/>
      <c r="H704" s="35"/>
      <c r="I704" s="12"/>
      <c r="M704" s="12"/>
      <c r="N704" s="18"/>
      <c r="O704" s="12"/>
      <c r="P704" s="12"/>
      <c r="Q704" s="12"/>
      <c r="R704" s="36"/>
      <c r="S704" s="36"/>
      <c r="T704" s="12"/>
      <c r="U704" s="12"/>
      <c r="V704" s="12"/>
      <c r="W704" s="12"/>
      <c r="X704" s="12"/>
    </row>
    <row r="705" customFormat="false" ht="15.75" hidden="false" customHeight="false" outlineLevel="0" collapsed="false">
      <c r="A705" s="12"/>
      <c r="B705" s="34"/>
      <c r="C705" s="12"/>
      <c r="D705" s="12"/>
      <c r="E705" s="12"/>
      <c r="F705" s="12"/>
      <c r="G705" s="18"/>
      <c r="H705" s="35"/>
      <c r="I705" s="12"/>
      <c r="M705" s="12"/>
      <c r="N705" s="18"/>
      <c r="O705" s="12"/>
      <c r="P705" s="12"/>
      <c r="Q705" s="12"/>
      <c r="R705" s="36"/>
      <c r="S705" s="36"/>
      <c r="T705" s="12"/>
      <c r="U705" s="12"/>
      <c r="V705" s="12"/>
      <c r="W705" s="12"/>
      <c r="X705" s="12"/>
    </row>
    <row r="706" customFormat="false" ht="15.75" hidden="false" customHeight="false" outlineLevel="0" collapsed="false">
      <c r="A706" s="12"/>
      <c r="B706" s="34"/>
      <c r="C706" s="12"/>
      <c r="D706" s="12"/>
      <c r="E706" s="12"/>
      <c r="F706" s="12"/>
      <c r="G706" s="18"/>
      <c r="H706" s="35"/>
      <c r="I706" s="12"/>
      <c r="M706" s="12"/>
      <c r="N706" s="18"/>
      <c r="O706" s="12"/>
      <c r="P706" s="12"/>
      <c r="Q706" s="12"/>
      <c r="R706" s="36"/>
      <c r="S706" s="36"/>
      <c r="T706" s="12"/>
      <c r="U706" s="12"/>
      <c r="V706" s="12"/>
      <c r="W706" s="12"/>
      <c r="X706" s="12"/>
    </row>
    <row r="707" customFormat="false" ht="15.75" hidden="false" customHeight="false" outlineLevel="0" collapsed="false">
      <c r="A707" s="12"/>
      <c r="B707" s="34"/>
      <c r="C707" s="12"/>
      <c r="D707" s="12"/>
      <c r="E707" s="12"/>
      <c r="F707" s="12"/>
      <c r="G707" s="18"/>
      <c r="H707" s="35"/>
      <c r="I707" s="12"/>
      <c r="M707" s="12"/>
      <c r="N707" s="18"/>
      <c r="O707" s="12"/>
      <c r="P707" s="12"/>
      <c r="Q707" s="12"/>
      <c r="R707" s="36"/>
      <c r="S707" s="36"/>
      <c r="T707" s="12"/>
      <c r="U707" s="12"/>
      <c r="V707" s="12"/>
      <c r="W707" s="12"/>
      <c r="X707" s="12"/>
    </row>
    <row r="708" customFormat="false" ht="15.75" hidden="false" customHeight="false" outlineLevel="0" collapsed="false">
      <c r="A708" s="12"/>
      <c r="B708" s="34"/>
      <c r="C708" s="12"/>
      <c r="D708" s="12"/>
      <c r="E708" s="12"/>
      <c r="F708" s="12"/>
      <c r="G708" s="18"/>
      <c r="H708" s="35"/>
      <c r="I708" s="12"/>
      <c r="M708" s="12"/>
      <c r="N708" s="18"/>
      <c r="O708" s="12"/>
      <c r="P708" s="12"/>
      <c r="Q708" s="12"/>
      <c r="R708" s="36"/>
      <c r="S708" s="36"/>
      <c r="T708" s="12"/>
      <c r="U708" s="12"/>
      <c r="V708" s="12"/>
      <c r="W708" s="12"/>
      <c r="X708" s="12"/>
    </row>
    <row r="709" customFormat="false" ht="15.75" hidden="false" customHeight="false" outlineLevel="0" collapsed="false">
      <c r="A709" s="12"/>
      <c r="B709" s="34"/>
      <c r="C709" s="12"/>
      <c r="D709" s="12"/>
      <c r="E709" s="12"/>
      <c r="F709" s="12"/>
      <c r="G709" s="18"/>
      <c r="H709" s="35"/>
      <c r="I709" s="12"/>
      <c r="M709" s="12"/>
      <c r="N709" s="18"/>
      <c r="O709" s="12"/>
      <c r="P709" s="12"/>
      <c r="Q709" s="12"/>
      <c r="R709" s="36"/>
      <c r="S709" s="36"/>
      <c r="T709" s="12"/>
      <c r="U709" s="12"/>
      <c r="V709" s="12"/>
      <c r="W709" s="12"/>
      <c r="X709" s="12"/>
    </row>
    <row r="710" customFormat="false" ht="15.75" hidden="false" customHeight="false" outlineLevel="0" collapsed="false">
      <c r="A710" s="12"/>
      <c r="B710" s="34"/>
      <c r="C710" s="12"/>
      <c r="D710" s="12"/>
      <c r="E710" s="12"/>
      <c r="F710" s="12"/>
      <c r="G710" s="18"/>
      <c r="H710" s="35"/>
      <c r="I710" s="12"/>
      <c r="M710" s="12"/>
      <c r="N710" s="18"/>
      <c r="O710" s="12"/>
      <c r="P710" s="12"/>
      <c r="Q710" s="12"/>
      <c r="R710" s="36"/>
      <c r="S710" s="36"/>
      <c r="T710" s="12"/>
      <c r="U710" s="12"/>
      <c r="V710" s="12"/>
      <c r="W710" s="12"/>
      <c r="X710" s="12"/>
    </row>
    <row r="711" customFormat="false" ht="15.75" hidden="false" customHeight="false" outlineLevel="0" collapsed="false">
      <c r="A711" s="12"/>
      <c r="B711" s="34"/>
      <c r="C711" s="12"/>
      <c r="D711" s="12"/>
      <c r="E711" s="12"/>
      <c r="F711" s="12"/>
      <c r="G711" s="18"/>
      <c r="H711" s="35"/>
      <c r="I711" s="12"/>
      <c r="M711" s="12"/>
      <c r="N711" s="18"/>
      <c r="O711" s="12"/>
      <c r="P711" s="12"/>
      <c r="Q711" s="12"/>
      <c r="R711" s="36"/>
      <c r="S711" s="36"/>
      <c r="T711" s="12"/>
      <c r="U711" s="12"/>
      <c r="V711" s="12"/>
      <c r="W711" s="12"/>
      <c r="X711" s="12"/>
    </row>
    <row r="712" customFormat="false" ht="15.75" hidden="false" customHeight="false" outlineLevel="0" collapsed="false">
      <c r="A712" s="12"/>
      <c r="B712" s="34"/>
      <c r="C712" s="12"/>
      <c r="D712" s="12"/>
      <c r="E712" s="12"/>
      <c r="F712" s="12"/>
      <c r="G712" s="18"/>
      <c r="H712" s="35"/>
      <c r="I712" s="12"/>
      <c r="M712" s="12"/>
      <c r="N712" s="18"/>
      <c r="O712" s="12"/>
      <c r="P712" s="12"/>
      <c r="Q712" s="12"/>
      <c r="R712" s="36"/>
      <c r="S712" s="36"/>
      <c r="T712" s="12"/>
      <c r="U712" s="12"/>
      <c r="V712" s="12"/>
      <c r="W712" s="12"/>
      <c r="X712" s="12"/>
    </row>
    <row r="713" customFormat="false" ht="15.75" hidden="false" customHeight="false" outlineLevel="0" collapsed="false">
      <c r="A713" s="12"/>
      <c r="B713" s="34"/>
      <c r="C713" s="12"/>
      <c r="D713" s="12"/>
      <c r="E713" s="12"/>
      <c r="F713" s="12"/>
      <c r="G713" s="18"/>
      <c r="H713" s="35"/>
      <c r="I713" s="12"/>
      <c r="M713" s="12"/>
      <c r="N713" s="18"/>
      <c r="O713" s="12"/>
      <c r="P713" s="12"/>
      <c r="Q713" s="12"/>
      <c r="R713" s="36"/>
      <c r="S713" s="36"/>
      <c r="T713" s="12"/>
      <c r="U713" s="12"/>
      <c r="V713" s="12"/>
      <c r="W713" s="12"/>
      <c r="X713" s="12"/>
    </row>
    <row r="714" customFormat="false" ht="15.75" hidden="false" customHeight="false" outlineLevel="0" collapsed="false">
      <c r="A714" s="12"/>
      <c r="B714" s="34"/>
      <c r="C714" s="12"/>
      <c r="D714" s="12"/>
      <c r="E714" s="12"/>
      <c r="F714" s="12"/>
      <c r="G714" s="18"/>
      <c r="H714" s="35"/>
      <c r="I714" s="12"/>
      <c r="M714" s="12"/>
      <c r="N714" s="18"/>
      <c r="O714" s="12"/>
      <c r="P714" s="12"/>
      <c r="Q714" s="12"/>
      <c r="R714" s="36"/>
      <c r="S714" s="36"/>
      <c r="T714" s="12"/>
      <c r="U714" s="12"/>
      <c r="V714" s="12"/>
      <c r="W714" s="12"/>
      <c r="X714" s="12"/>
    </row>
    <row r="715" customFormat="false" ht="15.75" hidden="false" customHeight="false" outlineLevel="0" collapsed="false">
      <c r="A715" s="12"/>
      <c r="B715" s="34"/>
      <c r="C715" s="12"/>
      <c r="D715" s="12"/>
      <c r="E715" s="12"/>
      <c r="F715" s="12"/>
      <c r="G715" s="18"/>
      <c r="H715" s="35"/>
      <c r="I715" s="12"/>
      <c r="M715" s="12"/>
      <c r="N715" s="18"/>
      <c r="O715" s="12"/>
      <c r="P715" s="12"/>
      <c r="Q715" s="12"/>
      <c r="R715" s="36"/>
      <c r="S715" s="36"/>
      <c r="T715" s="12"/>
      <c r="U715" s="12"/>
      <c r="V715" s="12"/>
      <c r="W715" s="12"/>
      <c r="X715" s="12"/>
    </row>
    <row r="716" customFormat="false" ht="15.75" hidden="false" customHeight="false" outlineLevel="0" collapsed="false">
      <c r="A716" s="12"/>
      <c r="B716" s="34"/>
      <c r="C716" s="12"/>
      <c r="D716" s="12"/>
      <c r="E716" s="12"/>
      <c r="F716" s="12"/>
      <c r="G716" s="18"/>
      <c r="H716" s="35"/>
      <c r="I716" s="12"/>
      <c r="M716" s="12"/>
      <c r="N716" s="18"/>
      <c r="O716" s="12"/>
      <c r="P716" s="12"/>
      <c r="Q716" s="12"/>
      <c r="R716" s="36"/>
      <c r="S716" s="36"/>
      <c r="T716" s="12"/>
      <c r="U716" s="12"/>
      <c r="V716" s="12"/>
      <c r="W716" s="12"/>
      <c r="X716" s="12"/>
    </row>
    <row r="717" customFormat="false" ht="15.75" hidden="false" customHeight="false" outlineLevel="0" collapsed="false">
      <c r="A717" s="12"/>
      <c r="B717" s="34"/>
      <c r="C717" s="12"/>
      <c r="D717" s="12"/>
      <c r="E717" s="12"/>
      <c r="F717" s="12"/>
      <c r="G717" s="18"/>
      <c r="H717" s="35"/>
      <c r="I717" s="12"/>
      <c r="M717" s="12"/>
      <c r="N717" s="18"/>
      <c r="O717" s="12"/>
      <c r="P717" s="12"/>
      <c r="Q717" s="12"/>
      <c r="R717" s="36"/>
      <c r="S717" s="36"/>
      <c r="T717" s="12"/>
      <c r="U717" s="12"/>
      <c r="V717" s="12"/>
      <c r="W717" s="12"/>
      <c r="X717" s="12"/>
    </row>
    <row r="718" customFormat="false" ht="15.75" hidden="false" customHeight="false" outlineLevel="0" collapsed="false">
      <c r="A718" s="12"/>
      <c r="B718" s="34"/>
      <c r="C718" s="12"/>
      <c r="D718" s="12"/>
      <c r="E718" s="12"/>
      <c r="F718" s="12"/>
      <c r="G718" s="18"/>
      <c r="H718" s="35"/>
      <c r="I718" s="12"/>
      <c r="M718" s="12"/>
      <c r="N718" s="18"/>
      <c r="O718" s="12"/>
      <c r="P718" s="12"/>
      <c r="Q718" s="12"/>
      <c r="R718" s="36"/>
      <c r="S718" s="36"/>
      <c r="T718" s="12"/>
      <c r="U718" s="12"/>
      <c r="V718" s="12"/>
      <c r="W718" s="12"/>
      <c r="X718" s="12"/>
    </row>
    <row r="719" customFormat="false" ht="15.75" hidden="false" customHeight="false" outlineLevel="0" collapsed="false">
      <c r="A719" s="12"/>
      <c r="B719" s="34"/>
      <c r="C719" s="12"/>
      <c r="D719" s="12"/>
      <c r="E719" s="12"/>
      <c r="F719" s="12"/>
      <c r="G719" s="18"/>
      <c r="H719" s="35"/>
      <c r="I719" s="12"/>
      <c r="M719" s="12"/>
      <c r="N719" s="18"/>
      <c r="O719" s="12"/>
      <c r="P719" s="12"/>
      <c r="Q719" s="12"/>
      <c r="R719" s="36"/>
      <c r="S719" s="36"/>
      <c r="T719" s="12"/>
      <c r="U719" s="12"/>
      <c r="V719" s="12"/>
      <c r="W719" s="12"/>
      <c r="X719" s="12"/>
    </row>
    <row r="720" customFormat="false" ht="15.75" hidden="false" customHeight="false" outlineLevel="0" collapsed="false">
      <c r="A720" s="12"/>
      <c r="B720" s="34"/>
      <c r="C720" s="12"/>
      <c r="D720" s="12"/>
      <c r="E720" s="12"/>
      <c r="F720" s="12"/>
      <c r="G720" s="18"/>
      <c r="H720" s="35"/>
      <c r="I720" s="12"/>
      <c r="M720" s="12"/>
      <c r="N720" s="18"/>
      <c r="O720" s="12"/>
      <c r="P720" s="12"/>
      <c r="Q720" s="12"/>
      <c r="R720" s="36"/>
      <c r="S720" s="36"/>
      <c r="T720" s="12"/>
      <c r="U720" s="12"/>
      <c r="V720" s="12"/>
      <c r="W720" s="12"/>
      <c r="X720" s="12"/>
    </row>
    <row r="721" customFormat="false" ht="15.75" hidden="false" customHeight="false" outlineLevel="0" collapsed="false">
      <c r="A721" s="12"/>
      <c r="B721" s="34"/>
      <c r="C721" s="12"/>
      <c r="D721" s="12"/>
      <c r="E721" s="12"/>
      <c r="F721" s="12"/>
      <c r="G721" s="18"/>
      <c r="H721" s="35"/>
      <c r="I721" s="12"/>
      <c r="M721" s="12"/>
      <c r="N721" s="18"/>
      <c r="O721" s="12"/>
      <c r="P721" s="12"/>
      <c r="Q721" s="12"/>
      <c r="R721" s="36"/>
      <c r="S721" s="36"/>
      <c r="T721" s="12"/>
      <c r="U721" s="12"/>
      <c r="V721" s="12"/>
      <c r="W721" s="12"/>
      <c r="X721" s="12"/>
    </row>
    <row r="722" customFormat="false" ht="15.75" hidden="false" customHeight="false" outlineLevel="0" collapsed="false">
      <c r="A722" s="12"/>
      <c r="B722" s="34"/>
      <c r="C722" s="12"/>
      <c r="D722" s="12"/>
      <c r="E722" s="12"/>
      <c r="F722" s="12"/>
      <c r="G722" s="18"/>
      <c r="H722" s="35"/>
      <c r="I722" s="12"/>
      <c r="M722" s="12"/>
      <c r="N722" s="18"/>
      <c r="O722" s="12"/>
      <c r="P722" s="12"/>
      <c r="Q722" s="12"/>
      <c r="R722" s="36"/>
      <c r="S722" s="36"/>
      <c r="T722" s="12"/>
      <c r="U722" s="12"/>
      <c r="V722" s="12"/>
      <c r="W722" s="12"/>
      <c r="X722" s="12"/>
    </row>
    <row r="723" customFormat="false" ht="15.75" hidden="false" customHeight="false" outlineLevel="0" collapsed="false">
      <c r="A723" s="12"/>
      <c r="B723" s="34"/>
      <c r="C723" s="12"/>
      <c r="D723" s="12"/>
      <c r="E723" s="12"/>
      <c r="F723" s="12"/>
      <c r="G723" s="18"/>
      <c r="H723" s="35"/>
      <c r="I723" s="12"/>
      <c r="M723" s="12"/>
      <c r="N723" s="18"/>
      <c r="O723" s="12"/>
      <c r="P723" s="12"/>
      <c r="Q723" s="12"/>
      <c r="R723" s="36"/>
      <c r="S723" s="36"/>
      <c r="T723" s="12"/>
      <c r="U723" s="12"/>
      <c r="V723" s="12"/>
      <c r="W723" s="12"/>
      <c r="X723" s="12"/>
    </row>
    <row r="724" customFormat="false" ht="15.75" hidden="false" customHeight="false" outlineLevel="0" collapsed="false">
      <c r="A724" s="12"/>
      <c r="B724" s="34"/>
      <c r="C724" s="12"/>
      <c r="D724" s="12"/>
      <c r="E724" s="12"/>
      <c r="F724" s="12"/>
      <c r="G724" s="18"/>
      <c r="H724" s="35"/>
      <c r="I724" s="12"/>
      <c r="M724" s="12"/>
      <c r="N724" s="18"/>
      <c r="O724" s="12"/>
      <c r="P724" s="12"/>
      <c r="Q724" s="12"/>
      <c r="R724" s="36"/>
      <c r="S724" s="36"/>
      <c r="T724" s="12"/>
      <c r="U724" s="12"/>
      <c r="V724" s="12"/>
      <c r="W724" s="12"/>
      <c r="X724" s="12"/>
    </row>
    <row r="725" customFormat="false" ht="15.75" hidden="false" customHeight="false" outlineLevel="0" collapsed="false">
      <c r="A725" s="12"/>
      <c r="B725" s="34"/>
      <c r="C725" s="12"/>
      <c r="D725" s="12"/>
      <c r="E725" s="12"/>
      <c r="F725" s="12"/>
      <c r="G725" s="18"/>
      <c r="H725" s="35"/>
      <c r="I725" s="12"/>
      <c r="M725" s="12"/>
      <c r="N725" s="18"/>
      <c r="O725" s="12"/>
      <c r="P725" s="12"/>
      <c r="Q725" s="12"/>
      <c r="R725" s="36"/>
      <c r="S725" s="36"/>
      <c r="T725" s="12"/>
      <c r="U725" s="12"/>
      <c r="V725" s="12"/>
      <c r="W725" s="12"/>
      <c r="X725" s="12"/>
    </row>
    <row r="726" customFormat="false" ht="15.75" hidden="false" customHeight="false" outlineLevel="0" collapsed="false">
      <c r="A726" s="12"/>
      <c r="B726" s="34"/>
      <c r="C726" s="12"/>
      <c r="D726" s="12"/>
      <c r="E726" s="12"/>
      <c r="F726" s="12"/>
      <c r="G726" s="18"/>
      <c r="H726" s="35"/>
      <c r="I726" s="12"/>
      <c r="M726" s="12"/>
      <c r="N726" s="18"/>
      <c r="O726" s="12"/>
      <c r="P726" s="12"/>
      <c r="Q726" s="12"/>
      <c r="R726" s="36"/>
      <c r="S726" s="36"/>
      <c r="T726" s="12"/>
      <c r="U726" s="12"/>
      <c r="V726" s="12"/>
      <c r="W726" s="12"/>
      <c r="X726" s="12"/>
    </row>
    <row r="727" customFormat="false" ht="15.75" hidden="false" customHeight="false" outlineLevel="0" collapsed="false">
      <c r="A727" s="12"/>
      <c r="B727" s="34"/>
      <c r="C727" s="12"/>
      <c r="D727" s="12"/>
      <c r="E727" s="12"/>
      <c r="F727" s="12"/>
      <c r="G727" s="18"/>
      <c r="H727" s="35"/>
      <c r="I727" s="12"/>
      <c r="M727" s="12"/>
      <c r="N727" s="18"/>
      <c r="O727" s="12"/>
      <c r="P727" s="12"/>
      <c r="Q727" s="12"/>
      <c r="R727" s="36"/>
      <c r="S727" s="36"/>
      <c r="T727" s="12"/>
      <c r="U727" s="12"/>
      <c r="V727" s="12"/>
      <c r="W727" s="12"/>
      <c r="X727" s="12"/>
    </row>
    <row r="728" customFormat="false" ht="15.75" hidden="false" customHeight="false" outlineLevel="0" collapsed="false">
      <c r="A728" s="12"/>
      <c r="B728" s="34"/>
      <c r="C728" s="12"/>
      <c r="D728" s="12"/>
      <c r="E728" s="12"/>
      <c r="F728" s="12"/>
      <c r="G728" s="18"/>
      <c r="H728" s="35"/>
      <c r="I728" s="12"/>
      <c r="M728" s="12"/>
      <c r="N728" s="18"/>
      <c r="O728" s="12"/>
      <c r="P728" s="12"/>
      <c r="Q728" s="12"/>
      <c r="R728" s="36"/>
      <c r="S728" s="36"/>
      <c r="T728" s="12"/>
      <c r="U728" s="12"/>
      <c r="V728" s="12"/>
      <c r="W728" s="12"/>
      <c r="X728" s="12"/>
    </row>
    <row r="729" customFormat="false" ht="15.75" hidden="false" customHeight="false" outlineLevel="0" collapsed="false">
      <c r="A729" s="12"/>
      <c r="B729" s="34"/>
      <c r="C729" s="12"/>
      <c r="D729" s="12"/>
      <c r="E729" s="12"/>
      <c r="F729" s="12"/>
      <c r="G729" s="18"/>
      <c r="H729" s="35"/>
      <c r="I729" s="12"/>
      <c r="M729" s="12"/>
      <c r="N729" s="18"/>
      <c r="O729" s="12"/>
      <c r="P729" s="12"/>
      <c r="Q729" s="12"/>
      <c r="R729" s="36"/>
      <c r="S729" s="36"/>
      <c r="T729" s="12"/>
      <c r="U729" s="12"/>
      <c r="V729" s="12"/>
      <c r="W729" s="12"/>
      <c r="X729" s="12"/>
    </row>
    <row r="730" customFormat="false" ht="15.75" hidden="false" customHeight="false" outlineLevel="0" collapsed="false">
      <c r="A730" s="12"/>
      <c r="B730" s="34"/>
      <c r="C730" s="12"/>
      <c r="D730" s="12"/>
      <c r="E730" s="12"/>
      <c r="F730" s="12"/>
      <c r="G730" s="18"/>
      <c r="H730" s="35"/>
      <c r="I730" s="12"/>
      <c r="M730" s="12"/>
      <c r="N730" s="18"/>
      <c r="O730" s="12"/>
      <c r="P730" s="12"/>
      <c r="Q730" s="12"/>
      <c r="R730" s="36"/>
      <c r="S730" s="36"/>
      <c r="T730" s="12"/>
      <c r="U730" s="12"/>
      <c r="V730" s="12"/>
      <c r="W730" s="12"/>
      <c r="X730" s="12"/>
    </row>
    <row r="731" customFormat="false" ht="15.75" hidden="false" customHeight="false" outlineLevel="0" collapsed="false">
      <c r="A731" s="12"/>
      <c r="B731" s="34"/>
      <c r="C731" s="12"/>
      <c r="D731" s="12"/>
      <c r="E731" s="12"/>
      <c r="F731" s="12"/>
      <c r="G731" s="18"/>
      <c r="H731" s="35"/>
      <c r="I731" s="12"/>
      <c r="M731" s="12"/>
      <c r="N731" s="18"/>
      <c r="O731" s="12"/>
      <c r="P731" s="12"/>
      <c r="Q731" s="12"/>
      <c r="R731" s="36"/>
      <c r="S731" s="36"/>
      <c r="T731" s="12"/>
      <c r="U731" s="12"/>
      <c r="V731" s="12"/>
      <c r="W731" s="12"/>
      <c r="X731" s="12"/>
    </row>
    <row r="732" customFormat="false" ht="15.75" hidden="false" customHeight="false" outlineLevel="0" collapsed="false">
      <c r="A732" s="12"/>
      <c r="B732" s="34"/>
      <c r="C732" s="12"/>
      <c r="D732" s="12"/>
      <c r="E732" s="12"/>
      <c r="F732" s="12"/>
      <c r="G732" s="18"/>
      <c r="H732" s="35"/>
      <c r="I732" s="12"/>
      <c r="M732" s="12"/>
      <c r="N732" s="18"/>
      <c r="O732" s="12"/>
      <c r="P732" s="12"/>
      <c r="Q732" s="12"/>
      <c r="R732" s="36"/>
      <c r="S732" s="36"/>
      <c r="T732" s="12"/>
      <c r="U732" s="12"/>
      <c r="V732" s="12"/>
      <c r="W732" s="12"/>
      <c r="X732" s="12"/>
    </row>
    <row r="733" customFormat="false" ht="15.75" hidden="false" customHeight="false" outlineLevel="0" collapsed="false">
      <c r="A733" s="12"/>
      <c r="B733" s="34"/>
      <c r="C733" s="12"/>
      <c r="D733" s="12"/>
      <c r="E733" s="12"/>
      <c r="F733" s="12"/>
      <c r="G733" s="18"/>
      <c r="H733" s="35"/>
      <c r="I733" s="12"/>
      <c r="M733" s="12"/>
      <c r="N733" s="18"/>
      <c r="O733" s="12"/>
      <c r="P733" s="12"/>
      <c r="Q733" s="12"/>
      <c r="R733" s="36"/>
      <c r="S733" s="36"/>
      <c r="T733" s="12"/>
      <c r="U733" s="12"/>
      <c r="V733" s="12"/>
      <c r="W733" s="12"/>
      <c r="X733" s="12"/>
    </row>
    <row r="734" customFormat="false" ht="15.75" hidden="false" customHeight="false" outlineLevel="0" collapsed="false">
      <c r="A734" s="12"/>
      <c r="B734" s="34"/>
      <c r="C734" s="12"/>
      <c r="D734" s="12"/>
      <c r="E734" s="12"/>
      <c r="F734" s="12"/>
      <c r="G734" s="18"/>
      <c r="H734" s="35"/>
      <c r="I734" s="12"/>
      <c r="M734" s="12"/>
      <c r="N734" s="18"/>
      <c r="O734" s="12"/>
      <c r="P734" s="12"/>
      <c r="Q734" s="12"/>
      <c r="R734" s="36"/>
      <c r="S734" s="36"/>
      <c r="T734" s="12"/>
      <c r="U734" s="12"/>
      <c r="V734" s="12"/>
      <c r="W734" s="12"/>
      <c r="X734" s="12"/>
    </row>
    <row r="735" customFormat="false" ht="15.75" hidden="false" customHeight="false" outlineLevel="0" collapsed="false">
      <c r="A735" s="12"/>
      <c r="B735" s="34"/>
      <c r="C735" s="12"/>
      <c r="D735" s="12"/>
      <c r="E735" s="12"/>
      <c r="F735" s="12"/>
      <c r="G735" s="18"/>
      <c r="H735" s="35"/>
      <c r="I735" s="12"/>
      <c r="M735" s="12"/>
      <c r="N735" s="18"/>
      <c r="O735" s="12"/>
      <c r="P735" s="12"/>
      <c r="Q735" s="12"/>
      <c r="R735" s="36"/>
      <c r="S735" s="36"/>
      <c r="T735" s="12"/>
      <c r="U735" s="12"/>
      <c r="V735" s="12"/>
      <c r="W735" s="12"/>
      <c r="X735" s="12"/>
    </row>
    <row r="736" customFormat="false" ht="15.75" hidden="false" customHeight="false" outlineLevel="0" collapsed="false">
      <c r="A736" s="12"/>
      <c r="B736" s="34"/>
      <c r="C736" s="12"/>
      <c r="D736" s="12"/>
      <c r="E736" s="12"/>
      <c r="F736" s="12"/>
      <c r="G736" s="18"/>
      <c r="H736" s="35"/>
      <c r="I736" s="12"/>
      <c r="M736" s="12"/>
      <c r="N736" s="18"/>
      <c r="O736" s="12"/>
      <c r="P736" s="12"/>
      <c r="Q736" s="12"/>
      <c r="R736" s="36"/>
      <c r="S736" s="36"/>
      <c r="T736" s="12"/>
      <c r="U736" s="12"/>
      <c r="V736" s="12"/>
      <c r="W736" s="12"/>
      <c r="X736" s="12"/>
    </row>
    <row r="737" customFormat="false" ht="15.75" hidden="false" customHeight="false" outlineLevel="0" collapsed="false">
      <c r="A737" s="12"/>
      <c r="B737" s="34"/>
      <c r="C737" s="12"/>
      <c r="D737" s="12"/>
      <c r="E737" s="12"/>
      <c r="F737" s="12"/>
      <c r="G737" s="18"/>
      <c r="H737" s="35"/>
      <c r="I737" s="12"/>
      <c r="M737" s="12"/>
      <c r="N737" s="18"/>
      <c r="O737" s="12"/>
      <c r="P737" s="12"/>
      <c r="Q737" s="12"/>
      <c r="R737" s="36"/>
      <c r="S737" s="36"/>
      <c r="T737" s="12"/>
      <c r="U737" s="12"/>
      <c r="V737" s="12"/>
      <c r="W737" s="12"/>
      <c r="X737" s="12"/>
    </row>
    <row r="738" customFormat="false" ht="15.75" hidden="false" customHeight="false" outlineLevel="0" collapsed="false">
      <c r="A738" s="12"/>
      <c r="B738" s="34"/>
      <c r="C738" s="12"/>
      <c r="D738" s="12"/>
      <c r="E738" s="12"/>
      <c r="F738" s="12"/>
      <c r="G738" s="18"/>
      <c r="H738" s="35"/>
      <c r="I738" s="12"/>
      <c r="M738" s="12"/>
      <c r="N738" s="18"/>
      <c r="O738" s="12"/>
      <c r="P738" s="12"/>
      <c r="Q738" s="12"/>
      <c r="R738" s="36"/>
      <c r="S738" s="36"/>
      <c r="T738" s="12"/>
      <c r="U738" s="12"/>
      <c r="V738" s="12"/>
      <c r="W738" s="12"/>
      <c r="X738" s="12"/>
    </row>
    <row r="739" customFormat="false" ht="15.75" hidden="false" customHeight="false" outlineLevel="0" collapsed="false">
      <c r="A739" s="12"/>
      <c r="B739" s="34"/>
      <c r="C739" s="12"/>
      <c r="D739" s="12"/>
      <c r="E739" s="12"/>
      <c r="F739" s="12"/>
      <c r="G739" s="18"/>
      <c r="H739" s="35"/>
      <c r="I739" s="12"/>
      <c r="M739" s="12"/>
      <c r="N739" s="18"/>
      <c r="O739" s="12"/>
      <c r="P739" s="12"/>
      <c r="Q739" s="12"/>
      <c r="R739" s="36"/>
      <c r="S739" s="36"/>
      <c r="T739" s="12"/>
      <c r="U739" s="12"/>
      <c r="V739" s="12"/>
      <c r="W739" s="12"/>
      <c r="X739" s="12"/>
    </row>
    <row r="740" customFormat="false" ht="15.75" hidden="false" customHeight="false" outlineLevel="0" collapsed="false">
      <c r="A740" s="12"/>
      <c r="B740" s="34"/>
      <c r="C740" s="12"/>
      <c r="D740" s="12"/>
      <c r="E740" s="12"/>
      <c r="F740" s="12"/>
      <c r="G740" s="18"/>
      <c r="H740" s="35"/>
      <c r="I740" s="12"/>
      <c r="M740" s="12"/>
      <c r="N740" s="18"/>
      <c r="O740" s="12"/>
      <c r="P740" s="12"/>
      <c r="Q740" s="12"/>
      <c r="R740" s="36"/>
      <c r="S740" s="36"/>
      <c r="T740" s="12"/>
      <c r="U740" s="12"/>
      <c r="V740" s="12"/>
      <c r="W740" s="12"/>
      <c r="X740" s="12"/>
    </row>
    <row r="741" customFormat="false" ht="15.75" hidden="false" customHeight="false" outlineLevel="0" collapsed="false">
      <c r="A741" s="12"/>
      <c r="B741" s="34"/>
      <c r="C741" s="12"/>
      <c r="D741" s="12"/>
      <c r="E741" s="12"/>
      <c r="F741" s="12"/>
      <c r="G741" s="18"/>
      <c r="H741" s="35"/>
      <c r="I741" s="12"/>
      <c r="M741" s="12"/>
      <c r="N741" s="18"/>
      <c r="O741" s="12"/>
      <c r="P741" s="12"/>
      <c r="Q741" s="12"/>
      <c r="R741" s="36"/>
      <c r="S741" s="36"/>
      <c r="T741" s="12"/>
      <c r="U741" s="12"/>
      <c r="V741" s="12"/>
      <c r="W741" s="12"/>
      <c r="X741" s="12"/>
    </row>
    <row r="742" customFormat="false" ht="15.75" hidden="false" customHeight="false" outlineLevel="0" collapsed="false">
      <c r="A742" s="12"/>
      <c r="B742" s="34"/>
      <c r="C742" s="12"/>
      <c r="D742" s="12"/>
      <c r="E742" s="12"/>
      <c r="F742" s="12"/>
      <c r="G742" s="18"/>
      <c r="H742" s="35"/>
      <c r="I742" s="12"/>
      <c r="M742" s="12"/>
      <c r="N742" s="18"/>
      <c r="O742" s="12"/>
      <c r="P742" s="12"/>
      <c r="Q742" s="12"/>
      <c r="R742" s="36"/>
      <c r="S742" s="36"/>
      <c r="T742" s="12"/>
      <c r="U742" s="12"/>
      <c r="V742" s="12"/>
      <c r="W742" s="12"/>
      <c r="X742" s="12"/>
    </row>
    <row r="743" customFormat="false" ht="15.75" hidden="false" customHeight="false" outlineLevel="0" collapsed="false">
      <c r="A743" s="12"/>
      <c r="B743" s="34"/>
      <c r="C743" s="12"/>
      <c r="D743" s="12"/>
      <c r="E743" s="12"/>
      <c r="F743" s="12"/>
      <c r="G743" s="18"/>
      <c r="H743" s="35"/>
      <c r="I743" s="12"/>
      <c r="M743" s="12"/>
      <c r="N743" s="18"/>
      <c r="O743" s="12"/>
      <c r="P743" s="12"/>
      <c r="Q743" s="12"/>
      <c r="R743" s="36"/>
      <c r="S743" s="36"/>
      <c r="T743" s="12"/>
      <c r="U743" s="12"/>
      <c r="V743" s="12"/>
      <c r="W743" s="12"/>
      <c r="X743" s="12"/>
    </row>
    <row r="744" customFormat="false" ht="15.75" hidden="false" customHeight="false" outlineLevel="0" collapsed="false">
      <c r="A744" s="12"/>
      <c r="B744" s="34"/>
      <c r="C744" s="12"/>
      <c r="D744" s="12"/>
      <c r="E744" s="12"/>
      <c r="F744" s="12"/>
      <c r="G744" s="18"/>
      <c r="H744" s="35"/>
      <c r="I744" s="12"/>
      <c r="M744" s="12"/>
      <c r="N744" s="18"/>
      <c r="O744" s="12"/>
      <c r="P744" s="12"/>
      <c r="Q744" s="12"/>
      <c r="R744" s="36"/>
      <c r="S744" s="36"/>
      <c r="T744" s="12"/>
      <c r="U744" s="12"/>
      <c r="V744" s="12"/>
      <c r="W744" s="12"/>
      <c r="X744" s="12"/>
    </row>
    <row r="745" customFormat="false" ht="15.75" hidden="false" customHeight="false" outlineLevel="0" collapsed="false">
      <c r="A745" s="12"/>
      <c r="B745" s="34"/>
      <c r="C745" s="12"/>
      <c r="D745" s="12"/>
      <c r="E745" s="12"/>
      <c r="F745" s="12"/>
      <c r="G745" s="18"/>
      <c r="H745" s="35"/>
      <c r="I745" s="12"/>
      <c r="M745" s="12"/>
      <c r="N745" s="18"/>
      <c r="O745" s="12"/>
      <c r="P745" s="12"/>
      <c r="Q745" s="12"/>
      <c r="R745" s="36"/>
      <c r="S745" s="36"/>
      <c r="T745" s="12"/>
      <c r="U745" s="12"/>
      <c r="V745" s="12"/>
      <c r="W745" s="12"/>
      <c r="X745" s="12"/>
    </row>
    <row r="746" customFormat="false" ht="15.75" hidden="false" customHeight="false" outlineLevel="0" collapsed="false">
      <c r="A746" s="12"/>
      <c r="B746" s="34"/>
      <c r="C746" s="12"/>
      <c r="D746" s="12"/>
      <c r="E746" s="12"/>
      <c r="F746" s="12"/>
      <c r="G746" s="18"/>
      <c r="H746" s="35"/>
      <c r="I746" s="12"/>
      <c r="M746" s="12"/>
      <c r="N746" s="18"/>
      <c r="O746" s="12"/>
      <c r="P746" s="12"/>
      <c r="Q746" s="12"/>
      <c r="R746" s="36"/>
      <c r="S746" s="36"/>
      <c r="T746" s="12"/>
      <c r="U746" s="12"/>
      <c r="V746" s="12"/>
      <c r="W746" s="12"/>
      <c r="X746" s="12"/>
    </row>
    <row r="747" customFormat="false" ht="15.75" hidden="false" customHeight="false" outlineLevel="0" collapsed="false">
      <c r="A747" s="12"/>
      <c r="B747" s="34"/>
      <c r="C747" s="12"/>
      <c r="D747" s="12"/>
      <c r="E747" s="12"/>
      <c r="F747" s="12"/>
      <c r="G747" s="18"/>
      <c r="H747" s="35"/>
      <c r="I747" s="12"/>
      <c r="M747" s="12"/>
      <c r="N747" s="18"/>
      <c r="O747" s="12"/>
      <c r="P747" s="12"/>
      <c r="Q747" s="12"/>
      <c r="R747" s="36"/>
      <c r="S747" s="36"/>
      <c r="T747" s="12"/>
      <c r="U747" s="12"/>
      <c r="V747" s="12"/>
      <c r="W747" s="12"/>
      <c r="X747" s="12"/>
    </row>
    <row r="748" customFormat="false" ht="15.75" hidden="false" customHeight="false" outlineLevel="0" collapsed="false">
      <c r="A748" s="12"/>
      <c r="B748" s="34"/>
      <c r="C748" s="12"/>
      <c r="D748" s="12"/>
      <c r="E748" s="12"/>
      <c r="F748" s="12"/>
      <c r="G748" s="18"/>
      <c r="H748" s="35"/>
      <c r="I748" s="12"/>
      <c r="M748" s="12"/>
      <c r="N748" s="18"/>
      <c r="O748" s="12"/>
      <c r="P748" s="12"/>
      <c r="Q748" s="12"/>
      <c r="R748" s="36"/>
      <c r="S748" s="36"/>
      <c r="T748" s="12"/>
      <c r="U748" s="12"/>
      <c r="V748" s="12"/>
      <c r="W748" s="12"/>
      <c r="X748" s="12"/>
    </row>
    <row r="749" customFormat="false" ht="15.75" hidden="false" customHeight="false" outlineLevel="0" collapsed="false">
      <c r="A749" s="12"/>
      <c r="B749" s="34"/>
      <c r="C749" s="12"/>
      <c r="D749" s="12"/>
      <c r="E749" s="12"/>
      <c r="F749" s="12"/>
      <c r="G749" s="18"/>
      <c r="H749" s="35"/>
      <c r="I749" s="12"/>
      <c r="M749" s="12"/>
      <c r="N749" s="18"/>
      <c r="O749" s="12"/>
      <c r="P749" s="12"/>
      <c r="Q749" s="12"/>
      <c r="R749" s="36"/>
      <c r="S749" s="36"/>
      <c r="T749" s="12"/>
      <c r="U749" s="12"/>
      <c r="V749" s="12"/>
      <c r="W749" s="12"/>
      <c r="X749" s="12"/>
    </row>
    <row r="750" customFormat="false" ht="15.75" hidden="false" customHeight="false" outlineLevel="0" collapsed="false">
      <c r="A750" s="12"/>
      <c r="B750" s="34"/>
      <c r="C750" s="12"/>
      <c r="D750" s="12"/>
      <c r="E750" s="12"/>
      <c r="F750" s="12"/>
      <c r="G750" s="18"/>
      <c r="H750" s="35"/>
      <c r="I750" s="12"/>
      <c r="M750" s="12"/>
      <c r="N750" s="18"/>
      <c r="O750" s="12"/>
      <c r="P750" s="12"/>
      <c r="Q750" s="12"/>
      <c r="R750" s="36"/>
      <c r="S750" s="36"/>
      <c r="T750" s="12"/>
      <c r="U750" s="12"/>
      <c r="V750" s="12"/>
      <c r="W750" s="12"/>
      <c r="X750" s="12"/>
    </row>
    <row r="751" customFormat="false" ht="15.75" hidden="false" customHeight="false" outlineLevel="0" collapsed="false">
      <c r="A751" s="12"/>
      <c r="B751" s="34"/>
      <c r="C751" s="12"/>
      <c r="D751" s="12"/>
      <c r="E751" s="12"/>
      <c r="F751" s="12"/>
      <c r="G751" s="18"/>
      <c r="H751" s="35"/>
      <c r="I751" s="12"/>
      <c r="M751" s="12"/>
      <c r="N751" s="18"/>
      <c r="O751" s="12"/>
      <c r="P751" s="12"/>
      <c r="Q751" s="12"/>
      <c r="R751" s="36"/>
      <c r="S751" s="36"/>
      <c r="T751" s="12"/>
      <c r="U751" s="12"/>
      <c r="V751" s="12"/>
      <c r="W751" s="12"/>
      <c r="X751" s="12"/>
    </row>
    <row r="752" customFormat="false" ht="15.75" hidden="false" customHeight="false" outlineLevel="0" collapsed="false">
      <c r="A752" s="12"/>
      <c r="B752" s="34"/>
      <c r="C752" s="12"/>
      <c r="D752" s="12"/>
      <c r="E752" s="12"/>
      <c r="F752" s="12"/>
      <c r="G752" s="18"/>
      <c r="H752" s="35"/>
      <c r="I752" s="12"/>
      <c r="M752" s="12"/>
      <c r="N752" s="18"/>
      <c r="O752" s="12"/>
      <c r="P752" s="12"/>
      <c r="Q752" s="12"/>
      <c r="R752" s="36"/>
      <c r="S752" s="36"/>
      <c r="T752" s="12"/>
      <c r="U752" s="12"/>
      <c r="V752" s="12"/>
      <c r="W752" s="12"/>
      <c r="X752" s="12"/>
    </row>
    <row r="753" customFormat="false" ht="15.75" hidden="false" customHeight="false" outlineLevel="0" collapsed="false">
      <c r="A753" s="12"/>
      <c r="B753" s="34"/>
      <c r="C753" s="12"/>
      <c r="D753" s="12"/>
      <c r="E753" s="12"/>
      <c r="F753" s="12"/>
      <c r="G753" s="18"/>
      <c r="H753" s="35"/>
      <c r="I753" s="12"/>
      <c r="M753" s="12"/>
      <c r="N753" s="18"/>
      <c r="O753" s="12"/>
      <c r="P753" s="12"/>
      <c r="Q753" s="12"/>
      <c r="R753" s="36"/>
      <c r="S753" s="36"/>
      <c r="T753" s="12"/>
      <c r="U753" s="12"/>
      <c r="V753" s="12"/>
      <c r="W753" s="12"/>
      <c r="X753" s="12"/>
    </row>
    <row r="754" customFormat="false" ht="15.75" hidden="false" customHeight="false" outlineLevel="0" collapsed="false">
      <c r="A754" s="12"/>
      <c r="B754" s="34"/>
      <c r="C754" s="12"/>
      <c r="D754" s="12"/>
      <c r="E754" s="12"/>
      <c r="F754" s="12"/>
      <c r="G754" s="18"/>
      <c r="H754" s="35"/>
      <c r="I754" s="12"/>
      <c r="M754" s="12"/>
      <c r="N754" s="18"/>
      <c r="O754" s="12"/>
      <c r="P754" s="12"/>
      <c r="Q754" s="12"/>
      <c r="R754" s="36"/>
      <c r="S754" s="36"/>
      <c r="T754" s="12"/>
      <c r="U754" s="12"/>
      <c r="V754" s="12"/>
      <c r="W754" s="12"/>
      <c r="X754" s="12"/>
    </row>
    <row r="755" customFormat="false" ht="15.75" hidden="false" customHeight="false" outlineLevel="0" collapsed="false">
      <c r="A755" s="12"/>
      <c r="B755" s="34"/>
      <c r="C755" s="12"/>
      <c r="D755" s="12"/>
      <c r="E755" s="12"/>
      <c r="F755" s="12"/>
      <c r="G755" s="18"/>
      <c r="H755" s="35"/>
      <c r="I755" s="12"/>
      <c r="M755" s="12"/>
      <c r="N755" s="18"/>
      <c r="O755" s="12"/>
      <c r="P755" s="12"/>
      <c r="Q755" s="12"/>
      <c r="R755" s="36"/>
      <c r="S755" s="36"/>
      <c r="T755" s="12"/>
      <c r="U755" s="12"/>
      <c r="V755" s="12"/>
      <c r="W755" s="12"/>
      <c r="X755" s="12"/>
    </row>
    <row r="756" customFormat="false" ht="15.75" hidden="false" customHeight="false" outlineLevel="0" collapsed="false">
      <c r="A756" s="12"/>
      <c r="B756" s="34"/>
      <c r="C756" s="12"/>
      <c r="D756" s="12"/>
      <c r="E756" s="12"/>
      <c r="F756" s="12"/>
      <c r="G756" s="18"/>
      <c r="H756" s="35"/>
      <c r="I756" s="12"/>
      <c r="M756" s="12"/>
      <c r="N756" s="18"/>
      <c r="O756" s="12"/>
      <c r="P756" s="12"/>
      <c r="Q756" s="12"/>
      <c r="R756" s="36"/>
      <c r="S756" s="36"/>
      <c r="T756" s="12"/>
      <c r="U756" s="12"/>
      <c r="V756" s="12"/>
      <c r="W756" s="12"/>
      <c r="X756" s="12"/>
    </row>
    <row r="757" customFormat="false" ht="15.75" hidden="false" customHeight="false" outlineLevel="0" collapsed="false">
      <c r="A757" s="12"/>
      <c r="B757" s="34"/>
      <c r="C757" s="12"/>
      <c r="D757" s="12"/>
      <c r="E757" s="12"/>
      <c r="F757" s="12"/>
      <c r="G757" s="18"/>
      <c r="H757" s="35"/>
      <c r="I757" s="12"/>
      <c r="M757" s="12"/>
      <c r="N757" s="18"/>
      <c r="O757" s="12"/>
      <c r="P757" s="12"/>
      <c r="Q757" s="12"/>
      <c r="R757" s="36"/>
      <c r="S757" s="36"/>
      <c r="T757" s="12"/>
      <c r="U757" s="12"/>
      <c r="V757" s="12"/>
      <c r="W757" s="12"/>
      <c r="X757" s="12"/>
    </row>
    <row r="758" customFormat="false" ht="15.75" hidden="false" customHeight="false" outlineLevel="0" collapsed="false">
      <c r="A758" s="12"/>
      <c r="B758" s="34"/>
      <c r="C758" s="12"/>
      <c r="D758" s="12"/>
      <c r="E758" s="12"/>
      <c r="F758" s="12"/>
      <c r="G758" s="18"/>
      <c r="H758" s="35"/>
      <c r="I758" s="12"/>
      <c r="M758" s="12"/>
      <c r="N758" s="18"/>
      <c r="O758" s="12"/>
      <c r="P758" s="12"/>
      <c r="Q758" s="12"/>
      <c r="R758" s="36"/>
      <c r="S758" s="36"/>
      <c r="T758" s="12"/>
      <c r="U758" s="12"/>
      <c r="V758" s="12"/>
      <c r="W758" s="12"/>
      <c r="X758" s="12"/>
    </row>
    <row r="759" customFormat="false" ht="15.75" hidden="false" customHeight="false" outlineLevel="0" collapsed="false">
      <c r="A759" s="12"/>
      <c r="B759" s="34"/>
      <c r="C759" s="12"/>
      <c r="D759" s="12"/>
      <c r="E759" s="12"/>
      <c r="F759" s="12"/>
      <c r="G759" s="18"/>
      <c r="H759" s="35"/>
      <c r="I759" s="12"/>
      <c r="M759" s="12"/>
      <c r="N759" s="18"/>
      <c r="O759" s="12"/>
      <c r="P759" s="12"/>
      <c r="Q759" s="12"/>
      <c r="R759" s="36"/>
      <c r="S759" s="36"/>
      <c r="T759" s="12"/>
      <c r="U759" s="12"/>
      <c r="V759" s="12"/>
      <c r="W759" s="12"/>
      <c r="X759" s="12"/>
    </row>
    <row r="760" customFormat="false" ht="15.75" hidden="false" customHeight="false" outlineLevel="0" collapsed="false">
      <c r="A760" s="12"/>
      <c r="B760" s="34"/>
      <c r="C760" s="12"/>
      <c r="D760" s="12"/>
      <c r="E760" s="12"/>
      <c r="F760" s="12"/>
      <c r="G760" s="18"/>
      <c r="H760" s="35"/>
      <c r="I760" s="12"/>
      <c r="M760" s="12"/>
      <c r="N760" s="18"/>
      <c r="O760" s="12"/>
      <c r="P760" s="12"/>
      <c r="Q760" s="12"/>
      <c r="R760" s="36"/>
      <c r="S760" s="36"/>
      <c r="T760" s="12"/>
      <c r="U760" s="12"/>
      <c r="V760" s="12"/>
      <c r="W760" s="12"/>
      <c r="X760" s="12"/>
    </row>
    <row r="761" customFormat="false" ht="15.75" hidden="false" customHeight="false" outlineLevel="0" collapsed="false">
      <c r="A761" s="12"/>
      <c r="B761" s="34"/>
      <c r="C761" s="12"/>
      <c r="D761" s="12"/>
      <c r="E761" s="12"/>
      <c r="F761" s="12"/>
      <c r="G761" s="18"/>
      <c r="H761" s="35"/>
      <c r="I761" s="12"/>
      <c r="M761" s="12"/>
      <c r="N761" s="18"/>
      <c r="O761" s="12"/>
      <c r="P761" s="12"/>
      <c r="Q761" s="12"/>
      <c r="R761" s="36"/>
      <c r="S761" s="36"/>
      <c r="T761" s="12"/>
      <c r="U761" s="12"/>
      <c r="V761" s="12"/>
      <c r="W761" s="12"/>
      <c r="X761" s="12"/>
    </row>
    <row r="762" customFormat="false" ht="15.75" hidden="false" customHeight="false" outlineLevel="0" collapsed="false">
      <c r="A762" s="12"/>
      <c r="B762" s="34"/>
      <c r="C762" s="12"/>
      <c r="D762" s="12"/>
      <c r="E762" s="12"/>
      <c r="F762" s="12"/>
      <c r="G762" s="18"/>
      <c r="H762" s="35"/>
      <c r="I762" s="12"/>
      <c r="M762" s="12"/>
      <c r="N762" s="18"/>
      <c r="O762" s="12"/>
      <c r="P762" s="12"/>
      <c r="Q762" s="12"/>
      <c r="R762" s="36"/>
      <c r="S762" s="36"/>
      <c r="T762" s="12"/>
      <c r="U762" s="12"/>
      <c r="V762" s="12"/>
      <c r="W762" s="12"/>
      <c r="X762" s="12"/>
    </row>
    <row r="763" customFormat="false" ht="15.75" hidden="false" customHeight="false" outlineLevel="0" collapsed="false">
      <c r="A763" s="12"/>
      <c r="B763" s="34"/>
      <c r="C763" s="12"/>
      <c r="D763" s="12"/>
      <c r="E763" s="12"/>
      <c r="F763" s="12"/>
      <c r="G763" s="18"/>
      <c r="H763" s="35"/>
      <c r="I763" s="12"/>
      <c r="M763" s="12"/>
      <c r="N763" s="18"/>
      <c r="O763" s="12"/>
      <c r="P763" s="12"/>
      <c r="Q763" s="12"/>
      <c r="R763" s="36"/>
      <c r="S763" s="36"/>
      <c r="T763" s="12"/>
      <c r="U763" s="12"/>
      <c r="V763" s="12"/>
      <c r="W763" s="12"/>
      <c r="X763" s="12"/>
    </row>
    <row r="764" customFormat="false" ht="15.75" hidden="false" customHeight="false" outlineLevel="0" collapsed="false">
      <c r="A764" s="12"/>
      <c r="B764" s="34"/>
      <c r="C764" s="12"/>
      <c r="D764" s="12"/>
      <c r="E764" s="12"/>
      <c r="F764" s="12"/>
      <c r="G764" s="18"/>
      <c r="H764" s="35"/>
      <c r="I764" s="12"/>
      <c r="M764" s="12"/>
      <c r="N764" s="18"/>
      <c r="O764" s="12"/>
      <c r="P764" s="12"/>
      <c r="Q764" s="12"/>
      <c r="R764" s="36"/>
      <c r="S764" s="36"/>
      <c r="T764" s="12"/>
      <c r="U764" s="12"/>
      <c r="V764" s="12"/>
      <c r="W764" s="12"/>
      <c r="X764" s="12"/>
    </row>
    <row r="765" customFormat="false" ht="15.75" hidden="false" customHeight="false" outlineLevel="0" collapsed="false">
      <c r="A765" s="12"/>
      <c r="B765" s="34"/>
      <c r="C765" s="12"/>
      <c r="D765" s="12"/>
      <c r="E765" s="12"/>
      <c r="F765" s="12"/>
      <c r="G765" s="18"/>
      <c r="H765" s="35"/>
      <c r="I765" s="12"/>
      <c r="M765" s="12"/>
      <c r="N765" s="18"/>
      <c r="O765" s="12"/>
      <c r="P765" s="12"/>
      <c r="Q765" s="12"/>
      <c r="R765" s="36"/>
      <c r="S765" s="36"/>
      <c r="T765" s="12"/>
      <c r="U765" s="12"/>
      <c r="V765" s="12"/>
      <c r="W765" s="12"/>
      <c r="X765" s="12"/>
    </row>
    <row r="766" customFormat="false" ht="15.75" hidden="false" customHeight="false" outlineLevel="0" collapsed="false">
      <c r="A766" s="12"/>
      <c r="B766" s="34"/>
      <c r="C766" s="12"/>
      <c r="D766" s="12"/>
      <c r="E766" s="12"/>
      <c r="F766" s="12"/>
      <c r="G766" s="18"/>
      <c r="H766" s="35"/>
      <c r="I766" s="12"/>
      <c r="M766" s="12"/>
      <c r="N766" s="18"/>
      <c r="O766" s="12"/>
      <c r="P766" s="12"/>
      <c r="Q766" s="12"/>
      <c r="R766" s="36"/>
      <c r="S766" s="36"/>
      <c r="T766" s="12"/>
      <c r="U766" s="12"/>
      <c r="V766" s="12"/>
      <c r="W766" s="12"/>
      <c r="X766" s="12"/>
    </row>
    <row r="767" customFormat="false" ht="15.75" hidden="false" customHeight="false" outlineLevel="0" collapsed="false">
      <c r="A767" s="12"/>
      <c r="B767" s="34"/>
      <c r="C767" s="12"/>
      <c r="D767" s="12"/>
      <c r="E767" s="12"/>
      <c r="F767" s="12"/>
      <c r="G767" s="18"/>
      <c r="H767" s="35"/>
      <c r="I767" s="12"/>
      <c r="M767" s="12"/>
      <c r="N767" s="18"/>
      <c r="O767" s="12"/>
      <c r="P767" s="12"/>
      <c r="Q767" s="12"/>
      <c r="R767" s="36"/>
      <c r="S767" s="36"/>
      <c r="T767" s="12"/>
      <c r="U767" s="12"/>
      <c r="V767" s="12"/>
      <c r="W767" s="12"/>
      <c r="X767" s="12"/>
    </row>
    <row r="768" customFormat="false" ht="15.75" hidden="false" customHeight="false" outlineLevel="0" collapsed="false">
      <c r="A768" s="12"/>
      <c r="B768" s="34"/>
      <c r="C768" s="12"/>
      <c r="D768" s="12"/>
      <c r="E768" s="12"/>
      <c r="F768" s="12"/>
      <c r="G768" s="18"/>
      <c r="H768" s="35"/>
      <c r="I768" s="12"/>
      <c r="M768" s="12"/>
      <c r="N768" s="18"/>
      <c r="O768" s="12"/>
      <c r="P768" s="12"/>
      <c r="Q768" s="12"/>
      <c r="R768" s="36"/>
      <c r="S768" s="36"/>
      <c r="T768" s="12"/>
      <c r="U768" s="12"/>
      <c r="V768" s="12"/>
      <c r="W768" s="12"/>
      <c r="X768" s="12"/>
    </row>
    <row r="769" customFormat="false" ht="15.75" hidden="false" customHeight="false" outlineLevel="0" collapsed="false">
      <c r="A769" s="12"/>
      <c r="B769" s="34"/>
      <c r="C769" s="12"/>
      <c r="D769" s="12"/>
      <c r="E769" s="12"/>
      <c r="F769" s="12"/>
      <c r="G769" s="18"/>
      <c r="H769" s="35"/>
      <c r="I769" s="12"/>
      <c r="M769" s="12"/>
      <c r="N769" s="18"/>
      <c r="O769" s="12"/>
      <c r="P769" s="12"/>
      <c r="Q769" s="12"/>
      <c r="R769" s="36"/>
      <c r="S769" s="36"/>
      <c r="T769" s="12"/>
      <c r="U769" s="12"/>
      <c r="V769" s="12"/>
      <c r="W769" s="12"/>
      <c r="X769" s="12"/>
    </row>
    <row r="770" customFormat="false" ht="15.75" hidden="false" customHeight="false" outlineLevel="0" collapsed="false">
      <c r="A770" s="12"/>
      <c r="B770" s="34"/>
      <c r="C770" s="12"/>
      <c r="D770" s="12"/>
      <c r="E770" s="12"/>
      <c r="F770" s="12"/>
      <c r="G770" s="18"/>
      <c r="H770" s="35"/>
      <c r="I770" s="12"/>
      <c r="M770" s="12"/>
      <c r="N770" s="18"/>
      <c r="O770" s="12"/>
      <c r="P770" s="12"/>
      <c r="Q770" s="12"/>
      <c r="R770" s="36"/>
      <c r="S770" s="36"/>
      <c r="T770" s="12"/>
      <c r="U770" s="12"/>
      <c r="V770" s="12"/>
      <c r="W770" s="12"/>
      <c r="X770" s="12"/>
    </row>
    <row r="771" customFormat="false" ht="15.75" hidden="false" customHeight="false" outlineLevel="0" collapsed="false">
      <c r="A771" s="12"/>
      <c r="B771" s="34"/>
      <c r="C771" s="12"/>
      <c r="D771" s="12"/>
      <c r="E771" s="12"/>
      <c r="F771" s="12"/>
      <c r="G771" s="18"/>
      <c r="H771" s="35"/>
      <c r="I771" s="12"/>
      <c r="M771" s="12"/>
      <c r="N771" s="18"/>
      <c r="O771" s="12"/>
      <c r="P771" s="12"/>
      <c r="Q771" s="12"/>
      <c r="R771" s="36"/>
      <c r="S771" s="36"/>
      <c r="T771" s="12"/>
      <c r="U771" s="12"/>
      <c r="V771" s="12"/>
      <c r="W771" s="12"/>
      <c r="X771" s="12"/>
    </row>
    <row r="772" customFormat="false" ht="15.75" hidden="false" customHeight="false" outlineLevel="0" collapsed="false">
      <c r="A772" s="12"/>
      <c r="B772" s="34"/>
      <c r="C772" s="12"/>
      <c r="D772" s="12"/>
      <c r="E772" s="12"/>
      <c r="F772" s="12"/>
      <c r="G772" s="18"/>
      <c r="H772" s="35"/>
      <c r="I772" s="12"/>
      <c r="M772" s="12"/>
      <c r="N772" s="18"/>
      <c r="O772" s="12"/>
      <c r="P772" s="12"/>
      <c r="Q772" s="12"/>
      <c r="R772" s="36"/>
      <c r="S772" s="36"/>
      <c r="T772" s="12"/>
      <c r="U772" s="12"/>
      <c r="V772" s="12"/>
      <c r="W772" s="12"/>
      <c r="X772" s="12"/>
    </row>
    <row r="773" customFormat="false" ht="15.75" hidden="false" customHeight="false" outlineLevel="0" collapsed="false">
      <c r="A773" s="12"/>
      <c r="B773" s="34"/>
      <c r="C773" s="12"/>
      <c r="D773" s="12"/>
      <c r="E773" s="12"/>
      <c r="F773" s="12"/>
      <c r="G773" s="18"/>
      <c r="H773" s="35"/>
      <c r="I773" s="12"/>
      <c r="M773" s="12"/>
      <c r="N773" s="18"/>
      <c r="O773" s="12"/>
      <c r="P773" s="12"/>
      <c r="Q773" s="12"/>
      <c r="R773" s="36"/>
      <c r="S773" s="36"/>
      <c r="T773" s="12"/>
      <c r="U773" s="12"/>
      <c r="V773" s="12"/>
      <c r="W773" s="12"/>
      <c r="X773" s="12"/>
    </row>
    <row r="774" customFormat="false" ht="15.75" hidden="false" customHeight="false" outlineLevel="0" collapsed="false">
      <c r="A774" s="12"/>
      <c r="B774" s="34"/>
      <c r="C774" s="12"/>
      <c r="D774" s="12"/>
      <c r="E774" s="12"/>
      <c r="F774" s="12"/>
      <c r="G774" s="18"/>
      <c r="H774" s="35"/>
      <c r="I774" s="12"/>
      <c r="M774" s="12"/>
      <c r="N774" s="18"/>
      <c r="O774" s="12"/>
      <c r="P774" s="12"/>
      <c r="Q774" s="12"/>
      <c r="R774" s="36"/>
      <c r="S774" s="36"/>
      <c r="T774" s="12"/>
      <c r="U774" s="12"/>
      <c r="V774" s="12"/>
      <c r="W774" s="12"/>
      <c r="X774" s="12"/>
    </row>
    <row r="775" customFormat="false" ht="15.75" hidden="false" customHeight="false" outlineLevel="0" collapsed="false">
      <c r="A775" s="12"/>
      <c r="B775" s="34"/>
      <c r="C775" s="12"/>
      <c r="D775" s="12"/>
      <c r="E775" s="12"/>
      <c r="F775" s="12"/>
      <c r="G775" s="18"/>
      <c r="H775" s="35"/>
      <c r="I775" s="12"/>
      <c r="M775" s="12"/>
      <c r="N775" s="18"/>
      <c r="O775" s="12"/>
      <c r="P775" s="12"/>
      <c r="Q775" s="12"/>
      <c r="R775" s="36"/>
      <c r="S775" s="36"/>
      <c r="T775" s="12"/>
      <c r="U775" s="12"/>
      <c r="V775" s="12"/>
      <c r="W775" s="12"/>
      <c r="X775" s="12"/>
    </row>
    <row r="776" customFormat="false" ht="15.75" hidden="false" customHeight="false" outlineLevel="0" collapsed="false">
      <c r="A776" s="12"/>
      <c r="B776" s="34"/>
      <c r="C776" s="12"/>
      <c r="D776" s="12"/>
      <c r="E776" s="12"/>
      <c r="F776" s="12"/>
      <c r="G776" s="18"/>
      <c r="H776" s="35"/>
      <c r="I776" s="12"/>
      <c r="M776" s="12"/>
      <c r="N776" s="18"/>
      <c r="O776" s="12"/>
      <c r="P776" s="12"/>
      <c r="Q776" s="12"/>
      <c r="R776" s="36"/>
      <c r="S776" s="36"/>
      <c r="T776" s="12"/>
      <c r="U776" s="12"/>
      <c r="V776" s="12"/>
      <c r="W776" s="12"/>
      <c r="X776" s="12"/>
    </row>
    <row r="777" customFormat="false" ht="15.75" hidden="false" customHeight="false" outlineLevel="0" collapsed="false">
      <c r="A777" s="12"/>
      <c r="B777" s="34"/>
      <c r="C777" s="12"/>
      <c r="D777" s="12"/>
      <c r="E777" s="12"/>
      <c r="F777" s="12"/>
      <c r="G777" s="18"/>
      <c r="H777" s="35"/>
      <c r="I777" s="12"/>
      <c r="M777" s="12"/>
      <c r="N777" s="18"/>
      <c r="O777" s="12"/>
      <c r="P777" s="12"/>
      <c r="Q777" s="12"/>
      <c r="R777" s="36"/>
      <c r="S777" s="36"/>
      <c r="T777" s="12"/>
      <c r="U777" s="12"/>
      <c r="V777" s="12"/>
      <c r="W777" s="12"/>
      <c r="X777" s="12"/>
    </row>
    <row r="778" customFormat="false" ht="15.75" hidden="false" customHeight="false" outlineLevel="0" collapsed="false">
      <c r="A778" s="12"/>
      <c r="B778" s="34"/>
      <c r="C778" s="12"/>
      <c r="D778" s="12"/>
      <c r="E778" s="12"/>
      <c r="F778" s="12"/>
      <c r="G778" s="18"/>
      <c r="H778" s="35"/>
      <c r="I778" s="12"/>
      <c r="M778" s="12"/>
      <c r="N778" s="18"/>
      <c r="O778" s="12"/>
      <c r="P778" s="12"/>
      <c r="Q778" s="12"/>
      <c r="R778" s="36"/>
      <c r="S778" s="36"/>
      <c r="T778" s="12"/>
      <c r="U778" s="12"/>
      <c r="V778" s="12"/>
      <c r="W778" s="12"/>
      <c r="X778" s="12"/>
    </row>
    <row r="779" customFormat="false" ht="15.75" hidden="false" customHeight="false" outlineLevel="0" collapsed="false">
      <c r="A779" s="12"/>
      <c r="B779" s="34"/>
      <c r="C779" s="12"/>
      <c r="D779" s="12"/>
      <c r="E779" s="12"/>
      <c r="F779" s="12"/>
      <c r="G779" s="18"/>
      <c r="H779" s="35"/>
      <c r="I779" s="12"/>
      <c r="M779" s="12"/>
      <c r="N779" s="18"/>
      <c r="O779" s="12"/>
      <c r="P779" s="12"/>
      <c r="Q779" s="12"/>
      <c r="R779" s="36"/>
      <c r="S779" s="36"/>
      <c r="T779" s="12"/>
      <c r="U779" s="12"/>
      <c r="V779" s="12"/>
      <c r="W779" s="12"/>
      <c r="X779" s="12"/>
    </row>
    <row r="780" customFormat="false" ht="15.75" hidden="false" customHeight="false" outlineLevel="0" collapsed="false">
      <c r="A780" s="12"/>
      <c r="B780" s="34"/>
      <c r="C780" s="12"/>
      <c r="D780" s="12"/>
      <c r="E780" s="12"/>
      <c r="F780" s="12"/>
      <c r="G780" s="18"/>
      <c r="H780" s="35"/>
      <c r="I780" s="12"/>
      <c r="M780" s="12"/>
      <c r="N780" s="18"/>
      <c r="O780" s="12"/>
      <c r="P780" s="12"/>
      <c r="Q780" s="12"/>
      <c r="R780" s="36"/>
      <c r="S780" s="36"/>
      <c r="T780" s="12"/>
      <c r="U780" s="12"/>
      <c r="V780" s="12"/>
      <c r="W780" s="12"/>
      <c r="X780" s="12"/>
    </row>
    <row r="781" customFormat="false" ht="15.75" hidden="false" customHeight="false" outlineLevel="0" collapsed="false">
      <c r="A781" s="12"/>
      <c r="B781" s="34"/>
      <c r="C781" s="12"/>
      <c r="D781" s="12"/>
      <c r="E781" s="12"/>
      <c r="F781" s="12"/>
      <c r="G781" s="18"/>
      <c r="H781" s="35"/>
      <c r="I781" s="12"/>
      <c r="M781" s="12"/>
      <c r="N781" s="18"/>
      <c r="O781" s="12"/>
      <c r="P781" s="12"/>
      <c r="Q781" s="12"/>
      <c r="R781" s="36"/>
      <c r="S781" s="36"/>
      <c r="T781" s="12"/>
      <c r="U781" s="12"/>
      <c r="V781" s="12"/>
      <c r="W781" s="12"/>
      <c r="X781" s="12"/>
    </row>
    <row r="782" customFormat="false" ht="15.75" hidden="false" customHeight="false" outlineLevel="0" collapsed="false">
      <c r="A782" s="12"/>
      <c r="B782" s="34"/>
      <c r="C782" s="12"/>
      <c r="D782" s="12"/>
      <c r="E782" s="12"/>
      <c r="F782" s="12"/>
      <c r="G782" s="18"/>
      <c r="H782" s="35"/>
      <c r="I782" s="12"/>
      <c r="M782" s="12"/>
      <c r="N782" s="18"/>
      <c r="O782" s="12"/>
      <c r="P782" s="12"/>
      <c r="Q782" s="12"/>
      <c r="R782" s="36"/>
      <c r="S782" s="36"/>
      <c r="T782" s="12"/>
      <c r="U782" s="12"/>
      <c r="V782" s="12"/>
      <c r="W782" s="12"/>
      <c r="X782" s="12"/>
    </row>
    <row r="783" customFormat="false" ht="15.75" hidden="false" customHeight="false" outlineLevel="0" collapsed="false">
      <c r="A783" s="12"/>
      <c r="B783" s="34"/>
      <c r="C783" s="12"/>
      <c r="D783" s="12"/>
      <c r="E783" s="12"/>
      <c r="F783" s="12"/>
      <c r="G783" s="18"/>
      <c r="H783" s="35"/>
      <c r="I783" s="12"/>
      <c r="M783" s="12"/>
      <c r="N783" s="18"/>
      <c r="O783" s="12"/>
      <c r="P783" s="12"/>
      <c r="Q783" s="12"/>
      <c r="R783" s="36"/>
      <c r="S783" s="36"/>
      <c r="T783" s="12"/>
      <c r="U783" s="12"/>
      <c r="V783" s="12"/>
      <c r="W783" s="12"/>
      <c r="X783" s="12"/>
    </row>
    <row r="784" customFormat="false" ht="15.75" hidden="false" customHeight="false" outlineLevel="0" collapsed="false">
      <c r="A784" s="12"/>
      <c r="B784" s="34"/>
      <c r="C784" s="12"/>
      <c r="D784" s="12"/>
      <c r="E784" s="12"/>
      <c r="F784" s="12"/>
      <c r="G784" s="18"/>
      <c r="H784" s="35"/>
      <c r="I784" s="12"/>
      <c r="M784" s="12"/>
      <c r="N784" s="18"/>
      <c r="O784" s="12"/>
      <c r="P784" s="12"/>
      <c r="Q784" s="12"/>
      <c r="R784" s="36"/>
      <c r="S784" s="36"/>
      <c r="T784" s="12"/>
      <c r="U784" s="12"/>
      <c r="V784" s="12"/>
      <c r="W784" s="12"/>
      <c r="X784" s="12"/>
    </row>
    <row r="785" customFormat="false" ht="15.75" hidden="false" customHeight="false" outlineLevel="0" collapsed="false">
      <c r="A785" s="12"/>
      <c r="B785" s="34"/>
      <c r="C785" s="12"/>
      <c r="D785" s="12"/>
      <c r="E785" s="12"/>
      <c r="F785" s="12"/>
      <c r="G785" s="18"/>
      <c r="H785" s="35"/>
      <c r="I785" s="12"/>
      <c r="M785" s="12"/>
      <c r="N785" s="18"/>
      <c r="O785" s="12"/>
      <c r="P785" s="12"/>
      <c r="Q785" s="12"/>
      <c r="R785" s="36"/>
      <c r="S785" s="36"/>
      <c r="T785" s="12"/>
      <c r="U785" s="12"/>
      <c r="V785" s="12"/>
      <c r="W785" s="12"/>
      <c r="X785" s="12"/>
    </row>
    <row r="786" customFormat="false" ht="15.75" hidden="false" customHeight="false" outlineLevel="0" collapsed="false">
      <c r="A786" s="12"/>
      <c r="B786" s="34"/>
      <c r="C786" s="12"/>
      <c r="D786" s="12"/>
      <c r="E786" s="12"/>
      <c r="F786" s="12"/>
      <c r="G786" s="18"/>
      <c r="H786" s="35"/>
      <c r="I786" s="12"/>
      <c r="M786" s="12"/>
      <c r="N786" s="18"/>
      <c r="O786" s="12"/>
      <c r="P786" s="12"/>
      <c r="Q786" s="12"/>
      <c r="R786" s="36"/>
      <c r="S786" s="36"/>
      <c r="T786" s="12"/>
      <c r="U786" s="12"/>
      <c r="V786" s="12"/>
      <c r="W786" s="12"/>
      <c r="X786" s="12"/>
    </row>
    <row r="787" customFormat="false" ht="15.75" hidden="false" customHeight="false" outlineLevel="0" collapsed="false">
      <c r="A787" s="12"/>
      <c r="B787" s="34"/>
      <c r="C787" s="12"/>
      <c r="D787" s="12"/>
      <c r="E787" s="12"/>
      <c r="F787" s="12"/>
      <c r="G787" s="18"/>
      <c r="H787" s="35"/>
      <c r="I787" s="12"/>
      <c r="M787" s="12"/>
      <c r="N787" s="18"/>
      <c r="O787" s="12"/>
      <c r="P787" s="12"/>
      <c r="Q787" s="12"/>
      <c r="R787" s="36"/>
      <c r="S787" s="36"/>
      <c r="T787" s="12"/>
      <c r="U787" s="12"/>
      <c r="V787" s="12"/>
      <c r="W787" s="12"/>
      <c r="X787" s="12"/>
    </row>
    <row r="788" customFormat="false" ht="15.75" hidden="false" customHeight="false" outlineLevel="0" collapsed="false">
      <c r="A788" s="12"/>
      <c r="B788" s="34"/>
      <c r="C788" s="12"/>
      <c r="D788" s="12"/>
      <c r="E788" s="12"/>
      <c r="F788" s="12"/>
      <c r="G788" s="18"/>
      <c r="H788" s="35"/>
      <c r="I788" s="12"/>
      <c r="M788" s="12"/>
      <c r="N788" s="18"/>
      <c r="O788" s="12"/>
      <c r="P788" s="12"/>
      <c r="Q788" s="12"/>
      <c r="R788" s="36"/>
      <c r="S788" s="36"/>
      <c r="T788" s="12"/>
      <c r="U788" s="12"/>
      <c r="V788" s="12"/>
      <c r="W788" s="12"/>
      <c r="X788" s="12"/>
    </row>
    <row r="789" customFormat="false" ht="15.75" hidden="false" customHeight="false" outlineLevel="0" collapsed="false">
      <c r="A789" s="12"/>
      <c r="B789" s="34"/>
      <c r="C789" s="12"/>
      <c r="D789" s="12"/>
      <c r="E789" s="12"/>
      <c r="F789" s="12"/>
      <c r="G789" s="18"/>
      <c r="H789" s="35"/>
      <c r="I789" s="12"/>
      <c r="M789" s="12"/>
      <c r="N789" s="18"/>
      <c r="O789" s="12"/>
      <c r="P789" s="12"/>
      <c r="Q789" s="12"/>
      <c r="R789" s="36"/>
      <c r="S789" s="36"/>
      <c r="T789" s="12"/>
      <c r="U789" s="12"/>
      <c r="V789" s="12"/>
      <c r="W789" s="12"/>
      <c r="X789" s="12"/>
    </row>
    <row r="790" customFormat="false" ht="15.75" hidden="false" customHeight="false" outlineLevel="0" collapsed="false">
      <c r="A790" s="12"/>
      <c r="B790" s="34"/>
      <c r="C790" s="12"/>
      <c r="D790" s="12"/>
      <c r="E790" s="12"/>
      <c r="F790" s="12"/>
      <c r="G790" s="18"/>
      <c r="H790" s="35"/>
      <c r="I790" s="12"/>
      <c r="M790" s="12"/>
      <c r="N790" s="18"/>
      <c r="O790" s="12"/>
      <c r="P790" s="12"/>
      <c r="Q790" s="12"/>
      <c r="R790" s="36"/>
      <c r="S790" s="36"/>
      <c r="T790" s="12"/>
      <c r="U790" s="12"/>
      <c r="V790" s="12"/>
      <c r="W790" s="12"/>
      <c r="X790" s="12"/>
    </row>
    <row r="791" customFormat="false" ht="15.75" hidden="false" customHeight="false" outlineLevel="0" collapsed="false">
      <c r="A791" s="12"/>
      <c r="B791" s="34"/>
      <c r="C791" s="12"/>
      <c r="D791" s="12"/>
      <c r="E791" s="12"/>
      <c r="F791" s="12"/>
      <c r="G791" s="18"/>
      <c r="H791" s="35"/>
      <c r="I791" s="12"/>
      <c r="M791" s="12"/>
      <c r="N791" s="18"/>
      <c r="O791" s="12"/>
      <c r="P791" s="12"/>
      <c r="Q791" s="12"/>
      <c r="R791" s="36"/>
      <c r="S791" s="36"/>
      <c r="T791" s="12"/>
      <c r="U791" s="12"/>
      <c r="V791" s="12"/>
      <c r="W791" s="12"/>
      <c r="X791" s="12"/>
    </row>
    <row r="792" customFormat="false" ht="15.75" hidden="false" customHeight="false" outlineLevel="0" collapsed="false">
      <c r="A792" s="12"/>
      <c r="B792" s="34"/>
      <c r="C792" s="12"/>
      <c r="D792" s="12"/>
      <c r="E792" s="12"/>
      <c r="F792" s="12"/>
      <c r="G792" s="18"/>
      <c r="H792" s="35"/>
      <c r="I792" s="12"/>
      <c r="M792" s="12"/>
      <c r="N792" s="18"/>
      <c r="O792" s="12"/>
      <c r="P792" s="12"/>
      <c r="Q792" s="12"/>
      <c r="R792" s="36"/>
      <c r="S792" s="36"/>
      <c r="T792" s="12"/>
      <c r="U792" s="12"/>
      <c r="V792" s="12"/>
      <c r="W792" s="12"/>
      <c r="X792" s="12"/>
    </row>
    <row r="793" customFormat="false" ht="15.75" hidden="false" customHeight="false" outlineLevel="0" collapsed="false">
      <c r="A793" s="12"/>
      <c r="B793" s="34"/>
      <c r="C793" s="12"/>
      <c r="D793" s="12"/>
      <c r="E793" s="12"/>
      <c r="F793" s="12"/>
      <c r="G793" s="18"/>
      <c r="H793" s="35"/>
      <c r="I793" s="12"/>
      <c r="M793" s="12"/>
      <c r="N793" s="18"/>
      <c r="O793" s="12"/>
      <c r="P793" s="12"/>
      <c r="Q793" s="12"/>
      <c r="R793" s="36"/>
      <c r="S793" s="36"/>
      <c r="T793" s="12"/>
      <c r="U793" s="12"/>
      <c r="V793" s="12"/>
      <c r="W793" s="12"/>
      <c r="X793" s="12"/>
    </row>
    <row r="794" customFormat="false" ht="15.75" hidden="false" customHeight="false" outlineLevel="0" collapsed="false">
      <c r="A794" s="12"/>
      <c r="B794" s="34"/>
      <c r="C794" s="12"/>
      <c r="D794" s="12"/>
      <c r="E794" s="12"/>
      <c r="F794" s="12"/>
      <c r="G794" s="18"/>
      <c r="H794" s="35"/>
      <c r="I794" s="12"/>
      <c r="M794" s="12"/>
      <c r="N794" s="18"/>
      <c r="O794" s="12"/>
      <c r="P794" s="12"/>
      <c r="Q794" s="12"/>
      <c r="R794" s="36"/>
      <c r="S794" s="36"/>
      <c r="T794" s="12"/>
      <c r="U794" s="12"/>
      <c r="V794" s="12"/>
      <c r="W794" s="12"/>
      <c r="X794" s="12"/>
    </row>
    <row r="795" customFormat="false" ht="15.75" hidden="false" customHeight="false" outlineLevel="0" collapsed="false">
      <c r="A795" s="12"/>
      <c r="B795" s="34"/>
      <c r="C795" s="12"/>
      <c r="D795" s="12"/>
      <c r="E795" s="12"/>
      <c r="F795" s="12"/>
      <c r="G795" s="18"/>
      <c r="H795" s="35"/>
      <c r="I795" s="12"/>
      <c r="M795" s="12"/>
      <c r="N795" s="18"/>
      <c r="O795" s="12"/>
      <c r="P795" s="12"/>
      <c r="Q795" s="12"/>
      <c r="R795" s="36"/>
      <c r="S795" s="36"/>
      <c r="T795" s="12"/>
      <c r="U795" s="12"/>
      <c r="V795" s="12"/>
      <c r="W795" s="12"/>
      <c r="X795" s="12"/>
    </row>
    <row r="796" customFormat="false" ht="15.75" hidden="false" customHeight="false" outlineLevel="0" collapsed="false">
      <c r="A796" s="12"/>
      <c r="B796" s="34"/>
      <c r="C796" s="12"/>
      <c r="D796" s="12"/>
      <c r="E796" s="12"/>
      <c r="F796" s="12"/>
      <c r="G796" s="18"/>
      <c r="H796" s="35"/>
      <c r="I796" s="12"/>
      <c r="M796" s="12"/>
      <c r="N796" s="18"/>
      <c r="O796" s="12"/>
      <c r="P796" s="12"/>
      <c r="Q796" s="12"/>
      <c r="R796" s="36"/>
      <c r="S796" s="36"/>
      <c r="T796" s="12"/>
      <c r="U796" s="12"/>
      <c r="V796" s="12"/>
      <c r="W796" s="12"/>
      <c r="X796" s="12"/>
    </row>
    <row r="797" customFormat="false" ht="15.75" hidden="false" customHeight="false" outlineLevel="0" collapsed="false">
      <c r="A797" s="12"/>
      <c r="B797" s="34"/>
      <c r="C797" s="12"/>
      <c r="D797" s="12"/>
      <c r="E797" s="12"/>
      <c r="F797" s="12"/>
      <c r="G797" s="18"/>
      <c r="H797" s="35"/>
      <c r="I797" s="12"/>
      <c r="M797" s="12"/>
      <c r="N797" s="18"/>
      <c r="O797" s="12"/>
      <c r="P797" s="12"/>
      <c r="Q797" s="12"/>
      <c r="R797" s="36"/>
      <c r="S797" s="36"/>
      <c r="T797" s="12"/>
      <c r="U797" s="12"/>
      <c r="V797" s="12"/>
      <c r="W797" s="12"/>
      <c r="X797" s="12"/>
    </row>
    <row r="798" customFormat="false" ht="15.75" hidden="false" customHeight="false" outlineLevel="0" collapsed="false">
      <c r="A798" s="12"/>
      <c r="B798" s="34"/>
      <c r="C798" s="12"/>
      <c r="D798" s="12"/>
      <c r="E798" s="12"/>
      <c r="F798" s="12"/>
      <c r="G798" s="18"/>
      <c r="H798" s="35"/>
      <c r="I798" s="12"/>
      <c r="M798" s="12"/>
      <c r="N798" s="18"/>
      <c r="O798" s="12"/>
      <c r="P798" s="12"/>
      <c r="Q798" s="12"/>
      <c r="R798" s="36"/>
      <c r="S798" s="36"/>
      <c r="T798" s="12"/>
      <c r="U798" s="12"/>
      <c r="V798" s="12"/>
      <c r="W798" s="12"/>
      <c r="X798" s="12"/>
    </row>
    <row r="799" customFormat="false" ht="15.75" hidden="false" customHeight="false" outlineLevel="0" collapsed="false">
      <c r="A799" s="12"/>
      <c r="B799" s="34"/>
      <c r="C799" s="12"/>
      <c r="D799" s="12"/>
      <c r="E799" s="12"/>
      <c r="F799" s="12"/>
      <c r="G799" s="18"/>
      <c r="H799" s="35"/>
      <c r="I799" s="12"/>
      <c r="M799" s="12"/>
      <c r="N799" s="18"/>
      <c r="O799" s="12"/>
      <c r="P799" s="12"/>
      <c r="Q799" s="12"/>
      <c r="R799" s="36"/>
      <c r="S799" s="36"/>
      <c r="T799" s="12"/>
      <c r="U799" s="12"/>
      <c r="V799" s="12"/>
      <c r="W799" s="12"/>
      <c r="X799" s="12"/>
    </row>
    <row r="800" customFormat="false" ht="15.75" hidden="false" customHeight="false" outlineLevel="0" collapsed="false">
      <c r="A800" s="12"/>
      <c r="B800" s="34"/>
      <c r="C800" s="12"/>
      <c r="D800" s="12"/>
      <c r="E800" s="12"/>
      <c r="F800" s="12"/>
      <c r="G800" s="18"/>
      <c r="H800" s="35"/>
      <c r="I800" s="12"/>
      <c r="M800" s="12"/>
      <c r="N800" s="18"/>
      <c r="O800" s="12"/>
      <c r="P800" s="12"/>
      <c r="Q800" s="12"/>
      <c r="R800" s="36"/>
      <c r="S800" s="36"/>
      <c r="T800" s="12"/>
      <c r="U800" s="12"/>
      <c r="V800" s="12"/>
      <c r="W800" s="12"/>
      <c r="X800" s="12"/>
    </row>
    <row r="801" customFormat="false" ht="15.75" hidden="false" customHeight="false" outlineLevel="0" collapsed="false">
      <c r="A801" s="12"/>
      <c r="B801" s="34"/>
      <c r="C801" s="12"/>
      <c r="D801" s="12"/>
      <c r="E801" s="12"/>
      <c r="F801" s="12"/>
      <c r="G801" s="18"/>
      <c r="H801" s="35"/>
      <c r="I801" s="12"/>
      <c r="M801" s="12"/>
      <c r="N801" s="18"/>
      <c r="O801" s="12"/>
      <c r="P801" s="12"/>
      <c r="Q801" s="12"/>
      <c r="R801" s="36"/>
      <c r="S801" s="36"/>
      <c r="T801" s="12"/>
      <c r="U801" s="12"/>
      <c r="V801" s="12"/>
      <c r="W801" s="12"/>
      <c r="X801" s="12"/>
    </row>
    <row r="802" customFormat="false" ht="15.75" hidden="false" customHeight="false" outlineLevel="0" collapsed="false">
      <c r="A802" s="12"/>
      <c r="B802" s="34"/>
      <c r="C802" s="12"/>
      <c r="D802" s="12"/>
      <c r="E802" s="12"/>
      <c r="F802" s="12"/>
      <c r="G802" s="18"/>
      <c r="H802" s="35"/>
      <c r="I802" s="12"/>
      <c r="M802" s="12"/>
      <c r="N802" s="18"/>
      <c r="O802" s="12"/>
      <c r="P802" s="12"/>
      <c r="Q802" s="12"/>
      <c r="R802" s="36"/>
      <c r="S802" s="36"/>
      <c r="T802" s="12"/>
      <c r="U802" s="12"/>
      <c r="V802" s="12"/>
      <c r="W802" s="12"/>
      <c r="X802" s="12"/>
    </row>
    <row r="803" customFormat="false" ht="15.75" hidden="false" customHeight="false" outlineLevel="0" collapsed="false">
      <c r="A803" s="12"/>
      <c r="B803" s="34"/>
      <c r="C803" s="12"/>
      <c r="D803" s="12"/>
      <c r="E803" s="12"/>
      <c r="F803" s="12"/>
      <c r="G803" s="18"/>
      <c r="H803" s="35"/>
      <c r="I803" s="12"/>
      <c r="M803" s="12"/>
      <c r="N803" s="18"/>
      <c r="O803" s="12"/>
      <c r="P803" s="12"/>
      <c r="Q803" s="12"/>
      <c r="R803" s="36"/>
      <c r="S803" s="36"/>
      <c r="T803" s="12"/>
      <c r="U803" s="12"/>
      <c r="V803" s="12"/>
      <c r="W803" s="12"/>
      <c r="X803" s="12"/>
    </row>
    <row r="804" customFormat="false" ht="15.75" hidden="false" customHeight="false" outlineLevel="0" collapsed="false">
      <c r="A804" s="12"/>
      <c r="B804" s="34"/>
      <c r="C804" s="12"/>
      <c r="D804" s="12"/>
      <c r="E804" s="12"/>
      <c r="F804" s="12"/>
      <c r="G804" s="18"/>
      <c r="H804" s="35"/>
      <c r="I804" s="12"/>
      <c r="M804" s="12"/>
      <c r="N804" s="18"/>
      <c r="O804" s="12"/>
      <c r="P804" s="12"/>
      <c r="Q804" s="12"/>
      <c r="R804" s="36"/>
      <c r="S804" s="36"/>
      <c r="T804" s="12"/>
      <c r="U804" s="12"/>
      <c r="V804" s="12"/>
      <c r="W804" s="12"/>
      <c r="X804" s="12"/>
    </row>
    <row r="805" customFormat="false" ht="15.75" hidden="false" customHeight="false" outlineLevel="0" collapsed="false">
      <c r="A805" s="12"/>
      <c r="B805" s="34"/>
      <c r="C805" s="12"/>
      <c r="D805" s="12"/>
      <c r="E805" s="12"/>
      <c r="F805" s="12"/>
      <c r="G805" s="18"/>
      <c r="H805" s="35"/>
      <c r="I805" s="12"/>
      <c r="M805" s="12"/>
      <c r="N805" s="18"/>
      <c r="O805" s="12"/>
      <c r="P805" s="12"/>
      <c r="Q805" s="12"/>
      <c r="R805" s="36"/>
      <c r="S805" s="36"/>
      <c r="T805" s="12"/>
      <c r="U805" s="12"/>
      <c r="V805" s="12"/>
      <c r="W805" s="12"/>
      <c r="X805" s="12"/>
    </row>
    <row r="806" customFormat="false" ht="15.75" hidden="false" customHeight="false" outlineLevel="0" collapsed="false">
      <c r="A806" s="12"/>
      <c r="B806" s="34"/>
      <c r="C806" s="12"/>
      <c r="D806" s="12"/>
      <c r="E806" s="12"/>
      <c r="F806" s="12"/>
      <c r="G806" s="18"/>
      <c r="H806" s="35"/>
      <c r="I806" s="12"/>
      <c r="M806" s="12"/>
      <c r="N806" s="18"/>
      <c r="O806" s="12"/>
      <c r="P806" s="12"/>
      <c r="Q806" s="12"/>
      <c r="R806" s="36"/>
      <c r="S806" s="36"/>
      <c r="T806" s="12"/>
      <c r="U806" s="12"/>
      <c r="V806" s="12"/>
      <c r="W806" s="12"/>
      <c r="X806" s="12"/>
    </row>
    <row r="807" customFormat="false" ht="15.75" hidden="false" customHeight="false" outlineLevel="0" collapsed="false">
      <c r="A807" s="12"/>
      <c r="B807" s="34"/>
      <c r="C807" s="12"/>
      <c r="D807" s="12"/>
      <c r="E807" s="12"/>
      <c r="F807" s="12"/>
      <c r="G807" s="18"/>
      <c r="H807" s="35"/>
      <c r="I807" s="12"/>
      <c r="M807" s="12"/>
      <c r="N807" s="18"/>
      <c r="O807" s="12"/>
      <c r="P807" s="12"/>
      <c r="Q807" s="12"/>
      <c r="R807" s="36"/>
      <c r="S807" s="36"/>
      <c r="T807" s="12"/>
      <c r="U807" s="12"/>
      <c r="V807" s="12"/>
      <c r="W807" s="12"/>
      <c r="X807" s="12"/>
    </row>
    <row r="808" customFormat="false" ht="15.75" hidden="false" customHeight="false" outlineLevel="0" collapsed="false">
      <c r="A808" s="12"/>
      <c r="B808" s="34"/>
      <c r="C808" s="12"/>
      <c r="D808" s="12"/>
      <c r="E808" s="12"/>
      <c r="F808" s="12"/>
      <c r="G808" s="18"/>
      <c r="H808" s="35"/>
      <c r="I808" s="12"/>
      <c r="M808" s="12"/>
      <c r="N808" s="18"/>
      <c r="O808" s="12"/>
      <c r="P808" s="12"/>
      <c r="Q808" s="12"/>
      <c r="R808" s="36"/>
      <c r="S808" s="36"/>
      <c r="T808" s="12"/>
      <c r="U808" s="12"/>
      <c r="V808" s="12"/>
      <c r="W808" s="12"/>
      <c r="X808" s="12"/>
    </row>
    <row r="809" customFormat="false" ht="15.75" hidden="false" customHeight="false" outlineLevel="0" collapsed="false">
      <c r="A809" s="12"/>
      <c r="B809" s="34"/>
      <c r="C809" s="12"/>
      <c r="D809" s="12"/>
      <c r="E809" s="12"/>
      <c r="F809" s="12"/>
      <c r="G809" s="18"/>
      <c r="H809" s="35"/>
      <c r="I809" s="12"/>
      <c r="M809" s="12"/>
      <c r="N809" s="18"/>
      <c r="O809" s="12"/>
      <c r="P809" s="12"/>
      <c r="Q809" s="12"/>
      <c r="R809" s="36"/>
      <c r="S809" s="36"/>
      <c r="T809" s="12"/>
      <c r="U809" s="12"/>
      <c r="V809" s="12"/>
      <c r="W809" s="12"/>
      <c r="X809" s="12"/>
    </row>
    <row r="810" customFormat="false" ht="15.75" hidden="false" customHeight="false" outlineLevel="0" collapsed="false">
      <c r="A810" s="12"/>
      <c r="B810" s="34"/>
      <c r="C810" s="12"/>
      <c r="D810" s="12"/>
      <c r="E810" s="12"/>
      <c r="F810" s="12"/>
      <c r="G810" s="18"/>
      <c r="H810" s="35"/>
      <c r="I810" s="12"/>
      <c r="M810" s="12"/>
      <c r="N810" s="18"/>
      <c r="O810" s="12"/>
      <c r="P810" s="12"/>
      <c r="Q810" s="12"/>
      <c r="R810" s="36"/>
      <c r="S810" s="36"/>
      <c r="T810" s="12"/>
      <c r="U810" s="12"/>
      <c r="V810" s="12"/>
      <c r="W810" s="12"/>
      <c r="X810" s="12"/>
    </row>
    <row r="811" customFormat="false" ht="15.75" hidden="false" customHeight="false" outlineLevel="0" collapsed="false">
      <c r="A811" s="12"/>
      <c r="B811" s="34"/>
      <c r="C811" s="12"/>
      <c r="D811" s="12"/>
      <c r="E811" s="12"/>
      <c r="F811" s="12"/>
      <c r="G811" s="18"/>
      <c r="H811" s="35"/>
      <c r="I811" s="12"/>
      <c r="M811" s="12"/>
      <c r="N811" s="18"/>
      <c r="O811" s="12"/>
      <c r="P811" s="12"/>
      <c r="Q811" s="12"/>
      <c r="R811" s="36"/>
      <c r="S811" s="36"/>
      <c r="T811" s="12"/>
      <c r="U811" s="12"/>
      <c r="V811" s="12"/>
      <c r="W811" s="12"/>
      <c r="X811" s="12"/>
    </row>
    <row r="812" customFormat="false" ht="15.75" hidden="false" customHeight="false" outlineLevel="0" collapsed="false">
      <c r="A812" s="12"/>
      <c r="B812" s="34"/>
      <c r="C812" s="12"/>
      <c r="D812" s="12"/>
      <c r="E812" s="12"/>
      <c r="F812" s="12"/>
      <c r="G812" s="18"/>
      <c r="H812" s="35"/>
      <c r="I812" s="12"/>
      <c r="M812" s="12"/>
      <c r="N812" s="18"/>
      <c r="O812" s="12"/>
      <c r="P812" s="12"/>
      <c r="Q812" s="12"/>
      <c r="R812" s="36"/>
      <c r="S812" s="36"/>
      <c r="T812" s="12"/>
      <c r="U812" s="12"/>
      <c r="V812" s="12"/>
      <c r="W812" s="12"/>
      <c r="X812" s="12"/>
    </row>
    <row r="813" customFormat="false" ht="15.75" hidden="false" customHeight="false" outlineLevel="0" collapsed="false">
      <c r="A813" s="12"/>
      <c r="B813" s="34"/>
      <c r="C813" s="12"/>
      <c r="D813" s="12"/>
      <c r="E813" s="12"/>
      <c r="F813" s="12"/>
      <c r="G813" s="18"/>
      <c r="H813" s="35"/>
      <c r="I813" s="12"/>
      <c r="M813" s="12"/>
      <c r="N813" s="18"/>
      <c r="O813" s="12"/>
      <c r="P813" s="12"/>
      <c r="Q813" s="12"/>
      <c r="R813" s="36"/>
      <c r="S813" s="36"/>
      <c r="T813" s="12"/>
      <c r="U813" s="12"/>
      <c r="V813" s="12"/>
      <c r="W813" s="12"/>
      <c r="X813" s="12"/>
    </row>
    <row r="814" customFormat="false" ht="15.75" hidden="false" customHeight="false" outlineLevel="0" collapsed="false">
      <c r="A814" s="12"/>
      <c r="B814" s="34"/>
      <c r="C814" s="12"/>
      <c r="D814" s="12"/>
      <c r="E814" s="12"/>
      <c r="F814" s="12"/>
      <c r="G814" s="18"/>
      <c r="H814" s="35"/>
      <c r="I814" s="12"/>
      <c r="M814" s="12"/>
      <c r="N814" s="18"/>
      <c r="O814" s="12"/>
      <c r="P814" s="12"/>
      <c r="Q814" s="12"/>
      <c r="R814" s="36"/>
      <c r="S814" s="36"/>
      <c r="T814" s="12"/>
      <c r="U814" s="12"/>
      <c r="V814" s="12"/>
      <c r="W814" s="12"/>
      <c r="X814" s="12"/>
    </row>
    <row r="815" customFormat="false" ht="15.75" hidden="false" customHeight="false" outlineLevel="0" collapsed="false">
      <c r="A815" s="12"/>
      <c r="B815" s="34"/>
      <c r="C815" s="12"/>
      <c r="D815" s="12"/>
      <c r="E815" s="12"/>
      <c r="F815" s="12"/>
      <c r="G815" s="18"/>
      <c r="H815" s="35"/>
      <c r="I815" s="12"/>
      <c r="M815" s="12"/>
      <c r="N815" s="18"/>
      <c r="O815" s="12"/>
      <c r="P815" s="12"/>
      <c r="Q815" s="12"/>
      <c r="R815" s="36"/>
      <c r="S815" s="36"/>
      <c r="T815" s="12"/>
      <c r="U815" s="12"/>
      <c r="V815" s="12"/>
      <c r="W815" s="12"/>
      <c r="X815" s="12"/>
    </row>
    <row r="816" customFormat="false" ht="15.75" hidden="false" customHeight="false" outlineLevel="0" collapsed="false">
      <c r="A816" s="12"/>
      <c r="B816" s="34"/>
      <c r="C816" s="12"/>
      <c r="D816" s="12"/>
      <c r="E816" s="12"/>
      <c r="F816" s="12"/>
      <c r="G816" s="18"/>
      <c r="H816" s="35"/>
      <c r="I816" s="12"/>
      <c r="M816" s="12"/>
      <c r="N816" s="18"/>
      <c r="O816" s="12"/>
      <c r="P816" s="12"/>
      <c r="Q816" s="12"/>
      <c r="R816" s="36"/>
      <c r="S816" s="36"/>
      <c r="T816" s="12"/>
      <c r="U816" s="12"/>
      <c r="V816" s="12"/>
      <c r="W816" s="12"/>
      <c r="X816" s="12"/>
    </row>
    <row r="817" customFormat="false" ht="15.75" hidden="false" customHeight="false" outlineLevel="0" collapsed="false">
      <c r="A817" s="12"/>
      <c r="B817" s="34"/>
      <c r="C817" s="12"/>
      <c r="D817" s="12"/>
      <c r="E817" s="12"/>
      <c r="F817" s="12"/>
      <c r="G817" s="18"/>
      <c r="H817" s="35"/>
      <c r="I817" s="12"/>
      <c r="M817" s="12"/>
      <c r="N817" s="18"/>
      <c r="O817" s="12"/>
      <c r="P817" s="12"/>
      <c r="Q817" s="12"/>
      <c r="R817" s="36"/>
      <c r="S817" s="36"/>
      <c r="T817" s="12"/>
      <c r="U817" s="12"/>
      <c r="V817" s="12"/>
      <c r="W817" s="12"/>
      <c r="X817" s="12"/>
    </row>
    <row r="818" customFormat="false" ht="15.75" hidden="false" customHeight="false" outlineLevel="0" collapsed="false">
      <c r="A818" s="12"/>
      <c r="B818" s="34"/>
      <c r="C818" s="12"/>
      <c r="D818" s="12"/>
      <c r="E818" s="12"/>
      <c r="F818" s="12"/>
      <c r="G818" s="18"/>
      <c r="H818" s="35"/>
      <c r="I818" s="12"/>
      <c r="M818" s="12"/>
      <c r="N818" s="18"/>
      <c r="O818" s="12"/>
      <c r="P818" s="12"/>
      <c r="Q818" s="12"/>
      <c r="R818" s="36"/>
      <c r="S818" s="36"/>
      <c r="T818" s="12"/>
      <c r="U818" s="12"/>
      <c r="V818" s="12"/>
      <c r="W818" s="12"/>
      <c r="X818" s="12"/>
    </row>
    <row r="819" customFormat="false" ht="15.75" hidden="false" customHeight="false" outlineLevel="0" collapsed="false">
      <c r="A819" s="12"/>
      <c r="B819" s="34"/>
      <c r="C819" s="12"/>
      <c r="D819" s="12"/>
      <c r="E819" s="12"/>
      <c r="F819" s="12"/>
      <c r="G819" s="18"/>
      <c r="H819" s="35"/>
      <c r="I819" s="12"/>
      <c r="M819" s="12"/>
      <c r="N819" s="18"/>
      <c r="O819" s="12"/>
      <c r="P819" s="12"/>
      <c r="Q819" s="12"/>
      <c r="R819" s="36"/>
      <c r="S819" s="36"/>
      <c r="T819" s="12"/>
      <c r="U819" s="12"/>
      <c r="V819" s="12"/>
      <c r="W819" s="12"/>
      <c r="X819" s="12"/>
    </row>
    <row r="820" customFormat="false" ht="15.75" hidden="false" customHeight="false" outlineLevel="0" collapsed="false">
      <c r="A820" s="12"/>
      <c r="B820" s="34"/>
      <c r="C820" s="12"/>
      <c r="D820" s="12"/>
      <c r="E820" s="12"/>
      <c r="F820" s="12"/>
      <c r="G820" s="18"/>
      <c r="H820" s="35"/>
      <c r="I820" s="12"/>
      <c r="M820" s="12"/>
      <c r="N820" s="18"/>
      <c r="O820" s="12"/>
      <c r="P820" s="12"/>
      <c r="Q820" s="12"/>
      <c r="R820" s="36"/>
      <c r="S820" s="36"/>
      <c r="T820" s="12"/>
      <c r="U820" s="12"/>
      <c r="V820" s="12"/>
      <c r="W820" s="12"/>
      <c r="X820" s="12"/>
    </row>
    <row r="821" customFormat="false" ht="15.75" hidden="false" customHeight="false" outlineLevel="0" collapsed="false">
      <c r="A821" s="12"/>
      <c r="B821" s="34"/>
      <c r="C821" s="12"/>
      <c r="D821" s="12"/>
      <c r="E821" s="12"/>
      <c r="F821" s="12"/>
      <c r="G821" s="18"/>
      <c r="H821" s="35"/>
      <c r="I821" s="12"/>
      <c r="M821" s="12"/>
      <c r="N821" s="18"/>
      <c r="O821" s="12"/>
      <c r="P821" s="12"/>
      <c r="Q821" s="12"/>
      <c r="R821" s="36"/>
      <c r="S821" s="36"/>
      <c r="T821" s="12"/>
      <c r="U821" s="12"/>
      <c r="V821" s="12"/>
      <c r="W821" s="12"/>
      <c r="X821" s="12"/>
    </row>
    <row r="822" customFormat="false" ht="15.75" hidden="false" customHeight="false" outlineLevel="0" collapsed="false">
      <c r="A822" s="12"/>
      <c r="B822" s="34"/>
      <c r="C822" s="12"/>
      <c r="D822" s="12"/>
      <c r="E822" s="12"/>
      <c r="F822" s="12"/>
      <c r="G822" s="18"/>
      <c r="H822" s="35"/>
      <c r="I822" s="12"/>
      <c r="M822" s="12"/>
      <c r="N822" s="18"/>
      <c r="O822" s="12"/>
      <c r="P822" s="12"/>
      <c r="Q822" s="12"/>
      <c r="R822" s="36"/>
      <c r="S822" s="36"/>
      <c r="T822" s="12"/>
      <c r="U822" s="12"/>
      <c r="V822" s="12"/>
      <c r="W822" s="12"/>
      <c r="X822" s="12"/>
    </row>
    <row r="823" customFormat="false" ht="15.75" hidden="false" customHeight="false" outlineLevel="0" collapsed="false">
      <c r="A823" s="12"/>
      <c r="B823" s="34"/>
      <c r="C823" s="12"/>
      <c r="D823" s="12"/>
      <c r="E823" s="12"/>
      <c r="F823" s="12"/>
      <c r="G823" s="18"/>
      <c r="H823" s="35"/>
      <c r="I823" s="12"/>
      <c r="M823" s="12"/>
      <c r="N823" s="18"/>
      <c r="O823" s="12"/>
      <c r="P823" s="12"/>
      <c r="Q823" s="12"/>
      <c r="R823" s="36"/>
      <c r="S823" s="36"/>
      <c r="T823" s="12"/>
      <c r="U823" s="12"/>
      <c r="V823" s="12"/>
      <c r="W823" s="12"/>
      <c r="X823" s="12"/>
    </row>
    <row r="824" customFormat="false" ht="15.75" hidden="false" customHeight="false" outlineLevel="0" collapsed="false">
      <c r="A824" s="12"/>
      <c r="B824" s="34"/>
      <c r="C824" s="12"/>
      <c r="D824" s="12"/>
      <c r="E824" s="12"/>
      <c r="F824" s="12"/>
      <c r="G824" s="18"/>
      <c r="H824" s="35"/>
      <c r="I824" s="12"/>
      <c r="M824" s="12"/>
      <c r="N824" s="18"/>
      <c r="O824" s="12"/>
      <c r="P824" s="12"/>
      <c r="Q824" s="12"/>
      <c r="R824" s="36"/>
      <c r="S824" s="36"/>
      <c r="T824" s="12"/>
      <c r="U824" s="12"/>
      <c r="V824" s="12"/>
      <c r="W824" s="12"/>
      <c r="X824" s="12"/>
    </row>
    <row r="825" customFormat="false" ht="15.75" hidden="false" customHeight="false" outlineLevel="0" collapsed="false">
      <c r="A825" s="12"/>
      <c r="B825" s="34"/>
      <c r="C825" s="12"/>
      <c r="D825" s="12"/>
      <c r="E825" s="12"/>
      <c r="F825" s="12"/>
      <c r="G825" s="18"/>
      <c r="H825" s="35"/>
      <c r="I825" s="12"/>
      <c r="M825" s="12"/>
      <c r="N825" s="18"/>
      <c r="O825" s="12"/>
      <c r="P825" s="12"/>
      <c r="Q825" s="12"/>
      <c r="R825" s="36"/>
      <c r="S825" s="36"/>
      <c r="T825" s="12"/>
      <c r="U825" s="12"/>
      <c r="V825" s="12"/>
      <c r="W825" s="12"/>
      <c r="X825" s="12"/>
    </row>
    <row r="826" customFormat="false" ht="15.75" hidden="false" customHeight="false" outlineLevel="0" collapsed="false">
      <c r="A826" s="12"/>
      <c r="B826" s="34"/>
      <c r="C826" s="12"/>
      <c r="D826" s="12"/>
      <c r="E826" s="12"/>
      <c r="F826" s="12"/>
      <c r="G826" s="18"/>
      <c r="H826" s="35"/>
      <c r="I826" s="12"/>
      <c r="M826" s="12"/>
      <c r="N826" s="18"/>
      <c r="O826" s="12"/>
      <c r="P826" s="12"/>
      <c r="Q826" s="12"/>
      <c r="R826" s="36"/>
      <c r="S826" s="36"/>
      <c r="T826" s="12"/>
      <c r="U826" s="12"/>
      <c r="V826" s="12"/>
      <c r="W826" s="12"/>
      <c r="X826" s="12"/>
    </row>
    <row r="827" customFormat="false" ht="15.75" hidden="false" customHeight="false" outlineLevel="0" collapsed="false">
      <c r="A827" s="12"/>
      <c r="B827" s="34"/>
      <c r="C827" s="12"/>
      <c r="D827" s="12"/>
      <c r="E827" s="12"/>
      <c r="F827" s="12"/>
      <c r="G827" s="18"/>
      <c r="H827" s="35"/>
      <c r="I827" s="12"/>
      <c r="M827" s="12"/>
      <c r="N827" s="18"/>
      <c r="O827" s="12"/>
      <c r="P827" s="12"/>
      <c r="Q827" s="12"/>
      <c r="R827" s="36"/>
      <c r="S827" s="36"/>
      <c r="T827" s="12"/>
      <c r="U827" s="12"/>
      <c r="V827" s="12"/>
      <c r="W827" s="12"/>
      <c r="X827" s="12"/>
    </row>
    <row r="828" customFormat="false" ht="15.75" hidden="false" customHeight="false" outlineLevel="0" collapsed="false">
      <c r="A828" s="12"/>
      <c r="B828" s="34"/>
      <c r="C828" s="12"/>
      <c r="D828" s="12"/>
      <c r="E828" s="12"/>
      <c r="F828" s="12"/>
      <c r="G828" s="18"/>
      <c r="H828" s="35"/>
      <c r="I828" s="12"/>
      <c r="M828" s="12"/>
      <c r="N828" s="18"/>
      <c r="O828" s="12"/>
      <c r="P828" s="12"/>
      <c r="Q828" s="12"/>
      <c r="R828" s="36"/>
      <c r="S828" s="36"/>
      <c r="T828" s="12"/>
      <c r="U828" s="12"/>
      <c r="V828" s="12"/>
      <c r="W828" s="12"/>
      <c r="X828" s="12"/>
    </row>
    <row r="829" customFormat="false" ht="15.75" hidden="false" customHeight="false" outlineLevel="0" collapsed="false">
      <c r="A829" s="12"/>
      <c r="B829" s="34"/>
      <c r="C829" s="12"/>
      <c r="D829" s="12"/>
      <c r="E829" s="12"/>
      <c r="F829" s="12"/>
      <c r="G829" s="18"/>
      <c r="H829" s="35"/>
      <c r="I829" s="12"/>
      <c r="M829" s="12"/>
      <c r="N829" s="18"/>
      <c r="O829" s="12"/>
      <c r="P829" s="12"/>
      <c r="Q829" s="12"/>
      <c r="R829" s="36"/>
      <c r="S829" s="36"/>
      <c r="T829" s="12"/>
      <c r="U829" s="12"/>
      <c r="V829" s="12"/>
      <c r="W829" s="12"/>
      <c r="X829" s="12"/>
    </row>
    <row r="830" customFormat="false" ht="15.75" hidden="false" customHeight="false" outlineLevel="0" collapsed="false">
      <c r="A830" s="12"/>
      <c r="B830" s="34"/>
      <c r="C830" s="12"/>
      <c r="D830" s="12"/>
      <c r="E830" s="12"/>
      <c r="F830" s="12"/>
      <c r="G830" s="18"/>
      <c r="H830" s="35"/>
      <c r="I830" s="12"/>
      <c r="M830" s="12"/>
      <c r="N830" s="18"/>
      <c r="O830" s="12"/>
      <c r="P830" s="12"/>
      <c r="Q830" s="12"/>
      <c r="R830" s="36"/>
      <c r="S830" s="36"/>
      <c r="T830" s="12"/>
      <c r="U830" s="12"/>
      <c r="V830" s="12"/>
      <c r="W830" s="12"/>
      <c r="X830" s="12"/>
    </row>
    <row r="831" customFormat="false" ht="15.75" hidden="false" customHeight="false" outlineLevel="0" collapsed="false">
      <c r="A831" s="12"/>
      <c r="B831" s="34"/>
      <c r="C831" s="12"/>
      <c r="D831" s="12"/>
      <c r="E831" s="12"/>
      <c r="F831" s="12"/>
      <c r="G831" s="18"/>
      <c r="H831" s="35"/>
      <c r="I831" s="12"/>
      <c r="M831" s="12"/>
      <c r="N831" s="18"/>
      <c r="O831" s="12"/>
      <c r="P831" s="12"/>
      <c r="Q831" s="12"/>
      <c r="R831" s="36"/>
      <c r="S831" s="36"/>
      <c r="T831" s="12"/>
      <c r="U831" s="12"/>
      <c r="V831" s="12"/>
      <c r="W831" s="12"/>
      <c r="X831" s="12"/>
    </row>
    <row r="832" customFormat="false" ht="15.75" hidden="false" customHeight="false" outlineLevel="0" collapsed="false">
      <c r="A832" s="12"/>
      <c r="B832" s="34"/>
      <c r="C832" s="12"/>
      <c r="D832" s="12"/>
      <c r="E832" s="12"/>
      <c r="F832" s="12"/>
      <c r="G832" s="18"/>
      <c r="H832" s="35"/>
      <c r="I832" s="12"/>
      <c r="M832" s="12"/>
      <c r="N832" s="18"/>
      <c r="O832" s="12"/>
      <c r="P832" s="12"/>
      <c r="Q832" s="12"/>
      <c r="R832" s="36"/>
      <c r="S832" s="36"/>
      <c r="T832" s="12"/>
      <c r="U832" s="12"/>
      <c r="V832" s="12"/>
      <c r="W832" s="12"/>
      <c r="X832" s="12"/>
    </row>
    <row r="833" customFormat="false" ht="15.75" hidden="false" customHeight="false" outlineLevel="0" collapsed="false">
      <c r="A833" s="12"/>
      <c r="B833" s="34"/>
      <c r="C833" s="12"/>
      <c r="D833" s="12"/>
      <c r="E833" s="12"/>
      <c r="F833" s="12"/>
      <c r="G833" s="18"/>
      <c r="H833" s="35"/>
      <c r="I833" s="12"/>
      <c r="M833" s="12"/>
      <c r="N833" s="18"/>
      <c r="O833" s="12"/>
      <c r="P833" s="12"/>
      <c r="Q833" s="12"/>
      <c r="R833" s="36"/>
      <c r="S833" s="36"/>
      <c r="T833" s="12"/>
      <c r="U833" s="12"/>
      <c r="V833" s="12"/>
      <c r="W833" s="12"/>
      <c r="X833" s="12"/>
    </row>
    <row r="834" customFormat="false" ht="15.75" hidden="false" customHeight="false" outlineLevel="0" collapsed="false">
      <c r="A834" s="12"/>
      <c r="B834" s="34"/>
      <c r="C834" s="12"/>
      <c r="D834" s="12"/>
      <c r="E834" s="12"/>
      <c r="F834" s="12"/>
      <c r="G834" s="18"/>
      <c r="H834" s="35"/>
      <c r="I834" s="12"/>
      <c r="M834" s="12"/>
      <c r="N834" s="18"/>
      <c r="O834" s="12"/>
      <c r="P834" s="12"/>
      <c r="Q834" s="12"/>
      <c r="R834" s="36"/>
      <c r="S834" s="36"/>
      <c r="T834" s="12"/>
      <c r="U834" s="12"/>
      <c r="V834" s="12"/>
      <c r="W834" s="12"/>
      <c r="X834" s="12"/>
    </row>
    <row r="835" customFormat="false" ht="15.75" hidden="false" customHeight="false" outlineLevel="0" collapsed="false">
      <c r="A835" s="12"/>
      <c r="B835" s="34"/>
      <c r="C835" s="12"/>
      <c r="D835" s="12"/>
      <c r="E835" s="12"/>
      <c r="F835" s="12"/>
      <c r="G835" s="18"/>
      <c r="H835" s="35"/>
      <c r="I835" s="12"/>
      <c r="M835" s="12"/>
      <c r="N835" s="18"/>
      <c r="O835" s="12"/>
      <c r="P835" s="12"/>
      <c r="Q835" s="12"/>
      <c r="R835" s="36"/>
      <c r="S835" s="36"/>
      <c r="T835" s="12"/>
      <c r="U835" s="12"/>
      <c r="V835" s="12"/>
      <c r="W835" s="12"/>
      <c r="X835" s="12"/>
    </row>
    <row r="836" customFormat="false" ht="15.75" hidden="false" customHeight="false" outlineLevel="0" collapsed="false">
      <c r="A836" s="12"/>
      <c r="B836" s="34"/>
      <c r="C836" s="12"/>
      <c r="D836" s="12"/>
      <c r="E836" s="12"/>
      <c r="F836" s="12"/>
      <c r="G836" s="18"/>
      <c r="H836" s="35"/>
      <c r="I836" s="12"/>
      <c r="M836" s="12"/>
      <c r="N836" s="18"/>
      <c r="O836" s="12"/>
      <c r="P836" s="12"/>
      <c r="Q836" s="12"/>
      <c r="R836" s="36"/>
      <c r="S836" s="36"/>
      <c r="T836" s="12"/>
      <c r="U836" s="12"/>
      <c r="V836" s="12"/>
      <c r="W836" s="12"/>
      <c r="X836" s="12"/>
    </row>
    <row r="837" customFormat="false" ht="15.75" hidden="false" customHeight="false" outlineLevel="0" collapsed="false">
      <c r="A837" s="12"/>
      <c r="B837" s="34"/>
      <c r="C837" s="12"/>
      <c r="D837" s="12"/>
      <c r="E837" s="12"/>
      <c r="F837" s="12"/>
      <c r="G837" s="18"/>
      <c r="H837" s="35"/>
      <c r="I837" s="12"/>
      <c r="M837" s="12"/>
      <c r="N837" s="18"/>
      <c r="O837" s="12"/>
      <c r="P837" s="12"/>
      <c r="Q837" s="12"/>
      <c r="R837" s="36"/>
      <c r="S837" s="36"/>
      <c r="T837" s="12"/>
      <c r="U837" s="12"/>
      <c r="V837" s="12"/>
      <c r="W837" s="12"/>
      <c r="X837" s="12"/>
    </row>
    <row r="838" customFormat="false" ht="15.75" hidden="false" customHeight="false" outlineLevel="0" collapsed="false">
      <c r="A838" s="12"/>
      <c r="B838" s="34"/>
      <c r="C838" s="12"/>
      <c r="D838" s="12"/>
      <c r="E838" s="12"/>
      <c r="F838" s="12"/>
      <c r="G838" s="18"/>
      <c r="H838" s="35"/>
      <c r="I838" s="12"/>
      <c r="M838" s="12"/>
      <c r="N838" s="18"/>
      <c r="O838" s="12"/>
      <c r="P838" s="12"/>
      <c r="Q838" s="12"/>
      <c r="R838" s="36"/>
      <c r="S838" s="36"/>
      <c r="T838" s="12"/>
      <c r="U838" s="12"/>
      <c r="V838" s="12"/>
      <c r="W838" s="12"/>
      <c r="X838" s="12"/>
    </row>
    <row r="839" customFormat="false" ht="15.75" hidden="false" customHeight="false" outlineLevel="0" collapsed="false">
      <c r="A839" s="12"/>
      <c r="B839" s="34"/>
      <c r="C839" s="12"/>
      <c r="D839" s="12"/>
      <c r="E839" s="12"/>
      <c r="F839" s="12"/>
      <c r="G839" s="18"/>
      <c r="H839" s="35"/>
      <c r="I839" s="12"/>
      <c r="M839" s="12"/>
      <c r="N839" s="18"/>
      <c r="O839" s="12"/>
      <c r="P839" s="12"/>
      <c r="Q839" s="12"/>
      <c r="R839" s="36"/>
      <c r="S839" s="36"/>
      <c r="T839" s="12"/>
      <c r="U839" s="12"/>
      <c r="V839" s="12"/>
      <c r="W839" s="12"/>
      <c r="X839" s="12"/>
    </row>
    <row r="840" customFormat="false" ht="15.75" hidden="false" customHeight="false" outlineLevel="0" collapsed="false">
      <c r="A840" s="12"/>
      <c r="B840" s="34"/>
      <c r="C840" s="12"/>
      <c r="D840" s="12"/>
      <c r="E840" s="12"/>
      <c r="F840" s="12"/>
      <c r="G840" s="18"/>
      <c r="H840" s="35"/>
      <c r="I840" s="12"/>
      <c r="M840" s="12"/>
      <c r="N840" s="18"/>
      <c r="O840" s="12"/>
      <c r="P840" s="12"/>
      <c r="Q840" s="12"/>
      <c r="R840" s="36"/>
      <c r="S840" s="36"/>
      <c r="T840" s="12"/>
      <c r="U840" s="12"/>
      <c r="V840" s="12"/>
      <c r="W840" s="12"/>
      <c r="X840" s="12"/>
    </row>
    <row r="841" customFormat="false" ht="15.75" hidden="false" customHeight="false" outlineLevel="0" collapsed="false">
      <c r="A841" s="12"/>
      <c r="B841" s="34"/>
      <c r="C841" s="12"/>
      <c r="D841" s="12"/>
      <c r="E841" s="12"/>
      <c r="F841" s="12"/>
      <c r="G841" s="18"/>
      <c r="H841" s="35"/>
      <c r="I841" s="12"/>
      <c r="M841" s="12"/>
      <c r="N841" s="18"/>
      <c r="O841" s="12"/>
      <c r="P841" s="12"/>
      <c r="Q841" s="12"/>
      <c r="R841" s="36"/>
      <c r="S841" s="36"/>
      <c r="T841" s="12"/>
      <c r="U841" s="12"/>
      <c r="V841" s="12"/>
      <c r="W841" s="12"/>
      <c r="X841" s="12"/>
    </row>
    <row r="842" customFormat="false" ht="15.75" hidden="false" customHeight="false" outlineLevel="0" collapsed="false">
      <c r="A842" s="12"/>
      <c r="B842" s="34"/>
      <c r="C842" s="12"/>
      <c r="D842" s="12"/>
      <c r="E842" s="12"/>
      <c r="F842" s="12"/>
      <c r="G842" s="18"/>
      <c r="H842" s="35"/>
      <c r="I842" s="12"/>
      <c r="M842" s="12"/>
      <c r="N842" s="18"/>
      <c r="O842" s="12"/>
      <c r="P842" s="12"/>
      <c r="Q842" s="12"/>
      <c r="R842" s="36"/>
      <c r="S842" s="36"/>
      <c r="T842" s="12"/>
      <c r="U842" s="12"/>
      <c r="V842" s="12"/>
      <c r="W842" s="12"/>
      <c r="X842" s="12"/>
    </row>
    <row r="843" customFormat="false" ht="15.75" hidden="false" customHeight="false" outlineLevel="0" collapsed="false">
      <c r="A843" s="12"/>
      <c r="B843" s="34"/>
      <c r="C843" s="12"/>
      <c r="D843" s="12"/>
      <c r="E843" s="12"/>
      <c r="F843" s="12"/>
      <c r="G843" s="18"/>
      <c r="H843" s="35"/>
      <c r="I843" s="12"/>
      <c r="M843" s="12"/>
      <c r="N843" s="18"/>
      <c r="O843" s="12"/>
      <c r="P843" s="12"/>
      <c r="Q843" s="12"/>
      <c r="R843" s="36"/>
      <c r="S843" s="36"/>
      <c r="T843" s="12"/>
      <c r="U843" s="12"/>
      <c r="V843" s="12"/>
      <c r="W843" s="12"/>
      <c r="X843" s="12"/>
    </row>
    <row r="844" customFormat="false" ht="15.75" hidden="false" customHeight="false" outlineLevel="0" collapsed="false">
      <c r="A844" s="12"/>
      <c r="B844" s="34"/>
      <c r="C844" s="12"/>
      <c r="D844" s="12"/>
      <c r="E844" s="12"/>
      <c r="F844" s="12"/>
      <c r="G844" s="18"/>
      <c r="H844" s="35"/>
      <c r="I844" s="12"/>
      <c r="M844" s="12"/>
      <c r="N844" s="18"/>
      <c r="O844" s="12"/>
      <c r="P844" s="12"/>
      <c r="Q844" s="12"/>
      <c r="R844" s="36"/>
      <c r="S844" s="36"/>
      <c r="T844" s="12"/>
      <c r="U844" s="12"/>
      <c r="V844" s="12"/>
      <c r="W844" s="12"/>
      <c r="X844" s="12"/>
    </row>
    <row r="845" customFormat="false" ht="15.75" hidden="false" customHeight="false" outlineLevel="0" collapsed="false">
      <c r="A845" s="12"/>
      <c r="B845" s="34"/>
      <c r="C845" s="12"/>
      <c r="D845" s="12"/>
      <c r="E845" s="12"/>
      <c r="F845" s="12"/>
      <c r="G845" s="18"/>
      <c r="H845" s="35"/>
      <c r="I845" s="12"/>
      <c r="M845" s="12"/>
      <c r="N845" s="18"/>
      <c r="O845" s="12"/>
      <c r="P845" s="12"/>
      <c r="Q845" s="12"/>
      <c r="R845" s="36"/>
      <c r="S845" s="36"/>
      <c r="T845" s="12"/>
      <c r="U845" s="12"/>
      <c r="V845" s="12"/>
      <c r="W845" s="12"/>
      <c r="X845" s="12"/>
    </row>
    <row r="846" customFormat="false" ht="15.75" hidden="false" customHeight="false" outlineLevel="0" collapsed="false">
      <c r="A846" s="12"/>
      <c r="B846" s="34"/>
      <c r="C846" s="12"/>
      <c r="D846" s="12"/>
      <c r="E846" s="12"/>
      <c r="F846" s="12"/>
      <c r="G846" s="18"/>
      <c r="H846" s="35"/>
      <c r="I846" s="12"/>
      <c r="M846" s="12"/>
      <c r="N846" s="18"/>
      <c r="O846" s="12"/>
      <c r="P846" s="12"/>
      <c r="Q846" s="12"/>
      <c r="R846" s="36"/>
      <c r="S846" s="36"/>
      <c r="T846" s="12"/>
      <c r="U846" s="12"/>
      <c r="V846" s="12"/>
      <c r="W846" s="12"/>
      <c r="X846" s="12"/>
    </row>
    <row r="847" customFormat="false" ht="15.75" hidden="false" customHeight="false" outlineLevel="0" collapsed="false">
      <c r="A847" s="12"/>
      <c r="B847" s="34"/>
      <c r="C847" s="12"/>
      <c r="D847" s="12"/>
      <c r="E847" s="12"/>
      <c r="F847" s="12"/>
      <c r="G847" s="18"/>
      <c r="H847" s="35"/>
      <c r="I847" s="12"/>
      <c r="M847" s="12"/>
      <c r="N847" s="18"/>
      <c r="O847" s="12"/>
      <c r="P847" s="12"/>
      <c r="Q847" s="12"/>
      <c r="R847" s="36"/>
      <c r="S847" s="36"/>
      <c r="T847" s="12"/>
      <c r="U847" s="12"/>
      <c r="V847" s="12"/>
      <c r="W847" s="12"/>
      <c r="X847" s="12"/>
    </row>
    <row r="848" customFormat="false" ht="15.75" hidden="false" customHeight="false" outlineLevel="0" collapsed="false">
      <c r="A848" s="12"/>
      <c r="B848" s="34"/>
      <c r="C848" s="12"/>
      <c r="D848" s="12"/>
      <c r="E848" s="12"/>
      <c r="F848" s="12"/>
      <c r="G848" s="18"/>
      <c r="H848" s="35"/>
      <c r="I848" s="12"/>
      <c r="M848" s="12"/>
      <c r="N848" s="18"/>
      <c r="O848" s="12"/>
      <c r="P848" s="12"/>
      <c r="Q848" s="12"/>
      <c r="R848" s="36"/>
      <c r="S848" s="36"/>
      <c r="T848" s="12"/>
      <c r="U848" s="12"/>
      <c r="V848" s="12"/>
      <c r="W848" s="12"/>
      <c r="X848" s="12"/>
    </row>
    <row r="849" customFormat="false" ht="15.75" hidden="false" customHeight="false" outlineLevel="0" collapsed="false">
      <c r="A849" s="12"/>
      <c r="B849" s="34"/>
      <c r="C849" s="12"/>
      <c r="D849" s="12"/>
      <c r="E849" s="12"/>
      <c r="F849" s="12"/>
      <c r="G849" s="18"/>
      <c r="H849" s="35"/>
      <c r="I849" s="12"/>
      <c r="M849" s="12"/>
      <c r="N849" s="18"/>
      <c r="O849" s="12"/>
      <c r="P849" s="12"/>
      <c r="Q849" s="12"/>
      <c r="R849" s="36"/>
      <c r="S849" s="36"/>
      <c r="T849" s="12"/>
      <c r="U849" s="12"/>
      <c r="V849" s="12"/>
      <c r="W849" s="12"/>
      <c r="X849" s="12"/>
    </row>
    <row r="850" customFormat="false" ht="15.75" hidden="false" customHeight="false" outlineLevel="0" collapsed="false">
      <c r="A850" s="12"/>
      <c r="B850" s="34"/>
      <c r="C850" s="12"/>
      <c r="D850" s="12"/>
      <c r="E850" s="12"/>
      <c r="F850" s="12"/>
      <c r="G850" s="18"/>
      <c r="H850" s="35"/>
      <c r="I850" s="12"/>
      <c r="M850" s="12"/>
      <c r="N850" s="18"/>
      <c r="O850" s="12"/>
      <c r="P850" s="12"/>
      <c r="Q850" s="12"/>
      <c r="R850" s="36"/>
      <c r="S850" s="36"/>
      <c r="T850" s="12"/>
      <c r="U850" s="12"/>
      <c r="V850" s="12"/>
      <c r="W850" s="12"/>
      <c r="X850" s="12"/>
    </row>
    <row r="851" customFormat="false" ht="15.75" hidden="false" customHeight="false" outlineLevel="0" collapsed="false">
      <c r="A851" s="12"/>
      <c r="B851" s="34"/>
      <c r="C851" s="12"/>
      <c r="D851" s="12"/>
      <c r="E851" s="12"/>
      <c r="F851" s="12"/>
      <c r="G851" s="18"/>
      <c r="H851" s="35"/>
      <c r="I851" s="12"/>
      <c r="M851" s="12"/>
      <c r="N851" s="18"/>
      <c r="O851" s="12"/>
      <c r="P851" s="12"/>
      <c r="Q851" s="12"/>
      <c r="R851" s="36"/>
      <c r="S851" s="36"/>
      <c r="T851" s="12"/>
      <c r="U851" s="12"/>
      <c r="V851" s="12"/>
      <c r="W851" s="12"/>
      <c r="X851" s="12"/>
    </row>
    <row r="852" customFormat="false" ht="15.75" hidden="false" customHeight="false" outlineLevel="0" collapsed="false">
      <c r="A852" s="12"/>
      <c r="B852" s="34"/>
      <c r="C852" s="12"/>
      <c r="D852" s="12"/>
      <c r="E852" s="12"/>
      <c r="F852" s="12"/>
      <c r="G852" s="18"/>
      <c r="H852" s="35"/>
      <c r="I852" s="12"/>
      <c r="M852" s="12"/>
      <c r="N852" s="18"/>
      <c r="O852" s="12"/>
      <c r="P852" s="12"/>
      <c r="Q852" s="12"/>
      <c r="R852" s="36"/>
      <c r="S852" s="36"/>
      <c r="T852" s="12"/>
      <c r="U852" s="12"/>
      <c r="V852" s="12"/>
      <c r="W852" s="12"/>
      <c r="X852" s="12"/>
    </row>
    <row r="853" customFormat="false" ht="15.75" hidden="false" customHeight="false" outlineLevel="0" collapsed="false">
      <c r="A853" s="12"/>
      <c r="B853" s="34"/>
      <c r="C853" s="12"/>
      <c r="D853" s="12"/>
      <c r="E853" s="12"/>
      <c r="F853" s="12"/>
      <c r="G853" s="18"/>
      <c r="H853" s="35"/>
      <c r="I853" s="12"/>
      <c r="M853" s="12"/>
      <c r="N853" s="18"/>
      <c r="O853" s="12"/>
      <c r="P853" s="12"/>
      <c r="Q853" s="12"/>
      <c r="R853" s="36"/>
      <c r="S853" s="36"/>
      <c r="T853" s="12"/>
      <c r="U853" s="12"/>
      <c r="V853" s="12"/>
      <c r="W853" s="12"/>
      <c r="X853" s="12"/>
    </row>
    <row r="854" customFormat="false" ht="15.75" hidden="false" customHeight="false" outlineLevel="0" collapsed="false">
      <c r="A854" s="12"/>
      <c r="B854" s="34"/>
      <c r="C854" s="12"/>
      <c r="D854" s="12"/>
      <c r="E854" s="12"/>
      <c r="F854" s="12"/>
      <c r="G854" s="18"/>
      <c r="H854" s="35"/>
      <c r="I854" s="12"/>
      <c r="M854" s="12"/>
      <c r="N854" s="18"/>
      <c r="O854" s="12"/>
      <c r="P854" s="12"/>
      <c r="Q854" s="12"/>
      <c r="R854" s="36"/>
      <c r="S854" s="36"/>
      <c r="T854" s="12"/>
      <c r="U854" s="12"/>
      <c r="V854" s="12"/>
      <c r="W854" s="12"/>
      <c r="X854" s="12"/>
    </row>
    <row r="855" customFormat="false" ht="15.75" hidden="false" customHeight="false" outlineLevel="0" collapsed="false">
      <c r="A855" s="12"/>
      <c r="B855" s="34"/>
      <c r="C855" s="12"/>
      <c r="D855" s="12"/>
      <c r="E855" s="12"/>
      <c r="F855" s="12"/>
      <c r="G855" s="18"/>
      <c r="H855" s="35"/>
      <c r="I855" s="12"/>
      <c r="M855" s="12"/>
      <c r="N855" s="18"/>
      <c r="O855" s="12"/>
      <c r="P855" s="12"/>
      <c r="Q855" s="12"/>
      <c r="R855" s="36"/>
      <c r="S855" s="36"/>
      <c r="T855" s="12"/>
      <c r="U855" s="12"/>
      <c r="V855" s="12"/>
      <c r="W855" s="12"/>
      <c r="X855" s="12"/>
    </row>
    <row r="856" customFormat="false" ht="15.75" hidden="false" customHeight="false" outlineLevel="0" collapsed="false">
      <c r="A856" s="12"/>
      <c r="B856" s="34"/>
      <c r="C856" s="12"/>
      <c r="D856" s="12"/>
      <c r="E856" s="12"/>
      <c r="F856" s="12"/>
      <c r="G856" s="18"/>
      <c r="H856" s="35"/>
      <c r="I856" s="12"/>
      <c r="M856" s="12"/>
      <c r="N856" s="18"/>
      <c r="O856" s="12"/>
      <c r="P856" s="12"/>
      <c r="Q856" s="12"/>
      <c r="R856" s="36"/>
      <c r="S856" s="36"/>
      <c r="T856" s="12"/>
      <c r="U856" s="12"/>
      <c r="V856" s="12"/>
      <c r="W856" s="12"/>
      <c r="X856" s="12"/>
    </row>
    <row r="857" customFormat="false" ht="15.75" hidden="false" customHeight="false" outlineLevel="0" collapsed="false">
      <c r="A857" s="12"/>
      <c r="B857" s="34"/>
      <c r="C857" s="12"/>
      <c r="D857" s="12"/>
      <c r="E857" s="12"/>
      <c r="F857" s="12"/>
      <c r="G857" s="18"/>
      <c r="H857" s="35"/>
      <c r="I857" s="12"/>
      <c r="M857" s="12"/>
      <c r="N857" s="18"/>
      <c r="O857" s="12"/>
      <c r="P857" s="12"/>
      <c r="Q857" s="12"/>
      <c r="R857" s="36"/>
      <c r="S857" s="36"/>
      <c r="T857" s="12"/>
      <c r="U857" s="12"/>
      <c r="V857" s="12"/>
      <c r="W857" s="12"/>
      <c r="X857" s="12"/>
    </row>
    <row r="858" customFormat="false" ht="15.75" hidden="false" customHeight="false" outlineLevel="0" collapsed="false">
      <c r="A858" s="12"/>
      <c r="B858" s="34"/>
      <c r="C858" s="12"/>
      <c r="D858" s="12"/>
      <c r="E858" s="12"/>
      <c r="F858" s="12"/>
      <c r="G858" s="18"/>
      <c r="H858" s="35"/>
      <c r="I858" s="12"/>
      <c r="M858" s="12"/>
      <c r="N858" s="18"/>
      <c r="O858" s="12"/>
      <c r="P858" s="12"/>
      <c r="Q858" s="12"/>
      <c r="R858" s="36"/>
      <c r="S858" s="36"/>
      <c r="T858" s="12"/>
      <c r="U858" s="12"/>
      <c r="V858" s="12"/>
      <c r="W858" s="12"/>
      <c r="X858" s="12"/>
    </row>
    <row r="859" customFormat="false" ht="15.75" hidden="false" customHeight="false" outlineLevel="0" collapsed="false">
      <c r="A859" s="12"/>
      <c r="B859" s="34"/>
      <c r="C859" s="12"/>
      <c r="D859" s="12"/>
      <c r="E859" s="12"/>
      <c r="F859" s="12"/>
      <c r="G859" s="18"/>
      <c r="H859" s="35"/>
      <c r="I859" s="12"/>
      <c r="M859" s="12"/>
      <c r="N859" s="18"/>
      <c r="O859" s="12"/>
      <c r="P859" s="12"/>
      <c r="Q859" s="12"/>
      <c r="R859" s="36"/>
      <c r="S859" s="36"/>
      <c r="T859" s="12"/>
      <c r="U859" s="12"/>
      <c r="V859" s="12"/>
      <c r="W859" s="12"/>
      <c r="X859" s="12"/>
    </row>
    <row r="860" customFormat="false" ht="15.75" hidden="false" customHeight="false" outlineLevel="0" collapsed="false">
      <c r="A860" s="12"/>
      <c r="B860" s="34"/>
      <c r="C860" s="12"/>
      <c r="D860" s="12"/>
      <c r="E860" s="12"/>
      <c r="F860" s="12"/>
      <c r="G860" s="18"/>
      <c r="H860" s="35"/>
      <c r="I860" s="12"/>
      <c r="M860" s="12"/>
      <c r="N860" s="18"/>
      <c r="O860" s="12"/>
      <c r="P860" s="12"/>
      <c r="Q860" s="12"/>
      <c r="R860" s="36"/>
      <c r="S860" s="36"/>
      <c r="T860" s="12"/>
      <c r="U860" s="12"/>
      <c r="V860" s="12"/>
      <c r="W860" s="12"/>
      <c r="X860" s="12"/>
    </row>
    <row r="861" customFormat="false" ht="15.75" hidden="false" customHeight="false" outlineLevel="0" collapsed="false">
      <c r="A861" s="12"/>
      <c r="B861" s="34"/>
      <c r="C861" s="12"/>
      <c r="D861" s="12"/>
      <c r="E861" s="12"/>
      <c r="F861" s="12"/>
      <c r="G861" s="18"/>
      <c r="H861" s="35"/>
      <c r="I861" s="12"/>
      <c r="M861" s="12"/>
      <c r="N861" s="18"/>
      <c r="O861" s="12"/>
      <c r="P861" s="12"/>
      <c r="Q861" s="12"/>
      <c r="R861" s="36"/>
      <c r="S861" s="36"/>
      <c r="T861" s="12"/>
      <c r="U861" s="12"/>
      <c r="V861" s="12"/>
      <c r="W861" s="12"/>
      <c r="X861" s="12"/>
    </row>
    <row r="862" customFormat="false" ht="15.75" hidden="false" customHeight="false" outlineLevel="0" collapsed="false">
      <c r="A862" s="12"/>
      <c r="B862" s="34"/>
      <c r="C862" s="12"/>
      <c r="D862" s="12"/>
      <c r="E862" s="12"/>
      <c r="F862" s="12"/>
      <c r="G862" s="18"/>
      <c r="H862" s="35"/>
      <c r="I862" s="12"/>
      <c r="M862" s="12"/>
      <c r="N862" s="18"/>
      <c r="O862" s="12"/>
      <c r="P862" s="12"/>
      <c r="Q862" s="12"/>
      <c r="R862" s="36"/>
      <c r="S862" s="36"/>
      <c r="T862" s="12"/>
      <c r="U862" s="12"/>
      <c r="V862" s="12"/>
      <c r="W862" s="12"/>
      <c r="X862" s="12"/>
    </row>
    <row r="863" customFormat="false" ht="15.75" hidden="false" customHeight="false" outlineLevel="0" collapsed="false">
      <c r="A863" s="12"/>
      <c r="B863" s="34"/>
      <c r="C863" s="12"/>
      <c r="D863" s="12"/>
      <c r="E863" s="12"/>
      <c r="F863" s="12"/>
      <c r="G863" s="18"/>
      <c r="H863" s="35"/>
      <c r="I863" s="12"/>
      <c r="M863" s="12"/>
      <c r="N863" s="18"/>
      <c r="O863" s="12"/>
      <c r="P863" s="12"/>
      <c r="Q863" s="12"/>
      <c r="R863" s="36"/>
      <c r="S863" s="36"/>
      <c r="T863" s="12"/>
      <c r="U863" s="12"/>
      <c r="V863" s="12"/>
      <c r="W863" s="12"/>
      <c r="X863" s="12"/>
    </row>
    <row r="864" customFormat="false" ht="15.75" hidden="false" customHeight="false" outlineLevel="0" collapsed="false">
      <c r="A864" s="12"/>
      <c r="B864" s="34"/>
      <c r="C864" s="12"/>
      <c r="D864" s="12"/>
      <c r="E864" s="12"/>
      <c r="F864" s="12"/>
      <c r="G864" s="18"/>
      <c r="H864" s="35"/>
      <c r="I864" s="12"/>
      <c r="M864" s="12"/>
      <c r="N864" s="18"/>
      <c r="O864" s="12"/>
      <c r="P864" s="12"/>
      <c r="Q864" s="12"/>
      <c r="R864" s="36"/>
      <c r="S864" s="36"/>
      <c r="T864" s="12"/>
      <c r="U864" s="12"/>
      <c r="V864" s="12"/>
      <c r="W864" s="12"/>
      <c r="X864" s="12"/>
    </row>
    <row r="865" customFormat="false" ht="15.75" hidden="false" customHeight="false" outlineLevel="0" collapsed="false">
      <c r="A865" s="12"/>
      <c r="B865" s="34"/>
      <c r="C865" s="12"/>
      <c r="D865" s="12"/>
      <c r="E865" s="12"/>
      <c r="F865" s="12"/>
      <c r="G865" s="18"/>
      <c r="H865" s="35"/>
      <c r="I865" s="12"/>
      <c r="M865" s="12"/>
      <c r="N865" s="18"/>
      <c r="O865" s="12"/>
      <c r="P865" s="12"/>
      <c r="Q865" s="12"/>
      <c r="R865" s="36"/>
      <c r="S865" s="36"/>
      <c r="T865" s="12"/>
      <c r="U865" s="12"/>
      <c r="V865" s="12"/>
      <c r="W865" s="12"/>
      <c r="X865" s="12"/>
    </row>
    <row r="866" customFormat="false" ht="15.75" hidden="false" customHeight="false" outlineLevel="0" collapsed="false">
      <c r="A866" s="12"/>
      <c r="B866" s="34"/>
      <c r="C866" s="12"/>
      <c r="D866" s="12"/>
      <c r="E866" s="12"/>
      <c r="F866" s="12"/>
      <c r="G866" s="18"/>
      <c r="H866" s="35"/>
      <c r="I866" s="12"/>
      <c r="M866" s="12"/>
      <c r="N866" s="18"/>
      <c r="O866" s="12"/>
      <c r="P866" s="12"/>
      <c r="Q866" s="12"/>
      <c r="R866" s="36"/>
      <c r="S866" s="36"/>
      <c r="T866" s="12"/>
      <c r="U866" s="12"/>
      <c r="V866" s="12"/>
      <c r="W866" s="12"/>
      <c r="X866" s="12"/>
    </row>
    <row r="867" customFormat="false" ht="15.75" hidden="false" customHeight="false" outlineLevel="0" collapsed="false">
      <c r="A867" s="12"/>
      <c r="B867" s="34"/>
      <c r="C867" s="12"/>
      <c r="D867" s="12"/>
      <c r="E867" s="12"/>
      <c r="F867" s="12"/>
      <c r="G867" s="18"/>
      <c r="H867" s="35"/>
      <c r="I867" s="12"/>
      <c r="M867" s="12"/>
      <c r="N867" s="18"/>
      <c r="O867" s="12"/>
      <c r="P867" s="12"/>
      <c r="Q867" s="12"/>
      <c r="R867" s="36"/>
      <c r="S867" s="36"/>
      <c r="T867" s="12"/>
      <c r="U867" s="12"/>
      <c r="V867" s="12"/>
      <c r="W867" s="12"/>
      <c r="X867" s="12"/>
    </row>
    <row r="868" customFormat="false" ht="15.75" hidden="false" customHeight="false" outlineLevel="0" collapsed="false">
      <c r="A868" s="12"/>
      <c r="B868" s="34"/>
      <c r="C868" s="12"/>
      <c r="D868" s="12"/>
      <c r="E868" s="12"/>
      <c r="F868" s="12"/>
      <c r="G868" s="18"/>
      <c r="H868" s="35"/>
      <c r="I868" s="12"/>
      <c r="M868" s="12"/>
      <c r="N868" s="18"/>
      <c r="O868" s="12"/>
      <c r="P868" s="12"/>
      <c r="Q868" s="12"/>
      <c r="R868" s="36"/>
      <c r="S868" s="36"/>
      <c r="T868" s="12"/>
      <c r="U868" s="12"/>
      <c r="V868" s="12"/>
      <c r="W868" s="12"/>
      <c r="X868" s="12"/>
    </row>
    <row r="869" customFormat="false" ht="15.75" hidden="false" customHeight="false" outlineLevel="0" collapsed="false">
      <c r="A869" s="12"/>
      <c r="B869" s="34"/>
      <c r="C869" s="12"/>
      <c r="D869" s="12"/>
      <c r="E869" s="12"/>
      <c r="F869" s="12"/>
      <c r="G869" s="18"/>
      <c r="H869" s="35"/>
      <c r="I869" s="12"/>
      <c r="M869" s="12"/>
      <c r="N869" s="18"/>
      <c r="O869" s="12"/>
      <c r="P869" s="12"/>
      <c r="Q869" s="12"/>
      <c r="R869" s="36"/>
      <c r="S869" s="36"/>
      <c r="T869" s="12"/>
      <c r="U869" s="12"/>
      <c r="V869" s="12"/>
      <c r="W869" s="12"/>
      <c r="X869" s="12"/>
    </row>
    <row r="870" customFormat="false" ht="15.75" hidden="false" customHeight="false" outlineLevel="0" collapsed="false">
      <c r="A870" s="12"/>
      <c r="B870" s="34"/>
      <c r="C870" s="12"/>
      <c r="D870" s="12"/>
      <c r="E870" s="12"/>
      <c r="F870" s="12"/>
      <c r="G870" s="18"/>
      <c r="H870" s="35"/>
      <c r="I870" s="12"/>
      <c r="M870" s="12"/>
      <c r="N870" s="18"/>
      <c r="O870" s="12"/>
      <c r="P870" s="12"/>
      <c r="Q870" s="12"/>
      <c r="R870" s="36"/>
      <c r="S870" s="36"/>
      <c r="T870" s="12"/>
      <c r="U870" s="12"/>
      <c r="V870" s="12"/>
      <c r="W870" s="12"/>
      <c r="X870" s="12"/>
    </row>
    <row r="871" customFormat="false" ht="15.75" hidden="false" customHeight="false" outlineLevel="0" collapsed="false">
      <c r="A871" s="12"/>
      <c r="B871" s="34"/>
      <c r="C871" s="12"/>
      <c r="D871" s="12"/>
      <c r="E871" s="12"/>
      <c r="F871" s="12"/>
      <c r="G871" s="18"/>
      <c r="H871" s="35"/>
      <c r="I871" s="12"/>
      <c r="M871" s="12"/>
      <c r="N871" s="18"/>
      <c r="O871" s="12"/>
      <c r="P871" s="12"/>
      <c r="Q871" s="12"/>
      <c r="R871" s="36"/>
      <c r="S871" s="36"/>
      <c r="T871" s="12"/>
      <c r="U871" s="12"/>
      <c r="V871" s="12"/>
      <c r="W871" s="12"/>
      <c r="X871" s="12"/>
    </row>
    <row r="872" customFormat="false" ht="15.75" hidden="false" customHeight="false" outlineLevel="0" collapsed="false">
      <c r="A872" s="12"/>
      <c r="B872" s="34"/>
      <c r="C872" s="12"/>
      <c r="D872" s="12"/>
      <c r="E872" s="12"/>
      <c r="F872" s="12"/>
      <c r="G872" s="18"/>
      <c r="H872" s="35"/>
      <c r="I872" s="12"/>
      <c r="M872" s="12"/>
      <c r="N872" s="18"/>
      <c r="O872" s="12"/>
      <c r="P872" s="12"/>
      <c r="Q872" s="12"/>
      <c r="R872" s="36"/>
      <c r="S872" s="36"/>
      <c r="T872" s="12"/>
      <c r="U872" s="12"/>
      <c r="V872" s="12"/>
      <c r="W872" s="12"/>
      <c r="X872" s="12"/>
    </row>
    <row r="873" customFormat="false" ht="15.75" hidden="false" customHeight="false" outlineLevel="0" collapsed="false">
      <c r="A873" s="12"/>
      <c r="B873" s="34"/>
      <c r="C873" s="12"/>
      <c r="D873" s="12"/>
      <c r="E873" s="12"/>
      <c r="F873" s="12"/>
      <c r="G873" s="18"/>
      <c r="H873" s="35"/>
      <c r="I873" s="12"/>
      <c r="M873" s="12"/>
      <c r="N873" s="18"/>
      <c r="O873" s="12"/>
      <c r="P873" s="12"/>
      <c r="Q873" s="12"/>
      <c r="R873" s="36"/>
      <c r="S873" s="36"/>
      <c r="T873" s="12"/>
      <c r="U873" s="12"/>
      <c r="V873" s="12"/>
      <c r="W873" s="12"/>
      <c r="X873" s="12"/>
    </row>
    <row r="874" customFormat="false" ht="15.75" hidden="false" customHeight="false" outlineLevel="0" collapsed="false">
      <c r="A874" s="12"/>
      <c r="B874" s="34"/>
      <c r="C874" s="12"/>
      <c r="D874" s="12"/>
      <c r="E874" s="12"/>
      <c r="F874" s="12"/>
      <c r="G874" s="18"/>
      <c r="H874" s="35"/>
      <c r="I874" s="12"/>
      <c r="M874" s="12"/>
      <c r="N874" s="18"/>
      <c r="O874" s="12"/>
      <c r="P874" s="12"/>
      <c r="Q874" s="12"/>
      <c r="R874" s="36"/>
      <c r="S874" s="36"/>
      <c r="T874" s="12"/>
      <c r="U874" s="12"/>
      <c r="V874" s="12"/>
      <c r="W874" s="12"/>
      <c r="X874" s="12"/>
    </row>
    <row r="875" customFormat="false" ht="15.75" hidden="false" customHeight="false" outlineLevel="0" collapsed="false">
      <c r="A875" s="12"/>
      <c r="B875" s="34"/>
      <c r="C875" s="12"/>
      <c r="D875" s="12"/>
      <c r="E875" s="12"/>
      <c r="F875" s="12"/>
      <c r="G875" s="18"/>
      <c r="H875" s="35"/>
      <c r="I875" s="12"/>
      <c r="M875" s="12"/>
      <c r="N875" s="18"/>
      <c r="O875" s="12"/>
      <c r="P875" s="12"/>
      <c r="Q875" s="12"/>
      <c r="R875" s="36"/>
      <c r="S875" s="36"/>
      <c r="T875" s="12"/>
      <c r="U875" s="12"/>
      <c r="V875" s="12"/>
      <c r="W875" s="12"/>
      <c r="X875" s="12"/>
    </row>
    <row r="876" customFormat="false" ht="15.75" hidden="false" customHeight="false" outlineLevel="0" collapsed="false">
      <c r="A876" s="12"/>
      <c r="B876" s="34"/>
      <c r="C876" s="12"/>
      <c r="D876" s="12"/>
      <c r="E876" s="12"/>
      <c r="F876" s="12"/>
      <c r="G876" s="18"/>
      <c r="H876" s="35"/>
      <c r="I876" s="12"/>
      <c r="M876" s="12"/>
      <c r="N876" s="18"/>
      <c r="O876" s="12"/>
      <c r="P876" s="12"/>
      <c r="Q876" s="12"/>
      <c r="R876" s="36"/>
      <c r="S876" s="36"/>
      <c r="T876" s="12"/>
      <c r="U876" s="12"/>
      <c r="V876" s="12"/>
      <c r="W876" s="12"/>
      <c r="X876" s="12"/>
    </row>
    <row r="877" customFormat="false" ht="15.75" hidden="false" customHeight="false" outlineLevel="0" collapsed="false">
      <c r="A877" s="12"/>
      <c r="B877" s="34"/>
      <c r="C877" s="12"/>
      <c r="D877" s="12"/>
      <c r="E877" s="12"/>
      <c r="F877" s="12"/>
      <c r="G877" s="18"/>
      <c r="H877" s="35"/>
      <c r="I877" s="12"/>
      <c r="M877" s="12"/>
      <c r="N877" s="18"/>
      <c r="O877" s="12"/>
      <c r="P877" s="12"/>
      <c r="Q877" s="12"/>
      <c r="R877" s="36"/>
      <c r="S877" s="36"/>
      <c r="T877" s="12"/>
      <c r="U877" s="12"/>
      <c r="V877" s="12"/>
      <c r="W877" s="12"/>
      <c r="X877" s="12"/>
    </row>
    <row r="878" customFormat="false" ht="15.75" hidden="false" customHeight="false" outlineLevel="0" collapsed="false">
      <c r="A878" s="12"/>
      <c r="B878" s="34"/>
      <c r="C878" s="12"/>
      <c r="D878" s="12"/>
      <c r="E878" s="12"/>
      <c r="F878" s="12"/>
      <c r="G878" s="18"/>
      <c r="H878" s="35"/>
      <c r="I878" s="12"/>
      <c r="M878" s="12"/>
      <c r="N878" s="18"/>
      <c r="O878" s="12"/>
      <c r="P878" s="12"/>
      <c r="Q878" s="12"/>
      <c r="R878" s="36"/>
      <c r="S878" s="36"/>
      <c r="T878" s="12"/>
      <c r="U878" s="12"/>
      <c r="V878" s="12"/>
      <c r="W878" s="12"/>
      <c r="X878" s="12"/>
    </row>
    <row r="879" customFormat="false" ht="15.75" hidden="false" customHeight="false" outlineLevel="0" collapsed="false">
      <c r="A879" s="12"/>
      <c r="B879" s="34"/>
      <c r="C879" s="12"/>
      <c r="D879" s="12"/>
      <c r="E879" s="12"/>
      <c r="F879" s="12"/>
      <c r="G879" s="18"/>
      <c r="H879" s="35"/>
      <c r="I879" s="12"/>
      <c r="M879" s="12"/>
      <c r="N879" s="18"/>
      <c r="O879" s="12"/>
      <c r="P879" s="12"/>
      <c r="Q879" s="12"/>
      <c r="R879" s="36"/>
      <c r="S879" s="36"/>
      <c r="T879" s="12"/>
      <c r="U879" s="12"/>
      <c r="V879" s="12"/>
      <c r="W879" s="12"/>
      <c r="X879" s="12"/>
    </row>
    <row r="880" customFormat="false" ht="15.75" hidden="false" customHeight="false" outlineLevel="0" collapsed="false">
      <c r="A880" s="12"/>
      <c r="B880" s="34"/>
      <c r="C880" s="12"/>
      <c r="D880" s="12"/>
      <c r="E880" s="12"/>
      <c r="F880" s="12"/>
      <c r="G880" s="18"/>
      <c r="H880" s="35"/>
      <c r="I880" s="12"/>
      <c r="M880" s="12"/>
      <c r="N880" s="18"/>
      <c r="O880" s="12"/>
      <c r="P880" s="12"/>
      <c r="Q880" s="12"/>
      <c r="R880" s="36"/>
      <c r="S880" s="36"/>
      <c r="T880" s="12"/>
      <c r="U880" s="12"/>
      <c r="V880" s="12"/>
      <c r="W880" s="12"/>
      <c r="X880" s="12"/>
    </row>
    <row r="881" customFormat="false" ht="15.75" hidden="false" customHeight="false" outlineLevel="0" collapsed="false">
      <c r="A881" s="12"/>
      <c r="B881" s="34"/>
      <c r="C881" s="12"/>
      <c r="D881" s="12"/>
      <c r="E881" s="12"/>
      <c r="F881" s="12"/>
      <c r="G881" s="18"/>
      <c r="H881" s="35"/>
      <c r="I881" s="12"/>
      <c r="M881" s="12"/>
      <c r="N881" s="18"/>
      <c r="O881" s="12"/>
      <c r="P881" s="12"/>
      <c r="Q881" s="12"/>
      <c r="R881" s="36"/>
      <c r="S881" s="36"/>
      <c r="T881" s="12"/>
      <c r="U881" s="12"/>
      <c r="V881" s="12"/>
      <c r="W881" s="12"/>
      <c r="X881" s="12"/>
    </row>
    <row r="882" customFormat="false" ht="15.75" hidden="false" customHeight="false" outlineLevel="0" collapsed="false">
      <c r="A882" s="12"/>
      <c r="B882" s="34"/>
      <c r="C882" s="12"/>
      <c r="D882" s="12"/>
      <c r="E882" s="12"/>
      <c r="F882" s="12"/>
      <c r="G882" s="18"/>
      <c r="H882" s="35"/>
      <c r="I882" s="12"/>
      <c r="M882" s="12"/>
      <c r="N882" s="18"/>
      <c r="O882" s="12"/>
      <c r="P882" s="12"/>
      <c r="Q882" s="12"/>
      <c r="R882" s="36"/>
      <c r="S882" s="36"/>
      <c r="T882" s="12"/>
      <c r="U882" s="12"/>
      <c r="V882" s="12"/>
      <c r="W882" s="12"/>
      <c r="X882" s="12"/>
    </row>
    <row r="883" customFormat="false" ht="15.75" hidden="false" customHeight="false" outlineLevel="0" collapsed="false">
      <c r="A883" s="12"/>
      <c r="B883" s="34"/>
      <c r="C883" s="12"/>
      <c r="D883" s="12"/>
      <c r="E883" s="12"/>
      <c r="F883" s="12"/>
      <c r="G883" s="18"/>
      <c r="H883" s="35"/>
      <c r="I883" s="12"/>
      <c r="M883" s="12"/>
      <c r="N883" s="18"/>
      <c r="O883" s="12"/>
      <c r="P883" s="12"/>
      <c r="Q883" s="12"/>
      <c r="R883" s="36"/>
      <c r="S883" s="36"/>
      <c r="T883" s="12"/>
      <c r="U883" s="12"/>
      <c r="V883" s="12"/>
      <c r="W883" s="12"/>
      <c r="X883" s="12"/>
    </row>
    <row r="884" customFormat="false" ht="15.75" hidden="false" customHeight="false" outlineLevel="0" collapsed="false">
      <c r="A884" s="12"/>
      <c r="B884" s="34"/>
      <c r="C884" s="12"/>
      <c r="D884" s="12"/>
      <c r="E884" s="12"/>
      <c r="F884" s="12"/>
      <c r="G884" s="18"/>
      <c r="H884" s="35"/>
      <c r="I884" s="12"/>
      <c r="M884" s="12"/>
      <c r="N884" s="18"/>
      <c r="O884" s="12"/>
      <c r="P884" s="12"/>
      <c r="Q884" s="12"/>
      <c r="R884" s="36"/>
      <c r="S884" s="36"/>
      <c r="T884" s="12"/>
      <c r="U884" s="12"/>
      <c r="V884" s="12"/>
      <c r="W884" s="12"/>
      <c r="X884" s="12"/>
    </row>
    <row r="885" customFormat="false" ht="15.75" hidden="false" customHeight="false" outlineLevel="0" collapsed="false">
      <c r="A885" s="12"/>
      <c r="B885" s="34"/>
      <c r="C885" s="12"/>
      <c r="D885" s="12"/>
      <c r="E885" s="12"/>
      <c r="F885" s="12"/>
      <c r="G885" s="18"/>
      <c r="H885" s="35"/>
      <c r="I885" s="12"/>
      <c r="M885" s="12"/>
      <c r="N885" s="18"/>
      <c r="O885" s="12"/>
      <c r="P885" s="12"/>
      <c r="Q885" s="12"/>
      <c r="R885" s="36"/>
      <c r="S885" s="36"/>
      <c r="T885" s="12"/>
      <c r="U885" s="12"/>
      <c r="V885" s="12"/>
      <c r="W885" s="12"/>
      <c r="X885" s="12"/>
    </row>
    <row r="886" customFormat="false" ht="15.75" hidden="false" customHeight="false" outlineLevel="0" collapsed="false">
      <c r="A886" s="12"/>
      <c r="B886" s="34"/>
      <c r="C886" s="12"/>
      <c r="D886" s="12"/>
      <c r="E886" s="12"/>
      <c r="F886" s="12"/>
      <c r="G886" s="18"/>
      <c r="H886" s="35"/>
      <c r="I886" s="12"/>
      <c r="M886" s="12"/>
      <c r="N886" s="18"/>
      <c r="O886" s="12"/>
      <c r="P886" s="12"/>
      <c r="Q886" s="12"/>
      <c r="R886" s="36"/>
      <c r="S886" s="36"/>
      <c r="T886" s="12"/>
      <c r="U886" s="12"/>
      <c r="V886" s="12"/>
      <c r="W886" s="12"/>
      <c r="X886" s="12"/>
    </row>
    <row r="887" customFormat="false" ht="15.75" hidden="false" customHeight="false" outlineLevel="0" collapsed="false">
      <c r="A887" s="12"/>
      <c r="B887" s="34"/>
      <c r="C887" s="12"/>
      <c r="D887" s="12"/>
      <c r="E887" s="12"/>
      <c r="F887" s="12"/>
      <c r="G887" s="18"/>
      <c r="H887" s="35"/>
      <c r="I887" s="12"/>
      <c r="M887" s="12"/>
      <c r="N887" s="18"/>
      <c r="O887" s="12"/>
      <c r="P887" s="12"/>
      <c r="Q887" s="12"/>
      <c r="R887" s="36"/>
      <c r="S887" s="36"/>
      <c r="T887" s="12"/>
      <c r="U887" s="12"/>
      <c r="V887" s="12"/>
      <c r="W887" s="12"/>
      <c r="X887" s="12"/>
    </row>
    <row r="888" customFormat="false" ht="15.75" hidden="false" customHeight="false" outlineLevel="0" collapsed="false">
      <c r="A888" s="12"/>
      <c r="B888" s="34"/>
      <c r="C888" s="12"/>
      <c r="D888" s="12"/>
      <c r="E888" s="12"/>
      <c r="F888" s="12"/>
      <c r="G888" s="18"/>
      <c r="H888" s="35"/>
      <c r="I888" s="12"/>
      <c r="M888" s="12"/>
      <c r="N888" s="18"/>
      <c r="O888" s="12"/>
      <c r="P888" s="12"/>
      <c r="Q888" s="12"/>
      <c r="R888" s="36"/>
      <c r="S888" s="36"/>
      <c r="T888" s="12"/>
      <c r="U888" s="12"/>
      <c r="V888" s="12"/>
      <c r="W888" s="12"/>
      <c r="X888" s="12"/>
    </row>
    <row r="889" customFormat="false" ht="15.75" hidden="false" customHeight="false" outlineLevel="0" collapsed="false">
      <c r="A889" s="12"/>
      <c r="B889" s="34"/>
      <c r="C889" s="12"/>
      <c r="D889" s="12"/>
      <c r="E889" s="12"/>
      <c r="F889" s="12"/>
      <c r="G889" s="18"/>
      <c r="H889" s="35"/>
      <c r="I889" s="12"/>
      <c r="M889" s="12"/>
      <c r="N889" s="18"/>
      <c r="O889" s="12"/>
      <c r="P889" s="12"/>
      <c r="Q889" s="12"/>
      <c r="R889" s="36"/>
      <c r="S889" s="36"/>
      <c r="T889" s="12"/>
      <c r="U889" s="12"/>
      <c r="V889" s="12"/>
      <c r="W889" s="12"/>
      <c r="X889" s="12"/>
    </row>
    <row r="890" customFormat="false" ht="15.75" hidden="false" customHeight="false" outlineLevel="0" collapsed="false">
      <c r="A890" s="12"/>
      <c r="B890" s="34"/>
      <c r="C890" s="12"/>
      <c r="D890" s="12"/>
      <c r="E890" s="12"/>
      <c r="F890" s="12"/>
      <c r="G890" s="18"/>
      <c r="H890" s="35"/>
      <c r="I890" s="12"/>
      <c r="M890" s="12"/>
      <c r="N890" s="18"/>
      <c r="O890" s="12"/>
      <c r="P890" s="12"/>
      <c r="Q890" s="12"/>
      <c r="R890" s="36"/>
      <c r="S890" s="36"/>
      <c r="T890" s="12"/>
      <c r="U890" s="12"/>
      <c r="V890" s="12"/>
      <c r="W890" s="12"/>
      <c r="X890" s="12"/>
    </row>
    <row r="891" customFormat="false" ht="15.75" hidden="false" customHeight="false" outlineLevel="0" collapsed="false">
      <c r="A891" s="12"/>
      <c r="B891" s="34"/>
      <c r="C891" s="12"/>
      <c r="D891" s="12"/>
      <c r="E891" s="12"/>
      <c r="F891" s="12"/>
      <c r="G891" s="18"/>
      <c r="H891" s="35"/>
      <c r="I891" s="12"/>
      <c r="M891" s="12"/>
      <c r="N891" s="18"/>
      <c r="O891" s="12"/>
      <c r="P891" s="12"/>
      <c r="Q891" s="12"/>
      <c r="R891" s="36"/>
      <c r="S891" s="36"/>
      <c r="T891" s="12"/>
      <c r="U891" s="12"/>
      <c r="V891" s="12"/>
      <c r="W891" s="12"/>
      <c r="X891" s="12"/>
    </row>
    <row r="892" customFormat="false" ht="15.75" hidden="false" customHeight="false" outlineLevel="0" collapsed="false">
      <c r="A892" s="12"/>
      <c r="B892" s="34"/>
      <c r="C892" s="12"/>
      <c r="D892" s="12"/>
      <c r="E892" s="12"/>
      <c r="F892" s="12"/>
      <c r="G892" s="18"/>
      <c r="H892" s="35"/>
      <c r="I892" s="12"/>
      <c r="M892" s="12"/>
      <c r="N892" s="18"/>
      <c r="O892" s="12"/>
      <c r="P892" s="12"/>
      <c r="Q892" s="12"/>
      <c r="R892" s="36"/>
      <c r="S892" s="36"/>
      <c r="T892" s="12"/>
      <c r="U892" s="12"/>
      <c r="V892" s="12"/>
      <c r="W892" s="12"/>
      <c r="X892" s="12"/>
    </row>
    <row r="893" customFormat="false" ht="15.75" hidden="false" customHeight="false" outlineLevel="0" collapsed="false">
      <c r="A893" s="12"/>
      <c r="B893" s="34"/>
      <c r="C893" s="12"/>
      <c r="D893" s="12"/>
      <c r="E893" s="12"/>
      <c r="F893" s="12"/>
      <c r="G893" s="18"/>
      <c r="H893" s="35"/>
      <c r="I893" s="12"/>
      <c r="M893" s="12"/>
      <c r="N893" s="18"/>
      <c r="O893" s="12"/>
      <c r="P893" s="12"/>
      <c r="Q893" s="12"/>
      <c r="R893" s="36"/>
      <c r="S893" s="36"/>
      <c r="T893" s="12"/>
      <c r="U893" s="12"/>
      <c r="V893" s="12"/>
      <c r="W893" s="12"/>
      <c r="X893" s="12"/>
    </row>
    <row r="894" customFormat="false" ht="15.75" hidden="false" customHeight="false" outlineLevel="0" collapsed="false">
      <c r="A894" s="12"/>
      <c r="B894" s="34"/>
      <c r="C894" s="12"/>
      <c r="D894" s="12"/>
      <c r="E894" s="12"/>
      <c r="F894" s="12"/>
      <c r="G894" s="18"/>
      <c r="H894" s="35"/>
      <c r="I894" s="12"/>
      <c r="M894" s="12"/>
      <c r="N894" s="18"/>
      <c r="O894" s="12"/>
      <c r="P894" s="12"/>
      <c r="Q894" s="12"/>
      <c r="R894" s="36"/>
      <c r="S894" s="36"/>
      <c r="T894" s="12"/>
      <c r="U894" s="12"/>
      <c r="V894" s="12"/>
      <c r="W894" s="12"/>
      <c r="X894" s="12"/>
    </row>
    <row r="895" customFormat="false" ht="15.75" hidden="false" customHeight="false" outlineLevel="0" collapsed="false">
      <c r="A895" s="12"/>
      <c r="B895" s="34"/>
      <c r="C895" s="12"/>
      <c r="D895" s="12"/>
      <c r="E895" s="12"/>
      <c r="F895" s="12"/>
      <c r="G895" s="18"/>
      <c r="H895" s="35"/>
      <c r="I895" s="12"/>
      <c r="M895" s="12"/>
      <c r="N895" s="18"/>
      <c r="O895" s="12"/>
      <c r="P895" s="12"/>
      <c r="Q895" s="12"/>
      <c r="R895" s="36"/>
      <c r="S895" s="36"/>
      <c r="T895" s="12"/>
      <c r="U895" s="12"/>
      <c r="V895" s="12"/>
      <c r="W895" s="12"/>
      <c r="X895" s="12"/>
    </row>
    <row r="896" customFormat="false" ht="15.75" hidden="false" customHeight="false" outlineLevel="0" collapsed="false">
      <c r="A896" s="12"/>
      <c r="B896" s="34"/>
      <c r="C896" s="12"/>
      <c r="D896" s="12"/>
      <c r="E896" s="12"/>
      <c r="F896" s="12"/>
      <c r="G896" s="18"/>
      <c r="H896" s="35"/>
      <c r="I896" s="12"/>
      <c r="M896" s="12"/>
      <c r="N896" s="18"/>
      <c r="O896" s="12"/>
      <c r="P896" s="12"/>
      <c r="Q896" s="12"/>
      <c r="R896" s="36"/>
      <c r="S896" s="36"/>
      <c r="T896" s="12"/>
      <c r="U896" s="12"/>
      <c r="V896" s="12"/>
      <c r="W896" s="12"/>
      <c r="X896" s="12"/>
    </row>
    <row r="897" customFormat="false" ht="15.75" hidden="false" customHeight="false" outlineLevel="0" collapsed="false">
      <c r="A897" s="12"/>
      <c r="B897" s="34"/>
      <c r="C897" s="12"/>
      <c r="D897" s="12"/>
      <c r="E897" s="12"/>
      <c r="F897" s="12"/>
      <c r="G897" s="18"/>
      <c r="H897" s="35"/>
      <c r="I897" s="12"/>
      <c r="M897" s="12"/>
      <c r="N897" s="18"/>
      <c r="O897" s="12"/>
      <c r="P897" s="12"/>
      <c r="Q897" s="12"/>
      <c r="R897" s="36"/>
      <c r="S897" s="36"/>
      <c r="T897" s="12"/>
      <c r="U897" s="12"/>
      <c r="V897" s="12"/>
      <c r="W897" s="12"/>
      <c r="X897" s="12"/>
    </row>
    <row r="898" customFormat="false" ht="15.75" hidden="false" customHeight="false" outlineLevel="0" collapsed="false">
      <c r="A898" s="12"/>
      <c r="B898" s="34"/>
      <c r="C898" s="12"/>
      <c r="D898" s="12"/>
      <c r="E898" s="12"/>
      <c r="F898" s="12"/>
      <c r="G898" s="18"/>
      <c r="H898" s="35"/>
      <c r="I898" s="12"/>
      <c r="M898" s="12"/>
      <c r="N898" s="18"/>
      <c r="O898" s="12"/>
      <c r="P898" s="12"/>
      <c r="Q898" s="12"/>
      <c r="R898" s="36"/>
      <c r="S898" s="36"/>
      <c r="T898" s="12"/>
      <c r="U898" s="12"/>
      <c r="V898" s="12"/>
      <c r="W898" s="12"/>
      <c r="X898" s="12"/>
    </row>
    <row r="899" customFormat="false" ht="15.75" hidden="false" customHeight="false" outlineLevel="0" collapsed="false">
      <c r="A899" s="12"/>
      <c r="B899" s="34"/>
      <c r="C899" s="12"/>
      <c r="D899" s="12"/>
      <c r="E899" s="12"/>
      <c r="F899" s="12"/>
      <c r="G899" s="18"/>
      <c r="H899" s="35"/>
      <c r="I899" s="12"/>
      <c r="M899" s="12"/>
      <c r="N899" s="18"/>
      <c r="O899" s="12"/>
      <c r="P899" s="12"/>
      <c r="Q899" s="12"/>
      <c r="R899" s="36"/>
      <c r="S899" s="36"/>
      <c r="T899" s="12"/>
      <c r="U899" s="12"/>
      <c r="V899" s="12"/>
      <c r="W899" s="12"/>
      <c r="X899" s="12"/>
    </row>
    <row r="900" customFormat="false" ht="15.75" hidden="false" customHeight="false" outlineLevel="0" collapsed="false">
      <c r="A900" s="12"/>
      <c r="B900" s="34"/>
      <c r="C900" s="12"/>
      <c r="D900" s="12"/>
      <c r="E900" s="12"/>
      <c r="F900" s="12"/>
      <c r="G900" s="18"/>
      <c r="H900" s="35"/>
      <c r="I900" s="12"/>
      <c r="M900" s="12"/>
      <c r="N900" s="18"/>
      <c r="O900" s="12"/>
      <c r="P900" s="12"/>
      <c r="Q900" s="12"/>
      <c r="R900" s="36"/>
      <c r="S900" s="36"/>
      <c r="T900" s="12"/>
      <c r="U900" s="12"/>
      <c r="V900" s="12"/>
      <c r="W900" s="12"/>
      <c r="X900" s="12"/>
    </row>
    <row r="901" customFormat="false" ht="15.75" hidden="false" customHeight="false" outlineLevel="0" collapsed="false">
      <c r="A901" s="12"/>
      <c r="B901" s="34"/>
      <c r="C901" s="12"/>
      <c r="D901" s="12"/>
      <c r="E901" s="12"/>
      <c r="F901" s="12"/>
      <c r="G901" s="18"/>
      <c r="H901" s="35"/>
      <c r="I901" s="12"/>
      <c r="M901" s="12"/>
      <c r="N901" s="18"/>
      <c r="O901" s="12"/>
      <c r="P901" s="12"/>
      <c r="Q901" s="12"/>
      <c r="R901" s="36"/>
      <c r="S901" s="36"/>
      <c r="T901" s="12"/>
      <c r="U901" s="12"/>
      <c r="V901" s="12"/>
      <c r="W901" s="12"/>
      <c r="X901" s="12"/>
    </row>
    <row r="902" customFormat="false" ht="15.75" hidden="false" customHeight="false" outlineLevel="0" collapsed="false">
      <c r="A902" s="12"/>
      <c r="B902" s="34"/>
      <c r="C902" s="12"/>
      <c r="D902" s="12"/>
      <c r="E902" s="12"/>
      <c r="F902" s="12"/>
      <c r="G902" s="18"/>
      <c r="H902" s="35"/>
      <c r="I902" s="12"/>
      <c r="M902" s="12"/>
      <c r="N902" s="18"/>
      <c r="O902" s="12"/>
      <c r="P902" s="12"/>
      <c r="Q902" s="12"/>
      <c r="R902" s="36"/>
      <c r="S902" s="36"/>
      <c r="T902" s="12"/>
      <c r="U902" s="12"/>
      <c r="V902" s="12"/>
      <c r="W902" s="12"/>
      <c r="X902" s="12"/>
    </row>
    <row r="903" customFormat="false" ht="15.75" hidden="false" customHeight="false" outlineLevel="0" collapsed="false">
      <c r="A903" s="12"/>
      <c r="B903" s="34"/>
      <c r="C903" s="12"/>
      <c r="D903" s="12"/>
      <c r="E903" s="12"/>
      <c r="F903" s="12"/>
      <c r="G903" s="18"/>
      <c r="H903" s="35"/>
      <c r="I903" s="12"/>
      <c r="M903" s="12"/>
      <c r="N903" s="18"/>
      <c r="O903" s="12"/>
      <c r="P903" s="12"/>
      <c r="Q903" s="12"/>
      <c r="R903" s="36"/>
      <c r="S903" s="36"/>
      <c r="T903" s="12"/>
      <c r="U903" s="12"/>
      <c r="V903" s="12"/>
      <c r="W903" s="12"/>
      <c r="X903" s="12"/>
    </row>
    <row r="904" customFormat="false" ht="15.75" hidden="false" customHeight="false" outlineLevel="0" collapsed="false">
      <c r="A904" s="12"/>
      <c r="B904" s="34"/>
      <c r="C904" s="12"/>
      <c r="D904" s="12"/>
      <c r="E904" s="12"/>
      <c r="F904" s="12"/>
      <c r="G904" s="18"/>
      <c r="H904" s="35"/>
      <c r="I904" s="12"/>
      <c r="M904" s="12"/>
      <c r="N904" s="18"/>
      <c r="O904" s="12"/>
      <c r="P904" s="12"/>
      <c r="Q904" s="12"/>
      <c r="R904" s="36"/>
      <c r="S904" s="36"/>
      <c r="T904" s="12"/>
      <c r="U904" s="12"/>
      <c r="V904" s="12"/>
      <c r="W904" s="12"/>
      <c r="X904" s="12"/>
    </row>
    <row r="905" customFormat="false" ht="15.75" hidden="false" customHeight="false" outlineLevel="0" collapsed="false">
      <c r="A905" s="12"/>
      <c r="B905" s="34"/>
      <c r="C905" s="12"/>
      <c r="D905" s="12"/>
      <c r="E905" s="12"/>
      <c r="F905" s="12"/>
      <c r="G905" s="18"/>
      <c r="H905" s="35"/>
      <c r="I905" s="12"/>
      <c r="M905" s="12"/>
      <c r="N905" s="18"/>
      <c r="O905" s="12"/>
      <c r="P905" s="12"/>
      <c r="Q905" s="12"/>
      <c r="R905" s="36"/>
      <c r="S905" s="36"/>
      <c r="T905" s="12"/>
      <c r="U905" s="12"/>
      <c r="V905" s="12"/>
      <c r="W905" s="12"/>
      <c r="X905" s="12"/>
    </row>
    <row r="906" customFormat="false" ht="15.75" hidden="false" customHeight="false" outlineLevel="0" collapsed="false">
      <c r="A906" s="12"/>
      <c r="B906" s="34"/>
      <c r="C906" s="12"/>
      <c r="D906" s="12"/>
      <c r="E906" s="12"/>
      <c r="F906" s="12"/>
      <c r="G906" s="18"/>
      <c r="H906" s="35"/>
      <c r="I906" s="12"/>
      <c r="M906" s="12"/>
      <c r="N906" s="18"/>
      <c r="O906" s="12"/>
      <c r="P906" s="12"/>
      <c r="Q906" s="12"/>
      <c r="R906" s="36"/>
      <c r="S906" s="36"/>
      <c r="T906" s="12"/>
      <c r="U906" s="12"/>
      <c r="V906" s="12"/>
      <c r="W906" s="12"/>
      <c r="X906" s="12"/>
    </row>
    <row r="907" customFormat="false" ht="15.75" hidden="false" customHeight="false" outlineLevel="0" collapsed="false">
      <c r="A907" s="12"/>
      <c r="B907" s="34"/>
      <c r="C907" s="12"/>
      <c r="D907" s="12"/>
      <c r="E907" s="12"/>
      <c r="F907" s="12"/>
      <c r="G907" s="18"/>
      <c r="H907" s="35"/>
      <c r="I907" s="12"/>
      <c r="M907" s="12"/>
      <c r="N907" s="18"/>
      <c r="O907" s="12"/>
      <c r="P907" s="12"/>
      <c r="Q907" s="12"/>
      <c r="R907" s="36"/>
      <c r="S907" s="36"/>
      <c r="T907" s="12"/>
      <c r="U907" s="12"/>
      <c r="V907" s="12"/>
      <c r="W907" s="12"/>
      <c r="X907" s="12"/>
    </row>
    <row r="908" customFormat="false" ht="15.75" hidden="false" customHeight="false" outlineLevel="0" collapsed="false">
      <c r="A908" s="12"/>
      <c r="B908" s="34"/>
      <c r="C908" s="12"/>
      <c r="D908" s="12"/>
      <c r="E908" s="12"/>
      <c r="F908" s="12"/>
      <c r="G908" s="18"/>
      <c r="H908" s="35"/>
      <c r="I908" s="12"/>
      <c r="M908" s="12"/>
      <c r="N908" s="18"/>
      <c r="O908" s="12"/>
      <c r="P908" s="12"/>
      <c r="Q908" s="12"/>
      <c r="R908" s="36"/>
      <c r="S908" s="36"/>
      <c r="T908" s="12"/>
      <c r="U908" s="12"/>
      <c r="V908" s="12"/>
      <c r="W908" s="12"/>
      <c r="X908" s="12"/>
    </row>
    <row r="909" customFormat="false" ht="15.75" hidden="false" customHeight="false" outlineLevel="0" collapsed="false">
      <c r="A909" s="12"/>
      <c r="B909" s="34"/>
      <c r="C909" s="12"/>
      <c r="D909" s="12"/>
      <c r="E909" s="12"/>
      <c r="F909" s="12"/>
      <c r="G909" s="18"/>
      <c r="H909" s="35"/>
      <c r="I909" s="12"/>
      <c r="M909" s="12"/>
      <c r="N909" s="18"/>
      <c r="O909" s="12"/>
      <c r="P909" s="12"/>
      <c r="Q909" s="12"/>
      <c r="R909" s="36"/>
      <c r="S909" s="36"/>
      <c r="T909" s="12"/>
      <c r="U909" s="12"/>
      <c r="V909" s="12"/>
      <c r="W909" s="12"/>
      <c r="X909" s="12"/>
    </row>
    <row r="910" customFormat="false" ht="15.75" hidden="false" customHeight="false" outlineLevel="0" collapsed="false">
      <c r="A910" s="12"/>
      <c r="B910" s="34"/>
      <c r="C910" s="12"/>
      <c r="D910" s="12"/>
      <c r="E910" s="12"/>
      <c r="F910" s="12"/>
      <c r="G910" s="18"/>
      <c r="H910" s="35"/>
      <c r="I910" s="12"/>
      <c r="M910" s="12"/>
      <c r="N910" s="18"/>
      <c r="O910" s="12"/>
      <c r="P910" s="12"/>
      <c r="Q910" s="12"/>
      <c r="R910" s="36"/>
      <c r="S910" s="36"/>
      <c r="T910" s="12"/>
      <c r="U910" s="12"/>
      <c r="V910" s="12"/>
      <c r="W910" s="12"/>
      <c r="X910" s="12"/>
    </row>
    <row r="911" customFormat="false" ht="15.75" hidden="false" customHeight="false" outlineLevel="0" collapsed="false">
      <c r="A911" s="12"/>
      <c r="B911" s="34"/>
      <c r="C911" s="12"/>
      <c r="D911" s="12"/>
      <c r="E911" s="12"/>
      <c r="F911" s="12"/>
      <c r="G911" s="18"/>
      <c r="H911" s="35"/>
      <c r="I911" s="12"/>
      <c r="M911" s="12"/>
      <c r="N911" s="18"/>
      <c r="O911" s="12"/>
      <c r="P911" s="12"/>
      <c r="Q911" s="12"/>
      <c r="R911" s="36"/>
      <c r="S911" s="36"/>
      <c r="T911" s="12"/>
      <c r="U911" s="12"/>
      <c r="V911" s="12"/>
      <c r="W911" s="12"/>
      <c r="X911" s="12"/>
    </row>
    <row r="912" customFormat="false" ht="15.75" hidden="false" customHeight="false" outlineLevel="0" collapsed="false">
      <c r="A912" s="12"/>
      <c r="B912" s="34"/>
      <c r="C912" s="12"/>
      <c r="D912" s="12"/>
      <c r="E912" s="12"/>
      <c r="F912" s="12"/>
      <c r="G912" s="18"/>
      <c r="H912" s="35"/>
      <c r="I912" s="12"/>
      <c r="M912" s="12"/>
      <c r="N912" s="18"/>
      <c r="O912" s="12"/>
      <c r="P912" s="12"/>
      <c r="Q912" s="12"/>
      <c r="R912" s="36"/>
      <c r="S912" s="36"/>
      <c r="T912" s="12"/>
      <c r="U912" s="12"/>
      <c r="V912" s="12"/>
      <c r="W912" s="12"/>
      <c r="X912" s="12"/>
    </row>
    <row r="913" customFormat="false" ht="15.75" hidden="false" customHeight="false" outlineLevel="0" collapsed="false">
      <c r="A913" s="12"/>
      <c r="B913" s="34"/>
      <c r="C913" s="12"/>
      <c r="D913" s="12"/>
      <c r="E913" s="12"/>
      <c r="F913" s="12"/>
      <c r="G913" s="18"/>
      <c r="H913" s="35"/>
      <c r="I913" s="12"/>
      <c r="M913" s="12"/>
      <c r="N913" s="18"/>
      <c r="O913" s="12"/>
      <c r="P913" s="12"/>
      <c r="Q913" s="12"/>
      <c r="R913" s="36"/>
      <c r="S913" s="36"/>
      <c r="T913" s="12"/>
      <c r="U913" s="12"/>
      <c r="V913" s="12"/>
      <c r="W913" s="12"/>
      <c r="X913" s="12"/>
    </row>
    <row r="914" customFormat="false" ht="15.75" hidden="false" customHeight="false" outlineLevel="0" collapsed="false">
      <c r="A914" s="12"/>
      <c r="B914" s="34"/>
      <c r="C914" s="12"/>
      <c r="D914" s="12"/>
      <c r="E914" s="12"/>
      <c r="F914" s="12"/>
      <c r="G914" s="18"/>
      <c r="H914" s="35"/>
      <c r="I914" s="12"/>
      <c r="M914" s="12"/>
      <c r="N914" s="18"/>
      <c r="O914" s="12"/>
      <c r="P914" s="12"/>
      <c r="Q914" s="12"/>
      <c r="R914" s="36"/>
      <c r="S914" s="36"/>
      <c r="T914" s="12"/>
      <c r="U914" s="12"/>
      <c r="V914" s="12"/>
      <c r="W914" s="12"/>
      <c r="X914" s="12"/>
    </row>
    <row r="915" customFormat="false" ht="15.75" hidden="false" customHeight="false" outlineLevel="0" collapsed="false">
      <c r="A915" s="12"/>
      <c r="B915" s="34"/>
      <c r="C915" s="12"/>
      <c r="D915" s="12"/>
      <c r="E915" s="12"/>
      <c r="F915" s="12"/>
      <c r="G915" s="18"/>
      <c r="H915" s="35"/>
      <c r="I915" s="12"/>
      <c r="M915" s="12"/>
      <c r="N915" s="18"/>
      <c r="O915" s="12"/>
      <c r="P915" s="12"/>
      <c r="Q915" s="12"/>
      <c r="R915" s="36"/>
      <c r="S915" s="36"/>
      <c r="T915" s="12"/>
      <c r="U915" s="12"/>
      <c r="V915" s="12"/>
      <c r="W915" s="12"/>
      <c r="X915" s="12"/>
    </row>
    <row r="916" customFormat="false" ht="15.75" hidden="false" customHeight="false" outlineLevel="0" collapsed="false">
      <c r="A916" s="12"/>
      <c r="B916" s="34"/>
      <c r="C916" s="12"/>
      <c r="D916" s="12"/>
      <c r="E916" s="12"/>
      <c r="F916" s="12"/>
      <c r="G916" s="18"/>
      <c r="H916" s="35"/>
      <c r="I916" s="12"/>
      <c r="M916" s="12"/>
      <c r="N916" s="18"/>
      <c r="O916" s="12"/>
      <c r="P916" s="12"/>
      <c r="Q916" s="12"/>
      <c r="R916" s="36"/>
      <c r="S916" s="36"/>
      <c r="T916" s="12"/>
      <c r="U916" s="12"/>
      <c r="V916" s="12"/>
      <c r="W916" s="12"/>
      <c r="X916" s="12"/>
    </row>
    <row r="917" customFormat="false" ht="15.75" hidden="false" customHeight="false" outlineLevel="0" collapsed="false">
      <c r="A917" s="12"/>
      <c r="B917" s="34"/>
      <c r="C917" s="12"/>
      <c r="D917" s="12"/>
      <c r="E917" s="12"/>
      <c r="F917" s="12"/>
      <c r="G917" s="18"/>
      <c r="H917" s="35"/>
      <c r="I917" s="12"/>
      <c r="M917" s="12"/>
      <c r="N917" s="18"/>
      <c r="O917" s="12"/>
      <c r="P917" s="12"/>
      <c r="Q917" s="12"/>
      <c r="R917" s="36"/>
      <c r="S917" s="36"/>
      <c r="T917" s="12"/>
      <c r="U917" s="12"/>
      <c r="V917" s="12"/>
      <c r="W917" s="12"/>
      <c r="X917" s="12"/>
    </row>
    <row r="918" customFormat="false" ht="15.75" hidden="false" customHeight="false" outlineLevel="0" collapsed="false">
      <c r="A918" s="12"/>
      <c r="B918" s="34"/>
      <c r="C918" s="12"/>
      <c r="D918" s="12"/>
      <c r="E918" s="12"/>
      <c r="F918" s="12"/>
      <c r="G918" s="18"/>
      <c r="H918" s="35"/>
      <c r="I918" s="12"/>
      <c r="M918" s="12"/>
      <c r="N918" s="18"/>
      <c r="O918" s="12"/>
      <c r="P918" s="12"/>
      <c r="Q918" s="12"/>
      <c r="R918" s="36"/>
      <c r="S918" s="36"/>
      <c r="T918" s="12"/>
      <c r="U918" s="12"/>
      <c r="V918" s="12"/>
      <c r="W918" s="12"/>
      <c r="X918" s="12"/>
    </row>
    <row r="919" customFormat="false" ht="15.75" hidden="false" customHeight="false" outlineLevel="0" collapsed="false">
      <c r="A919" s="12"/>
      <c r="B919" s="34"/>
      <c r="C919" s="12"/>
      <c r="D919" s="12"/>
      <c r="E919" s="12"/>
      <c r="F919" s="12"/>
      <c r="G919" s="18"/>
      <c r="H919" s="35"/>
      <c r="I919" s="12"/>
      <c r="M919" s="12"/>
      <c r="N919" s="18"/>
      <c r="O919" s="12"/>
      <c r="P919" s="12"/>
      <c r="Q919" s="12"/>
      <c r="R919" s="36"/>
      <c r="S919" s="36"/>
      <c r="T919" s="12"/>
      <c r="U919" s="12"/>
      <c r="V919" s="12"/>
      <c r="W919" s="12"/>
      <c r="X919" s="12"/>
    </row>
    <row r="920" customFormat="false" ht="15.75" hidden="false" customHeight="false" outlineLevel="0" collapsed="false">
      <c r="A920" s="12"/>
      <c r="B920" s="34"/>
      <c r="C920" s="12"/>
      <c r="D920" s="12"/>
      <c r="E920" s="12"/>
      <c r="F920" s="12"/>
      <c r="G920" s="18"/>
      <c r="H920" s="35"/>
      <c r="I920" s="12"/>
      <c r="M920" s="12"/>
      <c r="N920" s="18"/>
      <c r="O920" s="12"/>
      <c r="P920" s="12"/>
      <c r="Q920" s="12"/>
      <c r="R920" s="36"/>
      <c r="S920" s="36"/>
      <c r="T920" s="12"/>
      <c r="U920" s="12"/>
      <c r="V920" s="12"/>
      <c r="W920" s="12"/>
      <c r="X920" s="12"/>
    </row>
    <row r="921" customFormat="false" ht="15.75" hidden="false" customHeight="false" outlineLevel="0" collapsed="false">
      <c r="A921" s="12"/>
      <c r="B921" s="34"/>
      <c r="C921" s="12"/>
      <c r="D921" s="12"/>
      <c r="E921" s="12"/>
      <c r="F921" s="12"/>
      <c r="G921" s="18"/>
      <c r="H921" s="35"/>
      <c r="I921" s="12"/>
      <c r="M921" s="12"/>
      <c r="N921" s="18"/>
      <c r="O921" s="12"/>
      <c r="P921" s="12"/>
      <c r="Q921" s="12"/>
      <c r="R921" s="36"/>
      <c r="S921" s="36"/>
      <c r="T921" s="12"/>
      <c r="U921" s="12"/>
      <c r="V921" s="12"/>
      <c r="W921" s="12"/>
      <c r="X921" s="12"/>
    </row>
    <row r="922" customFormat="false" ht="15.75" hidden="false" customHeight="false" outlineLevel="0" collapsed="false">
      <c r="A922" s="12"/>
      <c r="B922" s="34"/>
      <c r="C922" s="12"/>
      <c r="D922" s="12"/>
      <c r="E922" s="12"/>
      <c r="F922" s="12"/>
      <c r="G922" s="18"/>
      <c r="H922" s="35"/>
      <c r="I922" s="12"/>
      <c r="M922" s="12"/>
      <c r="N922" s="18"/>
      <c r="O922" s="12"/>
      <c r="P922" s="12"/>
      <c r="Q922" s="12"/>
      <c r="R922" s="36"/>
      <c r="S922" s="36"/>
      <c r="T922" s="12"/>
      <c r="U922" s="12"/>
      <c r="V922" s="12"/>
      <c r="W922" s="12"/>
      <c r="X922" s="12"/>
    </row>
    <row r="923" customFormat="false" ht="15.75" hidden="false" customHeight="false" outlineLevel="0" collapsed="false">
      <c r="A923" s="12"/>
      <c r="B923" s="34"/>
      <c r="C923" s="12"/>
      <c r="D923" s="12"/>
      <c r="E923" s="12"/>
      <c r="F923" s="12"/>
      <c r="G923" s="18"/>
      <c r="H923" s="35"/>
      <c r="I923" s="12"/>
      <c r="M923" s="12"/>
      <c r="N923" s="18"/>
      <c r="O923" s="12"/>
      <c r="P923" s="12"/>
      <c r="Q923" s="12"/>
      <c r="R923" s="36"/>
      <c r="S923" s="36"/>
      <c r="T923" s="12"/>
      <c r="U923" s="12"/>
      <c r="V923" s="12"/>
      <c r="W923" s="12"/>
      <c r="X923" s="12"/>
    </row>
    <row r="924" customFormat="false" ht="15.75" hidden="false" customHeight="false" outlineLevel="0" collapsed="false">
      <c r="A924" s="12"/>
      <c r="B924" s="34"/>
      <c r="C924" s="12"/>
      <c r="D924" s="12"/>
      <c r="E924" s="12"/>
      <c r="F924" s="12"/>
      <c r="G924" s="18"/>
      <c r="H924" s="35"/>
      <c r="I924" s="12"/>
      <c r="M924" s="12"/>
      <c r="N924" s="18"/>
      <c r="O924" s="12"/>
      <c r="P924" s="12"/>
      <c r="Q924" s="12"/>
      <c r="R924" s="36"/>
      <c r="S924" s="36"/>
      <c r="T924" s="12"/>
      <c r="U924" s="12"/>
      <c r="V924" s="12"/>
      <c r="W924" s="12"/>
      <c r="X924" s="12"/>
    </row>
    <row r="925" customFormat="false" ht="15.75" hidden="false" customHeight="false" outlineLevel="0" collapsed="false">
      <c r="A925" s="12"/>
      <c r="B925" s="34"/>
      <c r="C925" s="12"/>
      <c r="D925" s="12"/>
      <c r="E925" s="12"/>
      <c r="F925" s="12"/>
      <c r="G925" s="18"/>
      <c r="H925" s="35"/>
      <c r="I925" s="12"/>
      <c r="M925" s="12"/>
      <c r="N925" s="18"/>
      <c r="O925" s="12"/>
      <c r="P925" s="12"/>
      <c r="Q925" s="12"/>
      <c r="R925" s="36"/>
      <c r="S925" s="36"/>
      <c r="T925" s="12"/>
      <c r="U925" s="12"/>
      <c r="V925" s="12"/>
      <c r="W925" s="12"/>
      <c r="X925" s="12"/>
    </row>
    <row r="926" customFormat="false" ht="15.75" hidden="false" customHeight="false" outlineLevel="0" collapsed="false">
      <c r="A926" s="12"/>
      <c r="B926" s="34"/>
      <c r="C926" s="12"/>
      <c r="D926" s="12"/>
      <c r="E926" s="12"/>
      <c r="F926" s="12"/>
      <c r="G926" s="18"/>
      <c r="H926" s="35"/>
      <c r="I926" s="12"/>
      <c r="M926" s="12"/>
      <c r="N926" s="18"/>
      <c r="O926" s="12"/>
      <c r="P926" s="12"/>
      <c r="Q926" s="12"/>
      <c r="R926" s="36"/>
      <c r="S926" s="36"/>
      <c r="T926" s="12"/>
      <c r="U926" s="12"/>
      <c r="V926" s="12"/>
      <c r="W926" s="12"/>
      <c r="X926" s="12"/>
    </row>
    <row r="927" customFormat="false" ht="15.75" hidden="false" customHeight="false" outlineLevel="0" collapsed="false">
      <c r="A927" s="12"/>
      <c r="B927" s="34"/>
      <c r="C927" s="12"/>
      <c r="D927" s="12"/>
      <c r="E927" s="12"/>
      <c r="F927" s="12"/>
      <c r="G927" s="18"/>
      <c r="H927" s="35"/>
      <c r="I927" s="12"/>
      <c r="M927" s="12"/>
      <c r="N927" s="18"/>
      <c r="O927" s="12"/>
      <c r="P927" s="12"/>
      <c r="Q927" s="12"/>
      <c r="R927" s="36"/>
      <c r="S927" s="36"/>
      <c r="T927" s="12"/>
      <c r="U927" s="12"/>
      <c r="V927" s="12"/>
      <c r="W927" s="12"/>
      <c r="X927" s="12"/>
    </row>
    <row r="928" customFormat="false" ht="15.75" hidden="false" customHeight="false" outlineLevel="0" collapsed="false">
      <c r="A928" s="12"/>
      <c r="B928" s="34"/>
      <c r="C928" s="12"/>
      <c r="D928" s="12"/>
      <c r="E928" s="12"/>
      <c r="F928" s="12"/>
      <c r="G928" s="18"/>
      <c r="H928" s="35"/>
      <c r="I928" s="12"/>
      <c r="M928" s="12"/>
      <c r="N928" s="18"/>
      <c r="O928" s="12"/>
      <c r="P928" s="12"/>
      <c r="Q928" s="12"/>
      <c r="R928" s="36"/>
      <c r="S928" s="36"/>
      <c r="T928" s="12"/>
      <c r="U928" s="12"/>
      <c r="V928" s="12"/>
      <c r="W928" s="12"/>
      <c r="X928" s="12"/>
    </row>
    <row r="929" customFormat="false" ht="15.75" hidden="false" customHeight="false" outlineLevel="0" collapsed="false">
      <c r="A929" s="12"/>
      <c r="B929" s="34"/>
      <c r="C929" s="12"/>
      <c r="D929" s="12"/>
      <c r="E929" s="12"/>
      <c r="F929" s="12"/>
      <c r="G929" s="18"/>
      <c r="H929" s="35"/>
      <c r="I929" s="12"/>
      <c r="M929" s="12"/>
      <c r="N929" s="18"/>
      <c r="O929" s="12"/>
      <c r="P929" s="12"/>
      <c r="Q929" s="12"/>
      <c r="R929" s="36"/>
      <c r="S929" s="36"/>
      <c r="T929" s="12"/>
      <c r="U929" s="12"/>
      <c r="V929" s="12"/>
      <c r="W929" s="12"/>
      <c r="X929" s="12"/>
    </row>
    <row r="930" customFormat="false" ht="15.75" hidden="false" customHeight="false" outlineLevel="0" collapsed="false">
      <c r="A930" s="12"/>
      <c r="B930" s="34"/>
      <c r="C930" s="12"/>
      <c r="D930" s="12"/>
      <c r="E930" s="12"/>
      <c r="F930" s="12"/>
      <c r="G930" s="18"/>
      <c r="H930" s="35"/>
      <c r="I930" s="12"/>
      <c r="M930" s="12"/>
      <c r="N930" s="18"/>
      <c r="O930" s="12"/>
      <c r="P930" s="12"/>
      <c r="Q930" s="12"/>
      <c r="R930" s="36"/>
      <c r="S930" s="36"/>
      <c r="T930" s="12"/>
      <c r="U930" s="12"/>
      <c r="V930" s="12"/>
      <c r="W930" s="12"/>
      <c r="X930" s="12"/>
    </row>
    <row r="931" customFormat="false" ht="15.75" hidden="false" customHeight="false" outlineLevel="0" collapsed="false">
      <c r="A931" s="12"/>
      <c r="B931" s="34"/>
      <c r="C931" s="12"/>
      <c r="D931" s="12"/>
      <c r="E931" s="12"/>
      <c r="F931" s="12"/>
      <c r="G931" s="18"/>
      <c r="H931" s="35"/>
      <c r="I931" s="12"/>
      <c r="M931" s="12"/>
      <c r="N931" s="18"/>
      <c r="O931" s="12"/>
      <c r="P931" s="12"/>
      <c r="Q931" s="12"/>
      <c r="R931" s="36"/>
      <c r="S931" s="36"/>
      <c r="T931" s="12"/>
      <c r="U931" s="12"/>
      <c r="V931" s="12"/>
      <c r="W931" s="12"/>
      <c r="X931" s="12"/>
    </row>
    <row r="932" customFormat="false" ht="15.75" hidden="false" customHeight="false" outlineLevel="0" collapsed="false">
      <c r="A932" s="12"/>
      <c r="B932" s="34"/>
      <c r="C932" s="12"/>
      <c r="D932" s="12"/>
      <c r="E932" s="12"/>
      <c r="F932" s="12"/>
      <c r="G932" s="18"/>
      <c r="H932" s="35"/>
      <c r="I932" s="12"/>
      <c r="M932" s="12"/>
      <c r="N932" s="18"/>
      <c r="O932" s="12"/>
      <c r="P932" s="12"/>
      <c r="Q932" s="12"/>
      <c r="R932" s="36"/>
      <c r="S932" s="36"/>
      <c r="T932" s="12"/>
      <c r="U932" s="12"/>
      <c r="V932" s="12"/>
      <c r="W932" s="12"/>
      <c r="X932" s="12"/>
    </row>
    <row r="933" customFormat="false" ht="15.75" hidden="false" customHeight="false" outlineLevel="0" collapsed="false">
      <c r="A933" s="12"/>
      <c r="B933" s="34"/>
      <c r="C933" s="12"/>
      <c r="D933" s="12"/>
      <c r="E933" s="12"/>
      <c r="F933" s="12"/>
      <c r="G933" s="18"/>
      <c r="H933" s="35"/>
      <c r="I933" s="12"/>
      <c r="M933" s="12"/>
      <c r="N933" s="18"/>
      <c r="O933" s="12"/>
      <c r="P933" s="12"/>
      <c r="Q933" s="12"/>
      <c r="R933" s="36"/>
      <c r="S933" s="36"/>
      <c r="T933" s="12"/>
      <c r="U933" s="12"/>
      <c r="V933" s="12"/>
      <c r="W933" s="12"/>
      <c r="X933" s="12"/>
    </row>
    <row r="934" customFormat="false" ht="15.75" hidden="false" customHeight="false" outlineLevel="0" collapsed="false">
      <c r="A934" s="12"/>
      <c r="B934" s="34"/>
      <c r="C934" s="12"/>
      <c r="D934" s="12"/>
      <c r="E934" s="12"/>
      <c r="F934" s="12"/>
      <c r="G934" s="18"/>
      <c r="H934" s="35"/>
      <c r="I934" s="12"/>
      <c r="M934" s="12"/>
      <c r="N934" s="18"/>
      <c r="O934" s="12"/>
      <c r="P934" s="12"/>
      <c r="Q934" s="12"/>
      <c r="R934" s="36"/>
      <c r="S934" s="36"/>
      <c r="T934" s="12"/>
      <c r="U934" s="12"/>
      <c r="V934" s="12"/>
      <c r="W934" s="12"/>
      <c r="X934" s="12"/>
    </row>
    <row r="935" customFormat="false" ht="15.75" hidden="false" customHeight="false" outlineLevel="0" collapsed="false">
      <c r="A935" s="12"/>
      <c r="B935" s="34"/>
      <c r="C935" s="12"/>
      <c r="D935" s="12"/>
      <c r="E935" s="12"/>
      <c r="F935" s="12"/>
      <c r="G935" s="18"/>
      <c r="H935" s="35"/>
      <c r="I935" s="12"/>
      <c r="M935" s="12"/>
      <c r="N935" s="18"/>
      <c r="O935" s="12"/>
      <c r="P935" s="12"/>
      <c r="Q935" s="12"/>
      <c r="R935" s="36"/>
      <c r="S935" s="36"/>
      <c r="T935" s="12"/>
      <c r="U935" s="12"/>
      <c r="V935" s="12"/>
      <c r="W935" s="12"/>
      <c r="X935" s="12"/>
    </row>
    <row r="936" customFormat="false" ht="15.75" hidden="false" customHeight="false" outlineLevel="0" collapsed="false">
      <c r="A936" s="12"/>
      <c r="B936" s="34"/>
      <c r="C936" s="12"/>
      <c r="D936" s="12"/>
      <c r="E936" s="12"/>
      <c r="F936" s="12"/>
      <c r="G936" s="18"/>
      <c r="H936" s="35"/>
      <c r="I936" s="12"/>
      <c r="M936" s="12"/>
      <c r="N936" s="18"/>
      <c r="O936" s="12"/>
      <c r="P936" s="12"/>
      <c r="Q936" s="12"/>
      <c r="R936" s="36"/>
      <c r="S936" s="36"/>
      <c r="T936" s="12"/>
      <c r="U936" s="12"/>
      <c r="V936" s="12"/>
      <c r="W936" s="12"/>
      <c r="X936" s="12"/>
    </row>
    <row r="937" customFormat="false" ht="15.75" hidden="false" customHeight="false" outlineLevel="0" collapsed="false">
      <c r="A937" s="12"/>
      <c r="B937" s="34"/>
      <c r="C937" s="12"/>
      <c r="D937" s="12"/>
      <c r="E937" s="12"/>
      <c r="F937" s="12"/>
      <c r="G937" s="18"/>
      <c r="H937" s="35"/>
      <c r="I937" s="12"/>
      <c r="M937" s="12"/>
      <c r="N937" s="18"/>
      <c r="O937" s="12"/>
      <c r="P937" s="12"/>
      <c r="Q937" s="12"/>
      <c r="R937" s="36"/>
      <c r="S937" s="36"/>
      <c r="T937" s="12"/>
      <c r="U937" s="12"/>
      <c r="V937" s="12"/>
      <c r="W937" s="12"/>
      <c r="X937" s="12"/>
    </row>
    <row r="938" customFormat="false" ht="15.75" hidden="false" customHeight="false" outlineLevel="0" collapsed="false">
      <c r="A938" s="12"/>
      <c r="B938" s="34"/>
      <c r="C938" s="12"/>
      <c r="D938" s="12"/>
      <c r="E938" s="12"/>
      <c r="F938" s="12"/>
      <c r="G938" s="18"/>
      <c r="H938" s="35"/>
      <c r="I938" s="12"/>
      <c r="M938" s="12"/>
      <c r="N938" s="18"/>
      <c r="O938" s="12"/>
      <c r="P938" s="12"/>
      <c r="Q938" s="12"/>
      <c r="R938" s="36"/>
      <c r="S938" s="36"/>
      <c r="T938" s="12"/>
      <c r="U938" s="12"/>
      <c r="V938" s="12"/>
      <c r="W938" s="12"/>
      <c r="X938" s="12"/>
    </row>
    <row r="939" customFormat="false" ht="15.75" hidden="false" customHeight="false" outlineLevel="0" collapsed="false">
      <c r="A939" s="12"/>
      <c r="B939" s="34"/>
      <c r="C939" s="12"/>
      <c r="D939" s="12"/>
      <c r="E939" s="12"/>
      <c r="F939" s="12"/>
      <c r="G939" s="18"/>
      <c r="H939" s="35"/>
      <c r="I939" s="12"/>
      <c r="M939" s="12"/>
      <c r="N939" s="18"/>
      <c r="O939" s="12"/>
      <c r="P939" s="12"/>
      <c r="Q939" s="12"/>
      <c r="R939" s="36"/>
      <c r="S939" s="36"/>
      <c r="T939" s="12"/>
      <c r="U939" s="12"/>
      <c r="V939" s="12"/>
      <c r="W939" s="12"/>
      <c r="X939" s="12"/>
    </row>
    <row r="940" customFormat="false" ht="15.75" hidden="false" customHeight="false" outlineLevel="0" collapsed="false">
      <c r="A940" s="12"/>
      <c r="B940" s="34"/>
      <c r="C940" s="12"/>
      <c r="D940" s="12"/>
      <c r="E940" s="12"/>
      <c r="F940" s="12"/>
      <c r="G940" s="18"/>
      <c r="H940" s="35"/>
      <c r="I940" s="12"/>
      <c r="M940" s="12"/>
      <c r="N940" s="18"/>
      <c r="O940" s="12"/>
      <c r="P940" s="12"/>
      <c r="Q940" s="12"/>
      <c r="R940" s="36"/>
      <c r="S940" s="36"/>
      <c r="T940" s="12"/>
      <c r="U940" s="12"/>
      <c r="V940" s="12"/>
      <c r="W940" s="12"/>
      <c r="X940" s="12"/>
    </row>
    <row r="941" customFormat="false" ht="15.75" hidden="false" customHeight="false" outlineLevel="0" collapsed="false">
      <c r="A941" s="12"/>
      <c r="B941" s="34"/>
      <c r="C941" s="12"/>
      <c r="D941" s="12"/>
      <c r="E941" s="12"/>
      <c r="F941" s="12"/>
      <c r="G941" s="18"/>
      <c r="H941" s="35"/>
      <c r="I941" s="12"/>
      <c r="M941" s="12"/>
      <c r="N941" s="18"/>
      <c r="O941" s="12"/>
      <c r="P941" s="12"/>
      <c r="Q941" s="12"/>
      <c r="R941" s="36"/>
      <c r="S941" s="36"/>
      <c r="T941" s="12"/>
      <c r="U941" s="12"/>
      <c r="V941" s="12"/>
      <c r="W941" s="12"/>
      <c r="X941" s="12"/>
    </row>
    <row r="942" customFormat="false" ht="15.75" hidden="false" customHeight="false" outlineLevel="0" collapsed="false">
      <c r="A942" s="12"/>
      <c r="B942" s="34"/>
      <c r="C942" s="12"/>
      <c r="D942" s="12"/>
      <c r="E942" s="12"/>
      <c r="F942" s="12"/>
      <c r="G942" s="18"/>
      <c r="H942" s="35"/>
      <c r="I942" s="12"/>
      <c r="M942" s="12"/>
      <c r="N942" s="18"/>
      <c r="O942" s="12"/>
      <c r="P942" s="12"/>
      <c r="Q942" s="12"/>
      <c r="R942" s="36"/>
      <c r="S942" s="36"/>
      <c r="T942" s="12"/>
      <c r="U942" s="12"/>
      <c r="V942" s="12"/>
      <c r="W942" s="12"/>
      <c r="X942" s="12"/>
    </row>
    <row r="943" customFormat="false" ht="15.75" hidden="false" customHeight="false" outlineLevel="0" collapsed="false">
      <c r="A943" s="12"/>
      <c r="B943" s="34"/>
      <c r="C943" s="12"/>
      <c r="D943" s="12"/>
      <c r="E943" s="12"/>
      <c r="F943" s="12"/>
      <c r="G943" s="18"/>
      <c r="H943" s="35"/>
      <c r="I943" s="12"/>
      <c r="M943" s="12"/>
      <c r="N943" s="18"/>
      <c r="O943" s="12"/>
      <c r="P943" s="12"/>
      <c r="Q943" s="12"/>
      <c r="R943" s="36"/>
      <c r="S943" s="36"/>
      <c r="T943" s="12"/>
      <c r="U943" s="12"/>
      <c r="V943" s="12"/>
      <c r="W943" s="12"/>
      <c r="X943" s="12"/>
    </row>
    <row r="944" customFormat="false" ht="15.75" hidden="false" customHeight="false" outlineLevel="0" collapsed="false">
      <c r="A944" s="12"/>
      <c r="B944" s="34"/>
      <c r="C944" s="12"/>
      <c r="D944" s="12"/>
      <c r="E944" s="12"/>
      <c r="F944" s="12"/>
      <c r="G944" s="18"/>
      <c r="H944" s="35"/>
      <c r="I944" s="12"/>
      <c r="M944" s="12"/>
      <c r="N944" s="18"/>
      <c r="O944" s="12"/>
      <c r="P944" s="12"/>
      <c r="Q944" s="12"/>
      <c r="R944" s="36"/>
      <c r="S944" s="36"/>
      <c r="T944" s="12"/>
      <c r="U944" s="12"/>
      <c r="V944" s="12"/>
      <c r="W944" s="12"/>
      <c r="X944" s="12"/>
    </row>
    <row r="945" customFormat="false" ht="15.75" hidden="false" customHeight="false" outlineLevel="0" collapsed="false">
      <c r="A945" s="12"/>
      <c r="B945" s="34"/>
      <c r="C945" s="12"/>
      <c r="D945" s="12"/>
      <c r="E945" s="12"/>
      <c r="F945" s="12"/>
      <c r="G945" s="18"/>
      <c r="H945" s="35"/>
      <c r="I945" s="12"/>
      <c r="M945" s="12"/>
      <c r="N945" s="18"/>
      <c r="O945" s="12"/>
      <c r="P945" s="12"/>
      <c r="Q945" s="12"/>
      <c r="R945" s="36"/>
      <c r="S945" s="36"/>
      <c r="T945" s="12"/>
      <c r="U945" s="12"/>
      <c r="V945" s="12"/>
      <c r="W945" s="12"/>
      <c r="X945" s="12"/>
    </row>
    <row r="946" customFormat="false" ht="15.75" hidden="false" customHeight="false" outlineLevel="0" collapsed="false">
      <c r="A946" s="12"/>
      <c r="B946" s="34"/>
      <c r="C946" s="12"/>
      <c r="D946" s="12"/>
      <c r="E946" s="12"/>
      <c r="F946" s="12"/>
      <c r="G946" s="18"/>
      <c r="H946" s="35"/>
      <c r="I946" s="12"/>
      <c r="M946" s="12"/>
      <c r="N946" s="18"/>
      <c r="O946" s="12"/>
      <c r="P946" s="12"/>
      <c r="Q946" s="12"/>
      <c r="R946" s="36"/>
      <c r="S946" s="36"/>
      <c r="T946" s="12"/>
      <c r="U946" s="12"/>
      <c r="V946" s="12"/>
      <c r="W946" s="12"/>
      <c r="X946" s="12"/>
    </row>
    <row r="947" customFormat="false" ht="15.75" hidden="false" customHeight="false" outlineLevel="0" collapsed="false">
      <c r="A947" s="12"/>
      <c r="B947" s="34"/>
      <c r="C947" s="12"/>
      <c r="D947" s="12"/>
      <c r="E947" s="12"/>
      <c r="F947" s="12"/>
      <c r="G947" s="18"/>
      <c r="H947" s="35"/>
      <c r="I947" s="12"/>
      <c r="M947" s="12"/>
      <c r="N947" s="18"/>
      <c r="O947" s="12"/>
      <c r="P947" s="12"/>
      <c r="Q947" s="12"/>
      <c r="R947" s="36"/>
      <c r="S947" s="36"/>
      <c r="T947" s="12"/>
      <c r="U947" s="12"/>
      <c r="V947" s="12"/>
      <c r="W947" s="12"/>
      <c r="X947" s="12"/>
    </row>
    <row r="948" customFormat="false" ht="15.75" hidden="false" customHeight="false" outlineLevel="0" collapsed="false">
      <c r="A948" s="12"/>
      <c r="B948" s="34"/>
      <c r="C948" s="12"/>
      <c r="D948" s="12"/>
      <c r="E948" s="12"/>
      <c r="F948" s="12"/>
      <c r="G948" s="18"/>
      <c r="H948" s="35"/>
      <c r="I948" s="12"/>
      <c r="M948" s="12"/>
      <c r="N948" s="18"/>
      <c r="O948" s="12"/>
      <c r="P948" s="12"/>
      <c r="Q948" s="12"/>
      <c r="R948" s="36"/>
      <c r="S948" s="36"/>
      <c r="T948" s="12"/>
      <c r="U948" s="12"/>
      <c r="V948" s="12"/>
      <c r="W948" s="12"/>
      <c r="X948" s="12"/>
    </row>
    <row r="949" customFormat="false" ht="15.75" hidden="false" customHeight="false" outlineLevel="0" collapsed="false">
      <c r="A949" s="12"/>
      <c r="B949" s="34"/>
      <c r="C949" s="12"/>
      <c r="D949" s="12"/>
      <c r="E949" s="12"/>
      <c r="F949" s="12"/>
      <c r="G949" s="18"/>
      <c r="H949" s="35"/>
      <c r="I949" s="12"/>
      <c r="M949" s="12"/>
      <c r="N949" s="18"/>
      <c r="O949" s="12"/>
      <c r="P949" s="12"/>
      <c r="Q949" s="12"/>
      <c r="R949" s="36"/>
      <c r="S949" s="36"/>
      <c r="T949" s="12"/>
      <c r="U949" s="12"/>
      <c r="V949" s="12"/>
      <c r="W949" s="12"/>
      <c r="X949" s="12"/>
    </row>
    <row r="950" customFormat="false" ht="15.75" hidden="false" customHeight="false" outlineLevel="0" collapsed="false">
      <c r="A950" s="12"/>
      <c r="B950" s="34"/>
      <c r="C950" s="12"/>
      <c r="D950" s="12"/>
      <c r="E950" s="12"/>
      <c r="F950" s="12"/>
      <c r="G950" s="18"/>
      <c r="H950" s="35"/>
      <c r="I950" s="12"/>
      <c r="M950" s="12"/>
      <c r="N950" s="18"/>
      <c r="O950" s="12"/>
      <c r="P950" s="12"/>
      <c r="Q950" s="12"/>
      <c r="R950" s="36"/>
      <c r="S950" s="36"/>
      <c r="T950" s="12"/>
      <c r="U950" s="12"/>
      <c r="V950" s="12"/>
      <c r="W950" s="12"/>
      <c r="X950" s="12"/>
    </row>
    <row r="951" customFormat="false" ht="15.75" hidden="false" customHeight="false" outlineLevel="0" collapsed="false">
      <c r="A951" s="12"/>
      <c r="B951" s="34"/>
      <c r="C951" s="12"/>
      <c r="D951" s="12"/>
      <c r="E951" s="12"/>
      <c r="F951" s="12"/>
      <c r="G951" s="18"/>
      <c r="H951" s="35"/>
      <c r="I951" s="12"/>
      <c r="M951" s="12"/>
      <c r="N951" s="18"/>
      <c r="O951" s="12"/>
      <c r="P951" s="12"/>
      <c r="Q951" s="12"/>
      <c r="R951" s="36"/>
      <c r="S951" s="36"/>
      <c r="T951" s="12"/>
      <c r="U951" s="12"/>
      <c r="V951" s="12"/>
      <c r="W951" s="12"/>
      <c r="X951" s="12"/>
    </row>
    <row r="952" customFormat="false" ht="15.75" hidden="false" customHeight="false" outlineLevel="0" collapsed="false">
      <c r="A952" s="12"/>
      <c r="B952" s="34"/>
      <c r="C952" s="12"/>
      <c r="D952" s="12"/>
      <c r="E952" s="12"/>
      <c r="F952" s="12"/>
      <c r="G952" s="18"/>
      <c r="H952" s="35"/>
      <c r="I952" s="12"/>
      <c r="M952" s="12"/>
      <c r="N952" s="18"/>
      <c r="O952" s="12"/>
      <c r="P952" s="12"/>
      <c r="Q952" s="12"/>
      <c r="R952" s="36"/>
      <c r="S952" s="36"/>
      <c r="T952" s="12"/>
      <c r="U952" s="12"/>
      <c r="V952" s="12"/>
      <c r="W952" s="12"/>
      <c r="X952" s="12"/>
    </row>
    <row r="953" customFormat="false" ht="15.75" hidden="false" customHeight="false" outlineLevel="0" collapsed="false">
      <c r="A953" s="12"/>
      <c r="B953" s="34"/>
      <c r="C953" s="12"/>
      <c r="D953" s="12"/>
      <c r="E953" s="12"/>
      <c r="F953" s="12"/>
      <c r="G953" s="18"/>
      <c r="H953" s="35"/>
      <c r="I953" s="12"/>
      <c r="M953" s="12"/>
      <c r="N953" s="18"/>
      <c r="O953" s="12"/>
      <c r="P953" s="12"/>
      <c r="Q953" s="12"/>
      <c r="R953" s="36"/>
      <c r="S953" s="36"/>
      <c r="T953" s="12"/>
      <c r="U953" s="12"/>
      <c r="V953" s="12"/>
      <c r="W953" s="12"/>
      <c r="X953" s="12"/>
    </row>
    <row r="954" customFormat="false" ht="15.75" hidden="false" customHeight="false" outlineLevel="0" collapsed="false">
      <c r="A954" s="12"/>
      <c r="B954" s="34"/>
      <c r="C954" s="12"/>
      <c r="D954" s="12"/>
      <c r="E954" s="12"/>
      <c r="F954" s="12"/>
      <c r="G954" s="18"/>
      <c r="H954" s="35"/>
      <c r="I954" s="12"/>
      <c r="M954" s="12"/>
      <c r="N954" s="18"/>
      <c r="O954" s="12"/>
      <c r="P954" s="12"/>
      <c r="Q954" s="12"/>
      <c r="R954" s="36"/>
      <c r="S954" s="36"/>
      <c r="T954" s="12"/>
      <c r="U954" s="12"/>
      <c r="V954" s="12"/>
      <c r="W954" s="12"/>
      <c r="X954" s="12"/>
    </row>
    <row r="955" customFormat="false" ht="15.75" hidden="false" customHeight="false" outlineLevel="0" collapsed="false">
      <c r="A955" s="12"/>
      <c r="B955" s="34"/>
      <c r="C955" s="12"/>
      <c r="D955" s="12"/>
      <c r="E955" s="12"/>
      <c r="F955" s="12"/>
      <c r="G955" s="18"/>
      <c r="H955" s="35"/>
      <c r="I955" s="12"/>
      <c r="M955" s="12"/>
      <c r="N955" s="18"/>
      <c r="O955" s="12"/>
      <c r="P955" s="12"/>
      <c r="Q955" s="12"/>
      <c r="R955" s="36"/>
      <c r="S955" s="36"/>
      <c r="T955" s="12"/>
      <c r="U955" s="12"/>
      <c r="V955" s="12"/>
      <c r="W955" s="12"/>
      <c r="X955" s="12"/>
    </row>
    <row r="956" customFormat="false" ht="15.75" hidden="false" customHeight="false" outlineLevel="0" collapsed="false">
      <c r="A956" s="12"/>
      <c r="B956" s="34"/>
      <c r="C956" s="12"/>
      <c r="D956" s="12"/>
      <c r="E956" s="12"/>
      <c r="F956" s="12"/>
      <c r="G956" s="18"/>
      <c r="H956" s="35"/>
      <c r="I956" s="12"/>
      <c r="M956" s="12"/>
      <c r="N956" s="18"/>
      <c r="O956" s="12"/>
      <c r="P956" s="12"/>
      <c r="Q956" s="12"/>
      <c r="R956" s="36"/>
      <c r="S956" s="36"/>
      <c r="T956" s="12"/>
      <c r="U956" s="12"/>
      <c r="V956" s="12"/>
      <c r="W956" s="12"/>
      <c r="X956" s="12"/>
    </row>
    <row r="957" customFormat="false" ht="15.75" hidden="false" customHeight="false" outlineLevel="0" collapsed="false">
      <c r="A957" s="12"/>
      <c r="B957" s="34"/>
      <c r="C957" s="12"/>
      <c r="D957" s="12"/>
      <c r="E957" s="12"/>
      <c r="F957" s="12"/>
      <c r="G957" s="18"/>
      <c r="H957" s="35"/>
      <c r="I957" s="12"/>
      <c r="M957" s="12"/>
      <c r="N957" s="18"/>
      <c r="O957" s="12"/>
      <c r="P957" s="12"/>
      <c r="Q957" s="12"/>
      <c r="R957" s="36"/>
      <c r="S957" s="36"/>
      <c r="T957" s="12"/>
      <c r="U957" s="12"/>
      <c r="V957" s="12"/>
      <c r="W957" s="12"/>
      <c r="X957" s="12"/>
    </row>
    <row r="958" customFormat="false" ht="15.75" hidden="false" customHeight="false" outlineLevel="0" collapsed="false">
      <c r="A958" s="12"/>
      <c r="B958" s="34"/>
      <c r="C958" s="12"/>
      <c r="D958" s="12"/>
      <c r="E958" s="12"/>
      <c r="F958" s="12"/>
      <c r="G958" s="18"/>
      <c r="H958" s="35"/>
      <c r="I958" s="12"/>
      <c r="M958" s="12"/>
      <c r="N958" s="18"/>
      <c r="O958" s="12"/>
      <c r="P958" s="12"/>
      <c r="Q958" s="12"/>
      <c r="R958" s="36"/>
      <c r="S958" s="36"/>
      <c r="T958" s="12"/>
      <c r="U958" s="12"/>
      <c r="V958" s="12"/>
      <c r="W958" s="12"/>
      <c r="X958" s="12"/>
    </row>
    <row r="959" customFormat="false" ht="15.75" hidden="false" customHeight="false" outlineLevel="0" collapsed="false">
      <c r="A959" s="12"/>
      <c r="B959" s="34"/>
      <c r="C959" s="12"/>
      <c r="D959" s="12"/>
      <c r="E959" s="12"/>
      <c r="F959" s="12"/>
      <c r="G959" s="18"/>
      <c r="H959" s="35"/>
      <c r="I959" s="12"/>
      <c r="M959" s="12"/>
      <c r="N959" s="18"/>
      <c r="O959" s="12"/>
      <c r="P959" s="12"/>
      <c r="Q959" s="12"/>
      <c r="R959" s="36"/>
      <c r="S959" s="36"/>
      <c r="T959" s="12"/>
      <c r="U959" s="12"/>
      <c r="V959" s="12"/>
      <c r="W959" s="12"/>
      <c r="X959" s="12"/>
    </row>
    <row r="960" customFormat="false" ht="15.75" hidden="false" customHeight="false" outlineLevel="0" collapsed="false">
      <c r="A960" s="12"/>
      <c r="B960" s="34"/>
      <c r="C960" s="12"/>
      <c r="D960" s="12"/>
      <c r="E960" s="12"/>
      <c r="F960" s="12"/>
      <c r="G960" s="18"/>
      <c r="H960" s="35"/>
      <c r="I960" s="12"/>
      <c r="M960" s="12"/>
      <c r="N960" s="18"/>
      <c r="O960" s="12"/>
      <c r="P960" s="12"/>
      <c r="Q960" s="12"/>
      <c r="R960" s="36"/>
      <c r="S960" s="36"/>
      <c r="T960" s="12"/>
      <c r="U960" s="12"/>
      <c r="V960" s="12"/>
      <c r="W960" s="12"/>
      <c r="X960" s="12"/>
    </row>
    <row r="961" customFormat="false" ht="15.75" hidden="false" customHeight="false" outlineLevel="0" collapsed="false">
      <c r="A961" s="12"/>
      <c r="B961" s="34"/>
      <c r="C961" s="12"/>
      <c r="D961" s="12"/>
      <c r="E961" s="12"/>
      <c r="F961" s="12"/>
      <c r="G961" s="18"/>
      <c r="H961" s="35"/>
      <c r="I961" s="12"/>
      <c r="M961" s="12"/>
      <c r="N961" s="18"/>
      <c r="O961" s="12"/>
      <c r="P961" s="12"/>
      <c r="Q961" s="12"/>
      <c r="R961" s="36"/>
      <c r="S961" s="36"/>
      <c r="T961" s="12"/>
      <c r="U961" s="12"/>
      <c r="V961" s="12"/>
      <c r="W961" s="12"/>
      <c r="X961" s="12"/>
    </row>
    <row r="962" customFormat="false" ht="15.75" hidden="false" customHeight="false" outlineLevel="0" collapsed="false">
      <c r="A962" s="12"/>
      <c r="B962" s="34"/>
      <c r="C962" s="12"/>
      <c r="D962" s="12"/>
      <c r="E962" s="12"/>
      <c r="F962" s="12"/>
      <c r="G962" s="18"/>
      <c r="H962" s="35"/>
      <c r="I962" s="12"/>
      <c r="M962" s="12"/>
      <c r="N962" s="18"/>
      <c r="O962" s="12"/>
      <c r="P962" s="12"/>
      <c r="Q962" s="12"/>
      <c r="R962" s="36"/>
      <c r="S962" s="36"/>
      <c r="T962" s="12"/>
      <c r="U962" s="12"/>
      <c r="V962" s="12"/>
      <c r="W962" s="12"/>
      <c r="X962" s="12"/>
    </row>
    <row r="963" customFormat="false" ht="15.75" hidden="false" customHeight="false" outlineLevel="0" collapsed="false">
      <c r="A963" s="12"/>
      <c r="B963" s="34"/>
      <c r="C963" s="12"/>
      <c r="D963" s="12"/>
      <c r="E963" s="12"/>
      <c r="F963" s="12"/>
      <c r="G963" s="18"/>
      <c r="H963" s="35"/>
      <c r="I963" s="12"/>
      <c r="M963" s="12"/>
      <c r="N963" s="18"/>
      <c r="O963" s="12"/>
      <c r="P963" s="12"/>
      <c r="Q963" s="12"/>
      <c r="R963" s="36"/>
      <c r="S963" s="36"/>
      <c r="T963" s="12"/>
      <c r="U963" s="12"/>
      <c r="V963" s="12"/>
      <c r="W963" s="12"/>
      <c r="X963" s="12"/>
    </row>
    <row r="964" customFormat="false" ht="15.75" hidden="false" customHeight="false" outlineLevel="0" collapsed="false">
      <c r="A964" s="12"/>
      <c r="B964" s="34"/>
      <c r="C964" s="12"/>
      <c r="D964" s="12"/>
      <c r="E964" s="12"/>
      <c r="F964" s="12"/>
      <c r="G964" s="18"/>
      <c r="H964" s="35"/>
      <c r="I964" s="12"/>
      <c r="M964" s="12"/>
      <c r="N964" s="18"/>
      <c r="O964" s="12"/>
      <c r="P964" s="12"/>
      <c r="Q964" s="12"/>
      <c r="R964" s="36"/>
      <c r="S964" s="36"/>
      <c r="T964" s="12"/>
      <c r="U964" s="12"/>
      <c r="V964" s="12"/>
      <c r="W964" s="12"/>
      <c r="X964" s="12"/>
    </row>
    <row r="965" customFormat="false" ht="15.75" hidden="false" customHeight="false" outlineLevel="0" collapsed="false">
      <c r="A965" s="12"/>
      <c r="B965" s="34"/>
      <c r="C965" s="12"/>
      <c r="D965" s="12"/>
      <c r="E965" s="12"/>
      <c r="F965" s="12"/>
      <c r="G965" s="18"/>
      <c r="H965" s="35"/>
      <c r="I965" s="12"/>
      <c r="M965" s="12"/>
      <c r="N965" s="18"/>
      <c r="O965" s="12"/>
      <c r="P965" s="12"/>
      <c r="Q965" s="12"/>
      <c r="R965" s="36"/>
      <c r="S965" s="36"/>
      <c r="T965" s="12"/>
      <c r="U965" s="12"/>
      <c r="V965" s="12"/>
      <c r="W965" s="12"/>
      <c r="X965" s="12"/>
    </row>
    <row r="966" customFormat="false" ht="15.75" hidden="false" customHeight="false" outlineLevel="0" collapsed="false">
      <c r="A966" s="12"/>
      <c r="B966" s="34"/>
      <c r="C966" s="12"/>
      <c r="D966" s="12"/>
      <c r="E966" s="12"/>
      <c r="F966" s="12"/>
      <c r="G966" s="18"/>
      <c r="H966" s="35"/>
      <c r="I966" s="12"/>
      <c r="M966" s="12"/>
      <c r="N966" s="18"/>
      <c r="O966" s="12"/>
      <c r="P966" s="12"/>
      <c r="Q966" s="12"/>
      <c r="R966" s="36"/>
      <c r="S966" s="36"/>
      <c r="T966" s="12"/>
      <c r="U966" s="12"/>
      <c r="V966" s="12"/>
      <c r="W966" s="12"/>
      <c r="X966" s="12"/>
    </row>
    <row r="967" customFormat="false" ht="15.75" hidden="false" customHeight="false" outlineLevel="0" collapsed="false">
      <c r="A967" s="12"/>
      <c r="B967" s="34"/>
      <c r="C967" s="12"/>
      <c r="D967" s="12"/>
      <c r="E967" s="12"/>
      <c r="F967" s="12"/>
      <c r="G967" s="18"/>
      <c r="H967" s="35"/>
      <c r="I967" s="12"/>
      <c r="M967" s="12"/>
      <c r="N967" s="18"/>
      <c r="O967" s="12"/>
      <c r="P967" s="12"/>
      <c r="Q967" s="12"/>
      <c r="R967" s="36"/>
      <c r="S967" s="36"/>
      <c r="T967" s="12"/>
      <c r="U967" s="12"/>
      <c r="V967" s="12"/>
      <c r="W967" s="12"/>
      <c r="X967" s="12"/>
    </row>
    <row r="968" customFormat="false" ht="15.75" hidden="false" customHeight="false" outlineLevel="0" collapsed="false">
      <c r="A968" s="12"/>
      <c r="B968" s="34"/>
      <c r="C968" s="12"/>
      <c r="D968" s="12"/>
      <c r="E968" s="12"/>
      <c r="F968" s="12"/>
      <c r="G968" s="18"/>
      <c r="H968" s="35"/>
      <c r="I968" s="12"/>
      <c r="M968" s="12"/>
      <c r="N968" s="18"/>
      <c r="O968" s="12"/>
      <c r="P968" s="12"/>
      <c r="Q968" s="12"/>
      <c r="R968" s="36"/>
      <c r="S968" s="36"/>
      <c r="T968" s="12"/>
      <c r="U968" s="12"/>
      <c r="V968" s="12"/>
      <c r="W968" s="12"/>
      <c r="X968" s="12"/>
    </row>
    <row r="969" customFormat="false" ht="15.75" hidden="false" customHeight="false" outlineLevel="0" collapsed="false">
      <c r="A969" s="12"/>
      <c r="B969" s="34"/>
      <c r="C969" s="12"/>
      <c r="D969" s="12"/>
      <c r="E969" s="12"/>
      <c r="F969" s="12"/>
      <c r="G969" s="18"/>
      <c r="H969" s="35"/>
      <c r="I969" s="12"/>
      <c r="M969" s="12"/>
      <c r="N969" s="18"/>
      <c r="O969" s="12"/>
      <c r="P969" s="12"/>
      <c r="Q969" s="12"/>
      <c r="R969" s="36"/>
      <c r="S969" s="36"/>
      <c r="T969" s="12"/>
      <c r="U969" s="12"/>
      <c r="V969" s="12"/>
      <c r="W969" s="12"/>
      <c r="X969" s="12"/>
    </row>
    <row r="970" customFormat="false" ht="15.75" hidden="false" customHeight="false" outlineLevel="0" collapsed="false">
      <c r="A970" s="12"/>
      <c r="B970" s="34"/>
      <c r="C970" s="12"/>
      <c r="D970" s="12"/>
      <c r="E970" s="12"/>
      <c r="F970" s="12"/>
      <c r="G970" s="18"/>
      <c r="H970" s="35"/>
      <c r="I970" s="12"/>
      <c r="M970" s="12"/>
      <c r="N970" s="18"/>
      <c r="O970" s="12"/>
      <c r="P970" s="12"/>
      <c r="Q970" s="12"/>
      <c r="R970" s="36"/>
      <c r="S970" s="36"/>
      <c r="T970" s="12"/>
      <c r="U970" s="12"/>
      <c r="V970" s="12"/>
      <c r="W970" s="12"/>
      <c r="X970" s="12"/>
    </row>
    <row r="971" customFormat="false" ht="15.75" hidden="false" customHeight="false" outlineLevel="0" collapsed="false">
      <c r="A971" s="12"/>
      <c r="B971" s="34"/>
      <c r="C971" s="12"/>
      <c r="D971" s="12"/>
      <c r="E971" s="12"/>
      <c r="F971" s="12"/>
      <c r="G971" s="18"/>
      <c r="H971" s="35"/>
      <c r="I971" s="12"/>
      <c r="M971" s="12"/>
      <c r="N971" s="18"/>
      <c r="O971" s="12"/>
      <c r="P971" s="12"/>
      <c r="Q971" s="12"/>
      <c r="R971" s="36"/>
      <c r="S971" s="36"/>
      <c r="T971" s="12"/>
      <c r="U971" s="12"/>
      <c r="V971" s="12"/>
      <c r="W971" s="12"/>
      <c r="X971" s="12"/>
    </row>
    <row r="972" customFormat="false" ht="15.75" hidden="false" customHeight="false" outlineLevel="0" collapsed="false">
      <c r="A972" s="12"/>
      <c r="B972" s="34"/>
      <c r="C972" s="12"/>
      <c r="D972" s="12"/>
      <c r="E972" s="12"/>
      <c r="F972" s="12"/>
      <c r="G972" s="18"/>
      <c r="H972" s="35"/>
      <c r="I972" s="12"/>
      <c r="M972" s="12"/>
      <c r="N972" s="18"/>
      <c r="O972" s="12"/>
      <c r="P972" s="12"/>
      <c r="Q972" s="12"/>
      <c r="R972" s="36"/>
      <c r="S972" s="36"/>
      <c r="T972" s="12"/>
      <c r="U972" s="12"/>
      <c r="V972" s="12"/>
      <c r="W972" s="12"/>
      <c r="X972" s="12"/>
    </row>
    <row r="973" customFormat="false" ht="15.75" hidden="false" customHeight="false" outlineLevel="0" collapsed="false">
      <c r="A973" s="12"/>
      <c r="B973" s="34"/>
      <c r="C973" s="12"/>
      <c r="D973" s="12"/>
      <c r="E973" s="12"/>
      <c r="F973" s="12"/>
      <c r="G973" s="18"/>
      <c r="H973" s="35"/>
      <c r="I973" s="12"/>
      <c r="M973" s="12"/>
      <c r="N973" s="18"/>
      <c r="O973" s="12"/>
      <c r="P973" s="12"/>
      <c r="Q973" s="12"/>
      <c r="R973" s="36"/>
      <c r="S973" s="36"/>
      <c r="T973" s="12"/>
      <c r="U973" s="12"/>
      <c r="V973" s="12"/>
      <c r="W973" s="12"/>
      <c r="X973" s="12"/>
    </row>
    <row r="974" customFormat="false" ht="15.75" hidden="false" customHeight="false" outlineLevel="0" collapsed="false">
      <c r="A974" s="12"/>
      <c r="B974" s="34"/>
      <c r="C974" s="12"/>
      <c r="D974" s="12"/>
      <c r="E974" s="12"/>
      <c r="F974" s="12"/>
      <c r="G974" s="18"/>
      <c r="H974" s="35"/>
      <c r="I974" s="12"/>
      <c r="M974" s="12"/>
      <c r="N974" s="18"/>
      <c r="O974" s="12"/>
      <c r="P974" s="12"/>
      <c r="Q974" s="12"/>
      <c r="R974" s="36"/>
      <c r="S974" s="36"/>
      <c r="T974" s="12"/>
      <c r="U974" s="12"/>
      <c r="V974" s="12"/>
      <c r="W974" s="12"/>
      <c r="X974" s="12"/>
    </row>
    <row r="975" customFormat="false" ht="15.75" hidden="false" customHeight="false" outlineLevel="0" collapsed="false">
      <c r="A975" s="12"/>
      <c r="B975" s="34"/>
      <c r="C975" s="12"/>
      <c r="D975" s="12"/>
      <c r="E975" s="12"/>
      <c r="F975" s="12"/>
      <c r="G975" s="18"/>
      <c r="H975" s="35"/>
      <c r="I975" s="12"/>
      <c r="M975" s="12"/>
      <c r="N975" s="18"/>
      <c r="O975" s="12"/>
      <c r="P975" s="12"/>
      <c r="Q975" s="12"/>
      <c r="R975" s="36"/>
      <c r="S975" s="36"/>
      <c r="T975" s="12"/>
      <c r="U975" s="12"/>
      <c r="V975" s="12"/>
      <c r="W975" s="12"/>
      <c r="X975" s="12"/>
    </row>
    <row r="976" customFormat="false" ht="15.75" hidden="false" customHeight="false" outlineLevel="0" collapsed="false">
      <c r="A976" s="12"/>
      <c r="B976" s="34"/>
      <c r="C976" s="12"/>
      <c r="D976" s="12"/>
      <c r="E976" s="12"/>
      <c r="F976" s="12"/>
      <c r="G976" s="18"/>
      <c r="H976" s="35"/>
      <c r="I976" s="12"/>
      <c r="M976" s="12"/>
      <c r="N976" s="18"/>
      <c r="O976" s="12"/>
      <c r="P976" s="12"/>
      <c r="Q976" s="12"/>
      <c r="R976" s="36"/>
      <c r="S976" s="36"/>
      <c r="T976" s="12"/>
      <c r="U976" s="12"/>
      <c r="V976" s="12"/>
      <c r="W976" s="12"/>
      <c r="X976" s="12"/>
    </row>
    <row r="977" customFormat="false" ht="15.75" hidden="false" customHeight="false" outlineLevel="0" collapsed="false">
      <c r="A977" s="12"/>
      <c r="B977" s="34"/>
      <c r="C977" s="12"/>
      <c r="D977" s="12"/>
      <c r="E977" s="12"/>
      <c r="F977" s="12"/>
      <c r="G977" s="18"/>
      <c r="H977" s="35"/>
      <c r="I977" s="12"/>
      <c r="M977" s="12"/>
      <c r="N977" s="18"/>
      <c r="O977" s="12"/>
      <c r="P977" s="12"/>
      <c r="Q977" s="12"/>
      <c r="R977" s="36"/>
      <c r="S977" s="36"/>
      <c r="T977" s="12"/>
      <c r="U977" s="12"/>
      <c r="V977" s="12"/>
      <c r="W977" s="12"/>
      <c r="X977" s="12"/>
    </row>
    <row r="978" customFormat="false" ht="15.75" hidden="false" customHeight="false" outlineLevel="0" collapsed="false">
      <c r="A978" s="12"/>
      <c r="B978" s="34"/>
      <c r="C978" s="12"/>
      <c r="D978" s="12"/>
      <c r="E978" s="12"/>
      <c r="F978" s="12"/>
      <c r="G978" s="18"/>
      <c r="H978" s="35"/>
      <c r="I978" s="12"/>
      <c r="M978" s="12"/>
      <c r="N978" s="18"/>
      <c r="O978" s="12"/>
      <c r="P978" s="12"/>
      <c r="Q978" s="12"/>
      <c r="R978" s="36"/>
      <c r="S978" s="36"/>
      <c r="T978" s="12"/>
      <c r="U978" s="12"/>
      <c r="V978" s="12"/>
      <c r="W978" s="12"/>
      <c r="X978" s="12"/>
    </row>
    <row r="979" customFormat="false" ht="15.75" hidden="false" customHeight="false" outlineLevel="0" collapsed="false">
      <c r="A979" s="12"/>
      <c r="B979" s="34"/>
      <c r="C979" s="12"/>
      <c r="D979" s="12"/>
      <c r="E979" s="12"/>
      <c r="F979" s="12"/>
      <c r="G979" s="18"/>
      <c r="H979" s="35"/>
      <c r="I979" s="12"/>
      <c r="M979" s="12"/>
      <c r="N979" s="18"/>
      <c r="O979" s="12"/>
      <c r="P979" s="12"/>
      <c r="Q979" s="12"/>
      <c r="R979" s="36"/>
      <c r="S979" s="36"/>
      <c r="T979" s="12"/>
      <c r="U979" s="12"/>
      <c r="V979" s="12"/>
      <c r="W979" s="12"/>
      <c r="X979" s="12"/>
    </row>
    <row r="980" customFormat="false" ht="15.75" hidden="false" customHeight="false" outlineLevel="0" collapsed="false">
      <c r="A980" s="12"/>
      <c r="B980" s="34"/>
      <c r="C980" s="12"/>
      <c r="D980" s="12"/>
      <c r="E980" s="12"/>
      <c r="F980" s="12"/>
      <c r="G980" s="18"/>
      <c r="H980" s="35"/>
      <c r="I980" s="12"/>
      <c r="M980" s="12"/>
      <c r="N980" s="18"/>
      <c r="O980" s="12"/>
      <c r="P980" s="12"/>
      <c r="Q980" s="12"/>
      <c r="R980" s="36"/>
      <c r="S980" s="36"/>
      <c r="T980" s="12"/>
      <c r="U980" s="12"/>
      <c r="V980" s="12"/>
      <c r="W980" s="12"/>
      <c r="X980" s="12"/>
    </row>
    <row r="981" customFormat="false" ht="15.75" hidden="false" customHeight="false" outlineLevel="0" collapsed="false">
      <c r="A981" s="12"/>
      <c r="B981" s="34"/>
      <c r="C981" s="12"/>
      <c r="D981" s="12"/>
      <c r="E981" s="12"/>
      <c r="F981" s="12"/>
      <c r="G981" s="18"/>
      <c r="H981" s="35"/>
      <c r="I981" s="12"/>
      <c r="M981" s="12"/>
      <c r="N981" s="18"/>
      <c r="O981" s="12"/>
      <c r="P981" s="12"/>
      <c r="Q981" s="12"/>
      <c r="R981" s="36"/>
      <c r="S981" s="36"/>
      <c r="T981" s="12"/>
      <c r="U981" s="12"/>
      <c r="V981" s="12"/>
      <c r="W981" s="12"/>
      <c r="X981" s="12"/>
    </row>
    <row r="982" customFormat="false" ht="15.75" hidden="false" customHeight="false" outlineLevel="0" collapsed="false">
      <c r="A982" s="12"/>
      <c r="B982" s="34"/>
      <c r="C982" s="12"/>
      <c r="D982" s="12"/>
      <c r="E982" s="12"/>
      <c r="F982" s="12"/>
      <c r="G982" s="18"/>
      <c r="H982" s="35"/>
      <c r="I982" s="12"/>
      <c r="M982" s="12"/>
      <c r="N982" s="18"/>
      <c r="O982" s="12"/>
      <c r="P982" s="12"/>
      <c r="Q982" s="12"/>
      <c r="R982" s="36"/>
      <c r="S982" s="36"/>
      <c r="T982" s="12"/>
      <c r="U982" s="12"/>
      <c r="V982" s="12"/>
      <c r="W982" s="12"/>
      <c r="X982" s="12"/>
    </row>
    <row r="983" customFormat="false" ht="15.75" hidden="false" customHeight="false" outlineLevel="0" collapsed="false">
      <c r="A983" s="12"/>
      <c r="B983" s="34"/>
      <c r="C983" s="12"/>
      <c r="D983" s="12"/>
      <c r="E983" s="12"/>
      <c r="F983" s="12"/>
      <c r="G983" s="18"/>
      <c r="H983" s="35"/>
      <c r="I983" s="12"/>
      <c r="M983" s="12"/>
      <c r="N983" s="18"/>
      <c r="O983" s="12"/>
      <c r="P983" s="12"/>
      <c r="Q983" s="12"/>
      <c r="R983" s="36"/>
      <c r="S983" s="36"/>
      <c r="T983" s="12"/>
      <c r="U983" s="12"/>
      <c r="V983" s="12"/>
      <c r="W983" s="12"/>
      <c r="X983" s="12"/>
    </row>
    <row r="984" customFormat="false" ht="15.75" hidden="false" customHeight="false" outlineLevel="0" collapsed="false">
      <c r="A984" s="12"/>
      <c r="B984" s="34"/>
      <c r="C984" s="12"/>
      <c r="D984" s="12"/>
      <c r="E984" s="12"/>
      <c r="F984" s="12"/>
      <c r="G984" s="18"/>
      <c r="H984" s="35"/>
      <c r="I984" s="12"/>
      <c r="M984" s="12"/>
      <c r="N984" s="18"/>
      <c r="O984" s="12"/>
      <c r="P984" s="12"/>
      <c r="Q984" s="12"/>
      <c r="R984" s="36"/>
      <c r="S984" s="36"/>
      <c r="T984" s="12"/>
      <c r="U984" s="12"/>
      <c r="V984" s="12"/>
      <c r="W984" s="12"/>
      <c r="X984" s="12"/>
    </row>
    <row r="985" customFormat="false" ht="15.75" hidden="false" customHeight="false" outlineLevel="0" collapsed="false">
      <c r="A985" s="12"/>
      <c r="B985" s="34"/>
      <c r="C985" s="12"/>
      <c r="D985" s="12"/>
      <c r="E985" s="12"/>
      <c r="F985" s="12"/>
      <c r="G985" s="18"/>
      <c r="H985" s="35"/>
      <c r="I985" s="12"/>
      <c r="M985" s="12"/>
      <c r="N985" s="18"/>
      <c r="O985" s="12"/>
      <c r="P985" s="12"/>
      <c r="Q985" s="12"/>
      <c r="R985" s="36"/>
      <c r="S985" s="36"/>
      <c r="T985" s="12"/>
      <c r="U985" s="12"/>
      <c r="V985" s="12"/>
      <c r="W985" s="12"/>
      <c r="X985" s="12"/>
    </row>
    <row r="986" customFormat="false" ht="15.75" hidden="false" customHeight="false" outlineLevel="0" collapsed="false">
      <c r="A986" s="12"/>
      <c r="B986" s="34"/>
      <c r="C986" s="12"/>
      <c r="D986" s="12"/>
      <c r="E986" s="12"/>
      <c r="F986" s="12"/>
      <c r="G986" s="18"/>
      <c r="H986" s="35"/>
      <c r="I986" s="12"/>
      <c r="M986" s="12"/>
      <c r="N986" s="18"/>
      <c r="O986" s="12"/>
      <c r="P986" s="12"/>
      <c r="Q986" s="12"/>
      <c r="R986" s="36"/>
      <c r="S986" s="36"/>
      <c r="T986" s="12"/>
      <c r="U986" s="12"/>
      <c r="V986" s="12"/>
      <c r="W986" s="12"/>
      <c r="X986" s="12"/>
    </row>
    <row r="987" customFormat="false" ht="15.75" hidden="false" customHeight="false" outlineLevel="0" collapsed="false">
      <c r="A987" s="12"/>
      <c r="B987" s="34"/>
      <c r="C987" s="12"/>
      <c r="D987" s="12"/>
      <c r="E987" s="12"/>
      <c r="F987" s="12"/>
      <c r="G987" s="18"/>
      <c r="H987" s="35"/>
      <c r="I987" s="12"/>
      <c r="M987" s="12"/>
      <c r="N987" s="18"/>
      <c r="O987" s="12"/>
      <c r="P987" s="12"/>
      <c r="Q987" s="12"/>
      <c r="R987" s="36"/>
      <c r="S987" s="36"/>
      <c r="T987" s="12"/>
      <c r="U987" s="12"/>
      <c r="V987" s="12"/>
      <c r="W987" s="12"/>
      <c r="X987" s="12"/>
    </row>
    <row r="988" customFormat="false" ht="15.75" hidden="false" customHeight="false" outlineLevel="0" collapsed="false">
      <c r="A988" s="12"/>
      <c r="B988" s="34"/>
      <c r="C988" s="12"/>
      <c r="D988" s="12"/>
      <c r="E988" s="12"/>
      <c r="F988" s="12"/>
      <c r="G988" s="18"/>
      <c r="H988" s="35"/>
      <c r="I988" s="12"/>
      <c r="M988" s="12"/>
      <c r="N988" s="18"/>
      <c r="O988" s="12"/>
      <c r="P988" s="12"/>
      <c r="Q988" s="12"/>
      <c r="R988" s="36"/>
      <c r="S988" s="36"/>
      <c r="T988" s="12"/>
      <c r="U988" s="12"/>
      <c r="V988" s="12"/>
      <c r="W988" s="12"/>
      <c r="X988" s="12"/>
    </row>
    <row r="989" customFormat="false" ht="15.75" hidden="false" customHeight="false" outlineLevel="0" collapsed="false">
      <c r="A989" s="12"/>
      <c r="B989" s="34"/>
      <c r="C989" s="12"/>
      <c r="D989" s="12"/>
      <c r="E989" s="12"/>
      <c r="F989" s="12"/>
      <c r="G989" s="18"/>
      <c r="H989" s="35"/>
      <c r="I989" s="12"/>
      <c r="M989" s="12"/>
      <c r="N989" s="18"/>
      <c r="O989" s="12"/>
      <c r="P989" s="12"/>
      <c r="Q989" s="12"/>
      <c r="R989" s="36"/>
      <c r="S989" s="36"/>
      <c r="T989" s="12"/>
      <c r="U989" s="12"/>
      <c r="V989" s="12"/>
      <c r="W989" s="12"/>
      <c r="X989" s="12"/>
    </row>
    <row r="990" customFormat="false" ht="15.75" hidden="false" customHeight="false" outlineLevel="0" collapsed="false">
      <c r="A990" s="12"/>
      <c r="B990" s="34"/>
      <c r="C990" s="12"/>
      <c r="D990" s="12"/>
      <c r="E990" s="12"/>
      <c r="F990" s="12"/>
      <c r="G990" s="18"/>
      <c r="H990" s="35"/>
      <c r="I990" s="12"/>
      <c r="M990" s="12"/>
      <c r="N990" s="18"/>
      <c r="O990" s="12"/>
      <c r="P990" s="12"/>
      <c r="Q990" s="12"/>
      <c r="R990" s="36"/>
      <c r="S990" s="36"/>
      <c r="T990" s="12"/>
      <c r="U990" s="12"/>
      <c r="V990" s="12"/>
      <c r="W990" s="12"/>
      <c r="X990" s="12"/>
    </row>
    <row r="991" customFormat="false" ht="15.75" hidden="false" customHeight="false" outlineLevel="0" collapsed="false">
      <c r="A991" s="12"/>
      <c r="B991" s="34"/>
      <c r="C991" s="12"/>
      <c r="D991" s="12"/>
      <c r="E991" s="12"/>
      <c r="F991" s="12"/>
      <c r="G991" s="18"/>
      <c r="H991" s="35"/>
      <c r="I991" s="12"/>
      <c r="M991" s="12"/>
      <c r="N991" s="18"/>
      <c r="O991" s="12"/>
      <c r="P991" s="12"/>
      <c r="Q991" s="12"/>
      <c r="R991" s="36"/>
      <c r="S991" s="36"/>
      <c r="T991" s="12"/>
      <c r="U991" s="12"/>
      <c r="V991" s="12"/>
      <c r="W991" s="12"/>
      <c r="X991" s="12"/>
    </row>
    <row r="992" customFormat="false" ht="15.75" hidden="false" customHeight="false" outlineLevel="0" collapsed="false">
      <c r="A992" s="12"/>
      <c r="B992" s="34"/>
      <c r="C992" s="12"/>
      <c r="D992" s="12"/>
      <c r="E992" s="12"/>
      <c r="F992" s="12"/>
      <c r="G992" s="18"/>
      <c r="H992" s="35"/>
      <c r="I992" s="12"/>
      <c r="M992" s="12"/>
      <c r="N992" s="18"/>
      <c r="O992" s="12"/>
      <c r="P992" s="12"/>
      <c r="Q992" s="12"/>
      <c r="R992" s="36"/>
      <c r="S992" s="36"/>
      <c r="T992" s="12"/>
      <c r="U992" s="12"/>
      <c r="V992" s="12"/>
      <c r="W992" s="12"/>
      <c r="X992" s="12"/>
    </row>
    <row r="993" customFormat="false" ht="15.75" hidden="false" customHeight="false" outlineLevel="0" collapsed="false">
      <c r="A993" s="12"/>
      <c r="B993" s="34"/>
      <c r="C993" s="12"/>
      <c r="D993" s="12"/>
      <c r="E993" s="12"/>
      <c r="F993" s="12"/>
      <c r="G993" s="18"/>
      <c r="H993" s="35"/>
      <c r="I993" s="12"/>
      <c r="M993" s="12"/>
      <c r="N993" s="18"/>
      <c r="O993" s="12"/>
      <c r="P993" s="12"/>
      <c r="Q993" s="12"/>
      <c r="R993" s="36"/>
      <c r="S993" s="36"/>
      <c r="T993" s="12"/>
      <c r="U993" s="12"/>
      <c r="V993" s="12"/>
      <c r="W993" s="12"/>
      <c r="X993" s="12"/>
    </row>
    <row r="994" customFormat="false" ht="15.75" hidden="false" customHeight="false" outlineLevel="0" collapsed="false">
      <c r="A994" s="12"/>
      <c r="B994" s="34"/>
      <c r="C994" s="12"/>
      <c r="D994" s="12"/>
      <c r="E994" s="12"/>
      <c r="F994" s="12"/>
      <c r="G994" s="18"/>
      <c r="H994" s="35"/>
      <c r="I994" s="12"/>
      <c r="M994" s="12"/>
      <c r="N994" s="18"/>
      <c r="O994" s="12"/>
      <c r="P994" s="12"/>
      <c r="Q994" s="12"/>
      <c r="R994" s="36"/>
      <c r="S994" s="36"/>
      <c r="T994" s="12"/>
      <c r="U994" s="12"/>
      <c r="V994" s="12"/>
      <c r="W994" s="12"/>
      <c r="X994" s="12"/>
    </row>
    <row r="995" customFormat="false" ht="15.75" hidden="false" customHeight="false" outlineLevel="0" collapsed="false">
      <c r="A995" s="12"/>
      <c r="B995" s="34"/>
      <c r="C995" s="12"/>
      <c r="D995" s="12"/>
      <c r="E995" s="12"/>
      <c r="F995" s="12"/>
      <c r="G995" s="18"/>
      <c r="H995" s="35"/>
      <c r="I995" s="12"/>
      <c r="M995" s="12"/>
      <c r="N995" s="18"/>
      <c r="O995" s="12"/>
      <c r="P995" s="12"/>
      <c r="Q995" s="12"/>
      <c r="R995" s="36"/>
      <c r="S995" s="36"/>
      <c r="T995" s="12"/>
      <c r="U995" s="12"/>
      <c r="V995" s="12"/>
      <c r="W995" s="12"/>
      <c r="X995" s="12"/>
    </row>
    <row r="996" customFormat="false" ht="15.75" hidden="false" customHeight="false" outlineLevel="0" collapsed="false">
      <c r="A996" s="12"/>
      <c r="B996" s="34"/>
      <c r="C996" s="12"/>
      <c r="D996" s="12"/>
      <c r="E996" s="12"/>
      <c r="F996" s="12"/>
      <c r="G996" s="18"/>
      <c r="H996" s="35"/>
      <c r="I996" s="12"/>
      <c r="M996" s="12"/>
      <c r="N996" s="18"/>
      <c r="O996" s="12"/>
      <c r="P996" s="12"/>
      <c r="Q996" s="12"/>
      <c r="R996" s="36"/>
      <c r="S996" s="36"/>
      <c r="T996" s="12"/>
      <c r="U996" s="12"/>
      <c r="V996" s="12"/>
      <c r="W996" s="12"/>
      <c r="X996" s="12"/>
    </row>
    <row r="997" customFormat="false" ht="15.75" hidden="false" customHeight="false" outlineLevel="0" collapsed="false">
      <c r="A997" s="12"/>
      <c r="B997" s="34"/>
      <c r="C997" s="12"/>
      <c r="D997" s="12"/>
      <c r="E997" s="12"/>
      <c r="F997" s="12"/>
      <c r="G997" s="18"/>
      <c r="H997" s="35"/>
      <c r="I997" s="12"/>
      <c r="M997" s="12"/>
      <c r="N997" s="18"/>
      <c r="O997" s="12"/>
      <c r="P997" s="12"/>
      <c r="Q997" s="12"/>
      <c r="R997" s="36"/>
      <c r="S997" s="36"/>
      <c r="T997" s="12"/>
      <c r="U997" s="12"/>
      <c r="V997" s="12"/>
      <c r="W997" s="12"/>
      <c r="X997" s="12"/>
    </row>
    <row r="998" customFormat="false" ht="15.75" hidden="false" customHeight="false" outlineLevel="0" collapsed="false">
      <c r="A998" s="12"/>
      <c r="B998" s="34"/>
      <c r="C998" s="12"/>
      <c r="D998" s="12"/>
      <c r="E998" s="12"/>
      <c r="F998" s="12"/>
      <c r="G998" s="18"/>
      <c r="H998" s="35"/>
      <c r="I998" s="12"/>
      <c r="M998" s="12"/>
      <c r="N998" s="18"/>
      <c r="O998" s="12"/>
      <c r="P998" s="12"/>
      <c r="Q998" s="12"/>
      <c r="R998" s="36"/>
      <c r="S998" s="36"/>
      <c r="T998" s="12"/>
      <c r="U998" s="12"/>
      <c r="V998" s="12"/>
      <c r="W998" s="12"/>
      <c r="X998" s="12"/>
    </row>
    <row r="999" customFormat="false" ht="15.75" hidden="false" customHeight="false" outlineLevel="0" collapsed="false">
      <c r="A999" s="12"/>
      <c r="B999" s="34"/>
      <c r="C999" s="12"/>
      <c r="D999" s="12"/>
      <c r="E999" s="12"/>
      <c r="F999" s="12"/>
      <c r="G999" s="18"/>
      <c r="H999" s="35"/>
      <c r="I999" s="12"/>
      <c r="M999" s="12"/>
      <c r="N999" s="18"/>
      <c r="O999" s="12"/>
      <c r="P999" s="12"/>
      <c r="Q999" s="12"/>
      <c r="R999" s="36"/>
      <c r="S999" s="36"/>
      <c r="T999" s="12"/>
      <c r="U999" s="12"/>
      <c r="V999" s="12"/>
      <c r="W999" s="12"/>
      <c r="X999" s="12"/>
    </row>
    <row r="1000" customFormat="false" ht="15.75" hidden="false" customHeight="false" outlineLevel="0" collapsed="false">
      <c r="A1000" s="12"/>
      <c r="B1000" s="34"/>
      <c r="C1000" s="12"/>
      <c r="D1000" s="12"/>
      <c r="E1000" s="12"/>
      <c r="F1000" s="12"/>
      <c r="G1000" s="18"/>
      <c r="H1000" s="35"/>
      <c r="I1000" s="12"/>
      <c r="M1000" s="12"/>
      <c r="N1000" s="18"/>
      <c r="O1000" s="12"/>
      <c r="P1000" s="12"/>
      <c r="Q1000" s="12"/>
      <c r="R1000" s="36"/>
      <c r="S1000" s="36"/>
      <c r="T1000" s="12"/>
      <c r="U1000" s="12"/>
      <c r="V1000" s="12"/>
      <c r="W1000" s="12"/>
      <c r="X1000" s="12"/>
    </row>
    <row r="1001" customFormat="false" ht="15.75" hidden="false" customHeight="false" outlineLevel="0" collapsed="false">
      <c r="A1001" s="12"/>
      <c r="B1001" s="34"/>
      <c r="C1001" s="12"/>
      <c r="D1001" s="12"/>
      <c r="E1001" s="12"/>
      <c r="F1001" s="12"/>
      <c r="G1001" s="18"/>
      <c r="H1001" s="35"/>
      <c r="I1001" s="12"/>
      <c r="M1001" s="12"/>
      <c r="N1001" s="18"/>
      <c r="O1001" s="12"/>
      <c r="P1001" s="12"/>
      <c r="Q1001" s="12"/>
      <c r="R1001" s="36"/>
      <c r="S1001" s="36"/>
      <c r="T1001" s="12"/>
      <c r="U1001" s="12"/>
      <c r="V1001" s="12"/>
      <c r="W1001" s="12"/>
      <c r="X1001" s="12"/>
    </row>
    <row r="1002" customFormat="false" ht="15.75" hidden="false" customHeight="false" outlineLevel="0" collapsed="false">
      <c r="A1002" s="12"/>
      <c r="B1002" s="34"/>
      <c r="C1002" s="12"/>
      <c r="D1002" s="12"/>
      <c r="E1002" s="12"/>
      <c r="F1002" s="12"/>
      <c r="G1002" s="18"/>
      <c r="H1002" s="35"/>
      <c r="I1002" s="12"/>
      <c r="M1002" s="12"/>
      <c r="N1002" s="18"/>
      <c r="O1002" s="12"/>
      <c r="P1002" s="12"/>
      <c r="Q1002" s="12"/>
      <c r="R1002" s="36"/>
      <c r="S1002" s="36"/>
      <c r="T1002" s="12"/>
      <c r="U1002" s="12"/>
      <c r="V1002" s="12"/>
      <c r="W1002" s="12"/>
      <c r="X1002" s="12"/>
    </row>
    <row r="1003" customFormat="false" ht="15.75" hidden="false" customHeight="false" outlineLevel="0" collapsed="false">
      <c r="A1003" s="12"/>
      <c r="B1003" s="34"/>
      <c r="C1003" s="12"/>
      <c r="D1003" s="12"/>
      <c r="E1003" s="12"/>
      <c r="F1003" s="12"/>
      <c r="G1003" s="18"/>
      <c r="H1003" s="35"/>
      <c r="I1003" s="12"/>
      <c r="M1003" s="12"/>
      <c r="N1003" s="18"/>
      <c r="O1003" s="12"/>
      <c r="P1003" s="12"/>
      <c r="Q1003" s="12"/>
      <c r="R1003" s="36"/>
      <c r="S1003" s="36"/>
      <c r="T1003" s="12"/>
      <c r="U1003" s="12"/>
      <c r="V1003" s="12"/>
      <c r="W1003" s="12"/>
      <c r="X1003" s="12"/>
    </row>
    <row r="1004" customFormat="false" ht="15.75" hidden="false" customHeight="false" outlineLevel="0" collapsed="false">
      <c r="A1004" s="12"/>
      <c r="B1004" s="34"/>
      <c r="C1004" s="12"/>
      <c r="D1004" s="12"/>
      <c r="E1004" s="12"/>
      <c r="F1004" s="12"/>
      <c r="G1004" s="18"/>
      <c r="H1004" s="35"/>
      <c r="I1004" s="12"/>
      <c r="M1004" s="12"/>
      <c r="N1004" s="18"/>
      <c r="O1004" s="12"/>
      <c r="P1004" s="12"/>
      <c r="Q1004" s="12"/>
      <c r="R1004" s="36"/>
      <c r="S1004" s="36"/>
      <c r="T1004" s="12"/>
      <c r="U1004" s="12"/>
      <c r="V1004" s="12"/>
      <c r="W1004" s="12"/>
      <c r="X1004" s="12"/>
    </row>
    <row r="1005" customFormat="false" ht="15.75" hidden="false" customHeight="false" outlineLevel="0" collapsed="false">
      <c r="A1005" s="12"/>
      <c r="B1005" s="34"/>
      <c r="C1005" s="12"/>
      <c r="D1005" s="12"/>
      <c r="E1005" s="12"/>
      <c r="F1005" s="12"/>
      <c r="G1005" s="18"/>
      <c r="H1005" s="35"/>
      <c r="I1005" s="12"/>
      <c r="M1005" s="12"/>
      <c r="N1005" s="18"/>
      <c r="O1005" s="12"/>
      <c r="P1005" s="12"/>
      <c r="Q1005" s="12"/>
      <c r="R1005" s="36"/>
      <c r="S1005" s="36"/>
      <c r="T1005" s="12"/>
      <c r="U1005" s="12"/>
      <c r="V1005" s="12"/>
      <c r="W1005" s="12"/>
      <c r="X1005" s="12"/>
    </row>
    <row r="1006" customFormat="false" ht="15.75" hidden="false" customHeight="false" outlineLevel="0" collapsed="false">
      <c r="A1006" s="12"/>
      <c r="B1006" s="34"/>
      <c r="C1006" s="12"/>
      <c r="D1006" s="12"/>
      <c r="E1006" s="12"/>
      <c r="F1006" s="12"/>
      <c r="G1006" s="18"/>
      <c r="H1006" s="35"/>
      <c r="I1006" s="12"/>
      <c r="M1006" s="12"/>
      <c r="N1006" s="18"/>
      <c r="O1006" s="12"/>
      <c r="P1006" s="12"/>
      <c r="Q1006" s="12"/>
      <c r="R1006" s="36"/>
      <c r="S1006" s="36"/>
      <c r="T1006" s="12"/>
      <c r="U1006" s="12"/>
      <c r="V1006" s="12"/>
      <c r="W1006" s="12"/>
      <c r="X1006" s="12"/>
    </row>
    <row r="1007" customFormat="false" ht="15.75" hidden="false" customHeight="false" outlineLevel="0" collapsed="false">
      <c r="A1007" s="12"/>
      <c r="B1007" s="34"/>
      <c r="C1007" s="12"/>
      <c r="D1007" s="12"/>
      <c r="E1007" s="12"/>
      <c r="F1007" s="12"/>
      <c r="G1007" s="18"/>
      <c r="H1007" s="35"/>
      <c r="I1007" s="12"/>
      <c r="M1007" s="12"/>
      <c r="N1007" s="18"/>
      <c r="O1007" s="12"/>
      <c r="P1007" s="12"/>
      <c r="Q1007" s="12"/>
      <c r="R1007" s="36"/>
      <c r="S1007" s="36"/>
      <c r="T1007" s="12"/>
      <c r="U1007" s="12"/>
      <c r="V1007" s="12"/>
      <c r="W1007" s="12"/>
      <c r="X1007" s="12"/>
    </row>
    <row r="1008" customFormat="false" ht="15.75" hidden="false" customHeight="false" outlineLevel="0" collapsed="false">
      <c r="A1008" s="12"/>
      <c r="B1008" s="34"/>
      <c r="C1008" s="12"/>
      <c r="D1008" s="12"/>
      <c r="E1008" s="12"/>
      <c r="F1008" s="12"/>
      <c r="G1008" s="18"/>
      <c r="H1008" s="35"/>
      <c r="I1008" s="12"/>
      <c r="M1008" s="12"/>
      <c r="N1008" s="18"/>
      <c r="O1008" s="12"/>
      <c r="P1008" s="12"/>
      <c r="Q1008" s="12"/>
      <c r="R1008" s="36"/>
      <c r="S1008" s="36"/>
      <c r="T1008" s="12"/>
      <c r="U1008" s="12"/>
      <c r="V1008" s="12"/>
      <c r="W1008" s="12"/>
      <c r="X1008" s="12"/>
    </row>
    <row r="1009" customFormat="false" ht="15.75" hidden="false" customHeight="false" outlineLevel="0" collapsed="false">
      <c r="A1009" s="12"/>
      <c r="B1009" s="34"/>
      <c r="C1009" s="12"/>
      <c r="D1009" s="12"/>
      <c r="E1009" s="12"/>
      <c r="F1009" s="12"/>
      <c r="G1009" s="18"/>
      <c r="H1009" s="35"/>
      <c r="I1009" s="12"/>
      <c r="M1009" s="12"/>
      <c r="N1009" s="18"/>
      <c r="O1009" s="12"/>
      <c r="P1009" s="12"/>
      <c r="Q1009" s="12"/>
      <c r="R1009" s="36"/>
      <c r="S1009" s="36"/>
      <c r="T1009" s="12"/>
      <c r="U1009" s="12"/>
      <c r="V1009" s="12"/>
      <c r="W1009" s="12"/>
      <c r="X1009" s="12"/>
    </row>
    <row r="1010" customFormat="false" ht="15.75" hidden="false" customHeight="false" outlineLevel="0" collapsed="false">
      <c r="A1010" s="12"/>
      <c r="B1010" s="34"/>
      <c r="C1010" s="12"/>
      <c r="D1010" s="12"/>
      <c r="E1010" s="12"/>
      <c r="F1010" s="12"/>
      <c r="G1010" s="18"/>
      <c r="H1010" s="35"/>
      <c r="I1010" s="12"/>
      <c r="M1010" s="12"/>
      <c r="N1010" s="18"/>
      <c r="O1010" s="12"/>
      <c r="P1010" s="12"/>
      <c r="Q1010" s="12"/>
      <c r="R1010" s="36"/>
      <c r="S1010" s="36"/>
      <c r="T1010" s="12"/>
      <c r="U1010" s="12"/>
      <c r="V1010" s="12"/>
      <c r="W1010" s="12"/>
      <c r="X1010" s="12"/>
    </row>
    <row r="1011" customFormat="false" ht="15.75" hidden="false" customHeight="false" outlineLevel="0" collapsed="false">
      <c r="A1011" s="12"/>
      <c r="B1011" s="34"/>
      <c r="C1011" s="12"/>
      <c r="D1011" s="12"/>
      <c r="E1011" s="12"/>
      <c r="F1011" s="12"/>
      <c r="G1011" s="18"/>
      <c r="H1011" s="35"/>
      <c r="I1011" s="12"/>
      <c r="M1011" s="12"/>
      <c r="N1011" s="18"/>
      <c r="O1011" s="12"/>
      <c r="P1011" s="12"/>
      <c r="Q1011" s="12"/>
      <c r="R1011" s="36"/>
      <c r="S1011" s="36"/>
      <c r="T1011" s="12"/>
      <c r="U1011" s="12"/>
      <c r="V1011" s="12"/>
      <c r="W1011" s="12"/>
      <c r="X1011" s="12"/>
    </row>
    <row r="1012" customFormat="false" ht="15.75" hidden="false" customHeight="false" outlineLevel="0" collapsed="false">
      <c r="A1012" s="12"/>
      <c r="B1012" s="34"/>
      <c r="C1012" s="12"/>
      <c r="D1012" s="12"/>
      <c r="E1012" s="12"/>
      <c r="F1012" s="12"/>
      <c r="G1012" s="18"/>
      <c r="H1012" s="35"/>
      <c r="I1012" s="12"/>
      <c r="M1012" s="12"/>
      <c r="N1012" s="18"/>
      <c r="O1012" s="12"/>
      <c r="P1012" s="12"/>
      <c r="Q1012" s="12"/>
      <c r="R1012" s="36"/>
      <c r="S1012" s="36"/>
      <c r="T1012" s="12"/>
      <c r="U1012" s="12"/>
      <c r="V1012" s="12"/>
      <c r="W1012" s="12"/>
      <c r="X1012" s="12"/>
    </row>
    <row r="1013" customFormat="false" ht="15.75" hidden="false" customHeight="false" outlineLevel="0" collapsed="false">
      <c r="A1013" s="12"/>
      <c r="B1013" s="34"/>
      <c r="C1013" s="12"/>
      <c r="D1013" s="12"/>
      <c r="E1013" s="12"/>
      <c r="F1013" s="12"/>
      <c r="G1013" s="18"/>
      <c r="H1013" s="35"/>
      <c r="I1013" s="12"/>
      <c r="M1013" s="12"/>
      <c r="N1013" s="18"/>
      <c r="O1013" s="12"/>
      <c r="P1013" s="12"/>
      <c r="Q1013" s="12"/>
      <c r="R1013" s="36"/>
      <c r="S1013" s="36"/>
      <c r="T1013" s="12"/>
      <c r="U1013" s="12"/>
      <c r="V1013" s="12"/>
      <c r="W1013" s="12"/>
      <c r="X1013" s="12"/>
    </row>
    <row r="1014" customFormat="false" ht="15.75" hidden="false" customHeight="false" outlineLevel="0" collapsed="false">
      <c r="A1014" s="12"/>
      <c r="B1014" s="34"/>
      <c r="C1014" s="12"/>
      <c r="D1014" s="12"/>
      <c r="E1014" s="12"/>
      <c r="F1014" s="12"/>
      <c r="G1014" s="18"/>
      <c r="H1014" s="35"/>
      <c r="I1014" s="12"/>
      <c r="M1014" s="12"/>
      <c r="N1014" s="18"/>
      <c r="O1014" s="12"/>
      <c r="P1014" s="12"/>
      <c r="Q1014" s="12"/>
      <c r="R1014" s="36"/>
      <c r="S1014" s="36"/>
      <c r="T1014" s="12"/>
      <c r="U1014" s="12"/>
      <c r="V1014" s="12"/>
      <c r="W1014" s="12"/>
      <c r="X1014" s="12"/>
    </row>
    <row r="1015" customFormat="false" ht="15.75" hidden="false" customHeight="false" outlineLevel="0" collapsed="false">
      <c r="A1015" s="12"/>
      <c r="B1015" s="34"/>
      <c r="C1015" s="12"/>
      <c r="D1015" s="12"/>
      <c r="E1015" s="12"/>
      <c r="F1015" s="12"/>
      <c r="G1015" s="18"/>
      <c r="H1015" s="35"/>
      <c r="I1015" s="12"/>
      <c r="M1015" s="12"/>
      <c r="N1015" s="18"/>
      <c r="O1015" s="12"/>
      <c r="P1015" s="12"/>
      <c r="Q1015" s="12"/>
      <c r="R1015" s="36"/>
      <c r="S1015" s="36"/>
      <c r="T1015" s="12"/>
      <c r="U1015" s="12"/>
      <c r="V1015" s="12"/>
      <c r="W1015" s="12"/>
      <c r="X1015" s="12"/>
    </row>
    <row r="1016" customFormat="false" ht="15.75" hidden="false" customHeight="false" outlineLevel="0" collapsed="false">
      <c r="A1016" s="12"/>
      <c r="B1016" s="34"/>
      <c r="C1016" s="12"/>
      <c r="D1016" s="12"/>
      <c r="E1016" s="12"/>
      <c r="F1016" s="12"/>
      <c r="G1016" s="18"/>
      <c r="H1016" s="35"/>
      <c r="I1016" s="12"/>
      <c r="M1016" s="12"/>
      <c r="N1016" s="18"/>
      <c r="O1016" s="12"/>
      <c r="P1016" s="12"/>
      <c r="Q1016" s="12"/>
      <c r="R1016" s="36"/>
      <c r="S1016" s="36"/>
      <c r="T1016" s="12"/>
      <c r="U1016" s="12"/>
      <c r="V1016" s="12"/>
      <c r="W1016" s="12"/>
      <c r="X1016" s="12"/>
    </row>
    <row r="1017" customFormat="false" ht="15.75" hidden="false" customHeight="false" outlineLevel="0" collapsed="false">
      <c r="A1017" s="12"/>
      <c r="B1017" s="34"/>
      <c r="C1017" s="12"/>
      <c r="D1017" s="12"/>
      <c r="E1017" s="12"/>
      <c r="F1017" s="12"/>
      <c r="G1017" s="18"/>
      <c r="H1017" s="35"/>
      <c r="I1017" s="12"/>
      <c r="M1017" s="12"/>
      <c r="N1017" s="18"/>
      <c r="O1017" s="12"/>
      <c r="P1017" s="12"/>
      <c r="Q1017" s="12"/>
      <c r="R1017" s="36"/>
      <c r="S1017" s="36"/>
      <c r="T1017" s="12"/>
      <c r="U1017" s="12"/>
      <c r="V1017" s="12"/>
      <c r="W1017" s="12"/>
      <c r="X1017" s="12"/>
    </row>
    <row r="1018" customFormat="false" ht="15.75" hidden="false" customHeight="false" outlineLevel="0" collapsed="false">
      <c r="A1018" s="12"/>
      <c r="B1018" s="34"/>
      <c r="C1018" s="12"/>
      <c r="D1018" s="12"/>
      <c r="E1018" s="12"/>
      <c r="F1018" s="12"/>
      <c r="G1018" s="18"/>
      <c r="H1018" s="35"/>
      <c r="I1018" s="12"/>
      <c r="M1018" s="12"/>
      <c r="N1018" s="18"/>
      <c r="O1018" s="12"/>
      <c r="P1018" s="12"/>
      <c r="Q1018" s="12"/>
      <c r="R1018" s="36"/>
      <c r="S1018" s="36"/>
      <c r="T1018" s="12"/>
      <c r="U1018" s="12"/>
      <c r="V1018" s="12"/>
      <c r="W1018" s="12"/>
      <c r="X1018" s="12"/>
    </row>
    <row r="1019" customFormat="false" ht="15.75" hidden="false" customHeight="false" outlineLevel="0" collapsed="false">
      <c r="A1019" s="12"/>
      <c r="B1019" s="34"/>
      <c r="C1019" s="12"/>
      <c r="D1019" s="12"/>
      <c r="E1019" s="12"/>
      <c r="F1019" s="12"/>
      <c r="G1019" s="18"/>
      <c r="H1019" s="35"/>
      <c r="I1019" s="12"/>
      <c r="M1019" s="12"/>
      <c r="N1019" s="18"/>
      <c r="O1019" s="12"/>
      <c r="P1019" s="12"/>
      <c r="Q1019" s="12"/>
      <c r="R1019" s="36"/>
      <c r="S1019" s="36"/>
      <c r="T1019" s="12"/>
      <c r="U1019" s="12"/>
      <c r="V1019" s="12"/>
      <c r="W1019" s="12"/>
      <c r="X1019" s="12"/>
    </row>
    <row r="1020" customFormat="false" ht="15.75" hidden="false" customHeight="false" outlineLevel="0" collapsed="false">
      <c r="A1020" s="12"/>
      <c r="B1020" s="34"/>
      <c r="C1020" s="12"/>
      <c r="D1020" s="12"/>
      <c r="E1020" s="12"/>
      <c r="F1020" s="12"/>
      <c r="G1020" s="18"/>
      <c r="H1020" s="35"/>
      <c r="I1020" s="12"/>
      <c r="M1020" s="12"/>
      <c r="N1020" s="18"/>
      <c r="O1020" s="12"/>
      <c r="P1020" s="12"/>
      <c r="Q1020" s="12"/>
      <c r="R1020" s="36"/>
      <c r="S1020" s="36"/>
      <c r="T1020" s="12"/>
      <c r="U1020" s="12"/>
      <c r="V1020" s="12"/>
      <c r="W1020" s="12"/>
      <c r="X1020" s="12"/>
    </row>
    <row r="1048575" customFormat="false" ht="12.8" hidden="false" customHeight="true" outlineLevel="0" collapsed="false"/>
    <row r="1048576" customFormat="false" ht="12.8" hidden="false" customHeight="true" outlineLevel="0" collapsed="false"/>
  </sheetData>
  <conditionalFormatting sqref="R2:S1020">
    <cfRule type="expression" priority="2" aboveAverage="0" equalAverage="0" bottom="0" percent="0" rank="0" text="" dxfId="0">
      <formula>LEN(TRIM(R2))&gt;0</formula>
    </cfRule>
  </conditionalFormatting>
  <conditionalFormatting sqref="Q2:Q1020">
    <cfRule type="expression" priority="3" aboveAverage="0" equalAverage="0" bottom="0" percent="0" rank="0" text="" dxfId="0">
      <formula>LEN(TRIM(Q2))&gt;0</formula>
    </cfRule>
  </conditionalFormatting>
  <conditionalFormatting sqref="G2:G1020 N2:N1020">
    <cfRule type="containsText" priority="4" operator="containsText" aboveAverage="0" equalAverage="0" bottom="0" percent="0" rank="0" text="x" dxfId="0">
      <formula>NOT(ISERROR(SEARCH("x",G2)))</formula>
    </cfRule>
  </conditionalFormatting>
  <conditionalFormatting sqref="T2:T1020">
    <cfRule type="expression" priority="5" aboveAverage="0" equalAverage="0" bottom="0" percent="0" rank="0" text="" dxfId="0">
      <formula>LEN(TRIM(T2))&gt;0</formula>
    </cfRule>
  </conditionalFormatting>
  <conditionalFormatting sqref="W2:W1020">
    <cfRule type="expression" priority="6" aboveAverage="0" equalAverage="0" bottom="0" percent="0" rank="0" text="" dxfId="0">
      <formula>LEN(TRIM(W2))&gt;0</formula>
    </cfRule>
  </conditionalFormatting>
  <conditionalFormatting sqref="X2:X1020">
    <cfRule type="cellIs" priority="7" operator="equal" aboveAverage="0" equalAverage="0" bottom="0" percent="0" rank="0" text="" dxfId="0">
      <formula>"Completo"</formula>
    </cfRule>
    <cfRule type="cellIs" priority="8" operator="equal" aboveAverage="0" equalAverage="0" bottom="0" percent="0" rank="0" text="" dxfId="1">
      <formula>"No aplica"</formula>
    </cfRule>
  </conditionalFormatting>
  <conditionalFormatting sqref="G2:I1020 O2:P1020 U2:V1020 X2:X1020 N59">
    <cfRule type="cellIs" priority="9" operator="equal" aboveAverage="0" equalAverage="0" bottom="0" percent="0" rank="0" text="" dxfId="0">
      <formula>"Completo"</formula>
    </cfRule>
    <cfRule type="cellIs" priority="10" operator="equal" aboveAverage="0" equalAverage="0" bottom="0" percent="0" rank="0" text="" dxfId="1">
      <formula>"No Aplica"</formula>
    </cfRule>
  </conditionalFormatting>
  <dataValidations count="5">
    <dataValidation allowBlank="true" errorStyle="stop" operator="between" showDropDown="false" showErrorMessage="true" showInputMessage="false" sqref="D2:D1020" type="list">
      <formula1>LEYENDA!$B$2:$D$2</formula1>
      <formula2>0</formula2>
    </dataValidation>
    <dataValidation allowBlank="true" errorStyle="stop" operator="between" showDropDown="false" showErrorMessage="false" showInputMessage="false" sqref="E2:E1020" type="list">
      <formula1>LEYENDA!$A$8:$A$12</formula1>
      <formula2>0</formula2>
    </dataValidation>
    <dataValidation allowBlank="true" errorStyle="stop" operator="between" showDropDown="false" showErrorMessage="false" showInputMessage="false" sqref="T2:T1020" type="list">
      <formula1>LEYENDA!$A$23:$A$24</formula1>
      <formula2>0</formula2>
    </dataValidation>
    <dataValidation allowBlank="true" errorStyle="stop" operator="between" showDropDown="false" showErrorMessage="false" showInputMessage="false" sqref="R2:R1020" type="list">
      <formula1>LEYENDA!$A$15:$A$19</formula1>
      <formula2>0</formula2>
    </dataValidation>
    <dataValidation allowBlank="true" errorStyle="stop" operator="between" showDropDown="false" showErrorMessage="true" showInputMessage="false" sqref="H2:I1020 O2:P1020 U2:V1020 X2:X1020" type="list">
      <formula1>LEYENDA!$B$1:$C$1</formula1>
      <formula2>0</formula2>
    </dataValidation>
  </dataValidations>
  <hyperlinks>
    <hyperlink ref="P3" r:id="rId1" display="Completo"/>
    <hyperlink ref="U13" r:id="rId2" display="Completo"/>
    <hyperlink ref="V13" r:id="rId3" display="Completo"/>
    <hyperlink ref="U14" r:id="rId4" display="Completo"/>
    <hyperlink ref="V14" r:id="rId5" display="Completo"/>
    <hyperlink ref="P20" r:id="rId6" display="Completo"/>
    <hyperlink ref="U20" r:id="rId7" display="Completo"/>
    <hyperlink ref="V20" r:id="rId8" display="Completo"/>
    <hyperlink ref="P21" r:id="rId9" display="Completo"/>
    <hyperlink ref="U22" r:id="rId10" display="Completo"/>
    <hyperlink ref="V22" r:id="rId11" display="Completo"/>
    <hyperlink ref="U24" r:id="rId12" display="Completo"/>
    <hyperlink ref="V24" r:id="rId13" display="Completo"/>
    <hyperlink ref="U25" r:id="rId14" display="Completo"/>
    <hyperlink ref="V25" r:id="rId15" display="Completo"/>
    <hyperlink ref="U26" r:id="rId16" display="Completo"/>
    <hyperlink ref="V26" r:id="rId17" display="Completo"/>
    <hyperlink ref="U27" r:id="rId18" display="Completo"/>
    <hyperlink ref="V27" r:id="rId19" display="Completo"/>
    <hyperlink ref="P28" r:id="rId20" display="Completo"/>
    <hyperlink ref="U28" r:id="rId21" display="Completo"/>
    <hyperlink ref="V28" r:id="rId22" display="Completo"/>
    <hyperlink ref="P29" r:id="rId23" display="Completo"/>
    <hyperlink ref="U29" r:id="rId24" display="Completo"/>
    <hyperlink ref="V29" r:id="rId25" display="Completo"/>
    <hyperlink ref="U34" r:id="rId26" display="Completo"/>
    <hyperlink ref="V34" r:id="rId27" display="Completo"/>
    <hyperlink ref="U35" r:id="rId28" display="Completo"/>
    <hyperlink ref="U36" r:id="rId29" display="Completo"/>
    <hyperlink ref="U37" r:id="rId30" display="Completo"/>
    <hyperlink ref="U38" r:id="rId31" display="Completo"/>
    <hyperlink ref="P40" r:id="rId32" display="Completo"/>
    <hyperlink ref="U40" r:id="rId33" display="Completo"/>
    <hyperlink ref="V40" r:id="rId34" display="Completo"/>
    <hyperlink ref="P41" r:id="rId35" display="Completo"/>
    <hyperlink ref="U41" r:id="rId36" display="Completo"/>
    <hyperlink ref="V41" r:id="rId37" display="Completo"/>
    <hyperlink ref="U42" r:id="rId38" display="Completo"/>
    <hyperlink ref="V42" r:id="rId39" display="Completo"/>
    <hyperlink ref="U43" r:id="rId40" display="Completo"/>
    <hyperlink ref="V43" r:id="rId41" display="Completo"/>
    <hyperlink ref="U44" r:id="rId42" display="Completo"/>
    <hyperlink ref="V44" r:id="rId43" display="Completo"/>
    <hyperlink ref="U49" r:id="rId44" display="Completo"/>
    <hyperlink ref="V49" r:id="rId45" display="Completo"/>
    <hyperlink ref="U50" r:id="rId46" display="Completo"/>
    <hyperlink ref="V50" r:id="rId47" display="Completo"/>
    <hyperlink ref="U51" r:id="rId48" display="Completo"/>
    <hyperlink ref="V51" r:id="rId49" display="Completo"/>
    <hyperlink ref="U52" r:id="rId50" display="Completo"/>
    <hyperlink ref="V52" r:id="rId51" display="Completo"/>
    <hyperlink ref="U53" r:id="rId52" display="Completo"/>
    <hyperlink ref="V53" r:id="rId53" display="Completo"/>
    <hyperlink ref="P62" r:id="rId54" display="Completo"/>
    <hyperlink ref="U62" r:id="rId55" display="Completo"/>
    <hyperlink ref="V62" r:id="rId56" display="Completo"/>
    <hyperlink ref="U63" r:id="rId57" display="Completo"/>
    <hyperlink ref="V63" r:id="rId58" display="Completo"/>
    <hyperlink ref="U64" r:id="rId59" display="Completo"/>
    <hyperlink ref="V64" r:id="rId60" display="Completo"/>
    <hyperlink ref="U65" r:id="rId61" display="Completo"/>
    <hyperlink ref="V65" r:id="rId62" display="Completo"/>
    <hyperlink ref="P66" r:id="rId63" display="Completo"/>
    <hyperlink ref="P67" r:id="rId64" display="Completo"/>
    <hyperlink ref="U70" r:id="rId65" display="Completo"/>
    <hyperlink ref="V70" r:id="rId66" display="Completo"/>
    <hyperlink ref="P82" r:id="rId67" display="Completo"/>
    <hyperlink ref="U82" r:id="rId68" display="Completo"/>
    <hyperlink ref="V82" r:id="rId69" display="Completo"/>
    <hyperlink ref="P83" r:id="rId70" display="Completo"/>
  </hyperlinks>
  <printOptions headings="false" gridLines="true" gridLinesSet="true" horizontalCentered="true" verticalCentered="false"/>
  <pageMargins left="0.7" right="0.7" top="0.75" bottom="0.75" header="0.511811023622047" footer="0.511811023622047"/>
  <pageSetup paperSize="9" scale="100" fitToWidth="1" fitToHeight="0" pageOrder="overThenDown" orientation="landscape" blackAndWhite="false" draft="false" cellComments="none" horizontalDpi="300" verticalDpi="300" copies="1"/>
  <headerFooter differentFirst="false" differentOddEven="false">
    <oddHeader/>
    <oddFooter/>
  </headerFooter>
  <drawing r:id="rId7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AF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6" ySplit="3" topLeftCell="G16" activePane="bottomRight" state="frozen"/>
      <selection pane="topLeft" activeCell="A1" activeCellId="0" sqref="A1"/>
      <selection pane="topRight" activeCell="G1" activeCellId="0" sqref="G1"/>
      <selection pane="bottomLeft" activeCell="A16" activeCellId="0" sqref="A16"/>
      <selection pane="bottomRight" activeCell="G1" activeCellId="0" sqref="G1"/>
    </sheetView>
  </sheetViews>
  <sheetFormatPr defaultColWidth="12.6328125" defaultRowHeight="15.75" zeroHeight="false" outlineLevelRow="0" outlineLevelCol="0"/>
  <cols>
    <col collapsed="false" customWidth="true" hidden="false" outlineLevel="0" max="1" min="1" style="1" width="10.25"/>
    <col collapsed="false" customWidth="true" hidden="false" outlineLevel="0" max="2" min="2" style="1" width="10.38"/>
    <col collapsed="false" customWidth="true" hidden="false" outlineLevel="0" max="3" min="3" style="1" width="16.89"/>
    <col collapsed="false" customWidth="true" hidden="false" outlineLevel="0" max="4" min="4" style="1" width="11.25"/>
    <col collapsed="false" customWidth="true" hidden="false" outlineLevel="0" max="5" min="5" style="1" width="17.13"/>
    <col collapsed="false" customWidth="true" hidden="false" outlineLevel="0" max="6" min="6" style="1" width="31.25"/>
    <col collapsed="false" customWidth="true" hidden="false" outlineLevel="0" max="7" min="7" style="1" width="15.88"/>
    <col collapsed="false" customWidth="true" hidden="false" outlineLevel="0" max="8" min="8" style="1" width="10.88"/>
    <col collapsed="false" customWidth="true" hidden="false" outlineLevel="0" max="9" min="9" style="1" width="13.38"/>
    <col collapsed="false" customWidth="true" hidden="false" outlineLevel="0" max="11" min="11" style="1" width="10"/>
    <col collapsed="false" customWidth="true" hidden="false" outlineLevel="0" max="12" min="12" style="1" width="12.25"/>
    <col collapsed="false" customWidth="true" hidden="false" outlineLevel="0" max="13" min="13" style="1" width="26.12"/>
    <col collapsed="false" customWidth="true" hidden="false" outlineLevel="0" max="14" min="14" style="1" width="18"/>
    <col collapsed="false" customWidth="true" hidden="false" outlineLevel="0" max="16" min="15" style="1" width="10.63"/>
    <col collapsed="false" customWidth="true" hidden="false" outlineLevel="0" max="17" min="17" style="1" width="8.5"/>
    <col collapsed="false" customWidth="true" hidden="false" outlineLevel="0" max="19" min="19" style="1" width="25.38"/>
    <col collapsed="false" customWidth="true" hidden="false" outlineLevel="0" max="20" min="20" style="1" width="17.88"/>
    <col collapsed="false" customWidth="true" hidden="false" outlineLevel="0" max="21" min="21" style="1" width="10.13"/>
    <col collapsed="false" customWidth="true" hidden="false" outlineLevel="0" max="22" min="22" style="1" width="11.12"/>
    <col collapsed="false" customWidth="true" hidden="false" outlineLevel="0" max="23" min="23" style="1" width="24.88"/>
  </cols>
  <sheetData>
    <row r="1" customFormat="false" ht="68" hidden="false" customHeight="false" outlineLevel="0" collapsed="false">
      <c r="A1" s="2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/>
      <c r="J1" s="4" t="s">
        <v>8</v>
      </c>
      <c r="K1" s="2"/>
      <c r="L1" s="2" t="s">
        <v>9</v>
      </c>
      <c r="M1" s="2" t="s">
        <v>10</v>
      </c>
      <c r="N1" s="4" t="s">
        <v>11</v>
      </c>
      <c r="O1" s="3" t="s">
        <v>12</v>
      </c>
      <c r="P1" s="7" t="s">
        <v>13</v>
      </c>
      <c r="Q1" s="7" t="s">
        <v>14</v>
      </c>
      <c r="R1" s="7" t="s">
        <v>15</v>
      </c>
      <c r="S1" s="7" t="s">
        <v>16</v>
      </c>
      <c r="T1" s="7" t="s">
        <v>17</v>
      </c>
      <c r="U1" s="8" t="s">
        <v>18</v>
      </c>
      <c r="V1" s="9" t="s">
        <v>19</v>
      </c>
      <c r="W1" s="9" t="s">
        <v>20</v>
      </c>
      <c r="X1" s="10" t="s">
        <v>15</v>
      </c>
      <c r="Y1" s="11" t="s">
        <v>21</v>
      </c>
      <c r="Z1" s="11" t="s">
        <v>22</v>
      </c>
      <c r="AA1" s="12"/>
      <c r="AB1" s="12"/>
      <c r="AC1" s="12"/>
      <c r="AD1" s="12"/>
      <c r="AE1" s="12"/>
      <c r="AF1" s="12"/>
    </row>
    <row r="2" customFormat="false" ht="15.75" hidden="false" customHeight="false" outlineLevel="0" collapsed="false">
      <c r="A2" s="61" t="n">
        <v>6246</v>
      </c>
      <c r="B2" s="29" t="n">
        <v>44593</v>
      </c>
      <c r="C2" s="21" t="s">
        <v>841</v>
      </c>
      <c r="D2" s="21" t="s">
        <v>24</v>
      </c>
      <c r="E2" s="21" t="s">
        <v>34</v>
      </c>
      <c r="F2" s="21" t="s">
        <v>3468</v>
      </c>
      <c r="G2" s="30"/>
      <c r="H2" s="31"/>
      <c r="I2" s="21"/>
      <c r="J2" s="21"/>
      <c r="K2" s="21"/>
      <c r="L2" s="21"/>
      <c r="M2" s="21"/>
      <c r="N2" s="30"/>
      <c r="O2" s="21"/>
      <c r="P2" s="21"/>
      <c r="Q2" s="21"/>
      <c r="R2" s="32"/>
      <c r="S2" s="32"/>
      <c r="T2" s="21"/>
      <c r="U2" s="21"/>
      <c r="V2" s="21"/>
      <c r="W2" s="21"/>
      <c r="X2" s="21" t="s">
        <v>28</v>
      </c>
    </row>
    <row r="3" customFormat="false" ht="15.75" hidden="false" customHeight="false" outlineLevel="0" collapsed="false">
      <c r="A3" s="61" t="n">
        <v>6247</v>
      </c>
      <c r="B3" s="29" t="n">
        <v>44594</v>
      </c>
      <c r="C3" s="21" t="s">
        <v>3469</v>
      </c>
      <c r="D3" s="21" t="s">
        <v>24</v>
      </c>
      <c r="E3" s="21" t="s">
        <v>25</v>
      </c>
      <c r="F3" s="21" t="s">
        <v>3470</v>
      </c>
      <c r="G3" s="30" t="s">
        <v>3471</v>
      </c>
      <c r="H3" s="45" t="str">
        <f aca="false">HYPERLINK("https://photos.app.goo.gl/3GkxpFqXpjQ6qzhdA", "Completo")</f>
        <v>Completo</v>
      </c>
      <c r="I3" s="21" t="s">
        <v>28</v>
      </c>
      <c r="J3" s="21"/>
      <c r="K3" s="21"/>
      <c r="L3" s="21"/>
      <c r="M3" s="21" t="s">
        <v>2133</v>
      </c>
      <c r="N3" s="69" t="s">
        <v>3472</v>
      </c>
      <c r="O3" s="21" t="s">
        <v>28</v>
      </c>
      <c r="P3" s="21" t="s">
        <v>28</v>
      </c>
      <c r="Q3" s="21" t="s">
        <v>3473</v>
      </c>
      <c r="R3" s="32" t="s">
        <v>74</v>
      </c>
      <c r="S3" s="32" t="s">
        <v>36</v>
      </c>
      <c r="T3" s="21" t="s">
        <v>74</v>
      </c>
      <c r="U3" s="74" t="s">
        <v>28</v>
      </c>
      <c r="V3" s="74" t="s">
        <v>28</v>
      </c>
      <c r="W3" s="21" t="s">
        <v>36</v>
      </c>
      <c r="X3" s="21" t="s">
        <v>28</v>
      </c>
    </row>
    <row r="4" customFormat="false" ht="15.75" hidden="false" customHeight="false" outlineLevel="0" collapsed="false">
      <c r="A4" s="61" t="n">
        <v>6248</v>
      </c>
      <c r="B4" s="29" t="n">
        <v>44594</v>
      </c>
      <c r="C4" s="21" t="s">
        <v>84</v>
      </c>
      <c r="D4" s="21" t="s">
        <v>24</v>
      </c>
      <c r="E4" s="21" t="s">
        <v>25</v>
      </c>
      <c r="F4" s="21" t="s">
        <v>3474</v>
      </c>
      <c r="G4" s="30" t="s">
        <v>3475</v>
      </c>
      <c r="H4" s="45" t="str">
        <f aca="false">HYPERLINK("https://photos.app.goo.gl/6xDqkgCCd3o2jj77A", "Completo")</f>
        <v>Completo</v>
      </c>
      <c r="I4" s="21" t="s">
        <v>28</v>
      </c>
      <c r="J4" s="21"/>
      <c r="K4" s="21"/>
      <c r="L4" s="21"/>
      <c r="M4" s="21" t="s">
        <v>2133</v>
      </c>
      <c r="N4" s="69" t="s">
        <v>3472</v>
      </c>
      <c r="O4" s="21" t="s">
        <v>28</v>
      </c>
      <c r="P4" s="21" t="s">
        <v>28</v>
      </c>
      <c r="Q4" s="21" t="s">
        <v>3473</v>
      </c>
      <c r="R4" s="32" t="s">
        <v>74</v>
      </c>
      <c r="S4" s="32" t="s">
        <v>36</v>
      </c>
      <c r="T4" s="21" t="s">
        <v>74</v>
      </c>
      <c r="U4" s="74" t="s">
        <v>28</v>
      </c>
      <c r="V4" s="74" t="s">
        <v>28</v>
      </c>
      <c r="W4" s="21" t="s">
        <v>36</v>
      </c>
      <c r="X4" s="21" t="s">
        <v>28</v>
      </c>
    </row>
    <row r="5" customFormat="false" ht="15.75" hidden="false" customHeight="false" outlineLevel="0" collapsed="false">
      <c r="A5" s="61" t="n">
        <v>6249</v>
      </c>
      <c r="B5" s="29" t="n">
        <v>44594</v>
      </c>
      <c r="C5" s="21" t="s">
        <v>3043</v>
      </c>
      <c r="D5" s="21" t="s">
        <v>24</v>
      </c>
      <c r="E5" s="21" t="s">
        <v>25</v>
      </c>
      <c r="F5" s="21" t="s">
        <v>3476</v>
      </c>
      <c r="G5" s="30" t="s">
        <v>3471</v>
      </c>
      <c r="H5" s="45" t="str">
        <f aca="false">HYPERLINK("https://photos.app.goo.gl/Yzwn5iaZazteotsD8", "Completo")</f>
        <v>Completo</v>
      </c>
      <c r="I5" s="21" t="s">
        <v>28</v>
      </c>
      <c r="J5" s="21"/>
      <c r="K5" s="21"/>
      <c r="L5" s="21"/>
      <c r="M5" s="21" t="s">
        <v>2133</v>
      </c>
      <c r="N5" s="69" t="s">
        <v>3472</v>
      </c>
      <c r="O5" s="21" t="s">
        <v>28</v>
      </c>
      <c r="P5" s="21" t="s">
        <v>28</v>
      </c>
      <c r="Q5" s="21" t="s">
        <v>3473</v>
      </c>
      <c r="R5" s="32" t="s">
        <v>74</v>
      </c>
      <c r="S5" s="32" t="s">
        <v>36</v>
      </c>
      <c r="T5" s="21" t="s">
        <v>74</v>
      </c>
      <c r="U5" s="74" t="s">
        <v>28</v>
      </c>
      <c r="V5" s="74" t="s">
        <v>28</v>
      </c>
      <c r="W5" s="21" t="s">
        <v>36</v>
      </c>
      <c r="X5" s="21" t="s">
        <v>28</v>
      </c>
    </row>
    <row r="6" customFormat="false" ht="15.75" hidden="false" customHeight="false" outlineLevel="0" collapsed="false">
      <c r="A6" s="61" t="n">
        <v>6250</v>
      </c>
      <c r="B6" s="29" t="n">
        <v>44595</v>
      </c>
      <c r="C6" s="21" t="s">
        <v>3477</v>
      </c>
      <c r="D6" s="21" t="s">
        <v>24</v>
      </c>
      <c r="E6" s="21" t="s">
        <v>25</v>
      </c>
      <c r="F6" s="21" t="s">
        <v>3478</v>
      </c>
      <c r="G6" s="30" t="s">
        <v>3479</v>
      </c>
      <c r="H6" s="45" t="str">
        <f aca="false">HYPERLINK("https://photos.app.goo.gl/NFzpS5qqxP8XtEXR6", "Completo")</f>
        <v>Completo</v>
      </c>
      <c r="I6" s="21" t="s">
        <v>28</v>
      </c>
      <c r="J6" s="21" t="n">
        <v>3571566283</v>
      </c>
      <c r="K6" s="21"/>
      <c r="L6" s="21"/>
      <c r="M6" s="21" t="s">
        <v>2133</v>
      </c>
      <c r="N6" s="30"/>
      <c r="O6" s="21"/>
      <c r="P6" s="21"/>
      <c r="Q6" s="21"/>
      <c r="R6" s="32"/>
      <c r="S6" s="32"/>
      <c r="T6" s="21"/>
      <c r="U6" s="21"/>
      <c r="V6" s="21"/>
      <c r="W6" s="21"/>
      <c r="X6" s="21" t="s">
        <v>37</v>
      </c>
    </row>
    <row r="7" customFormat="false" ht="15.75" hidden="false" customHeight="false" outlineLevel="0" collapsed="false">
      <c r="A7" s="61" t="n">
        <v>6251</v>
      </c>
      <c r="B7" s="29" t="n">
        <v>44595</v>
      </c>
      <c r="C7" s="21" t="s">
        <v>3477</v>
      </c>
      <c r="D7" s="21" t="s">
        <v>24</v>
      </c>
      <c r="E7" s="21" t="s">
        <v>25</v>
      </c>
      <c r="F7" s="21" t="s">
        <v>3478</v>
      </c>
      <c r="G7" s="30" t="s">
        <v>3479</v>
      </c>
      <c r="H7" s="45" t="str">
        <f aca="false">HYPERLINK("https://photos.app.goo.gl/dGQiDTwMrKs5dMWQA", "Completo")</f>
        <v>Completo</v>
      </c>
      <c r="I7" s="21" t="s">
        <v>28</v>
      </c>
      <c r="J7" s="21" t="n">
        <v>3571566283</v>
      </c>
      <c r="K7" s="21"/>
      <c r="L7" s="21"/>
      <c r="M7" s="21" t="s">
        <v>2133</v>
      </c>
      <c r="N7" s="30"/>
      <c r="O7" s="21"/>
      <c r="P7" s="21"/>
      <c r="Q7" s="21"/>
      <c r="R7" s="32"/>
      <c r="S7" s="32"/>
      <c r="T7" s="21"/>
      <c r="U7" s="21"/>
      <c r="V7" s="21"/>
      <c r="W7" s="21"/>
      <c r="X7" s="21" t="s">
        <v>37</v>
      </c>
    </row>
    <row r="8" customFormat="false" ht="15.75" hidden="false" customHeight="false" outlineLevel="0" collapsed="false">
      <c r="A8" s="61" t="n">
        <v>6252</v>
      </c>
      <c r="B8" s="29" t="n">
        <v>44595</v>
      </c>
      <c r="C8" s="21" t="s">
        <v>1290</v>
      </c>
      <c r="D8" s="21" t="s">
        <v>24</v>
      </c>
      <c r="E8" s="21" t="s">
        <v>25</v>
      </c>
      <c r="F8" s="21" t="s">
        <v>3480</v>
      </c>
      <c r="G8" s="30" t="s">
        <v>3481</v>
      </c>
      <c r="H8" s="45" t="str">
        <f aca="false">HYPERLINK("https://photos.app.goo.gl/3Vt7wDWE5JfCh77S7", "Completo")</f>
        <v>Completo</v>
      </c>
      <c r="I8" s="21" t="s">
        <v>28</v>
      </c>
      <c r="J8" s="21"/>
      <c r="K8" s="21"/>
      <c r="L8" s="21"/>
      <c r="M8" s="21"/>
      <c r="N8" s="30" t="s">
        <v>3482</v>
      </c>
      <c r="O8" s="21" t="s">
        <v>28</v>
      </c>
      <c r="P8" s="21" t="s">
        <v>28</v>
      </c>
      <c r="Q8" s="21" t="s">
        <v>2515</v>
      </c>
      <c r="R8" s="32" t="s">
        <v>74</v>
      </c>
      <c r="S8" s="32" t="s">
        <v>36</v>
      </c>
      <c r="T8" s="21" t="s">
        <v>74</v>
      </c>
      <c r="U8" s="74" t="s">
        <v>28</v>
      </c>
      <c r="V8" s="74" t="s">
        <v>28</v>
      </c>
      <c r="W8" s="21" t="s">
        <v>36</v>
      </c>
      <c r="X8" s="21" t="s">
        <v>28</v>
      </c>
    </row>
    <row r="9" customFormat="false" ht="15.75" hidden="false" customHeight="false" outlineLevel="0" collapsed="false">
      <c r="A9" s="61" t="n">
        <v>6253</v>
      </c>
      <c r="B9" s="29" t="n">
        <v>44595</v>
      </c>
      <c r="C9" s="21" t="s">
        <v>3483</v>
      </c>
      <c r="D9" s="21" t="s">
        <v>24</v>
      </c>
      <c r="E9" s="21" t="s">
        <v>25</v>
      </c>
      <c r="F9" s="21" t="s">
        <v>3484</v>
      </c>
      <c r="G9" s="30" t="s">
        <v>3485</v>
      </c>
      <c r="H9" s="45" t="str">
        <f aca="false">HYPERLINK("https://photos.app.goo.gl/Z1Hwbo2vrPwYWwc5A", "Completo")</f>
        <v>Completo</v>
      </c>
      <c r="I9" s="21" t="s">
        <v>28</v>
      </c>
      <c r="J9" s="21" t="n">
        <v>3537302904</v>
      </c>
      <c r="K9" s="21" t="s">
        <v>3486</v>
      </c>
      <c r="L9" s="21" t="s">
        <v>3487</v>
      </c>
      <c r="M9" s="21"/>
      <c r="N9" s="30"/>
      <c r="O9" s="21"/>
      <c r="P9" s="21"/>
      <c r="Q9" s="21"/>
      <c r="R9" s="32"/>
      <c r="S9" s="32"/>
      <c r="T9" s="21" t="s">
        <v>74</v>
      </c>
      <c r="U9" s="74" t="s">
        <v>28</v>
      </c>
      <c r="V9" s="74" t="s">
        <v>28</v>
      </c>
      <c r="W9" s="21" t="s">
        <v>36</v>
      </c>
      <c r="X9" s="21" t="s">
        <v>28</v>
      </c>
    </row>
    <row r="10" customFormat="false" ht="15.75" hidden="false" customHeight="false" outlineLevel="0" collapsed="false">
      <c r="A10" s="61" t="n">
        <v>6254</v>
      </c>
      <c r="B10" s="29" t="n">
        <v>44595</v>
      </c>
      <c r="C10" s="21" t="s">
        <v>3488</v>
      </c>
      <c r="D10" s="21" t="s">
        <v>24</v>
      </c>
      <c r="E10" s="21" t="s">
        <v>25</v>
      </c>
      <c r="F10" s="21" t="s">
        <v>3489</v>
      </c>
      <c r="G10" s="30" t="s">
        <v>3490</v>
      </c>
      <c r="H10" s="45" t="str">
        <f aca="false">HYPERLINK("https://photos.app.goo.gl/8auk1mmpgdPSoqX98", "Completo")</f>
        <v>Completo</v>
      </c>
      <c r="I10" s="21" t="s">
        <v>28</v>
      </c>
      <c r="J10" s="21" t="n">
        <v>3854041060</v>
      </c>
      <c r="K10" s="21" t="s">
        <v>3491</v>
      </c>
      <c r="L10" s="21"/>
      <c r="M10" s="21"/>
      <c r="N10" s="30"/>
      <c r="O10" s="21"/>
      <c r="P10" s="21"/>
      <c r="Q10" s="21"/>
      <c r="R10" s="32"/>
      <c r="S10" s="32"/>
      <c r="T10" s="21"/>
      <c r="U10" s="21"/>
      <c r="V10" s="21"/>
      <c r="W10" s="21"/>
      <c r="X10" s="21" t="s">
        <v>28</v>
      </c>
    </row>
    <row r="11" customFormat="false" ht="15.75" hidden="false" customHeight="false" outlineLevel="0" collapsed="false">
      <c r="A11" s="61" t="n">
        <v>6255</v>
      </c>
      <c r="B11" s="29" t="n">
        <v>44595</v>
      </c>
      <c r="C11" s="21" t="s">
        <v>3492</v>
      </c>
      <c r="D11" s="21" t="s">
        <v>24</v>
      </c>
      <c r="E11" s="21" t="s">
        <v>25</v>
      </c>
      <c r="F11" s="21" t="s">
        <v>3493</v>
      </c>
      <c r="G11" s="30" t="s">
        <v>3494</v>
      </c>
      <c r="H11" s="45" t="str">
        <f aca="false">HYPERLINK("https://photos.app.goo.gl/WyPD99fZ8S1MzF858", "Completo")</f>
        <v>Completo</v>
      </c>
      <c r="I11" s="21" t="s">
        <v>28</v>
      </c>
      <c r="J11" s="21"/>
      <c r="K11" s="21"/>
      <c r="L11" s="21"/>
      <c r="M11" s="21"/>
      <c r="N11" s="30"/>
      <c r="O11" s="21" t="s">
        <v>28</v>
      </c>
      <c r="P11" s="74" t="s">
        <v>28</v>
      </c>
      <c r="Q11" s="21" t="s">
        <v>2981</v>
      </c>
      <c r="R11" s="32" t="s">
        <v>2850</v>
      </c>
      <c r="S11" s="32" t="s">
        <v>36</v>
      </c>
      <c r="T11" s="21" t="s">
        <v>74</v>
      </c>
      <c r="U11" s="74" t="s">
        <v>28</v>
      </c>
      <c r="V11" s="74" t="s">
        <v>28</v>
      </c>
      <c r="W11" s="21" t="s">
        <v>36</v>
      </c>
      <c r="X11" s="21" t="s">
        <v>28</v>
      </c>
    </row>
    <row r="12" customFormat="false" ht="15.75" hidden="false" customHeight="false" outlineLevel="0" collapsed="false">
      <c r="A12" s="61" t="n">
        <v>6256</v>
      </c>
      <c r="B12" s="29" t="n">
        <v>44595</v>
      </c>
      <c r="C12" s="21" t="s">
        <v>3492</v>
      </c>
      <c r="D12" s="21" t="s">
        <v>24</v>
      </c>
      <c r="E12" s="21" t="s">
        <v>25</v>
      </c>
      <c r="F12" s="21" t="s">
        <v>3495</v>
      </c>
      <c r="G12" s="30" t="s">
        <v>3496</v>
      </c>
      <c r="H12" s="45" t="str">
        <f aca="false">HYPERLINK("https://photos.app.goo.gl/effXuo1w3fZL8uQS7", "Completo")</f>
        <v>Completo</v>
      </c>
      <c r="I12" s="21" t="s">
        <v>28</v>
      </c>
      <c r="J12" s="21"/>
      <c r="K12" s="21"/>
      <c r="L12" s="21"/>
      <c r="M12" s="21"/>
      <c r="N12" s="77" t="s">
        <v>3496</v>
      </c>
      <c r="O12" s="21" t="s">
        <v>28</v>
      </c>
      <c r="P12" s="74" t="s">
        <v>28</v>
      </c>
      <c r="Q12" s="21" t="s">
        <v>214</v>
      </c>
      <c r="R12" s="32" t="s">
        <v>2850</v>
      </c>
      <c r="S12" s="32" t="s">
        <v>36</v>
      </c>
      <c r="T12" s="21" t="s">
        <v>74</v>
      </c>
      <c r="U12" s="74" t="s">
        <v>28</v>
      </c>
      <c r="V12" s="74" t="s">
        <v>28</v>
      </c>
      <c r="W12" s="21" t="s">
        <v>36</v>
      </c>
      <c r="X12" s="21" t="s">
        <v>28</v>
      </c>
    </row>
    <row r="13" customFormat="false" ht="15.75" hidden="false" customHeight="false" outlineLevel="0" collapsed="false">
      <c r="A13" s="61" t="n">
        <v>6257</v>
      </c>
      <c r="B13" s="29" t="n">
        <v>44599</v>
      </c>
      <c r="C13" s="21" t="s">
        <v>2088</v>
      </c>
      <c r="D13" s="21" t="s">
        <v>24</v>
      </c>
      <c r="E13" s="21" t="s">
        <v>34</v>
      </c>
      <c r="F13" s="21" t="s">
        <v>3497</v>
      </c>
      <c r="G13" s="30"/>
      <c r="H13" s="31"/>
      <c r="I13" s="21"/>
      <c r="J13" s="21"/>
      <c r="K13" s="21"/>
      <c r="L13" s="21"/>
      <c r="M13" s="21"/>
      <c r="N13" s="30"/>
      <c r="O13" s="21"/>
      <c r="P13" s="21"/>
      <c r="Q13" s="21"/>
      <c r="R13" s="32"/>
      <c r="S13" s="32"/>
      <c r="T13" s="21"/>
      <c r="U13" s="21"/>
      <c r="V13" s="21"/>
      <c r="W13" s="21"/>
      <c r="X13" s="21" t="s">
        <v>28</v>
      </c>
    </row>
    <row r="14" customFormat="false" ht="15.75" hidden="false" customHeight="false" outlineLevel="0" collapsed="false">
      <c r="A14" s="61" t="n">
        <v>6258</v>
      </c>
      <c r="B14" s="29" t="n">
        <v>44599</v>
      </c>
      <c r="C14" s="21" t="s">
        <v>2088</v>
      </c>
      <c r="D14" s="21" t="s">
        <v>24</v>
      </c>
      <c r="E14" s="21" t="s">
        <v>34</v>
      </c>
      <c r="F14" s="21" t="s">
        <v>3498</v>
      </c>
      <c r="G14" s="30"/>
      <c r="H14" s="31"/>
      <c r="I14" s="21"/>
      <c r="J14" s="21"/>
      <c r="K14" s="21"/>
      <c r="L14" s="21"/>
      <c r="M14" s="21"/>
      <c r="N14" s="30"/>
      <c r="O14" s="21"/>
      <c r="P14" s="21"/>
      <c r="Q14" s="21"/>
      <c r="R14" s="32"/>
      <c r="S14" s="32"/>
      <c r="T14" s="21"/>
      <c r="U14" s="21"/>
      <c r="V14" s="21"/>
      <c r="W14" s="21"/>
      <c r="X14" s="21" t="s">
        <v>28</v>
      </c>
    </row>
    <row r="15" customFormat="false" ht="15.75" hidden="false" customHeight="false" outlineLevel="0" collapsed="false">
      <c r="A15" s="61" t="n">
        <v>6259</v>
      </c>
      <c r="B15" s="29" t="n">
        <v>44600</v>
      </c>
      <c r="C15" s="21" t="s">
        <v>675</v>
      </c>
      <c r="D15" s="21" t="s">
        <v>24</v>
      </c>
      <c r="E15" s="21" t="s">
        <v>25</v>
      </c>
      <c r="F15" s="21" t="s">
        <v>3499</v>
      </c>
      <c r="G15" s="30"/>
      <c r="H15" s="45" t="str">
        <f aca="false">HYPERLINK("https://photos.app.goo.gl/abDDL9Djo9LCuHREA", "Completo")</f>
        <v>Completo</v>
      </c>
      <c r="I15" s="21" t="s">
        <v>28</v>
      </c>
      <c r="J15" s="21"/>
      <c r="K15" s="21"/>
      <c r="L15" s="21"/>
      <c r="M15" s="21"/>
      <c r="N15" s="30"/>
      <c r="O15" s="21"/>
      <c r="P15" s="21"/>
      <c r="Q15" s="21"/>
      <c r="R15" s="32"/>
      <c r="S15" s="32"/>
      <c r="T15" s="21"/>
      <c r="U15" s="21"/>
      <c r="V15" s="21"/>
      <c r="W15" s="21"/>
      <c r="X15" s="21" t="s">
        <v>28</v>
      </c>
    </row>
    <row r="16" customFormat="false" ht="15.75" hidden="false" customHeight="false" outlineLevel="0" collapsed="false">
      <c r="A16" s="61" t="n">
        <v>6260</v>
      </c>
      <c r="B16" s="29" t="n">
        <v>44601</v>
      </c>
      <c r="C16" s="21" t="s">
        <v>2334</v>
      </c>
      <c r="D16" s="21" t="s">
        <v>24</v>
      </c>
      <c r="E16" s="21" t="s">
        <v>25</v>
      </c>
      <c r="F16" s="21" t="s">
        <v>3500</v>
      </c>
      <c r="G16" s="30" t="s">
        <v>3501</v>
      </c>
      <c r="H16" s="45" t="str">
        <f aca="false">HYPERLINK("https://photos.app.goo.gl/eCtmMN8o5hBb9T5F9", "Completo")</f>
        <v>Completo</v>
      </c>
      <c r="I16" s="21" t="s">
        <v>28</v>
      </c>
      <c r="J16" s="21"/>
      <c r="K16" s="21"/>
      <c r="L16" s="21"/>
      <c r="M16" s="21"/>
      <c r="N16" s="77" t="s">
        <v>3502</v>
      </c>
      <c r="O16" s="21" t="s">
        <v>28</v>
      </c>
      <c r="P16" s="74" t="s">
        <v>28</v>
      </c>
      <c r="Q16" s="21" t="s">
        <v>2981</v>
      </c>
      <c r="R16" s="32" t="s">
        <v>2850</v>
      </c>
      <c r="S16" s="32" t="s">
        <v>36</v>
      </c>
      <c r="T16" s="21"/>
      <c r="U16" s="21"/>
      <c r="V16" s="21"/>
      <c r="W16" s="21"/>
      <c r="X16" s="21" t="s">
        <v>28</v>
      </c>
    </row>
    <row r="17" customFormat="false" ht="15.75" hidden="false" customHeight="false" outlineLevel="0" collapsed="false">
      <c r="A17" s="61" t="n">
        <v>6261</v>
      </c>
      <c r="B17" s="29" t="n">
        <v>44602</v>
      </c>
      <c r="C17" s="21" t="s">
        <v>760</v>
      </c>
      <c r="D17" s="21" t="s">
        <v>24</v>
      </c>
      <c r="E17" s="21" t="s">
        <v>25</v>
      </c>
      <c r="F17" s="21" t="s">
        <v>3503</v>
      </c>
      <c r="G17" s="30" t="s">
        <v>514</v>
      </c>
      <c r="H17" s="45" t="str">
        <f aca="false">HYPERLINK("https://photos.app.goo.gl/H7rsWmZSSWFa2MEX7", "Completo")</f>
        <v>Completo</v>
      </c>
      <c r="I17" s="21" t="s">
        <v>28</v>
      </c>
      <c r="J17" s="21"/>
      <c r="K17" s="21"/>
      <c r="L17" s="21"/>
      <c r="M17" s="21"/>
      <c r="N17" s="30"/>
      <c r="O17" s="21" t="s">
        <v>28</v>
      </c>
      <c r="P17" s="74" t="s">
        <v>28</v>
      </c>
      <c r="Q17" s="21" t="s">
        <v>2981</v>
      </c>
      <c r="R17" s="32" t="s">
        <v>2850</v>
      </c>
      <c r="S17" s="32" t="s">
        <v>36</v>
      </c>
      <c r="T17" s="21" t="s">
        <v>74</v>
      </c>
      <c r="U17" s="74" t="s">
        <v>28</v>
      </c>
      <c r="V17" s="74" t="s">
        <v>28</v>
      </c>
      <c r="W17" s="21" t="s">
        <v>36</v>
      </c>
      <c r="X17" s="21" t="s">
        <v>28</v>
      </c>
    </row>
    <row r="18" customFormat="false" ht="15.75" hidden="false" customHeight="false" outlineLevel="0" collapsed="false">
      <c r="A18" s="61" t="n">
        <v>6262</v>
      </c>
      <c r="B18" s="29" t="n">
        <v>44602</v>
      </c>
      <c r="C18" s="21" t="s">
        <v>760</v>
      </c>
      <c r="D18" s="21" t="s">
        <v>24</v>
      </c>
      <c r="E18" s="21" t="s">
        <v>25</v>
      </c>
      <c r="F18" s="21" t="s">
        <v>3503</v>
      </c>
      <c r="G18" s="30" t="s">
        <v>514</v>
      </c>
      <c r="H18" s="45" t="str">
        <f aca="false">HYPERLINK("https://photos.app.goo.gl/CMPfrkfjTkk6V5LZ7", "Completo")</f>
        <v>Completo</v>
      </c>
      <c r="I18" s="21" t="s">
        <v>28</v>
      </c>
      <c r="J18" s="21"/>
      <c r="K18" s="21"/>
      <c r="L18" s="21"/>
      <c r="M18" s="21"/>
      <c r="N18" s="30"/>
      <c r="O18" s="21" t="s">
        <v>28</v>
      </c>
      <c r="P18" s="74" t="s">
        <v>28</v>
      </c>
      <c r="Q18" s="21" t="s">
        <v>2981</v>
      </c>
      <c r="R18" s="32" t="s">
        <v>2850</v>
      </c>
      <c r="S18" s="32" t="s">
        <v>36</v>
      </c>
      <c r="T18" s="21" t="s">
        <v>74</v>
      </c>
      <c r="U18" s="74" t="s">
        <v>28</v>
      </c>
      <c r="V18" s="74" t="s">
        <v>28</v>
      </c>
      <c r="W18" s="21" t="s">
        <v>36</v>
      </c>
      <c r="X18" s="21" t="s">
        <v>28</v>
      </c>
    </row>
    <row r="19" customFormat="false" ht="15.75" hidden="false" customHeight="false" outlineLevel="0" collapsed="false">
      <c r="A19" s="63" t="n">
        <v>943424</v>
      </c>
      <c r="B19" s="29" t="n">
        <v>44606</v>
      </c>
      <c r="C19" s="21" t="s">
        <v>3504</v>
      </c>
      <c r="D19" s="21" t="s">
        <v>290</v>
      </c>
      <c r="E19" s="21" t="s">
        <v>74</v>
      </c>
      <c r="F19" s="21" t="s">
        <v>3505</v>
      </c>
      <c r="G19" s="69" t="s">
        <v>3506</v>
      </c>
      <c r="H19" s="45" t="str">
        <f aca="false">HYPERLINK("https://photos.app.goo.gl/cLFtJ6uNW8A6r5uE7", "Completo")</f>
        <v>Completo</v>
      </c>
      <c r="I19" s="21" t="s">
        <v>28</v>
      </c>
      <c r="J19" s="21" t="n">
        <v>3884314892</v>
      </c>
      <c r="K19" s="21" t="s">
        <v>3507</v>
      </c>
      <c r="L19" s="21" t="s">
        <v>3508</v>
      </c>
      <c r="M19" s="21" t="s">
        <v>2133</v>
      </c>
      <c r="N19" s="30"/>
      <c r="O19" s="21"/>
      <c r="P19" s="21"/>
      <c r="Q19" s="21"/>
      <c r="R19" s="32"/>
      <c r="S19" s="32"/>
      <c r="T19" s="21"/>
      <c r="U19" s="21"/>
      <c r="V19" s="21"/>
      <c r="W19" s="21"/>
      <c r="X19" s="21" t="s">
        <v>28</v>
      </c>
    </row>
    <row r="20" customFormat="false" ht="15.75" hidden="false" customHeight="false" outlineLevel="0" collapsed="false">
      <c r="A20" s="61" t="n">
        <v>6263</v>
      </c>
      <c r="B20" s="29" t="n">
        <v>44606</v>
      </c>
      <c r="C20" s="21" t="s">
        <v>389</v>
      </c>
      <c r="D20" s="21" t="s">
        <v>24</v>
      </c>
      <c r="E20" s="21" t="s">
        <v>34</v>
      </c>
      <c r="F20" s="21" t="s">
        <v>3509</v>
      </c>
      <c r="G20" s="30"/>
      <c r="H20" s="31"/>
      <c r="I20" s="21"/>
      <c r="J20" s="21"/>
      <c r="K20" s="21"/>
      <c r="L20" s="21"/>
      <c r="M20" s="21"/>
      <c r="N20" s="30"/>
      <c r="O20" s="21"/>
      <c r="P20" s="21"/>
      <c r="Q20" s="21"/>
      <c r="R20" s="32"/>
      <c r="S20" s="32"/>
      <c r="T20" s="21"/>
      <c r="U20" s="21"/>
      <c r="V20" s="21"/>
      <c r="W20" s="21"/>
      <c r="X20" s="21" t="s">
        <v>28</v>
      </c>
    </row>
    <row r="21" customFormat="false" ht="15.75" hidden="false" customHeight="false" outlineLevel="0" collapsed="false">
      <c r="A21" s="61" t="n">
        <v>6264</v>
      </c>
      <c r="B21" s="29" t="n">
        <v>44606</v>
      </c>
      <c r="C21" s="21" t="s">
        <v>389</v>
      </c>
      <c r="D21" s="21" t="s">
        <v>24</v>
      </c>
      <c r="E21" s="21" t="s">
        <v>34</v>
      </c>
      <c r="F21" s="21" t="s">
        <v>3510</v>
      </c>
      <c r="G21" s="30"/>
      <c r="H21" s="31"/>
      <c r="I21" s="21"/>
      <c r="J21" s="21"/>
      <c r="K21" s="21"/>
      <c r="L21" s="21"/>
      <c r="M21" s="21"/>
      <c r="N21" s="30"/>
      <c r="O21" s="21"/>
      <c r="P21" s="21"/>
      <c r="Q21" s="21"/>
      <c r="R21" s="32"/>
      <c r="S21" s="32"/>
      <c r="T21" s="21"/>
      <c r="U21" s="21"/>
      <c r="V21" s="21"/>
      <c r="W21" s="21"/>
      <c r="X21" s="21" t="s">
        <v>28</v>
      </c>
    </row>
    <row r="22" customFormat="false" ht="15.75" hidden="false" customHeight="false" outlineLevel="0" collapsed="false">
      <c r="A22" s="61" t="n">
        <v>6265</v>
      </c>
      <c r="B22" s="29" t="n">
        <v>44606</v>
      </c>
      <c r="C22" s="21" t="s">
        <v>84</v>
      </c>
      <c r="D22" s="21" t="s">
        <v>24</v>
      </c>
      <c r="E22" s="21" t="s">
        <v>34</v>
      </c>
      <c r="F22" s="21" t="s">
        <v>3511</v>
      </c>
      <c r="G22" s="30"/>
      <c r="H22" s="31"/>
      <c r="I22" s="21"/>
      <c r="J22" s="21"/>
      <c r="K22" s="21"/>
      <c r="L22" s="21"/>
      <c r="M22" s="21"/>
      <c r="N22" s="30"/>
      <c r="O22" s="21"/>
      <c r="P22" s="21"/>
      <c r="Q22" s="21"/>
      <c r="R22" s="32"/>
      <c r="S22" s="32"/>
      <c r="T22" s="21"/>
      <c r="U22" s="21"/>
      <c r="V22" s="21"/>
      <c r="W22" s="21"/>
      <c r="X22" s="21" t="s">
        <v>28</v>
      </c>
    </row>
    <row r="23" customFormat="false" ht="15.75" hidden="false" customHeight="false" outlineLevel="0" collapsed="false">
      <c r="A23" s="61" t="n">
        <v>6266</v>
      </c>
      <c r="B23" s="29" t="n">
        <v>44608</v>
      </c>
      <c r="C23" s="21" t="s">
        <v>705</v>
      </c>
      <c r="D23" s="21" t="s">
        <v>24</v>
      </c>
      <c r="E23" s="21" t="s">
        <v>34</v>
      </c>
      <c r="F23" s="21" t="s">
        <v>3512</v>
      </c>
      <c r="G23" s="30"/>
      <c r="H23" s="31" t="s">
        <v>37</v>
      </c>
      <c r="I23" s="21" t="s">
        <v>37</v>
      </c>
      <c r="J23" s="21"/>
      <c r="K23" s="21"/>
      <c r="L23" s="21"/>
      <c r="M23" s="21"/>
      <c r="N23" s="30"/>
      <c r="O23" s="21"/>
      <c r="P23" s="21"/>
      <c r="Q23" s="21"/>
      <c r="R23" s="32"/>
      <c r="S23" s="32"/>
      <c r="T23" s="21"/>
      <c r="U23" s="21"/>
      <c r="V23" s="21"/>
      <c r="W23" s="21"/>
      <c r="X23" s="21" t="s">
        <v>28</v>
      </c>
    </row>
    <row r="24" customFormat="false" ht="15.75" hidden="false" customHeight="false" outlineLevel="0" collapsed="false">
      <c r="A24" s="61" t="n">
        <v>6267</v>
      </c>
      <c r="B24" s="29" t="n">
        <v>44608</v>
      </c>
      <c r="C24" s="21" t="s">
        <v>705</v>
      </c>
      <c r="D24" s="21" t="s">
        <v>24</v>
      </c>
      <c r="E24" s="21" t="s">
        <v>34</v>
      </c>
      <c r="F24" s="21" t="s">
        <v>3513</v>
      </c>
      <c r="G24" s="30"/>
      <c r="H24" s="31"/>
      <c r="I24" s="21"/>
      <c r="J24" s="21"/>
      <c r="K24" s="21"/>
      <c r="L24" s="21"/>
      <c r="M24" s="21"/>
      <c r="N24" s="30"/>
      <c r="O24" s="21"/>
      <c r="P24" s="21"/>
      <c r="Q24" s="21"/>
      <c r="R24" s="32"/>
      <c r="S24" s="32"/>
      <c r="T24" s="21"/>
      <c r="U24" s="21"/>
      <c r="V24" s="21"/>
      <c r="W24" s="21"/>
      <c r="X24" s="21" t="s">
        <v>28</v>
      </c>
    </row>
    <row r="25" customFormat="false" ht="15.75" hidden="false" customHeight="false" outlineLevel="0" collapsed="false">
      <c r="A25" s="61" t="n">
        <v>6268</v>
      </c>
      <c r="B25" s="29" t="n">
        <v>44608</v>
      </c>
      <c r="C25" s="21" t="s">
        <v>3514</v>
      </c>
      <c r="D25" s="21" t="s">
        <v>24</v>
      </c>
      <c r="E25" s="21" t="s">
        <v>34</v>
      </c>
      <c r="F25" s="21" t="s">
        <v>3515</v>
      </c>
      <c r="G25" s="30"/>
      <c r="H25" s="31"/>
      <c r="I25" s="21"/>
      <c r="J25" s="21"/>
      <c r="K25" s="21"/>
      <c r="L25" s="21"/>
      <c r="M25" s="21"/>
      <c r="N25" s="30"/>
      <c r="O25" s="21"/>
      <c r="P25" s="21"/>
      <c r="Q25" s="21"/>
      <c r="R25" s="32"/>
      <c r="S25" s="32"/>
      <c r="T25" s="21"/>
      <c r="U25" s="21"/>
      <c r="V25" s="21"/>
      <c r="W25" s="21"/>
      <c r="X25" s="21" t="s">
        <v>28</v>
      </c>
    </row>
    <row r="26" customFormat="false" ht="15.75" hidden="false" customHeight="false" outlineLevel="0" collapsed="false">
      <c r="A26" s="63" t="n">
        <v>514629</v>
      </c>
      <c r="B26" s="29" t="n">
        <v>44243</v>
      </c>
      <c r="C26" s="21" t="s">
        <v>3516</v>
      </c>
      <c r="D26" s="21" t="s">
        <v>290</v>
      </c>
      <c r="E26" s="21" t="s">
        <v>74</v>
      </c>
      <c r="F26" s="21" t="s">
        <v>1554</v>
      </c>
      <c r="G26" s="30" t="s">
        <v>3517</v>
      </c>
      <c r="H26" s="45" t="str">
        <f aca="false">HYPERLINK("https://photos.app.goo.gl/HWLgJVvkJLNW4NS78", "Completo")</f>
        <v>Completo</v>
      </c>
      <c r="I26" s="21" t="s">
        <v>28</v>
      </c>
      <c r="J26" s="21"/>
      <c r="K26" s="21"/>
      <c r="L26" s="21"/>
      <c r="M26" s="21"/>
      <c r="N26" s="30"/>
      <c r="O26" s="21" t="s">
        <v>28</v>
      </c>
      <c r="P26" s="74" t="s">
        <v>28</v>
      </c>
      <c r="Q26" s="21" t="s">
        <v>2515</v>
      </c>
      <c r="R26" s="32" t="s">
        <v>2850</v>
      </c>
      <c r="S26" s="32" t="s">
        <v>36</v>
      </c>
      <c r="T26" s="21"/>
      <c r="U26" s="21"/>
      <c r="V26" s="21"/>
      <c r="W26" s="21"/>
      <c r="X26" s="21" t="s">
        <v>28</v>
      </c>
    </row>
    <row r="27" customFormat="false" ht="15.75" hidden="false" customHeight="false" outlineLevel="0" collapsed="false">
      <c r="A27" s="61" t="n">
        <v>6269</v>
      </c>
      <c r="B27" s="29" t="n">
        <v>44243</v>
      </c>
      <c r="C27" s="21" t="s">
        <v>2088</v>
      </c>
      <c r="D27" s="21" t="s">
        <v>24</v>
      </c>
      <c r="E27" s="21" t="s">
        <v>34</v>
      </c>
      <c r="F27" s="21" t="s">
        <v>3518</v>
      </c>
      <c r="G27" s="30"/>
      <c r="H27" s="31"/>
      <c r="I27" s="21"/>
      <c r="J27" s="21"/>
      <c r="K27" s="21"/>
      <c r="L27" s="21"/>
      <c r="M27" s="21"/>
      <c r="N27" s="30"/>
      <c r="O27" s="21"/>
      <c r="P27" s="21"/>
      <c r="Q27" s="21"/>
      <c r="R27" s="32"/>
      <c r="S27" s="32"/>
      <c r="T27" s="21"/>
      <c r="U27" s="21"/>
      <c r="V27" s="21"/>
      <c r="W27" s="21"/>
      <c r="X27" s="21" t="s">
        <v>28</v>
      </c>
    </row>
    <row r="28" customFormat="false" ht="15.75" hidden="false" customHeight="false" outlineLevel="0" collapsed="false">
      <c r="A28" s="61" t="n">
        <v>6270</v>
      </c>
      <c r="B28" s="29" t="n">
        <v>44609</v>
      </c>
      <c r="C28" s="21" t="s">
        <v>3519</v>
      </c>
      <c r="D28" s="21"/>
      <c r="E28" s="21"/>
      <c r="F28" s="21"/>
      <c r="G28" s="30"/>
      <c r="H28" s="31"/>
      <c r="I28" s="21"/>
      <c r="J28" s="21"/>
      <c r="K28" s="21"/>
      <c r="L28" s="21"/>
      <c r="M28" s="21"/>
      <c r="N28" s="30"/>
      <c r="O28" s="21"/>
      <c r="P28" s="21"/>
      <c r="Q28" s="21"/>
      <c r="R28" s="32"/>
      <c r="S28" s="32"/>
      <c r="T28" s="21"/>
      <c r="U28" s="21"/>
      <c r="V28" s="21"/>
      <c r="W28" s="21"/>
      <c r="X28" s="21" t="s">
        <v>28</v>
      </c>
    </row>
    <row r="29" customFormat="false" ht="15.75" hidden="false" customHeight="false" outlineLevel="0" collapsed="false">
      <c r="A29" s="61" t="n">
        <v>6271</v>
      </c>
      <c r="B29" s="29" t="n">
        <v>44612</v>
      </c>
      <c r="C29" s="21" t="s">
        <v>3520</v>
      </c>
      <c r="D29" s="21" t="s">
        <v>24</v>
      </c>
      <c r="E29" s="21" t="s">
        <v>34</v>
      </c>
      <c r="F29" s="21" t="s">
        <v>3521</v>
      </c>
      <c r="G29" s="30"/>
      <c r="H29" s="31"/>
      <c r="I29" s="21"/>
      <c r="J29" s="21"/>
      <c r="K29" s="21"/>
      <c r="L29" s="21"/>
      <c r="M29" s="21"/>
      <c r="N29" s="30"/>
      <c r="O29" s="21"/>
      <c r="P29" s="21"/>
      <c r="Q29" s="21"/>
      <c r="R29" s="32"/>
      <c r="S29" s="32"/>
      <c r="T29" s="21"/>
      <c r="U29" s="21"/>
      <c r="V29" s="21"/>
      <c r="W29" s="21"/>
      <c r="X29" s="21" t="s">
        <v>28</v>
      </c>
    </row>
    <row r="30" customFormat="false" ht="15.75" hidden="false" customHeight="false" outlineLevel="0" collapsed="false">
      <c r="A30" s="61" t="n">
        <v>6272</v>
      </c>
      <c r="B30" s="29" t="n">
        <v>44613</v>
      </c>
      <c r="C30" s="21" t="s">
        <v>3522</v>
      </c>
      <c r="D30" s="21" t="s">
        <v>24</v>
      </c>
      <c r="E30" s="21" t="s">
        <v>34</v>
      </c>
      <c r="F30" s="21" t="s">
        <v>3523</v>
      </c>
      <c r="G30" s="30"/>
      <c r="H30" s="31"/>
      <c r="I30" s="21"/>
      <c r="J30" s="21"/>
      <c r="K30" s="21"/>
      <c r="L30" s="21"/>
      <c r="M30" s="21"/>
      <c r="N30" s="30"/>
      <c r="O30" s="21"/>
      <c r="P30" s="21"/>
      <c r="Q30" s="21"/>
      <c r="R30" s="32"/>
      <c r="S30" s="32"/>
      <c r="T30" s="21"/>
      <c r="U30" s="21"/>
      <c r="V30" s="21"/>
      <c r="W30" s="21"/>
      <c r="X30" s="21" t="s">
        <v>37</v>
      </c>
    </row>
    <row r="31" customFormat="false" ht="15.75" hidden="false" customHeight="false" outlineLevel="0" collapsed="false">
      <c r="A31" s="61" t="n">
        <v>6273</v>
      </c>
      <c r="B31" s="29" t="n">
        <v>44613</v>
      </c>
      <c r="C31" s="21" t="s">
        <v>3524</v>
      </c>
      <c r="D31" s="21" t="s">
        <v>24</v>
      </c>
      <c r="E31" s="21" t="s">
        <v>74</v>
      </c>
      <c r="F31" s="21" t="s">
        <v>3525</v>
      </c>
      <c r="G31" s="30" t="s">
        <v>3526</v>
      </c>
      <c r="H31" s="45" t="str">
        <f aca="false">HYPERLINK("https://photos.app.goo.gl/sZoXzbrjNbtecsaU7", "Completo")</f>
        <v>Completo</v>
      </c>
      <c r="I31" s="21" t="s">
        <v>28</v>
      </c>
      <c r="J31" s="21"/>
      <c r="K31" s="21"/>
      <c r="L31" s="21"/>
      <c r="M31" s="21" t="s">
        <v>2133</v>
      </c>
      <c r="N31" s="30"/>
      <c r="O31" s="21"/>
      <c r="P31" s="21"/>
      <c r="Q31" s="21"/>
      <c r="R31" s="32"/>
      <c r="S31" s="32"/>
      <c r="T31" s="21"/>
      <c r="U31" s="21"/>
      <c r="V31" s="21"/>
      <c r="W31" s="21"/>
      <c r="X31" s="21" t="s">
        <v>28</v>
      </c>
    </row>
    <row r="32" customFormat="false" ht="15.75" hidden="false" customHeight="false" outlineLevel="0" collapsed="false">
      <c r="A32" s="61" t="n">
        <v>6274</v>
      </c>
      <c r="B32" s="29" t="n">
        <v>44612</v>
      </c>
      <c r="C32" s="21" t="s">
        <v>3520</v>
      </c>
      <c r="D32" s="21" t="s">
        <v>24</v>
      </c>
      <c r="E32" s="21" t="s">
        <v>34</v>
      </c>
      <c r="F32" s="21" t="s">
        <v>3521</v>
      </c>
      <c r="G32" s="30"/>
      <c r="H32" s="31"/>
      <c r="I32" s="21"/>
      <c r="J32" s="21"/>
      <c r="K32" s="21"/>
      <c r="L32" s="21"/>
      <c r="M32" s="21"/>
      <c r="N32" s="30"/>
      <c r="O32" s="21"/>
      <c r="P32" s="21"/>
      <c r="Q32" s="21"/>
      <c r="R32" s="32"/>
      <c r="S32" s="32"/>
      <c r="T32" s="21"/>
      <c r="U32" s="21"/>
      <c r="V32" s="21"/>
      <c r="W32" s="21"/>
      <c r="X32" s="21" t="s">
        <v>28</v>
      </c>
    </row>
    <row r="33" customFormat="false" ht="15.75" hidden="false" customHeight="false" outlineLevel="0" collapsed="false">
      <c r="A33" s="61" t="n">
        <v>6275</v>
      </c>
      <c r="B33" s="29" t="n">
        <v>44617</v>
      </c>
      <c r="C33" s="21" t="s">
        <v>961</v>
      </c>
      <c r="D33" s="21" t="s">
        <v>24</v>
      </c>
      <c r="E33" s="21" t="s">
        <v>74</v>
      </c>
      <c r="F33" s="21" t="s">
        <v>3527</v>
      </c>
      <c r="G33" s="30"/>
      <c r="H33" s="45" t="str">
        <f aca="false">HYPERLINK("https://photos.app.goo.gl/BBVA52karqEraZUS9", "Completo")</f>
        <v>Completo</v>
      </c>
      <c r="I33" s="21" t="s">
        <v>28</v>
      </c>
      <c r="J33" s="21"/>
      <c r="K33" s="21"/>
      <c r="L33" s="21"/>
      <c r="M33" s="21" t="s">
        <v>2133</v>
      </c>
      <c r="N33" s="30"/>
      <c r="O33" s="21" t="s">
        <v>28</v>
      </c>
      <c r="P33" s="74" t="s">
        <v>28</v>
      </c>
      <c r="Q33" s="21" t="s">
        <v>2981</v>
      </c>
      <c r="R33" s="32" t="s">
        <v>2850</v>
      </c>
      <c r="S33" s="32" t="s">
        <v>36</v>
      </c>
      <c r="T33" s="21"/>
      <c r="U33" s="21"/>
      <c r="V33" s="21"/>
      <c r="W33" s="21"/>
      <c r="X33" s="21" t="s">
        <v>28</v>
      </c>
    </row>
    <row r="34" customFormat="false" ht="15.75" hidden="false" customHeight="false" outlineLevel="0" collapsed="false">
      <c r="A34" s="76" t="n">
        <v>1166953</v>
      </c>
      <c r="B34" s="29" t="n">
        <v>44617</v>
      </c>
      <c r="C34" s="21" t="s">
        <v>3528</v>
      </c>
      <c r="D34" s="21" t="s">
        <v>290</v>
      </c>
      <c r="E34" s="21" t="s">
        <v>74</v>
      </c>
      <c r="F34" s="21" t="s">
        <v>3529</v>
      </c>
      <c r="G34" s="30"/>
      <c r="H34" s="45" t="str">
        <f aca="false">HYPERLINK("https://photos.app.goo.gl/8Fyn5Rs3HU7bNq7S9", "Completo")</f>
        <v>Completo</v>
      </c>
      <c r="I34" s="21" t="s">
        <v>28</v>
      </c>
      <c r="J34" s="21"/>
      <c r="K34" s="21"/>
      <c r="L34" s="21"/>
      <c r="M34" s="21" t="s">
        <v>3530</v>
      </c>
      <c r="N34" s="30"/>
      <c r="O34" s="21"/>
      <c r="P34" s="21"/>
      <c r="Q34" s="21"/>
      <c r="R34" s="32"/>
      <c r="S34" s="32"/>
      <c r="T34" s="21"/>
      <c r="U34" s="21"/>
      <c r="V34" s="21"/>
      <c r="W34" s="21"/>
      <c r="X34" s="21" t="s">
        <v>37</v>
      </c>
    </row>
    <row r="35" customFormat="false" ht="15.75" hidden="false" customHeight="false" outlineLevel="0" collapsed="false">
      <c r="A35" s="61"/>
      <c r="B35" s="29"/>
      <c r="C35" s="21"/>
      <c r="D35" s="21"/>
      <c r="E35" s="21"/>
      <c r="F35" s="21"/>
      <c r="G35" s="30"/>
      <c r="H35" s="31"/>
      <c r="I35" s="21"/>
      <c r="J35" s="21"/>
      <c r="K35" s="21"/>
      <c r="L35" s="21"/>
      <c r="M35" s="21"/>
      <c r="N35" s="30"/>
      <c r="O35" s="21"/>
      <c r="P35" s="21"/>
      <c r="Q35" s="21"/>
      <c r="R35" s="32"/>
      <c r="S35" s="32"/>
      <c r="T35" s="21"/>
      <c r="U35" s="21"/>
      <c r="V35" s="21"/>
      <c r="W35" s="21"/>
      <c r="X35" s="21"/>
    </row>
    <row r="36" customFormat="false" ht="15.75" hidden="false" customHeight="false" outlineLevel="0" collapsed="false">
      <c r="A36" s="61"/>
      <c r="B36" s="29"/>
      <c r="C36" s="21"/>
      <c r="D36" s="21"/>
      <c r="E36" s="21"/>
      <c r="F36" s="21"/>
      <c r="G36" s="30"/>
      <c r="H36" s="31"/>
      <c r="I36" s="21"/>
      <c r="J36" s="21"/>
      <c r="K36" s="21"/>
      <c r="L36" s="21"/>
      <c r="M36" s="21"/>
      <c r="N36" s="30"/>
      <c r="O36" s="21"/>
      <c r="P36" s="21"/>
      <c r="Q36" s="21"/>
      <c r="R36" s="32"/>
      <c r="S36" s="32"/>
      <c r="T36" s="21"/>
      <c r="U36" s="21"/>
      <c r="V36" s="21"/>
      <c r="W36" s="21"/>
      <c r="X36" s="21"/>
    </row>
    <row r="37" customFormat="false" ht="15.75" hidden="false" customHeight="false" outlineLevel="0" collapsed="false">
      <c r="G37" s="18"/>
      <c r="H37" s="35"/>
      <c r="N37" s="18"/>
    </row>
    <row r="38" customFormat="false" ht="15.75" hidden="false" customHeight="false" outlineLevel="0" collapsed="false">
      <c r="G38" s="18"/>
      <c r="H38" s="35"/>
      <c r="N38" s="18"/>
    </row>
    <row r="39" customFormat="false" ht="15.75" hidden="false" customHeight="false" outlineLevel="0" collapsed="false">
      <c r="G39" s="18"/>
      <c r="H39" s="35"/>
      <c r="N39" s="18"/>
    </row>
    <row r="40" customFormat="false" ht="15.75" hidden="false" customHeight="false" outlineLevel="0" collapsed="false">
      <c r="G40" s="18"/>
      <c r="H40" s="35"/>
      <c r="N40" s="18"/>
    </row>
    <row r="41" customFormat="false" ht="15.75" hidden="false" customHeight="false" outlineLevel="0" collapsed="false">
      <c r="G41" s="18"/>
      <c r="H41" s="35"/>
      <c r="N41" s="18"/>
    </row>
    <row r="42" customFormat="false" ht="15.75" hidden="false" customHeight="false" outlineLevel="0" collapsed="false">
      <c r="G42" s="18"/>
      <c r="H42" s="35"/>
      <c r="N42" s="18"/>
    </row>
    <row r="43" customFormat="false" ht="15.75" hidden="false" customHeight="false" outlineLevel="0" collapsed="false">
      <c r="G43" s="18"/>
      <c r="H43" s="35"/>
      <c r="N43" s="18"/>
    </row>
    <row r="44" customFormat="false" ht="15.75" hidden="false" customHeight="false" outlineLevel="0" collapsed="false">
      <c r="G44" s="18"/>
      <c r="H44" s="35"/>
      <c r="N44" s="18"/>
    </row>
    <row r="45" customFormat="false" ht="15.75" hidden="false" customHeight="false" outlineLevel="0" collapsed="false">
      <c r="G45" s="18"/>
      <c r="H45" s="35"/>
      <c r="N45" s="18"/>
    </row>
    <row r="46" customFormat="false" ht="15.75" hidden="false" customHeight="false" outlineLevel="0" collapsed="false">
      <c r="G46" s="18"/>
      <c r="H46" s="35"/>
      <c r="N46" s="18"/>
    </row>
    <row r="47" customFormat="false" ht="15.75" hidden="false" customHeight="false" outlineLevel="0" collapsed="false">
      <c r="G47" s="18"/>
      <c r="H47" s="35"/>
      <c r="N47" s="18"/>
    </row>
    <row r="48" customFormat="false" ht="15.75" hidden="false" customHeight="false" outlineLevel="0" collapsed="false">
      <c r="G48" s="18"/>
      <c r="H48" s="35"/>
      <c r="N48" s="18"/>
    </row>
    <row r="49" customFormat="false" ht="15.75" hidden="false" customHeight="false" outlineLevel="0" collapsed="false">
      <c r="G49" s="18"/>
      <c r="H49" s="35"/>
      <c r="N49" s="18"/>
    </row>
    <row r="50" customFormat="false" ht="15.75" hidden="false" customHeight="false" outlineLevel="0" collapsed="false">
      <c r="G50" s="18"/>
      <c r="H50" s="35"/>
      <c r="N50" s="18"/>
    </row>
    <row r="51" customFormat="false" ht="15.75" hidden="false" customHeight="false" outlineLevel="0" collapsed="false">
      <c r="G51" s="18"/>
      <c r="H51" s="35"/>
      <c r="N51" s="18"/>
    </row>
    <row r="52" customFormat="false" ht="15.75" hidden="false" customHeight="false" outlineLevel="0" collapsed="false">
      <c r="G52" s="18"/>
      <c r="H52" s="35"/>
      <c r="N52" s="18"/>
    </row>
    <row r="1048575" customFormat="false" ht="12.8" hidden="false" customHeight="true" outlineLevel="0" collapsed="false"/>
    <row r="1048576" customFormat="false" ht="12.8" hidden="false" customHeight="true" outlineLevel="0" collapsed="false"/>
  </sheetData>
  <conditionalFormatting sqref="G3:G5 N3:N5">
    <cfRule type="containsText" priority="2" operator="containsText" aboveAverage="0" equalAverage="0" bottom="0" percent="0" rank="0" text="x" dxfId="0">
      <formula>NOT(ISERROR(SEARCH("x",G3)))</formula>
    </cfRule>
  </conditionalFormatting>
  <conditionalFormatting sqref="G3:I5 O3:P5 U3:V5 X3:X5">
    <cfRule type="cellIs" priority="3" operator="equal" aboveAverage="0" equalAverage="0" bottom="0" percent="0" rank="0" text="" dxfId="0">
      <formula>"Completo"</formula>
    </cfRule>
    <cfRule type="cellIs" priority="4" operator="equal" aboveAverage="0" equalAverage="0" bottom="0" percent="0" rank="0" text="" dxfId="1">
      <formula>"No Aplica"</formula>
    </cfRule>
  </conditionalFormatting>
  <conditionalFormatting sqref="R3:S5">
    <cfRule type="expression" priority="5" aboveAverage="0" equalAverage="0" bottom="0" percent="0" rank="0" text="" dxfId="0">
      <formula>LEN(TRIM(R3))&gt;0</formula>
    </cfRule>
  </conditionalFormatting>
  <conditionalFormatting sqref="Q3:Q5">
    <cfRule type="expression" priority="6" aboveAverage="0" equalAverage="0" bottom="0" percent="0" rank="0" text="" dxfId="0">
      <formula>LEN(TRIM(Q3))&gt;0</formula>
    </cfRule>
  </conditionalFormatting>
  <conditionalFormatting sqref="T3:T5">
    <cfRule type="expression" priority="7" aboveAverage="0" equalAverage="0" bottom="0" percent="0" rank="0" text="" dxfId="0">
      <formula>LEN(TRIM(T3))&gt;0</formula>
    </cfRule>
  </conditionalFormatting>
  <conditionalFormatting sqref="W3:W5">
    <cfRule type="expression" priority="8" aboveAverage="0" equalAverage="0" bottom="0" percent="0" rank="0" text="" dxfId="0">
      <formula>LEN(TRIM(W3))&gt;0</formula>
    </cfRule>
  </conditionalFormatting>
  <conditionalFormatting sqref="X3:X5">
    <cfRule type="cellIs" priority="9" operator="equal" aboveAverage="0" equalAverage="0" bottom="0" percent="0" rank="0" text="" dxfId="0">
      <formula>"Completo"</formula>
    </cfRule>
    <cfRule type="cellIs" priority="10" operator="equal" aboveAverage="0" equalAverage="0" bottom="0" percent="0" rank="0" text="" dxfId="1">
      <formula>"No aplica"</formula>
    </cfRule>
  </conditionalFormatting>
  <conditionalFormatting sqref="R2:S2 R6:S36">
    <cfRule type="expression" priority="11" aboveAverage="0" equalAverage="0" bottom="0" percent="0" rank="0" text="" dxfId="0">
      <formula>LEN(TRIM(R2))&gt;0</formula>
    </cfRule>
  </conditionalFormatting>
  <conditionalFormatting sqref="Q2 Q6:Q36">
    <cfRule type="expression" priority="12" aboveAverage="0" equalAverage="0" bottom="0" percent="0" rank="0" text="" dxfId="0">
      <formula>LEN(TRIM(Q2))&gt;0</formula>
    </cfRule>
  </conditionalFormatting>
  <conditionalFormatting sqref="G2 N2 G6:G36 N6:N36">
    <cfRule type="containsText" priority="13" operator="containsText" aboveAverage="0" equalAverage="0" bottom="0" percent="0" rank="0" text="x" dxfId="0">
      <formula>NOT(ISERROR(SEARCH("x",G2)))</formula>
    </cfRule>
  </conditionalFormatting>
  <conditionalFormatting sqref="T2 T6:T36">
    <cfRule type="expression" priority="14" aboveAverage="0" equalAverage="0" bottom="0" percent="0" rank="0" text="" dxfId="0">
      <formula>LEN(TRIM(T2))&gt;0</formula>
    </cfRule>
  </conditionalFormatting>
  <conditionalFormatting sqref="W2 W6:W36">
    <cfRule type="expression" priority="15" aboveAverage="0" equalAverage="0" bottom="0" percent="0" rank="0" text="" dxfId="0">
      <formula>LEN(TRIM(W2))&gt;0</formula>
    </cfRule>
  </conditionalFormatting>
  <conditionalFormatting sqref="X2 X6:X36">
    <cfRule type="cellIs" priority="16" operator="equal" aboveAverage="0" equalAverage="0" bottom="0" percent="0" rank="0" text="" dxfId="0">
      <formula>"Completo"</formula>
    </cfRule>
    <cfRule type="cellIs" priority="17" operator="equal" aboveAverage="0" equalAverage="0" bottom="0" percent="0" rank="0" text="" dxfId="1">
      <formula>"No aplica"</formula>
    </cfRule>
  </conditionalFormatting>
  <conditionalFormatting sqref="G2:I2 O2:P2 U2:V2 X2 G6:I36 O6:P36 U6:V36 X6:X36">
    <cfRule type="cellIs" priority="18" operator="equal" aboveAverage="0" equalAverage="0" bottom="0" percent="0" rank="0" text="" dxfId="0">
      <formula>"Completo"</formula>
    </cfRule>
    <cfRule type="cellIs" priority="19" operator="equal" aboveAverage="0" equalAverage="0" bottom="0" percent="0" rank="0" text="" dxfId="1">
      <formula>"No Aplica"</formula>
    </cfRule>
  </conditionalFormatting>
  <dataValidations count="5">
    <dataValidation allowBlank="true" errorStyle="stop" operator="between" showDropDown="false" showErrorMessage="true" showInputMessage="false" sqref="D2:D36" type="list">
      <formula1>LEYENDA!$B$2:$D$2</formula1>
      <formula2>0</formula2>
    </dataValidation>
    <dataValidation allowBlank="true" errorStyle="stop" operator="between" showDropDown="false" showErrorMessage="false" showInputMessage="false" sqref="E2:E36" type="list">
      <formula1>LEYENDA!$A$8:$A$12</formula1>
      <formula2>0</formula2>
    </dataValidation>
    <dataValidation allowBlank="true" errorStyle="stop" operator="between" showDropDown="false" showErrorMessage="false" showInputMessage="false" sqref="T2:T36" type="list">
      <formula1>LEYENDA!$A$23:$A$24</formula1>
      <formula2>0</formula2>
    </dataValidation>
    <dataValidation allowBlank="true" errorStyle="stop" operator="between" showDropDown="false" showErrorMessage="false" showInputMessage="false" sqref="R2:R36" type="list">
      <formula1>LEYENDA!$A$15:$A$19</formula1>
      <formula2>0</formula2>
    </dataValidation>
    <dataValidation allowBlank="true" errorStyle="stop" operator="between" showDropDown="false" showErrorMessage="true" showInputMessage="false" sqref="H2:I36 O2:P36 U2:V36 X2:X36" type="list">
      <formula1>LEYENDA!$B$1:$C$1</formula1>
      <formula2>0</formula2>
    </dataValidation>
  </dataValidations>
  <hyperlinks>
    <hyperlink ref="U3" r:id="rId1" display="Completo"/>
    <hyperlink ref="V3" r:id="rId2" display="Completo"/>
    <hyperlink ref="U4" r:id="rId3" display="Completo"/>
    <hyperlink ref="V4" r:id="rId4" display="Completo"/>
    <hyperlink ref="U5" r:id="rId5" display="Completo"/>
    <hyperlink ref="V5" r:id="rId6" display="Completo"/>
    <hyperlink ref="U8" r:id="rId7" display="Completo"/>
    <hyperlink ref="V8" r:id="rId8" display="Completo"/>
    <hyperlink ref="U9" r:id="rId9" display="Completo"/>
    <hyperlink ref="V9" r:id="rId10" display="Completo"/>
    <hyperlink ref="P11" r:id="rId11" display="Completo"/>
    <hyperlink ref="U11" r:id="rId12" display="Completo"/>
    <hyperlink ref="V11" r:id="rId13" display="Completo"/>
    <hyperlink ref="P12" r:id="rId14" display="Completo"/>
    <hyperlink ref="U12" r:id="rId15" display="Completo"/>
    <hyperlink ref="V12" r:id="rId16" display="Completo"/>
    <hyperlink ref="P16" r:id="rId17" display="Completo"/>
    <hyperlink ref="P17" r:id="rId18" display="Completo"/>
    <hyperlink ref="U17" r:id="rId19" display="Completo"/>
    <hyperlink ref="V17" r:id="rId20" display="Completo"/>
    <hyperlink ref="P18" r:id="rId21" display="Completo"/>
    <hyperlink ref="U18" r:id="rId22" display="Completo"/>
    <hyperlink ref="V18" r:id="rId23" display="Completo"/>
    <hyperlink ref="P26" r:id="rId24" display="Completo"/>
    <hyperlink ref="P33" r:id="rId25" display="Completo"/>
  </hyperlinks>
  <printOptions headings="false" gridLines="true" gridLinesSet="true" horizontalCentered="true" verticalCentered="false"/>
  <pageMargins left="0.7" right="0.7" top="0.75" bottom="0.75" header="0.511811023622047" footer="0.511811023622047"/>
  <pageSetup paperSize="9" scale="100" fitToWidth="1" fitToHeight="0" pageOrder="overThenDown" orientation="landscape" blackAndWhite="false" draft="false" cellComments="none" horizontalDpi="300" verticalDpi="300" copies="1"/>
  <headerFooter differentFirst="false" differentOddEven="false">
    <oddHeader/>
    <oddFooter/>
  </headerFooter>
  <drawing r:id="rId26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AF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6" ySplit="3" topLeftCell="G76" activePane="bottomRight" state="frozen"/>
      <selection pane="topLeft" activeCell="A1" activeCellId="0" sqref="A1"/>
      <selection pane="topRight" activeCell="G1" activeCellId="0" sqref="G1"/>
      <selection pane="bottomLeft" activeCell="A76" activeCellId="0" sqref="A76"/>
      <selection pane="bottomRight" activeCell="G1" activeCellId="0" sqref="G1"/>
    </sheetView>
  </sheetViews>
  <sheetFormatPr defaultColWidth="12.6328125" defaultRowHeight="15.75" zeroHeight="false" outlineLevelRow="0" outlineLevelCol="0"/>
  <cols>
    <col collapsed="false" customWidth="true" hidden="false" outlineLevel="0" max="1" min="1" style="1" width="10.25"/>
    <col collapsed="false" customWidth="true" hidden="false" outlineLevel="0" max="2" min="2" style="1" width="10.38"/>
    <col collapsed="false" customWidth="true" hidden="false" outlineLevel="0" max="3" min="3" style="1" width="16.89"/>
    <col collapsed="false" customWidth="true" hidden="false" outlineLevel="0" max="4" min="4" style="1" width="11.25"/>
    <col collapsed="false" customWidth="true" hidden="false" outlineLevel="0" max="5" min="5" style="1" width="17.13"/>
    <col collapsed="false" customWidth="true" hidden="false" outlineLevel="0" max="6" min="6" style="1" width="43.63"/>
    <col collapsed="false" customWidth="true" hidden="false" outlineLevel="0" max="7" min="7" style="1" width="15.88"/>
    <col collapsed="false" customWidth="true" hidden="false" outlineLevel="0" max="8" min="8" style="1" width="10.88"/>
    <col collapsed="false" customWidth="true" hidden="false" outlineLevel="0" max="9" min="9" style="1" width="13.38"/>
    <col collapsed="false" customWidth="true" hidden="false" outlineLevel="0" max="10" min="10" style="1" width="13.13"/>
    <col collapsed="false" customWidth="true" hidden="false" outlineLevel="0" max="11" min="11" style="1" width="10"/>
    <col collapsed="false" customWidth="true" hidden="false" outlineLevel="0" max="12" min="12" style="1" width="12.25"/>
    <col collapsed="false" customWidth="true" hidden="false" outlineLevel="0" max="13" min="13" style="1" width="26.12"/>
    <col collapsed="false" customWidth="true" hidden="false" outlineLevel="0" max="14" min="14" style="1" width="18"/>
    <col collapsed="false" customWidth="true" hidden="false" outlineLevel="0" max="16" min="15" style="1" width="10.63"/>
    <col collapsed="false" customWidth="true" hidden="false" outlineLevel="0" max="17" min="17" style="1" width="8.5"/>
    <col collapsed="false" customWidth="true" hidden="false" outlineLevel="0" max="19" min="19" style="1" width="25.38"/>
    <col collapsed="false" customWidth="true" hidden="false" outlineLevel="0" max="20" min="20" style="1" width="17.88"/>
    <col collapsed="false" customWidth="true" hidden="false" outlineLevel="0" max="21" min="21" style="1" width="10.13"/>
    <col collapsed="false" customWidth="true" hidden="false" outlineLevel="0" max="22" min="22" style="1" width="11.12"/>
    <col collapsed="false" customWidth="true" hidden="false" outlineLevel="0" max="23" min="23" style="1" width="24.88"/>
  </cols>
  <sheetData>
    <row r="1" customFormat="false" ht="68" hidden="false" customHeight="false" outlineLevel="0" collapsed="false">
      <c r="A1" s="2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/>
      <c r="J1" s="4" t="s">
        <v>8</v>
      </c>
      <c r="K1" s="2"/>
      <c r="L1" s="2" t="s">
        <v>9</v>
      </c>
      <c r="M1" s="2" t="s">
        <v>10</v>
      </c>
      <c r="N1" s="4" t="s">
        <v>11</v>
      </c>
      <c r="O1" s="3" t="s">
        <v>12</v>
      </c>
      <c r="P1" s="7" t="s">
        <v>13</v>
      </c>
      <c r="Q1" s="7" t="s">
        <v>14</v>
      </c>
      <c r="R1" s="7" t="s">
        <v>15</v>
      </c>
      <c r="S1" s="7" t="s">
        <v>16</v>
      </c>
      <c r="T1" s="7" t="s">
        <v>17</v>
      </c>
      <c r="U1" s="8" t="s">
        <v>18</v>
      </c>
      <c r="V1" s="9" t="s">
        <v>19</v>
      </c>
      <c r="W1" s="9" t="s">
        <v>20</v>
      </c>
      <c r="X1" s="10" t="s">
        <v>15</v>
      </c>
      <c r="Y1" s="11" t="s">
        <v>21</v>
      </c>
      <c r="Z1" s="11" t="s">
        <v>22</v>
      </c>
      <c r="AA1" s="12"/>
      <c r="AB1" s="12"/>
      <c r="AC1" s="12"/>
      <c r="AD1" s="12"/>
      <c r="AE1" s="12"/>
      <c r="AF1" s="12"/>
    </row>
    <row r="2" customFormat="false" ht="15.75" hidden="false" customHeight="false" outlineLevel="0" collapsed="false">
      <c r="A2" s="61" t="n">
        <v>6171</v>
      </c>
      <c r="B2" s="29" t="n">
        <v>44564</v>
      </c>
      <c r="C2" s="21" t="s">
        <v>1328</v>
      </c>
      <c r="D2" s="21" t="s">
        <v>24</v>
      </c>
      <c r="E2" s="21" t="s">
        <v>34</v>
      </c>
      <c r="F2" s="21" t="s">
        <v>3531</v>
      </c>
      <c r="G2" s="30"/>
      <c r="H2" s="31" t="s">
        <v>37</v>
      </c>
      <c r="I2" s="21" t="s">
        <v>37</v>
      </c>
      <c r="J2" s="21"/>
      <c r="K2" s="21"/>
      <c r="L2" s="21"/>
      <c r="M2" s="21"/>
      <c r="N2" s="30"/>
      <c r="O2" s="21"/>
      <c r="P2" s="21"/>
      <c r="Q2" s="21"/>
      <c r="R2" s="32"/>
      <c r="S2" s="32"/>
      <c r="T2" s="21"/>
      <c r="U2" s="21"/>
      <c r="V2" s="21"/>
      <c r="W2" s="21"/>
      <c r="X2" s="21" t="s">
        <v>28</v>
      </c>
    </row>
    <row r="3" customFormat="false" ht="15.75" hidden="false" customHeight="false" outlineLevel="0" collapsed="false">
      <c r="A3" s="61" t="n">
        <v>6172</v>
      </c>
      <c r="B3" s="29" t="n">
        <v>44565</v>
      </c>
      <c r="C3" s="21" t="s">
        <v>38</v>
      </c>
      <c r="D3" s="21" t="s">
        <v>24</v>
      </c>
      <c r="E3" s="21" t="s">
        <v>34</v>
      </c>
      <c r="F3" s="21" t="s">
        <v>3532</v>
      </c>
      <c r="G3" s="30"/>
      <c r="H3" s="31"/>
      <c r="I3" s="21"/>
      <c r="J3" s="21"/>
      <c r="K3" s="21"/>
      <c r="L3" s="21"/>
      <c r="M3" s="21"/>
      <c r="N3" s="30"/>
      <c r="O3" s="21"/>
      <c r="P3" s="21"/>
      <c r="Q3" s="21"/>
      <c r="R3" s="32"/>
      <c r="S3" s="32"/>
      <c r="T3" s="21"/>
      <c r="U3" s="21"/>
      <c r="V3" s="21"/>
      <c r="W3" s="21"/>
      <c r="X3" s="21" t="s">
        <v>28</v>
      </c>
    </row>
    <row r="4" customFormat="false" ht="15.75" hidden="false" customHeight="false" outlineLevel="0" collapsed="false">
      <c r="A4" s="61" t="n">
        <v>6173</v>
      </c>
      <c r="B4" s="29" t="n">
        <v>44200</v>
      </c>
      <c r="C4" s="21" t="s">
        <v>3533</v>
      </c>
      <c r="D4" s="21" t="s">
        <v>24</v>
      </c>
      <c r="E4" s="21" t="s">
        <v>34</v>
      </c>
      <c r="F4" s="21" t="s">
        <v>3534</v>
      </c>
      <c r="G4" s="30" t="s">
        <v>3535</v>
      </c>
      <c r="H4" s="45" t="str">
        <f aca="false">HYPERLINK("https://photos.app.goo.gl/SS1rBhaHL5tLn5cq7", "Completo")</f>
        <v>Completo</v>
      </c>
      <c r="I4" s="21" t="s">
        <v>28</v>
      </c>
      <c r="J4" s="21" t="n">
        <v>3515135393</v>
      </c>
      <c r="K4" s="21"/>
      <c r="L4" s="21"/>
      <c r="M4" s="21"/>
      <c r="N4" s="30"/>
      <c r="O4" s="21" t="s">
        <v>28</v>
      </c>
      <c r="P4" s="74" t="s">
        <v>28</v>
      </c>
      <c r="Q4" s="21" t="s">
        <v>214</v>
      </c>
      <c r="R4" s="32" t="s">
        <v>2850</v>
      </c>
      <c r="S4" s="32" t="s">
        <v>36</v>
      </c>
      <c r="T4" s="21"/>
      <c r="U4" s="21"/>
      <c r="V4" s="21"/>
      <c r="W4" s="21"/>
      <c r="X4" s="21" t="s">
        <v>28</v>
      </c>
    </row>
    <row r="5" customFormat="false" ht="15.75" hidden="false" customHeight="false" outlineLevel="0" collapsed="false">
      <c r="A5" s="61" t="n">
        <v>6174</v>
      </c>
      <c r="B5" s="29" t="n">
        <v>44200</v>
      </c>
      <c r="C5" s="21" t="s">
        <v>3533</v>
      </c>
      <c r="D5" s="21" t="s">
        <v>24</v>
      </c>
      <c r="E5" s="21" t="s">
        <v>34</v>
      </c>
      <c r="F5" s="21" t="s">
        <v>3534</v>
      </c>
      <c r="G5" s="30" t="s">
        <v>3535</v>
      </c>
      <c r="H5" s="45" t="str">
        <f aca="false">HYPERLINK("https://photos.app.goo.gl/F9HpWY3W94DaAK5W8", "Completo")</f>
        <v>Completo</v>
      </c>
      <c r="I5" s="21" t="s">
        <v>28</v>
      </c>
      <c r="J5" s="21" t="n">
        <v>3515135393</v>
      </c>
      <c r="K5" s="21"/>
      <c r="L5" s="21"/>
      <c r="M5" s="21"/>
      <c r="N5" s="30"/>
      <c r="O5" s="21" t="s">
        <v>28</v>
      </c>
      <c r="P5" s="74" t="s">
        <v>28</v>
      </c>
      <c r="Q5" s="21" t="s">
        <v>214</v>
      </c>
      <c r="R5" s="32" t="s">
        <v>2850</v>
      </c>
      <c r="S5" s="32" t="s">
        <v>29</v>
      </c>
      <c r="T5" s="21"/>
      <c r="U5" s="21"/>
      <c r="V5" s="21"/>
      <c r="W5" s="21"/>
      <c r="X5" s="21" t="s">
        <v>28</v>
      </c>
    </row>
    <row r="6" customFormat="false" ht="15.75" hidden="false" customHeight="false" outlineLevel="0" collapsed="false">
      <c r="A6" s="61" t="n">
        <v>6175</v>
      </c>
      <c r="B6" s="29" t="n">
        <v>44200</v>
      </c>
      <c r="C6" s="21" t="s">
        <v>1352</v>
      </c>
      <c r="D6" s="21" t="s">
        <v>24</v>
      </c>
      <c r="E6" s="21" t="s">
        <v>34</v>
      </c>
      <c r="F6" s="21" t="s">
        <v>3536</v>
      </c>
      <c r="G6" s="30" t="s">
        <v>3537</v>
      </c>
      <c r="H6" s="45" t="str">
        <f aca="false">HYPERLINK("https://photos.app.goo.gl/XfzYTrJdrtoN6Jvb9", "Completo")</f>
        <v>Completo</v>
      </c>
      <c r="I6" s="21" t="s">
        <v>28</v>
      </c>
      <c r="J6" s="21"/>
      <c r="K6" s="21"/>
      <c r="L6" s="21"/>
      <c r="M6" s="21"/>
      <c r="N6" s="30"/>
      <c r="O6" s="21"/>
      <c r="P6" s="21"/>
      <c r="Q6" s="21"/>
      <c r="R6" s="32"/>
      <c r="S6" s="32"/>
      <c r="T6" s="21"/>
      <c r="U6" s="21"/>
      <c r="V6" s="21"/>
      <c r="W6" s="21"/>
      <c r="X6" s="21" t="s">
        <v>28</v>
      </c>
    </row>
    <row r="7" customFormat="false" ht="15.75" hidden="false" customHeight="false" outlineLevel="0" collapsed="false">
      <c r="A7" s="61" t="n">
        <v>6176</v>
      </c>
      <c r="B7" s="29" t="n">
        <v>44200</v>
      </c>
      <c r="C7" s="21" t="s">
        <v>1352</v>
      </c>
      <c r="D7" s="21" t="s">
        <v>24</v>
      </c>
      <c r="E7" s="21" t="s">
        <v>34</v>
      </c>
      <c r="F7" s="21" t="s">
        <v>3536</v>
      </c>
      <c r="G7" s="30" t="s">
        <v>3537</v>
      </c>
      <c r="H7" s="45" t="str">
        <f aca="false">HYPERLINK("https://photos.app.goo.gl/81ihyg6yvfaCbd4t9", "Completo")</f>
        <v>Completo</v>
      </c>
      <c r="I7" s="21" t="s">
        <v>28</v>
      </c>
      <c r="J7" s="21"/>
      <c r="K7" s="21"/>
      <c r="L7" s="21"/>
      <c r="M7" s="21"/>
      <c r="N7" s="30"/>
      <c r="O7" s="21"/>
      <c r="P7" s="21"/>
      <c r="Q7" s="21"/>
      <c r="R7" s="32"/>
      <c r="S7" s="32"/>
      <c r="T7" s="21"/>
      <c r="U7" s="21"/>
      <c r="V7" s="21"/>
      <c r="W7" s="21"/>
      <c r="X7" s="21" t="s">
        <v>28</v>
      </c>
    </row>
    <row r="8" customFormat="false" ht="15.75" hidden="false" customHeight="false" outlineLevel="0" collapsed="false">
      <c r="A8" s="61" t="n">
        <v>6177</v>
      </c>
      <c r="B8" s="29" t="n">
        <v>44200</v>
      </c>
      <c r="C8" s="21" t="s">
        <v>1352</v>
      </c>
      <c r="D8" s="21" t="s">
        <v>24</v>
      </c>
      <c r="E8" s="21" t="s">
        <v>34</v>
      </c>
      <c r="F8" s="21" t="s">
        <v>3536</v>
      </c>
      <c r="G8" s="30" t="s">
        <v>3537</v>
      </c>
      <c r="H8" s="45" t="str">
        <f aca="false">HYPERLINK("https://photos.app.goo.gl/NoEuUBSgMeqe8fh27", "Completo")</f>
        <v>Completo</v>
      </c>
      <c r="I8" s="21" t="s">
        <v>28</v>
      </c>
      <c r="J8" s="21"/>
      <c r="K8" s="21"/>
      <c r="L8" s="21"/>
      <c r="M8" s="21"/>
      <c r="N8" s="30"/>
      <c r="O8" s="21"/>
      <c r="P8" s="21"/>
      <c r="Q8" s="21"/>
      <c r="R8" s="32"/>
      <c r="S8" s="32"/>
      <c r="T8" s="21"/>
      <c r="U8" s="21"/>
      <c r="V8" s="21"/>
      <c r="W8" s="21"/>
      <c r="X8" s="21" t="s">
        <v>28</v>
      </c>
    </row>
    <row r="9" customFormat="false" ht="15.75" hidden="false" customHeight="false" outlineLevel="0" collapsed="false">
      <c r="A9" s="61" t="n">
        <v>6178</v>
      </c>
      <c r="B9" s="29" t="n">
        <v>44200</v>
      </c>
      <c r="C9" s="21" t="s">
        <v>1352</v>
      </c>
      <c r="D9" s="21" t="s">
        <v>24</v>
      </c>
      <c r="E9" s="21" t="s">
        <v>34</v>
      </c>
      <c r="F9" s="21" t="s">
        <v>3538</v>
      </c>
      <c r="G9" s="30" t="s">
        <v>3537</v>
      </c>
      <c r="H9" s="45" t="str">
        <f aca="false">HYPERLINK("https://photos.app.goo.gl/ovNVaNZVunRLsoZx7", "Completo")</f>
        <v>Completo</v>
      </c>
      <c r="I9" s="21" t="s">
        <v>28</v>
      </c>
      <c r="J9" s="21"/>
      <c r="K9" s="21"/>
      <c r="L9" s="21"/>
      <c r="M9" s="21"/>
      <c r="N9" s="30"/>
      <c r="O9" s="21" t="s">
        <v>28</v>
      </c>
      <c r="P9" s="21" t="s">
        <v>28</v>
      </c>
      <c r="Q9" s="21" t="s">
        <v>201</v>
      </c>
      <c r="R9" s="32" t="s">
        <v>25</v>
      </c>
      <c r="S9" s="32" t="s">
        <v>36</v>
      </c>
      <c r="T9" s="21"/>
      <c r="U9" s="21"/>
      <c r="V9" s="21"/>
      <c r="W9" s="21"/>
      <c r="X9" s="21" t="s">
        <v>28</v>
      </c>
    </row>
    <row r="10" customFormat="false" ht="15.75" hidden="false" customHeight="false" outlineLevel="0" collapsed="false">
      <c r="A10" s="61" t="n">
        <v>6179</v>
      </c>
      <c r="B10" s="29" t="n">
        <v>44200</v>
      </c>
      <c r="C10" s="21" t="s">
        <v>1352</v>
      </c>
      <c r="D10" s="21" t="s">
        <v>24</v>
      </c>
      <c r="E10" s="21" t="s">
        <v>34</v>
      </c>
      <c r="F10" s="21" t="s">
        <v>3538</v>
      </c>
      <c r="G10" s="30" t="s">
        <v>3537</v>
      </c>
      <c r="H10" s="45" t="str">
        <f aca="false">HYPERLINK("https://photos.app.goo.gl/DWF7XJ1gfgq4Ec217", "Completo")</f>
        <v>Completo</v>
      </c>
      <c r="I10" s="21" t="s">
        <v>28</v>
      </c>
      <c r="J10" s="21"/>
      <c r="K10" s="21"/>
      <c r="L10" s="21"/>
      <c r="M10" s="21"/>
      <c r="N10" s="30"/>
      <c r="O10" s="21"/>
      <c r="P10" s="21"/>
      <c r="Q10" s="21"/>
      <c r="R10" s="32"/>
      <c r="S10" s="32"/>
      <c r="T10" s="21"/>
      <c r="U10" s="21"/>
      <c r="V10" s="21"/>
      <c r="W10" s="21"/>
      <c r="X10" s="21" t="s">
        <v>28</v>
      </c>
    </row>
    <row r="11" customFormat="false" ht="15.75" hidden="false" customHeight="false" outlineLevel="0" collapsed="false">
      <c r="A11" s="61" t="n">
        <v>6180</v>
      </c>
      <c r="B11" s="29" t="n">
        <v>44200</v>
      </c>
      <c r="C11" s="55" t="s">
        <v>3539</v>
      </c>
      <c r="D11" s="21" t="s">
        <v>24</v>
      </c>
      <c r="E11" s="21" t="s">
        <v>34</v>
      </c>
      <c r="F11" s="21" t="s">
        <v>3540</v>
      </c>
      <c r="G11" s="30" t="s">
        <v>3541</v>
      </c>
      <c r="H11" s="45" t="str">
        <f aca="false">HYPERLINK("https://photos.app.goo.gl/32anisdJTiQuQrrR9", "Completo")</f>
        <v>Completo</v>
      </c>
      <c r="I11" s="21" t="s">
        <v>37</v>
      </c>
      <c r="J11" s="21" t="n">
        <v>3513920027</v>
      </c>
      <c r="K11" s="21"/>
      <c r="L11" s="21"/>
      <c r="M11" s="21"/>
      <c r="N11" s="30"/>
      <c r="O11" s="21"/>
      <c r="P11" s="21"/>
      <c r="Q11" s="21"/>
      <c r="R11" s="32"/>
      <c r="S11" s="32"/>
      <c r="T11" s="21"/>
      <c r="U11" s="21"/>
      <c r="V11" s="21"/>
      <c r="W11" s="21"/>
      <c r="X11" s="21" t="s">
        <v>28</v>
      </c>
    </row>
    <row r="12" customFormat="false" ht="15.75" hidden="false" customHeight="false" outlineLevel="0" collapsed="false">
      <c r="A12" s="61" t="n">
        <v>6181</v>
      </c>
      <c r="B12" s="29" t="n">
        <v>44565</v>
      </c>
      <c r="C12" s="21" t="s">
        <v>944</v>
      </c>
      <c r="D12" s="21" t="s">
        <v>24</v>
      </c>
      <c r="E12" s="21"/>
      <c r="F12" s="21" t="s">
        <v>3542</v>
      </c>
      <c r="G12" s="30"/>
      <c r="H12" s="31"/>
      <c r="I12" s="21"/>
      <c r="J12" s="21"/>
      <c r="K12" s="21"/>
      <c r="L12" s="21"/>
      <c r="M12" s="21"/>
      <c r="N12" s="30"/>
      <c r="O12" s="21"/>
      <c r="P12" s="21"/>
      <c r="Q12" s="21"/>
      <c r="R12" s="32"/>
      <c r="S12" s="32"/>
      <c r="T12" s="21"/>
      <c r="U12" s="21"/>
      <c r="V12" s="21"/>
      <c r="W12" s="21"/>
      <c r="X12" s="21" t="s">
        <v>28</v>
      </c>
    </row>
    <row r="13" customFormat="false" ht="15.75" hidden="false" customHeight="false" outlineLevel="0" collapsed="false">
      <c r="A13" s="61" t="n">
        <v>6182</v>
      </c>
      <c r="B13" s="29" t="n">
        <v>44201</v>
      </c>
      <c r="C13" s="21" t="s">
        <v>3543</v>
      </c>
      <c r="D13" s="21" t="s">
        <v>24</v>
      </c>
      <c r="E13" s="21" t="s">
        <v>34</v>
      </c>
      <c r="F13" s="21" t="s">
        <v>3544</v>
      </c>
      <c r="G13" s="30" t="s">
        <v>3545</v>
      </c>
      <c r="H13" s="45" t="str">
        <f aca="false">HYPERLINK("https://photos.app.goo.gl/HbaZZaMUC4t8yVzF9", "Completo")</f>
        <v>Completo</v>
      </c>
      <c r="I13" s="21" t="s">
        <v>28</v>
      </c>
      <c r="J13" s="84" t="n">
        <v>351156827026</v>
      </c>
      <c r="K13" s="85" t="s">
        <v>3546</v>
      </c>
      <c r="L13" s="21"/>
      <c r="M13" s="21" t="s">
        <v>3547</v>
      </c>
      <c r="N13" s="30"/>
      <c r="O13" s="21"/>
      <c r="P13" s="21"/>
      <c r="Q13" s="21"/>
      <c r="R13" s="32"/>
      <c r="S13" s="32"/>
      <c r="T13" s="21"/>
      <c r="U13" s="21"/>
      <c r="V13" s="21"/>
      <c r="W13" s="21"/>
      <c r="X13" s="21" t="s">
        <v>28</v>
      </c>
    </row>
    <row r="14" customFormat="false" ht="15.75" hidden="false" customHeight="false" outlineLevel="0" collapsed="false">
      <c r="A14" s="61" t="n">
        <v>6183</v>
      </c>
      <c r="B14" s="29" t="n">
        <v>44201</v>
      </c>
      <c r="C14" s="21" t="s">
        <v>3543</v>
      </c>
      <c r="D14" s="21" t="s">
        <v>24</v>
      </c>
      <c r="E14" s="21" t="s">
        <v>34</v>
      </c>
      <c r="F14" s="21" t="s">
        <v>2506</v>
      </c>
      <c r="G14" s="30" t="s">
        <v>3548</v>
      </c>
      <c r="H14" s="45" t="str">
        <f aca="false">HYPERLINK("https://photos.app.goo.gl/aEUzPBg1u9MsFx8i6", "Completo")</f>
        <v>Completo</v>
      </c>
      <c r="I14" s="21" t="s">
        <v>28</v>
      </c>
      <c r="J14" s="84"/>
      <c r="K14" s="84"/>
      <c r="L14" s="21"/>
      <c r="M14" s="21"/>
      <c r="N14" s="30"/>
      <c r="O14" s="21"/>
      <c r="P14" s="21"/>
      <c r="Q14" s="21"/>
      <c r="R14" s="32"/>
      <c r="S14" s="32"/>
      <c r="T14" s="21" t="s">
        <v>74</v>
      </c>
      <c r="U14" s="74" t="s">
        <v>28</v>
      </c>
      <c r="V14" s="74" t="s">
        <v>28</v>
      </c>
      <c r="W14" s="21" t="s">
        <v>36</v>
      </c>
      <c r="X14" s="21" t="s">
        <v>28</v>
      </c>
    </row>
    <row r="15" customFormat="false" ht="15.75" hidden="false" customHeight="false" outlineLevel="0" collapsed="false">
      <c r="A15" s="61" t="n">
        <v>6184</v>
      </c>
      <c r="B15" s="29" t="n">
        <v>44201</v>
      </c>
      <c r="C15" s="21" t="s">
        <v>3543</v>
      </c>
      <c r="D15" s="21" t="s">
        <v>24</v>
      </c>
      <c r="E15" s="21" t="s">
        <v>34</v>
      </c>
      <c r="F15" s="21" t="s">
        <v>2506</v>
      </c>
      <c r="G15" s="30" t="s">
        <v>3548</v>
      </c>
      <c r="H15" s="45" t="str">
        <f aca="false">HYPERLINK("https://photos.app.goo.gl/QEj5YqXFcfREgoG18", "Completo")</f>
        <v>Completo</v>
      </c>
      <c r="I15" s="21" t="s">
        <v>28</v>
      </c>
      <c r="J15" s="84"/>
      <c r="K15" s="84"/>
      <c r="L15" s="21"/>
      <c r="M15" s="21"/>
      <c r="N15" s="30"/>
      <c r="O15" s="21" t="s">
        <v>28</v>
      </c>
      <c r="P15" s="74" t="s">
        <v>28</v>
      </c>
      <c r="Q15" s="21" t="s">
        <v>2803</v>
      </c>
      <c r="R15" s="32" t="s">
        <v>2850</v>
      </c>
      <c r="S15" s="32" t="s">
        <v>29</v>
      </c>
      <c r="T15" s="21" t="s">
        <v>74</v>
      </c>
      <c r="U15" s="74" t="s">
        <v>28</v>
      </c>
      <c r="V15" s="74" t="s">
        <v>28</v>
      </c>
      <c r="W15" s="21" t="s">
        <v>36</v>
      </c>
      <c r="X15" s="21" t="s">
        <v>28</v>
      </c>
    </row>
    <row r="16" customFormat="false" ht="15.75" hidden="false" customHeight="false" outlineLevel="0" collapsed="false">
      <c r="A16" s="61" t="n">
        <v>6185</v>
      </c>
      <c r="B16" s="29" t="n">
        <v>44201</v>
      </c>
      <c r="C16" s="21" t="s">
        <v>3543</v>
      </c>
      <c r="D16" s="21" t="s">
        <v>24</v>
      </c>
      <c r="E16" s="21" t="s">
        <v>34</v>
      </c>
      <c r="F16" s="21" t="s">
        <v>2496</v>
      </c>
      <c r="G16" s="30" t="s">
        <v>3549</v>
      </c>
      <c r="H16" s="45" t="str">
        <f aca="false">HYPERLINK("https://photos.app.goo.gl/3khyV92JQud9LcW7A", "Completo")</f>
        <v>Completo</v>
      </c>
      <c r="I16" s="21" t="s">
        <v>28</v>
      </c>
      <c r="J16" s="84"/>
      <c r="K16" s="84"/>
      <c r="L16" s="21"/>
      <c r="M16" s="21"/>
      <c r="N16" s="30"/>
      <c r="O16" s="21" t="s">
        <v>28</v>
      </c>
      <c r="P16" s="74" t="s">
        <v>28</v>
      </c>
      <c r="Q16" s="21" t="s">
        <v>2803</v>
      </c>
      <c r="R16" s="32" t="s">
        <v>2850</v>
      </c>
      <c r="S16" s="32" t="s">
        <v>29</v>
      </c>
      <c r="T16" s="21"/>
      <c r="U16" s="21"/>
      <c r="V16" s="21"/>
      <c r="W16" s="21"/>
      <c r="X16" s="21" t="s">
        <v>28</v>
      </c>
    </row>
    <row r="17" customFormat="false" ht="15.75" hidden="false" customHeight="false" outlineLevel="0" collapsed="false">
      <c r="A17" s="61" t="n">
        <v>6186</v>
      </c>
      <c r="B17" s="29" t="n">
        <v>44566</v>
      </c>
      <c r="C17" s="21" t="s">
        <v>3550</v>
      </c>
      <c r="D17" s="21" t="s">
        <v>24</v>
      </c>
      <c r="E17" s="21" t="s">
        <v>34</v>
      </c>
      <c r="F17" s="21" t="s">
        <v>3551</v>
      </c>
      <c r="G17" s="30" t="s">
        <v>3552</v>
      </c>
      <c r="H17" s="45" t="str">
        <f aca="false">HYPERLINK("https://photos.app.goo.gl/dnMR4pGmdb1i8uSz5", "Completo")</f>
        <v>Completo</v>
      </c>
      <c r="I17" s="21" t="s">
        <v>28</v>
      </c>
      <c r="J17" s="21"/>
      <c r="K17" s="21"/>
      <c r="L17" s="21"/>
      <c r="M17" s="21"/>
      <c r="N17" s="30"/>
      <c r="O17" s="21" t="s">
        <v>28</v>
      </c>
      <c r="P17" s="74" t="s">
        <v>28</v>
      </c>
      <c r="Q17" s="21" t="s">
        <v>2981</v>
      </c>
      <c r="R17" s="32" t="s">
        <v>2850</v>
      </c>
      <c r="S17" s="32" t="s">
        <v>36</v>
      </c>
      <c r="T17" s="21"/>
      <c r="U17" s="21"/>
      <c r="V17" s="21"/>
      <c r="W17" s="21"/>
      <c r="X17" s="21" t="s">
        <v>28</v>
      </c>
    </row>
    <row r="18" customFormat="false" ht="15.75" hidden="false" customHeight="false" outlineLevel="0" collapsed="false">
      <c r="A18" s="61" t="n">
        <v>6187</v>
      </c>
      <c r="B18" s="29" t="n">
        <v>44202</v>
      </c>
      <c r="C18" s="21" t="s">
        <v>954</v>
      </c>
      <c r="D18" s="21" t="s">
        <v>24</v>
      </c>
      <c r="E18" s="21" t="s">
        <v>34</v>
      </c>
      <c r="F18" s="21" t="s">
        <v>3553</v>
      </c>
      <c r="G18" s="30"/>
      <c r="H18" s="31"/>
      <c r="I18" s="21"/>
      <c r="J18" s="21"/>
      <c r="K18" s="21"/>
      <c r="L18" s="21"/>
      <c r="M18" s="21"/>
      <c r="N18" s="30"/>
      <c r="O18" s="21"/>
      <c r="P18" s="21"/>
      <c r="Q18" s="21"/>
      <c r="R18" s="32"/>
      <c r="S18" s="32"/>
      <c r="T18" s="21"/>
      <c r="U18" s="21"/>
      <c r="V18" s="21"/>
      <c r="W18" s="21"/>
      <c r="X18" s="21" t="s">
        <v>28</v>
      </c>
    </row>
    <row r="19" customFormat="false" ht="15.75" hidden="false" customHeight="false" outlineLevel="0" collapsed="false">
      <c r="A19" s="63" t="n">
        <v>840456</v>
      </c>
      <c r="B19" s="29" t="n">
        <v>44567</v>
      </c>
      <c r="C19" s="21" t="s">
        <v>3554</v>
      </c>
      <c r="D19" s="21" t="s">
        <v>24</v>
      </c>
      <c r="E19" s="21" t="s">
        <v>34</v>
      </c>
      <c r="F19" s="21" t="s">
        <v>169</v>
      </c>
      <c r="G19" s="30" t="s">
        <v>3555</v>
      </c>
      <c r="H19" s="74" t="s">
        <v>28</v>
      </c>
      <c r="I19" s="21" t="s">
        <v>28</v>
      </c>
      <c r="J19" s="21"/>
      <c r="K19" s="21"/>
      <c r="L19" s="21"/>
      <c r="M19" s="21"/>
      <c r="N19" s="30"/>
      <c r="O19" s="21"/>
      <c r="P19" s="21"/>
      <c r="Q19" s="21"/>
      <c r="R19" s="32"/>
      <c r="S19" s="32"/>
      <c r="T19" s="21"/>
      <c r="U19" s="21"/>
      <c r="V19" s="21"/>
      <c r="W19" s="21"/>
      <c r="X19" s="21" t="s">
        <v>28</v>
      </c>
    </row>
    <row r="20" customFormat="false" ht="15.75" hidden="false" customHeight="false" outlineLevel="0" collapsed="false">
      <c r="A20" s="63" t="n">
        <v>1298439</v>
      </c>
      <c r="B20" s="29" t="n">
        <v>44567</v>
      </c>
      <c r="C20" s="21" t="s">
        <v>3554</v>
      </c>
      <c r="D20" s="21" t="s">
        <v>24</v>
      </c>
      <c r="E20" s="21" t="s">
        <v>34</v>
      </c>
      <c r="F20" s="21" t="s">
        <v>169</v>
      </c>
      <c r="G20" s="30" t="s">
        <v>3555</v>
      </c>
      <c r="H20" s="45" t="str">
        <f aca="false">HYPERLINK("https://photos.app.goo.gl/7Q9Gqr3UmY1kKSzr8", "Completo")</f>
        <v>Completo</v>
      </c>
      <c r="I20" s="21" t="s">
        <v>28</v>
      </c>
      <c r="J20" s="21"/>
      <c r="K20" s="21"/>
      <c r="L20" s="21"/>
      <c r="M20" s="21"/>
      <c r="N20" s="30"/>
      <c r="O20" s="21"/>
      <c r="P20" s="21"/>
      <c r="Q20" s="21"/>
      <c r="R20" s="32"/>
      <c r="S20" s="32"/>
      <c r="T20" s="21"/>
      <c r="U20" s="21"/>
      <c r="V20" s="21"/>
      <c r="W20" s="21"/>
      <c r="X20" s="21" t="s">
        <v>28</v>
      </c>
    </row>
    <row r="21" customFormat="false" ht="15.75" hidden="false" customHeight="false" outlineLevel="0" collapsed="false">
      <c r="A21" s="63" t="n">
        <v>840091</v>
      </c>
      <c r="B21" s="29" t="n">
        <v>44567</v>
      </c>
      <c r="C21" s="21" t="s">
        <v>3554</v>
      </c>
      <c r="D21" s="21" t="s">
        <v>24</v>
      </c>
      <c r="E21" s="21" t="s">
        <v>34</v>
      </c>
      <c r="F21" s="21" t="s">
        <v>169</v>
      </c>
      <c r="G21" s="30" t="s">
        <v>3556</v>
      </c>
      <c r="H21" s="45" t="str">
        <f aca="false">HYPERLINK("https://photos.app.goo.gl/M8B4UUEiwmUpTnNp9", "Completo")</f>
        <v>Completo</v>
      </c>
      <c r="I21" s="21" t="s">
        <v>28</v>
      </c>
      <c r="J21" s="21"/>
      <c r="K21" s="21"/>
      <c r="L21" s="21"/>
      <c r="M21" s="21"/>
      <c r="N21" s="30"/>
      <c r="O21" s="21"/>
      <c r="P21" s="21"/>
      <c r="Q21" s="21"/>
      <c r="R21" s="32"/>
      <c r="S21" s="32"/>
      <c r="T21" s="21"/>
      <c r="U21" s="21"/>
      <c r="V21" s="21"/>
      <c r="W21" s="21"/>
      <c r="X21" s="21" t="s">
        <v>28</v>
      </c>
    </row>
    <row r="22" customFormat="false" ht="15.75" hidden="false" customHeight="false" outlineLevel="0" collapsed="false">
      <c r="A22" s="63" t="n">
        <v>841155</v>
      </c>
      <c r="B22" s="86" t="n">
        <v>44567</v>
      </c>
      <c r="C22" s="25" t="s">
        <v>3554</v>
      </c>
      <c r="D22" s="25" t="s">
        <v>24</v>
      </c>
      <c r="E22" s="25" t="s">
        <v>34</v>
      </c>
      <c r="F22" s="21" t="s">
        <v>169</v>
      </c>
      <c r="G22" s="30" t="s">
        <v>3557</v>
      </c>
      <c r="H22" s="45" t="str">
        <f aca="false">HYPERLINK("https://photos.app.goo.gl/vEnKuKCzzSrPnym36", "Completo")</f>
        <v>Completo</v>
      </c>
      <c r="I22" s="21" t="s">
        <v>28</v>
      </c>
      <c r="J22" s="21"/>
      <c r="K22" s="21"/>
      <c r="L22" s="21"/>
      <c r="M22" s="21"/>
      <c r="N22" s="30"/>
      <c r="O22" s="21"/>
      <c r="P22" s="21"/>
      <c r="Q22" s="21"/>
      <c r="R22" s="32"/>
      <c r="S22" s="32"/>
      <c r="T22" s="21"/>
      <c r="U22" s="21"/>
      <c r="V22" s="21"/>
      <c r="W22" s="21"/>
      <c r="X22" s="21" t="s">
        <v>28</v>
      </c>
    </row>
    <row r="23" customFormat="false" ht="15.75" hidden="false" customHeight="false" outlineLevel="0" collapsed="false">
      <c r="A23" s="61" t="n">
        <v>6188</v>
      </c>
      <c r="B23" s="29" t="n">
        <v>44567</v>
      </c>
      <c r="C23" s="21" t="s">
        <v>3558</v>
      </c>
      <c r="D23" s="25" t="s">
        <v>24</v>
      </c>
      <c r="E23" s="25" t="s">
        <v>34</v>
      </c>
      <c r="F23" s="21" t="s">
        <v>3559</v>
      </c>
      <c r="G23" s="30"/>
      <c r="H23" s="31" t="s">
        <v>37</v>
      </c>
      <c r="I23" s="21" t="s">
        <v>37</v>
      </c>
      <c r="J23" s="21"/>
      <c r="K23" s="21"/>
      <c r="L23" s="21"/>
      <c r="M23" s="21"/>
      <c r="N23" s="30"/>
      <c r="O23" s="21"/>
      <c r="P23" s="21"/>
      <c r="Q23" s="21"/>
      <c r="R23" s="32"/>
      <c r="S23" s="32"/>
      <c r="T23" s="21"/>
      <c r="U23" s="21"/>
      <c r="V23" s="21"/>
      <c r="W23" s="21"/>
      <c r="X23" s="21" t="s">
        <v>28</v>
      </c>
    </row>
    <row r="24" customFormat="false" ht="15.75" hidden="false" customHeight="false" outlineLevel="0" collapsed="false">
      <c r="A24" s="61" t="n">
        <v>6190</v>
      </c>
      <c r="B24" s="29" t="n">
        <v>44567</v>
      </c>
      <c r="C24" s="21" t="s">
        <v>3554</v>
      </c>
      <c r="D24" s="21" t="s">
        <v>24</v>
      </c>
      <c r="E24" s="21" t="s">
        <v>34</v>
      </c>
      <c r="F24" s="21" t="s">
        <v>3560</v>
      </c>
      <c r="G24" s="30" t="s">
        <v>3561</v>
      </c>
      <c r="H24" s="45" t="str">
        <f aca="false">HYPERLINK("https://photos.app.goo.gl/h2XgSkqftpA2Brne9", "Completo")</f>
        <v>Completo</v>
      </c>
      <c r="I24" s="21" t="s">
        <v>28</v>
      </c>
      <c r="J24" s="21"/>
      <c r="K24" s="21"/>
      <c r="L24" s="21"/>
      <c r="M24" s="21"/>
      <c r="N24" s="30"/>
      <c r="O24" s="21"/>
      <c r="P24" s="21"/>
      <c r="Q24" s="21"/>
      <c r="R24" s="32"/>
      <c r="S24" s="32"/>
      <c r="T24" s="21"/>
      <c r="U24" s="21"/>
      <c r="V24" s="21"/>
      <c r="W24" s="21"/>
      <c r="X24" s="21" t="s">
        <v>28</v>
      </c>
    </row>
    <row r="25" customFormat="false" ht="15.75" hidden="false" customHeight="false" outlineLevel="0" collapsed="false">
      <c r="A25" s="61" t="n">
        <v>6191</v>
      </c>
      <c r="B25" s="29" t="n">
        <v>44567</v>
      </c>
      <c r="C25" s="21" t="s">
        <v>1328</v>
      </c>
      <c r="D25" s="21" t="s">
        <v>24</v>
      </c>
      <c r="E25" s="21" t="s">
        <v>34</v>
      </c>
      <c r="F25" s="21" t="s">
        <v>3562</v>
      </c>
      <c r="G25" s="30"/>
      <c r="H25" s="31"/>
      <c r="I25" s="21"/>
      <c r="J25" s="21"/>
      <c r="K25" s="21"/>
      <c r="L25" s="21"/>
      <c r="M25" s="21"/>
      <c r="N25" s="30"/>
      <c r="O25" s="21"/>
      <c r="P25" s="21"/>
      <c r="Q25" s="21"/>
      <c r="R25" s="32"/>
      <c r="S25" s="32"/>
      <c r="T25" s="21"/>
      <c r="U25" s="21"/>
      <c r="V25" s="21"/>
      <c r="W25" s="21"/>
      <c r="X25" s="21" t="s">
        <v>28</v>
      </c>
    </row>
    <row r="26" customFormat="false" ht="15.75" hidden="false" customHeight="false" outlineLevel="0" collapsed="false">
      <c r="A26" s="61" t="n">
        <v>6192</v>
      </c>
      <c r="B26" s="29" t="n">
        <v>44203</v>
      </c>
      <c r="C26" s="21" t="s">
        <v>1666</v>
      </c>
      <c r="D26" s="21" t="s">
        <v>24</v>
      </c>
      <c r="E26" s="21" t="s">
        <v>34</v>
      </c>
      <c r="F26" s="21" t="s">
        <v>3563</v>
      </c>
      <c r="G26" s="30"/>
      <c r="H26" s="31"/>
      <c r="I26" s="21"/>
      <c r="J26" s="21"/>
      <c r="K26" s="21"/>
      <c r="L26" s="21"/>
      <c r="M26" s="21"/>
      <c r="N26" s="30"/>
      <c r="O26" s="21"/>
      <c r="P26" s="21"/>
      <c r="Q26" s="21"/>
      <c r="R26" s="32"/>
      <c r="S26" s="32"/>
      <c r="T26" s="21"/>
      <c r="U26" s="21"/>
      <c r="V26" s="21"/>
      <c r="W26" s="21"/>
      <c r="X26" s="21" t="s">
        <v>28</v>
      </c>
    </row>
    <row r="27" customFormat="false" ht="15.75" hidden="false" customHeight="false" outlineLevel="0" collapsed="false">
      <c r="A27" s="61" t="n">
        <v>6193</v>
      </c>
      <c r="B27" s="86" t="n">
        <v>44567</v>
      </c>
      <c r="C27" s="25" t="s">
        <v>3554</v>
      </c>
      <c r="D27" s="25" t="s">
        <v>24</v>
      </c>
      <c r="E27" s="25" t="s">
        <v>34</v>
      </c>
      <c r="F27" s="21" t="s">
        <v>169</v>
      </c>
      <c r="G27" s="30"/>
      <c r="H27" s="31"/>
      <c r="I27" s="21"/>
      <c r="J27" s="21"/>
      <c r="K27" s="21"/>
      <c r="L27" s="21"/>
      <c r="M27" s="21"/>
      <c r="N27" s="30"/>
      <c r="O27" s="21" t="s">
        <v>28</v>
      </c>
      <c r="P27" s="74" t="s">
        <v>28</v>
      </c>
      <c r="Q27" s="21" t="s">
        <v>2833</v>
      </c>
      <c r="R27" s="32" t="s">
        <v>2850</v>
      </c>
      <c r="S27" s="32" t="s">
        <v>29</v>
      </c>
      <c r="T27" s="21"/>
      <c r="U27" s="21"/>
      <c r="V27" s="21"/>
      <c r="W27" s="21"/>
      <c r="X27" s="21" t="s">
        <v>28</v>
      </c>
    </row>
    <row r="28" customFormat="false" ht="15.75" hidden="false" customHeight="false" outlineLevel="0" collapsed="false">
      <c r="A28" s="61" t="n">
        <v>6194</v>
      </c>
      <c r="B28" s="29" t="n">
        <v>44568</v>
      </c>
      <c r="C28" s="21" t="s">
        <v>1456</v>
      </c>
      <c r="D28" s="21" t="s">
        <v>24</v>
      </c>
      <c r="E28" s="21" t="s">
        <v>34</v>
      </c>
      <c r="F28" s="21" t="s">
        <v>3564</v>
      </c>
      <c r="G28" s="30"/>
      <c r="H28" s="31"/>
      <c r="I28" s="21"/>
      <c r="J28" s="21"/>
      <c r="K28" s="21"/>
      <c r="L28" s="21"/>
      <c r="M28" s="21"/>
      <c r="N28" s="30"/>
      <c r="O28" s="21"/>
      <c r="P28" s="66"/>
      <c r="Q28" s="21"/>
      <c r="R28" s="32"/>
      <c r="S28" s="32"/>
      <c r="T28" s="21"/>
      <c r="U28" s="21"/>
      <c r="V28" s="21"/>
      <c r="W28" s="21"/>
      <c r="X28" s="21" t="s">
        <v>28</v>
      </c>
    </row>
    <row r="29" customFormat="false" ht="15.75" hidden="false" customHeight="false" outlineLevel="0" collapsed="false">
      <c r="A29" s="61" t="n">
        <v>6195</v>
      </c>
      <c r="B29" s="86" t="n">
        <v>44206</v>
      </c>
      <c r="C29" s="25" t="s">
        <v>3565</v>
      </c>
      <c r="D29" s="25" t="s">
        <v>24</v>
      </c>
      <c r="E29" s="25" t="s">
        <v>34</v>
      </c>
      <c r="F29" s="21" t="s">
        <v>3566</v>
      </c>
      <c r="G29" s="30"/>
      <c r="H29" s="31"/>
      <c r="I29" s="21"/>
      <c r="J29" s="21"/>
      <c r="K29" s="21"/>
      <c r="L29" s="21"/>
      <c r="M29" s="21"/>
      <c r="N29" s="30"/>
      <c r="O29" s="21"/>
      <c r="P29" s="21"/>
      <c r="Q29" s="21"/>
      <c r="R29" s="32"/>
      <c r="S29" s="32"/>
      <c r="T29" s="21"/>
      <c r="U29" s="21"/>
      <c r="V29" s="21"/>
      <c r="W29" s="21"/>
      <c r="X29" s="21" t="s">
        <v>28</v>
      </c>
    </row>
    <row r="30" customFormat="false" ht="15.75" hidden="false" customHeight="false" outlineLevel="0" collapsed="false">
      <c r="A30" s="61" t="n">
        <v>6196</v>
      </c>
      <c r="B30" s="86" t="n">
        <v>44206</v>
      </c>
      <c r="C30" s="21" t="s">
        <v>1290</v>
      </c>
      <c r="D30" s="21" t="s">
        <v>24</v>
      </c>
      <c r="E30" s="21" t="s">
        <v>34</v>
      </c>
      <c r="F30" s="21" t="s">
        <v>3567</v>
      </c>
      <c r="G30" s="30"/>
      <c r="H30" s="31"/>
      <c r="I30" s="21"/>
      <c r="J30" s="21"/>
      <c r="K30" s="21"/>
      <c r="L30" s="21"/>
      <c r="M30" s="21"/>
      <c r="N30" s="30"/>
      <c r="O30" s="21"/>
      <c r="P30" s="21"/>
      <c r="Q30" s="21"/>
      <c r="R30" s="32"/>
      <c r="S30" s="32"/>
      <c r="T30" s="21"/>
      <c r="U30" s="21"/>
      <c r="V30" s="21"/>
      <c r="W30" s="21"/>
      <c r="X30" s="21" t="s">
        <v>28</v>
      </c>
    </row>
    <row r="31" customFormat="false" ht="15.75" hidden="false" customHeight="false" outlineLevel="0" collapsed="false">
      <c r="A31" s="61" t="n">
        <v>6197</v>
      </c>
      <c r="B31" s="29" t="n">
        <v>44571</v>
      </c>
      <c r="C31" s="21" t="s">
        <v>3568</v>
      </c>
      <c r="D31" s="21" t="s">
        <v>24</v>
      </c>
      <c r="E31" s="21" t="s">
        <v>74</v>
      </c>
      <c r="F31" s="21" t="s">
        <v>3569</v>
      </c>
      <c r="G31" s="30" t="s">
        <v>3570</v>
      </c>
      <c r="H31" s="45" t="str">
        <f aca="false">HYPERLINK("https://photos.app.goo.gl/cKUM5kEoUAgHfFdR6", "Completo")</f>
        <v>Completo</v>
      </c>
      <c r="I31" s="21" t="s">
        <v>28</v>
      </c>
      <c r="J31" s="21"/>
      <c r="K31" s="21"/>
      <c r="L31" s="21" t="s">
        <v>3571</v>
      </c>
      <c r="M31" s="21" t="s">
        <v>3572</v>
      </c>
      <c r="N31" s="30"/>
      <c r="O31" s="21"/>
      <c r="P31" s="21"/>
      <c r="Q31" s="21"/>
      <c r="R31" s="32"/>
      <c r="S31" s="32"/>
      <c r="T31" s="21"/>
      <c r="U31" s="21"/>
      <c r="V31" s="21"/>
      <c r="W31" s="21"/>
      <c r="X31" s="21" t="s">
        <v>37</v>
      </c>
    </row>
    <row r="32" customFormat="false" ht="15.75" hidden="false" customHeight="false" outlineLevel="0" collapsed="false">
      <c r="A32" s="61" t="n">
        <v>6198</v>
      </c>
      <c r="B32" s="29" t="n">
        <v>44571</v>
      </c>
      <c r="C32" s="21" t="s">
        <v>3573</v>
      </c>
      <c r="D32" s="21" t="s">
        <v>24</v>
      </c>
      <c r="E32" s="21" t="s">
        <v>74</v>
      </c>
      <c r="F32" s="21" t="s">
        <v>3569</v>
      </c>
      <c r="G32" s="30" t="s">
        <v>3574</v>
      </c>
      <c r="H32" s="45" t="str">
        <f aca="false">HYPERLINK("https://photos.app.goo.gl/Z2By5BnJTAd6HUnQ6", "Completo")</f>
        <v>Completo</v>
      </c>
      <c r="I32" s="21" t="s">
        <v>28</v>
      </c>
      <c r="J32" s="21"/>
      <c r="K32" s="21"/>
      <c r="L32" s="21" t="s">
        <v>3571</v>
      </c>
      <c r="M32" s="21" t="s">
        <v>3572</v>
      </c>
      <c r="N32" s="30"/>
      <c r="O32" s="21"/>
      <c r="P32" s="21"/>
      <c r="Q32" s="21"/>
      <c r="R32" s="32"/>
      <c r="S32" s="32"/>
      <c r="T32" s="21"/>
      <c r="U32" s="21"/>
      <c r="V32" s="21"/>
      <c r="W32" s="21"/>
      <c r="X32" s="21" t="s">
        <v>37</v>
      </c>
    </row>
    <row r="33" customFormat="false" ht="15.75" hidden="false" customHeight="false" outlineLevel="0" collapsed="false">
      <c r="A33" s="61" t="n">
        <v>6199</v>
      </c>
      <c r="B33" s="29" t="n">
        <v>44571</v>
      </c>
      <c r="C33" s="21" t="s">
        <v>3575</v>
      </c>
      <c r="D33" s="21" t="s">
        <v>24</v>
      </c>
      <c r="E33" s="21" t="s">
        <v>74</v>
      </c>
      <c r="F33" s="21" t="s">
        <v>3576</v>
      </c>
      <c r="G33" s="30" t="s">
        <v>3577</v>
      </c>
      <c r="H33" s="45" t="str">
        <f aca="false">HYPERLINK("https://photos.app.goo.gl/Q1hCAS9THkE8atuf8", "Completo")</f>
        <v>Completo</v>
      </c>
      <c r="I33" s="21" t="s">
        <v>28</v>
      </c>
      <c r="J33" s="21"/>
      <c r="K33" s="21"/>
      <c r="L33" s="21" t="s">
        <v>3578</v>
      </c>
      <c r="M33" s="21" t="s">
        <v>3579</v>
      </c>
      <c r="N33" s="30" t="s">
        <v>3580</v>
      </c>
      <c r="O33" s="21" t="s">
        <v>28</v>
      </c>
      <c r="P33" s="21" t="s">
        <v>28</v>
      </c>
      <c r="Q33" s="21" t="s">
        <v>2515</v>
      </c>
      <c r="R33" s="32" t="s">
        <v>25</v>
      </c>
      <c r="S33" s="32"/>
      <c r="T33" s="21"/>
      <c r="U33" s="21"/>
      <c r="V33" s="21"/>
      <c r="W33" s="21"/>
      <c r="X33" s="21" t="s">
        <v>28</v>
      </c>
    </row>
    <row r="34" customFormat="false" ht="15.75" hidden="false" customHeight="false" outlineLevel="0" collapsed="false">
      <c r="A34" s="61" t="n">
        <v>6200</v>
      </c>
      <c r="B34" s="29" t="n">
        <v>44571</v>
      </c>
      <c r="C34" s="21" t="s">
        <v>3575</v>
      </c>
      <c r="D34" s="21" t="s">
        <v>24</v>
      </c>
      <c r="E34" s="21" t="s">
        <v>74</v>
      </c>
      <c r="F34" s="21" t="s">
        <v>3581</v>
      </c>
      <c r="G34" s="30" t="s">
        <v>3582</v>
      </c>
      <c r="H34" s="45" t="str">
        <f aca="false">HYPERLINK("https://photos.app.goo.gl/GcuskANxRkvUXd7M6", "Completo")</f>
        <v>Completo</v>
      </c>
      <c r="I34" s="21" t="s">
        <v>28</v>
      </c>
      <c r="J34" s="21"/>
      <c r="K34" s="21"/>
      <c r="L34" s="21" t="s">
        <v>3578</v>
      </c>
      <c r="M34" s="21" t="s">
        <v>3579</v>
      </c>
      <c r="N34" s="30"/>
      <c r="O34" s="21"/>
      <c r="P34" s="21"/>
      <c r="Q34" s="21"/>
      <c r="R34" s="32"/>
      <c r="S34" s="32"/>
      <c r="T34" s="21"/>
      <c r="U34" s="21"/>
      <c r="V34" s="21"/>
      <c r="W34" s="21"/>
      <c r="X34" s="21" t="s">
        <v>28</v>
      </c>
    </row>
    <row r="35" customFormat="false" ht="15.75" hidden="false" customHeight="false" outlineLevel="0" collapsed="false">
      <c r="A35" s="61" t="n">
        <v>6201</v>
      </c>
      <c r="B35" s="29" t="n">
        <v>44571</v>
      </c>
      <c r="C35" s="21" t="s">
        <v>3575</v>
      </c>
      <c r="D35" s="21" t="s">
        <v>24</v>
      </c>
      <c r="E35" s="21" t="s">
        <v>74</v>
      </c>
      <c r="F35" s="21" t="s">
        <v>3581</v>
      </c>
      <c r="G35" s="30" t="s">
        <v>3582</v>
      </c>
      <c r="H35" s="45" t="str">
        <f aca="false">HYPERLINK("https://photos.app.goo.gl/pQ3MUNV9ARUffHor5", "Completo")</f>
        <v>Completo</v>
      </c>
      <c r="I35" s="21" t="s">
        <v>28</v>
      </c>
      <c r="J35" s="21"/>
      <c r="K35" s="21"/>
      <c r="L35" s="21" t="s">
        <v>3578</v>
      </c>
      <c r="M35" s="21" t="s">
        <v>3579</v>
      </c>
      <c r="N35" s="30"/>
      <c r="O35" s="21"/>
      <c r="P35" s="21"/>
      <c r="Q35" s="21"/>
      <c r="R35" s="32"/>
      <c r="S35" s="32"/>
      <c r="T35" s="21"/>
      <c r="U35" s="21"/>
      <c r="V35" s="21"/>
      <c r="W35" s="21"/>
      <c r="X35" s="21" t="s">
        <v>28</v>
      </c>
    </row>
    <row r="36" customFormat="false" ht="15.75" hidden="false" customHeight="false" outlineLevel="0" collapsed="false">
      <c r="A36" s="61" t="n">
        <v>6202</v>
      </c>
      <c r="B36" s="29" t="n">
        <v>44571</v>
      </c>
      <c r="C36" s="21" t="s">
        <v>299</v>
      </c>
      <c r="D36" s="21" t="s">
        <v>24</v>
      </c>
      <c r="E36" s="21" t="s">
        <v>34</v>
      </c>
      <c r="F36" s="21" t="s">
        <v>119</v>
      </c>
      <c r="G36" s="30"/>
      <c r="H36" s="31"/>
      <c r="I36" s="21"/>
      <c r="J36" s="21"/>
      <c r="K36" s="21"/>
      <c r="L36" s="21"/>
      <c r="M36" s="21"/>
      <c r="N36" s="30"/>
      <c r="O36" s="21"/>
      <c r="P36" s="21"/>
      <c r="Q36" s="21"/>
      <c r="R36" s="32"/>
      <c r="S36" s="32"/>
      <c r="T36" s="21"/>
      <c r="U36" s="21"/>
      <c r="V36" s="21"/>
      <c r="W36" s="21"/>
      <c r="X36" s="21" t="s">
        <v>28</v>
      </c>
    </row>
    <row r="37" customFormat="false" ht="15.75" hidden="false" customHeight="false" outlineLevel="0" collapsed="false">
      <c r="A37" s="61" t="n">
        <v>6203</v>
      </c>
      <c r="B37" s="29" t="n">
        <v>44572</v>
      </c>
      <c r="C37" s="21" t="s">
        <v>2311</v>
      </c>
      <c r="D37" s="21" t="s">
        <v>24</v>
      </c>
      <c r="E37" s="21" t="s">
        <v>25</v>
      </c>
      <c r="F37" s="21" t="s">
        <v>3583</v>
      </c>
      <c r="G37" s="30"/>
      <c r="H37" s="45" t="str">
        <f aca="false">HYPERLINK("https://photos.app.goo.gl/Aa2yqPafn7hJ7tx69", "Completo")</f>
        <v>Completo</v>
      </c>
      <c r="I37" s="21" t="s">
        <v>28</v>
      </c>
      <c r="J37" s="21"/>
      <c r="K37" s="21"/>
      <c r="L37" s="21"/>
      <c r="M37" s="21"/>
      <c r="N37" s="30"/>
      <c r="O37" s="21" t="s">
        <v>28</v>
      </c>
      <c r="P37" s="74" t="s">
        <v>28</v>
      </c>
      <c r="Q37" s="21" t="s">
        <v>1062</v>
      </c>
      <c r="R37" s="32" t="s">
        <v>74</v>
      </c>
      <c r="S37" s="32"/>
      <c r="T37" s="21"/>
      <c r="U37" s="21"/>
      <c r="V37" s="21"/>
      <c r="W37" s="21"/>
      <c r="X37" s="21" t="s">
        <v>28</v>
      </c>
    </row>
    <row r="38" customFormat="false" ht="15.75" hidden="false" customHeight="false" outlineLevel="0" collapsed="false">
      <c r="A38" s="61" t="n">
        <v>6204</v>
      </c>
      <c r="B38" s="29" t="n">
        <v>44572</v>
      </c>
      <c r="C38" s="21" t="s">
        <v>3584</v>
      </c>
      <c r="D38" s="21" t="s">
        <v>24</v>
      </c>
      <c r="E38" s="21" t="s">
        <v>25</v>
      </c>
      <c r="F38" s="21" t="s">
        <v>3585</v>
      </c>
      <c r="G38" s="30"/>
      <c r="H38" s="45" t="str">
        <f aca="false">HYPERLINK("https://photos.app.goo.gl/JgXx91YnNkSyiqMV9", "Completo")</f>
        <v>Completo</v>
      </c>
      <c r="I38" s="21" t="s">
        <v>28</v>
      </c>
      <c r="J38" s="21" t="n">
        <v>3541612671</v>
      </c>
      <c r="K38" s="21" t="s">
        <v>3586</v>
      </c>
      <c r="L38" s="21"/>
      <c r="M38" s="21"/>
      <c r="N38" s="30"/>
      <c r="O38" s="21"/>
      <c r="P38" s="21"/>
      <c r="Q38" s="21"/>
      <c r="R38" s="32"/>
      <c r="S38" s="32"/>
      <c r="T38" s="21"/>
      <c r="U38" s="21"/>
      <c r="V38" s="21"/>
      <c r="W38" s="21"/>
      <c r="X38" s="21" t="s">
        <v>28</v>
      </c>
    </row>
    <row r="39" customFormat="false" ht="15.75" hidden="false" customHeight="false" outlineLevel="0" collapsed="false">
      <c r="A39" s="61" t="n">
        <v>6205</v>
      </c>
      <c r="B39" s="29" t="n">
        <v>44876</v>
      </c>
      <c r="C39" s="21" t="s">
        <v>38</v>
      </c>
      <c r="D39" s="21" t="s">
        <v>24</v>
      </c>
      <c r="E39" s="21" t="s">
        <v>34</v>
      </c>
      <c r="F39" s="21" t="s">
        <v>3587</v>
      </c>
      <c r="G39" s="30"/>
      <c r="H39" s="31" t="s">
        <v>28</v>
      </c>
      <c r="I39" s="21"/>
      <c r="J39" s="21"/>
      <c r="K39" s="21"/>
      <c r="L39" s="21"/>
      <c r="M39" s="21"/>
      <c r="N39" s="30"/>
      <c r="O39" s="21"/>
      <c r="P39" s="21"/>
      <c r="Q39" s="21"/>
      <c r="R39" s="32"/>
      <c r="S39" s="32"/>
      <c r="T39" s="21"/>
      <c r="U39" s="21"/>
      <c r="V39" s="21"/>
      <c r="W39" s="21"/>
      <c r="X39" s="21" t="s">
        <v>28</v>
      </c>
    </row>
    <row r="40" customFormat="false" ht="15.75" hidden="false" customHeight="false" outlineLevel="0" collapsed="false">
      <c r="A40" s="61" t="n">
        <v>6206</v>
      </c>
      <c r="B40" s="29" t="n">
        <v>44574</v>
      </c>
      <c r="C40" s="21" t="s">
        <v>3588</v>
      </c>
      <c r="D40" s="21" t="s">
        <v>3589</v>
      </c>
      <c r="E40" s="21" t="s">
        <v>25</v>
      </c>
      <c r="F40" s="21" t="s">
        <v>3590</v>
      </c>
      <c r="G40" s="30"/>
      <c r="H40" s="45" t="str">
        <f aca="false">HYPERLINK("https://photos.app.goo.gl/wqbHzEwNDNPR9N666", "Completo")</f>
        <v>Completo</v>
      </c>
      <c r="I40" s="21" t="s">
        <v>28</v>
      </c>
      <c r="J40" s="21"/>
      <c r="K40" s="21"/>
      <c r="L40" s="21"/>
      <c r="M40" s="21"/>
      <c r="N40" s="30"/>
      <c r="O40" s="21"/>
      <c r="P40" s="21"/>
      <c r="Q40" s="21"/>
      <c r="R40" s="32"/>
      <c r="S40" s="32"/>
      <c r="T40" s="21"/>
      <c r="U40" s="21"/>
      <c r="V40" s="21"/>
      <c r="W40" s="21"/>
      <c r="X40" s="21" t="s">
        <v>37</v>
      </c>
    </row>
    <row r="41" customFormat="false" ht="15.75" hidden="false" customHeight="false" outlineLevel="0" collapsed="false">
      <c r="A41" s="61" t="n">
        <v>6207</v>
      </c>
      <c r="B41" s="29" t="n">
        <v>44574</v>
      </c>
      <c r="C41" s="21" t="s">
        <v>3427</v>
      </c>
      <c r="D41" s="21" t="s">
        <v>24</v>
      </c>
      <c r="E41" s="21" t="s">
        <v>25</v>
      </c>
      <c r="F41" s="21" t="s">
        <v>3591</v>
      </c>
      <c r="G41" s="30"/>
      <c r="H41" s="45" t="str">
        <f aca="false">HYPERLINK("https://photos.app.goo.gl/psSoggMZAnPHG45z5", "Completo")</f>
        <v>Completo</v>
      </c>
      <c r="I41" s="21" t="s">
        <v>28</v>
      </c>
      <c r="J41" s="21"/>
      <c r="K41" s="21"/>
      <c r="L41" s="21"/>
      <c r="M41" s="21"/>
      <c r="N41" s="30"/>
      <c r="O41" s="21"/>
      <c r="P41" s="21"/>
      <c r="Q41" s="21"/>
      <c r="R41" s="32"/>
      <c r="S41" s="32"/>
      <c r="T41" s="21"/>
      <c r="U41" s="21"/>
      <c r="V41" s="21"/>
      <c r="W41" s="21"/>
      <c r="X41" s="21" t="s">
        <v>28</v>
      </c>
    </row>
    <row r="42" customFormat="false" ht="15.75" hidden="false" customHeight="false" outlineLevel="0" collapsed="false">
      <c r="A42" s="61" t="n">
        <v>6208</v>
      </c>
      <c r="B42" s="29" t="n">
        <v>44574</v>
      </c>
      <c r="C42" s="21" t="s">
        <v>926</v>
      </c>
      <c r="D42" s="21" t="s">
        <v>24</v>
      </c>
      <c r="E42" s="21" t="s">
        <v>34</v>
      </c>
      <c r="F42" s="21" t="s">
        <v>3592</v>
      </c>
      <c r="G42" s="30"/>
      <c r="H42" s="31"/>
      <c r="I42" s="21"/>
      <c r="J42" s="21"/>
      <c r="K42" s="21"/>
      <c r="L42" s="21"/>
      <c r="M42" s="21"/>
      <c r="N42" s="30"/>
      <c r="O42" s="21"/>
      <c r="P42" s="21"/>
      <c r="Q42" s="21"/>
      <c r="R42" s="32"/>
      <c r="S42" s="32"/>
      <c r="T42" s="21"/>
      <c r="U42" s="21"/>
      <c r="V42" s="21"/>
      <c r="W42" s="21"/>
      <c r="X42" s="21" t="s">
        <v>28</v>
      </c>
    </row>
    <row r="43" customFormat="false" ht="15.75" hidden="false" customHeight="false" outlineLevel="0" collapsed="false">
      <c r="A43" s="61" t="n">
        <v>6209</v>
      </c>
      <c r="B43" s="29" t="n">
        <v>44574</v>
      </c>
      <c r="C43" s="21" t="s">
        <v>926</v>
      </c>
      <c r="D43" s="21" t="s">
        <v>24</v>
      </c>
      <c r="E43" s="21" t="s">
        <v>34</v>
      </c>
      <c r="F43" s="21" t="s">
        <v>3592</v>
      </c>
      <c r="G43" s="30"/>
      <c r="H43" s="31"/>
      <c r="I43" s="21"/>
      <c r="J43" s="21"/>
      <c r="K43" s="21"/>
      <c r="L43" s="21"/>
      <c r="M43" s="21"/>
      <c r="N43" s="30"/>
      <c r="O43" s="21"/>
      <c r="P43" s="21"/>
      <c r="Q43" s="21"/>
      <c r="R43" s="32"/>
      <c r="S43" s="32"/>
      <c r="T43" s="21"/>
      <c r="U43" s="21"/>
      <c r="V43" s="21"/>
      <c r="W43" s="21"/>
      <c r="X43" s="21" t="s">
        <v>28</v>
      </c>
    </row>
    <row r="44" customFormat="false" ht="15.75" hidden="false" customHeight="false" outlineLevel="0" collapsed="false">
      <c r="A44" s="61" t="n">
        <v>6210</v>
      </c>
      <c r="B44" s="29" t="n">
        <v>44574</v>
      </c>
      <c r="C44" s="21" t="s">
        <v>926</v>
      </c>
      <c r="D44" s="21" t="s">
        <v>24</v>
      </c>
      <c r="E44" s="21" t="s">
        <v>34</v>
      </c>
      <c r="F44" s="21" t="s">
        <v>3592</v>
      </c>
      <c r="G44" s="30"/>
      <c r="H44" s="31"/>
      <c r="I44" s="21"/>
      <c r="J44" s="21"/>
      <c r="K44" s="21"/>
      <c r="L44" s="21"/>
      <c r="M44" s="21"/>
      <c r="N44" s="30"/>
      <c r="O44" s="21"/>
      <c r="P44" s="21"/>
      <c r="Q44" s="21"/>
      <c r="R44" s="32"/>
      <c r="S44" s="32"/>
      <c r="T44" s="21"/>
      <c r="U44" s="21"/>
      <c r="V44" s="21"/>
      <c r="W44" s="21"/>
      <c r="X44" s="21" t="s">
        <v>28</v>
      </c>
    </row>
    <row r="45" customFormat="false" ht="15.75" hidden="false" customHeight="false" outlineLevel="0" collapsed="false">
      <c r="A45" s="61" t="n">
        <v>6211</v>
      </c>
      <c r="B45" s="29" t="n">
        <v>44574</v>
      </c>
      <c r="C45" s="21" t="s">
        <v>926</v>
      </c>
      <c r="D45" s="21" t="s">
        <v>24</v>
      </c>
      <c r="E45" s="21" t="s">
        <v>34</v>
      </c>
      <c r="F45" s="21" t="s">
        <v>3593</v>
      </c>
      <c r="G45" s="30"/>
      <c r="H45" s="31"/>
      <c r="I45" s="21"/>
      <c r="J45" s="21"/>
      <c r="K45" s="21"/>
      <c r="L45" s="21"/>
      <c r="M45" s="21"/>
      <c r="N45" s="30"/>
      <c r="O45" s="21"/>
      <c r="P45" s="21"/>
      <c r="Q45" s="21"/>
      <c r="R45" s="32"/>
      <c r="S45" s="32"/>
      <c r="T45" s="21"/>
      <c r="U45" s="21"/>
      <c r="V45" s="21"/>
      <c r="W45" s="21"/>
      <c r="X45" s="21" t="s">
        <v>28</v>
      </c>
    </row>
    <row r="46" customFormat="false" ht="15.75" hidden="false" customHeight="false" outlineLevel="0" collapsed="false">
      <c r="A46" s="61" t="n">
        <v>6212</v>
      </c>
      <c r="B46" s="29" t="n">
        <v>44574</v>
      </c>
      <c r="C46" s="21" t="s">
        <v>926</v>
      </c>
      <c r="D46" s="21" t="s">
        <v>24</v>
      </c>
      <c r="E46" s="21" t="s">
        <v>34</v>
      </c>
      <c r="F46" s="21" t="s">
        <v>3594</v>
      </c>
      <c r="G46" s="30"/>
      <c r="H46" s="31"/>
      <c r="I46" s="21"/>
      <c r="J46" s="21"/>
      <c r="K46" s="21"/>
      <c r="L46" s="21"/>
      <c r="M46" s="21"/>
      <c r="N46" s="30"/>
      <c r="O46" s="21"/>
      <c r="P46" s="21"/>
      <c r="Q46" s="21"/>
      <c r="R46" s="32"/>
      <c r="S46" s="32"/>
      <c r="T46" s="21"/>
      <c r="U46" s="21"/>
      <c r="V46" s="21"/>
      <c r="W46" s="21"/>
      <c r="X46" s="21" t="s">
        <v>28</v>
      </c>
    </row>
    <row r="47" customFormat="false" ht="15.75" hidden="false" customHeight="false" outlineLevel="0" collapsed="false">
      <c r="A47" s="61" t="n">
        <v>6213</v>
      </c>
      <c r="B47" s="29" t="n">
        <v>44575</v>
      </c>
      <c r="C47" s="21" t="s">
        <v>893</v>
      </c>
      <c r="D47" s="21" t="s">
        <v>24</v>
      </c>
      <c r="E47" s="21" t="s">
        <v>34</v>
      </c>
      <c r="F47" s="21" t="s">
        <v>3595</v>
      </c>
      <c r="G47" s="30"/>
      <c r="H47" s="31"/>
      <c r="I47" s="21"/>
      <c r="J47" s="21"/>
      <c r="K47" s="21"/>
      <c r="L47" s="21"/>
      <c r="M47" s="21"/>
      <c r="N47" s="30"/>
      <c r="O47" s="21"/>
      <c r="P47" s="21"/>
      <c r="Q47" s="21"/>
      <c r="R47" s="32"/>
      <c r="S47" s="32"/>
      <c r="T47" s="21"/>
      <c r="U47" s="21"/>
      <c r="V47" s="21"/>
      <c r="W47" s="21"/>
      <c r="X47" s="21" t="s">
        <v>28</v>
      </c>
    </row>
    <row r="48" customFormat="false" ht="15.75" hidden="false" customHeight="false" outlineLevel="0" collapsed="false">
      <c r="A48" s="61" t="n">
        <v>6214</v>
      </c>
      <c r="B48" s="29" t="n">
        <v>44575</v>
      </c>
      <c r="C48" s="21" t="s">
        <v>649</v>
      </c>
      <c r="D48" s="21" t="s">
        <v>24</v>
      </c>
      <c r="E48" s="21" t="s">
        <v>34</v>
      </c>
      <c r="F48" s="21" t="s">
        <v>3596</v>
      </c>
      <c r="G48" s="30"/>
      <c r="H48" s="31"/>
      <c r="I48" s="21"/>
      <c r="J48" s="21"/>
      <c r="K48" s="21"/>
      <c r="L48" s="21"/>
      <c r="M48" s="21"/>
      <c r="N48" s="30"/>
      <c r="O48" s="21"/>
      <c r="P48" s="21"/>
      <c r="Q48" s="21"/>
      <c r="R48" s="32"/>
      <c r="S48" s="32"/>
      <c r="T48" s="21"/>
      <c r="U48" s="21"/>
      <c r="V48" s="21"/>
      <c r="W48" s="21"/>
      <c r="X48" s="21" t="s">
        <v>28</v>
      </c>
    </row>
    <row r="49" customFormat="false" ht="15.75" hidden="false" customHeight="false" outlineLevel="0" collapsed="false">
      <c r="A49" s="61" t="n">
        <v>6215</v>
      </c>
      <c r="B49" s="29" t="n">
        <v>44575</v>
      </c>
      <c r="C49" s="21" t="s">
        <v>649</v>
      </c>
      <c r="D49" s="21" t="s">
        <v>24</v>
      </c>
      <c r="E49" s="21" t="s">
        <v>34</v>
      </c>
      <c r="F49" s="21" t="s">
        <v>3597</v>
      </c>
      <c r="G49" s="30"/>
      <c r="H49" s="31"/>
      <c r="I49" s="21"/>
      <c r="J49" s="21"/>
      <c r="K49" s="21"/>
      <c r="L49" s="21"/>
      <c r="M49" s="21"/>
      <c r="N49" s="30"/>
      <c r="O49" s="21"/>
      <c r="P49" s="21"/>
      <c r="Q49" s="21"/>
      <c r="R49" s="32"/>
      <c r="S49" s="32"/>
      <c r="T49" s="21"/>
      <c r="U49" s="21"/>
      <c r="V49" s="21"/>
      <c r="W49" s="21"/>
      <c r="X49" s="21" t="s">
        <v>28</v>
      </c>
    </row>
    <row r="50" customFormat="false" ht="15.75" hidden="false" customHeight="false" outlineLevel="0" collapsed="false">
      <c r="A50" s="61" t="n">
        <v>6216</v>
      </c>
      <c r="B50" s="29" t="n">
        <v>44575</v>
      </c>
      <c r="C50" s="21" t="s">
        <v>649</v>
      </c>
      <c r="D50" s="21" t="s">
        <v>24</v>
      </c>
      <c r="E50" s="21" t="s">
        <v>34</v>
      </c>
      <c r="F50" s="21" t="s">
        <v>3598</v>
      </c>
      <c r="G50" s="30"/>
      <c r="H50" s="31"/>
      <c r="I50" s="21"/>
      <c r="J50" s="21"/>
      <c r="K50" s="21"/>
      <c r="L50" s="21"/>
      <c r="M50" s="21"/>
      <c r="N50" s="30"/>
      <c r="O50" s="21"/>
      <c r="P50" s="21"/>
      <c r="Q50" s="21"/>
      <c r="R50" s="32"/>
      <c r="S50" s="32"/>
      <c r="T50" s="21"/>
      <c r="U50" s="21"/>
      <c r="V50" s="21"/>
      <c r="W50" s="21"/>
      <c r="X50" s="21" t="s">
        <v>28</v>
      </c>
    </row>
    <row r="51" customFormat="false" ht="15.75" hidden="false" customHeight="false" outlineLevel="0" collapsed="false">
      <c r="A51" s="61" t="n">
        <v>6217</v>
      </c>
      <c r="B51" s="29" t="n">
        <v>44575</v>
      </c>
      <c r="C51" s="21" t="s">
        <v>3599</v>
      </c>
      <c r="D51" s="21" t="s">
        <v>24</v>
      </c>
      <c r="E51" s="21" t="s">
        <v>74</v>
      </c>
      <c r="F51" s="21" t="s">
        <v>3600</v>
      </c>
      <c r="G51" s="30" t="s">
        <v>3601</v>
      </c>
      <c r="H51" s="45" t="str">
        <f aca="false">HYPERLINK("https://photos.app.goo.gl/F37T98qDE42ofQLs8", "Completo")</f>
        <v>Completo</v>
      </c>
      <c r="I51" s="21" t="s">
        <v>28</v>
      </c>
      <c r="J51" s="21" t="n">
        <v>3514750636</v>
      </c>
      <c r="K51" s="21" t="s">
        <v>3602</v>
      </c>
      <c r="L51" s="21" t="s">
        <v>3603</v>
      </c>
      <c r="M51" s="21" t="s">
        <v>2133</v>
      </c>
      <c r="N51" s="30"/>
      <c r="O51" s="21" t="s">
        <v>28</v>
      </c>
      <c r="P51" s="21" t="s">
        <v>37</v>
      </c>
      <c r="Q51" s="21" t="s">
        <v>2981</v>
      </c>
      <c r="R51" s="32" t="s">
        <v>3604</v>
      </c>
      <c r="S51" s="32" t="s">
        <v>36</v>
      </c>
      <c r="T51" s="21"/>
      <c r="U51" s="21"/>
      <c r="V51" s="21"/>
      <c r="W51" s="21"/>
      <c r="X51" s="21" t="s">
        <v>28</v>
      </c>
    </row>
    <row r="52" customFormat="false" ht="15.75" hidden="false" customHeight="false" outlineLevel="0" collapsed="false">
      <c r="A52" s="61" t="n">
        <v>6218</v>
      </c>
      <c r="B52" s="29" t="n">
        <v>44576</v>
      </c>
      <c r="C52" s="21" t="s">
        <v>649</v>
      </c>
      <c r="D52" s="21" t="s">
        <v>24</v>
      </c>
      <c r="E52" s="21" t="s">
        <v>34</v>
      </c>
      <c r="F52" s="21" t="s">
        <v>3605</v>
      </c>
      <c r="G52" s="30"/>
      <c r="H52" s="31"/>
      <c r="I52" s="21"/>
      <c r="J52" s="21"/>
      <c r="K52" s="21"/>
      <c r="L52" s="21"/>
      <c r="M52" s="21"/>
      <c r="N52" s="30"/>
      <c r="O52" s="21" t="s">
        <v>28</v>
      </c>
      <c r="P52" s="74" t="s">
        <v>28</v>
      </c>
      <c r="Q52" s="21" t="s">
        <v>2981</v>
      </c>
      <c r="R52" s="32" t="s">
        <v>2850</v>
      </c>
      <c r="S52" s="32" t="s">
        <v>36</v>
      </c>
      <c r="T52" s="21"/>
      <c r="U52" s="21"/>
      <c r="V52" s="21"/>
      <c r="W52" s="21"/>
      <c r="X52" s="21" t="s">
        <v>28</v>
      </c>
    </row>
    <row r="53" customFormat="false" ht="15.75" hidden="false" customHeight="false" outlineLevel="0" collapsed="false">
      <c r="A53" s="61" t="n">
        <v>6219</v>
      </c>
      <c r="B53" s="29" t="n">
        <v>44576</v>
      </c>
      <c r="C53" s="21" t="s">
        <v>649</v>
      </c>
      <c r="D53" s="21" t="s">
        <v>24</v>
      </c>
      <c r="E53" s="21" t="s">
        <v>34</v>
      </c>
      <c r="F53" s="21" t="s">
        <v>3605</v>
      </c>
      <c r="G53" s="30"/>
      <c r="H53" s="31"/>
      <c r="I53" s="21"/>
      <c r="J53" s="21"/>
      <c r="K53" s="21"/>
      <c r="L53" s="21"/>
      <c r="M53" s="21"/>
      <c r="N53" s="30"/>
      <c r="O53" s="21" t="s">
        <v>28</v>
      </c>
      <c r="P53" s="74" t="s">
        <v>28</v>
      </c>
      <c r="Q53" s="21" t="s">
        <v>2981</v>
      </c>
      <c r="R53" s="32" t="s">
        <v>2850</v>
      </c>
      <c r="S53" s="32" t="s">
        <v>36</v>
      </c>
      <c r="T53" s="21"/>
      <c r="U53" s="21"/>
      <c r="V53" s="21"/>
      <c r="W53" s="21"/>
      <c r="X53" s="21" t="s">
        <v>28</v>
      </c>
    </row>
    <row r="54" customFormat="false" ht="15.75" hidden="false" customHeight="false" outlineLevel="0" collapsed="false">
      <c r="A54" s="61" t="n">
        <v>6220</v>
      </c>
      <c r="B54" s="29" t="n">
        <v>44576</v>
      </c>
      <c r="C54" s="21" t="s">
        <v>649</v>
      </c>
      <c r="D54" s="21" t="s">
        <v>24</v>
      </c>
      <c r="E54" s="21" t="s">
        <v>34</v>
      </c>
      <c r="F54" s="21" t="s">
        <v>3605</v>
      </c>
      <c r="G54" s="30"/>
      <c r="H54" s="31"/>
      <c r="I54" s="21"/>
      <c r="J54" s="21"/>
      <c r="K54" s="21"/>
      <c r="L54" s="21"/>
      <c r="M54" s="21"/>
      <c r="N54" s="30"/>
      <c r="O54" s="21" t="s">
        <v>28</v>
      </c>
      <c r="P54" s="74" t="s">
        <v>28</v>
      </c>
      <c r="Q54" s="21" t="s">
        <v>2981</v>
      </c>
      <c r="R54" s="32" t="s">
        <v>2850</v>
      </c>
      <c r="S54" s="32" t="s">
        <v>36</v>
      </c>
      <c r="T54" s="21"/>
      <c r="U54" s="21"/>
      <c r="V54" s="21"/>
      <c r="W54" s="21"/>
      <c r="X54" s="21" t="s">
        <v>28</v>
      </c>
    </row>
    <row r="55" customFormat="false" ht="15.75" hidden="false" customHeight="false" outlineLevel="0" collapsed="false">
      <c r="A55" s="61" t="n">
        <v>6221</v>
      </c>
      <c r="B55" s="29" t="n">
        <v>44576</v>
      </c>
      <c r="C55" s="21" t="s">
        <v>649</v>
      </c>
      <c r="D55" s="21" t="s">
        <v>24</v>
      </c>
      <c r="E55" s="21" t="s">
        <v>34</v>
      </c>
      <c r="F55" s="21" t="s">
        <v>3605</v>
      </c>
      <c r="G55" s="30"/>
      <c r="H55" s="31"/>
      <c r="I55" s="21"/>
      <c r="J55" s="21"/>
      <c r="K55" s="21"/>
      <c r="L55" s="21"/>
      <c r="M55" s="21"/>
      <c r="N55" s="30"/>
      <c r="O55" s="21" t="s">
        <v>28</v>
      </c>
      <c r="P55" s="74" t="s">
        <v>28</v>
      </c>
      <c r="Q55" s="21" t="s">
        <v>2981</v>
      </c>
      <c r="R55" s="32" t="s">
        <v>2850</v>
      </c>
      <c r="S55" s="32" t="s">
        <v>36</v>
      </c>
      <c r="T55" s="21"/>
      <c r="U55" s="21"/>
      <c r="V55" s="21"/>
      <c r="W55" s="21"/>
      <c r="X55" s="21" t="s">
        <v>28</v>
      </c>
    </row>
    <row r="56" customFormat="false" ht="15.75" hidden="false" customHeight="false" outlineLevel="0" collapsed="false">
      <c r="A56" s="61" t="n">
        <v>6222</v>
      </c>
      <c r="B56" s="29" t="n">
        <v>44576</v>
      </c>
      <c r="C56" s="21" t="s">
        <v>649</v>
      </c>
      <c r="D56" s="21" t="s">
        <v>24</v>
      </c>
      <c r="E56" s="21" t="s">
        <v>34</v>
      </c>
      <c r="F56" s="21" t="s">
        <v>3606</v>
      </c>
      <c r="G56" s="30"/>
      <c r="H56" s="31"/>
      <c r="I56" s="21"/>
      <c r="J56" s="21"/>
      <c r="K56" s="21"/>
      <c r="L56" s="21"/>
      <c r="M56" s="21"/>
      <c r="N56" s="30"/>
      <c r="O56" s="21" t="s">
        <v>28</v>
      </c>
      <c r="P56" s="74" t="s">
        <v>28</v>
      </c>
      <c r="Q56" s="21" t="s">
        <v>2981</v>
      </c>
      <c r="R56" s="32" t="s">
        <v>2850</v>
      </c>
      <c r="S56" s="32" t="s">
        <v>36</v>
      </c>
      <c r="T56" s="21"/>
      <c r="U56" s="21"/>
      <c r="V56" s="21"/>
      <c r="W56" s="21"/>
      <c r="X56" s="21" t="s">
        <v>28</v>
      </c>
    </row>
    <row r="57" customFormat="false" ht="15.75" hidden="false" customHeight="false" outlineLevel="0" collapsed="false">
      <c r="A57" s="61" t="n">
        <v>6223</v>
      </c>
      <c r="B57" s="29" t="n">
        <v>44576</v>
      </c>
      <c r="C57" s="21" t="s">
        <v>649</v>
      </c>
      <c r="D57" s="21" t="s">
        <v>24</v>
      </c>
      <c r="E57" s="21" t="s">
        <v>34</v>
      </c>
      <c r="F57" s="21" t="s">
        <v>3606</v>
      </c>
      <c r="G57" s="30"/>
      <c r="H57" s="31"/>
      <c r="I57" s="21"/>
      <c r="J57" s="21"/>
      <c r="K57" s="21"/>
      <c r="L57" s="21"/>
      <c r="M57" s="21"/>
      <c r="N57" s="30"/>
      <c r="O57" s="21" t="s">
        <v>28</v>
      </c>
      <c r="P57" s="74" t="s">
        <v>28</v>
      </c>
      <c r="Q57" s="21" t="s">
        <v>2981</v>
      </c>
      <c r="R57" s="32" t="s">
        <v>2850</v>
      </c>
      <c r="S57" s="32" t="s">
        <v>36</v>
      </c>
      <c r="T57" s="21"/>
      <c r="U57" s="21"/>
      <c r="V57" s="21"/>
      <c r="W57" s="21"/>
      <c r="X57" s="21" t="s">
        <v>28</v>
      </c>
    </row>
    <row r="58" customFormat="false" ht="15.75" hidden="false" customHeight="false" outlineLevel="0" collapsed="false">
      <c r="A58" s="61" t="n">
        <v>6224</v>
      </c>
      <c r="B58" s="29" t="n">
        <v>44576</v>
      </c>
      <c r="C58" s="21" t="s">
        <v>649</v>
      </c>
      <c r="D58" s="21" t="s">
        <v>24</v>
      </c>
      <c r="E58" s="21" t="s">
        <v>34</v>
      </c>
      <c r="F58" s="21" t="s">
        <v>3606</v>
      </c>
      <c r="G58" s="30"/>
      <c r="H58" s="31"/>
      <c r="I58" s="21"/>
      <c r="J58" s="21"/>
      <c r="K58" s="21"/>
      <c r="L58" s="21"/>
      <c r="M58" s="21"/>
      <c r="N58" s="30"/>
      <c r="O58" s="21" t="s">
        <v>28</v>
      </c>
      <c r="P58" s="74" t="s">
        <v>28</v>
      </c>
      <c r="Q58" s="21" t="s">
        <v>2981</v>
      </c>
      <c r="R58" s="32" t="s">
        <v>2850</v>
      </c>
      <c r="S58" s="32" t="s">
        <v>36</v>
      </c>
      <c r="T58" s="21"/>
      <c r="U58" s="21"/>
      <c r="V58" s="21"/>
      <c r="W58" s="21"/>
      <c r="X58" s="21" t="s">
        <v>28</v>
      </c>
    </row>
    <row r="59" customFormat="false" ht="15.75" hidden="false" customHeight="false" outlineLevel="0" collapsed="false">
      <c r="A59" s="61" t="n">
        <v>6225</v>
      </c>
      <c r="B59" s="29" t="n">
        <v>44578</v>
      </c>
      <c r="C59" s="21" t="s">
        <v>3607</v>
      </c>
      <c r="D59" s="21" t="s">
        <v>24</v>
      </c>
      <c r="E59" s="21" t="s">
        <v>34</v>
      </c>
      <c r="F59" s="21" t="s">
        <v>3608</v>
      </c>
      <c r="G59" s="30"/>
      <c r="H59" s="31"/>
      <c r="I59" s="21"/>
      <c r="J59" s="21"/>
      <c r="K59" s="21"/>
      <c r="L59" s="21"/>
      <c r="M59" s="21"/>
      <c r="N59" s="30"/>
      <c r="O59" s="21"/>
      <c r="P59" s="21"/>
      <c r="Q59" s="21"/>
      <c r="R59" s="32"/>
      <c r="S59" s="32"/>
      <c r="T59" s="21"/>
      <c r="U59" s="21"/>
      <c r="V59" s="21"/>
      <c r="W59" s="21"/>
      <c r="X59" s="21" t="s">
        <v>28</v>
      </c>
    </row>
    <row r="60" customFormat="false" ht="15.75" hidden="false" customHeight="false" outlineLevel="0" collapsed="false">
      <c r="A60" s="61" t="n">
        <v>6226</v>
      </c>
      <c r="B60" s="29" t="n">
        <v>44578</v>
      </c>
      <c r="C60" s="21" t="s">
        <v>3609</v>
      </c>
      <c r="D60" s="21" t="s">
        <v>24</v>
      </c>
      <c r="E60" s="21" t="s">
        <v>25</v>
      </c>
      <c r="F60" s="21" t="s">
        <v>3610</v>
      </c>
      <c r="G60" s="30"/>
      <c r="H60" s="45" t="str">
        <f aca="false">HYPERLINK("https://photos.app.goo.gl/H9N4gAau88DdA7R4A", "Completo")</f>
        <v>Completo</v>
      </c>
      <c r="I60" s="21" t="s">
        <v>28</v>
      </c>
      <c r="J60" s="21"/>
      <c r="K60" s="21"/>
      <c r="L60" s="21"/>
      <c r="M60" s="21"/>
      <c r="N60" s="30"/>
      <c r="O60" s="21"/>
      <c r="P60" s="21"/>
      <c r="Q60" s="21"/>
      <c r="R60" s="32"/>
      <c r="S60" s="32"/>
      <c r="T60" s="21"/>
      <c r="U60" s="21"/>
      <c r="V60" s="21"/>
      <c r="W60" s="21"/>
      <c r="X60" s="21" t="s">
        <v>28</v>
      </c>
    </row>
    <row r="61" customFormat="false" ht="15.75" hidden="false" customHeight="false" outlineLevel="0" collapsed="false">
      <c r="A61" s="61" t="n">
        <v>6227</v>
      </c>
      <c r="B61" s="29" t="n">
        <v>44578</v>
      </c>
      <c r="C61" s="21" t="s">
        <v>3611</v>
      </c>
      <c r="D61" s="21" t="s">
        <v>24</v>
      </c>
      <c r="E61" s="21" t="s">
        <v>25</v>
      </c>
      <c r="F61" s="21" t="s">
        <v>2735</v>
      </c>
      <c r="G61" s="30"/>
      <c r="H61" s="45" t="str">
        <f aca="false">HYPERLINK("https://photos.app.goo.gl/nnTjwGHCkASwTfKq5", "Completo")</f>
        <v>Completo</v>
      </c>
      <c r="I61" s="21" t="s">
        <v>28</v>
      </c>
      <c r="J61" s="21"/>
      <c r="K61" s="21"/>
      <c r="L61" s="21"/>
      <c r="M61" s="21"/>
      <c r="N61" s="30"/>
      <c r="O61" s="21" t="s">
        <v>28</v>
      </c>
      <c r="P61" s="74" t="s">
        <v>28</v>
      </c>
      <c r="Q61" s="21" t="s">
        <v>2981</v>
      </c>
      <c r="R61" s="32" t="s">
        <v>2850</v>
      </c>
      <c r="S61" s="32" t="s">
        <v>36</v>
      </c>
      <c r="T61" s="21" t="s">
        <v>74</v>
      </c>
      <c r="U61" s="74" t="s">
        <v>28</v>
      </c>
      <c r="V61" s="74" t="s">
        <v>28</v>
      </c>
      <c r="W61" s="21" t="s">
        <v>36</v>
      </c>
      <c r="X61" s="21" t="s">
        <v>28</v>
      </c>
    </row>
    <row r="62" customFormat="false" ht="15.75" hidden="false" customHeight="false" outlineLevel="0" collapsed="false">
      <c r="A62" s="61" t="n">
        <v>6228</v>
      </c>
      <c r="B62" s="29" t="n">
        <v>44578</v>
      </c>
      <c r="C62" s="21" t="s">
        <v>3612</v>
      </c>
      <c r="D62" s="21" t="s">
        <v>24</v>
      </c>
      <c r="E62" s="21" t="s">
        <v>25</v>
      </c>
      <c r="F62" s="21" t="s">
        <v>2607</v>
      </c>
      <c r="G62" s="30" t="s">
        <v>3613</v>
      </c>
      <c r="H62" s="45" t="str">
        <f aca="false">HYPERLINK("https://photos.app.goo.gl/9uzqNXpv7HSx1cst7", "Completo")</f>
        <v>Completo</v>
      </c>
      <c r="I62" s="21" t="s">
        <v>28</v>
      </c>
      <c r="J62" s="21" t="s">
        <v>3614</v>
      </c>
      <c r="K62" s="21"/>
      <c r="L62" s="21"/>
      <c r="M62" s="21"/>
      <c r="N62" s="30"/>
      <c r="O62" s="21" t="s">
        <v>28</v>
      </c>
      <c r="P62" s="74" t="s">
        <v>28</v>
      </c>
      <c r="Q62" s="21" t="s">
        <v>2981</v>
      </c>
      <c r="R62" s="32" t="s">
        <v>2850</v>
      </c>
      <c r="S62" s="32" t="s">
        <v>36</v>
      </c>
      <c r="T62" s="21"/>
      <c r="U62" s="21"/>
      <c r="V62" s="21"/>
      <c r="W62" s="21"/>
      <c r="X62" s="21" t="s">
        <v>28</v>
      </c>
    </row>
    <row r="63" customFormat="false" ht="15.75" hidden="false" customHeight="false" outlineLevel="0" collapsed="false">
      <c r="A63" s="61" t="s">
        <v>3615</v>
      </c>
      <c r="B63" s="29" t="n">
        <v>44573</v>
      </c>
      <c r="C63" s="21" t="s">
        <v>2905</v>
      </c>
      <c r="D63" s="21" t="s">
        <v>290</v>
      </c>
      <c r="E63" s="21" t="s">
        <v>25</v>
      </c>
      <c r="F63" s="21" t="s">
        <v>2067</v>
      </c>
      <c r="G63" s="30" t="s">
        <v>3616</v>
      </c>
      <c r="H63" s="45" t="str">
        <f aca="false">HYPERLINK("https://photos.app.goo.gl/6x9zkbf6zDtsdbKE7", "Completo")</f>
        <v>Completo</v>
      </c>
      <c r="I63" s="21" t="s">
        <v>28</v>
      </c>
      <c r="J63" s="21"/>
      <c r="K63" s="21"/>
      <c r="L63" s="21"/>
      <c r="M63" s="21"/>
      <c r="N63" s="30"/>
      <c r="O63" s="21"/>
      <c r="P63" s="21"/>
      <c r="Q63" s="21"/>
      <c r="R63" s="32"/>
      <c r="S63" s="32"/>
      <c r="T63" s="21"/>
      <c r="U63" s="21"/>
      <c r="V63" s="21"/>
      <c r="W63" s="21"/>
      <c r="X63" s="21" t="s">
        <v>37</v>
      </c>
    </row>
    <row r="64" customFormat="false" ht="15.75" hidden="false" customHeight="false" outlineLevel="0" collapsed="false">
      <c r="A64" s="61" t="s">
        <v>3617</v>
      </c>
      <c r="B64" s="29" t="n">
        <v>44578</v>
      </c>
      <c r="C64" s="21" t="s">
        <v>3618</v>
      </c>
      <c r="D64" s="21" t="s">
        <v>24</v>
      </c>
      <c r="E64" s="21" t="s">
        <v>25</v>
      </c>
      <c r="F64" s="21" t="s">
        <v>2918</v>
      </c>
      <c r="G64" s="30"/>
      <c r="H64" s="45" t="str">
        <f aca="false">HYPERLINK("https://photos.app.goo.gl/h2c7eaRzNADDovvZA", "Completo")</f>
        <v>Completo</v>
      </c>
      <c r="I64" s="21" t="s">
        <v>28</v>
      </c>
      <c r="J64" s="21"/>
      <c r="K64" s="21"/>
      <c r="L64" s="21"/>
      <c r="M64" s="21"/>
      <c r="N64" s="30"/>
      <c r="O64" s="21" t="s">
        <v>28</v>
      </c>
      <c r="P64" s="74" t="s">
        <v>28</v>
      </c>
      <c r="Q64" s="21" t="s">
        <v>2515</v>
      </c>
      <c r="R64" s="32" t="s">
        <v>2850</v>
      </c>
      <c r="S64" s="32" t="s">
        <v>29</v>
      </c>
      <c r="T64" s="21"/>
      <c r="U64" s="21"/>
      <c r="V64" s="21"/>
      <c r="W64" s="21"/>
      <c r="X64" s="21" t="s">
        <v>37</v>
      </c>
    </row>
    <row r="65" customFormat="false" ht="15.75" hidden="false" customHeight="false" outlineLevel="0" collapsed="false">
      <c r="A65" s="61" t="s">
        <v>3619</v>
      </c>
      <c r="B65" s="29" t="n">
        <v>44578</v>
      </c>
      <c r="C65" s="21" t="s">
        <v>613</v>
      </c>
      <c r="D65" s="21" t="s">
        <v>290</v>
      </c>
      <c r="E65" s="21" t="s">
        <v>25</v>
      </c>
      <c r="F65" s="21" t="s">
        <v>1075</v>
      </c>
      <c r="G65" s="30" t="s">
        <v>3620</v>
      </c>
      <c r="H65" s="45" t="str">
        <f aca="false">HYPERLINK("https://photos.app.goo.gl/1QuJ8QLeuZMu7tZ19", "Completo")</f>
        <v>Completo</v>
      </c>
      <c r="I65" s="21" t="s">
        <v>28</v>
      </c>
      <c r="J65" s="21"/>
      <c r="K65" s="21"/>
      <c r="L65" s="21"/>
      <c r="M65" s="21"/>
      <c r="N65" s="30"/>
      <c r="O65" s="21" t="s">
        <v>28</v>
      </c>
      <c r="P65" s="74" t="s">
        <v>28</v>
      </c>
      <c r="Q65" s="21" t="s">
        <v>2981</v>
      </c>
      <c r="R65" s="32" t="s">
        <v>2850</v>
      </c>
      <c r="S65" s="32" t="s">
        <v>36</v>
      </c>
      <c r="T65" s="21" t="s">
        <v>74</v>
      </c>
      <c r="U65" s="74" t="s">
        <v>28</v>
      </c>
      <c r="V65" s="74" t="s">
        <v>28</v>
      </c>
      <c r="W65" s="21" t="s">
        <v>36</v>
      </c>
      <c r="X65" s="21" t="s">
        <v>28</v>
      </c>
    </row>
    <row r="66" customFormat="false" ht="15.75" hidden="false" customHeight="false" outlineLevel="0" collapsed="false">
      <c r="A66" s="61" t="n">
        <v>6229</v>
      </c>
      <c r="B66" s="29" t="n">
        <v>44578</v>
      </c>
      <c r="C66" s="21" t="s">
        <v>613</v>
      </c>
      <c r="D66" s="21" t="s">
        <v>24</v>
      </c>
      <c r="E66" s="21" t="s">
        <v>25</v>
      </c>
      <c r="F66" s="21" t="s">
        <v>1075</v>
      </c>
      <c r="G66" s="30" t="s">
        <v>3621</v>
      </c>
      <c r="H66" s="45" t="str">
        <f aca="false">HYPERLINK("https://photos.app.goo.gl/FBC2UjyzHrQhnhgd7", "Completo")</f>
        <v>Completo</v>
      </c>
      <c r="I66" s="21" t="s">
        <v>28</v>
      </c>
      <c r="J66" s="21"/>
      <c r="K66" s="21"/>
      <c r="L66" s="21"/>
      <c r="M66" s="21"/>
      <c r="N66" s="30"/>
      <c r="O66" s="21" t="s">
        <v>28</v>
      </c>
      <c r="P66" s="74" t="s">
        <v>28</v>
      </c>
      <c r="Q66" s="21" t="s">
        <v>2981</v>
      </c>
      <c r="R66" s="32" t="s">
        <v>2850</v>
      </c>
      <c r="S66" s="32" t="s">
        <v>36</v>
      </c>
      <c r="T66" s="21" t="s">
        <v>74</v>
      </c>
      <c r="U66" s="74" t="s">
        <v>28</v>
      </c>
      <c r="V66" s="74" t="s">
        <v>28</v>
      </c>
      <c r="W66" s="21" t="s">
        <v>36</v>
      </c>
      <c r="X66" s="21" t="s">
        <v>28</v>
      </c>
    </row>
    <row r="67" customFormat="false" ht="15.75" hidden="false" customHeight="false" outlineLevel="0" collapsed="false">
      <c r="A67" s="61" t="n">
        <v>6230</v>
      </c>
      <c r="B67" s="29" t="n">
        <v>44579</v>
      </c>
      <c r="C67" s="21" t="s">
        <v>2177</v>
      </c>
      <c r="D67" s="21" t="s">
        <v>24</v>
      </c>
      <c r="E67" s="21" t="s">
        <v>34</v>
      </c>
      <c r="F67" s="21" t="s">
        <v>3622</v>
      </c>
      <c r="G67" s="30"/>
      <c r="H67" s="31"/>
      <c r="I67" s="21"/>
      <c r="J67" s="21"/>
      <c r="K67" s="21"/>
      <c r="L67" s="21"/>
      <c r="M67" s="21"/>
      <c r="N67" s="30"/>
      <c r="O67" s="21"/>
      <c r="P67" s="21"/>
      <c r="Q67" s="21"/>
      <c r="R67" s="32"/>
      <c r="S67" s="32"/>
      <c r="T67" s="21"/>
      <c r="U67" s="21"/>
      <c r="V67" s="21"/>
      <c r="W67" s="21"/>
      <c r="X67" s="21" t="s">
        <v>37</v>
      </c>
    </row>
    <row r="68" customFormat="false" ht="15.75" hidden="false" customHeight="false" outlineLevel="0" collapsed="false">
      <c r="A68" s="61" t="n">
        <v>6231</v>
      </c>
      <c r="B68" s="29" t="n">
        <v>44579</v>
      </c>
      <c r="C68" s="21" t="s">
        <v>299</v>
      </c>
      <c r="D68" s="21" t="s">
        <v>24</v>
      </c>
      <c r="E68" s="21" t="s">
        <v>34</v>
      </c>
      <c r="F68" s="21" t="s">
        <v>3623</v>
      </c>
      <c r="G68" s="30"/>
      <c r="H68" s="31"/>
      <c r="I68" s="21"/>
      <c r="J68" s="21"/>
      <c r="K68" s="21"/>
      <c r="L68" s="21"/>
      <c r="M68" s="21"/>
      <c r="N68" s="30"/>
      <c r="O68" s="21"/>
      <c r="P68" s="21"/>
      <c r="Q68" s="21"/>
      <c r="R68" s="32"/>
      <c r="S68" s="32"/>
      <c r="T68" s="21"/>
      <c r="U68" s="21"/>
      <c r="V68" s="21"/>
      <c r="W68" s="21"/>
      <c r="X68" s="21" t="s">
        <v>28</v>
      </c>
    </row>
    <row r="69" customFormat="false" ht="15.75" hidden="false" customHeight="false" outlineLevel="0" collapsed="false">
      <c r="A69" s="61" t="n">
        <v>6232</v>
      </c>
      <c r="B69" s="29" t="n">
        <v>44580</v>
      </c>
      <c r="C69" s="21" t="s">
        <v>3624</v>
      </c>
      <c r="D69" s="21" t="s">
        <v>24</v>
      </c>
      <c r="E69" s="21" t="s">
        <v>25</v>
      </c>
      <c r="F69" s="21" t="s">
        <v>3625</v>
      </c>
      <c r="G69" s="30" t="s">
        <v>3626</v>
      </c>
      <c r="H69" s="45" t="str">
        <f aca="false">HYPERLINK("https://photos.app.goo.gl/6GEAj7Hvcd8hrRD86", "Completo")</f>
        <v>Completo</v>
      </c>
      <c r="I69" s="21" t="s">
        <v>28</v>
      </c>
      <c r="J69" s="21"/>
      <c r="K69" s="21"/>
      <c r="L69" s="21"/>
      <c r="M69" s="21"/>
      <c r="N69" s="30"/>
      <c r="O69" s="21"/>
      <c r="P69" s="21"/>
      <c r="Q69" s="21"/>
      <c r="R69" s="32"/>
      <c r="S69" s="32"/>
      <c r="T69" s="21"/>
      <c r="U69" s="21"/>
      <c r="V69" s="21"/>
      <c r="W69" s="21"/>
      <c r="X69" s="21" t="s">
        <v>28</v>
      </c>
    </row>
    <row r="70" customFormat="false" ht="15.75" hidden="false" customHeight="false" outlineLevel="0" collapsed="false">
      <c r="A70" s="61" t="n">
        <v>6233</v>
      </c>
      <c r="B70" s="29" t="n">
        <v>44580</v>
      </c>
      <c r="C70" s="21" t="s">
        <v>2088</v>
      </c>
      <c r="D70" s="21" t="s">
        <v>24</v>
      </c>
      <c r="E70" s="21" t="s">
        <v>34</v>
      </c>
      <c r="F70" s="21" t="s">
        <v>3627</v>
      </c>
      <c r="G70" s="30"/>
      <c r="H70" s="31"/>
      <c r="I70" s="21"/>
      <c r="J70" s="21"/>
      <c r="K70" s="21"/>
      <c r="L70" s="21"/>
      <c r="M70" s="21"/>
      <c r="N70" s="30"/>
      <c r="O70" s="21"/>
      <c r="P70" s="21"/>
      <c r="Q70" s="21"/>
      <c r="R70" s="32"/>
      <c r="S70" s="32"/>
      <c r="T70" s="21"/>
      <c r="U70" s="21"/>
      <c r="V70" s="21"/>
      <c r="W70" s="21"/>
      <c r="X70" s="21" t="s">
        <v>28</v>
      </c>
    </row>
    <row r="71" customFormat="false" ht="15.75" hidden="false" customHeight="false" outlineLevel="0" collapsed="false">
      <c r="A71" s="61" t="n">
        <v>6234</v>
      </c>
      <c r="B71" s="29" t="n">
        <v>44585</v>
      </c>
      <c r="C71" s="21" t="s">
        <v>730</v>
      </c>
      <c r="D71" s="21" t="s">
        <v>24</v>
      </c>
      <c r="E71" s="21" t="s">
        <v>25</v>
      </c>
      <c r="F71" s="21" t="s">
        <v>3628</v>
      </c>
      <c r="G71" s="30" t="s">
        <v>3629</v>
      </c>
      <c r="H71" s="45" t="str">
        <f aca="false">HYPERLINK("https://photos.app.goo.gl/J6D9wdhnwCVLSZyX6", "Completo")</f>
        <v>Completo</v>
      </c>
      <c r="I71" s="21" t="s">
        <v>28</v>
      </c>
      <c r="J71" s="21"/>
      <c r="K71" s="21"/>
      <c r="L71" s="21"/>
      <c r="M71" s="21" t="s">
        <v>2133</v>
      </c>
      <c r="N71" s="30" t="s">
        <v>3630</v>
      </c>
      <c r="O71" s="21" t="s">
        <v>28</v>
      </c>
      <c r="P71" s="74" t="s">
        <v>28</v>
      </c>
      <c r="Q71" s="21" t="s">
        <v>3631</v>
      </c>
      <c r="R71" s="32" t="s">
        <v>25</v>
      </c>
      <c r="S71" s="32" t="s">
        <v>3632</v>
      </c>
      <c r="T71" s="21"/>
      <c r="U71" s="21"/>
      <c r="V71" s="21"/>
      <c r="W71" s="21"/>
      <c r="X71" s="21" t="s">
        <v>28</v>
      </c>
    </row>
    <row r="72" customFormat="false" ht="15.75" hidden="false" customHeight="false" outlineLevel="0" collapsed="false">
      <c r="A72" s="61" t="n">
        <v>6235</v>
      </c>
      <c r="B72" s="29" t="n">
        <v>44585</v>
      </c>
      <c r="C72" s="21" t="s">
        <v>730</v>
      </c>
      <c r="D72" s="21" t="s">
        <v>24</v>
      </c>
      <c r="E72" s="21" t="s">
        <v>25</v>
      </c>
      <c r="F72" s="21" t="s">
        <v>3633</v>
      </c>
      <c r="G72" s="30" t="s">
        <v>3629</v>
      </c>
      <c r="H72" s="31" t="s">
        <v>28</v>
      </c>
      <c r="I72" s="21" t="s">
        <v>28</v>
      </c>
      <c r="J72" s="21"/>
      <c r="K72" s="21"/>
      <c r="L72" s="21"/>
      <c r="M72" s="21" t="s">
        <v>2133</v>
      </c>
      <c r="N72" s="30" t="s">
        <v>3630</v>
      </c>
      <c r="O72" s="21" t="s">
        <v>28</v>
      </c>
      <c r="P72" s="74" t="s">
        <v>28</v>
      </c>
      <c r="Q72" s="21" t="s">
        <v>3631</v>
      </c>
      <c r="R72" s="32" t="s">
        <v>25</v>
      </c>
      <c r="S72" s="32" t="s">
        <v>3632</v>
      </c>
      <c r="T72" s="21"/>
      <c r="U72" s="21"/>
      <c r="V72" s="21"/>
      <c r="W72" s="21"/>
      <c r="X72" s="21" t="s">
        <v>28</v>
      </c>
    </row>
    <row r="73" customFormat="false" ht="15.75" hidden="false" customHeight="false" outlineLevel="0" collapsed="false">
      <c r="A73" s="61" t="n">
        <v>6236</v>
      </c>
      <c r="B73" s="29" t="n">
        <v>44585</v>
      </c>
      <c r="C73" s="21" t="s">
        <v>3634</v>
      </c>
      <c r="D73" s="21" t="s">
        <v>24</v>
      </c>
      <c r="E73" s="21" t="s">
        <v>25</v>
      </c>
      <c r="F73" s="21" t="s">
        <v>3635</v>
      </c>
      <c r="G73" s="30"/>
      <c r="H73" s="45" t="str">
        <f aca="false">HYPERLINK("https://photos.app.goo.gl/MJwH5QByxRuuyp3F8", "Completo")</f>
        <v>Completo</v>
      </c>
      <c r="I73" s="21" t="s">
        <v>28</v>
      </c>
      <c r="J73" s="21"/>
      <c r="K73" s="21"/>
      <c r="L73" s="21"/>
      <c r="M73" s="21" t="s">
        <v>2133</v>
      </c>
      <c r="N73" s="30"/>
      <c r="O73" s="21" t="s">
        <v>28</v>
      </c>
      <c r="P73" s="74" t="s">
        <v>28</v>
      </c>
      <c r="Q73" s="21" t="s">
        <v>2981</v>
      </c>
      <c r="R73" s="32" t="s">
        <v>2850</v>
      </c>
      <c r="S73" s="32" t="s">
        <v>36</v>
      </c>
      <c r="T73" s="21"/>
      <c r="U73" s="21"/>
      <c r="V73" s="21"/>
      <c r="W73" s="21"/>
      <c r="X73" s="21" t="s">
        <v>28</v>
      </c>
    </row>
    <row r="74" customFormat="false" ht="15.75" hidden="false" customHeight="false" outlineLevel="0" collapsed="false">
      <c r="A74" s="61" t="n">
        <v>6237</v>
      </c>
      <c r="B74" s="29" t="n">
        <v>44585</v>
      </c>
      <c r="C74" s="21" t="s">
        <v>3636</v>
      </c>
      <c r="D74" s="21" t="s">
        <v>24</v>
      </c>
      <c r="E74" s="21" t="s">
        <v>25</v>
      </c>
      <c r="F74" s="21" t="s">
        <v>3637</v>
      </c>
      <c r="G74" s="30" t="s">
        <v>3638</v>
      </c>
      <c r="H74" s="45" t="str">
        <f aca="false">HYPERLINK("https://photos.app.goo.gl/tkyTjMc3xqEoJu6HA", "Completo")</f>
        <v>Completo</v>
      </c>
      <c r="I74" s="21" t="s">
        <v>28</v>
      </c>
      <c r="J74" s="21"/>
      <c r="K74" s="21"/>
      <c r="L74" s="21"/>
      <c r="M74" s="21" t="s">
        <v>2133</v>
      </c>
      <c r="N74" s="30" t="s">
        <v>3639</v>
      </c>
      <c r="O74" s="21" t="s">
        <v>28</v>
      </c>
      <c r="P74" s="74" t="s">
        <v>28</v>
      </c>
      <c r="Q74" s="21" t="s">
        <v>214</v>
      </c>
      <c r="R74" s="32" t="s">
        <v>25</v>
      </c>
      <c r="S74" s="32"/>
      <c r="T74" s="21"/>
      <c r="U74" s="21"/>
      <c r="V74" s="21"/>
      <c r="W74" s="21"/>
      <c r="X74" s="21" t="s">
        <v>28</v>
      </c>
    </row>
    <row r="75" customFormat="false" ht="15.75" hidden="false" customHeight="false" outlineLevel="0" collapsed="false">
      <c r="A75" s="61" t="n">
        <v>6238</v>
      </c>
      <c r="B75" s="29" t="n">
        <v>44585</v>
      </c>
      <c r="C75" s="21" t="s">
        <v>3636</v>
      </c>
      <c r="D75" s="21" t="s">
        <v>24</v>
      </c>
      <c r="E75" s="21" t="s">
        <v>25</v>
      </c>
      <c r="F75" s="21" t="s">
        <v>3640</v>
      </c>
      <c r="G75" s="30" t="s">
        <v>3638</v>
      </c>
      <c r="H75" s="45" t="str">
        <f aca="false">HYPERLINK("https://photos.app.goo.gl/uKaomV9FVUQLdFdw7", "Completo")</f>
        <v>Completo</v>
      </c>
      <c r="I75" s="21" t="s">
        <v>28</v>
      </c>
      <c r="J75" s="21"/>
      <c r="K75" s="21"/>
      <c r="L75" s="21"/>
      <c r="M75" s="21" t="s">
        <v>2133</v>
      </c>
      <c r="N75" s="30" t="s">
        <v>3639</v>
      </c>
      <c r="O75" s="21" t="s">
        <v>28</v>
      </c>
      <c r="P75" s="74" t="s">
        <v>28</v>
      </c>
      <c r="Q75" s="21" t="s">
        <v>3207</v>
      </c>
      <c r="R75" s="32" t="s">
        <v>25</v>
      </c>
      <c r="S75" s="32"/>
      <c r="T75" s="21"/>
      <c r="U75" s="21"/>
      <c r="V75" s="21"/>
      <c r="W75" s="21"/>
      <c r="X75" s="21" t="s">
        <v>28</v>
      </c>
    </row>
    <row r="76" customFormat="false" ht="15.75" hidden="false" customHeight="false" outlineLevel="0" collapsed="false">
      <c r="A76" s="61" t="n">
        <v>6239</v>
      </c>
      <c r="B76" s="29" t="n">
        <v>44586</v>
      </c>
      <c r="C76" s="21" t="s">
        <v>3641</v>
      </c>
      <c r="D76" s="21" t="s">
        <v>24</v>
      </c>
      <c r="E76" s="21" t="s">
        <v>25</v>
      </c>
      <c r="F76" s="21" t="s">
        <v>3642</v>
      </c>
      <c r="G76" s="30" t="s">
        <v>3643</v>
      </c>
      <c r="H76" s="45" t="str">
        <f aca="false">HYPERLINK("https://photos.app.goo.gl/xhSM9HpXVsNXJMQu6", "Completo")</f>
        <v>Completo</v>
      </c>
      <c r="I76" s="21" t="s">
        <v>28</v>
      </c>
      <c r="J76" s="21"/>
      <c r="K76" s="21"/>
      <c r="L76" s="21"/>
      <c r="M76" s="21" t="s">
        <v>2133</v>
      </c>
      <c r="N76" s="30"/>
      <c r="O76" s="21"/>
      <c r="P76" s="21"/>
      <c r="Q76" s="21"/>
      <c r="R76" s="32"/>
      <c r="S76" s="32"/>
      <c r="T76" s="21"/>
      <c r="U76" s="21"/>
      <c r="V76" s="21"/>
      <c r="W76" s="21"/>
      <c r="X76" s="21" t="s">
        <v>28</v>
      </c>
    </row>
    <row r="77" customFormat="false" ht="15.75" hidden="false" customHeight="false" outlineLevel="0" collapsed="false">
      <c r="A77" s="61" t="n">
        <v>6240</v>
      </c>
      <c r="B77" s="29" t="n">
        <v>44586</v>
      </c>
      <c r="C77" s="21" t="s">
        <v>1290</v>
      </c>
      <c r="D77" s="21" t="s">
        <v>24</v>
      </c>
      <c r="E77" s="21" t="s">
        <v>25</v>
      </c>
      <c r="F77" s="21" t="s">
        <v>3644</v>
      </c>
      <c r="G77" s="30"/>
      <c r="H77" s="45" t="str">
        <f aca="false">HYPERLINK("https://photos.app.goo.gl/fwDUS5SwgSwSLJEX8", "Completo")</f>
        <v>Completo</v>
      </c>
      <c r="I77" s="21" t="s">
        <v>28</v>
      </c>
      <c r="J77" s="21"/>
      <c r="K77" s="21"/>
      <c r="L77" s="21"/>
      <c r="M77" s="21" t="s">
        <v>2133</v>
      </c>
      <c r="N77" s="30"/>
      <c r="O77" s="21"/>
      <c r="P77" s="21"/>
      <c r="Q77" s="21"/>
      <c r="R77" s="32"/>
      <c r="S77" s="32"/>
      <c r="T77" s="21"/>
      <c r="U77" s="21"/>
      <c r="V77" s="21"/>
      <c r="W77" s="21"/>
      <c r="X77" s="21" t="s">
        <v>28</v>
      </c>
    </row>
    <row r="78" customFormat="false" ht="15.75" hidden="false" customHeight="false" outlineLevel="0" collapsed="false">
      <c r="A78" s="61" t="n">
        <v>6241</v>
      </c>
      <c r="B78" s="29" t="n">
        <v>44587</v>
      </c>
      <c r="C78" s="21" t="s">
        <v>3645</v>
      </c>
      <c r="D78" s="21" t="s">
        <v>24</v>
      </c>
      <c r="E78" s="21" t="s">
        <v>25</v>
      </c>
      <c r="F78" s="21" t="s">
        <v>3646</v>
      </c>
      <c r="G78" s="30" t="s">
        <v>3647</v>
      </c>
      <c r="H78" s="45" t="str">
        <f aca="false">HYPERLINK("https://photos.app.goo.gl/jDqQjwJ1EAGqa8h89", "Completo")</f>
        <v>Completo</v>
      </c>
      <c r="I78" s="21" t="s">
        <v>28</v>
      </c>
      <c r="J78" s="21"/>
      <c r="K78" s="21"/>
      <c r="L78" s="21"/>
      <c r="M78" s="21" t="s">
        <v>2133</v>
      </c>
      <c r="N78" s="30" t="s">
        <v>3647</v>
      </c>
      <c r="O78" s="21" t="s">
        <v>28</v>
      </c>
      <c r="P78" s="74" t="s">
        <v>28</v>
      </c>
      <c r="Q78" s="21" t="s">
        <v>2981</v>
      </c>
      <c r="R78" s="32" t="s">
        <v>2850</v>
      </c>
      <c r="S78" s="32" t="s">
        <v>36</v>
      </c>
      <c r="T78" s="21"/>
      <c r="U78" s="21"/>
      <c r="V78" s="21"/>
      <c r="W78" s="21"/>
      <c r="X78" s="21" t="s">
        <v>28</v>
      </c>
    </row>
    <row r="79" customFormat="false" ht="15.75" hidden="false" customHeight="false" outlineLevel="0" collapsed="false">
      <c r="A79" s="61" t="n">
        <v>6242</v>
      </c>
      <c r="B79" s="29" t="n">
        <v>44588</v>
      </c>
      <c r="C79" s="21" t="s">
        <v>1666</v>
      </c>
      <c r="D79" s="21" t="s">
        <v>24</v>
      </c>
      <c r="E79" s="21" t="s">
        <v>25</v>
      </c>
      <c r="F79" s="21" t="s">
        <v>3648</v>
      </c>
      <c r="G79" s="30" t="s">
        <v>3649</v>
      </c>
      <c r="H79" s="45" t="str">
        <f aca="false">HYPERLINK("https://photos.app.goo.gl/rLBhsxuK4QeegWMZA", "Completo")</f>
        <v>Completo</v>
      </c>
      <c r="I79" s="21" t="s">
        <v>28</v>
      </c>
      <c r="J79" s="21"/>
      <c r="K79" s="21"/>
      <c r="L79" s="21"/>
      <c r="M79" s="21" t="s">
        <v>3650</v>
      </c>
      <c r="N79" s="30"/>
      <c r="O79" s="21"/>
      <c r="P79" s="21"/>
      <c r="Q79" s="21"/>
      <c r="R79" s="32"/>
      <c r="S79" s="32"/>
      <c r="T79" s="21"/>
      <c r="U79" s="21"/>
      <c r="V79" s="21"/>
      <c r="W79" s="21"/>
      <c r="X79" s="21" t="s">
        <v>28</v>
      </c>
    </row>
    <row r="80" customFormat="false" ht="15.75" hidden="false" customHeight="false" outlineLevel="0" collapsed="false">
      <c r="A80" s="61" t="n">
        <v>6243</v>
      </c>
      <c r="B80" s="29" t="n">
        <v>44588</v>
      </c>
      <c r="C80" s="21" t="s">
        <v>1666</v>
      </c>
      <c r="D80" s="21" t="s">
        <v>24</v>
      </c>
      <c r="E80" s="21" t="s">
        <v>25</v>
      </c>
      <c r="F80" s="21" t="s">
        <v>1472</v>
      </c>
      <c r="G80" s="30"/>
      <c r="H80" s="45" t="str">
        <f aca="false">HYPERLINK("https://photos.app.goo.gl/SaS4wepZKVcFiNb98", "Completo")</f>
        <v>Completo</v>
      </c>
      <c r="I80" s="21" t="s">
        <v>28</v>
      </c>
      <c r="J80" s="21"/>
      <c r="K80" s="21"/>
      <c r="L80" s="21"/>
      <c r="M80" s="21" t="s">
        <v>2133</v>
      </c>
      <c r="N80" s="30"/>
      <c r="O80" s="21"/>
      <c r="P80" s="21"/>
      <c r="Q80" s="21"/>
      <c r="R80" s="32"/>
      <c r="S80" s="32"/>
      <c r="T80" s="21"/>
      <c r="U80" s="21"/>
      <c r="V80" s="21"/>
      <c r="W80" s="21"/>
      <c r="X80" s="21" t="s">
        <v>28</v>
      </c>
    </row>
    <row r="81" customFormat="false" ht="15.75" hidden="false" customHeight="false" outlineLevel="0" collapsed="false">
      <c r="A81" s="61" t="n">
        <v>6244</v>
      </c>
      <c r="B81" s="29" t="n">
        <v>44588</v>
      </c>
      <c r="C81" s="21" t="s">
        <v>1666</v>
      </c>
      <c r="D81" s="21" t="s">
        <v>24</v>
      </c>
      <c r="E81" s="21" t="s">
        <v>25</v>
      </c>
      <c r="F81" s="21" t="s">
        <v>3651</v>
      </c>
      <c r="G81" s="30"/>
      <c r="H81" s="45" t="str">
        <f aca="false">HYPERLINK("https://photos.app.goo.gl/TKaLgzrV3RFnMNAr7", "Completo")</f>
        <v>Completo</v>
      </c>
      <c r="I81" s="21" t="s">
        <v>28</v>
      </c>
      <c r="J81" s="21"/>
      <c r="K81" s="21"/>
      <c r="L81" s="21"/>
      <c r="M81" s="21"/>
      <c r="N81" s="30"/>
      <c r="O81" s="21"/>
      <c r="P81" s="21"/>
      <c r="Q81" s="21"/>
      <c r="R81" s="32"/>
      <c r="S81" s="32"/>
      <c r="T81" s="21"/>
      <c r="U81" s="21"/>
      <c r="V81" s="21"/>
      <c r="W81" s="21"/>
      <c r="X81" s="21" t="s">
        <v>28</v>
      </c>
    </row>
    <row r="82" customFormat="false" ht="15.75" hidden="false" customHeight="false" outlineLevel="0" collapsed="false">
      <c r="A82" s="61" t="n">
        <v>6245</v>
      </c>
      <c r="B82" s="29" t="n">
        <v>44589</v>
      </c>
      <c r="C82" s="21" t="s">
        <v>1305</v>
      </c>
      <c r="D82" s="21" t="s">
        <v>24</v>
      </c>
      <c r="E82" s="21" t="s">
        <v>34</v>
      </c>
      <c r="F82" s="21" t="s">
        <v>3652</v>
      </c>
      <c r="G82" s="30"/>
      <c r="H82" s="31" t="s">
        <v>28</v>
      </c>
      <c r="I82" s="21"/>
      <c r="J82" s="21"/>
      <c r="K82" s="21"/>
      <c r="L82" s="21"/>
      <c r="M82" s="21"/>
      <c r="N82" s="30"/>
      <c r="O82" s="21"/>
      <c r="P82" s="21"/>
      <c r="Q82" s="21"/>
      <c r="R82" s="32"/>
      <c r="S82" s="32"/>
      <c r="T82" s="21"/>
      <c r="U82" s="21"/>
      <c r="V82" s="21"/>
      <c r="W82" s="21"/>
      <c r="X82" s="21" t="s">
        <v>37</v>
      </c>
    </row>
    <row r="83" customFormat="false" ht="15.75" hidden="false" customHeight="false" outlineLevel="0" collapsed="false">
      <c r="A83" s="61"/>
      <c r="B83" s="29"/>
      <c r="C83" s="21"/>
      <c r="D83" s="21"/>
      <c r="E83" s="21"/>
      <c r="F83" s="21"/>
      <c r="G83" s="30"/>
      <c r="H83" s="31"/>
      <c r="I83" s="21"/>
      <c r="J83" s="21"/>
      <c r="K83" s="21"/>
      <c r="L83" s="21"/>
      <c r="M83" s="21"/>
      <c r="N83" s="30"/>
      <c r="O83" s="21"/>
      <c r="P83" s="21"/>
      <c r="Q83" s="21"/>
      <c r="R83" s="32"/>
      <c r="S83" s="32"/>
      <c r="T83" s="21"/>
      <c r="U83" s="21"/>
      <c r="V83" s="21"/>
      <c r="W83" s="21"/>
      <c r="X83" s="21"/>
    </row>
    <row r="84" customFormat="false" ht="15.75" hidden="false" customHeight="false" outlineLevel="0" collapsed="false">
      <c r="A84" s="61"/>
      <c r="B84" s="29"/>
      <c r="C84" s="21"/>
      <c r="D84" s="21"/>
      <c r="E84" s="21"/>
      <c r="F84" s="21"/>
      <c r="G84" s="30"/>
      <c r="H84" s="31"/>
      <c r="I84" s="21"/>
      <c r="J84" s="21"/>
      <c r="K84" s="21"/>
      <c r="L84" s="21"/>
      <c r="M84" s="21"/>
      <c r="N84" s="30"/>
      <c r="O84" s="21"/>
      <c r="P84" s="21"/>
      <c r="Q84" s="21"/>
      <c r="R84" s="32"/>
      <c r="S84" s="32"/>
      <c r="T84" s="21"/>
      <c r="U84" s="21"/>
      <c r="V84" s="21"/>
      <c r="W84" s="21"/>
      <c r="X84" s="21"/>
    </row>
    <row r="85" customFormat="false" ht="15.75" hidden="false" customHeight="false" outlineLevel="0" collapsed="false">
      <c r="A85" s="61"/>
      <c r="B85" s="29"/>
      <c r="C85" s="21"/>
      <c r="D85" s="21"/>
      <c r="E85" s="21"/>
      <c r="F85" s="21"/>
      <c r="G85" s="30"/>
      <c r="H85" s="31"/>
      <c r="I85" s="21"/>
      <c r="J85" s="21"/>
      <c r="K85" s="21"/>
      <c r="L85" s="21"/>
      <c r="M85" s="21"/>
      <c r="N85" s="30"/>
      <c r="O85" s="21"/>
      <c r="P85" s="21"/>
      <c r="Q85" s="21"/>
      <c r="R85" s="32"/>
      <c r="S85" s="32"/>
      <c r="T85" s="21"/>
      <c r="U85" s="21"/>
      <c r="V85" s="21"/>
      <c r="W85" s="21"/>
      <c r="X85" s="21"/>
    </row>
    <row r="86" customFormat="false" ht="15.75" hidden="false" customHeight="false" outlineLevel="0" collapsed="false">
      <c r="A86" s="61"/>
      <c r="B86" s="29"/>
      <c r="C86" s="21"/>
      <c r="D86" s="21"/>
      <c r="E86" s="21"/>
      <c r="F86" s="21"/>
      <c r="G86" s="30"/>
      <c r="H86" s="31"/>
      <c r="I86" s="21"/>
      <c r="J86" s="21"/>
      <c r="K86" s="21"/>
      <c r="L86" s="21"/>
      <c r="M86" s="21"/>
      <c r="N86" s="30"/>
      <c r="O86" s="21"/>
      <c r="P86" s="21"/>
      <c r="Q86" s="21"/>
      <c r="R86" s="32"/>
      <c r="S86" s="32"/>
      <c r="T86" s="21"/>
      <c r="U86" s="21"/>
      <c r="V86" s="21"/>
      <c r="W86" s="21"/>
      <c r="X86" s="21"/>
    </row>
    <row r="87" customFormat="false" ht="15.75" hidden="false" customHeight="false" outlineLevel="0" collapsed="false">
      <c r="A87" s="61"/>
      <c r="B87" s="29"/>
      <c r="C87" s="21"/>
      <c r="D87" s="21"/>
      <c r="E87" s="21"/>
      <c r="F87" s="21"/>
      <c r="G87" s="30"/>
      <c r="H87" s="31"/>
      <c r="I87" s="21"/>
      <c r="J87" s="21"/>
      <c r="K87" s="21"/>
      <c r="L87" s="21"/>
      <c r="M87" s="21"/>
      <c r="N87" s="30"/>
      <c r="O87" s="21"/>
      <c r="P87" s="21"/>
      <c r="Q87" s="21"/>
      <c r="R87" s="32"/>
      <c r="S87" s="32"/>
      <c r="T87" s="21"/>
      <c r="U87" s="21"/>
      <c r="V87" s="21"/>
      <c r="W87" s="21"/>
      <c r="X87" s="21"/>
    </row>
    <row r="88" customFormat="false" ht="15.75" hidden="false" customHeight="false" outlineLevel="0" collapsed="false">
      <c r="A88" s="61"/>
      <c r="B88" s="29"/>
      <c r="C88" s="21"/>
      <c r="D88" s="21"/>
      <c r="E88" s="21"/>
      <c r="F88" s="21"/>
      <c r="G88" s="30"/>
      <c r="H88" s="31"/>
      <c r="I88" s="21"/>
      <c r="J88" s="21"/>
      <c r="K88" s="21"/>
      <c r="L88" s="21"/>
      <c r="M88" s="21"/>
      <c r="N88" s="30"/>
      <c r="O88" s="21"/>
      <c r="P88" s="21"/>
      <c r="Q88" s="21"/>
      <c r="R88" s="32"/>
      <c r="S88" s="32"/>
      <c r="T88" s="21"/>
      <c r="U88" s="21"/>
      <c r="V88" s="21"/>
      <c r="W88" s="21"/>
      <c r="X88" s="21"/>
    </row>
    <row r="89" customFormat="false" ht="15.75" hidden="false" customHeight="false" outlineLevel="0" collapsed="false">
      <c r="A89" s="61"/>
      <c r="B89" s="29"/>
      <c r="C89" s="21"/>
      <c r="D89" s="21"/>
      <c r="E89" s="21"/>
      <c r="F89" s="21"/>
      <c r="G89" s="30"/>
      <c r="H89" s="31"/>
      <c r="I89" s="21"/>
      <c r="J89" s="21"/>
      <c r="K89" s="21"/>
      <c r="L89" s="21"/>
      <c r="M89" s="21"/>
      <c r="N89" s="30"/>
      <c r="O89" s="21"/>
      <c r="P89" s="21"/>
      <c r="Q89" s="21"/>
      <c r="R89" s="32"/>
      <c r="S89" s="32"/>
      <c r="T89" s="21"/>
      <c r="U89" s="21"/>
      <c r="V89" s="21"/>
      <c r="W89" s="21"/>
      <c r="X89" s="21"/>
    </row>
    <row r="90" customFormat="false" ht="15.75" hidden="false" customHeight="false" outlineLevel="0" collapsed="false">
      <c r="A90" s="61"/>
      <c r="B90" s="29"/>
      <c r="C90" s="21"/>
      <c r="D90" s="21"/>
      <c r="E90" s="21"/>
      <c r="F90" s="21"/>
      <c r="G90" s="30"/>
      <c r="H90" s="31"/>
      <c r="I90" s="21"/>
      <c r="J90" s="21"/>
      <c r="K90" s="21"/>
      <c r="L90" s="21"/>
      <c r="M90" s="21"/>
      <c r="N90" s="30"/>
      <c r="O90" s="21"/>
      <c r="P90" s="21"/>
      <c r="Q90" s="21"/>
      <c r="R90" s="32"/>
      <c r="S90" s="32"/>
      <c r="T90" s="21"/>
      <c r="U90" s="21"/>
      <c r="V90" s="21"/>
      <c r="W90" s="21"/>
      <c r="X90" s="21"/>
    </row>
    <row r="91" customFormat="false" ht="15.75" hidden="false" customHeight="false" outlineLevel="0" collapsed="false">
      <c r="A91" s="61"/>
      <c r="B91" s="29"/>
      <c r="C91" s="21"/>
      <c r="D91" s="21"/>
      <c r="E91" s="21"/>
      <c r="F91" s="21"/>
      <c r="G91" s="30"/>
      <c r="H91" s="31"/>
      <c r="I91" s="21"/>
      <c r="J91" s="21"/>
      <c r="K91" s="21"/>
      <c r="L91" s="21"/>
      <c r="M91" s="21"/>
      <c r="N91" s="30"/>
      <c r="O91" s="21"/>
      <c r="P91" s="21"/>
      <c r="Q91" s="21"/>
      <c r="R91" s="32"/>
      <c r="S91" s="32"/>
      <c r="T91" s="21"/>
      <c r="U91" s="21"/>
      <c r="V91" s="21"/>
      <c r="W91" s="21"/>
      <c r="X91" s="21"/>
    </row>
    <row r="92" customFormat="false" ht="15.75" hidden="false" customHeight="false" outlineLevel="0" collapsed="false">
      <c r="A92" s="61"/>
      <c r="B92" s="29"/>
      <c r="C92" s="21"/>
      <c r="D92" s="21"/>
      <c r="E92" s="21"/>
      <c r="F92" s="21"/>
      <c r="G92" s="30"/>
      <c r="H92" s="31"/>
      <c r="I92" s="21"/>
      <c r="J92" s="21"/>
      <c r="K92" s="21"/>
      <c r="L92" s="21"/>
      <c r="M92" s="21"/>
      <c r="N92" s="30"/>
      <c r="O92" s="21"/>
      <c r="P92" s="21"/>
      <c r="Q92" s="21"/>
      <c r="R92" s="32"/>
      <c r="S92" s="32"/>
      <c r="T92" s="21"/>
      <c r="U92" s="21"/>
      <c r="V92" s="21"/>
      <c r="W92" s="21"/>
      <c r="X92" s="21"/>
    </row>
    <row r="93" customFormat="false" ht="15.75" hidden="false" customHeight="false" outlineLevel="0" collapsed="false">
      <c r="A93" s="61"/>
      <c r="B93" s="29"/>
      <c r="C93" s="21"/>
      <c r="D93" s="21"/>
      <c r="E93" s="21"/>
      <c r="F93" s="21"/>
      <c r="G93" s="30"/>
      <c r="H93" s="31"/>
      <c r="I93" s="21"/>
      <c r="J93" s="21"/>
      <c r="K93" s="21"/>
      <c r="L93" s="21"/>
      <c r="M93" s="21"/>
      <c r="N93" s="30"/>
      <c r="O93" s="21"/>
      <c r="P93" s="21"/>
      <c r="Q93" s="21"/>
      <c r="R93" s="32"/>
      <c r="S93" s="32"/>
      <c r="T93" s="21"/>
      <c r="U93" s="21"/>
      <c r="V93" s="21"/>
      <c r="W93" s="21"/>
      <c r="X93" s="21"/>
    </row>
    <row r="94" customFormat="false" ht="15.75" hidden="false" customHeight="false" outlineLevel="0" collapsed="false">
      <c r="A94" s="61"/>
      <c r="B94" s="29"/>
      <c r="C94" s="21"/>
      <c r="D94" s="21"/>
      <c r="E94" s="21"/>
      <c r="F94" s="21"/>
      <c r="G94" s="30"/>
      <c r="H94" s="31"/>
      <c r="I94" s="21"/>
      <c r="J94" s="21"/>
      <c r="K94" s="21"/>
      <c r="L94" s="21"/>
      <c r="M94" s="21"/>
      <c r="N94" s="30"/>
      <c r="O94" s="21"/>
      <c r="P94" s="21"/>
      <c r="Q94" s="21"/>
      <c r="R94" s="32"/>
      <c r="S94" s="32"/>
      <c r="T94" s="21"/>
      <c r="U94" s="21"/>
      <c r="V94" s="21"/>
      <c r="W94" s="21"/>
      <c r="X94" s="21"/>
    </row>
    <row r="95" customFormat="false" ht="15.75" hidden="false" customHeight="false" outlineLevel="0" collapsed="false">
      <c r="A95" s="61"/>
      <c r="B95" s="29"/>
      <c r="C95" s="21"/>
      <c r="D95" s="21"/>
      <c r="E95" s="21"/>
      <c r="F95" s="21"/>
      <c r="G95" s="30"/>
      <c r="H95" s="31"/>
      <c r="I95" s="21"/>
      <c r="J95" s="21"/>
      <c r="K95" s="21"/>
      <c r="L95" s="21"/>
      <c r="M95" s="21"/>
      <c r="N95" s="30"/>
      <c r="O95" s="21"/>
      <c r="P95" s="21"/>
      <c r="Q95" s="21"/>
      <c r="R95" s="32"/>
      <c r="S95" s="32"/>
      <c r="T95" s="21"/>
      <c r="U95" s="21"/>
      <c r="V95" s="21"/>
      <c r="W95" s="21"/>
      <c r="X95" s="21"/>
    </row>
    <row r="96" customFormat="false" ht="15.75" hidden="false" customHeight="false" outlineLevel="0" collapsed="false">
      <c r="A96" s="61"/>
      <c r="B96" s="29"/>
      <c r="C96" s="21"/>
      <c r="D96" s="21"/>
      <c r="E96" s="21"/>
      <c r="F96" s="21"/>
      <c r="G96" s="30"/>
      <c r="H96" s="31"/>
      <c r="I96" s="21"/>
      <c r="J96" s="21"/>
      <c r="K96" s="21"/>
      <c r="L96" s="21"/>
      <c r="M96" s="21"/>
      <c r="N96" s="30"/>
      <c r="O96" s="21"/>
      <c r="P96" s="21"/>
      <c r="Q96" s="21"/>
      <c r="R96" s="32"/>
      <c r="S96" s="32"/>
      <c r="T96" s="21"/>
      <c r="U96" s="21"/>
      <c r="V96" s="21"/>
      <c r="W96" s="21"/>
      <c r="X96" s="21"/>
    </row>
    <row r="97" customFormat="false" ht="15.75" hidden="false" customHeight="false" outlineLevel="0" collapsed="false">
      <c r="A97" s="61"/>
      <c r="B97" s="29"/>
      <c r="C97" s="21"/>
      <c r="D97" s="21"/>
      <c r="E97" s="21"/>
      <c r="F97" s="21"/>
      <c r="G97" s="30"/>
      <c r="H97" s="31"/>
      <c r="I97" s="21"/>
      <c r="J97" s="21"/>
      <c r="K97" s="21"/>
      <c r="L97" s="21"/>
      <c r="M97" s="21"/>
      <c r="N97" s="30"/>
      <c r="O97" s="21"/>
      <c r="P97" s="21"/>
      <c r="Q97" s="21"/>
      <c r="R97" s="32"/>
      <c r="S97" s="32"/>
      <c r="T97" s="21"/>
      <c r="U97" s="21"/>
      <c r="V97" s="21"/>
      <c r="W97" s="21"/>
      <c r="X97" s="21"/>
    </row>
    <row r="98" customFormat="false" ht="15.75" hidden="false" customHeight="false" outlineLevel="0" collapsed="false">
      <c r="A98" s="61"/>
      <c r="B98" s="29"/>
      <c r="C98" s="21"/>
      <c r="D98" s="21"/>
      <c r="E98" s="21"/>
      <c r="F98" s="21"/>
      <c r="G98" s="30"/>
      <c r="H98" s="31"/>
      <c r="I98" s="21"/>
      <c r="J98" s="21"/>
      <c r="K98" s="21"/>
      <c r="L98" s="21"/>
      <c r="M98" s="21"/>
      <c r="N98" s="30"/>
      <c r="O98" s="21"/>
      <c r="P98" s="21"/>
      <c r="Q98" s="21"/>
      <c r="R98" s="32"/>
      <c r="S98" s="32"/>
      <c r="T98" s="21"/>
      <c r="U98" s="21"/>
      <c r="V98" s="21"/>
      <c r="W98" s="21"/>
      <c r="X98" s="21"/>
    </row>
    <row r="99" customFormat="false" ht="15.75" hidden="false" customHeight="false" outlineLevel="0" collapsed="false">
      <c r="A99" s="61"/>
      <c r="B99" s="29"/>
      <c r="C99" s="21"/>
      <c r="D99" s="21"/>
      <c r="E99" s="21"/>
      <c r="F99" s="21"/>
      <c r="G99" s="30"/>
      <c r="H99" s="31"/>
      <c r="I99" s="21"/>
      <c r="J99" s="21"/>
      <c r="K99" s="21"/>
      <c r="L99" s="21"/>
      <c r="M99" s="21"/>
      <c r="N99" s="30"/>
      <c r="O99" s="21"/>
      <c r="P99" s="21"/>
      <c r="Q99" s="21"/>
      <c r="R99" s="32"/>
      <c r="S99" s="32"/>
      <c r="T99" s="21"/>
      <c r="U99" s="21"/>
      <c r="V99" s="21"/>
      <c r="W99" s="21"/>
      <c r="X99" s="21"/>
    </row>
    <row r="100" customFormat="false" ht="15.75" hidden="false" customHeight="false" outlineLevel="0" collapsed="false">
      <c r="A100" s="61"/>
      <c r="B100" s="29"/>
      <c r="C100" s="21"/>
      <c r="D100" s="21"/>
      <c r="E100" s="21"/>
      <c r="F100" s="21"/>
      <c r="G100" s="30"/>
      <c r="H100" s="31"/>
      <c r="I100" s="21"/>
      <c r="J100" s="21"/>
      <c r="K100" s="21"/>
      <c r="L100" s="21"/>
      <c r="M100" s="21"/>
      <c r="N100" s="30"/>
      <c r="O100" s="21"/>
      <c r="P100" s="21"/>
      <c r="Q100" s="21"/>
      <c r="R100" s="32"/>
      <c r="S100" s="32"/>
      <c r="T100" s="21"/>
      <c r="U100" s="21"/>
      <c r="V100" s="21"/>
      <c r="W100" s="21"/>
      <c r="X100" s="21"/>
    </row>
    <row r="101" customFormat="false" ht="15.75" hidden="false" customHeight="false" outlineLevel="0" collapsed="false">
      <c r="A101" s="61"/>
      <c r="B101" s="29"/>
      <c r="C101" s="21"/>
      <c r="D101" s="21"/>
      <c r="E101" s="21"/>
      <c r="F101" s="21"/>
      <c r="G101" s="30"/>
      <c r="H101" s="31"/>
      <c r="I101" s="21"/>
      <c r="J101" s="21"/>
      <c r="K101" s="21"/>
      <c r="L101" s="21"/>
      <c r="M101" s="21"/>
      <c r="N101" s="30"/>
      <c r="O101" s="21"/>
      <c r="P101" s="21"/>
      <c r="Q101" s="21"/>
      <c r="R101" s="32"/>
      <c r="S101" s="32"/>
      <c r="T101" s="21"/>
      <c r="U101" s="21"/>
      <c r="V101" s="21"/>
      <c r="W101" s="21"/>
      <c r="X101" s="21"/>
    </row>
    <row r="102" customFormat="false" ht="15.75" hidden="false" customHeight="false" outlineLevel="0" collapsed="false">
      <c r="A102" s="61"/>
      <c r="B102" s="29"/>
      <c r="C102" s="21"/>
      <c r="D102" s="21"/>
      <c r="E102" s="21"/>
      <c r="F102" s="21"/>
      <c r="G102" s="30"/>
      <c r="H102" s="31"/>
      <c r="I102" s="21"/>
      <c r="J102" s="21"/>
      <c r="K102" s="21"/>
      <c r="L102" s="21"/>
      <c r="M102" s="21"/>
      <c r="N102" s="30"/>
      <c r="O102" s="21"/>
      <c r="P102" s="21"/>
      <c r="Q102" s="21"/>
      <c r="R102" s="32"/>
      <c r="S102" s="32"/>
      <c r="T102" s="21"/>
      <c r="U102" s="21"/>
      <c r="V102" s="21"/>
      <c r="W102" s="21"/>
      <c r="X102" s="21"/>
    </row>
    <row r="103" customFormat="false" ht="15.75" hidden="false" customHeight="false" outlineLevel="0" collapsed="false">
      <c r="A103" s="61"/>
      <c r="B103" s="29"/>
      <c r="C103" s="21"/>
      <c r="D103" s="21"/>
      <c r="E103" s="21"/>
      <c r="F103" s="21"/>
      <c r="G103" s="30"/>
      <c r="H103" s="31"/>
      <c r="I103" s="21"/>
      <c r="J103" s="21"/>
      <c r="K103" s="21"/>
      <c r="L103" s="21"/>
      <c r="M103" s="21"/>
      <c r="N103" s="30"/>
      <c r="O103" s="21"/>
      <c r="P103" s="21"/>
      <c r="Q103" s="21"/>
      <c r="R103" s="32"/>
      <c r="S103" s="32"/>
      <c r="T103" s="21"/>
      <c r="U103" s="21"/>
      <c r="V103" s="21"/>
      <c r="W103" s="21"/>
      <c r="X103" s="21"/>
    </row>
    <row r="104" customFormat="false" ht="15.75" hidden="false" customHeight="false" outlineLevel="0" collapsed="false">
      <c r="A104" s="61"/>
      <c r="B104" s="29"/>
      <c r="C104" s="21"/>
      <c r="D104" s="21"/>
      <c r="E104" s="21"/>
      <c r="F104" s="21"/>
      <c r="G104" s="30"/>
      <c r="H104" s="31"/>
      <c r="I104" s="21"/>
      <c r="J104" s="21"/>
      <c r="K104" s="21"/>
      <c r="L104" s="21"/>
      <c r="M104" s="21"/>
      <c r="N104" s="30"/>
      <c r="O104" s="21"/>
      <c r="P104" s="21"/>
      <c r="Q104" s="21"/>
      <c r="R104" s="32"/>
      <c r="S104" s="32"/>
      <c r="T104" s="21"/>
      <c r="U104" s="21"/>
      <c r="V104" s="21"/>
      <c r="W104" s="21"/>
      <c r="X104" s="21"/>
    </row>
    <row r="105" customFormat="false" ht="15.75" hidden="false" customHeight="false" outlineLevel="0" collapsed="false">
      <c r="A105" s="61"/>
      <c r="B105" s="29"/>
      <c r="C105" s="21"/>
      <c r="D105" s="21"/>
      <c r="E105" s="21"/>
      <c r="F105" s="21"/>
      <c r="G105" s="30"/>
      <c r="H105" s="31"/>
      <c r="I105" s="21"/>
      <c r="J105" s="21"/>
      <c r="K105" s="21"/>
      <c r="L105" s="21"/>
      <c r="M105" s="21"/>
      <c r="N105" s="30"/>
      <c r="O105" s="21"/>
      <c r="P105" s="21"/>
      <c r="Q105" s="21"/>
      <c r="R105" s="32"/>
      <c r="S105" s="32"/>
      <c r="T105" s="21"/>
      <c r="U105" s="21"/>
      <c r="V105" s="21"/>
      <c r="W105" s="21"/>
      <c r="X105" s="21"/>
    </row>
    <row r="106" customFormat="false" ht="15.75" hidden="false" customHeight="false" outlineLevel="0" collapsed="false">
      <c r="A106" s="61"/>
      <c r="B106" s="29"/>
      <c r="C106" s="21"/>
      <c r="D106" s="21"/>
      <c r="E106" s="21"/>
      <c r="F106" s="21"/>
      <c r="G106" s="30"/>
      <c r="H106" s="31"/>
      <c r="I106" s="21"/>
      <c r="J106" s="21"/>
      <c r="K106" s="21"/>
      <c r="L106" s="21"/>
      <c r="M106" s="21"/>
      <c r="N106" s="30"/>
      <c r="O106" s="21"/>
      <c r="P106" s="21"/>
      <c r="Q106" s="21"/>
      <c r="R106" s="32"/>
      <c r="S106" s="32"/>
      <c r="T106" s="21"/>
      <c r="U106" s="21"/>
      <c r="V106" s="21"/>
      <c r="W106" s="21"/>
      <c r="X106" s="21"/>
    </row>
    <row r="107" customFormat="false" ht="15.75" hidden="false" customHeight="false" outlineLevel="0" collapsed="false">
      <c r="A107" s="61"/>
      <c r="B107" s="29"/>
      <c r="C107" s="21"/>
      <c r="D107" s="21"/>
      <c r="E107" s="21"/>
      <c r="F107" s="21"/>
      <c r="G107" s="30"/>
      <c r="H107" s="31"/>
      <c r="I107" s="21"/>
      <c r="J107" s="21"/>
      <c r="K107" s="21"/>
      <c r="L107" s="21"/>
      <c r="M107" s="21"/>
      <c r="N107" s="30"/>
      <c r="O107" s="21"/>
      <c r="P107" s="21"/>
      <c r="Q107" s="21"/>
      <c r="R107" s="32"/>
      <c r="S107" s="32"/>
      <c r="T107" s="21"/>
      <c r="U107" s="21"/>
      <c r="V107" s="21"/>
      <c r="W107" s="21"/>
      <c r="X107" s="21"/>
    </row>
    <row r="108" customFormat="false" ht="15.75" hidden="false" customHeight="false" outlineLevel="0" collapsed="false">
      <c r="A108" s="61"/>
      <c r="B108" s="29"/>
      <c r="C108" s="21"/>
      <c r="D108" s="21"/>
      <c r="E108" s="21"/>
      <c r="F108" s="21"/>
      <c r="G108" s="30"/>
      <c r="H108" s="31"/>
      <c r="I108" s="21"/>
      <c r="J108" s="21"/>
      <c r="K108" s="21"/>
      <c r="L108" s="21"/>
      <c r="M108" s="21"/>
      <c r="N108" s="30"/>
      <c r="O108" s="21"/>
      <c r="P108" s="21"/>
      <c r="Q108" s="21"/>
      <c r="R108" s="32"/>
      <c r="S108" s="32"/>
      <c r="T108" s="21"/>
      <c r="U108" s="21"/>
      <c r="V108" s="21"/>
      <c r="W108" s="21"/>
      <c r="X108" s="21"/>
    </row>
    <row r="109" customFormat="false" ht="15.75" hidden="false" customHeight="false" outlineLevel="0" collapsed="false">
      <c r="A109" s="61"/>
      <c r="B109" s="29"/>
      <c r="C109" s="21"/>
      <c r="D109" s="21"/>
      <c r="E109" s="21"/>
      <c r="F109" s="21"/>
      <c r="G109" s="30"/>
      <c r="H109" s="31"/>
      <c r="I109" s="21"/>
      <c r="J109" s="21"/>
      <c r="K109" s="21"/>
      <c r="L109" s="21"/>
      <c r="M109" s="21"/>
      <c r="N109" s="30"/>
      <c r="O109" s="21"/>
      <c r="P109" s="21"/>
      <c r="Q109" s="21"/>
      <c r="R109" s="32"/>
      <c r="S109" s="32"/>
      <c r="T109" s="21"/>
      <c r="U109" s="21"/>
      <c r="V109" s="21"/>
      <c r="W109" s="21"/>
      <c r="X109" s="21"/>
    </row>
    <row r="110" customFormat="false" ht="15.75" hidden="false" customHeight="false" outlineLevel="0" collapsed="false">
      <c r="A110" s="61"/>
      <c r="B110" s="29"/>
      <c r="C110" s="21"/>
      <c r="D110" s="21"/>
      <c r="E110" s="21"/>
      <c r="F110" s="21"/>
      <c r="G110" s="30"/>
      <c r="H110" s="31"/>
      <c r="I110" s="21"/>
      <c r="J110" s="21"/>
      <c r="K110" s="21"/>
      <c r="L110" s="21"/>
      <c r="M110" s="21"/>
      <c r="N110" s="30"/>
      <c r="O110" s="21"/>
      <c r="P110" s="21"/>
      <c r="Q110" s="21"/>
      <c r="R110" s="32"/>
      <c r="S110" s="32"/>
      <c r="T110" s="21"/>
      <c r="U110" s="21"/>
      <c r="V110" s="21"/>
      <c r="W110" s="21"/>
      <c r="X110" s="21"/>
    </row>
    <row r="111" customFormat="false" ht="15.75" hidden="false" customHeight="false" outlineLevel="0" collapsed="false">
      <c r="A111" s="61"/>
      <c r="B111" s="29"/>
      <c r="C111" s="21"/>
      <c r="D111" s="21"/>
      <c r="E111" s="21"/>
      <c r="F111" s="21"/>
      <c r="G111" s="30"/>
      <c r="H111" s="31"/>
      <c r="I111" s="21"/>
      <c r="J111" s="21"/>
      <c r="K111" s="21"/>
      <c r="L111" s="21"/>
      <c r="M111" s="21"/>
      <c r="N111" s="30"/>
      <c r="O111" s="21"/>
      <c r="P111" s="21"/>
      <c r="Q111" s="21"/>
      <c r="R111" s="32"/>
      <c r="S111" s="32"/>
      <c r="T111" s="21"/>
      <c r="U111" s="21"/>
      <c r="V111" s="21"/>
      <c r="W111" s="21"/>
      <c r="X111" s="21"/>
    </row>
    <row r="112" customFormat="false" ht="15.75" hidden="false" customHeight="false" outlineLevel="0" collapsed="false">
      <c r="A112" s="61"/>
      <c r="B112" s="29"/>
      <c r="C112" s="21"/>
      <c r="D112" s="21"/>
      <c r="E112" s="21"/>
      <c r="F112" s="21"/>
      <c r="G112" s="30"/>
      <c r="H112" s="31"/>
      <c r="I112" s="21"/>
      <c r="J112" s="21"/>
      <c r="K112" s="21"/>
      <c r="L112" s="21"/>
      <c r="M112" s="21"/>
      <c r="N112" s="30"/>
      <c r="O112" s="21"/>
      <c r="P112" s="21"/>
      <c r="Q112" s="21"/>
      <c r="R112" s="32"/>
      <c r="S112" s="32"/>
      <c r="T112" s="21"/>
      <c r="U112" s="21"/>
      <c r="V112" s="21"/>
      <c r="W112" s="21"/>
      <c r="X112" s="21"/>
    </row>
    <row r="113" customFormat="false" ht="15.75" hidden="false" customHeight="false" outlineLevel="0" collapsed="false">
      <c r="A113" s="61"/>
      <c r="B113" s="29"/>
      <c r="C113" s="21"/>
      <c r="D113" s="21"/>
      <c r="E113" s="21"/>
      <c r="F113" s="21"/>
      <c r="G113" s="30"/>
      <c r="H113" s="31"/>
      <c r="I113" s="21"/>
      <c r="J113" s="21"/>
      <c r="K113" s="21"/>
      <c r="L113" s="21"/>
      <c r="M113" s="21"/>
      <c r="N113" s="30"/>
      <c r="O113" s="21"/>
      <c r="P113" s="21"/>
      <c r="Q113" s="21"/>
      <c r="R113" s="32"/>
      <c r="S113" s="32"/>
      <c r="T113" s="21"/>
      <c r="U113" s="21"/>
      <c r="V113" s="21"/>
      <c r="W113" s="21"/>
      <c r="X113" s="21"/>
    </row>
    <row r="114" customFormat="false" ht="15.75" hidden="false" customHeight="false" outlineLevel="0" collapsed="false">
      <c r="A114" s="61"/>
      <c r="B114" s="29"/>
      <c r="C114" s="21"/>
      <c r="D114" s="21"/>
      <c r="E114" s="21"/>
      <c r="F114" s="21"/>
      <c r="G114" s="30"/>
      <c r="H114" s="31"/>
      <c r="I114" s="21"/>
      <c r="J114" s="21"/>
      <c r="K114" s="21"/>
      <c r="L114" s="21"/>
      <c r="M114" s="21"/>
      <c r="N114" s="30"/>
      <c r="O114" s="21"/>
      <c r="P114" s="21"/>
      <c r="Q114" s="21"/>
      <c r="R114" s="32"/>
      <c r="S114" s="32"/>
      <c r="T114" s="21"/>
      <c r="U114" s="21"/>
      <c r="V114" s="21"/>
      <c r="W114" s="21"/>
      <c r="X114" s="21"/>
    </row>
    <row r="115" customFormat="false" ht="15.75" hidden="false" customHeight="false" outlineLevel="0" collapsed="false">
      <c r="G115" s="18"/>
      <c r="H115" s="35"/>
      <c r="N115" s="18"/>
    </row>
    <row r="116" customFormat="false" ht="15.75" hidden="false" customHeight="false" outlineLevel="0" collapsed="false">
      <c r="G116" s="18"/>
      <c r="H116" s="35"/>
      <c r="N116" s="18"/>
    </row>
    <row r="117" customFormat="false" ht="15.75" hidden="false" customHeight="false" outlineLevel="0" collapsed="false">
      <c r="G117" s="18"/>
      <c r="H117" s="35"/>
      <c r="N117" s="18"/>
    </row>
    <row r="118" customFormat="false" ht="15.75" hidden="false" customHeight="false" outlineLevel="0" collapsed="false">
      <c r="G118" s="18"/>
      <c r="H118" s="35"/>
      <c r="N118" s="18"/>
    </row>
    <row r="119" customFormat="false" ht="15.75" hidden="false" customHeight="false" outlineLevel="0" collapsed="false">
      <c r="G119" s="18"/>
      <c r="H119" s="35"/>
      <c r="N119" s="18"/>
    </row>
    <row r="120" customFormat="false" ht="15.75" hidden="false" customHeight="false" outlineLevel="0" collapsed="false">
      <c r="G120" s="18"/>
      <c r="H120" s="35"/>
      <c r="N120" s="18"/>
    </row>
    <row r="121" customFormat="false" ht="15.75" hidden="false" customHeight="false" outlineLevel="0" collapsed="false">
      <c r="G121" s="18"/>
      <c r="H121" s="35"/>
      <c r="N121" s="18"/>
    </row>
    <row r="122" customFormat="false" ht="15.75" hidden="false" customHeight="false" outlineLevel="0" collapsed="false">
      <c r="G122" s="18"/>
      <c r="H122" s="35"/>
      <c r="N122" s="18"/>
    </row>
    <row r="123" customFormat="false" ht="15.75" hidden="false" customHeight="false" outlineLevel="0" collapsed="false">
      <c r="G123" s="18"/>
      <c r="H123" s="35"/>
      <c r="N123" s="18"/>
    </row>
    <row r="124" customFormat="false" ht="15.75" hidden="false" customHeight="false" outlineLevel="0" collapsed="false">
      <c r="G124" s="18"/>
      <c r="H124" s="35"/>
      <c r="N124" s="18"/>
    </row>
    <row r="125" customFormat="false" ht="15.75" hidden="false" customHeight="false" outlineLevel="0" collapsed="false">
      <c r="G125" s="18"/>
      <c r="H125" s="35"/>
      <c r="N125" s="18"/>
    </row>
    <row r="126" customFormat="false" ht="15.75" hidden="false" customHeight="false" outlineLevel="0" collapsed="false">
      <c r="G126" s="18"/>
      <c r="H126" s="35"/>
      <c r="N126" s="18"/>
    </row>
    <row r="127" customFormat="false" ht="15.75" hidden="false" customHeight="false" outlineLevel="0" collapsed="false">
      <c r="G127" s="18"/>
      <c r="H127" s="35"/>
      <c r="N127" s="18"/>
    </row>
    <row r="128" customFormat="false" ht="15.75" hidden="false" customHeight="false" outlineLevel="0" collapsed="false">
      <c r="G128" s="18"/>
      <c r="H128" s="35"/>
      <c r="N128" s="18"/>
    </row>
    <row r="129" customFormat="false" ht="15.75" hidden="false" customHeight="false" outlineLevel="0" collapsed="false">
      <c r="G129" s="18"/>
      <c r="H129" s="35"/>
      <c r="N129" s="18"/>
    </row>
    <row r="130" customFormat="false" ht="15.75" hidden="false" customHeight="false" outlineLevel="0" collapsed="false">
      <c r="G130" s="18"/>
      <c r="H130" s="35"/>
      <c r="N130" s="18"/>
    </row>
    <row r="1048575" customFormat="false" ht="12.8" hidden="false" customHeight="true" outlineLevel="0" collapsed="false"/>
    <row r="1048576" customFormat="false" ht="12.8" hidden="false" customHeight="true" outlineLevel="0" collapsed="false"/>
  </sheetData>
  <mergeCells count="2">
    <mergeCell ref="J13:J16"/>
    <mergeCell ref="K13:K16"/>
  </mergeCells>
  <conditionalFormatting sqref="R2:S114">
    <cfRule type="expression" priority="2" aboveAverage="0" equalAverage="0" bottom="0" percent="0" rank="0" text="" dxfId="0">
      <formula>LEN(TRIM(R2))&gt;0</formula>
    </cfRule>
  </conditionalFormatting>
  <conditionalFormatting sqref="Q2:Q114">
    <cfRule type="expression" priority="3" aboveAverage="0" equalAverage="0" bottom="0" percent="0" rank="0" text="" dxfId="0">
      <formula>LEN(TRIM(Q2))&gt;0</formula>
    </cfRule>
  </conditionalFormatting>
  <conditionalFormatting sqref="G2:G114 N2:N114">
    <cfRule type="containsText" priority="4" operator="containsText" aboveAverage="0" equalAverage="0" bottom="0" percent="0" rank="0" text="x" dxfId="0">
      <formula>NOT(ISERROR(SEARCH("x",G2)))</formula>
    </cfRule>
  </conditionalFormatting>
  <conditionalFormatting sqref="T2:T114">
    <cfRule type="expression" priority="5" aboveAverage="0" equalAverage="0" bottom="0" percent="0" rank="0" text="" dxfId="0">
      <formula>LEN(TRIM(T2))&gt;0</formula>
    </cfRule>
  </conditionalFormatting>
  <conditionalFormatting sqref="W2:W114">
    <cfRule type="expression" priority="6" aboveAverage="0" equalAverage="0" bottom="0" percent="0" rank="0" text="" dxfId="0">
      <formula>LEN(TRIM(W2))&gt;0</formula>
    </cfRule>
  </conditionalFormatting>
  <conditionalFormatting sqref="X2:X114">
    <cfRule type="cellIs" priority="7" operator="equal" aboveAverage="0" equalAverage="0" bottom="0" percent="0" rank="0" text="" dxfId="0">
      <formula>"Completo"</formula>
    </cfRule>
    <cfRule type="cellIs" priority="8" operator="equal" aboveAverage="0" equalAverage="0" bottom="0" percent="0" rank="0" text="" dxfId="1">
      <formula>"No aplica"</formula>
    </cfRule>
  </conditionalFormatting>
  <conditionalFormatting sqref="G2:I114 O2:P114 U2:V114 X2:X114">
    <cfRule type="cellIs" priority="9" operator="equal" aboveAverage="0" equalAverage="0" bottom="0" percent="0" rank="0" text="" dxfId="0">
      <formula>"Completo"</formula>
    </cfRule>
    <cfRule type="cellIs" priority="10" operator="equal" aboveAverage="0" equalAverage="0" bottom="0" percent="0" rank="0" text="" dxfId="1">
      <formula>"No Aplica"</formula>
    </cfRule>
  </conditionalFormatting>
  <dataValidations count="5">
    <dataValidation allowBlank="true" errorStyle="stop" operator="between" showDropDown="false" showErrorMessage="true" showInputMessage="false" sqref="D2:D114" type="list">
      <formula1>LEYENDA!$B$2:$D$2</formula1>
      <formula2>0</formula2>
    </dataValidation>
    <dataValidation allowBlank="true" errorStyle="stop" operator="between" showDropDown="false" showErrorMessage="false" showInputMessage="false" sqref="E2:E114" type="list">
      <formula1>LEYENDA!$A$8:$A$12</formula1>
      <formula2>0</formula2>
    </dataValidation>
    <dataValidation allowBlank="true" errorStyle="stop" operator="between" showDropDown="false" showErrorMessage="false" showInputMessage="false" sqref="T2:T114" type="list">
      <formula1>LEYENDA!$A$23:$A$24</formula1>
      <formula2>0</formula2>
    </dataValidation>
    <dataValidation allowBlank="true" errorStyle="stop" operator="between" showDropDown="false" showErrorMessage="false" showInputMessage="false" sqref="R2:R114" type="list">
      <formula1>LEYENDA!$A$15:$A$19</formula1>
      <formula2>0</formula2>
    </dataValidation>
    <dataValidation allowBlank="true" errorStyle="stop" operator="between" showDropDown="false" showErrorMessage="true" showInputMessage="false" sqref="H2:I114 O2:P114 U2:V114 X2:X114" type="list">
      <formula1>LEYENDA!$B$1:$C$1</formula1>
      <formula2>0</formula2>
    </dataValidation>
  </dataValidations>
  <hyperlinks>
    <hyperlink ref="P4" r:id="rId2" display="Completo"/>
    <hyperlink ref="P5" r:id="rId3" display="Completo"/>
    <hyperlink ref="U14" r:id="rId4" display="Completo"/>
    <hyperlink ref="V14" r:id="rId5" display="Completo"/>
    <hyperlink ref="P15" r:id="rId6" display="Completo"/>
    <hyperlink ref="U15" r:id="rId7" display="Completo"/>
    <hyperlink ref="V15" r:id="rId8" display="Completo"/>
    <hyperlink ref="P16" r:id="rId9" display="Completo"/>
    <hyperlink ref="P17" r:id="rId10" display="Completo"/>
    <hyperlink ref="H19" r:id="rId11" display="Completo"/>
    <hyperlink ref="P27" r:id="rId12" display="Completo"/>
    <hyperlink ref="P37" r:id="rId13" display="Completo"/>
    <hyperlink ref="P52" r:id="rId14" display="Completo"/>
    <hyperlink ref="P53" r:id="rId15" display="Completo"/>
    <hyperlink ref="P54" r:id="rId16" display="Completo"/>
    <hyperlink ref="P55" r:id="rId17" display="Completo"/>
    <hyperlink ref="P56" r:id="rId18" display="Completo"/>
    <hyperlink ref="P57" r:id="rId19" display="Completo"/>
    <hyperlink ref="P58" r:id="rId20" display="Completo"/>
    <hyperlink ref="P61" r:id="rId21" display="Completo"/>
    <hyperlink ref="U61" r:id="rId22" display="Completo"/>
    <hyperlink ref="V61" r:id="rId23" display="Completo"/>
    <hyperlink ref="P62" r:id="rId24" display="Completo"/>
    <hyperlink ref="P64" r:id="rId25" display="Completo"/>
    <hyperlink ref="P65" r:id="rId26" display="Completo"/>
    <hyperlink ref="U65" r:id="rId27" display="Completo"/>
    <hyperlink ref="V65" r:id="rId28" display="Completo"/>
    <hyperlink ref="P66" r:id="rId29" display="Completo"/>
    <hyperlink ref="U66" r:id="rId30" display="Completo"/>
    <hyperlink ref="V66" r:id="rId31" display="Completo"/>
    <hyperlink ref="P71" r:id="rId32" display="Completo"/>
    <hyperlink ref="P72" r:id="rId33" display="Completo"/>
    <hyperlink ref="P73" r:id="rId34" display="Completo"/>
    <hyperlink ref="P74" r:id="rId35" display="Completo"/>
    <hyperlink ref="P75" r:id="rId36" display="Completo"/>
    <hyperlink ref="P78" r:id="rId37" display="Completo"/>
  </hyperlinks>
  <printOptions headings="false" gridLines="true" gridLinesSet="true" horizontalCentered="true" verticalCentered="false"/>
  <pageMargins left="0.7" right="0.7" top="0.75" bottom="0.75" header="0.511811023622047" footer="0.511811023622047"/>
  <pageSetup paperSize="9" scale="100" fitToWidth="1" fitToHeight="0" pageOrder="overThenDown" orientation="landscape" blackAndWhite="false" draft="false" cellComments="none" horizontalDpi="300" verticalDpi="300" copies="1"/>
  <headerFooter differentFirst="false" differentOddEven="false">
    <oddHeader/>
    <oddFooter/>
  </headerFooter>
  <drawing r:id="rId38"/>
  <legacyDrawing r:id="rId39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AF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6" ySplit="3" topLeftCell="G58" activePane="bottomRight" state="frozen"/>
      <selection pane="topLeft" activeCell="A1" activeCellId="0" sqref="A1"/>
      <selection pane="topRight" activeCell="G1" activeCellId="0" sqref="G1"/>
      <selection pane="bottomLeft" activeCell="A58" activeCellId="0" sqref="A58"/>
      <selection pane="bottomRight" activeCell="E64" activeCellId="0" sqref="E64"/>
    </sheetView>
  </sheetViews>
  <sheetFormatPr defaultColWidth="12.6328125" defaultRowHeight="15.75" zeroHeight="false" outlineLevelRow="0" outlineLevelCol="0"/>
  <cols>
    <col collapsed="false" customWidth="true" hidden="false" outlineLevel="0" max="1" min="1" style="1" width="10.25"/>
    <col collapsed="false" customWidth="true" hidden="false" outlineLevel="0" max="2" min="2" style="1" width="10.38"/>
    <col collapsed="false" customWidth="true" hidden="false" outlineLevel="0" max="3" min="3" style="1" width="16.89"/>
    <col collapsed="false" customWidth="true" hidden="false" outlineLevel="0" max="4" min="4" style="1" width="11.25"/>
    <col collapsed="false" customWidth="true" hidden="false" outlineLevel="0" max="5" min="5" style="1" width="17.13"/>
    <col collapsed="false" customWidth="true" hidden="false" outlineLevel="0" max="6" min="6" style="1" width="43.63"/>
    <col collapsed="false" customWidth="true" hidden="false" outlineLevel="0" max="7" min="7" style="1" width="15.88"/>
    <col collapsed="false" customWidth="true" hidden="false" outlineLevel="0" max="8" min="8" style="1" width="10.88"/>
    <col collapsed="false" customWidth="true" hidden="false" outlineLevel="0" max="9" min="9" style="1" width="12.75"/>
    <col collapsed="false" customWidth="true" hidden="false" outlineLevel="0" max="10" min="10" style="1" width="12.88"/>
    <col collapsed="false" customWidth="true" hidden="false" outlineLevel="0" max="11" min="11" style="1" width="10"/>
    <col collapsed="false" customWidth="true" hidden="false" outlineLevel="0" max="12" min="12" style="1" width="12.25"/>
    <col collapsed="false" customWidth="true" hidden="false" outlineLevel="0" max="13" min="13" style="1" width="26.12"/>
    <col collapsed="false" customWidth="true" hidden="false" outlineLevel="0" max="14" min="14" style="1" width="18"/>
    <col collapsed="false" customWidth="true" hidden="false" outlineLevel="0" max="16" min="15" style="1" width="10.63"/>
    <col collapsed="false" customWidth="true" hidden="false" outlineLevel="0" max="17" min="17" style="1" width="8.5"/>
    <col collapsed="false" customWidth="true" hidden="false" outlineLevel="0" max="19" min="19" style="1" width="25.38"/>
    <col collapsed="false" customWidth="true" hidden="false" outlineLevel="0" max="20" min="20" style="1" width="17.88"/>
    <col collapsed="false" customWidth="true" hidden="false" outlineLevel="0" max="21" min="21" style="1" width="10.13"/>
    <col collapsed="false" customWidth="true" hidden="false" outlineLevel="0" max="22" min="22" style="1" width="11.12"/>
    <col collapsed="false" customWidth="true" hidden="false" outlineLevel="0" max="23" min="23" style="1" width="24.88"/>
  </cols>
  <sheetData>
    <row r="1" customFormat="false" ht="68" hidden="false" customHeight="false" outlineLevel="0" collapsed="false">
      <c r="A1" s="2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/>
      <c r="J1" s="4" t="s">
        <v>8</v>
      </c>
      <c r="K1" s="2"/>
      <c r="L1" s="2" t="s">
        <v>9</v>
      </c>
      <c r="M1" s="2" t="s">
        <v>10</v>
      </c>
      <c r="N1" s="4" t="s">
        <v>11</v>
      </c>
      <c r="O1" s="3" t="s">
        <v>12</v>
      </c>
      <c r="P1" s="7" t="s">
        <v>13</v>
      </c>
      <c r="Q1" s="7" t="s">
        <v>14</v>
      </c>
      <c r="R1" s="7" t="s">
        <v>15</v>
      </c>
      <c r="S1" s="7" t="s">
        <v>16</v>
      </c>
      <c r="T1" s="7" t="s">
        <v>17</v>
      </c>
      <c r="U1" s="8" t="s">
        <v>18</v>
      </c>
      <c r="V1" s="9" t="s">
        <v>19</v>
      </c>
      <c r="W1" s="9" t="s">
        <v>20</v>
      </c>
      <c r="X1" s="10" t="s">
        <v>15</v>
      </c>
      <c r="Y1" s="11" t="s">
        <v>21</v>
      </c>
      <c r="Z1" s="11" t="s">
        <v>22</v>
      </c>
      <c r="AA1" s="12"/>
      <c r="AB1" s="12"/>
      <c r="AC1" s="12"/>
      <c r="AD1" s="12"/>
      <c r="AE1" s="12"/>
      <c r="AF1" s="12"/>
    </row>
    <row r="2" customFormat="false" ht="15.75" hidden="false" customHeight="false" outlineLevel="0" collapsed="false">
      <c r="A2" s="61" t="n">
        <v>6107</v>
      </c>
      <c r="B2" s="29" t="n">
        <v>44531</v>
      </c>
      <c r="C2" s="21" t="s">
        <v>3653</v>
      </c>
      <c r="D2" s="21" t="s">
        <v>24</v>
      </c>
      <c r="E2" s="21" t="s">
        <v>34</v>
      </c>
      <c r="F2" s="21" t="s">
        <v>1668</v>
      </c>
      <c r="G2" s="30" t="s">
        <v>2453</v>
      </c>
      <c r="H2" s="31"/>
      <c r="I2" s="21"/>
      <c r="J2" s="21"/>
      <c r="K2" s="21"/>
      <c r="L2" s="21"/>
      <c r="M2" s="21"/>
      <c r="N2" s="30"/>
      <c r="O2" s="21"/>
      <c r="P2" s="21"/>
      <c r="Q2" s="21"/>
      <c r="R2" s="32"/>
      <c r="S2" s="32"/>
      <c r="T2" s="21"/>
      <c r="U2" s="21" t="s">
        <v>37</v>
      </c>
      <c r="V2" s="21" t="s">
        <v>37</v>
      </c>
      <c r="W2" s="21" t="s">
        <v>36</v>
      </c>
      <c r="X2" s="21" t="s">
        <v>28</v>
      </c>
    </row>
    <row r="3" customFormat="false" ht="15.75" hidden="false" customHeight="false" outlineLevel="0" collapsed="false">
      <c r="A3" s="61" t="n">
        <v>6108</v>
      </c>
      <c r="B3" s="29" t="n">
        <v>44533</v>
      </c>
      <c r="C3" s="21" t="s">
        <v>2688</v>
      </c>
      <c r="D3" s="21" t="s">
        <v>24</v>
      </c>
      <c r="E3" s="21" t="s">
        <v>25</v>
      </c>
      <c r="F3" s="21" t="s">
        <v>3654</v>
      </c>
      <c r="G3" s="30" t="s">
        <v>3655</v>
      </c>
      <c r="H3" s="45" t="str">
        <f aca="false">HYPERLINK("https://photos.app.goo.gl/s6URXSBRAhY3PA7r8", "Completo")</f>
        <v>Completo</v>
      </c>
      <c r="I3" s="21" t="s">
        <v>28</v>
      </c>
      <c r="J3" s="21"/>
      <c r="K3" s="21"/>
      <c r="L3" s="21"/>
      <c r="M3" s="21" t="s">
        <v>3656</v>
      </c>
      <c r="N3" s="30"/>
      <c r="O3" s="21"/>
      <c r="P3" s="21"/>
      <c r="Q3" s="21"/>
      <c r="R3" s="32"/>
      <c r="S3" s="32"/>
      <c r="T3" s="21"/>
      <c r="U3" s="21" t="s">
        <v>37</v>
      </c>
      <c r="V3" s="21" t="s">
        <v>37</v>
      </c>
      <c r="W3" s="21" t="s">
        <v>36</v>
      </c>
      <c r="X3" s="21" t="s">
        <v>28</v>
      </c>
    </row>
    <row r="4" customFormat="false" ht="15.75" hidden="false" customHeight="false" outlineLevel="0" collapsed="false">
      <c r="A4" s="61" t="n">
        <v>6109</v>
      </c>
      <c r="B4" s="29" t="n">
        <v>44533</v>
      </c>
      <c r="C4" s="21" t="s">
        <v>893</v>
      </c>
      <c r="D4" s="21" t="s">
        <v>24</v>
      </c>
      <c r="E4" s="21" t="s">
        <v>34</v>
      </c>
      <c r="F4" s="21" t="s">
        <v>3657</v>
      </c>
      <c r="G4" s="30"/>
      <c r="H4" s="31"/>
      <c r="I4" s="21"/>
      <c r="J4" s="21"/>
      <c r="K4" s="21"/>
      <c r="L4" s="21"/>
      <c r="M4" s="21"/>
      <c r="N4" s="30"/>
      <c r="O4" s="21"/>
      <c r="P4" s="21"/>
      <c r="Q4" s="21"/>
      <c r="R4" s="32"/>
      <c r="S4" s="32"/>
      <c r="T4" s="21"/>
      <c r="U4" s="21" t="s">
        <v>37</v>
      </c>
      <c r="V4" s="21" t="s">
        <v>37</v>
      </c>
      <c r="W4" s="21" t="s">
        <v>36</v>
      </c>
      <c r="X4" s="21" t="s">
        <v>28</v>
      </c>
    </row>
    <row r="5" customFormat="false" ht="15.75" hidden="false" customHeight="false" outlineLevel="0" collapsed="false">
      <c r="A5" s="61" t="n">
        <v>6110</v>
      </c>
      <c r="B5" s="29" t="n">
        <v>44534</v>
      </c>
      <c r="C5" s="21" t="s">
        <v>814</v>
      </c>
      <c r="D5" s="21" t="s">
        <v>24</v>
      </c>
      <c r="E5" s="21" t="s">
        <v>34</v>
      </c>
      <c r="F5" s="21" t="s">
        <v>3658</v>
      </c>
      <c r="G5" s="30"/>
      <c r="H5" s="45" t="str">
        <f aca="false">HYPERLINK("https://photos.app.goo.gl/b8WDyiu9brycSYWs5", "Completo")</f>
        <v>Completo</v>
      </c>
      <c r="I5" s="21"/>
      <c r="J5" s="21"/>
      <c r="K5" s="21"/>
      <c r="L5" s="21"/>
      <c r="M5" s="21"/>
      <c r="N5" s="30"/>
      <c r="O5" s="21"/>
      <c r="P5" s="21"/>
      <c r="Q5" s="21"/>
      <c r="R5" s="32"/>
      <c r="S5" s="32"/>
      <c r="T5" s="21"/>
      <c r="U5" s="21" t="s">
        <v>37</v>
      </c>
      <c r="V5" s="21" t="s">
        <v>37</v>
      </c>
      <c r="W5" s="21" t="s">
        <v>36</v>
      </c>
      <c r="X5" s="21" t="s">
        <v>28</v>
      </c>
    </row>
    <row r="6" customFormat="false" ht="15.75" hidden="false" customHeight="false" outlineLevel="0" collapsed="false">
      <c r="A6" s="61" t="n">
        <v>6111</v>
      </c>
      <c r="B6" s="29" t="n">
        <v>44536</v>
      </c>
      <c r="C6" s="21" t="s">
        <v>3659</v>
      </c>
      <c r="D6" s="21" t="s">
        <v>24</v>
      </c>
      <c r="E6" s="21" t="s">
        <v>25</v>
      </c>
      <c r="F6" s="21" t="s">
        <v>3660</v>
      </c>
      <c r="G6" s="30"/>
      <c r="H6" s="45" t="str">
        <f aca="false">HYPERLINK("https://photos.app.goo.gl/NeyRLgiCbH3X2WdX6", "Completo")</f>
        <v>Completo</v>
      </c>
      <c r="I6" s="21" t="s">
        <v>28</v>
      </c>
      <c r="J6" s="21"/>
      <c r="K6" s="21"/>
      <c r="L6" s="21"/>
      <c r="M6" s="21"/>
      <c r="N6" s="30"/>
      <c r="O6" s="21"/>
      <c r="P6" s="21"/>
      <c r="Q6" s="21"/>
      <c r="R6" s="32"/>
      <c r="S6" s="32"/>
      <c r="T6" s="21"/>
      <c r="U6" s="21"/>
      <c r="V6" s="21"/>
      <c r="W6" s="21"/>
      <c r="X6" s="21" t="s">
        <v>28</v>
      </c>
    </row>
    <row r="7" customFormat="false" ht="15.75" hidden="false" customHeight="false" outlineLevel="0" collapsed="false">
      <c r="A7" s="61" t="n">
        <v>6112</v>
      </c>
      <c r="B7" s="29" t="n">
        <v>44537</v>
      </c>
      <c r="C7" s="21" t="s">
        <v>613</v>
      </c>
      <c r="D7" s="21" t="s">
        <v>24</v>
      </c>
      <c r="E7" s="21" t="s">
        <v>74</v>
      </c>
      <c r="F7" s="21" t="s">
        <v>3661</v>
      </c>
      <c r="G7" s="30" t="s">
        <v>3662</v>
      </c>
      <c r="H7" s="45" t="str">
        <f aca="false">HYPERLINK("https://photos.app.goo.gl/NpnkfsMeNQJf2B2j9", "Completo")</f>
        <v>Completo</v>
      </c>
      <c r="I7" s="21" t="s">
        <v>28</v>
      </c>
      <c r="J7" s="21"/>
      <c r="K7" s="21"/>
      <c r="L7" s="21"/>
      <c r="M7" s="21" t="s">
        <v>2133</v>
      </c>
      <c r="N7" s="69" t="s">
        <v>3663</v>
      </c>
      <c r="O7" s="21" t="s">
        <v>28</v>
      </c>
      <c r="P7" s="46" t="str">
        <f aca="false">HYPERLINK("https://photos.app.goo.gl/xjn7J4tDXQLjk87M7", "Completo")</f>
        <v>Completo</v>
      </c>
      <c r="Q7" s="21" t="s">
        <v>702</v>
      </c>
      <c r="R7" s="32" t="s">
        <v>74</v>
      </c>
      <c r="S7" s="32" t="s">
        <v>36</v>
      </c>
      <c r="T7" s="21" t="s">
        <v>74</v>
      </c>
      <c r="U7" s="74" t="s">
        <v>28</v>
      </c>
      <c r="V7" s="74" t="s">
        <v>28</v>
      </c>
      <c r="W7" s="21" t="s">
        <v>36</v>
      </c>
      <c r="X7" s="21" t="s">
        <v>28</v>
      </c>
    </row>
    <row r="8" customFormat="false" ht="15.75" hidden="false" customHeight="false" outlineLevel="0" collapsed="false">
      <c r="A8" s="61" t="n">
        <v>6113</v>
      </c>
      <c r="B8" s="29" t="n">
        <v>44537</v>
      </c>
      <c r="C8" s="21" t="s">
        <v>613</v>
      </c>
      <c r="D8" s="21" t="s">
        <v>24</v>
      </c>
      <c r="E8" s="21" t="s">
        <v>74</v>
      </c>
      <c r="F8" s="21" t="s">
        <v>3661</v>
      </c>
      <c r="G8" s="30" t="s">
        <v>3662</v>
      </c>
      <c r="H8" s="45" t="str">
        <f aca="false">HYPERLINK("https://photos.app.goo.gl/gTfnw5srvBezbUK78", "Completo")</f>
        <v>Completo</v>
      </c>
      <c r="I8" s="21" t="s">
        <v>28</v>
      </c>
      <c r="J8" s="21"/>
      <c r="K8" s="21"/>
      <c r="L8" s="21"/>
      <c r="M8" s="21" t="s">
        <v>2133</v>
      </c>
      <c r="N8" s="69" t="s">
        <v>3664</v>
      </c>
      <c r="O8" s="21" t="s">
        <v>28</v>
      </c>
      <c r="P8" s="74" t="s">
        <v>28</v>
      </c>
      <c r="Q8" s="21" t="s">
        <v>702</v>
      </c>
      <c r="R8" s="32" t="s">
        <v>74</v>
      </c>
      <c r="S8" s="32" t="s">
        <v>36</v>
      </c>
      <c r="T8" s="21" t="s">
        <v>74</v>
      </c>
      <c r="U8" s="74" t="s">
        <v>28</v>
      </c>
      <c r="V8" s="74" t="s">
        <v>28</v>
      </c>
      <c r="W8" s="21" t="s">
        <v>36</v>
      </c>
      <c r="X8" s="21" t="s">
        <v>28</v>
      </c>
    </row>
    <row r="9" customFormat="false" ht="15.75" hidden="false" customHeight="false" outlineLevel="0" collapsed="false">
      <c r="A9" s="61" t="n">
        <v>6114</v>
      </c>
      <c r="B9" s="29" t="n">
        <v>44537</v>
      </c>
      <c r="C9" s="21" t="s">
        <v>613</v>
      </c>
      <c r="D9" s="21" t="s">
        <v>24</v>
      </c>
      <c r="E9" s="21" t="s">
        <v>25</v>
      </c>
      <c r="F9" s="21" t="s">
        <v>3665</v>
      </c>
      <c r="G9" s="30" t="s">
        <v>3666</v>
      </c>
      <c r="H9" s="45" t="str">
        <f aca="false">HYPERLINK("https://photos.app.goo.gl/f18p3TD9FERGp7yr8", "Completo")</f>
        <v>Completo</v>
      </c>
      <c r="I9" s="21" t="s">
        <v>28</v>
      </c>
      <c r="J9" s="21"/>
      <c r="K9" s="21"/>
      <c r="L9" s="21"/>
      <c r="M9" s="21" t="s">
        <v>2133</v>
      </c>
      <c r="N9" s="30" t="s">
        <v>3667</v>
      </c>
      <c r="O9" s="21" t="s">
        <v>28</v>
      </c>
      <c r="P9" s="74" t="s">
        <v>28</v>
      </c>
      <c r="Q9" s="21" t="s">
        <v>3207</v>
      </c>
      <c r="R9" s="32" t="s">
        <v>25</v>
      </c>
      <c r="S9" s="32" t="s">
        <v>36</v>
      </c>
      <c r="T9" s="21" t="s">
        <v>74</v>
      </c>
      <c r="U9" s="74" t="s">
        <v>28</v>
      </c>
      <c r="V9" s="74" t="s">
        <v>28</v>
      </c>
      <c r="W9" s="21" t="s">
        <v>36</v>
      </c>
      <c r="X9" s="21" t="s">
        <v>28</v>
      </c>
    </row>
    <row r="10" customFormat="false" ht="15.75" hidden="false" customHeight="false" outlineLevel="0" collapsed="false">
      <c r="A10" s="61" t="n">
        <v>6115</v>
      </c>
      <c r="B10" s="29" t="n">
        <v>44537</v>
      </c>
      <c r="C10" s="21" t="s">
        <v>613</v>
      </c>
      <c r="D10" s="21" t="s">
        <v>24</v>
      </c>
      <c r="E10" s="21" t="s">
        <v>25</v>
      </c>
      <c r="F10" s="21" t="s">
        <v>3668</v>
      </c>
      <c r="G10" s="30" t="s">
        <v>3669</v>
      </c>
      <c r="H10" s="45" t="str">
        <f aca="false">HYPERLINK("https://photos.app.goo.gl/EJ9RA2tvdDqxFfsi9", "Completo")</f>
        <v>Completo</v>
      </c>
      <c r="I10" s="21" t="s">
        <v>28</v>
      </c>
      <c r="J10" s="21"/>
      <c r="K10" s="21"/>
      <c r="L10" s="21"/>
      <c r="M10" s="21" t="s">
        <v>2133</v>
      </c>
      <c r="N10" s="30"/>
      <c r="O10" s="21" t="s">
        <v>28</v>
      </c>
      <c r="P10" s="74" t="s">
        <v>28</v>
      </c>
      <c r="Q10" s="21" t="s">
        <v>2981</v>
      </c>
      <c r="R10" s="32" t="s">
        <v>2850</v>
      </c>
      <c r="S10" s="32" t="s">
        <v>36</v>
      </c>
      <c r="T10" s="21" t="s">
        <v>74</v>
      </c>
      <c r="U10" s="74" t="s">
        <v>28</v>
      </c>
      <c r="V10" s="74" t="s">
        <v>28</v>
      </c>
      <c r="W10" s="21" t="s">
        <v>36</v>
      </c>
      <c r="X10" s="21" t="s">
        <v>28</v>
      </c>
    </row>
    <row r="11" customFormat="false" ht="15.75" hidden="false" customHeight="false" outlineLevel="0" collapsed="false">
      <c r="A11" s="61" t="n">
        <v>6116</v>
      </c>
      <c r="B11" s="29" t="n">
        <v>44537</v>
      </c>
      <c r="C11" s="21" t="s">
        <v>613</v>
      </c>
      <c r="D11" s="21" t="s">
        <v>24</v>
      </c>
      <c r="E11" s="21" t="s">
        <v>25</v>
      </c>
      <c r="F11" s="21" t="s">
        <v>3670</v>
      </c>
      <c r="G11" s="30" t="s">
        <v>3671</v>
      </c>
      <c r="H11" s="45" t="str">
        <f aca="false">HYPERLINK("https://photos.app.goo.gl/Tr7GwGq3bNk4uSNC8", "Completo")</f>
        <v>Completo</v>
      </c>
      <c r="I11" s="21" t="s">
        <v>28</v>
      </c>
      <c r="J11" s="21"/>
      <c r="K11" s="21"/>
      <c r="L11" s="21"/>
      <c r="M11" s="21" t="s">
        <v>2133</v>
      </c>
      <c r="N11" s="30" t="s">
        <v>3671</v>
      </c>
      <c r="O11" s="21" t="s">
        <v>28</v>
      </c>
      <c r="P11" s="74" t="s">
        <v>28</v>
      </c>
      <c r="Q11" s="21" t="s">
        <v>3213</v>
      </c>
      <c r="R11" s="32" t="s">
        <v>25</v>
      </c>
      <c r="S11" s="32" t="s">
        <v>36</v>
      </c>
      <c r="T11" s="21" t="s">
        <v>74</v>
      </c>
      <c r="U11" s="74" t="s">
        <v>28</v>
      </c>
      <c r="V11" s="74" t="s">
        <v>28</v>
      </c>
      <c r="W11" s="21" t="s">
        <v>36</v>
      </c>
      <c r="X11" s="21" t="s">
        <v>28</v>
      </c>
    </row>
    <row r="12" customFormat="false" ht="15.75" hidden="false" customHeight="false" outlineLevel="0" collapsed="false">
      <c r="A12" s="61" t="n">
        <v>6117</v>
      </c>
      <c r="B12" s="29" t="n">
        <v>44537</v>
      </c>
      <c r="C12" s="21" t="s">
        <v>613</v>
      </c>
      <c r="D12" s="21" t="s">
        <v>24</v>
      </c>
      <c r="E12" s="21" t="s">
        <v>25</v>
      </c>
      <c r="F12" s="21" t="s">
        <v>3672</v>
      </c>
      <c r="G12" s="30" t="s">
        <v>3673</v>
      </c>
      <c r="H12" s="45" t="str">
        <f aca="false">HYPERLINK("https://photos.app.goo.gl/7xpfHbh63yVh78iv6", "Completo")</f>
        <v>Completo</v>
      </c>
      <c r="I12" s="21" t="s">
        <v>28</v>
      </c>
      <c r="J12" s="21"/>
      <c r="K12" s="21"/>
      <c r="L12" s="21"/>
      <c r="M12" s="21" t="s">
        <v>2133</v>
      </c>
      <c r="N12" s="69" t="s">
        <v>3674</v>
      </c>
      <c r="O12" s="21" t="s">
        <v>28</v>
      </c>
      <c r="P12" s="74" t="s">
        <v>28</v>
      </c>
      <c r="Q12" s="21" t="s">
        <v>2803</v>
      </c>
      <c r="R12" s="32" t="s">
        <v>74</v>
      </c>
      <c r="S12" s="32" t="s">
        <v>36</v>
      </c>
      <c r="T12" s="21" t="s">
        <v>74</v>
      </c>
      <c r="U12" s="74" t="s">
        <v>28</v>
      </c>
      <c r="V12" s="74" t="s">
        <v>28</v>
      </c>
      <c r="W12" s="21" t="s">
        <v>36</v>
      </c>
      <c r="X12" s="21" t="s">
        <v>28</v>
      </c>
    </row>
    <row r="13" customFormat="false" ht="15.75" hidden="false" customHeight="false" outlineLevel="0" collapsed="false">
      <c r="A13" s="61" t="n">
        <v>6118</v>
      </c>
      <c r="B13" s="29" t="n">
        <v>44537</v>
      </c>
      <c r="C13" s="21" t="s">
        <v>613</v>
      </c>
      <c r="D13" s="21" t="s">
        <v>24</v>
      </c>
      <c r="E13" s="21" t="s">
        <v>25</v>
      </c>
      <c r="F13" s="21" t="s">
        <v>3672</v>
      </c>
      <c r="G13" s="30" t="s">
        <v>3673</v>
      </c>
      <c r="H13" s="45" t="str">
        <f aca="false">HYPERLINK("https://photos.app.goo.gl/7ZywRs7ZCdhC78pH8", "Completo")</f>
        <v>Completo</v>
      </c>
      <c r="I13" s="21" t="s">
        <v>28</v>
      </c>
      <c r="J13" s="21"/>
      <c r="K13" s="21"/>
      <c r="L13" s="21"/>
      <c r="M13" s="21" t="s">
        <v>2133</v>
      </c>
      <c r="N13" s="69" t="s">
        <v>3674</v>
      </c>
      <c r="O13" s="21" t="s">
        <v>28</v>
      </c>
      <c r="P13" s="74" t="s">
        <v>28</v>
      </c>
      <c r="Q13" s="21" t="s">
        <v>2803</v>
      </c>
      <c r="R13" s="32" t="s">
        <v>74</v>
      </c>
      <c r="S13" s="32" t="s">
        <v>36</v>
      </c>
      <c r="T13" s="21" t="s">
        <v>74</v>
      </c>
      <c r="U13" s="74" t="s">
        <v>28</v>
      </c>
      <c r="V13" s="74" t="s">
        <v>28</v>
      </c>
      <c r="W13" s="21" t="s">
        <v>36</v>
      </c>
      <c r="X13" s="21" t="s">
        <v>28</v>
      </c>
    </row>
    <row r="14" customFormat="false" ht="15.75" hidden="false" customHeight="false" outlineLevel="0" collapsed="false">
      <c r="A14" s="61" t="n">
        <v>6119</v>
      </c>
      <c r="B14" s="29" t="n">
        <v>44537</v>
      </c>
      <c r="C14" s="21" t="s">
        <v>613</v>
      </c>
      <c r="D14" s="21" t="s">
        <v>24</v>
      </c>
      <c r="E14" s="21" t="s">
        <v>25</v>
      </c>
      <c r="F14" s="21" t="s">
        <v>3675</v>
      </c>
      <c r="G14" s="30" t="s">
        <v>3673</v>
      </c>
      <c r="H14" s="45" t="str">
        <f aca="false">HYPERLINK("https://photos.app.goo.gl/G1aT7DHW7VByiFjz6", "Completo")</f>
        <v>Completo</v>
      </c>
      <c r="I14" s="21" t="s">
        <v>28</v>
      </c>
      <c r="J14" s="21"/>
      <c r="K14" s="21"/>
      <c r="L14" s="21"/>
      <c r="M14" s="21" t="s">
        <v>2133</v>
      </c>
      <c r="N14" s="69" t="s">
        <v>3674</v>
      </c>
      <c r="O14" s="21" t="s">
        <v>28</v>
      </c>
      <c r="P14" s="74" t="s">
        <v>28</v>
      </c>
      <c r="Q14" s="21" t="s">
        <v>2803</v>
      </c>
      <c r="R14" s="32" t="s">
        <v>74</v>
      </c>
      <c r="S14" s="32" t="s">
        <v>36</v>
      </c>
      <c r="T14" s="21" t="s">
        <v>74</v>
      </c>
      <c r="U14" s="74" t="s">
        <v>28</v>
      </c>
      <c r="V14" s="74" t="s">
        <v>28</v>
      </c>
      <c r="W14" s="21" t="s">
        <v>36</v>
      </c>
      <c r="X14" s="21" t="s">
        <v>28</v>
      </c>
    </row>
    <row r="15" customFormat="false" ht="15.75" hidden="false" customHeight="false" outlineLevel="0" collapsed="false">
      <c r="A15" s="61" t="n">
        <v>6120</v>
      </c>
      <c r="B15" s="29" t="n">
        <v>44537</v>
      </c>
      <c r="C15" s="21" t="s">
        <v>613</v>
      </c>
      <c r="D15" s="21" t="s">
        <v>24</v>
      </c>
      <c r="E15" s="21" t="s">
        <v>25</v>
      </c>
      <c r="F15" s="21" t="s">
        <v>3672</v>
      </c>
      <c r="G15" s="30" t="s">
        <v>3673</v>
      </c>
      <c r="H15" s="45" t="str">
        <f aca="false">HYPERLINK("https://photos.app.goo.gl/z5oS8wf3ahjtNDxj8", "Completo")</f>
        <v>Completo</v>
      </c>
      <c r="I15" s="21" t="s">
        <v>28</v>
      </c>
      <c r="J15" s="21"/>
      <c r="K15" s="21"/>
      <c r="L15" s="21"/>
      <c r="M15" s="21" t="s">
        <v>2133</v>
      </c>
      <c r="N15" s="69" t="s">
        <v>3674</v>
      </c>
      <c r="O15" s="21" t="s">
        <v>28</v>
      </c>
      <c r="P15" s="74" t="s">
        <v>28</v>
      </c>
      <c r="Q15" s="21" t="s">
        <v>2803</v>
      </c>
      <c r="R15" s="32" t="s">
        <v>74</v>
      </c>
      <c r="S15" s="32" t="s">
        <v>36</v>
      </c>
      <c r="T15" s="21" t="s">
        <v>74</v>
      </c>
      <c r="U15" s="74" t="s">
        <v>28</v>
      </c>
      <c r="V15" s="74" t="s">
        <v>28</v>
      </c>
      <c r="W15" s="21" t="s">
        <v>36</v>
      </c>
      <c r="X15" s="21" t="s">
        <v>28</v>
      </c>
    </row>
    <row r="16" customFormat="false" ht="15.75" hidden="false" customHeight="false" outlineLevel="0" collapsed="false">
      <c r="A16" s="61" t="n">
        <v>6121</v>
      </c>
      <c r="B16" s="29" t="n">
        <v>44537</v>
      </c>
      <c r="C16" s="21" t="s">
        <v>613</v>
      </c>
      <c r="D16" s="21" t="s">
        <v>24</v>
      </c>
      <c r="E16" s="21" t="s">
        <v>25</v>
      </c>
      <c r="F16" s="21" t="s">
        <v>3676</v>
      </c>
      <c r="G16" s="30" t="s">
        <v>3677</v>
      </c>
      <c r="H16" s="45" t="str">
        <f aca="false">HYPERLINK("https://photos.app.goo.gl/D7kJNyCN4mA8637A6", "Completo")</f>
        <v>Completo</v>
      </c>
      <c r="I16" s="21" t="s">
        <v>28</v>
      </c>
      <c r="J16" s="21"/>
      <c r="K16" s="21"/>
      <c r="L16" s="21"/>
      <c r="M16" s="21" t="s">
        <v>2133</v>
      </c>
      <c r="N16" s="30"/>
      <c r="O16" s="21" t="s">
        <v>28</v>
      </c>
      <c r="P16" s="74" t="s">
        <v>28</v>
      </c>
      <c r="Q16" s="21" t="s">
        <v>2833</v>
      </c>
      <c r="R16" s="32" t="s">
        <v>2850</v>
      </c>
      <c r="S16" s="32" t="s">
        <v>29</v>
      </c>
      <c r="T16" s="21" t="s">
        <v>74</v>
      </c>
      <c r="U16" s="74" t="s">
        <v>28</v>
      </c>
      <c r="V16" s="74" t="s">
        <v>28</v>
      </c>
      <c r="W16" s="21" t="s">
        <v>36</v>
      </c>
      <c r="X16" s="21" t="s">
        <v>28</v>
      </c>
    </row>
    <row r="17" customFormat="false" ht="15.75" hidden="false" customHeight="false" outlineLevel="0" collapsed="false">
      <c r="A17" s="61" t="n">
        <v>6122</v>
      </c>
      <c r="B17" s="29" t="n">
        <v>44537</v>
      </c>
      <c r="C17" s="21" t="s">
        <v>613</v>
      </c>
      <c r="D17" s="21" t="s">
        <v>24</v>
      </c>
      <c r="E17" s="21" t="s">
        <v>25</v>
      </c>
      <c r="F17" s="21" t="s">
        <v>3678</v>
      </c>
      <c r="G17" s="30" t="s">
        <v>3679</v>
      </c>
      <c r="H17" s="45" t="str">
        <f aca="false">HYPERLINK("https://photos.app.goo.gl/xaP5GdjqxSA2PSV58", "Completo")</f>
        <v>Completo</v>
      </c>
      <c r="I17" s="21" t="s">
        <v>28</v>
      </c>
      <c r="J17" s="21"/>
      <c r="K17" s="21"/>
      <c r="L17" s="21"/>
      <c r="M17" s="21" t="s">
        <v>2133</v>
      </c>
      <c r="N17" s="30"/>
      <c r="O17" s="21" t="s">
        <v>28</v>
      </c>
      <c r="P17" s="74" t="s">
        <v>28</v>
      </c>
      <c r="Q17" s="21" t="s">
        <v>2981</v>
      </c>
      <c r="R17" s="32" t="s">
        <v>2850</v>
      </c>
      <c r="S17" s="32" t="s">
        <v>36</v>
      </c>
      <c r="T17" s="21" t="s">
        <v>74</v>
      </c>
      <c r="U17" s="21" t="s">
        <v>37</v>
      </c>
      <c r="V17" s="21" t="s">
        <v>37</v>
      </c>
      <c r="W17" s="21" t="s">
        <v>36</v>
      </c>
      <c r="X17" s="21" t="s">
        <v>28</v>
      </c>
    </row>
    <row r="18" customFormat="false" ht="15.75" hidden="false" customHeight="false" outlineLevel="0" collapsed="false">
      <c r="A18" s="61" t="n">
        <v>6123</v>
      </c>
      <c r="B18" s="29" t="n">
        <v>44539</v>
      </c>
      <c r="C18" s="21" t="s">
        <v>3680</v>
      </c>
      <c r="D18" s="21" t="s">
        <v>24</v>
      </c>
      <c r="E18" s="21" t="s">
        <v>25</v>
      </c>
      <c r="F18" s="21" t="s">
        <v>3681</v>
      </c>
      <c r="G18" s="30"/>
      <c r="H18" s="45" t="str">
        <f aca="false">HYPERLINK("https://photos.app.goo.gl/chKnSkAtcYmPcs5cA", "Completo")</f>
        <v>Completo</v>
      </c>
      <c r="I18" s="21" t="s">
        <v>28</v>
      </c>
      <c r="J18" s="21" t="s">
        <v>3682</v>
      </c>
      <c r="K18" s="21"/>
      <c r="L18" s="21"/>
      <c r="M18" s="21" t="s">
        <v>3683</v>
      </c>
      <c r="N18" s="30"/>
      <c r="O18" s="21" t="s">
        <v>28</v>
      </c>
      <c r="P18" s="74" t="s">
        <v>28</v>
      </c>
      <c r="Q18" s="21" t="s">
        <v>3144</v>
      </c>
      <c r="R18" s="32" t="s">
        <v>74</v>
      </c>
      <c r="S18" s="32" t="s">
        <v>36</v>
      </c>
      <c r="T18" s="21"/>
      <c r="U18" s="21" t="s">
        <v>37</v>
      </c>
      <c r="V18" s="21" t="s">
        <v>37</v>
      </c>
      <c r="W18" s="21" t="s">
        <v>36</v>
      </c>
      <c r="X18" s="21" t="s">
        <v>28</v>
      </c>
    </row>
    <row r="19" customFormat="false" ht="15.75" hidden="false" customHeight="false" outlineLevel="0" collapsed="false">
      <c r="A19" s="61" t="n">
        <v>6124</v>
      </c>
      <c r="B19" s="29" t="n">
        <v>44539</v>
      </c>
      <c r="C19" s="21" t="s">
        <v>3684</v>
      </c>
      <c r="D19" s="21" t="s">
        <v>24</v>
      </c>
      <c r="E19" s="21" t="s">
        <v>25</v>
      </c>
      <c r="F19" s="21" t="s">
        <v>3685</v>
      </c>
      <c r="G19" s="30" t="s">
        <v>3686</v>
      </c>
      <c r="H19" s="45" t="str">
        <f aca="false">HYPERLINK("https://photos.app.goo.gl/NoAtWoBM85wU8Awt9", "Completo")</f>
        <v>Completo</v>
      </c>
      <c r="I19" s="21" t="s">
        <v>28</v>
      </c>
      <c r="J19" s="21" t="n">
        <v>3516613359</v>
      </c>
      <c r="K19" s="21" t="s">
        <v>3687</v>
      </c>
      <c r="L19" s="21"/>
      <c r="M19" s="21" t="s">
        <v>3688</v>
      </c>
      <c r="N19" s="30"/>
      <c r="O19" s="21" t="s">
        <v>28</v>
      </c>
      <c r="P19" s="74" t="s">
        <v>28</v>
      </c>
      <c r="Q19" s="21" t="s">
        <v>214</v>
      </c>
      <c r="R19" s="32" t="s">
        <v>2850</v>
      </c>
      <c r="S19" s="32" t="s">
        <v>29</v>
      </c>
      <c r="T19" s="21" t="s">
        <v>74</v>
      </c>
      <c r="U19" s="74" t="s">
        <v>28</v>
      </c>
      <c r="V19" s="74" t="s">
        <v>28</v>
      </c>
      <c r="W19" s="21" t="s">
        <v>36</v>
      </c>
      <c r="X19" s="21" t="s">
        <v>28</v>
      </c>
    </row>
    <row r="20" customFormat="false" ht="15.75" hidden="false" customHeight="false" outlineLevel="0" collapsed="false">
      <c r="A20" s="61" t="s">
        <v>3689</v>
      </c>
      <c r="B20" s="29" t="n">
        <v>44539</v>
      </c>
      <c r="C20" s="21" t="s">
        <v>2577</v>
      </c>
      <c r="D20" s="21" t="s">
        <v>24</v>
      </c>
      <c r="E20" s="21" t="s">
        <v>34</v>
      </c>
      <c r="F20" s="21" t="s">
        <v>3690</v>
      </c>
      <c r="G20" s="30"/>
      <c r="H20" s="31"/>
      <c r="I20" s="21"/>
      <c r="J20" s="21"/>
      <c r="K20" s="21"/>
      <c r="L20" s="21"/>
      <c r="M20" s="21"/>
      <c r="N20" s="30"/>
      <c r="O20" s="21"/>
      <c r="P20" s="21"/>
      <c r="Q20" s="21"/>
      <c r="R20" s="32"/>
      <c r="S20" s="32"/>
      <c r="T20" s="21"/>
      <c r="U20" s="21" t="s">
        <v>37</v>
      </c>
      <c r="V20" s="21" t="s">
        <v>37</v>
      </c>
      <c r="W20" s="21" t="s">
        <v>36</v>
      </c>
      <c r="X20" s="21" t="s">
        <v>37</v>
      </c>
    </row>
    <row r="21" customFormat="false" ht="15.75" hidden="false" customHeight="false" outlineLevel="0" collapsed="false">
      <c r="A21" s="61" t="n">
        <v>6125</v>
      </c>
      <c r="B21" s="29" t="n">
        <v>44540</v>
      </c>
      <c r="C21" s="21" t="s">
        <v>841</v>
      </c>
      <c r="D21" s="21" t="s">
        <v>24</v>
      </c>
      <c r="E21" s="21" t="s">
        <v>34</v>
      </c>
      <c r="F21" s="21" t="s">
        <v>3691</v>
      </c>
      <c r="G21" s="30"/>
      <c r="H21" s="31" t="s">
        <v>28</v>
      </c>
      <c r="I21" s="21"/>
      <c r="J21" s="21"/>
      <c r="K21" s="21"/>
      <c r="L21" s="21"/>
      <c r="M21" s="21"/>
      <c r="N21" s="30"/>
      <c r="O21" s="21"/>
      <c r="P21" s="21"/>
      <c r="Q21" s="21"/>
      <c r="R21" s="32"/>
      <c r="S21" s="32"/>
      <c r="T21" s="21"/>
      <c r="U21" s="21" t="s">
        <v>37</v>
      </c>
      <c r="V21" s="21" t="s">
        <v>37</v>
      </c>
      <c r="W21" s="21" t="s">
        <v>36</v>
      </c>
      <c r="X21" s="21" t="s">
        <v>37</v>
      </c>
    </row>
    <row r="22" customFormat="false" ht="15.75" hidden="false" customHeight="false" outlineLevel="0" collapsed="false">
      <c r="A22" s="61" t="s">
        <v>3692</v>
      </c>
      <c r="B22" s="29" t="n">
        <v>44540</v>
      </c>
      <c r="C22" s="21" t="s">
        <v>2905</v>
      </c>
      <c r="D22" s="21" t="s">
        <v>290</v>
      </c>
      <c r="E22" s="21" t="s">
        <v>25</v>
      </c>
      <c r="F22" s="21" t="s">
        <v>3693</v>
      </c>
      <c r="G22" s="30"/>
      <c r="H22" s="45" t="str">
        <f aca="false">HYPERLINK("https://photos.app.goo.gl/J4koz4T5dDEsC16K9", "Completo")</f>
        <v>Completo</v>
      </c>
      <c r="I22" s="21" t="s">
        <v>28</v>
      </c>
      <c r="J22" s="21"/>
      <c r="K22" s="21"/>
      <c r="L22" s="21"/>
      <c r="M22" s="21"/>
      <c r="N22" s="30"/>
      <c r="O22" s="21" t="s">
        <v>28</v>
      </c>
      <c r="P22" s="74" t="s">
        <v>28</v>
      </c>
      <c r="Q22" s="21" t="s">
        <v>3694</v>
      </c>
      <c r="R22" s="32" t="s">
        <v>2850</v>
      </c>
      <c r="S22" s="32" t="s">
        <v>36</v>
      </c>
      <c r="T22" s="21" t="s">
        <v>74</v>
      </c>
      <c r="U22" s="21" t="s">
        <v>28</v>
      </c>
      <c r="V22" s="21" t="s">
        <v>37</v>
      </c>
      <c r="W22" s="74" t="s">
        <v>3695</v>
      </c>
      <c r="X22" s="21" t="s">
        <v>28</v>
      </c>
    </row>
    <row r="23" customFormat="false" ht="15.75" hidden="false" customHeight="false" outlineLevel="0" collapsed="false">
      <c r="A23" s="61" t="n">
        <v>6126</v>
      </c>
      <c r="B23" s="54" t="n">
        <v>44543</v>
      </c>
      <c r="C23" s="21" t="s">
        <v>3696</v>
      </c>
      <c r="D23" s="21" t="s">
        <v>24</v>
      </c>
      <c r="E23" s="21" t="s">
        <v>74</v>
      </c>
      <c r="F23" s="21" t="s">
        <v>3697</v>
      </c>
      <c r="G23" s="30" t="s">
        <v>3698</v>
      </c>
      <c r="H23" s="45" t="str">
        <f aca="false">HYPERLINK("https://photos.app.goo.gl/LK68tpB77zHEC7sK8", "Completo")</f>
        <v>Completo</v>
      </c>
      <c r="I23" s="21" t="s">
        <v>28</v>
      </c>
      <c r="J23" s="21" t="n">
        <v>3517726146</v>
      </c>
      <c r="K23" s="21" t="s">
        <v>3699</v>
      </c>
      <c r="L23" s="21"/>
      <c r="M23" s="21" t="s">
        <v>3700</v>
      </c>
      <c r="N23" s="30" t="s">
        <v>542</v>
      </c>
      <c r="O23" s="21" t="s">
        <v>28</v>
      </c>
      <c r="P23" s="21" t="s">
        <v>37</v>
      </c>
      <c r="Q23" s="21" t="s">
        <v>73</v>
      </c>
      <c r="R23" s="32" t="s">
        <v>74</v>
      </c>
      <c r="S23" s="32" t="s">
        <v>3433</v>
      </c>
      <c r="T23" s="21" t="s">
        <v>74</v>
      </c>
      <c r="U23" s="74" t="s">
        <v>28</v>
      </c>
      <c r="V23" s="21" t="s">
        <v>37</v>
      </c>
      <c r="W23" s="21" t="s">
        <v>36</v>
      </c>
      <c r="X23" s="21" t="s">
        <v>28</v>
      </c>
    </row>
    <row r="24" customFormat="false" ht="15.75" hidden="false" customHeight="false" outlineLevel="0" collapsed="false">
      <c r="A24" s="61" t="n">
        <v>6127</v>
      </c>
      <c r="B24" s="29" t="n">
        <v>44544</v>
      </c>
      <c r="C24" s="21" t="s">
        <v>3701</v>
      </c>
      <c r="D24" s="21" t="s">
        <v>24</v>
      </c>
      <c r="E24" s="21" t="s">
        <v>74</v>
      </c>
      <c r="F24" s="21" t="s">
        <v>3702</v>
      </c>
      <c r="G24" s="30" t="s">
        <v>3703</v>
      </c>
      <c r="H24" s="31" t="s">
        <v>28</v>
      </c>
      <c r="I24" s="21" t="s">
        <v>28</v>
      </c>
      <c r="J24" s="21" t="n">
        <v>3515551678</v>
      </c>
      <c r="K24" s="21"/>
      <c r="L24" s="21"/>
      <c r="M24" s="21" t="s">
        <v>3704</v>
      </c>
      <c r="N24" s="30"/>
      <c r="O24" s="21"/>
      <c r="P24" s="21"/>
      <c r="Q24" s="21"/>
      <c r="R24" s="32"/>
      <c r="S24" s="32"/>
      <c r="T24" s="21"/>
      <c r="U24" s="21" t="s">
        <v>37</v>
      </c>
      <c r="V24" s="21" t="s">
        <v>37</v>
      </c>
      <c r="W24" s="21" t="s">
        <v>36</v>
      </c>
      <c r="X24" s="21" t="s">
        <v>28</v>
      </c>
    </row>
    <row r="25" customFormat="false" ht="15.75" hidden="false" customHeight="false" outlineLevel="0" collapsed="false">
      <c r="A25" s="61" t="n">
        <v>6128</v>
      </c>
      <c r="B25" s="29" t="n">
        <v>44545</v>
      </c>
      <c r="C25" s="21" t="s">
        <v>3705</v>
      </c>
      <c r="D25" s="21" t="s">
        <v>24</v>
      </c>
      <c r="E25" s="21" t="s">
        <v>34</v>
      </c>
      <c r="F25" s="21" t="s">
        <v>3706</v>
      </c>
      <c r="G25" s="30" t="s">
        <v>3707</v>
      </c>
      <c r="H25" s="87" t="str">
        <f aca="false">HYPERLINK("https://photos.app.goo.gl/A3BVRjXGYftxPXA96", "Completo")</f>
        <v>Completo</v>
      </c>
      <c r="I25" s="21" t="s">
        <v>28</v>
      </c>
      <c r="J25" s="21"/>
      <c r="K25" s="21"/>
      <c r="L25" s="21"/>
      <c r="M25" s="21" t="s">
        <v>3708</v>
      </c>
      <c r="N25" s="30"/>
      <c r="O25" s="21" t="s">
        <v>28</v>
      </c>
      <c r="P25" s="74" t="s">
        <v>28</v>
      </c>
      <c r="Q25" s="21" t="s">
        <v>201</v>
      </c>
      <c r="R25" s="32" t="s">
        <v>2850</v>
      </c>
      <c r="S25" s="32" t="s">
        <v>29</v>
      </c>
      <c r="T25" s="21"/>
      <c r="U25" s="21" t="s">
        <v>37</v>
      </c>
      <c r="V25" s="21" t="s">
        <v>37</v>
      </c>
      <c r="W25" s="21" t="s">
        <v>36</v>
      </c>
      <c r="X25" s="21" t="s">
        <v>28</v>
      </c>
    </row>
    <row r="26" customFormat="false" ht="15.75" hidden="false" customHeight="false" outlineLevel="0" collapsed="false">
      <c r="A26" s="61" t="n">
        <v>6129</v>
      </c>
      <c r="B26" s="54" t="n">
        <v>44536</v>
      </c>
      <c r="C26" s="21" t="s">
        <v>814</v>
      </c>
      <c r="D26" s="21" t="s">
        <v>24</v>
      </c>
      <c r="E26" s="21" t="s">
        <v>3709</v>
      </c>
      <c r="F26" s="21" t="s">
        <v>3710</v>
      </c>
      <c r="G26" s="30"/>
      <c r="H26" s="31"/>
      <c r="I26" s="21"/>
      <c r="J26" s="21"/>
      <c r="K26" s="21"/>
      <c r="L26" s="21"/>
      <c r="M26" s="21"/>
      <c r="N26" s="30"/>
      <c r="O26" s="21"/>
      <c r="P26" s="21"/>
      <c r="Q26" s="21"/>
      <c r="R26" s="32"/>
      <c r="S26" s="32"/>
      <c r="T26" s="21"/>
      <c r="U26" s="21" t="s">
        <v>37</v>
      </c>
      <c r="V26" s="21" t="s">
        <v>37</v>
      </c>
      <c r="W26" s="21" t="s">
        <v>36</v>
      </c>
      <c r="X26" s="21" t="s">
        <v>28</v>
      </c>
    </row>
    <row r="27" customFormat="false" ht="15.75" hidden="false" customHeight="false" outlineLevel="0" collapsed="false">
      <c r="A27" s="61" t="n">
        <v>6130</v>
      </c>
      <c r="B27" s="29" t="n">
        <v>44546</v>
      </c>
      <c r="C27" s="21" t="s">
        <v>3711</v>
      </c>
      <c r="D27" s="21" t="s">
        <v>24</v>
      </c>
      <c r="E27" s="21" t="s">
        <v>74</v>
      </c>
      <c r="F27" s="21" t="s">
        <v>3712</v>
      </c>
      <c r="G27" s="30" t="s">
        <v>3713</v>
      </c>
      <c r="H27" s="45" t="str">
        <f aca="false">HYPERLINK("https://photos.app.goo.gl/VCFjgYmTgJXqc5p57", "Completo")</f>
        <v>Completo</v>
      </c>
      <c r="I27" s="21" t="s">
        <v>28</v>
      </c>
      <c r="J27" s="21" t="n">
        <v>3514750636</v>
      </c>
      <c r="K27" s="21" t="s">
        <v>36</v>
      </c>
      <c r="L27" s="21" t="s">
        <v>3714</v>
      </c>
      <c r="M27" s="21" t="s">
        <v>3376</v>
      </c>
      <c r="N27" s="30"/>
      <c r="O27" s="21" t="s">
        <v>28</v>
      </c>
      <c r="P27" s="74" t="s">
        <v>28</v>
      </c>
      <c r="Q27" s="21" t="s">
        <v>3715</v>
      </c>
      <c r="R27" s="32" t="s">
        <v>2850</v>
      </c>
      <c r="S27" s="32" t="s">
        <v>36</v>
      </c>
      <c r="T27" s="21" t="s">
        <v>3337</v>
      </c>
      <c r="U27" s="74" t="s">
        <v>28</v>
      </c>
      <c r="V27" s="74" t="s">
        <v>28</v>
      </c>
      <c r="W27" s="21" t="s">
        <v>36</v>
      </c>
      <c r="X27" s="21" t="s">
        <v>28</v>
      </c>
    </row>
    <row r="28" customFormat="false" ht="15.75" hidden="false" customHeight="false" outlineLevel="0" collapsed="false">
      <c r="A28" s="61" t="n">
        <v>6131</v>
      </c>
      <c r="B28" s="29" t="n">
        <v>44545</v>
      </c>
      <c r="C28" s="21" t="s">
        <v>3716</v>
      </c>
      <c r="D28" s="21" t="s">
        <v>24</v>
      </c>
      <c r="E28" s="21" t="s">
        <v>34</v>
      </c>
      <c r="F28" s="21" t="s">
        <v>3717</v>
      </c>
      <c r="G28" s="30"/>
      <c r="H28" s="31"/>
      <c r="I28" s="21"/>
      <c r="J28" s="21"/>
      <c r="K28" s="21"/>
      <c r="L28" s="21"/>
      <c r="M28" s="21"/>
      <c r="N28" s="30"/>
      <c r="O28" s="21"/>
      <c r="P28" s="21"/>
      <c r="Q28" s="21"/>
      <c r="R28" s="32"/>
      <c r="S28" s="32"/>
      <c r="T28" s="21"/>
      <c r="U28" s="21" t="s">
        <v>37</v>
      </c>
      <c r="V28" s="66" t="s">
        <v>37</v>
      </c>
      <c r="W28" s="21" t="s">
        <v>36</v>
      </c>
      <c r="X28" s="21" t="s">
        <v>28</v>
      </c>
    </row>
    <row r="29" customFormat="false" ht="15.75" hidden="false" customHeight="false" outlineLevel="0" collapsed="false">
      <c r="A29" s="61" t="n">
        <v>6132</v>
      </c>
      <c r="B29" s="29" t="n">
        <v>44546</v>
      </c>
      <c r="C29" s="21" t="s">
        <v>2772</v>
      </c>
      <c r="D29" s="21" t="s">
        <v>24</v>
      </c>
      <c r="E29" s="21" t="s">
        <v>74</v>
      </c>
      <c r="F29" s="21" t="s">
        <v>3718</v>
      </c>
      <c r="G29" s="30" t="s">
        <v>3719</v>
      </c>
      <c r="H29" s="45" t="str">
        <f aca="false">HYPERLINK("https://photos.app.goo.gl/vcU1qALzpvSEz5HX8", "Completo")</f>
        <v>Completo</v>
      </c>
      <c r="I29" s="21" t="s">
        <v>28</v>
      </c>
      <c r="J29" s="21"/>
      <c r="K29" s="21"/>
      <c r="L29" s="21"/>
      <c r="M29" s="21" t="s">
        <v>3650</v>
      </c>
      <c r="N29" s="30"/>
      <c r="O29" s="21"/>
      <c r="P29" s="21"/>
      <c r="Q29" s="21"/>
      <c r="R29" s="32"/>
      <c r="S29" s="32"/>
      <c r="T29" s="21"/>
      <c r="U29" s="21" t="s">
        <v>37</v>
      </c>
      <c r="V29" s="21" t="s">
        <v>37</v>
      </c>
      <c r="W29" s="21" t="s">
        <v>36</v>
      </c>
      <c r="X29" s="21" t="s">
        <v>28</v>
      </c>
    </row>
    <row r="30" customFormat="false" ht="15.75" hidden="false" customHeight="false" outlineLevel="0" collapsed="false">
      <c r="A30" s="61" t="n">
        <v>6133</v>
      </c>
      <c r="B30" s="29" t="n">
        <v>44547</v>
      </c>
      <c r="C30" s="21" t="s">
        <v>2772</v>
      </c>
      <c r="D30" s="21" t="s">
        <v>24</v>
      </c>
      <c r="E30" s="21" t="s">
        <v>74</v>
      </c>
      <c r="F30" s="21" t="s">
        <v>3720</v>
      </c>
      <c r="G30" s="30" t="s">
        <v>3721</v>
      </c>
      <c r="H30" s="45" t="str">
        <f aca="false">HYPERLINK("https://photos.app.goo.gl/jK2XLTsAF8qDmsX19", "Completo")</f>
        <v>Completo</v>
      </c>
      <c r="I30" s="21" t="s">
        <v>28</v>
      </c>
      <c r="J30" s="21"/>
      <c r="K30" s="21"/>
      <c r="L30" s="21"/>
      <c r="M30" s="21" t="s">
        <v>3722</v>
      </c>
      <c r="N30" s="30"/>
      <c r="O30" s="21"/>
      <c r="P30" s="21"/>
      <c r="Q30" s="21"/>
      <c r="R30" s="32"/>
      <c r="S30" s="32"/>
      <c r="T30" s="21"/>
      <c r="U30" s="21" t="s">
        <v>37</v>
      </c>
      <c r="V30" s="21" t="s">
        <v>37</v>
      </c>
      <c r="W30" s="21" t="s">
        <v>36</v>
      </c>
      <c r="X30" s="21" t="s">
        <v>28</v>
      </c>
    </row>
    <row r="31" customFormat="false" ht="15.75" hidden="false" customHeight="false" outlineLevel="0" collapsed="false">
      <c r="A31" s="63" t="n">
        <v>520869</v>
      </c>
      <c r="B31" s="29" t="n">
        <v>44547</v>
      </c>
      <c r="C31" s="21" t="s">
        <v>3723</v>
      </c>
      <c r="D31" s="21" t="s">
        <v>290</v>
      </c>
      <c r="E31" s="21" t="s">
        <v>74</v>
      </c>
      <c r="F31" s="21" t="s">
        <v>3724</v>
      </c>
      <c r="G31" s="30"/>
      <c r="H31" s="45" t="str">
        <f aca="false">HYPERLINK("https://photos.app.goo.gl/sAq3QQVp5mW14ULP8", "Completo")</f>
        <v>Completo</v>
      </c>
      <c r="I31" s="21" t="s">
        <v>28</v>
      </c>
      <c r="J31" s="21"/>
      <c r="K31" s="21"/>
      <c r="L31" s="21"/>
      <c r="M31" s="21"/>
      <c r="N31" s="30"/>
      <c r="O31" s="21"/>
      <c r="P31" s="21"/>
      <c r="Q31" s="21"/>
      <c r="R31" s="32"/>
      <c r="S31" s="32"/>
      <c r="T31" s="21"/>
      <c r="U31" s="21" t="s">
        <v>37</v>
      </c>
      <c r="V31" s="21" t="s">
        <v>37</v>
      </c>
      <c r="W31" s="21" t="s">
        <v>36</v>
      </c>
      <c r="X31" s="21" t="s">
        <v>28</v>
      </c>
    </row>
    <row r="32" customFormat="false" ht="15.75" hidden="false" customHeight="false" outlineLevel="0" collapsed="false">
      <c r="A32" s="61" t="n">
        <v>6134</v>
      </c>
      <c r="B32" s="29" t="n">
        <v>44550</v>
      </c>
      <c r="C32" s="21" t="s">
        <v>3725</v>
      </c>
      <c r="D32" s="21" t="s">
        <v>24</v>
      </c>
      <c r="E32" s="21" t="s">
        <v>25</v>
      </c>
      <c r="F32" s="21" t="s">
        <v>3726</v>
      </c>
      <c r="G32" s="30" t="s">
        <v>3727</v>
      </c>
      <c r="H32" s="45" t="str">
        <f aca="false">HYPERLINK("https://photos.app.goo.gl/bDjzahwBPauk2WaT7", "Completo")</f>
        <v>Completo</v>
      </c>
      <c r="I32" s="21" t="s">
        <v>28</v>
      </c>
      <c r="J32" s="21"/>
      <c r="K32" s="21"/>
      <c r="L32" s="21"/>
      <c r="M32" s="21" t="s">
        <v>2154</v>
      </c>
      <c r="N32" s="30"/>
      <c r="O32" s="21"/>
      <c r="P32" s="21"/>
      <c r="Q32" s="21"/>
      <c r="R32" s="32"/>
      <c r="S32" s="32"/>
      <c r="T32" s="21"/>
      <c r="U32" s="21"/>
      <c r="V32" s="21"/>
      <c r="W32" s="21"/>
      <c r="X32" s="21" t="s">
        <v>28</v>
      </c>
    </row>
    <row r="33" customFormat="false" ht="15.75" hidden="false" customHeight="false" outlineLevel="0" collapsed="false">
      <c r="A33" s="61" t="n">
        <v>6135</v>
      </c>
      <c r="B33" s="29" t="n">
        <v>44550</v>
      </c>
      <c r="C33" s="21" t="s">
        <v>3725</v>
      </c>
      <c r="D33" s="21" t="s">
        <v>24</v>
      </c>
      <c r="E33" s="21" t="s">
        <v>25</v>
      </c>
      <c r="F33" s="21" t="s">
        <v>3728</v>
      </c>
      <c r="G33" s="30" t="s">
        <v>3727</v>
      </c>
      <c r="H33" s="45" t="str">
        <f aca="false">HYPERLINK("https://photos.app.goo.gl/bdJqLfM9JyU6oEUp9", "Completo")</f>
        <v>Completo</v>
      </c>
      <c r="I33" s="21" t="s">
        <v>28</v>
      </c>
      <c r="J33" s="21"/>
      <c r="K33" s="21"/>
      <c r="L33" s="21"/>
      <c r="M33" s="21" t="s">
        <v>2154</v>
      </c>
      <c r="N33" s="30"/>
      <c r="O33" s="21"/>
      <c r="P33" s="21"/>
      <c r="Q33" s="21"/>
      <c r="R33" s="32"/>
      <c r="S33" s="32"/>
      <c r="T33" s="21"/>
      <c r="U33" s="21"/>
      <c r="V33" s="21"/>
      <c r="W33" s="21"/>
      <c r="X33" s="21" t="s">
        <v>28</v>
      </c>
    </row>
    <row r="34" customFormat="false" ht="15.75" hidden="false" customHeight="false" outlineLevel="0" collapsed="false">
      <c r="A34" s="61" t="n">
        <v>6136</v>
      </c>
      <c r="B34" s="29" t="n">
        <v>44550</v>
      </c>
      <c r="C34" s="21" t="s">
        <v>814</v>
      </c>
      <c r="D34" s="21" t="s">
        <v>24</v>
      </c>
      <c r="E34" s="21" t="s">
        <v>25</v>
      </c>
      <c r="F34" s="21" t="s">
        <v>2568</v>
      </c>
      <c r="G34" s="30" t="s">
        <v>3729</v>
      </c>
      <c r="H34" s="45" t="str">
        <f aca="false">HYPERLINK("https://photos.app.goo.gl/Zoxk5yJuKPfoytte9https://photos.app.goo.gl/RPE4r154NaJR49SQ7", "Completo")</f>
        <v>Completo</v>
      </c>
      <c r="I34" s="21" t="s">
        <v>28</v>
      </c>
      <c r="J34" s="21"/>
      <c r="K34" s="21"/>
      <c r="L34" s="21"/>
      <c r="M34" s="21" t="s">
        <v>3730</v>
      </c>
      <c r="N34" s="30"/>
      <c r="O34" s="21" t="s">
        <v>28</v>
      </c>
      <c r="P34" s="21" t="s">
        <v>37</v>
      </c>
      <c r="Q34" s="21" t="s">
        <v>2885</v>
      </c>
      <c r="R34" s="32" t="s">
        <v>25</v>
      </c>
      <c r="S34" s="32" t="s">
        <v>36</v>
      </c>
      <c r="T34" s="21" t="s">
        <v>74</v>
      </c>
      <c r="U34" s="74" t="s">
        <v>28</v>
      </c>
      <c r="V34" s="74" t="s">
        <v>28</v>
      </c>
      <c r="W34" s="21" t="s">
        <v>36</v>
      </c>
      <c r="X34" s="21" t="s">
        <v>28</v>
      </c>
    </row>
    <row r="35" customFormat="false" ht="15.75" hidden="false" customHeight="false" outlineLevel="0" collapsed="false">
      <c r="A35" s="61" t="n">
        <v>6137</v>
      </c>
      <c r="B35" s="29" t="n">
        <v>44550</v>
      </c>
      <c r="C35" s="21" t="s">
        <v>394</v>
      </c>
      <c r="D35" s="21" t="s">
        <v>24</v>
      </c>
      <c r="E35" s="21" t="s">
        <v>34</v>
      </c>
      <c r="F35" s="21" t="s">
        <v>3731</v>
      </c>
      <c r="G35" s="30"/>
      <c r="H35" s="31"/>
      <c r="I35" s="21"/>
      <c r="J35" s="21"/>
      <c r="K35" s="21"/>
      <c r="L35" s="21"/>
      <c r="M35" s="21"/>
      <c r="N35" s="30"/>
      <c r="O35" s="21"/>
      <c r="P35" s="21"/>
      <c r="Q35" s="21"/>
      <c r="R35" s="32"/>
      <c r="S35" s="32"/>
      <c r="T35" s="21"/>
      <c r="U35" s="21" t="s">
        <v>37</v>
      </c>
      <c r="V35" s="21" t="s">
        <v>37</v>
      </c>
      <c r="W35" s="21" t="s">
        <v>36</v>
      </c>
      <c r="X35" s="21" t="s">
        <v>37</v>
      </c>
    </row>
    <row r="36" customFormat="false" ht="15.75" hidden="false" customHeight="false" outlineLevel="0" collapsed="false">
      <c r="A36" s="61" t="n">
        <v>6138</v>
      </c>
      <c r="B36" s="29" t="n">
        <v>44551</v>
      </c>
      <c r="C36" s="21" t="s">
        <v>1588</v>
      </c>
      <c r="D36" s="21" t="s">
        <v>24</v>
      </c>
      <c r="E36" s="21" t="s">
        <v>25</v>
      </c>
      <c r="F36" s="21" t="s">
        <v>3732</v>
      </c>
      <c r="G36" s="30" t="s">
        <v>3733</v>
      </c>
      <c r="H36" s="45" t="str">
        <f aca="false">HYPERLINK("https://photos.app.goo.gl/AAEzEt7o6q8RtGtq9", "Completo")</f>
        <v>Completo</v>
      </c>
      <c r="I36" s="21" t="s">
        <v>28</v>
      </c>
      <c r="J36" s="21"/>
      <c r="K36" s="21"/>
      <c r="L36" s="21"/>
      <c r="M36" s="21" t="s">
        <v>3734</v>
      </c>
      <c r="N36" s="30"/>
      <c r="O36" s="21" t="s">
        <v>28</v>
      </c>
      <c r="P36" s="21" t="s">
        <v>37</v>
      </c>
      <c r="Q36" s="21" t="s">
        <v>2981</v>
      </c>
      <c r="R36" s="32" t="s">
        <v>2850</v>
      </c>
      <c r="S36" s="32" t="s">
        <v>36</v>
      </c>
      <c r="T36" s="21"/>
      <c r="U36" s="21"/>
      <c r="V36" s="21"/>
      <c r="W36" s="21"/>
      <c r="X36" s="21" t="s">
        <v>28</v>
      </c>
    </row>
    <row r="37" customFormat="false" ht="15.75" hidden="false" customHeight="false" outlineLevel="0" collapsed="false">
      <c r="A37" s="61" t="n">
        <v>6139</v>
      </c>
      <c r="B37" s="29" t="n">
        <v>44551</v>
      </c>
      <c r="C37" s="21" t="s">
        <v>1588</v>
      </c>
      <c r="D37" s="21" t="s">
        <v>24</v>
      </c>
      <c r="E37" s="21" t="s">
        <v>25</v>
      </c>
      <c r="F37" s="21" t="s">
        <v>3735</v>
      </c>
      <c r="G37" s="30" t="s">
        <v>3736</v>
      </c>
      <c r="H37" s="45" t="str">
        <f aca="false">HYPERLINK("https://photos.app.goo.gl/XGCEy9TnNRbu8fsE6", "Completo")</f>
        <v>Completo</v>
      </c>
      <c r="I37" s="21" t="s">
        <v>28</v>
      </c>
      <c r="J37" s="21"/>
      <c r="K37" s="21"/>
      <c r="L37" s="21"/>
      <c r="M37" s="21" t="s">
        <v>2133</v>
      </c>
      <c r="N37" s="77" t="s">
        <v>3736</v>
      </c>
      <c r="O37" s="21" t="s">
        <v>28</v>
      </c>
      <c r="P37" s="21" t="s">
        <v>37</v>
      </c>
      <c r="Q37" s="21" t="s">
        <v>2981</v>
      </c>
      <c r="R37" s="32" t="s">
        <v>2850</v>
      </c>
      <c r="S37" s="32" t="s">
        <v>36</v>
      </c>
      <c r="T37" s="21"/>
      <c r="U37" s="21"/>
      <c r="V37" s="21"/>
      <c r="W37" s="21"/>
      <c r="X37" s="21" t="s">
        <v>28</v>
      </c>
    </row>
    <row r="38" customFormat="false" ht="15.75" hidden="false" customHeight="false" outlineLevel="0" collapsed="false">
      <c r="A38" s="61" t="n">
        <v>6140</v>
      </c>
      <c r="B38" s="29" t="n">
        <v>44551</v>
      </c>
      <c r="C38" s="21" t="s">
        <v>1588</v>
      </c>
      <c r="D38" s="21" t="s">
        <v>24</v>
      </c>
      <c r="E38" s="21" t="s">
        <v>25</v>
      </c>
      <c r="F38" s="21" t="s">
        <v>3737</v>
      </c>
      <c r="G38" s="30" t="s">
        <v>3736</v>
      </c>
      <c r="H38" s="45" t="str">
        <f aca="false">HYPERLINK("https://photos.app.goo.gl/QRaKMTUyos1voce28", "Completo")</f>
        <v>Completo</v>
      </c>
      <c r="I38" s="21" t="s">
        <v>28</v>
      </c>
      <c r="J38" s="21"/>
      <c r="K38" s="21"/>
      <c r="L38" s="21"/>
      <c r="M38" s="21" t="s">
        <v>2133</v>
      </c>
      <c r="N38" s="77" t="s">
        <v>3736</v>
      </c>
      <c r="O38" s="21" t="s">
        <v>28</v>
      </c>
      <c r="P38" s="21" t="s">
        <v>37</v>
      </c>
      <c r="Q38" s="21" t="s">
        <v>73</v>
      </c>
      <c r="R38" s="32" t="s">
        <v>74</v>
      </c>
      <c r="S38" s="32" t="s">
        <v>36</v>
      </c>
      <c r="T38" s="21"/>
      <c r="U38" s="21"/>
      <c r="V38" s="21"/>
      <c r="W38" s="21"/>
      <c r="X38" s="21" t="s">
        <v>28</v>
      </c>
    </row>
    <row r="39" customFormat="false" ht="15.75" hidden="false" customHeight="false" outlineLevel="0" collapsed="false">
      <c r="A39" s="61" t="n">
        <v>6141</v>
      </c>
      <c r="B39" s="29" t="n">
        <v>44551</v>
      </c>
      <c r="C39" s="21" t="s">
        <v>1588</v>
      </c>
      <c r="D39" s="21" t="s">
        <v>24</v>
      </c>
      <c r="E39" s="21" t="s">
        <v>25</v>
      </c>
      <c r="F39" s="21" t="s">
        <v>3738</v>
      </c>
      <c r="G39" s="30" t="s">
        <v>3736</v>
      </c>
      <c r="H39" s="45" t="str">
        <f aca="false">HYPERLINK("https://photos.app.goo.gl/1fh16AskziNbH1Vp6", "Completo")</f>
        <v>Completo</v>
      </c>
      <c r="I39" s="21" t="s">
        <v>28</v>
      </c>
      <c r="J39" s="21"/>
      <c r="K39" s="21"/>
      <c r="L39" s="21"/>
      <c r="M39" s="21" t="s">
        <v>2133</v>
      </c>
      <c r="N39" s="77" t="s">
        <v>3736</v>
      </c>
      <c r="O39" s="21" t="s">
        <v>28</v>
      </c>
      <c r="P39" s="21" t="s">
        <v>37</v>
      </c>
      <c r="Q39" s="21" t="s">
        <v>73</v>
      </c>
      <c r="R39" s="32" t="s">
        <v>74</v>
      </c>
      <c r="S39" s="32" t="s">
        <v>36</v>
      </c>
      <c r="T39" s="21"/>
      <c r="U39" s="21"/>
      <c r="V39" s="21"/>
      <c r="W39" s="21"/>
      <c r="X39" s="21" t="s">
        <v>28</v>
      </c>
    </row>
    <row r="40" customFormat="false" ht="15.75" hidden="false" customHeight="false" outlineLevel="0" collapsed="false">
      <c r="A40" s="61" t="n">
        <v>6142</v>
      </c>
      <c r="B40" s="29" t="n">
        <v>44551</v>
      </c>
      <c r="C40" s="21" t="s">
        <v>1588</v>
      </c>
      <c r="D40" s="21" t="s">
        <v>24</v>
      </c>
      <c r="E40" s="21" t="s">
        <v>25</v>
      </c>
      <c r="F40" s="21" t="s">
        <v>3739</v>
      </c>
      <c r="G40" s="30" t="s">
        <v>3736</v>
      </c>
      <c r="H40" s="45" t="str">
        <f aca="false">HYPERLINK("https://photos.app.goo.gl/pDWerzCMBFSFtTH28", "Completo")</f>
        <v>Completo</v>
      </c>
      <c r="I40" s="21" t="s">
        <v>28</v>
      </c>
      <c r="J40" s="21"/>
      <c r="K40" s="21"/>
      <c r="L40" s="21"/>
      <c r="M40" s="21" t="s">
        <v>2133</v>
      </c>
      <c r="N40" s="77" t="s">
        <v>3736</v>
      </c>
      <c r="O40" s="21" t="s">
        <v>28</v>
      </c>
      <c r="P40" s="21" t="s">
        <v>37</v>
      </c>
      <c r="Q40" s="21" t="s">
        <v>2981</v>
      </c>
      <c r="R40" s="32" t="s">
        <v>2850</v>
      </c>
      <c r="S40" s="32" t="s">
        <v>36</v>
      </c>
      <c r="T40" s="21"/>
      <c r="U40" s="21"/>
      <c r="V40" s="21"/>
      <c r="W40" s="21"/>
      <c r="X40" s="21" t="s">
        <v>28</v>
      </c>
    </row>
    <row r="41" customFormat="false" ht="15.75" hidden="false" customHeight="false" outlineLevel="0" collapsed="false">
      <c r="A41" s="61" t="n">
        <v>6143</v>
      </c>
      <c r="B41" s="29" t="n">
        <v>44551</v>
      </c>
      <c r="C41" s="21" t="s">
        <v>1588</v>
      </c>
      <c r="D41" s="21" t="s">
        <v>24</v>
      </c>
      <c r="E41" s="21" t="s">
        <v>25</v>
      </c>
      <c r="F41" s="21" t="s">
        <v>3740</v>
      </c>
      <c r="G41" s="30" t="s">
        <v>3736</v>
      </c>
      <c r="H41" s="45" t="str">
        <f aca="false">HYPERLINK("https://photos.app.goo.gl/QYVUBCmuaMnwxh5D8", "Completo")</f>
        <v>Completo</v>
      </c>
      <c r="I41" s="21" t="s">
        <v>28</v>
      </c>
      <c r="J41" s="21"/>
      <c r="K41" s="21"/>
      <c r="L41" s="21"/>
      <c r="M41" s="21" t="s">
        <v>2133</v>
      </c>
      <c r="N41" s="77" t="s">
        <v>3736</v>
      </c>
      <c r="O41" s="21" t="s">
        <v>28</v>
      </c>
      <c r="P41" s="21" t="s">
        <v>37</v>
      </c>
      <c r="Q41" s="21" t="s">
        <v>73</v>
      </c>
      <c r="R41" s="32" t="s">
        <v>74</v>
      </c>
      <c r="S41" s="32" t="s">
        <v>36</v>
      </c>
      <c r="T41" s="21"/>
      <c r="U41" s="21"/>
      <c r="V41" s="21"/>
      <c r="W41" s="21"/>
      <c r="X41" s="21" t="s">
        <v>28</v>
      </c>
    </row>
    <row r="42" customFormat="false" ht="15.75" hidden="false" customHeight="false" outlineLevel="0" collapsed="false">
      <c r="A42" s="61" t="n">
        <v>6144</v>
      </c>
      <c r="B42" s="29" t="n">
        <v>44551</v>
      </c>
      <c r="C42" s="21" t="s">
        <v>1588</v>
      </c>
      <c r="D42" s="21" t="s">
        <v>24</v>
      </c>
      <c r="E42" s="21" t="s">
        <v>25</v>
      </c>
      <c r="F42" s="21" t="s">
        <v>3741</v>
      </c>
      <c r="G42" s="30" t="s">
        <v>3736</v>
      </c>
      <c r="H42" s="45" t="str">
        <f aca="false">HYPERLINK("https://photos.app.goo.gl/WWoYDZuFLnwBQMmC9", "Completo")</f>
        <v>Completo</v>
      </c>
      <c r="I42" s="21" t="s">
        <v>28</v>
      </c>
      <c r="J42" s="21"/>
      <c r="K42" s="21"/>
      <c r="L42" s="21"/>
      <c r="M42" s="21" t="s">
        <v>2133</v>
      </c>
      <c r="N42" s="77" t="s">
        <v>3736</v>
      </c>
      <c r="O42" s="21" t="s">
        <v>28</v>
      </c>
      <c r="P42" s="21" t="s">
        <v>37</v>
      </c>
      <c r="Q42" s="21" t="s">
        <v>2981</v>
      </c>
      <c r="R42" s="32" t="s">
        <v>2850</v>
      </c>
      <c r="S42" s="32" t="s">
        <v>36</v>
      </c>
      <c r="T42" s="21"/>
      <c r="U42" s="21"/>
      <c r="V42" s="21"/>
      <c r="W42" s="21"/>
      <c r="X42" s="21" t="s">
        <v>28</v>
      </c>
    </row>
    <row r="43" customFormat="false" ht="15.75" hidden="false" customHeight="false" outlineLevel="0" collapsed="false">
      <c r="A43" s="61" t="n">
        <v>6145</v>
      </c>
      <c r="B43" s="29" t="n">
        <v>44551</v>
      </c>
      <c r="C43" s="21" t="s">
        <v>3742</v>
      </c>
      <c r="D43" s="21" t="s">
        <v>24</v>
      </c>
      <c r="E43" s="21" t="s">
        <v>25</v>
      </c>
      <c r="F43" s="21" t="s">
        <v>3743</v>
      </c>
      <c r="G43" s="30"/>
      <c r="H43" s="45" t="str">
        <f aca="false">HYPERLINK("https://photos.app.goo.gl/Wx28Agwk2f637wXz5", "Completo")</f>
        <v>Completo</v>
      </c>
      <c r="I43" s="21" t="s">
        <v>28</v>
      </c>
      <c r="J43" s="21"/>
      <c r="K43" s="21"/>
      <c r="L43" s="21"/>
      <c r="M43" s="21"/>
      <c r="N43" s="30"/>
      <c r="O43" s="21"/>
      <c r="P43" s="21"/>
      <c r="Q43" s="21"/>
      <c r="R43" s="32"/>
      <c r="S43" s="32"/>
      <c r="T43" s="21"/>
      <c r="U43" s="21"/>
      <c r="V43" s="21"/>
      <c r="W43" s="21"/>
      <c r="X43" s="21" t="s">
        <v>28</v>
      </c>
    </row>
    <row r="44" customFormat="false" ht="15.75" hidden="false" customHeight="false" outlineLevel="0" collapsed="false">
      <c r="A44" s="61" t="n">
        <v>6146</v>
      </c>
      <c r="B44" s="29" t="n">
        <v>44551</v>
      </c>
      <c r="C44" s="21" t="s">
        <v>3744</v>
      </c>
      <c r="D44" s="21" t="s">
        <v>24</v>
      </c>
      <c r="E44" s="21" t="s">
        <v>25</v>
      </c>
      <c r="F44" s="21" t="s">
        <v>1345</v>
      </c>
      <c r="G44" s="30"/>
      <c r="H44" s="45" t="str">
        <f aca="false">HYPERLINK("https://photos.app.goo.gl/Xi49qZVPs2wUz5HNA", "Completo")</f>
        <v>Completo</v>
      </c>
      <c r="I44" s="21" t="s">
        <v>28</v>
      </c>
      <c r="J44" s="21"/>
      <c r="K44" s="21"/>
      <c r="L44" s="21"/>
      <c r="M44" s="21" t="s">
        <v>2133</v>
      </c>
      <c r="N44" s="30"/>
      <c r="O44" s="21"/>
      <c r="P44" s="21"/>
      <c r="Q44" s="21"/>
      <c r="R44" s="32"/>
      <c r="S44" s="32"/>
      <c r="T44" s="21"/>
      <c r="U44" s="21"/>
      <c r="V44" s="21"/>
      <c r="W44" s="21"/>
      <c r="X44" s="21" t="s">
        <v>28</v>
      </c>
    </row>
    <row r="45" customFormat="false" ht="15.75" hidden="false" customHeight="false" outlineLevel="0" collapsed="false">
      <c r="A45" s="61" t="n">
        <v>6147</v>
      </c>
      <c r="B45" s="29" t="n">
        <v>44552</v>
      </c>
      <c r="C45" s="21" t="s">
        <v>1588</v>
      </c>
      <c r="D45" s="21" t="s">
        <v>24</v>
      </c>
      <c r="E45" s="21" t="s">
        <v>25</v>
      </c>
      <c r="F45" s="21" t="s">
        <v>3745</v>
      </c>
      <c r="G45" s="30" t="s">
        <v>3736</v>
      </c>
      <c r="H45" s="31" t="s">
        <v>28</v>
      </c>
      <c r="I45" s="21" t="s">
        <v>28</v>
      </c>
      <c r="J45" s="21"/>
      <c r="K45" s="21"/>
      <c r="L45" s="21"/>
      <c r="M45" s="21" t="s">
        <v>2133</v>
      </c>
      <c r="N45" s="77" t="s">
        <v>3736</v>
      </c>
      <c r="O45" s="21" t="s">
        <v>28</v>
      </c>
      <c r="P45" s="21" t="s">
        <v>37</v>
      </c>
      <c r="Q45" s="21" t="s">
        <v>73</v>
      </c>
      <c r="R45" s="32" t="s">
        <v>74</v>
      </c>
      <c r="S45" s="32" t="s">
        <v>36</v>
      </c>
      <c r="T45" s="21"/>
      <c r="U45" s="21"/>
      <c r="V45" s="21"/>
      <c r="W45" s="21"/>
      <c r="X45" s="21" t="s">
        <v>28</v>
      </c>
    </row>
    <row r="46" customFormat="false" ht="15.75" hidden="false" customHeight="false" outlineLevel="0" collapsed="false">
      <c r="A46" s="61" t="n">
        <v>6148</v>
      </c>
      <c r="B46" s="29" t="n">
        <v>44552</v>
      </c>
      <c r="C46" s="21" t="s">
        <v>1588</v>
      </c>
      <c r="D46" s="21" t="s">
        <v>24</v>
      </c>
      <c r="E46" s="21" t="s">
        <v>25</v>
      </c>
      <c r="F46" s="21" t="s">
        <v>3745</v>
      </c>
      <c r="G46" s="30" t="s">
        <v>3736</v>
      </c>
      <c r="H46" s="45" t="str">
        <f aca="false">HYPERLINK("https://photos.app.goo.gl/bKS8D4utcK7oLWQz6", "Completo")</f>
        <v>Completo</v>
      </c>
      <c r="I46" s="21" t="s">
        <v>28</v>
      </c>
      <c r="J46" s="21"/>
      <c r="K46" s="21"/>
      <c r="L46" s="21"/>
      <c r="M46" s="21" t="s">
        <v>2133</v>
      </c>
      <c r="N46" s="77" t="s">
        <v>3736</v>
      </c>
      <c r="O46" s="21" t="s">
        <v>28</v>
      </c>
      <c r="P46" s="21" t="s">
        <v>37</v>
      </c>
      <c r="Q46" s="21" t="s">
        <v>2981</v>
      </c>
      <c r="R46" s="32" t="s">
        <v>2850</v>
      </c>
      <c r="S46" s="32" t="s">
        <v>36</v>
      </c>
      <c r="T46" s="21"/>
      <c r="U46" s="21"/>
      <c r="V46" s="21"/>
      <c r="W46" s="21"/>
      <c r="X46" s="21" t="s">
        <v>28</v>
      </c>
    </row>
    <row r="47" customFormat="false" ht="15.75" hidden="false" customHeight="false" outlineLevel="0" collapsed="false">
      <c r="A47" s="61" t="n">
        <v>6149</v>
      </c>
      <c r="B47" s="29" t="n">
        <v>44552</v>
      </c>
      <c r="C47" s="21" t="s">
        <v>1588</v>
      </c>
      <c r="D47" s="21" t="s">
        <v>24</v>
      </c>
      <c r="E47" s="21" t="s">
        <v>25</v>
      </c>
      <c r="F47" s="21" t="s">
        <v>3745</v>
      </c>
      <c r="G47" s="30" t="s">
        <v>3736</v>
      </c>
      <c r="H47" s="45" t="str">
        <f aca="false">HYPERLINK("https://photos.app.goo.gl/z12iipQYBRS2NTYA9", "Completo")</f>
        <v>Completo</v>
      </c>
      <c r="I47" s="21" t="s">
        <v>28</v>
      </c>
      <c r="J47" s="21"/>
      <c r="K47" s="21"/>
      <c r="L47" s="21"/>
      <c r="M47" s="21" t="s">
        <v>2133</v>
      </c>
      <c r="N47" s="77" t="s">
        <v>3736</v>
      </c>
      <c r="O47" s="21" t="s">
        <v>28</v>
      </c>
      <c r="P47" s="21" t="s">
        <v>37</v>
      </c>
      <c r="Q47" s="21" t="s">
        <v>73</v>
      </c>
      <c r="R47" s="32" t="s">
        <v>74</v>
      </c>
      <c r="S47" s="32" t="s">
        <v>36</v>
      </c>
      <c r="T47" s="21"/>
      <c r="U47" s="21"/>
      <c r="V47" s="21"/>
      <c r="W47" s="21"/>
      <c r="X47" s="21" t="s">
        <v>28</v>
      </c>
    </row>
    <row r="48" customFormat="false" ht="15.75" hidden="false" customHeight="false" outlineLevel="0" collapsed="false">
      <c r="A48" s="61" t="n">
        <v>6150</v>
      </c>
      <c r="B48" s="29" t="n">
        <v>44552</v>
      </c>
      <c r="C48" s="21" t="s">
        <v>1588</v>
      </c>
      <c r="D48" s="21" t="s">
        <v>24</v>
      </c>
      <c r="E48" s="21" t="s">
        <v>25</v>
      </c>
      <c r="F48" s="21" t="s">
        <v>3745</v>
      </c>
      <c r="G48" s="30" t="s">
        <v>3736</v>
      </c>
      <c r="H48" s="45" t="str">
        <f aca="false">HYPERLINK("https://photos.app.goo.gl/8gyRd4fz5ZvsJui17", "Completo")</f>
        <v>Completo</v>
      </c>
      <c r="I48" s="21" t="s">
        <v>28</v>
      </c>
      <c r="J48" s="21"/>
      <c r="K48" s="21"/>
      <c r="L48" s="21"/>
      <c r="M48" s="21" t="s">
        <v>2133</v>
      </c>
      <c r="N48" s="77" t="s">
        <v>3736</v>
      </c>
      <c r="O48" s="21" t="s">
        <v>28</v>
      </c>
      <c r="P48" s="21" t="s">
        <v>37</v>
      </c>
      <c r="Q48" s="21" t="s">
        <v>73</v>
      </c>
      <c r="R48" s="32" t="s">
        <v>74</v>
      </c>
      <c r="S48" s="32" t="s">
        <v>36</v>
      </c>
      <c r="T48" s="21"/>
      <c r="U48" s="21"/>
      <c r="V48" s="21"/>
      <c r="W48" s="21"/>
      <c r="X48" s="21" t="s">
        <v>28</v>
      </c>
    </row>
    <row r="49" customFormat="false" ht="15.75" hidden="false" customHeight="false" outlineLevel="0" collapsed="false">
      <c r="A49" s="61" t="n">
        <v>6151</v>
      </c>
      <c r="B49" s="29" t="n">
        <v>44552</v>
      </c>
      <c r="C49" s="21" t="s">
        <v>1588</v>
      </c>
      <c r="D49" s="21" t="s">
        <v>24</v>
      </c>
      <c r="E49" s="21" t="s">
        <v>25</v>
      </c>
      <c r="F49" s="21" t="s">
        <v>3745</v>
      </c>
      <c r="G49" s="30" t="s">
        <v>3736</v>
      </c>
      <c r="H49" s="45" t="str">
        <f aca="false">HYPERLINK("https://photos.app.goo.gl/Kr78u3zdq1eqmPGg6", "Completo")</f>
        <v>Completo</v>
      </c>
      <c r="I49" s="21" t="s">
        <v>28</v>
      </c>
      <c r="J49" s="21"/>
      <c r="K49" s="21"/>
      <c r="L49" s="21"/>
      <c r="M49" s="21" t="s">
        <v>2133</v>
      </c>
      <c r="N49" s="77" t="s">
        <v>3736</v>
      </c>
      <c r="O49" s="21" t="s">
        <v>28</v>
      </c>
      <c r="P49" s="21" t="s">
        <v>37</v>
      </c>
      <c r="Q49" s="21" t="s">
        <v>2981</v>
      </c>
      <c r="R49" s="32" t="s">
        <v>2850</v>
      </c>
      <c r="S49" s="32" t="s">
        <v>36</v>
      </c>
      <c r="T49" s="21"/>
      <c r="U49" s="21"/>
      <c r="V49" s="21"/>
      <c r="W49" s="21"/>
      <c r="X49" s="21" t="s">
        <v>28</v>
      </c>
    </row>
    <row r="50" customFormat="false" ht="15.75" hidden="false" customHeight="false" outlineLevel="0" collapsed="false">
      <c r="A50" s="61" t="n">
        <v>6152</v>
      </c>
      <c r="B50" s="29" t="n">
        <v>44552</v>
      </c>
      <c r="C50" s="21" t="s">
        <v>1588</v>
      </c>
      <c r="D50" s="21" t="s">
        <v>24</v>
      </c>
      <c r="E50" s="21" t="s">
        <v>25</v>
      </c>
      <c r="F50" s="21" t="s">
        <v>3745</v>
      </c>
      <c r="G50" s="30" t="s">
        <v>3736</v>
      </c>
      <c r="H50" s="45" t="str">
        <f aca="false">HYPERLINK("https://photos.app.goo.gl/8dmwaRZuNLKcUSjMA", "Completo")</f>
        <v>Completo</v>
      </c>
      <c r="I50" s="21" t="s">
        <v>28</v>
      </c>
      <c r="J50" s="21"/>
      <c r="K50" s="21"/>
      <c r="L50" s="21"/>
      <c r="M50" s="21" t="s">
        <v>2133</v>
      </c>
      <c r="N50" s="77" t="s">
        <v>3736</v>
      </c>
      <c r="O50" s="21" t="s">
        <v>28</v>
      </c>
      <c r="P50" s="21" t="s">
        <v>37</v>
      </c>
      <c r="Q50" s="21" t="s">
        <v>73</v>
      </c>
      <c r="R50" s="32" t="s">
        <v>74</v>
      </c>
      <c r="S50" s="32" t="s">
        <v>36</v>
      </c>
      <c r="T50" s="21"/>
      <c r="U50" s="21"/>
      <c r="V50" s="21"/>
      <c r="W50" s="21"/>
      <c r="X50" s="21" t="s">
        <v>28</v>
      </c>
    </row>
    <row r="51" customFormat="false" ht="15.75" hidden="false" customHeight="false" outlineLevel="0" collapsed="false">
      <c r="A51" s="61" t="n">
        <v>6153</v>
      </c>
      <c r="B51" s="29" t="n">
        <v>44552</v>
      </c>
      <c r="C51" s="21" t="s">
        <v>1588</v>
      </c>
      <c r="D51" s="21" t="s">
        <v>24</v>
      </c>
      <c r="E51" s="21" t="s">
        <v>25</v>
      </c>
      <c r="F51" s="21" t="s">
        <v>3745</v>
      </c>
      <c r="G51" s="30" t="s">
        <v>3736</v>
      </c>
      <c r="H51" s="31" t="s">
        <v>28</v>
      </c>
      <c r="I51" s="21" t="s">
        <v>28</v>
      </c>
      <c r="J51" s="21"/>
      <c r="K51" s="21"/>
      <c r="L51" s="21"/>
      <c r="M51" s="21" t="s">
        <v>2133</v>
      </c>
      <c r="N51" s="77" t="s">
        <v>3736</v>
      </c>
      <c r="O51" s="21" t="s">
        <v>28</v>
      </c>
      <c r="P51" s="21" t="s">
        <v>37</v>
      </c>
      <c r="Q51" s="21" t="s">
        <v>2981</v>
      </c>
      <c r="R51" s="32" t="s">
        <v>2850</v>
      </c>
      <c r="S51" s="32" t="s">
        <v>36</v>
      </c>
      <c r="T51" s="21"/>
      <c r="U51" s="21"/>
      <c r="V51" s="21"/>
      <c r="W51" s="21"/>
      <c r="X51" s="21" t="s">
        <v>28</v>
      </c>
    </row>
    <row r="52" customFormat="false" ht="15.75" hidden="false" customHeight="false" outlineLevel="0" collapsed="false">
      <c r="A52" s="61" t="n">
        <v>6154</v>
      </c>
      <c r="B52" s="29" t="n">
        <v>44552</v>
      </c>
      <c r="C52" s="21" t="s">
        <v>1588</v>
      </c>
      <c r="D52" s="21" t="s">
        <v>24</v>
      </c>
      <c r="E52" s="21" t="s">
        <v>25</v>
      </c>
      <c r="F52" s="21" t="s">
        <v>3745</v>
      </c>
      <c r="G52" s="30" t="s">
        <v>3736</v>
      </c>
      <c r="H52" s="45" t="str">
        <f aca="false">HYPERLINK("https://photos.app.goo.gl/bKd2bn4LCkWkfQiK9", "Completo")</f>
        <v>Completo</v>
      </c>
      <c r="I52" s="21" t="s">
        <v>28</v>
      </c>
      <c r="J52" s="21"/>
      <c r="K52" s="21"/>
      <c r="L52" s="21"/>
      <c r="M52" s="21" t="s">
        <v>2133</v>
      </c>
      <c r="N52" s="77" t="s">
        <v>3736</v>
      </c>
      <c r="O52" s="21" t="s">
        <v>28</v>
      </c>
      <c r="P52" s="21" t="s">
        <v>37</v>
      </c>
      <c r="Q52" s="21" t="s">
        <v>73</v>
      </c>
      <c r="R52" s="32" t="s">
        <v>74</v>
      </c>
      <c r="S52" s="32" t="s">
        <v>36</v>
      </c>
      <c r="T52" s="21"/>
      <c r="U52" s="21"/>
      <c r="V52" s="21"/>
      <c r="W52" s="21"/>
      <c r="X52" s="21" t="s">
        <v>28</v>
      </c>
    </row>
    <row r="53" customFormat="false" ht="15.75" hidden="false" customHeight="false" outlineLevel="0" collapsed="false">
      <c r="A53" s="61" t="s">
        <v>3746</v>
      </c>
      <c r="B53" s="29" t="n">
        <v>44553</v>
      </c>
      <c r="C53" s="21" t="s">
        <v>3747</v>
      </c>
      <c r="D53" s="21" t="s">
        <v>290</v>
      </c>
      <c r="E53" s="21" t="s">
        <v>74</v>
      </c>
      <c r="F53" s="21" t="s">
        <v>3748</v>
      </c>
      <c r="G53" s="69" t="s">
        <v>3749</v>
      </c>
      <c r="H53" s="45" t="str">
        <f aca="false">HYPERLINK("https://photos.app.goo.gl/76eeqGJ5SEdVFMg7A", "Completo")</f>
        <v>Completo</v>
      </c>
      <c r="I53" s="21" t="s">
        <v>28</v>
      </c>
      <c r="J53" s="21" t="n">
        <v>3517638712</v>
      </c>
      <c r="K53" s="21" t="s">
        <v>3750</v>
      </c>
      <c r="L53" s="21" t="s">
        <v>3751</v>
      </c>
      <c r="M53" s="21" t="s">
        <v>2133</v>
      </c>
      <c r="N53" s="30"/>
      <c r="O53" s="21"/>
      <c r="P53" s="21"/>
      <c r="Q53" s="21"/>
      <c r="R53" s="32"/>
      <c r="S53" s="32"/>
      <c r="T53" s="21"/>
      <c r="U53" s="21"/>
      <c r="V53" s="21"/>
      <c r="W53" s="21"/>
      <c r="X53" s="21" t="s">
        <v>28</v>
      </c>
    </row>
    <row r="54" customFormat="false" ht="15.75" hidden="false" customHeight="false" outlineLevel="0" collapsed="false">
      <c r="A54" s="61" t="n">
        <v>6155</v>
      </c>
      <c r="B54" s="29" t="n">
        <v>44553</v>
      </c>
      <c r="C54" s="21" t="s">
        <v>3747</v>
      </c>
      <c r="D54" s="21" t="s">
        <v>24</v>
      </c>
      <c r="E54" s="21" t="s">
        <v>74</v>
      </c>
      <c r="F54" s="21" t="s">
        <v>3752</v>
      </c>
      <c r="G54" s="69" t="s">
        <v>3753</v>
      </c>
      <c r="H54" s="45" t="str">
        <f aca="false">HYPERLINK("https://photos.app.goo.gl/zqRtAfU6kNEGohuR6", "Completo")</f>
        <v>Completo</v>
      </c>
      <c r="I54" s="21" t="s">
        <v>28</v>
      </c>
      <c r="J54" s="21" t="n">
        <v>3517638712</v>
      </c>
      <c r="K54" s="21" t="s">
        <v>3750</v>
      </c>
      <c r="L54" s="21"/>
      <c r="M54" s="21" t="s">
        <v>3754</v>
      </c>
      <c r="N54" s="30"/>
      <c r="O54" s="21"/>
      <c r="P54" s="21"/>
      <c r="Q54" s="21"/>
      <c r="R54" s="32"/>
      <c r="S54" s="32"/>
      <c r="T54" s="21"/>
      <c r="U54" s="21"/>
      <c r="V54" s="21"/>
      <c r="W54" s="21"/>
      <c r="X54" s="21" t="s">
        <v>28</v>
      </c>
    </row>
    <row r="55" customFormat="false" ht="15.75" hidden="false" customHeight="false" outlineLevel="0" collapsed="false">
      <c r="A55" s="61" t="n">
        <v>6156</v>
      </c>
      <c r="B55" s="29" t="n">
        <v>44557</v>
      </c>
      <c r="C55" s="21" t="s">
        <v>3755</v>
      </c>
      <c r="D55" s="21" t="s">
        <v>24</v>
      </c>
      <c r="E55" s="21" t="s">
        <v>34</v>
      </c>
      <c r="F55" s="55" t="s">
        <v>3756</v>
      </c>
      <c r="G55" s="69"/>
      <c r="H55" s="31" t="s">
        <v>28</v>
      </c>
      <c r="I55" s="21" t="s">
        <v>28</v>
      </c>
      <c r="J55" s="21" t="n">
        <v>3518152615</v>
      </c>
      <c r="K55" s="21" t="s">
        <v>3757</v>
      </c>
      <c r="L55" s="21"/>
      <c r="M55" s="21" t="s">
        <v>3758</v>
      </c>
      <c r="N55" s="30"/>
      <c r="O55" s="21"/>
      <c r="P55" s="21"/>
      <c r="Q55" s="21"/>
      <c r="R55" s="32"/>
      <c r="S55" s="32"/>
      <c r="T55" s="21"/>
      <c r="U55" s="21"/>
      <c r="V55" s="21"/>
      <c r="W55" s="21"/>
      <c r="X55" s="21" t="s">
        <v>37</v>
      </c>
    </row>
    <row r="56" customFormat="false" ht="15.75" hidden="false" customHeight="false" outlineLevel="0" collapsed="false">
      <c r="A56" s="61" t="n">
        <v>6157</v>
      </c>
      <c r="B56" s="29" t="n">
        <v>44557</v>
      </c>
      <c r="C56" s="21" t="s">
        <v>3747</v>
      </c>
      <c r="D56" s="21" t="s">
        <v>24</v>
      </c>
      <c r="E56" s="21" t="s">
        <v>74</v>
      </c>
      <c r="F56" s="21" t="s">
        <v>3759</v>
      </c>
      <c r="G56" s="69" t="s">
        <v>3760</v>
      </c>
      <c r="H56" s="45" t="str">
        <f aca="false">HYPERLINK("https://photos.app.goo.gl/dZSEdjTEn3raFJwd7", "Completo")</f>
        <v>Completo</v>
      </c>
      <c r="I56" s="21" t="s">
        <v>28</v>
      </c>
      <c r="J56" s="21" t="n">
        <v>3517638712</v>
      </c>
      <c r="K56" s="21" t="s">
        <v>3750</v>
      </c>
      <c r="L56" s="21"/>
      <c r="M56" s="21" t="s">
        <v>3761</v>
      </c>
      <c r="N56" s="69" t="s">
        <v>3760</v>
      </c>
      <c r="O56" s="21" t="s">
        <v>28</v>
      </c>
      <c r="P56" s="21" t="s">
        <v>28</v>
      </c>
      <c r="Q56" s="21" t="s">
        <v>73</v>
      </c>
      <c r="R56" s="32" t="s">
        <v>3433</v>
      </c>
      <c r="S56" s="32" t="s">
        <v>36</v>
      </c>
      <c r="T56" s="21" t="s">
        <v>74</v>
      </c>
      <c r="U56" s="74" t="s">
        <v>28</v>
      </c>
      <c r="V56" s="74" t="s">
        <v>28</v>
      </c>
      <c r="W56" s="21" t="s">
        <v>36</v>
      </c>
      <c r="X56" s="21" t="s">
        <v>28</v>
      </c>
    </row>
    <row r="57" customFormat="false" ht="15.75" hidden="false" customHeight="false" outlineLevel="0" collapsed="false">
      <c r="A57" s="61" t="n">
        <v>6158</v>
      </c>
      <c r="B57" s="29" t="n">
        <v>44557</v>
      </c>
      <c r="C57" s="21" t="s">
        <v>3747</v>
      </c>
      <c r="D57" s="21" t="s">
        <v>24</v>
      </c>
      <c r="E57" s="21" t="s">
        <v>74</v>
      </c>
      <c r="F57" s="21" t="s">
        <v>3762</v>
      </c>
      <c r="G57" s="69" t="s">
        <v>3763</v>
      </c>
      <c r="H57" s="45" t="str">
        <f aca="false">HYPERLINK("https://photos.app.goo.gl/TBf9Km1hYandRH2k9", "Completo")</f>
        <v>Completo</v>
      </c>
      <c r="I57" s="21" t="s">
        <v>28</v>
      </c>
      <c r="J57" s="21" t="n">
        <v>3517638712</v>
      </c>
      <c r="K57" s="21" t="s">
        <v>3750</v>
      </c>
      <c r="L57" s="21"/>
      <c r="M57" s="21" t="s">
        <v>3758</v>
      </c>
      <c r="N57" s="30" t="s">
        <v>3763</v>
      </c>
      <c r="O57" s="21" t="s">
        <v>28</v>
      </c>
      <c r="P57" s="21" t="s">
        <v>28</v>
      </c>
      <c r="Q57" s="21" t="s">
        <v>73</v>
      </c>
      <c r="R57" s="32" t="s">
        <v>3433</v>
      </c>
      <c r="S57" s="32" t="s">
        <v>36</v>
      </c>
      <c r="T57" s="21"/>
      <c r="U57" s="21" t="s">
        <v>37</v>
      </c>
      <c r="V57" s="21" t="s">
        <v>37</v>
      </c>
      <c r="W57" s="21" t="s">
        <v>36</v>
      </c>
      <c r="X57" s="21" t="s">
        <v>28</v>
      </c>
    </row>
    <row r="58" customFormat="false" ht="15.75" hidden="false" customHeight="false" outlineLevel="0" collapsed="false">
      <c r="A58" s="61" t="n">
        <v>6159</v>
      </c>
      <c r="B58" s="29" t="n">
        <v>44558</v>
      </c>
      <c r="C58" s="21" t="s">
        <v>3516</v>
      </c>
      <c r="D58" s="21" t="s">
        <v>24</v>
      </c>
      <c r="E58" s="21" t="s">
        <v>3337</v>
      </c>
      <c r="F58" s="21" t="s">
        <v>3764</v>
      </c>
      <c r="G58" s="30"/>
      <c r="H58" s="45" t="str">
        <f aca="false">HYPERLINK("https://photos.app.goo.gl/jTYJmk3mv43eZogx5", "Completo")</f>
        <v>Completo</v>
      </c>
      <c r="I58" s="21" t="s">
        <v>28</v>
      </c>
      <c r="J58" s="21"/>
      <c r="K58" s="21"/>
      <c r="L58" s="21"/>
      <c r="M58" s="21"/>
      <c r="N58" s="30"/>
      <c r="O58" s="21"/>
      <c r="P58" s="21"/>
      <c r="Q58" s="21"/>
      <c r="R58" s="32"/>
      <c r="S58" s="32"/>
      <c r="T58" s="21"/>
      <c r="U58" s="21"/>
      <c r="V58" s="21"/>
      <c r="W58" s="21"/>
      <c r="X58" s="21" t="s">
        <v>28</v>
      </c>
    </row>
    <row r="59" customFormat="false" ht="15.75" hidden="false" customHeight="false" outlineLevel="0" collapsed="false">
      <c r="A59" s="76" t="n">
        <v>868550</v>
      </c>
      <c r="B59" s="29" t="n">
        <v>44558</v>
      </c>
      <c r="C59" s="21" t="s">
        <v>3765</v>
      </c>
      <c r="D59" s="21" t="s">
        <v>290</v>
      </c>
      <c r="E59" s="21" t="s">
        <v>3337</v>
      </c>
      <c r="F59" s="21" t="s">
        <v>3766</v>
      </c>
      <c r="G59" s="30"/>
      <c r="H59" s="45" t="str">
        <f aca="false">HYPERLINK("https://photos.app.goo.gl/wCiiwVNQJWHMq6rRA", "Completo")</f>
        <v>Completo</v>
      </c>
      <c r="I59" s="21" t="s">
        <v>28</v>
      </c>
      <c r="J59" s="21"/>
      <c r="K59" s="21"/>
      <c r="L59" s="21"/>
      <c r="M59" s="21"/>
      <c r="N59" s="30"/>
      <c r="O59" s="21"/>
      <c r="P59" s="21"/>
      <c r="Q59" s="21"/>
      <c r="R59" s="32"/>
      <c r="S59" s="32"/>
      <c r="T59" s="21" t="s">
        <v>74</v>
      </c>
      <c r="U59" s="74" t="s">
        <v>28</v>
      </c>
      <c r="V59" s="74" t="s">
        <v>28</v>
      </c>
      <c r="W59" s="21" t="s">
        <v>36</v>
      </c>
      <c r="X59" s="21" t="s">
        <v>37</v>
      </c>
    </row>
    <row r="60" customFormat="false" ht="15.75" hidden="false" customHeight="false" outlineLevel="0" collapsed="false">
      <c r="A60" s="61" t="n">
        <v>6160</v>
      </c>
      <c r="B60" s="29" t="n">
        <v>44559</v>
      </c>
      <c r="C60" s="21" t="s">
        <v>705</v>
      </c>
      <c r="D60" s="21" t="s">
        <v>24</v>
      </c>
      <c r="E60" s="21" t="s">
        <v>34</v>
      </c>
      <c r="F60" s="21" t="s">
        <v>3767</v>
      </c>
      <c r="G60" s="30"/>
      <c r="H60" s="31"/>
      <c r="I60" s="21"/>
      <c r="J60" s="21"/>
      <c r="K60" s="21"/>
      <c r="L60" s="21"/>
      <c r="M60" s="21"/>
      <c r="N60" s="30"/>
      <c r="O60" s="21"/>
      <c r="P60" s="21"/>
      <c r="Q60" s="21"/>
      <c r="R60" s="32"/>
      <c r="S60" s="32"/>
      <c r="T60" s="21"/>
      <c r="U60" s="21"/>
      <c r="V60" s="21"/>
      <c r="W60" s="21"/>
      <c r="X60" s="21" t="s">
        <v>28</v>
      </c>
    </row>
    <row r="61" customFormat="false" ht="15.75" hidden="false" customHeight="false" outlineLevel="0" collapsed="false">
      <c r="A61" s="63" t="n">
        <v>1324736</v>
      </c>
      <c r="B61" s="29" t="n">
        <v>44560</v>
      </c>
      <c r="C61" s="21" t="s">
        <v>3135</v>
      </c>
      <c r="D61" s="21" t="s">
        <v>290</v>
      </c>
      <c r="E61" s="21" t="s">
        <v>25</v>
      </c>
      <c r="F61" s="21" t="s">
        <v>3768</v>
      </c>
      <c r="G61" s="30" t="s">
        <v>3769</v>
      </c>
      <c r="H61" s="45" t="str">
        <f aca="false">HYPERLINK("https://photos.app.goo.gl/fWgegVaLcs58zhWN8", "Completo")</f>
        <v>Completo</v>
      </c>
      <c r="I61" s="21" t="s">
        <v>28</v>
      </c>
      <c r="J61" s="21"/>
      <c r="K61" s="21"/>
      <c r="L61" s="21"/>
      <c r="M61" s="21" t="s">
        <v>2133</v>
      </c>
      <c r="N61" s="30"/>
      <c r="O61" s="21" t="s">
        <v>28</v>
      </c>
      <c r="P61" s="74" t="s">
        <v>28</v>
      </c>
      <c r="Q61" s="21" t="s">
        <v>2981</v>
      </c>
      <c r="R61" s="32" t="s">
        <v>2850</v>
      </c>
      <c r="S61" s="32" t="s">
        <v>36</v>
      </c>
      <c r="T61" s="21"/>
      <c r="U61" s="21"/>
      <c r="V61" s="21"/>
      <c r="W61" s="21"/>
      <c r="X61" s="21" t="s">
        <v>28</v>
      </c>
    </row>
    <row r="62" customFormat="false" ht="15.75" hidden="false" customHeight="false" outlineLevel="0" collapsed="false">
      <c r="A62" s="61" t="n">
        <v>6162</v>
      </c>
      <c r="B62" s="29" t="n">
        <v>44560</v>
      </c>
      <c r="C62" s="21" t="s">
        <v>3135</v>
      </c>
      <c r="D62" s="21" t="s">
        <v>24</v>
      </c>
      <c r="E62" s="21" t="s">
        <v>25</v>
      </c>
      <c r="F62" s="21" t="s">
        <v>3770</v>
      </c>
      <c r="G62" s="30" t="s">
        <v>3769</v>
      </c>
      <c r="H62" s="45" t="str">
        <f aca="false">HYPERLINK("https://photos.app.goo.gl/fcTUTVRHu3Ma25YYA", "Completo")</f>
        <v>Completo</v>
      </c>
      <c r="I62" s="21" t="s">
        <v>28</v>
      </c>
      <c r="J62" s="21"/>
      <c r="K62" s="21"/>
      <c r="L62" s="21"/>
      <c r="M62" s="21" t="s">
        <v>2133</v>
      </c>
      <c r="N62" s="30"/>
      <c r="O62" s="21" t="s">
        <v>28</v>
      </c>
      <c r="P62" s="74" t="s">
        <v>28</v>
      </c>
      <c r="Q62" s="21" t="s">
        <v>2981</v>
      </c>
      <c r="R62" s="32" t="s">
        <v>2850</v>
      </c>
      <c r="S62" s="32" t="s">
        <v>29</v>
      </c>
      <c r="T62" s="21"/>
      <c r="U62" s="21"/>
      <c r="V62" s="21"/>
      <c r="W62" s="21"/>
      <c r="X62" s="21" t="s">
        <v>28</v>
      </c>
    </row>
    <row r="63" customFormat="false" ht="15.75" hidden="false" customHeight="false" outlineLevel="0" collapsed="false">
      <c r="A63" s="61" t="n">
        <v>6163</v>
      </c>
      <c r="B63" s="29" t="n">
        <v>44560</v>
      </c>
      <c r="C63" s="21" t="s">
        <v>75</v>
      </c>
      <c r="D63" s="21" t="s">
        <v>24</v>
      </c>
      <c r="E63" s="21" t="s">
        <v>25</v>
      </c>
      <c r="F63" s="21" t="s">
        <v>3771</v>
      </c>
      <c r="G63" s="30" t="s">
        <v>3772</v>
      </c>
      <c r="H63" s="45" t="str">
        <f aca="false">HYPERLINK("https://photos.app.goo.gl/d16sX8aB19U7GDXy7", "Completo")</f>
        <v>Completo</v>
      </c>
      <c r="I63" s="21" t="s">
        <v>28</v>
      </c>
      <c r="J63" s="21"/>
      <c r="K63" s="21"/>
      <c r="L63" s="21"/>
      <c r="M63" s="21" t="s">
        <v>2133</v>
      </c>
      <c r="N63" s="30"/>
      <c r="O63" s="21" t="s">
        <v>28</v>
      </c>
      <c r="P63" s="74" t="s">
        <v>28</v>
      </c>
      <c r="Q63" s="21" t="s">
        <v>3773</v>
      </c>
      <c r="R63" s="32" t="s">
        <v>2850</v>
      </c>
      <c r="S63" s="32" t="s">
        <v>36</v>
      </c>
      <c r="T63" s="21"/>
      <c r="U63" s="21"/>
      <c r="V63" s="21"/>
      <c r="W63" s="21"/>
      <c r="X63" s="21" t="s">
        <v>28</v>
      </c>
    </row>
    <row r="64" customFormat="false" ht="15.75" hidden="false" customHeight="false" outlineLevel="0" collapsed="false">
      <c r="A64" s="61" t="n">
        <v>6164</v>
      </c>
      <c r="B64" s="29" t="n">
        <v>44560</v>
      </c>
      <c r="C64" s="21" t="s">
        <v>2905</v>
      </c>
      <c r="D64" s="21" t="s">
        <v>24</v>
      </c>
      <c r="E64" s="21" t="s">
        <v>25</v>
      </c>
      <c r="F64" s="21" t="s">
        <v>2067</v>
      </c>
      <c r="G64" s="30" t="s">
        <v>3772</v>
      </c>
      <c r="H64" s="45" t="str">
        <f aca="false">HYPERLINK("https://photos.app.goo.gl/2CkiDCmun4FV7pGv6", "Completo")</f>
        <v>Completo</v>
      </c>
      <c r="I64" s="21" t="s">
        <v>28</v>
      </c>
      <c r="J64" s="21"/>
      <c r="K64" s="21"/>
      <c r="L64" s="21"/>
      <c r="M64" s="21" t="s">
        <v>2133</v>
      </c>
      <c r="N64" s="30"/>
      <c r="O64" s="21" t="s">
        <v>28</v>
      </c>
      <c r="P64" s="74" t="s">
        <v>28</v>
      </c>
      <c r="Q64" s="21" t="s">
        <v>3773</v>
      </c>
      <c r="R64" s="32" t="s">
        <v>2850</v>
      </c>
      <c r="S64" s="32" t="s">
        <v>36</v>
      </c>
      <c r="T64" s="21"/>
      <c r="U64" s="21"/>
      <c r="V64" s="21"/>
      <c r="W64" s="21"/>
      <c r="X64" s="21" t="s">
        <v>28</v>
      </c>
    </row>
    <row r="65" customFormat="false" ht="15.75" hidden="false" customHeight="false" outlineLevel="0" collapsed="false">
      <c r="A65" s="61" t="n">
        <v>6165</v>
      </c>
      <c r="B65" s="29" t="n">
        <v>44560</v>
      </c>
      <c r="C65" s="21" t="s">
        <v>2905</v>
      </c>
      <c r="D65" s="21" t="s">
        <v>24</v>
      </c>
      <c r="E65" s="21" t="s">
        <v>25</v>
      </c>
      <c r="F65" s="21" t="s">
        <v>3060</v>
      </c>
      <c r="G65" s="30" t="s">
        <v>3774</v>
      </c>
      <c r="H65" s="45" t="str">
        <f aca="false">HYPERLINK("https://photos.app.goo.gl/UtvYY3XDfoVDXwqX9", "Completo")</f>
        <v>Completo</v>
      </c>
      <c r="I65" s="21" t="s">
        <v>28</v>
      </c>
      <c r="J65" s="21"/>
      <c r="K65" s="21"/>
      <c r="L65" s="21"/>
      <c r="M65" s="21" t="s">
        <v>2133</v>
      </c>
      <c r="N65" s="69" t="s">
        <v>3775</v>
      </c>
      <c r="O65" s="21" t="s">
        <v>28</v>
      </c>
      <c r="P65" s="21" t="s">
        <v>28</v>
      </c>
      <c r="Q65" s="21" t="s">
        <v>702</v>
      </c>
      <c r="R65" s="32" t="s">
        <v>3776</v>
      </c>
      <c r="S65" s="32" t="s">
        <v>36</v>
      </c>
      <c r="T65" s="21" t="s">
        <v>74</v>
      </c>
      <c r="U65" s="74" t="s">
        <v>28</v>
      </c>
      <c r="V65" s="74" t="s">
        <v>28</v>
      </c>
      <c r="W65" s="21" t="s">
        <v>36</v>
      </c>
      <c r="X65" s="21" t="s">
        <v>28</v>
      </c>
    </row>
    <row r="66" customFormat="false" ht="15.75" hidden="false" customHeight="false" outlineLevel="0" collapsed="false">
      <c r="A66" s="61" t="n">
        <v>6166</v>
      </c>
      <c r="B66" s="29" t="n">
        <v>44560</v>
      </c>
      <c r="C66" s="21" t="s">
        <v>3777</v>
      </c>
      <c r="D66" s="21" t="s">
        <v>24</v>
      </c>
      <c r="E66" s="21" t="s">
        <v>25</v>
      </c>
      <c r="F66" s="21" t="s">
        <v>3778</v>
      </c>
      <c r="G66" s="30"/>
      <c r="H66" s="31"/>
      <c r="I66" s="21"/>
      <c r="J66" s="21"/>
      <c r="K66" s="21"/>
      <c r="L66" s="21"/>
      <c r="M66" s="21" t="s">
        <v>2133</v>
      </c>
      <c r="N66" s="30"/>
      <c r="O66" s="21"/>
      <c r="P66" s="21"/>
      <c r="Q66" s="21"/>
      <c r="R66" s="32"/>
      <c r="S66" s="32"/>
      <c r="T66" s="21"/>
      <c r="U66" s="21"/>
      <c r="V66" s="21"/>
      <c r="W66" s="21"/>
      <c r="X66" s="21" t="s">
        <v>28</v>
      </c>
    </row>
    <row r="67" customFormat="false" ht="15.75" hidden="false" customHeight="false" outlineLevel="0" collapsed="false">
      <c r="A67" s="61" t="n">
        <v>6167</v>
      </c>
      <c r="B67" s="29" t="n">
        <v>44560</v>
      </c>
      <c r="C67" s="21" t="s">
        <v>1227</v>
      </c>
      <c r="D67" s="21" t="s">
        <v>24</v>
      </c>
      <c r="E67" s="21" t="s">
        <v>25</v>
      </c>
      <c r="F67" s="21" t="s">
        <v>3779</v>
      </c>
      <c r="G67" s="30" t="s">
        <v>3780</v>
      </c>
      <c r="H67" s="45" t="str">
        <f aca="false">HYPERLINK("https://photos.app.goo.gl/oZpU9kK1EU5WjbKt9", "Completo")</f>
        <v>Completo</v>
      </c>
      <c r="I67" s="21" t="s">
        <v>28</v>
      </c>
      <c r="J67" s="21"/>
      <c r="K67" s="21"/>
      <c r="L67" s="21"/>
      <c r="M67" s="21" t="s">
        <v>2133</v>
      </c>
      <c r="N67" s="30"/>
      <c r="O67" s="21" t="s">
        <v>28</v>
      </c>
      <c r="P67" s="74" t="s">
        <v>28</v>
      </c>
      <c r="Q67" s="21" t="s">
        <v>201</v>
      </c>
      <c r="R67" s="32" t="s">
        <v>25</v>
      </c>
      <c r="S67" s="32" t="s">
        <v>29</v>
      </c>
      <c r="T67" s="21" t="s">
        <v>74</v>
      </c>
      <c r="U67" s="74" t="s">
        <v>28</v>
      </c>
      <c r="V67" s="74" t="s">
        <v>28</v>
      </c>
      <c r="W67" s="21" t="s">
        <v>36</v>
      </c>
      <c r="X67" s="21" t="s">
        <v>28</v>
      </c>
    </row>
    <row r="68" customFormat="false" ht="15.75" hidden="false" customHeight="false" outlineLevel="0" collapsed="false">
      <c r="A68" s="61" t="n">
        <v>6168</v>
      </c>
      <c r="B68" s="29" t="n">
        <v>44560</v>
      </c>
      <c r="C68" s="21" t="s">
        <v>1227</v>
      </c>
      <c r="D68" s="21" t="s">
        <v>24</v>
      </c>
      <c r="E68" s="21" t="s">
        <v>25</v>
      </c>
      <c r="F68" s="21" t="s">
        <v>3781</v>
      </c>
      <c r="G68" s="30" t="s">
        <v>3782</v>
      </c>
      <c r="H68" s="45" t="str">
        <f aca="false">HYPERLINK("https://photos.app.goo.gl/1vBNP3vrVdpRzAR27", "Completo")</f>
        <v>Completo</v>
      </c>
      <c r="I68" s="21" t="s">
        <v>28</v>
      </c>
      <c r="J68" s="21"/>
      <c r="K68" s="21"/>
      <c r="L68" s="21"/>
      <c r="M68" s="21" t="s">
        <v>2133</v>
      </c>
      <c r="N68" s="30"/>
      <c r="O68" s="21" t="s">
        <v>28</v>
      </c>
      <c r="P68" s="74" t="s">
        <v>28</v>
      </c>
      <c r="Q68" s="21" t="s">
        <v>201</v>
      </c>
      <c r="R68" s="32" t="s">
        <v>25</v>
      </c>
      <c r="S68" s="32" t="s">
        <v>29</v>
      </c>
      <c r="T68" s="21"/>
      <c r="U68" s="21"/>
      <c r="V68" s="21"/>
      <c r="W68" s="21"/>
      <c r="X68" s="21" t="s">
        <v>28</v>
      </c>
    </row>
    <row r="69" customFormat="false" ht="15.75" hidden="false" customHeight="false" outlineLevel="0" collapsed="false">
      <c r="A69" s="61" t="n">
        <v>6169</v>
      </c>
      <c r="B69" s="29" t="n">
        <v>44560</v>
      </c>
      <c r="C69" s="21" t="s">
        <v>1227</v>
      </c>
      <c r="D69" s="21" t="s">
        <v>24</v>
      </c>
      <c r="E69" s="21" t="s">
        <v>25</v>
      </c>
      <c r="F69" s="21" t="s">
        <v>3783</v>
      </c>
      <c r="G69" s="30" t="s">
        <v>3784</v>
      </c>
      <c r="H69" s="45" t="str">
        <f aca="false">HYPERLINK("https://photos.app.goo.gl/m6U99Gn7Pq82ZNdW9", "Completo")</f>
        <v>Completo</v>
      </c>
      <c r="I69" s="21" t="s">
        <v>28</v>
      </c>
      <c r="J69" s="21"/>
      <c r="K69" s="21"/>
      <c r="L69" s="21"/>
      <c r="M69" s="21" t="s">
        <v>3785</v>
      </c>
      <c r="N69" s="30"/>
      <c r="O69" s="21" t="s">
        <v>28</v>
      </c>
      <c r="P69" s="74" t="s">
        <v>28</v>
      </c>
      <c r="Q69" s="21" t="s">
        <v>201</v>
      </c>
      <c r="R69" s="32" t="s">
        <v>25</v>
      </c>
      <c r="S69" s="32" t="s">
        <v>29</v>
      </c>
      <c r="T69" s="21"/>
      <c r="U69" s="21"/>
      <c r="V69" s="21"/>
      <c r="W69" s="21"/>
      <c r="X69" s="21" t="s">
        <v>28</v>
      </c>
    </row>
    <row r="70" customFormat="false" ht="15.75" hidden="false" customHeight="false" outlineLevel="0" collapsed="false">
      <c r="A70" s="61" t="n">
        <v>6170</v>
      </c>
      <c r="B70" s="29" t="n">
        <v>44560</v>
      </c>
      <c r="C70" s="21" t="s">
        <v>3786</v>
      </c>
      <c r="D70" s="21" t="s">
        <v>24</v>
      </c>
      <c r="E70" s="21" t="s">
        <v>25</v>
      </c>
      <c r="F70" s="21" t="s">
        <v>3590</v>
      </c>
      <c r="G70" s="30" t="s">
        <v>3787</v>
      </c>
      <c r="H70" s="45" t="str">
        <f aca="false">HYPERLINK("https://photos.app.goo.gl/KhUBUhHNBdndFdYg8", "Completo")</f>
        <v>Completo</v>
      </c>
      <c r="I70" s="21" t="s">
        <v>28</v>
      </c>
      <c r="J70" s="21" t="n">
        <v>3515098845</v>
      </c>
      <c r="K70" s="21" t="s">
        <v>3788</v>
      </c>
      <c r="L70" s="21"/>
      <c r="M70" s="21" t="s">
        <v>2133</v>
      </c>
      <c r="N70" s="30"/>
      <c r="O70" s="21"/>
      <c r="P70" s="21"/>
      <c r="Q70" s="21"/>
      <c r="R70" s="32"/>
      <c r="S70" s="32"/>
      <c r="T70" s="21"/>
      <c r="U70" s="21"/>
      <c r="V70" s="21"/>
      <c r="W70" s="21"/>
      <c r="X70" s="21" t="s">
        <v>28</v>
      </c>
    </row>
    <row r="71" customFormat="false" ht="15.75" hidden="false" customHeight="false" outlineLevel="0" collapsed="false">
      <c r="A71" s="61"/>
      <c r="B71" s="29"/>
      <c r="C71" s="21"/>
      <c r="D71" s="21"/>
      <c r="E71" s="21"/>
      <c r="F71" s="21"/>
      <c r="G71" s="30"/>
      <c r="H71" s="31"/>
      <c r="I71" s="21"/>
      <c r="J71" s="21"/>
      <c r="K71" s="21"/>
      <c r="L71" s="21"/>
      <c r="M71" s="21"/>
      <c r="N71" s="30"/>
      <c r="O71" s="21"/>
      <c r="P71" s="21"/>
      <c r="Q71" s="21"/>
      <c r="R71" s="32"/>
      <c r="S71" s="32"/>
      <c r="T71" s="21"/>
      <c r="U71" s="21"/>
      <c r="V71" s="21"/>
      <c r="W71" s="21"/>
      <c r="X71" s="21"/>
    </row>
    <row r="72" customFormat="false" ht="15.75" hidden="false" customHeight="false" outlineLevel="0" collapsed="false">
      <c r="G72" s="18"/>
      <c r="H72" s="35"/>
      <c r="N72" s="18"/>
    </row>
    <row r="73" customFormat="false" ht="15.75" hidden="false" customHeight="false" outlineLevel="0" collapsed="false">
      <c r="G73" s="18"/>
      <c r="H73" s="35"/>
      <c r="N73" s="18"/>
    </row>
    <row r="74" customFormat="false" ht="15.75" hidden="false" customHeight="false" outlineLevel="0" collapsed="false">
      <c r="G74" s="18"/>
      <c r="H74" s="35"/>
      <c r="N74" s="18"/>
    </row>
    <row r="75" customFormat="false" ht="15.75" hidden="false" customHeight="false" outlineLevel="0" collapsed="false">
      <c r="G75" s="18"/>
      <c r="H75" s="35"/>
      <c r="N75" s="18"/>
    </row>
    <row r="76" customFormat="false" ht="15.75" hidden="false" customHeight="false" outlineLevel="0" collapsed="false">
      <c r="G76" s="18"/>
      <c r="H76" s="35"/>
      <c r="N76" s="18"/>
    </row>
    <row r="77" customFormat="false" ht="15.75" hidden="false" customHeight="false" outlineLevel="0" collapsed="false">
      <c r="G77" s="18"/>
      <c r="H77" s="35"/>
      <c r="N77" s="18"/>
    </row>
    <row r="78" customFormat="false" ht="15.75" hidden="false" customHeight="false" outlineLevel="0" collapsed="false">
      <c r="G78" s="18"/>
      <c r="H78" s="35"/>
      <c r="N78" s="18"/>
    </row>
    <row r="79" customFormat="false" ht="15.75" hidden="false" customHeight="false" outlineLevel="0" collapsed="false">
      <c r="G79" s="18"/>
      <c r="H79" s="35"/>
      <c r="N79" s="18"/>
    </row>
    <row r="80" customFormat="false" ht="15.75" hidden="false" customHeight="false" outlineLevel="0" collapsed="false">
      <c r="G80" s="18"/>
      <c r="H80" s="35"/>
      <c r="N80" s="18"/>
    </row>
    <row r="81" customFormat="false" ht="15.75" hidden="false" customHeight="false" outlineLevel="0" collapsed="false">
      <c r="G81" s="18"/>
      <c r="H81" s="35"/>
      <c r="N81" s="18"/>
    </row>
    <row r="82" customFormat="false" ht="15.75" hidden="false" customHeight="false" outlineLevel="0" collapsed="false">
      <c r="G82" s="18"/>
      <c r="H82" s="35"/>
      <c r="N82" s="18"/>
    </row>
    <row r="83" customFormat="false" ht="15.75" hidden="false" customHeight="false" outlineLevel="0" collapsed="false">
      <c r="G83" s="18"/>
      <c r="H83" s="35"/>
      <c r="N83" s="18"/>
    </row>
    <row r="84" customFormat="false" ht="15.75" hidden="false" customHeight="false" outlineLevel="0" collapsed="false">
      <c r="G84" s="18"/>
      <c r="H84" s="35"/>
      <c r="N84" s="18"/>
    </row>
    <row r="85" customFormat="false" ht="15.75" hidden="false" customHeight="false" outlineLevel="0" collapsed="false">
      <c r="G85" s="18"/>
      <c r="H85" s="35"/>
      <c r="N85" s="18"/>
    </row>
    <row r="86" customFormat="false" ht="15.75" hidden="false" customHeight="false" outlineLevel="0" collapsed="false">
      <c r="G86" s="18"/>
      <c r="H86" s="35"/>
      <c r="N86" s="18"/>
    </row>
    <row r="87" customFormat="false" ht="15.75" hidden="false" customHeight="false" outlineLevel="0" collapsed="false">
      <c r="G87" s="18"/>
      <c r="H87" s="35"/>
      <c r="N87" s="18"/>
    </row>
    <row r="88" customFormat="false" ht="15.75" hidden="false" customHeight="false" outlineLevel="0" collapsed="false">
      <c r="G88" s="18"/>
      <c r="H88" s="35"/>
      <c r="N88" s="18"/>
    </row>
    <row r="89" customFormat="false" ht="15.75" hidden="false" customHeight="false" outlineLevel="0" collapsed="false">
      <c r="G89" s="18"/>
      <c r="H89" s="35"/>
      <c r="N89" s="18"/>
    </row>
    <row r="90" customFormat="false" ht="15.75" hidden="false" customHeight="false" outlineLevel="0" collapsed="false">
      <c r="G90" s="18"/>
      <c r="H90" s="35"/>
      <c r="N90" s="18"/>
    </row>
    <row r="91" customFormat="false" ht="15.75" hidden="false" customHeight="false" outlineLevel="0" collapsed="false">
      <c r="G91" s="18"/>
      <c r="H91" s="35"/>
      <c r="N91" s="18"/>
    </row>
    <row r="92" customFormat="false" ht="15.75" hidden="false" customHeight="false" outlineLevel="0" collapsed="false">
      <c r="G92" s="18"/>
      <c r="H92" s="35"/>
      <c r="N92" s="18"/>
    </row>
    <row r="93" customFormat="false" ht="15.75" hidden="false" customHeight="false" outlineLevel="0" collapsed="false">
      <c r="G93" s="18"/>
      <c r="H93" s="35"/>
      <c r="N93" s="18"/>
    </row>
    <row r="94" customFormat="false" ht="15.75" hidden="false" customHeight="false" outlineLevel="0" collapsed="false">
      <c r="G94" s="18"/>
      <c r="H94" s="35"/>
      <c r="N94" s="18"/>
    </row>
    <row r="95" customFormat="false" ht="15.75" hidden="false" customHeight="false" outlineLevel="0" collapsed="false">
      <c r="G95" s="18"/>
      <c r="H95" s="35"/>
      <c r="N95" s="18"/>
    </row>
    <row r="96" customFormat="false" ht="15.75" hidden="false" customHeight="false" outlineLevel="0" collapsed="false">
      <c r="G96" s="18"/>
      <c r="H96" s="35"/>
      <c r="N96" s="18"/>
    </row>
    <row r="97" customFormat="false" ht="15.75" hidden="false" customHeight="false" outlineLevel="0" collapsed="false">
      <c r="G97" s="18"/>
      <c r="H97" s="35"/>
      <c r="N97" s="18"/>
    </row>
    <row r="98" customFormat="false" ht="15.75" hidden="false" customHeight="false" outlineLevel="0" collapsed="false">
      <c r="G98" s="18"/>
      <c r="H98" s="35"/>
      <c r="N98" s="18"/>
    </row>
    <row r="99" customFormat="false" ht="15.75" hidden="false" customHeight="false" outlineLevel="0" collapsed="false">
      <c r="G99" s="18"/>
      <c r="H99" s="35"/>
      <c r="N99" s="18"/>
    </row>
    <row r="100" customFormat="false" ht="15.75" hidden="false" customHeight="false" outlineLevel="0" collapsed="false">
      <c r="G100" s="18"/>
      <c r="H100" s="35"/>
      <c r="N100" s="18"/>
    </row>
    <row r="101" customFormat="false" ht="15.75" hidden="false" customHeight="false" outlineLevel="0" collapsed="false">
      <c r="G101" s="18"/>
      <c r="H101" s="35"/>
      <c r="N101" s="18"/>
    </row>
    <row r="102" customFormat="false" ht="15.75" hidden="false" customHeight="false" outlineLevel="0" collapsed="false">
      <c r="G102" s="18"/>
      <c r="H102" s="35"/>
      <c r="N102" s="18"/>
    </row>
    <row r="103" customFormat="false" ht="15.75" hidden="false" customHeight="false" outlineLevel="0" collapsed="false">
      <c r="G103" s="18"/>
      <c r="H103" s="35"/>
      <c r="N103" s="18"/>
    </row>
    <row r="104" customFormat="false" ht="15.75" hidden="false" customHeight="false" outlineLevel="0" collapsed="false">
      <c r="G104" s="18"/>
      <c r="H104" s="35"/>
      <c r="N104" s="18"/>
    </row>
    <row r="105" customFormat="false" ht="15.75" hidden="false" customHeight="false" outlineLevel="0" collapsed="false">
      <c r="G105" s="18"/>
      <c r="H105" s="35"/>
      <c r="N105" s="18"/>
    </row>
    <row r="106" customFormat="false" ht="15.75" hidden="false" customHeight="false" outlineLevel="0" collapsed="false">
      <c r="G106" s="18"/>
      <c r="H106" s="35"/>
      <c r="N106" s="18"/>
    </row>
    <row r="107" customFormat="false" ht="15.75" hidden="false" customHeight="false" outlineLevel="0" collapsed="false">
      <c r="G107" s="18"/>
      <c r="H107" s="35"/>
      <c r="N107" s="18"/>
    </row>
    <row r="108" customFormat="false" ht="15.75" hidden="false" customHeight="false" outlineLevel="0" collapsed="false">
      <c r="G108" s="18"/>
      <c r="H108" s="35"/>
      <c r="N108" s="18"/>
    </row>
    <row r="109" customFormat="false" ht="15.75" hidden="false" customHeight="false" outlineLevel="0" collapsed="false">
      <c r="G109" s="18"/>
      <c r="H109" s="35"/>
      <c r="N109" s="18"/>
    </row>
    <row r="110" customFormat="false" ht="15.75" hidden="false" customHeight="false" outlineLevel="0" collapsed="false">
      <c r="G110" s="18"/>
      <c r="H110" s="35"/>
      <c r="N110" s="18"/>
    </row>
    <row r="111" customFormat="false" ht="15.75" hidden="false" customHeight="false" outlineLevel="0" collapsed="false">
      <c r="G111" s="18"/>
      <c r="H111" s="35"/>
      <c r="N111" s="18"/>
    </row>
    <row r="112" customFormat="false" ht="15.75" hidden="false" customHeight="false" outlineLevel="0" collapsed="false">
      <c r="G112" s="18"/>
      <c r="H112" s="35"/>
      <c r="N112" s="18"/>
    </row>
    <row r="113" customFormat="false" ht="15.75" hidden="false" customHeight="false" outlineLevel="0" collapsed="false">
      <c r="G113" s="18"/>
      <c r="H113" s="35"/>
      <c r="N113" s="18"/>
    </row>
    <row r="114" customFormat="false" ht="15.75" hidden="false" customHeight="false" outlineLevel="0" collapsed="false">
      <c r="G114" s="18"/>
      <c r="H114" s="35"/>
      <c r="N114" s="18"/>
    </row>
    <row r="115" customFormat="false" ht="15.75" hidden="false" customHeight="false" outlineLevel="0" collapsed="false">
      <c r="G115" s="18"/>
      <c r="H115" s="35"/>
      <c r="N115" s="18"/>
    </row>
    <row r="116" customFormat="false" ht="15.75" hidden="false" customHeight="false" outlineLevel="0" collapsed="false">
      <c r="G116" s="18"/>
      <c r="H116" s="35"/>
      <c r="N116" s="18"/>
    </row>
    <row r="117" customFormat="false" ht="15.75" hidden="false" customHeight="false" outlineLevel="0" collapsed="false">
      <c r="G117" s="18"/>
      <c r="H117" s="35"/>
      <c r="N117" s="18"/>
    </row>
    <row r="118" customFormat="false" ht="15.75" hidden="false" customHeight="false" outlineLevel="0" collapsed="false">
      <c r="G118" s="18"/>
      <c r="H118" s="35"/>
      <c r="N118" s="18"/>
    </row>
    <row r="119" customFormat="false" ht="15.75" hidden="false" customHeight="false" outlineLevel="0" collapsed="false">
      <c r="G119" s="18"/>
      <c r="H119" s="35"/>
      <c r="N119" s="18"/>
    </row>
    <row r="120" customFormat="false" ht="15.75" hidden="false" customHeight="false" outlineLevel="0" collapsed="false">
      <c r="G120" s="18"/>
      <c r="H120" s="35"/>
      <c r="N120" s="18"/>
    </row>
    <row r="121" customFormat="false" ht="15.75" hidden="false" customHeight="false" outlineLevel="0" collapsed="false">
      <c r="G121" s="18"/>
      <c r="H121" s="35"/>
      <c r="N121" s="18"/>
    </row>
    <row r="122" customFormat="false" ht="15.75" hidden="false" customHeight="false" outlineLevel="0" collapsed="false">
      <c r="G122" s="18"/>
      <c r="H122" s="35"/>
      <c r="N122" s="18"/>
    </row>
    <row r="123" customFormat="false" ht="15.75" hidden="false" customHeight="false" outlineLevel="0" collapsed="false">
      <c r="G123" s="18"/>
      <c r="H123" s="35"/>
      <c r="N123" s="18"/>
    </row>
    <row r="124" customFormat="false" ht="15.75" hidden="false" customHeight="false" outlineLevel="0" collapsed="false">
      <c r="G124" s="18"/>
      <c r="H124" s="35"/>
      <c r="N124" s="18"/>
    </row>
    <row r="125" customFormat="false" ht="15.75" hidden="false" customHeight="false" outlineLevel="0" collapsed="false">
      <c r="G125" s="18"/>
      <c r="H125" s="35"/>
      <c r="N125" s="18"/>
    </row>
    <row r="126" customFormat="false" ht="15.75" hidden="false" customHeight="false" outlineLevel="0" collapsed="false">
      <c r="G126" s="18"/>
      <c r="H126" s="35"/>
      <c r="N126" s="18"/>
    </row>
    <row r="127" customFormat="false" ht="15.75" hidden="false" customHeight="false" outlineLevel="0" collapsed="false">
      <c r="G127" s="18"/>
      <c r="H127" s="35"/>
      <c r="N127" s="18"/>
    </row>
    <row r="128" customFormat="false" ht="15.75" hidden="false" customHeight="false" outlineLevel="0" collapsed="false">
      <c r="G128" s="18"/>
      <c r="H128" s="35"/>
      <c r="N128" s="18"/>
    </row>
    <row r="129" customFormat="false" ht="15.75" hidden="false" customHeight="false" outlineLevel="0" collapsed="false">
      <c r="G129" s="18"/>
      <c r="H129" s="35"/>
      <c r="N129" s="18"/>
    </row>
    <row r="130" customFormat="false" ht="15.75" hidden="false" customHeight="false" outlineLevel="0" collapsed="false">
      <c r="G130" s="18"/>
      <c r="H130" s="35"/>
      <c r="N130" s="18"/>
    </row>
    <row r="131" customFormat="false" ht="15.75" hidden="false" customHeight="false" outlineLevel="0" collapsed="false">
      <c r="G131" s="18"/>
      <c r="H131" s="35"/>
      <c r="N131" s="18"/>
    </row>
    <row r="132" customFormat="false" ht="15.75" hidden="false" customHeight="false" outlineLevel="0" collapsed="false">
      <c r="G132" s="18"/>
      <c r="H132" s="35"/>
      <c r="N132" s="18"/>
    </row>
    <row r="133" customFormat="false" ht="15.75" hidden="false" customHeight="false" outlineLevel="0" collapsed="false">
      <c r="G133" s="18"/>
      <c r="H133" s="35"/>
      <c r="N133" s="18"/>
    </row>
    <row r="134" customFormat="false" ht="15.75" hidden="false" customHeight="false" outlineLevel="0" collapsed="false">
      <c r="G134" s="18"/>
      <c r="H134" s="35"/>
      <c r="N134" s="18"/>
    </row>
    <row r="135" customFormat="false" ht="15.75" hidden="false" customHeight="false" outlineLevel="0" collapsed="false">
      <c r="G135" s="18"/>
      <c r="H135" s="35"/>
      <c r="N135" s="18"/>
    </row>
    <row r="136" customFormat="false" ht="15.75" hidden="false" customHeight="false" outlineLevel="0" collapsed="false">
      <c r="G136" s="18"/>
      <c r="H136" s="35"/>
      <c r="N136" s="18"/>
    </row>
    <row r="137" customFormat="false" ht="15.75" hidden="false" customHeight="false" outlineLevel="0" collapsed="false">
      <c r="G137" s="18"/>
      <c r="H137" s="35"/>
      <c r="N137" s="18"/>
    </row>
    <row r="138" customFormat="false" ht="15.75" hidden="false" customHeight="false" outlineLevel="0" collapsed="false">
      <c r="G138" s="18"/>
      <c r="H138" s="35"/>
      <c r="N138" s="18"/>
    </row>
    <row r="139" customFormat="false" ht="15.75" hidden="false" customHeight="false" outlineLevel="0" collapsed="false">
      <c r="G139" s="18"/>
      <c r="H139" s="35"/>
      <c r="N139" s="18"/>
    </row>
    <row r="140" customFormat="false" ht="15.75" hidden="false" customHeight="false" outlineLevel="0" collapsed="false">
      <c r="G140" s="18"/>
      <c r="H140" s="35"/>
      <c r="N140" s="18"/>
    </row>
    <row r="141" customFormat="false" ht="15.75" hidden="false" customHeight="false" outlineLevel="0" collapsed="false">
      <c r="G141" s="18"/>
      <c r="H141" s="35"/>
      <c r="N141" s="18"/>
    </row>
    <row r="142" customFormat="false" ht="15.75" hidden="false" customHeight="false" outlineLevel="0" collapsed="false">
      <c r="G142" s="18"/>
      <c r="H142" s="35"/>
      <c r="N142" s="18"/>
    </row>
    <row r="143" customFormat="false" ht="15.75" hidden="false" customHeight="false" outlineLevel="0" collapsed="false">
      <c r="G143" s="18"/>
      <c r="H143" s="35"/>
      <c r="N143" s="18"/>
    </row>
    <row r="144" customFormat="false" ht="15.75" hidden="false" customHeight="false" outlineLevel="0" collapsed="false">
      <c r="G144" s="18"/>
      <c r="H144" s="35"/>
      <c r="N144" s="18"/>
    </row>
    <row r="145" customFormat="false" ht="15.75" hidden="false" customHeight="false" outlineLevel="0" collapsed="false">
      <c r="G145" s="18"/>
      <c r="H145" s="35"/>
      <c r="N145" s="18"/>
    </row>
    <row r="146" customFormat="false" ht="15.75" hidden="false" customHeight="false" outlineLevel="0" collapsed="false">
      <c r="G146" s="18"/>
      <c r="H146" s="35"/>
      <c r="N146" s="18"/>
    </row>
    <row r="147" customFormat="false" ht="15.75" hidden="false" customHeight="false" outlineLevel="0" collapsed="false">
      <c r="G147" s="18"/>
      <c r="H147" s="35"/>
      <c r="N147" s="18"/>
    </row>
    <row r="148" customFormat="false" ht="15.75" hidden="false" customHeight="false" outlineLevel="0" collapsed="false">
      <c r="G148" s="18"/>
      <c r="H148" s="35"/>
      <c r="N148" s="18"/>
    </row>
    <row r="149" customFormat="false" ht="15.75" hidden="false" customHeight="false" outlineLevel="0" collapsed="false">
      <c r="G149" s="18"/>
      <c r="H149" s="35"/>
      <c r="N149" s="18"/>
    </row>
    <row r="150" customFormat="false" ht="15.75" hidden="false" customHeight="false" outlineLevel="0" collapsed="false">
      <c r="G150" s="18"/>
      <c r="H150" s="35"/>
      <c r="N150" s="18"/>
    </row>
    <row r="151" customFormat="false" ht="15.75" hidden="false" customHeight="false" outlineLevel="0" collapsed="false">
      <c r="G151" s="18"/>
      <c r="H151" s="35"/>
      <c r="N151" s="18"/>
    </row>
    <row r="1048575" customFormat="false" ht="12.8" hidden="false" customHeight="true" outlineLevel="0" collapsed="false"/>
    <row r="1048576" customFormat="false" ht="12.8" hidden="false" customHeight="true" outlineLevel="0" collapsed="false"/>
  </sheetData>
  <conditionalFormatting sqref="R2:S71">
    <cfRule type="expression" priority="2" aboveAverage="0" equalAverage="0" bottom="0" percent="0" rank="0" text="" dxfId="0">
      <formula>LEN(TRIM(R2))&gt;0</formula>
    </cfRule>
  </conditionalFormatting>
  <conditionalFormatting sqref="Q2:Q71">
    <cfRule type="expression" priority="3" aboveAverage="0" equalAverage="0" bottom="0" percent="0" rank="0" text="" dxfId="0">
      <formula>LEN(TRIM(Q2))&gt;0</formula>
    </cfRule>
  </conditionalFormatting>
  <conditionalFormatting sqref="G2:G71 N2:N71">
    <cfRule type="containsText" priority="4" operator="containsText" aboveAverage="0" equalAverage="0" bottom="0" percent="0" rank="0" text="x" dxfId="0">
      <formula>NOT(ISERROR(SEARCH("x",G2)))</formula>
    </cfRule>
  </conditionalFormatting>
  <conditionalFormatting sqref="T2:T71">
    <cfRule type="expression" priority="5" aboveAverage="0" equalAverage="0" bottom="0" percent="0" rank="0" text="" dxfId="0">
      <formula>LEN(TRIM(T2))&gt;0</formula>
    </cfRule>
  </conditionalFormatting>
  <conditionalFormatting sqref="W2:W71">
    <cfRule type="expression" priority="6" aboveAverage="0" equalAverage="0" bottom="0" percent="0" rank="0" text="" dxfId="0">
      <formula>LEN(TRIM(W2))&gt;0</formula>
    </cfRule>
  </conditionalFormatting>
  <conditionalFormatting sqref="X2:X71">
    <cfRule type="cellIs" priority="7" operator="equal" aboveAverage="0" equalAverage="0" bottom="0" percent="0" rank="0" text="" dxfId="0">
      <formula>"Completo"</formula>
    </cfRule>
    <cfRule type="cellIs" priority="8" operator="equal" aboveAverage="0" equalAverage="0" bottom="0" percent="0" rank="0" text="" dxfId="1">
      <formula>"No aplica"</formula>
    </cfRule>
  </conditionalFormatting>
  <conditionalFormatting sqref="G2:I71 O2:P71 U2:V71 X2:X71">
    <cfRule type="cellIs" priority="9" operator="equal" aboveAverage="0" equalAverage="0" bottom="0" percent="0" rank="0" text="" dxfId="0">
      <formula>"Completo"</formula>
    </cfRule>
    <cfRule type="cellIs" priority="10" operator="equal" aboveAverage="0" equalAverage="0" bottom="0" percent="0" rank="0" text="" dxfId="1">
      <formula>"No Aplica"</formula>
    </cfRule>
  </conditionalFormatting>
  <dataValidations count="5">
    <dataValidation allowBlank="true" errorStyle="stop" operator="between" showDropDown="false" showErrorMessage="true" showInputMessage="false" sqref="D2:D71" type="list">
      <formula1>LEYENDA!$B$2:$D$2</formula1>
      <formula2>0</formula2>
    </dataValidation>
    <dataValidation allowBlank="true" errorStyle="stop" operator="between" showDropDown="false" showErrorMessage="false" showInputMessage="false" sqref="E2:E71" type="list">
      <formula1>LEYENDA!$A$8:$A$12</formula1>
      <formula2>0</formula2>
    </dataValidation>
    <dataValidation allowBlank="true" errorStyle="stop" operator="between" showDropDown="false" showErrorMessage="false" showInputMessage="false" sqref="T2:T71" type="list">
      <formula1>LEYENDA!$A$23:$A$24</formula1>
      <formula2>0</formula2>
    </dataValidation>
    <dataValidation allowBlank="true" errorStyle="stop" operator="between" showDropDown="false" showErrorMessage="false" showInputMessage="false" sqref="R2:R71" type="list">
      <formula1>LEYENDA!$A$15:$A$19</formula1>
      <formula2>0</formula2>
    </dataValidation>
    <dataValidation allowBlank="true" errorStyle="stop" operator="between" showDropDown="false" showErrorMessage="true" showInputMessage="false" sqref="H2:I71 O2:P71 U2:V71 X2:X71" type="list">
      <formula1>LEYENDA!$B$1:$C$1</formula1>
      <formula2>0</formula2>
    </dataValidation>
  </dataValidations>
  <hyperlinks>
    <hyperlink ref="U7" r:id="rId1" display="Completo"/>
    <hyperlink ref="V7" r:id="rId2" display="Completo"/>
    <hyperlink ref="P8" r:id="rId3" display="Completo"/>
    <hyperlink ref="U8" r:id="rId4" display="Completo"/>
    <hyperlink ref="V8" r:id="rId5" display="Completo"/>
    <hyperlink ref="P9" r:id="rId6" display="Completo"/>
    <hyperlink ref="U9" r:id="rId7" display="Completo"/>
    <hyperlink ref="V9" r:id="rId8" display="Completo"/>
    <hyperlink ref="P10" r:id="rId9" display="Completo"/>
    <hyperlink ref="U10" r:id="rId10" display="Completo"/>
    <hyperlink ref="V10" r:id="rId11" display="Completo"/>
    <hyperlink ref="P11" r:id="rId12" display="Completo"/>
    <hyperlink ref="U11" r:id="rId13" display="Completo"/>
    <hyperlink ref="V11" r:id="rId14" display="Completo"/>
    <hyperlink ref="P12" r:id="rId15" display="Completo"/>
    <hyperlink ref="U12" r:id="rId16" display="Completo"/>
    <hyperlink ref="V12" r:id="rId17" display="Completo"/>
    <hyperlink ref="P13" r:id="rId18" display="Completo"/>
    <hyperlink ref="U13" r:id="rId19" display="Completo"/>
    <hyperlink ref="V13" r:id="rId20" display="Completo"/>
    <hyperlink ref="P14" r:id="rId21" display="Completo"/>
    <hyperlink ref="U14" r:id="rId22" display="Completo"/>
    <hyperlink ref="V14" r:id="rId23" display="Completo"/>
    <hyperlink ref="P15" r:id="rId24" display="Completo"/>
    <hyperlink ref="U15" r:id="rId25" display="Completo"/>
    <hyperlink ref="V15" r:id="rId26" display="Completo"/>
    <hyperlink ref="P16" r:id="rId27" display="Completo"/>
    <hyperlink ref="U16" r:id="rId28" display="Completo"/>
    <hyperlink ref="V16" r:id="rId29" display="Completo"/>
    <hyperlink ref="P17" r:id="rId30" display="Completo"/>
    <hyperlink ref="P18" r:id="rId31" display="Completo"/>
    <hyperlink ref="P19" r:id="rId32" display="Completo"/>
    <hyperlink ref="U19" r:id="rId33" display="Completo"/>
    <hyperlink ref="V19" r:id="rId34" display="Completo"/>
    <hyperlink ref="P22" r:id="rId35" display="Completo"/>
    <hyperlink ref="W22" r:id="rId36" display="Bruñido"/>
    <hyperlink ref="U23" r:id="rId37" display="Completo"/>
    <hyperlink ref="P25" r:id="rId38" display="Completo"/>
    <hyperlink ref="P27" r:id="rId39" display="Completo"/>
    <hyperlink ref="U27" r:id="rId40" display="Completo"/>
    <hyperlink ref="V27" r:id="rId41" display="Completo"/>
    <hyperlink ref="U34" r:id="rId42" display="Completo"/>
    <hyperlink ref="V34" r:id="rId43" display="Completo"/>
    <hyperlink ref="U56" r:id="rId44" display="Completo"/>
    <hyperlink ref="V56" r:id="rId45" display="Completo"/>
    <hyperlink ref="U59" r:id="rId46" display="Completo"/>
    <hyperlink ref="V59" r:id="rId47" display="Completo"/>
    <hyperlink ref="P61" r:id="rId48" display="Completo"/>
    <hyperlink ref="P62" r:id="rId49" display="Completo"/>
    <hyperlink ref="P63" r:id="rId50" display="Completo"/>
    <hyperlink ref="P64" r:id="rId51" display="Completo"/>
    <hyperlink ref="U65" r:id="rId52" display="Completo"/>
    <hyperlink ref="V65" r:id="rId53" display="Completo"/>
    <hyperlink ref="P67" r:id="rId54" display="Completo"/>
    <hyperlink ref="U67" r:id="rId55" display="Completo"/>
    <hyperlink ref="V67" r:id="rId56" display="Completo"/>
    <hyperlink ref="P68" r:id="rId57" display="Completo"/>
    <hyperlink ref="P69" r:id="rId58" display="Completo"/>
  </hyperlinks>
  <printOptions headings="false" gridLines="true" gridLinesSet="true" horizontalCentered="true" verticalCentered="false"/>
  <pageMargins left="0.7" right="0.7" top="0.75" bottom="0.75" header="0.511811023622047" footer="0.511811023622047"/>
  <pageSetup paperSize="9" scale="100" fitToWidth="1" fitToHeight="0" pageOrder="overThenDown" orientation="landscape" blackAndWhite="false" draft="false" cellComments="none" horizontalDpi="300" verticalDpi="300" copies="1"/>
  <headerFooter differentFirst="false" differentOddEven="false">
    <oddHeader/>
    <oddFooter/>
  </headerFooter>
  <drawing r:id="rId59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AF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6" ySplit="3" topLeftCell="G37" activePane="bottomRight" state="frozen"/>
      <selection pane="topLeft" activeCell="A1" activeCellId="0" sqref="A1"/>
      <selection pane="topRight" activeCell="G1" activeCellId="0" sqref="G1"/>
      <selection pane="bottomLeft" activeCell="A37" activeCellId="0" sqref="A37"/>
      <selection pane="bottomRight" activeCell="G1" activeCellId="0" sqref="G1"/>
    </sheetView>
  </sheetViews>
  <sheetFormatPr defaultColWidth="12.6328125" defaultRowHeight="15.75" zeroHeight="false" outlineLevelRow="0" outlineLevelCol="0"/>
  <cols>
    <col collapsed="false" customWidth="true" hidden="false" outlineLevel="0" max="1" min="1" style="1" width="10.25"/>
    <col collapsed="false" customWidth="true" hidden="false" outlineLevel="0" max="2" min="2" style="1" width="10.38"/>
    <col collapsed="false" customWidth="true" hidden="false" outlineLevel="0" max="3" min="3" style="1" width="16.89"/>
    <col collapsed="false" customWidth="true" hidden="false" outlineLevel="0" max="4" min="4" style="1" width="11.25"/>
    <col collapsed="false" customWidth="true" hidden="false" outlineLevel="0" max="5" min="5" style="1" width="17.13"/>
    <col collapsed="false" customWidth="true" hidden="false" outlineLevel="0" max="6" min="6" style="1" width="43.63"/>
    <col collapsed="false" customWidth="true" hidden="false" outlineLevel="0" max="7" min="7" style="1" width="15.88"/>
    <col collapsed="false" customWidth="true" hidden="false" outlineLevel="0" max="8" min="8" style="1" width="10.88"/>
    <col collapsed="false" customWidth="true" hidden="false" outlineLevel="0" max="9" min="9" style="1" width="13.38"/>
    <col collapsed="false" customWidth="true" hidden="false" outlineLevel="0" max="10" min="10" style="1" width="12.75"/>
    <col collapsed="false" customWidth="true" hidden="false" outlineLevel="0" max="11" min="11" style="1" width="10"/>
    <col collapsed="false" customWidth="true" hidden="false" outlineLevel="0" max="12" min="12" style="1" width="12.25"/>
    <col collapsed="false" customWidth="true" hidden="false" outlineLevel="0" max="13" min="13" style="1" width="26.12"/>
    <col collapsed="false" customWidth="true" hidden="false" outlineLevel="0" max="14" min="14" style="1" width="18"/>
    <col collapsed="false" customWidth="true" hidden="false" outlineLevel="0" max="16" min="15" style="1" width="10.63"/>
    <col collapsed="false" customWidth="true" hidden="false" outlineLevel="0" max="17" min="17" style="1" width="8.5"/>
    <col collapsed="false" customWidth="true" hidden="false" outlineLevel="0" max="19" min="19" style="1" width="25.38"/>
    <col collapsed="false" customWidth="true" hidden="false" outlineLevel="0" max="20" min="20" style="1" width="17.88"/>
    <col collapsed="false" customWidth="true" hidden="false" outlineLevel="0" max="21" min="21" style="1" width="10.13"/>
    <col collapsed="false" customWidth="true" hidden="false" outlineLevel="0" max="22" min="22" style="1" width="11.12"/>
    <col collapsed="false" customWidth="true" hidden="false" outlineLevel="0" max="23" min="23" style="1" width="24.88"/>
  </cols>
  <sheetData>
    <row r="1" customFormat="false" ht="68" hidden="false" customHeight="false" outlineLevel="0" collapsed="false">
      <c r="A1" s="2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/>
      <c r="J1" s="4" t="s">
        <v>8</v>
      </c>
      <c r="K1" s="2"/>
      <c r="L1" s="2" t="s">
        <v>9</v>
      </c>
      <c r="M1" s="2" t="s">
        <v>10</v>
      </c>
      <c r="N1" s="4" t="s">
        <v>11</v>
      </c>
      <c r="O1" s="3" t="s">
        <v>12</v>
      </c>
      <c r="P1" s="7" t="s">
        <v>13</v>
      </c>
      <c r="Q1" s="7" t="s">
        <v>14</v>
      </c>
      <c r="R1" s="7" t="s">
        <v>15</v>
      </c>
      <c r="S1" s="7" t="s">
        <v>16</v>
      </c>
      <c r="T1" s="7" t="s">
        <v>17</v>
      </c>
      <c r="U1" s="8" t="s">
        <v>18</v>
      </c>
      <c r="V1" s="9" t="s">
        <v>19</v>
      </c>
      <c r="W1" s="9" t="s">
        <v>20</v>
      </c>
      <c r="X1" s="10" t="s">
        <v>15</v>
      </c>
      <c r="Y1" s="11" t="s">
        <v>21</v>
      </c>
      <c r="Z1" s="11" t="s">
        <v>22</v>
      </c>
      <c r="AA1" s="12"/>
      <c r="AB1" s="12"/>
      <c r="AC1" s="12"/>
      <c r="AD1" s="12"/>
      <c r="AE1" s="12"/>
      <c r="AF1" s="12"/>
    </row>
    <row r="2" customFormat="false" ht="15.75" hidden="false" customHeight="false" outlineLevel="0" collapsed="false">
      <c r="A2" s="61" t="n">
        <v>6061</v>
      </c>
      <c r="B2" s="29" t="n">
        <v>44501</v>
      </c>
      <c r="C2" s="21" t="s">
        <v>716</v>
      </c>
      <c r="D2" s="21" t="s">
        <v>24</v>
      </c>
      <c r="E2" s="21" t="s">
        <v>34</v>
      </c>
      <c r="F2" s="21" t="s">
        <v>3789</v>
      </c>
      <c r="G2" s="30"/>
      <c r="H2" s="31"/>
      <c r="I2" s="21"/>
      <c r="J2" s="21"/>
      <c r="K2" s="21"/>
      <c r="L2" s="21"/>
      <c r="M2" s="21"/>
      <c r="N2" s="30"/>
      <c r="O2" s="21"/>
      <c r="P2" s="21"/>
      <c r="Q2" s="21"/>
      <c r="R2" s="32"/>
      <c r="S2" s="32"/>
      <c r="T2" s="21"/>
      <c r="U2" s="21" t="s">
        <v>37</v>
      </c>
      <c r="V2" s="21" t="s">
        <v>37</v>
      </c>
      <c r="W2" s="21"/>
      <c r="X2" s="21" t="s">
        <v>28</v>
      </c>
    </row>
    <row r="3" customFormat="false" ht="15.75" hidden="false" customHeight="false" outlineLevel="0" collapsed="false">
      <c r="A3" s="76" t="n">
        <v>586947</v>
      </c>
      <c r="B3" s="29" t="n">
        <v>44503</v>
      </c>
      <c r="C3" s="21" t="s">
        <v>3790</v>
      </c>
      <c r="D3" s="21" t="s">
        <v>290</v>
      </c>
      <c r="E3" s="21" t="s">
        <v>25</v>
      </c>
      <c r="F3" s="21" t="s">
        <v>1695</v>
      </c>
      <c r="G3" s="30" t="s">
        <v>3791</v>
      </c>
      <c r="H3" s="45" t="str">
        <f aca="false">HYPERLINK("https://photos.app.goo.gl/YQYLATzcoxCY9C5P7", "Completo")</f>
        <v>Completo</v>
      </c>
      <c r="I3" s="21" t="s">
        <v>28</v>
      </c>
      <c r="J3" s="21"/>
      <c r="K3" s="21"/>
      <c r="L3" s="21"/>
      <c r="M3" s="21" t="s">
        <v>2255</v>
      </c>
      <c r="N3" s="30"/>
      <c r="O3" s="21" t="s">
        <v>28</v>
      </c>
      <c r="P3" s="21" t="s">
        <v>28</v>
      </c>
      <c r="Q3" s="21" t="s">
        <v>3792</v>
      </c>
      <c r="R3" s="32" t="s">
        <v>2850</v>
      </c>
      <c r="S3" s="32"/>
      <c r="T3" s="21" t="s">
        <v>74</v>
      </c>
      <c r="U3" s="74" t="s">
        <v>28</v>
      </c>
      <c r="V3" s="74" t="s">
        <v>28</v>
      </c>
      <c r="W3" s="21" t="s">
        <v>36</v>
      </c>
      <c r="X3" s="21" t="s">
        <v>28</v>
      </c>
    </row>
    <row r="4" customFormat="false" ht="15.75" hidden="false" customHeight="false" outlineLevel="0" collapsed="false">
      <c r="A4" s="61" t="s">
        <v>3793</v>
      </c>
      <c r="B4" s="29" t="n">
        <v>44503</v>
      </c>
      <c r="C4" s="21" t="s">
        <v>3725</v>
      </c>
      <c r="D4" s="21" t="s">
        <v>578</v>
      </c>
      <c r="E4" s="21" t="s">
        <v>25</v>
      </c>
      <c r="F4" s="21" t="s">
        <v>3794</v>
      </c>
      <c r="G4" s="30" t="s">
        <v>3795</v>
      </c>
      <c r="H4" s="45" t="str">
        <f aca="false">HYPERLINK("https://photos.app.goo.gl/ay79oTbrQb2WtVm56", "Completo")</f>
        <v>Completo</v>
      </c>
      <c r="I4" s="21" t="s">
        <v>28</v>
      </c>
      <c r="J4" s="21"/>
      <c r="K4" s="21"/>
      <c r="L4" s="21"/>
      <c r="M4" s="21" t="s">
        <v>3796</v>
      </c>
      <c r="N4" s="30"/>
      <c r="O4" s="21"/>
      <c r="P4" s="21"/>
      <c r="Q4" s="21"/>
      <c r="R4" s="32"/>
      <c r="S4" s="32"/>
      <c r="T4" s="21"/>
      <c r="U4" s="21"/>
      <c r="V4" s="21"/>
      <c r="W4" s="21"/>
      <c r="X4" s="21"/>
    </row>
    <row r="5" customFormat="false" ht="15.75" hidden="false" customHeight="false" outlineLevel="0" collapsed="false">
      <c r="A5" s="61" t="n">
        <v>6062</v>
      </c>
      <c r="B5" s="29" t="n">
        <v>44503</v>
      </c>
      <c r="C5" s="21" t="s">
        <v>3797</v>
      </c>
      <c r="D5" s="21" t="s">
        <v>24</v>
      </c>
      <c r="E5" s="21" t="s">
        <v>25</v>
      </c>
      <c r="F5" s="21" t="s">
        <v>3798</v>
      </c>
      <c r="G5" s="30" t="s">
        <v>3799</v>
      </c>
      <c r="H5" s="45" t="str">
        <f aca="false">HYPERLINK("https://photos.app.goo.gl/78gLaFUayifaZ2LG6", "Completo")</f>
        <v>Completo</v>
      </c>
      <c r="I5" s="21" t="s">
        <v>28</v>
      </c>
      <c r="J5" s="21"/>
      <c r="K5" s="21"/>
      <c r="L5" s="21"/>
      <c r="M5" s="21" t="s">
        <v>3800</v>
      </c>
      <c r="N5" s="30"/>
      <c r="O5" s="21"/>
      <c r="P5" s="21"/>
      <c r="Q5" s="21"/>
      <c r="R5" s="32"/>
      <c r="S5" s="32"/>
      <c r="T5" s="21"/>
      <c r="U5" s="21" t="s">
        <v>37</v>
      </c>
      <c r="V5" s="21" t="s">
        <v>37</v>
      </c>
      <c r="W5" s="21"/>
      <c r="X5" s="21" t="s">
        <v>28</v>
      </c>
    </row>
    <row r="6" customFormat="false" ht="15.75" hidden="false" customHeight="false" outlineLevel="0" collapsed="false">
      <c r="A6" s="61" t="n">
        <v>6063</v>
      </c>
      <c r="B6" s="29" t="n">
        <v>44503</v>
      </c>
      <c r="C6" s="21" t="s">
        <v>3797</v>
      </c>
      <c r="D6" s="21" t="s">
        <v>24</v>
      </c>
      <c r="E6" s="21" t="s">
        <v>25</v>
      </c>
      <c r="F6" s="21" t="s">
        <v>3801</v>
      </c>
      <c r="G6" s="30" t="s">
        <v>3799</v>
      </c>
      <c r="H6" s="45" t="str">
        <f aca="false">HYPERLINK("https://photos.app.goo.gl/SaWCVgiJZnkvp7jb9", "Completo")</f>
        <v>Completo</v>
      </c>
      <c r="I6" s="21" t="s">
        <v>28</v>
      </c>
      <c r="J6" s="21"/>
      <c r="K6" s="21"/>
      <c r="L6" s="21"/>
      <c r="M6" s="21" t="s">
        <v>3802</v>
      </c>
      <c r="N6" s="30"/>
      <c r="O6" s="21"/>
      <c r="P6" s="21"/>
      <c r="Q6" s="21"/>
      <c r="R6" s="32"/>
      <c r="S6" s="32"/>
      <c r="T6" s="21"/>
      <c r="U6" s="21" t="s">
        <v>37</v>
      </c>
      <c r="V6" s="21" t="s">
        <v>37</v>
      </c>
      <c r="W6" s="74" t="s">
        <v>3695</v>
      </c>
      <c r="X6" s="21" t="s">
        <v>28</v>
      </c>
    </row>
    <row r="7" customFormat="false" ht="15.75" hidden="false" customHeight="false" outlineLevel="0" collapsed="false">
      <c r="A7" s="61" t="n">
        <v>6064</v>
      </c>
      <c r="B7" s="29" t="n">
        <v>44503</v>
      </c>
      <c r="C7" s="21" t="s">
        <v>3797</v>
      </c>
      <c r="D7" s="21" t="s">
        <v>24</v>
      </c>
      <c r="E7" s="21" t="s">
        <v>25</v>
      </c>
      <c r="F7" s="21" t="s">
        <v>1472</v>
      </c>
      <c r="G7" s="30" t="s">
        <v>3803</v>
      </c>
      <c r="H7" s="45" t="str">
        <f aca="false">HYPERLINK("https://photos.app.goo.gl/w8mehvv14y9anYsT7", "Completo")</f>
        <v>Completo</v>
      </c>
      <c r="I7" s="21" t="s">
        <v>28</v>
      </c>
      <c r="J7" s="21"/>
      <c r="K7" s="21"/>
      <c r="L7" s="21"/>
      <c r="M7" s="21" t="s">
        <v>3804</v>
      </c>
      <c r="N7" s="30"/>
      <c r="O7" s="21"/>
      <c r="P7" s="21"/>
      <c r="Q7" s="21"/>
      <c r="R7" s="32"/>
      <c r="S7" s="32"/>
      <c r="T7" s="21"/>
      <c r="U7" s="21" t="s">
        <v>37</v>
      </c>
      <c r="V7" s="21" t="s">
        <v>37</v>
      </c>
      <c r="W7" s="21"/>
      <c r="X7" s="21" t="s">
        <v>28</v>
      </c>
    </row>
    <row r="8" customFormat="false" ht="15.75" hidden="false" customHeight="false" outlineLevel="0" collapsed="false">
      <c r="A8" s="61" t="n">
        <v>6065</v>
      </c>
      <c r="B8" s="29" t="n">
        <v>44503</v>
      </c>
      <c r="C8" s="21" t="s">
        <v>3805</v>
      </c>
      <c r="D8" s="21" t="s">
        <v>24</v>
      </c>
      <c r="E8" s="21" t="s">
        <v>25</v>
      </c>
      <c r="F8" s="21" t="s">
        <v>3806</v>
      </c>
      <c r="G8" s="30" t="s">
        <v>3807</v>
      </c>
      <c r="H8" s="45" t="str">
        <f aca="false">HYPERLINK("https://photos.app.goo.gl/NKeMaoCP1jfqpLvn9", "Completo")</f>
        <v>Completo</v>
      </c>
      <c r="I8" s="21" t="s">
        <v>28</v>
      </c>
      <c r="J8" s="21" t="n">
        <v>3513135635</v>
      </c>
      <c r="K8" s="21" t="s">
        <v>3808</v>
      </c>
      <c r="L8" s="21"/>
      <c r="M8" s="21" t="s">
        <v>3809</v>
      </c>
      <c r="N8" s="30"/>
      <c r="O8" s="21"/>
      <c r="P8" s="21"/>
      <c r="Q8" s="21"/>
      <c r="R8" s="32"/>
      <c r="S8" s="32"/>
      <c r="T8" s="21"/>
      <c r="U8" s="21" t="s">
        <v>37</v>
      </c>
      <c r="V8" s="21" t="s">
        <v>37</v>
      </c>
      <c r="W8" s="21"/>
      <c r="X8" s="21" t="s">
        <v>28</v>
      </c>
    </row>
    <row r="9" customFormat="false" ht="15.75" hidden="false" customHeight="false" outlineLevel="0" collapsed="false">
      <c r="A9" s="61" t="n">
        <v>6066</v>
      </c>
      <c r="B9" s="29" t="n">
        <v>44504</v>
      </c>
      <c r="C9" s="21" t="s">
        <v>23</v>
      </c>
      <c r="D9" s="21" t="s">
        <v>24</v>
      </c>
      <c r="E9" s="21" t="s">
        <v>25</v>
      </c>
      <c r="F9" s="21" t="s">
        <v>3810</v>
      </c>
      <c r="G9" s="30"/>
      <c r="H9" s="31" t="s">
        <v>37</v>
      </c>
      <c r="I9" s="21" t="s">
        <v>37</v>
      </c>
      <c r="J9" s="21"/>
      <c r="K9" s="21"/>
      <c r="L9" s="21"/>
      <c r="M9" s="21"/>
      <c r="N9" s="30"/>
      <c r="O9" s="21"/>
      <c r="P9" s="21"/>
      <c r="Q9" s="21"/>
      <c r="R9" s="32"/>
      <c r="S9" s="32"/>
      <c r="T9" s="21"/>
      <c r="U9" s="21" t="s">
        <v>37</v>
      </c>
      <c r="V9" s="21" t="s">
        <v>37</v>
      </c>
      <c r="W9" s="21"/>
      <c r="X9" s="21" t="s">
        <v>28</v>
      </c>
    </row>
    <row r="10" customFormat="false" ht="15.75" hidden="false" customHeight="false" outlineLevel="0" collapsed="false">
      <c r="A10" s="61" t="n">
        <v>6067</v>
      </c>
      <c r="B10" s="29" t="n">
        <v>44504</v>
      </c>
      <c r="C10" s="21" t="s">
        <v>84</v>
      </c>
      <c r="D10" s="21" t="s">
        <v>24</v>
      </c>
      <c r="E10" s="21" t="s">
        <v>34</v>
      </c>
      <c r="F10" s="21" t="s">
        <v>3811</v>
      </c>
      <c r="G10" s="30"/>
      <c r="H10" s="31"/>
      <c r="I10" s="21"/>
      <c r="J10" s="21"/>
      <c r="K10" s="21"/>
      <c r="L10" s="21"/>
      <c r="M10" s="21"/>
      <c r="N10" s="30"/>
      <c r="O10" s="21"/>
      <c r="P10" s="21"/>
      <c r="Q10" s="21"/>
      <c r="R10" s="32"/>
      <c r="S10" s="32"/>
      <c r="T10" s="21"/>
      <c r="U10" s="21" t="s">
        <v>37</v>
      </c>
      <c r="V10" s="21" t="s">
        <v>37</v>
      </c>
      <c r="W10" s="21"/>
      <c r="X10" s="21" t="s">
        <v>28</v>
      </c>
    </row>
    <row r="11" customFormat="false" ht="15.75" hidden="false" customHeight="false" outlineLevel="0" collapsed="false">
      <c r="A11" s="63" t="n">
        <v>1366740</v>
      </c>
      <c r="B11" s="29" t="n">
        <v>44504</v>
      </c>
      <c r="C11" s="21" t="s">
        <v>3812</v>
      </c>
      <c r="D11" s="21" t="s">
        <v>290</v>
      </c>
      <c r="E11" s="21" t="s">
        <v>3337</v>
      </c>
      <c r="F11" s="21" t="s">
        <v>600</v>
      </c>
      <c r="G11" s="30" t="s">
        <v>3813</v>
      </c>
      <c r="H11" s="45" t="str">
        <f aca="false">HYPERLINK("https://photos.app.goo.gl/bRgQFZVp4PJtHF4g9", "Completo")</f>
        <v>Completo</v>
      </c>
      <c r="I11" s="21" t="s">
        <v>28</v>
      </c>
      <c r="J11" s="21"/>
      <c r="K11" s="21"/>
      <c r="L11" s="21"/>
      <c r="M11" s="21"/>
      <c r="N11" s="30"/>
      <c r="O11" s="21" t="s">
        <v>28</v>
      </c>
      <c r="P11" s="21" t="s">
        <v>28</v>
      </c>
      <c r="Q11" s="21" t="s">
        <v>3814</v>
      </c>
      <c r="R11" s="32" t="s">
        <v>3337</v>
      </c>
      <c r="S11" s="32"/>
      <c r="T11" s="21" t="s">
        <v>3337</v>
      </c>
      <c r="U11" s="74" t="s">
        <v>28</v>
      </c>
      <c r="V11" s="74" t="s">
        <v>28</v>
      </c>
      <c r="W11" s="21"/>
      <c r="X11" s="21" t="s">
        <v>37</v>
      </c>
    </row>
    <row r="12" customFormat="false" ht="15.75" hidden="false" customHeight="false" outlineLevel="0" collapsed="false">
      <c r="A12" s="61" t="n">
        <v>6068</v>
      </c>
      <c r="B12" s="29" t="n">
        <v>44504</v>
      </c>
      <c r="C12" s="21" t="s">
        <v>2563</v>
      </c>
      <c r="D12" s="21" t="s">
        <v>24</v>
      </c>
      <c r="E12" s="21" t="s">
        <v>34</v>
      </c>
      <c r="F12" s="21" t="s">
        <v>3815</v>
      </c>
      <c r="G12" s="30"/>
      <c r="H12" s="31"/>
      <c r="I12" s="21"/>
      <c r="J12" s="21"/>
      <c r="K12" s="21"/>
      <c r="L12" s="21"/>
      <c r="M12" s="21"/>
      <c r="N12" s="30"/>
      <c r="O12" s="21"/>
      <c r="P12" s="21"/>
      <c r="Q12" s="21"/>
      <c r="R12" s="32"/>
      <c r="S12" s="32"/>
      <c r="T12" s="21"/>
      <c r="U12" s="21" t="s">
        <v>37</v>
      </c>
      <c r="V12" s="21" t="s">
        <v>37</v>
      </c>
      <c r="W12" s="21"/>
      <c r="X12" s="21" t="s">
        <v>28</v>
      </c>
    </row>
    <row r="13" customFormat="false" ht="15.75" hidden="false" customHeight="false" outlineLevel="0" collapsed="false">
      <c r="A13" s="61" t="n">
        <v>6069</v>
      </c>
      <c r="B13" s="29" t="n">
        <v>44505</v>
      </c>
      <c r="C13" s="21" t="s">
        <v>3816</v>
      </c>
      <c r="D13" s="21" t="s">
        <v>24</v>
      </c>
      <c r="E13" s="21" t="s">
        <v>25</v>
      </c>
      <c r="F13" s="21" t="s">
        <v>3817</v>
      </c>
      <c r="G13" s="30" t="s">
        <v>3818</v>
      </c>
      <c r="H13" s="45" t="str">
        <f aca="false">HYPERLINK("https://photos.app.goo.gl/Pyx4jX95JLj3nxcf8", "Completo")</f>
        <v>Completo</v>
      </c>
      <c r="I13" s="21" t="s">
        <v>28</v>
      </c>
      <c r="J13" s="21"/>
      <c r="K13" s="21"/>
      <c r="L13" s="21"/>
      <c r="M13" s="21" t="s">
        <v>2133</v>
      </c>
      <c r="N13" s="30"/>
      <c r="O13" s="21" t="s">
        <v>28</v>
      </c>
      <c r="P13" s="21" t="s">
        <v>28</v>
      </c>
      <c r="Q13" s="21" t="s">
        <v>3819</v>
      </c>
      <c r="R13" s="32" t="s">
        <v>2850</v>
      </c>
      <c r="S13" s="32"/>
      <c r="T13" s="21" t="s">
        <v>74</v>
      </c>
      <c r="U13" s="74" t="s">
        <v>28</v>
      </c>
      <c r="V13" s="74" t="s">
        <v>28</v>
      </c>
      <c r="W13" s="21" t="s">
        <v>36</v>
      </c>
      <c r="X13" s="21" t="s">
        <v>28</v>
      </c>
    </row>
    <row r="14" customFormat="false" ht="15.75" hidden="false" customHeight="false" outlineLevel="0" collapsed="false">
      <c r="A14" s="61" t="n">
        <v>6070</v>
      </c>
      <c r="B14" s="29" t="n">
        <v>44505</v>
      </c>
      <c r="C14" s="21" t="s">
        <v>3645</v>
      </c>
      <c r="D14" s="21" t="s">
        <v>24</v>
      </c>
      <c r="E14" s="21" t="s">
        <v>25</v>
      </c>
      <c r="F14" s="21" t="s">
        <v>3820</v>
      </c>
      <c r="G14" s="30" t="s">
        <v>3821</v>
      </c>
      <c r="H14" s="45" t="str">
        <f aca="false">HYPERLINK("https://photos.app.goo.gl/s47uzJV634eWofL9A", "Completo")</f>
        <v>Completo</v>
      </c>
      <c r="I14" s="21" t="s">
        <v>28</v>
      </c>
      <c r="J14" s="21"/>
      <c r="K14" s="21"/>
      <c r="L14" s="21"/>
      <c r="M14" s="21" t="s">
        <v>2133</v>
      </c>
      <c r="N14" s="30"/>
      <c r="O14" s="21" t="s">
        <v>28</v>
      </c>
      <c r="P14" s="21" t="s">
        <v>28</v>
      </c>
      <c r="Q14" s="21" t="s">
        <v>2515</v>
      </c>
      <c r="R14" s="32" t="s">
        <v>2850</v>
      </c>
      <c r="S14" s="32"/>
      <c r="T14" s="21" t="s">
        <v>74</v>
      </c>
      <c r="U14" s="74" t="s">
        <v>28</v>
      </c>
      <c r="V14" s="74" t="s">
        <v>28</v>
      </c>
      <c r="W14" s="21" t="s">
        <v>36</v>
      </c>
      <c r="X14" s="21" t="s">
        <v>28</v>
      </c>
    </row>
    <row r="15" customFormat="false" ht="15.75" hidden="false" customHeight="false" outlineLevel="0" collapsed="false">
      <c r="A15" s="61" t="n">
        <v>6071</v>
      </c>
      <c r="B15" s="29" t="n">
        <v>44505</v>
      </c>
      <c r="C15" s="21" t="s">
        <v>3645</v>
      </c>
      <c r="D15" s="21" t="s">
        <v>24</v>
      </c>
      <c r="E15" s="21" t="s">
        <v>25</v>
      </c>
      <c r="F15" s="21" t="s">
        <v>3822</v>
      </c>
      <c r="G15" s="30" t="s">
        <v>3823</v>
      </c>
      <c r="H15" s="45" t="str">
        <f aca="false">HYPERLINK("https://photos.app.goo.gl/PpjAfYimD4oQwsgX6", "Completo")</f>
        <v>Completo</v>
      </c>
      <c r="I15" s="21" t="s">
        <v>28</v>
      </c>
      <c r="J15" s="21"/>
      <c r="K15" s="21"/>
      <c r="L15" s="21"/>
      <c r="M15" s="21" t="s">
        <v>2133</v>
      </c>
      <c r="N15" s="30"/>
      <c r="O15" s="21"/>
      <c r="P15" s="21"/>
      <c r="Q15" s="21"/>
      <c r="R15" s="32"/>
      <c r="S15" s="32"/>
      <c r="T15" s="21" t="s">
        <v>74</v>
      </c>
      <c r="U15" s="74" t="s">
        <v>28</v>
      </c>
      <c r="V15" s="74" t="s">
        <v>28</v>
      </c>
      <c r="W15" s="21" t="s">
        <v>36</v>
      </c>
      <c r="X15" s="21" t="s">
        <v>28</v>
      </c>
    </row>
    <row r="16" customFormat="false" ht="15.75" hidden="false" customHeight="false" outlineLevel="0" collapsed="false">
      <c r="A16" s="61" t="n">
        <v>6072</v>
      </c>
      <c r="B16" s="29" t="n">
        <v>44506</v>
      </c>
      <c r="C16" s="21" t="s">
        <v>3742</v>
      </c>
      <c r="D16" s="21" t="s">
        <v>24</v>
      </c>
      <c r="E16" s="21" t="s">
        <v>25</v>
      </c>
      <c r="F16" s="21" t="s">
        <v>3824</v>
      </c>
      <c r="G16" s="30" t="s">
        <v>3825</v>
      </c>
      <c r="H16" s="45" t="str">
        <f aca="false">HYPERLINK("https://photos.app.goo.gl/RRSm2aeQDc3GjA6Q9", "Completo")</f>
        <v>Completo</v>
      </c>
      <c r="I16" s="21" t="s">
        <v>28</v>
      </c>
      <c r="J16" s="21"/>
      <c r="K16" s="21"/>
      <c r="L16" s="21"/>
      <c r="M16" s="21" t="s">
        <v>3826</v>
      </c>
      <c r="N16" s="30"/>
      <c r="O16" s="21"/>
      <c r="P16" s="21"/>
      <c r="Q16" s="21"/>
      <c r="R16" s="32"/>
      <c r="S16" s="32"/>
      <c r="T16" s="21"/>
      <c r="U16" s="21" t="s">
        <v>37</v>
      </c>
      <c r="V16" s="21" t="s">
        <v>37</v>
      </c>
      <c r="W16" s="21"/>
      <c r="X16" s="21" t="s">
        <v>28</v>
      </c>
    </row>
    <row r="17" customFormat="false" ht="15.75" hidden="false" customHeight="false" outlineLevel="0" collapsed="false">
      <c r="A17" s="61" t="n">
        <v>6073</v>
      </c>
      <c r="B17" s="29" t="n">
        <v>44508</v>
      </c>
      <c r="C17" s="21" t="s">
        <v>2761</v>
      </c>
      <c r="D17" s="21" t="s">
        <v>24</v>
      </c>
      <c r="E17" s="21" t="s">
        <v>34</v>
      </c>
      <c r="F17" s="21" t="s">
        <v>3827</v>
      </c>
      <c r="G17" s="30"/>
      <c r="H17" s="31" t="s">
        <v>28</v>
      </c>
      <c r="I17" s="21"/>
      <c r="J17" s="21"/>
      <c r="K17" s="21"/>
      <c r="L17" s="21"/>
      <c r="M17" s="21"/>
      <c r="N17" s="30"/>
      <c r="O17" s="21"/>
      <c r="P17" s="21"/>
      <c r="Q17" s="21"/>
      <c r="R17" s="32"/>
      <c r="S17" s="32"/>
      <c r="T17" s="21"/>
      <c r="U17" s="21" t="s">
        <v>37</v>
      </c>
      <c r="V17" s="21" t="s">
        <v>37</v>
      </c>
      <c r="W17" s="21"/>
      <c r="X17" s="21" t="s">
        <v>28</v>
      </c>
    </row>
    <row r="18" customFormat="false" ht="15.75" hidden="false" customHeight="false" outlineLevel="0" collapsed="false">
      <c r="A18" s="63" t="n">
        <v>137333</v>
      </c>
      <c r="B18" s="29" t="n">
        <v>44508</v>
      </c>
      <c r="C18" s="21" t="s">
        <v>3797</v>
      </c>
      <c r="D18" s="21" t="s">
        <v>290</v>
      </c>
      <c r="E18" s="21" t="s">
        <v>74</v>
      </c>
      <c r="F18" s="21" t="s">
        <v>3828</v>
      </c>
      <c r="G18" s="30" t="s">
        <v>3829</v>
      </c>
      <c r="H18" s="88" t="s">
        <v>28</v>
      </c>
      <c r="I18" s="21" t="s">
        <v>28</v>
      </c>
      <c r="J18" s="21" t="s">
        <v>36</v>
      </c>
      <c r="K18" s="21" t="s">
        <v>36</v>
      </c>
      <c r="L18" s="21" t="s">
        <v>36</v>
      </c>
      <c r="M18" s="21" t="s">
        <v>3376</v>
      </c>
      <c r="N18" s="69" t="s">
        <v>3830</v>
      </c>
      <c r="O18" s="21" t="s">
        <v>28</v>
      </c>
      <c r="P18" s="74" t="s">
        <v>28</v>
      </c>
      <c r="Q18" s="21" t="s">
        <v>73</v>
      </c>
      <c r="R18" s="32" t="s">
        <v>74</v>
      </c>
      <c r="S18" s="32" t="s">
        <v>36</v>
      </c>
      <c r="T18" s="21" t="s">
        <v>74</v>
      </c>
      <c r="U18" s="74" t="s">
        <v>28</v>
      </c>
      <c r="V18" s="74" t="s">
        <v>28</v>
      </c>
      <c r="W18" s="21" t="s">
        <v>36</v>
      </c>
      <c r="X18" s="21" t="s">
        <v>28</v>
      </c>
    </row>
    <row r="19" customFormat="false" ht="15.75" hidden="false" customHeight="false" outlineLevel="0" collapsed="false">
      <c r="A19" s="61" t="n">
        <v>6074</v>
      </c>
      <c r="B19" s="29" t="n">
        <v>44509</v>
      </c>
      <c r="C19" s="21" t="s">
        <v>3831</v>
      </c>
      <c r="D19" s="21" t="s">
        <v>24</v>
      </c>
      <c r="E19" s="21" t="s">
        <v>74</v>
      </c>
      <c r="F19" s="21" t="s">
        <v>3832</v>
      </c>
      <c r="G19" s="30" t="s">
        <v>3833</v>
      </c>
      <c r="H19" s="45" t="str">
        <f aca="false">HYPERLINK("https://photos.app.goo.gl/5khzGBTYoV3rVSEK6", "Completo")</f>
        <v>Completo</v>
      </c>
      <c r="I19" s="21" t="s">
        <v>28</v>
      </c>
      <c r="J19" s="21" t="s">
        <v>36</v>
      </c>
      <c r="K19" s="21" t="s">
        <v>36</v>
      </c>
      <c r="L19" s="21" t="s">
        <v>36</v>
      </c>
      <c r="M19" s="21" t="s">
        <v>3376</v>
      </c>
      <c r="N19" s="69" t="s">
        <v>3834</v>
      </c>
      <c r="O19" s="21" t="s">
        <v>28</v>
      </c>
      <c r="P19" s="21" t="s">
        <v>28</v>
      </c>
      <c r="Q19" s="21" t="s">
        <v>420</v>
      </c>
      <c r="R19" s="32" t="s">
        <v>3113</v>
      </c>
      <c r="S19" s="32" t="s">
        <v>36</v>
      </c>
      <c r="T19" s="21" t="s">
        <v>74</v>
      </c>
      <c r="U19" s="74" t="s">
        <v>28</v>
      </c>
      <c r="V19" s="74" t="s">
        <v>28</v>
      </c>
      <c r="W19" s="21" t="s">
        <v>36</v>
      </c>
      <c r="X19" s="21" t="s">
        <v>28</v>
      </c>
    </row>
    <row r="20" customFormat="false" ht="15.75" hidden="false" customHeight="false" outlineLevel="0" collapsed="false">
      <c r="A20" s="61" t="n">
        <v>6075</v>
      </c>
      <c r="B20" s="29" t="n">
        <v>44510</v>
      </c>
      <c r="C20" s="21" t="s">
        <v>1227</v>
      </c>
      <c r="D20" s="21" t="s">
        <v>24</v>
      </c>
      <c r="E20" s="21" t="s">
        <v>25</v>
      </c>
      <c r="F20" s="21" t="s">
        <v>3835</v>
      </c>
      <c r="G20" s="30" t="s">
        <v>3836</v>
      </c>
      <c r="H20" s="45" t="str">
        <f aca="false">HYPERLINK("https://photos.app.goo.gl/hb28EQZJMWHkuTZZ8", "Completo")</f>
        <v>Completo</v>
      </c>
      <c r="I20" s="21" t="s">
        <v>28</v>
      </c>
      <c r="J20" s="21"/>
      <c r="K20" s="21"/>
      <c r="L20" s="21"/>
      <c r="M20" s="21" t="s">
        <v>2133</v>
      </c>
      <c r="N20" s="69" t="s">
        <v>3837</v>
      </c>
      <c r="O20" s="21" t="s">
        <v>28</v>
      </c>
      <c r="P20" s="21" t="s">
        <v>28</v>
      </c>
      <c r="Q20" s="21" t="s">
        <v>3792</v>
      </c>
      <c r="R20" s="32" t="s">
        <v>74</v>
      </c>
      <c r="S20" s="32" t="s">
        <v>36</v>
      </c>
      <c r="T20" s="21" t="s">
        <v>74</v>
      </c>
      <c r="U20" s="74" t="s">
        <v>28</v>
      </c>
      <c r="V20" s="74" t="s">
        <v>28</v>
      </c>
      <c r="W20" s="21" t="s">
        <v>36</v>
      </c>
      <c r="X20" s="21" t="s">
        <v>28</v>
      </c>
    </row>
    <row r="21" customFormat="false" ht="15.75" hidden="false" customHeight="false" outlineLevel="0" collapsed="false">
      <c r="A21" s="61" t="n">
        <v>6076</v>
      </c>
      <c r="B21" s="29" t="n">
        <v>45606</v>
      </c>
      <c r="C21" s="21" t="s">
        <v>1227</v>
      </c>
      <c r="D21" s="21" t="s">
        <v>24</v>
      </c>
      <c r="E21" s="21" t="s">
        <v>25</v>
      </c>
      <c r="F21" s="21" t="s">
        <v>3835</v>
      </c>
      <c r="G21" s="30" t="s">
        <v>3838</v>
      </c>
      <c r="H21" s="45" t="str">
        <f aca="false">HYPERLINK("https://photos.app.goo.gl/99YL4nMpfjLbkmzz9", "Completo")</f>
        <v>Completo</v>
      </c>
      <c r="I21" s="21" t="s">
        <v>28</v>
      </c>
      <c r="J21" s="21"/>
      <c r="K21" s="21"/>
      <c r="L21" s="21"/>
      <c r="M21" s="21" t="s">
        <v>2133</v>
      </c>
      <c r="N21" s="69" t="s">
        <v>3837</v>
      </c>
      <c r="O21" s="21" t="s">
        <v>28</v>
      </c>
      <c r="P21" s="21" t="s">
        <v>28</v>
      </c>
      <c r="Q21" s="21" t="s">
        <v>3839</v>
      </c>
      <c r="R21" s="32" t="s">
        <v>2850</v>
      </c>
      <c r="S21" s="32" t="s">
        <v>36</v>
      </c>
      <c r="T21" s="21" t="s">
        <v>74</v>
      </c>
      <c r="U21" s="74" t="s">
        <v>28</v>
      </c>
      <c r="V21" s="74" t="s">
        <v>28</v>
      </c>
      <c r="W21" s="21" t="s">
        <v>36</v>
      </c>
      <c r="X21" s="21" t="s">
        <v>28</v>
      </c>
    </row>
    <row r="22" customFormat="false" ht="15.75" hidden="false" customHeight="false" outlineLevel="0" collapsed="false">
      <c r="A22" s="61" t="n">
        <v>6077</v>
      </c>
      <c r="B22" s="29" t="n">
        <v>44510</v>
      </c>
      <c r="C22" s="21" t="s">
        <v>3840</v>
      </c>
      <c r="D22" s="21" t="s">
        <v>24</v>
      </c>
      <c r="E22" s="21" t="s">
        <v>25</v>
      </c>
      <c r="F22" s="21" t="s">
        <v>3841</v>
      </c>
      <c r="G22" s="30" t="s">
        <v>2482</v>
      </c>
      <c r="H22" s="45" t="str">
        <f aca="false">HYPERLINK("https://photos.app.goo.gl/jswXD1AbPQt9TSXz7", "Completo")</f>
        <v>Completo</v>
      </c>
      <c r="I22" s="21" t="s">
        <v>28</v>
      </c>
      <c r="J22" s="21"/>
      <c r="K22" s="21"/>
      <c r="L22" s="21"/>
      <c r="M22" s="21" t="s">
        <v>2133</v>
      </c>
      <c r="N22" s="30"/>
      <c r="O22" s="21" t="s">
        <v>28</v>
      </c>
      <c r="P22" s="21" t="s">
        <v>28</v>
      </c>
      <c r="Q22" s="21" t="s">
        <v>2981</v>
      </c>
      <c r="R22" s="32" t="s">
        <v>2850</v>
      </c>
      <c r="S22" s="32" t="s">
        <v>36</v>
      </c>
      <c r="T22" s="21" t="s">
        <v>74</v>
      </c>
      <c r="U22" s="74" t="s">
        <v>28</v>
      </c>
      <c r="V22" s="74" t="s">
        <v>28</v>
      </c>
      <c r="W22" s="21" t="s">
        <v>36</v>
      </c>
      <c r="X22" s="21" t="s">
        <v>28</v>
      </c>
    </row>
    <row r="23" customFormat="false" ht="15.75" hidden="false" customHeight="false" outlineLevel="0" collapsed="false">
      <c r="A23" s="61" t="n">
        <v>6078</v>
      </c>
      <c r="B23" s="29" t="n">
        <v>44510</v>
      </c>
      <c r="C23" s="21" t="s">
        <v>3840</v>
      </c>
      <c r="D23" s="21" t="s">
        <v>24</v>
      </c>
      <c r="E23" s="21" t="s">
        <v>25</v>
      </c>
      <c r="F23" s="21" t="s">
        <v>3841</v>
      </c>
      <c r="G23" s="30" t="s">
        <v>2482</v>
      </c>
      <c r="H23" s="45" t="str">
        <f aca="false">HYPERLINK("https://photos.app.goo.gl/ZYkm6kuvN3kweHTD9", "Completo")</f>
        <v>Completo</v>
      </c>
      <c r="I23" s="21" t="s">
        <v>28</v>
      </c>
      <c r="J23" s="21"/>
      <c r="K23" s="21"/>
      <c r="L23" s="21"/>
      <c r="M23" s="21" t="s">
        <v>2133</v>
      </c>
      <c r="N23" s="30"/>
      <c r="O23" s="21" t="s">
        <v>28</v>
      </c>
      <c r="P23" s="21" t="s">
        <v>28</v>
      </c>
      <c r="Q23" s="21" t="s">
        <v>2981</v>
      </c>
      <c r="R23" s="32" t="s">
        <v>2850</v>
      </c>
      <c r="S23" s="32" t="s">
        <v>36</v>
      </c>
      <c r="T23" s="21" t="s">
        <v>74</v>
      </c>
      <c r="U23" s="74" t="s">
        <v>28</v>
      </c>
      <c r="V23" s="74" t="s">
        <v>28</v>
      </c>
      <c r="W23" s="21" t="s">
        <v>36</v>
      </c>
      <c r="X23" s="21" t="s">
        <v>28</v>
      </c>
    </row>
    <row r="24" customFormat="false" ht="15.75" hidden="false" customHeight="false" outlineLevel="0" collapsed="false">
      <c r="A24" s="61" t="n">
        <v>6079</v>
      </c>
      <c r="B24" s="29" t="n">
        <v>44510</v>
      </c>
      <c r="C24" s="21" t="s">
        <v>1328</v>
      </c>
      <c r="D24" s="21" t="s">
        <v>24</v>
      </c>
      <c r="E24" s="21" t="s">
        <v>34</v>
      </c>
      <c r="F24" s="21" t="s">
        <v>3842</v>
      </c>
      <c r="G24" s="30"/>
      <c r="H24" s="31"/>
      <c r="I24" s="21"/>
      <c r="J24" s="21"/>
      <c r="K24" s="21"/>
      <c r="L24" s="21"/>
      <c r="M24" s="21"/>
      <c r="N24" s="30"/>
      <c r="O24" s="21"/>
      <c r="P24" s="21"/>
      <c r="Q24" s="21"/>
      <c r="R24" s="32"/>
      <c r="S24" s="32"/>
      <c r="T24" s="21"/>
      <c r="U24" s="21" t="s">
        <v>37</v>
      </c>
      <c r="V24" s="21" t="s">
        <v>37</v>
      </c>
      <c r="W24" s="21"/>
      <c r="X24" s="21" t="s">
        <v>28</v>
      </c>
    </row>
    <row r="25" customFormat="false" ht="15.75" hidden="false" customHeight="false" outlineLevel="0" collapsed="false">
      <c r="A25" s="61" t="n">
        <v>6080</v>
      </c>
      <c r="B25" s="29" t="n">
        <v>44511</v>
      </c>
      <c r="C25" s="21" t="s">
        <v>3843</v>
      </c>
      <c r="D25" s="21"/>
      <c r="E25" s="21" t="s">
        <v>34</v>
      </c>
      <c r="F25" s="21" t="s">
        <v>3844</v>
      </c>
      <c r="G25" s="30"/>
      <c r="H25" s="31" t="s">
        <v>28</v>
      </c>
      <c r="I25" s="21" t="s">
        <v>28</v>
      </c>
      <c r="J25" s="21"/>
      <c r="K25" s="21"/>
      <c r="L25" s="21"/>
      <c r="M25" s="21"/>
      <c r="N25" s="30"/>
      <c r="O25" s="21" t="s">
        <v>28</v>
      </c>
      <c r="P25" s="21" t="s">
        <v>28</v>
      </c>
      <c r="Q25" s="21" t="s">
        <v>3845</v>
      </c>
      <c r="R25" s="32" t="s">
        <v>2850</v>
      </c>
      <c r="S25" s="32" t="s">
        <v>29</v>
      </c>
      <c r="T25" s="21"/>
      <c r="U25" s="21" t="s">
        <v>37</v>
      </c>
      <c r="V25" s="21" t="s">
        <v>37</v>
      </c>
      <c r="W25" s="21"/>
      <c r="X25" s="21" t="s">
        <v>28</v>
      </c>
    </row>
    <row r="26" customFormat="false" ht="15.75" hidden="false" customHeight="false" outlineLevel="0" collapsed="false">
      <c r="A26" s="61" t="n">
        <v>6081</v>
      </c>
      <c r="B26" s="29" t="n">
        <v>44511</v>
      </c>
      <c r="C26" s="21" t="s">
        <v>649</v>
      </c>
      <c r="D26" s="21" t="s">
        <v>24</v>
      </c>
      <c r="E26" s="21" t="s">
        <v>34</v>
      </c>
      <c r="F26" s="21" t="s">
        <v>3844</v>
      </c>
      <c r="G26" s="30"/>
      <c r="H26" s="31"/>
      <c r="I26" s="21"/>
      <c r="J26" s="21"/>
      <c r="K26" s="21"/>
      <c r="L26" s="21"/>
      <c r="M26" s="21"/>
      <c r="N26" s="30"/>
      <c r="O26" s="21"/>
      <c r="P26" s="21"/>
      <c r="Q26" s="21"/>
      <c r="R26" s="32"/>
      <c r="S26" s="32"/>
      <c r="T26" s="21"/>
      <c r="U26" s="21" t="s">
        <v>37</v>
      </c>
      <c r="V26" s="21" t="s">
        <v>37</v>
      </c>
      <c r="W26" s="21"/>
      <c r="X26" s="21" t="s">
        <v>28</v>
      </c>
    </row>
    <row r="27" customFormat="false" ht="15.75" hidden="false" customHeight="false" outlineLevel="0" collapsed="false">
      <c r="A27" s="61" t="n">
        <v>6082</v>
      </c>
      <c r="B27" s="29" t="n">
        <v>44511</v>
      </c>
      <c r="C27" s="21" t="s">
        <v>705</v>
      </c>
      <c r="D27" s="21" t="s">
        <v>24</v>
      </c>
      <c r="E27" s="21" t="s">
        <v>34</v>
      </c>
      <c r="F27" s="21" t="s">
        <v>3846</v>
      </c>
      <c r="G27" s="30"/>
      <c r="H27" s="31"/>
      <c r="I27" s="21"/>
      <c r="J27" s="21"/>
      <c r="K27" s="21"/>
      <c r="L27" s="21"/>
      <c r="M27" s="21"/>
      <c r="N27" s="30"/>
      <c r="O27" s="21"/>
      <c r="P27" s="21"/>
      <c r="Q27" s="21"/>
      <c r="R27" s="32"/>
      <c r="S27" s="32"/>
      <c r="T27" s="21"/>
      <c r="U27" s="21" t="s">
        <v>37</v>
      </c>
      <c r="V27" s="21" t="s">
        <v>37</v>
      </c>
      <c r="W27" s="21"/>
      <c r="X27" s="21" t="s">
        <v>28</v>
      </c>
    </row>
    <row r="28" customFormat="false" ht="15.75" hidden="false" customHeight="false" outlineLevel="0" collapsed="false">
      <c r="A28" s="61" t="n">
        <v>6083</v>
      </c>
      <c r="B28" s="29" t="n">
        <v>44511</v>
      </c>
      <c r="C28" s="21" t="s">
        <v>2177</v>
      </c>
      <c r="D28" s="21" t="s">
        <v>24</v>
      </c>
      <c r="E28" s="21" t="s">
        <v>25</v>
      </c>
      <c r="F28" s="21" t="s">
        <v>3847</v>
      </c>
      <c r="G28" s="30" t="s">
        <v>3848</v>
      </c>
      <c r="H28" s="45" t="str">
        <f aca="false">HYPERLINK("https://photos.app.goo.gl/vQHJXJ5h68ouAMPv8", "Completo")</f>
        <v>Completo</v>
      </c>
      <c r="I28" s="21" t="s">
        <v>28</v>
      </c>
      <c r="J28" s="21"/>
      <c r="K28" s="21"/>
      <c r="L28" s="21"/>
      <c r="M28" s="21" t="s">
        <v>2133</v>
      </c>
      <c r="N28" s="69" t="s">
        <v>3849</v>
      </c>
      <c r="O28" s="21" t="s">
        <v>28</v>
      </c>
      <c r="P28" s="21" t="s">
        <v>28</v>
      </c>
      <c r="Q28" s="21" t="s">
        <v>3213</v>
      </c>
      <c r="R28" s="32" t="s">
        <v>3433</v>
      </c>
      <c r="S28" s="32" t="s">
        <v>36</v>
      </c>
      <c r="T28" s="21" t="s">
        <v>74</v>
      </c>
      <c r="U28" s="74" t="s">
        <v>28</v>
      </c>
      <c r="V28" s="74" t="s">
        <v>28</v>
      </c>
      <c r="W28" s="21" t="s">
        <v>36</v>
      </c>
      <c r="X28" s="21" t="s">
        <v>28</v>
      </c>
    </row>
    <row r="29" customFormat="false" ht="15.75" hidden="false" customHeight="false" outlineLevel="0" collapsed="false">
      <c r="A29" s="61" t="n">
        <v>6084</v>
      </c>
      <c r="B29" s="29" t="n">
        <v>44515</v>
      </c>
      <c r="C29" s="21" t="s">
        <v>3850</v>
      </c>
      <c r="D29" s="21" t="s">
        <v>24</v>
      </c>
      <c r="E29" s="21" t="s">
        <v>25</v>
      </c>
      <c r="F29" s="21" t="s">
        <v>3851</v>
      </c>
      <c r="G29" s="30" t="s">
        <v>3852</v>
      </c>
      <c r="H29" s="45" t="str">
        <f aca="false">HYPERLINK("https://photos.app.goo.gl/ENvDuRkB1CiqMKZP9", "Completo")</f>
        <v>Completo</v>
      </c>
      <c r="I29" s="21" t="s">
        <v>28</v>
      </c>
      <c r="J29" s="21"/>
      <c r="K29" s="21"/>
      <c r="L29" s="21"/>
      <c r="M29" s="21" t="s">
        <v>3853</v>
      </c>
      <c r="N29" s="30" t="s">
        <v>3854</v>
      </c>
      <c r="O29" s="21" t="s">
        <v>28</v>
      </c>
      <c r="P29" s="21" t="s">
        <v>28</v>
      </c>
      <c r="Q29" s="21" t="s">
        <v>3855</v>
      </c>
      <c r="R29" s="32" t="s">
        <v>2850</v>
      </c>
      <c r="S29" s="32" t="s">
        <v>36</v>
      </c>
      <c r="T29" s="21" t="s">
        <v>74</v>
      </c>
      <c r="U29" s="74" t="s">
        <v>28</v>
      </c>
      <c r="V29" s="74" t="s">
        <v>28</v>
      </c>
      <c r="W29" s="21" t="s">
        <v>36</v>
      </c>
      <c r="X29" s="21" t="s">
        <v>28</v>
      </c>
    </row>
    <row r="30" customFormat="false" ht="15.75" hidden="false" customHeight="false" outlineLevel="0" collapsed="false">
      <c r="A30" s="61" t="n">
        <v>6085</v>
      </c>
      <c r="B30" s="54" t="n">
        <v>44515</v>
      </c>
      <c r="C30" s="21" t="s">
        <v>394</v>
      </c>
      <c r="D30" s="21" t="s">
        <v>24</v>
      </c>
      <c r="E30" s="21" t="s">
        <v>34</v>
      </c>
      <c r="F30" s="21" t="s">
        <v>2531</v>
      </c>
      <c r="G30" s="30"/>
      <c r="H30" s="31"/>
      <c r="I30" s="21"/>
      <c r="J30" s="21"/>
      <c r="K30" s="21"/>
      <c r="L30" s="21"/>
      <c r="M30" s="21"/>
      <c r="N30" s="30"/>
      <c r="O30" s="21"/>
      <c r="P30" s="21"/>
      <c r="Q30" s="21"/>
      <c r="R30" s="32"/>
      <c r="S30" s="32"/>
      <c r="T30" s="21"/>
      <c r="U30" s="21" t="s">
        <v>37</v>
      </c>
      <c r="V30" s="21" t="s">
        <v>37</v>
      </c>
      <c r="W30" s="21"/>
      <c r="X30" s="21" t="s">
        <v>37</v>
      </c>
    </row>
    <row r="31" customFormat="false" ht="15.75" hidden="false" customHeight="false" outlineLevel="0" collapsed="false">
      <c r="A31" s="76" t="n">
        <v>947443</v>
      </c>
      <c r="B31" s="29" t="n">
        <v>44515</v>
      </c>
      <c r="C31" s="21" t="s">
        <v>3856</v>
      </c>
      <c r="D31" s="21" t="s">
        <v>290</v>
      </c>
      <c r="E31" s="21" t="s">
        <v>25</v>
      </c>
      <c r="F31" s="21" t="s">
        <v>2383</v>
      </c>
      <c r="G31" s="30" t="s">
        <v>3857</v>
      </c>
      <c r="H31" s="45" t="str">
        <f aca="false">HYPERLINK("https://photos.app.goo.gl/oTDwtzLuMhcrnKrP6", "Completo")</f>
        <v>Completo</v>
      </c>
      <c r="I31" s="21" t="s">
        <v>28</v>
      </c>
      <c r="J31" s="21"/>
      <c r="K31" s="21"/>
      <c r="L31" s="21"/>
      <c r="M31" s="21" t="s">
        <v>2133</v>
      </c>
      <c r="N31" s="30"/>
      <c r="O31" s="21"/>
      <c r="P31" s="21"/>
      <c r="Q31" s="21"/>
      <c r="R31" s="32"/>
      <c r="S31" s="32"/>
      <c r="T31" s="21"/>
      <c r="U31" s="21"/>
      <c r="V31" s="21"/>
      <c r="W31" s="21"/>
      <c r="X31" s="21" t="s">
        <v>28</v>
      </c>
    </row>
    <row r="32" customFormat="false" ht="15.75" hidden="false" customHeight="false" outlineLevel="0" collapsed="false">
      <c r="A32" s="61" t="n">
        <v>6086</v>
      </c>
      <c r="B32" s="29" t="n">
        <v>44516</v>
      </c>
      <c r="C32" s="21" t="s">
        <v>2905</v>
      </c>
      <c r="D32" s="21" t="s">
        <v>24</v>
      </c>
      <c r="E32" s="21" t="s">
        <v>25</v>
      </c>
      <c r="F32" s="21" t="s">
        <v>3858</v>
      </c>
      <c r="G32" s="30" t="s">
        <v>3859</v>
      </c>
      <c r="H32" s="45" t="str">
        <f aca="false">HYPERLINK("https://photos.app.goo.gl/MPZYJo2TTATuxZz16", "Completo")</f>
        <v>Completo</v>
      </c>
      <c r="I32" s="21" t="s">
        <v>28</v>
      </c>
      <c r="J32" s="21"/>
      <c r="K32" s="21"/>
      <c r="L32" s="21"/>
      <c r="M32" s="21" t="s">
        <v>2133</v>
      </c>
      <c r="N32" s="30"/>
      <c r="O32" s="21"/>
      <c r="P32" s="21"/>
      <c r="Q32" s="21"/>
      <c r="R32" s="32"/>
      <c r="S32" s="32"/>
      <c r="T32" s="21"/>
      <c r="U32" s="21" t="s">
        <v>37</v>
      </c>
      <c r="V32" s="21" t="s">
        <v>37</v>
      </c>
      <c r="W32" s="21"/>
      <c r="X32" s="21" t="s">
        <v>28</v>
      </c>
    </row>
    <row r="33" customFormat="false" ht="15.75" hidden="false" customHeight="false" outlineLevel="0" collapsed="false">
      <c r="A33" s="61" t="n">
        <v>6087</v>
      </c>
      <c r="B33" s="29" t="n">
        <v>44516</v>
      </c>
      <c r="C33" s="21" t="s">
        <v>3860</v>
      </c>
      <c r="D33" s="21" t="s">
        <v>24</v>
      </c>
      <c r="E33" s="21" t="s">
        <v>25</v>
      </c>
      <c r="F33" s="21" t="s">
        <v>2909</v>
      </c>
      <c r="G33" s="30"/>
      <c r="H33" s="45" t="str">
        <f aca="false">HYPERLINK("https://photos.app.goo.gl/WL3rXrhXGq4MZFqr8", "Completo")</f>
        <v>Completo</v>
      </c>
      <c r="I33" s="21" t="s">
        <v>28</v>
      </c>
      <c r="J33" s="21"/>
      <c r="K33" s="21"/>
      <c r="L33" s="21"/>
      <c r="M33" s="21" t="s">
        <v>3861</v>
      </c>
      <c r="N33" s="30"/>
      <c r="O33" s="21"/>
      <c r="P33" s="21"/>
      <c r="Q33" s="21"/>
      <c r="R33" s="32"/>
      <c r="S33" s="32"/>
      <c r="T33" s="21"/>
      <c r="U33" s="21" t="s">
        <v>37</v>
      </c>
      <c r="V33" s="21" t="s">
        <v>37</v>
      </c>
      <c r="W33" s="21"/>
      <c r="X33" s="21" t="s">
        <v>37</v>
      </c>
    </row>
    <row r="34" customFormat="false" ht="15.75" hidden="false" customHeight="false" outlineLevel="0" collapsed="false">
      <c r="A34" s="61" t="n">
        <v>6088</v>
      </c>
      <c r="B34" s="29" t="n">
        <v>44516</v>
      </c>
      <c r="C34" s="21" t="s">
        <v>3862</v>
      </c>
      <c r="D34" s="21" t="s">
        <v>24</v>
      </c>
      <c r="E34" s="21" t="s">
        <v>25</v>
      </c>
      <c r="F34" s="21" t="s">
        <v>3863</v>
      </c>
      <c r="G34" s="30" t="s">
        <v>1116</v>
      </c>
      <c r="H34" s="45" t="str">
        <f aca="false">HYPERLINK("https://photos.app.goo.gl/rdNZBtyZd9qa7djz9", "Completo")</f>
        <v>Completo</v>
      </c>
      <c r="I34" s="21" t="s">
        <v>28</v>
      </c>
      <c r="J34" s="21"/>
      <c r="K34" s="21"/>
      <c r="L34" s="21"/>
      <c r="M34" s="21"/>
      <c r="N34" s="30"/>
      <c r="O34" s="21"/>
      <c r="P34" s="21"/>
      <c r="Q34" s="21"/>
      <c r="R34" s="32"/>
      <c r="S34" s="32"/>
      <c r="T34" s="21"/>
      <c r="U34" s="21"/>
      <c r="V34" s="21"/>
      <c r="W34" s="21"/>
      <c r="X34" s="21" t="s">
        <v>28</v>
      </c>
    </row>
    <row r="35" customFormat="false" ht="15.75" hidden="false" customHeight="false" outlineLevel="0" collapsed="false">
      <c r="A35" s="61" t="n">
        <v>6089</v>
      </c>
      <c r="B35" s="29" t="n">
        <v>44516</v>
      </c>
      <c r="C35" s="21" t="s">
        <v>3864</v>
      </c>
      <c r="D35" s="21" t="s">
        <v>24</v>
      </c>
      <c r="E35" s="21" t="s">
        <v>25</v>
      </c>
      <c r="F35" s="21" t="s">
        <v>2883</v>
      </c>
      <c r="G35" s="30" t="s">
        <v>3865</v>
      </c>
      <c r="H35" s="45" t="str">
        <f aca="false">HYPERLINK("https://photos.app.goo.gl/VijRG74snuJYxY6q6", "Completo")</f>
        <v>Completo</v>
      </c>
      <c r="I35" s="21" t="s">
        <v>28</v>
      </c>
      <c r="J35" s="21"/>
      <c r="K35" s="21"/>
      <c r="L35" s="21"/>
      <c r="M35" s="21"/>
      <c r="N35" s="30"/>
      <c r="O35" s="21"/>
      <c r="P35" s="21"/>
      <c r="Q35" s="21"/>
      <c r="R35" s="32"/>
      <c r="S35" s="32"/>
      <c r="T35" s="21"/>
      <c r="U35" s="21" t="s">
        <v>37</v>
      </c>
      <c r="V35" s="21" t="s">
        <v>37</v>
      </c>
      <c r="W35" s="21"/>
      <c r="X35" s="21" t="s">
        <v>28</v>
      </c>
    </row>
    <row r="36" customFormat="false" ht="15.75" hidden="false" customHeight="false" outlineLevel="0" collapsed="false">
      <c r="A36" s="61" t="s">
        <v>3866</v>
      </c>
      <c r="B36" s="29" t="n">
        <v>44516</v>
      </c>
      <c r="C36" s="21" t="s">
        <v>2905</v>
      </c>
      <c r="D36" s="21" t="s">
        <v>290</v>
      </c>
      <c r="E36" s="21" t="s">
        <v>25</v>
      </c>
      <c r="F36" s="21" t="s">
        <v>3867</v>
      </c>
      <c r="G36" s="30" t="s">
        <v>3868</v>
      </c>
      <c r="H36" s="45" t="str">
        <f aca="false">HYPERLINK("https://photos.app.goo.gl/3a4qXXBHaVRKL4h79", "Completo")</f>
        <v>Completo</v>
      </c>
      <c r="I36" s="21" t="s">
        <v>28</v>
      </c>
      <c r="J36" s="21"/>
      <c r="K36" s="21"/>
      <c r="L36" s="21"/>
      <c r="M36" s="21" t="s">
        <v>2255</v>
      </c>
      <c r="N36" s="30"/>
      <c r="O36" s="21"/>
      <c r="P36" s="21"/>
      <c r="Q36" s="21"/>
      <c r="R36" s="32" t="s">
        <v>2850</v>
      </c>
      <c r="S36" s="32"/>
      <c r="T36" s="21" t="s">
        <v>74</v>
      </c>
      <c r="U36" s="74" t="s">
        <v>28</v>
      </c>
      <c r="V36" s="74" t="s">
        <v>28</v>
      </c>
      <c r="W36" s="21" t="s">
        <v>36</v>
      </c>
      <c r="X36" s="21" t="s">
        <v>28</v>
      </c>
    </row>
    <row r="37" customFormat="false" ht="15.75" hidden="false" customHeight="false" outlineLevel="0" collapsed="false">
      <c r="A37" s="61" t="n">
        <v>5400</v>
      </c>
      <c r="B37" s="29" t="n">
        <v>44516</v>
      </c>
      <c r="C37" s="21" t="s">
        <v>2905</v>
      </c>
      <c r="D37" s="21" t="s">
        <v>290</v>
      </c>
      <c r="E37" s="21" t="s">
        <v>25</v>
      </c>
      <c r="F37" s="21" t="s">
        <v>3869</v>
      </c>
      <c r="G37" s="30" t="s">
        <v>3870</v>
      </c>
      <c r="H37" s="45" t="str">
        <f aca="false">HYPERLINK("https://photos.app.goo.gl/cjCyk89svxydtejr7", "Completo")</f>
        <v>Completo</v>
      </c>
      <c r="I37" s="21" t="s">
        <v>28</v>
      </c>
      <c r="J37" s="21"/>
      <c r="K37" s="21"/>
      <c r="L37" s="21"/>
      <c r="M37" s="21" t="s">
        <v>2255</v>
      </c>
      <c r="N37" s="30"/>
      <c r="O37" s="21"/>
      <c r="P37" s="21"/>
      <c r="Q37" s="21"/>
      <c r="R37" s="32"/>
      <c r="S37" s="32"/>
      <c r="T37" s="21"/>
      <c r="U37" s="21" t="s">
        <v>37</v>
      </c>
      <c r="V37" s="21" t="s">
        <v>37</v>
      </c>
      <c r="W37" s="21"/>
      <c r="X37" s="21" t="s">
        <v>28</v>
      </c>
    </row>
    <row r="38" customFormat="false" ht="15.75" hidden="false" customHeight="false" outlineLevel="0" collapsed="false">
      <c r="A38" s="61" t="n">
        <v>6090</v>
      </c>
      <c r="B38" s="29" t="n">
        <v>44518</v>
      </c>
      <c r="C38" s="21" t="s">
        <v>3871</v>
      </c>
      <c r="D38" s="21" t="s">
        <v>24</v>
      </c>
      <c r="E38" s="21" t="s">
        <v>25</v>
      </c>
      <c r="F38" s="21" t="s">
        <v>3872</v>
      </c>
      <c r="G38" s="30"/>
      <c r="H38" s="45" t="str">
        <f aca="false">HYPERLINK("https://photos.app.goo.gl/HzPntRQbrGKZ7uPs9", "Completo")</f>
        <v>Completo</v>
      </c>
      <c r="I38" s="21" t="s">
        <v>28</v>
      </c>
      <c r="J38" s="21"/>
      <c r="K38" s="21"/>
      <c r="L38" s="21"/>
      <c r="M38" s="21" t="s">
        <v>3873</v>
      </c>
      <c r="N38" s="30"/>
      <c r="O38" s="21"/>
      <c r="P38" s="21"/>
      <c r="Q38" s="21"/>
      <c r="R38" s="32"/>
      <c r="S38" s="32"/>
      <c r="T38" s="21"/>
      <c r="U38" s="21" t="s">
        <v>37</v>
      </c>
      <c r="V38" s="21" t="s">
        <v>37</v>
      </c>
      <c r="W38" s="21"/>
      <c r="X38" s="21" t="s">
        <v>28</v>
      </c>
    </row>
    <row r="39" customFormat="false" ht="15.75" hidden="false" customHeight="false" outlineLevel="0" collapsed="false">
      <c r="A39" s="61" t="n">
        <v>6091</v>
      </c>
      <c r="B39" s="29" t="n">
        <v>44518</v>
      </c>
      <c r="C39" s="21" t="s">
        <v>3874</v>
      </c>
      <c r="D39" s="21" t="s">
        <v>24</v>
      </c>
      <c r="E39" s="21" t="s">
        <v>25</v>
      </c>
      <c r="F39" s="21" t="s">
        <v>3875</v>
      </c>
      <c r="G39" s="30" t="s">
        <v>3876</v>
      </c>
      <c r="H39" s="45" t="str">
        <f aca="false">HYPERLINK("https://photos.app.goo.gl/hXNzjeNndTwBAP2z7", "Completo")</f>
        <v>Completo</v>
      </c>
      <c r="I39" s="21" t="s">
        <v>28</v>
      </c>
      <c r="J39" s="21"/>
      <c r="K39" s="21"/>
      <c r="L39" s="21"/>
      <c r="M39" s="21" t="s">
        <v>2255</v>
      </c>
      <c r="N39" s="30"/>
      <c r="O39" s="21" t="s">
        <v>28</v>
      </c>
      <c r="P39" s="21" t="s">
        <v>37</v>
      </c>
      <c r="Q39" s="21" t="s">
        <v>702</v>
      </c>
      <c r="R39" s="32" t="s">
        <v>2850</v>
      </c>
      <c r="S39" s="32" t="s">
        <v>36</v>
      </c>
      <c r="T39" s="21" t="s">
        <v>74</v>
      </c>
      <c r="U39" s="74" t="s">
        <v>28</v>
      </c>
      <c r="V39" s="74" t="s">
        <v>28</v>
      </c>
      <c r="W39" s="21" t="s">
        <v>36</v>
      </c>
      <c r="X39" s="21" t="s">
        <v>28</v>
      </c>
    </row>
    <row r="40" customFormat="false" ht="15.75" hidden="false" customHeight="false" outlineLevel="0" collapsed="false">
      <c r="A40" s="63" t="n">
        <v>1376602</v>
      </c>
      <c r="B40" s="29" t="n">
        <v>44519</v>
      </c>
      <c r="C40" s="21" t="s">
        <v>3877</v>
      </c>
      <c r="D40" s="21" t="s">
        <v>290</v>
      </c>
      <c r="E40" s="21" t="s">
        <v>25</v>
      </c>
      <c r="F40" s="21" t="s">
        <v>1695</v>
      </c>
      <c r="G40" s="30" t="s">
        <v>3878</v>
      </c>
      <c r="H40" s="45" t="str">
        <f aca="false">HYPERLINK("https://photos.app.goo.gl/LHgHR3MbRswucDH69", "Completo")</f>
        <v>Completo</v>
      </c>
      <c r="I40" s="21" t="s">
        <v>28</v>
      </c>
      <c r="J40" s="21"/>
      <c r="K40" s="21"/>
      <c r="L40" s="21"/>
      <c r="M40" s="21" t="s">
        <v>3879</v>
      </c>
      <c r="N40" s="30"/>
      <c r="O40" s="21"/>
      <c r="P40" s="21"/>
      <c r="Q40" s="21"/>
      <c r="R40" s="32"/>
      <c r="S40" s="32"/>
      <c r="T40" s="21" t="s">
        <v>74</v>
      </c>
      <c r="U40" s="74" t="s">
        <v>28</v>
      </c>
      <c r="V40" s="21" t="s">
        <v>37</v>
      </c>
      <c r="W40" s="21" t="s">
        <v>36</v>
      </c>
      <c r="X40" s="21" t="s">
        <v>28</v>
      </c>
    </row>
    <row r="41" customFormat="false" ht="15.75" hidden="false" customHeight="false" outlineLevel="0" collapsed="false">
      <c r="A41" s="61" t="n">
        <v>6092</v>
      </c>
      <c r="B41" s="29" t="n">
        <v>44519</v>
      </c>
      <c r="C41" s="21" t="s">
        <v>3880</v>
      </c>
      <c r="D41" s="21" t="s">
        <v>24</v>
      </c>
      <c r="E41" s="21" t="s">
        <v>25</v>
      </c>
      <c r="F41" s="21" t="s">
        <v>3881</v>
      </c>
      <c r="G41" s="30" t="s">
        <v>3882</v>
      </c>
      <c r="H41" s="45" t="str">
        <f aca="false">HYPERLINK("https://photos.app.goo.gl/3RL9n8T4sByNEkUj6", "Completo")</f>
        <v>Completo</v>
      </c>
      <c r="I41" s="21" t="s">
        <v>28</v>
      </c>
      <c r="J41" s="21"/>
      <c r="K41" s="21"/>
      <c r="L41" s="21"/>
      <c r="M41" s="21" t="s">
        <v>2133</v>
      </c>
      <c r="N41" s="30"/>
      <c r="O41" s="21"/>
      <c r="P41" s="21"/>
      <c r="Q41" s="21"/>
      <c r="R41" s="32"/>
      <c r="S41" s="32"/>
      <c r="T41" s="21"/>
      <c r="U41" s="21" t="s">
        <v>37</v>
      </c>
      <c r="V41" s="21" t="s">
        <v>37</v>
      </c>
      <c r="W41" s="21"/>
      <c r="X41" s="21" t="s">
        <v>28</v>
      </c>
    </row>
    <row r="42" customFormat="false" ht="15.75" hidden="false" customHeight="false" outlineLevel="0" collapsed="false">
      <c r="A42" s="61" t="n">
        <v>6093</v>
      </c>
      <c r="B42" s="29" t="n">
        <v>44519</v>
      </c>
      <c r="C42" s="21" t="s">
        <v>3880</v>
      </c>
      <c r="D42" s="21" t="s">
        <v>24</v>
      </c>
      <c r="E42" s="21" t="s">
        <v>25</v>
      </c>
      <c r="F42" s="21" t="s">
        <v>3881</v>
      </c>
      <c r="G42" s="30" t="s">
        <v>3883</v>
      </c>
      <c r="H42" s="45" t="str">
        <f aca="false">HYPERLINK("https://photos.app.goo.gl/8BMosDg4NEXX28T59", "Completo")</f>
        <v>Completo</v>
      </c>
      <c r="I42" s="21" t="s">
        <v>28</v>
      </c>
      <c r="J42" s="21"/>
      <c r="K42" s="21"/>
      <c r="L42" s="21"/>
      <c r="M42" s="21" t="s">
        <v>2133</v>
      </c>
      <c r="N42" s="30"/>
      <c r="O42" s="21"/>
      <c r="P42" s="21"/>
      <c r="Q42" s="21"/>
      <c r="R42" s="32"/>
      <c r="S42" s="32"/>
      <c r="T42" s="21"/>
      <c r="U42" s="21" t="s">
        <v>37</v>
      </c>
      <c r="V42" s="21" t="s">
        <v>37</v>
      </c>
      <c r="W42" s="21"/>
      <c r="X42" s="21" t="s">
        <v>28</v>
      </c>
    </row>
    <row r="43" customFormat="false" ht="15.75" hidden="false" customHeight="false" outlineLevel="0" collapsed="false">
      <c r="A43" s="61" t="n">
        <v>6094</v>
      </c>
      <c r="B43" s="29" t="n">
        <v>44519</v>
      </c>
      <c r="C43" s="21" t="s">
        <v>3884</v>
      </c>
      <c r="D43" s="21" t="s">
        <v>24</v>
      </c>
      <c r="E43" s="21" t="s">
        <v>34</v>
      </c>
      <c r="F43" s="21" t="s">
        <v>1501</v>
      </c>
      <c r="G43" s="30"/>
      <c r="H43" s="31"/>
      <c r="I43" s="21"/>
      <c r="J43" s="21"/>
      <c r="K43" s="21"/>
      <c r="L43" s="21"/>
      <c r="M43" s="21"/>
      <c r="N43" s="30"/>
      <c r="O43" s="21"/>
      <c r="P43" s="21"/>
      <c r="Q43" s="21"/>
      <c r="R43" s="32"/>
      <c r="S43" s="32"/>
      <c r="T43" s="21"/>
      <c r="U43" s="21" t="s">
        <v>37</v>
      </c>
      <c r="V43" s="21" t="s">
        <v>37</v>
      </c>
      <c r="W43" s="21"/>
      <c r="X43" s="21" t="s">
        <v>28</v>
      </c>
    </row>
    <row r="44" customFormat="false" ht="15.75" hidden="false" customHeight="false" outlineLevel="0" collapsed="false">
      <c r="A44" s="61" t="n">
        <v>6095</v>
      </c>
      <c r="B44" s="29" t="n">
        <v>44529</v>
      </c>
      <c r="C44" s="21" t="s">
        <v>3885</v>
      </c>
      <c r="D44" s="21" t="s">
        <v>24</v>
      </c>
      <c r="E44" s="21" t="s">
        <v>25</v>
      </c>
      <c r="F44" s="21" t="s">
        <v>3886</v>
      </c>
      <c r="G44" s="30"/>
      <c r="H44" s="45" t="str">
        <f aca="false">HYPERLINK("https://photos.app.goo.gl/65ADXzwq7cAR2byy7", "Completo")</f>
        <v>Completo</v>
      </c>
      <c r="I44" s="21" t="s">
        <v>28</v>
      </c>
      <c r="J44" s="21" t="n">
        <v>3516169647</v>
      </c>
      <c r="K44" s="21" t="s">
        <v>3887</v>
      </c>
      <c r="L44" s="21"/>
      <c r="M44" s="21" t="s">
        <v>2133</v>
      </c>
      <c r="N44" s="30"/>
      <c r="O44" s="21"/>
      <c r="P44" s="21"/>
      <c r="Q44" s="21"/>
      <c r="R44" s="32"/>
      <c r="S44" s="32"/>
      <c r="T44" s="21"/>
      <c r="U44" s="21" t="s">
        <v>37</v>
      </c>
      <c r="V44" s="21" t="s">
        <v>37</v>
      </c>
      <c r="W44" s="21"/>
      <c r="X44" s="21"/>
    </row>
    <row r="45" customFormat="false" ht="15.75" hidden="false" customHeight="false" outlineLevel="0" collapsed="false">
      <c r="A45" s="61" t="n">
        <v>6096</v>
      </c>
      <c r="B45" s="29" t="n">
        <v>44523</v>
      </c>
      <c r="C45" s="21" t="s">
        <v>3884</v>
      </c>
      <c r="D45" s="21" t="s">
        <v>24</v>
      </c>
      <c r="E45" s="21" t="s">
        <v>34</v>
      </c>
      <c r="F45" s="21" t="s">
        <v>3888</v>
      </c>
      <c r="G45" s="30"/>
      <c r="H45" s="31"/>
      <c r="I45" s="21"/>
      <c r="J45" s="21"/>
      <c r="K45" s="21"/>
      <c r="L45" s="21"/>
      <c r="M45" s="21"/>
      <c r="N45" s="30"/>
      <c r="O45" s="21"/>
      <c r="P45" s="21"/>
      <c r="Q45" s="21"/>
      <c r="R45" s="32"/>
      <c r="S45" s="32"/>
      <c r="T45" s="21"/>
      <c r="U45" s="21" t="s">
        <v>37</v>
      </c>
      <c r="V45" s="21" t="s">
        <v>37</v>
      </c>
      <c r="W45" s="21"/>
      <c r="X45" s="21" t="s">
        <v>28</v>
      </c>
    </row>
    <row r="46" customFormat="false" ht="15.75" hidden="false" customHeight="false" outlineLevel="0" collapsed="false">
      <c r="A46" s="61" t="n">
        <v>6097</v>
      </c>
      <c r="B46" s="29" t="n">
        <v>44523</v>
      </c>
      <c r="C46" s="21" t="s">
        <v>3889</v>
      </c>
      <c r="D46" s="21" t="s">
        <v>24</v>
      </c>
      <c r="E46" s="21" t="s">
        <v>25</v>
      </c>
      <c r="F46" s="21" t="s">
        <v>3890</v>
      </c>
      <c r="G46" s="30" t="s">
        <v>3891</v>
      </c>
      <c r="H46" s="45" t="str">
        <f aca="false">HYPERLINK("https://photos.app.goo.gl/6eBSeqDRNZNPzBgv9", "Completo")</f>
        <v>Completo</v>
      </c>
      <c r="I46" s="21" t="s">
        <v>28</v>
      </c>
      <c r="J46" s="21" t="n">
        <v>3416700999</v>
      </c>
      <c r="K46" s="21" t="s">
        <v>3892</v>
      </c>
      <c r="L46" s="21"/>
      <c r="M46" s="21"/>
      <c r="N46" s="30"/>
      <c r="O46" s="21"/>
      <c r="P46" s="21"/>
      <c r="Q46" s="21"/>
      <c r="R46" s="32"/>
      <c r="S46" s="32"/>
      <c r="T46" s="21"/>
      <c r="U46" s="21"/>
      <c r="V46" s="21"/>
      <c r="W46" s="21"/>
      <c r="X46" s="21" t="s">
        <v>28</v>
      </c>
    </row>
    <row r="47" customFormat="false" ht="15.75" hidden="false" customHeight="false" outlineLevel="0" collapsed="false">
      <c r="A47" s="61" t="n">
        <v>6098</v>
      </c>
      <c r="B47" s="29" t="n">
        <v>44524</v>
      </c>
      <c r="C47" s="21" t="s">
        <v>613</v>
      </c>
      <c r="D47" s="21" t="s">
        <v>24</v>
      </c>
      <c r="E47" s="21" t="s">
        <v>25</v>
      </c>
      <c r="F47" s="21" t="s">
        <v>2525</v>
      </c>
      <c r="G47" s="30" t="s">
        <v>3893</v>
      </c>
      <c r="H47" s="45" t="str">
        <f aca="false">HYPERLINK("https://photos.app.goo.gl/6rv52NDeHZBjoQheA", "Completo")</f>
        <v>Completo</v>
      </c>
      <c r="I47" s="21" t="s">
        <v>28</v>
      </c>
      <c r="J47" s="21"/>
      <c r="K47" s="21"/>
      <c r="L47" s="21"/>
      <c r="M47" s="21" t="s">
        <v>2133</v>
      </c>
      <c r="N47" s="30"/>
      <c r="O47" s="21"/>
      <c r="P47" s="21"/>
      <c r="Q47" s="21"/>
      <c r="R47" s="32"/>
      <c r="S47" s="32"/>
      <c r="T47" s="21"/>
      <c r="U47" s="21" t="s">
        <v>37</v>
      </c>
      <c r="V47" s="21" t="s">
        <v>37</v>
      </c>
      <c r="W47" s="21"/>
      <c r="X47" s="21" t="s">
        <v>28</v>
      </c>
    </row>
    <row r="48" customFormat="false" ht="15.75" hidden="false" customHeight="false" outlineLevel="0" collapsed="false">
      <c r="A48" s="63" t="n">
        <v>813032</v>
      </c>
      <c r="B48" s="29" t="n">
        <v>44524</v>
      </c>
      <c r="C48" s="21" t="s">
        <v>2688</v>
      </c>
      <c r="D48" s="21" t="s">
        <v>24</v>
      </c>
      <c r="E48" s="21" t="s">
        <v>25</v>
      </c>
      <c r="F48" s="21" t="s">
        <v>3894</v>
      </c>
      <c r="G48" s="30" t="s">
        <v>3895</v>
      </c>
      <c r="H48" s="45" t="str">
        <f aca="false">HYPERLINK("https://photos.app.goo.gl/TF6QPANdsL9GtQ9Y6", "Completo")</f>
        <v>Completo</v>
      </c>
      <c r="I48" s="21" t="s">
        <v>28</v>
      </c>
      <c r="J48" s="21"/>
      <c r="K48" s="21"/>
      <c r="L48" s="21"/>
      <c r="M48" s="21" t="s">
        <v>2133</v>
      </c>
      <c r="N48" s="30"/>
      <c r="O48" s="21"/>
      <c r="P48" s="21"/>
      <c r="Q48" s="21"/>
      <c r="R48" s="32"/>
      <c r="S48" s="32"/>
      <c r="T48" s="21"/>
      <c r="U48" s="21" t="s">
        <v>37</v>
      </c>
      <c r="V48" s="21" t="s">
        <v>37</v>
      </c>
      <c r="W48" s="21"/>
      <c r="X48" s="21" t="s">
        <v>28</v>
      </c>
    </row>
    <row r="49" customFormat="false" ht="15.75" hidden="false" customHeight="false" outlineLevel="0" collapsed="false">
      <c r="A49" s="61" t="n">
        <v>6099</v>
      </c>
      <c r="B49" s="29" t="n">
        <v>44524</v>
      </c>
      <c r="C49" s="21" t="s">
        <v>3896</v>
      </c>
      <c r="D49" s="21" t="s">
        <v>24</v>
      </c>
      <c r="E49" s="21" t="s">
        <v>34</v>
      </c>
      <c r="F49" s="21" t="s">
        <v>1668</v>
      </c>
      <c r="G49" s="30"/>
      <c r="H49" s="31"/>
      <c r="I49" s="21"/>
      <c r="J49" s="21"/>
      <c r="K49" s="21"/>
      <c r="L49" s="21"/>
      <c r="M49" s="21"/>
      <c r="N49" s="30"/>
      <c r="O49" s="21"/>
      <c r="P49" s="21"/>
      <c r="Q49" s="21"/>
      <c r="R49" s="32"/>
      <c r="S49" s="32"/>
      <c r="T49" s="21"/>
      <c r="U49" s="21" t="s">
        <v>37</v>
      </c>
      <c r="V49" s="21" t="s">
        <v>37</v>
      </c>
      <c r="W49" s="21"/>
      <c r="X49" s="21" t="s">
        <v>28</v>
      </c>
    </row>
    <row r="50" customFormat="false" ht="15.75" hidden="false" customHeight="false" outlineLevel="0" collapsed="false">
      <c r="A50" s="61" t="s">
        <v>3897</v>
      </c>
      <c r="B50" s="29" t="n">
        <v>44525</v>
      </c>
      <c r="C50" s="21" t="s">
        <v>3898</v>
      </c>
      <c r="D50" s="21" t="s">
        <v>24</v>
      </c>
      <c r="E50" s="21" t="s">
        <v>74</v>
      </c>
      <c r="F50" s="21" t="s">
        <v>3899</v>
      </c>
      <c r="G50" s="30" t="s">
        <v>36</v>
      </c>
      <c r="H50" s="88" t="s">
        <v>28</v>
      </c>
      <c r="I50" s="21" t="s">
        <v>28</v>
      </c>
      <c r="J50" s="21" t="s">
        <v>36</v>
      </c>
      <c r="K50" s="21" t="s">
        <v>36</v>
      </c>
      <c r="L50" s="21" t="s">
        <v>36</v>
      </c>
      <c r="M50" s="21" t="s">
        <v>3900</v>
      </c>
      <c r="N50" s="30" t="s">
        <v>36</v>
      </c>
      <c r="O50" s="21" t="s">
        <v>28</v>
      </c>
      <c r="P50" s="21" t="s">
        <v>28</v>
      </c>
      <c r="Q50" s="21" t="s">
        <v>73</v>
      </c>
      <c r="R50" s="32" t="s">
        <v>2850</v>
      </c>
      <c r="S50" s="32" t="s">
        <v>36</v>
      </c>
      <c r="T50" s="21" t="s">
        <v>74</v>
      </c>
      <c r="U50" s="74" t="s">
        <v>28</v>
      </c>
      <c r="V50" s="74" t="s">
        <v>28</v>
      </c>
      <c r="W50" s="21" t="s">
        <v>36</v>
      </c>
      <c r="X50" s="21" t="s">
        <v>37</v>
      </c>
    </row>
    <row r="51" customFormat="false" ht="15.75" hidden="false" customHeight="false" outlineLevel="0" collapsed="false">
      <c r="A51" s="61" t="s">
        <v>3901</v>
      </c>
      <c r="B51" s="29" t="n">
        <v>44525</v>
      </c>
      <c r="C51" s="21" t="s">
        <v>3898</v>
      </c>
      <c r="D51" s="21" t="s">
        <v>24</v>
      </c>
      <c r="E51" s="21" t="s">
        <v>74</v>
      </c>
      <c r="F51" s="21" t="s">
        <v>3899</v>
      </c>
      <c r="G51" s="30" t="s">
        <v>36</v>
      </c>
      <c r="H51" s="88" t="s">
        <v>28</v>
      </c>
      <c r="I51" s="21" t="s">
        <v>28</v>
      </c>
      <c r="J51" s="21" t="s">
        <v>36</v>
      </c>
      <c r="K51" s="21" t="s">
        <v>36</v>
      </c>
      <c r="L51" s="21" t="s">
        <v>36</v>
      </c>
      <c r="M51" s="21" t="s">
        <v>3900</v>
      </c>
      <c r="N51" s="30" t="s">
        <v>36</v>
      </c>
      <c r="O51" s="21" t="s">
        <v>28</v>
      </c>
      <c r="P51" s="21" t="s">
        <v>28</v>
      </c>
      <c r="Q51" s="21" t="s">
        <v>73</v>
      </c>
      <c r="R51" s="32" t="s">
        <v>2850</v>
      </c>
      <c r="S51" s="32" t="s">
        <v>36</v>
      </c>
      <c r="T51" s="21" t="s">
        <v>74</v>
      </c>
      <c r="U51" s="74" t="s">
        <v>28</v>
      </c>
      <c r="V51" s="74" t="s">
        <v>28</v>
      </c>
      <c r="W51" s="21" t="s">
        <v>36</v>
      </c>
      <c r="X51" s="21" t="s">
        <v>37</v>
      </c>
    </row>
    <row r="52" customFormat="false" ht="15.75" hidden="false" customHeight="false" outlineLevel="0" collapsed="false">
      <c r="A52" s="61" t="n">
        <v>6100</v>
      </c>
      <c r="B52" s="29" t="n">
        <v>44526</v>
      </c>
      <c r="C52" s="21" t="s">
        <v>3902</v>
      </c>
      <c r="D52" s="21" t="s">
        <v>24</v>
      </c>
      <c r="E52" s="21" t="s">
        <v>74</v>
      </c>
      <c r="F52" s="21" t="s">
        <v>3903</v>
      </c>
      <c r="G52" s="30"/>
      <c r="H52" s="45" t="str">
        <f aca="false">HYPERLINK("https://photos.app.goo.gl/sG5x6i9rCHmw43AT9", "Completo")</f>
        <v>Completo</v>
      </c>
      <c r="I52" s="21" t="s">
        <v>28</v>
      </c>
      <c r="J52" s="21" t="n">
        <v>3825665681</v>
      </c>
      <c r="K52" s="21" t="s">
        <v>36</v>
      </c>
      <c r="L52" s="21" t="s">
        <v>36</v>
      </c>
      <c r="M52" s="21" t="s">
        <v>3376</v>
      </c>
      <c r="N52" s="30"/>
      <c r="O52" s="21" t="s">
        <v>28</v>
      </c>
      <c r="P52" s="21" t="s">
        <v>28</v>
      </c>
      <c r="Q52" s="21" t="s">
        <v>3904</v>
      </c>
      <c r="R52" s="32" t="s">
        <v>2850</v>
      </c>
      <c r="S52" s="32" t="s">
        <v>29</v>
      </c>
      <c r="T52" s="21" t="s">
        <v>74</v>
      </c>
      <c r="U52" s="74" t="s">
        <v>28</v>
      </c>
      <c r="V52" s="74" t="s">
        <v>28</v>
      </c>
      <c r="W52" s="21" t="s">
        <v>36</v>
      </c>
      <c r="X52" s="21" t="s">
        <v>28</v>
      </c>
    </row>
    <row r="53" customFormat="false" ht="15.75" hidden="false" customHeight="false" outlineLevel="0" collapsed="false">
      <c r="A53" s="61" t="n">
        <v>6101</v>
      </c>
      <c r="B53" s="29" t="n">
        <v>44526</v>
      </c>
      <c r="C53" s="21" t="s">
        <v>3902</v>
      </c>
      <c r="D53" s="21" t="s">
        <v>24</v>
      </c>
      <c r="E53" s="21" t="s">
        <v>74</v>
      </c>
      <c r="F53" s="21" t="s">
        <v>3903</v>
      </c>
      <c r="G53" s="30"/>
      <c r="H53" s="45" t="str">
        <f aca="false">HYPERLINK("https://photos.app.goo.gl/LSFuAP4gZG9Xi3W96", "Completo")</f>
        <v>Completo</v>
      </c>
      <c r="I53" s="21" t="s">
        <v>28</v>
      </c>
      <c r="J53" s="21" t="n">
        <v>3825665681</v>
      </c>
      <c r="K53" s="21" t="s">
        <v>36</v>
      </c>
      <c r="L53" s="21" t="s">
        <v>36</v>
      </c>
      <c r="M53" s="21" t="s">
        <v>3376</v>
      </c>
      <c r="N53" s="30"/>
      <c r="O53" s="21" t="s">
        <v>28</v>
      </c>
      <c r="P53" s="21" t="s">
        <v>28</v>
      </c>
      <c r="Q53" s="21" t="s">
        <v>3904</v>
      </c>
      <c r="R53" s="32" t="s">
        <v>2850</v>
      </c>
      <c r="S53" s="32" t="s">
        <v>36</v>
      </c>
      <c r="T53" s="21" t="s">
        <v>74</v>
      </c>
      <c r="U53" s="74" t="s">
        <v>28</v>
      </c>
      <c r="V53" s="74" t="s">
        <v>28</v>
      </c>
      <c r="W53" s="21" t="s">
        <v>36</v>
      </c>
      <c r="X53" s="21" t="s">
        <v>28</v>
      </c>
    </row>
    <row r="54" customFormat="false" ht="15.75" hidden="false" customHeight="false" outlineLevel="0" collapsed="false">
      <c r="A54" s="61" t="n">
        <v>6102</v>
      </c>
      <c r="B54" s="29" t="n">
        <v>44529</v>
      </c>
      <c r="C54" s="21" t="s">
        <v>814</v>
      </c>
      <c r="D54" s="21" t="s">
        <v>24</v>
      </c>
      <c r="E54" s="21" t="s">
        <v>25</v>
      </c>
      <c r="F54" s="21" t="s">
        <v>1554</v>
      </c>
      <c r="G54" s="30" t="s">
        <v>1657</v>
      </c>
      <c r="H54" s="45" t="str">
        <f aca="false">HYPERLINK("https://photos.app.goo.gl/R6kvRs9aeEqvvJdh6", "Completo")</f>
        <v>Completo</v>
      </c>
      <c r="I54" s="21" t="s">
        <v>28</v>
      </c>
      <c r="J54" s="21"/>
      <c r="K54" s="21"/>
      <c r="L54" s="21"/>
      <c r="M54" s="21" t="s">
        <v>2133</v>
      </c>
      <c r="N54" s="30" t="s">
        <v>3905</v>
      </c>
      <c r="O54" s="21" t="s">
        <v>28</v>
      </c>
      <c r="P54" s="21" t="s">
        <v>28</v>
      </c>
      <c r="Q54" s="21" t="s">
        <v>2803</v>
      </c>
      <c r="R54" s="32" t="s">
        <v>74</v>
      </c>
      <c r="S54" s="32" t="s">
        <v>36</v>
      </c>
      <c r="T54" s="21" t="s">
        <v>74</v>
      </c>
      <c r="U54" s="74" t="s">
        <v>28</v>
      </c>
      <c r="V54" s="74" t="s">
        <v>28</v>
      </c>
      <c r="W54" s="21" t="s">
        <v>36</v>
      </c>
      <c r="X54" s="21" t="s">
        <v>28</v>
      </c>
    </row>
    <row r="55" customFormat="false" ht="15.75" hidden="false" customHeight="false" outlineLevel="0" collapsed="false">
      <c r="A55" s="61" t="n">
        <v>6103</v>
      </c>
      <c r="B55" s="29" t="n">
        <v>44529</v>
      </c>
      <c r="C55" s="21" t="s">
        <v>3906</v>
      </c>
      <c r="D55" s="21" t="s">
        <v>24</v>
      </c>
      <c r="E55" s="21" t="s">
        <v>25</v>
      </c>
      <c r="F55" s="21" t="s">
        <v>3907</v>
      </c>
      <c r="G55" s="30"/>
      <c r="H55" s="45" t="str">
        <f aca="false">HYPERLINK("https://photos.app.goo.gl/NUeq9DNRHEAu5mju6", "Completo")</f>
        <v>Completo</v>
      </c>
      <c r="I55" s="21" t="s">
        <v>28</v>
      </c>
      <c r="J55" s="21"/>
      <c r="K55" s="21"/>
      <c r="L55" s="21"/>
      <c r="M55" s="21" t="s">
        <v>2255</v>
      </c>
      <c r="N55" s="30"/>
      <c r="O55" s="21"/>
      <c r="P55" s="21"/>
      <c r="Q55" s="21"/>
      <c r="R55" s="32"/>
      <c r="S55" s="32"/>
      <c r="T55" s="21"/>
      <c r="U55" s="21" t="s">
        <v>37</v>
      </c>
      <c r="V55" s="21" t="s">
        <v>37</v>
      </c>
      <c r="W55" s="21"/>
      <c r="X55" s="21"/>
    </row>
    <row r="56" customFormat="false" ht="15.75" hidden="false" customHeight="false" outlineLevel="0" collapsed="false">
      <c r="A56" s="61" t="n">
        <v>6104</v>
      </c>
      <c r="B56" s="29" t="n">
        <v>44530</v>
      </c>
      <c r="C56" s="21" t="s">
        <v>3705</v>
      </c>
      <c r="D56" s="21" t="s">
        <v>24</v>
      </c>
      <c r="E56" s="21" t="s">
        <v>34</v>
      </c>
      <c r="F56" s="21" t="s">
        <v>3908</v>
      </c>
      <c r="G56" s="30"/>
      <c r="H56" s="31"/>
      <c r="I56" s="21"/>
      <c r="J56" s="21"/>
      <c r="K56" s="21"/>
      <c r="L56" s="21"/>
      <c r="M56" s="21"/>
      <c r="N56" s="30"/>
      <c r="O56" s="21"/>
      <c r="P56" s="21"/>
      <c r="Q56" s="21"/>
      <c r="R56" s="32"/>
      <c r="S56" s="32"/>
      <c r="T56" s="21"/>
      <c r="U56" s="21"/>
      <c r="V56" s="21"/>
      <c r="W56" s="21"/>
      <c r="X56" s="21" t="s">
        <v>28</v>
      </c>
    </row>
    <row r="57" customFormat="false" ht="15.75" hidden="false" customHeight="false" outlineLevel="0" collapsed="false">
      <c r="A57" s="61" t="n">
        <v>6105</v>
      </c>
      <c r="B57" s="29" t="n">
        <v>44530</v>
      </c>
      <c r="C57" s="21" t="s">
        <v>3705</v>
      </c>
      <c r="D57" s="21" t="s">
        <v>24</v>
      </c>
      <c r="E57" s="21" t="s">
        <v>34</v>
      </c>
      <c r="F57" s="21" t="s">
        <v>3908</v>
      </c>
      <c r="G57" s="30"/>
      <c r="H57" s="31"/>
      <c r="I57" s="21"/>
      <c r="J57" s="21"/>
      <c r="K57" s="21"/>
      <c r="L57" s="21"/>
      <c r="M57" s="21"/>
      <c r="N57" s="30"/>
      <c r="O57" s="21"/>
      <c r="P57" s="21"/>
      <c r="Q57" s="21"/>
      <c r="R57" s="32"/>
      <c r="S57" s="32"/>
      <c r="T57" s="21"/>
      <c r="U57" s="21"/>
      <c r="V57" s="21"/>
      <c r="W57" s="21"/>
      <c r="X57" s="21" t="s">
        <v>28</v>
      </c>
    </row>
    <row r="58" customFormat="false" ht="15.75" hidden="false" customHeight="false" outlineLevel="0" collapsed="false">
      <c r="A58" s="61" t="n">
        <v>6106</v>
      </c>
      <c r="B58" s="29" t="n">
        <v>44530</v>
      </c>
      <c r="C58" s="21" t="s">
        <v>3909</v>
      </c>
      <c r="D58" s="21" t="s">
        <v>24</v>
      </c>
      <c r="E58" s="21" t="s">
        <v>25</v>
      </c>
      <c r="F58" s="21" t="s">
        <v>3910</v>
      </c>
      <c r="G58" s="30" t="s">
        <v>2453</v>
      </c>
      <c r="H58" s="31" t="s">
        <v>28</v>
      </c>
      <c r="I58" s="21" t="s">
        <v>28</v>
      </c>
      <c r="J58" s="21" t="n">
        <v>3512715715</v>
      </c>
      <c r="K58" s="21" t="s">
        <v>3911</v>
      </c>
      <c r="L58" s="21"/>
      <c r="M58" s="21" t="s">
        <v>3912</v>
      </c>
      <c r="N58" s="30"/>
      <c r="O58" s="21"/>
      <c r="P58" s="21"/>
      <c r="Q58" s="21"/>
      <c r="R58" s="32"/>
      <c r="S58" s="32"/>
      <c r="T58" s="21"/>
      <c r="U58" s="21"/>
      <c r="V58" s="21"/>
      <c r="W58" s="21"/>
      <c r="X58" s="21" t="s">
        <v>28</v>
      </c>
    </row>
    <row r="59" customFormat="false" ht="15.75" hidden="false" customHeight="false" outlineLevel="0" collapsed="false">
      <c r="A59" s="61" t="s">
        <v>3913</v>
      </c>
      <c r="B59" s="29" t="n">
        <v>44531</v>
      </c>
      <c r="C59" s="21" t="s">
        <v>3914</v>
      </c>
      <c r="D59" s="21" t="s">
        <v>578</v>
      </c>
      <c r="E59" s="21" t="s">
        <v>25</v>
      </c>
      <c r="F59" s="21" t="s">
        <v>3915</v>
      </c>
      <c r="G59" s="30" t="s">
        <v>3916</v>
      </c>
      <c r="H59" s="31" t="s">
        <v>28</v>
      </c>
      <c r="I59" s="21" t="s">
        <v>28</v>
      </c>
      <c r="J59" s="21"/>
      <c r="K59" s="21"/>
      <c r="L59" s="21"/>
      <c r="M59" s="21" t="s">
        <v>2255</v>
      </c>
      <c r="N59" s="30"/>
      <c r="O59" s="21" t="s">
        <v>28</v>
      </c>
      <c r="P59" s="21" t="s">
        <v>28</v>
      </c>
      <c r="Q59" s="21" t="s">
        <v>1062</v>
      </c>
      <c r="R59" s="32" t="s">
        <v>2850</v>
      </c>
      <c r="S59" s="32" t="s">
        <v>36</v>
      </c>
      <c r="T59" s="21"/>
      <c r="U59" s="21" t="s">
        <v>37</v>
      </c>
      <c r="V59" s="21" t="s">
        <v>37</v>
      </c>
      <c r="W59" s="21"/>
      <c r="X59" s="21" t="s">
        <v>37</v>
      </c>
    </row>
    <row r="60" customFormat="false" ht="15.75" hidden="false" customHeight="false" outlineLevel="0" collapsed="false">
      <c r="A60" s="61" t="n">
        <v>6037</v>
      </c>
      <c r="B60" s="29" t="n">
        <v>44531</v>
      </c>
      <c r="C60" s="21" t="s">
        <v>3917</v>
      </c>
      <c r="D60" s="21" t="s">
        <v>24</v>
      </c>
      <c r="E60" s="21" t="s">
        <v>25</v>
      </c>
      <c r="F60" s="21" t="s">
        <v>3918</v>
      </c>
      <c r="G60" s="30"/>
      <c r="H60" s="45" t="str">
        <f aca="false">HYPERLINK("https://photos.app.goo.gl/FhngUvtpb4APvCbM6", "Completo")</f>
        <v>Completo</v>
      </c>
      <c r="I60" s="21" t="s">
        <v>28</v>
      </c>
      <c r="J60" s="21"/>
      <c r="K60" s="21"/>
      <c r="L60" s="21"/>
      <c r="M60" s="21"/>
      <c r="N60" s="30"/>
      <c r="O60" s="21"/>
      <c r="P60" s="21"/>
      <c r="Q60" s="21"/>
      <c r="R60" s="32"/>
      <c r="S60" s="32"/>
      <c r="T60" s="21"/>
      <c r="U60" s="21" t="s">
        <v>37</v>
      </c>
      <c r="V60" s="21" t="s">
        <v>37</v>
      </c>
      <c r="W60" s="21"/>
      <c r="X60" s="21" t="s">
        <v>37</v>
      </c>
    </row>
    <row r="61" customFormat="false" ht="15.75" hidden="false" customHeight="false" outlineLevel="0" collapsed="false">
      <c r="A61" s="63" t="n">
        <v>1166952</v>
      </c>
      <c r="B61" s="29" t="n">
        <v>44531</v>
      </c>
      <c r="C61" s="21" t="s">
        <v>3528</v>
      </c>
      <c r="D61" s="21" t="s">
        <v>290</v>
      </c>
      <c r="E61" s="21" t="s">
        <v>25</v>
      </c>
      <c r="F61" s="21" t="s">
        <v>3919</v>
      </c>
      <c r="G61" s="30"/>
      <c r="H61" s="45" t="str">
        <f aca="false">HYPERLINK("https://photos.app.goo.gl/NdXS43YcBKs3Xxcb6", "Completo")</f>
        <v>Completo</v>
      </c>
      <c r="I61" s="21" t="s">
        <v>28</v>
      </c>
      <c r="J61" s="21"/>
      <c r="K61" s="21"/>
      <c r="L61" s="21"/>
      <c r="M61" s="21" t="s">
        <v>2255</v>
      </c>
      <c r="N61" s="30"/>
      <c r="O61" s="21"/>
      <c r="P61" s="21"/>
      <c r="Q61" s="21"/>
      <c r="R61" s="32"/>
      <c r="S61" s="32"/>
      <c r="T61" s="21"/>
      <c r="U61" s="21" t="s">
        <v>37</v>
      </c>
      <c r="V61" s="21" t="s">
        <v>37</v>
      </c>
      <c r="W61" s="21"/>
      <c r="X61" s="21" t="s">
        <v>37</v>
      </c>
    </row>
    <row r="62" customFormat="false" ht="15.75" hidden="false" customHeight="false" outlineLevel="0" collapsed="false">
      <c r="A62" s="61"/>
      <c r="B62" s="29"/>
      <c r="C62" s="21"/>
      <c r="D62" s="21"/>
      <c r="E62" s="21"/>
      <c r="F62" s="21"/>
      <c r="G62" s="30"/>
      <c r="H62" s="31"/>
      <c r="I62" s="21"/>
      <c r="J62" s="21"/>
      <c r="K62" s="21"/>
      <c r="L62" s="21"/>
      <c r="M62" s="21"/>
      <c r="N62" s="30"/>
      <c r="O62" s="21"/>
      <c r="P62" s="21"/>
      <c r="Q62" s="21"/>
      <c r="R62" s="32"/>
      <c r="S62" s="32"/>
      <c r="T62" s="21"/>
      <c r="U62" s="21"/>
      <c r="V62" s="21"/>
      <c r="W62" s="21"/>
      <c r="X62" s="21"/>
    </row>
    <row r="63" customFormat="false" ht="15.75" hidden="false" customHeight="false" outlineLevel="0" collapsed="false">
      <c r="A63" s="61"/>
      <c r="B63" s="29"/>
      <c r="C63" s="21"/>
      <c r="D63" s="21"/>
      <c r="E63" s="21"/>
      <c r="F63" s="21"/>
      <c r="G63" s="30"/>
      <c r="H63" s="31"/>
      <c r="I63" s="21"/>
      <c r="J63" s="21"/>
      <c r="K63" s="21"/>
      <c r="L63" s="21"/>
      <c r="M63" s="21"/>
      <c r="N63" s="30"/>
      <c r="O63" s="21"/>
      <c r="P63" s="21"/>
      <c r="Q63" s="21"/>
      <c r="R63" s="32"/>
      <c r="S63" s="32"/>
      <c r="T63" s="21"/>
      <c r="U63" s="21"/>
      <c r="V63" s="21"/>
      <c r="W63" s="21"/>
      <c r="X63" s="21"/>
    </row>
    <row r="64" customFormat="false" ht="15.75" hidden="false" customHeight="false" outlineLevel="0" collapsed="false">
      <c r="A64" s="61"/>
      <c r="B64" s="29"/>
      <c r="C64" s="21"/>
      <c r="D64" s="21"/>
      <c r="E64" s="21"/>
      <c r="F64" s="21"/>
      <c r="G64" s="30"/>
      <c r="H64" s="31"/>
      <c r="I64" s="21"/>
      <c r="J64" s="21"/>
      <c r="K64" s="21"/>
      <c r="L64" s="21"/>
      <c r="M64" s="21"/>
      <c r="N64" s="30"/>
      <c r="O64" s="21"/>
      <c r="P64" s="21"/>
      <c r="Q64" s="21"/>
      <c r="R64" s="32"/>
      <c r="S64" s="32"/>
      <c r="T64" s="21"/>
      <c r="U64" s="21"/>
      <c r="V64" s="21"/>
      <c r="W64" s="21"/>
      <c r="X64" s="21"/>
    </row>
    <row r="65" customFormat="false" ht="15.75" hidden="false" customHeight="false" outlineLevel="0" collapsed="false">
      <c r="A65" s="61"/>
      <c r="B65" s="29"/>
      <c r="C65" s="21"/>
      <c r="D65" s="21"/>
      <c r="E65" s="21"/>
      <c r="F65" s="21"/>
      <c r="G65" s="30"/>
      <c r="H65" s="31"/>
      <c r="I65" s="21"/>
      <c r="J65" s="21"/>
      <c r="K65" s="21"/>
      <c r="L65" s="21"/>
      <c r="M65" s="21"/>
      <c r="N65" s="30"/>
      <c r="O65" s="21"/>
      <c r="P65" s="21"/>
      <c r="Q65" s="21"/>
      <c r="R65" s="32"/>
      <c r="S65" s="32"/>
      <c r="T65" s="21"/>
      <c r="U65" s="21"/>
      <c r="V65" s="21"/>
      <c r="W65" s="21"/>
      <c r="X65" s="21"/>
    </row>
    <row r="66" customFormat="false" ht="15.75" hidden="false" customHeight="false" outlineLevel="0" collapsed="false">
      <c r="A66" s="61"/>
      <c r="B66" s="29"/>
      <c r="C66" s="21"/>
      <c r="D66" s="21"/>
      <c r="E66" s="21"/>
      <c r="F66" s="21"/>
      <c r="G66" s="30"/>
      <c r="H66" s="31"/>
      <c r="I66" s="21"/>
      <c r="J66" s="21"/>
      <c r="K66" s="21"/>
      <c r="L66" s="21"/>
      <c r="M66" s="21"/>
      <c r="N66" s="30"/>
      <c r="O66" s="21"/>
      <c r="P66" s="21"/>
      <c r="Q66" s="21"/>
      <c r="R66" s="32"/>
      <c r="S66" s="32"/>
      <c r="T66" s="21"/>
      <c r="U66" s="21"/>
      <c r="V66" s="21"/>
      <c r="W66" s="21"/>
      <c r="X66" s="21"/>
    </row>
    <row r="67" customFormat="false" ht="15.75" hidden="false" customHeight="false" outlineLevel="0" collapsed="false">
      <c r="A67" s="61"/>
      <c r="B67" s="29"/>
      <c r="C67" s="21"/>
      <c r="D67" s="21"/>
      <c r="E67" s="21"/>
      <c r="F67" s="21"/>
      <c r="G67" s="30"/>
      <c r="H67" s="31"/>
      <c r="I67" s="21"/>
      <c r="J67" s="21"/>
      <c r="K67" s="21"/>
      <c r="L67" s="21"/>
      <c r="M67" s="21"/>
      <c r="N67" s="30"/>
      <c r="O67" s="21"/>
      <c r="P67" s="21"/>
      <c r="Q67" s="21"/>
      <c r="R67" s="32"/>
      <c r="S67" s="32"/>
      <c r="T67" s="21"/>
      <c r="U67" s="21"/>
      <c r="V67" s="21"/>
      <c r="W67" s="21"/>
      <c r="X67" s="21"/>
    </row>
    <row r="68" customFormat="false" ht="15.75" hidden="false" customHeight="false" outlineLevel="0" collapsed="false">
      <c r="A68" s="61"/>
      <c r="B68" s="29"/>
      <c r="C68" s="21"/>
      <c r="D68" s="21"/>
      <c r="E68" s="21"/>
      <c r="F68" s="21"/>
      <c r="G68" s="30"/>
      <c r="H68" s="31"/>
      <c r="I68" s="21"/>
      <c r="J68" s="21"/>
      <c r="K68" s="21"/>
      <c r="L68" s="21"/>
      <c r="M68" s="21"/>
      <c r="N68" s="30"/>
      <c r="O68" s="21"/>
      <c r="P68" s="21"/>
      <c r="Q68" s="21"/>
      <c r="R68" s="32"/>
      <c r="S68" s="32"/>
      <c r="T68" s="21"/>
      <c r="U68" s="21"/>
      <c r="V68" s="21"/>
      <c r="W68" s="21"/>
      <c r="X68" s="21"/>
    </row>
    <row r="69" customFormat="false" ht="15.75" hidden="false" customHeight="false" outlineLevel="0" collapsed="false">
      <c r="A69" s="61"/>
      <c r="B69" s="29"/>
      <c r="C69" s="21"/>
      <c r="D69" s="21"/>
      <c r="E69" s="21"/>
      <c r="F69" s="21"/>
      <c r="G69" s="30"/>
      <c r="H69" s="31"/>
      <c r="I69" s="21"/>
      <c r="J69" s="21"/>
      <c r="K69" s="21"/>
      <c r="L69" s="21"/>
      <c r="M69" s="21"/>
      <c r="N69" s="30"/>
      <c r="O69" s="21"/>
      <c r="P69" s="21"/>
      <c r="Q69" s="21"/>
      <c r="R69" s="32"/>
      <c r="S69" s="32"/>
      <c r="T69" s="21"/>
      <c r="U69" s="21"/>
      <c r="V69" s="21"/>
      <c r="W69" s="21"/>
      <c r="X69" s="21"/>
    </row>
    <row r="70" customFormat="false" ht="15.75" hidden="false" customHeight="false" outlineLevel="0" collapsed="false">
      <c r="A70" s="61"/>
      <c r="B70" s="29"/>
      <c r="C70" s="21"/>
      <c r="D70" s="21"/>
      <c r="E70" s="21"/>
      <c r="F70" s="21"/>
      <c r="G70" s="30"/>
      <c r="H70" s="31"/>
      <c r="I70" s="21"/>
      <c r="J70" s="21"/>
      <c r="K70" s="21"/>
      <c r="L70" s="21"/>
      <c r="M70" s="21"/>
      <c r="N70" s="30"/>
      <c r="O70" s="21"/>
      <c r="P70" s="21"/>
      <c r="Q70" s="21"/>
      <c r="R70" s="32"/>
      <c r="S70" s="32"/>
      <c r="T70" s="21"/>
      <c r="U70" s="21"/>
      <c r="V70" s="21"/>
      <c r="W70" s="21"/>
      <c r="X70" s="21"/>
    </row>
    <row r="71" customFormat="false" ht="15.75" hidden="false" customHeight="false" outlineLevel="0" collapsed="false">
      <c r="A71" s="61"/>
      <c r="B71" s="29"/>
      <c r="C71" s="21"/>
      <c r="D71" s="21"/>
      <c r="E71" s="21"/>
      <c r="F71" s="21"/>
      <c r="G71" s="30"/>
      <c r="H71" s="31"/>
      <c r="I71" s="21"/>
      <c r="J71" s="21"/>
      <c r="K71" s="21"/>
      <c r="L71" s="21"/>
      <c r="M71" s="21"/>
      <c r="N71" s="30"/>
      <c r="O71" s="21"/>
      <c r="P71" s="21"/>
      <c r="Q71" s="21"/>
      <c r="R71" s="32"/>
      <c r="S71" s="32"/>
      <c r="T71" s="21"/>
      <c r="U71" s="21"/>
      <c r="V71" s="21"/>
      <c r="W71" s="21"/>
      <c r="X71" s="21"/>
    </row>
    <row r="72" customFormat="false" ht="15.75" hidden="false" customHeight="false" outlineLevel="0" collapsed="false">
      <c r="A72" s="61"/>
      <c r="B72" s="29"/>
      <c r="C72" s="21"/>
      <c r="D72" s="21"/>
      <c r="E72" s="21"/>
      <c r="F72" s="21"/>
      <c r="G72" s="30"/>
      <c r="H72" s="31"/>
      <c r="I72" s="21"/>
      <c r="J72" s="21"/>
      <c r="K72" s="21"/>
      <c r="L72" s="21"/>
      <c r="M72" s="21"/>
      <c r="N72" s="30"/>
      <c r="O72" s="21"/>
      <c r="P72" s="21"/>
      <c r="Q72" s="21"/>
      <c r="R72" s="32"/>
      <c r="S72" s="32"/>
      <c r="T72" s="21"/>
      <c r="U72" s="21"/>
      <c r="V72" s="21"/>
      <c r="W72" s="21"/>
      <c r="X72" s="21"/>
    </row>
    <row r="73" customFormat="false" ht="15.75" hidden="false" customHeight="false" outlineLevel="0" collapsed="false">
      <c r="A73" s="61"/>
      <c r="B73" s="29"/>
      <c r="C73" s="21"/>
      <c r="D73" s="21"/>
      <c r="E73" s="21"/>
      <c r="F73" s="21"/>
      <c r="G73" s="30"/>
      <c r="H73" s="31"/>
      <c r="I73" s="21"/>
      <c r="J73" s="21"/>
      <c r="K73" s="21"/>
      <c r="L73" s="21"/>
      <c r="M73" s="21"/>
      <c r="N73" s="30"/>
      <c r="O73" s="21"/>
      <c r="P73" s="21"/>
      <c r="Q73" s="21"/>
      <c r="R73" s="32"/>
      <c r="S73" s="32"/>
      <c r="T73" s="21"/>
      <c r="U73" s="21"/>
      <c r="V73" s="21"/>
      <c r="W73" s="21"/>
      <c r="X73" s="21"/>
    </row>
    <row r="74" customFormat="false" ht="15.75" hidden="false" customHeight="false" outlineLevel="0" collapsed="false">
      <c r="A74" s="61"/>
      <c r="B74" s="29"/>
      <c r="C74" s="21"/>
      <c r="D74" s="21"/>
      <c r="E74" s="21"/>
      <c r="F74" s="21"/>
      <c r="G74" s="30"/>
      <c r="H74" s="31"/>
      <c r="I74" s="21"/>
      <c r="J74" s="21"/>
      <c r="K74" s="21"/>
      <c r="L74" s="21"/>
      <c r="M74" s="21"/>
      <c r="N74" s="30"/>
      <c r="O74" s="21"/>
      <c r="P74" s="21"/>
      <c r="Q74" s="21"/>
      <c r="R74" s="32"/>
      <c r="S74" s="32"/>
      <c r="T74" s="21"/>
      <c r="U74" s="21"/>
      <c r="V74" s="21"/>
      <c r="W74" s="21"/>
      <c r="X74" s="21"/>
    </row>
    <row r="75" customFormat="false" ht="15.75" hidden="false" customHeight="false" outlineLevel="0" collapsed="false">
      <c r="A75" s="61"/>
      <c r="B75" s="29"/>
      <c r="C75" s="21"/>
      <c r="D75" s="21"/>
      <c r="E75" s="21"/>
      <c r="F75" s="21"/>
      <c r="G75" s="30"/>
      <c r="H75" s="31"/>
      <c r="I75" s="21"/>
      <c r="J75" s="21"/>
      <c r="K75" s="21"/>
      <c r="L75" s="21"/>
      <c r="M75" s="21"/>
      <c r="N75" s="30"/>
      <c r="O75" s="21"/>
      <c r="P75" s="21"/>
      <c r="Q75" s="21"/>
      <c r="R75" s="32"/>
      <c r="S75" s="32"/>
      <c r="T75" s="21"/>
      <c r="U75" s="21"/>
      <c r="V75" s="21"/>
      <c r="W75" s="21"/>
      <c r="X75" s="21"/>
    </row>
    <row r="76" customFormat="false" ht="15.75" hidden="false" customHeight="false" outlineLevel="0" collapsed="false">
      <c r="A76" s="61"/>
      <c r="B76" s="29"/>
      <c r="C76" s="21"/>
      <c r="D76" s="21"/>
      <c r="E76" s="21"/>
      <c r="F76" s="21"/>
      <c r="G76" s="30"/>
      <c r="H76" s="31"/>
      <c r="I76" s="21"/>
      <c r="J76" s="21"/>
      <c r="K76" s="21"/>
      <c r="L76" s="21"/>
      <c r="M76" s="21"/>
      <c r="N76" s="30"/>
      <c r="O76" s="21"/>
      <c r="P76" s="21"/>
      <c r="Q76" s="21"/>
      <c r="R76" s="32"/>
      <c r="S76" s="32"/>
      <c r="T76" s="21"/>
      <c r="U76" s="21"/>
      <c r="V76" s="21"/>
      <c r="W76" s="21"/>
      <c r="X76" s="21"/>
    </row>
    <row r="77" customFormat="false" ht="15.75" hidden="false" customHeight="false" outlineLevel="0" collapsed="false">
      <c r="A77" s="61"/>
      <c r="B77" s="29"/>
      <c r="C77" s="21"/>
      <c r="D77" s="21"/>
      <c r="E77" s="21"/>
      <c r="F77" s="21"/>
      <c r="G77" s="30"/>
      <c r="H77" s="31"/>
      <c r="I77" s="21"/>
      <c r="J77" s="21"/>
      <c r="K77" s="21"/>
      <c r="L77" s="21"/>
      <c r="M77" s="21"/>
      <c r="N77" s="30"/>
      <c r="O77" s="21"/>
      <c r="P77" s="21"/>
      <c r="Q77" s="21"/>
      <c r="R77" s="32"/>
      <c r="S77" s="32"/>
      <c r="T77" s="21"/>
      <c r="U77" s="21"/>
      <c r="V77" s="21"/>
      <c r="W77" s="21"/>
      <c r="X77" s="21"/>
    </row>
    <row r="78" customFormat="false" ht="15.75" hidden="false" customHeight="false" outlineLevel="0" collapsed="false">
      <c r="A78" s="61"/>
      <c r="B78" s="29"/>
      <c r="C78" s="21"/>
      <c r="D78" s="21"/>
      <c r="E78" s="21"/>
      <c r="F78" s="21"/>
      <c r="G78" s="30"/>
      <c r="H78" s="31"/>
      <c r="I78" s="21"/>
      <c r="J78" s="21"/>
      <c r="K78" s="21"/>
      <c r="L78" s="21"/>
      <c r="M78" s="21"/>
      <c r="N78" s="30"/>
      <c r="O78" s="21"/>
      <c r="P78" s="21"/>
      <c r="Q78" s="21"/>
      <c r="R78" s="32"/>
      <c r="S78" s="32"/>
      <c r="T78" s="21"/>
      <c r="U78" s="21"/>
      <c r="V78" s="21"/>
      <c r="W78" s="21"/>
      <c r="X78" s="21"/>
    </row>
    <row r="79" customFormat="false" ht="15.75" hidden="false" customHeight="false" outlineLevel="0" collapsed="false">
      <c r="A79" s="61"/>
      <c r="B79" s="29"/>
      <c r="C79" s="21"/>
      <c r="D79" s="21"/>
      <c r="E79" s="21"/>
      <c r="F79" s="21"/>
      <c r="G79" s="30"/>
      <c r="H79" s="31"/>
      <c r="I79" s="21"/>
      <c r="J79" s="21"/>
      <c r="K79" s="21"/>
      <c r="L79" s="21"/>
      <c r="M79" s="21"/>
      <c r="N79" s="30"/>
      <c r="O79" s="21"/>
      <c r="P79" s="21"/>
      <c r="Q79" s="21"/>
      <c r="R79" s="32"/>
      <c r="S79" s="32"/>
      <c r="T79" s="21"/>
      <c r="U79" s="21"/>
      <c r="V79" s="21"/>
      <c r="W79" s="21"/>
      <c r="X79" s="21"/>
    </row>
    <row r="80" customFormat="false" ht="15.75" hidden="false" customHeight="false" outlineLevel="0" collapsed="false">
      <c r="A80" s="61"/>
      <c r="B80" s="29"/>
      <c r="C80" s="21"/>
      <c r="D80" s="21"/>
      <c r="E80" s="21"/>
      <c r="F80" s="21"/>
      <c r="G80" s="30"/>
      <c r="H80" s="31"/>
      <c r="I80" s="21"/>
      <c r="J80" s="21"/>
      <c r="K80" s="21"/>
      <c r="L80" s="21"/>
      <c r="M80" s="21"/>
      <c r="N80" s="30"/>
      <c r="O80" s="21"/>
      <c r="P80" s="21"/>
      <c r="Q80" s="21"/>
      <c r="R80" s="32"/>
      <c r="S80" s="32"/>
      <c r="T80" s="21"/>
      <c r="U80" s="21"/>
      <c r="V80" s="21"/>
      <c r="W80" s="21"/>
      <c r="X80" s="21"/>
    </row>
    <row r="81" customFormat="false" ht="15.75" hidden="false" customHeight="false" outlineLevel="0" collapsed="false">
      <c r="A81" s="61"/>
      <c r="B81" s="29"/>
      <c r="C81" s="21"/>
      <c r="D81" s="21"/>
      <c r="E81" s="21"/>
      <c r="F81" s="21"/>
      <c r="G81" s="30"/>
      <c r="H81" s="31"/>
      <c r="I81" s="21"/>
      <c r="J81" s="21"/>
      <c r="K81" s="21"/>
      <c r="L81" s="21"/>
      <c r="M81" s="21"/>
      <c r="N81" s="30"/>
      <c r="O81" s="21"/>
      <c r="P81" s="21"/>
      <c r="Q81" s="21"/>
      <c r="R81" s="32"/>
      <c r="S81" s="32"/>
      <c r="T81" s="21"/>
      <c r="U81" s="21"/>
      <c r="V81" s="21"/>
      <c r="W81" s="21"/>
      <c r="X81" s="21"/>
    </row>
    <row r="82" customFormat="false" ht="15.75" hidden="false" customHeight="false" outlineLevel="0" collapsed="false">
      <c r="A82" s="61"/>
      <c r="B82" s="29"/>
      <c r="C82" s="21"/>
      <c r="D82" s="21"/>
      <c r="E82" s="21"/>
      <c r="F82" s="21"/>
      <c r="G82" s="30"/>
      <c r="H82" s="31"/>
      <c r="I82" s="21"/>
      <c r="J82" s="21"/>
      <c r="K82" s="21"/>
      <c r="L82" s="21"/>
      <c r="M82" s="21"/>
      <c r="N82" s="30"/>
      <c r="O82" s="21"/>
      <c r="P82" s="21"/>
      <c r="Q82" s="21"/>
      <c r="R82" s="32"/>
      <c r="S82" s="32"/>
      <c r="T82" s="21"/>
      <c r="U82" s="21"/>
      <c r="V82" s="21"/>
      <c r="W82" s="21"/>
      <c r="X82" s="21"/>
    </row>
    <row r="83" customFormat="false" ht="15.75" hidden="false" customHeight="false" outlineLevel="0" collapsed="false">
      <c r="A83" s="61"/>
      <c r="B83" s="29"/>
      <c r="C83" s="21"/>
      <c r="D83" s="21"/>
      <c r="E83" s="21"/>
      <c r="F83" s="21"/>
      <c r="G83" s="30"/>
      <c r="H83" s="31"/>
      <c r="I83" s="21"/>
      <c r="J83" s="21"/>
      <c r="K83" s="21"/>
      <c r="L83" s="21"/>
      <c r="M83" s="21"/>
      <c r="N83" s="30"/>
      <c r="O83" s="21"/>
      <c r="P83" s="21"/>
      <c r="Q83" s="21"/>
      <c r="R83" s="32"/>
      <c r="S83" s="32"/>
      <c r="T83" s="21"/>
      <c r="U83" s="21"/>
      <c r="V83" s="21"/>
      <c r="W83" s="21"/>
      <c r="X83" s="21"/>
    </row>
    <row r="84" customFormat="false" ht="15.75" hidden="false" customHeight="false" outlineLevel="0" collapsed="false">
      <c r="A84" s="61"/>
      <c r="B84" s="29"/>
      <c r="C84" s="21"/>
      <c r="D84" s="21"/>
      <c r="E84" s="21"/>
      <c r="F84" s="21"/>
      <c r="G84" s="30"/>
      <c r="H84" s="31"/>
      <c r="I84" s="21"/>
      <c r="J84" s="21"/>
      <c r="K84" s="21"/>
      <c r="L84" s="21"/>
      <c r="M84" s="21"/>
      <c r="N84" s="30"/>
      <c r="O84" s="21"/>
      <c r="P84" s="21"/>
      <c r="Q84" s="21"/>
      <c r="R84" s="32"/>
      <c r="S84" s="32"/>
      <c r="T84" s="21"/>
      <c r="U84" s="21"/>
      <c r="V84" s="21"/>
      <c r="W84" s="21"/>
      <c r="X84" s="21"/>
    </row>
    <row r="85" customFormat="false" ht="15.75" hidden="false" customHeight="false" outlineLevel="0" collapsed="false">
      <c r="A85" s="61"/>
      <c r="B85" s="29"/>
      <c r="C85" s="21"/>
      <c r="D85" s="21"/>
      <c r="E85" s="21"/>
      <c r="F85" s="21"/>
      <c r="G85" s="30"/>
      <c r="H85" s="31"/>
      <c r="I85" s="21"/>
      <c r="J85" s="21"/>
      <c r="K85" s="21"/>
      <c r="L85" s="21"/>
      <c r="M85" s="21"/>
      <c r="N85" s="30"/>
      <c r="O85" s="21"/>
      <c r="P85" s="21"/>
      <c r="Q85" s="21"/>
      <c r="R85" s="32"/>
      <c r="S85" s="32"/>
      <c r="T85" s="21"/>
      <c r="U85" s="21"/>
      <c r="V85" s="21"/>
      <c r="W85" s="21"/>
      <c r="X85" s="21"/>
    </row>
    <row r="86" customFormat="false" ht="15.75" hidden="false" customHeight="false" outlineLevel="0" collapsed="false">
      <c r="A86" s="61"/>
      <c r="B86" s="29"/>
      <c r="C86" s="21"/>
      <c r="D86" s="21"/>
      <c r="E86" s="21"/>
      <c r="F86" s="21"/>
      <c r="G86" s="30"/>
      <c r="H86" s="31"/>
      <c r="I86" s="21"/>
      <c r="J86" s="21"/>
      <c r="K86" s="21"/>
      <c r="L86" s="21"/>
      <c r="M86" s="21"/>
      <c r="N86" s="30"/>
      <c r="O86" s="21"/>
      <c r="P86" s="21"/>
      <c r="Q86" s="21"/>
      <c r="R86" s="32"/>
      <c r="S86" s="32"/>
      <c r="T86" s="21"/>
      <c r="U86" s="21"/>
      <c r="V86" s="21"/>
      <c r="W86" s="21"/>
      <c r="X86" s="21"/>
    </row>
    <row r="87" customFormat="false" ht="15.75" hidden="false" customHeight="false" outlineLevel="0" collapsed="false">
      <c r="A87" s="61"/>
      <c r="B87" s="29"/>
      <c r="C87" s="21"/>
      <c r="D87" s="21"/>
      <c r="E87" s="21"/>
      <c r="F87" s="21"/>
      <c r="G87" s="30"/>
      <c r="H87" s="31"/>
      <c r="I87" s="21"/>
      <c r="J87" s="21"/>
      <c r="K87" s="21"/>
      <c r="L87" s="21"/>
      <c r="M87" s="21"/>
      <c r="N87" s="30"/>
      <c r="O87" s="21"/>
      <c r="P87" s="21"/>
      <c r="Q87" s="21"/>
      <c r="R87" s="32"/>
      <c r="S87" s="32"/>
      <c r="T87" s="21"/>
      <c r="U87" s="21"/>
      <c r="V87" s="21"/>
      <c r="W87" s="21"/>
      <c r="X87" s="21"/>
    </row>
    <row r="88" customFormat="false" ht="15.75" hidden="false" customHeight="false" outlineLevel="0" collapsed="false">
      <c r="A88" s="61"/>
      <c r="B88" s="29"/>
      <c r="C88" s="21"/>
      <c r="D88" s="21"/>
      <c r="E88" s="21"/>
      <c r="F88" s="21"/>
      <c r="G88" s="30"/>
      <c r="H88" s="31"/>
      <c r="I88" s="21"/>
      <c r="J88" s="21"/>
      <c r="K88" s="21"/>
      <c r="L88" s="21"/>
      <c r="M88" s="21"/>
      <c r="N88" s="30"/>
      <c r="O88" s="21"/>
      <c r="P88" s="21"/>
      <c r="Q88" s="21"/>
      <c r="R88" s="32"/>
      <c r="S88" s="32"/>
      <c r="T88" s="21"/>
      <c r="U88" s="21"/>
      <c r="V88" s="21"/>
      <c r="W88" s="21"/>
      <c r="X88" s="21"/>
    </row>
    <row r="89" customFormat="false" ht="15.75" hidden="false" customHeight="false" outlineLevel="0" collapsed="false">
      <c r="A89" s="61"/>
      <c r="B89" s="29"/>
      <c r="C89" s="21"/>
      <c r="D89" s="21"/>
      <c r="E89" s="21"/>
      <c r="F89" s="21"/>
      <c r="G89" s="30"/>
      <c r="H89" s="31"/>
      <c r="I89" s="21"/>
      <c r="J89" s="21"/>
      <c r="K89" s="21"/>
      <c r="L89" s="21"/>
      <c r="M89" s="21"/>
      <c r="N89" s="30"/>
      <c r="O89" s="21"/>
      <c r="P89" s="21"/>
      <c r="Q89" s="21"/>
      <c r="R89" s="32"/>
      <c r="S89" s="32"/>
      <c r="T89" s="21"/>
      <c r="U89" s="21"/>
      <c r="V89" s="21"/>
      <c r="W89" s="21"/>
      <c r="X89" s="21"/>
    </row>
    <row r="90" customFormat="false" ht="15.75" hidden="false" customHeight="false" outlineLevel="0" collapsed="false">
      <c r="A90" s="61"/>
      <c r="B90" s="29"/>
      <c r="C90" s="21"/>
      <c r="D90" s="21"/>
      <c r="E90" s="21"/>
      <c r="F90" s="21"/>
      <c r="G90" s="30"/>
      <c r="H90" s="31"/>
      <c r="I90" s="21"/>
      <c r="J90" s="21"/>
      <c r="K90" s="21"/>
      <c r="L90" s="21"/>
      <c r="M90" s="21"/>
      <c r="N90" s="30"/>
      <c r="O90" s="21"/>
      <c r="P90" s="21"/>
      <c r="Q90" s="21"/>
      <c r="R90" s="32"/>
      <c r="S90" s="32"/>
      <c r="T90" s="21"/>
      <c r="U90" s="21"/>
      <c r="V90" s="21"/>
      <c r="W90" s="21"/>
      <c r="X90" s="21"/>
    </row>
    <row r="91" customFormat="false" ht="15.75" hidden="false" customHeight="false" outlineLevel="0" collapsed="false">
      <c r="A91" s="61"/>
      <c r="B91" s="29"/>
      <c r="C91" s="21"/>
      <c r="D91" s="21"/>
      <c r="E91" s="21"/>
      <c r="F91" s="21"/>
      <c r="G91" s="30"/>
      <c r="H91" s="31"/>
      <c r="I91" s="21"/>
      <c r="J91" s="21"/>
      <c r="K91" s="21"/>
      <c r="L91" s="21"/>
      <c r="M91" s="21"/>
      <c r="N91" s="30"/>
      <c r="O91" s="21"/>
      <c r="P91" s="21"/>
      <c r="Q91" s="21"/>
      <c r="R91" s="32"/>
      <c r="S91" s="32"/>
      <c r="T91" s="21"/>
      <c r="U91" s="21"/>
      <c r="V91" s="21"/>
      <c r="W91" s="21"/>
      <c r="X91" s="21"/>
    </row>
    <row r="92" customFormat="false" ht="15.75" hidden="false" customHeight="false" outlineLevel="0" collapsed="false">
      <c r="A92" s="61"/>
      <c r="B92" s="29"/>
      <c r="C92" s="21"/>
      <c r="D92" s="21"/>
      <c r="E92" s="21"/>
      <c r="F92" s="21"/>
      <c r="G92" s="30"/>
      <c r="H92" s="31"/>
      <c r="I92" s="21"/>
      <c r="J92" s="21"/>
      <c r="K92" s="21"/>
      <c r="L92" s="21"/>
      <c r="M92" s="21"/>
      <c r="N92" s="30"/>
      <c r="O92" s="21"/>
      <c r="P92" s="21"/>
      <c r="Q92" s="21"/>
      <c r="R92" s="32"/>
      <c r="S92" s="32"/>
      <c r="T92" s="21"/>
      <c r="U92" s="21"/>
      <c r="V92" s="21"/>
      <c r="W92" s="21"/>
      <c r="X92" s="21"/>
    </row>
    <row r="93" customFormat="false" ht="15.75" hidden="false" customHeight="false" outlineLevel="0" collapsed="false">
      <c r="A93" s="61"/>
      <c r="B93" s="29"/>
      <c r="C93" s="21"/>
      <c r="D93" s="21"/>
      <c r="E93" s="21"/>
      <c r="F93" s="21"/>
      <c r="G93" s="30"/>
      <c r="H93" s="31"/>
      <c r="I93" s="21"/>
      <c r="J93" s="21"/>
      <c r="K93" s="21"/>
      <c r="L93" s="21"/>
      <c r="M93" s="21"/>
      <c r="N93" s="30"/>
      <c r="O93" s="21"/>
      <c r="P93" s="21"/>
      <c r="Q93" s="21"/>
      <c r="R93" s="32"/>
      <c r="S93" s="32"/>
      <c r="T93" s="21"/>
      <c r="U93" s="21"/>
      <c r="V93" s="21"/>
      <c r="W93" s="21"/>
      <c r="X93" s="21"/>
    </row>
    <row r="94" customFormat="false" ht="15.75" hidden="false" customHeight="false" outlineLevel="0" collapsed="false">
      <c r="A94" s="61"/>
      <c r="B94" s="29"/>
      <c r="C94" s="21"/>
      <c r="D94" s="21"/>
      <c r="E94" s="21"/>
      <c r="F94" s="21"/>
      <c r="G94" s="30"/>
      <c r="H94" s="31"/>
      <c r="I94" s="21"/>
      <c r="J94" s="21"/>
      <c r="K94" s="21"/>
      <c r="L94" s="21"/>
      <c r="M94" s="21"/>
      <c r="N94" s="30"/>
      <c r="O94" s="21"/>
      <c r="P94" s="21"/>
      <c r="Q94" s="21"/>
      <c r="R94" s="32"/>
      <c r="S94" s="32"/>
      <c r="T94" s="21"/>
      <c r="U94" s="21"/>
      <c r="V94" s="21"/>
      <c r="W94" s="21"/>
      <c r="X94" s="21"/>
    </row>
    <row r="95" customFormat="false" ht="15.75" hidden="false" customHeight="false" outlineLevel="0" collapsed="false">
      <c r="A95" s="61"/>
      <c r="B95" s="29"/>
      <c r="C95" s="21"/>
      <c r="D95" s="21"/>
      <c r="E95" s="21"/>
      <c r="F95" s="21"/>
      <c r="G95" s="30"/>
      <c r="H95" s="31"/>
      <c r="I95" s="21"/>
      <c r="J95" s="21"/>
      <c r="K95" s="21"/>
      <c r="L95" s="21"/>
      <c r="M95" s="21"/>
      <c r="N95" s="30"/>
      <c r="O95" s="21"/>
      <c r="P95" s="21"/>
      <c r="Q95" s="21"/>
      <c r="R95" s="32"/>
      <c r="S95" s="32"/>
      <c r="T95" s="21"/>
      <c r="U95" s="21"/>
      <c r="V95" s="21"/>
      <c r="W95" s="21"/>
      <c r="X95" s="21"/>
    </row>
    <row r="96" customFormat="false" ht="15.75" hidden="false" customHeight="false" outlineLevel="0" collapsed="false">
      <c r="A96" s="61"/>
      <c r="B96" s="29"/>
      <c r="C96" s="21"/>
      <c r="D96" s="21"/>
      <c r="E96" s="21"/>
      <c r="F96" s="21"/>
      <c r="G96" s="30"/>
      <c r="H96" s="31"/>
      <c r="I96" s="21"/>
      <c r="J96" s="21"/>
      <c r="K96" s="21"/>
      <c r="L96" s="21"/>
      <c r="M96" s="21"/>
      <c r="N96" s="30"/>
      <c r="O96" s="21"/>
      <c r="P96" s="21"/>
      <c r="Q96" s="21"/>
      <c r="R96" s="32"/>
      <c r="S96" s="32"/>
      <c r="T96" s="21"/>
      <c r="U96" s="21"/>
      <c r="V96" s="21"/>
      <c r="W96" s="21"/>
      <c r="X96" s="21"/>
    </row>
    <row r="97" customFormat="false" ht="15.75" hidden="false" customHeight="false" outlineLevel="0" collapsed="false">
      <c r="A97" s="61"/>
      <c r="B97" s="29"/>
      <c r="C97" s="21"/>
      <c r="D97" s="21"/>
      <c r="E97" s="21"/>
      <c r="F97" s="21"/>
      <c r="G97" s="30"/>
      <c r="H97" s="31"/>
      <c r="I97" s="21"/>
      <c r="J97" s="21"/>
      <c r="K97" s="21"/>
      <c r="L97" s="21"/>
      <c r="M97" s="21"/>
      <c r="N97" s="30"/>
      <c r="O97" s="21"/>
      <c r="P97" s="21"/>
      <c r="Q97" s="21"/>
      <c r="R97" s="32"/>
      <c r="S97" s="32"/>
      <c r="T97" s="21"/>
      <c r="U97" s="21"/>
      <c r="V97" s="21"/>
      <c r="W97" s="21"/>
      <c r="X97" s="21"/>
    </row>
    <row r="98" customFormat="false" ht="15.75" hidden="false" customHeight="false" outlineLevel="0" collapsed="false">
      <c r="A98" s="61"/>
      <c r="B98" s="29"/>
      <c r="C98" s="21"/>
      <c r="D98" s="21"/>
      <c r="E98" s="21"/>
      <c r="F98" s="21"/>
      <c r="G98" s="30"/>
      <c r="H98" s="31"/>
      <c r="I98" s="21"/>
      <c r="J98" s="21"/>
      <c r="K98" s="21"/>
      <c r="L98" s="21"/>
      <c r="M98" s="21"/>
      <c r="N98" s="30"/>
      <c r="O98" s="21"/>
      <c r="P98" s="21"/>
      <c r="Q98" s="21"/>
      <c r="R98" s="32"/>
      <c r="S98" s="32"/>
      <c r="T98" s="21"/>
      <c r="U98" s="21"/>
      <c r="V98" s="21"/>
      <c r="W98" s="21"/>
      <c r="X98" s="21"/>
    </row>
    <row r="99" customFormat="false" ht="15.75" hidden="false" customHeight="false" outlineLevel="0" collapsed="false">
      <c r="A99" s="61"/>
      <c r="B99" s="29"/>
      <c r="C99" s="21"/>
      <c r="D99" s="21"/>
      <c r="E99" s="21"/>
      <c r="F99" s="21"/>
      <c r="G99" s="30"/>
      <c r="H99" s="31"/>
      <c r="I99" s="21"/>
      <c r="J99" s="21"/>
      <c r="K99" s="21"/>
      <c r="L99" s="21"/>
      <c r="M99" s="21"/>
      <c r="N99" s="30"/>
      <c r="O99" s="21"/>
      <c r="P99" s="21"/>
      <c r="Q99" s="21"/>
      <c r="R99" s="32"/>
      <c r="S99" s="32"/>
      <c r="T99" s="21"/>
      <c r="U99" s="21"/>
      <c r="V99" s="21"/>
      <c r="W99" s="21"/>
      <c r="X99" s="21"/>
    </row>
    <row r="100" customFormat="false" ht="15.75" hidden="false" customHeight="false" outlineLevel="0" collapsed="false">
      <c r="A100" s="61"/>
      <c r="B100" s="29"/>
      <c r="C100" s="21"/>
      <c r="D100" s="21"/>
      <c r="E100" s="21"/>
      <c r="F100" s="21"/>
      <c r="G100" s="30"/>
      <c r="H100" s="31"/>
      <c r="I100" s="21"/>
      <c r="J100" s="21"/>
      <c r="K100" s="21"/>
      <c r="L100" s="21"/>
      <c r="M100" s="21"/>
      <c r="N100" s="30"/>
      <c r="O100" s="21"/>
      <c r="P100" s="21"/>
      <c r="Q100" s="21"/>
      <c r="R100" s="32"/>
      <c r="S100" s="32"/>
      <c r="T100" s="21"/>
      <c r="U100" s="21"/>
      <c r="V100" s="21"/>
      <c r="W100" s="21"/>
      <c r="X100" s="21"/>
    </row>
    <row r="101" customFormat="false" ht="15.75" hidden="false" customHeight="false" outlineLevel="0" collapsed="false">
      <c r="A101" s="61"/>
      <c r="B101" s="29"/>
      <c r="C101" s="21"/>
      <c r="D101" s="21"/>
      <c r="E101" s="21"/>
      <c r="F101" s="21"/>
      <c r="G101" s="30"/>
      <c r="H101" s="31"/>
      <c r="I101" s="21"/>
      <c r="J101" s="21"/>
      <c r="K101" s="21"/>
      <c r="L101" s="21"/>
      <c r="M101" s="21"/>
      <c r="N101" s="30"/>
      <c r="O101" s="21"/>
      <c r="P101" s="21"/>
      <c r="Q101" s="21"/>
      <c r="R101" s="32"/>
      <c r="S101" s="32"/>
      <c r="T101" s="21"/>
      <c r="U101" s="21"/>
      <c r="V101" s="21"/>
      <c r="W101" s="21"/>
      <c r="X101" s="21"/>
    </row>
    <row r="102" customFormat="false" ht="15.75" hidden="false" customHeight="false" outlineLevel="0" collapsed="false">
      <c r="A102" s="61"/>
      <c r="B102" s="29"/>
      <c r="C102" s="21"/>
      <c r="D102" s="21"/>
      <c r="E102" s="21"/>
      <c r="F102" s="21"/>
      <c r="G102" s="30"/>
      <c r="H102" s="31"/>
      <c r="I102" s="21"/>
      <c r="J102" s="21"/>
      <c r="K102" s="21"/>
      <c r="L102" s="21"/>
      <c r="M102" s="21"/>
      <c r="N102" s="30"/>
      <c r="O102" s="21"/>
      <c r="P102" s="21"/>
      <c r="Q102" s="21"/>
      <c r="R102" s="32"/>
      <c r="S102" s="32"/>
      <c r="T102" s="21"/>
      <c r="U102" s="21"/>
      <c r="V102" s="21"/>
      <c r="W102" s="21"/>
      <c r="X102" s="21"/>
    </row>
    <row r="103" customFormat="false" ht="15.75" hidden="false" customHeight="false" outlineLevel="0" collapsed="false">
      <c r="A103" s="61"/>
      <c r="B103" s="29"/>
      <c r="C103" s="21"/>
      <c r="D103" s="21"/>
      <c r="E103" s="21"/>
      <c r="F103" s="21"/>
      <c r="G103" s="30"/>
      <c r="H103" s="31"/>
      <c r="I103" s="21"/>
      <c r="J103" s="21"/>
      <c r="K103" s="21"/>
      <c r="L103" s="21"/>
      <c r="M103" s="21"/>
      <c r="N103" s="30"/>
      <c r="O103" s="21"/>
      <c r="P103" s="21"/>
      <c r="Q103" s="21"/>
      <c r="R103" s="32"/>
      <c r="S103" s="32"/>
      <c r="T103" s="21"/>
      <c r="U103" s="21"/>
      <c r="V103" s="21"/>
      <c r="W103" s="21"/>
      <c r="X103" s="21"/>
    </row>
    <row r="104" customFormat="false" ht="15.75" hidden="false" customHeight="false" outlineLevel="0" collapsed="false">
      <c r="A104" s="61"/>
      <c r="B104" s="29"/>
      <c r="C104" s="21"/>
      <c r="D104" s="21"/>
      <c r="E104" s="21"/>
      <c r="F104" s="21"/>
      <c r="G104" s="30"/>
      <c r="H104" s="31"/>
      <c r="I104" s="21"/>
      <c r="J104" s="21"/>
      <c r="K104" s="21"/>
      <c r="L104" s="21"/>
      <c r="M104" s="21"/>
      <c r="N104" s="30"/>
      <c r="O104" s="21"/>
      <c r="P104" s="21"/>
      <c r="Q104" s="21"/>
      <c r="R104" s="32"/>
      <c r="S104" s="32"/>
      <c r="T104" s="21"/>
      <c r="U104" s="21"/>
      <c r="V104" s="21"/>
      <c r="W104" s="21"/>
      <c r="X104" s="21"/>
    </row>
    <row r="105" customFormat="false" ht="15.75" hidden="false" customHeight="false" outlineLevel="0" collapsed="false">
      <c r="A105" s="61"/>
      <c r="B105" s="29"/>
      <c r="C105" s="21"/>
      <c r="D105" s="21"/>
      <c r="E105" s="21"/>
      <c r="F105" s="21"/>
      <c r="G105" s="30"/>
      <c r="H105" s="31"/>
      <c r="I105" s="21"/>
      <c r="J105" s="21"/>
      <c r="K105" s="21"/>
      <c r="L105" s="21"/>
      <c r="M105" s="21"/>
      <c r="N105" s="30"/>
      <c r="O105" s="21"/>
      <c r="P105" s="21"/>
      <c r="Q105" s="21"/>
      <c r="R105" s="32"/>
      <c r="S105" s="32"/>
      <c r="T105" s="21"/>
      <c r="U105" s="21"/>
      <c r="V105" s="21"/>
      <c r="W105" s="21"/>
      <c r="X105" s="21"/>
    </row>
    <row r="106" customFormat="false" ht="15.75" hidden="false" customHeight="false" outlineLevel="0" collapsed="false">
      <c r="A106" s="61"/>
      <c r="B106" s="29"/>
      <c r="C106" s="21"/>
      <c r="D106" s="21"/>
      <c r="E106" s="21"/>
      <c r="F106" s="21"/>
      <c r="G106" s="30"/>
      <c r="H106" s="31"/>
      <c r="I106" s="21"/>
      <c r="J106" s="21"/>
      <c r="K106" s="21"/>
      <c r="L106" s="21"/>
      <c r="M106" s="21"/>
      <c r="N106" s="30"/>
      <c r="O106" s="21"/>
      <c r="P106" s="21"/>
      <c r="Q106" s="21"/>
      <c r="R106" s="32"/>
      <c r="S106" s="32"/>
      <c r="T106" s="21"/>
      <c r="U106" s="21"/>
      <c r="V106" s="21"/>
      <c r="W106" s="21"/>
      <c r="X106" s="21"/>
    </row>
    <row r="107" customFormat="false" ht="15.75" hidden="false" customHeight="false" outlineLevel="0" collapsed="false">
      <c r="A107" s="61"/>
      <c r="B107" s="29"/>
      <c r="C107" s="21"/>
      <c r="D107" s="21"/>
      <c r="E107" s="21"/>
      <c r="F107" s="21"/>
      <c r="G107" s="30"/>
      <c r="H107" s="31"/>
      <c r="I107" s="21"/>
      <c r="J107" s="21"/>
      <c r="K107" s="21"/>
      <c r="L107" s="21"/>
      <c r="M107" s="21"/>
      <c r="N107" s="30"/>
      <c r="O107" s="21"/>
      <c r="P107" s="21"/>
      <c r="Q107" s="21"/>
      <c r="R107" s="32"/>
      <c r="S107" s="32"/>
      <c r="T107" s="21"/>
      <c r="U107" s="21"/>
      <c r="V107" s="21"/>
      <c r="W107" s="21"/>
      <c r="X107" s="21"/>
    </row>
    <row r="108" customFormat="false" ht="15.75" hidden="false" customHeight="false" outlineLevel="0" collapsed="false">
      <c r="A108" s="61"/>
      <c r="B108" s="29"/>
      <c r="C108" s="21"/>
      <c r="D108" s="21"/>
      <c r="E108" s="21"/>
      <c r="F108" s="21"/>
      <c r="G108" s="30"/>
      <c r="H108" s="31"/>
      <c r="I108" s="21"/>
      <c r="J108" s="21"/>
      <c r="K108" s="21"/>
      <c r="L108" s="21"/>
      <c r="M108" s="21"/>
      <c r="N108" s="30"/>
      <c r="O108" s="21"/>
      <c r="P108" s="21"/>
      <c r="Q108" s="21"/>
      <c r="R108" s="32"/>
      <c r="S108" s="32"/>
      <c r="T108" s="21"/>
      <c r="U108" s="21"/>
      <c r="V108" s="21"/>
      <c r="W108" s="21"/>
      <c r="X108" s="21"/>
    </row>
    <row r="109" customFormat="false" ht="15.75" hidden="false" customHeight="false" outlineLevel="0" collapsed="false">
      <c r="A109" s="61"/>
      <c r="B109" s="29"/>
      <c r="C109" s="21"/>
      <c r="D109" s="21"/>
      <c r="E109" s="21"/>
      <c r="F109" s="21"/>
      <c r="G109" s="30"/>
      <c r="H109" s="31"/>
      <c r="I109" s="21"/>
      <c r="J109" s="21"/>
      <c r="K109" s="21"/>
      <c r="L109" s="21"/>
      <c r="M109" s="21"/>
      <c r="N109" s="30"/>
      <c r="O109" s="21"/>
      <c r="P109" s="21"/>
      <c r="Q109" s="21"/>
      <c r="R109" s="32"/>
      <c r="S109" s="32"/>
      <c r="T109" s="21"/>
      <c r="U109" s="21"/>
      <c r="V109" s="21"/>
      <c r="W109" s="21"/>
      <c r="X109" s="21"/>
    </row>
    <row r="110" customFormat="false" ht="15.75" hidden="false" customHeight="false" outlineLevel="0" collapsed="false">
      <c r="A110" s="61"/>
      <c r="B110" s="29"/>
      <c r="C110" s="21"/>
      <c r="D110" s="21"/>
      <c r="E110" s="21"/>
      <c r="F110" s="21"/>
      <c r="G110" s="30"/>
      <c r="H110" s="31"/>
      <c r="I110" s="21"/>
      <c r="J110" s="21"/>
      <c r="K110" s="21"/>
      <c r="L110" s="21"/>
      <c r="M110" s="21"/>
      <c r="N110" s="30"/>
      <c r="O110" s="21"/>
      <c r="P110" s="21"/>
      <c r="Q110" s="21"/>
      <c r="R110" s="32"/>
      <c r="S110" s="32"/>
      <c r="T110" s="21"/>
      <c r="U110" s="21"/>
      <c r="V110" s="21"/>
      <c r="W110" s="21"/>
      <c r="X110" s="21"/>
    </row>
    <row r="111" customFormat="false" ht="15.75" hidden="false" customHeight="false" outlineLevel="0" collapsed="false">
      <c r="A111" s="61"/>
      <c r="B111" s="29"/>
      <c r="C111" s="21"/>
      <c r="D111" s="21"/>
      <c r="E111" s="21"/>
      <c r="F111" s="21"/>
      <c r="G111" s="30"/>
      <c r="H111" s="31"/>
      <c r="I111" s="21"/>
      <c r="J111" s="21"/>
      <c r="K111" s="21"/>
      <c r="L111" s="21"/>
      <c r="M111" s="21"/>
      <c r="N111" s="30"/>
      <c r="O111" s="21"/>
      <c r="P111" s="21"/>
      <c r="Q111" s="21"/>
      <c r="R111" s="32"/>
      <c r="S111" s="32"/>
      <c r="T111" s="21"/>
      <c r="U111" s="21"/>
      <c r="V111" s="21"/>
      <c r="W111" s="21"/>
      <c r="X111" s="21"/>
    </row>
    <row r="112" customFormat="false" ht="15.75" hidden="false" customHeight="false" outlineLevel="0" collapsed="false">
      <c r="A112" s="61"/>
      <c r="B112" s="29"/>
      <c r="C112" s="21"/>
      <c r="D112" s="21"/>
      <c r="E112" s="21"/>
      <c r="F112" s="21"/>
      <c r="G112" s="30"/>
      <c r="H112" s="31"/>
      <c r="I112" s="21"/>
      <c r="J112" s="21"/>
      <c r="K112" s="21"/>
      <c r="L112" s="21"/>
      <c r="M112" s="21"/>
      <c r="N112" s="30"/>
      <c r="O112" s="21"/>
      <c r="P112" s="21"/>
      <c r="Q112" s="21"/>
      <c r="R112" s="32"/>
      <c r="S112" s="32"/>
      <c r="T112" s="21"/>
      <c r="U112" s="21"/>
      <c r="V112" s="21"/>
      <c r="W112" s="21"/>
      <c r="X112" s="21"/>
    </row>
    <row r="113" customFormat="false" ht="15.75" hidden="false" customHeight="false" outlineLevel="0" collapsed="false">
      <c r="A113" s="61"/>
      <c r="B113" s="29"/>
      <c r="C113" s="21"/>
      <c r="D113" s="21"/>
      <c r="E113" s="21"/>
      <c r="F113" s="21"/>
      <c r="G113" s="30"/>
      <c r="H113" s="31"/>
      <c r="I113" s="21"/>
      <c r="J113" s="21"/>
      <c r="K113" s="21"/>
      <c r="L113" s="21"/>
      <c r="M113" s="21"/>
      <c r="N113" s="30"/>
      <c r="O113" s="21"/>
      <c r="P113" s="21"/>
      <c r="Q113" s="21"/>
      <c r="R113" s="32"/>
      <c r="S113" s="32"/>
      <c r="T113" s="21"/>
      <c r="U113" s="21"/>
      <c r="V113" s="21"/>
      <c r="W113" s="21"/>
      <c r="X113" s="21"/>
    </row>
    <row r="114" customFormat="false" ht="15.75" hidden="false" customHeight="false" outlineLevel="0" collapsed="false">
      <c r="A114" s="61"/>
      <c r="B114" s="29"/>
      <c r="C114" s="21"/>
      <c r="D114" s="21"/>
      <c r="E114" s="21"/>
      <c r="F114" s="21"/>
      <c r="G114" s="30"/>
      <c r="H114" s="31"/>
      <c r="I114" s="21"/>
      <c r="J114" s="21"/>
      <c r="K114" s="21"/>
      <c r="L114" s="21"/>
      <c r="M114" s="21"/>
      <c r="N114" s="30"/>
      <c r="O114" s="21"/>
      <c r="P114" s="21"/>
      <c r="Q114" s="21"/>
      <c r="R114" s="32"/>
      <c r="S114" s="32"/>
      <c r="T114" s="21"/>
      <c r="U114" s="21"/>
      <c r="V114" s="21"/>
      <c r="W114" s="21"/>
      <c r="X114" s="21"/>
    </row>
    <row r="115" customFormat="false" ht="15.75" hidden="false" customHeight="false" outlineLevel="0" collapsed="false">
      <c r="A115" s="61"/>
      <c r="B115" s="29"/>
      <c r="C115" s="21"/>
      <c r="D115" s="21"/>
      <c r="E115" s="21"/>
      <c r="F115" s="21"/>
      <c r="G115" s="30"/>
      <c r="H115" s="31"/>
      <c r="I115" s="21"/>
      <c r="J115" s="21"/>
      <c r="K115" s="21"/>
      <c r="L115" s="21"/>
      <c r="M115" s="21"/>
      <c r="N115" s="30"/>
      <c r="O115" s="21"/>
      <c r="P115" s="21"/>
      <c r="Q115" s="21"/>
      <c r="R115" s="32"/>
      <c r="S115" s="32"/>
      <c r="T115" s="21"/>
      <c r="U115" s="21"/>
      <c r="V115" s="21"/>
      <c r="W115" s="21"/>
      <c r="X115" s="21"/>
    </row>
    <row r="116" customFormat="false" ht="15.75" hidden="false" customHeight="false" outlineLevel="0" collapsed="false">
      <c r="A116" s="61"/>
      <c r="B116" s="29"/>
      <c r="C116" s="21"/>
      <c r="D116" s="21"/>
      <c r="E116" s="21"/>
      <c r="F116" s="21"/>
      <c r="G116" s="30"/>
      <c r="H116" s="31"/>
      <c r="I116" s="21"/>
      <c r="J116" s="21"/>
      <c r="K116" s="21"/>
      <c r="L116" s="21"/>
      <c r="M116" s="21"/>
      <c r="N116" s="30"/>
      <c r="O116" s="21"/>
      <c r="P116" s="21"/>
      <c r="Q116" s="21"/>
      <c r="R116" s="32"/>
      <c r="S116" s="32"/>
      <c r="T116" s="21"/>
      <c r="U116" s="21"/>
      <c r="V116" s="21"/>
      <c r="W116" s="21"/>
      <c r="X116" s="21"/>
    </row>
    <row r="117" customFormat="false" ht="15.75" hidden="false" customHeight="false" outlineLevel="0" collapsed="false">
      <c r="A117" s="61"/>
      <c r="B117" s="29"/>
      <c r="C117" s="21"/>
      <c r="D117" s="21"/>
      <c r="E117" s="21"/>
      <c r="F117" s="21"/>
      <c r="G117" s="30"/>
      <c r="H117" s="31"/>
      <c r="I117" s="21"/>
      <c r="J117" s="21"/>
      <c r="K117" s="21"/>
      <c r="L117" s="21"/>
      <c r="M117" s="21"/>
      <c r="N117" s="30"/>
      <c r="O117" s="21"/>
      <c r="P117" s="21"/>
      <c r="Q117" s="21"/>
      <c r="R117" s="32"/>
      <c r="S117" s="32"/>
      <c r="T117" s="21"/>
      <c r="U117" s="21"/>
      <c r="V117" s="21"/>
      <c r="W117" s="21"/>
      <c r="X117" s="21"/>
    </row>
    <row r="118" customFormat="false" ht="15.75" hidden="false" customHeight="false" outlineLevel="0" collapsed="false">
      <c r="A118" s="61"/>
      <c r="B118" s="29"/>
      <c r="C118" s="21"/>
      <c r="D118" s="21"/>
      <c r="E118" s="21"/>
      <c r="F118" s="21"/>
      <c r="G118" s="30"/>
      <c r="H118" s="31"/>
      <c r="I118" s="21"/>
      <c r="J118" s="21"/>
      <c r="K118" s="21"/>
      <c r="L118" s="21"/>
      <c r="M118" s="21"/>
      <c r="N118" s="30"/>
      <c r="O118" s="21"/>
      <c r="P118" s="21"/>
      <c r="Q118" s="21"/>
      <c r="R118" s="32"/>
      <c r="S118" s="32"/>
      <c r="T118" s="21"/>
      <c r="U118" s="21"/>
      <c r="V118" s="21"/>
      <c r="W118" s="21"/>
      <c r="X118" s="21"/>
    </row>
    <row r="119" customFormat="false" ht="15.75" hidden="false" customHeight="false" outlineLevel="0" collapsed="false">
      <c r="A119" s="61"/>
      <c r="B119" s="29"/>
      <c r="C119" s="21"/>
      <c r="D119" s="21"/>
      <c r="E119" s="21"/>
      <c r="F119" s="21"/>
      <c r="G119" s="30"/>
      <c r="H119" s="31"/>
      <c r="I119" s="21"/>
      <c r="J119" s="21"/>
      <c r="K119" s="21"/>
      <c r="L119" s="21"/>
      <c r="M119" s="21"/>
      <c r="N119" s="30"/>
      <c r="O119" s="21"/>
      <c r="P119" s="21"/>
      <c r="Q119" s="21"/>
      <c r="R119" s="32"/>
      <c r="S119" s="32"/>
      <c r="T119" s="21"/>
      <c r="U119" s="21"/>
      <c r="V119" s="21"/>
      <c r="W119" s="21"/>
      <c r="X119" s="21"/>
    </row>
    <row r="120" customFormat="false" ht="15.75" hidden="false" customHeight="false" outlineLevel="0" collapsed="false">
      <c r="A120" s="61"/>
      <c r="B120" s="29"/>
      <c r="C120" s="21"/>
      <c r="D120" s="21"/>
      <c r="E120" s="21"/>
      <c r="F120" s="21"/>
      <c r="G120" s="30"/>
      <c r="H120" s="31"/>
      <c r="I120" s="21"/>
      <c r="J120" s="21"/>
      <c r="K120" s="21"/>
      <c r="L120" s="21"/>
      <c r="M120" s="21"/>
      <c r="N120" s="30"/>
      <c r="O120" s="21"/>
      <c r="P120" s="21"/>
      <c r="Q120" s="21"/>
      <c r="R120" s="32"/>
      <c r="S120" s="32"/>
      <c r="T120" s="21"/>
      <c r="U120" s="21"/>
      <c r="V120" s="21"/>
      <c r="W120" s="21"/>
      <c r="X120" s="21"/>
    </row>
    <row r="121" customFormat="false" ht="15.75" hidden="false" customHeight="false" outlineLevel="0" collapsed="false">
      <c r="A121" s="61"/>
      <c r="B121" s="29"/>
      <c r="C121" s="21"/>
      <c r="D121" s="21"/>
      <c r="E121" s="21"/>
      <c r="F121" s="21"/>
      <c r="G121" s="30"/>
      <c r="H121" s="31"/>
      <c r="I121" s="21"/>
      <c r="J121" s="21"/>
      <c r="K121" s="21"/>
      <c r="L121" s="21"/>
      <c r="M121" s="21"/>
      <c r="N121" s="30"/>
      <c r="O121" s="21"/>
      <c r="P121" s="21"/>
      <c r="Q121" s="21"/>
      <c r="R121" s="32"/>
      <c r="S121" s="32"/>
      <c r="T121" s="21"/>
      <c r="U121" s="21"/>
      <c r="V121" s="21"/>
      <c r="W121" s="21"/>
      <c r="X121" s="21"/>
    </row>
    <row r="122" customFormat="false" ht="15.75" hidden="false" customHeight="false" outlineLevel="0" collapsed="false">
      <c r="A122" s="61"/>
      <c r="B122" s="29"/>
      <c r="C122" s="21"/>
      <c r="D122" s="21"/>
      <c r="E122" s="21"/>
      <c r="F122" s="21"/>
      <c r="G122" s="30"/>
      <c r="H122" s="31"/>
      <c r="I122" s="21"/>
      <c r="J122" s="21"/>
      <c r="K122" s="21"/>
      <c r="L122" s="21"/>
      <c r="M122" s="21"/>
      <c r="N122" s="30"/>
      <c r="O122" s="21"/>
      <c r="P122" s="21"/>
      <c r="Q122" s="21"/>
      <c r="R122" s="32"/>
      <c r="S122" s="32"/>
      <c r="T122" s="21"/>
      <c r="U122" s="21"/>
      <c r="V122" s="21"/>
      <c r="W122" s="21"/>
      <c r="X122" s="21"/>
    </row>
    <row r="123" customFormat="false" ht="15.75" hidden="false" customHeight="false" outlineLevel="0" collapsed="false">
      <c r="A123" s="61"/>
      <c r="B123" s="29"/>
      <c r="C123" s="21"/>
      <c r="D123" s="21"/>
      <c r="E123" s="21"/>
      <c r="F123" s="21"/>
      <c r="G123" s="30"/>
      <c r="H123" s="31"/>
      <c r="I123" s="21"/>
      <c r="J123" s="21"/>
      <c r="K123" s="21"/>
      <c r="L123" s="21"/>
      <c r="M123" s="21"/>
      <c r="N123" s="30"/>
      <c r="O123" s="21"/>
      <c r="P123" s="21"/>
      <c r="Q123" s="21"/>
      <c r="R123" s="32"/>
      <c r="S123" s="32"/>
      <c r="T123" s="21"/>
      <c r="U123" s="21"/>
      <c r="V123" s="21"/>
      <c r="W123" s="21"/>
      <c r="X123" s="21"/>
    </row>
    <row r="124" customFormat="false" ht="15.75" hidden="false" customHeight="false" outlineLevel="0" collapsed="false">
      <c r="A124" s="61"/>
      <c r="B124" s="29"/>
      <c r="C124" s="21"/>
      <c r="D124" s="21"/>
      <c r="E124" s="21"/>
      <c r="F124" s="21"/>
      <c r="G124" s="30"/>
      <c r="H124" s="31"/>
      <c r="I124" s="21"/>
      <c r="J124" s="21"/>
      <c r="K124" s="21"/>
      <c r="L124" s="21"/>
      <c r="M124" s="21"/>
      <c r="N124" s="30"/>
      <c r="O124" s="21"/>
      <c r="P124" s="21"/>
      <c r="Q124" s="21"/>
      <c r="R124" s="32"/>
      <c r="S124" s="32"/>
      <c r="T124" s="21"/>
      <c r="U124" s="21"/>
      <c r="V124" s="21"/>
      <c r="W124" s="21"/>
      <c r="X124" s="21"/>
    </row>
    <row r="125" customFormat="false" ht="15.75" hidden="false" customHeight="false" outlineLevel="0" collapsed="false">
      <c r="A125" s="61"/>
      <c r="B125" s="29"/>
      <c r="C125" s="21"/>
      <c r="D125" s="21"/>
      <c r="E125" s="21"/>
      <c r="F125" s="21"/>
      <c r="G125" s="30"/>
      <c r="H125" s="31"/>
      <c r="I125" s="21"/>
      <c r="J125" s="21"/>
      <c r="K125" s="21"/>
      <c r="L125" s="21"/>
      <c r="M125" s="21"/>
      <c r="N125" s="30"/>
      <c r="O125" s="21"/>
      <c r="P125" s="21"/>
      <c r="Q125" s="21"/>
      <c r="R125" s="32"/>
      <c r="S125" s="32"/>
      <c r="T125" s="21"/>
      <c r="U125" s="21"/>
      <c r="V125" s="21"/>
      <c r="W125" s="21"/>
      <c r="X125" s="21"/>
    </row>
    <row r="126" customFormat="false" ht="15.75" hidden="false" customHeight="false" outlineLevel="0" collapsed="false">
      <c r="A126" s="61"/>
      <c r="B126" s="29"/>
      <c r="C126" s="21"/>
      <c r="D126" s="21"/>
      <c r="E126" s="21"/>
      <c r="F126" s="21"/>
      <c r="G126" s="30"/>
      <c r="H126" s="31"/>
      <c r="I126" s="21"/>
      <c r="J126" s="21"/>
      <c r="K126" s="21"/>
      <c r="L126" s="21"/>
      <c r="M126" s="21"/>
      <c r="N126" s="30"/>
      <c r="O126" s="21"/>
      <c r="P126" s="21"/>
      <c r="Q126" s="21"/>
      <c r="R126" s="32"/>
      <c r="S126" s="32"/>
      <c r="T126" s="21"/>
      <c r="U126" s="21"/>
      <c r="V126" s="21"/>
      <c r="W126" s="21"/>
      <c r="X126" s="21"/>
    </row>
    <row r="127" customFormat="false" ht="15.75" hidden="false" customHeight="false" outlineLevel="0" collapsed="false">
      <c r="A127" s="61"/>
      <c r="B127" s="29"/>
      <c r="C127" s="21"/>
      <c r="D127" s="21"/>
      <c r="E127" s="21"/>
      <c r="F127" s="21"/>
      <c r="G127" s="30"/>
      <c r="H127" s="31"/>
      <c r="I127" s="21"/>
      <c r="J127" s="21"/>
      <c r="K127" s="21"/>
      <c r="L127" s="21"/>
      <c r="M127" s="21"/>
      <c r="N127" s="30"/>
      <c r="O127" s="21"/>
      <c r="P127" s="21"/>
      <c r="Q127" s="21"/>
      <c r="R127" s="32"/>
      <c r="S127" s="32"/>
      <c r="T127" s="21"/>
      <c r="U127" s="21"/>
      <c r="V127" s="21"/>
      <c r="W127" s="21"/>
      <c r="X127" s="21"/>
    </row>
    <row r="128" customFormat="false" ht="15.75" hidden="false" customHeight="false" outlineLevel="0" collapsed="false">
      <c r="A128" s="61"/>
      <c r="B128" s="29"/>
      <c r="C128" s="21"/>
      <c r="D128" s="21"/>
      <c r="E128" s="21"/>
      <c r="F128" s="21"/>
      <c r="G128" s="30"/>
      <c r="H128" s="31"/>
      <c r="I128" s="21"/>
      <c r="J128" s="21"/>
      <c r="K128" s="21"/>
      <c r="L128" s="21"/>
      <c r="M128" s="21"/>
      <c r="N128" s="30"/>
      <c r="O128" s="21"/>
      <c r="P128" s="21"/>
      <c r="Q128" s="21"/>
      <c r="R128" s="32"/>
      <c r="S128" s="32"/>
      <c r="T128" s="21"/>
      <c r="U128" s="21"/>
      <c r="V128" s="21"/>
      <c r="W128" s="21"/>
      <c r="X128" s="21"/>
    </row>
    <row r="129" customFormat="false" ht="15.75" hidden="false" customHeight="false" outlineLevel="0" collapsed="false">
      <c r="A129" s="61"/>
      <c r="B129" s="29"/>
      <c r="C129" s="21"/>
      <c r="D129" s="21"/>
      <c r="E129" s="21"/>
      <c r="F129" s="21"/>
      <c r="G129" s="30"/>
      <c r="H129" s="31"/>
      <c r="I129" s="21"/>
      <c r="J129" s="21"/>
      <c r="K129" s="21"/>
      <c r="L129" s="21"/>
      <c r="M129" s="21"/>
      <c r="N129" s="30"/>
      <c r="O129" s="21"/>
      <c r="P129" s="21"/>
      <c r="Q129" s="21"/>
      <c r="R129" s="32"/>
      <c r="S129" s="32"/>
      <c r="T129" s="21"/>
      <c r="U129" s="21"/>
      <c r="V129" s="21"/>
      <c r="W129" s="21"/>
      <c r="X129" s="21"/>
    </row>
    <row r="130" customFormat="false" ht="15.75" hidden="false" customHeight="false" outlineLevel="0" collapsed="false">
      <c r="A130" s="61"/>
      <c r="B130" s="29"/>
      <c r="C130" s="21"/>
      <c r="D130" s="21"/>
      <c r="E130" s="21"/>
      <c r="F130" s="21"/>
      <c r="G130" s="30"/>
      <c r="H130" s="31"/>
      <c r="I130" s="21"/>
      <c r="J130" s="21"/>
      <c r="K130" s="21"/>
      <c r="L130" s="21"/>
      <c r="M130" s="21"/>
      <c r="N130" s="30"/>
      <c r="O130" s="21"/>
      <c r="P130" s="21"/>
      <c r="Q130" s="21"/>
      <c r="R130" s="32"/>
      <c r="S130" s="32"/>
      <c r="T130" s="21"/>
      <c r="U130" s="21"/>
      <c r="V130" s="21"/>
      <c r="W130" s="21"/>
      <c r="X130" s="21"/>
    </row>
    <row r="131" customFormat="false" ht="15.75" hidden="false" customHeight="false" outlineLevel="0" collapsed="false">
      <c r="A131" s="61"/>
      <c r="B131" s="29"/>
      <c r="C131" s="21"/>
      <c r="D131" s="21"/>
      <c r="E131" s="21"/>
      <c r="F131" s="21"/>
      <c r="G131" s="30"/>
      <c r="H131" s="31"/>
      <c r="I131" s="21"/>
      <c r="J131" s="21"/>
      <c r="K131" s="21"/>
      <c r="L131" s="21"/>
      <c r="M131" s="21"/>
      <c r="N131" s="30"/>
      <c r="O131" s="21"/>
      <c r="P131" s="21"/>
      <c r="Q131" s="21"/>
      <c r="R131" s="32"/>
      <c r="S131" s="32"/>
      <c r="T131" s="21"/>
      <c r="U131" s="21"/>
      <c r="V131" s="21"/>
      <c r="W131" s="21"/>
      <c r="X131" s="21"/>
    </row>
    <row r="132" customFormat="false" ht="15.75" hidden="false" customHeight="false" outlineLevel="0" collapsed="false">
      <c r="A132" s="61"/>
      <c r="B132" s="29"/>
      <c r="C132" s="21"/>
      <c r="D132" s="21"/>
      <c r="E132" s="21"/>
      <c r="F132" s="21"/>
      <c r="G132" s="30"/>
      <c r="H132" s="31"/>
      <c r="I132" s="21"/>
      <c r="J132" s="21"/>
      <c r="K132" s="21"/>
      <c r="L132" s="21"/>
      <c r="M132" s="21"/>
      <c r="N132" s="30"/>
      <c r="O132" s="21"/>
      <c r="P132" s="21"/>
      <c r="Q132" s="21"/>
      <c r="R132" s="32"/>
      <c r="S132" s="32"/>
      <c r="T132" s="21"/>
      <c r="U132" s="21"/>
      <c r="V132" s="21"/>
      <c r="W132" s="21"/>
      <c r="X132" s="21"/>
    </row>
    <row r="133" customFormat="false" ht="15.75" hidden="false" customHeight="false" outlineLevel="0" collapsed="false">
      <c r="A133" s="61"/>
      <c r="B133" s="29"/>
      <c r="C133" s="21"/>
      <c r="D133" s="21"/>
      <c r="E133" s="21"/>
      <c r="F133" s="21"/>
      <c r="G133" s="30"/>
      <c r="H133" s="31"/>
      <c r="I133" s="21"/>
      <c r="J133" s="21"/>
      <c r="K133" s="21"/>
      <c r="L133" s="21"/>
      <c r="M133" s="21"/>
      <c r="N133" s="30"/>
      <c r="O133" s="21"/>
      <c r="P133" s="21"/>
      <c r="Q133" s="21"/>
      <c r="R133" s="32"/>
      <c r="S133" s="32"/>
      <c r="T133" s="21"/>
      <c r="U133" s="21"/>
      <c r="V133" s="21"/>
      <c r="W133" s="21"/>
      <c r="X133" s="21"/>
    </row>
    <row r="134" customFormat="false" ht="15.75" hidden="false" customHeight="false" outlineLevel="0" collapsed="false">
      <c r="A134" s="61"/>
      <c r="B134" s="29"/>
      <c r="C134" s="21"/>
      <c r="D134" s="21"/>
      <c r="E134" s="21"/>
      <c r="F134" s="21"/>
      <c r="G134" s="30"/>
      <c r="H134" s="31"/>
      <c r="I134" s="21"/>
      <c r="J134" s="21"/>
      <c r="K134" s="21"/>
      <c r="L134" s="21"/>
      <c r="M134" s="21"/>
      <c r="N134" s="30"/>
      <c r="O134" s="21"/>
      <c r="P134" s="21"/>
      <c r="Q134" s="21"/>
      <c r="R134" s="32"/>
      <c r="S134" s="32"/>
      <c r="T134" s="21"/>
      <c r="U134" s="21"/>
      <c r="V134" s="21"/>
      <c r="W134" s="21"/>
      <c r="X134" s="21"/>
    </row>
    <row r="135" customFormat="false" ht="15.75" hidden="false" customHeight="false" outlineLevel="0" collapsed="false">
      <c r="A135" s="61"/>
      <c r="B135" s="29"/>
      <c r="C135" s="21"/>
      <c r="D135" s="21"/>
      <c r="E135" s="21"/>
      <c r="F135" s="21"/>
      <c r="G135" s="30"/>
      <c r="H135" s="31"/>
      <c r="I135" s="21"/>
      <c r="J135" s="21"/>
      <c r="K135" s="21"/>
      <c r="L135" s="21"/>
      <c r="M135" s="21"/>
      <c r="N135" s="30"/>
      <c r="O135" s="21"/>
      <c r="P135" s="21"/>
      <c r="Q135" s="21"/>
      <c r="R135" s="32"/>
      <c r="S135" s="32"/>
      <c r="T135" s="21"/>
      <c r="U135" s="21"/>
      <c r="V135" s="21"/>
      <c r="W135" s="21"/>
      <c r="X135" s="21"/>
    </row>
    <row r="136" customFormat="false" ht="15.75" hidden="false" customHeight="false" outlineLevel="0" collapsed="false">
      <c r="A136" s="61"/>
      <c r="B136" s="29"/>
      <c r="C136" s="21"/>
      <c r="D136" s="21"/>
      <c r="E136" s="21"/>
      <c r="F136" s="21"/>
      <c r="G136" s="30"/>
      <c r="H136" s="31"/>
      <c r="I136" s="21"/>
      <c r="J136" s="21"/>
      <c r="K136" s="21"/>
      <c r="L136" s="21"/>
      <c r="M136" s="21"/>
      <c r="N136" s="30"/>
      <c r="O136" s="21"/>
      <c r="P136" s="21"/>
      <c r="Q136" s="21"/>
      <c r="R136" s="32"/>
      <c r="S136" s="32"/>
      <c r="T136" s="21"/>
      <c r="U136" s="21"/>
      <c r="V136" s="21"/>
      <c r="W136" s="21"/>
      <c r="X136" s="21"/>
    </row>
    <row r="137" customFormat="false" ht="15.75" hidden="false" customHeight="false" outlineLevel="0" collapsed="false">
      <c r="A137" s="61"/>
      <c r="B137" s="29"/>
      <c r="C137" s="21"/>
      <c r="D137" s="21"/>
      <c r="E137" s="21"/>
      <c r="F137" s="21"/>
      <c r="G137" s="30"/>
      <c r="H137" s="31"/>
      <c r="I137" s="21"/>
      <c r="J137" s="21"/>
      <c r="K137" s="21"/>
      <c r="L137" s="21"/>
      <c r="M137" s="21"/>
      <c r="N137" s="30"/>
      <c r="O137" s="21"/>
      <c r="P137" s="21"/>
      <c r="Q137" s="21"/>
      <c r="R137" s="32"/>
      <c r="S137" s="32"/>
      <c r="T137" s="21"/>
      <c r="U137" s="21"/>
      <c r="V137" s="21"/>
      <c r="W137" s="21"/>
      <c r="X137" s="21"/>
    </row>
    <row r="138" customFormat="false" ht="15.75" hidden="false" customHeight="false" outlineLevel="0" collapsed="false">
      <c r="A138" s="61"/>
      <c r="B138" s="29"/>
      <c r="C138" s="21"/>
      <c r="D138" s="21"/>
      <c r="E138" s="21"/>
      <c r="F138" s="21"/>
      <c r="G138" s="30"/>
      <c r="H138" s="31"/>
      <c r="I138" s="21"/>
      <c r="J138" s="21"/>
      <c r="K138" s="21"/>
      <c r="L138" s="21"/>
      <c r="M138" s="21"/>
      <c r="N138" s="30"/>
      <c r="O138" s="21"/>
      <c r="P138" s="21"/>
      <c r="Q138" s="21"/>
      <c r="R138" s="32"/>
      <c r="S138" s="32"/>
      <c r="T138" s="21"/>
      <c r="U138" s="21"/>
      <c r="V138" s="21"/>
      <c r="W138" s="21"/>
      <c r="X138" s="21"/>
    </row>
    <row r="139" customFormat="false" ht="15.75" hidden="false" customHeight="false" outlineLevel="0" collapsed="false">
      <c r="A139" s="61"/>
      <c r="B139" s="29"/>
      <c r="C139" s="21"/>
      <c r="D139" s="21"/>
      <c r="E139" s="21"/>
      <c r="F139" s="21"/>
      <c r="G139" s="30"/>
      <c r="H139" s="31"/>
      <c r="I139" s="21"/>
      <c r="J139" s="21"/>
      <c r="K139" s="21"/>
      <c r="L139" s="21"/>
      <c r="M139" s="21"/>
      <c r="N139" s="30"/>
      <c r="O139" s="21"/>
      <c r="P139" s="21"/>
      <c r="Q139" s="21"/>
      <c r="R139" s="32"/>
      <c r="S139" s="32"/>
      <c r="T139" s="21"/>
      <c r="U139" s="21"/>
      <c r="V139" s="21"/>
      <c r="W139" s="21"/>
      <c r="X139" s="21"/>
    </row>
    <row r="140" customFormat="false" ht="15.75" hidden="false" customHeight="false" outlineLevel="0" collapsed="false">
      <c r="A140" s="61"/>
      <c r="B140" s="29"/>
      <c r="C140" s="21"/>
      <c r="D140" s="21"/>
      <c r="E140" s="21"/>
      <c r="F140" s="21"/>
      <c r="G140" s="30"/>
      <c r="H140" s="31"/>
      <c r="I140" s="21"/>
      <c r="J140" s="21"/>
      <c r="K140" s="21"/>
      <c r="L140" s="21"/>
      <c r="M140" s="21"/>
      <c r="N140" s="30"/>
      <c r="O140" s="21"/>
      <c r="P140" s="21"/>
      <c r="Q140" s="21"/>
      <c r="R140" s="32"/>
      <c r="S140" s="32"/>
      <c r="T140" s="21"/>
      <c r="U140" s="21"/>
      <c r="V140" s="21"/>
      <c r="W140" s="21"/>
      <c r="X140" s="21"/>
    </row>
    <row r="141" customFormat="false" ht="15.75" hidden="false" customHeight="false" outlineLevel="0" collapsed="false">
      <c r="A141" s="61"/>
      <c r="B141" s="29"/>
      <c r="C141" s="21"/>
      <c r="D141" s="21"/>
      <c r="E141" s="21"/>
      <c r="F141" s="21"/>
      <c r="G141" s="30"/>
      <c r="H141" s="31"/>
      <c r="I141" s="21"/>
      <c r="J141" s="21"/>
      <c r="K141" s="21"/>
      <c r="L141" s="21"/>
      <c r="M141" s="21"/>
      <c r="N141" s="30"/>
      <c r="O141" s="21"/>
      <c r="P141" s="21"/>
      <c r="Q141" s="21"/>
      <c r="R141" s="32"/>
      <c r="S141" s="32"/>
      <c r="T141" s="21"/>
      <c r="U141" s="21"/>
      <c r="V141" s="21"/>
      <c r="W141" s="21"/>
      <c r="X141" s="21"/>
    </row>
    <row r="142" customFormat="false" ht="15.75" hidden="false" customHeight="false" outlineLevel="0" collapsed="false">
      <c r="A142" s="61"/>
      <c r="B142" s="29"/>
      <c r="C142" s="21"/>
      <c r="D142" s="21"/>
      <c r="E142" s="21"/>
      <c r="F142" s="21"/>
      <c r="G142" s="30"/>
      <c r="H142" s="31"/>
      <c r="I142" s="21"/>
      <c r="J142" s="21"/>
      <c r="K142" s="21"/>
      <c r="L142" s="21"/>
      <c r="M142" s="21"/>
      <c r="N142" s="30"/>
      <c r="O142" s="21"/>
      <c r="P142" s="21"/>
      <c r="Q142" s="21"/>
      <c r="R142" s="32"/>
      <c r="S142" s="32"/>
      <c r="T142" s="21"/>
      <c r="U142" s="21"/>
      <c r="V142" s="21"/>
      <c r="W142" s="21"/>
      <c r="X142" s="21"/>
    </row>
    <row r="143" customFormat="false" ht="15.75" hidden="false" customHeight="false" outlineLevel="0" collapsed="false">
      <c r="A143" s="61"/>
      <c r="B143" s="29"/>
      <c r="C143" s="21"/>
      <c r="D143" s="21"/>
      <c r="E143" s="21"/>
      <c r="F143" s="21"/>
      <c r="G143" s="30"/>
      <c r="H143" s="31"/>
      <c r="I143" s="21"/>
      <c r="J143" s="21"/>
      <c r="K143" s="21"/>
      <c r="L143" s="21"/>
      <c r="M143" s="21"/>
      <c r="N143" s="30"/>
      <c r="O143" s="21"/>
      <c r="P143" s="21"/>
      <c r="Q143" s="21"/>
      <c r="R143" s="32"/>
      <c r="S143" s="32"/>
      <c r="T143" s="21"/>
      <c r="U143" s="21"/>
      <c r="V143" s="21"/>
      <c r="W143" s="21"/>
      <c r="X143" s="21"/>
    </row>
    <row r="144" customFormat="false" ht="15.75" hidden="false" customHeight="false" outlineLevel="0" collapsed="false">
      <c r="A144" s="61"/>
      <c r="B144" s="29"/>
      <c r="C144" s="21"/>
      <c r="D144" s="21"/>
      <c r="E144" s="21"/>
      <c r="F144" s="21"/>
      <c r="G144" s="30"/>
      <c r="H144" s="31"/>
      <c r="I144" s="21"/>
      <c r="J144" s="21"/>
      <c r="K144" s="21"/>
      <c r="L144" s="21"/>
      <c r="M144" s="21"/>
      <c r="N144" s="30"/>
      <c r="O144" s="21"/>
      <c r="P144" s="21"/>
      <c r="Q144" s="21"/>
      <c r="R144" s="32"/>
      <c r="S144" s="32"/>
      <c r="T144" s="21"/>
      <c r="U144" s="21"/>
      <c r="V144" s="21"/>
      <c r="W144" s="21"/>
      <c r="X144" s="21"/>
    </row>
    <row r="145" customFormat="false" ht="15.75" hidden="false" customHeight="false" outlineLevel="0" collapsed="false">
      <c r="A145" s="61"/>
      <c r="B145" s="29"/>
      <c r="C145" s="21"/>
      <c r="D145" s="21"/>
      <c r="E145" s="21"/>
      <c r="F145" s="21"/>
      <c r="G145" s="30"/>
      <c r="H145" s="31"/>
      <c r="I145" s="21"/>
      <c r="J145" s="21"/>
      <c r="K145" s="21"/>
      <c r="L145" s="21"/>
      <c r="M145" s="21"/>
      <c r="N145" s="30"/>
      <c r="O145" s="21"/>
      <c r="P145" s="21"/>
      <c r="Q145" s="21"/>
      <c r="R145" s="32"/>
      <c r="S145" s="32"/>
      <c r="T145" s="21"/>
      <c r="U145" s="21"/>
      <c r="V145" s="21"/>
      <c r="W145" s="21"/>
      <c r="X145" s="21"/>
    </row>
    <row r="146" customFormat="false" ht="15.75" hidden="false" customHeight="false" outlineLevel="0" collapsed="false">
      <c r="A146" s="61"/>
      <c r="B146" s="29"/>
      <c r="C146" s="21"/>
      <c r="D146" s="21"/>
      <c r="E146" s="21"/>
      <c r="F146" s="21"/>
      <c r="G146" s="30"/>
      <c r="H146" s="31"/>
      <c r="I146" s="21"/>
      <c r="J146" s="21"/>
      <c r="K146" s="21"/>
      <c r="L146" s="21"/>
      <c r="M146" s="21"/>
      <c r="N146" s="30"/>
      <c r="O146" s="21"/>
      <c r="P146" s="21"/>
      <c r="Q146" s="21"/>
      <c r="R146" s="32"/>
      <c r="S146" s="32"/>
      <c r="T146" s="21"/>
      <c r="U146" s="21"/>
      <c r="V146" s="21"/>
      <c r="W146" s="21"/>
      <c r="X146" s="21"/>
    </row>
    <row r="147" customFormat="false" ht="15.75" hidden="false" customHeight="false" outlineLevel="0" collapsed="false">
      <c r="A147" s="61"/>
      <c r="B147" s="29"/>
      <c r="C147" s="21"/>
      <c r="D147" s="21"/>
      <c r="E147" s="21"/>
      <c r="F147" s="21"/>
      <c r="G147" s="30"/>
      <c r="H147" s="31"/>
      <c r="I147" s="21"/>
      <c r="J147" s="21"/>
      <c r="K147" s="21"/>
      <c r="L147" s="21"/>
      <c r="M147" s="21"/>
      <c r="N147" s="30"/>
      <c r="O147" s="21"/>
      <c r="P147" s="21"/>
      <c r="Q147" s="21"/>
      <c r="R147" s="32"/>
      <c r="S147" s="32"/>
      <c r="T147" s="21"/>
      <c r="U147" s="21"/>
      <c r="V147" s="21"/>
      <c r="W147" s="21"/>
      <c r="X147" s="21"/>
    </row>
    <row r="148" customFormat="false" ht="15.75" hidden="false" customHeight="false" outlineLevel="0" collapsed="false">
      <c r="A148" s="61"/>
      <c r="B148" s="29"/>
      <c r="C148" s="21"/>
      <c r="D148" s="21"/>
      <c r="E148" s="21"/>
      <c r="F148" s="21"/>
      <c r="G148" s="30"/>
      <c r="H148" s="31"/>
      <c r="I148" s="21"/>
      <c r="J148" s="21"/>
      <c r="K148" s="21"/>
      <c r="L148" s="21"/>
      <c r="M148" s="21"/>
      <c r="N148" s="30"/>
      <c r="O148" s="21"/>
      <c r="P148" s="21"/>
      <c r="Q148" s="21"/>
      <c r="R148" s="32"/>
      <c r="S148" s="32"/>
      <c r="T148" s="21"/>
      <c r="U148" s="21"/>
      <c r="V148" s="21"/>
      <c r="W148" s="21"/>
      <c r="X148" s="21"/>
    </row>
    <row r="149" customFormat="false" ht="15.75" hidden="false" customHeight="false" outlineLevel="0" collapsed="false">
      <c r="G149" s="18"/>
      <c r="H149" s="35"/>
      <c r="N149" s="18"/>
    </row>
    <row r="150" customFormat="false" ht="15.75" hidden="false" customHeight="false" outlineLevel="0" collapsed="false">
      <c r="G150" s="18"/>
      <c r="H150" s="35"/>
      <c r="N150" s="18"/>
    </row>
    <row r="151" customFormat="false" ht="15.75" hidden="false" customHeight="false" outlineLevel="0" collapsed="false">
      <c r="G151" s="18"/>
      <c r="H151" s="35"/>
      <c r="N151" s="18"/>
    </row>
    <row r="152" customFormat="false" ht="15.75" hidden="false" customHeight="false" outlineLevel="0" collapsed="false">
      <c r="G152" s="18"/>
      <c r="H152" s="35"/>
      <c r="N152" s="18"/>
    </row>
    <row r="153" customFormat="false" ht="15.75" hidden="false" customHeight="false" outlineLevel="0" collapsed="false">
      <c r="G153" s="18"/>
      <c r="H153" s="35"/>
      <c r="N153" s="18"/>
    </row>
    <row r="154" customFormat="false" ht="15.75" hidden="false" customHeight="false" outlineLevel="0" collapsed="false">
      <c r="G154" s="18"/>
      <c r="H154" s="35"/>
      <c r="N154" s="18"/>
    </row>
    <row r="155" customFormat="false" ht="15.75" hidden="false" customHeight="false" outlineLevel="0" collapsed="false">
      <c r="G155" s="18"/>
      <c r="H155" s="35"/>
      <c r="N155" s="18"/>
    </row>
    <row r="156" customFormat="false" ht="15.75" hidden="false" customHeight="false" outlineLevel="0" collapsed="false">
      <c r="G156" s="18"/>
      <c r="H156" s="35"/>
      <c r="N156" s="18"/>
    </row>
    <row r="157" customFormat="false" ht="15.75" hidden="false" customHeight="false" outlineLevel="0" collapsed="false">
      <c r="G157" s="18"/>
      <c r="H157" s="35"/>
      <c r="N157" s="18"/>
    </row>
    <row r="158" customFormat="false" ht="15.75" hidden="false" customHeight="false" outlineLevel="0" collapsed="false">
      <c r="G158" s="18"/>
      <c r="H158" s="35"/>
      <c r="N158" s="18"/>
    </row>
    <row r="159" customFormat="false" ht="15.75" hidden="false" customHeight="false" outlineLevel="0" collapsed="false">
      <c r="G159" s="18"/>
      <c r="H159" s="35"/>
      <c r="N159" s="18"/>
    </row>
    <row r="160" customFormat="false" ht="15.75" hidden="false" customHeight="false" outlineLevel="0" collapsed="false">
      <c r="G160" s="18"/>
      <c r="H160" s="35"/>
      <c r="N160" s="18"/>
    </row>
    <row r="161" customFormat="false" ht="15.75" hidden="false" customHeight="false" outlineLevel="0" collapsed="false">
      <c r="G161" s="18"/>
      <c r="H161" s="35"/>
      <c r="N161" s="18"/>
    </row>
    <row r="162" customFormat="false" ht="15.75" hidden="false" customHeight="false" outlineLevel="0" collapsed="false">
      <c r="G162" s="18"/>
      <c r="H162" s="35"/>
      <c r="N162" s="18"/>
    </row>
    <row r="163" customFormat="false" ht="15.75" hidden="false" customHeight="false" outlineLevel="0" collapsed="false">
      <c r="G163" s="18"/>
      <c r="H163" s="35"/>
      <c r="N163" s="18"/>
    </row>
    <row r="164" customFormat="false" ht="15.75" hidden="false" customHeight="false" outlineLevel="0" collapsed="false">
      <c r="G164" s="18"/>
      <c r="H164" s="35"/>
      <c r="N164" s="18"/>
    </row>
    <row r="165" customFormat="false" ht="15.75" hidden="false" customHeight="false" outlineLevel="0" collapsed="false">
      <c r="G165" s="18"/>
      <c r="H165" s="35"/>
      <c r="N165" s="18"/>
    </row>
    <row r="166" customFormat="false" ht="15.75" hidden="false" customHeight="false" outlineLevel="0" collapsed="false">
      <c r="G166" s="18"/>
      <c r="H166" s="35"/>
      <c r="N166" s="18"/>
    </row>
    <row r="167" customFormat="false" ht="15.75" hidden="false" customHeight="false" outlineLevel="0" collapsed="false">
      <c r="G167" s="18"/>
      <c r="H167" s="35"/>
      <c r="N167" s="18"/>
    </row>
    <row r="168" customFormat="false" ht="15.75" hidden="false" customHeight="false" outlineLevel="0" collapsed="false">
      <c r="G168" s="18"/>
      <c r="H168" s="35"/>
      <c r="N168" s="18"/>
    </row>
    <row r="169" customFormat="false" ht="15.75" hidden="false" customHeight="false" outlineLevel="0" collapsed="false">
      <c r="G169" s="18"/>
      <c r="H169" s="35"/>
      <c r="N169" s="18"/>
    </row>
    <row r="170" customFormat="false" ht="15.75" hidden="false" customHeight="false" outlineLevel="0" collapsed="false">
      <c r="G170" s="18"/>
      <c r="H170" s="35"/>
      <c r="N170" s="18"/>
    </row>
    <row r="171" customFormat="false" ht="15.75" hidden="false" customHeight="false" outlineLevel="0" collapsed="false">
      <c r="G171" s="18"/>
      <c r="H171" s="35"/>
      <c r="N171" s="18"/>
    </row>
    <row r="172" customFormat="false" ht="15.75" hidden="false" customHeight="false" outlineLevel="0" collapsed="false">
      <c r="G172" s="18"/>
      <c r="H172" s="35"/>
      <c r="N172" s="18"/>
    </row>
    <row r="173" customFormat="false" ht="15.75" hidden="false" customHeight="false" outlineLevel="0" collapsed="false">
      <c r="G173" s="18"/>
      <c r="H173" s="35"/>
      <c r="N173" s="18"/>
    </row>
    <row r="174" customFormat="false" ht="15.75" hidden="false" customHeight="false" outlineLevel="0" collapsed="false">
      <c r="G174" s="18"/>
      <c r="H174" s="35"/>
      <c r="N174" s="18"/>
    </row>
    <row r="175" customFormat="false" ht="15.75" hidden="false" customHeight="false" outlineLevel="0" collapsed="false">
      <c r="G175" s="18"/>
      <c r="H175" s="35"/>
      <c r="N175" s="18"/>
    </row>
    <row r="176" customFormat="false" ht="15.75" hidden="false" customHeight="false" outlineLevel="0" collapsed="false">
      <c r="G176" s="18"/>
      <c r="H176" s="35"/>
      <c r="N176" s="18"/>
    </row>
    <row r="177" customFormat="false" ht="15.75" hidden="false" customHeight="false" outlineLevel="0" collapsed="false">
      <c r="G177" s="18"/>
      <c r="H177" s="35"/>
      <c r="N177" s="18"/>
    </row>
    <row r="178" customFormat="false" ht="15.75" hidden="false" customHeight="false" outlineLevel="0" collapsed="false">
      <c r="G178" s="18"/>
      <c r="H178" s="35"/>
      <c r="N178" s="18"/>
    </row>
    <row r="179" customFormat="false" ht="15.75" hidden="false" customHeight="false" outlineLevel="0" collapsed="false">
      <c r="G179" s="18"/>
      <c r="H179" s="35"/>
      <c r="N179" s="18"/>
    </row>
    <row r="180" customFormat="false" ht="15.75" hidden="false" customHeight="false" outlineLevel="0" collapsed="false">
      <c r="G180" s="18"/>
      <c r="H180" s="35"/>
      <c r="N180" s="18"/>
    </row>
    <row r="181" customFormat="false" ht="15.75" hidden="false" customHeight="false" outlineLevel="0" collapsed="false">
      <c r="G181" s="18"/>
      <c r="H181" s="35"/>
      <c r="N181" s="18"/>
    </row>
    <row r="182" customFormat="false" ht="15.75" hidden="false" customHeight="false" outlineLevel="0" collapsed="false">
      <c r="G182" s="18"/>
      <c r="H182" s="35"/>
      <c r="N182" s="18"/>
    </row>
    <row r="183" customFormat="false" ht="15.75" hidden="false" customHeight="false" outlineLevel="0" collapsed="false">
      <c r="G183" s="18"/>
      <c r="H183" s="35"/>
      <c r="N183" s="18"/>
    </row>
    <row r="184" customFormat="false" ht="15.75" hidden="false" customHeight="false" outlineLevel="0" collapsed="false">
      <c r="G184" s="18"/>
      <c r="H184" s="35"/>
      <c r="N184" s="18"/>
    </row>
    <row r="185" customFormat="false" ht="15.75" hidden="false" customHeight="false" outlineLevel="0" collapsed="false">
      <c r="G185" s="18"/>
      <c r="H185" s="35"/>
      <c r="N185" s="18"/>
    </row>
    <row r="186" customFormat="false" ht="15.75" hidden="false" customHeight="false" outlineLevel="0" collapsed="false">
      <c r="G186" s="18"/>
      <c r="H186" s="35"/>
      <c r="N186" s="18"/>
    </row>
    <row r="187" customFormat="false" ht="15.75" hidden="false" customHeight="false" outlineLevel="0" collapsed="false">
      <c r="G187" s="18"/>
      <c r="H187" s="35"/>
      <c r="N187" s="18"/>
    </row>
    <row r="188" customFormat="false" ht="15.75" hidden="false" customHeight="false" outlineLevel="0" collapsed="false">
      <c r="G188" s="18"/>
      <c r="H188" s="35"/>
      <c r="N188" s="18"/>
    </row>
    <row r="189" customFormat="false" ht="15.75" hidden="false" customHeight="false" outlineLevel="0" collapsed="false">
      <c r="G189" s="18"/>
      <c r="H189" s="35"/>
      <c r="N189" s="18"/>
    </row>
    <row r="190" customFormat="false" ht="15.75" hidden="false" customHeight="false" outlineLevel="0" collapsed="false">
      <c r="G190" s="18"/>
      <c r="H190" s="35"/>
      <c r="N190" s="18"/>
    </row>
    <row r="191" customFormat="false" ht="15.75" hidden="false" customHeight="false" outlineLevel="0" collapsed="false">
      <c r="G191" s="18"/>
      <c r="H191" s="35"/>
      <c r="N191" s="18"/>
    </row>
    <row r="192" customFormat="false" ht="15.75" hidden="false" customHeight="false" outlineLevel="0" collapsed="false">
      <c r="G192" s="18"/>
      <c r="H192" s="35"/>
      <c r="N192" s="18"/>
    </row>
    <row r="193" customFormat="false" ht="15.75" hidden="false" customHeight="false" outlineLevel="0" collapsed="false">
      <c r="G193" s="18"/>
      <c r="H193" s="35"/>
      <c r="N193" s="18"/>
    </row>
    <row r="194" customFormat="false" ht="15.75" hidden="false" customHeight="false" outlineLevel="0" collapsed="false">
      <c r="G194" s="18"/>
      <c r="H194" s="35"/>
      <c r="N194" s="18"/>
    </row>
    <row r="195" customFormat="false" ht="15.75" hidden="false" customHeight="false" outlineLevel="0" collapsed="false">
      <c r="G195" s="18"/>
      <c r="H195" s="35"/>
      <c r="N195" s="18"/>
    </row>
    <row r="196" customFormat="false" ht="15.75" hidden="false" customHeight="false" outlineLevel="0" collapsed="false">
      <c r="G196" s="18"/>
      <c r="H196" s="35"/>
      <c r="N196" s="18"/>
    </row>
    <row r="197" customFormat="false" ht="15.75" hidden="false" customHeight="false" outlineLevel="0" collapsed="false">
      <c r="G197" s="18"/>
      <c r="H197" s="35"/>
      <c r="N197" s="18"/>
    </row>
    <row r="198" customFormat="false" ht="15.75" hidden="false" customHeight="false" outlineLevel="0" collapsed="false">
      <c r="G198" s="18"/>
      <c r="H198" s="35"/>
      <c r="N198" s="18"/>
    </row>
    <row r="199" customFormat="false" ht="15.75" hidden="false" customHeight="false" outlineLevel="0" collapsed="false">
      <c r="G199" s="18"/>
      <c r="H199" s="35"/>
      <c r="N199" s="18"/>
    </row>
    <row r="200" customFormat="false" ht="15.75" hidden="false" customHeight="false" outlineLevel="0" collapsed="false">
      <c r="G200" s="18"/>
      <c r="H200" s="35"/>
      <c r="N200" s="18"/>
    </row>
    <row r="201" customFormat="false" ht="15.75" hidden="false" customHeight="false" outlineLevel="0" collapsed="false">
      <c r="G201" s="18"/>
      <c r="H201" s="35"/>
      <c r="N201" s="18"/>
    </row>
    <row r="202" customFormat="false" ht="15.75" hidden="false" customHeight="false" outlineLevel="0" collapsed="false">
      <c r="G202" s="18"/>
      <c r="H202" s="35"/>
      <c r="N202" s="18"/>
    </row>
    <row r="203" customFormat="false" ht="15.75" hidden="false" customHeight="false" outlineLevel="0" collapsed="false">
      <c r="G203" s="18"/>
      <c r="H203" s="35"/>
      <c r="N203" s="18"/>
    </row>
    <row r="204" customFormat="false" ht="15.75" hidden="false" customHeight="false" outlineLevel="0" collapsed="false">
      <c r="G204" s="18"/>
      <c r="H204" s="35"/>
      <c r="N204" s="18"/>
    </row>
    <row r="205" customFormat="false" ht="15.75" hidden="false" customHeight="false" outlineLevel="0" collapsed="false">
      <c r="G205" s="18"/>
      <c r="H205" s="35"/>
      <c r="N205" s="18"/>
    </row>
    <row r="206" customFormat="false" ht="15.75" hidden="false" customHeight="false" outlineLevel="0" collapsed="false">
      <c r="G206" s="18"/>
      <c r="H206" s="35"/>
      <c r="N206" s="18"/>
    </row>
    <row r="207" customFormat="false" ht="15.75" hidden="false" customHeight="false" outlineLevel="0" collapsed="false">
      <c r="G207" s="18"/>
      <c r="H207" s="35"/>
      <c r="N207" s="18"/>
    </row>
    <row r="208" customFormat="false" ht="15.75" hidden="false" customHeight="false" outlineLevel="0" collapsed="false">
      <c r="G208" s="18"/>
      <c r="H208" s="35"/>
      <c r="N208" s="18"/>
    </row>
    <row r="209" customFormat="false" ht="15.75" hidden="false" customHeight="false" outlineLevel="0" collapsed="false">
      <c r="G209" s="18"/>
      <c r="H209" s="35"/>
      <c r="N209" s="18"/>
    </row>
    <row r="210" customFormat="false" ht="15.75" hidden="false" customHeight="false" outlineLevel="0" collapsed="false">
      <c r="G210" s="18"/>
      <c r="H210" s="35"/>
      <c r="N210" s="18"/>
    </row>
    <row r="211" customFormat="false" ht="15.75" hidden="false" customHeight="false" outlineLevel="0" collapsed="false">
      <c r="G211" s="18"/>
      <c r="H211" s="35"/>
      <c r="N211" s="18"/>
    </row>
    <row r="212" customFormat="false" ht="15.75" hidden="false" customHeight="false" outlineLevel="0" collapsed="false">
      <c r="G212" s="18"/>
      <c r="H212" s="35"/>
      <c r="N212" s="18"/>
    </row>
    <row r="213" customFormat="false" ht="15.75" hidden="false" customHeight="false" outlineLevel="0" collapsed="false">
      <c r="G213" s="18"/>
      <c r="H213" s="35"/>
      <c r="N213" s="18"/>
    </row>
    <row r="214" customFormat="false" ht="15.75" hidden="false" customHeight="false" outlineLevel="0" collapsed="false">
      <c r="G214" s="18"/>
      <c r="H214" s="35"/>
      <c r="N214" s="18"/>
    </row>
    <row r="215" customFormat="false" ht="15.75" hidden="false" customHeight="false" outlineLevel="0" collapsed="false">
      <c r="G215" s="18"/>
      <c r="H215" s="35"/>
      <c r="N215" s="18"/>
    </row>
    <row r="216" customFormat="false" ht="15.75" hidden="false" customHeight="false" outlineLevel="0" collapsed="false">
      <c r="G216" s="18"/>
      <c r="H216" s="35"/>
      <c r="N216" s="18"/>
    </row>
    <row r="217" customFormat="false" ht="15.75" hidden="false" customHeight="false" outlineLevel="0" collapsed="false">
      <c r="G217" s="18"/>
      <c r="H217" s="35"/>
      <c r="N217" s="18"/>
    </row>
    <row r="218" customFormat="false" ht="15.75" hidden="false" customHeight="false" outlineLevel="0" collapsed="false">
      <c r="G218" s="18"/>
      <c r="H218" s="35"/>
      <c r="N218" s="18"/>
    </row>
    <row r="219" customFormat="false" ht="15.75" hidden="false" customHeight="false" outlineLevel="0" collapsed="false">
      <c r="G219" s="18"/>
      <c r="H219" s="35"/>
      <c r="N219" s="18"/>
    </row>
    <row r="220" customFormat="false" ht="15.75" hidden="false" customHeight="false" outlineLevel="0" collapsed="false">
      <c r="G220" s="18"/>
      <c r="H220" s="35"/>
      <c r="N220" s="18"/>
    </row>
    <row r="221" customFormat="false" ht="15.75" hidden="false" customHeight="false" outlineLevel="0" collapsed="false">
      <c r="G221" s="18"/>
      <c r="H221" s="35"/>
      <c r="N221" s="18"/>
    </row>
    <row r="222" customFormat="false" ht="15.75" hidden="false" customHeight="false" outlineLevel="0" collapsed="false">
      <c r="G222" s="18"/>
      <c r="H222" s="35"/>
      <c r="N222" s="18"/>
    </row>
    <row r="223" customFormat="false" ht="15.75" hidden="false" customHeight="false" outlineLevel="0" collapsed="false">
      <c r="G223" s="18"/>
      <c r="H223" s="35"/>
      <c r="N223" s="18"/>
    </row>
    <row r="224" customFormat="false" ht="15.75" hidden="false" customHeight="false" outlineLevel="0" collapsed="false">
      <c r="G224" s="18"/>
      <c r="H224" s="35"/>
      <c r="N224" s="18"/>
    </row>
    <row r="225" customFormat="false" ht="15.75" hidden="false" customHeight="false" outlineLevel="0" collapsed="false">
      <c r="G225" s="18"/>
      <c r="H225" s="35"/>
      <c r="N225" s="18"/>
    </row>
    <row r="226" customFormat="false" ht="15.75" hidden="false" customHeight="false" outlineLevel="0" collapsed="false">
      <c r="G226" s="18"/>
      <c r="H226" s="35"/>
      <c r="N226" s="18"/>
    </row>
    <row r="227" customFormat="false" ht="15.75" hidden="false" customHeight="false" outlineLevel="0" collapsed="false">
      <c r="G227" s="18"/>
      <c r="H227" s="35"/>
      <c r="N227" s="18"/>
    </row>
    <row r="228" customFormat="false" ht="15.75" hidden="false" customHeight="false" outlineLevel="0" collapsed="false">
      <c r="G228" s="18"/>
      <c r="H228" s="35"/>
      <c r="N228" s="18"/>
    </row>
    <row r="229" customFormat="false" ht="15.75" hidden="false" customHeight="false" outlineLevel="0" collapsed="false">
      <c r="G229" s="18"/>
      <c r="H229" s="35"/>
      <c r="N229" s="18"/>
    </row>
    <row r="230" customFormat="false" ht="15.75" hidden="false" customHeight="false" outlineLevel="0" collapsed="false">
      <c r="G230" s="18"/>
      <c r="H230" s="35"/>
      <c r="N230" s="18"/>
    </row>
    <row r="231" customFormat="false" ht="15.75" hidden="false" customHeight="false" outlineLevel="0" collapsed="false">
      <c r="G231" s="18"/>
      <c r="H231" s="35"/>
      <c r="N231" s="18"/>
    </row>
    <row r="232" customFormat="false" ht="15.75" hidden="false" customHeight="false" outlineLevel="0" collapsed="false">
      <c r="G232" s="18"/>
      <c r="H232" s="35"/>
      <c r="N232" s="18"/>
    </row>
    <row r="233" customFormat="false" ht="15.75" hidden="false" customHeight="false" outlineLevel="0" collapsed="false">
      <c r="G233" s="18"/>
      <c r="H233" s="35"/>
      <c r="N233" s="18"/>
    </row>
    <row r="234" customFormat="false" ht="15.75" hidden="false" customHeight="false" outlineLevel="0" collapsed="false">
      <c r="G234" s="18"/>
      <c r="H234" s="35"/>
      <c r="N234" s="18"/>
    </row>
    <row r="235" customFormat="false" ht="15.75" hidden="false" customHeight="false" outlineLevel="0" collapsed="false">
      <c r="G235" s="18"/>
      <c r="H235" s="35"/>
      <c r="N235" s="18"/>
    </row>
    <row r="236" customFormat="false" ht="15.75" hidden="false" customHeight="false" outlineLevel="0" collapsed="false">
      <c r="G236" s="18"/>
      <c r="H236" s="35"/>
      <c r="N236" s="18"/>
    </row>
    <row r="237" customFormat="false" ht="15.75" hidden="false" customHeight="false" outlineLevel="0" collapsed="false">
      <c r="G237" s="18"/>
      <c r="H237" s="35"/>
      <c r="N237" s="18"/>
    </row>
    <row r="238" customFormat="false" ht="15.75" hidden="false" customHeight="false" outlineLevel="0" collapsed="false">
      <c r="G238" s="18"/>
      <c r="H238" s="35"/>
      <c r="N238" s="18"/>
    </row>
    <row r="239" customFormat="false" ht="15.75" hidden="false" customHeight="false" outlineLevel="0" collapsed="false">
      <c r="G239" s="18"/>
      <c r="H239" s="35"/>
      <c r="N239" s="18"/>
    </row>
    <row r="240" customFormat="false" ht="15.75" hidden="false" customHeight="false" outlineLevel="0" collapsed="false">
      <c r="G240" s="18"/>
      <c r="H240" s="35"/>
      <c r="N240" s="18"/>
    </row>
    <row r="241" customFormat="false" ht="15.75" hidden="false" customHeight="false" outlineLevel="0" collapsed="false">
      <c r="G241" s="18"/>
      <c r="H241" s="35"/>
      <c r="N241" s="18"/>
    </row>
    <row r="242" customFormat="false" ht="15.75" hidden="false" customHeight="false" outlineLevel="0" collapsed="false">
      <c r="G242" s="18"/>
      <c r="H242" s="35"/>
      <c r="N242" s="18"/>
    </row>
    <row r="243" customFormat="false" ht="15.75" hidden="false" customHeight="false" outlineLevel="0" collapsed="false">
      <c r="G243" s="18"/>
      <c r="H243" s="35"/>
      <c r="N243" s="18"/>
    </row>
    <row r="244" customFormat="false" ht="15.75" hidden="false" customHeight="false" outlineLevel="0" collapsed="false">
      <c r="G244" s="18"/>
      <c r="H244" s="35"/>
      <c r="N244" s="18"/>
    </row>
    <row r="245" customFormat="false" ht="15.75" hidden="false" customHeight="false" outlineLevel="0" collapsed="false">
      <c r="G245" s="18"/>
      <c r="H245" s="35"/>
      <c r="N245" s="18"/>
    </row>
    <row r="246" customFormat="false" ht="15.75" hidden="false" customHeight="false" outlineLevel="0" collapsed="false">
      <c r="G246" s="18"/>
      <c r="H246" s="35"/>
      <c r="N246" s="18"/>
    </row>
    <row r="247" customFormat="false" ht="15.75" hidden="false" customHeight="false" outlineLevel="0" collapsed="false">
      <c r="G247" s="18"/>
      <c r="H247" s="35"/>
      <c r="N247" s="18"/>
    </row>
    <row r="248" customFormat="false" ht="15.75" hidden="false" customHeight="false" outlineLevel="0" collapsed="false">
      <c r="G248" s="18"/>
      <c r="H248" s="35"/>
      <c r="N248" s="18"/>
    </row>
    <row r="249" customFormat="false" ht="15.75" hidden="false" customHeight="false" outlineLevel="0" collapsed="false">
      <c r="G249" s="18"/>
      <c r="H249" s="35"/>
      <c r="N249" s="18"/>
    </row>
    <row r="250" customFormat="false" ht="15.75" hidden="false" customHeight="false" outlineLevel="0" collapsed="false">
      <c r="G250" s="18"/>
      <c r="H250" s="35"/>
      <c r="N250" s="18"/>
    </row>
    <row r="251" customFormat="false" ht="15.75" hidden="false" customHeight="false" outlineLevel="0" collapsed="false">
      <c r="G251" s="18"/>
      <c r="H251" s="35"/>
      <c r="N251" s="18"/>
    </row>
    <row r="252" customFormat="false" ht="15.75" hidden="false" customHeight="false" outlineLevel="0" collapsed="false">
      <c r="G252" s="18"/>
      <c r="H252" s="35"/>
      <c r="N252" s="18"/>
    </row>
    <row r="253" customFormat="false" ht="15.75" hidden="false" customHeight="false" outlineLevel="0" collapsed="false">
      <c r="G253" s="18"/>
      <c r="H253" s="35"/>
      <c r="N253" s="18"/>
    </row>
    <row r="254" customFormat="false" ht="15.75" hidden="false" customHeight="false" outlineLevel="0" collapsed="false">
      <c r="G254" s="18"/>
      <c r="H254" s="35"/>
      <c r="N254" s="18"/>
    </row>
    <row r="255" customFormat="false" ht="15.75" hidden="false" customHeight="false" outlineLevel="0" collapsed="false">
      <c r="G255" s="18"/>
      <c r="H255" s="35"/>
      <c r="N255" s="18"/>
    </row>
    <row r="256" customFormat="false" ht="15.75" hidden="false" customHeight="false" outlineLevel="0" collapsed="false">
      <c r="G256" s="18"/>
      <c r="H256" s="35"/>
      <c r="N256" s="18"/>
    </row>
    <row r="257" customFormat="false" ht="15.75" hidden="false" customHeight="false" outlineLevel="0" collapsed="false">
      <c r="G257" s="18"/>
      <c r="H257" s="35"/>
      <c r="N257" s="18"/>
    </row>
    <row r="258" customFormat="false" ht="15.75" hidden="false" customHeight="false" outlineLevel="0" collapsed="false">
      <c r="G258" s="18"/>
      <c r="H258" s="35"/>
      <c r="N258" s="18"/>
    </row>
    <row r="259" customFormat="false" ht="15.75" hidden="false" customHeight="false" outlineLevel="0" collapsed="false">
      <c r="G259" s="18"/>
      <c r="H259" s="35"/>
      <c r="N259" s="18"/>
    </row>
    <row r="1048575" customFormat="false" ht="12.8" hidden="false" customHeight="true" outlineLevel="0" collapsed="false"/>
    <row r="1048576" customFormat="false" ht="12.8" hidden="false" customHeight="true" outlineLevel="0" collapsed="false"/>
  </sheetData>
  <conditionalFormatting sqref="R2:S148">
    <cfRule type="expression" priority="2" aboveAverage="0" equalAverage="0" bottom="0" percent="0" rank="0" text="" dxfId="0">
      <formula>LEN(TRIM(R2))&gt;0</formula>
    </cfRule>
  </conditionalFormatting>
  <conditionalFormatting sqref="Q2:Q148">
    <cfRule type="expression" priority="3" aboveAverage="0" equalAverage="0" bottom="0" percent="0" rank="0" text="" dxfId="0">
      <formula>LEN(TRIM(Q2))&gt;0</formula>
    </cfRule>
  </conditionalFormatting>
  <conditionalFormatting sqref="G2:G148 N2:N148">
    <cfRule type="containsText" priority="4" operator="containsText" aboveAverage="0" equalAverage="0" bottom="0" percent="0" rank="0" text="x" dxfId="0">
      <formula>NOT(ISERROR(SEARCH("x",G2)))</formula>
    </cfRule>
  </conditionalFormatting>
  <conditionalFormatting sqref="T2:T148">
    <cfRule type="expression" priority="5" aboveAverage="0" equalAverage="0" bottom="0" percent="0" rank="0" text="" dxfId="0">
      <formula>LEN(TRIM(T2))&gt;0</formula>
    </cfRule>
  </conditionalFormatting>
  <conditionalFormatting sqref="W2:W148">
    <cfRule type="expression" priority="6" aboveAverage="0" equalAverage="0" bottom="0" percent="0" rank="0" text="" dxfId="0">
      <formula>LEN(TRIM(W2))&gt;0</formula>
    </cfRule>
  </conditionalFormatting>
  <conditionalFormatting sqref="X2:X148">
    <cfRule type="cellIs" priority="7" operator="equal" aboveAverage="0" equalAverage="0" bottom="0" percent="0" rank="0" text="" dxfId="0">
      <formula>"Completo"</formula>
    </cfRule>
    <cfRule type="cellIs" priority="8" operator="equal" aboveAverage="0" equalAverage="0" bottom="0" percent="0" rank="0" text="" dxfId="1">
      <formula>"No aplica"</formula>
    </cfRule>
  </conditionalFormatting>
  <conditionalFormatting sqref="G2:I148 O2:P148 U2:V148 X2:X148">
    <cfRule type="cellIs" priority="9" operator="equal" aboveAverage="0" equalAverage="0" bottom="0" percent="0" rank="0" text="" dxfId="0">
      <formula>"Completo"</formula>
    </cfRule>
    <cfRule type="cellIs" priority="10" operator="equal" aboveAverage="0" equalAverage="0" bottom="0" percent="0" rank="0" text="" dxfId="1">
      <formula>"No Aplica"</formula>
    </cfRule>
  </conditionalFormatting>
  <dataValidations count="5">
    <dataValidation allowBlank="true" errorStyle="stop" operator="between" showDropDown="false" showErrorMessage="true" showInputMessage="false" sqref="D2:D148" type="list">
      <formula1>LEYENDA!$B$2:$D$2</formula1>
      <formula2>0</formula2>
    </dataValidation>
    <dataValidation allowBlank="true" errorStyle="stop" operator="between" showDropDown="false" showErrorMessage="false" showInputMessage="false" sqref="E2:E148" type="list">
      <formula1>LEYENDA!$A$8:$A$12</formula1>
      <formula2>0</formula2>
    </dataValidation>
    <dataValidation allowBlank="true" errorStyle="stop" operator="between" showDropDown="false" showErrorMessage="false" showInputMessage="false" sqref="T2:T148" type="list">
      <formula1>LEYENDA!$A$23:$A$24</formula1>
      <formula2>0</formula2>
    </dataValidation>
    <dataValidation allowBlank="true" errorStyle="stop" operator="between" showDropDown="false" showErrorMessage="false" showInputMessage="false" sqref="R2:R148" type="list">
      <formula1>LEYENDA!$A$15:$A$19</formula1>
      <formula2>0</formula2>
    </dataValidation>
    <dataValidation allowBlank="true" errorStyle="stop" operator="between" showDropDown="false" showErrorMessage="true" showInputMessage="false" sqref="H2:I148 O2:P148 U2:V148 X2:X148" type="list">
      <formula1>LEYENDA!$B$1:$C$1</formula1>
      <formula2>0</formula2>
    </dataValidation>
  </dataValidations>
  <hyperlinks>
    <hyperlink ref="U3" r:id="rId1" display="Completo"/>
    <hyperlink ref="V3" r:id="rId2" display="Completo"/>
    <hyperlink ref="W6" r:id="rId3" display="Bruñido"/>
    <hyperlink ref="U11" r:id="rId4" display="Completo"/>
    <hyperlink ref="V11" r:id="rId5" display="Completo"/>
    <hyperlink ref="U13" r:id="rId6" display="Completo"/>
    <hyperlink ref="V13" r:id="rId7" display="Completo"/>
    <hyperlink ref="U14" r:id="rId8" display="Completo"/>
    <hyperlink ref="V14" r:id="rId9" display="Completo"/>
    <hyperlink ref="U15" r:id="rId10" display="Completo"/>
    <hyperlink ref="V15" r:id="rId11" display="Completo"/>
    <hyperlink ref="H18" r:id="rId12" display="Completo"/>
    <hyperlink ref="P18" r:id="rId13" display="Completo"/>
    <hyperlink ref="U18" r:id="rId14" display="Completo"/>
    <hyperlink ref="V18" r:id="rId15" display="Completo"/>
    <hyperlink ref="U19" r:id="rId16" display="Completo"/>
    <hyperlink ref="V19" r:id="rId17" display="Completo"/>
    <hyperlink ref="U20" r:id="rId18" display="Completo"/>
    <hyperlink ref="V20" r:id="rId19" display="Completo"/>
    <hyperlink ref="U21" r:id="rId20" display="Completo"/>
    <hyperlink ref="V21" r:id="rId21" display="Completo"/>
    <hyperlink ref="U22" r:id="rId22" display="Completo"/>
    <hyperlink ref="V22" r:id="rId23" display="Completo"/>
    <hyperlink ref="U23" r:id="rId24" display="Completo"/>
    <hyperlink ref="V23" r:id="rId25" display="Completo"/>
    <hyperlink ref="U28" r:id="rId26" display="Completo"/>
    <hyperlink ref="V28" r:id="rId27" display="Completo"/>
    <hyperlink ref="U29" r:id="rId28" display="Completo"/>
    <hyperlink ref="V29" r:id="rId29" display="Completo"/>
    <hyperlink ref="U36" r:id="rId30" display="Completo"/>
    <hyperlink ref="V36" r:id="rId31" display="Completo"/>
    <hyperlink ref="U39" r:id="rId32" display="Completo"/>
    <hyperlink ref="V39" r:id="rId33" display="Completo"/>
    <hyperlink ref="U40" r:id="rId34" display="Completo"/>
    <hyperlink ref="H50" r:id="rId35" display="Completo"/>
    <hyperlink ref="U50" r:id="rId36" display="Completo"/>
    <hyperlink ref="V50" r:id="rId37" display="Completo"/>
    <hyperlink ref="H51" r:id="rId38" display="Completo"/>
    <hyperlink ref="U51" r:id="rId39" display="Completo"/>
    <hyperlink ref="V51" r:id="rId40" display="Completo"/>
    <hyperlink ref="U52" r:id="rId41" display="Completo"/>
    <hyperlink ref="V52" r:id="rId42" display="Completo"/>
    <hyperlink ref="U53" r:id="rId43" display="Completo"/>
    <hyperlink ref="V53" r:id="rId44" display="Completo"/>
    <hyperlink ref="U54" r:id="rId45" display="Completo"/>
    <hyperlink ref="V54" r:id="rId46" display="Completo"/>
  </hyperlinks>
  <printOptions headings="false" gridLines="true" gridLinesSet="true" horizontalCentered="true" verticalCentered="false"/>
  <pageMargins left="0.7" right="0.7" top="0.75" bottom="0.75" header="0.511811023622047" footer="0.511811023622047"/>
  <pageSetup paperSize="9" scale="100" fitToWidth="1" fitToHeight="0" pageOrder="overThenDown" orientation="landscape" blackAndWhite="false" draft="false" cellComments="none" horizontalDpi="300" verticalDpi="300" copies="1"/>
  <headerFooter differentFirst="false" differentOddEven="false">
    <oddHeader/>
    <oddFooter/>
  </headerFooter>
  <drawing r:id="rId47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AF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6" ySplit="3" topLeftCell="G70" activePane="bottomRight" state="frozen"/>
      <selection pane="topLeft" activeCell="A1" activeCellId="0" sqref="A1"/>
      <selection pane="topRight" activeCell="G1" activeCellId="0" sqref="G1"/>
      <selection pane="bottomLeft" activeCell="A70" activeCellId="0" sqref="A70"/>
      <selection pane="bottomRight" activeCell="A1" activeCellId="0" sqref="A1"/>
    </sheetView>
  </sheetViews>
  <sheetFormatPr defaultColWidth="12.6328125" defaultRowHeight="15.75" zeroHeight="false" outlineLevelRow="0" outlineLevelCol="0"/>
  <cols>
    <col collapsed="false" customWidth="true" hidden="false" outlineLevel="0" max="1" min="1" style="1" width="10.25"/>
    <col collapsed="false" customWidth="true" hidden="false" outlineLevel="0" max="2" min="2" style="1" width="10.38"/>
    <col collapsed="false" customWidth="true" hidden="false" outlineLevel="0" max="3" min="3" style="1" width="16.89"/>
    <col collapsed="false" customWidth="true" hidden="false" outlineLevel="0" max="4" min="4" style="1" width="11.25"/>
    <col collapsed="false" customWidth="true" hidden="false" outlineLevel="0" max="5" min="5" style="1" width="17.13"/>
    <col collapsed="false" customWidth="true" hidden="false" outlineLevel="0" max="6" min="6" style="1" width="43.63"/>
    <col collapsed="false" customWidth="true" hidden="false" outlineLevel="0" max="7" min="7" style="1" width="15.88"/>
    <col collapsed="false" customWidth="true" hidden="false" outlineLevel="0" max="8" min="8" style="1" width="10.88"/>
    <col collapsed="false" customWidth="true" hidden="false" outlineLevel="0" max="9" min="9" style="1" width="12.75"/>
    <col collapsed="false" customWidth="true" hidden="false" outlineLevel="0" max="10" min="10" style="1" width="13.38"/>
    <col collapsed="false" customWidth="true" hidden="false" outlineLevel="0" max="11" min="11" style="1" width="10"/>
    <col collapsed="false" customWidth="true" hidden="false" outlineLevel="0" max="12" min="12" style="1" width="12.25"/>
    <col collapsed="false" customWidth="true" hidden="false" outlineLevel="0" max="13" min="13" style="1" width="26.12"/>
    <col collapsed="false" customWidth="true" hidden="false" outlineLevel="0" max="14" min="14" style="1" width="18"/>
    <col collapsed="false" customWidth="true" hidden="false" outlineLevel="0" max="16" min="15" style="1" width="10.63"/>
    <col collapsed="false" customWidth="true" hidden="false" outlineLevel="0" max="17" min="17" style="1" width="8.5"/>
    <col collapsed="false" customWidth="true" hidden="false" outlineLevel="0" max="19" min="19" style="1" width="25.38"/>
    <col collapsed="false" customWidth="true" hidden="false" outlineLevel="0" max="20" min="20" style="1" width="17.88"/>
    <col collapsed="false" customWidth="true" hidden="false" outlineLevel="0" max="21" min="21" style="1" width="10.13"/>
    <col collapsed="false" customWidth="true" hidden="false" outlineLevel="0" max="23" min="22" style="1" width="11.12"/>
    <col collapsed="false" customWidth="true" hidden="false" outlineLevel="0" max="24" min="24" style="1" width="24.88"/>
  </cols>
  <sheetData>
    <row r="1" customFormat="false" ht="68" hidden="false" customHeight="false" outlineLevel="0" collapsed="false">
      <c r="A1" s="2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/>
      <c r="J1" s="4" t="s">
        <v>8</v>
      </c>
      <c r="K1" s="2"/>
      <c r="L1" s="2" t="s">
        <v>9</v>
      </c>
      <c r="M1" s="2" t="s">
        <v>10</v>
      </c>
      <c r="N1" s="4" t="s">
        <v>11</v>
      </c>
      <c r="O1" s="3" t="s">
        <v>12</v>
      </c>
      <c r="P1" s="7" t="s">
        <v>13</v>
      </c>
      <c r="Q1" s="7" t="s">
        <v>14</v>
      </c>
      <c r="R1" s="7" t="s">
        <v>15</v>
      </c>
      <c r="S1" s="7" t="s">
        <v>16</v>
      </c>
      <c r="T1" s="7" t="s">
        <v>17</v>
      </c>
      <c r="U1" s="8" t="s">
        <v>18</v>
      </c>
      <c r="V1" s="9" t="s">
        <v>19</v>
      </c>
      <c r="W1" s="9" t="s">
        <v>20</v>
      </c>
      <c r="X1" s="10" t="s">
        <v>15</v>
      </c>
      <c r="Y1" s="11" t="s">
        <v>21</v>
      </c>
      <c r="Z1" s="11" t="s">
        <v>22</v>
      </c>
      <c r="AA1" s="12"/>
      <c r="AB1" s="12"/>
      <c r="AC1" s="12"/>
      <c r="AD1" s="12"/>
      <c r="AE1" s="12"/>
      <c r="AF1" s="12"/>
    </row>
    <row r="2" customFormat="false" ht="15.75" hidden="false" customHeight="false" outlineLevel="0" collapsed="false">
      <c r="A2" s="61" t="n">
        <v>5986</v>
      </c>
      <c r="B2" s="29" t="n">
        <v>44470</v>
      </c>
      <c r="C2" s="21" t="s">
        <v>705</v>
      </c>
      <c r="D2" s="21" t="s">
        <v>24</v>
      </c>
      <c r="E2" s="21" t="s">
        <v>34</v>
      </c>
      <c r="F2" s="21" t="s">
        <v>3920</v>
      </c>
      <c r="G2" s="30"/>
      <c r="H2" s="31"/>
      <c r="I2" s="21"/>
      <c r="J2" s="21"/>
      <c r="K2" s="21"/>
      <c r="L2" s="21"/>
      <c r="M2" s="21"/>
      <c r="N2" s="30"/>
      <c r="O2" s="21"/>
      <c r="P2" s="21"/>
      <c r="Q2" s="21"/>
      <c r="R2" s="32"/>
      <c r="S2" s="32"/>
      <c r="T2" s="21"/>
      <c r="U2" s="21"/>
      <c r="V2" s="21"/>
      <c r="W2" s="21"/>
      <c r="X2" s="21"/>
      <c r="Y2" s="21" t="s">
        <v>28</v>
      </c>
    </row>
    <row r="3" customFormat="false" ht="15.75" hidden="false" customHeight="false" outlineLevel="0" collapsed="false">
      <c r="A3" s="61" t="n">
        <v>5987</v>
      </c>
      <c r="B3" s="29" t="n">
        <v>44473</v>
      </c>
      <c r="C3" s="21" t="s">
        <v>3921</v>
      </c>
      <c r="D3" s="21" t="s">
        <v>24</v>
      </c>
      <c r="E3" s="21" t="s">
        <v>3337</v>
      </c>
      <c r="F3" s="21" t="s">
        <v>3922</v>
      </c>
      <c r="G3" s="30" t="s">
        <v>3923</v>
      </c>
      <c r="H3" s="45" t="str">
        <f aca="false">HYPERLINK("https://photos.app.goo.gl/U5EFb2ok8JoJGZG3A", "Completo")</f>
        <v>Completo</v>
      </c>
      <c r="I3" s="21" t="s">
        <v>28</v>
      </c>
      <c r="J3" s="21"/>
      <c r="K3" s="21"/>
      <c r="L3" s="21" t="s">
        <v>2255</v>
      </c>
      <c r="M3" s="21"/>
      <c r="N3" s="30"/>
      <c r="O3" s="21"/>
      <c r="P3" s="21"/>
      <c r="Q3" s="21"/>
      <c r="R3" s="32"/>
      <c r="S3" s="32"/>
      <c r="T3" s="21"/>
      <c r="U3" s="21"/>
      <c r="V3" s="21"/>
      <c r="W3" s="21"/>
      <c r="X3" s="21"/>
      <c r="Y3" s="21" t="s">
        <v>28</v>
      </c>
    </row>
    <row r="4" customFormat="false" ht="15.75" hidden="false" customHeight="false" outlineLevel="0" collapsed="false">
      <c r="A4" s="61" t="n">
        <v>5988</v>
      </c>
      <c r="B4" s="29" t="n">
        <v>44473</v>
      </c>
      <c r="C4" s="21" t="s">
        <v>3924</v>
      </c>
      <c r="D4" s="21" t="s">
        <v>24</v>
      </c>
      <c r="E4" s="21" t="s">
        <v>3337</v>
      </c>
      <c r="F4" s="21" t="s">
        <v>3925</v>
      </c>
      <c r="G4" s="30" t="s">
        <v>3926</v>
      </c>
      <c r="H4" s="45" t="str">
        <f aca="false">HYPERLINK("https://photos.app.goo.gl/qNPR95c9DtdHo2vQ8", "Completo")</f>
        <v>Completo</v>
      </c>
      <c r="I4" s="21" t="s">
        <v>28</v>
      </c>
      <c r="J4" s="21"/>
      <c r="K4" s="21"/>
      <c r="L4" s="21" t="s">
        <v>2255</v>
      </c>
      <c r="M4" s="21"/>
      <c r="N4" s="30"/>
      <c r="O4" s="21" t="s">
        <v>28</v>
      </c>
      <c r="P4" s="21" t="s">
        <v>28</v>
      </c>
      <c r="Q4" s="21" t="s">
        <v>399</v>
      </c>
      <c r="R4" s="32" t="s">
        <v>2850</v>
      </c>
      <c r="S4" s="32" t="s">
        <v>29</v>
      </c>
      <c r="T4" s="21" t="s">
        <v>74</v>
      </c>
      <c r="U4" s="74" t="s">
        <v>28</v>
      </c>
      <c r="V4" s="21"/>
      <c r="W4" s="74" t="s">
        <v>28</v>
      </c>
      <c r="X4" s="21" t="s">
        <v>36</v>
      </c>
      <c r="Y4" s="21" t="s">
        <v>28</v>
      </c>
    </row>
    <row r="5" customFormat="false" ht="15.75" hidden="false" customHeight="false" outlineLevel="0" collapsed="false">
      <c r="A5" s="61" t="n">
        <v>5989</v>
      </c>
      <c r="B5" s="29" t="n">
        <v>44473</v>
      </c>
      <c r="C5" s="21" t="s">
        <v>2575</v>
      </c>
      <c r="D5" s="21" t="s">
        <v>24</v>
      </c>
      <c r="E5" s="21" t="s">
        <v>3337</v>
      </c>
      <c r="F5" s="21" t="s">
        <v>3927</v>
      </c>
      <c r="G5" s="30" t="s">
        <v>3928</v>
      </c>
      <c r="H5" s="45" t="str">
        <f aca="false">HYPERLINK("https://photos.app.goo.gl/7dFBYdkNYhkGGVpR7", "Completo")</f>
        <v>Completo</v>
      </c>
      <c r="I5" s="21" t="s">
        <v>28</v>
      </c>
      <c r="J5" s="21"/>
      <c r="K5" s="21"/>
      <c r="L5" s="21" t="s">
        <v>2133</v>
      </c>
      <c r="M5" s="21"/>
      <c r="N5" s="30"/>
      <c r="O5" s="21" t="s">
        <v>28</v>
      </c>
      <c r="P5" s="74" t="s">
        <v>28</v>
      </c>
      <c r="Q5" s="21"/>
      <c r="R5" s="32" t="s">
        <v>3929</v>
      </c>
      <c r="S5" s="32"/>
      <c r="T5" s="21"/>
      <c r="U5" s="21"/>
      <c r="V5" s="21"/>
      <c r="W5" s="21"/>
      <c r="X5" s="21"/>
      <c r="Y5" s="21" t="s">
        <v>28</v>
      </c>
    </row>
    <row r="6" customFormat="false" ht="15.75" hidden="false" customHeight="false" outlineLevel="0" collapsed="false">
      <c r="A6" s="61" t="n">
        <v>5990</v>
      </c>
      <c r="B6" s="29" t="n">
        <v>44473</v>
      </c>
      <c r="C6" s="21" t="s">
        <v>2575</v>
      </c>
      <c r="D6" s="21" t="s">
        <v>24</v>
      </c>
      <c r="E6" s="21" t="s">
        <v>3337</v>
      </c>
      <c r="F6" s="21" t="s">
        <v>3930</v>
      </c>
      <c r="G6" s="30" t="s">
        <v>3931</v>
      </c>
      <c r="H6" s="45" t="str">
        <f aca="false">HYPERLINK("https://photos.app.goo.gl/RNrSKHNLxEn7zm7x5", "Completo")</f>
        <v>Completo</v>
      </c>
      <c r="I6" s="21" t="s">
        <v>37</v>
      </c>
      <c r="J6" s="21"/>
      <c r="K6" s="21"/>
      <c r="L6" s="21"/>
      <c r="M6" s="21"/>
      <c r="N6" s="30"/>
      <c r="O6" s="21"/>
      <c r="P6" s="21"/>
      <c r="Q6" s="21"/>
      <c r="R6" s="32"/>
      <c r="S6" s="32"/>
      <c r="T6" s="21"/>
      <c r="U6" s="21"/>
      <c r="V6" s="21"/>
      <c r="W6" s="21"/>
      <c r="X6" s="21"/>
      <c r="Y6" s="21" t="s">
        <v>37</v>
      </c>
    </row>
    <row r="7" customFormat="false" ht="15.75" hidden="false" customHeight="false" outlineLevel="0" collapsed="false">
      <c r="A7" s="61" t="n">
        <v>5991</v>
      </c>
      <c r="B7" s="29" t="n">
        <v>44473</v>
      </c>
      <c r="C7" s="21" t="s">
        <v>2575</v>
      </c>
      <c r="D7" s="21" t="s">
        <v>24</v>
      </c>
      <c r="E7" s="21" t="s">
        <v>3337</v>
      </c>
      <c r="F7" s="21" t="s">
        <v>3932</v>
      </c>
      <c r="G7" s="30" t="s">
        <v>3931</v>
      </c>
      <c r="H7" s="31" t="s">
        <v>28</v>
      </c>
      <c r="I7" s="21" t="s">
        <v>37</v>
      </c>
      <c r="J7" s="21"/>
      <c r="K7" s="21"/>
      <c r="L7" s="21"/>
      <c r="M7" s="21"/>
      <c r="N7" s="30"/>
      <c r="O7" s="21"/>
      <c r="P7" s="21"/>
      <c r="Q7" s="21"/>
      <c r="R7" s="32"/>
      <c r="S7" s="32"/>
      <c r="T7" s="21"/>
      <c r="U7" s="21"/>
      <c r="V7" s="21"/>
      <c r="W7" s="21"/>
      <c r="X7" s="21"/>
      <c r="Y7" s="21" t="s">
        <v>37</v>
      </c>
    </row>
    <row r="8" customFormat="false" ht="15.75" hidden="false" customHeight="false" outlineLevel="0" collapsed="false">
      <c r="A8" s="61" t="n">
        <v>5992</v>
      </c>
      <c r="B8" s="29" t="n">
        <v>44473</v>
      </c>
      <c r="C8" s="21" t="s">
        <v>2575</v>
      </c>
      <c r="D8" s="21" t="s">
        <v>24</v>
      </c>
      <c r="E8" s="21" t="s">
        <v>3337</v>
      </c>
      <c r="F8" s="21" t="s">
        <v>3933</v>
      </c>
      <c r="G8" s="30" t="s">
        <v>3931</v>
      </c>
      <c r="H8" s="45" t="str">
        <f aca="false">HYPERLINK("https://photos.app.goo.gl/RxvAjj4FJuoqSQ1a9", "Completo")</f>
        <v>Completo</v>
      </c>
      <c r="I8" s="21" t="s">
        <v>37</v>
      </c>
      <c r="J8" s="21"/>
      <c r="K8" s="21"/>
      <c r="L8" s="21"/>
      <c r="M8" s="21"/>
      <c r="N8" s="30"/>
      <c r="O8" s="21"/>
      <c r="P8" s="21"/>
      <c r="Q8" s="21"/>
      <c r="R8" s="32"/>
      <c r="S8" s="32"/>
      <c r="T8" s="21"/>
      <c r="U8" s="21"/>
      <c r="V8" s="21"/>
      <c r="W8" s="21"/>
      <c r="X8" s="21"/>
      <c r="Y8" s="21" t="s">
        <v>37</v>
      </c>
    </row>
    <row r="9" customFormat="false" ht="15.75" hidden="false" customHeight="false" outlineLevel="0" collapsed="false">
      <c r="A9" s="61" t="n">
        <v>5993</v>
      </c>
      <c r="B9" s="29" t="n">
        <v>44473</v>
      </c>
      <c r="C9" s="21" t="s">
        <v>2575</v>
      </c>
      <c r="D9" s="21" t="s">
        <v>24</v>
      </c>
      <c r="E9" s="21" t="s">
        <v>3337</v>
      </c>
      <c r="F9" s="21" t="s">
        <v>3934</v>
      </c>
      <c r="G9" s="30" t="s">
        <v>3931</v>
      </c>
      <c r="H9" s="45" t="str">
        <f aca="false">HYPERLINK("https://photos.app.goo.gl/QWvVa3uZ1UGkvpfe9", "Completo")</f>
        <v>Completo</v>
      </c>
      <c r="I9" s="21" t="s">
        <v>37</v>
      </c>
      <c r="J9" s="21"/>
      <c r="K9" s="21"/>
      <c r="L9" s="21" t="s">
        <v>3935</v>
      </c>
      <c r="M9" s="21"/>
      <c r="N9" s="30"/>
      <c r="O9" s="21"/>
      <c r="P9" s="21"/>
      <c r="Q9" s="21"/>
      <c r="R9" s="32"/>
      <c r="S9" s="32"/>
      <c r="T9" s="21"/>
      <c r="U9" s="21"/>
      <c r="V9" s="21"/>
      <c r="W9" s="21"/>
      <c r="X9" s="21"/>
      <c r="Y9" s="21" t="s">
        <v>37</v>
      </c>
    </row>
    <row r="10" customFormat="false" ht="15.75" hidden="false" customHeight="false" outlineLevel="0" collapsed="false">
      <c r="A10" s="61" t="n">
        <v>5994</v>
      </c>
      <c r="B10" s="29" t="n">
        <v>44473</v>
      </c>
      <c r="C10" s="21" t="s">
        <v>2575</v>
      </c>
      <c r="D10" s="21" t="s">
        <v>24</v>
      </c>
      <c r="E10" s="21" t="s">
        <v>3337</v>
      </c>
      <c r="F10" s="21" t="s">
        <v>3936</v>
      </c>
      <c r="G10" s="30" t="s">
        <v>3937</v>
      </c>
      <c r="H10" s="45" t="str">
        <f aca="false">HYPERLINK("https://photos.app.goo.gl/HG6SvUp5EnDJHPa99", "Completo")</f>
        <v>Completo</v>
      </c>
      <c r="I10" s="21" t="s">
        <v>28</v>
      </c>
      <c r="J10" s="21"/>
      <c r="K10" s="21"/>
      <c r="L10" s="21" t="s">
        <v>2133</v>
      </c>
      <c r="M10" s="21"/>
      <c r="N10" s="30"/>
      <c r="O10" s="21"/>
      <c r="P10" s="21"/>
      <c r="Q10" s="21"/>
      <c r="R10" s="32"/>
      <c r="S10" s="32"/>
      <c r="T10" s="21" t="s">
        <v>3337</v>
      </c>
      <c r="U10" s="74" t="s">
        <v>28</v>
      </c>
      <c r="V10" s="74" t="s">
        <v>28</v>
      </c>
      <c r="W10" s="74" t="s">
        <v>28</v>
      </c>
      <c r="X10" s="21"/>
      <c r="Y10" s="21" t="s">
        <v>37</v>
      </c>
    </row>
    <row r="11" customFormat="false" ht="15.75" hidden="false" customHeight="false" outlineLevel="0" collapsed="false">
      <c r="A11" s="61" t="n">
        <v>5995</v>
      </c>
      <c r="B11" s="29" t="n">
        <v>44473</v>
      </c>
      <c r="C11" s="21" t="s">
        <v>3938</v>
      </c>
      <c r="D11" s="21" t="s">
        <v>24</v>
      </c>
      <c r="E11" s="21" t="s">
        <v>3337</v>
      </c>
      <c r="F11" s="21" t="s">
        <v>3939</v>
      </c>
      <c r="G11" s="30" t="s">
        <v>3940</v>
      </c>
      <c r="H11" s="45" t="str">
        <f aca="false">HYPERLINK("https://photos.app.goo.gl/f6cjDGZSeJdJ38hX6", "Completo")</f>
        <v>Completo</v>
      </c>
      <c r="I11" s="21" t="s">
        <v>28</v>
      </c>
      <c r="J11" s="21"/>
      <c r="K11" s="21"/>
      <c r="L11" s="21" t="s">
        <v>2255</v>
      </c>
      <c r="M11" s="21"/>
      <c r="N11" s="30"/>
      <c r="O11" s="21" t="s">
        <v>28</v>
      </c>
      <c r="P11" s="21" t="s">
        <v>28</v>
      </c>
      <c r="Q11" s="21" t="s">
        <v>3941</v>
      </c>
      <c r="R11" s="32" t="s">
        <v>2850</v>
      </c>
      <c r="S11" s="32" t="s">
        <v>29</v>
      </c>
      <c r="T11" s="21" t="s">
        <v>74</v>
      </c>
      <c r="U11" s="74" t="s">
        <v>28</v>
      </c>
      <c r="V11" s="21"/>
      <c r="W11" s="74" t="s">
        <v>28</v>
      </c>
      <c r="X11" s="21" t="s">
        <v>36</v>
      </c>
      <c r="Y11" s="21" t="s">
        <v>28</v>
      </c>
    </row>
    <row r="12" customFormat="false" ht="15.75" hidden="false" customHeight="false" outlineLevel="0" collapsed="false">
      <c r="A12" s="61" t="n">
        <v>5996</v>
      </c>
      <c r="B12" s="29" t="n">
        <v>44473</v>
      </c>
      <c r="C12" s="21" t="s">
        <v>3942</v>
      </c>
      <c r="D12" s="21" t="s">
        <v>24</v>
      </c>
      <c r="E12" s="21" t="s">
        <v>3337</v>
      </c>
      <c r="F12" s="21" t="s">
        <v>3943</v>
      </c>
      <c r="G12" s="30" t="s">
        <v>3944</v>
      </c>
      <c r="H12" s="45" t="str">
        <f aca="false">HYPERLINK("https://photos.app.goo.gl/2juKjaFRkeNyCHze7", "Completo")</f>
        <v>Completo</v>
      </c>
      <c r="I12" s="21" t="s">
        <v>28</v>
      </c>
      <c r="J12" s="21"/>
      <c r="K12" s="21"/>
      <c r="L12" s="21" t="s">
        <v>2255</v>
      </c>
      <c r="M12" s="21"/>
      <c r="N12" s="30"/>
      <c r="O12" s="21"/>
      <c r="P12" s="21"/>
      <c r="Q12" s="21"/>
      <c r="R12" s="32" t="s">
        <v>2850</v>
      </c>
      <c r="S12" s="32" t="s">
        <v>29</v>
      </c>
      <c r="T12" s="21" t="s">
        <v>74</v>
      </c>
      <c r="U12" s="74" t="s">
        <v>28</v>
      </c>
      <c r="V12" s="21"/>
      <c r="W12" s="74" t="s">
        <v>28</v>
      </c>
      <c r="X12" s="21" t="s">
        <v>36</v>
      </c>
      <c r="Y12" s="21" t="s">
        <v>28</v>
      </c>
    </row>
    <row r="13" customFormat="false" ht="15.75" hidden="false" customHeight="false" outlineLevel="0" collapsed="false">
      <c r="A13" s="63" t="n">
        <v>1491195</v>
      </c>
      <c r="B13" s="29" t="n">
        <v>44473</v>
      </c>
      <c r="C13" s="21" t="s">
        <v>3945</v>
      </c>
      <c r="D13" s="21" t="s">
        <v>24</v>
      </c>
      <c r="E13" s="21" t="s">
        <v>3337</v>
      </c>
      <c r="F13" s="21" t="s">
        <v>3946</v>
      </c>
      <c r="G13" s="30" t="s">
        <v>3947</v>
      </c>
      <c r="H13" s="45" t="str">
        <f aca="false">HYPERLINK("https://photos.app.goo.gl/j7Fz4kZ2vpBVfVJ86", "Completo")</f>
        <v>Completo</v>
      </c>
      <c r="I13" s="21" t="s">
        <v>28</v>
      </c>
      <c r="J13" s="21"/>
      <c r="K13" s="21"/>
      <c r="L13" s="21" t="s">
        <v>2255</v>
      </c>
      <c r="M13" s="21"/>
      <c r="N13" s="30"/>
      <c r="O13" s="21" t="s">
        <v>28</v>
      </c>
      <c r="P13" s="21" t="s">
        <v>28</v>
      </c>
      <c r="Q13" s="21"/>
      <c r="R13" s="32" t="s">
        <v>2850</v>
      </c>
      <c r="S13" s="32" t="s">
        <v>29</v>
      </c>
      <c r="T13" s="21"/>
      <c r="U13" s="21"/>
      <c r="V13" s="21"/>
      <c r="W13" s="21"/>
      <c r="X13" s="21"/>
      <c r="Y13" s="21" t="s">
        <v>28</v>
      </c>
    </row>
    <row r="14" customFormat="false" ht="15.75" hidden="false" customHeight="false" outlineLevel="0" collapsed="false">
      <c r="A14" s="61" t="n">
        <v>5997</v>
      </c>
      <c r="B14" s="29" t="n">
        <v>44473</v>
      </c>
      <c r="C14" s="21" t="s">
        <v>3948</v>
      </c>
      <c r="D14" s="21" t="s">
        <v>24</v>
      </c>
      <c r="E14" s="21" t="s">
        <v>3337</v>
      </c>
      <c r="F14" s="21" t="s">
        <v>3949</v>
      </c>
      <c r="G14" s="30" t="s">
        <v>3950</v>
      </c>
      <c r="H14" s="45" t="str">
        <f aca="false">HYPERLINK("https://photos.app.goo.gl/2FLNNx9ETRaKeEmPA", "Completo")</f>
        <v>Completo</v>
      </c>
      <c r="I14" s="21" t="s">
        <v>28</v>
      </c>
      <c r="J14" s="21"/>
      <c r="K14" s="21"/>
      <c r="L14" s="21" t="s">
        <v>2255</v>
      </c>
      <c r="M14" s="21"/>
      <c r="N14" s="30" t="s">
        <v>3951</v>
      </c>
      <c r="O14" s="21" t="s">
        <v>28</v>
      </c>
      <c r="P14" s="21" t="s">
        <v>28</v>
      </c>
      <c r="Q14" s="21" t="s">
        <v>73</v>
      </c>
      <c r="R14" s="32" t="s">
        <v>74</v>
      </c>
      <c r="S14" s="32" t="s">
        <v>36</v>
      </c>
      <c r="T14" s="21" t="s">
        <v>74</v>
      </c>
      <c r="U14" s="74" t="s">
        <v>28</v>
      </c>
      <c r="V14" s="21"/>
      <c r="W14" s="74" t="s">
        <v>28</v>
      </c>
      <c r="X14" s="74" t="s">
        <v>3952</v>
      </c>
      <c r="Y14" s="21" t="s">
        <v>28</v>
      </c>
    </row>
    <row r="15" customFormat="false" ht="15.75" hidden="false" customHeight="false" outlineLevel="0" collapsed="false">
      <c r="A15" s="61" t="n">
        <v>5998</v>
      </c>
      <c r="B15" s="29" t="n">
        <v>44473</v>
      </c>
      <c r="C15" s="21" t="s">
        <v>2905</v>
      </c>
      <c r="D15" s="21" t="s">
        <v>24</v>
      </c>
      <c r="E15" s="21" t="s">
        <v>3337</v>
      </c>
      <c r="F15" s="21" t="s">
        <v>3953</v>
      </c>
      <c r="G15" s="30" t="s">
        <v>3954</v>
      </c>
      <c r="H15" s="31" t="s">
        <v>28</v>
      </c>
      <c r="I15" s="21" t="s">
        <v>28</v>
      </c>
      <c r="J15" s="21"/>
      <c r="K15" s="21"/>
      <c r="L15" s="21"/>
      <c r="M15" s="21"/>
      <c r="N15" s="30"/>
      <c r="O15" s="21" t="s">
        <v>28</v>
      </c>
      <c r="P15" s="21" t="s">
        <v>28</v>
      </c>
      <c r="Q15" s="21" t="s">
        <v>3955</v>
      </c>
      <c r="R15" s="32" t="s">
        <v>2850</v>
      </c>
      <c r="S15" s="32" t="s">
        <v>29</v>
      </c>
      <c r="T15" s="21" t="s">
        <v>74</v>
      </c>
      <c r="U15" s="74" t="s">
        <v>28</v>
      </c>
      <c r="V15" s="21"/>
      <c r="W15" s="74" t="s">
        <v>28</v>
      </c>
      <c r="X15" s="21" t="s">
        <v>36</v>
      </c>
      <c r="Y15" s="21" t="s">
        <v>28</v>
      </c>
    </row>
    <row r="16" customFormat="false" ht="15.75" hidden="false" customHeight="false" outlineLevel="0" collapsed="false">
      <c r="A16" s="61" t="n">
        <v>5999</v>
      </c>
      <c r="B16" s="29" t="n">
        <v>44473</v>
      </c>
      <c r="C16" s="21" t="s">
        <v>2905</v>
      </c>
      <c r="D16" s="21" t="s">
        <v>24</v>
      </c>
      <c r="E16" s="21" t="s">
        <v>3337</v>
      </c>
      <c r="F16" s="21" t="s">
        <v>3956</v>
      </c>
      <c r="G16" s="30" t="s">
        <v>3954</v>
      </c>
      <c r="H16" s="45" t="str">
        <f aca="false">HYPERLINK("https://photos.app.goo.gl/H4pXmn8bgdFFnsjh7", "Completo")</f>
        <v>Completo</v>
      </c>
      <c r="I16" s="21" t="s">
        <v>28</v>
      </c>
      <c r="J16" s="21"/>
      <c r="K16" s="21"/>
      <c r="L16" s="21"/>
      <c r="M16" s="21"/>
      <c r="N16" s="30"/>
      <c r="O16" s="21" t="s">
        <v>28</v>
      </c>
      <c r="P16" s="21" t="s">
        <v>28</v>
      </c>
      <c r="Q16" s="21" t="s">
        <v>3955</v>
      </c>
      <c r="R16" s="32" t="s">
        <v>2850</v>
      </c>
      <c r="S16" s="32" t="s">
        <v>29</v>
      </c>
      <c r="T16" s="21" t="s">
        <v>74</v>
      </c>
      <c r="U16" s="74" t="s">
        <v>28</v>
      </c>
      <c r="V16" s="21"/>
      <c r="W16" s="74" t="s">
        <v>28</v>
      </c>
      <c r="X16" s="21" t="s">
        <v>36</v>
      </c>
      <c r="Y16" s="21" t="s">
        <v>28</v>
      </c>
    </row>
    <row r="17" customFormat="false" ht="15.75" hidden="false" customHeight="false" outlineLevel="0" collapsed="false">
      <c r="A17" s="61" t="n">
        <v>6000</v>
      </c>
      <c r="B17" s="29" t="n">
        <v>44473</v>
      </c>
      <c r="C17" s="21" t="s">
        <v>2905</v>
      </c>
      <c r="D17" s="21" t="s">
        <v>24</v>
      </c>
      <c r="E17" s="21" t="s">
        <v>3337</v>
      </c>
      <c r="F17" s="21" t="s">
        <v>3957</v>
      </c>
      <c r="G17" s="30"/>
      <c r="H17" s="31" t="s">
        <v>28</v>
      </c>
      <c r="I17" s="21" t="s">
        <v>28</v>
      </c>
      <c r="J17" s="21"/>
      <c r="K17" s="21"/>
      <c r="L17" s="21"/>
      <c r="M17" s="21"/>
      <c r="N17" s="30"/>
      <c r="O17" s="21"/>
      <c r="P17" s="21"/>
      <c r="Q17" s="21"/>
      <c r="R17" s="32"/>
      <c r="S17" s="32"/>
      <c r="T17" s="21" t="s">
        <v>74</v>
      </c>
      <c r="U17" s="74" t="s">
        <v>28</v>
      </c>
      <c r="V17" s="21"/>
      <c r="W17" s="74" t="s">
        <v>28</v>
      </c>
      <c r="X17" s="74" t="s">
        <v>3952</v>
      </c>
      <c r="Y17" s="21" t="s">
        <v>28</v>
      </c>
    </row>
    <row r="18" customFormat="false" ht="15.75" hidden="false" customHeight="false" outlineLevel="0" collapsed="false">
      <c r="A18" s="61" t="n">
        <v>6001</v>
      </c>
      <c r="B18" s="29" t="n">
        <v>44473</v>
      </c>
      <c r="C18" s="21" t="s">
        <v>2905</v>
      </c>
      <c r="D18" s="21" t="s">
        <v>24</v>
      </c>
      <c r="E18" s="21" t="s">
        <v>3337</v>
      </c>
      <c r="F18" s="21" t="s">
        <v>3204</v>
      </c>
      <c r="G18" s="30" t="s">
        <v>3958</v>
      </c>
      <c r="H18" s="45" t="str">
        <f aca="false">HYPERLINK("https://photos.app.goo.gl/PaYQk3gtf6mHbZnL6", "Completo")</f>
        <v>Completo</v>
      </c>
      <c r="I18" s="21" t="s">
        <v>28</v>
      </c>
      <c r="J18" s="21"/>
      <c r="K18" s="21" t="s">
        <v>3307</v>
      </c>
      <c r="L18" s="21"/>
      <c r="M18" s="21"/>
      <c r="N18" s="30"/>
      <c r="O18" s="21" t="s">
        <v>28</v>
      </c>
      <c r="P18" s="21" t="s">
        <v>28</v>
      </c>
      <c r="Q18" s="21" t="s">
        <v>3959</v>
      </c>
      <c r="R18" s="32" t="s">
        <v>2850</v>
      </c>
      <c r="S18" s="32" t="s">
        <v>36</v>
      </c>
      <c r="T18" s="21" t="s">
        <v>74</v>
      </c>
      <c r="U18" s="74" t="s">
        <v>28</v>
      </c>
      <c r="V18" s="21"/>
      <c r="W18" s="74" t="s">
        <v>28</v>
      </c>
      <c r="X18" s="21" t="s">
        <v>36</v>
      </c>
      <c r="Y18" s="21" t="s">
        <v>28</v>
      </c>
    </row>
    <row r="19" customFormat="false" ht="15.75" hidden="false" customHeight="false" outlineLevel="0" collapsed="false">
      <c r="A19" s="61" t="n">
        <v>6002</v>
      </c>
      <c r="B19" s="29" t="n">
        <v>44473</v>
      </c>
      <c r="C19" s="21" t="s">
        <v>2905</v>
      </c>
      <c r="D19" s="21" t="s">
        <v>24</v>
      </c>
      <c r="E19" s="21" t="s">
        <v>3337</v>
      </c>
      <c r="F19" s="21" t="s">
        <v>3204</v>
      </c>
      <c r="G19" s="30" t="s">
        <v>3958</v>
      </c>
      <c r="H19" s="31" t="s">
        <v>28</v>
      </c>
      <c r="I19" s="21" t="s">
        <v>28</v>
      </c>
      <c r="J19" s="21"/>
      <c r="K19" s="21"/>
      <c r="L19" s="21"/>
      <c r="M19" s="21"/>
      <c r="N19" s="30"/>
      <c r="O19" s="21"/>
      <c r="P19" s="21"/>
      <c r="Q19" s="21"/>
      <c r="R19" s="32"/>
      <c r="S19" s="32"/>
      <c r="T19" s="21" t="s">
        <v>74</v>
      </c>
      <c r="U19" s="74" t="s">
        <v>28</v>
      </c>
      <c r="V19" s="21"/>
      <c r="W19" s="74" t="s">
        <v>28</v>
      </c>
      <c r="X19" s="21" t="s">
        <v>36</v>
      </c>
      <c r="Y19" s="21" t="s">
        <v>28</v>
      </c>
    </row>
    <row r="20" customFormat="false" ht="15.75" hidden="false" customHeight="false" outlineLevel="0" collapsed="false">
      <c r="A20" s="61" t="n">
        <v>6003</v>
      </c>
      <c r="B20" s="29" t="n">
        <v>44473</v>
      </c>
      <c r="C20" s="21" t="s">
        <v>2905</v>
      </c>
      <c r="D20" s="21" t="s">
        <v>24</v>
      </c>
      <c r="E20" s="21" t="s">
        <v>3337</v>
      </c>
      <c r="F20" s="21" t="s">
        <v>3960</v>
      </c>
      <c r="G20" s="30"/>
      <c r="H20" s="31" t="s">
        <v>28</v>
      </c>
      <c r="I20" s="21" t="s">
        <v>28</v>
      </c>
      <c r="J20" s="21"/>
      <c r="K20" s="21"/>
      <c r="L20" s="21"/>
      <c r="M20" s="21"/>
      <c r="N20" s="30"/>
      <c r="O20" s="21"/>
      <c r="P20" s="21"/>
      <c r="Q20" s="21"/>
      <c r="R20" s="32"/>
      <c r="S20" s="32"/>
      <c r="T20" s="21"/>
      <c r="U20" s="21"/>
      <c r="V20" s="21"/>
      <c r="W20" s="21"/>
      <c r="X20" s="21"/>
      <c r="Y20" s="21" t="s">
        <v>28</v>
      </c>
    </row>
    <row r="21" customFormat="false" ht="15.75" hidden="false" customHeight="false" outlineLevel="0" collapsed="false">
      <c r="A21" s="63" t="n">
        <v>722087</v>
      </c>
      <c r="B21" s="54" t="n">
        <v>44476</v>
      </c>
      <c r="C21" s="21" t="s">
        <v>2905</v>
      </c>
      <c r="D21" s="21" t="s">
        <v>24</v>
      </c>
      <c r="E21" s="21" t="s">
        <v>34</v>
      </c>
      <c r="F21" s="21" t="s">
        <v>3961</v>
      </c>
      <c r="G21" s="30"/>
      <c r="H21" s="31"/>
      <c r="I21" s="21"/>
      <c r="J21" s="21"/>
      <c r="K21" s="21"/>
      <c r="L21" s="21"/>
      <c r="M21" s="21"/>
      <c r="N21" s="30"/>
      <c r="O21" s="21"/>
      <c r="P21" s="21"/>
      <c r="Q21" s="21"/>
      <c r="R21" s="32"/>
      <c r="S21" s="32"/>
      <c r="T21" s="21"/>
      <c r="U21" s="21"/>
      <c r="V21" s="21"/>
      <c r="W21" s="21"/>
      <c r="X21" s="21"/>
      <c r="Y21" s="21" t="s">
        <v>28</v>
      </c>
    </row>
    <row r="22" customFormat="false" ht="15.75" hidden="false" customHeight="false" outlineLevel="0" collapsed="false">
      <c r="A22" s="61" t="n">
        <v>6004</v>
      </c>
      <c r="B22" s="29" t="n">
        <v>44473</v>
      </c>
      <c r="C22" s="21" t="s">
        <v>75</v>
      </c>
      <c r="D22" s="21" t="s">
        <v>24</v>
      </c>
      <c r="E22" s="21" t="s">
        <v>34</v>
      </c>
      <c r="F22" s="21" t="s">
        <v>3962</v>
      </c>
      <c r="G22" s="30"/>
      <c r="H22" s="31"/>
      <c r="I22" s="21"/>
      <c r="J22" s="21"/>
      <c r="K22" s="21"/>
      <c r="L22" s="21"/>
      <c r="M22" s="21"/>
      <c r="N22" s="30"/>
      <c r="O22" s="21"/>
      <c r="P22" s="21"/>
      <c r="Q22" s="21"/>
      <c r="R22" s="32"/>
      <c r="S22" s="32"/>
      <c r="T22" s="21"/>
      <c r="U22" s="21"/>
      <c r="V22" s="21"/>
      <c r="W22" s="21"/>
      <c r="X22" s="21"/>
      <c r="Y22" s="21" t="s">
        <v>28</v>
      </c>
    </row>
    <row r="23" customFormat="false" ht="15.75" hidden="false" customHeight="false" outlineLevel="0" collapsed="false">
      <c r="A23" s="61" t="n">
        <v>6005</v>
      </c>
      <c r="B23" s="29" t="n">
        <v>44476</v>
      </c>
      <c r="C23" s="21" t="s">
        <v>75</v>
      </c>
      <c r="D23" s="21" t="s">
        <v>24</v>
      </c>
      <c r="E23" s="21" t="s">
        <v>34</v>
      </c>
      <c r="F23" s="21" t="s">
        <v>3962</v>
      </c>
      <c r="G23" s="30"/>
      <c r="H23" s="31"/>
      <c r="I23" s="21"/>
      <c r="J23" s="21"/>
      <c r="K23" s="21"/>
      <c r="L23" s="21"/>
      <c r="M23" s="21"/>
      <c r="N23" s="30"/>
      <c r="O23" s="21"/>
      <c r="P23" s="21"/>
      <c r="Q23" s="21"/>
      <c r="R23" s="32"/>
      <c r="S23" s="32"/>
      <c r="T23" s="21"/>
      <c r="U23" s="21"/>
      <c r="V23" s="21"/>
      <c r="W23" s="21"/>
      <c r="X23" s="21"/>
      <c r="Y23" s="21" t="s">
        <v>28</v>
      </c>
    </row>
    <row r="24" customFormat="false" ht="15.75" hidden="false" customHeight="false" outlineLevel="0" collapsed="false">
      <c r="A24" s="61" t="n">
        <v>6006</v>
      </c>
      <c r="B24" s="29" t="n">
        <v>44476</v>
      </c>
      <c r="C24" s="21" t="s">
        <v>2591</v>
      </c>
      <c r="D24" s="21" t="s">
        <v>24</v>
      </c>
      <c r="E24" s="21" t="s">
        <v>34</v>
      </c>
      <c r="F24" s="21" t="s">
        <v>3963</v>
      </c>
      <c r="G24" s="30"/>
      <c r="H24" s="31"/>
      <c r="I24" s="21"/>
      <c r="J24" s="21"/>
      <c r="K24" s="21"/>
      <c r="L24" s="21"/>
      <c r="M24" s="21"/>
      <c r="N24" s="30"/>
      <c r="O24" s="21"/>
      <c r="P24" s="21"/>
      <c r="Q24" s="21"/>
      <c r="R24" s="32"/>
      <c r="S24" s="32"/>
      <c r="T24" s="21"/>
      <c r="U24" s="21"/>
      <c r="V24" s="21"/>
      <c r="W24" s="21"/>
      <c r="X24" s="21"/>
      <c r="Y24" s="21" t="s">
        <v>28</v>
      </c>
    </row>
    <row r="25" customFormat="false" ht="15.75" hidden="false" customHeight="false" outlineLevel="0" collapsed="false">
      <c r="A25" s="61" t="n">
        <v>6007</v>
      </c>
      <c r="B25" s="29" t="n">
        <v>44477</v>
      </c>
      <c r="C25" s="21" t="s">
        <v>841</v>
      </c>
      <c r="D25" s="21" t="s">
        <v>24</v>
      </c>
      <c r="E25" s="21" t="s">
        <v>34</v>
      </c>
      <c r="F25" s="21" t="s">
        <v>3964</v>
      </c>
      <c r="G25" s="30"/>
      <c r="H25" s="31"/>
      <c r="I25" s="21"/>
      <c r="J25" s="21"/>
      <c r="K25" s="21"/>
      <c r="L25" s="21"/>
      <c r="M25" s="21"/>
      <c r="N25" s="30"/>
      <c r="O25" s="21"/>
      <c r="P25" s="21"/>
      <c r="Q25" s="21"/>
      <c r="R25" s="32"/>
      <c r="S25" s="32"/>
      <c r="T25" s="21"/>
      <c r="U25" s="21"/>
      <c r="V25" s="21"/>
      <c r="W25" s="21"/>
      <c r="X25" s="21"/>
      <c r="Y25" s="21" t="s">
        <v>28</v>
      </c>
    </row>
    <row r="26" customFormat="false" ht="15.75" hidden="false" customHeight="false" outlineLevel="0" collapsed="false">
      <c r="A26" s="61" t="n">
        <v>6008</v>
      </c>
      <c r="B26" s="29" t="n">
        <v>44477</v>
      </c>
      <c r="C26" s="21" t="s">
        <v>613</v>
      </c>
      <c r="D26" s="21" t="s">
        <v>24</v>
      </c>
      <c r="E26" s="21" t="s">
        <v>34</v>
      </c>
      <c r="F26" s="21" t="s">
        <v>3965</v>
      </c>
      <c r="G26" s="30"/>
      <c r="H26" s="31"/>
      <c r="I26" s="21"/>
      <c r="J26" s="21"/>
      <c r="K26" s="21"/>
      <c r="L26" s="21"/>
      <c r="M26" s="21"/>
      <c r="N26" s="30"/>
      <c r="O26" s="21"/>
      <c r="P26" s="21"/>
      <c r="Q26" s="21"/>
      <c r="R26" s="32"/>
      <c r="S26" s="32"/>
      <c r="T26" s="21"/>
      <c r="U26" s="21"/>
      <c r="V26" s="21"/>
      <c r="W26" s="21"/>
      <c r="X26" s="21"/>
      <c r="Y26" s="21" t="s">
        <v>28</v>
      </c>
    </row>
    <row r="27" customFormat="false" ht="15.75" hidden="false" customHeight="false" outlineLevel="0" collapsed="false">
      <c r="A27" s="61" t="n">
        <v>6009</v>
      </c>
      <c r="B27" s="29" t="n">
        <v>44477</v>
      </c>
      <c r="C27" s="21" t="s">
        <v>613</v>
      </c>
      <c r="D27" s="21" t="s">
        <v>24</v>
      </c>
      <c r="E27" s="21" t="s">
        <v>34</v>
      </c>
      <c r="F27" s="21" t="s">
        <v>3966</v>
      </c>
      <c r="G27" s="30"/>
      <c r="H27" s="31"/>
      <c r="I27" s="21"/>
      <c r="J27" s="21"/>
      <c r="K27" s="21"/>
      <c r="L27" s="21"/>
      <c r="M27" s="21"/>
      <c r="N27" s="30"/>
      <c r="O27" s="21"/>
      <c r="P27" s="21"/>
      <c r="Q27" s="21"/>
      <c r="R27" s="32"/>
      <c r="S27" s="32"/>
      <c r="T27" s="21"/>
      <c r="U27" s="21"/>
      <c r="V27" s="21"/>
      <c r="W27" s="21"/>
      <c r="X27" s="21"/>
      <c r="Y27" s="21" t="s">
        <v>28</v>
      </c>
    </row>
    <row r="28" customFormat="false" ht="15.75" hidden="false" customHeight="false" outlineLevel="0" collapsed="false">
      <c r="A28" s="61" t="n">
        <v>6010</v>
      </c>
      <c r="B28" s="29" t="n">
        <v>44481</v>
      </c>
      <c r="C28" s="21" t="s">
        <v>2575</v>
      </c>
      <c r="D28" s="21" t="s">
        <v>24</v>
      </c>
      <c r="E28" s="21" t="s">
        <v>34</v>
      </c>
      <c r="F28" s="21" t="s">
        <v>3967</v>
      </c>
      <c r="G28" s="30" t="s">
        <v>3968</v>
      </c>
      <c r="H28" s="45" t="str">
        <f aca="false">HYPERLINK("https://photos.app.goo.gl/bAdpjZ1B5NAmQBQ66", "Completo")</f>
        <v>Completo</v>
      </c>
      <c r="I28" s="21" t="s">
        <v>28</v>
      </c>
      <c r="J28" s="21"/>
      <c r="K28" s="21"/>
      <c r="L28" s="21"/>
      <c r="M28" s="21" t="s">
        <v>2255</v>
      </c>
      <c r="N28" s="30"/>
      <c r="O28" s="21" t="s">
        <v>28</v>
      </c>
      <c r="P28" s="21" t="s">
        <v>28</v>
      </c>
      <c r="Q28" s="21" t="s">
        <v>73</v>
      </c>
      <c r="R28" s="32" t="s">
        <v>2850</v>
      </c>
      <c r="S28" s="32" t="s">
        <v>36</v>
      </c>
      <c r="T28" s="21" t="s">
        <v>74</v>
      </c>
      <c r="U28" s="74" t="s">
        <v>28</v>
      </c>
      <c r="V28" s="21"/>
      <c r="W28" s="74" t="s">
        <v>28</v>
      </c>
      <c r="X28" s="74" t="s">
        <v>3695</v>
      </c>
      <c r="Y28" s="21" t="s">
        <v>28</v>
      </c>
    </row>
    <row r="29" customFormat="false" ht="15.75" hidden="false" customHeight="false" outlineLevel="0" collapsed="false">
      <c r="A29" s="61" t="n">
        <v>6011</v>
      </c>
      <c r="B29" s="29" t="n">
        <v>44481</v>
      </c>
      <c r="C29" s="21" t="s">
        <v>2577</v>
      </c>
      <c r="D29" s="21" t="s">
        <v>24</v>
      </c>
      <c r="E29" s="21" t="s">
        <v>25</v>
      </c>
      <c r="F29" s="21" t="s">
        <v>3969</v>
      </c>
      <c r="G29" s="30" t="s">
        <v>3931</v>
      </c>
      <c r="H29" s="45" t="str">
        <f aca="false">HYPERLINK("https://photos.app.goo.gl/yeiUyGWVzuyVsyEp7", "Completo")</f>
        <v>Completo</v>
      </c>
      <c r="I29" s="21" t="s">
        <v>28</v>
      </c>
      <c r="J29" s="21"/>
      <c r="K29" s="21"/>
      <c r="L29" s="21"/>
      <c r="M29" s="21" t="s">
        <v>2255</v>
      </c>
      <c r="N29" s="30"/>
      <c r="O29" s="21"/>
      <c r="P29" s="21"/>
      <c r="Q29" s="21"/>
      <c r="R29" s="32"/>
      <c r="S29" s="32"/>
      <c r="T29" s="21"/>
      <c r="U29" s="21"/>
      <c r="V29" s="21"/>
      <c r="W29" s="21"/>
      <c r="X29" s="21"/>
      <c r="Y29" s="21" t="s">
        <v>28</v>
      </c>
    </row>
    <row r="30" customFormat="false" ht="15.75" hidden="false" customHeight="false" outlineLevel="0" collapsed="false">
      <c r="A30" s="61" t="n">
        <v>6012</v>
      </c>
      <c r="B30" s="29" t="n">
        <v>44481</v>
      </c>
      <c r="C30" s="21" t="s">
        <v>389</v>
      </c>
      <c r="D30" s="21" t="s">
        <v>24</v>
      </c>
      <c r="E30" s="21" t="s">
        <v>34</v>
      </c>
      <c r="F30" s="21" t="s">
        <v>3970</v>
      </c>
      <c r="G30" s="30"/>
      <c r="H30" s="31"/>
      <c r="I30" s="21"/>
      <c r="J30" s="21"/>
      <c r="K30" s="21"/>
      <c r="L30" s="21"/>
      <c r="M30" s="21"/>
      <c r="N30" s="30"/>
      <c r="O30" s="21"/>
      <c r="P30" s="21"/>
      <c r="Q30" s="21"/>
      <c r="R30" s="32"/>
      <c r="S30" s="32"/>
      <c r="T30" s="21"/>
      <c r="U30" s="21"/>
      <c r="V30" s="21"/>
      <c r="W30" s="21"/>
      <c r="X30" s="21"/>
      <c r="Y30" s="21" t="s">
        <v>28</v>
      </c>
    </row>
    <row r="31" customFormat="false" ht="15.75" hidden="false" customHeight="false" outlineLevel="0" collapsed="false">
      <c r="A31" s="61" t="s">
        <v>3971</v>
      </c>
      <c r="B31" s="29" t="n">
        <v>44481</v>
      </c>
      <c r="C31" s="21" t="s">
        <v>2905</v>
      </c>
      <c r="D31" s="21" t="s">
        <v>290</v>
      </c>
      <c r="E31" s="21" t="s">
        <v>25</v>
      </c>
      <c r="F31" s="21" t="s">
        <v>3972</v>
      </c>
      <c r="G31" s="30" t="s">
        <v>2493</v>
      </c>
      <c r="H31" s="45" t="str">
        <f aca="false">HYPERLINK("https://photos.app.goo.gl/e8MiMpmRpMQgs4Sm6", "Completo")</f>
        <v>Completo</v>
      </c>
      <c r="I31" s="21" t="s">
        <v>28</v>
      </c>
      <c r="J31" s="21"/>
      <c r="K31" s="21"/>
      <c r="L31" s="21"/>
      <c r="M31" s="21" t="s">
        <v>2133</v>
      </c>
      <c r="N31" s="30"/>
      <c r="O31" s="21"/>
      <c r="P31" s="21"/>
      <c r="Q31" s="21"/>
      <c r="R31" s="32"/>
      <c r="S31" s="32"/>
      <c r="T31" s="21" t="s">
        <v>74</v>
      </c>
      <c r="U31" s="74" t="s">
        <v>28</v>
      </c>
      <c r="V31" s="21"/>
      <c r="W31" s="46" t="s">
        <v>28</v>
      </c>
      <c r="X31" s="21" t="s">
        <v>36</v>
      </c>
      <c r="Y31" s="21" t="s">
        <v>28</v>
      </c>
    </row>
    <row r="32" customFormat="false" ht="15.75" hidden="false" customHeight="false" outlineLevel="0" collapsed="false">
      <c r="A32" s="61" t="n">
        <v>6013</v>
      </c>
      <c r="B32" s="29" t="n">
        <v>44481</v>
      </c>
      <c r="C32" s="21" t="s">
        <v>3350</v>
      </c>
      <c r="D32" s="21" t="s">
        <v>24</v>
      </c>
      <c r="E32" s="21" t="s">
        <v>25</v>
      </c>
      <c r="F32" s="21" t="s">
        <v>3973</v>
      </c>
      <c r="G32" s="30" t="s">
        <v>3974</v>
      </c>
      <c r="H32" s="45" t="str">
        <f aca="false">HYPERLINK("https://photos.app.goo.gl/NYxXMyEkFP55z8oh9", "Completo")</f>
        <v>Completo</v>
      </c>
      <c r="I32" s="21" t="s">
        <v>28</v>
      </c>
      <c r="J32" s="21"/>
      <c r="K32" s="21"/>
      <c r="L32" s="21"/>
      <c r="M32" s="21" t="s">
        <v>2133</v>
      </c>
      <c r="N32" s="30"/>
      <c r="O32" s="21"/>
      <c r="P32" s="21"/>
      <c r="Q32" s="21"/>
      <c r="R32" s="32"/>
      <c r="S32" s="32"/>
      <c r="T32" s="21"/>
      <c r="U32" s="21"/>
      <c r="V32" s="21"/>
      <c r="W32" s="21"/>
      <c r="X32" s="21"/>
      <c r="Y32" s="21" t="s">
        <v>28</v>
      </c>
    </row>
    <row r="33" customFormat="false" ht="15.75" hidden="false" customHeight="false" outlineLevel="0" collapsed="false">
      <c r="A33" s="61" t="n">
        <v>6014</v>
      </c>
      <c r="B33" s="29" t="n">
        <v>44481</v>
      </c>
      <c r="C33" s="21" t="s">
        <v>649</v>
      </c>
      <c r="D33" s="21" t="s">
        <v>24</v>
      </c>
      <c r="E33" s="21" t="s">
        <v>34</v>
      </c>
      <c r="F33" s="21" t="s">
        <v>3975</v>
      </c>
      <c r="G33" s="30"/>
      <c r="H33" s="31"/>
      <c r="I33" s="21"/>
      <c r="J33" s="21"/>
      <c r="K33" s="21"/>
      <c r="L33" s="21"/>
      <c r="M33" s="21"/>
      <c r="N33" s="30"/>
      <c r="O33" s="21"/>
      <c r="P33" s="21"/>
      <c r="Q33" s="21"/>
      <c r="R33" s="32"/>
      <c r="S33" s="32"/>
      <c r="T33" s="21"/>
      <c r="U33" s="21"/>
      <c r="V33" s="21"/>
      <c r="W33" s="21"/>
      <c r="X33" s="21"/>
      <c r="Y33" s="21" t="s">
        <v>37</v>
      </c>
    </row>
    <row r="34" customFormat="false" ht="15.75" hidden="false" customHeight="false" outlineLevel="0" collapsed="false">
      <c r="A34" s="61" t="n">
        <v>6015</v>
      </c>
      <c r="B34" s="29" t="n">
        <v>44481</v>
      </c>
      <c r="C34" s="21" t="s">
        <v>841</v>
      </c>
      <c r="D34" s="21" t="s">
        <v>24</v>
      </c>
      <c r="E34" s="21" t="s">
        <v>34</v>
      </c>
      <c r="F34" s="21" t="s">
        <v>3976</v>
      </c>
      <c r="G34" s="30"/>
      <c r="H34" s="31"/>
      <c r="I34" s="21"/>
      <c r="J34" s="21"/>
      <c r="K34" s="21"/>
      <c r="L34" s="21"/>
      <c r="M34" s="21"/>
      <c r="N34" s="30"/>
      <c r="O34" s="21"/>
      <c r="P34" s="21"/>
      <c r="Q34" s="21"/>
      <c r="R34" s="32"/>
      <c r="S34" s="32"/>
      <c r="T34" s="21"/>
      <c r="U34" s="21"/>
      <c r="V34" s="21"/>
      <c r="W34" s="21"/>
      <c r="X34" s="21"/>
      <c r="Y34" s="21" t="s">
        <v>28</v>
      </c>
    </row>
    <row r="35" customFormat="false" ht="15.75" hidden="false" customHeight="false" outlineLevel="0" collapsed="false">
      <c r="A35" s="61" t="n">
        <v>6016</v>
      </c>
      <c r="B35" s="29" t="n">
        <v>44481</v>
      </c>
      <c r="C35" s="21" t="s">
        <v>841</v>
      </c>
      <c r="D35" s="21" t="s">
        <v>24</v>
      </c>
      <c r="E35" s="21" t="s">
        <v>34</v>
      </c>
      <c r="F35" s="21" t="s">
        <v>3977</v>
      </c>
      <c r="G35" s="30"/>
      <c r="H35" s="31"/>
      <c r="I35" s="21"/>
      <c r="J35" s="21"/>
      <c r="K35" s="21"/>
      <c r="L35" s="21"/>
      <c r="M35" s="21"/>
      <c r="N35" s="30"/>
      <c r="O35" s="21"/>
      <c r="P35" s="21"/>
      <c r="Q35" s="21"/>
      <c r="R35" s="32"/>
      <c r="S35" s="32"/>
      <c r="T35" s="21"/>
      <c r="U35" s="21"/>
      <c r="V35" s="21"/>
      <c r="W35" s="21"/>
      <c r="X35" s="21"/>
      <c r="Y35" s="21" t="s">
        <v>28</v>
      </c>
    </row>
    <row r="36" customFormat="false" ht="15.75" hidden="false" customHeight="false" outlineLevel="0" collapsed="false">
      <c r="A36" s="61" t="n">
        <v>6017</v>
      </c>
      <c r="B36" s="29" t="n">
        <v>44481</v>
      </c>
      <c r="C36" s="21" t="s">
        <v>841</v>
      </c>
      <c r="D36" s="21" t="s">
        <v>24</v>
      </c>
      <c r="E36" s="21" t="s">
        <v>34</v>
      </c>
      <c r="F36" s="21" t="s">
        <v>3978</v>
      </c>
      <c r="G36" s="30"/>
      <c r="H36" s="31"/>
      <c r="I36" s="21"/>
      <c r="J36" s="21"/>
      <c r="K36" s="21"/>
      <c r="L36" s="21"/>
      <c r="M36" s="21"/>
      <c r="N36" s="30"/>
      <c r="O36" s="21"/>
      <c r="P36" s="21"/>
      <c r="Q36" s="21"/>
      <c r="R36" s="32"/>
      <c r="S36" s="32"/>
      <c r="T36" s="21"/>
      <c r="U36" s="21"/>
      <c r="V36" s="21"/>
      <c r="W36" s="21"/>
      <c r="X36" s="21"/>
      <c r="Y36" s="21" t="s">
        <v>28</v>
      </c>
    </row>
    <row r="37" customFormat="false" ht="15.75" hidden="false" customHeight="false" outlineLevel="0" collapsed="false">
      <c r="A37" s="61" t="n">
        <v>6018</v>
      </c>
      <c r="B37" s="29" t="n">
        <v>44481</v>
      </c>
      <c r="C37" s="21" t="s">
        <v>841</v>
      </c>
      <c r="D37" s="21" t="s">
        <v>24</v>
      </c>
      <c r="E37" s="21" t="s">
        <v>34</v>
      </c>
      <c r="F37" s="21" t="s">
        <v>3979</v>
      </c>
      <c r="G37" s="30"/>
      <c r="H37" s="31"/>
      <c r="I37" s="21"/>
      <c r="J37" s="21"/>
      <c r="K37" s="21"/>
      <c r="L37" s="21"/>
      <c r="M37" s="21"/>
      <c r="N37" s="30"/>
      <c r="O37" s="21"/>
      <c r="P37" s="21"/>
      <c r="Q37" s="21"/>
      <c r="R37" s="32"/>
      <c r="S37" s="32"/>
      <c r="T37" s="21"/>
      <c r="U37" s="21"/>
      <c r="V37" s="21"/>
      <c r="W37" s="21"/>
      <c r="X37" s="21"/>
      <c r="Y37" s="21" t="s">
        <v>28</v>
      </c>
    </row>
    <row r="38" customFormat="false" ht="15.75" hidden="false" customHeight="false" outlineLevel="0" collapsed="false">
      <c r="A38" s="61" t="n">
        <v>6019</v>
      </c>
      <c r="B38" s="29" t="n">
        <v>44481</v>
      </c>
      <c r="C38" s="21" t="s">
        <v>841</v>
      </c>
      <c r="D38" s="21" t="s">
        <v>24</v>
      </c>
      <c r="E38" s="21" t="s">
        <v>34</v>
      </c>
      <c r="F38" s="21" t="s">
        <v>3980</v>
      </c>
      <c r="G38" s="30"/>
      <c r="H38" s="31"/>
      <c r="I38" s="21"/>
      <c r="J38" s="21"/>
      <c r="K38" s="21"/>
      <c r="L38" s="21"/>
      <c r="M38" s="21"/>
      <c r="N38" s="30"/>
      <c r="O38" s="21"/>
      <c r="P38" s="21"/>
      <c r="Q38" s="21"/>
      <c r="R38" s="32"/>
      <c r="S38" s="32"/>
      <c r="T38" s="21"/>
      <c r="U38" s="21"/>
      <c r="V38" s="21"/>
      <c r="W38" s="21"/>
      <c r="X38" s="21"/>
      <c r="Y38" s="21" t="s">
        <v>28</v>
      </c>
    </row>
    <row r="39" customFormat="false" ht="15.75" hidden="false" customHeight="false" outlineLevel="0" collapsed="false">
      <c r="A39" s="61" t="n">
        <v>6020</v>
      </c>
      <c r="B39" s="29" t="n">
        <v>44481</v>
      </c>
      <c r="C39" s="21" t="s">
        <v>841</v>
      </c>
      <c r="D39" s="21" t="s">
        <v>24</v>
      </c>
      <c r="E39" s="21" t="s">
        <v>34</v>
      </c>
      <c r="F39" s="21" t="s">
        <v>3981</v>
      </c>
      <c r="G39" s="30"/>
      <c r="H39" s="31"/>
      <c r="I39" s="21"/>
      <c r="J39" s="21"/>
      <c r="K39" s="21"/>
      <c r="L39" s="21"/>
      <c r="M39" s="21"/>
      <c r="N39" s="30"/>
      <c r="O39" s="21"/>
      <c r="P39" s="21"/>
      <c r="Q39" s="21"/>
      <c r="R39" s="32"/>
      <c r="S39" s="32"/>
      <c r="T39" s="21"/>
      <c r="U39" s="21"/>
      <c r="V39" s="21"/>
      <c r="W39" s="21"/>
      <c r="X39" s="21"/>
      <c r="Y39" s="21" t="s">
        <v>28</v>
      </c>
    </row>
    <row r="40" customFormat="false" ht="15.75" hidden="false" customHeight="false" outlineLevel="0" collapsed="false">
      <c r="A40" s="61" t="n">
        <v>6021</v>
      </c>
      <c r="B40" s="29" t="n">
        <v>44481</v>
      </c>
      <c r="C40" s="21" t="s">
        <v>841</v>
      </c>
      <c r="D40" s="21" t="s">
        <v>24</v>
      </c>
      <c r="E40" s="21" t="s">
        <v>34</v>
      </c>
      <c r="F40" s="21" t="s">
        <v>3982</v>
      </c>
      <c r="G40" s="30"/>
      <c r="H40" s="31"/>
      <c r="I40" s="21"/>
      <c r="J40" s="21"/>
      <c r="K40" s="21"/>
      <c r="L40" s="21"/>
      <c r="M40" s="21"/>
      <c r="N40" s="30"/>
      <c r="O40" s="21"/>
      <c r="P40" s="21"/>
      <c r="Q40" s="21"/>
      <c r="R40" s="32"/>
      <c r="S40" s="32"/>
      <c r="T40" s="21"/>
      <c r="U40" s="21"/>
      <c r="V40" s="21"/>
      <c r="W40" s="21"/>
      <c r="X40" s="21"/>
      <c r="Y40" s="21" t="s">
        <v>28</v>
      </c>
    </row>
    <row r="41" customFormat="false" ht="15.75" hidden="false" customHeight="false" outlineLevel="0" collapsed="false">
      <c r="A41" s="61" t="n">
        <v>6022</v>
      </c>
      <c r="B41" s="29" t="n">
        <v>44481</v>
      </c>
      <c r="C41" s="21" t="s">
        <v>841</v>
      </c>
      <c r="D41" s="21" t="s">
        <v>24</v>
      </c>
      <c r="E41" s="21" t="s">
        <v>34</v>
      </c>
      <c r="F41" s="21" t="s">
        <v>3983</v>
      </c>
      <c r="G41" s="30"/>
      <c r="H41" s="31"/>
      <c r="I41" s="21"/>
      <c r="J41" s="21"/>
      <c r="K41" s="21"/>
      <c r="L41" s="21"/>
      <c r="M41" s="21"/>
      <c r="N41" s="30"/>
      <c r="O41" s="21"/>
      <c r="P41" s="21"/>
      <c r="Q41" s="21"/>
      <c r="R41" s="32"/>
      <c r="S41" s="32"/>
      <c r="T41" s="21"/>
      <c r="U41" s="21"/>
      <c r="V41" s="21"/>
      <c r="W41" s="21"/>
      <c r="X41" s="21"/>
      <c r="Y41" s="21" t="s">
        <v>28</v>
      </c>
    </row>
    <row r="42" customFormat="false" ht="15.75" hidden="false" customHeight="false" outlineLevel="0" collapsed="false">
      <c r="A42" s="61" t="n">
        <v>6023</v>
      </c>
      <c r="B42" s="29" t="n">
        <v>44481</v>
      </c>
      <c r="C42" s="21" t="s">
        <v>841</v>
      </c>
      <c r="D42" s="21" t="s">
        <v>24</v>
      </c>
      <c r="E42" s="21" t="s">
        <v>34</v>
      </c>
      <c r="F42" s="21" t="s">
        <v>3984</v>
      </c>
      <c r="G42" s="30"/>
      <c r="H42" s="31"/>
      <c r="I42" s="21"/>
      <c r="J42" s="21"/>
      <c r="K42" s="21"/>
      <c r="L42" s="21"/>
      <c r="M42" s="21"/>
      <c r="N42" s="30"/>
      <c r="O42" s="21"/>
      <c r="P42" s="21"/>
      <c r="Q42" s="21"/>
      <c r="R42" s="32"/>
      <c r="S42" s="32"/>
      <c r="T42" s="21"/>
      <c r="U42" s="21"/>
      <c r="V42" s="21"/>
      <c r="W42" s="21"/>
      <c r="X42" s="21"/>
      <c r="Y42" s="21" t="s">
        <v>28</v>
      </c>
    </row>
    <row r="43" customFormat="false" ht="15.75" hidden="false" customHeight="false" outlineLevel="0" collapsed="false">
      <c r="A43" s="61" t="n">
        <v>6024</v>
      </c>
      <c r="B43" s="29" t="n">
        <v>44481</v>
      </c>
      <c r="C43" s="21" t="s">
        <v>841</v>
      </c>
      <c r="D43" s="21" t="s">
        <v>24</v>
      </c>
      <c r="E43" s="21" t="s">
        <v>34</v>
      </c>
      <c r="F43" s="21" t="s">
        <v>3985</v>
      </c>
      <c r="G43" s="30"/>
      <c r="H43" s="31"/>
      <c r="I43" s="21"/>
      <c r="J43" s="21"/>
      <c r="K43" s="21"/>
      <c r="L43" s="21"/>
      <c r="M43" s="21"/>
      <c r="N43" s="30"/>
      <c r="O43" s="21"/>
      <c r="P43" s="21"/>
      <c r="Q43" s="21"/>
      <c r="R43" s="32"/>
      <c r="S43" s="32"/>
      <c r="T43" s="21"/>
      <c r="U43" s="21"/>
      <c r="V43" s="21"/>
      <c r="W43" s="21"/>
      <c r="X43" s="21"/>
      <c r="Y43" s="21" t="s">
        <v>28</v>
      </c>
    </row>
    <row r="44" customFormat="false" ht="15.75" hidden="false" customHeight="false" outlineLevel="0" collapsed="false">
      <c r="A44" s="61" t="n">
        <v>6025</v>
      </c>
      <c r="B44" s="29" t="n">
        <v>44482</v>
      </c>
      <c r="C44" s="21" t="s">
        <v>3986</v>
      </c>
      <c r="D44" s="21" t="s">
        <v>3589</v>
      </c>
      <c r="E44" s="21" t="s">
        <v>25</v>
      </c>
      <c r="F44" s="21" t="s">
        <v>3987</v>
      </c>
      <c r="G44" s="30" t="s">
        <v>3988</v>
      </c>
      <c r="H44" s="45" t="str">
        <f aca="false">HYPERLINK("https://photos.app.goo.gl/EYSb5SpF4e5UmHnW7", "Completo")</f>
        <v>Completo</v>
      </c>
      <c r="I44" s="21" t="s">
        <v>28</v>
      </c>
      <c r="J44" s="21"/>
      <c r="K44" s="21"/>
      <c r="L44" s="21"/>
      <c r="M44" s="21" t="s">
        <v>2133</v>
      </c>
      <c r="N44" s="30"/>
      <c r="O44" s="21" t="s">
        <v>28</v>
      </c>
      <c r="P44" s="21" t="s">
        <v>28</v>
      </c>
      <c r="Q44" s="21" t="s">
        <v>702</v>
      </c>
      <c r="R44" s="32" t="s">
        <v>2850</v>
      </c>
      <c r="S44" s="32"/>
      <c r="T44" s="21" t="s">
        <v>74</v>
      </c>
      <c r="U44" s="74" t="s">
        <v>28</v>
      </c>
      <c r="V44" s="21"/>
      <c r="W44" s="74" t="s">
        <v>28</v>
      </c>
      <c r="X44" s="21" t="s">
        <v>36</v>
      </c>
      <c r="Y44" s="21" t="s">
        <v>28</v>
      </c>
    </row>
    <row r="45" customFormat="false" ht="15.75" hidden="false" customHeight="false" outlineLevel="0" collapsed="false">
      <c r="A45" s="61" t="n">
        <v>6026</v>
      </c>
      <c r="B45" s="29" t="n">
        <v>44482</v>
      </c>
      <c r="C45" s="21" t="s">
        <v>3986</v>
      </c>
      <c r="D45" s="21" t="s">
        <v>24</v>
      </c>
      <c r="E45" s="21" t="s">
        <v>25</v>
      </c>
      <c r="F45" s="21" t="s">
        <v>3987</v>
      </c>
      <c r="G45" s="30" t="s">
        <v>3988</v>
      </c>
      <c r="H45" s="21" t="s">
        <v>37</v>
      </c>
      <c r="I45" s="21" t="s">
        <v>28</v>
      </c>
      <c r="J45" s="21"/>
      <c r="K45" s="21"/>
      <c r="L45" s="21"/>
      <c r="M45" s="21" t="s">
        <v>2133</v>
      </c>
      <c r="N45" s="30"/>
      <c r="O45" s="21" t="s">
        <v>28</v>
      </c>
      <c r="P45" s="21" t="s">
        <v>28</v>
      </c>
      <c r="Q45" s="21" t="s">
        <v>702</v>
      </c>
      <c r="R45" s="32" t="s">
        <v>2850</v>
      </c>
      <c r="S45" s="32"/>
      <c r="T45" s="21" t="s">
        <v>74</v>
      </c>
      <c r="U45" s="74" t="s">
        <v>28</v>
      </c>
      <c r="V45" s="21"/>
      <c r="W45" s="74" t="s">
        <v>28</v>
      </c>
      <c r="X45" s="21" t="s">
        <v>36</v>
      </c>
      <c r="Y45" s="21" t="s">
        <v>28</v>
      </c>
    </row>
    <row r="46" customFormat="false" ht="15.75" hidden="false" customHeight="false" outlineLevel="0" collapsed="false">
      <c r="A46" s="61" t="n">
        <v>6027</v>
      </c>
      <c r="B46" s="29" t="n">
        <v>44482</v>
      </c>
      <c r="C46" s="21" t="s">
        <v>2177</v>
      </c>
      <c r="D46" s="21" t="s">
        <v>24</v>
      </c>
      <c r="E46" s="21" t="s">
        <v>25</v>
      </c>
      <c r="F46" s="21" t="s">
        <v>3989</v>
      </c>
      <c r="G46" s="30" t="s">
        <v>3990</v>
      </c>
      <c r="H46" s="45" t="str">
        <f aca="false">HYPERLINK("https://photos.app.goo.gl/yYP47nKMBrBnsMHK6", "Completo")</f>
        <v>Completo</v>
      </c>
      <c r="I46" s="21" t="s">
        <v>28</v>
      </c>
      <c r="J46" s="21"/>
      <c r="K46" s="21"/>
      <c r="L46" s="21"/>
      <c r="M46" s="21" t="s">
        <v>3991</v>
      </c>
      <c r="N46" s="30"/>
      <c r="O46" s="21"/>
      <c r="P46" s="21"/>
      <c r="Q46" s="21"/>
      <c r="R46" s="32"/>
      <c r="S46" s="32"/>
      <c r="T46" s="21"/>
      <c r="U46" s="21"/>
      <c r="V46" s="21"/>
      <c r="W46" s="21"/>
      <c r="X46" s="21"/>
      <c r="Y46" s="21" t="s">
        <v>28</v>
      </c>
    </row>
    <row r="47" customFormat="false" ht="15.75" hidden="false" customHeight="false" outlineLevel="0" collapsed="false">
      <c r="A47" s="61" t="n">
        <v>6028</v>
      </c>
      <c r="B47" s="29" t="n">
        <v>44482</v>
      </c>
      <c r="C47" s="21" t="s">
        <v>2575</v>
      </c>
      <c r="D47" s="21" t="s">
        <v>24</v>
      </c>
      <c r="E47" s="21" t="s">
        <v>25</v>
      </c>
      <c r="F47" s="21" t="s">
        <v>3992</v>
      </c>
      <c r="G47" s="30"/>
      <c r="H47" s="31" t="s">
        <v>37</v>
      </c>
      <c r="I47" s="21" t="s">
        <v>37</v>
      </c>
      <c r="J47" s="21"/>
      <c r="K47" s="21"/>
      <c r="L47" s="21"/>
      <c r="M47" s="21"/>
      <c r="N47" s="30"/>
      <c r="O47" s="21"/>
      <c r="P47" s="21"/>
      <c r="Q47" s="21"/>
      <c r="R47" s="32"/>
      <c r="S47" s="32"/>
      <c r="T47" s="21"/>
      <c r="U47" s="21"/>
      <c r="V47" s="21"/>
      <c r="W47" s="21"/>
      <c r="X47" s="21"/>
      <c r="Y47" s="21" t="s">
        <v>28</v>
      </c>
    </row>
    <row r="48" customFormat="false" ht="15.75" hidden="false" customHeight="false" outlineLevel="0" collapsed="false">
      <c r="A48" s="61" t="n">
        <v>6029</v>
      </c>
      <c r="B48" s="29" t="n">
        <v>44482</v>
      </c>
      <c r="C48" s="21" t="s">
        <v>2748</v>
      </c>
      <c r="D48" s="21" t="s">
        <v>24</v>
      </c>
      <c r="E48" s="21" t="s">
        <v>25</v>
      </c>
      <c r="F48" s="21" t="s">
        <v>3993</v>
      </c>
      <c r="G48" s="30"/>
      <c r="H48" s="31"/>
      <c r="I48" s="21"/>
      <c r="J48" s="21"/>
      <c r="K48" s="21"/>
      <c r="L48" s="21"/>
      <c r="M48" s="21"/>
      <c r="N48" s="30"/>
      <c r="O48" s="21"/>
      <c r="P48" s="21"/>
      <c r="Q48" s="21"/>
      <c r="R48" s="32"/>
      <c r="S48" s="32"/>
      <c r="T48" s="21"/>
      <c r="U48" s="21"/>
      <c r="V48" s="21"/>
      <c r="W48" s="21"/>
      <c r="X48" s="21"/>
      <c r="Y48" s="21" t="s">
        <v>28</v>
      </c>
    </row>
    <row r="49" customFormat="false" ht="15.75" hidden="false" customHeight="false" outlineLevel="0" collapsed="false">
      <c r="A49" s="61" t="n">
        <v>6030</v>
      </c>
      <c r="B49" s="29" t="n">
        <v>44482</v>
      </c>
      <c r="C49" s="21" t="s">
        <v>3705</v>
      </c>
      <c r="D49" s="21" t="s">
        <v>24</v>
      </c>
      <c r="E49" s="21" t="s">
        <v>34</v>
      </c>
      <c r="F49" s="21" t="s">
        <v>3994</v>
      </c>
      <c r="G49" s="30"/>
      <c r="H49" s="31"/>
      <c r="I49" s="21"/>
      <c r="J49" s="21"/>
      <c r="K49" s="21"/>
      <c r="L49" s="21"/>
      <c r="M49" s="21"/>
      <c r="N49" s="30"/>
      <c r="O49" s="21"/>
      <c r="P49" s="21"/>
      <c r="Q49" s="21"/>
      <c r="R49" s="32"/>
      <c r="S49" s="32"/>
      <c r="T49" s="21"/>
      <c r="U49" s="21"/>
      <c r="V49" s="21"/>
      <c r="W49" s="21"/>
      <c r="X49" s="21"/>
      <c r="Y49" s="21" t="s">
        <v>28</v>
      </c>
    </row>
    <row r="50" customFormat="false" ht="15.75" hidden="false" customHeight="false" outlineLevel="0" collapsed="false">
      <c r="A50" s="61" t="n">
        <v>6031</v>
      </c>
      <c r="B50" s="29" t="n">
        <v>44482</v>
      </c>
      <c r="C50" s="21" t="s">
        <v>3705</v>
      </c>
      <c r="D50" s="21" t="s">
        <v>24</v>
      </c>
      <c r="E50" s="21" t="s">
        <v>34</v>
      </c>
      <c r="F50" s="21" t="s">
        <v>3995</v>
      </c>
      <c r="G50" s="30"/>
      <c r="H50" s="31"/>
      <c r="I50" s="21"/>
      <c r="J50" s="21"/>
      <c r="K50" s="21"/>
      <c r="L50" s="21"/>
      <c r="M50" s="21"/>
      <c r="N50" s="30"/>
      <c r="O50" s="21"/>
      <c r="P50" s="21"/>
      <c r="Q50" s="21"/>
      <c r="R50" s="32"/>
      <c r="S50" s="32"/>
      <c r="T50" s="21"/>
      <c r="U50" s="21"/>
      <c r="V50" s="21"/>
      <c r="W50" s="21"/>
      <c r="X50" s="21"/>
      <c r="Y50" s="21" t="s">
        <v>28</v>
      </c>
    </row>
    <row r="51" customFormat="false" ht="15.75" hidden="false" customHeight="false" outlineLevel="0" collapsed="false">
      <c r="A51" s="63" t="n">
        <v>1501787</v>
      </c>
      <c r="B51" s="29" t="n">
        <v>44483</v>
      </c>
      <c r="C51" s="21" t="s">
        <v>3996</v>
      </c>
      <c r="D51" s="21" t="s">
        <v>24</v>
      </c>
      <c r="E51" s="21" t="s">
        <v>25</v>
      </c>
      <c r="F51" s="21" t="s">
        <v>1903</v>
      </c>
      <c r="G51" s="30" t="s">
        <v>3997</v>
      </c>
      <c r="H51" s="31" t="s">
        <v>28</v>
      </c>
      <c r="I51" s="21" t="s">
        <v>28</v>
      </c>
      <c r="J51" s="21"/>
      <c r="K51" s="21"/>
      <c r="L51" s="21"/>
      <c r="M51" s="21"/>
      <c r="N51" s="30"/>
      <c r="O51" s="21" t="s">
        <v>28</v>
      </c>
      <c r="P51" s="21" t="s">
        <v>28</v>
      </c>
      <c r="Q51" s="21" t="s">
        <v>2787</v>
      </c>
      <c r="R51" s="32" t="s">
        <v>2850</v>
      </c>
      <c r="S51" s="32" t="s">
        <v>29</v>
      </c>
      <c r="T51" s="21" t="s">
        <v>3337</v>
      </c>
      <c r="U51" s="74" t="s">
        <v>28</v>
      </c>
      <c r="V51" s="21"/>
      <c r="W51" s="74" t="s">
        <v>28</v>
      </c>
      <c r="X51" s="21"/>
      <c r="Y51" s="21" t="s">
        <v>37</v>
      </c>
    </row>
    <row r="52" customFormat="false" ht="15.75" hidden="false" customHeight="false" outlineLevel="0" collapsed="false">
      <c r="A52" s="61" t="s">
        <v>3998</v>
      </c>
      <c r="B52" s="29" t="n">
        <v>44483</v>
      </c>
      <c r="C52" s="21" t="s">
        <v>3996</v>
      </c>
      <c r="D52" s="21" t="s">
        <v>24</v>
      </c>
      <c r="E52" s="21" t="s">
        <v>25</v>
      </c>
      <c r="F52" s="21" t="s">
        <v>1903</v>
      </c>
      <c r="G52" s="30" t="s">
        <v>3997</v>
      </c>
      <c r="H52" s="45" t="str">
        <f aca="false">HYPERLINK("https://photos.app.goo.gl/XxWWkhPgriCYZhsa8", "Completo")</f>
        <v>Completo</v>
      </c>
      <c r="I52" s="21" t="s">
        <v>28</v>
      </c>
      <c r="J52" s="21"/>
      <c r="K52" s="21"/>
      <c r="L52" s="21"/>
      <c r="M52" s="21"/>
      <c r="N52" s="30" t="s">
        <v>3999</v>
      </c>
      <c r="O52" s="21" t="s">
        <v>28</v>
      </c>
      <c r="P52" s="21" t="s">
        <v>28</v>
      </c>
      <c r="Q52" s="21" t="s">
        <v>3207</v>
      </c>
      <c r="R52" s="32" t="s">
        <v>25</v>
      </c>
      <c r="S52" s="32"/>
      <c r="T52" s="21" t="s">
        <v>74</v>
      </c>
      <c r="U52" s="74" t="s">
        <v>28</v>
      </c>
      <c r="V52" s="21"/>
      <c r="W52" s="74" t="s">
        <v>28</v>
      </c>
      <c r="X52" s="21" t="s">
        <v>36</v>
      </c>
      <c r="Y52" s="21" t="s">
        <v>37</v>
      </c>
    </row>
    <row r="53" customFormat="false" ht="15.75" hidden="false" customHeight="false" outlineLevel="0" collapsed="false">
      <c r="A53" s="61" t="s">
        <v>4000</v>
      </c>
      <c r="B53" s="29" t="n">
        <v>44483</v>
      </c>
      <c r="C53" s="21" t="s">
        <v>3996</v>
      </c>
      <c r="D53" s="21" t="s">
        <v>24</v>
      </c>
      <c r="E53" s="21" t="s">
        <v>25</v>
      </c>
      <c r="F53" s="21" t="s">
        <v>1903</v>
      </c>
      <c r="G53" s="30" t="s">
        <v>3997</v>
      </c>
      <c r="H53" s="45" t="str">
        <f aca="false">HYPERLINK("https://photos.app.goo.gl/P5hB9XogkguDPiQz6", "Completo")</f>
        <v>Completo</v>
      </c>
      <c r="I53" s="21" t="s">
        <v>28</v>
      </c>
      <c r="J53" s="21"/>
      <c r="K53" s="21"/>
      <c r="L53" s="21"/>
      <c r="M53" s="21"/>
      <c r="N53" s="30" t="s">
        <v>3999</v>
      </c>
      <c r="O53" s="21" t="s">
        <v>28</v>
      </c>
      <c r="P53" s="21" t="s">
        <v>28</v>
      </c>
      <c r="Q53" s="21" t="s">
        <v>3207</v>
      </c>
      <c r="R53" s="32" t="s">
        <v>25</v>
      </c>
      <c r="S53" s="32"/>
      <c r="T53" s="21" t="s">
        <v>3337</v>
      </c>
      <c r="U53" s="74" t="s">
        <v>28</v>
      </c>
      <c r="V53" s="21"/>
      <c r="W53" s="74" t="s">
        <v>28</v>
      </c>
      <c r="X53" s="21"/>
      <c r="Y53" s="21" t="s">
        <v>37</v>
      </c>
    </row>
    <row r="54" customFormat="false" ht="15.75" hidden="false" customHeight="false" outlineLevel="0" collapsed="false">
      <c r="A54" s="61" t="s">
        <v>4001</v>
      </c>
      <c r="B54" s="54" t="n">
        <v>44483</v>
      </c>
      <c r="C54" s="21" t="s">
        <v>3996</v>
      </c>
      <c r="D54" s="21" t="s">
        <v>24</v>
      </c>
      <c r="E54" s="21" t="s">
        <v>25</v>
      </c>
      <c r="F54" s="21" t="s">
        <v>1903</v>
      </c>
      <c r="G54" s="30" t="s">
        <v>3997</v>
      </c>
      <c r="H54" s="45" t="str">
        <f aca="false">HYPERLINK("https://photos.app.goo.gl/mCBGVrZFwq6dLXZq7", "Completo")</f>
        <v>Completo</v>
      </c>
      <c r="I54" s="21" t="s">
        <v>28</v>
      </c>
      <c r="J54" s="21"/>
      <c r="K54" s="21"/>
      <c r="L54" s="21"/>
      <c r="M54" s="21"/>
      <c r="N54" s="30" t="s">
        <v>3999</v>
      </c>
      <c r="O54" s="21" t="s">
        <v>28</v>
      </c>
      <c r="P54" s="21" t="s">
        <v>28</v>
      </c>
      <c r="Q54" s="21" t="s">
        <v>4002</v>
      </c>
      <c r="R54" s="32" t="s">
        <v>2850</v>
      </c>
      <c r="S54" s="32" t="s">
        <v>29</v>
      </c>
      <c r="T54" s="21" t="s">
        <v>3337</v>
      </c>
      <c r="U54" s="74" t="s">
        <v>28</v>
      </c>
      <c r="V54" s="21"/>
      <c r="W54" s="21" t="s">
        <v>28</v>
      </c>
      <c r="X54" s="21"/>
      <c r="Y54" s="21" t="s">
        <v>37</v>
      </c>
    </row>
    <row r="55" customFormat="false" ht="15.75" hidden="false" customHeight="false" outlineLevel="0" collapsed="false">
      <c r="A55" s="61" t="s">
        <v>4003</v>
      </c>
      <c r="B55" s="29" t="n">
        <v>44483</v>
      </c>
      <c r="C55" s="21" t="s">
        <v>3996</v>
      </c>
      <c r="D55" s="21" t="s">
        <v>24</v>
      </c>
      <c r="E55" s="21" t="s">
        <v>25</v>
      </c>
      <c r="F55" s="21" t="s">
        <v>2752</v>
      </c>
      <c r="G55" s="30" t="s">
        <v>4004</v>
      </c>
      <c r="H55" s="31" t="s">
        <v>28</v>
      </c>
      <c r="I55" s="21" t="s">
        <v>28</v>
      </c>
      <c r="J55" s="21"/>
      <c r="K55" s="21"/>
      <c r="L55" s="21"/>
      <c r="M55" s="21"/>
      <c r="N55" s="30" t="s">
        <v>4005</v>
      </c>
      <c r="O55" s="21" t="s">
        <v>28</v>
      </c>
      <c r="P55" s="21" t="s">
        <v>28</v>
      </c>
      <c r="Q55" s="21" t="s">
        <v>4002</v>
      </c>
      <c r="R55" s="32" t="s">
        <v>25</v>
      </c>
      <c r="S55" s="32" t="s">
        <v>29</v>
      </c>
      <c r="T55" s="21" t="s">
        <v>74</v>
      </c>
      <c r="U55" s="74" t="s">
        <v>28</v>
      </c>
      <c r="V55" s="21"/>
      <c r="W55" s="74" t="s">
        <v>28</v>
      </c>
      <c r="X55" s="21" t="s">
        <v>36</v>
      </c>
      <c r="Y55" s="21" t="s">
        <v>37</v>
      </c>
    </row>
    <row r="56" customFormat="false" ht="15.75" hidden="false" customHeight="false" outlineLevel="0" collapsed="false">
      <c r="A56" s="61" t="s">
        <v>4006</v>
      </c>
      <c r="B56" s="29" t="n">
        <v>44483</v>
      </c>
      <c r="C56" s="21" t="s">
        <v>3996</v>
      </c>
      <c r="D56" s="21" t="s">
        <v>24</v>
      </c>
      <c r="E56" s="21" t="s">
        <v>25</v>
      </c>
      <c r="F56" s="21" t="s">
        <v>2752</v>
      </c>
      <c r="G56" s="30" t="s">
        <v>4004</v>
      </c>
      <c r="H56" s="45" t="str">
        <f aca="false">HYPERLINK("https://photos.app.goo.gl/P6tGU11McHiXkzpk8", "Completo")</f>
        <v>Completo</v>
      </c>
      <c r="I56" s="21" t="s">
        <v>28</v>
      </c>
      <c r="J56" s="21"/>
      <c r="K56" s="21"/>
      <c r="L56" s="21"/>
      <c r="M56" s="21"/>
      <c r="N56" s="30" t="s">
        <v>4005</v>
      </c>
      <c r="O56" s="21" t="s">
        <v>28</v>
      </c>
      <c r="P56" s="21" t="s">
        <v>28</v>
      </c>
      <c r="Q56" s="21" t="s">
        <v>3010</v>
      </c>
      <c r="R56" s="32" t="s">
        <v>25</v>
      </c>
      <c r="S56" s="32"/>
      <c r="T56" s="21" t="s">
        <v>74</v>
      </c>
      <c r="U56" s="74" t="s">
        <v>28</v>
      </c>
      <c r="V56" s="21"/>
      <c r="W56" s="74" t="s">
        <v>28</v>
      </c>
      <c r="X56" s="21" t="s">
        <v>36</v>
      </c>
      <c r="Y56" s="21" t="s">
        <v>37</v>
      </c>
    </row>
    <row r="57" customFormat="false" ht="15.75" hidden="false" customHeight="false" outlineLevel="0" collapsed="false">
      <c r="A57" s="61" t="s">
        <v>4007</v>
      </c>
      <c r="B57" s="29" t="n">
        <v>44483</v>
      </c>
      <c r="C57" s="21" t="s">
        <v>3996</v>
      </c>
      <c r="D57" s="21" t="s">
        <v>24</v>
      </c>
      <c r="E57" s="21" t="s">
        <v>25</v>
      </c>
      <c r="F57" s="21" t="s">
        <v>2752</v>
      </c>
      <c r="G57" s="30" t="s">
        <v>4004</v>
      </c>
      <c r="H57" s="45" t="str">
        <f aca="false">HYPERLINK("https://photos.app.goo.gl/iXRiGT2AFG6rWyDGA", "Completo")</f>
        <v>Completo</v>
      </c>
      <c r="I57" s="21" t="s">
        <v>28</v>
      </c>
      <c r="J57" s="21"/>
      <c r="K57" s="21"/>
      <c r="L57" s="21"/>
      <c r="M57" s="21"/>
      <c r="N57" s="30" t="s">
        <v>4004</v>
      </c>
      <c r="O57" s="21" t="s">
        <v>28</v>
      </c>
      <c r="P57" s="21" t="s">
        <v>28</v>
      </c>
      <c r="Q57" s="21" t="s">
        <v>4002</v>
      </c>
      <c r="R57" s="32" t="s">
        <v>25</v>
      </c>
      <c r="S57" s="32"/>
      <c r="T57" s="21" t="s">
        <v>74</v>
      </c>
      <c r="U57" s="74" t="s">
        <v>28</v>
      </c>
      <c r="V57" s="21"/>
      <c r="W57" s="74" t="s">
        <v>28</v>
      </c>
      <c r="X57" s="21" t="s">
        <v>36</v>
      </c>
      <c r="Y57" s="21" t="s">
        <v>37</v>
      </c>
    </row>
    <row r="58" customFormat="false" ht="15.75" hidden="false" customHeight="false" outlineLevel="0" collapsed="false">
      <c r="A58" s="61" t="s">
        <v>4008</v>
      </c>
      <c r="B58" s="29" t="n">
        <v>44483</v>
      </c>
      <c r="C58" s="21" t="s">
        <v>3996</v>
      </c>
      <c r="D58" s="21" t="s">
        <v>24</v>
      </c>
      <c r="E58" s="21" t="s">
        <v>25</v>
      </c>
      <c r="F58" s="21" t="s">
        <v>2752</v>
      </c>
      <c r="G58" s="30" t="s">
        <v>4004</v>
      </c>
      <c r="H58" s="45" t="str">
        <f aca="false">HYPERLINK("https://photos.app.goo.gl/FWKTL9L1pSaUu42o6", "Completo")</f>
        <v>Completo</v>
      </c>
      <c r="I58" s="21" t="s">
        <v>28</v>
      </c>
      <c r="J58" s="21"/>
      <c r="K58" s="21"/>
      <c r="L58" s="21"/>
      <c r="M58" s="21"/>
      <c r="N58" s="30" t="s">
        <v>4005</v>
      </c>
      <c r="O58" s="21" t="s">
        <v>28</v>
      </c>
      <c r="P58" s="21" t="s">
        <v>28</v>
      </c>
      <c r="Q58" s="21" t="s">
        <v>4002</v>
      </c>
      <c r="R58" s="32" t="s">
        <v>2850</v>
      </c>
      <c r="S58" s="32" t="s">
        <v>29</v>
      </c>
      <c r="T58" s="21" t="s">
        <v>74</v>
      </c>
      <c r="U58" s="74" t="s">
        <v>28</v>
      </c>
      <c r="V58" s="21"/>
      <c r="W58" s="74" t="s">
        <v>28</v>
      </c>
      <c r="X58" s="21" t="s">
        <v>36</v>
      </c>
      <c r="Y58" s="21" t="s">
        <v>37</v>
      </c>
    </row>
    <row r="59" customFormat="false" ht="15.75" hidden="false" customHeight="false" outlineLevel="0" collapsed="false">
      <c r="A59" s="61" t="n">
        <v>6032</v>
      </c>
      <c r="B59" s="29" t="n">
        <v>44484</v>
      </c>
      <c r="C59" s="21" t="s">
        <v>776</v>
      </c>
      <c r="D59" s="21" t="s">
        <v>24</v>
      </c>
      <c r="E59" s="21" t="s">
        <v>34</v>
      </c>
      <c r="F59" s="21" t="s">
        <v>4009</v>
      </c>
      <c r="G59" s="30"/>
      <c r="H59" s="31"/>
      <c r="I59" s="21"/>
      <c r="J59" s="21"/>
      <c r="K59" s="21"/>
      <c r="L59" s="21"/>
      <c r="M59" s="21"/>
      <c r="N59" s="30"/>
      <c r="O59" s="21"/>
      <c r="P59" s="21"/>
      <c r="Q59" s="21"/>
      <c r="R59" s="32"/>
      <c r="S59" s="32"/>
      <c r="T59" s="21"/>
      <c r="U59" s="21"/>
      <c r="V59" s="21"/>
      <c r="W59" s="21"/>
      <c r="X59" s="21"/>
      <c r="Y59" s="21" t="s">
        <v>28</v>
      </c>
    </row>
    <row r="60" customFormat="false" ht="15.75" hidden="false" customHeight="false" outlineLevel="0" collapsed="false">
      <c r="A60" s="61" t="n">
        <v>6033</v>
      </c>
      <c r="B60" s="29" t="n">
        <v>44484</v>
      </c>
      <c r="C60" s="21" t="s">
        <v>4010</v>
      </c>
      <c r="D60" s="21" t="s">
        <v>24</v>
      </c>
      <c r="E60" s="21" t="s">
        <v>25</v>
      </c>
      <c r="F60" s="21" t="s">
        <v>4011</v>
      </c>
      <c r="G60" s="30" t="s">
        <v>4012</v>
      </c>
      <c r="H60" s="21" t="s">
        <v>28</v>
      </c>
      <c r="I60" s="21" t="s">
        <v>28</v>
      </c>
      <c r="J60" s="21"/>
      <c r="K60" s="21"/>
      <c r="L60" s="21"/>
      <c r="M60" s="21" t="s">
        <v>2154</v>
      </c>
      <c r="N60" s="30" t="s">
        <v>4013</v>
      </c>
      <c r="O60" s="21" t="s">
        <v>28</v>
      </c>
      <c r="P60" s="21" t="s">
        <v>28</v>
      </c>
      <c r="Q60" s="21" t="s">
        <v>4014</v>
      </c>
      <c r="R60" s="32" t="s">
        <v>74</v>
      </c>
      <c r="S60" s="32" t="s">
        <v>36</v>
      </c>
      <c r="T60" s="21" t="s">
        <v>74</v>
      </c>
      <c r="U60" s="74" t="s">
        <v>28</v>
      </c>
      <c r="V60" s="21"/>
      <c r="W60" s="74" t="s">
        <v>28</v>
      </c>
      <c r="X60" s="74" t="s">
        <v>3695</v>
      </c>
      <c r="Y60" s="21" t="s">
        <v>28</v>
      </c>
    </row>
    <row r="61" customFormat="false" ht="15.75" hidden="false" customHeight="false" outlineLevel="0" collapsed="false">
      <c r="A61" s="61" t="n">
        <v>6034</v>
      </c>
      <c r="B61" s="29" t="n">
        <v>44484</v>
      </c>
      <c r="C61" s="21" t="s">
        <v>4015</v>
      </c>
      <c r="D61" s="21" t="s">
        <v>24</v>
      </c>
      <c r="E61" s="21" t="s">
        <v>25</v>
      </c>
      <c r="F61" s="21" t="s">
        <v>1554</v>
      </c>
      <c r="G61" s="30" t="s">
        <v>4016</v>
      </c>
      <c r="H61" s="45" t="str">
        <f aca="false">HYPERLINK("https://photos.app.goo.gl/3RePSXKM9Tju2SEa7", "Completo")</f>
        <v>Completo</v>
      </c>
      <c r="I61" s="21" t="s">
        <v>28</v>
      </c>
      <c r="J61" s="21"/>
      <c r="K61" s="21"/>
      <c r="L61" s="21"/>
      <c r="M61" s="21"/>
      <c r="N61" s="30" t="s">
        <v>4017</v>
      </c>
      <c r="O61" s="21" t="s">
        <v>28</v>
      </c>
      <c r="P61" s="21" t="s">
        <v>28</v>
      </c>
      <c r="Q61" s="21" t="s">
        <v>3297</v>
      </c>
      <c r="R61" s="32" t="s">
        <v>25</v>
      </c>
      <c r="S61" s="32"/>
      <c r="T61" s="21" t="s">
        <v>74</v>
      </c>
      <c r="U61" s="74" t="s">
        <v>28</v>
      </c>
      <c r="V61" s="21"/>
      <c r="W61" s="66" t="s">
        <v>28</v>
      </c>
      <c r="X61" s="21" t="s">
        <v>36</v>
      </c>
      <c r="Y61" s="21" t="s">
        <v>28</v>
      </c>
    </row>
    <row r="62" customFormat="false" ht="15.75" hidden="false" customHeight="false" outlineLevel="0" collapsed="false">
      <c r="A62" s="61" t="n">
        <v>6035</v>
      </c>
      <c r="B62" s="29" t="n">
        <v>44484</v>
      </c>
      <c r="C62" s="21" t="s">
        <v>4018</v>
      </c>
      <c r="D62" s="21" t="s">
        <v>24</v>
      </c>
      <c r="E62" s="21" t="s">
        <v>25</v>
      </c>
      <c r="F62" s="21" t="s">
        <v>4019</v>
      </c>
      <c r="G62" s="30" t="s">
        <v>4020</v>
      </c>
      <c r="H62" s="45" t="str">
        <f aca="false">HYPERLINK("https://photos.app.goo.gl/vhD2sbT6A2p5sATs5", "Completo")</f>
        <v>Completo</v>
      </c>
      <c r="I62" s="21" t="s">
        <v>28</v>
      </c>
      <c r="J62" s="21" t="n">
        <v>3548404834</v>
      </c>
      <c r="K62" s="21" t="s">
        <v>4021</v>
      </c>
      <c r="L62" s="21"/>
      <c r="M62" s="21" t="s">
        <v>2133</v>
      </c>
      <c r="N62" s="30"/>
      <c r="O62" s="21"/>
      <c r="P62" s="21"/>
      <c r="Q62" s="21"/>
      <c r="R62" s="32"/>
      <c r="S62" s="32"/>
      <c r="T62" s="21"/>
      <c r="U62" s="21"/>
      <c r="V62" s="21"/>
      <c r="W62" s="21"/>
      <c r="X62" s="21"/>
      <c r="Y62" s="21" t="s">
        <v>28</v>
      </c>
    </row>
    <row r="63" customFormat="false" ht="15.75" hidden="false" customHeight="false" outlineLevel="0" collapsed="false">
      <c r="A63" s="61" t="n">
        <v>6036</v>
      </c>
      <c r="B63" s="29" t="n">
        <v>44484</v>
      </c>
      <c r="C63" s="21" t="s">
        <v>4022</v>
      </c>
      <c r="D63" s="21" t="s">
        <v>24</v>
      </c>
      <c r="E63" s="21" t="s">
        <v>25</v>
      </c>
      <c r="F63" s="21" t="s">
        <v>4023</v>
      </c>
      <c r="G63" s="30" t="s">
        <v>4024</v>
      </c>
      <c r="H63" s="45" t="str">
        <f aca="false">HYPERLINK("https://photos.app.goo.gl/qfSUwrTwifA2AqrL7", "Completo")</f>
        <v>Completo</v>
      </c>
      <c r="I63" s="21" t="s">
        <v>28</v>
      </c>
      <c r="J63" s="21"/>
      <c r="K63" s="21"/>
      <c r="L63" s="21"/>
      <c r="M63" s="21" t="s">
        <v>2133</v>
      </c>
      <c r="N63" s="30" t="s">
        <v>4025</v>
      </c>
      <c r="O63" s="21" t="s">
        <v>28</v>
      </c>
      <c r="P63" s="21" t="s">
        <v>28</v>
      </c>
      <c r="Q63" s="21" t="s">
        <v>3213</v>
      </c>
      <c r="R63" s="32" t="s">
        <v>25</v>
      </c>
      <c r="S63" s="32"/>
      <c r="T63" s="21" t="s">
        <v>3337</v>
      </c>
      <c r="U63" s="74" t="s">
        <v>28</v>
      </c>
      <c r="V63" s="21"/>
      <c r="W63" s="74" t="s">
        <v>28</v>
      </c>
      <c r="X63" s="21"/>
      <c r="Y63" s="21" t="s">
        <v>28</v>
      </c>
    </row>
    <row r="64" customFormat="false" ht="15.75" hidden="false" customHeight="false" outlineLevel="0" collapsed="false">
      <c r="A64" s="61" t="n">
        <v>6037</v>
      </c>
      <c r="B64" s="29" t="n">
        <v>44488</v>
      </c>
      <c r="C64" s="21" t="s">
        <v>4026</v>
      </c>
      <c r="D64" s="21" t="s">
        <v>24</v>
      </c>
      <c r="E64" s="21" t="s">
        <v>25</v>
      </c>
      <c r="F64" s="21" t="s">
        <v>4027</v>
      </c>
      <c r="G64" s="30" t="s">
        <v>4028</v>
      </c>
      <c r="H64" s="45" t="str">
        <f aca="false">HYPERLINK("https://photos.app.goo.gl/gadwGtLHchRrx5UL9", "Completo")</f>
        <v>Completo</v>
      </c>
      <c r="I64" s="21" t="s">
        <v>28</v>
      </c>
      <c r="J64" s="21"/>
      <c r="K64" s="21"/>
      <c r="L64" s="21"/>
      <c r="M64" s="21" t="s">
        <v>4029</v>
      </c>
      <c r="N64" s="30"/>
      <c r="O64" s="21"/>
      <c r="P64" s="21"/>
      <c r="Q64" s="21"/>
      <c r="R64" s="32"/>
      <c r="S64" s="32"/>
      <c r="T64" s="21"/>
      <c r="U64" s="21"/>
      <c r="V64" s="21"/>
      <c r="W64" s="21"/>
      <c r="X64" s="21"/>
      <c r="Y64" s="21" t="s">
        <v>28</v>
      </c>
    </row>
    <row r="65" customFormat="false" ht="15.75" hidden="false" customHeight="false" outlineLevel="0" collapsed="false">
      <c r="A65" s="61" t="n">
        <v>6038</v>
      </c>
      <c r="B65" s="29" t="n">
        <v>44488</v>
      </c>
      <c r="C65" s="21" t="s">
        <v>4030</v>
      </c>
      <c r="D65" s="21" t="s">
        <v>24</v>
      </c>
      <c r="E65" s="21" t="s">
        <v>25</v>
      </c>
      <c r="F65" s="21" t="s">
        <v>4031</v>
      </c>
      <c r="G65" s="30" t="s">
        <v>4032</v>
      </c>
      <c r="H65" s="45" t="str">
        <f aca="false">HYPERLINK("https://photos.app.goo.gl/g2p5ikzkjLLbN9eG9", "Completo")</f>
        <v>Completo</v>
      </c>
      <c r="I65" s="21" t="s">
        <v>28</v>
      </c>
      <c r="J65" s="21"/>
      <c r="K65" s="21"/>
      <c r="L65" s="21"/>
      <c r="M65" s="21" t="s">
        <v>2133</v>
      </c>
      <c r="N65" s="30"/>
      <c r="O65" s="21"/>
      <c r="P65" s="21"/>
      <c r="Q65" s="21"/>
      <c r="R65" s="32"/>
      <c r="S65" s="32"/>
      <c r="T65" s="21"/>
      <c r="U65" s="21"/>
      <c r="V65" s="21"/>
      <c r="W65" s="21"/>
      <c r="X65" s="21"/>
      <c r="Y65" s="21" t="s">
        <v>28</v>
      </c>
    </row>
    <row r="66" customFormat="false" ht="15.75" hidden="false" customHeight="false" outlineLevel="0" collapsed="false">
      <c r="A66" s="61" t="n">
        <v>6039</v>
      </c>
      <c r="B66" s="29" t="n">
        <v>44488</v>
      </c>
      <c r="C66" s="21" t="s">
        <v>4030</v>
      </c>
      <c r="D66" s="21" t="s">
        <v>24</v>
      </c>
      <c r="E66" s="21" t="s">
        <v>25</v>
      </c>
      <c r="F66" s="21" t="s">
        <v>4033</v>
      </c>
      <c r="G66" s="30" t="s">
        <v>4034</v>
      </c>
      <c r="H66" s="45" t="str">
        <f aca="false">HYPERLINK("https://photos.app.goo.gl/zpFBgqv1TCrcioEg6", "Completo")</f>
        <v>Completo</v>
      </c>
      <c r="I66" s="21" t="s">
        <v>28</v>
      </c>
      <c r="J66" s="21"/>
      <c r="K66" s="21"/>
      <c r="L66" s="21"/>
      <c r="M66" s="21" t="s">
        <v>2133</v>
      </c>
      <c r="N66" s="30"/>
      <c r="O66" s="21"/>
      <c r="P66" s="21"/>
      <c r="Q66" s="21"/>
      <c r="R66" s="32"/>
      <c r="S66" s="32"/>
      <c r="T66" s="21"/>
      <c r="U66" s="21"/>
      <c r="V66" s="21"/>
      <c r="W66" s="21"/>
      <c r="X66" s="21"/>
      <c r="Y66" s="21" t="s">
        <v>28</v>
      </c>
    </row>
    <row r="67" customFormat="false" ht="15.75" hidden="false" customHeight="false" outlineLevel="0" collapsed="false">
      <c r="A67" s="61" t="n">
        <v>6040</v>
      </c>
      <c r="B67" s="29" t="n">
        <v>44489</v>
      </c>
      <c r="C67" s="21" t="s">
        <v>2761</v>
      </c>
      <c r="D67" s="21" t="s">
        <v>24</v>
      </c>
      <c r="E67" s="21" t="s">
        <v>25</v>
      </c>
      <c r="F67" s="21" t="s">
        <v>4035</v>
      </c>
      <c r="G67" s="30" t="s">
        <v>4036</v>
      </c>
      <c r="H67" s="45" t="str">
        <f aca="false">HYPERLINK("https://photos.app.goo.gl/zuffqgx1FiaGHhYq5", "Completo")</f>
        <v>Completo</v>
      </c>
      <c r="I67" s="21" t="s">
        <v>28</v>
      </c>
      <c r="J67" s="21"/>
      <c r="K67" s="21"/>
      <c r="L67" s="21"/>
      <c r="M67" s="21" t="s">
        <v>2366</v>
      </c>
      <c r="N67" s="30"/>
      <c r="O67" s="21"/>
      <c r="P67" s="21"/>
      <c r="Q67" s="21"/>
      <c r="R67" s="32"/>
      <c r="S67" s="32"/>
      <c r="T67" s="21"/>
      <c r="U67" s="21"/>
      <c r="V67" s="21"/>
      <c r="W67" s="21"/>
      <c r="X67" s="21"/>
      <c r="Y67" s="21" t="s">
        <v>28</v>
      </c>
    </row>
    <row r="68" customFormat="false" ht="15.75" hidden="false" customHeight="false" outlineLevel="0" collapsed="false">
      <c r="A68" s="61" t="n">
        <v>6041</v>
      </c>
      <c r="B68" s="29" t="n">
        <v>44489</v>
      </c>
      <c r="C68" s="21" t="s">
        <v>23</v>
      </c>
      <c r="D68" s="21" t="s">
        <v>24</v>
      </c>
      <c r="E68" s="21" t="s">
        <v>34</v>
      </c>
      <c r="F68" s="21" t="s">
        <v>4037</v>
      </c>
      <c r="G68" s="30"/>
      <c r="H68" s="31"/>
      <c r="I68" s="21"/>
      <c r="J68" s="21"/>
      <c r="K68" s="21"/>
      <c r="L68" s="21"/>
      <c r="M68" s="21"/>
      <c r="N68" s="30"/>
      <c r="O68" s="21"/>
      <c r="P68" s="21"/>
      <c r="Q68" s="21"/>
      <c r="R68" s="32"/>
      <c r="S68" s="32"/>
      <c r="T68" s="21"/>
      <c r="U68" s="21"/>
      <c r="V68" s="21"/>
      <c r="W68" s="21"/>
      <c r="X68" s="21"/>
      <c r="Y68" s="21" t="s">
        <v>28</v>
      </c>
    </row>
    <row r="69" customFormat="false" ht="15.75" hidden="false" customHeight="false" outlineLevel="0" collapsed="false">
      <c r="A69" s="61" t="n">
        <v>6042</v>
      </c>
      <c r="B69" s="29" t="n">
        <v>44489</v>
      </c>
      <c r="C69" s="21" t="s">
        <v>23</v>
      </c>
      <c r="D69" s="21" t="s">
        <v>24</v>
      </c>
      <c r="E69" s="21" t="s">
        <v>34</v>
      </c>
      <c r="F69" s="21" t="s">
        <v>4037</v>
      </c>
      <c r="G69" s="30"/>
      <c r="H69" s="31"/>
      <c r="I69" s="21"/>
      <c r="J69" s="21"/>
      <c r="K69" s="21"/>
      <c r="L69" s="21"/>
      <c r="M69" s="21"/>
      <c r="N69" s="30"/>
      <c r="O69" s="21"/>
      <c r="P69" s="21"/>
      <c r="Q69" s="21"/>
      <c r="R69" s="32"/>
      <c r="S69" s="32"/>
      <c r="T69" s="21"/>
      <c r="U69" s="21"/>
      <c r="V69" s="21"/>
      <c r="W69" s="21"/>
      <c r="X69" s="21"/>
      <c r="Y69" s="21" t="s">
        <v>28</v>
      </c>
    </row>
    <row r="70" customFormat="false" ht="15.75" hidden="false" customHeight="false" outlineLevel="0" collapsed="false">
      <c r="A70" s="61" t="n">
        <v>6043</v>
      </c>
      <c r="B70" s="29" t="n">
        <v>44489</v>
      </c>
      <c r="C70" s="21" t="s">
        <v>23</v>
      </c>
      <c r="D70" s="21" t="s">
        <v>24</v>
      </c>
      <c r="E70" s="21" t="s">
        <v>34</v>
      </c>
      <c r="F70" s="21" t="s">
        <v>4037</v>
      </c>
      <c r="G70" s="30"/>
      <c r="H70" s="31"/>
      <c r="I70" s="21"/>
      <c r="J70" s="21"/>
      <c r="K70" s="21"/>
      <c r="L70" s="21"/>
      <c r="M70" s="21"/>
      <c r="N70" s="30"/>
      <c r="O70" s="21"/>
      <c r="P70" s="21"/>
      <c r="Q70" s="21"/>
      <c r="R70" s="32"/>
      <c r="S70" s="32"/>
      <c r="T70" s="21"/>
      <c r="U70" s="21"/>
      <c r="V70" s="21"/>
      <c r="W70" s="21"/>
      <c r="X70" s="21"/>
      <c r="Y70" s="21" t="s">
        <v>28</v>
      </c>
    </row>
    <row r="71" customFormat="false" ht="15.75" hidden="false" customHeight="false" outlineLevel="0" collapsed="false">
      <c r="A71" s="61" t="n">
        <v>6044</v>
      </c>
      <c r="B71" s="29" t="n">
        <v>44489</v>
      </c>
      <c r="C71" s="21" t="s">
        <v>23</v>
      </c>
      <c r="D71" s="21" t="s">
        <v>24</v>
      </c>
      <c r="E71" s="21" t="s">
        <v>34</v>
      </c>
      <c r="F71" s="21" t="s">
        <v>4037</v>
      </c>
      <c r="G71" s="30"/>
      <c r="H71" s="31"/>
      <c r="I71" s="21"/>
      <c r="J71" s="21"/>
      <c r="K71" s="21"/>
      <c r="L71" s="21"/>
      <c r="M71" s="21"/>
      <c r="N71" s="30"/>
      <c r="O71" s="21"/>
      <c r="P71" s="21"/>
      <c r="Q71" s="21"/>
      <c r="R71" s="32"/>
      <c r="S71" s="32"/>
      <c r="T71" s="21"/>
      <c r="U71" s="21"/>
      <c r="V71" s="21"/>
      <c r="W71" s="21"/>
      <c r="X71" s="21"/>
      <c r="Y71" s="21" t="s">
        <v>28</v>
      </c>
    </row>
    <row r="72" customFormat="false" ht="15.75" hidden="false" customHeight="false" outlineLevel="0" collapsed="false">
      <c r="A72" s="61" t="n">
        <v>6045</v>
      </c>
      <c r="B72" s="29" t="n">
        <v>44490</v>
      </c>
      <c r="C72" s="21" t="s">
        <v>4015</v>
      </c>
      <c r="D72" s="21" t="s">
        <v>3589</v>
      </c>
      <c r="E72" s="21" t="s">
        <v>25</v>
      </c>
      <c r="F72" s="21" t="s">
        <v>4038</v>
      </c>
      <c r="G72" s="30" t="s">
        <v>4039</v>
      </c>
      <c r="H72" s="45" t="str">
        <f aca="false">HYPERLINK("https://photos.app.goo.gl/w1GvU36Z7gueZVzh8", "Completo")</f>
        <v>Completo</v>
      </c>
      <c r="I72" s="21" t="s">
        <v>28</v>
      </c>
      <c r="J72" s="21"/>
      <c r="K72" s="21"/>
      <c r="L72" s="21"/>
      <c r="M72" s="21" t="s">
        <v>4040</v>
      </c>
      <c r="N72" s="30"/>
      <c r="O72" s="21"/>
      <c r="P72" s="21"/>
      <c r="Q72" s="21"/>
      <c r="R72" s="32"/>
      <c r="S72" s="32"/>
      <c r="T72" s="21"/>
      <c r="U72" s="21"/>
      <c r="V72" s="21"/>
      <c r="W72" s="21"/>
      <c r="X72" s="21"/>
      <c r="Y72" s="21" t="s">
        <v>37</v>
      </c>
    </row>
    <row r="73" customFormat="false" ht="15.75" hidden="false" customHeight="false" outlineLevel="0" collapsed="false">
      <c r="A73" s="61" t="n">
        <v>6046</v>
      </c>
      <c r="B73" s="29" t="n">
        <v>44490</v>
      </c>
      <c r="C73" s="21" t="s">
        <v>4015</v>
      </c>
      <c r="D73" s="21" t="s">
        <v>24</v>
      </c>
      <c r="E73" s="21" t="s">
        <v>25</v>
      </c>
      <c r="F73" s="21" t="s">
        <v>4041</v>
      </c>
      <c r="G73" s="30" t="s">
        <v>4042</v>
      </c>
      <c r="H73" s="45" t="str">
        <f aca="false">HYPERLINK("https://photos.app.goo.gl/KTVA3WGsBivf4JXk8", "Completo")</f>
        <v>Completo</v>
      </c>
      <c r="I73" s="21" t="s">
        <v>28</v>
      </c>
      <c r="J73" s="21"/>
      <c r="K73" s="21"/>
      <c r="L73" s="21"/>
      <c r="M73" s="21" t="s">
        <v>4043</v>
      </c>
      <c r="N73" s="30"/>
      <c r="O73" s="21"/>
      <c r="P73" s="21"/>
      <c r="Q73" s="21"/>
      <c r="R73" s="32"/>
      <c r="S73" s="32"/>
      <c r="T73" s="21"/>
      <c r="U73" s="21"/>
      <c r="V73" s="21"/>
      <c r="W73" s="21"/>
      <c r="X73" s="21"/>
      <c r="Y73" s="21" t="s">
        <v>37</v>
      </c>
    </row>
    <row r="74" customFormat="false" ht="15.75" hidden="false" customHeight="false" outlineLevel="0" collapsed="false">
      <c r="A74" s="61" t="n">
        <v>6047</v>
      </c>
      <c r="B74" s="29" t="n">
        <v>44490</v>
      </c>
      <c r="C74" s="21" t="s">
        <v>1344</v>
      </c>
      <c r="D74" s="21" t="s">
        <v>24</v>
      </c>
      <c r="E74" s="21" t="s">
        <v>25</v>
      </c>
      <c r="F74" s="21" t="s">
        <v>4044</v>
      </c>
      <c r="G74" s="30" t="s">
        <v>4045</v>
      </c>
      <c r="H74" s="45" t="str">
        <f aca="false">HYPERLINK("https://photos.app.goo.gl/5gNqip9s3X4k3Caa6", "Completo")</f>
        <v>Completo</v>
      </c>
      <c r="I74" s="21" t="s">
        <v>28</v>
      </c>
      <c r="J74" s="21"/>
      <c r="K74" s="21"/>
      <c r="L74" s="21"/>
      <c r="M74" s="21" t="s">
        <v>2255</v>
      </c>
      <c r="N74" s="30" t="s">
        <v>4045</v>
      </c>
      <c r="O74" s="21" t="s">
        <v>28</v>
      </c>
      <c r="P74" s="21" t="s">
        <v>28</v>
      </c>
      <c r="Q74" s="21" t="s">
        <v>3415</v>
      </c>
      <c r="R74" s="32" t="s">
        <v>25</v>
      </c>
      <c r="S74" s="32"/>
      <c r="T74" s="21" t="s">
        <v>74</v>
      </c>
      <c r="U74" s="74" t="s">
        <v>28</v>
      </c>
      <c r="V74" s="21"/>
      <c r="W74" s="74" t="s">
        <v>28</v>
      </c>
      <c r="X74" s="21" t="s">
        <v>36</v>
      </c>
      <c r="Y74" s="21" t="s">
        <v>28</v>
      </c>
    </row>
    <row r="75" customFormat="false" ht="15.75" hidden="false" customHeight="false" outlineLevel="0" collapsed="false">
      <c r="A75" s="61" t="n">
        <v>6048</v>
      </c>
      <c r="B75" s="29" t="n">
        <v>44491</v>
      </c>
      <c r="C75" s="21" t="s">
        <v>23</v>
      </c>
      <c r="D75" s="21" t="s">
        <v>24</v>
      </c>
      <c r="E75" s="21" t="s">
        <v>34</v>
      </c>
      <c r="F75" s="21" t="s">
        <v>4046</v>
      </c>
      <c r="G75" s="30"/>
      <c r="H75" s="31"/>
      <c r="I75" s="21"/>
      <c r="J75" s="21"/>
      <c r="K75" s="21"/>
      <c r="L75" s="21"/>
      <c r="M75" s="21"/>
      <c r="N75" s="30"/>
      <c r="O75" s="21"/>
      <c r="P75" s="21"/>
      <c r="Q75" s="21"/>
      <c r="R75" s="32"/>
      <c r="S75" s="32"/>
      <c r="T75" s="21"/>
      <c r="U75" s="21"/>
      <c r="V75" s="21"/>
      <c r="W75" s="21"/>
      <c r="X75" s="21"/>
      <c r="Y75" s="21" t="s">
        <v>28</v>
      </c>
    </row>
    <row r="76" customFormat="false" ht="15.75" hidden="false" customHeight="false" outlineLevel="0" collapsed="false">
      <c r="A76" s="61" t="n">
        <v>6049</v>
      </c>
      <c r="B76" s="29" t="n">
        <v>44491</v>
      </c>
      <c r="C76" s="21" t="s">
        <v>23</v>
      </c>
      <c r="D76" s="21" t="s">
        <v>24</v>
      </c>
      <c r="E76" s="21" t="s">
        <v>34</v>
      </c>
      <c r="F76" s="21" t="s">
        <v>4047</v>
      </c>
      <c r="G76" s="30"/>
      <c r="H76" s="31"/>
      <c r="I76" s="21"/>
      <c r="J76" s="21"/>
      <c r="K76" s="21"/>
      <c r="L76" s="21"/>
      <c r="M76" s="21"/>
      <c r="N76" s="30"/>
      <c r="O76" s="21"/>
      <c r="P76" s="21"/>
      <c r="Q76" s="21"/>
      <c r="R76" s="32"/>
      <c r="S76" s="32"/>
      <c r="T76" s="21"/>
      <c r="U76" s="21"/>
      <c r="V76" s="21"/>
      <c r="W76" s="21"/>
      <c r="X76" s="21"/>
      <c r="Y76" s="21" t="s">
        <v>28</v>
      </c>
    </row>
    <row r="77" customFormat="false" ht="15.75" hidden="false" customHeight="false" outlineLevel="0" collapsed="false">
      <c r="A77" s="61" t="n">
        <v>6050</v>
      </c>
      <c r="B77" s="29" t="n">
        <v>44491</v>
      </c>
      <c r="C77" s="21" t="s">
        <v>2088</v>
      </c>
      <c r="D77" s="21" t="s">
        <v>24</v>
      </c>
      <c r="E77" s="21" t="s">
        <v>34</v>
      </c>
      <c r="F77" s="21" t="s">
        <v>3811</v>
      </c>
      <c r="G77" s="30"/>
      <c r="H77" s="31"/>
      <c r="I77" s="21"/>
      <c r="J77" s="21"/>
      <c r="K77" s="21"/>
      <c r="L77" s="21"/>
      <c r="M77" s="21"/>
      <c r="N77" s="30"/>
      <c r="O77" s="21"/>
      <c r="P77" s="21"/>
      <c r="Q77" s="21"/>
      <c r="R77" s="32"/>
      <c r="S77" s="32"/>
      <c r="T77" s="21"/>
      <c r="U77" s="21"/>
      <c r="V77" s="21"/>
      <c r="W77" s="21"/>
      <c r="X77" s="21"/>
      <c r="Y77" s="21" t="s">
        <v>28</v>
      </c>
    </row>
    <row r="78" customFormat="false" ht="15.75" hidden="false" customHeight="false" outlineLevel="0" collapsed="false">
      <c r="A78" s="61" t="n">
        <v>6051</v>
      </c>
      <c r="B78" s="29" t="n">
        <v>44491</v>
      </c>
      <c r="C78" s="21" t="s">
        <v>574</v>
      </c>
      <c r="D78" s="21" t="s">
        <v>24</v>
      </c>
      <c r="E78" s="21" t="s">
        <v>25</v>
      </c>
      <c r="F78" s="21" t="s">
        <v>4048</v>
      </c>
      <c r="G78" s="30" t="s">
        <v>4049</v>
      </c>
      <c r="H78" s="45" t="str">
        <f aca="false">HYPERLINK("https://photos.app.goo.gl/XE3ATPDA67FGNNMm8", "Completo")</f>
        <v>Completo</v>
      </c>
      <c r="I78" s="21" t="s">
        <v>28</v>
      </c>
      <c r="J78" s="21"/>
      <c r="K78" s="21"/>
      <c r="L78" s="21"/>
      <c r="M78" s="21" t="s">
        <v>2255</v>
      </c>
      <c r="N78" s="30" t="s">
        <v>4049</v>
      </c>
      <c r="O78" s="21" t="s">
        <v>28</v>
      </c>
      <c r="P78" s="21" t="s">
        <v>28</v>
      </c>
      <c r="Q78" s="21" t="s">
        <v>2803</v>
      </c>
      <c r="R78" s="32" t="s">
        <v>25</v>
      </c>
      <c r="S78" s="32"/>
      <c r="T78" s="21" t="s">
        <v>3337</v>
      </c>
      <c r="U78" s="74" t="s">
        <v>28</v>
      </c>
      <c r="V78" s="21"/>
      <c r="W78" s="74" t="s">
        <v>28</v>
      </c>
      <c r="X78" s="21"/>
      <c r="Y78" s="21" t="s">
        <v>28</v>
      </c>
    </row>
    <row r="79" customFormat="false" ht="15.75" hidden="false" customHeight="false" outlineLevel="0" collapsed="false">
      <c r="A79" s="61" t="n">
        <v>6052</v>
      </c>
      <c r="B79" s="29" t="n">
        <v>44491</v>
      </c>
      <c r="C79" s="21" t="s">
        <v>274</v>
      </c>
      <c r="D79" s="21" t="s">
        <v>24</v>
      </c>
      <c r="E79" s="21" t="s">
        <v>34</v>
      </c>
      <c r="F79" s="21" t="s">
        <v>4050</v>
      </c>
      <c r="G79" s="30"/>
      <c r="H79" s="31" t="s">
        <v>28</v>
      </c>
      <c r="I79" s="21"/>
      <c r="J79" s="21"/>
      <c r="K79" s="21"/>
      <c r="L79" s="21"/>
      <c r="M79" s="21"/>
      <c r="N79" s="30"/>
      <c r="O79" s="21"/>
      <c r="P79" s="21"/>
      <c r="Q79" s="21"/>
      <c r="R79" s="32"/>
      <c r="S79" s="32"/>
      <c r="T79" s="21"/>
      <c r="U79" s="21"/>
      <c r="V79" s="21"/>
      <c r="W79" s="21"/>
      <c r="X79" s="21"/>
      <c r="Y79" s="21" t="s">
        <v>28</v>
      </c>
    </row>
    <row r="80" customFormat="false" ht="15.75" hidden="false" customHeight="false" outlineLevel="0" collapsed="false">
      <c r="A80" s="61" t="n">
        <v>6053</v>
      </c>
      <c r="B80" s="29" t="n">
        <v>44491</v>
      </c>
      <c r="C80" s="21" t="s">
        <v>4051</v>
      </c>
      <c r="D80" s="21" t="s">
        <v>24</v>
      </c>
      <c r="E80" s="21" t="s">
        <v>25</v>
      </c>
      <c r="F80" s="21" t="s">
        <v>4052</v>
      </c>
      <c r="G80" s="30" t="s">
        <v>4053</v>
      </c>
      <c r="H80" s="45" t="str">
        <f aca="false">HYPERLINK("https://photos.app.goo.gl/yistFAacGuMYg9H86", "Completo")</f>
        <v>Completo</v>
      </c>
      <c r="I80" s="21" t="s">
        <v>28</v>
      </c>
      <c r="J80" s="21"/>
      <c r="K80" s="21"/>
      <c r="L80" s="21"/>
      <c r="M80" s="21" t="s">
        <v>3873</v>
      </c>
      <c r="N80" s="30"/>
      <c r="O80" s="21"/>
      <c r="P80" s="21"/>
      <c r="Q80" s="21"/>
      <c r="R80" s="32" t="s">
        <v>25</v>
      </c>
      <c r="S80" s="32"/>
      <c r="T80" s="21" t="s">
        <v>74</v>
      </c>
      <c r="U80" s="74" t="s">
        <v>28</v>
      </c>
      <c r="V80" s="21"/>
      <c r="W80" s="74" t="s">
        <v>28</v>
      </c>
      <c r="X80" s="21" t="s">
        <v>36</v>
      </c>
      <c r="Y80" s="21" t="s">
        <v>28</v>
      </c>
    </row>
    <row r="81" customFormat="false" ht="15.75" hidden="false" customHeight="false" outlineLevel="0" collapsed="false">
      <c r="A81" s="61" t="n">
        <v>6054</v>
      </c>
      <c r="B81" s="29" t="n">
        <v>44491</v>
      </c>
      <c r="C81" s="21" t="s">
        <v>574</v>
      </c>
      <c r="D81" s="21" t="s">
        <v>24</v>
      </c>
      <c r="E81" s="21" t="s">
        <v>25</v>
      </c>
      <c r="F81" s="21" t="s">
        <v>4054</v>
      </c>
      <c r="G81" s="30" t="s">
        <v>4055</v>
      </c>
      <c r="H81" s="45" t="str">
        <f aca="false">HYPERLINK("https://photos.app.goo.gl/M6sfwKyMS6vNaruEA", "Completo")</f>
        <v>Completo</v>
      </c>
      <c r="I81" s="21" t="s">
        <v>28</v>
      </c>
      <c r="J81" s="21"/>
      <c r="K81" s="21"/>
      <c r="L81" s="21"/>
      <c r="M81" s="21" t="s">
        <v>2255</v>
      </c>
      <c r="N81" s="30" t="s">
        <v>4056</v>
      </c>
      <c r="O81" s="21" t="s">
        <v>28</v>
      </c>
      <c r="P81" s="21" t="s">
        <v>28</v>
      </c>
      <c r="Q81" s="21" t="s">
        <v>1062</v>
      </c>
      <c r="R81" s="32" t="s">
        <v>25</v>
      </c>
      <c r="S81" s="32"/>
      <c r="T81" s="21" t="s">
        <v>74</v>
      </c>
      <c r="U81" s="74" t="s">
        <v>28</v>
      </c>
      <c r="V81" s="21"/>
      <c r="W81" s="74" t="s">
        <v>28</v>
      </c>
      <c r="X81" s="21" t="s">
        <v>36</v>
      </c>
      <c r="Y81" s="21" t="s">
        <v>28</v>
      </c>
    </row>
    <row r="82" customFormat="false" ht="15.75" hidden="false" customHeight="false" outlineLevel="0" collapsed="false">
      <c r="A82" s="61" t="n">
        <v>6055</v>
      </c>
      <c r="B82" s="29" t="n">
        <v>44495</v>
      </c>
      <c r="C82" s="21" t="s">
        <v>593</v>
      </c>
      <c r="D82" s="21" t="s">
        <v>24</v>
      </c>
      <c r="E82" s="21" t="s">
        <v>25</v>
      </c>
      <c r="F82" s="21" t="s">
        <v>4057</v>
      </c>
      <c r="G82" s="30"/>
      <c r="H82" s="31"/>
      <c r="I82" s="21"/>
      <c r="J82" s="21"/>
      <c r="K82" s="21"/>
      <c r="L82" s="21"/>
      <c r="M82" s="21" t="s">
        <v>1189</v>
      </c>
      <c r="N82" s="30"/>
      <c r="O82" s="21"/>
      <c r="P82" s="21"/>
      <c r="Q82" s="21"/>
      <c r="R82" s="32"/>
      <c r="S82" s="32"/>
      <c r="T82" s="21"/>
      <c r="U82" s="21"/>
      <c r="V82" s="21"/>
      <c r="W82" s="21"/>
      <c r="X82" s="21"/>
      <c r="Y82" s="21" t="s">
        <v>28</v>
      </c>
    </row>
    <row r="83" customFormat="false" ht="15.75" hidden="false" customHeight="false" outlineLevel="0" collapsed="false">
      <c r="A83" s="61" t="n">
        <v>6056</v>
      </c>
      <c r="B83" s="29" t="n">
        <v>44495</v>
      </c>
      <c r="C83" s="21" t="s">
        <v>4058</v>
      </c>
      <c r="D83" s="21" t="s">
        <v>3589</v>
      </c>
      <c r="E83" s="21" t="s">
        <v>25</v>
      </c>
      <c r="F83" s="21" t="s">
        <v>4059</v>
      </c>
      <c r="G83" s="30" t="s">
        <v>4060</v>
      </c>
      <c r="H83" s="45" t="str">
        <f aca="false">HYPERLINK("https://photos.app.goo.gl/XZf39XKUPUwU2BXAA", "Completo")</f>
        <v>Completo</v>
      </c>
      <c r="I83" s="21" t="s">
        <v>28</v>
      </c>
      <c r="J83" s="21"/>
      <c r="K83" s="21"/>
      <c r="L83" s="21"/>
      <c r="M83" s="21" t="s">
        <v>2133</v>
      </c>
      <c r="N83" s="30"/>
      <c r="O83" s="21"/>
      <c r="P83" s="21"/>
      <c r="Q83" s="21"/>
      <c r="R83" s="32"/>
      <c r="S83" s="32"/>
      <c r="T83" s="21"/>
      <c r="U83" s="21"/>
      <c r="V83" s="21"/>
      <c r="W83" s="21"/>
      <c r="X83" s="21"/>
      <c r="Y83" s="21" t="s">
        <v>28</v>
      </c>
    </row>
    <row r="84" customFormat="false" ht="15.75" hidden="false" customHeight="false" outlineLevel="0" collapsed="false">
      <c r="A84" s="61" t="n">
        <v>6057</v>
      </c>
      <c r="B84" s="29" t="n">
        <v>44495</v>
      </c>
      <c r="C84" s="21" t="s">
        <v>4061</v>
      </c>
      <c r="D84" s="21" t="s">
        <v>24</v>
      </c>
      <c r="E84" s="21" t="s">
        <v>25</v>
      </c>
      <c r="F84" s="21" t="s">
        <v>4062</v>
      </c>
      <c r="G84" s="30" t="s">
        <v>4063</v>
      </c>
      <c r="H84" s="45" t="str">
        <f aca="false">HYPERLINK("https://photos.app.goo.gl/x9NAG8d4HPYqpkFDA", "Completo")</f>
        <v>Completo</v>
      </c>
      <c r="I84" s="21" t="s">
        <v>28</v>
      </c>
      <c r="J84" s="21"/>
      <c r="K84" s="21"/>
      <c r="L84" s="21"/>
      <c r="M84" s="21" t="s">
        <v>2255</v>
      </c>
      <c r="N84" s="30"/>
      <c r="O84" s="21"/>
      <c r="P84" s="21"/>
      <c r="Q84" s="21"/>
      <c r="R84" s="32"/>
      <c r="S84" s="32"/>
      <c r="T84" s="21"/>
      <c r="U84" s="21"/>
      <c r="V84" s="21"/>
      <c r="W84" s="21"/>
      <c r="X84" s="21"/>
      <c r="Y84" s="21" t="s">
        <v>28</v>
      </c>
    </row>
    <row r="85" customFormat="false" ht="15.75" hidden="false" customHeight="false" outlineLevel="0" collapsed="false">
      <c r="A85" s="61" t="s">
        <v>4064</v>
      </c>
      <c r="B85" s="29" t="n">
        <v>44495</v>
      </c>
      <c r="C85" s="21" t="s">
        <v>4061</v>
      </c>
      <c r="D85" s="21" t="s">
        <v>578</v>
      </c>
      <c r="E85" s="21" t="s">
        <v>25</v>
      </c>
      <c r="F85" s="21" t="s">
        <v>76</v>
      </c>
      <c r="G85" s="30" t="s">
        <v>4065</v>
      </c>
      <c r="H85" s="45" t="str">
        <f aca="false">HYPERLINK("https://photos.app.goo.gl/GQDSAQ9FyRo2ivteA", "Completo")</f>
        <v>Completo</v>
      </c>
      <c r="I85" s="21" t="s">
        <v>28</v>
      </c>
      <c r="J85" s="21"/>
      <c r="K85" s="21"/>
      <c r="L85" s="21"/>
      <c r="M85" s="21" t="s">
        <v>2255</v>
      </c>
      <c r="N85" s="30"/>
      <c r="O85" s="21"/>
      <c r="P85" s="21"/>
      <c r="Q85" s="21"/>
      <c r="R85" s="32"/>
      <c r="S85" s="32"/>
      <c r="T85" s="21"/>
      <c r="U85" s="21"/>
      <c r="V85" s="21"/>
      <c r="W85" s="21"/>
      <c r="X85" s="21"/>
      <c r="Y85" s="21" t="s">
        <v>37</v>
      </c>
    </row>
    <row r="86" customFormat="false" ht="15.75" hidden="false" customHeight="false" outlineLevel="0" collapsed="false">
      <c r="A86" s="61" t="n">
        <v>6058</v>
      </c>
      <c r="B86" s="29" t="n">
        <v>44496</v>
      </c>
      <c r="C86" s="21" t="s">
        <v>593</v>
      </c>
      <c r="D86" s="21" t="s">
        <v>24</v>
      </c>
      <c r="E86" s="21" t="s">
        <v>34</v>
      </c>
      <c r="F86" s="21" t="s">
        <v>4066</v>
      </c>
      <c r="G86" s="30"/>
      <c r="H86" s="31"/>
      <c r="I86" s="21"/>
      <c r="J86" s="21"/>
      <c r="K86" s="21"/>
      <c r="L86" s="21"/>
      <c r="M86" s="21"/>
      <c r="N86" s="30"/>
      <c r="O86" s="21"/>
      <c r="P86" s="21"/>
      <c r="Q86" s="21"/>
      <c r="R86" s="32"/>
      <c r="S86" s="32"/>
      <c r="T86" s="21"/>
      <c r="U86" s="21"/>
      <c r="V86" s="21"/>
      <c r="W86" s="21"/>
      <c r="X86" s="21"/>
      <c r="Y86" s="21" t="s">
        <v>28</v>
      </c>
    </row>
    <row r="87" customFormat="false" ht="15.75" hidden="false" customHeight="false" outlineLevel="0" collapsed="false">
      <c r="A87" s="61" t="n">
        <v>6059</v>
      </c>
      <c r="B87" s="29" t="n">
        <v>44490</v>
      </c>
      <c r="C87" s="21" t="s">
        <v>730</v>
      </c>
      <c r="D87" s="21" t="s">
        <v>24</v>
      </c>
      <c r="E87" s="21" t="s">
        <v>34</v>
      </c>
      <c r="F87" s="21" t="s">
        <v>4067</v>
      </c>
      <c r="G87" s="30"/>
      <c r="H87" s="31"/>
      <c r="I87" s="21"/>
      <c r="J87" s="21"/>
      <c r="K87" s="21"/>
      <c r="L87" s="21"/>
      <c r="M87" s="21"/>
      <c r="N87" s="30"/>
      <c r="O87" s="21"/>
      <c r="P87" s="21"/>
      <c r="Q87" s="21"/>
      <c r="R87" s="32"/>
      <c r="S87" s="32"/>
      <c r="T87" s="21"/>
      <c r="U87" s="21"/>
      <c r="V87" s="21"/>
      <c r="W87" s="21"/>
      <c r="X87" s="21"/>
      <c r="Y87" s="21" t="s">
        <v>28</v>
      </c>
    </row>
    <row r="88" customFormat="false" ht="15.75" hidden="false" customHeight="false" outlineLevel="0" collapsed="false">
      <c r="A88" s="63" t="n">
        <v>1382080</v>
      </c>
      <c r="B88" s="29" t="n">
        <v>44496</v>
      </c>
      <c r="C88" s="21" t="s">
        <v>4068</v>
      </c>
      <c r="D88" s="21" t="s">
        <v>290</v>
      </c>
      <c r="E88" s="21" t="s">
        <v>3337</v>
      </c>
      <c r="F88" s="21" t="s">
        <v>4069</v>
      </c>
      <c r="G88" s="30" t="s">
        <v>4070</v>
      </c>
      <c r="H88" s="45" t="str">
        <f aca="false">HYPERLINK("https://photos.app.goo.gl/8pzqSz1h3T35sj999", "Completo")</f>
        <v>Completo</v>
      </c>
      <c r="I88" s="21" t="s">
        <v>28</v>
      </c>
      <c r="J88" s="21"/>
      <c r="K88" s="21"/>
      <c r="L88" s="21"/>
      <c r="M88" s="21" t="s">
        <v>2255</v>
      </c>
      <c r="N88" s="30"/>
      <c r="O88" s="21"/>
      <c r="P88" s="21"/>
      <c r="Q88" s="21"/>
      <c r="R88" s="32"/>
      <c r="S88" s="32"/>
      <c r="T88" s="21" t="s">
        <v>3337</v>
      </c>
      <c r="U88" s="74" t="s">
        <v>28</v>
      </c>
      <c r="V88" s="21"/>
      <c r="W88" s="74" t="s">
        <v>28</v>
      </c>
      <c r="X88" s="21"/>
      <c r="Y88" s="21" t="s">
        <v>28</v>
      </c>
    </row>
    <row r="89" customFormat="false" ht="15.75" hidden="false" customHeight="false" outlineLevel="0" collapsed="false">
      <c r="A89" s="61" t="n">
        <v>6060</v>
      </c>
      <c r="B89" s="29" t="n">
        <v>44498</v>
      </c>
      <c r="C89" s="21" t="s">
        <v>730</v>
      </c>
      <c r="D89" s="21" t="s">
        <v>24</v>
      </c>
      <c r="E89" s="21" t="s">
        <v>34</v>
      </c>
      <c r="F89" s="21" t="s">
        <v>4071</v>
      </c>
      <c r="G89" s="30"/>
      <c r="H89" s="31"/>
      <c r="I89" s="21"/>
      <c r="J89" s="21"/>
      <c r="K89" s="21"/>
      <c r="L89" s="21"/>
      <c r="M89" s="21" t="s">
        <v>4072</v>
      </c>
      <c r="N89" s="30"/>
      <c r="O89" s="21"/>
      <c r="P89" s="21"/>
      <c r="Q89" s="21"/>
      <c r="R89" s="32"/>
      <c r="S89" s="32"/>
      <c r="T89" s="21"/>
      <c r="U89" s="21"/>
      <c r="V89" s="21"/>
      <c r="W89" s="21"/>
      <c r="X89" s="21"/>
      <c r="Y89" s="21" t="s">
        <v>28</v>
      </c>
    </row>
    <row r="90" customFormat="false" ht="15.75" hidden="false" customHeight="false" outlineLevel="0" collapsed="false">
      <c r="A90" s="76"/>
      <c r="B90" s="29"/>
      <c r="C90" s="21"/>
      <c r="D90" s="21"/>
      <c r="E90" s="21"/>
      <c r="F90" s="21"/>
      <c r="G90" s="30"/>
      <c r="H90" s="31"/>
      <c r="I90" s="21"/>
      <c r="J90" s="21"/>
      <c r="K90" s="21"/>
      <c r="L90" s="21"/>
      <c r="M90" s="21"/>
      <c r="N90" s="30"/>
      <c r="O90" s="21"/>
      <c r="P90" s="21"/>
      <c r="Q90" s="21"/>
      <c r="R90" s="32"/>
      <c r="S90" s="32"/>
      <c r="T90" s="21"/>
      <c r="U90" s="21"/>
      <c r="V90" s="21"/>
      <c r="W90" s="21"/>
      <c r="X90" s="21"/>
      <c r="Y90" s="21"/>
    </row>
    <row r="91" customFormat="false" ht="15.75" hidden="false" customHeight="false" outlineLevel="0" collapsed="false">
      <c r="A91" s="61"/>
      <c r="B91" s="29"/>
      <c r="C91" s="21"/>
      <c r="D91" s="21"/>
      <c r="E91" s="21"/>
      <c r="F91" s="21"/>
      <c r="G91" s="30"/>
      <c r="H91" s="31"/>
      <c r="I91" s="21"/>
      <c r="J91" s="21"/>
      <c r="K91" s="21"/>
      <c r="L91" s="21"/>
      <c r="M91" s="21"/>
      <c r="N91" s="30"/>
      <c r="O91" s="21"/>
      <c r="P91" s="21"/>
      <c r="Q91" s="21"/>
      <c r="R91" s="32"/>
      <c r="S91" s="32"/>
      <c r="T91" s="21"/>
      <c r="U91" s="21"/>
      <c r="V91" s="21"/>
      <c r="W91" s="21"/>
      <c r="X91" s="21"/>
      <c r="Y91" s="21"/>
    </row>
    <row r="92" customFormat="false" ht="15.75" hidden="false" customHeight="false" outlineLevel="0" collapsed="false">
      <c r="A92" s="61"/>
      <c r="B92" s="29"/>
      <c r="C92" s="21"/>
      <c r="D92" s="21"/>
      <c r="E92" s="21"/>
      <c r="F92" s="21"/>
      <c r="G92" s="30"/>
      <c r="H92" s="31"/>
      <c r="I92" s="21"/>
      <c r="J92" s="21"/>
      <c r="K92" s="21"/>
      <c r="L92" s="21"/>
      <c r="M92" s="21"/>
      <c r="N92" s="30"/>
      <c r="O92" s="21"/>
      <c r="P92" s="21"/>
      <c r="Q92" s="21"/>
      <c r="R92" s="32"/>
      <c r="S92" s="32"/>
      <c r="T92" s="21"/>
      <c r="U92" s="21"/>
      <c r="V92" s="21"/>
      <c r="W92" s="21"/>
      <c r="X92" s="21"/>
      <c r="Y92" s="21"/>
    </row>
    <row r="93" customFormat="false" ht="15.75" hidden="false" customHeight="false" outlineLevel="0" collapsed="false">
      <c r="A93" s="61"/>
      <c r="B93" s="29"/>
      <c r="C93" s="21"/>
      <c r="D93" s="21"/>
      <c r="E93" s="21"/>
      <c r="F93" s="21"/>
      <c r="G93" s="30"/>
      <c r="H93" s="31"/>
      <c r="I93" s="21"/>
      <c r="J93" s="21"/>
      <c r="K93" s="21"/>
      <c r="L93" s="21"/>
      <c r="M93" s="21"/>
      <c r="N93" s="30"/>
      <c r="O93" s="21"/>
      <c r="P93" s="21"/>
      <c r="Q93" s="21"/>
      <c r="R93" s="32"/>
      <c r="S93" s="32"/>
      <c r="T93" s="21"/>
      <c r="U93" s="21"/>
      <c r="V93" s="21"/>
      <c r="W93" s="21"/>
      <c r="X93" s="21"/>
      <c r="Y93" s="21"/>
    </row>
    <row r="94" customFormat="false" ht="15.75" hidden="false" customHeight="false" outlineLevel="0" collapsed="false">
      <c r="A94" s="61"/>
      <c r="B94" s="29"/>
      <c r="C94" s="21"/>
      <c r="D94" s="21"/>
      <c r="E94" s="21"/>
      <c r="F94" s="21"/>
      <c r="G94" s="30"/>
      <c r="H94" s="31"/>
      <c r="I94" s="21"/>
      <c r="J94" s="21"/>
      <c r="K94" s="21"/>
      <c r="L94" s="21"/>
      <c r="M94" s="21"/>
      <c r="N94" s="30"/>
      <c r="O94" s="21"/>
      <c r="P94" s="21"/>
      <c r="Q94" s="21"/>
      <c r="R94" s="32"/>
      <c r="S94" s="32"/>
      <c r="T94" s="21"/>
      <c r="U94" s="21"/>
      <c r="V94" s="21"/>
      <c r="W94" s="21"/>
      <c r="X94" s="21"/>
      <c r="Y94" s="21"/>
    </row>
    <row r="95" customFormat="false" ht="15.75" hidden="false" customHeight="false" outlineLevel="0" collapsed="false">
      <c r="A95" s="61"/>
      <c r="B95" s="29"/>
      <c r="C95" s="21"/>
      <c r="D95" s="21"/>
      <c r="E95" s="21"/>
      <c r="F95" s="21"/>
      <c r="G95" s="30"/>
      <c r="H95" s="31"/>
      <c r="I95" s="21"/>
      <c r="J95" s="21"/>
      <c r="K95" s="21"/>
      <c r="L95" s="21"/>
      <c r="M95" s="21"/>
      <c r="N95" s="30"/>
      <c r="O95" s="21"/>
      <c r="P95" s="21"/>
      <c r="Q95" s="21"/>
      <c r="R95" s="32"/>
      <c r="S95" s="32"/>
      <c r="T95" s="21"/>
      <c r="U95" s="21"/>
      <c r="V95" s="21"/>
      <c r="W95" s="21"/>
      <c r="X95" s="21"/>
      <c r="Y95" s="21"/>
    </row>
    <row r="96" customFormat="false" ht="15.75" hidden="false" customHeight="false" outlineLevel="0" collapsed="false">
      <c r="A96" s="61"/>
      <c r="B96" s="29"/>
      <c r="C96" s="21"/>
      <c r="D96" s="21"/>
      <c r="E96" s="21"/>
      <c r="F96" s="21"/>
      <c r="G96" s="30"/>
      <c r="H96" s="31"/>
      <c r="I96" s="21"/>
      <c r="J96" s="21"/>
      <c r="K96" s="21"/>
      <c r="L96" s="21"/>
      <c r="M96" s="21"/>
      <c r="N96" s="30"/>
      <c r="O96" s="21"/>
      <c r="P96" s="21"/>
      <c r="Q96" s="21"/>
      <c r="R96" s="32"/>
      <c r="S96" s="32"/>
      <c r="T96" s="21"/>
      <c r="U96" s="21"/>
      <c r="V96" s="21"/>
      <c r="W96" s="21"/>
      <c r="X96" s="21"/>
      <c r="Y96" s="21"/>
    </row>
    <row r="97" customFormat="false" ht="15.75" hidden="false" customHeight="false" outlineLevel="0" collapsed="false">
      <c r="A97" s="61"/>
      <c r="B97" s="29"/>
      <c r="C97" s="21"/>
      <c r="D97" s="21"/>
      <c r="E97" s="21"/>
      <c r="F97" s="21"/>
      <c r="G97" s="30"/>
      <c r="H97" s="31"/>
      <c r="I97" s="21"/>
      <c r="J97" s="21"/>
      <c r="K97" s="21"/>
      <c r="L97" s="21"/>
      <c r="M97" s="21"/>
      <c r="N97" s="30"/>
      <c r="O97" s="21"/>
      <c r="P97" s="21"/>
      <c r="Q97" s="21"/>
      <c r="R97" s="32"/>
      <c r="S97" s="32"/>
      <c r="T97" s="21"/>
      <c r="U97" s="21"/>
      <c r="V97" s="21"/>
      <c r="W97" s="21"/>
      <c r="X97" s="21"/>
      <c r="Y97" s="21"/>
    </row>
    <row r="98" customFormat="false" ht="15.75" hidden="false" customHeight="false" outlineLevel="0" collapsed="false">
      <c r="A98" s="61"/>
      <c r="B98" s="29"/>
      <c r="C98" s="21"/>
      <c r="D98" s="21"/>
      <c r="E98" s="21"/>
      <c r="F98" s="21"/>
      <c r="G98" s="30"/>
      <c r="H98" s="31"/>
      <c r="I98" s="21"/>
      <c r="J98" s="21"/>
      <c r="K98" s="21"/>
      <c r="L98" s="21"/>
      <c r="M98" s="21"/>
      <c r="N98" s="30"/>
      <c r="O98" s="21"/>
      <c r="P98" s="21"/>
      <c r="Q98" s="21"/>
      <c r="R98" s="32"/>
      <c r="S98" s="32"/>
      <c r="T98" s="21"/>
      <c r="U98" s="21"/>
      <c r="V98" s="21"/>
      <c r="W98" s="21"/>
      <c r="X98" s="21"/>
      <c r="Y98" s="21"/>
    </row>
    <row r="99" customFormat="false" ht="15.75" hidden="false" customHeight="false" outlineLevel="0" collapsed="false">
      <c r="A99" s="61"/>
      <c r="B99" s="29"/>
      <c r="C99" s="21"/>
      <c r="D99" s="21"/>
      <c r="E99" s="21"/>
      <c r="F99" s="21"/>
      <c r="G99" s="30"/>
      <c r="H99" s="31"/>
      <c r="I99" s="21"/>
      <c r="J99" s="21"/>
      <c r="K99" s="21"/>
      <c r="L99" s="21"/>
      <c r="M99" s="21"/>
      <c r="N99" s="30"/>
      <c r="O99" s="21"/>
      <c r="P99" s="21"/>
      <c r="Q99" s="21"/>
      <c r="R99" s="32"/>
      <c r="S99" s="32"/>
      <c r="T99" s="21"/>
      <c r="U99" s="21"/>
      <c r="V99" s="21"/>
      <c r="W99" s="21"/>
      <c r="X99" s="21"/>
      <c r="Y99" s="21"/>
    </row>
    <row r="100" customFormat="false" ht="15.75" hidden="false" customHeight="false" outlineLevel="0" collapsed="false">
      <c r="A100" s="61"/>
      <c r="B100" s="29"/>
      <c r="C100" s="21"/>
      <c r="D100" s="21"/>
      <c r="E100" s="21"/>
      <c r="F100" s="21"/>
      <c r="G100" s="30"/>
      <c r="H100" s="31"/>
      <c r="I100" s="21"/>
      <c r="J100" s="21"/>
      <c r="K100" s="21"/>
      <c r="L100" s="21"/>
      <c r="M100" s="21"/>
      <c r="N100" s="30"/>
      <c r="O100" s="21"/>
      <c r="P100" s="21"/>
      <c r="Q100" s="21"/>
      <c r="R100" s="32"/>
      <c r="S100" s="32"/>
      <c r="T100" s="21"/>
      <c r="U100" s="21"/>
      <c r="V100" s="21"/>
      <c r="W100" s="21"/>
      <c r="X100" s="21"/>
      <c r="Y100" s="21"/>
    </row>
    <row r="101" customFormat="false" ht="15.75" hidden="false" customHeight="false" outlineLevel="0" collapsed="false">
      <c r="A101" s="61"/>
      <c r="B101" s="29"/>
      <c r="C101" s="21"/>
      <c r="D101" s="21"/>
      <c r="E101" s="21"/>
      <c r="F101" s="21"/>
      <c r="G101" s="30"/>
      <c r="H101" s="31"/>
      <c r="I101" s="21"/>
      <c r="J101" s="21"/>
      <c r="K101" s="21"/>
      <c r="L101" s="21"/>
      <c r="M101" s="21"/>
      <c r="N101" s="30"/>
      <c r="O101" s="21"/>
      <c r="P101" s="21"/>
      <c r="Q101" s="21"/>
      <c r="R101" s="32"/>
      <c r="S101" s="32"/>
      <c r="T101" s="21"/>
      <c r="U101" s="21"/>
      <c r="V101" s="21"/>
      <c r="W101" s="21"/>
      <c r="X101" s="21"/>
      <c r="Y101" s="21"/>
    </row>
    <row r="102" customFormat="false" ht="15.75" hidden="false" customHeight="false" outlineLevel="0" collapsed="false">
      <c r="A102" s="61"/>
      <c r="B102" s="29"/>
      <c r="C102" s="21"/>
      <c r="D102" s="21"/>
      <c r="E102" s="21"/>
      <c r="F102" s="21"/>
      <c r="G102" s="30"/>
      <c r="H102" s="31"/>
      <c r="I102" s="21"/>
      <c r="J102" s="21"/>
      <c r="K102" s="21"/>
      <c r="L102" s="21"/>
      <c r="M102" s="21"/>
      <c r="N102" s="30"/>
      <c r="O102" s="21"/>
      <c r="P102" s="21"/>
      <c r="Q102" s="21"/>
      <c r="R102" s="32"/>
      <c r="S102" s="32"/>
      <c r="T102" s="21"/>
      <c r="U102" s="21"/>
      <c r="V102" s="21"/>
      <c r="W102" s="21"/>
      <c r="X102" s="21"/>
      <c r="Y102" s="21"/>
    </row>
    <row r="103" customFormat="false" ht="15.75" hidden="false" customHeight="false" outlineLevel="0" collapsed="false">
      <c r="A103" s="61"/>
      <c r="B103" s="29"/>
      <c r="C103" s="21"/>
      <c r="D103" s="21"/>
      <c r="E103" s="21"/>
      <c r="F103" s="21"/>
      <c r="G103" s="30"/>
      <c r="H103" s="31"/>
      <c r="I103" s="21"/>
      <c r="J103" s="21"/>
      <c r="K103" s="21"/>
      <c r="L103" s="21"/>
      <c r="M103" s="21"/>
      <c r="N103" s="30"/>
      <c r="O103" s="21"/>
      <c r="P103" s="21"/>
      <c r="Q103" s="21"/>
      <c r="R103" s="32"/>
      <c r="S103" s="32"/>
      <c r="T103" s="21"/>
      <c r="U103" s="21"/>
      <c r="V103" s="21"/>
      <c r="W103" s="21"/>
      <c r="X103" s="21"/>
      <c r="Y103" s="21"/>
    </row>
    <row r="104" customFormat="false" ht="15.75" hidden="false" customHeight="false" outlineLevel="0" collapsed="false">
      <c r="A104" s="61"/>
      <c r="B104" s="29"/>
      <c r="C104" s="21"/>
      <c r="D104" s="21"/>
      <c r="E104" s="21"/>
      <c r="F104" s="21"/>
      <c r="G104" s="30"/>
      <c r="H104" s="31"/>
      <c r="I104" s="21"/>
      <c r="J104" s="21"/>
      <c r="K104" s="21"/>
      <c r="L104" s="21"/>
      <c r="M104" s="21"/>
      <c r="N104" s="30"/>
      <c r="O104" s="21"/>
      <c r="P104" s="21"/>
      <c r="Q104" s="21"/>
      <c r="R104" s="32"/>
      <c r="S104" s="32"/>
      <c r="T104" s="21"/>
      <c r="U104" s="21"/>
      <c r="V104" s="21"/>
      <c r="W104" s="21"/>
      <c r="X104" s="21"/>
      <c r="Y104" s="21"/>
    </row>
    <row r="105" customFormat="false" ht="15.75" hidden="false" customHeight="false" outlineLevel="0" collapsed="false">
      <c r="A105" s="61"/>
      <c r="B105" s="29"/>
      <c r="C105" s="21"/>
      <c r="D105" s="21"/>
      <c r="E105" s="21"/>
      <c r="F105" s="21"/>
      <c r="G105" s="30"/>
      <c r="H105" s="31"/>
      <c r="I105" s="21"/>
      <c r="J105" s="21"/>
      <c r="K105" s="21"/>
      <c r="L105" s="21"/>
      <c r="M105" s="21"/>
      <c r="N105" s="30"/>
      <c r="O105" s="21"/>
      <c r="P105" s="21"/>
      <c r="Q105" s="21"/>
      <c r="R105" s="32"/>
      <c r="S105" s="32"/>
      <c r="T105" s="21"/>
      <c r="U105" s="21"/>
      <c r="V105" s="21"/>
      <c r="W105" s="21"/>
      <c r="X105" s="21"/>
      <c r="Y105" s="21"/>
    </row>
    <row r="106" customFormat="false" ht="15.75" hidden="false" customHeight="false" outlineLevel="0" collapsed="false">
      <c r="A106" s="61"/>
      <c r="B106" s="29"/>
      <c r="C106" s="21"/>
      <c r="D106" s="21"/>
      <c r="E106" s="21"/>
      <c r="F106" s="21"/>
      <c r="G106" s="30"/>
      <c r="H106" s="31"/>
      <c r="I106" s="21"/>
      <c r="J106" s="21"/>
      <c r="K106" s="21"/>
      <c r="L106" s="21"/>
      <c r="M106" s="21"/>
      <c r="N106" s="30"/>
      <c r="O106" s="21"/>
      <c r="P106" s="21"/>
      <c r="Q106" s="21"/>
      <c r="R106" s="32"/>
      <c r="S106" s="32"/>
      <c r="T106" s="21"/>
      <c r="U106" s="21"/>
      <c r="V106" s="21"/>
      <c r="W106" s="21"/>
      <c r="X106" s="21"/>
      <c r="Y106" s="21"/>
    </row>
    <row r="107" customFormat="false" ht="15.75" hidden="false" customHeight="false" outlineLevel="0" collapsed="false">
      <c r="A107" s="61"/>
      <c r="B107" s="29"/>
      <c r="C107" s="21"/>
      <c r="D107" s="21"/>
      <c r="E107" s="21"/>
      <c r="F107" s="21"/>
      <c r="G107" s="30"/>
      <c r="H107" s="31"/>
      <c r="I107" s="21"/>
      <c r="J107" s="21"/>
      <c r="K107" s="21"/>
      <c r="L107" s="21"/>
      <c r="M107" s="21"/>
      <c r="N107" s="30"/>
      <c r="O107" s="21"/>
      <c r="P107" s="21"/>
      <c r="Q107" s="21"/>
      <c r="R107" s="32"/>
      <c r="S107" s="32"/>
      <c r="T107" s="21"/>
      <c r="U107" s="21"/>
      <c r="V107" s="21"/>
      <c r="W107" s="21"/>
      <c r="X107" s="21"/>
      <c r="Y107" s="21"/>
    </row>
    <row r="108" customFormat="false" ht="15.75" hidden="false" customHeight="false" outlineLevel="0" collapsed="false">
      <c r="A108" s="61"/>
      <c r="B108" s="29"/>
      <c r="C108" s="21"/>
      <c r="D108" s="21"/>
      <c r="E108" s="21"/>
      <c r="F108" s="21"/>
      <c r="G108" s="30"/>
      <c r="H108" s="31"/>
      <c r="I108" s="21"/>
      <c r="J108" s="21"/>
      <c r="K108" s="21"/>
      <c r="L108" s="21"/>
      <c r="M108" s="21"/>
      <c r="N108" s="30"/>
      <c r="O108" s="21"/>
      <c r="P108" s="21"/>
      <c r="Q108" s="21"/>
      <c r="R108" s="32"/>
      <c r="S108" s="32"/>
      <c r="T108" s="21"/>
      <c r="U108" s="21"/>
      <c r="V108" s="21"/>
      <c r="W108" s="21"/>
      <c r="X108" s="21"/>
      <c r="Y108" s="21"/>
    </row>
    <row r="109" customFormat="false" ht="15.75" hidden="false" customHeight="false" outlineLevel="0" collapsed="false">
      <c r="A109" s="61"/>
      <c r="B109" s="29"/>
      <c r="C109" s="21"/>
      <c r="D109" s="21"/>
      <c r="E109" s="21"/>
      <c r="F109" s="21"/>
      <c r="G109" s="30"/>
      <c r="H109" s="31"/>
      <c r="I109" s="21"/>
      <c r="J109" s="21"/>
      <c r="K109" s="21"/>
      <c r="L109" s="21"/>
      <c r="M109" s="21"/>
      <c r="N109" s="30"/>
      <c r="O109" s="21"/>
      <c r="P109" s="21"/>
      <c r="Q109" s="21"/>
      <c r="R109" s="32"/>
      <c r="S109" s="32"/>
      <c r="T109" s="21"/>
      <c r="U109" s="21"/>
      <c r="V109" s="21"/>
      <c r="W109" s="21"/>
      <c r="X109" s="21"/>
      <c r="Y109" s="21"/>
    </row>
    <row r="110" customFormat="false" ht="15.75" hidden="false" customHeight="false" outlineLevel="0" collapsed="false">
      <c r="A110" s="61"/>
      <c r="B110" s="29"/>
      <c r="C110" s="21"/>
      <c r="D110" s="21"/>
      <c r="E110" s="21"/>
      <c r="F110" s="21"/>
      <c r="G110" s="30"/>
      <c r="H110" s="31"/>
      <c r="I110" s="21"/>
      <c r="J110" s="21"/>
      <c r="K110" s="21"/>
      <c r="L110" s="21"/>
      <c r="M110" s="21"/>
      <c r="N110" s="30"/>
      <c r="O110" s="21"/>
      <c r="P110" s="21"/>
      <c r="Q110" s="21"/>
      <c r="R110" s="32"/>
      <c r="S110" s="32"/>
      <c r="T110" s="21"/>
      <c r="U110" s="21"/>
      <c r="V110" s="21"/>
      <c r="W110" s="21"/>
      <c r="X110" s="21"/>
      <c r="Y110" s="21"/>
    </row>
    <row r="111" customFormat="false" ht="15.75" hidden="false" customHeight="false" outlineLevel="0" collapsed="false">
      <c r="A111" s="61"/>
      <c r="B111" s="29"/>
      <c r="C111" s="21"/>
      <c r="D111" s="21"/>
      <c r="E111" s="21"/>
      <c r="F111" s="21"/>
      <c r="G111" s="30"/>
      <c r="H111" s="31"/>
      <c r="I111" s="21"/>
      <c r="J111" s="21"/>
      <c r="K111" s="21"/>
      <c r="L111" s="21"/>
      <c r="M111" s="21"/>
      <c r="N111" s="30"/>
      <c r="O111" s="21"/>
      <c r="P111" s="21"/>
      <c r="Q111" s="21"/>
      <c r="R111" s="32"/>
      <c r="S111" s="32"/>
      <c r="T111" s="21"/>
      <c r="U111" s="21"/>
      <c r="V111" s="21"/>
      <c r="W111" s="21"/>
      <c r="X111" s="21"/>
      <c r="Y111" s="21"/>
    </row>
    <row r="112" customFormat="false" ht="15.75" hidden="false" customHeight="false" outlineLevel="0" collapsed="false">
      <c r="A112" s="61"/>
      <c r="B112" s="29"/>
      <c r="C112" s="21"/>
      <c r="D112" s="21"/>
      <c r="E112" s="21"/>
      <c r="F112" s="21"/>
      <c r="G112" s="30"/>
      <c r="H112" s="31"/>
      <c r="I112" s="21"/>
      <c r="J112" s="21"/>
      <c r="K112" s="21"/>
      <c r="L112" s="21"/>
      <c r="M112" s="21"/>
      <c r="N112" s="30"/>
      <c r="O112" s="21"/>
      <c r="P112" s="21"/>
      <c r="Q112" s="21"/>
      <c r="R112" s="32"/>
      <c r="S112" s="32"/>
      <c r="T112" s="21"/>
      <c r="U112" s="21"/>
      <c r="V112" s="21"/>
      <c r="W112" s="21"/>
      <c r="X112" s="21"/>
      <c r="Y112" s="21"/>
    </row>
    <row r="113" customFormat="false" ht="15.75" hidden="false" customHeight="false" outlineLevel="0" collapsed="false">
      <c r="A113" s="61"/>
      <c r="B113" s="29"/>
      <c r="C113" s="21"/>
      <c r="D113" s="21"/>
      <c r="E113" s="21"/>
      <c r="F113" s="21"/>
      <c r="G113" s="30"/>
      <c r="H113" s="31"/>
      <c r="I113" s="21"/>
      <c r="J113" s="21"/>
      <c r="K113" s="21"/>
      <c r="L113" s="21"/>
      <c r="M113" s="21"/>
      <c r="N113" s="30"/>
      <c r="O113" s="21"/>
      <c r="P113" s="21"/>
      <c r="Q113" s="21"/>
      <c r="R113" s="32"/>
      <c r="S113" s="32"/>
      <c r="T113" s="21"/>
      <c r="U113" s="21"/>
      <c r="V113" s="21"/>
      <c r="W113" s="21"/>
      <c r="X113" s="21"/>
      <c r="Y113" s="21"/>
    </row>
    <row r="114" customFormat="false" ht="15.75" hidden="false" customHeight="false" outlineLevel="0" collapsed="false">
      <c r="A114" s="61"/>
      <c r="B114" s="29"/>
      <c r="C114" s="21"/>
      <c r="D114" s="21"/>
      <c r="E114" s="21"/>
      <c r="F114" s="21"/>
      <c r="G114" s="30"/>
      <c r="H114" s="31"/>
      <c r="I114" s="21"/>
      <c r="J114" s="21"/>
      <c r="K114" s="21"/>
      <c r="L114" s="21"/>
      <c r="M114" s="21"/>
      <c r="N114" s="30"/>
      <c r="O114" s="21"/>
      <c r="P114" s="21"/>
      <c r="Q114" s="21"/>
      <c r="R114" s="32"/>
      <c r="S114" s="32"/>
      <c r="T114" s="21"/>
      <c r="U114" s="21"/>
      <c r="V114" s="21"/>
      <c r="W114" s="21"/>
      <c r="X114" s="21"/>
      <c r="Y114" s="21"/>
    </row>
    <row r="115" customFormat="false" ht="15.75" hidden="false" customHeight="false" outlineLevel="0" collapsed="false">
      <c r="A115" s="61"/>
      <c r="B115" s="29"/>
      <c r="C115" s="21"/>
      <c r="D115" s="21"/>
      <c r="E115" s="21"/>
      <c r="F115" s="21"/>
      <c r="G115" s="30"/>
      <c r="H115" s="31"/>
      <c r="I115" s="21"/>
      <c r="J115" s="21"/>
      <c r="K115" s="21"/>
      <c r="L115" s="21"/>
      <c r="M115" s="21"/>
      <c r="N115" s="30"/>
      <c r="O115" s="21"/>
      <c r="P115" s="21"/>
      <c r="Q115" s="21"/>
      <c r="R115" s="32"/>
      <c r="S115" s="32"/>
      <c r="T115" s="21"/>
      <c r="U115" s="21"/>
      <c r="V115" s="21"/>
      <c r="W115" s="21"/>
      <c r="X115" s="21"/>
      <c r="Y115" s="21"/>
    </row>
    <row r="116" customFormat="false" ht="15.75" hidden="false" customHeight="false" outlineLevel="0" collapsed="false">
      <c r="A116" s="61"/>
      <c r="B116" s="29"/>
      <c r="C116" s="21"/>
      <c r="D116" s="21"/>
      <c r="E116" s="21"/>
      <c r="F116" s="21"/>
      <c r="G116" s="30"/>
      <c r="H116" s="31"/>
      <c r="I116" s="21"/>
      <c r="J116" s="21"/>
      <c r="K116" s="21"/>
      <c r="L116" s="21"/>
      <c r="M116" s="21"/>
      <c r="N116" s="30"/>
      <c r="O116" s="21"/>
      <c r="P116" s="21"/>
      <c r="Q116" s="21"/>
      <c r="R116" s="32"/>
      <c r="S116" s="32"/>
      <c r="T116" s="21"/>
      <c r="U116" s="21"/>
      <c r="V116" s="21"/>
      <c r="W116" s="21"/>
      <c r="X116" s="21"/>
      <c r="Y116" s="21"/>
    </row>
    <row r="117" customFormat="false" ht="15.75" hidden="false" customHeight="false" outlineLevel="0" collapsed="false">
      <c r="A117" s="61"/>
      <c r="B117" s="29"/>
      <c r="C117" s="21"/>
      <c r="D117" s="21"/>
      <c r="E117" s="21"/>
      <c r="F117" s="21"/>
      <c r="G117" s="30"/>
      <c r="H117" s="31"/>
      <c r="I117" s="21"/>
      <c r="J117" s="21"/>
      <c r="K117" s="21"/>
      <c r="L117" s="21"/>
      <c r="M117" s="21"/>
      <c r="N117" s="30"/>
      <c r="O117" s="21"/>
      <c r="P117" s="21"/>
      <c r="Q117" s="21"/>
      <c r="R117" s="32"/>
      <c r="S117" s="32"/>
      <c r="T117" s="21"/>
      <c r="U117" s="21"/>
      <c r="V117" s="21"/>
      <c r="W117" s="21"/>
      <c r="X117" s="21"/>
      <c r="Y117" s="21"/>
    </row>
    <row r="118" customFormat="false" ht="15.75" hidden="false" customHeight="false" outlineLevel="0" collapsed="false">
      <c r="A118" s="61"/>
      <c r="B118" s="29"/>
      <c r="C118" s="21"/>
      <c r="D118" s="21"/>
      <c r="E118" s="21"/>
      <c r="F118" s="21"/>
      <c r="G118" s="30"/>
      <c r="H118" s="31"/>
      <c r="I118" s="21"/>
      <c r="J118" s="21"/>
      <c r="K118" s="21"/>
      <c r="L118" s="21"/>
      <c r="M118" s="21"/>
      <c r="N118" s="30"/>
      <c r="O118" s="21"/>
      <c r="P118" s="21"/>
      <c r="Q118" s="21"/>
      <c r="R118" s="32"/>
      <c r="S118" s="32"/>
      <c r="T118" s="21"/>
      <c r="U118" s="21"/>
      <c r="V118" s="21"/>
      <c r="W118" s="21"/>
      <c r="X118" s="21"/>
      <c r="Y118" s="21"/>
    </row>
    <row r="119" customFormat="false" ht="15.75" hidden="false" customHeight="false" outlineLevel="0" collapsed="false">
      <c r="A119" s="61"/>
      <c r="B119" s="29"/>
      <c r="C119" s="21"/>
      <c r="D119" s="21"/>
      <c r="E119" s="21"/>
      <c r="F119" s="21"/>
      <c r="G119" s="30"/>
      <c r="H119" s="31"/>
      <c r="I119" s="21"/>
      <c r="J119" s="21"/>
      <c r="K119" s="21"/>
      <c r="L119" s="21"/>
      <c r="M119" s="21"/>
      <c r="N119" s="30"/>
      <c r="O119" s="21"/>
      <c r="P119" s="21"/>
      <c r="Q119" s="21"/>
      <c r="R119" s="32"/>
      <c r="S119" s="32"/>
      <c r="T119" s="21"/>
      <c r="U119" s="21"/>
      <c r="V119" s="21"/>
      <c r="W119" s="21"/>
      <c r="X119" s="21"/>
      <c r="Y119" s="21"/>
    </row>
    <row r="120" customFormat="false" ht="15.75" hidden="false" customHeight="false" outlineLevel="0" collapsed="false">
      <c r="A120" s="61"/>
      <c r="B120" s="29"/>
      <c r="C120" s="21"/>
      <c r="D120" s="21"/>
      <c r="E120" s="21"/>
      <c r="F120" s="21"/>
      <c r="G120" s="30"/>
      <c r="H120" s="31"/>
      <c r="I120" s="21"/>
      <c r="J120" s="21"/>
      <c r="K120" s="21"/>
      <c r="L120" s="21"/>
      <c r="M120" s="21"/>
      <c r="N120" s="30"/>
      <c r="O120" s="21"/>
      <c r="P120" s="21"/>
      <c r="Q120" s="21"/>
      <c r="R120" s="32"/>
      <c r="S120" s="32"/>
      <c r="T120" s="21"/>
      <c r="U120" s="21"/>
      <c r="V120" s="21"/>
      <c r="W120" s="21"/>
      <c r="X120" s="21"/>
      <c r="Y120" s="21"/>
    </row>
    <row r="121" customFormat="false" ht="15.75" hidden="false" customHeight="false" outlineLevel="0" collapsed="false">
      <c r="A121" s="61"/>
      <c r="B121" s="29"/>
      <c r="C121" s="21"/>
      <c r="D121" s="21"/>
      <c r="E121" s="21"/>
      <c r="F121" s="21"/>
      <c r="G121" s="30"/>
      <c r="H121" s="31"/>
      <c r="I121" s="21"/>
      <c r="J121" s="21"/>
      <c r="K121" s="21"/>
      <c r="L121" s="21"/>
      <c r="M121" s="21"/>
      <c r="N121" s="30"/>
      <c r="O121" s="21"/>
      <c r="P121" s="21"/>
      <c r="Q121" s="21"/>
      <c r="R121" s="32"/>
      <c r="S121" s="32"/>
      <c r="T121" s="21"/>
      <c r="U121" s="21"/>
      <c r="V121" s="21"/>
      <c r="W121" s="21"/>
      <c r="X121" s="21"/>
      <c r="Y121" s="21"/>
    </row>
    <row r="122" customFormat="false" ht="15.75" hidden="false" customHeight="false" outlineLevel="0" collapsed="false">
      <c r="A122" s="61"/>
      <c r="B122" s="29"/>
      <c r="C122" s="21"/>
      <c r="D122" s="21"/>
      <c r="E122" s="21"/>
      <c r="F122" s="21"/>
      <c r="G122" s="30"/>
      <c r="H122" s="31"/>
      <c r="I122" s="21"/>
      <c r="J122" s="21"/>
      <c r="K122" s="21"/>
      <c r="L122" s="21"/>
      <c r="M122" s="21"/>
      <c r="N122" s="30"/>
      <c r="O122" s="21"/>
      <c r="P122" s="21"/>
      <c r="Q122" s="21"/>
      <c r="R122" s="32"/>
      <c r="S122" s="32"/>
      <c r="T122" s="21"/>
      <c r="U122" s="21"/>
      <c r="V122" s="21"/>
      <c r="W122" s="21"/>
      <c r="X122" s="21"/>
      <c r="Y122" s="21"/>
    </row>
    <row r="123" customFormat="false" ht="15.75" hidden="false" customHeight="false" outlineLevel="0" collapsed="false">
      <c r="A123" s="61"/>
      <c r="B123" s="29"/>
      <c r="C123" s="21"/>
      <c r="D123" s="21"/>
      <c r="E123" s="21"/>
      <c r="F123" s="21"/>
      <c r="G123" s="30"/>
      <c r="H123" s="31"/>
      <c r="I123" s="21"/>
      <c r="J123" s="21"/>
      <c r="K123" s="21"/>
      <c r="L123" s="21"/>
      <c r="M123" s="21"/>
      <c r="N123" s="30"/>
      <c r="O123" s="21"/>
      <c r="P123" s="21"/>
      <c r="Q123" s="21"/>
      <c r="R123" s="32"/>
      <c r="S123" s="32"/>
      <c r="T123" s="21"/>
      <c r="U123" s="21"/>
      <c r="V123" s="21"/>
      <c r="W123" s="21"/>
      <c r="X123" s="21"/>
      <c r="Y123" s="21"/>
    </row>
    <row r="124" customFormat="false" ht="15.75" hidden="false" customHeight="false" outlineLevel="0" collapsed="false">
      <c r="A124" s="61"/>
      <c r="B124" s="29"/>
      <c r="C124" s="21"/>
      <c r="D124" s="21"/>
      <c r="E124" s="21"/>
      <c r="F124" s="21"/>
      <c r="G124" s="30"/>
      <c r="H124" s="31"/>
      <c r="I124" s="21"/>
      <c r="J124" s="21"/>
      <c r="K124" s="21"/>
      <c r="L124" s="21"/>
      <c r="M124" s="21"/>
      <c r="N124" s="30"/>
      <c r="O124" s="21"/>
      <c r="P124" s="21"/>
      <c r="Q124" s="21"/>
      <c r="R124" s="32"/>
      <c r="S124" s="32"/>
      <c r="T124" s="21"/>
      <c r="U124" s="21"/>
      <c r="V124" s="21"/>
      <c r="W124" s="21"/>
      <c r="X124" s="21"/>
      <c r="Y124" s="21"/>
    </row>
    <row r="125" customFormat="false" ht="15.75" hidden="false" customHeight="false" outlineLevel="0" collapsed="false">
      <c r="A125" s="61"/>
      <c r="B125" s="29"/>
      <c r="C125" s="21"/>
      <c r="D125" s="21"/>
      <c r="E125" s="21"/>
      <c r="F125" s="21"/>
      <c r="G125" s="30"/>
      <c r="H125" s="31"/>
      <c r="I125" s="21"/>
      <c r="J125" s="21"/>
      <c r="K125" s="21"/>
      <c r="L125" s="21"/>
      <c r="M125" s="21"/>
      <c r="N125" s="30"/>
      <c r="O125" s="21"/>
      <c r="P125" s="21"/>
      <c r="Q125" s="21"/>
      <c r="R125" s="32"/>
      <c r="S125" s="32"/>
      <c r="T125" s="21"/>
      <c r="U125" s="21"/>
      <c r="V125" s="21"/>
      <c r="W125" s="21"/>
      <c r="X125" s="21"/>
      <c r="Y125" s="21"/>
    </row>
    <row r="126" customFormat="false" ht="15.75" hidden="false" customHeight="false" outlineLevel="0" collapsed="false">
      <c r="A126" s="61"/>
      <c r="B126" s="29"/>
      <c r="C126" s="21"/>
      <c r="D126" s="21"/>
      <c r="E126" s="21"/>
      <c r="F126" s="21"/>
      <c r="G126" s="30"/>
      <c r="H126" s="31"/>
      <c r="I126" s="21"/>
      <c r="J126" s="21"/>
      <c r="K126" s="21"/>
      <c r="L126" s="21"/>
      <c r="M126" s="21"/>
      <c r="N126" s="30"/>
      <c r="O126" s="21"/>
      <c r="P126" s="21"/>
      <c r="Q126" s="21"/>
      <c r="R126" s="32"/>
      <c r="S126" s="32"/>
      <c r="T126" s="21"/>
      <c r="U126" s="21"/>
      <c r="V126" s="21"/>
      <c r="W126" s="21"/>
      <c r="X126" s="21"/>
      <c r="Y126" s="21"/>
    </row>
    <row r="127" customFormat="false" ht="15.75" hidden="false" customHeight="false" outlineLevel="0" collapsed="false">
      <c r="A127" s="61"/>
      <c r="B127" s="29"/>
      <c r="C127" s="21"/>
      <c r="D127" s="21"/>
      <c r="E127" s="21"/>
      <c r="F127" s="21"/>
      <c r="G127" s="30"/>
      <c r="H127" s="31"/>
      <c r="I127" s="21"/>
      <c r="J127" s="21"/>
      <c r="K127" s="21"/>
      <c r="L127" s="21"/>
      <c r="M127" s="21"/>
      <c r="N127" s="30"/>
      <c r="O127" s="21"/>
      <c r="P127" s="21"/>
      <c r="Q127" s="21"/>
      <c r="R127" s="32"/>
      <c r="S127" s="32"/>
      <c r="T127" s="21"/>
      <c r="U127" s="21"/>
      <c r="V127" s="21"/>
      <c r="W127" s="21"/>
      <c r="X127" s="21"/>
      <c r="Y127" s="21"/>
    </row>
    <row r="128" customFormat="false" ht="15.75" hidden="false" customHeight="false" outlineLevel="0" collapsed="false">
      <c r="A128" s="61"/>
      <c r="B128" s="29"/>
      <c r="C128" s="21"/>
      <c r="D128" s="21"/>
      <c r="E128" s="21"/>
      <c r="F128" s="21"/>
      <c r="G128" s="30"/>
      <c r="H128" s="31"/>
      <c r="I128" s="21"/>
      <c r="J128" s="21"/>
      <c r="K128" s="21"/>
      <c r="L128" s="21"/>
      <c r="M128" s="21"/>
      <c r="N128" s="30"/>
      <c r="O128" s="21"/>
      <c r="P128" s="21"/>
      <c r="Q128" s="21"/>
      <c r="R128" s="32"/>
      <c r="S128" s="32"/>
      <c r="T128" s="21"/>
      <c r="U128" s="21"/>
      <c r="V128" s="21"/>
      <c r="W128" s="21"/>
      <c r="X128" s="21"/>
      <c r="Y128" s="21"/>
    </row>
    <row r="129" customFormat="false" ht="15.75" hidden="false" customHeight="false" outlineLevel="0" collapsed="false">
      <c r="A129" s="61"/>
      <c r="B129" s="29"/>
      <c r="C129" s="21"/>
      <c r="D129" s="21"/>
      <c r="E129" s="21"/>
      <c r="F129" s="21"/>
      <c r="G129" s="30"/>
      <c r="H129" s="31"/>
      <c r="I129" s="21"/>
      <c r="J129" s="21"/>
      <c r="K129" s="21"/>
      <c r="L129" s="21"/>
      <c r="M129" s="21"/>
      <c r="N129" s="30"/>
      <c r="O129" s="21"/>
      <c r="P129" s="21"/>
      <c r="Q129" s="21"/>
      <c r="R129" s="32"/>
      <c r="S129" s="32"/>
      <c r="T129" s="21"/>
      <c r="U129" s="21"/>
      <c r="V129" s="21"/>
      <c r="W129" s="21"/>
      <c r="X129" s="21"/>
      <c r="Y129" s="21"/>
    </row>
    <row r="130" customFormat="false" ht="15.75" hidden="false" customHeight="false" outlineLevel="0" collapsed="false">
      <c r="A130" s="61"/>
      <c r="B130" s="29"/>
      <c r="C130" s="21"/>
      <c r="D130" s="21"/>
      <c r="E130" s="21"/>
      <c r="F130" s="21"/>
      <c r="G130" s="30"/>
      <c r="H130" s="31"/>
      <c r="I130" s="21"/>
      <c r="J130" s="21"/>
      <c r="K130" s="21"/>
      <c r="L130" s="21"/>
      <c r="M130" s="21"/>
      <c r="N130" s="30"/>
      <c r="O130" s="21"/>
      <c r="P130" s="21"/>
      <c r="Q130" s="21"/>
      <c r="R130" s="32"/>
      <c r="S130" s="32"/>
      <c r="T130" s="21"/>
      <c r="U130" s="21"/>
      <c r="V130" s="21"/>
      <c r="W130" s="21"/>
      <c r="X130" s="21"/>
      <c r="Y130" s="21"/>
    </row>
    <row r="131" customFormat="false" ht="15.75" hidden="false" customHeight="false" outlineLevel="0" collapsed="false">
      <c r="A131" s="61"/>
      <c r="B131" s="29"/>
      <c r="C131" s="21"/>
      <c r="D131" s="21"/>
      <c r="E131" s="21"/>
      <c r="F131" s="21"/>
      <c r="G131" s="30"/>
      <c r="H131" s="31"/>
      <c r="I131" s="21"/>
      <c r="J131" s="21"/>
      <c r="K131" s="21"/>
      <c r="L131" s="21"/>
      <c r="M131" s="21"/>
      <c r="N131" s="30"/>
      <c r="O131" s="21"/>
      <c r="P131" s="21"/>
      <c r="Q131" s="21"/>
      <c r="R131" s="32"/>
      <c r="S131" s="32"/>
      <c r="T131" s="21"/>
      <c r="U131" s="21"/>
      <c r="V131" s="21"/>
      <c r="W131" s="21"/>
      <c r="X131" s="21"/>
      <c r="Y131" s="21"/>
    </row>
    <row r="132" customFormat="false" ht="15.75" hidden="false" customHeight="false" outlineLevel="0" collapsed="false">
      <c r="A132" s="61"/>
      <c r="B132" s="29"/>
      <c r="C132" s="21"/>
      <c r="D132" s="21"/>
      <c r="E132" s="21"/>
      <c r="F132" s="21"/>
      <c r="G132" s="30"/>
      <c r="H132" s="31"/>
      <c r="I132" s="21"/>
      <c r="J132" s="21"/>
      <c r="K132" s="21"/>
      <c r="L132" s="21"/>
      <c r="M132" s="21"/>
      <c r="N132" s="30"/>
      <c r="O132" s="21"/>
      <c r="P132" s="21"/>
      <c r="Q132" s="21"/>
      <c r="R132" s="32"/>
      <c r="S132" s="32"/>
      <c r="T132" s="21"/>
      <c r="U132" s="21"/>
      <c r="V132" s="21"/>
      <c r="W132" s="21"/>
      <c r="X132" s="21"/>
      <c r="Y132" s="21"/>
    </row>
    <row r="133" customFormat="false" ht="15.75" hidden="false" customHeight="false" outlineLevel="0" collapsed="false">
      <c r="A133" s="61"/>
      <c r="B133" s="29"/>
      <c r="C133" s="21"/>
      <c r="D133" s="21"/>
      <c r="E133" s="21"/>
      <c r="F133" s="21"/>
      <c r="G133" s="30"/>
      <c r="H133" s="31"/>
      <c r="I133" s="21"/>
      <c r="J133" s="21"/>
      <c r="K133" s="21"/>
      <c r="L133" s="21"/>
      <c r="M133" s="21"/>
      <c r="N133" s="30"/>
      <c r="O133" s="21"/>
      <c r="P133" s="21"/>
      <c r="Q133" s="21"/>
      <c r="R133" s="32"/>
      <c r="S133" s="32"/>
      <c r="T133" s="21"/>
      <c r="U133" s="21"/>
      <c r="V133" s="21"/>
      <c r="W133" s="21"/>
      <c r="X133" s="21"/>
      <c r="Y133" s="21"/>
    </row>
    <row r="134" customFormat="false" ht="15.75" hidden="false" customHeight="false" outlineLevel="0" collapsed="false">
      <c r="A134" s="61"/>
      <c r="B134" s="29"/>
      <c r="C134" s="21"/>
      <c r="D134" s="21"/>
      <c r="E134" s="21"/>
      <c r="F134" s="21"/>
      <c r="G134" s="30"/>
      <c r="H134" s="31"/>
      <c r="I134" s="21"/>
      <c r="J134" s="21"/>
      <c r="K134" s="21"/>
      <c r="L134" s="21"/>
      <c r="M134" s="21"/>
      <c r="N134" s="30"/>
      <c r="O134" s="21"/>
      <c r="P134" s="21"/>
      <c r="Q134" s="21"/>
      <c r="R134" s="32"/>
      <c r="S134" s="32"/>
      <c r="T134" s="21"/>
      <c r="U134" s="21"/>
      <c r="V134" s="21"/>
      <c r="W134" s="21"/>
      <c r="X134" s="21"/>
      <c r="Y134" s="21"/>
    </row>
    <row r="135" customFormat="false" ht="15.75" hidden="false" customHeight="false" outlineLevel="0" collapsed="false">
      <c r="A135" s="61"/>
      <c r="B135" s="29"/>
      <c r="C135" s="21"/>
      <c r="D135" s="21"/>
      <c r="E135" s="21"/>
      <c r="F135" s="21"/>
      <c r="G135" s="30"/>
      <c r="H135" s="31"/>
      <c r="I135" s="21"/>
      <c r="J135" s="21"/>
      <c r="K135" s="21"/>
      <c r="L135" s="21"/>
      <c r="M135" s="21"/>
      <c r="N135" s="30"/>
      <c r="O135" s="21"/>
      <c r="P135" s="21"/>
      <c r="Q135" s="21"/>
      <c r="R135" s="32"/>
      <c r="S135" s="32"/>
      <c r="T135" s="21"/>
      <c r="U135" s="21"/>
      <c r="V135" s="21"/>
      <c r="W135" s="21"/>
      <c r="X135" s="21"/>
      <c r="Y135" s="21"/>
    </row>
    <row r="136" customFormat="false" ht="15.75" hidden="false" customHeight="false" outlineLevel="0" collapsed="false">
      <c r="A136" s="61"/>
      <c r="B136" s="29"/>
      <c r="C136" s="21"/>
      <c r="D136" s="21"/>
      <c r="E136" s="21"/>
      <c r="F136" s="21"/>
      <c r="G136" s="30"/>
      <c r="H136" s="31"/>
      <c r="I136" s="21"/>
      <c r="J136" s="21"/>
      <c r="K136" s="21"/>
      <c r="L136" s="21"/>
      <c r="M136" s="21"/>
      <c r="N136" s="30"/>
      <c r="O136" s="21"/>
      <c r="P136" s="21"/>
      <c r="Q136" s="21"/>
      <c r="R136" s="32"/>
      <c r="S136" s="32"/>
      <c r="T136" s="21"/>
      <c r="U136" s="21"/>
      <c r="V136" s="21"/>
      <c r="W136" s="21"/>
      <c r="X136" s="21"/>
      <c r="Y136" s="21"/>
    </row>
    <row r="137" customFormat="false" ht="15.75" hidden="false" customHeight="false" outlineLevel="0" collapsed="false">
      <c r="A137" s="61"/>
      <c r="B137" s="29"/>
      <c r="C137" s="21"/>
      <c r="D137" s="21"/>
      <c r="E137" s="21"/>
      <c r="F137" s="21"/>
      <c r="G137" s="30"/>
      <c r="H137" s="31"/>
      <c r="I137" s="21"/>
      <c r="J137" s="21"/>
      <c r="K137" s="21"/>
      <c r="L137" s="21"/>
      <c r="M137" s="21"/>
      <c r="N137" s="30"/>
      <c r="O137" s="21"/>
      <c r="P137" s="21"/>
      <c r="Q137" s="21"/>
      <c r="R137" s="32"/>
      <c r="S137" s="32"/>
      <c r="T137" s="21"/>
      <c r="U137" s="21"/>
      <c r="V137" s="21"/>
      <c r="W137" s="21"/>
      <c r="X137" s="21"/>
      <c r="Y137" s="21"/>
    </row>
    <row r="138" customFormat="false" ht="15.75" hidden="false" customHeight="false" outlineLevel="0" collapsed="false">
      <c r="A138" s="61"/>
      <c r="B138" s="29"/>
      <c r="C138" s="21"/>
      <c r="D138" s="21"/>
      <c r="E138" s="21"/>
      <c r="F138" s="21"/>
      <c r="G138" s="30"/>
      <c r="H138" s="31"/>
      <c r="I138" s="21"/>
      <c r="J138" s="21"/>
      <c r="K138" s="21"/>
      <c r="L138" s="21"/>
      <c r="M138" s="21"/>
      <c r="N138" s="30"/>
      <c r="O138" s="21"/>
      <c r="P138" s="21"/>
      <c r="Q138" s="21"/>
      <c r="R138" s="32"/>
      <c r="S138" s="32"/>
      <c r="T138" s="21"/>
      <c r="U138" s="21"/>
      <c r="V138" s="21"/>
      <c r="W138" s="21"/>
      <c r="X138" s="21"/>
      <c r="Y138" s="21"/>
    </row>
    <row r="139" customFormat="false" ht="15.75" hidden="false" customHeight="false" outlineLevel="0" collapsed="false">
      <c r="A139" s="61"/>
      <c r="B139" s="29"/>
      <c r="C139" s="21"/>
      <c r="D139" s="21"/>
      <c r="E139" s="21"/>
      <c r="F139" s="21"/>
      <c r="G139" s="30"/>
      <c r="H139" s="31"/>
      <c r="I139" s="21"/>
      <c r="J139" s="21"/>
      <c r="K139" s="21"/>
      <c r="L139" s="21"/>
      <c r="M139" s="21"/>
      <c r="N139" s="30"/>
      <c r="O139" s="21"/>
      <c r="P139" s="21"/>
      <c r="Q139" s="21"/>
      <c r="R139" s="32"/>
      <c r="S139" s="32"/>
      <c r="T139" s="21"/>
      <c r="U139" s="21"/>
      <c r="V139" s="21"/>
      <c r="W139" s="21"/>
      <c r="X139" s="21"/>
      <c r="Y139" s="21"/>
    </row>
    <row r="140" customFormat="false" ht="15.75" hidden="false" customHeight="false" outlineLevel="0" collapsed="false">
      <c r="A140" s="61"/>
      <c r="B140" s="29"/>
      <c r="C140" s="21"/>
      <c r="D140" s="21"/>
      <c r="E140" s="21"/>
      <c r="F140" s="21"/>
      <c r="G140" s="30"/>
      <c r="H140" s="31"/>
      <c r="I140" s="21"/>
      <c r="J140" s="21"/>
      <c r="K140" s="21"/>
      <c r="L140" s="21"/>
      <c r="M140" s="21"/>
      <c r="N140" s="30"/>
      <c r="O140" s="21"/>
      <c r="P140" s="21"/>
      <c r="Q140" s="21"/>
      <c r="R140" s="32"/>
      <c r="S140" s="32"/>
      <c r="T140" s="21"/>
      <c r="U140" s="21"/>
      <c r="V140" s="21"/>
      <c r="W140" s="21"/>
      <c r="X140" s="21"/>
      <c r="Y140" s="21"/>
    </row>
    <row r="141" customFormat="false" ht="15.75" hidden="false" customHeight="false" outlineLevel="0" collapsed="false">
      <c r="A141" s="61"/>
      <c r="B141" s="29"/>
      <c r="C141" s="21"/>
      <c r="D141" s="21"/>
      <c r="E141" s="21"/>
      <c r="F141" s="21"/>
      <c r="G141" s="30"/>
      <c r="H141" s="31"/>
      <c r="I141" s="21"/>
      <c r="J141" s="21"/>
      <c r="K141" s="21"/>
      <c r="L141" s="21"/>
      <c r="M141" s="21"/>
      <c r="N141" s="30"/>
      <c r="O141" s="21"/>
      <c r="P141" s="21"/>
      <c r="Q141" s="21"/>
      <c r="R141" s="32"/>
      <c r="S141" s="32"/>
      <c r="T141" s="21"/>
      <c r="U141" s="21"/>
      <c r="V141" s="21"/>
      <c r="W141" s="21"/>
      <c r="X141" s="21"/>
      <c r="Y141" s="21"/>
    </row>
    <row r="142" customFormat="false" ht="15.75" hidden="false" customHeight="false" outlineLevel="0" collapsed="false">
      <c r="G142" s="18"/>
      <c r="H142" s="35"/>
      <c r="N142" s="18"/>
    </row>
    <row r="143" customFormat="false" ht="15.75" hidden="false" customHeight="false" outlineLevel="0" collapsed="false">
      <c r="G143" s="18"/>
      <c r="H143" s="35"/>
      <c r="N143" s="18"/>
    </row>
    <row r="144" customFormat="false" ht="15.75" hidden="false" customHeight="false" outlineLevel="0" collapsed="false">
      <c r="G144" s="18"/>
      <c r="H144" s="35"/>
      <c r="N144" s="18"/>
    </row>
    <row r="145" customFormat="false" ht="15.75" hidden="false" customHeight="false" outlineLevel="0" collapsed="false">
      <c r="G145" s="18"/>
      <c r="H145" s="35"/>
      <c r="N145" s="18"/>
    </row>
    <row r="146" customFormat="false" ht="15.75" hidden="false" customHeight="false" outlineLevel="0" collapsed="false">
      <c r="G146" s="18"/>
      <c r="H146" s="35"/>
      <c r="N146" s="18"/>
    </row>
    <row r="147" customFormat="false" ht="15.75" hidden="false" customHeight="false" outlineLevel="0" collapsed="false">
      <c r="G147" s="18"/>
      <c r="H147" s="35"/>
      <c r="N147" s="18"/>
    </row>
    <row r="148" customFormat="false" ht="15.75" hidden="false" customHeight="false" outlineLevel="0" collapsed="false">
      <c r="G148" s="18"/>
      <c r="H148" s="35"/>
      <c r="N148" s="18"/>
    </row>
    <row r="149" customFormat="false" ht="15.75" hidden="false" customHeight="false" outlineLevel="0" collapsed="false">
      <c r="G149" s="18"/>
      <c r="H149" s="35"/>
      <c r="N149" s="18"/>
    </row>
    <row r="150" customFormat="false" ht="15.75" hidden="false" customHeight="false" outlineLevel="0" collapsed="false">
      <c r="G150" s="18"/>
      <c r="H150" s="35"/>
      <c r="N150" s="18"/>
    </row>
    <row r="151" customFormat="false" ht="15.75" hidden="false" customHeight="false" outlineLevel="0" collapsed="false">
      <c r="G151" s="18"/>
      <c r="H151" s="35"/>
      <c r="N151" s="18"/>
    </row>
    <row r="152" customFormat="false" ht="15.75" hidden="false" customHeight="false" outlineLevel="0" collapsed="false">
      <c r="G152" s="18"/>
      <c r="H152" s="35"/>
      <c r="N152" s="18"/>
    </row>
    <row r="153" customFormat="false" ht="15.75" hidden="false" customHeight="false" outlineLevel="0" collapsed="false">
      <c r="G153" s="18"/>
      <c r="H153" s="35"/>
      <c r="N153" s="18"/>
    </row>
    <row r="154" customFormat="false" ht="15.75" hidden="false" customHeight="false" outlineLevel="0" collapsed="false">
      <c r="G154" s="18"/>
      <c r="H154" s="35"/>
      <c r="N154" s="18"/>
    </row>
    <row r="155" customFormat="false" ht="15.75" hidden="false" customHeight="false" outlineLevel="0" collapsed="false">
      <c r="G155" s="18"/>
      <c r="H155" s="35"/>
      <c r="N155" s="18"/>
    </row>
    <row r="156" customFormat="false" ht="15.75" hidden="false" customHeight="false" outlineLevel="0" collapsed="false">
      <c r="G156" s="18"/>
      <c r="H156" s="35"/>
      <c r="N156" s="18"/>
    </row>
    <row r="157" customFormat="false" ht="15.75" hidden="false" customHeight="false" outlineLevel="0" collapsed="false">
      <c r="G157" s="18"/>
      <c r="H157" s="35"/>
      <c r="N157" s="18"/>
    </row>
    <row r="158" customFormat="false" ht="15.75" hidden="false" customHeight="false" outlineLevel="0" collapsed="false">
      <c r="G158" s="18"/>
      <c r="H158" s="35"/>
      <c r="N158" s="18"/>
    </row>
    <row r="159" customFormat="false" ht="15.75" hidden="false" customHeight="false" outlineLevel="0" collapsed="false">
      <c r="G159" s="18"/>
      <c r="H159" s="35"/>
      <c r="N159" s="18"/>
    </row>
    <row r="160" customFormat="false" ht="15.75" hidden="false" customHeight="false" outlineLevel="0" collapsed="false">
      <c r="G160" s="18"/>
      <c r="H160" s="35"/>
      <c r="N160" s="18"/>
    </row>
    <row r="161" customFormat="false" ht="15.75" hidden="false" customHeight="false" outlineLevel="0" collapsed="false">
      <c r="G161" s="18"/>
      <c r="H161" s="35"/>
      <c r="N161" s="18"/>
    </row>
    <row r="162" customFormat="false" ht="15.75" hidden="false" customHeight="false" outlineLevel="0" collapsed="false">
      <c r="G162" s="18"/>
      <c r="H162" s="35"/>
      <c r="N162" s="18"/>
    </row>
    <row r="163" customFormat="false" ht="15.75" hidden="false" customHeight="false" outlineLevel="0" collapsed="false">
      <c r="G163" s="18"/>
      <c r="H163" s="35"/>
      <c r="N163" s="18"/>
    </row>
    <row r="164" customFormat="false" ht="15.75" hidden="false" customHeight="false" outlineLevel="0" collapsed="false">
      <c r="G164" s="18"/>
      <c r="H164" s="35"/>
      <c r="N164" s="18"/>
    </row>
    <row r="165" customFormat="false" ht="15.75" hidden="false" customHeight="false" outlineLevel="0" collapsed="false">
      <c r="G165" s="18"/>
      <c r="H165" s="35"/>
      <c r="N165" s="18"/>
    </row>
    <row r="166" customFormat="false" ht="15.75" hidden="false" customHeight="false" outlineLevel="0" collapsed="false">
      <c r="G166" s="18"/>
      <c r="H166" s="35"/>
      <c r="N166" s="18"/>
    </row>
    <row r="167" customFormat="false" ht="15.75" hidden="false" customHeight="false" outlineLevel="0" collapsed="false">
      <c r="G167" s="18"/>
      <c r="H167" s="35"/>
      <c r="N167" s="18"/>
    </row>
    <row r="168" customFormat="false" ht="15.75" hidden="false" customHeight="false" outlineLevel="0" collapsed="false">
      <c r="G168" s="18"/>
      <c r="H168" s="35"/>
      <c r="N168" s="18"/>
    </row>
    <row r="169" customFormat="false" ht="15.75" hidden="false" customHeight="false" outlineLevel="0" collapsed="false">
      <c r="G169" s="18"/>
      <c r="H169" s="35"/>
      <c r="N169" s="18"/>
    </row>
    <row r="170" customFormat="false" ht="15.75" hidden="false" customHeight="false" outlineLevel="0" collapsed="false">
      <c r="G170" s="18"/>
      <c r="H170" s="35"/>
      <c r="N170" s="18"/>
    </row>
    <row r="171" customFormat="false" ht="15.75" hidden="false" customHeight="false" outlineLevel="0" collapsed="false">
      <c r="G171" s="18"/>
      <c r="H171" s="35"/>
      <c r="N171" s="18"/>
    </row>
    <row r="172" customFormat="false" ht="15.75" hidden="false" customHeight="false" outlineLevel="0" collapsed="false">
      <c r="G172" s="18"/>
      <c r="H172" s="35"/>
      <c r="N172" s="18"/>
    </row>
    <row r="173" customFormat="false" ht="15.75" hidden="false" customHeight="false" outlineLevel="0" collapsed="false">
      <c r="G173" s="18"/>
      <c r="H173" s="35"/>
      <c r="N173" s="18"/>
    </row>
    <row r="174" customFormat="false" ht="15.75" hidden="false" customHeight="false" outlineLevel="0" collapsed="false">
      <c r="G174" s="18"/>
      <c r="H174" s="35"/>
      <c r="N174" s="18"/>
    </row>
    <row r="175" customFormat="false" ht="15.75" hidden="false" customHeight="false" outlineLevel="0" collapsed="false">
      <c r="G175" s="18"/>
      <c r="H175" s="35"/>
      <c r="N175" s="18"/>
    </row>
    <row r="176" customFormat="false" ht="15.75" hidden="false" customHeight="false" outlineLevel="0" collapsed="false">
      <c r="G176" s="18"/>
      <c r="H176" s="35"/>
      <c r="N176" s="18"/>
    </row>
    <row r="177" customFormat="false" ht="15.75" hidden="false" customHeight="false" outlineLevel="0" collapsed="false">
      <c r="G177" s="18"/>
      <c r="H177" s="35"/>
      <c r="N177" s="18"/>
    </row>
    <row r="178" customFormat="false" ht="15.75" hidden="false" customHeight="false" outlineLevel="0" collapsed="false">
      <c r="G178" s="18"/>
      <c r="H178" s="35"/>
      <c r="N178" s="18"/>
    </row>
    <row r="179" customFormat="false" ht="15.75" hidden="false" customHeight="false" outlineLevel="0" collapsed="false">
      <c r="G179" s="18"/>
      <c r="H179" s="35"/>
      <c r="N179" s="18"/>
    </row>
    <row r="180" customFormat="false" ht="15.75" hidden="false" customHeight="false" outlineLevel="0" collapsed="false">
      <c r="G180" s="18"/>
      <c r="H180" s="35"/>
      <c r="N180" s="18"/>
    </row>
    <row r="181" customFormat="false" ht="15.75" hidden="false" customHeight="false" outlineLevel="0" collapsed="false">
      <c r="G181" s="18"/>
      <c r="H181" s="35"/>
      <c r="N181" s="18"/>
    </row>
    <row r="182" customFormat="false" ht="15.75" hidden="false" customHeight="false" outlineLevel="0" collapsed="false">
      <c r="G182" s="18"/>
      <c r="H182" s="35"/>
      <c r="N182" s="18"/>
    </row>
    <row r="183" customFormat="false" ht="15.75" hidden="false" customHeight="false" outlineLevel="0" collapsed="false">
      <c r="G183" s="18"/>
      <c r="H183" s="35"/>
      <c r="N183" s="18"/>
    </row>
    <row r="184" customFormat="false" ht="15.75" hidden="false" customHeight="false" outlineLevel="0" collapsed="false">
      <c r="G184" s="18"/>
      <c r="H184" s="35"/>
      <c r="N184" s="18"/>
    </row>
    <row r="185" customFormat="false" ht="15.75" hidden="false" customHeight="false" outlineLevel="0" collapsed="false">
      <c r="G185" s="18"/>
      <c r="H185" s="35"/>
      <c r="N185" s="18"/>
    </row>
    <row r="186" customFormat="false" ht="15.75" hidden="false" customHeight="false" outlineLevel="0" collapsed="false">
      <c r="G186" s="18"/>
      <c r="H186" s="35"/>
      <c r="N186" s="18"/>
    </row>
    <row r="187" customFormat="false" ht="15.75" hidden="false" customHeight="false" outlineLevel="0" collapsed="false">
      <c r="G187" s="18"/>
      <c r="H187" s="35"/>
      <c r="N187" s="18"/>
    </row>
    <row r="188" customFormat="false" ht="15.75" hidden="false" customHeight="false" outlineLevel="0" collapsed="false">
      <c r="G188" s="18"/>
      <c r="H188" s="35"/>
      <c r="N188" s="18"/>
    </row>
    <row r="189" customFormat="false" ht="15.75" hidden="false" customHeight="false" outlineLevel="0" collapsed="false">
      <c r="G189" s="18"/>
      <c r="H189" s="35"/>
      <c r="N189" s="18"/>
    </row>
    <row r="190" customFormat="false" ht="15.75" hidden="false" customHeight="false" outlineLevel="0" collapsed="false">
      <c r="G190" s="18"/>
      <c r="H190" s="35"/>
      <c r="N190" s="18"/>
    </row>
    <row r="191" customFormat="false" ht="15.75" hidden="false" customHeight="false" outlineLevel="0" collapsed="false">
      <c r="G191" s="18"/>
      <c r="H191" s="35"/>
      <c r="N191" s="18"/>
    </row>
    <row r="192" customFormat="false" ht="15.75" hidden="false" customHeight="false" outlineLevel="0" collapsed="false">
      <c r="G192" s="18"/>
      <c r="H192" s="35"/>
      <c r="N192" s="18"/>
    </row>
    <row r="193" customFormat="false" ht="15.75" hidden="false" customHeight="false" outlineLevel="0" collapsed="false">
      <c r="G193" s="18"/>
      <c r="H193" s="35"/>
      <c r="N193" s="18"/>
    </row>
    <row r="194" customFormat="false" ht="15.75" hidden="false" customHeight="false" outlineLevel="0" collapsed="false">
      <c r="G194" s="18"/>
      <c r="H194" s="35"/>
      <c r="N194" s="18"/>
    </row>
    <row r="195" customFormat="false" ht="15.75" hidden="false" customHeight="false" outlineLevel="0" collapsed="false">
      <c r="G195" s="18"/>
      <c r="H195" s="35"/>
      <c r="N195" s="18"/>
    </row>
    <row r="196" customFormat="false" ht="15.75" hidden="false" customHeight="false" outlineLevel="0" collapsed="false">
      <c r="G196" s="18"/>
      <c r="H196" s="35"/>
      <c r="N196" s="18"/>
    </row>
    <row r="197" customFormat="false" ht="15.75" hidden="false" customHeight="false" outlineLevel="0" collapsed="false">
      <c r="G197" s="18"/>
      <c r="H197" s="35"/>
      <c r="N197" s="18"/>
    </row>
    <row r="198" customFormat="false" ht="15.75" hidden="false" customHeight="false" outlineLevel="0" collapsed="false">
      <c r="G198" s="18"/>
      <c r="H198" s="35"/>
      <c r="N198" s="18"/>
    </row>
    <row r="199" customFormat="false" ht="15.75" hidden="false" customHeight="false" outlineLevel="0" collapsed="false">
      <c r="G199" s="18"/>
      <c r="H199" s="35"/>
      <c r="N199" s="18"/>
    </row>
    <row r="200" customFormat="false" ht="15.75" hidden="false" customHeight="false" outlineLevel="0" collapsed="false">
      <c r="G200" s="18"/>
      <c r="H200" s="35"/>
      <c r="N200" s="18"/>
    </row>
    <row r="201" customFormat="false" ht="15.75" hidden="false" customHeight="false" outlineLevel="0" collapsed="false">
      <c r="G201" s="18"/>
      <c r="H201" s="35"/>
      <c r="N201" s="18"/>
    </row>
    <row r="202" customFormat="false" ht="15.75" hidden="false" customHeight="false" outlineLevel="0" collapsed="false">
      <c r="G202" s="18"/>
      <c r="H202" s="35"/>
      <c r="N202" s="18"/>
    </row>
    <row r="203" customFormat="false" ht="15.75" hidden="false" customHeight="false" outlineLevel="0" collapsed="false">
      <c r="G203" s="18"/>
      <c r="H203" s="35"/>
      <c r="N203" s="18"/>
    </row>
    <row r="204" customFormat="false" ht="15.75" hidden="false" customHeight="false" outlineLevel="0" collapsed="false">
      <c r="G204" s="18"/>
      <c r="H204" s="35"/>
      <c r="N204" s="18"/>
    </row>
    <row r="205" customFormat="false" ht="15.75" hidden="false" customHeight="false" outlineLevel="0" collapsed="false">
      <c r="G205" s="18"/>
      <c r="H205" s="35"/>
      <c r="N205" s="18"/>
    </row>
    <row r="206" customFormat="false" ht="15.75" hidden="false" customHeight="false" outlineLevel="0" collapsed="false">
      <c r="G206" s="18"/>
      <c r="H206" s="35"/>
      <c r="N206" s="18"/>
    </row>
    <row r="207" customFormat="false" ht="15.75" hidden="false" customHeight="false" outlineLevel="0" collapsed="false">
      <c r="G207" s="18"/>
      <c r="H207" s="35"/>
      <c r="N207" s="18"/>
    </row>
    <row r="208" customFormat="false" ht="15.75" hidden="false" customHeight="false" outlineLevel="0" collapsed="false">
      <c r="G208" s="18"/>
      <c r="H208" s="35"/>
      <c r="N208" s="18"/>
    </row>
    <row r="209" customFormat="false" ht="15.75" hidden="false" customHeight="false" outlineLevel="0" collapsed="false">
      <c r="G209" s="18"/>
      <c r="H209" s="35"/>
      <c r="N209" s="18"/>
    </row>
    <row r="210" customFormat="false" ht="15.75" hidden="false" customHeight="false" outlineLevel="0" collapsed="false">
      <c r="G210" s="18"/>
      <c r="H210" s="35"/>
      <c r="N210" s="18"/>
    </row>
    <row r="211" customFormat="false" ht="15.75" hidden="false" customHeight="false" outlineLevel="0" collapsed="false">
      <c r="G211" s="18"/>
      <c r="H211" s="35"/>
      <c r="N211" s="18"/>
    </row>
    <row r="212" customFormat="false" ht="15.75" hidden="false" customHeight="false" outlineLevel="0" collapsed="false">
      <c r="G212" s="18"/>
      <c r="H212" s="35"/>
      <c r="N212" s="18"/>
    </row>
    <row r="213" customFormat="false" ht="15.75" hidden="false" customHeight="false" outlineLevel="0" collapsed="false">
      <c r="G213" s="18"/>
      <c r="H213" s="35"/>
      <c r="N213" s="18"/>
    </row>
    <row r="214" customFormat="false" ht="15.75" hidden="false" customHeight="false" outlineLevel="0" collapsed="false">
      <c r="G214" s="18"/>
      <c r="H214" s="35"/>
      <c r="N214" s="18"/>
    </row>
    <row r="215" customFormat="false" ht="15.75" hidden="false" customHeight="false" outlineLevel="0" collapsed="false">
      <c r="G215" s="18"/>
      <c r="H215" s="35"/>
      <c r="N215" s="18"/>
    </row>
    <row r="216" customFormat="false" ht="15.75" hidden="false" customHeight="false" outlineLevel="0" collapsed="false">
      <c r="G216" s="18"/>
      <c r="H216" s="35"/>
      <c r="N216" s="18"/>
    </row>
    <row r="217" customFormat="false" ht="15.75" hidden="false" customHeight="false" outlineLevel="0" collapsed="false">
      <c r="G217" s="18"/>
      <c r="H217" s="35"/>
      <c r="N217" s="18"/>
    </row>
    <row r="218" customFormat="false" ht="15.75" hidden="false" customHeight="false" outlineLevel="0" collapsed="false">
      <c r="G218" s="18"/>
      <c r="H218" s="35"/>
      <c r="N218" s="18"/>
    </row>
    <row r="219" customFormat="false" ht="15.75" hidden="false" customHeight="false" outlineLevel="0" collapsed="false">
      <c r="G219" s="18"/>
      <c r="H219" s="35"/>
      <c r="N219" s="18"/>
    </row>
    <row r="220" customFormat="false" ht="15.75" hidden="false" customHeight="false" outlineLevel="0" collapsed="false">
      <c r="G220" s="18"/>
      <c r="H220" s="35"/>
      <c r="N220" s="18"/>
    </row>
    <row r="221" customFormat="false" ht="15.75" hidden="false" customHeight="false" outlineLevel="0" collapsed="false">
      <c r="G221" s="18"/>
      <c r="H221" s="35"/>
      <c r="N221" s="18"/>
    </row>
    <row r="222" customFormat="false" ht="15.75" hidden="false" customHeight="false" outlineLevel="0" collapsed="false">
      <c r="G222" s="18"/>
      <c r="H222" s="35"/>
      <c r="N222" s="18"/>
    </row>
    <row r="223" customFormat="false" ht="15.75" hidden="false" customHeight="false" outlineLevel="0" collapsed="false">
      <c r="G223" s="18"/>
      <c r="H223" s="35"/>
      <c r="N223" s="18"/>
    </row>
    <row r="224" customFormat="false" ht="15.75" hidden="false" customHeight="false" outlineLevel="0" collapsed="false">
      <c r="G224" s="18"/>
      <c r="H224" s="35"/>
      <c r="N224" s="18"/>
    </row>
    <row r="225" customFormat="false" ht="15.75" hidden="false" customHeight="false" outlineLevel="0" collapsed="false">
      <c r="G225" s="18"/>
      <c r="H225" s="35"/>
      <c r="N225" s="18"/>
    </row>
    <row r="226" customFormat="false" ht="15.75" hidden="false" customHeight="false" outlineLevel="0" collapsed="false">
      <c r="G226" s="18"/>
      <c r="H226" s="35"/>
      <c r="N226" s="18"/>
    </row>
    <row r="227" customFormat="false" ht="15.75" hidden="false" customHeight="false" outlineLevel="0" collapsed="false">
      <c r="G227" s="18"/>
      <c r="H227" s="35"/>
      <c r="N227" s="18"/>
    </row>
    <row r="228" customFormat="false" ht="15.75" hidden="false" customHeight="false" outlineLevel="0" collapsed="false">
      <c r="G228" s="18"/>
      <c r="H228" s="35"/>
      <c r="N228" s="18"/>
    </row>
    <row r="229" customFormat="false" ht="15.75" hidden="false" customHeight="false" outlineLevel="0" collapsed="false">
      <c r="G229" s="18"/>
      <c r="H229" s="35"/>
      <c r="N229" s="18"/>
    </row>
    <row r="230" customFormat="false" ht="15.75" hidden="false" customHeight="false" outlineLevel="0" collapsed="false">
      <c r="G230" s="18"/>
      <c r="H230" s="35"/>
      <c r="N230" s="18"/>
    </row>
    <row r="231" customFormat="false" ht="15.75" hidden="false" customHeight="false" outlineLevel="0" collapsed="false">
      <c r="G231" s="18"/>
      <c r="H231" s="35"/>
      <c r="N231" s="18"/>
    </row>
    <row r="232" customFormat="false" ht="15.75" hidden="false" customHeight="false" outlineLevel="0" collapsed="false">
      <c r="G232" s="18"/>
      <c r="H232" s="35"/>
      <c r="N232" s="18"/>
    </row>
    <row r="233" customFormat="false" ht="15.75" hidden="false" customHeight="false" outlineLevel="0" collapsed="false">
      <c r="G233" s="18"/>
      <c r="H233" s="35"/>
      <c r="N233" s="18"/>
    </row>
    <row r="234" customFormat="false" ht="15.75" hidden="false" customHeight="false" outlineLevel="0" collapsed="false">
      <c r="G234" s="18"/>
      <c r="H234" s="35"/>
      <c r="N234" s="18"/>
    </row>
    <row r="235" customFormat="false" ht="15.75" hidden="false" customHeight="false" outlineLevel="0" collapsed="false">
      <c r="G235" s="18"/>
      <c r="H235" s="35"/>
      <c r="N235" s="18"/>
    </row>
    <row r="236" customFormat="false" ht="15.75" hidden="false" customHeight="false" outlineLevel="0" collapsed="false">
      <c r="G236" s="18"/>
      <c r="H236" s="35"/>
      <c r="N236" s="18"/>
    </row>
    <row r="237" customFormat="false" ht="15.75" hidden="false" customHeight="false" outlineLevel="0" collapsed="false">
      <c r="G237" s="18"/>
      <c r="H237" s="35"/>
      <c r="N237" s="18"/>
    </row>
    <row r="238" customFormat="false" ht="15.75" hidden="false" customHeight="false" outlineLevel="0" collapsed="false">
      <c r="G238" s="18"/>
      <c r="H238" s="35"/>
      <c r="N238" s="18"/>
    </row>
    <row r="239" customFormat="false" ht="15.75" hidden="false" customHeight="false" outlineLevel="0" collapsed="false">
      <c r="G239" s="18"/>
      <c r="H239" s="35"/>
      <c r="N239" s="18"/>
    </row>
    <row r="240" customFormat="false" ht="15.75" hidden="false" customHeight="false" outlineLevel="0" collapsed="false">
      <c r="G240" s="18"/>
      <c r="H240" s="35"/>
      <c r="N240" s="18"/>
    </row>
    <row r="241" customFormat="false" ht="15.75" hidden="false" customHeight="false" outlineLevel="0" collapsed="false">
      <c r="G241" s="18"/>
      <c r="H241" s="35"/>
      <c r="N241" s="18"/>
    </row>
    <row r="242" customFormat="false" ht="15.75" hidden="false" customHeight="false" outlineLevel="0" collapsed="false">
      <c r="G242" s="18"/>
      <c r="H242" s="35"/>
      <c r="N242" s="18"/>
    </row>
    <row r="243" customFormat="false" ht="15.75" hidden="false" customHeight="false" outlineLevel="0" collapsed="false">
      <c r="G243" s="18"/>
      <c r="H243" s="35"/>
      <c r="N243" s="18"/>
    </row>
    <row r="244" customFormat="false" ht="15.75" hidden="false" customHeight="false" outlineLevel="0" collapsed="false">
      <c r="G244" s="18"/>
      <c r="H244" s="35"/>
      <c r="N244" s="18"/>
    </row>
    <row r="245" customFormat="false" ht="15.75" hidden="false" customHeight="false" outlineLevel="0" collapsed="false">
      <c r="G245" s="18"/>
      <c r="H245" s="35"/>
      <c r="N245" s="18"/>
    </row>
    <row r="246" customFormat="false" ht="15.75" hidden="false" customHeight="false" outlineLevel="0" collapsed="false">
      <c r="G246" s="18"/>
      <c r="H246" s="35"/>
      <c r="N246" s="18"/>
    </row>
    <row r="247" customFormat="false" ht="15.75" hidden="false" customHeight="false" outlineLevel="0" collapsed="false">
      <c r="G247" s="18"/>
      <c r="H247" s="35"/>
      <c r="N247" s="18"/>
    </row>
    <row r="248" customFormat="false" ht="15.75" hidden="false" customHeight="false" outlineLevel="0" collapsed="false">
      <c r="G248" s="18"/>
      <c r="H248" s="35"/>
      <c r="N248" s="18"/>
    </row>
    <row r="249" customFormat="false" ht="15.75" hidden="false" customHeight="false" outlineLevel="0" collapsed="false">
      <c r="G249" s="18"/>
      <c r="H249" s="35"/>
      <c r="N249" s="18"/>
    </row>
    <row r="250" customFormat="false" ht="15.75" hidden="false" customHeight="false" outlineLevel="0" collapsed="false">
      <c r="G250" s="18"/>
      <c r="H250" s="35"/>
      <c r="N250" s="18"/>
    </row>
    <row r="251" customFormat="false" ht="15.75" hidden="false" customHeight="false" outlineLevel="0" collapsed="false">
      <c r="G251" s="18"/>
      <c r="H251" s="35"/>
      <c r="N251" s="18"/>
    </row>
    <row r="252" customFormat="false" ht="15.75" hidden="false" customHeight="false" outlineLevel="0" collapsed="false">
      <c r="G252" s="18"/>
      <c r="H252" s="35"/>
      <c r="N252" s="18"/>
    </row>
    <row r="253" customFormat="false" ht="15.75" hidden="false" customHeight="false" outlineLevel="0" collapsed="false">
      <c r="G253" s="18"/>
      <c r="H253" s="35"/>
      <c r="N253" s="18"/>
    </row>
    <row r="254" customFormat="false" ht="15.75" hidden="false" customHeight="false" outlineLevel="0" collapsed="false">
      <c r="G254" s="18"/>
      <c r="H254" s="35"/>
      <c r="N254" s="18"/>
    </row>
    <row r="255" customFormat="false" ht="15.75" hidden="false" customHeight="false" outlineLevel="0" collapsed="false">
      <c r="G255" s="18"/>
      <c r="H255" s="35"/>
      <c r="N255" s="18"/>
    </row>
    <row r="256" customFormat="false" ht="15.75" hidden="false" customHeight="false" outlineLevel="0" collapsed="false">
      <c r="G256" s="18"/>
      <c r="H256" s="35"/>
      <c r="N256" s="18"/>
    </row>
    <row r="257" customFormat="false" ht="15.75" hidden="false" customHeight="false" outlineLevel="0" collapsed="false">
      <c r="G257" s="18"/>
      <c r="H257" s="35"/>
      <c r="N257" s="18"/>
    </row>
    <row r="258" customFormat="false" ht="15.75" hidden="false" customHeight="false" outlineLevel="0" collapsed="false">
      <c r="G258" s="18"/>
      <c r="H258" s="35"/>
      <c r="N258" s="18"/>
    </row>
    <row r="259" customFormat="false" ht="15.75" hidden="false" customHeight="false" outlineLevel="0" collapsed="false">
      <c r="G259" s="18"/>
      <c r="H259" s="35"/>
      <c r="N259" s="18"/>
    </row>
    <row r="260" customFormat="false" ht="15.75" hidden="false" customHeight="false" outlineLevel="0" collapsed="false">
      <c r="G260" s="18"/>
      <c r="H260" s="35"/>
      <c r="N260" s="18"/>
    </row>
    <row r="261" customFormat="false" ht="15.75" hidden="false" customHeight="false" outlineLevel="0" collapsed="false">
      <c r="G261" s="18"/>
      <c r="H261" s="35"/>
      <c r="N261" s="18"/>
    </row>
    <row r="262" customFormat="false" ht="15.75" hidden="false" customHeight="false" outlineLevel="0" collapsed="false">
      <c r="G262" s="18"/>
      <c r="H262" s="35"/>
      <c r="N262" s="18"/>
    </row>
    <row r="263" customFormat="false" ht="15.75" hidden="false" customHeight="false" outlineLevel="0" collapsed="false">
      <c r="G263" s="18"/>
      <c r="H263" s="35"/>
      <c r="N263" s="18"/>
    </row>
    <row r="264" customFormat="false" ht="15.75" hidden="false" customHeight="false" outlineLevel="0" collapsed="false">
      <c r="G264" s="18"/>
      <c r="H264" s="35"/>
      <c r="N264" s="18"/>
    </row>
    <row r="265" customFormat="false" ht="15.75" hidden="false" customHeight="false" outlineLevel="0" collapsed="false">
      <c r="G265" s="18"/>
      <c r="H265" s="35"/>
      <c r="N265" s="18"/>
    </row>
    <row r="266" customFormat="false" ht="15.75" hidden="false" customHeight="false" outlineLevel="0" collapsed="false">
      <c r="G266" s="18"/>
      <c r="H266" s="35"/>
      <c r="N266" s="18"/>
    </row>
    <row r="267" customFormat="false" ht="15.75" hidden="false" customHeight="false" outlineLevel="0" collapsed="false">
      <c r="G267" s="18"/>
      <c r="H267" s="35"/>
      <c r="N267" s="18"/>
    </row>
    <row r="268" customFormat="false" ht="15.75" hidden="false" customHeight="false" outlineLevel="0" collapsed="false">
      <c r="G268" s="18"/>
      <c r="H268" s="35"/>
      <c r="N268" s="18"/>
    </row>
    <row r="269" customFormat="false" ht="15.75" hidden="false" customHeight="false" outlineLevel="0" collapsed="false">
      <c r="G269" s="18"/>
      <c r="H269" s="35"/>
      <c r="N269" s="18"/>
    </row>
    <row r="270" customFormat="false" ht="15.75" hidden="false" customHeight="false" outlineLevel="0" collapsed="false">
      <c r="G270" s="18"/>
      <c r="H270" s="35"/>
      <c r="N270" s="18"/>
    </row>
    <row r="271" customFormat="false" ht="15.75" hidden="false" customHeight="false" outlineLevel="0" collapsed="false">
      <c r="G271" s="18"/>
      <c r="H271" s="35"/>
      <c r="N271" s="18"/>
    </row>
    <row r="272" customFormat="false" ht="15.75" hidden="false" customHeight="false" outlineLevel="0" collapsed="false">
      <c r="G272" s="18"/>
      <c r="H272" s="35"/>
      <c r="N272" s="18"/>
    </row>
    <row r="273" customFormat="false" ht="15.75" hidden="false" customHeight="false" outlineLevel="0" collapsed="false">
      <c r="G273" s="18"/>
      <c r="H273" s="35"/>
      <c r="N273" s="18"/>
    </row>
    <row r="274" customFormat="false" ht="15.75" hidden="false" customHeight="false" outlineLevel="0" collapsed="false">
      <c r="G274" s="18"/>
      <c r="H274" s="35"/>
      <c r="N274" s="18"/>
    </row>
    <row r="275" customFormat="false" ht="15.75" hidden="false" customHeight="false" outlineLevel="0" collapsed="false">
      <c r="G275" s="18"/>
      <c r="H275" s="35"/>
      <c r="N275" s="18"/>
    </row>
    <row r="276" customFormat="false" ht="15.75" hidden="false" customHeight="false" outlineLevel="0" collapsed="false">
      <c r="G276" s="18"/>
      <c r="H276" s="35"/>
      <c r="N276" s="18"/>
    </row>
    <row r="277" customFormat="false" ht="15.75" hidden="false" customHeight="false" outlineLevel="0" collapsed="false">
      <c r="G277" s="18"/>
      <c r="H277" s="35"/>
      <c r="N277" s="18"/>
    </row>
    <row r="278" customFormat="false" ht="15.75" hidden="false" customHeight="false" outlineLevel="0" collapsed="false">
      <c r="G278" s="18"/>
      <c r="H278" s="35"/>
      <c r="N278" s="18"/>
    </row>
    <row r="279" customFormat="false" ht="15.75" hidden="false" customHeight="false" outlineLevel="0" collapsed="false">
      <c r="G279" s="18"/>
      <c r="H279" s="35"/>
      <c r="N279" s="18"/>
    </row>
    <row r="280" customFormat="false" ht="15.75" hidden="false" customHeight="false" outlineLevel="0" collapsed="false">
      <c r="G280" s="18"/>
      <c r="H280" s="35"/>
      <c r="N280" s="18"/>
    </row>
    <row r="281" customFormat="false" ht="15.75" hidden="false" customHeight="false" outlineLevel="0" collapsed="false">
      <c r="G281" s="18"/>
      <c r="H281" s="35"/>
      <c r="N281" s="18"/>
    </row>
    <row r="282" customFormat="false" ht="15.75" hidden="false" customHeight="false" outlineLevel="0" collapsed="false">
      <c r="G282" s="18"/>
      <c r="H282" s="35"/>
      <c r="N282" s="18"/>
    </row>
    <row r="283" customFormat="false" ht="15.75" hidden="false" customHeight="false" outlineLevel="0" collapsed="false">
      <c r="G283" s="18"/>
      <c r="H283" s="35"/>
      <c r="N283" s="18"/>
    </row>
    <row r="284" customFormat="false" ht="15.75" hidden="false" customHeight="false" outlineLevel="0" collapsed="false">
      <c r="G284" s="18"/>
      <c r="H284" s="35"/>
      <c r="N284" s="18"/>
    </row>
    <row r="285" customFormat="false" ht="15.75" hidden="false" customHeight="false" outlineLevel="0" collapsed="false">
      <c r="G285" s="18"/>
      <c r="H285" s="35"/>
      <c r="N285" s="18"/>
    </row>
    <row r="286" customFormat="false" ht="15.75" hidden="false" customHeight="false" outlineLevel="0" collapsed="false">
      <c r="G286" s="18"/>
      <c r="H286" s="35"/>
      <c r="N286" s="18"/>
    </row>
    <row r="287" customFormat="false" ht="15.75" hidden="false" customHeight="false" outlineLevel="0" collapsed="false">
      <c r="G287" s="18"/>
      <c r="H287" s="35"/>
      <c r="N287" s="18"/>
    </row>
    <row r="288" customFormat="false" ht="15.75" hidden="false" customHeight="false" outlineLevel="0" collapsed="false">
      <c r="G288" s="18"/>
      <c r="H288" s="35"/>
      <c r="N288" s="18"/>
    </row>
    <row r="289" customFormat="false" ht="15.75" hidden="false" customHeight="false" outlineLevel="0" collapsed="false">
      <c r="G289" s="18"/>
      <c r="H289" s="35"/>
      <c r="N289" s="18"/>
    </row>
    <row r="290" customFormat="false" ht="15.75" hidden="false" customHeight="false" outlineLevel="0" collapsed="false">
      <c r="G290" s="18"/>
      <c r="H290" s="35"/>
      <c r="N290" s="18"/>
    </row>
    <row r="291" customFormat="false" ht="15.75" hidden="false" customHeight="false" outlineLevel="0" collapsed="false">
      <c r="G291" s="18"/>
      <c r="H291" s="35"/>
      <c r="N291" s="18"/>
    </row>
    <row r="292" customFormat="false" ht="15.75" hidden="false" customHeight="false" outlineLevel="0" collapsed="false">
      <c r="G292" s="18"/>
      <c r="H292" s="35"/>
      <c r="N292" s="18"/>
    </row>
    <row r="293" customFormat="false" ht="15.75" hidden="false" customHeight="false" outlineLevel="0" collapsed="false">
      <c r="G293" s="18"/>
      <c r="H293" s="35"/>
      <c r="N293" s="18"/>
    </row>
    <row r="294" customFormat="false" ht="15.75" hidden="false" customHeight="false" outlineLevel="0" collapsed="false">
      <c r="G294" s="18"/>
      <c r="H294" s="35"/>
      <c r="N294" s="18"/>
    </row>
    <row r="295" customFormat="false" ht="15.75" hidden="false" customHeight="false" outlineLevel="0" collapsed="false">
      <c r="G295" s="18"/>
      <c r="H295" s="35"/>
      <c r="N295" s="18"/>
    </row>
    <row r="296" customFormat="false" ht="15.75" hidden="false" customHeight="false" outlineLevel="0" collapsed="false">
      <c r="G296" s="18"/>
      <c r="H296" s="35"/>
      <c r="N296" s="18"/>
    </row>
    <row r="297" customFormat="false" ht="15.75" hidden="false" customHeight="false" outlineLevel="0" collapsed="false">
      <c r="G297" s="18"/>
      <c r="H297" s="35"/>
      <c r="N297" s="18"/>
    </row>
    <row r="298" customFormat="false" ht="15.75" hidden="false" customHeight="false" outlineLevel="0" collapsed="false">
      <c r="G298" s="18"/>
      <c r="H298" s="35"/>
      <c r="N298" s="18"/>
    </row>
    <row r="299" customFormat="false" ht="15.75" hidden="false" customHeight="false" outlineLevel="0" collapsed="false">
      <c r="G299" s="18"/>
      <c r="H299" s="35"/>
      <c r="N299" s="18"/>
    </row>
    <row r="300" customFormat="false" ht="15.75" hidden="false" customHeight="false" outlineLevel="0" collapsed="false">
      <c r="G300" s="18"/>
      <c r="H300" s="35"/>
      <c r="N300" s="18"/>
    </row>
    <row r="301" customFormat="false" ht="15.75" hidden="false" customHeight="false" outlineLevel="0" collapsed="false">
      <c r="G301" s="18"/>
      <c r="H301" s="35"/>
      <c r="N301" s="18"/>
    </row>
    <row r="302" customFormat="false" ht="15.75" hidden="false" customHeight="false" outlineLevel="0" collapsed="false">
      <c r="G302" s="18"/>
      <c r="H302" s="35"/>
      <c r="N302" s="18"/>
    </row>
    <row r="303" customFormat="false" ht="15.75" hidden="false" customHeight="false" outlineLevel="0" collapsed="false">
      <c r="G303" s="18"/>
      <c r="H303" s="35"/>
      <c r="N303" s="18"/>
    </row>
    <row r="304" customFormat="false" ht="15.75" hidden="false" customHeight="false" outlineLevel="0" collapsed="false">
      <c r="G304" s="18"/>
      <c r="H304" s="35"/>
      <c r="N304" s="18"/>
    </row>
    <row r="305" customFormat="false" ht="15.75" hidden="false" customHeight="false" outlineLevel="0" collapsed="false">
      <c r="G305" s="18"/>
      <c r="H305" s="35"/>
      <c r="N305" s="18"/>
    </row>
    <row r="306" customFormat="false" ht="15.75" hidden="false" customHeight="false" outlineLevel="0" collapsed="false">
      <c r="G306" s="18"/>
      <c r="H306" s="35"/>
      <c r="N306" s="18"/>
    </row>
    <row r="307" customFormat="false" ht="15.75" hidden="false" customHeight="false" outlineLevel="0" collapsed="false">
      <c r="G307" s="18"/>
      <c r="H307" s="35"/>
      <c r="N307" s="18"/>
    </row>
    <row r="308" customFormat="false" ht="15.75" hidden="false" customHeight="false" outlineLevel="0" collapsed="false">
      <c r="G308" s="18"/>
      <c r="H308" s="35"/>
      <c r="N308" s="18"/>
    </row>
    <row r="309" customFormat="false" ht="15.75" hidden="false" customHeight="false" outlineLevel="0" collapsed="false">
      <c r="G309" s="18"/>
      <c r="H309" s="35"/>
      <c r="N309" s="18"/>
    </row>
    <row r="310" customFormat="false" ht="15.75" hidden="false" customHeight="false" outlineLevel="0" collapsed="false">
      <c r="G310" s="18"/>
      <c r="H310" s="35"/>
      <c r="N310" s="18"/>
    </row>
    <row r="311" customFormat="false" ht="15.75" hidden="false" customHeight="false" outlineLevel="0" collapsed="false">
      <c r="G311" s="18"/>
      <c r="H311" s="35"/>
      <c r="N311" s="18"/>
    </row>
    <row r="312" customFormat="false" ht="15.75" hidden="false" customHeight="false" outlineLevel="0" collapsed="false">
      <c r="G312" s="18"/>
      <c r="H312" s="35"/>
      <c r="N312" s="18"/>
    </row>
    <row r="313" customFormat="false" ht="15.75" hidden="false" customHeight="false" outlineLevel="0" collapsed="false">
      <c r="G313" s="18"/>
      <c r="H313" s="35"/>
      <c r="N313" s="18"/>
    </row>
    <row r="314" customFormat="false" ht="15.75" hidden="false" customHeight="false" outlineLevel="0" collapsed="false">
      <c r="G314" s="18"/>
      <c r="H314" s="35"/>
      <c r="N314" s="18"/>
    </row>
    <row r="315" customFormat="false" ht="15.75" hidden="false" customHeight="false" outlineLevel="0" collapsed="false">
      <c r="G315" s="18"/>
      <c r="H315" s="35"/>
      <c r="N315" s="18"/>
    </row>
    <row r="316" customFormat="false" ht="15.75" hidden="false" customHeight="false" outlineLevel="0" collapsed="false">
      <c r="G316" s="18"/>
      <c r="H316" s="35"/>
      <c r="N316" s="18"/>
    </row>
    <row r="317" customFormat="false" ht="15.75" hidden="false" customHeight="false" outlineLevel="0" collapsed="false">
      <c r="G317" s="18"/>
      <c r="H317" s="35"/>
      <c r="N317" s="18"/>
    </row>
    <row r="318" customFormat="false" ht="15.75" hidden="false" customHeight="false" outlineLevel="0" collapsed="false">
      <c r="G318" s="18"/>
      <c r="H318" s="35"/>
      <c r="N318" s="18"/>
    </row>
    <row r="319" customFormat="false" ht="15.75" hidden="false" customHeight="false" outlineLevel="0" collapsed="false">
      <c r="G319" s="18"/>
      <c r="H319" s="35"/>
      <c r="N319" s="18"/>
    </row>
    <row r="320" customFormat="false" ht="15.75" hidden="false" customHeight="false" outlineLevel="0" collapsed="false">
      <c r="G320" s="18"/>
      <c r="H320" s="35"/>
      <c r="N320" s="18"/>
    </row>
    <row r="321" customFormat="false" ht="15.75" hidden="false" customHeight="false" outlineLevel="0" collapsed="false">
      <c r="G321" s="18"/>
      <c r="H321" s="35"/>
      <c r="N321" s="18"/>
    </row>
    <row r="322" customFormat="false" ht="15.75" hidden="false" customHeight="false" outlineLevel="0" collapsed="false">
      <c r="G322" s="18"/>
      <c r="H322" s="35"/>
      <c r="N322" s="18"/>
    </row>
    <row r="323" customFormat="false" ht="15.75" hidden="false" customHeight="false" outlineLevel="0" collapsed="false">
      <c r="G323" s="18"/>
      <c r="H323" s="35"/>
      <c r="N323" s="18"/>
    </row>
    <row r="324" customFormat="false" ht="15.75" hidden="false" customHeight="false" outlineLevel="0" collapsed="false">
      <c r="G324" s="18"/>
      <c r="H324" s="35"/>
      <c r="N324" s="18"/>
    </row>
    <row r="325" customFormat="false" ht="15.75" hidden="false" customHeight="false" outlineLevel="0" collapsed="false">
      <c r="G325" s="18"/>
      <c r="H325" s="35"/>
      <c r="N325" s="18"/>
    </row>
    <row r="326" customFormat="false" ht="15.75" hidden="false" customHeight="false" outlineLevel="0" collapsed="false">
      <c r="G326" s="18"/>
      <c r="H326" s="35"/>
      <c r="N326" s="18"/>
    </row>
    <row r="327" customFormat="false" ht="15.75" hidden="false" customHeight="false" outlineLevel="0" collapsed="false">
      <c r="G327" s="18"/>
      <c r="H327" s="35"/>
      <c r="N327" s="18"/>
    </row>
    <row r="328" customFormat="false" ht="15.75" hidden="false" customHeight="false" outlineLevel="0" collapsed="false">
      <c r="G328" s="18"/>
      <c r="H328" s="35"/>
      <c r="N328" s="18"/>
    </row>
    <row r="329" customFormat="false" ht="15.75" hidden="false" customHeight="false" outlineLevel="0" collapsed="false">
      <c r="G329" s="18"/>
      <c r="H329" s="35"/>
      <c r="N329" s="18"/>
    </row>
    <row r="330" customFormat="false" ht="15.75" hidden="false" customHeight="false" outlineLevel="0" collapsed="false">
      <c r="G330" s="18"/>
      <c r="H330" s="35"/>
      <c r="N330" s="18"/>
    </row>
    <row r="331" customFormat="false" ht="15.75" hidden="false" customHeight="false" outlineLevel="0" collapsed="false">
      <c r="G331" s="18"/>
      <c r="H331" s="35"/>
      <c r="N331" s="18"/>
    </row>
    <row r="332" customFormat="false" ht="15.75" hidden="false" customHeight="false" outlineLevel="0" collapsed="false">
      <c r="G332" s="18"/>
      <c r="H332" s="35"/>
      <c r="N332" s="18"/>
    </row>
    <row r="333" customFormat="false" ht="15.75" hidden="false" customHeight="false" outlineLevel="0" collapsed="false">
      <c r="G333" s="18"/>
      <c r="H333" s="35"/>
      <c r="N333" s="18"/>
    </row>
    <row r="334" customFormat="false" ht="15.75" hidden="false" customHeight="false" outlineLevel="0" collapsed="false">
      <c r="G334" s="18"/>
      <c r="H334" s="35"/>
      <c r="N334" s="18"/>
    </row>
    <row r="335" customFormat="false" ht="15.75" hidden="false" customHeight="false" outlineLevel="0" collapsed="false">
      <c r="G335" s="18"/>
      <c r="H335" s="35"/>
      <c r="N335" s="18"/>
    </row>
    <row r="336" customFormat="false" ht="15.75" hidden="false" customHeight="false" outlineLevel="0" collapsed="false">
      <c r="G336" s="18"/>
      <c r="H336" s="35"/>
      <c r="N336" s="18"/>
    </row>
    <row r="337" customFormat="false" ht="15.75" hidden="false" customHeight="false" outlineLevel="0" collapsed="false">
      <c r="G337" s="18"/>
      <c r="H337" s="35"/>
      <c r="N337" s="18"/>
    </row>
    <row r="338" customFormat="false" ht="15.75" hidden="false" customHeight="false" outlineLevel="0" collapsed="false">
      <c r="G338" s="18"/>
      <c r="H338" s="35"/>
      <c r="N338" s="18"/>
    </row>
    <row r="339" customFormat="false" ht="15.75" hidden="false" customHeight="false" outlineLevel="0" collapsed="false">
      <c r="G339" s="18"/>
      <c r="H339" s="35"/>
      <c r="N339" s="18"/>
    </row>
    <row r="340" customFormat="false" ht="15.75" hidden="false" customHeight="false" outlineLevel="0" collapsed="false">
      <c r="G340" s="18"/>
      <c r="H340" s="35"/>
      <c r="N340" s="18"/>
    </row>
    <row r="341" customFormat="false" ht="15.75" hidden="false" customHeight="false" outlineLevel="0" collapsed="false">
      <c r="G341" s="18"/>
      <c r="H341" s="35"/>
      <c r="N341" s="18"/>
    </row>
    <row r="342" customFormat="false" ht="15.75" hidden="false" customHeight="false" outlineLevel="0" collapsed="false">
      <c r="G342" s="18"/>
      <c r="H342" s="35"/>
      <c r="N342" s="18"/>
    </row>
    <row r="343" customFormat="false" ht="15.75" hidden="false" customHeight="false" outlineLevel="0" collapsed="false">
      <c r="G343" s="18"/>
      <c r="H343" s="35"/>
      <c r="N343" s="18"/>
    </row>
    <row r="344" customFormat="false" ht="15.75" hidden="false" customHeight="false" outlineLevel="0" collapsed="false">
      <c r="G344" s="18"/>
      <c r="H344" s="35"/>
      <c r="N344" s="18"/>
    </row>
    <row r="345" customFormat="false" ht="15.75" hidden="false" customHeight="false" outlineLevel="0" collapsed="false">
      <c r="G345" s="18"/>
      <c r="H345" s="35"/>
      <c r="N345" s="18"/>
    </row>
    <row r="346" customFormat="false" ht="15.75" hidden="false" customHeight="false" outlineLevel="0" collapsed="false">
      <c r="G346" s="18"/>
      <c r="H346" s="35"/>
      <c r="N346" s="18"/>
    </row>
    <row r="1048575" customFormat="false" ht="12.8" hidden="false" customHeight="true" outlineLevel="0" collapsed="false"/>
    <row r="1048576" customFormat="false" ht="12.8" hidden="false" customHeight="true" outlineLevel="0" collapsed="false"/>
  </sheetData>
  <conditionalFormatting sqref="R2:S141">
    <cfRule type="expression" priority="2" aboveAverage="0" equalAverage="0" bottom="0" percent="0" rank="0" text="" dxfId="0">
      <formula>LEN(TRIM(R2))&gt;0</formula>
    </cfRule>
  </conditionalFormatting>
  <conditionalFormatting sqref="Q2:Q141">
    <cfRule type="expression" priority="3" aboveAverage="0" equalAverage="0" bottom="0" percent="0" rank="0" text="" dxfId="0">
      <formula>LEN(TRIM(Q2))&gt;0</formula>
    </cfRule>
  </conditionalFormatting>
  <conditionalFormatting sqref="G2:G141 N2:N141">
    <cfRule type="containsText" priority="4" operator="containsText" aboveAverage="0" equalAverage="0" bottom="0" percent="0" rank="0" text="x" dxfId="0">
      <formula>NOT(ISERROR(SEARCH("x",G2)))</formula>
    </cfRule>
  </conditionalFormatting>
  <conditionalFormatting sqref="T2:T141">
    <cfRule type="expression" priority="5" aboveAverage="0" equalAverage="0" bottom="0" percent="0" rank="0" text="" dxfId="0">
      <formula>LEN(TRIM(T2))&gt;0</formula>
    </cfRule>
  </conditionalFormatting>
  <conditionalFormatting sqref="X2:X141">
    <cfRule type="expression" priority="6" aboveAverage="0" equalAverage="0" bottom="0" percent="0" rank="0" text="" dxfId="0">
      <formula>LEN(TRIM(X2))&gt;0</formula>
    </cfRule>
  </conditionalFormatting>
  <conditionalFormatting sqref="Y2:Y141">
    <cfRule type="cellIs" priority="7" operator="equal" aboveAverage="0" equalAverage="0" bottom="0" percent="0" rank="0" text="" dxfId="0">
      <formula>"Completo"</formula>
    </cfRule>
    <cfRule type="cellIs" priority="8" operator="equal" aboveAverage="0" equalAverage="0" bottom="0" percent="0" rank="0" text="" dxfId="1">
      <formula>"No aplica"</formula>
    </cfRule>
  </conditionalFormatting>
  <conditionalFormatting sqref="G2:I141 O2:P141 U2:W141 Y2:Y141">
    <cfRule type="cellIs" priority="9" operator="equal" aboveAverage="0" equalAverage="0" bottom="0" percent="0" rank="0" text="" dxfId="0">
      <formula>"Completo"</formula>
    </cfRule>
    <cfRule type="cellIs" priority="10" operator="equal" aboveAverage="0" equalAverage="0" bottom="0" percent="0" rank="0" text="" dxfId="1">
      <formula>"No Aplica"</formula>
    </cfRule>
  </conditionalFormatting>
  <dataValidations count="5">
    <dataValidation allowBlank="true" errorStyle="stop" operator="between" showDropDown="false" showErrorMessage="true" showInputMessage="false" sqref="D2:D141" type="list">
      <formula1>LEYENDA!$B$2:$D$2</formula1>
      <formula2>0</formula2>
    </dataValidation>
    <dataValidation allowBlank="true" errorStyle="stop" operator="between" showDropDown="false" showErrorMessage="false" showInputMessage="false" sqref="E2:E141" type="list">
      <formula1>LEYENDA!$A$8:$A$12</formula1>
      <formula2>0</formula2>
    </dataValidation>
    <dataValidation allowBlank="true" errorStyle="stop" operator="between" showDropDown="false" showErrorMessage="false" showInputMessage="false" sqref="T2:T141" type="list">
      <formula1>LEYENDA!$A$23:$A$24</formula1>
      <formula2>0</formula2>
    </dataValidation>
    <dataValidation allowBlank="true" errorStyle="stop" operator="between" showDropDown="false" showErrorMessage="false" showInputMessage="false" sqref="R2:R141" type="list">
      <formula1>LEYENDA!$A$15:$A$19</formula1>
      <formula2>0</formula2>
    </dataValidation>
    <dataValidation allowBlank="true" errorStyle="stop" operator="between" showDropDown="false" showErrorMessage="true" showInputMessage="false" sqref="H2:I141 O2:P141 U2:W141 Y2:Y141" type="list">
      <formula1>LEYENDA!$B$1:$C$1</formula1>
      <formula2>0</formula2>
    </dataValidation>
  </dataValidations>
  <hyperlinks>
    <hyperlink ref="U4" r:id="rId1" display="Completo"/>
    <hyperlink ref="W4" r:id="rId2" display="Completo"/>
    <hyperlink ref="P5" r:id="rId3" display="Completo"/>
    <hyperlink ref="U10" r:id="rId4" display="Completo"/>
    <hyperlink ref="V10" r:id="rId5" display="Completo"/>
    <hyperlink ref="W10" r:id="rId6" display="Completo"/>
    <hyperlink ref="U11" r:id="rId7" display="Completo"/>
    <hyperlink ref="W11" r:id="rId8" display="Completo"/>
    <hyperlink ref="U12" r:id="rId9" display="Completo"/>
    <hyperlink ref="W12" r:id="rId10" display="Completo"/>
    <hyperlink ref="U14" r:id="rId11" display="Completo"/>
    <hyperlink ref="W14" r:id="rId12" display="Completo"/>
    <hyperlink ref="X14" r:id="rId13" display="Bruñido "/>
    <hyperlink ref="U15" r:id="rId14" display="Completo"/>
    <hyperlink ref="W15" r:id="rId15" display="Completo"/>
    <hyperlink ref="U16" r:id="rId16" display="Completo"/>
    <hyperlink ref="W16" r:id="rId17" display="Completo"/>
    <hyperlink ref="U17" r:id="rId18" display="Completo"/>
    <hyperlink ref="W17" r:id="rId19" display="Completo"/>
    <hyperlink ref="X17" r:id="rId20" display="Bruñido "/>
    <hyperlink ref="U18" r:id="rId21" display="Completo"/>
    <hyperlink ref="W18" r:id="rId22" display="Completo"/>
    <hyperlink ref="U19" r:id="rId23" display="Completo"/>
    <hyperlink ref="W19" r:id="rId24" display="Completo"/>
    <hyperlink ref="U28" r:id="rId25" display="Completo"/>
    <hyperlink ref="W28" r:id="rId26" display="Completo"/>
    <hyperlink ref="X28" r:id="rId27" display="Bruñido"/>
    <hyperlink ref="U31" r:id="rId28" display="Completo"/>
    <hyperlink ref="W31" r:id="rId29" display="Completo"/>
    <hyperlink ref="U44" r:id="rId30" display="Completo"/>
    <hyperlink ref="W44" r:id="rId31" display="Completo"/>
    <hyperlink ref="U45" r:id="rId32" display="Completo"/>
    <hyperlink ref="W45" r:id="rId33" display="Completo"/>
    <hyperlink ref="U51" r:id="rId34" display="Completo"/>
    <hyperlink ref="W51" r:id="rId35" display="Completo"/>
    <hyperlink ref="U52" r:id="rId36" display="Completo"/>
    <hyperlink ref="W52" r:id="rId37" display="Completo"/>
    <hyperlink ref="U53" r:id="rId38" display="Completo"/>
    <hyperlink ref="W53" r:id="rId39" display="Completo"/>
    <hyperlink ref="U54" r:id="rId40" display="Completo"/>
    <hyperlink ref="U55" r:id="rId41" display="Completo"/>
    <hyperlink ref="W55" r:id="rId42" display="Completo"/>
    <hyperlink ref="U56" r:id="rId43" display="Completo"/>
    <hyperlink ref="W56" r:id="rId44" display="Completo"/>
    <hyperlink ref="U57" r:id="rId45" display="Completo"/>
    <hyperlink ref="W57" r:id="rId46" display="Completo"/>
    <hyperlink ref="U58" r:id="rId47" display="Completo"/>
    <hyperlink ref="W58" r:id="rId48" display="Completo"/>
    <hyperlink ref="U60" r:id="rId49" display="Completo"/>
    <hyperlink ref="W60" r:id="rId50" display="Completo"/>
    <hyperlink ref="X60" r:id="rId51" display="Bruñido"/>
    <hyperlink ref="U61" r:id="rId52" display="Completo"/>
    <hyperlink ref="U63" r:id="rId53" display="Completo"/>
    <hyperlink ref="W63" r:id="rId54" display="Completo"/>
    <hyperlink ref="U74" r:id="rId55" display="Completo"/>
    <hyperlink ref="W74" r:id="rId56" display="Completo"/>
    <hyperlink ref="U78" r:id="rId57" display="Completo"/>
    <hyperlink ref="W78" r:id="rId58" display="Completo"/>
    <hyperlink ref="U80" r:id="rId59" display="Completo"/>
    <hyperlink ref="W80" r:id="rId60" display="Completo"/>
    <hyperlink ref="U81" r:id="rId61" display="Completo"/>
    <hyperlink ref="W81" r:id="rId62" display="Completo"/>
    <hyperlink ref="U88" r:id="rId63" display="Completo"/>
    <hyperlink ref="W88" r:id="rId64" display="Completo"/>
  </hyperlinks>
  <printOptions headings="false" gridLines="true" gridLinesSet="true" horizontalCentered="true" verticalCentered="false"/>
  <pageMargins left="0.7" right="0.7" top="0.75" bottom="0.75" header="0.511811023622047" footer="0.511811023622047"/>
  <pageSetup paperSize="9" scale="100" fitToWidth="1" fitToHeight="0" pageOrder="overThenDown" orientation="landscape" blackAndWhite="false" draft="false" cellComments="none" horizontalDpi="300" verticalDpi="300" copies="1"/>
  <headerFooter differentFirst="false" differentOddEven="false">
    <oddHeader/>
    <oddFooter/>
  </headerFooter>
  <drawing r:id="rId65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AF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6" ySplit="3" topLeftCell="G4" activePane="bottomRight" state="frozen"/>
      <selection pane="topLeft" activeCell="A1" activeCellId="0" sqref="A1"/>
      <selection pane="topRight" activeCell="G1" activeCellId="0" sqref="G1"/>
      <selection pane="bottomLeft" activeCell="A4" activeCellId="0" sqref="A4"/>
      <selection pane="bottomRight" activeCell="G1" activeCellId="0" sqref="G1"/>
    </sheetView>
  </sheetViews>
  <sheetFormatPr defaultColWidth="12.6328125" defaultRowHeight="15.75" zeroHeight="false" outlineLevelRow="0" outlineLevelCol="0"/>
  <cols>
    <col collapsed="false" customWidth="true" hidden="false" outlineLevel="0" max="1" min="1" style="1" width="10.25"/>
    <col collapsed="false" customWidth="true" hidden="false" outlineLevel="0" max="2" min="2" style="1" width="10.38"/>
    <col collapsed="false" customWidth="true" hidden="false" outlineLevel="0" max="3" min="3" style="1" width="16.89"/>
    <col collapsed="false" customWidth="true" hidden="false" outlineLevel="0" max="4" min="4" style="1" width="11.25"/>
    <col collapsed="false" customWidth="true" hidden="false" outlineLevel="0" max="5" min="5" style="1" width="17.13"/>
    <col collapsed="false" customWidth="true" hidden="false" outlineLevel="0" max="6" min="6" style="1" width="43.63"/>
    <col collapsed="false" customWidth="true" hidden="false" outlineLevel="0" max="7" min="7" style="1" width="15.88"/>
    <col collapsed="false" customWidth="true" hidden="false" outlineLevel="0" max="8" min="8" style="1" width="10.88"/>
    <col collapsed="false" customWidth="true" hidden="false" outlineLevel="0" max="9" min="9" style="1" width="11.89"/>
    <col collapsed="false" customWidth="true" hidden="false" outlineLevel="0" max="10" min="10" style="1" width="12.75"/>
    <col collapsed="false" customWidth="true" hidden="false" outlineLevel="0" max="11" min="11" style="1" width="10"/>
    <col collapsed="false" customWidth="true" hidden="false" outlineLevel="0" max="12" min="12" style="1" width="12.25"/>
    <col collapsed="false" customWidth="true" hidden="false" outlineLevel="0" max="13" min="13" style="1" width="26.12"/>
    <col collapsed="false" customWidth="true" hidden="false" outlineLevel="0" max="14" min="14" style="1" width="18"/>
    <col collapsed="false" customWidth="true" hidden="false" outlineLevel="0" max="16" min="15" style="1" width="10.63"/>
    <col collapsed="false" customWidth="true" hidden="false" outlineLevel="0" max="17" min="17" style="1" width="8.5"/>
    <col collapsed="false" customWidth="true" hidden="false" outlineLevel="0" max="19" min="19" style="1" width="25.38"/>
    <col collapsed="false" customWidth="true" hidden="false" outlineLevel="0" max="20" min="20" style="1" width="17.88"/>
    <col collapsed="false" customWidth="true" hidden="false" outlineLevel="0" max="21" min="21" style="1" width="10.13"/>
    <col collapsed="false" customWidth="true" hidden="false" outlineLevel="0" max="23" min="22" style="1" width="11.12"/>
    <col collapsed="false" customWidth="true" hidden="false" outlineLevel="0" max="24" min="24" style="1" width="24.88"/>
  </cols>
  <sheetData>
    <row r="1" customFormat="false" ht="68" hidden="false" customHeight="false" outlineLevel="0" collapsed="false">
      <c r="A1" s="2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/>
      <c r="J1" s="4" t="s">
        <v>8</v>
      </c>
      <c r="K1" s="2"/>
      <c r="L1" s="2" t="s">
        <v>9</v>
      </c>
      <c r="M1" s="2" t="s">
        <v>10</v>
      </c>
      <c r="N1" s="4" t="s">
        <v>11</v>
      </c>
      <c r="O1" s="3" t="s">
        <v>12</v>
      </c>
      <c r="P1" s="7" t="s">
        <v>13</v>
      </c>
      <c r="Q1" s="7" t="s">
        <v>14</v>
      </c>
      <c r="R1" s="7" t="s">
        <v>15</v>
      </c>
      <c r="S1" s="7" t="s">
        <v>16</v>
      </c>
      <c r="T1" s="7" t="s">
        <v>17</v>
      </c>
      <c r="U1" s="8" t="s">
        <v>18</v>
      </c>
      <c r="V1" s="9" t="s">
        <v>19</v>
      </c>
      <c r="W1" s="9" t="s">
        <v>20</v>
      </c>
      <c r="X1" s="10" t="s">
        <v>15</v>
      </c>
      <c r="Y1" s="11" t="s">
        <v>21</v>
      </c>
      <c r="Z1" s="11" t="s">
        <v>22</v>
      </c>
      <c r="AA1" s="12"/>
      <c r="AB1" s="12"/>
      <c r="AC1" s="12"/>
      <c r="AD1" s="12"/>
      <c r="AE1" s="12"/>
      <c r="AF1" s="12"/>
    </row>
    <row r="2" customFormat="false" ht="15.75" hidden="false" customHeight="false" outlineLevel="0" collapsed="false">
      <c r="A2" s="61" t="n">
        <v>5891</v>
      </c>
      <c r="B2" s="29" t="n">
        <v>44440</v>
      </c>
      <c r="C2" s="21" t="s">
        <v>4073</v>
      </c>
      <c r="D2" s="21" t="s">
        <v>24</v>
      </c>
      <c r="E2" s="21" t="s">
        <v>3337</v>
      </c>
      <c r="F2" s="21" t="s">
        <v>4074</v>
      </c>
      <c r="G2" s="30" t="s">
        <v>4075</v>
      </c>
      <c r="H2" s="45" t="str">
        <f aca="false">HYPERLINK("https://photos.app.goo.gl/HhKqmFoy3h6nXaCNA", "Completo")</f>
        <v>Completo</v>
      </c>
      <c r="I2" s="21" t="s">
        <v>28</v>
      </c>
      <c r="J2" s="21"/>
      <c r="K2" s="21"/>
      <c r="L2" s="21"/>
      <c r="M2" s="21" t="s">
        <v>2255</v>
      </c>
      <c r="N2" s="30"/>
      <c r="O2" s="21"/>
      <c r="P2" s="21"/>
      <c r="Q2" s="21"/>
      <c r="R2" s="32"/>
      <c r="S2" s="32"/>
      <c r="T2" s="21"/>
      <c r="U2" s="74" t="s">
        <v>28</v>
      </c>
      <c r="V2" s="21"/>
      <c r="W2" s="21"/>
      <c r="X2" s="21"/>
      <c r="Y2" s="21" t="s">
        <v>28</v>
      </c>
    </row>
    <row r="3" customFormat="false" ht="15.75" hidden="false" customHeight="false" outlineLevel="0" collapsed="false">
      <c r="A3" s="61" t="n">
        <v>5892</v>
      </c>
      <c r="B3" s="29" t="n">
        <v>44440</v>
      </c>
      <c r="C3" s="21" t="s">
        <v>4073</v>
      </c>
      <c r="D3" s="21" t="s">
        <v>24</v>
      </c>
      <c r="E3" s="21" t="s">
        <v>3337</v>
      </c>
      <c r="F3" s="21" t="s">
        <v>4074</v>
      </c>
      <c r="G3" s="30" t="s">
        <v>4075</v>
      </c>
      <c r="H3" s="45" t="str">
        <f aca="false">HYPERLINK("https://photos.app.goo.gl/AvdBfLwoB81rrKHJA", "Completo")</f>
        <v>Completo</v>
      </c>
      <c r="I3" s="21" t="s">
        <v>28</v>
      </c>
      <c r="J3" s="21"/>
      <c r="K3" s="21"/>
      <c r="L3" s="21"/>
      <c r="M3" s="21" t="s">
        <v>2255</v>
      </c>
      <c r="N3" s="30"/>
      <c r="O3" s="21"/>
      <c r="P3" s="21"/>
      <c r="Q3" s="21"/>
      <c r="R3" s="32"/>
      <c r="S3" s="32"/>
      <c r="T3" s="21"/>
      <c r="U3" s="74" t="s">
        <v>28</v>
      </c>
      <c r="V3" s="21"/>
      <c r="W3" s="21"/>
      <c r="X3" s="21"/>
      <c r="Y3" s="21" t="s">
        <v>28</v>
      </c>
    </row>
    <row r="4" customFormat="false" ht="15.75" hidden="false" customHeight="false" outlineLevel="0" collapsed="false">
      <c r="A4" s="61" t="n">
        <v>5893</v>
      </c>
      <c r="B4" s="29" t="n">
        <v>44440</v>
      </c>
      <c r="C4" s="21" t="s">
        <v>4073</v>
      </c>
      <c r="D4" s="21" t="s">
        <v>24</v>
      </c>
      <c r="E4" s="21" t="s">
        <v>3337</v>
      </c>
      <c r="F4" s="21" t="s">
        <v>4076</v>
      </c>
      <c r="G4" s="30" t="s">
        <v>4077</v>
      </c>
      <c r="H4" s="45" t="str">
        <f aca="false">HYPERLINK("https://photos.app.goo.gl/crjftqB73VqcdvgX6", "Completo")</f>
        <v>Completo</v>
      </c>
      <c r="I4" s="21" t="s">
        <v>28</v>
      </c>
      <c r="J4" s="21"/>
      <c r="K4" s="21"/>
      <c r="L4" s="21"/>
      <c r="M4" s="21" t="s">
        <v>2255</v>
      </c>
      <c r="N4" s="30"/>
      <c r="O4" s="21"/>
      <c r="P4" s="21"/>
      <c r="Q4" s="21"/>
      <c r="R4" s="32"/>
      <c r="S4" s="32"/>
      <c r="T4" s="21"/>
      <c r="U4" s="74" t="s">
        <v>28</v>
      </c>
      <c r="V4" s="21"/>
      <c r="W4" s="21" t="s">
        <v>28</v>
      </c>
      <c r="X4" s="21"/>
      <c r="Y4" s="21" t="s">
        <v>28</v>
      </c>
    </row>
    <row r="5" customFormat="false" ht="15.75" hidden="false" customHeight="false" outlineLevel="0" collapsed="false">
      <c r="A5" s="61" t="n">
        <v>5894</v>
      </c>
      <c r="B5" s="29" t="n">
        <v>44440</v>
      </c>
      <c r="C5" s="21" t="s">
        <v>4078</v>
      </c>
      <c r="D5" s="21" t="s">
        <v>24</v>
      </c>
      <c r="E5" s="21" t="s">
        <v>3337</v>
      </c>
      <c r="F5" s="21" t="s">
        <v>4079</v>
      </c>
      <c r="G5" s="30" t="s">
        <v>4080</v>
      </c>
      <c r="H5" s="45" t="str">
        <f aca="false">HYPERLINK("https://photos.app.goo.gl/7KU3FKNfTaY6Zq5z7", "Completo")</f>
        <v>Completo</v>
      </c>
      <c r="I5" s="21" t="s">
        <v>28</v>
      </c>
      <c r="J5" s="21"/>
      <c r="K5" s="21"/>
      <c r="L5" s="21"/>
      <c r="M5" s="21" t="s">
        <v>2255</v>
      </c>
      <c r="N5" s="30"/>
      <c r="O5" s="21"/>
      <c r="P5" s="21"/>
      <c r="Q5" s="21"/>
      <c r="R5" s="32"/>
      <c r="S5" s="32"/>
      <c r="T5" s="21"/>
      <c r="U5" s="21"/>
      <c r="V5" s="21"/>
      <c r="W5" s="21"/>
      <c r="X5" s="21"/>
      <c r="Y5" s="21" t="s">
        <v>37</v>
      </c>
    </row>
    <row r="6" customFormat="false" ht="15.75" hidden="false" customHeight="false" outlineLevel="0" collapsed="false">
      <c r="A6" s="61" t="n">
        <v>5895</v>
      </c>
      <c r="B6" s="29" t="n">
        <v>44440</v>
      </c>
      <c r="C6" s="21" t="s">
        <v>4081</v>
      </c>
      <c r="D6" s="21" t="s">
        <v>24</v>
      </c>
      <c r="E6" s="21" t="s">
        <v>3337</v>
      </c>
      <c r="F6" s="21" t="s">
        <v>4082</v>
      </c>
      <c r="G6" s="30" t="s">
        <v>4083</v>
      </c>
      <c r="H6" s="45" t="str">
        <f aca="false">HYPERLINK("https://photos.app.goo.gl/QCCUyA8cgp8c4HCh6", "Completo")</f>
        <v>Completo</v>
      </c>
      <c r="I6" s="21" t="s">
        <v>28</v>
      </c>
      <c r="J6" s="21"/>
      <c r="K6" s="21"/>
      <c r="L6" s="21"/>
      <c r="M6" s="21" t="s">
        <v>2133</v>
      </c>
      <c r="N6" s="30" t="s">
        <v>4084</v>
      </c>
      <c r="O6" s="21" t="s">
        <v>28</v>
      </c>
      <c r="P6" s="21" t="s">
        <v>28</v>
      </c>
      <c r="Q6" s="21" t="s">
        <v>3955</v>
      </c>
      <c r="R6" s="32" t="s">
        <v>74</v>
      </c>
      <c r="S6" s="32" t="s">
        <v>36</v>
      </c>
      <c r="T6" s="21" t="s">
        <v>74</v>
      </c>
      <c r="U6" s="74" t="s">
        <v>28</v>
      </c>
      <c r="V6" s="21"/>
      <c r="W6" s="74" t="s">
        <v>28</v>
      </c>
      <c r="X6" s="21" t="s">
        <v>36</v>
      </c>
      <c r="Y6" s="21" t="s">
        <v>28</v>
      </c>
    </row>
    <row r="7" customFormat="false" ht="15.75" hidden="false" customHeight="false" outlineLevel="0" collapsed="false">
      <c r="A7" s="61" t="n">
        <v>5896</v>
      </c>
      <c r="B7" s="29" t="n">
        <v>44441</v>
      </c>
      <c r="C7" s="21" t="s">
        <v>4085</v>
      </c>
      <c r="D7" s="21" t="s">
        <v>24</v>
      </c>
      <c r="E7" s="21" t="s">
        <v>34</v>
      </c>
      <c r="F7" s="21" t="s">
        <v>4086</v>
      </c>
      <c r="G7" s="30"/>
      <c r="H7" s="31"/>
      <c r="I7" s="21"/>
      <c r="J7" s="21"/>
      <c r="K7" s="21"/>
      <c r="L7" s="21"/>
      <c r="M7" s="21" t="s">
        <v>4087</v>
      </c>
      <c r="N7" s="30"/>
      <c r="O7" s="21"/>
      <c r="P7" s="21"/>
      <c r="Q7" s="21"/>
      <c r="R7" s="32"/>
      <c r="S7" s="32"/>
      <c r="T7" s="21"/>
      <c r="U7" s="21"/>
      <c r="V7" s="21"/>
      <c r="W7" s="21"/>
      <c r="X7" s="21"/>
      <c r="Y7" s="21" t="s">
        <v>28</v>
      </c>
    </row>
    <row r="8" customFormat="false" ht="15.75" hidden="false" customHeight="false" outlineLevel="0" collapsed="false">
      <c r="A8" s="63" t="n">
        <v>910186</v>
      </c>
      <c r="B8" s="29" t="n">
        <v>44441</v>
      </c>
      <c r="C8" s="21" t="s">
        <v>3516</v>
      </c>
      <c r="D8" s="21" t="s">
        <v>24</v>
      </c>
      <c r="E8" s="21" t="s">
        <v>3337</v>
      </c>
      <c r="F8" s="21" t="s">
        <v>4088</v>
      </c>
      <c r="G8" s="30" t="s">
        <v>4089</v>
      </c>
      <c r="H8" s="45" t="str">
        <f aca="false">HYPERLINK("https://photos.app.goo.gl/r35UQoWPWjMAbmse8", "Completo")</f>
        <v>Completo</v>
      </c>
      <c r="I8" s="21" t="s">
        <v>28</v>
      </c>
      <c r="J8" s="21"/>
      <c r="K8" s="21"/>
      <c r="L8" s="21"/>
      <c r="M8" s="21" t="s">
        <v>2255</v>
      </c>
      <c r="N8" s="30"/>
      <c r="O8" s="21" t="s">
        <v>28</v>
      </c>
      <c r="P8" s="74" t="s">
        <v>28</v>
      </c>
      <c r="Q8" s="21" t="s">
        <v>2515</v>
      </c>
      <c r="R8" s="32" t="s">
        <v>3337</v>
      </c>
      <c r="S8" s="32"/>
      <c r="T8" s="21" t="s">
        <v>3337</v>
      </c>
      <c r="U8" s="21" t="s">
        <v>28</v>
      </c>
      <c r="V8" s="21" t="s">
        <v>28</v>
      </c>
      <c r="W8" s="21" t="s">
        <v>28</v>
      </c>
      <c r="X8" s="21"/>
      <c r="Y8" s="21" t="s">
        <v>28</v>
      </c>
    </row>
    <row r="9" customFormat="false" ht="15.75" hidden="false" customHeight="false" outlineLevel="0" collapsed="false">
      <c r="A9" s="61" t="n">
        <v>5897</v>
      </c>
      <c r="B9" s="29" t="n">
        <v>44442</v>
      </c>
      <c r="C9" s="21" t="s">
        <v>2905</v>
      </c>
      <c r="D9" s="21" t="s">
        <v>24</v>
      </c>
      <c r="E9" s="21" t="s">
        <v>3337</v>
      </c>
      <c r="F9" s="21" t="s">
        <v>4090</v>
      </c>
      <c r="G9" s="30"/>
      <c r="H9" s="45" t="str">
        <f aca="false">HYPERLINK("https://photos.app.goo.gl/njiAaP1HUp2DV8d68", "Completo")</f>
        <v>Completo</v>
      </c>
      <c r="I9" s="21" t="s">
        <v>28</v>
      </c>
      <c r="J9" s="21"/>
      <c r="K9" s="21"/>
      <c r="L9" s="21"/>
      <c r="M9" s="21" t="s">
        <v>2255</v>
      </c>
      <c r="N9" s="30"/>
      <c r="O9" s="21"/>
      <c r="P9" s="21"/>
      <c r="Q9" s="21"/>
      <c r="R9" s="32"/>
      <c r="S9" s="32"/>
      <c r="T9" s="21"/>
      <c r="U9" s="21"/>
      <c r="V9" s="21"/>
      <c r="W9" s="21"/>
      <c r="X9" s="21"/>
      <c r="Y9" s="21"/>
    </row>
    <row r="10" customFormat="false" ht="15.75" hidden="false" customHeight="false" outlineLevel="0" collapsed="false">
      <c r="A10" s="61" t="n">
        <v>5898</v>
      </c>
      <c r="B10" s="29" t="n">
        <v>44442</v>
      </c>
      <c r="C10" s="21" t="s">
        <v>4091</v>
      </c>
      <c r="D10" s="21" t="s">
        <v>24</v>
      </c>
      <c r="E10" s="21" t="s">
        <v>3337</v>
      </c>
      <c r="F10" s="21" t="s">
        <v>4092</v>
      </c>
      <c r="G10" s="30" t="s">
        <v>4093</v>
      </c>
      <c r="H10" s="45" t="str">
        <f aca="false">HYPERLINK("https://photos.app.goo.gl/zaMynqDvcXUvPKJ37", "Completo")</f>
        <v>Completo</v>
      </c>
      <c r="I10" s="21" t="s">
        <v>28</v>
      </c>
      <c r="J10" s="21"/>
      <c r="K10" s="21"/>
      <c r="L10" s="21"/>
      <c r="M10" s="21"/>
      <c r="N10" s="30"/>
      <c r="O10" s="21"/>
      <c r="P10" s="21"/>
      <c r="Q10" s="21"/>
      <c r="R10" s="32"/>
      <c r="S10" s="32"/>
      <c r="T10" s="21"/>
      <c r="U10" s="21"/>
      <c r="V10" s="21"/>
      <c r="W10" s="21"/>
      <c r="X10" s="21"/>
      <c r="Y10" s="21" t="s">
        <v>28</v>
      </c>
    </row>
    <row r="11" customFormat="false" ht="15.75" hidden="false" customHeight="false" outlineLevel="0" collapsed="false">
      <c r="A11" s="61" t="s">
        <v>4094</v>
      </c>
      <c r="B11" s="29" t="n">
        <v>44442</v>
      </c>
      <c r="C11" s="21" t="s">
        <v>4095</v>
      </c>
      <c r="D11" s="21" t="s">
        <v>24</v>
      </c>
      <c r="E11" s="21" t="s">
        <v>3337</v>
      </c>
      <c r="F11" s="21" t="s">
        <v>4096</v>
      </c>
      <c r="G11" s="30" t="s">
        <v>3813</v>
      </c>
      <c r="H11" s="45" t="str">
        <f aca="false">HYPERLINK("https://photos.app.goo.gl/5rkeSjKJvtCQ4TFD7", "Completo")</f>
        <v>Completo</v>
      </c>
      <c r="I11" s="21" t="s">
        <v>28</v>
      </c>
      <c r="J11" s="21"/>
      <c r="K11" s="21"/>
      <c r="L11" s="21"/>
      <c r="M11" s="21"/>
      <c r="N11" s="30"/>
      <c r="O11" s="21"/>
      <c r="P11" s="21"/>
      <c r="Q11" s="21"/>
      <c r="R11" s="32"/>
      <c r="S11" s="32"/>
      <c r="T11" s="21" t="s">
        <v>3337</v>
      </c>
      <c r="U11" s="21" t="s">
        <v>28</v>
      </c>
      <c r="V11" s="21" t="s">
        <v>28</v>
      </c>
      <c r="W11" s="74" t="s">
        <v>28</v>
      </c>
      <c r="X11" s="21"/>
      <c r="Y11" s="21" t="s">
        <v>37</v>
      </c>
    </row>
    <row r="12" customFormat="false" ht="15.75" hidden="false" customHeight="false" outlineLevel="0" collapsed="false">
      <c r="A12" s="61" t="s">
        <v>4097</v>
      </c>
      <c r="B12" s="29" t="n">
        <v>44442</v>
      </c>
      <c r="C12" s="21" t="s">
        <v>4095</v>
      </c>
      <c r="D12" s="21" t="s">
        <v>24</v>
      </c>
      <c r="E12" s="21" t="s">
        <v>3337</v>
      </c>
      <c r="F12" s="21" t="s">
        <v>4096</v>
      </c>
      <c r="G12" s="30"/>
      <c r="H12" s="45" t="str">
        <f aca="false">HYPERLINK("https://photos.app.goo.gl/gwKosXWtC2Uqvdkc7", "Completo")</f>
        <v>Completo</v>
      </c>
      <c r="I12" s="21" t="s">
        <v>28</v>
      </c>
      <c r="J12" s="21"/>
      <c r="K12" s="21"/>
      <c r="L12" s="21"/>
      <c r="M12" s="21"/>
      <c r="N12" s="30"/>
      <c r="O12" s="21" t="s">
        <v>28</v>
      </c>
      <c r="P12" s="74" t="s">
        <v>28</v>
      </c>
      <c r="Q12" s="21"/>
      <c r="R12" s="32" t="s">
        <v>3337</v>
      </c>
      <c r="S12" s="32"/>
      <c r="T12" s="21" t="s">
        <v>3337</v>
      </c>
      <c r="U12" s="21" t="s">
        <v>28</v>
      </c>
      <c r="V12" s="74" t="s">
        <v>28</v>
      </c>
      <c r="W12" s="74" t="s">
        <v>28</v>
      </c>
      <c r="X12" s="21"/>
      <c r="Y12" s="21" t="s">
        <v>37</v>
      </c>
    </row>
    <row r="13" customFormat="false" ht="15.75" hidden="false" customHeight="false" outlineLevel="0" collapsed="false">
      <c r="A13" s="61" t="n">
        <v>5899</v>
      </c>
      <c r="B13" s="29" t="n">
        <v>44446</v>
      </c>
      <c r="C13" s="21" t="s">
        <v>4098</v>
      </c>
      <c r="D13" s="21" t="s">
        <v>24</v>
      </c>
      <c r="E13" s="21" t="s">
        <v>3337</v>
      </c>
      <c r="F13" s="21" t="s">
        <v>4099</v>
      </c>
      <c r="G13" s="30" t="s">
        <v>4100</v>
      </c>
      <c r="H13" s="45" t="str">
        <f aca="false">HYPERLINK("https://photos.app.goo.gl/sU45EkxWLF4wTANQ6", "Completo")</f>
        <v>Completo</v>
      </c>
      <c r="I13" s="21" t="s">
        <v>28</v>
      </c>
      <c r="J13" s="21"/>
      <c r="K13" s="21"/>
      <c r="L13" s="21"/>
      <c r="M13" s="21"/>
      <c r="N13" s="30"/>
      <c r="O13" s="21"/>
      <c r="P13" s="21"/>
      <c r="Q13" s="21"/>
      <c r="R13" s="32"/>
      <c r="S13" s="32"/>
      <c r="T13" s="21"/>
      <c r="U13" s="21"/>
      <c r="V13" s="21"/>
      <c r="W13" s="21"/>
      <c r="X13" s="21"/>
      <c r="Y13" s="21" t="s">
        <v>28</v>
      </c>
    </row>
    <row r="14" customFormat="false" ht="15.75" hidden="false" customHeight="false" outlineLevel="0" collapsed="false">
      <c r="A14" s="63" t="n">
        <v>762263</v>
      </c>
      <c r="B14" s="29" t="n">
        <v>44446</v>
      </c>
      <c r="C14" s="21" t="s">
        <v>2309</v>
      </c>
      <c r="D14" s="21" t="s">
        <v>290</v>
      </c>
      <c r="E14" s="21" t="s">
        <v>3337</v>
      </c>
      <c r="F14" s="21" t="s">
        <v>4101</v>
      </c>
      <c r="G14" s="30" t="s">
        <v>4102</v>
      </c>
      <c r="H14" s="45" t="str">
        <f aca="false">HYPERLINK("https://photos.app.goo.gl/XBxFtMavDnsHw8Eg8", "Completo")</f>
        <v>Completo</v>
      </c>
      <c r="I14" s="21" t="s">
        <v>28</v>
      </c>
      <c r="J14" s="21"/>
      <c r="K14" s="21"/>
      <c r="L14" s="21"/>
      <c r="M14" s="21" t="s">
        <v>2255</v>
      </c>
      <c r="N14" s="30"/>
      <c r="O14" s="21"/>
      <c r="P14" s="21"/>
      <c r="Q14" s="21"/>
      <c r="R14" s="32"/>
      <c r="S14" s="32"/>
      <c r="T14" s="21"/>
      <c r="U14" s="21"/>
      <c r="V14" s="21"/>
      <c r="W14" s="21"/>
      <c r="X14" s="21"/>
      <c r="Y14" s="21" t="s">
        <v>28</v>
      </c>
    </row>
    <row r="15" customFormat="false" ht="15.75" hidden="false" customHeight="false" outlineLevel="0" collapsed="false">
      <c r="A15" s="63" t="n">
        <v>257223</v>
      </c>
      <c r="B15" s="29" t="n">
        <v>44446</v>
      </c>
      <c r="C15" s="21" t="s">
        <v>2905</v>
      </c>
      <c r="D15" s="21" t="s">
        <v>290</v>
      </c>
      <c r="E15" s="21" t="s">
        <v>3337</v>
      </c>
      <c r="F15" s="21" t="s">
        <v>4103</v>
      </c>
      <c r="G15" s="30" t="s">
        <v>4104</v>
      </c>
      <c r="H15" s="45" t="str">
        <f aca="false">HYPERLINK("https://photos.app.goo.gl/sN999zFXfncpYivD7", "Completo")</f>
        <v>Completo</v>
      </c>
      <c r="I15" s="21" t="s">
        <v>28</v>
      </c>
      <c r="J15" s="21"/>
      <c r="K15" s="21"/>
      <c r="L15" s="21"/>
      <c r="M15" s="21" t="s">
        <v>2255</v>
      </c>
      <c r="N15" s="30"/>
      <c r="O15" s="21"/>
      <c r="P15" s="21"/>
      <c r="Q15" s="21"/>
      <c r="R15" s="32"/>
      <c r="S15" s="32"/>
      <c r="T15" s="21" t="s">
        <v>74</v>
      </c>
      <c r="U15" s="74" t="s">
        <v>28</v>
      </c>
      <c r="V15" s="74" t="s">
        <v>28</v>
      </c>
      <c r="W15" s="74" t="s">
        <v>28</v>
      </c>
      <c r="X15" s="21" t="s">
        <v>36</v>
      </c>
      <c r="Y15" s="21" t="s">
        <v>37</v>
      </c>
    </row>
    <row r="16" customFormat="false" ht="15.75" hidden="false" customHeight="false" outlineLevel="0" collapsed="false">
      <c r="A16" s="61" t="n">
        <v>5900</v>
      </c>
      <c r="B16" s="29" t="n">
        <v>44446</v>
      </c>
      <c r="C16" s="21" t="s">
        <v>3862</v>
      </c>
      <c r="D16" s="21" t="s">
        <v>24</v>
      </c>
      <c r="E16" s="21" t="s">
        <v>3337</v>
      </c>
      <c r="F16" s="21" t="s">
        <v>4105</v>
      </c>
      <c r="G16" s="30" t="s">
        <v>4106</v>
      </c>
      <c r="H16" s="45" t="str">
        <f aca="false">HYPERLINK("https://photos.app.goo.gl/virGbxQYyj42Cw7d6", "Completo")</f>
        <v>Completo</v>
      </c>
      <c r="I16" s="21" t="s">
        <v>28</v>
      </c>
      <c r="J16" s="21"/>
      <c r="K16" s="21"/>
      <c r="L16" s="21"/>
      <c r="M16" s="21" t="s">
        <v>2255</v>
      </c>
      <c r="N16" s="30"/>
      <c r="O16" s="21"/>
      <c r="P16" s="21"/>
      <c r="Q16" s="21"/>
      <c r="R16" s="32"/>
      <c r="S16" s="32"/>
      <c r="T16" s="21" t="s">
        <v>74</v>
      </c>
      <c r="U16" s="74" t="s">
        <v>28</v>
      </c>
      <c r="V16" s="74" t="s">
        <v>28</v>
      </c>
      <c r="W16" s="74" t="s">
        <v>28</v>
      </c>
      <c r="X16" s="21" t="s">
        <v>36</v>
      </c>
      <c r="Y16" s="21" t="s">
        <v>28</v>
      </c>
    </row>
    <row r="17" customFormat="false" ht="15.75" hidden="false" customHeight="false" outlineLevel="0" collapsed="false">
      <c r="A17" s="61" t="n">
        <v>5901</v>
      </c>
      <c r="B17" s="29" t="n">
        <v>44446</v>
      </c>
      <c r="C17" s="21" t="s">
        <v>3862</v>
      </c>
      <c r="D17" s="21" t="s">
        <v>24</v>
      </c>
      <c r="E17" s="21" t="s">
        <v>3337</v>
      </c>
      <c r="F17" s="21" t="s">
        <v>4105</v>
      </c>
      <c r="G17" s="30" t="s">
        <v>4107</v>
      </c>
      <c r="H17" s="45" t="str">
        <f aca="false">HYPERLINK("https://photos.app.goo.gl/sYB3WUtMGZQNuwrd8", "Completo")</f>
        <v>Completo</v>
      </c>
      <c r="I17" s="21" t="s">
        <v>28</v>
      </c>
      <c r="J17" s="21"/>
      <c r="K17" s="21"/>
      <c r="L17" s="21"/>
      <c r="M17" s="21" t="s">
        <v>2255</v>
      </c>
      <c r="N17" s="30"/>
      <c r="O17" s="21" t="s">
        <v>28</v>
      </c>
      <c r="P17" s="74" t="s">
        <v>28</v>
      </c>
      <c r="Q17" s="21" t="s">
        <v>59</v>
      </c>
      <c r="R17" s="32"/>
      <c r="S17" s="32"/>
      <c r="T17" s="21" t="s">
        <v>3337</v>
      </c>
      <c r="U17" s="21" t="s">
        <v>28</v>
      </c>
      <c r="V17" s="74" t="s">
        <v>28</v>
      </c>
      <c r="W17" s="74" t="s">
        <v>28</v>
      </c>
      <c r="X17" s="21"/>
      <c r="Y17" s="21" t="s">
        <v>28</v>
      </c>
    </row>
    <row r="18" customFormat="false" ht="15.75" hidden="false" customHeight="false" outlineLevel="0" collapsed="false">
      <c r="A18" s="61" t="n">
        <v>5902</v>
      </c>
      <c r="B18" s="29" t="n">
        <v>44446</v>
      </c>
      <c r="C18" s="21" t="s">
        <v>4108</v>
      </c>
      <c r="D18" s="21" t="s">
        <v>24</v>
      </c>
      <c r="E18" s="21" t="s">
        <v>3337</v>
      </c>
      <c r="F18" s="21" t="s">
        <v>4109</v>
      </c>
      <c r="G18" s="30" t="s">
        <v>4110</v>
      </c>
      <c r="H18" s="45" t="str">
        <f aca="false">HYPERLINK("https://photos.app.goo.gl/QkdLfVjrgPmBThcd8", "Completo")</f>
        <v>Completo</v>
      </c>
      <c r="I18" s="21" t="s">
        <v>28</v>
      </c>
      <c r="J18" s="21"/>
      <c r="K18" s="21"/>
      <c r="L18" s="21"/>
      <c r="M18" s="21"/>
      <c r="N18" s="30"/>
      <c r="O18" s="21"/>
      <c r="P18" s="21"/>
      <c r="Q18" s="21"/>
      <c r="R18" s="32"/>
      <c r="S18" s="32"/>
      <c r="T18" s="21" t="s">
        <v>74</v>
      </c>
      <c r="U18" s="74" t="s">
        <v>28</v>
      </c>
      <c r="V18" s="74" t="s">
        <v>28</v>
      </c>
      <c r="W18" s="74" t="s">
        <v>28</v>
      </c>
      <c r="X18" s="21" t="s">
        <v>36</v>
      </c>
      <c r="Y18" s="21" t="s">
        <v>28</v>
      </c>
    </row>
    <row r="19" customFormat="false" ht="15.75" hidden="false" customHeight="false" outlineLevel="0" collapsed="false">
      <c r="A19" s="61" t="n">
        <v>5903</v>
      </c>
      <c r="B19" s="29" t="n">
        <v>44447</v>
      </c>
      <c r="C19" s="21" t="s">
        <v>2143</v>
      </c>
      <c r="D19" s="21" t="s">
        <v>24</v>
      </c>
      <c r="E19" s="21" t="s">
        <v>3337</v>
      </c>
      <c r="F19" s="21" t="s">
        <v>4111</v>
      </c>
      <c r="G19" s="30" t="s">
        <v>4112</v>
      </c>
      <c r="H19" s="45" t="str">
        <f aca="false">HYPERLINK("https://photos.app.goo.gl/hgKKd9bFqrBaT8eL9", "Completo")</f>
        <v>Completo</v>
      </c>
      <c r="I19" s="21" t="s">
        <v>28</v>
      </c>
      <c r="J19" s="21"/>
      <c r="K19" s="21"/>
      <c r="L19" s="21"/>
      <c r="M19" s="21" t="s">
        <v>2255</v>
      </c>
      <c r="N19" s="30"/>
      <c r="O19" s="21"/>
      <c r="P19" s="21"/>
      <c r="Q19" s="21"/>
      <c r="R19" s="32"/>
      <c r="S19" s="32"/>
      <c r="T19" s="21"/>
      <c r="U19" s="21"/>
      <c r="V19" s="21"/>
      <c r="W19" s="21"/>
      <c r="X19" s="21"/>
      <c r="Y19" s="21" t="s">
        <v>28</v>
      </c>
    </row>
    <row r="20" customFormat="false" ht="15.75" hidden="false" customHeight="false" outlineLevel="0" collapsed="false">
      <c r="A20" s="61" t="n">
        <v>5904</v>
      </c>
      <c r="B20" s="29" t="n">
        <v>44447</v>
      </c>
      <c r="C20" s="21" t="s">
        <v>2143</v>
      </c>
      <c r="D20" s="21" t="s">
        <v>24</v>
      </c>
      <c r="E20" s="21" t="s">
        <v>3337</v>
      </c>
      <c r="F20" s="21" t="s">
        <v>4113</v>
      </c>
      <c r="G20" s="30" t="s">
        <v>4112</v>
      </c>
      <c r="H20" s="21" t="s">
        <v>37</v>
      </c>
      <c r="I20" s="21" t="s">
        <v>28</v>
      </c>
      <c r="J20" s="21"/>
      <c r="K20" s="21"/>
      <c r="L20" s="21"/>
      <c r="M20" s="21" t="s">
        <v>2255</v>
      </c>
      <c r="N20" s="30"/>
      <c r="O20" s="21"/>
      <c r="P20" s="21"/>
      <c r="Q20" s="21"/>
      <c r="R20" s="32"/>
      <c r="S20" s="32"/>
      <c r="T20" s="21"/>
      <c r="U20" s="21"/>
      <c r="V20" s="21"/>
      <c r="W20" s="21"/>
      <c r="X20" s="21"/>
      <c r="Y20" s="21" t="s">
        <v>28</v>
      </c>
    </row>
    <row r="21" customFormat="false" ht="15.75" hidden="false" customHeight="false" outlineLevel="0" collapsed="false">
      <c r="A21" s="61" t="n">
        <v>5905</v>
      </c>
      <c r="B21" s="29" t="n">
        <v>44447</v>
      </c>
      <c r="C21" s="21" t="s">
        <v>2143</v>
      </c>
      <c r="D21" s="21" t="s">
        <v>24</v>
      </c>
      <c r="E21" s="21" t="s">
        <v>3337</v>
      </c>
      <c r="F21" s="21" t="s">
        <v>4114</v>
      </c>
      <c r="G21" s="30"/>
      <c r="H21" s="31"/>
      <c r="I21" s="21"/>
      <c r="J21" s="21"/>
      <c r="K21" s="21"/>
      <c r="L21" s="21"/>
      <c r="M21" s="21" t="s">
        <v>3650</v>
      </c>
      <c r="N21" s="30"/>
      <c r="O21" s="21"/>
      <c r="P21" s="21"/>
      <c r="Q21" s="21"/>
      <c r="R21" s="32"/>
      <c r="S21" s="32"/>
      <c r="T21" s="21"/>
      <c r="U21" s="21"/>
      <c r="V21" s="21"/>
      <c r="W21" s="21"/>
      <c r="X21" s="21"/>
      <c r="Y21" s="21"/>
    </row>
    <row r="22" customFormat="false" ht="15.75" hidden="false" customHeight="false" outlineLevel="0" collapsed="false">
      <c r="A22" s="61" t="n">
        <v>5906</v>
      </c>
      <c r="B22" s="29" t="n">
        <v>44447</v>
      </c>
      <c r="C22" s="21" t="s">
        <v>2143</v>
      </c>
      <c r="D22" s="21" t="s">
        <v>24</v>
      </c>
      <c r="E22" s="21" t="s">
        <v>3337</v>
      </c>
      <c r="F22" s="21" t="s">
        <v>4115</v>
      </c>
      <c r="G22" s="30"/>
      <c r="H22" s="31"/>
      <c r="I22" s="21"/>
      <c r="J22" s="21"/>
      <c r="K22" s="21"/>
      <c r="L22" s="21"/>
      <c r="M22" s="21" t="s">
        <v>3650</v>
      </c>
      <c r="N22" s="30"/>
      <c r="O22" s="21"/>
      <c r="P22" s="21"/>
      <c r="Q22" s="21"/>
      <c r="R22" s="32"/>
      <c r="S22" s="32"/>
      <c r="T22" s="21"/>
      <c r="U22" s="21"/>
      <c r="V22" s="21"/>
      <c r="W22" s="21"/>
      <c r="X22" s="21"/>
      <c r="Y22" s="21"/>
    </row>
    <row r="23" customFormat="false" ht="15.75" hidden="false" customHeight="false" outlineLevel="0" collapsed="false">
      <c r="A23" s="61" t="n">
        <v>5907</v>
      </c>
      <c r="B23" s="29" t="n">
        <v>44447</v>
      </c>
      <c r="C23" s="21" t="s">
        <v>2143</v>
      </c>
      <c r="D23" s="21" t="s">
        <v>24</v>
      </c>
      <c r="E23" s="21" t="s">
        <v>3337</v>
      </c>
      <c r="F23" s="21" t="s">
        <v>4115</v>
      </c>
      <c r="G23" s="30"/>
      <c r="H23" s="31"/>
      <c r="I23" s="21"/>
      <c r="J23" s="21"/>
      <c r="K23" s="21"/>
      <c r="L23" s="21"/>
      <c r="M23" s="21" t="s">
        <v>3650</v>
      </c>
      <c r="N23" s="30"/>
      <c r="O23" s="21"/>
      <c r="P23" s="21"/>
      <c r="Q23" s="21"/>
      <c r="R23" s="32"/>
      <c r="S23" s="32"/>
      <c r="T23" s="21"/>
      <c r="U23" s="21"/>
      <c r="V23" s="21"/>
      <c r="W23" s="21"/>
      <c r="X23" s="21"/>
      <c r="Y23" s="21"/>
    </row>
    <row r="24" customFormat="false" ht="15.75" hidden="false" customHeight="false" outlineLevel="0" collapsed="false">
      <c r="A24" s="61" t="n">
        <v>5908</v>
      </c>
      <c r="B24" s="29" t="n">
        <v>44447</v>
      </c>
      <c r="C24" s="21" t="s">
        <v>2143</v>
      </c>
      <c r="D24" s="21" t="s">
        <v>24</v>
      </c>
      <c r="E24" s="21" t="s">
        <v>3337</v>
      </c>
      <c r="F24" s="21" t="s">
        <v>4115</v>
      </c>
      <c r="G24" s="30"/>
      <c r="H24" s="31"/>
      <c r="I24" s="21"/>
      <c r="J24" s="21"/>
      <c r="K24" s="21"/>
      <c r="L24" s="21"/>
      <c r="M24" s="21" t="s">
        <v>3650</v>
      </c>
      <c r="N24" s="30"/>
      <c r="O24" s="21"/>
      <c r="P24" s="21"/>
      <c r="Q24" s="21"/>
      <c r="R24" s="32"/>
      <c r="S24" s="32"/>
      <c r="T24" s="21"/>
      <c r="U24" s="21"/>
      <c r="V24" s="21"/>
      <c r="W24" s="21"/>
      <c r="X24" s="21"/>
      <c r="Y24" s="21"/>
    </row>
    <row r="25" customFormat="false" ht="15.75" hidden="false" customHeight="false" outlineLevel="0" collapsed="false">
      <c r="A25" s="61" t="n">
        <v>5909</v>
      </c>
      <c r="B25" s="29" t="n">
        <v>44447</v>
      </c>
      <c r="C25" s="21" t="s">
        <v>2143</v>
      </c>
      <c r="D25" s="21" t="s">
        <v>24</v>
      </c>
      <c r="E25" s="21" t="s">
        <v>3337</v>
      </c>
      <c r="F25" s="21" t="s">
        <v>4115</v>
      </c>
      <c r="G25" s="30"/>
      <c r="H25" s="31"/>
      <c r="I25" s="21"/>
      <c r="J25" s="21"/>
      <c r="K25" s="21"/>
      <c r="L25" s="21"/>
      <c r="M25" s="21" t="s">
        <v>3650</v>
      </c>
      <c r="N25" s="30"/>
      <c r="O25" s="21"/>
      <c r="P25" s="21"/>
      <c r="Q25" s="21"/>
      <c r="R25" s="32"/>
      <c r="S25" s="32"/>
      <c r="T25" s="21"/>
      <c r="U25" s="21"/>
      <c r="V25" s="21"/>
      <c r="W25" s="21"/>
      <c r="X25" s="21"/>
      <c r="Y25" s="21"/>
    </row>
    <row r="26" customFormat="false" ht="15.75" hidden="false" customHeight="false" outlineLevel="0" collapsed="false">
      <c r="A26" s="61" t="n">
        <v>5910</v>
      </c>
      <c r="B26" s="29" t="n">
        <v>44447</v>
      </c>
      <c r="C26" s="21" t="s">
        <v>2143</v>
      </c>
      <c r="D26" s="21" t="s">
        <v>24</v>
      </c>
      <c r="E26" s="21" t="s">
        <v>3337</v>
      </c>
      <c r="F26" s="21" t="s">
        <v>4115</v>
      </c>
      <c r="G26" s="30"/>
      <c r="H26" s="31"/>
      <c r="I26" s="21"/>
      <c r="J26" s="21"/>
      <c r="K26" s="21"/>
      <c r="L26" s="21"/>
      <c r="M26" s="21" t="s">
        <v>3650</v>
      </c>
      <c r="N26" s="30"/>
      <c r="O26" s="21"/>
      <c r="P26" s="21"/>
      <c r="Q26" s="21"/>
      <c r="R26" s="32"/>
      <c r="S26" s="32"/>
      <c r="T26" s="21"/>
      <c r="U26" s="21"/>
      <c r="V26" s="21"/>
      <c r="W26" s="21"/>
      <c r="X26" s="21"/>
      <c r="Y26" s="21"/>
    </row>
    <row r="27" customFormat="false" ht="15.75" hidden="false" customHeight="false" outlineLevel="0" collapsed="false">
      <c r="A27" s="61" t="n">
        <v>5911</v>
      </c>
      <c r="B27" s="29" t="n">
        <v>44447</v>
      </c>
      <c r="C27" s="21" t="s">
        <v>2143</v>
      </c>
      <c r="D27" s="21" t="s">
        <v>24</v>
      </c>
      <c r="E27" s="21" t="s">
        <v>3337</v>
      </c>
      <c r="F27" s="21" t="s">
        <v>4115</v>
      </c>
      <c r="G27" s="30"/>
      <c r="H27" s="31"/>
      <c r="I27" s="21"/>
      <c r="J27" s="21"/>
      <c r="K27" s="21"/>
      <c r="L27" s="21"/>
      <c r="M27" s="21" t="s">
        <v>3650</v>
      </c>
      <c r="N27" s="30"/>
      <c r="O27" s="21"/>
      <c r="P27" s="21"/>
      <c r="Q27" s="21"/>
      <c r="R27" s="32"/>
      <c r="S27" s="32"/>
      <c r="T27" s="21"/>
      <c r="U27" s="21"/>
      <c r="V27" s="21"/>
      <c r="W27" s="21"/>
      <c r="X27" s="21"/>
      <c r="Y27" s="21"/>
    </row>
    <row r="28" customFormat="false" ht="15.75" hidden="false" customHeight="false" outlineLevel="0" collapsed="false">
      <c r="A28" s="61" t="n">
        <v>5912</v>
      </c>
      <c r="B28" s="29" t="n">
        <v>44447</v>
      </c>
      <c r="C28" s="21" t="s">
        <v>2143</v>
      </c>
      <c r="D28" s="21" t="s">
        <v>24</v>
      </c>
      <c r="E28" s="21" t="s">
        <v>3337</v>
      </c>
      <c r="F28" s="21" t="s">
        <v>4115</v>
      </c>
      <c r="G28" s="30"/>
      <c r="H28" s="31"/>
      <c r="I28" s="21"/>
      <c r="J28" s="21"/>
      <c r="K28" s="21"/>
      <c r="L28" s="21"/>
      <c r="M28" s="21" t="s">
        <v>3650</v>
      </c>
      <c r="N28" s="30"/>
      <c r="O28" s="21"/>
      <c r="P28" s="21"/>
      <c r="Q28" s="21"/>
      <c r="R28" s="32"/>
      <c r="S28" s="32"/>
      <c r="T28" s="21"/>
      <c r="U28" s="21"/>
      <c r="V28" s="21"/>
      <c r="W28" s="21"/>
      <c r="X28" s="21"/>
      <c r="Y28" s="21"/>
    </row>
    <row r="29" customFormat="false" ht="15.75" hidden="false" customHeight="false" outlineLevel="0" collapsed="false">
      <c r="A29" s="61" t="n">
        <v>5913</v>
      </c>
      <c r="B29" s="29" t="n">
        <v>44447</v>
      </c>
      <c r="C29" s="21" t="s">
        <v>2143</v>
      </c>
      <c r="D29" s="21" t="s">
        <v>24</v>
      </c>
      <c r="E29" s="21" t="s">
        <v>3337</v>
      </c>
      <c r="F29" s="21" t="s">
        <v>4115</v>
      </c>
      <c r="G29" s="30"/>
      <c r="H29" s="31"/>
      <c r="I29" s="21"/>
      <c r="J29" s="21"/>
      <c r="K29" s="21"/>
      <c r="L29" s="21"/>
      <c r="M29" s="21" t="s">
        <v>3650</v>
      </c>
      <c r="N29" s="30"/>
      <c r="O29" s="21"/>
      <c r="P29" s="21"/>
      <c r="Q29" s="21"/>
      <c r="R29" s="32"/>
      <c r="S29" s="32"/>
      <c r="T29" s="21"/>
      <c r="U29" s="21"/>
      <c r="V29" s="21"/>
      <c r="W29" s="21"/>
      <c r="X29" s="21"/>
      <c r="Y29" s="21"/>
    </row>
    <row r="30" customFormat="false" ht="15.75" hidden="false" customHeight="false" outlineLevel="0" collapsed="false">
      <c r="A30" s="61" t="n">
        <v>5914</v>
      </c>
      <c r="B30" s="29" t="n">
        <v>44447</v>
      </c>
      <c r="C30" s="21" t="s">
        <v>2143</v>
      </c>
      <c r="D30" s="21" t="s">
        <v>24</v>
      </c>
      <c r="E30" s="21" t="s">
        <v>3337</v>
      </c>
      <c r="F30" s="21" t="s">
        <v>4115</v>
      </c>
      <c r="G30" s="30"/>
      <c r="H30" s="31"/>
      <c r="I30" s="21"/>
      <c r="J30" s="21"/>
      <c r="K30" s="21"/>
      <c r="L30" s="21"/>
      <c r="M30" s="21" t="s">
        <v>3650</v>
      </c>
      <c r="N30" s="30"/>
      <c r="O30" s="21"/>
      <c r="P30" s="21"/>
      <c r="Q30" s="21"/>
      <c r="R30" s="32"/>
      <c r="S30" s="32"/>
      <c r="T30" s="21"/>
      <c r="U30" s="21"/>
      <c r="V30" s="21"/>
      <c r="W30" s="21"/>
      <c r="X30" s="21"/>
      <c r="Y30" s="21"/>
    </row>
    <row r="31" customFormat="false" ht="15.75" hidden="false" customHeight="false" outlineLevel="0" collapsed="false">
      <c r="A31" s="61" t="n">
        <v>5915</v>
      </c>
      <c r="B31" s="29" t="n">
        <v>44447</v>
      </c>
      <c r="C31" s="21" t="s">
        <v>2143</v>
      </c>
      <c r="D31" s="21" t="s">
        <v>24</v>
      </c>
      <c r="E31" s="21" t="s">
        <v>3337</v>
      </c>
      <c r="F31" s="21" t="s">
        <v>4115</v>
      </c>
      <c r="G31" s="30"/>
      <c r="H31" s="31"/>
      <c r="I31" s="21"/>
      <c r="J31" s="21"/>
      <c r="K31" s="21"/>
      <c r="L31" s="21"/>
      <c r="M31" s="21" t="s">
        <v>3650</v>
      </c>
      <c r="N31" s="30"/>
      <c r="O31" s="21"/>
      <c r="P31" s="21"/>
      <c r="Q31" s="21"/>
      <c r="R31" s="32"/>
      <c r="S31" s="32"/>
      <c r="T31" s="21"/>
      <c r="U31" s="21"/>
      <c r="V31" s="21"/>
      <c r="W31" s="21"/>
      <c r="X31" s="21"/>
      <c r="Y31" s="21"/>
    </row>
    <row r="32" customFormat="false" ht="15.75" hidden="false" customHeight="false" outlineLevel="0" collapsed="false">
      <c r="A32" s="61" t="n">
        <v>5916</v>
      </c>
      <c r="B32" s="29" t="n">
        <v>44447</v>
      </c>
      <c r="C32" s="21" t="s">
        <v>2143</v>
      </c>
      <c r="D32" s="21" t="s">
        <v>24</v>
      </c>
      <c r="E32" s="21" t="s">
        <v>3337</v>
      </c>
      <c r="F32" s="21" t="s">
        <v>4115</v>
      </c>
      <c r="G32" s="30"/>
      <c r="H32" s="31"/>
      <c r="I32" s="21"/>
      <c r="J32" s="21"/>
      <c r="K32" s="21"/>
      <c r="L32" s="21"/>
      <c r="M32" s="21" t="s">
        <v>3650</v>
      </c>
      <c r="N32" s="30"/>
      <c r="O32" s="21"/>
      <c r="P32" s="21"/>
      <c r="Q32" s="21"/>
      <c r="R32" s="32"/>
      <c r="S32" s="32"/>
      <c r="T32" s="21"/>
      <c r="U32" s="21"/>
      <c r="V32" s="21"/>
      <c r="W32" s="21"/>
      <c r="X32" s="21"/>
      <c r="Y32" s="21"/>
    </row>
    <row r="33" customFormat="false" ht="15.75" hidden="false" customHeight="false" outlineLevel="0" collapsed="false">
      <c r="A33" s="61" t="n">
        <v>5917</v>
      </c>
      <c r="B33" s="29" t="n">
        <v>44447</v>
      </c>
      <c r="C33" s="21" t="s">
        <v>2143</v>
      </c>
      <c r="D33" s="21" t="s">
        <v>24</v>
      </c>
      <c r="E33" s="21" t="s">
        <v>3337</v>
      </c>
      <c r="F33" s="21" t="s">
        <v>4115</v>
      </c>
      <c r="G33" s="30"/>
      <c r="H33" s="31"/>
      <c r="I33" s="21"/>
      <c r="J33" s="21"/>
      <c r="K33" s="21"/>
      <c r="L33" s="21"/>
      <c r="M33" s="21" t="s">
        <v>3650</v>
      </c>
      <c r="N33" s="30"/>
      <c r="O33" s="21"/>
      <c r="P33" s="21"/>
      <c r="Q33" s="21"/>
      <c r="R33" s="32"/>
      <c r="S33" s="32"/>
      <c r="T33" s="21"/>
      <c r="U33" s="21"/>
      <c r="V33" s="21"/>
      <c r="W33" s="21"/>
      <c r="X33" s="21"/>
      <c r="Y33" s="21"/>
    </row>
    <row r="34" customFormat="false" ht="15.75" hidden="false" customHeight="false" outlineLevel="0" collapsed="false">
      <c r="A34" s="61" t="n">
        <v>5918</v>
      </c>
      <c r="B34" s="29" t="n">
        <v>44447</v>
      </c>
      <c r="C34" s="21" t="s">
        <v>2143</v>
      </c>
      <c r="D34" s="21" t="s">
        <v>24</v>
      </c>
      <c r="E34" s="21" t="s">
        <v>3337</v>
      </c>
      <c r="F34" s="21" t="s">
        <v>4115</v>
      </c>
      <c r="G34" s="30"/>
      <c r="H34" s="31"/>
      <c r="I34" s="21"/>
      <c r="J34" s="21"/>
      <c r="K34" s="21"/>
      <c r="L34" s="21"/>
      <c r="M34" s="21" t="s">
        <v>3650</v>
      </c>
      <c r="N34" s="30"/>
      <c r="O34" s="21"/>
      <c r="P34" s="21"/>
      <c r="Q34" s="21"/>
      <c r="R34" s="32"/>
      <c r="S34" s="32"/>
      <c r="T34" s="21"/>
      <c r="U34" s="21"/>
      <c r="V34" s="21"/>
      <c r="W34" s="21"/>
      <c r="X34" s="21"/>
      <c r="Y34" s="21"/>
    </row>
    <row r="35" customFormat="false" ht="15.75" hidden="false" customHeight="false" outlineLevel="0" collapsed="false">
      <c r="A35" s="61" t="n">
        <v>5919</v>
      </c>
      <c r="B35" s="29" t="n">
        <v>44447</v>
      </c>
      <c r="C35" s="21" t="s">
        <v>2143</v>
      </c>
      <c r="D35" s="21" t="s">
        <v>24</v>
      </c>
      <c r="E35" s="21" t="s">
        <v>3337</v>
      </c>
      <c r="F35" s="21" t="s">
        <v>4115</v>
      </c>
      <c r="G35" s="30"/>
      <c r="H35" s="31"/>
      <c r="I35" s="21"/>
      <c r="J35" s="21"/>
      <c r="K35" s="21"/>
      <c r="L35" s="21"/>
      <c r="M35" s="21" t="s">
        <v>3650</v>
      </c>
      <c r="N35" s="30"/>
      <c r="O35" s="21"/>
      <c r="P35" s="21"/>
      <c r="Q35" s="21"/>
      <c r="R35" s="32"/>
      <c r="S35" s="32"/>
      <c r="T35" s="21"/>
      <c r="U35" s="21"/>
      <c r="V35" s="21"/>
      <c r="W35" s="21"/>
      <c r="X35" s="21"/>
      <c r="Y35" s="21"/>
    </row>
    <row r="36" customFormat="false" ht="15.75" hidden="false" customHeight="false" outlineLevel="0" collapsed="false">
      <c r="A36" s="61" t="n">
        <v>5920</v>
      </c>
      <c r="B36" s="29" t="n">
        <v>44447</v>
      </c>
      <c r="C36" s="21" t="s">
        <v>2143</v>
      </c>
      <c r="D36" s="21" t="s">
        <v>24</v>
      </c>
      <c r="E36" s="21" t="s">
        <v>3337</v>
      </c>
      <c r="F36" s="21" t="s">
        <v>4115</v>
      </c>
      <c r="G36" s="30"/>
      <c r="H36" s="31"/>
      <c r="I36" s="21"/>
      <c r="J36" s="21"/>
      <c r="K36" s="21"/>
      <c r="L36" s="21"/>
      <c r="M36" s="21" t="s">
        <v>3650</v>
      </c>
      <c r="N36" s="30"/>
      <c r="O36" s="21"/>
      <c r="P36" s="21"/>
      <c r="Q36" s="21"/>
      <c r="R36" s="32"/>
      <c r="S36" s="32"/>
      <c r="T36" s="21"/>
      <c r="U36" s="21"/>
      <c r="V36" s="21"/>
      <c r="W36" s="21"/>
      <c r="X36" s="21"/>
      <c r="Y36" s="21"/>
    </row>
    <row r="37" customFormat="false" ht="15.75" hidden="false" customHeight="false" outlineLevel="0" collapsed="false">
      <c r="A37" s="61" t="n">
        <v>5921</v>
      </c>
      <c r="B37" s="29" t="n">
        <v>44447</v>
      </c>
      <c r="C37" s="21" t="s">
        <v>2143</v>
      </c>
      <c r="D37" s="21" t="s">
        <v>24</v>
      </c>
      <c r="E37" s="21" t="s">
        <v>3337</v>
      </c>
      <c r="F37" s="21" t="s">
        <v>4115</v>
      </c>
      <c r="G37" s="30"/>
      <c r="H37" s="31"/>
      <c r="I37" s="21"/>
      <c r="J37" s="21"/>
      <c r="K37" s="21"/>
      <c r="L37" s="21"/>
      <c r="M37" s="21" t="s">
        <v>3650</v>
      </c>
      <c r="N37" s="30"/>
      <c r="O37" s="21"/>
      <c r="P37" s="21"/>
      <c r="Q37" s="21"/>
      <c r="R37" s="32"/>
      <c r="S37" s="32"/>
      <c r="T37" s="21"/>
      <c r="U37" s="21"/>
      <c r="V37" s="21"/>
      <c r="W37" s="21"/>
      <c r="X37" s="21"/>
      <c r="Y37" s="21"/>
    </row>
    <row r="38" customFormat="false" ht="15.75" hidden="false" customHeight="false" outlineLevel="0" collapsed="false">
      <c r="A38" s="61" t="n">
        <v>5922</v>
      </c>
      <c r="B38" s="29" t="n">
        <v>44447</v>
      </c>
      <c r="C38" s="21" t="s">
        <v>2143</v>
      </c>
      <c r="D38" s="21" t="s">
        <v>24</v>
      </c>
      <c r="E38" s="21" t="s">
        <v>3337</v>
      </c>
      <c r="F38" s="21" t="s">
        <v>4115</v>
      </c>
      <c r="G38" s="30"/>
      <c r="H38" s="31"/>
      <c r="I38" s="21"/>
      <c r="J38" s="21"/>
      <c r="K38" s="21"/>
      <c r="L38" s="21"/>
      <c r="M38" s="21" t="s">
        <v>3650</v>
      </c>
      <c r="N38" s="30"/>
      <c r="O38" s="21"/>
      <c r="P38" s="21"/>
      <c r="Q38" s="21"/>
      <c r="R38" s="32"/>
      <c r="S38" s="32"/>
      <c r="T38" s="21"/>
      <c r="U38" s="21"/>
      <c r="V38" s="21"/>
      <c r="W38" s="21"/>
      <c r="X38" s="21"/>
      <c r="Y38" s="21"/>
    </row>
    <row r="39" customFormat="false" ht="15.75" hidden="false" customHeight="false" outlineLevel="0" collapsed="false">
      <c r="A39" s="61" t="n">
        <v>5923</v>
      </c>
      <c r="B39" s="29" t="n">
        <v>44447</v>
      </c>
      <c r="C39" s="21" t="s">
        <v>2143</v>
      </c>
      <c r="D39" s="21" t="s">
        <v>24</v>
      </c>
      <c r="E39" s="21" t="s">
        <v>3337</v>
      </c>
      <c r="F39" s="21" t="s">
        <v>4115</v>
      </c>
      <c r="G39" s="30"/>
      <c r="H39" s="31"/>
      <c r="I39" s="21"/>
      <c r="J39" s="21"/>
      <c r="K39" s="21"/>
      <c r="L39" s="21"/>
      <c r="M39" s="21" t="s">
        <v>3650</v>
      </c>
      <c r="N39" s="30"/>
      <c r="O39" s="21"/>
      <c r="P39" s="21"/>
      <c r="Q39" s="21"/>
      <c r="R39" s="32"/>
      <c r="S39" s="32"/>
      <c r="T39" s="21"/>
      <c r="U39" s="21"/>
      <c r="V39" s="21"/>
      <c r="W39" s="21"/>
      <c r="X39" s="21"/>
      <c r="Y39" s="21"/>
    </row>
    <row r="40" customFormat="false" ht="15.75" hidden="false" customHeight="false" outlineLevel="0" collapsed="false">
      <c r="A40" s="61" t="n">
        <v>5924</v>
      </c>
      <c r="B40" s="29" t="n">
        <v>44447</v>
      </c>
      <c r="C40" s="21" t="s">
        <v>2143</v>
      </c>
      <c r="D40" s="21" t="s">
        <v>24</v>
      </c>
      <c r="E40" s="21" t="s">
        <v>3337</v>
      </c>
      <c r="F40" s="21" t="s">
        <v>4115</v>
      </c>
      <c r="G40" s="30"/>
      <c r="H40" s="31"/>
      <c r="I40" s="21"/>
      <c r="J40" s="21"/>
      <c r="K40" s="21"/>
      <c r="L40" s="21"/>
      <c r="M40" s="21" t="s">
        <v>3650</v>
      </c>
      <c r="N40" s="30"/>
      <c r="O40" s="21"/>
      <c r="P40" s="21"/>
      <c r="Q40" s="21"/>
      <c r="R40" s="32"/>
      <c r="S40" s="32"/>
      <c r="T40" s="21"/>
      <c r="U40" s="21"/>
      <c r="V40" s="21"/>
      <c r="W40" s="21"/>
      <c r="X40" s="21"/>
      <c r="Y40" s="21"/>
    </row>
    <row r="41" customFormat="false" ht="15.75" hidden="false" customHeight="false" outlineLevel="0" collapsed="false">
      <c r="A41" s="61" t="n">
        <v>5925</v>
      </c>
      <c r="B41" s="29" t="n">
        <v>44447</v>
      </c>
      <c r="C41" s="21" t="s">
        <v>2143</v>
      </c>
      <c r="D41" s="21" t="s">
        <v>24</v>
      </c>
      <c r="E41" s="21" t="s">
        <v>3337</v>
      </c>
      <c r="F41" s="21" t="s">
        <v>4115</v>
      </c>
      <c r="G41" s="30"/>
      <c r="H41" s="31"/>
      <c r="I41" s="21"/>
      <c r="J41" s="21"/>
      <c r="K41" s="21"/>
      <c r="L41" s="21"/>
      <c r="M41" s="21" t="s">
        <v>3650</v>
      </c>
      <c r="N41" s="30"/>
      <c r="O41" s="21"/>
      <c r="P41" s="21"/>
      <c r="Q41" s="21"/>
      <c r="R41" s="32"/>
      <c r="S41" s="32"/>
      <c r="T41" s="21"/>
      <c r="U41" s="21"/>
      <c r="V41" s="21"/>
      <c r="W41" s="21"/>
      <c r="X41" s="21"/>
      <c r="Y41" s="21"/>
    </row>
    <row r="42" customFormat="false" ht="15.75" hidden="false" customHeight="false" outlineLevel="0" collapsed="false">
      <c r="A42" s="61" t="n">
        <v>5926</v>
      </c>
      <c r="B42" s="29" t="n">
        <v>44447</v>
      </c>
      <c r="C42" s="21" t="s">
        <v>2143</v>
      </c>
      <c r="D42" s="21" t="s">
        <v>24</v>
      </c>
      <c r="E42" s="21" t="s">
        <v>3337</v>
      </c>
      <c r="F42" s="21" t="s">
        <v>4115</v>
      </c>
      <c r="G42" s="30"/>
      <c r="H42" s="31"/>
      <c r="I42" s="21"/>
      <c r="J42" s="21"/>
      <c r="K42" s="21"/>
      <c r="L42" s="21"/>
      <c r="M42" s="21" t="s">
        <v>3650</v>
      </c>
      <c r="N42" s="30"/>
      <c r="O42" s="21"/>
      <c r="P42" s="21"/>
      <c r="Q42" s="21"/>
      <c r="R42" s="32"/>
      <c r="S42" s="32"/>
      <c r="T42" s="21"/>
      <c r="U42" s="21"/>
      <c r="V42" s="21"/>
      <c r="W42" s="21"/>
      <c r="X42" s="21"/>
      <c r="Y42" s="21"/>
    </row>
    <row r="43" customFormat="false" ht="15.75" hidden="false" customHeight="false" outlineLevel="0" collapsed="false">
      <c r="A43" s="61" t="n">
        <v>5927</v>
      </c>
      <c r="B43" s="29" t="n">
        <v>44447</v>
      </c>
      <c r="C43" s="21" t="s">
        <v>2143</v>
      </c>
      <c r="D43" s="21" t="s">
        <v>24</v>
      </c>
      <c r="E43" s="21" t="s">
        <v>3337</v>
      </c>
      <c r="F43" s="21" t="s">
        <v>4115</v>
      </c>
      <c r="G43" s="30"/>
      <c r="H43" s="31"/>
      <c r="I43" s="21"/>
      <c r="J43" s="21"/>
      <c r="K43" s="21"/>
      <c r="L43" s="21"/>
      <c r="M43" s="21" t="s">
        <v>3650</v>
      </c>
      <c r="N43" s="30"/>
      <c r="O43" s="21"/>
      <c r="P43" s="21"/>
      <c r="Q43" s="21"/>
      <c r="R43" s="32"/>
      <c r="S43" s="32"/>
      <c r="T43" s="21"/>
      <c r="U43" s="21"/>
      <c r="V43" s="21"/>
      <c r="W43" s="21"/>
      <c r="X43" s="21"/>
      <c r="Y43" s="21"/>
    </row>
    <row r="44" customFormat="false" ht="15.75" hidden="false" customHeight="false" outlineLevel="0" collapsed="false">
      <c r="A44" s="61" t="n">
        <v>5928</v>
      </c>
      <c r="B44" s="29" t="n">
        <v>44447</v>
      </c>
      <c r="C44" s="21" t="s">
        <v>2143</v>
      </c>
      <c r="D44" s="21" t="s">
        <v>24</v>
      </c>
      <c r="E44" s="21" t="s">
        <v>3337</v>
      </c>
      <c r="F44" s="21" t="s">
        <v>4115</v>
      </c>
      <c r="G44" s="30"/>
      <c r="H44" s="31"/>
      <c r="I44" s="21"/>
      <c r="J44" s="21"/>
      <c r="K44" s="21"/>
      <c r="L44" s="21"/>
      <c r="M44" s="21" t="s">
        <v>3650</v>
      </c>
      <c r="N44" s="30"/>
      <c r="O44" s="21"/>
      <c r="P44" s="21"/>
      <c r="Q44" s="21"/>
      <c r="R44" s="32"/>
      <c r="S44" s="32"/>
      <c r="T44" s="21"/>
      <c r="U44" s="21"/>
      <c r="V44" s="21"/>
      <c r="W44" s="21"/>
      <c r="X44" s="21"/>
      <c r="Y44" s="21"/>
    </row>
    <row r="45" customFormat="false" ht="15.75" hidden="false" customHeight="false" outlineLevel="0" collapsed="false">
      <c r="A45" s="61" t="n">
        <v>5929</v>
      </c>
      <c r="B45" s="29" t="n">
        <v>44447</v>
      </c>
      <c r="C45" s="21" t="s">
        <v>2143</v>
      </c>
      <c r="D45" s="21" t="s">
        <v>24</v>
      </c>
      <c r="E45" s="21" t="s">
        <v>3337</v>
      </c>
      <c r="F45" s="21" t="s">
        <v>4115</v>
      </c>
      <c r="G45" s="30"/>
      <c r="H45" s="31"/>
      <c r="I45" s="21"/>
      <c r="J45" s="21"/>
      <c r="K45" s="21"/>
      <c r="L45" s="21"/>
      <c r="M45" s="21" t="s">
        <v>3650</v>
      </c>
      <c r="N45" s="30"/>
      <c r="O45" s="21"/>
      <c r="P45" s="21"/>
      <c r="Q45" s="21"/>
      <c r="R45" s="32"/>
      <c r="S45" s="32"/>
      <c r="T45" s="21"/>
      <c r="U45" s="21"/>
      <c r="V45" s="21"/>
      <c r="W45" s="21"/>
      <c r="X45" s="21"/>
      <c r="Y45" s="21"/>
    </row>
    <row r="46" customFormat="false" ht="15.75" hidden="false" customHeight="false" outlineLevel="0" collapsed="false">
      <c r="A46" s="61" t="n">
        <v>5930</v>
      </c>
      <c r="B46" s="29" t="n">
        <v>44447</v>
      </c>
      <c r="C46" s="21" t="s">
        <v>2143</v>
      </c>
      <c r="D46" s="21" t="s">
        <v>24</v>
      </c>
      <c r="E46" s="21" t="s">
        <v>3337</v>
      </c>
      <c r="F46" s="21" t="s">
        <v>4115</v>
      </c>
      <c r="G46" s="30"/>
      <c r="H46" s="31"/>
      <c r="I46" s="21"/>
      <c r="J46" s="21"/>
      <c r="K46" s="21"/>
      <c r="L46" s="21"/>
      <c r="M46" s="21" t="s">
        <v>3650</v>
      </c>
      <c r="N46" s="30"/>
      <c r="O46" s="21"/>
      <c r="P46" s="21"/>
      <c r="Q46" s="21"/>
      <c r="R46" s="32"/>
      <c r="S46" s="32"/>
      <c r="T46" s="21"/>
      <c r="U46" s="21"/>
      <c r="V46" s="21"/>
      <c r="W46" s="21"/>
      <c r="X46" s="21"/>
      <c r="Y46" s="21"/>
    </row>
    <row r="47" customFormat="false" ht="15.75" hidden="false" customHeight="false" outlineLevel="0" collapsed="false">
      <c r="A47" s="61" t="n">
        <v>5931</v>
      </c>
      <c r="B47" s="29" t="n">
        <v>44447</v>
      </c>
      <c r="C47" s="21" t="s">
        <v>2143</v>
      </c>
      <c r="D47" s="21" t="s">
        <v>24</v>
      </c>
      <c r="E47" s="21" t="s">
        <v>3337</v>
      </c>
      <c r="F47" s="21" t="s">
        <v>4115</v>
      </c>
      <c r="G47" s="30"/>
      <c r="H47" s="31"/>
      <c r="I47" s="21"/>
      <c r="J47" s="21"/>
      <c r="K47" s="21"/>
      <c r="L47" s="21"/>
      <c r="M47" s="21" t="s">
        <v>3650</v>
      </c>
      <c r="N47" s="30"/>
      <c r="O47" s="21"/>
      <c r="P47" s="21"/>
      <c r="Q47" s="21"/>
      <c r="R47" s="32"/>
      <c r="S47" s="32"/>
      <c r="T47" s="21"/>
      <c r="U47" s="21"/>
      <c r="V47" s="21"/>
      <c r="W47" s="21"/>
      <c r="X47" s="21"/>
      <c r="Y47" s="21"/>
    </row>
    <row r="48" customFormat="false" ht="15.75" hidden="false" customHeight="false" outlineLevel="0" collapsed="false">
      <c r="A48" s="61" t="n">
        <v>5932</v>
      </c>
      <c r="B48" s="29" t="n">
        <v>44447</v>
      </c>
      <c r="C48" s="21" t="s">
        <v>2143</v>
      </c>
      <c r="D48" s="21" t="s">
        <v>24</v>
      </c>
      <c r="E48" s="21" t="s">
        <v>3337</v>
      </c>
      <c r="F48" s="21" t="s">
        <v>4115</v>
      </c>
      <c r="G48" s="30"/>
      <c r="H48" s="31"/>
      <c r="I48" s="21"/>
      <c r="J48" s="21"/>
      <c r="K48" s="21"/>
      <c r="L48" s="21"/>
      <c r="M48" s="21" t="s">
        <v>3650</v>
      </c>
      <c r="N48" s="30"/>
      <c r="O48" s="21"/>
      <c r="P48" s="21"/>
      <c r="Q48" s="21"/>
      <c r="R48" s="32"/>
      <c r="S48" s="32"/>
      <c r="T48" s="21"/>
      <c r="U48" s="21"/>
      <c r="V48" s="21"/>
      <c r="W48" s="21"/>
      <c r="X48" s="21"/>
      <c r="Y48" s="21"/>
    </row>
    <row r="49" customFormat="false" ht="15.75" hidden="false" customHeight="false" outlineLevel="0" collapsed="false">
      <c r="A49" s="61" t="n">
        <v>5933</v>
      </c>
      <c r="B49" s="29" t="n">
        <v>44447</v>
      </c>
      <c r="C49" s="21" t="s">
        <v>2143</v>
      </c>
      <c r="D49" s="21" t="s">
        <v>24</v>
      </c>
      <c r="E49" s="21" t="s">
        <v>3337</v>
      </c>
      <c r="F49" s="21" t="s">
        <v>4115</v>
      </c>
      <c r="G49" s="30"/>
      <c r="H49" s="31"/>
      <c r="I49" s="21"/>
      <c r="J49" s="21"/>
      <c r="K49" s="21"/>
      <c r="L49" s="21"/>
      <c r="M49" s="21" t="s">
        <v>3650</v>
      </c>
      <c r="N49" s="30"/>
      <c r="O49" s="21"/>
      <c r="P49" s="21"/>
      <c r="Q49" s="21"/>
      <c r="R49" s="32"/>
      <c r="S49" s="32"/>
      <c r="T49" s="21"/>
      <c r="U49" s="21"/>
      <c r="V49" s="21"/>
      <c r="W49" s="21"/>
      <c r="X49" s="21"/>
      <c r="Y49" s="21"/>
    </row>
    <row r="50" customFormat="false" ht="15.75" hidden="false" customHeight="false" outlineLevel="0" collapsed="false">
      <c r="A50" s="61" t="n">
        <v>5934</v>
      </c>
      <c r="B50" s="29" t="n">
        <v>44447</v>
      </c>
      <c r="C50" s="21" t="s">
        <v>2143</v>
      </c>
      <c r="D50" s="21" t="s">
        <v>24</v>
      </c>
      <c r="E50" s="21" t="s">
        <v>3337</v>
      </c>
      <c r="F50" s="21" t="s">
        <v>4115</v>
      </c>
      <c r="G50" s="30"/>
      <c r="H50" s="31"/>
      <c r="I50" s="21"/>
      <c r="J50" s="21"/>
      <c r="K50" s="21"/>
      <c r="L50" s="21"/>
      <c r="M50" s="21" t="s">
        <v>3650</v>
      </c>
      <c r="N50" s="30"/>
      <c r="O50" s="21"/>
      <c r="P50" s="21"/>
      <c r="Q50" s="21"/>
      <c r="R50" s="32"/>
      <c r="S50" s="32"/>
      <c r="T50" s="21"/>
      <c r="U50" s="21"/>
      <c r="V50" s="21"/>
      <c r="W50" s="21"/>
      <c r="X50" s="21"/>
      <c r="Y50" s="21"/>
    </row>
    <row r="51" customFormat="false" ht="15.75" hidden="false" customHeight="false" outlineLevel="0" collapsed="false">
      <c r="A51" s="61" t="n">
        <v>5935</v>
      </c>
      <c r="B51" s="29" t="n">
        <v>44447</v>
      </c>
      <c r="C51" s="21" t="s">
        <v>2143</v>
      </c>
      <c r="D51" s="21" t="s">
        <v>24</v>
      </c>
      <c r="E51" s="21" t="s">
        <v>3337</v>
      </c>
      <c r="F51" s="21" t="s">
        <v>4115</v>
      </c>
      <c r="G51" s="30"/>
      <c r="H51" s="31"/>
      <c r="I51" s="21"/>
      <c r="J51" s="21"/>
      <c r="K51" s="21"/>
      <c r="L51" s="21"/>
      <c r="M51" s="21" t="s">
        <v>3650</v>
      </c>
      <c r="N51" s="30"/>
      <c r="O51" s="21"/>
      <c r="P51" s="21"/>
      <c r="Q51" s="21"/>
      <c r="R51" s="32"/>
      <c r="S51" s="32"/>
      <c r="T51" s="21"/>
      <c r="U51" s="21"/>
      <c r="V51" s="21"/>
      <c r="W51" s="21"/>
      <c r="X51" s="21"/>
      <c r="Y51" s="21"/>
    </row>
    <row r="52" customFormat="false" ht="15.75" hidden="false" customHeight="false" outlineLevel="0" collapsed="false">
      <c r="A52" s="61" t="n">
        <v>5936</v>
      </c>
      <c r="B52" s="29" t="n">
        <v>44447</v>
      </c>
      <c r="C52" s="21" t="s">
        <v>2143</v>
      </c>
      <c r="D52" s="21" t="s">
        <v>24</v>
      </c>
      <c r="E52" s="21" t="s">
        <v>3337</v>
      </c>
      <c r="F52" s="21" t="s">
        <v>4115</v>
      </c>
      <c r="G52" s="30"/>
      <c r="H52" s="31"/>
      <c r="I52" s="21"/>
      <c r="J52" s="21"/>
      <c r="K52" s="21"/>
      <c r="L52" s="21"/>
      <c r="M52" s="21" t="s">
        <v>3650</v>
      </c>
      <c r="N52" s="30"/>
      <c r="O52" s="21"/>
      <c r="P52" s="21"/>
      <c r="Q52" s="21"/>
      <c r="R52" s="32"/>
      <c r="S52" s="32"/>
      <c r="T52" s="21"/>
      <c r="U52" s="21"/>
      <c r="V52" s="21"/>
      <c r="W52" s="21"/>
      <c r="X52" s="21"/>
      <c r="Y52" s="21"/>
    </row>
    <row r="53" customFormat="false" ht="15.75" hidden="false" customHeight="false" outlineLevel="0" collapsed="false">
      <c r="A53" s="61" t="n">
        <v>5937</v>
      </c>
      <c r="B53" s="29" t="n">
        <v>44447</v>
      </c>
      <c r="C53" s="21" t="s">
        <v>2143</v>
      </c>
      <c r="D53" s="21" t="s">
        <v>24</v>
      </c>
      <c r="E53" s="21" t="s">
        <v>3337</v>
      </c>
      <c r="F53" s="21" t="s">
        <v>4115</v>
      </c>
      <c r="G53" s="30"/>
      <c r="H53" s="31"/>
      <c r="I53" s="21"/>
      <c r="J53" s="21"/>
      <c r="K53" s="21"/>
      <c r="L53" s="21"/>
      <c r="M53" s="21" t="s">
        <v>3650</v>
      </c>
      <c r="N53" s="30"/>
      <c r="O53" s="21"/>
      <c r="P53" s="21"/>
      <c r="Q53" s="21"/>
      <c r="R53" s="32"/>
      <c r="S53" s="32"/>
      <c r="T53" s="21"/>
      <c r="U53" s="21"/>
      <c r="V53" s="21"/>
      <c r="W53" s="21"/>
      <c r="X53" s="21"/>
      <c r="Y53" s="21"/>
    </row>
    <row r="54" customFormat="false" ht="15.75" hidden="false" customHeight="false" outlineLevel="0" collapsed="false">
      <c r="A54" s="61" t="n">
        <v>5938</v>
      </c>
      <c r="B54" s="29" t="n">
        <v>44447</v>
      </c>
      <c r="C54" s="21" t="s">
        <v>2143</v>
      </c>
      <c r="D54" s="21" t="s">
        <v>24</v>
      </c>
      <c r="E54" s="21" t="s">
        <v>3337</v>
      </c>
      <c r="F54" s="21" t="s">
        <v>4115</v>
      </c>
      <c r="G54" s="30"/>
      <c r="H54" s="31"/>
      <c r="I54" s="21"/>
      <c r="J54" s="21"/>
      <c r="K54" s="21"/>
      <c r="L54" s="21"/>
      <c r="M54" s="21" t="s">
        <v>3650</v>
      </c>
      <c r="N54" s="30"/>
      <c r="O54" s="21"/>
      <c r="P54" s="21"/>
      <c r="Q54" s="21"/>
      <c r="R54" s="32"/>
      <c r="S54" s="32"/>
      <c r="T54" s="21"/>
      <c r="U54" s="21"/>
      <c r="V54" s="21"/>
      <c r="W54" s="21"/>
      <c r="X54" s="21"/>
      <c r="Y54" s="21"/>
    </row>
    <row r="55" customFormat="false" ht="15.75" hidden="false" customHeight="false" outlineLevel="0" collapsed="false">
      <c r="A55" s="61" t="n">
        <v>5939</v>
      </c>
      <c r="B55" s="29" t="n">
        <v>44447</v>
      </c>
      <c r="C55" s="21" t="s">
        <v>2143</v>
      </c>
      <c r="D55" s="21" t="s">
        <v>24</v>
      </c>
      <c r="E55" s="21" t="s">
        <v>3337</v>
      </c>
      <c r="F55" s="21" t="s">
        <v>4115</v>
      </c>
      <c r="G55" s="30"/>
      <c r="H55" s="31"/>
      <c r="I55" s="21"/>
      <c r="J55" s="21"/>
      <c r="K55" s="21"/>
      <c r="L55" s="21"/>
      <c r="M55" s="21" t="s">
        <v>3650</v>
      </c>
      <c r="N55" s="30"/>
      <c r="O55" s="21"/>
      <c r="P55" s="21"/>
      <c r="Q55" s="21"/>
      <c r="R55" s="32"/>
      <c r="S55" s="32"/>
      <c r="T55" s="21"/>
      <c r="U55" s="21"/>
      <c r="V55" s="21"/>
      <c r="W55" s="21"/>
      <c r="X55" s="21"/>
      <c r="Y55" s="21"/>
    </row>
    <row r="56" customFormat="false" ht="15.75" hidden="false" customHeight="false" outlineLevel="0" collapsed="false">
      <c r="A56" s="61" t="n">
        <v>5940</v>
      </c>
      <c r="B56" s="29" t="n">
        <v>44447</v>
      </c>
      <c r="C56" s="21" t="s">
        <v>2143</v>
      </c>
      <c r="D56" s="21" t="s">
        <v>24</v>
      </c>
      <c r="E56" s="21" t="s">
        <v>3337</v>
      </c>
      <c r="F56" s="21" t="s">
        <v>4115</v>
      </c>
      <c r="G56" s="30"/>
      <c r="H56" s="31"/>
      <c r="I56" s="21"/>
      <c r="J56" s="21"/>
      <c r="K56" s="21"/>
      <c r="L56" s="21"/>
      <c r="M56" s="21" t="s">
        <v>3650</v>
      </c>
      <c r="N56" s="30"/>
      <c r="O56" s="21"/>
      <c r="P56" s="21"/>
      <c r="Q56" s="21"/>
      <c r="R56" s="32"/>
      <c r="S56" s="32"/>
      <c r="T56" s="21"/>
      <c r="U56" s="21"/>
      <c r="V56" s="21"/>
      <c r="W56" s="21"/>
      <c r="X56" s="21"/>
      <c r="Y56" s="21"/>
    </row>
    <row r="57" customFormat="false" ht="15.75" hidden="false" customHeight="false" outlineLevel="0" collapsed="false">
      <c r="A57" s="61" t="n">
        <v>5941</v>
      </c>
      <c r="B57" s="29" t="n">
        <v>44448</v>
      </c>
      <c r="C57" s="21" t="s">
        <v>4116</v>
      </c>
      <c r="D57" s="21" t="s">
        <v>24</v>
      </c>
      <c r="E57" s="21" t="s">
        <v>3337</v>
      </c>
      <c r="F57" s="21" t="s">
        <v>4117</v>
      </c>
      <c r="G57" s="30"/>
      <c r="H57" s="31" t="s">
        <v>28</v>
      </c>
      <c r="I57" s="21" t="s">
        <v>28</v>
      </c>
      <c r="J57" s="21" t="n">
        <v>3543314040</v>
      </c>
      <c r="K57" s="21"/>
      <c r="L57" s="21"/>
      <c r="M57" s="21" t="s">
        <v>2255</v>
      </c>
      <c r="N57" s="30"/>
      <c r="O57" s="21"/>
      <c r="P57" s="21"/>
      <c r="Q57" s="21"/>
      <c r="R57" s="32"/>
      <c r="S57" s="32"/>
      <c r="T57" s="21"/>
      <c r="U57" s="21"/>
      <c r="V57" s="21"/>
      <c r="W57" s="21"/>
      <c r="X57" s="21"/>
      <c r="Y57" s="21" t="s">
        <v>37</v>
      </c>
    </row>
    <row r="58" customFormat="false" ht="15.75" hidden="false" customHeight="false" outlineLevel="0" collapsed="false">
      <c r="A58" s="61" t="n">
        <v>5942</v>
      </c>
      <c r="B58" s="29" t="n">
        <v>44448</v>
      </c>
      <c r="C58" s="21" t="s">
        <v>4118</v>
      </c>
      <c r="D58" s="21" t="s">
        <v>24</v>
      </c>
      <c r="E58" s="21" t="s">
        <v>3337</v>
      </c>
      <c r="F58" s="21" t="s">
        <v>3946</v>
      </c>
      <c r="G58" s="30" t="s">
        <v>4119</v>
      </c>
      <c r="H58" s="45" t="str">
        <f aca="false">HYPERLINK("https://photos.app.goo.gl/UqpTxUDU1AXFNURR8", "Completo")</f>
        <v>Completo</v>
      </c>
      <c r="I58" s="21" t="s">
        <v>28</v>
      </c>
      <c r="J58" s="21" t="n">
        <v>3513208066</v>
      </c>
      <c r="K58" s="21" t="s">
        <v>4120</v>
      </c>
      <c r="L58" s="21"/>
      <c r="M58" s="21" t="s">
        <v>2255</v>
      </c>
      <c r="N58" s="30"/>
      <c r="O58" s="21"/>
      <c r="P58" s="21"/>
      <c r="Q58" s="21"/>
      <c r="R58" s="32"/>
      <c r="S58" s="32"/>
      <c r="T58" s="21" t="s">
        <v>74</v>
      </c>
      <c r="U58" s="74" t="s">
        <v>28</v>
      </c>
      <c r="V58" s="74" t="s">
        <v>28</v>
      </c>
      <c r="W58" s="74" t="s">
        <v>28</v>
      </c>
      <c r="X58" s="21" t="s">
        <v>36</v>
      </c>
      <c r="Y58" s="21" t="s">
        <v>28</v>
      </c>
    </row>
    <row r="59" customFormat="false" ht="15.75" hidden="false" customHeight="false" outlineLevel="0" collapsed="false">
      <c r="A59" s="61" t="n">
        <v>5943</v>
      </c>
      <c r="B59" s="29" t="n">
        <v>44448</v>
      </c>
      <c r="C59" s="21" t="s">
        <v>4118</v>
      </c>
      <c r="D59" s="21" t="s">
        <v>24</v>
      </c>
      <c r="E59" s="21" t="s">
        <v>3337</v>
      </c>
      <c r="F59" s="21" t="s">
        <v>3946</v>
      </c>
      <c r="G59" s="30" t="s">
        <v>4121</v>
      </c>
      <c r="H59" s="45" t="str">
        <f aca="false">HYPERLINK("https://photos.app.goo.gl/kuQtBR7J2CXEyG7w6", "Completo")</f>
        <v>Completo</v>
      </c>
      <c r="I59" s="21" t="s">
        <v>28</v>
      </c>
      <c r="J59" s="21" t="n">
        <v>3513208066</v>
      </c>
      <c r="K59" s="21" t="s">
        <v>4120</v>
      </c>
      <c r="L59" s="21"/>
      <c r="M59" s="21" t="s">
        <v>2255</v>
      </c>
      <c r="N59" s="30"/>
      <c r="O59" s="21" t="s">
        <v>28</v>
      </c>
      <c r="P59" s="21" t="s">
        <v>28</v>
      </c>
      <c r="Q59" s="21" t="s">
        <v>4122</v>
      </c>
      <c r="R59" s="32" t="s">
        <v>2850</v>
      </c>
      <c r="S59" s="32"/>
      <c r="T59" s="21" t="s">
        <v>3337</v>
      </c>
      <c r="U59" s="74" t="s">
        <v>28</v>
      </c>
      <c r="V59" s="74" t="s">
        <v>28</v>
      </c>
      <c r="W59" s="74" t="s">
        <v>28</v>
      </c>
      <c r="X59" s="21" t="s">
        <v>36</v>
      </c>
      <c r="Y59" s="21" t="s">
        <v>28</v>
      </c>
    </row>
    <row r="60" customFormat="false" ht="15.75" hidden="false" customHeight="false" outlineLevel="0" collapsed="false">
      <c r="A60" s="61" t="n">
        <v>5944</v>
      </c>
      <c r="B60" s="29" t="n">
        <v>44452</v>
      </c>
      <c r="C60" s="21" t="s">
        <v>4123</v>
      </c>
      <c r="D60" s="21" t="s">
        <v>24</v>
      </c>
      <c r="E60" s="21" t="s">
        <v>34</v>
      </c>
      <c r="F60" s="21" t="s">
        <v>4124</v>
      </c>
      <c r="G60" s="30"/>
      <c r="H60" s="31"/>
      <c r="I60" s="21"/>
      <c r="J60" s="21"/>
      <c r="K60" s="21"/>
      <c r="L60" s="21"/>
      <c r="M60" s="21"/>
      <c r="N60" s="30"/>
      <c r="O60" s="21"/>
      <c r="P60" s="21"/>
      <c r="Q60" s="21"/>
      <c r="R60" s="32"/>
      <c r="S60" s="32"/>
      <c r="T60" s="21"/>
      <c r="U60" s="21"/>
      <c r="V60" s="21"/>
      <c r="W60" s="21"/>
      <c r="X60" s="21"/>
      <c r="Y60" s="21" t="s">
        <v>28</v>
      </c>
    </row>
    <row r="61" customFormat="false" ht="15.75" hidden="false" customHeight="false" outlineLevel="0" collapsed="false">
      <c r="A61" s="61" t="n">
        <v>5945</v>
      </c>
      <c r="B61" s="29" t="n">
        <v>44452</v>
      </c>
      <c r="C61" s="21" t="s">
        <v>4123</v>
      </c>
      <c r="D61" s="21" t="s">
        <v>24</v>
      </c>
      <c r="E61" s="21" t="s">
        <v>34</v>
      </c>
      <c r="F61" s="21" t="s">
        <v>4125</v>
      </c>
      <c r="G61" s="30"/>
      <c r="H61" s="31"/>
      <c r="I61" s="21"/>
      <c r="J61" s="21"/>
      <c r="K61" s="21"/>
      <c r="L61" s="21"/>
      <c r="M61" s="21"/>
      <c r="N61" s="30"/>
      <c r="O61" s="21"/>
      <c r="P61" s="21"/>
      <c r="Q61" s="21"/>
      <c r="R61" s="32"/>
      <c r="S61" s="32"/>
      <c r="T61" s="21"/>
      <c r="U61" s="21"/>
      <c r="V61" s="21"/>
      <c r="W61" s="21"/>
      <c r="X61" s="21"/>
      <c r="Y61" s="21" t="s">
        <v>28</v>
      </c>
    </row>
    <row r="62" customFormat="false" ht="15.75" hidden="false" customHeight="false" outlineLevel="0" collapsed="false">
      <c r="A62" s="61" t="n">
        <v>5946</v>
      </c>
      <c r="B62" s="29" t="n">
        <v>44452</v>
      </c>
      <c r="C62" s="21" t="s">
        <v>4123</v>
      </c>
      <c r="D62" s="21" t="s">
        <v>24</v>
      </c>
      <c r="E62" s="21" t="s">
        <v>34</v>
      </c>
      <c r="F62" s="21" t="s">
        <v>4126</v>
      </c>
      <c r="G62" s="30"/>
      <c r="H62" s="31"/>
      <c r="I62" s="21"/>
      <c r="J62" s="21"/>
      <c r="K62" s="21"/>
      <c r="L62" s="21"/>
      <c r="M62" s="21"/>
      <c r="N62" s="30"/>
      <c r="O62" s="21"/>
      <c r="P62" s="21"/>
      <c r="Q62" s="21"/>
      <c r="R62" s="32"/>
      <c r="S62" s="32"/>
      <c r="T62" s="21"/>
      <c r="U62" s="21"/>
      <c r="V62" s="21"/>
      <c r="W62" s="21"/>
      <c r="X62" s="21"/>
      <c r="Y62" s="21" t="s">
        <v>28</v>
      </c>
    </row>
    <row r="63" customFormat="false" ht="15.75" hidden="false" customHeight="false" outlineLevel="0" collapsed="false">
      <c r="A63" s="61" t="n">
        <v>5947</v>
      </c>
      <c r="B63" s="29" t="n">
        <v>44452</v>
      </c>
      <c r="C63" s="21" t="s">
        <v>4123</v>
      </c>
      <c r="D63" s="21" t="s">
        <v>24</v>
      </c>
      <c r="E63" s="21" t="s">
        <v>34</v>
      </c>
      <c r="F63" s="21" t="s">
        <v>4127</v>
      </c>
      <c r="G63" s="30"/>
      <c r="H63" s="31"/>
      <c r="I63" s="21"/>
      <c r="J63" s="21"/>
      <c r="K63" s="21"/>
      <c r="L63" s="21"/>
      <c r="M63" s="21"/>
      <c r="N63" s="30"/>
      <c r="O63" s="21"/>
      <c r="P63" s="21"/>
      <c r="Q63" s="21"/>
      <c r="R63" s="32"/>
      <c r="S63" s="32"/>
      <c r="T63" s="21"/>
      <c r="U63" s="21"/>
      <c r="V63" s="21"/>
      <c r="W63" s="21"/>
      <c r="X63" s="21"/>
      <c r="Y63" s="21" t="s">
        <v>28</v>
      </c>
    </row>
    <row r="64" customFormat="false" ht="15.75" hidden="false" customHeight="false" outlineLevel="0" collapsed="false">
      <c r="A64" s="61" t="n">
        <v>5948</v>
      </c>
      <c r="B64" s="29" t="n">
        <v>44452</v>
      </c>
      <c r="C64" s="21" t="s">
        <v>4123</v>
      </c>
      <c r="D64" s="21" t="s">
        <v>24</v>
      </c>
      <c r="E64" s="21" t="s">
        <v>34</v>
      </c>
      <c r="F64" s="21" t="s">
        <v>4128</v>
      </c>
      <c r="G64" s="30"/>
      <c r="H64" s="31"/>
      <c r="I64" s="21"/>
      <c r="J64" s="21"/>
      <c r="K64" s="21"/>
      <c r="L64" s="21"/>
      <c r="M64" s="21"/>
      <c r="N64" s="30"/>
      <c r="O64" s="21"/>
      <c r="P64" s="21"/>
      <c r="Q64" s="21"/>
      <c r="R64" s="32"/>
      <c r="S64" s="32"/>
      <c r="T64" s="21"/>
      <c r="U64" s="21"/>
      <c r="V64" s="21"/>
      <c r="W64" s="21"/>
      <c r="X64" s="21"/>
      <c r="Y64" s="21" t="s">
        <v>28</v>
      </c>
    </row>
    <row r="65" customFormat="false" ht="15.75" hidden="false" customHeight="false" outlineLevel="0" collapsed="false">
      <c r="A65" s="61" t="n">
        <v>5949</v>
      </c>
      <c r="B65" s="29" t="n">
        <v>44452</v>
      </c>
      <c r="C65" s="21" t="s">
        <v>4129</v>
      </c>
      <c r="D65" s="21" t="s">
        <v>24</v>
      </c>
      <c r="E65" s="21" t="s">
        <v>3337</v>
      </c>
      <c r="F65" s="21" t="s">
        <v>3936</v>
      </c>
      <c r="G65" s="30" t="s">
        <v>4130</v>
      </c>
      <c r="H65" s="45" t="str">
        <f aca="false">HYPERLINK("https://photos.app.goo.gl/b3cLFxMdyi4KAMys9", "Completo")</f>
        <v>Completo</v>
      </c>
      <c r="I65" s="21" t="s">
        <v>28</v>
      </c>
      <c r="J65" s="21"/>
      <c r="K65" s="21"/>
      <c r="L65" s="21"/>
      <c r="M65" s="21" t="s">
        <v>4131</v>
      </c>
      <c r="N65" s="30"/>
      <c r="O65" s="21"/>
      <c r="P65" s="21"/>
      <c r="Q65" s="21"/>
      <c r="R65" s="32"/>
      <c r="S65" s="32"/>
      <c r="T65" s="21"/>
      <c r="U65" s="21"/>
      <c r="V65" s="21"/>
      <c r="W65" s="21"/>
      <c r="X65" s="21"/>
      <c r="Y65" s="21" t="s">
        <v>28</v>
      </c>
    </row>
    <row r="66" customFormat="false" ht="15.75" hidden="false" customHeight="false" outlineLevel="0" collapsed="false">
      <c r="A66" s="61" t="n">
        <v>5669</v>
      </c>
      <c r="B66" s="29" t="n">
        <v>44452</v>
      </c>
      <c r="C66" s="21" t="s">
        <v>3877</v>
      </c>
      <c r="D66" s="21"/>
      <c r="E66" s="21" t="s">
        <v>3337</v>
      </c>
      <c r="F66" s="21" t="s">
        <v>3903</v>
      </c>
      <c r="G66" s="30" t="s">
        <v>4132</v>
      </c>
      <c r="H66" s="45" t="str">
        <f aca="false">HYPERLINK("https://photos.app.goo.gl/MjpAQeQ8MvCTdXyJ8", "Completo")</f>
        <v>Completo</v>
      </c>
      <c r="I66" s="21" t="s">
        <v>28</v>
      </c>
      <c r="J66" s="21"/>
      <c r="K66" s="21"/>
      <c r="L66" s="21"/>
      <c r="M66" s="21"/>
      <c r="N66" s="30"/>
      <c r="O66" s="21"/>
      <c r="P66" s="21"/>
      <c r="Q66" s="21"/>
      <c r="R66" s="32"/>
      <c r="S66" s="32"/>
      <c r="T66" s="21" t="s">
        <v>3337</v>
      </c>
      <c r="U66" s="74" t="s">
        <v>28</v>
      </c>
      <c r="V66" s="21" t="s">
        <v>28</v>
      </c>
      <c r="W66" s="74" t="s">
        <v>28</v>
      </c>
      <c r="X66" s="21"/>
      <c r="Y66" s="21" t="s">
        <v>28</v>
      </c>
    </row>
    <row r="67" customFormat="false" ht="15.75" hidden="false" customHeight="false" outlineLevel="0" collapsed="false">
      <c r="A67" s="61" t="n">
        <v>5950</v>
      </c>
      <c r="B67" s="29" t="n">
        <v>44453</v>
      </c>
      <c r="C67" s="21" t="s">
        <v>4133</v>
      </c>
      <c r="D67" s="21" t="s">
        <v>24</v>
      </c>
      <c r="E67" s="21" t="s">
        <v>34</v>
      </c>
      <c r="F67" s="21" t="s">
        <v>4134</v>
      </c>
      <c r="G67" s="30"/>
      <c r="H67" s="31"/>
      <c r="I67" s="21"/>
      <c r="J67" s="21"/>
      <c r="K67" s="21"/>
      <c r="L67" s="21"/>
      <c r="M67" s="21"/>
      <c r="N67" s="30"/>
      <c r="O67" s="21"/>
      <c r="P67" s="21"/>
      <c r="Q67" s="21"/>
      <c r="R67" s="32"/>
      <c r="S67" s="32"/>
      <c r="T67" s="21"/>
      <c r="U67" s="21"/>
      <c r="V67" s="21"/>
      <c r="W67" s="21"/>
      <c r="X67" s="21"/>
      <c r="Y67" s="21" t="s">
        <v>28</v>
      </c>
    </row>
    <row r="68" customFormat="false" ht="15.75" hidden="false" customHeight="false" outlineLevel="0" collapsed="false">
      <c r="A68" s="63" t="n">
        <v>1206763</v>
      </c>
      <c r="B68" s="29" t="n">
        <v>44453</v>
      </c>
      <c r="C68" s="21" t="s">
        <v>3924</v>
      </c>
      <c r="D68" s="21" t="s">
        <v>290</v>
      </c>
      <c r="E68" s="21" t="s">
        <v>3337</v>
      </c>
      <c r="F68" s="21" t="s">
        <v>4135</v>
      </c>
      <c r="G68" s="30" t="s">
        <v>4136</v>
      </c>
      <c r="H68" s="45" t="str">
        <f aca="false">HYPERLINK("https://photos.app.goo.gl/eQuzNzPgTuaDuEBr8", "Completo")</f>
        <v>Completo</v>
      </c>
      <c r="I68" s="21" t="s">
        <v>28</v>
      </c>
      <c r="J68" s="21"/>
      <c r="K68" s="21"/>
      <c r="L68" s="21"/>
      <c r="M68" s="21" t="s">
        <v>2255</v>
      </c>
      <c r="N68" s="30"/>
      <c r="O68" s="21"/>
      <c r="P68" s="21"/>
      <c r="Q68" s="21"/>
      <c r="R68" s="32"/>
      <c r="S68" s="32"/>
      <c r="T68" s="21" t="s">
        <v>3337</v>
      </c>
      <c r="U68" s="74" t="s">
        <v>28</v>
      </c>
      <c r="V68" s="74" t="s">
        <v>28</v>
      </c>
      <c r="W68" s="74" t="s">
        <v>28</v>
      </c>
      <c r="X68" s="21"/>
      <c r="Y68" s="21" t="s">
        <v>28</v>
      </c>
    </row>
    <row r="69" customFormat="false" ht="15.75" hidden="false" customHeight="false" outlineLevel="0" collapsed="false">
      <c r="A69" s="61" t="n">
        <v>5951</v>
      </c>
      <c r="B69" s="29" t="n">
        <v>44453</v>
      </c>
      <c r="C69" s="21" t="s">
        <v>4137</v>
      </c>
      <c r="D69" s="21" t="s">
        <v>24</v>
      </c>
      <c r="E69" s="21" t="s">
        <v>25</v>
      </c>
      <c r="F69" s="21" t="s">
        <v>4138</v>
      </c>
      <c r="G69" s="30" t="s">
        <v>4139</v>
      </c>
      <c r="H69" s="45" t="str">
        <f aca="false">HYPERLINK("https://photos.app.goo.gl/pXN5A1HK6zKLLjX88", "Completo")</f>
        <v>Completo</v>
      </c>
      <c r="I69" s="32" t="s">
        <v>28</v>
      </c>
      <c r="J69" s="21" t="n">
        <v>3525645070</v>
      </c>
      <c r="K69" s="21" t="s">
        <v>4140</v>
      </c>
      <c r="L69" s="21"/>
      <c r="M69" s="21" t="s">
        <v>2133</v>
      </c>
      <c r="N69" s="30"/>
      <c r="O69" s="21" t="s">
        <v>28</v>
      </c>
      <c r="P69" s="21" t="s">
        <v>28</v>
      </c>
      <c r="Q69" s="21" t="s">
        <v>2700</v>
      </c>
      <c r="R69" s="32" t="s">
        <v>2850</v>
      </c>
      <c r="S69" s="32"/>
      <c r="T69" s="21" t="s">
        <v>3337</v>
      </c>
      <c r="U69" s="21" t="s">
        <v>28</v>
      </c>
      <c r="V69" s="74" t="s">
        <v>28</v>
      </c>
      <c r="W69" s="74" t="s">
        <v>28</v>
      </c>
      <c r="X69" s="21"/>
      <c r="Y69" s="21" t="s">
        <v>28</v>
      </c>
    </row>
    <row r="70" customFormat="false" ht="15.75" hidden="false" customHeight="false" outlineLevel="0" collapsed="false">
      <c r="A70" s="61" t="n">
        <v>5952</v>
      </c>
      <c r="B70" s="29" t="n">
        <v>44455</v>
      </c>
      <c r="C70" s="21" t="s">
        <v>2905</v>
      </c>
      <c r="D70" s="21" t="s">
        <v>24</v>
      </c>
      <c r="E70" s="21" t="s">
        <v>25</v>
      </c>
      <c r="F70" s="21" t="s">
        <v>2051</v>
      </c>
      <c r="G70" s="30" t="s">
        <v>4141</v>
      </c>
      <c r="H70" s="45" t="str">
        <f aca="false">HYPERLINK("https://photos.app.goo.gl/tZNyJe2MLrg8Hh6x9", "Completo")</f>
        <v>Completo</v>
      </c>
      <c r="I70" s="21" t="s">
        <v>28</v>
      </c>
      <c r="J70" s="21"/>
      <c r="K70" s="21"/>
      <c r="L70" s="21"/>
      <c r="M70" s="21"/>
      <c r="N70" s="30"/>
      <c r="O70" s="21"/>
      <c r="P70" s="21"/>
      <c r="Q70" s="21"/>
      <c r="R70" s="32"/>
      <c r="S70" s="32"/>
      <c r="T70" s="21"/>
      <c r="U70" s="21"/>
      <c r="V70" s="21"/>
      <c r="W70" s="21"/>
      <c r="X70" s="21"/>
      <c r="Y70" s="21" t="s">
        <v>28</v>
      </c>
    </row>
    <row r="71" customFormat="false" ht="15.75" hidden="false" customHeight="false" outlineLevel="0" collapsed="false">
      <c r="A71" s="63" t="n">
        <v>1426639</v>
      </c>
      <c r="B71" s="29" t="n">
        <v>44459</v>
      </c>
      <c r="C71" s="21" t="s">
        <v>4142</v>
      </c>
      <c r="D71" s="21" t="s">
        <v>290</v>
      </c>
      <c r="E71" s="21" t="s">
        <v>3337</v>
      </c>
      <c r="F71" s="21" t="s">
        <v>4143</v>
      </c>
      <c r="G71" s="30"/>
      <c r="H71" s="45" t="str">
        <f aca="false">HYPERLINK("https://photos.app.goo.gl/SKHmvEgFjtD9RvVH9", "Completo")</f>
        <v>Completo</v>
      </c>
      <c r="I71" s="21" t="s">
        <v>28</v>
      </c>
      <c r="J71" s="21"/>
      <c r="K71" s="21"/>
      <c r="L71" s="21"/>
      <c r="M71" s="21" t="s">
        <v>2255</v>
      </c>
      <c r="N71" s="30"/>
      <c r="O71" s="21"/>
      <c r="P71" s="21"/>
      <c r="Q71" s="21"/>
      <c r="R71" s="32"/>
      <c r="S71" s="32"/>
      <c r="T71" s="21"/>
      <c r="U71" s="21"/>
      <c r="V71" s="21"/>
      <c r="W71" s="21"/>
      <c r="X71" s="21"/>
      <c r="Y71" s="21" t="s">
        <v>28</v>
      </c>
    </row>
    <row r="72" customFormat="false" ht="15.75" hidden="false" customHeight="false" outlineLevel="0" collapsed="false">
      <c r="A72" s="61" t="n">
        <v>5953</v>
      </c>
      <c r="B72" s="29" t="n">
        <v>44460</v>
      </c>
      <c r="C72" s="21" t="s">
        <v>3877</v>
      </c>
      <c r="D72" s="21" t="s">
        <v>24</v>
      </c>
      <c r="E72" s="21" t="s">
        <v>3337</v>
      </c>
      <c r="F72" s="21" t="s">
        <v>3903</v>
      </c>
      <c r="G72" s="30" t="s">
        <v>4144</v>
      </c>
      <c r="H72" s="45" t="str">
        <f aca="false">HYPERLINK("https://photos.app.goo.gl/RsLqYzivfKo3LkjA9", "Completo")</f>
        <v>Completo</v>
      </c>
      <c r="I72" s="21" t="s">
        <v>28</v>
      </c>
      <c r="J72" s="21"/>
      <c r="K72" s="21"/>
      <c r="L72" s="21"/>
      <c r="M72" s="21" t="s">
        <v>2255</v>
      </c>
      <c r="N72" s="30"/>
      <c r="O72" s="21" t="s">
        <v>28</v>
      </c>
      <c r="P72" s="21" t="s">
        <v>28</v>
      </c>
      <c r="Q72" s="21" t="s">
        <v>4145</v>
      </c>
      <c r="R72" s="32" t="s">
        <v>2850</v>
      </c>
      <c r="S72" s="32"/>
      <c r="T72" s="21" t="s">
        <v>74</v>
      </c>
      <c r="U72" s="74" t="s">
        <v>28</v>
      </c>
      <c r="V72" s="74" t="s">
        <v>28</v>
      </c>
      <c r="W72" s="74" t="s">
        <v>28</v>
      </c>
      <c r="X72" s="21" t="s">
        <v>36</v>
      </c>
      <c r="Y72" s="21" t="s">
        <v>37</v>
      </c>
    </row>
    <row r="73" customFormat="false" ht="15.75" hidden="false" customHeight="false" outlineLevel="0" collapsed="false">
      <c r="A73" s="61" t="n">
        <v>5954</v>
      </c>
      <c r="B73" s="29" t="n">
        <v>44460</v>
      </c>
      <c r="C73" s="21" t="s">
        <v>4146</v>
      </c>
      <c r="D73" s="21" t="s">
        <v>24</v>
      </c>
      <c r="E73" s="21" t="s">
        <v>4147</v>
      </c>
      <c r="F73" s="21" t="s">
        <v>4148</v>
      </c>
      <c r="G73" s="30"/>
      <c r="H73" s="31" t="s">
        <v>37</v>
      </c>
      <c r="I73" s="21" t="s">
        <v>37</v>
      </c>
      <c r="J73" s="21"/>
      <c r="K73" s="21"/>
      <c r="L73" s="21"/>
      <c r="M73" s="21"/>
      <c r="N73" s="30"/>
      <c r="O73" s="21"/>
      <c r="P73" s="21"/>
      <c r="Q73" s="21"/>
      <c r="R73" s="32"/>
      <c r="S73" s="32"/>
      <c r="T73" s="21"/>
      <c r="U73" s="21"/>
      <c r="V73" s="21"/>
      <c r="W73" s="21"/>
      <c r="X73" s="21"/>
      <c r="Y73" s="21" t="s">
        <v>28</v>
      </c>
    </row>
    <row r="74" customFormat="false" ht="15.75" hidden="false" customHeight="false" outlineLevel="0" collapsed="false">
      <c r="A74" s="61" t="n">
        <v>5955</v>
      </c>
      <c r="B74" s="29" t="n">
        <v>44460</v>
      </c>
      <c r="C74" s="21" t="s">
        <v>3469</v>
      </c>
      <c r="D74" s="21" t="s">
        <v>24</v>
      </c>
      <c r="E74" s="21" t="s">
        <v>25</v>
      </c>
      <c r="F74" s="21" t="s">
        <v>4149</v>
      </c>
      <c r="G74" s="30" t="s">
        <v>4150</v>
      </c>
      <c r="H74" s="45" t="str">
        <f aca="false">HYPERLINK("https://photos.app.goo.gl/s7hMtMoiGwhtQ4859", "Completo")</f>
        <v>Completo</v>
      </c>
      <c r="I74" s="21" t="s">
        <v>28</v>
      </c>
      <c r="J74" s="21"/>
      <c r="K74" s="21"/>
      <c r="L74" s="21"/>
      <c r="M74" s="21" t="s">
        <v>2133</v>
      </c>
      <c r="N74" s="30"/>
      <c r="O74" s="21"/>
      <c r="P74" s="21"/>
      <c r="Q74" s="21"/>
      <c r="R74" s="32"/>
      <c r="S74" s="32"/>
      <c r="T74" s="21" t="s">
        <v>3337</v>
      </c>
      <c r="U74" s="74" t="s">
        <v>28</v>
      </c>
      <c r="V74" s="21" t="s">
        <v>28</v>
      </c>
      <c r="W74" s="21" t="s">
        <v>28</v>
      </c>
      <c r="X74" s="21"/>
      <c r="Y74" s="21" t="s">
        <v>28</v>
      </c>
    </row>
    <row r="75" customFormat="false" ht="15.75" hidden="false" customHeight="false" outlineLevel="0" collapsed="false">
      <c r="A75" s="61" t="n">
        <v>5956</v>
      </c>
      <c r="B75" s="29" t="n">
        <v>44460</v>
      </c>
      <c r="C75" s="21" t="s">
        <v>3438</v>
      </c>
      <c r="D75" s="21" t="s">
        <v>24</v>
      </c>
      <c r="E75" s="21" t="s">
        <v>25</v>
      </c>
      <c r="F75" s="21" t="s">
        <v>4149</v>
      </c>
      <c r="G75" s="30" t="s">
        <v>4151</v>
      </c>
      <c r="H75" s="45" t="str">
        <f aca="false">HYPERLINK("https://photos.app.goo.gl/QWwhXQyQ6z9fM1DY9", "Completo")</f>
        <v>Completo</v>
      </c>
      <c r="I75" s="21" t="s">
        <v>28</v>
      </c>
      <c r="J75" s="21"/>
      <c r="K75" s="21"/>
      <c r="L75" s="21"/>
      <c r="M75" s="21" t="s">
        <v>2133</v>
      </c>
      <c r="N75" s="30"/>
      <c r="O75" s="21"/>
      <c r="P75" s="21"/>
      <c r="Q75" s="21"/>
      <c r="R75" s="32"/>
      <c r="S75" s="32"/>
      <c r="T75" s="21" t="s">
        <v>74</v>
      </c>
      <c r="U75" s="74" t="s">
        <v>28</v>
      </c>
      <c r="V75" s="74" t="s">
        <v>28</v>
      </c>
      <c r="W75" s="74" t="s">
        <v>28</v>
      </c>
      <c r="X75" s="74" t="s">
        <v>3695</v>
      </c>
      <c r="Y75" s="21" t="s">
        <v>28</v>
      </c>
    </row>
    <row r="76" customFormat="false" ht="15.75" hidden="false" customHeight="false" outlineLevel="0" collapsed="false">
      <c r="A76" s="61" t="n">
        <v>5957</v>
      </c>
      <c r="B76" s="29" t="n">
        <v>44460</v>
      </c>
      <c r="C76" s="21" t="s">
        <v>3516</v>
      </c>
      <c r="D76" s="21" t="s">
        <v>24</v>
      </c>
      <c r="E76" s="21" t="s">
        <v>25</v>
      </c>
      <c r="F76" s="21" t="s">
        <v>4152</v>
      </c>
      <c r="G76" s="30" t="s">
        <v>4153</v>
      </c>
      <c r="H76" s="45" t="str">
        <f aca="false">HYPERLINK("https://photos.app.goo.gl/EhCgSg9sTd3NuEAQ9", "Completo")</f>
        <v>Completo</v>
      </c>
      <c r="I76" s="21" t="s">
        <v>28</v>
      </c>
      <c r="J76" s="21"/>
      <c r="K76" s="21"/>
      <c r="L76" s="21"/>
      <c r="M76" s="21" t="s">
        <v>2133</v>
      </c>
      <c r="N76" s="69" t="s">
        <v>4154</v>
      </c>
      <c r="O76" s="21" t="s">
        <v>28</v>
      </c>
      <c r="P76" s="21" t="s">
        <v>28</v>
      </c>
      <c r="Q76" s="21" t="s">
        <v>1062</v>
      </c>
      <c r="R76" s="32" t="s">
        <v>74</v>
      </c>
      <c r="S76" s="32" t="s">
        <v>36</v>
      </c>
      <c r="T76" s="21" t="s">
        <v>74</v>
      </c>
      <c r="U76" s="74" t="s">
        <v>28</v>
      </c>
      <c r="V76" s="74" t="s">
        <v>28</v>
      </c>
      <c r="W76" s="74" t="s">
        <v>28</v>
      </c>
      <c r="X76" s="21" t="s">
        <v>36</v>
      </c>
      <c r="Y76" s="21" t="s">
        <v>28</v>
      </c>
    </row>
    <row r="77" customFormat="false" ht="15.75" hidden="false" customHeight="false" outlineLevel="0" collapsed="false">
      <c r="A77" s="61" t="n">
        <v>5958</v>
      </c>
      <c r="B77" s="29" t="n">
        <v>44460</v>
      </c>
      <c r="C77" s="21" t="s">
        <v>2575</v>
      </c>
      <c r="D77" s="21" t="s">
        <v>24</v>
      </c>
      <c r="E77" s="21" t="s">
        <v>25</v>
      </c>
      <c r="F77" s="21" t="s">
        <v>4155</v>
      </c>
      <c r="G77" s="30" t="s">
        <v>4156</v>
      </c>
      <c r="H77" s="31" t="s">
        <v>28</v>
      </c>
      <c r="I77" s="21" t="s">
        <v>28</v>
      </c>
      <c r="J77" s="21"/>
      <c r="K77" s="21"/>
      <c r="L77" s="21"/>
      <c r="M77" s="21" t="s">
        <v>2133</v>
      </c>
      <c r="N77" s="69" t="s">
        <v>4157</v>
      </c>
      <c r="O77" s="21" t="s">
        <v>28</v>
      </c>
      <c r="P77" s="21" t="s">
        <v>28</v>
      </c>
      <c r="Q77" s="21" t="s">
        <v>73</v>
      </c>
      <c r="R77" s="32" t="s">
        <v>74</v>
      </c>
      <c r="S77" s="32" t="s">
        <v>36</v>
      </c>
      <c r="T77" s="21" t="s">
        <v>74</v>
      </c>
      <c r="U77" s="74" t="s">
        <v>28</v>
      </c>
      <c r="V77" s="74" t="s">
        <v>28</v>
      </c>
      <c r="W77" s="74" t="s">
        <v>28</v>
      </c>
      <c r="X77" s="21" t="s">
        <v>36</v>
      </c>
      <c r="Y77" s="21" t="s">
        <v>28</v>
      </c>
    </row>
    <row r="78" customFormat="false" ht="15.75" hidden="false" customHeight="false" outlineLevel="0" collapsed="false">
      <c r="A78" s="61" t="n">
        <v>5959</v>
      </c>
      <c r="B78" s="29" t="n">
        <v>44460</v>
      </c>
      <c r="C78" s="21" t="s">
        <v>4158</v>
      </c>
      <c r="D78" s="21" t="s">
        <v>24</v>
      </c>
      <c r="E78" s="21"/>
      <c r="F78" s="21" t="s">
        <v>4159</v>
      </c>
      <c r="G78" s="30"/>
      <c r="H78" s="31"/>
      <c r="I78" s="21"/>
      <c r="J78" s="21"/>
      <c r="K78" s="21"/>
      <c r="L78" s="21"/>
      <c r="M78" s="21"/>
      <c r="N78" s="30"/>
      <c r="O78" s="21"/>
      <c r="P78" s="21"/>
      <c r="Q78" s="21"/>
      <c r="R78" s="32"/>
      <c r="S78" s="32"/>
      <c r="T78" s="21"/>
      <c r="U78" s="21"/>
      <c r="V78" s="21"/>
      <c r="W78" s="21"/>
      <c r="X78" s="21"/>
      <c r="Y78" s="21" t="s">
        <v>28</v>
      </c>
    </row>
    <row r="79" customFormat="false" ht="15.75" hidden="false" customHeight="false" outlineLevel="0" collapsed="false">
      <c r="A79" s="61" t="n">
        <v>5960</v>
      </c>
      <c r="B79" s="29" t="n">
        <v>44461</v>
      </c>
      <c r="C79" s="21" t="s">
        <v>841</v>
      </c>
      <c r="D79" s="21" t="s">
        <v>24</v>
      </c>
      <c r="E79" s="21" t="s">
        <v>25</v>
      </c>
      <c r="F79" s="21" t="s">
        <v>4160</v>
      </c>
      <c r="G79" s="30" t="s">
        <v>4161</v>
      </c>
      <c r="H79" s="45" t="str">
        <f aca="false">HYPERLINK("https://photos.app.goo.gl/k5Ljs9EHRp7V16Un8", "Completo")</f>
        <v>Completo</v>
      </c>
      <c r="I79" s="21" t="s">
        <v>28</v>
      </c>
      <c r="J79" s="21"/>
      <c r="K79" s="21"/>
      <c r="L79" s="21"/>
      <c r="M79" s="21" t="s">
        <v>2255</v>
      </c>
      <c r="N79" s="30"/>
      <c r="O79" s="21"/>
      <c r="P79" s="21"/>
      <c r="Q79" s="21"/>
      <c r="R79" s="32"/>
      <c r="S79" s="32"/>
      <c r="T79" s="21"/>
      <c r="U79" s="21"/>
      <c r="V79" s="21"/>
      <c r="W79" s="21"/>
      <c r="X79" s="21"/>
      <c r="Y79" s="21" t="s">
        <v>28</v>
      </c>
    </row>
    <row r="80" customFormat="false" ht="13.5" hidden="false" customHeight="true" outlineLevel="0" collapsed="false">
      <c r="A80" s="61" t="n">
        <v>5961</v>
      </c>
      <c r="B80" s="29" t="n">
        <v>44461</v>
      </c>
      <c r="C80" s="21" t="s">
        <v>1561</v>
      </c>
      <c r="D80" s="21" t="s">
        <v>24</v>
      </c>
      <c r="E80" s="21" t="s">
        <v>25</v>
      </c>
      <c r="F80" s="21" t="s">
        <v>4162</v>
      </c>
      <c r="G80" s="30" t="s">
        <v>3931</v>
      </c>
      <c r="H80" s="31" t="s">
        <v>37</v>
      </c>
      <c r="I80" s="21" t="s">
        <v>37</v>
      </c>
      <c r="J80" s="21"/>
      <c r="K80" s="21"/>
      <c r="L80" s="21"/>
      <c r="M80" s="21" t="s">
        <v>4163</v>
      </c>
      <c r="N80" s="69" t="s">
        <v>4164</v>
      </c>
      <c r="O80" s="21" t="s">
        <v>28</v>
      </c>
      <c r="P80" s="21" t="s">
        <v>28</v>
      </c>
      <c r="Q80" s="21" t="s">
        <v>3213</v>
      </c>
      <c r="R80" s="32" t="s">
        <v>74</v>
      </c>
      <c r="S80" s="32" t="s">
        <v>36</v>
      </c>
      <c r="T80" s="21" t="s">
        <v>74</v>
      </c>
      <c r="U80" s="74" t="s">
        <v>28</v>
      </c>
      <c r="V80" s="74" t="s">
        <v>28</v>
      </c>
      <c r="W80" s="74" t="s">
        <v>28</v>
      </c>
      <c r="X80" s="21" t="s">
        <v>36</v>
      </c>
      <c r="Y80" s="21" t="s">
        <v>28</v>
      </c>
    </row>
    <row r="81" customFormat="false" ht="15.75" hidden="false" customHeight="false" outlineLevel="0" collapsed="false">
      <c r="A81" s="61" t="n">
        <v>5962</v>
      </c>
      <c r="B81" s="29" t="n">
        <v>44461</v>
      </c>
      <c r="C81" s="21" t="s">
        <v>613</v>
      </c>
      <c r="D81" s="21" t="s">
        <v>24</v>
      </c>
      <c r="E81" s="21" t="s">
        <v>3337</v>
      </c>
      <c r="F81" s="21" t="s">
        <v>711</v>
      </c>
      <c r="G81" s="30" t="s">
        <v>4165</v>
      </c>
      <c r="H81" s="45" t="str">
        <f aca="false">HYPERLINK("https://photos.app.goo.gl/yvqkoS3xA62uLYS28", "Completo")</f>
        <v>Completo</v>
      </c>
      <c r="I81" s="21" t="s">
        <v>28</v>
      </c>
      <c r="J81" s="21"/>
      <c r="K81" s="21"/>
      <c r="L81" s="21"/>
      <c r="M81" s="21" t="s">
        <v>2133</v>
      </c>
      <c r="N81" s="30"/>
      <c r="O81" s="21" t="s">
        <v>28</v>
      </c>
      <c r="P81" s="21" t="s">
        <v>28</v>
      </c>
      <c r="Q81" s="21" t="s">
        <v>2833</v>
      </c>
      <c r="R81" s="32" t="s">
        <v>2850</v>
      </c>
      <c r="S81" s="32"/>
      <c r="T81" s="21" t="s">
        <v>74</v>
      </c>
      <c r="U81" s="74" t="s">
        <v>28</v>
      </c>
      <c r="V81" s="74" t="s">
        <v>28</v>
      </c>
      <c r="W81" s="74" t="s">
        <v>28</v>
      </c>
      <c r="X81" s="21" t="s">
        <v>36</v>
      </c>
      <c r="Y81" s="21" t="s">
        <v>28</v>
      </c>
    </row>
    <row r="82" customFormat="false" ht="15.75" hidden="false" customHeight="false" outlineLevel="0" collapsed="false">
      <c r="A82" s="61" t="n">
        <v>5963</v>
      </c>
      <c r="B82" s="29" t="n">
        <v>44461</v>
      </c>
      <c r="C82" s="21" t="s">
        <v>4073</v>
      </c>
      <c r="D82" s="21" t="s">
        <v>24</v>
      </c>
      <c r="E82" s="21" t="s">
        <v>3337</v>
      </c>
      <c r="F82" s="21" t="s">
        <v>4105</v>
      </c>
      <c r="G82" s="30" t="s">
        <v>4166</v>
      </c>
      <c r="H82" s="45" t="str">
        <f aca="false">HYPERLINK("https://photos.app.goo.gl/NdgpPiTjaTbMNP8j7", "Completo")</f>
        <v>Completo</v>
      </c>
      <c r="I82" s="21" t="s">
        <v>28</v>
      </c>
      <c r="J82" s="21"/>
      <c r="K82" s="21"/>
      <c r="L82" s="21"/>
      <c r="M82" s="21" t="s">
        <v>2133</v>
      </c>
      <c r="N82" s="30"/>
      <c r="O82" s="21" t="s">
        <v>28</v>
      </c>
      <c r="P82" s="21" t="s">
        <v>28</v>
      </c>
      <c r="Q82" s="21" t="s">
        <v>4167</v>
      </c>
      <c r="R82" s="32" t="s">
        <v>2850</v>
      </c>
      <c r="S82" s="32"/>
      <c r="T82" s="21" t="s">
        <v>74</v>
      </c>
      <c r="U82" s="74" t="s">
        <v>28</v>
      </c>
      <c r="V82" s="74" t="s">
        <v>28</v>
      </c>
      <c r="W82" s="74" t="s">
        <v>28</v>
      </c>
      <c r="X82" s="21" t="s">
        <v>36</v>
      </c>
      <c r="Y82" s="21" t="s">
        <v>28</v>
      </c>
    </row>
    <row r="83" customFormat="false" ht="15.75" hidden="false" customHeight="false" outlineLevel="0" collapsed="false">
      <c r="A83" s="61" t="n">
        <v>5964</v>
      </c>
      <c r="B83" s="29" t="n">
        <v>44461</v>
      </c>
      <c r="C83" s="21" t="s">
        <v>3942</v>
      </c>
      <c r="D83" s="21" t="s">
        <v>24</v>
      </c>
      <c r="E83" s="21" t="s">
        <v>3337</v>
      </c>
      <c r="F83" s="21" t="s">
        <v>4105</v>
      </c>
      <c r="G83" s="30" t="s">
        <v>4166</v>
      </c>
      <c r="H83" s="45" t="str">
        <f aca="false">HYPERLINK("https://photos.app.goo.gl/eHvf6ZxGLLuazisg7", "Completo")</f>
        <v>Completo</v>
      </c>
      <c r="I83" s="21" t="s">
        <v>28</v>
      </c>
      <c r="J83" s="21"/>
      <c r="K83" s="21"/>
      <c r="L83" s="21"/>
      <c r="M83" s="21" t="s">
        <v>2133</v>
      </c>
      <c r="N83" s="30"/>
      <c r="O83" s="21" t="s">
        <v>28</v>
      </c>
      <c r="P83" s="21" t="s">
        <v>28</v>
      </c>
      <c r="Q83" s="21" t="s">
        <v>2833</v>
      </c>
      <c r="R83" s="32" t="s">
        <v>2850</v>
      </c>
      <c r="S83" s="32"/>
      <c r="T83" s="21"/>
      <c r="U83" s="21"/>
      <c r="V83" s="21"/>
      <c r="W83" s="21"/>
      <c r="X83" s="21"/>
      <c r="Y83" s="21" t="s">
        <v>28</v>
      </c>
    </row>
    <row r="84" customFormat="false" ht="15.75" hidden="false" customHeight="false" outlineLevel="0" collapsed="false">
      <c r="A84" s="61" t="n">
        <v>5965</v>
      </c>
      <c r="B84" s="29" t="n">
        <v>44462</v>
      </c>
      <c r="C84" s="21" t="s">
        <v>3880</v>
      </c>
      <c r="D84" s="21" t="s">
        <v>24</v>
      </c>
      <c r="E84" s="21" t="s">
        <v>25</v>
      </c>
      <c r="F84" s="21" t="s">
        <v>4168</v>
      </c>
      <c r="G84" s="30" t="s">
        <v>4169</v>
      </c>
      <c r="H84" s="21" t="s">
        <v>28</v>
      </c>
      <c r="I84" s="21" t="s">
        <v>28</v>
      </c>
      <c r="J84" s="21"/>
      <c r="K84" s="21"/>
      <c r="L84" s="21"/>
      <c r="M84" s="21" t="s">
        <v>2255</v>
      </c>
      <c r="N84" s="30"/>
      <c r="O84" s="21"/>
      <c r="P84" s="21"/>
      <c r="Q84" s="21"/>
      <c r="R84" s="32" t="s">
        <v>25</v>
      </c>
      <c r="S84" s="32"/>
      <c r="T84" s="21" t="s">
        <v>74</v>
      </c>
      <c r="U84" s="74" t="s">
        <v>28</v>
      </c>
      <c r="V84" s="74" t="s">
        <v>28</v>
      </c>
      <c r="W84" s="74" t="s">
        <v>28</v>
      </c>
      <c r="X84" s="21" t="s">
        <v>36</v>
      </c>
      <c r="Y84" s="21" t="s">
        <v>28</v>
      </c>
    </row>
    <row r="85" customFormat="false" ht="15.75" hidden="false" customHeight="false" outlineLevel="0" collapsed="false">
      <c r="A85" s="61" t="n">
        <v>5966</v>
      </c>
      <c r="B85" s="29" t="n">
        <v>44462</v>
      </c>
      <c r="C85" s="21" t="s">
        <v>4170</v>
      </c>
      <c r="D85" s="21" t="s">
        <v>24</v>
      </c>
      <c r="E85" s="21" t="s">
        <v>3337</v>
      </c>
      <c r="F85" s="21" t="s">
        <v>4171</v>
      </c>
      <c r="G85" s="30" t="s">
        <v>4172</v>
      </c>
      <c r="H85" s="45" t="str">
        <f aca="false">HYPERLINK("https://photos.app.goo.gl/kb3q4Q2czm3KxYT78", "Completo")</f>
        <v>Completo</v>
      </c>
      <c r="I85" s="21" t="s">
        <v>28</v>
      </c>
      <c r="J85" s="21"/>
      <c r="K85" s="21"/>
      <c r="L85" s="21"/>
      <c r="M85" s="21" t="s">
        <v>2255</v>
      </c>
      <c r="N85" s="30"/>
      <c r="O85" s="21"/>
      <c r="P85" s="21"/>
      <c r="Q85" s="21"/>
      <c r="R85" s="32"/>
      <c r="S85" s="32"/>
      <c r="T85" s="21"/>
      <c r="U85" s="21"/>
      <c r="V85" s="24"/>
      <c r="W85" s="21"/>
      <c r="X85" s="21"/>
      <c r="Y85" s="21" t="s">
        <v>28</v>
      </c>
    </row>
    <row r="86" customFormat="false" ht="15.75" hidden="false" customHeight="false" outlineLevel="0" collapsed="false">
      <c r="A86" s="61" t="n">
        <v>5967</v>
      </c>
      <c r="B86" s="29" t="n">
        <v>44462</v>
      </c>
      <c r="C86" s="21" t="s">
        <v>4170</v>
      </c>
      <c r="D86" s="21" t="s">
        <v>24</v>
      </c>
      <c r="E86" s="21" t="s">
        <v>3337</v>
      </c>
      <c r="F86" s="21" t="s">
        <v>4173</v>
      </c>
      <c r="G86" s="30" t="s">
        <v>4174</v>
      </c>
      <c r="H86" s="21" t="s">
        <v>37</v>
      </c>
      <c r="I86" s="21" t="s">
        <v>28</v>
      </c>
      <c r="J86" s="21"/>
      <c r="K86" s="21"/>
      <c r="L86" s="21"/>
      <c r="M86" s="21" t="s">
        <v>2255</v>
      </c>
      <c r="N86" s="30"/>
      <c r="O86" s="21" t="s">
        <v>28</v>
      </c>
      <c r="P86" s="21" t="s">
        <v>28</v>
      </c>
      <c r="Q86" s="21" t="s">
        <v>3955</v>
      </c>
      <c r="R86" s="32" t="s">
        <v>2850</v>
      </c>
      <c r="S86" s="32"/>
      <c r="T86" s="21"/>
      <c r="U86" s="21"/>
      <c r="V86" s="24"/>
      <c r="W86" s="21"/>
      <c r="X86" s="21"/>
      <c r="Y86" s="21" t="s">
        <v>28</v>
      </c>
    </row>
    <row r="87" customFormat="false" ht="15.75" hidden="false" customHeight="false" outlineLevel="0" collapsed="false">
      <c r="A87" s="61" t="n">
        <v>5968</v>
      </c>
      <c r="B87" s="29" t="n">
        <v>44462</v>
      </c>
      <c r="C87" s="21" t="s">
        <v>4170</v>
      </c>
      <c r="D87" s="21" t="s">
        <v>24</v>
      </c>
      <c r="E87" s="21" t="s">
        <v>3337</v>
      </c>
      <c r="F87" s="21" t="s">
        <v>4175</v>
      </c>
      <c r="G87" s="30" t="s">
        <v>4176</v>
      </c>
      <c r="H87" s="45" t="str">
        <f aca="false">HYPERLINK("https://photos.app.goo.gl/ZNUumyfRafEUSHD97", "Completo")</f>
        <v>Completo</v>
      </c>
      <c r="I87" s="21" t="s">
        <v>28</v>
      </c>
      <c r="J87" s="21"/>
      <c r="K87" s="21"/>
      <c r="L87" s="21"/>
      <c r="M87" s="21" t="s">
        <v>2255</v>
      </c>
      <c r="N87" s="69" t="s">
        <v>4177</v>
      </c>
      <c r="O87" s="21" t="s">
        <v>28</v>
      </c>
      <c r="P87" s="21" t="s">
        <v>28</v>
      </c>
      <c r="Q87" s="21" t="s">
        <v>4178</v>
      </c>
      <c r="R87" s="32" t="s">
        <v>25</v>
      </c>
      <c r="S87" s="32" t="s">
        <v>36</v>
      </c>
      <c r="T87" s="21"/>
      <c r="U87" s="21"/>
      <c r="V87" s="24"/>
      <c r="W87" s="21"/>
      <c r="X87" s="21"/>
      <c r="Y87" s="21" t="s">
        <v>28</v>
      </c>
    </row>
    <row r="88" customFormat="false" ht="15.75" hidden="false" customHeight="false" outlineLevel="0" collapsed="false">
      <c r="A88" s="61" t="n">
        <v>5969</v>
      </c>
      <c r="B88" s="29" t="n">
        <v>44462</v>
      </c>
      <c r="C88" s="21" t="s">
        <v>4179</v>
      </c>
      <c r="D88" s="21" t="s">
        <v>24</v>
      </c>
      <c r="E88" s="21" t="s">
        <v>3337</v>
      </c>
      <c r="F88" s="21" t="s">
        <v>3903</v>
      </c>
      <c r="G88" s="30" t="s">
        <v>4180</v>
      </c>
      <c r="H88" s="45" t="str">
        <f aca="false">HYPERLINK("https://photos.app.goo.gl/4HhRkJAnBpL9nSPs9", "Completo")</f>
        <v>Completo</v>
      </c>
      <c r="I88" s="21" t="s">
        <v>28</v>
      </c>
      <c r="J88" s="21" t="n">
        <v>3516500960</v>
      </c>
      <c r="K88" s="21"/>
      <c r="L88" s="21"/>
      <c r="M88" s="21" t="s">
        <v>2133</v>
      </c>
      <c r="N88" s="30"/>
      <c r="O88" s="21" t="s">
        <v>28</v>
      </c>
      <c r="P88" s="21" t="s">
        <v>28</v>
      </c>
      <c r="Q88" s="21" t="s">
        <v>4181</v>
      </c>
      <c r="R88" s="32" t="s">
        <v>2850</v>
      </c>
      <c r="S88" s="32"/>
      <c r="T88" s="21"/>
      <c r="U88" s="21"/>
      <c r="V88" s="24"/>
      <c r="W88" s="21"/>
      <c r="X88" s="21"/>
      <c r="Y88" s="21" t="s">
        <v>28</v>
      </c>
    </row>
    <row r="89" customFormat="false" ht="15.75" hidden="false" customHeight="false" outlineLevel="0" collapsed="false">
      <c r="A89" s="63" t="n">
        <v>1486812</v>
      </c>
      <c r="B89" s="29" t="n">
        <v>44462</v>
      </c>
      <c r="C89" s="21" t="s">
        <v>4182</v>
      </c>
      <c r="D89" s="21" t="s">
        <v>24</v>
      </c>
      <c r="E89" s="21" t="s">
        <v>3337</v>
      </c>
      <c r="F89" s="21" t="s">
        <v>4183</v>
      </c>
      <c r="G89" s="30" t="s">
        <v>4184</v>
      </c>
      <c r="H89" s="45" t="str">
        <f aca="false">HYPERLINK("https://photos.app.goo.gl/NjSkjkVCopVn2Wa66", "Completo")</f>
        <v>Completo</v>
      </c>
      <c r="I89" s="21" t="s">
        <v>28</v>
      </c>
      <c r="J89" s="21"/>
      <c r="K89" s="21"/>
      <c r="L89" s="21"/>
      <c r="M89" s="21" t="s">
        <v>2255</v>
      </c>
      <c r="N89" s="30"/>
      <c r="O89" s="21"/>
      <c r="P89" s="21"/>
      <c r="Q89" s="21"/>
      <c r="R89" s="32"/>
      <c r="S89" s="32"/>
      <c r="T89" s="21" t="s">
        <v>3337</v>
      </c>
      <c r="U89" s="74" t="s">
        <v>28</v>
      </c>
      <c r="V89" s="24" t="s">
        <v>37</v>
      </c>
      <c r="W89" s="21"/>
      <c r="X89" s="21"/>
      <c r="Y89" s="21" t="s">
        <v>28</v>
      </c>
    </row>
    <row r="90" customFormat="false" ht="15.75" hidden="false" customHeight="false" outlineLevel="0" collapsed="false">
      <c r="A90" s="89" t="s">
        <v>4185</v>
      </c>
      <c r="B90" s="29" t="n">
        <v>44462</v>
      </c>
      <c r="C90" s="20" t="s">
        <v>4182</v>
      </c>
      <c r="D90" s="21" t="s">
        <v>24</v>
      </c>
      <c r="E90" s="21"/>
      <c r="F90" s="20" t="s">
        <v>4183</v>
      </c>
      <c r="G90" s="30"/>
      <c r="H90" s="31"/>
      <c r="I90" s="21"/>
      <c r="J90" s="21"/>
      <c r="K90" s="21"/>
      <c r="L90" s="21"/>
      <c r="M90" s="21"/>
      <c r="N90" s="30"/>
      <c r="O90" s="21"/>
      <c r="P90" s="21"/>
      <c r="Q90" s="21"/>
      <c r="R90" s="32"/>
      <c r="S90" s="32"/>
      <c r="T90" s="21" t="s">
        <v>3337</v>
      </c>
      <c r="U90" s="74" t="s">
        <v>28</v>
      </c>
      <c r="V90" s="24" t="s">
        <v>37</v>
      </c>
      <c r="W90" s="74" t="s">
        <v>28</v>
      </c>
      <c r="X90" s="21" t="s">
        <v>36</v>
      </c>
      <c r="Y90" s="21"/>
    </row>
    <row r="91" customFormat="false" ht="15.75" hidden="false" customHeight="false" outlineLevel="0" collapsed="false">
      <c r="A91" s="89" t="s">
        <v>4186</v>
      </c>
      <c r="B91" s="29" t="n">
        <v>44462</v>
      </c>
      <c r="C91" s="20" t="s">
        <v>4182</v>
      </c>
      <c r="D91" s="21" t="s">
        <v>24</v>
      </c>
      <c r="E91" s="21" t="s">
        <v>3337</v>
      </c>
      <c r="F91" s="21" t="s">
        <v>4183</v>
      </c>
      <c r="G91" s="30" t="s">
        <v>4184</v>
      </c>
      <c r="H91" s="45" t="str">
        <f aca="false">HYPERLINK("https://photos.app.goo.gl/jrfB6rMNSDC4T2hUA", "Completo")</f>
        <v>Completo</v>
      </c>
      <c r="I91" s="21" t="s">
        <v>28</v>
      </c>
      <c r="J91" s="21"/>
      <c r="K91" s="21"/>
      <c r="L91" s="21"/>
      <c r="M91" s="21" t="s">
        <v>2255</v>
      </c>
      <c r="N91" s="30"/>
      <c r="O91" s="21"/>
      <c r="P91" s="21"/>
      <c r="Q91" s="21"/>
      <c r="R91" s="32"/>
      <c r="S91" s="32"/>
      <c r="T91" s="21" t="s">
        <v>3337</v>
      </c>
      <c r="U91" s="74" t="s">
        <v>28</v>
      </c>
      <c r="V91" s="24" t="s">
        <v>37</v>
      </c>
      <c r="W91" s="74" t="s">
        <v>28</v>
      </c>
      <c r="X91" s="21"/>
      <c r="Y91" s="21" t="s">
        <v>28</v>
      </c>
    </row>
    <row r="92" customFormat="false" ht="15.75" hidden="false" customHeight="false" outlineLevel="0" collapsed="false">
      <c r="A92" s="63" t="n">
        <v>1487177</v>
      </c>
      <c r="B92" s="29" t="n">
        <v>44462</v>
      </c>
      <c r="C92" s="20" t="s">
        <v>4182</v>
      </c>
      <c r="D92" s="21" t="s">
        <v>24</v>
      </c>
      <c r="E92" s="21" t="s">
        <v>3337</v>
      </c>
      <c r="F92" s="20" t="s">
        <v>4183</v>
      </c>
      <c r="G92" s="30"/>
      <c r="H92" s="31"/>
      <c r="I92" s="21"/>
      <c r="J92" s="21"/>
      <c r="K92" s="21"/>
      <c r="L92" s="21"/>
      <c r="M92" s="21"/>
      <c r="N92" s="30"/>
      <c r="O92" s="21"/>
      <c r="P92" s="21"/>
      <c r="Q92" s="21"/>
      <c r="R92" s="32"/>
      <c r="S92" s="32"/>
      <c r="T92" s="21" t="s">
        <v>3337</v>
      </c>
      <c r="U92" s="74" t="s">
        <v>28</v>
      </c>
      <c r="V92" s="24" t="s">
        <v>37</v>
      </c>
      <c r="W92" s="74" t="s">
        <v>28</v>
      </c>
      <c r="X92" s="21"/>
      <c r="Y92" s="21"/>
    </row>
    <row r="93" customFormat="false" ht="15.75" hidden="false" customHeight="false" outlineLevel="0" collapsed="false">
      <c r="A93" s="61" t="n">
        <v>5972</v>
      </c>
      <c r="B93" s="29" t="n">
        <v>44462</v>
      </c>
      <c r="C93" s="21" t="s">
        <v>4187</v>
      </c>
      <c r="D93" s="21" t="s">
        <v>24</v>
      </c>
      <c r="E93" s="21" t="s">
        <v>3337</v>
      </c>
      <c r="F93" s="21" t="s">
        <v>4143</v>
      </c>
      <c r="G93" s="30" t="s">
        <v>4188</v>
      </c>
      <c r="H93" s="45" t="str">
        <f aca="false">HYPERLINK("https://photos.app.goo.gl/zsBnF3dKzhWZz86s7", "Completo")</f>
        <v>Completo</v>
      </c>
      <c r="I93" s="21" t="s">
        <v>28</v>
      </c>
      <c r="J93" s="21"/>
      <c r="K93" s="21"/>
      <c r="L93" s="21"/>
      <c r="M93" s="21"/>
      <c r="N93" s="30"/>
      <c r="O93" s="21"/>
      <c r="P93" s="21"/>
      <c r="Q93" s="21"/>
      <c r="R93" s="32"/>
      <c r="S93" s="32"/>
      <c r="T93" s="21"/>
      <c r="U93" s="21"/>
      <c r="V93" s="24"/>
      <c r="W93" s="21"/>
      <c r="X93" s="21"/>
      <c r="Y93" s="21" t="s">
        <v>28</v>
      </c>
    </row>
    <row r="94" customFormat="false" ht="15.75" hidden="false" customHeight="false" outlineLevel="0" collapsed="false">
      <c r="A94" s="61" t="n">
        <v>5973</v>
      </c>
      <c r="B94" s="29" t="n">
        <v>44463</v>
      </c>
      <c r="C94" s="21" t="s">
        <v>4058</v>
      </c>
      <c r="D94" s="21" t="s">
        <v>24</v>
      </c>
      <c r="E94" s="21" t="s">
        <v>34</v>
      </c>
      <c r="F94" s="21" t="s">
        <v>4189</v>
      </c>
      <c r="G94" s="30"/>
      <c r="H94" s="31"/>
      <c r="I94" s="21"/>
      <c r="J94" s="21"/>
      <c r="K94" s="21"/>
      <c r="L94" s="21"/>
      <c r="M94" s="21"/>
      <c r="N94" s="30"/>
      <c r="O94" s="21"/>
      <c r="P94" s="21"/>
      <c r="Q94" s="21"/>
      <c r="R94" s="32"/>
      <c r="S94" s="32"/>
      <c r="T94" s="21"/>
      <c r="U94" s="21"/>
      <c r="V94" s="24"/>
      <c r="W94" s="21"/>
      <c r="X94" s="21"/>
      <c r="Y94" s="21" t="s">
        <v>28</v>
      </c>
    </row>
    <row r="95" customFormat="false" ht="15.75" hidden="false" customHeight="false" outlineLevel="0" collapsed="false">
      <c r="A95" s="61" t="n">
        <v>5974</v>
      </c>
      <c r="B95" s="29" t="n">
        <v>44463</v>
      </c>
      <c r="C95" s="21" t="s">
        <v>1328</v>
      </c>
      <c r="D95" s="21" t="s">
        <v>24</v>
      </c>
      <c r="E95" s="21" t="s">
        <v>34</v>
      </c>
      <c r="F95" s="21" t="s">
        <v>4190</v>
      </c>
      <c r="G95" s="30"/>
      <c r="H95" s="31"/>
      <c r="I95" s="21"/>
      <c r="J95" s="21"/>
      <c r="K95" s="21"/>
      <c r="L95" s="21"/>
      <c r="M95" s="21"/>
      <c r="N95" s="30"/>
      <c r="O95" s="21"/>
      <c r="P95" s="21"/>
      <c r="Q95" s="21"/>
      <c r="R95" s="32"/>
      <c r="S95" s="32"/>
      <c r="T95" s="21"/>
      <c r="U95" s="21"/>
      <c r="V95" s="24"/>
      <c r="W95" s="21"/>
      <c r="X95" s="21"/>
      <c r="Y95" s="21" t="s">
        <v>28</v>
      </c>
    </row>
    <row r="96" customFormat="false" ht="15.75" hidden="false" customHeight="false" outlineLevel="0" collapsed="false">
      <c r="A96" s="61" t="n">
        <v>5975</v>
      </c>
      <c r="B96" s="29" t="n">
        <v>44463</v>
      </c>
      <c r="C96" s="21" t="s">
        <v>1328</v>
      </c>
      <c r="D96" s="21" t="s">
        <v>24</v>
      </c>
      <c r="E96" s="21" t="s">
        <v>34</v>
      </c>
      <c r="F96" s="21" t="s">
        <v>4191</v>
      </c>
      <c r="G96" s="30"/>
      <c r="H96" s="31"/>
      <c r="I96" s="21"/>
      <c r="J96" s="21"/>
      <c r="K96" s="21"/>
      <c r="L96" s="21"/>
      <c r="M96" s="21"/>
      <c r="N96" s="30"/>
      <c r="O96" s="21"/>
      <c r="P96" s="21"/>
      <c r="Q96" s="21"/>
      <c r="R96" s="32"/>
      <c r="S96" s="32"/>
      <c r="T96" s="21"/>
      <c r="U96" s="21"/>
      <c r="V96" s="24"/>
      <c r="W96" s="21"/>
      <c r="X96" s="21"/>
      <c r="Y96" s="21"/>
    </row>
    <row r="97" customFormat="false" ht="15.75" hidden="false" customHeight="false" outlineLevel="0" collapsed="false">
      <c r="A97" s="61" t="n">
        <v>5976</v>
      </c>
      <c r="B97" s="29" t="n">
        <v>44463</v>
      </c>
      <c r="C97" s="21" t="s">
        <v>1328</v>
      </c>
      <c r="D97" s="21" t="s">
        <v>24</v>
      </c>
      <c r="E97" s="21" t="s">
        <v>34</v>
      </c>
      <c r="F97" s="21" t="s">
        <v>4192</v>
      </c>
      <c r="G97" s="30"/>
      <c r="H97" s="31"/>
      <c r="I97" s="21"/>
      <c r="J97" s="21"/>
      <c r="K97" s="21"/>
      <c r="L97" s="21"/>
      <c r="M97" s="21"/>
      <c r="N97" s="30"/>
      <c r="O97" s="21"/>
      <c r="P97" s="21"/>
      <c r="Q97" s="21"/>
      <c r="R97" s="32"/>
      <c r="S97" s="32"/>
      <c r="T97" s="21"/>
      <c r="U97" s="21"/>
      <c r="V97" s="24"/>
      <c r="W97" s="21"/>
      <c r="X97" s="21"/>
      <c r="Y97" s="21"/>
    </row>
    <row r="98" customFormat="false" ht="15.75" hidden="false" customHeight="false" outlineLevel="0" collapsed="false">
      <c r="A98" s="61" t="n">
        <v>5977</v>
      </c>
      <c r="B98" s="29" t="n">
        <v>44463</v>
      </c>
      <c r="C98" s="21" t="s">
        <v>4193</v>
      </c>
      <c r="D98" s="21" t="s">
        <v>24</v>
      </c>
      <c r="E98" s="21" t="s">
        <v>34</v>
      </c>
      <c r="F98" s="21" t="s">
        <v>4194</v>
      </c>
      <c r="G98" s="30"/>
      <c r="H98" s="31" t="s">
        <v>37</v>
      </c>
      <c r="I98" s="21"/>
      <c r="J98" s="21"/>
      <c r="K98" s="21"/>
      <c r="L98" s="21"/>
      <c r="M98" s="21"/>
      <c r="N98" s="30"/>
      <c r="O98" s="21"/>
      <c r="P98" s="21"/>
      <c r="Q98" s="21"/>
      <c r="R98" s="32"/>
      <c r="S98" s="32"/>
      <c r="T98" s="21"/>
      <c r="U98" s="21"/>
      <c r="V98" s="24"/>
      <c r="W98" s="21"/>
      <c r="X98" s="21"/>
      <c r="Y98" s="21" t="s">
        <v>28</v>
      </c>
    </row>
    <row r="99" customFormat="false" ht="15.75" hidden="false" customHeight="false" outlineLevel="0" collapsed="false">
      <c r="A99" s="61" t="n">
        <v>5978</v>
      </c>
      <c r="B99" s="29" t="n">
        <v>44466</v>
      </c>
      <c r="C99" s="21" t="s">
        <v>4195</v>
      </c>
      <c r="D99" s="21" t="s">
        <v>24</v>
      </c>
      <c r="E99" s="21" t="s">
        <v>3337</v>
      </c>
      <c r="F99" s="21" t="s">
        <v>4196</v>
      </c>
      <c r="G99" s="30" t="s">
        <v>3931</v>
      </c>
      <c r="H99" s="45" t="str">
        <f aca="false">HYPERLINK("https://photos.app.goo.gl/PsuBguy8hodcQrrB8", "Completo")</f>
        <v>Completo</v>
      </c>
      <c r="I99" s="21" t="s">
        <v>37</v>
      </c>
      <c r="J99" s="21"/>
      <c r="K99" s="21"/>
      <c r="L99" s="21"/>
      <c r="M99" s="21" t="s">
        <v>2133</v>
      </c>
      <c r="N99" s="30"/>
      <c r="O99" s="21"/>
      <c r="P99" s="21"/>
      <c r="Q99" s="21"/>
      <c r="R99" s="32"/>
      <c r="S99" s="32"/>
      <c r="T99" s="21"/>
      <c r="U99" s="21"/>
      <c r="V99" s="24"/>
      <c r="W99" s="21"/>
      <c r="X99" s="21"/>
      <c r="Y99" s="21" t="s">
        <v>28</v>
      </c>
    </row>
    <row r="100" customFormat="false" ht="15.75" hidden="false" customHeight="false" outlineLevel="0" collapsed="false">
      <c r="A100" s="61" t="n">
        <v>5979</v>
      </c>
      <c r="B100" s="29" t="n">
        <v>44466</v>
      </c>
      <c r="C100" s="21" t="s">
        <v>274</v>
      </c>
      <c r="D100" s="21" t="s">
        <v>24</v>
      </c>
      <c r="E100" s="21" t="s">
        <v>34</v>
      </c>
      <c r="F100" s="21" t="s">
        <v>4197</v>
      </c>
      <c r="G100" s="30"/>
      <c r="H100" s="31"/>
      <c r="I100" s="21"/>
      <c r="J100" s="21"/>
      <c r="K100" s="21"/>
      <c r="L100" s="21"/>
      <c r="M100" s="21"/>
      <c r="N100" s="30"/>
      <c r="O100" s="21"/>
      <c r="P100" s="21"/>
      <c r="Q100" s="21"/>
      <c r="R100" s="32"/>
      <c r="S100" s="32"/>
      <c r="T100" s="21"/>
      <c r="U100" s="21"/>
      <c r="V100" s="24"/>
      <c r="W100" s="21"/>
      <c r="X100" s="21"/>
      <c r="Y100" s="21" t="s">
        <v>28</v>
      </c>
    </row>
    <row r="101" customFormat="false" ht="15.75" hidden="false" customHeight="false" outlineLevel="0" collapsed="false">
      <c r="A101" s="61" t="n">
        <v>5980</v>
      </c>
      <c r="B101" s="29" t="n">
        <v>44466</v>
      </c>
      <c r="C101" s="21" t="s">
        <v>3516</v>
      </c>
      <c r="D101" s="21" t="s">
        <v>24</v>
      </c>
      <c r="E101" s="21" t="s">
        <v>3337</v>
      </c>
      <c r="F101" s="21" t="s">
        <v>4198</v>
      </c>
      <c r="G101" s="30" t="s">
        <v>4199</v>
      </c>
      <c r="H101" s="45" t="str">
        <f aca="false">HYPERLINK("https://photos.app.goo.gl/2k3RBccfebJYnLC4A", "Completo")</f>
        <v>Completo</v>
      </c>
      <c r="I101" s="21" t="s">
        <v>28</v>
      </c>
      <c r="J101" s="21"/>
      <c r="K101" s="21"/>
      <c r="L101" s="21"/>
      <c r="M101" s="21" t="s">
        <v>4200</v>
      </c>
      <c r="N101" s="30" t="s">
        <v>4201</v>
      </c>
      <c r="O101" s="21" t="s">
        <v>28</v>
      </c>
      <c r="P101" s="21" t="s">
        <v>28</v>
      </c>
      <c r="Q101" s="21" t="s">
        <v>4202</v>
      </c>
      <c r="R101" s="32" t="s">
        <v>25</v>
      </c>
      <c r="S101" s="32"/>
      <c r="T101" s="21"/>
      <c r="U101" s="21"/>
      <c r="V101" s="24"/>
      <c r="W101" s="21"/>
      <c r="X101" s="21"/>
      <c r="Y101" s="21" t="s">
        <v>28</v>
      </c>
    </row>
    <row r="102" customFormat="false" ht="15.75" hidden="false" customHeight="false" outlineLevel="0" collapsed="false">
      <c r="A102" s="61" t="n">
        <v>5981</v>
      </c>
      <c r="B102" s="29" t="n">
        <v>44466</v>
      </c>
      <c r="C102" s="21" t="s">
        <v>4203</v>
      </c>
      <c r="D102" s="21" t="s">
        <v>24</v>
      </c>
      <c r="E102" s="21" t="s">
        <v>3337</v>
      </c>
      <c r="F102" s="21" t="s">
        <v>4204</v>
      </c>
      <c r="G102" s="30" t="s">
        <v>4205</v>
      </c>
      <c r="H102" s="45" t="str">
        <f aca="false">HYPERLINK("https://photos.app.goo.gl/ZhWe9j6vfaYrQVhP8", "Completo")</f>
        <v>Completo</v>
      </c>
      <c r="I102" s="21" t="s">
        <v>28</v>
      </c>
      <c r="J102" s="21"/>
      <c r="K102" s="21"/>
      <c r="L102" s="21"/>
      <c r="M102" s="21" t="s">
        <v>2133</v>
      </c>
      <c r="N102" s="30" t="s">
        <v>4206</v>
      </c>
      <c r="O102" s="21" t="s">
        <v>28</v>
      </c>
      <c r="P102" s="21" t="s">
        <v>28</v>
      </c>
      <c r="Q102" s="21"/>
      <c r="R102" s="32" t="s">
        <v>25</v>
      </c>
      <c r="S102" s="32"/>
      <c r="T102" s="21" t="s">
        <v>3337</v>
      </c>
      <c r="U102" s="74" t="s">
        <v>28</v>
      </c>
      <c r="V102" s="24"/>
      <c r="W102" s="21"/>
      <c r="X102" s="21"/>
      <c r="Y102" s="21" t="s">
        <v>28</v>
      </c>
    </row>
    <row r="103" customFormat="false" ht="15.75" hidden="false" customHeight="false" outlineLevel="0" collapsed="false">
      <c r="A103" s="63" t="n">
        <v>1491195</v>
      </c>
      <c r="B103" s="29" t="n">
        <v>44466</v>
      </c>
      <c r="C103" s="21" t="s">
        <v>3945</v>
      </c>
      <c r="D103" s="21" t="s">
        <v>24</v>
      </c>
      <c r="E103" s="21" t="s">
        <v>3337</v>
      </c>
      <c r="F103" s="21" t="s">
        <v>4207</v>
      </c>
      <c r="G103" s="30" t="s">
        <v>4208</v>
      </c>
      <c r="H103" s="45" t="str">
        <f aca="false">HYPERLINK("https://photos.app.goo.gl/A317iPmU6wE1QBzh7", "Completo")</f>
        <v>Completo</v>
      </c>
      <c r="I103" s="21" t="s">
        <v>28</v>
      </c>
      <c r="J103" s="21"/>
      <c r="K103" s="21"/>
      <c r="L103" s="21"/>
      <c r="M103" s="21" t="s">
        <v>2133</v>
      </c>
      <c r="N103" s="30"/>
      <c r="O103" s="21"/>
      <c r="P103" s="21"/>
      <c r="Q103" s="21"/>
      <c r="R103" s="32" t="s">
        <v>2850</v>
      </c>
      <c r="S103" s="32"/>
      <c r="T103" s="21" t="s">
        <v>74</v>
      </c>
      <c r="U103" s="74" t="s">
        <v>28</v>
      </c>
      <c r="V103" s="24"/>
      <c r="W103" s="74" t="s">
        <v>28</v>
      </c>
      <c r="X103" s="21" t="s">
        <v>36</v>
      </c>
      <c r="Y103" s="21" t="s">
        <v>28</v>
      </c>
    </row>
    <row r="104" customFormat="false" ht="15.75" hidden="false" customHeight="false" outlineLevel="0" collapsed="false">
      <c r="A104" s="61" t="s">
        <v>4209</v>
      </c>
      <c r="B104" s="29" t="n">
        <v>44466</v>
      </c>
      <c r="C104" s="21" t="s">
        <v>4210</v>
      </c>
      <c r="D104" s="21" t="s">
        <v>24</v>
      </c>
      <c r="E104" s="21" t="s">
        <v>3337</v>
      </c>
      <c r="F104" s="21" t="s">
        <v>4211</v>
      </c>
      <c r="G104" s="69" t="s">
        <v>4212</v>
      </c>
      <c r="H104" s="88" t="s">
        <v>28</v>
      </c>
      <c r="I104" s="21" t="s">
        <v>28</v>
      </c>
      <c r="J104" s="21"/>
      <c r="K104" s="21"/>
      <c r="L104" s="21"/>
      <c r="M104" s="21"/>
      <c r="N104" s="69"/>
      <c r="O104" s="21"/>
      <c r="P104" s="21"/>
      <c r="Q104" s="21"/>
      <c r="R104" s="32" t="s">
        <v>25</v>
      </c>
      <c r="S104" s="32"/>
      <c r="T104" s="21" t="s">
        <v>74</v>
      </c>
      <c r="U104" s="74" t="s">
        <v>28</v>
      </c>
      <c r="V104" s="24"/>
      <c r="W104" s="74" t="s">
        <v>28</v>
      </c>
      <c r="X104" s="21" t="s">
        <v>36</v>
      </c>
      <c r="Y104" s="21" t="s">
        <v>28</v>
      </c>
    </row>
    <row r="105" customFormat="false" ht="15.75" hidden="false" customHeight="false" outlineLevel="0" collapsed="false">
      <c r="A105" s="61" t="n">
        <v>5983</v>
      </c>
      <c r="B105" s="29" t="n">
        <v>44467</v>
      </c>
      <c r="C105" s="21" t="s">
        <v>2177</v>
      </c>
      <c r="D105" s="21" t="s">
        <v>24</v>
      </c>
      <c r="E105" s="21" t="s">
        <v>3337</v>
      </c>
      <c r="F105" s="21" t="s">
        <v>3946</v>
      </c>
      <c r="G105" s="30" t="s">
        <v>4213</v>
      </c>
      <c r="H105" s="45" t="str">
        <f aca="false">HYPERLINK("https://photos.app.goo.gl/moRkz79zUo2QqfKN9", "Completo")</f>
        <v>Completo</v>
      </c>
      <c r="I105" s="21" t="s">
        <v>28</v>
      </c>
      <c r="J105" s="21"/>
      <c r="K105" s="21"/>
      <c r="L105" s="21"/>
      <c r="M105" s="21"/>
      <c r="N105" s="69" t="s">
        <v>4214</v>
      </c>
      <c r="O105" s="21" t="s">
        <v>28</v>
      </c>
      <c r="P105" s="21" t="s">
        <v>28</v>
      </c>
      <c r="Q105" s="21" t="s">
        <v>2700</v>
      </c>
      <c r="R105" s="32" t="s">
        <v>74</v>
      </c>
      <c r="S105" s="32" t="s">
        <v>36</v>
      </c>
      <c r="T105" s="21" t="s">
        <v>74</v>
      </c>
      <c r="U105" s="74" t="s">
        <v>28</v>
      </c>
      <c r="V105" s="24"/>
      <c r="W105" s="74" t="s">
        <v>28</v>
      </c>
      <c r="X105" s="21" t="s">
        <v>36</v>
      </c>
      <c r="Y105" s="21" t="s">
        <v>28</v>
      </c>
    </row>
    <row r="106" customFormat="false" ht="15.75" hidden="false" customHeight="false" outlineLevel="0" collapsed="false">
      <c r="A106" s="61" t="n">
        <v>5984</v>
      </c>
      <c r="B106" s="29" t="n">
        <v>44467</v>
      </c>
      <c r="C106" s="21" t="s">
        <v>2905</v>
      </c>
      <c r="D106" s="21" t="s">
        <v>3589</v>
      </c>
      <c r="E106" s="21" t="s">
        <v>25</v>
      </c>
      <c r="F106" s="21" t="s">
        <v>4215</v>
      </c>
      <c r="G106" s="30" t="s">
        <v>4216</v>
      </c>
      <c r="H106" s="45" t="s">
        <v>4217</v>
      </c>
      <c r="I106" s="21" t="s">
        <v>28</v>
      </c>
      <c r="J106" s="21"/>
      <c r="K106" s="21"/>
      <c r="L106" s="21"/>
      <c r="M106" s="21" t="s">
        <v>2255</v>
      </c>
      <c r="N106" s="30"/>
      <c r="O106" s="21"/>
      <c r="P106" s="21"/>
      <c r="Q106" s="21"/>
      <c r="R106" s="32"/>
      <c r="S106" s="32"/>
      <c r="T106" s="21"/>
      <c r="U106" s="21"/>
      <c r="V106" s="24"/>
      <c r="W106" s="21"/>
      <c r="X106" s="21"/>
      <c r="Y106" s="21" t="s">
        <v>28</v>
      </c>
    </row>
    <row r="107" customFormat="false" ht="15.75" hidden="false" customHeight="false" outlineLevel="0" collapsed="false">
      <c r="A107" s="61" t="n">
        <v>5985</v>
      </c>
      <c r="B107" s="29" t="n">
        <v>44468</v>
      </c>
      <c r="C107" s="21" t="s">
        <v>75</v>
      </c>
      <c r="D107" s="21" t="s">
        <v>24</v>
      </c>
      <c r="E107" s="21" t="s">
        <v>34</v>
      </c>
      <c r="F107" s="21" t="s">
        <v>4218</v>
      </c>
      <c r="G107" s="30"/>
      <c r="H107" s="31"/>
      <c r="I107" s="21"/>
      <c r="J107" s="21"/>
      <c r="K107" s="21"/>
      <c r="L107" s="21"/>
      <c r="M107" s="21"/>
      <c r="N107" s="30"/>
      <c r="O107" s="21"/>
      <c r="P107" s="21"/>
      <c r="Q107" s="21"/>
      <c r="R107" s="32"/>
      <c r="S107" s="32"/>
      <c r="T107" s="21"/>
      <c r="U107" s="21"/>
      <c r="V107" s="24"/>
      <c r="W107" s="21"/>
      <c r="X107" s="21"/>
      <c r="Y107" s="21" t="s">
        <v>28</v>
      </c>
    </row>
    <row r="108" customFormat="false" ht="15.75" hidden="false" customHeight="false" outlineLevel="0" collapsed="false">
      <c r="A108" s="61"/>
      <c r="B108" s="29"/>
      <c r="C108" s="21"/>
      <c r="D108" s="21"/>
      <c r="E108" s="21"/>
      <c r="F108" s="21"/>
      <c r="G108" s="30"/>
      <c r="H108" s="31"/>
      <c r="I108" s="21"/>
      <c r="J108" s="21"/>
      <c r="K108" s="21"/>
      <c r="L108" s="21"/>
      <c r="M108" s="21"/>
      <c r="N108" s="30"/>
      <c r="O108" s="21"/>
      <c r="P108" s="21"/>
      <c r="Q108" s="21"/>
      <c r="R108" s="32"/>
      <c r="S108" s="32"/>
      <c r="T108" s="21"/>
      <c r="U108" s="21"/>
      <c r="V108" s="24"/>
      <c r="W108" s="21"/>
      <c r="X108" s="21"/>
      <c r="Y108" s="21"/>
    </row>
    <row r="109" customFormat="false" ht="15.75" hidden="false" customHeight="false" outlineLevel="0" collapsed="false">
      <c r="A109" s="61"/>
      <c r="B109" s="29"/>
      <c r="C109" s="21"/>
      <c r="D109" s="21"/>
      <c r="E109" s="21"/>
      <c r="F109" s="21"/>
      <c r="G109" s="30"/>
      <c r="H109" s="31"/>
      <c r="I109" s="21"/>
      <c r="J109" s="21"/>
      <c r="K109" s="21"/>
      <c r="L109" s="21"/>
      <c r="M109" s="21"/>
      <c r="N109" s="30"/>
      <c r="O109" s="21"/>
      <c r="P109" s="21"/>
      <c r="Q109" s="21"/>
      <c r="R109" s="32"/>
      <c r="S109" s="32"/>
      <c r="T109" s="21"/>
      <c r="U109" s="21"/>
      <c r="V109" s="24"/>
      <c r="W109" s="21"/>
      <c r="X109" s="21"/>
      <c r="Y109" s="21"/>
    </row>
    <row r="110" customFormat="false" ht="15.75" hidden="false" customHeight="false" outlineLevel="0" collapsed="false">
      <c r="A110" s="61"/>
      <c r="B110" s="29"/>
      <c r="C110" s="21"/>
      <c r="D110" s="21"/>
      <c r="E110" s="21"/>
      <c r="F110" s="21"/>
      <c r="G110" s="30"/>
      <c r="H110" s="31"/>
      <c r="I110" s="21"/>
      <c r="J110" s="21"/>
      <c r="K110" s="21"/>
      <c r="L110" s="21"/>
      <c r="M110" s="21"/>
      <c r="N110" s="30"/>
      <c r="O110" s="21"/>
      <c r="P110" s="21"/>
      <c r="Q110" s="21"/>
      <c r="R110" s="32"/>
      <c r="S110" s="32"/>
      <c r="T110" s="21"/>
      <c r="U110" s="21"/>
      <c r="V110" s="24"/>
      <c r="W110" s="21"/>
      <c r="X110" s="21"/>
      <c r="Y110" s="21"/>
    </row>
    <row r="111" customFormat="false" ht="15.75" hidden="false" customHeight="false" outlineLevel="0" collapsed="false">
      <c r="A111" s="61"/>
      <c r="B111" s="29"/>
      <c r="C111" s="21"/>
      <c r="D111" s="21"/>
      <c r="E111" s="21"/>
      <c r="F111" s="21"/>
      <c r="G111" s="30"/>
      <c r="H111" s="31"/>
      <c r="I111" s="21"/>
      <c r="J111" s="21"/>
      <c r="K111" s="21"/>
      <c r="L111" s="21"/>
      <c r="M111" s="21"/>
      <c r="N111" s="30"/>
      <c r="O111" s="21"/>
      <c r="P111" s="21"/>
      <c r="Q111" s="21"/>
      <c r="R111" s="32"/>
      <c r="S111" s="32"/>
      <c r="T111" s="21"/>
      <c r="U111" s="21"/>
      <c r="V111" s="24"/>
      <c r="W111" s="21"/>
      <c r="X111" s="21"/>
      <c r="Y111" s="21"/>
    </row>
    <row r="112" customFormat="false" ht="15.75" hidden="false" customHeight="false" outlineLevel="0" collapsed="false">
      <c r="A112" s="61"/>
      <c r="B112" s="29"/>
      <c r="C112" s="21"/>
      <c r="D112" s="21"/>
      <c r="E112" s="21"/>
      <c r="F112" s="21"/>
      <c r="G112" s="30"/>
      <c r="H112" s="31"/>
      <c r="I112" s="21"/>
      <c r="J112" s="21"/>
      <c r="K112" s="21"/>
      <c r="L112" s="21"/>
      <c r="M112" s="21"/>
      <c r="N112" s="30"/>
      <c r="O112" s="21"/>
      <c r="P112" s="21"/>
      <c r="Q112" s="21"/>
      <c r="R112" s="32"/>
      <c r="S112" s="32"/>
      <c r="T112" s="21"/>
      <c r="U112" s="21"/>
      <c r="V112" s="24"/>
      <c r="W112" s="21"/>
      <c r="X112" s="21"/>
      <c r="Y112" s="21"/>
    </row>
    <row r="113" customFormat="false" ht="15.75" hidden="false" customHeight="false" outlineLevel="0" collapsed="false">
      <c r="A113" s="61"/>
      <c r="B113" s="29"/>
      <c r="C113" s="21"/>
      <c r="D113" s="21"/>
      <c r="E113" s="21"/>
      <c r="F113" s="21"/>
      <c r="G113" s="30"/>
      <c r="H113" s="31"/>
      <c r="I113" s="21"/>
      <c r="J113" s="21"/>
      <c r="K113" s="21"/>
      <c r="L113" s="21"/>
      <c r="M113" s="21"/>
      <c r="N113" s="30"/>
      <c r="O113" s="21"/>
      <c r="P113" s="21"/>
      <c r="Q113" s="21"/>
      <c r="R113" s="32"/>
      <c r="S113" s="32"/>
      <c r="T113" s="21"/>
      <c r="U113" s="21"/>
      <c r="V113" s="24"/>
      <c r="W113" s="21"/>
      <c r="X113" s="21"/>
      <c r="Y113" s="21"/>
    </row>
    <row r="114" customFormat="false" ht="15.75" hidden="false" customHeight="false" outlineLevel="0" collapsed="false">
      <c r="A114" s="61"/>
      <c r="B114" s="29"/>
      <c r="C114" s="21"/>
      <c r="D114" s="21"/>
      <c r="E114" s="55"/>
      <c r="F114" s="21"/>
      <c r="G114" s="30"/>
      <c r="H114" s="31"/>
      <c r="I114" s="21"/>
      <c r="J114" s="21"/>
      <c r="K114" s="21"/>
      <c r="L114" s="21"/>
      <c r="M114" s="21"/>
      <c r="N114" s="30"/>
      <c r="O114" s="21"/>
      <c r="P114" s="21"/>
      <c r="Q114" s="21"/>
      <c r="R114" s="32"/>
      <c r="S114" s="32"/>
      <c r="T114" s="21"/>
      <c r="U114" s="21"/>
      <c r="V114" s="24"/>
      <c r="W114" s="21"/>
      <c r="X114" s="21"/>
      <c r="Y114" s="21"/>
    </row>
    <row r="115" customFormat="false" ht="15.75" hidden="false" customHeight="false" outlineLevel="0" collapsed="false">
      <c r="A115" s="61"/>
      <c r="B115" s="29"/>
      <c r="C115" s="21"/>
      <c r="D115" s="21"/>
      <c r="E115" s="21"/>
      <c r="F115" s="21"/>
      <c r="G115" s="30"/>
      <c r="H115" s="31"/>
      <c r="I115" s="21"/>
      <c r="J115" s="21"/>
      <c r="K115" s="21"/>
      <c r="L115" s="21"/>
      <c r="M115" s="21"/>
      <c r="N115" s="30"/>
      <c r="O115" s="21"/>
      <c r="P115" s="21"/>
      <c r="Q115" s="21"/>
      <c r="R115" s="32"/>
      <c r="S115" s="32"/>
      <c r="T115" s="21"/>
      <c r="U115" s="21"/>
      <c r="V115" s="24"/>
      <c r="W115" s="21"/>
      <c r="X115" s="21"/>
      <c r="Y115" s="21"/>
    </row>
    <row r="116" customFormat="false" ht="15.75" hidden="false" customHeight="false" outlineLevel="0" collapsed="false">
      <c r="A116" s="61"/>
      <c r="B116" s="29"/>
      <c r="C116" s="21"/>
      <c r="D116" s="21"/>
      <c r="E116" s="21"/>
      <c r="F116" s="21"/>
      <c r="G116" s="30"/>
      <c r="H116" s="31"/>
      <c r="I116" s="21"/>
      <c r="J116" s="21"/>
      <c r="K116" s="21"/>
      <c r="L116" s="21"/>
      <c r="M116" s="21"/>
      <c r="N116" s="30"/>
      <c r="O116" s="21"/>
      <c r="P116" s="21"/>
      <c r="Q116" s="21"/>
      <c r="R116" s="32"/>
      <c r="S116" s="32"/>
      <c r="T116" s="21"/>
      <c r="U116" s="21"/>
      <c r="V116" s="24"/>
      <c r="W116" s="21"/>
      <c r="X116" s="21"/>
      <c r="Y116" s="21"/>
    </row>
    <row r="117" customFormat="false" ht="15.75" hidden="false" customHeight="false" outlineLevel="0" collapsed="false">
      <c r="A117" s="61"/>
      <c r="B117" s="29"/>
      <c r="C117" s="21"/>
      <c r="D117" s="21"/>
      <c r="E117" s="21"/>
      <c r="F117" s="21"/>
      <c r="G117" s="30"/>
      <c r="H117" s="31"/>
      <c r="I117" s="21"/>
      <c r="J117" s="21"/>
      <c r="K117" s="21"/>
      <c r="L117" s="21"/>
      <c r="M117" s="21"/>
      <c r="N117" s="30"/>
      <c r="O117" s="21"/>
      <c r="P117" s="21"/>
      <c r="Q117" s="21"/>
      <c r="R117" s="32"/>
      <c r="S117" s="32"/>
      <c r="T117" s="21"/>
      <c r="U117" s="21"/>
      <c r="V117" s="24"/>
      <c r="W117" s="21"/>
      <c r="X117" s="21"/>
      <c r="Y117" s="21"/>
    </row>
    <row r="118" customFormat="false" ht="15.75" hidden="false" customHeight="false" outlineLevel="0" collapsed="false">
      <c r="A118" s="61"/>
      <c r="B118" s="29"/>
      <c r="C118" s="21"/>
      <c r="D118" s="21"/>
      <c r="E118" s="21"/>
      <c r="F118" s="21"/>
      <c r="G118" s="30"/>
      <c r="H118" s="31"/>
      <c r="I118" s="21"/>
      <c r="J118" s="21"/>
      <c r="K118" s="21"/>
      <c r="L118" s="21"/>
      <c r="M118" s="21"/>
      <c r="N118" s="30"/>
      <c r="O118" s="21"/>
      <c r="P118" s="21"/>
      <c r="Q118" s="21"/>
      <c r="R118" s="32"/>
      <c r="S118" s="32"/>
      <c r="T118" s="21"/>
      <c r="U118" s="21"/>
      <c r="V118" s="24"/>
      <c r="W118" s="21"/>
      <c r="X118" s="21"/>
      <c r="Y118" s="21"/>
    </row>
    <row r="119" customFormat="false" ht="15.75" hidden="false" customHeight="false" outlineLevel="0" collapsed="false">
      <c r="A119" s="61"/>
      <c r="B119" s="29"/>
      <c r="C119" s="21"/>
      <c r="D119" s="21"/>
      <c r="E119" s="21"/>
      <c r="F119" s="21"/>
      <c r="G119" s="30"/>
      <c r="H119" s="31"/>
      <c r="I119" s="21"/>
      <c r="J119" s="21"/>
      <c r="K119" s="21"/>
      <c r="L119" s="21"/>
      <c r="M119" s="21"/>
      <c r="N119" s="30"/>
      <c r="O119" s="21"/>
      <c r="P119" s="21"/>
      <c r="Q119" s="21"/>
      <c r="R119" s="32"/>
      <c r="S119" s="32"/>
      <c r="T119" s="21"/>
      <c r="U119" s="21"/>
      <c r="V119" s="24"/>
      <c r="W119" s="21"/>
      <c r="X119" s="21"/>
      <c r="Y119" s="21"/>
    </row>
    <row r="120" customFormat="false" ht="15.75" hidden="false" customHeight="false" outlineLevel="0" collapsed="false">
      <c r="A120" s="61"/>
      <c r="B120" s="29"/>
      <c r="C120" s="21"/>
      <c r="D120" s="21"/>
      <c r="E120" s="21"/>
      <c r="F120" s="21"/>
      <c r="G120" s="30"/>
      <c r="H120" s="31"/>
      <c r="I120" s="21"/>
      <c r="J120" s="21"/>
      <c r="K120" s="21"/>
      <c r="L120" s="21"/>
      <c r="M120" s="21"/>
      <c r="N120" s="30"/>
      <c r="O120" s="21"/>
      <c r="P120" s="21"/>
      <c r="Q120" s="21"/>
      <c r="R120" s="32"/>
      <c r="S120" s="32"/>
      <c r="T120" s="21"/>
      <c r="U120" s="21"/>
      <c r="V120" s="24"/>
      <c r="W120" s="21"/>
      <c r="X120" s="21"/>
      <c r="Y120" s="21"/>
    </row>
    <row r="121" customFormat="false" ht="15.75" hidden="false" customHeight="false" outlineLevel="0" collapsed="false">
      <c r="A121" s="61"/>
      <c r="B121" s="29"/>
      <c r="C121" s="21"/>
      <c r="D121" s="21"/>
      <c r="E121" s="21"/>
      <c r="F121" s="21"/>
      <c r="G121" s="30"/>
      <c r="H121" s="31"/>
      <c r="I121" s="21"/>
      <c r="J121" s="21"/>
      <c r="K121" s="21"/>
      <c r="L121" s="21"/>
      <c r="M121" s="21"/>
      <c r="N121" s="30"/>
      <c r="O121" s="21"/>
      <c r="P121" s="21"/>
      <c r="Q121" s="21"/>
      <c r="R121" s="32"/>
      <c r="S121" s="32"/>
      <c r="T121" s="21"/>
      <c r="U121" s="21"/>
      <c r="V121" s="24"/>
      <c r="W121" s="21"/>
      <c r="X121" s="21"/>
      <c r="Y121" s="21"/>
    </row>
    <row r="122" customFormat="false" ht="15.75" hidden="false" customHeight="false" outlineLevel="0" collapsed="false">
      <c r="A122" s="61"/>
      <c r="B122" s="29"/>
      <c r="C122" s="21"/>
      <c r="D122" s="21"/>
      <c r="E122" s="21"/>
      <c r="F122" s="21"/>
      <c r="G122" s="30"/>
      <c r="H122" s="31"/>
      <c r="I122" s="21"/>
      <c r="J122" s="21"/>
      <c r="K122" s="21"/>
      <c r="L122" s="21"/>
      <c r="M122" s="21"/>
      <c r="N122" s="30"/>
      <c r="O122" s="21"/>
      <c r="P122" s="21"/>
      <c r="Q122" s="21"/>
      <c r="R122" s="32"/>
      <c r="S122" s="32"/>
      <c r="T122" s="21"/>
      <c r="U122" s="21"/>
      <c r="V122" s="24"/>
      <c r="W122" s="21"/>
      <c r="X122" s="21"/>
      <c r="Y122" s="21"/>
    </row>
    <row r="123" customFormat="false" ht="15.75" hidden="false" customHeight="false" outlineLevel="0" collapsed="false">
      <c r="A123" s="61"/>
      <c r="B123" s="29"/>
      <c r="C123" s="21"/>
      <c r="D123" s="21"/>
      <c r="E123" s="21"/>
      <c r="F123" s="21"/>
      <c r="G123" s="30"/>
      <c r="H123" s="31"/>
      <c r="I123" s="21"/>
      <c r="J123" s="21"/>
      <c r="K123" s="21"/>
      <c r="L123" s="21"/>
      <c r="M123" s="21"/>
      <c r="N123" s="30"/>
      <c r="O123" s="21"/>
      <c r="P123" s="21"/>
      <c r="Q123" s="21"/>
      <c r="R123" s="32"/>
      <c r="S123" s="32"/>
      <c r="T123" s="21"/>
      <c r="U123" s="21"/>
      <c r="V123" s="24"/>
      <c r="W123" s="21"/>
      <c r="X123" s="21"/>
      <c r="Y123" s="21"/>
    </row>
    <row r="124" customFormat="false" ht="15.75" hidden="false" customHeight="false" outlineLevel="0" collapsed="false">
      <c r="A124" s="61"/>
      <c r="B124" s="29"/>
      <c r="C124" s="21"/>
      <c r="D124" s="21"/>
      <c r="E124" s="21"/>
      <c r="F124" s="21"/>
      <c r="G124" s="30"/>
      <c r="H124" s="31"/>
      <c r="I124" s="21"/>
      <c r="J124" s="21"/>
      <c r="K124" s="21" t="s">
        <v>3307</v>
      </c>
      <c r="L124" s="21"/>
      <c r="M124" s="21"/>
      <c r="N124" s="30"/>
      <c r="O124" s="21"/>
      <c r="P124" s="21"/>
      <c r="Q124" s="21"/>
      <c r="R124" s="32"/>
      <c r="S124" s="32"/>
      <c r="T124" s="21"/>
      <c r="U124" s="21"/>
      <c r="V124" s="24"/>
      <c r="W124" s="21"/>
      <c r="X124" s="21"/>
      <c r="Y124" s="21"/>
    </row>
    <row r="125" customFormat="false" ht="15.75" hidden="false" customHeight="false" outlineLevel="0" collapsed="false">
      <c r="A125" s="61"/>
      <c r="B125" s="29"/>
      <c r="C125" s="21"/>
      <c r="D125" s="21"/>
      <c r="E125" s="21"/>
      <c r="F125" s="21"/>
      <c r="G125" s="30"/>
      <c r="H125" s="31"/>
      <c r="I125" s="21"/>
      <c r="J125" s="21"/>
      <c r="K125" s="21"/>
      <c r="L125" s="21"/>
      <c r="M125" s="21"/>
      <c r="N125" s="30"/>
      <c r="O125" s="21"/>
      <c r="P125" s="21"/>
      <c r="Q125" s="21"/>
      <c r="R125" s="32"/>
      <c r="S125" s="32"/>
      <c r="T125" s="21"/>
      <c r="U125" s="21"/>
      <c r="V125" s="24"/>
      <c r="W125" s="21"/>
      <c r="X125" s="21"/>
      <c r="Y125" s="21"/>
    </row>
    <row r="126" customFormat="false" ht="15.75" hidden="false" customHeight="false" outlineLevel="0" collapsed="false">
      <c r="A126" s="61"/>
      <c r="B126" s="29"/>
      <c r="C126" s="21"/>
      <c r="D126" s="21"/>
      <c r="E126" s="21"/>
      <c r="F126" s="21"/>
      <c r="G126" s="30"/>
      <c r="H126" s="31"/>
      <c r="I126" s="21"/>
      <c r="J126" s="21"/>
      <c r="K126" s="21"/>
      <c r="L126" s="21"/>
      <c r="M126" s="21"/>
      <c r="N126" s="30"/>
      <c r="O126" s="21"/>
      <c r="P126" s="21"/>
      <c r="Q126" s="21"/>
      <c r="R126" s="32"/>
      <c r="S126" s="32"/>
      <c r="T126" s="21"/>
      <c r="U126" s="21"/>
      <c r="V126" s="24"/>
      <c r="W126" s="21"/>
      <c r="X126" s="21"/>
      <c r="Y126" s="21"/>
    </row>
    <row r="127" customFormat="false" ht="15.75" hidden="false" customHeight="false" outlineLevel="0" collapsed="false">
      <c r="A127" s="61"/>
      <c r="B127" s="29"/>
      <c r="C127" s="21"/>
      <c r="D127" s="21"/>
      <c r="E127" s="21"/>
      <c r="F127" s="21"/>
      <c r="G127" s="30"/>
      <c r="H127" s="31"/>
      <c r="I127" s="21"/>
      <c r="J127" s="21"/>
      <c r="K127" s="21"/>
      <c r="L127" s="21"/>
      <c r="M127" s="21"/>
      <c r="N127" s="30"/>
      <c r="O127" s="21"/>
      <c r="P127" s="21"/>
      <c r="Q127" s="21"/>
      <c r="R127" s="32"/>
      <c r="S127" s="32"/>
      <c r="T127" s="21"/>
      <c r="U127" s="21"/>
      <c r="V127" s="24"/>
      <c r="W127" s="21"/>
      <c r="X127" s="21"/>
      <c r="Y127" s="21"/>
    </row>
    <row r="128" customFormat="false" ht="15.75" hidden="false" customHeight="false" outlineLevel="0" collapsed="false">
      <c r="A128" s="61"/>
      <c r="B128" s="29"/>
      <c r="C128" s="21"/>
      <c r="D128" s="21"/>
      <c r="E128" s="21"/>
      <c r="F128" s="21"/>
      <c r="G128" s="30"/>
      <c r="H128" s="31"/>
      <c r="I128" s="21"/>
      <c r="J128" s="21"/>
      <c r="K128" s="21"/>
      <c r="L128" s="21"/>
      <c r="M128" s="21"/>
      <c r="N128" s="30"/>
      <c r="O128" s="21"/>
      <c r="P128" s="21"/>
      <c r="Q128" s="21"/>
      <c r="R128" s="32"/>
      <c r="S128" s="32"/>
      <c r="T128" s="21"/>
      <c r="U128" s="21"/>
      <c r="V128" s="24"/>
      <c r="W128" s="21"/>
      <c r="X128" s="21"/>
      <c r="Y128" s="21"/>
    </row>
    <row r="129" customFormat="false" ht="15.75" hidden="false" customHeight="false" outlineLevel="0" collapsed="false">
      <c r="A129" s="61"/>
      <c r="B129" s="29"/>
      <c r="C129" s="21"/>
      <c r="D129" s="21"/>
      <c r="E129" s="21"/>
      <c r="F129" s="21"/>
      <c r="G129" s="30"/>
      <c r="H129" s="31"/>
      <c r="I129" s="21"/>
      <c r="J129" s="21"/>
      <c r="K129" s="21"/>
      <c r="L129" s="21"/>
      <c r="M129" s="21"/>
      <c r="N129" s="30"/>
      <c r="O129" s="21"/>
      <c r="P129" s="21"/>
      <c r="Q129" s="21"/>
      <c r="R129" s="32"/>
      <c r="S129" s="32"/>
      <c r="T129" s="21"/>
      <c r="U129" s="21"/>
      <c r="V129" s="24"/>
      <c r="W129" s="21"/>
      <c r="X129" s="21"/>
      <c r="Y129" s="21"/>
    </row>
    <row r="130" customFormat="false" ht="15.75" hidden="false" customHeight="false" outlineLevel="0" collapsed="false">
      <c r="A130" s="61"/>
      <c r="B130" s="29"/>
      <c r="C130" s="21"/>
      <c r="D130" s="21"/>
      <c r="E130" s="21"/>
      <c r="F130" s="21"/>
      <c r="G130" s="30"/>
      <c r="H130" s="31"/>
      <c r="I130" s="21"/>
      <c r="J130" s="21"/>
      <c r="K130" s="21"/>
      <c r="L130" s="21"/>
      <c r="M130" s="21"/>
      <c r="N130" s="30"/>
      <c r="O130" s="21"/>
      <c r="P130" s="21"/>
      <c r="Q130" s="21"/>
      <c r="R130" s="32"/>
      <c r="S130" s="32"/>
      <c r="T130" s="21"/>
      <c r="U130" s="21"/>
      <c r="V130" s="24"/>
      <c r="W130" s="21"/>
      <c r="X130" s="21"/>
      <c r="Y130" s="21"/>
    </row>
    <row r="131" customFormat="false" ht="15.75" hidden="false" customHeight="false" outlineLevel="0" collapsed="false">
      <c r="A131" s="61"/>
      <c r="B131" s="29"/>
      <c r="C131" s="21"/>
      <c r="D131" s="21"/>
      <c r="E131" s="21"/>
      <c r="F131" s="21"/>
      <c r="G131" s="30"/>
      <c r="H131" s="31"/>
      <c r="I131" s="21"/>
      <c r="J131" s="21"/>
      <c r="K131" s="21"/>
      <c r="L131" s="21"/>
      <c r="M131" s="21"/>
      <c r="N131" s="30"/>
      <c r="O131" s="21"/>
      <c r="P131" s="21"/>
      <c r="Q131" s="21"/>
      <c r="R131" s="32"/>
      <c r="S131" s="32"/>
      <c r="T131" s="21"/>
      <c r="U131" s="21"/>
      <c r="V131" s="24"/>
      <c r="W131" s="21"/>
      <c r="X131" s="21"/>
      <c r="Y131" s="21"/>
    </row>
    <row r="132" customFormat="false" ht="15.75" hidden="false" customHeight="false" outlineLevel="0" collapsed="false">
      <c r="A132" s="61"/>
      <c r="B132" s="29"/>
      <c r="C132" s="21"/>
      <c r="D132" s="21"/>
      <c r="E132" s="21"/>
      <c r="F132" s="21"/>
      <c r="G132" s="30"/>
      <c r="H132" s="31"/>
      <c r="I132" s="21"/>
      <c r="J132" s="21"/>
      <c r="K132" s="21"/>
      <c r="L132" s="21"/>
      <c r="M132" s="21"/>
      <c r="N132" s="30"/>
      <c r="O132" s="21"/>
      <c r="P132" s="21"/>
      <c r="Q132" s="21"/>
      <c r="R132" s="32"/>
      <c r="S132" s="32"/>
      <c r="T132" s="21"/>
      <c r="U132" s="21"/>
      <c r="V132" s="24"/>
      <c r="W132" s="21"/>
      <c r="X132" s="21"/>
      <c r="Y132" s="21"/>
    </row>
    <row r="133" customFormat="false" ht="15.75" hidden="false" customHeight="false" outlineLevel="0" collapsed="false">
      <c r="A133" s="61"/>
      <c r="B133" s="29"/>
      <c r="C133" s="21"/>
      <c r="D133" s="21"/>
      <c r="E133" s="21"/>
      <c r="F133" s="21"/>
      <c r="G133" s="30"/>
      <c r="H133" s="31"/>
      <c r="I133" s="21"/>
      <c r="J133" s="21"/>
      <c r="K133" s="21"/>
      <c r="L133" s="21"/>
      <c r="M133" s="21"/>
      <c r="N133" s="30"/>
      <c r="O133" s="21"/>
      <c r="P133" s="21"/>
      <c r="Q133" s="21"/>
      <c r="R133" s="32"/>
      <c r="S133" s="32"/>
      <c r="T133" s="21"/>
      <c r="U133" s="21"/>
      <c r="V133" s="24"/>
      <c r="W133" s="21"/>
      <c r="X133" s="21"/>
      <c r="Y133" s="21"/>
    </row>
    <row r="134" customFormat="false" ht="15.75" hidden="false" customHeight="false" outlineLevel="0" collapsed="false">
      <c r="A134" s="61"/>
      <c r="B134" s="29"/>
      <c r="C134" s="21"/>
      <c r="D134" s="21"/>
      <c r="E134" s="21"/>
      <c r="F134" s="21"/>
      <c r="G134" s="30"/>
      <c r="H134" s="31"/>
      <c r="I134" s="21"/>
      <c r="J134" s="21"/>
      <c r="K134" s="21"/>
      <c r="L134" s="21"/>
      <c r="M134" s="21"/>
      <c r="N134" s="30"/>
      <c r="O134" s="21"/>
      <c r="P134" s="21"/>
      <c r="Q134" s="21"/>
      <c r="R134" s="32"/>
      <c r="S134" s="32"/>
      <c r="T134" s="21"/>
      <c r="U134" s="21"/>
      <c r="V134" s="24"/>
      <c r="W134" s="21"/>
      <c r="X134" s="21"/>
      <c r="Y134" s="21"/>
    </row>
    <row r="135" customFormat="false" ht="15.75" hidden="false" customHeight="false" outlineLevel="0" collapsed="false">
      <c r="A135" s="61"/>
      <c r="B135" s="29"/>
      <c r="C135" s="21"/>
      <c r="D135" s="21"/>
      <c r="E135" s="21"/>
      <c r="F135" s="21"/>
      <c r="G135" s="30"/>
      <c r="H135" s="31"/>
      <c r="I135" s="21"/>
      <c r="J135" s="21"/>
      <c r="K135" s="21"/>
      <c r="L135" s="21"/>
      <c r="M135" s="21"/>
      <c r="N135" s="30"/>
      <c r="O135" s="21"/>
      <c r="P135" s="21"/>
      <c r="Q135" s="21"/>
      <c r="R135" s="32"/>
      <c r="S135" s="32"/>
      <c r="T135" s="21"/>
      <c r="U135" s="21"/>
      <c r="V135" s="24"/>
      <c r="W135" s="21"/>
      <c r="X135" s="21"/>
      <c r="Y135" s="21"/>
    </row>
    <row r="136" customFormat="false" ht="15.75" hidden="false" customHeight="false" outlineLevel="0" collapsed="false">
      <c r="A136" s="61"/>
      <c r="B136" s="29"/>
      <c r="C136" s="21"/>
      <c r="D136" s="21"/>
      <c r="E136" s="21"/>
      <c r="F136" s="21"/>
      <c r="G136" s="30"/>
      <c r="H136" s="31"/>
      <c r="I136" s="21"/>
      <c r="J136" s="21"/>
      <c r="K136" s="21"/>
      <c r="L136" s="21"/>
      <c r="M136" s="21"/>
      <c r="N136" s="30"/>
      <c r="O136" s="21"/>
      <c r="P136" s="21"/>
      <c r="Q136" s="21"/>
      <c r="R136" s="32"/>
      <c r="S136" s="32"/>
      <c r="T136" s="21"/>
      <c r="U136" s="21"/>
      <c r="V136" s="24"/>
      <c r="W136" s="21"/>
      <c r="X136" s="21"/>
      <c r="Y136" s="21"/>
    </row>
    <row r="137" customFormat="false" ht="15.75" hidden="false" customHeight="false" outlineLevel="0" collapsed="false">
      <c r="A137" s="61"/>
      <c r="B137" s="29"/>
      <c r="C137" s="21"/>
      <c r="D137" s="21"/>
      <c r="E137" s="21"/>
      <c r="F137" s="21"/>
      <c r="G137" s="30"/>
      <c r="H137" s="31"/>
      <c r="I137" s="21"/>
      <c r="J137" s="21"/>
      <c r="K137" s="21"/>
      <c r="L137" s="21"/>
      <c r="M137" s="21"/>
      <c r="N137" s="30"/>
      <c r="O137" s="21"/>
      <c r="P137" s="21"/>
      <c r="Q137" s="21"/>
      <c r="R137" s="32"/>
      <c r="S137" s="32"/>
      <c r="T137" s="21"/>
      <c r="U137" s="21"/>
      <c r="V137" s="24"/>
      <c r="W137" s="21"/>
      <c r="X137" s="21"/>
      <c r="Y137" s="21"/>
    </row>
    <row r="138" customFormat="false" ht="15.75" hidden="false" customHeight="false" outlineLevel="0" collapsed="false">
      <c r="A138" s="61"/>
      <c r="B138" s="29"/>
      <c r="C138" s="21"/>
      <c r="D138" s="21"/>
      <c r="E138" s="21"/>
      <c r="F138" s="21"/>
      <c r="G138" s="30"/>
      <c r="H138" s="31"/>
      <c r="I138" s="21"/>
      <c r="J138" s="21"/>
      <c r="K138" s="21"/>
      <c r="L138" s="21"/>
      <c r="M138" s="21"/>
      <c r="N138" s="30"/>
      <c r="O138" s="21"/>
      <c r="P138" s="21"/>
      <c r="Q138" s="21"/>
      <c r="R138" s="32"/>
      <c r="S138" s="32"/>
      <c r="T138" s="21"/>
      <c r="U138" s="21"/>
      <c r="V138" s="24"/>
      <c r="W138" s="21"/>
      <c r="X138" s="21"/>
      <c r="Y138" s="21"/>
    </row>
    <row r="139" customFormat="false" ht="15.75" hidden="false" customHeight="false" outlineLevel="0" collapsed="false">
      <c r="A139" s="61"/>
      <c r="B139" s="29"/>
      <c r="C139" s="21"/>
      <c r="D139" s="21"/>
      <c r="E139" s="21"/>
      <c r="F139" s="21"/>
      <c r="G139" s="30"/>
      <c r="H139" s="31"/>
      <c r="I139" s="21"/>
      <c r="J139" s="21"/>
      <c r="K139" s="21"/>
      <c r="L139" s="21"/>
      <c r="M139" s="21"/>
      <c r="N139" s="30"/>
      <c r="O139" s="21"/>
      <c r="P139" s="21"/>
      <c r="Q139" s="21"/>
      <c r="R139" s="32"/>
      <c r="S139" s="32"/>
      <c r="T139" s="21"/>
      <c r="U139" s="21"/>
      <c r="V139" s="24"/>
      <c r="W139" s="21"/>
      <c r="X139" s="21"/>
      <c r="Y139" s="21"/>
    </row>
    <row r="140" customFormat="false" ht="15.75" hidden="false" customHeight="false" outlineLevel="0" collapsed="false">
      <c r="A140" s="61"/>
      <c r="B140" s="29"/>
      <c r="C140" s="21"/>
      <c r="D140" s="21"/>
      <c r="E140" s="21"/>
      <c r="F140" s="21"/>
      <c r="G140" s="30"/>
      <c r="H140" s="31"/>
      <c r="I140" s="21"/>
      <c r="J140" s="21"/>
      <c r="K140" s="21"/>
      <c r="L140" s="21"/>
      <c r="M140" s="21"/>
      <c r="N140" s="30"/>
      <c r="O140" s="21"/>
      <c r="P140" s="21"/>
      <c r="Q140" s="21"/>
      <c r="R140" s="32"/>
      <c r="S140" s="32"/>
      <c r="T140" s="21"/>
      <c r="U140" s="21"/>
      <c r="V140" s="24"/>
      <c r="W140" s="21"/>
      <c r="X140" s="21"/>
      <c r="Y140" s="21"/>
    </row>
    <row r="141" customFormat="false" ht="15.75" hidden="false" customHeight="false" outlineLevel="0" collapsed="false">
      <c r="A141" s="61"/>
      <c r="B141" s="29"/>
      <c r="C141" s="21"/>
      <c r="D141" s="21"/>
      <c r="E141" s="21"/>
      <c r="F141" s="21"/>
      <c r="G141" s="30"/>
      <c r="H141" s="31"/>
      <c r="I141" s="21"/>
      <c r="J141" s="21"/>
      <c r="K141" s="21"/>
      <c r="L141" s="21"/>
      <c r="M141" s="21"/>
      <c r="N141" s="30"/>
      <c r="O141" s="21"/>
      <c r="P141" s="21"/>
      <c r="Q141" s="21"/>
      <c r="R141" s="32"/>
      <c r="S141" s="32"/>
      <c r="T141" s="21"/>
      <c r="U141" s="21"/>
      <c r="V141" s="24"/>
      <c r="W141" s="21"/>
      <c r="X141" s="21"/>
      <c r="Y141" s="21"/>
    </row>
    <row r="142" customFormat="false" ht="15.75" hidden="false" customHeight="false" outlineLevel="0" collapsed="false">
      <c r="A142" s="61"/>
      <c r="B142" s="29"/>
      <c r="C142" s="21"/>
      <c r="D142" s="21"/>
      <c r="E142" s="21"/>
      <c r="F142" s="21"/>
      <c r="G142" s="30"/>
      <c r="H142" s="31"/>
      <c r="I142" s="21"/>
      <c r="J142" s="21"/>
      <c r="K142" s="21"/>
      <c r="L142" s="21"/>
      <c r="M142" s="21"/>
      <c r="N142" s="30"/>
      <c r="O142" s="21"/>
      <c r="P142" s="21"/>
      <c r="Q142" s="21"/>
      <c r="R142" s="32"/>
      <c r="S142" s="32"/>
      <c r="T142" s="21"/>
      <c r="U142" s="21"/>
      <c r="V142" s="24"/>
      <c r="W142" s="21"/>
      <c r="X142" s="21"/>
      <c r="Y142" s="21"/>
    </row>
    <row r="143" customFormat="false" ht="15.75" hidden="false" customHeight="false" outlineLevel="0" collapsed="false">
      <c r="A143" s="61"/>
      <c r="B143" s="29"/>
      <c r="C143" s="21"/>
      <c r="D143" s="21"/>
      <c r="E143" s="21"/>
      <c r="F143" s="21"/>
      <c r="G143" s="30"/>
      <c r="H143" s="31"/>
      <c r="I143" s="21"/>
      <c r="J143" s="21"/>
      <c r="K143" s="21"/>
      <c r="L143" s="21"/>
      <c r="M143" s="21"/>
      <c r="N143" s="30"/>
      <c r="O143" s="21"/>
      <c r="P143" s="21"/>
      <c r="Q143" s="21"/>
      <c r="R143" s="32"/>
      <c r="S143" s="32"/>
      <c r="T143" s="21"/>
      <c r="U143" s="21"/>
      <c r="V143" s="24"/>
      <c r="W143" s="21"/>
      <c r="X143" s="21"/>
      <c r="Y143" s="21"/>
    </row>
    <row r="144" customFormat="false" ht="15.75" hidden="false" customHeight="false" outlineLevel="0" collapsed="false">
      <c r="A144" s="61"/>
      <c r="B144" s="29"/>
      <c r="C144" s="21"/>
      <c r="D144" s="21"/>
      <c r="E144" s="21"/>
      <c r="F144" s="21"/>
      <c r="G144" s="30"/>
      <c r="H144" s="31"/>
      <c r="I144" s="21"/>
      <c r="J144" s="21"/>
      <c r="K144" s="21"/>
      <c r="L144" s="21"/>
      <c r="M144" s="21"/>
      <c r="N144" s="30"/>
      <c r="O144" s="21"/>
      <c r="P144" s="21"/>
      <c r="Q144" s="21"/>
      <c r="R144" s="32"/>
      <c r="S144" s="32"/>
      <c r="T144" s="21"/>
      <c r="U144" s="21"/>
      <c r="V144" s="24"/>
      <c r="W144" s="21"/>
      <c r="X144" s="21"/>
      <c r="Y144" s="21"/>
    </row>
    <row r="145" customFormat="false" ht="15.75" hidden="false" customHeight="false" outlineLevel="0" collapsed="false">
      <c r="A145" s="61"/>
      <c r="B145" s="29"/>
      <c r="C145" s="21"/>
      <c r="D145" s="21"/>
      <c r="E145" s="21"/>
      <c r="F145" s="21"/>
      <c r="G145" s="30"/>
      <c r="H145" s="31"/>
      <c r="I145" s="21"/>
      <c r="J145" s="21"/>
      <c r="K145" s="21"/>
      <c r="L145" s="21"/>
      <c r="M145" s="21"/>
      <c r="N145" s="30"/>
      <c r="O145" s="21"/>
      <c r="P145" s="21"/>
      <c r="Q145" s="21"/>
      <c r="R145" s="32"/>
      <c r="S145" s="32"/>
      <c r="T145" s="21"/>
      <c r="U145" s="21"/>
      <c r="V145" s="24"/>
      <c r="W145" s="21"/>
      <c r="X145" s="21"/>
      <c r="Y145" s="21"/>
    </row>
    <row r="146" customFormat="false" ht="15.75" hidden="false" customHeight="false" outlineLevel="0" collapsed="false">
      <c r="A146" s="61"/>
      <c r="B146" s="29"/>
      <c r="C146" s="21"/>
      <c r="D146" s="21"/>
      <c r="E146" s="21"/>
      <c r="F146" s="21"/>
      <c r="G146" s="30"/>
      <c r="H146" s="31"/>
      <c r="I146" s="21"/>
      <c r="J146" s="21"/>
      <c r="K146" s="21"/>
      <c r="L146" s="21"/>
      <c r="M146" s="21"/>
      <c r="N146" s="30"/>
      <c r="O146" s="21"/>
      <c r="P146" s="21"/>
      <c r="Q146" s="21"/>
      <c r="R146" s="32"/>
      <c r="S146" s="32"/>
      <c r="T146" s="21"/>
      <c r="U146" s="21"/>
      <c r="V146" s="24"/>
      <c r="W146" s="21"/>
      <c r="X146" s="21"/>
      <c r="Y146" s="21"/>
    </row>
    <row r="147" customFormat="false" ht="15.75" hidden="false" customHeight="false" outlineLevel="0" collapsed="false">
      <c r="A147" s="61"/>
      <c r="B147" s="29"/>
      <c r="C147" s="21"/>
      <c r="D147" s="21"/>
      <c r="E147" s="21"/>
      <c r="F147" s="21"/>
      <c r="G147" s="30"/>
      <c r="H147" s="31"/>
      <c r="I147" s="21"/>
      <c r="J147" s="21"/>
      <c r="K147" s="21"/>
      <c r="L147" s="21"/>
      <c r="M147" s="21"/>
      <c r="N147" s="30"/>
      <c r="O147" s="21"/>
      <c r="P147" s="21"/>
      <c r="Q147" s="21"/>
      <c r="R147" s="32"/>
      <c r="S147" s="32"/>
      <c r="T147" s="21"/>
      <c r="U147" s="21"/>
      <c r="V147" s="24"/>
      <c r="W147" s="21"/>
      <c r="X147" s="21"/>
      <c r="Y147" s="21"/>
    </row>
    <row r="148" customFormat="false" ht="15.75" hidden="false" customHeight="false" outlineLevel="0" collapsed="false">
      <c r="A148" s="61"/>
      <c r="B148" s="29"/>
      <c r="C148" s="21"/>
      <c r="D148" s="21"/>
      <c r="E148" s="21"/>
      <c r="F148" s="21"/>
      <c r="G148" s="30"/>
      <c r="H148" s="31"/>
      <c r="I148" s="21"/>
      <c r="J148" s="21"/>
      <c r="K148" s="21"/>
      <c r="L148" s="21"/>
      <c r="M148" s="21"/>
      <c r="N148" s="30"/>
      <c r="O148" s="21"/>
      <c r="P148" s="21"/>
      <c r="Q148" s="21"/>
      <c r="R148" s="32"/>
      <c r="S148" s="32"/>
      <c r="T148" s="21"/>
      <c r="U148" s="21"/>
      <c r="V148" s="24"/>
      <c r="W148" s="21"/>
      <c r="X148" s="21"/>
      <c r="Y148" s="21"/>
    </row>
    <row r="149" customFormat="false" ht="15.75" hidden="false" customHeight="false" outlineLevel="0" collapsed="false">
      <c r="A149" s="61"/>
      <c r="B149" s="29"/>
      <c r="C149" s="21"/>
      <c r="D149" s="21"/>
      <c r="E149" s="21"/>
      <c r="F149" s="21"/>
      <c r="G149" s="30"/>
      <c r="H149" s="31"/>
      <c r="I149" s="21"/>
      <c r="J149" s="21"/>
      <c r="K149" s="21"/>
      <c r="L149" s="21"/>
      <c r="M149" s="21"/>
      <c r="N149" s="30"/>
      <c r="O149" s="21"/>
      <c r="P149" s="21"/>
      <c r="Q149" s="21"/>
      <c r="R149" s="32"/>
      <c r="S149" s="32"/>
      <c r="T149" s="21"/>
      <c r="U149" s="21"/>
      <c r="V149" s="24"/>
      <c r="W149" s="21"/>
      <c r="X149" s="21"/>
      <c r="Y149" s="21"/>
    </row>
    <row r="150" customFormat="false" ht="15.75" hidden="false" customHeight="false" outlineLevel="0" collapsed="false">
      <c r="A150" s="61"/>
      <c r="B150" s="29"/>
      <c r="C150" s="21"/>
      <c r="D150" s="21"/>
      <c r="E150" s="21"/>
      <c r="F150" s="21"/>
      <c r="G150" s="30"/>
      <c r="H150" s="31"/>
      <c r="I150" s="21"/>
      <c r="J150" s="21"/>
      <c r="K150" s="21"/>
      <c r="L150" s="21"/>
      <c r="M150" s="21"/>
      <c r="N150" s="30"/>
      <c r="O150" s="21"/>
      <c r="P150" s="21"/>
      <c r="Q150" s="21"/>
      <c r="R150" s="32"/>
      <c r="S150" s="32"/>
      <c r="T150" s="21"/>
      <c r="U150" s="21"/>
      <c r="V150" s="24"/>
      <c r="W150" s="21"/>
      <c r="X150" s="21"/>
      <c r="Y150" s="21"/>
    </row>
    <row r="151" customFormat="false" ht="15.75" hidden="false" customHeight="false" outlineLevel="0" collapsed="false">
      <c r="A151" s="61"/>
      <c r="B151" s="29"/>
      <c r="C151" s="21"/>
      <c r="D151" s="21"/>
      <c r="E151" s="21"/>
      <c r="F151" s="21"/>
      <c r="G151" s="30"/>
      <c r="H151" s="31"/>
      <c r="I151" s="21"/>
      <c r="J151" s="21"/>
      <c r="K151" s="21"/>
      <c r="L151" s="21"/>
      <c r="M151" s="21"/>
      <c r="N151" s="30"/>
      <c r="O151" s="21"/>
      <c r="P151" s="21"/>
      <c r="Q151" s="21"/>
      <c r="R151" s="32"/>
      <c r="S151" s="32"/>
      <c r="T151" s="21"/>
      <c r="U151" s="21"/>
      <c r="V151" s="24"/>
      <c r="W151" s="21"/>
      <c r="X151" s="21"/>
      <c r="Y151" s="21"/>
    </row>
    <row r="152" customFormat="false" ht="15.75" hidden="false" customHeight="false" outlineLevel="0" collapsed="false">
      <c r="A152" s="61"/>
      <c r="B152" s="29"/>
      <c r="C152" s="21"/>
      <c r="D152" s="21"/>
      <c r="E152" s="21"/>
      <c r="F152" s="21"/>
      <c r="G152" s="30"/>
      <c r="H152" s="31"/>
      <c r="I152" s="21"/>
      <c r="J152" s="21"/>
      <c r="K152" s="21"/>
      <c r="L152" s="21"/>
      <c r="M152" s="21"/>
      <c r="N152" s="30"/>
      <c r="O152" s="21"/>
      <c r="P152" s="21"/>
      <c r="Q152" s="21"/>
      <c r="R152" s="32"/>
      <c r="S152" s="32"/>
      <c r="T152" s="21"/>
      <c r="U152" s="21"/>
      <c r="V152" s="24"/>
      <c r="W152" s="21"/>
      <c r="X152" s="21"/>
      <c r="Y152" s="21"/>
    </row>
    <row r="153" customFormat="false" ht="15.75" hidden="false" customHeight="false" outlineLevel="0" collapsed="false">
      <c r="A153" s="61"/>
      <c r="B153" s="29"/>
      <c r="C153" s="21"/>
      <c r="D153" s="21"/>
      <c r="E153" s="21"/>
      <c r="F153" s="21"/>
      <c r="G153" s="30"/>
      <c r="H153" s="31"/>
      <c r="I153" s="21"/>
      <c r="J153" s="21"/>
      <c r="K153" s="21"/>
      <c r="L153" s="21"/>
      <c r="M153" s="21"/>
      <c r="N153" s="30"/>
      <c r="O153" s="21"/>
      <c r="P153" s="21"/>
      <c r="Q153" s="21"/>
      <c r="R153" s="32"/>
      <c r="S153" s="32"/>
      <c r="T153" s="21"/>
      <c r="U153" s="21"/>
      <c r="V153" s="24"/>
      <c r="W153" s="21"/>
      <c r="X153" s="21"/>
      <c r="Y153" s="21"/>
    </row>
    <row r="154" customFormat="false" ht="15.75" hidden="false" customHeight="false" outlineLevel="0" collapsed="false">
      <c r="A154" s="61"/>
      <c r="B154" s="29"/>
      <c r="C154" s="21"/>
      <c r="D154" s="21"/>
      <c r="E154" s="21"/>
      <c r="F154" s="21"/>
      <c r="G154" s="30"/>
      <c r="H154" s="31"/>
      <c r="I154" s="21"/>
      <c r="J154" s="21"/>
      <c r="K154" s="21"/>
      <c r="L154" s="21"/>
      <c r="M154" s="21"/>
      <c r="N154" s="30"/>
      <c r="O154" s="21"/>
      <c r="P154" s="21"/>
      <c r="Q154" s="21"/>
      <c r="R154" s="32"/>
      <c r="S154" s="32"/>
      <c r="T154" s="21"/>
      <c r="U154" s="21"/>
      <c r="V154" s="24"/>
      <c r="W154" s="21"/>
      <c r="X154" s="21"/>
      <c r="Y154" s="21"/>
    </row>
    <row r="155" customFormat="false" ht="15.75" hidden="false" customHeight="false" outlineLevel="0" collapsed="false">
      <c r="A155" s="61"/>
      <c r="B155" s="29"/>
      <c r="C155" s="21"/>
      <c r="D155" s="21"/>
      <c r="E155" s="21"/>
      <c r="F155" s="21"/>
      <c r="G155" s="30"/>
      <c r="H155" s="31"/>
      <c r="I155" s="21"/>
      <c r="J155" s="21"/>
      <c r="K155" s="21"/>
      <c r="L155" s="21"/>
      <c r="M155" s="21"/>
      <c r="N155" s="30"/>
      <c r="O155" s="21"/>
      <c r="P155" s="21"/>
      <c r="Q155" s="21"/>
      <c r="R155" s="32"/>
      <c r="S155" s="32"/>
      <c r="T155" s="21"/>
      <c r="U155" s="21"/>
      <c r="V155" s="24"/>
      <c r="W155" s="21"/>
      <c r="X155" s="21"/>
      <c r="Y155" s="21"/>
    </row>
    <row r="156" customFormat="false" ht="15.75" hidden="false" customHeight="false" outlineLevel="0" collapsed="false">
      <c r="A156" s="61"/>
      <c r="B156" s="29"/>
      <c r="C156" s="21"/>
      <c r="D156" s="21"/>
      <c r="E156" s="21"/>
      <c r="F156" s="21"/>
      <c r="G156" s="30"/>
      <c r="H156" s="31"/>
      <c r="I156" s="21"/>
      <c r="J156" s="21"/>
      <c r="K156" s="21"/>
      <c r="L156" s="21"/>
      <c r="M156" s="21"/>
      <c r="N156" s="30"/>
      <c r="O156" s="21"/>
      <c r="P156" s="21"/>
      <c r="Q156" s="21"/>
      <c r="R156" s="32"/>
      <c r="S156" s="32"/>
      <c r="T156" s="21"/>
      <c r="U156" s="21"/>
      <c r="V156" s="24"/>
      <c r="W156" s="21"/>
      <c r="X156" s="21"/>
      <c r="Y156" s="21"/>
    </row>
    <row r="157" customFormat="false" ht="15.75" hidden="false" customHeight="false" outlineLevel="0" collapsed="false">
      <c r="A157" s="61"/>
      <c r="B157" s="29"/>
      <c r="C157" s="21"/>
      <c r="D157" s="21"/>
      <c r="E157" s="21"/>
      <c r="F157" s="21"/>
      <c r="G157" s="30"/>
      <c r="H157" s="31"/>
      <c r="I157" s="21"/>
      <c r="J157" s="21"/>
      <c r="K157" s="21"/>
      <c r="L157" s="21"/>
      <c r="M157" s="21"/>
      <c r="N157" s="30"/>
      <c r="O157" s="21"/>
      <c r="P157" s="21"/>
      <c r="Q157" s="21"/>
      <c r="R157" s="32"/>
      <c r="S157" s="32"/>
      <c r="T157" s="21"/>
      <c r="U157" s="21"/>
      <c r="V157" s="24"/>
      <c r="W157" s="21"/>
      <c r="X157" s="21"/>
      <c r="Y157" s="21"/>
    </row>
    <row r="158" customFormat="false" ht="15.75" hidden="false" customHeight="false" outlineLevel="0" collapsed="false">
      <c r="A158" s="61"/>
      <c r="B158" s="29"/>
      <c r="C158" s="21"/>
      <c r="D158" s="21"/>
      <c r="E158" s="21"/>
      <c r="F158" s="21"/>
      <c r="G158" s="30"/>
      <c r="H158" s="31"/>
      <c r="I158" s="21"/>
      <c r="J158" s="21"/>
      <c r="K158" s="21"/>
      <c r="L158" s="21"/>
      <c r="M158" s="21"/>
      <c r="N158" s="30"/>
      <c r="O158" s="21"/>
      <c r="P158" s="21"/>
      <c r="Q158" s="21"/>
      <c r="R158" s="32"/>
      <c r="S158" s="32"/>
      <c r="T158" s="21"/>
      <c r="U158" s="21"/>
      <c r="V158" s="24"/>
      <c r="W158" s="21"/>
      <c r="X158" s="21"/>
      <c r="Y158" s="21"/>
    </row>
    <row r="159" customFormat="false" ht="15.75" hidden="false" customHeight="false" outlineLevel="0" collapsed="false">
      <c r="A159" s="61"/>
      <c r="B159" s="29"/>
      <c r="C159" s="21"/>
      <c r="D159" s="21"/>
      <c r="E159" s="21"/>
      <c r="F159" s="21"/>
      <c r="G159" s="30"/>
      <c r="H159" s="31"/>
      <c r="I159" s="21"/>
      <c r="J159" s="21"/>
      <c r="K159" s="21"/>
      <c r="L159" s="21"/>
      <c r="M159" s="21"/>
      <c r="N159" s="30"/>
      <c r="O159" s="21"/>
      <c r="P159" s="21"/>
      <c r="Q159" s="21"/>
      <c r="R159" s="32"/>
      <c r="S159" s="32"/>
      <c r="T159" s="21"/>
      <c r="U159" s="21"/>
      <c r="V159" s="24"/>
      <c r="W159" s="21"/>
      <c r="X159" s="21"/>
      <c r="Y159" s="21"/>
    </row>
    <row r="160" customFormat="false" ht="15.75" hidden="false" customHeight="false" outlineLevel="0" collapsed="false">
      <c r="A160" s="61"/>
      <c r="B160" s="29"/>
      <c r="C160" s="21"/>
      <c r="D160" s="21"/>
      <c r="E160" s="21"/>
      <c r="F160" s="21"/>
      <c r="G160" s="30"/>
      <c r="H160" s="31"/>
      <c r="I160" s="21"/>
      <c r="J160" s="21"/>
      <c r="K160" s="21"/>
      <c r="L160" s="21"/>
      <c r="M160" s="21"/>
      <c r="N160" s="30"/>
      <c r="O160" s="21"/>
      <c r="P160" s="21"/>
      <c r="Q160" s="21"/>
      <c r="R160" s="32"/>
      <c r="S160" s="32"/>
      <c r="T160" s="21"/>
      <c r="U160" s="21"/>
      <c r="V160" s="24"/>
      <c r="W160" s="21"/>
      <c r="X160" s="21"/>
      <c r="Y160" s="21"/>
    </row>
    <row r="161" customFormat="false" ht="15.75" hidden="false" customHeight="false" outlineLevel="0" collapsed="false">
      <c r="A161" s="61"/>
      <c r="B161" s="29"/>
      <c r="C161" s="21"/>
      <c r="D161" s="21"/>
      <c r="E161" s="21"/>
      <c r="F161" s="21"/>
      <c r="G161" s="30"/>
      <c r="H161" s="31"/>
      <c r="I161" s="21"/>
      <c r="J161" s="21"/>
      <c r="K161" s="21"/>
      <c r="L161" s="21"/>
      <c r="M161" s="21"/>
      <c r="N161" s="30"/>
      <c r="O161" s="21"/>
      <c r="P161" s="21"/>
      <c r="Q161" s="21"/>
      <c r="R161" s="32"/>
      <c r="S161" s="32"/>
      <c r="T161" s="21"/>
      <c r="U161" s="21"/>
      <c r="V161" s="24"/>
      <c r="W161" s="21"/>
      <c r="X161" s="21"/>
      <c r="Y161" s="21"/>
    </row>
    <row r="162" customFormat="false" ht="15.75" hidden="false" customHeight="false" outlineLevel="0" collapsed="false">
      <c r="A162" s="61"/>
      <c r="B162" s="29"/>
      <c r="C162" s="21"/>
      <c r="D162" s="21"/>
      <c r="E162" s="21"/>
      <c r="F162" s="21"/>
      <c r="G162" s="30"/>
      <c r="H162" s="31"/>
      <c r="I162" s="21"/>
      <c r="J162" s="21"/>
      <c r="K162" s="21"/>
      <c r="L162" s="21"/>
      <c r="M162" s="21"/>
      <c r="N162" s="30"/>
      <c r="O162" s="21"/>
      <c r="P162" s="21"/>
      <c r="Q162" s="21"/>
      <c r="R162" s="32"/>
      <c r="S162" s="32"/>
      <c r="T162" s="21"/>
      <c r="U162" s="21"/>
      <c r="V162" s="24"/>
      <c r="W162" s="21"/>
      <c r="X162" s="21"/>
      <c r="Y162" s="21"/>
    </row>
    <row r="163" customFormat="false" ht="15.75" hidden="false" customHeight="false" outlineLevel="0" collapsed="false">
      <c r="A163" s="61"/>
      <c r="B163" s="29"/>
      <c r="C163" s="21"/>
      <c r="D163" s="21"/>
      <c r="E163" s="21"/>
      <c r="F163" s="21"/>
      <c r="G163" s="30"/>
      <c r="H163" s="31"/>
      <c r="I163" s="21"/>
      <c r="J163" s="21"/>
      <c r="K163" s="21"/>
      <c r="L163" s="21"/>
      <c r="M163" s="21"/>
      <c r="N163" s="30"/>
      <c r="O163" s="21"/>
      <c r="P163" s="21"/>
      <c r="Q163" s="21"/>
      <c r="R163" s="32"/>
      <c r="S163" s="32"/>
      <c r="T163" s="21"/>
      <c r="U163" s="21"/>
      <c r="V163" s="24"/>
      <c r="W163" s="21"/>
      <c r="X163" s="21"/>
      <c r="Y163" s="21"/>
    </row>
    <row r="164" customFormat="false" ht="15.75" hidden="false" customHeight="false" outlineLevel="0" collapsed="false">
      <c r="A164" s="61"/>
      <c r="B164" s="29"/>
      <c r="C164" s="21"/>
      <c r="D164" s="21"/>
      <c r="E164" s="21"/>
      <c r="F164" s="21"/>
      <c r="G164" s="30"/>
      <c r="H164" s="31"/>
      <c r="I164" s="21"/>
      <c r="J164" s="21"/>
      <c r="K164" s="21"/>
      <c r="L164" s="21"/>
      <c r="M164" s="21"/>
      <c r="N164" s="30"/>
      <c r="O164" s="21"/>
      <c r="P164" s="21"/>
      <c r="Q164" s="21"/>
      <c r="R164" s="32"/>
      <c r="S164" s="32"/>
      <c r="T164" s="21"/>
      <c r="U164" s="21"/>
      <c r="V164" s="24"/>
      <c r="W164" s="21"/>
      <c r="X164" s="21"/>
      <c r="Y164" s="21"/>
    </row>
    <row r="165" customFormat="false" ht="15.75" hidden="false" customHeight="false" outlineLevel="0" collapsed="false">
      <c r="A165" s="61"/>
      <c r="B165" s="29"/>
      <c r="C165" s="21"/>
      <c r="D165" s="21"/>
      <c r="E165" s="21"/>
      <c r="F165" s="21"/>
      <c r="G165" s="30"/>
      <c r="H165" s="31"/>
      <c r="I165" s="21"/>
      <c r="J165" s="21"/>
      <c r="K165" s="21"/>
      <c r="L165" s="21"/>
      <c r="M165" s="21"/>
      <c r="N165" s="30"/>
      <c r="O165" s="21"/>
      <c r="P165" s="21"/>
      <c r="Q165" s="21"/>
      <c r="R165" s="32"/>
      <c r="S165" s="32"/>
      <c r="T165" s="21"/>
      <c r="U165" s="21"/>
      <c r="V165" s="24"/>
      <c r="W165" s="21"/>
      <c r="X165" s="21"/>
      <c r="Y165" s="21"/>
    </row>
    <row r="166" customFormat="false" ht="15.75" hidden="false" customHeight="false" outlineLevel="0" collapsed="false">
      <c r="A166" s="61"/>
      <c r="B166" s="29"/>
      <c r="C166" s="21"/>
      <c r="D166" s="21"/>
      <c r="E166" s="21"/>
      <c r="F166" s="21"/>
      <c r="G166" s="30"/>
      <c r="H166" s="31"/>
      <c r="I166" s="21"/>
      <c r="J166" s="21"/>
      <c r="K166" s="21"/>
      <c r="L166" s="21"/>
      <c r="M166" s="21"/>
      <c r="N166" s="30"/>
      <c r="O166" s="21"/>
      <c r="P166" s="21"/>
      <c r="Q166" s="21"/>
      <c r="R166" s="32"/>
      <c r="S166" s="32"/>
      <c r="T166" s="21"/>
      <c r="U166" s="21"/>
      <c r="V166" s="24"/>
      <c r="W166" s="21"/>
      <c r="X166" s="21"/>
      <c r="Y166" s="21"/>
    </row>
    <row r="167" customFormat="false" ht="15.75" hidden="false" customHeight="false" outlineLevel="0" collapsed="false">
      <c r="A167" s="61"/>
      <c r="B167" s="29"/>
      <c r="C167" s="21"/>
      <c r="D167" s="21"/>
      <c r="E167" s="21"/>
      <c r="F167" s="21"/>
      <c r="G167" s="30"/>
      <c r="H167" s="31"/>
      <c r="I167" s="21"/>
      <c r="J167" s="21"/>
      <c r="K167" s="21"/>
      <c r="L167" s="21"/>
      <c r="M167" s="21"/>
      <c r="N167" s="30"/>
      <c r="O167" s="21"/>
      <c r="P167" s="21"/>
      <c r="Q167" s="21"/>
      <c r="R167" s="32"/>
      <c r="S167" s="32"/>
      <c r="T167" s="21"/>
      <c r="U167" s="21"/>
      <c r="V167" s="24"/>
      <c r="W167" s="21"/>
      <c r="X167" s="21"/>
      <c r="Y167" s="21"/>
    </row>
    <row r="168" customFormat="false" ht="15.75" hidden="false" customHeight="false" outlineLevel="0" collapsed="false">
      <c r="A168" s="61"/>
      <c r="B168" s="29"/>
      <c r="C168" s="21"/>
      <c r="D168" s="21"/>
      <c r="E168" s="21"/>
      <c r="F168" s="21"/>
      <c r="G168" s="30"/>
      <c r="H168" s="31"/>
      <c r="I168" s="21"/>
      <c r="J168" s="21"/>
      <c r="K168" s="21"/>
      <c r="L168" s="21"/>
      <c r="M168" s="21"/>
      <c r="N168" s="30"/>
      <c r="O168" s="21"/>
      <c r="P168" s="21"/>
      <c r="Q168" s="21"/>
      <c r="R168" s="32"/>
      <c r="S168" s="32"/>
      <c r="T168" s="21"/>
      <c r="U168" s="21"/>
      <c r="V168" s="24"/>
      <c r="W168" s="21"/>
      <c r="X168" s="21"/>
      <c r="Y168" s="21"/>
    </row>
    <row r="169" customFormat="false" ht="15.75" hidden="false" customHeight="false" outlineLevel="0" collapsed="false">
      <c r="A169" s="61"/>
      <c r="B169" s="29"/>
      <c r="C169" s="21"/>
      <c r="D169" s="21"/>
      <c r="E169" s="21"/>
      <c r="F169" s="21"/>
      <c r="G169" s="30"/>
      <c r="H169" s="31"/>
      <c r="I169" s="21"/>
      <c r="J169" s="21"/>
      <c r="K169" s="21"/>
      <c r="L169" s="21"/>
      <c r="M169" s="21"/>
      <c r="N169" s="30"/>
      <c r="O169" s="21"/>
      <c r="P169" s="21"/>
      <c r="Q169" s="21"/>
      <c r="R169" s="32"/>
      <c r="S169" s="32"/>
      <c r="T169" s="21"/>
      <c r="U169" s="21"/>
      <c r="V169" s="24"/>
      <c r="W169" s="21"/>
      <c r="X169" s="21"/>
      <c r="Y169" s="21"/>
    </row>
    <row r="170" customFormat="false" ht="15.75" hidden="false" customHeight="false" outlineLevel="0" collapsed="false">
      <c r="A170" s="61"/>
      <c r="B170" s="29"/>
      <c r="C170" s="21"/>
      <c r="D170" s="21"/>
      <c r="E170" s="21"/>
      <c r="F170" s="21"/>
      <c r="G170" s="30"/>
      <c r="H170" s="31"/>
      <c r="I170" s="21"/>
      <c r="J170" s="21"/>
      <c r="K170" s="21"/>
      <c r="L170" s="21"/>
      <c r="M170" s="21"/>
      <c r="N170" s="30"/>
      <c r="O170" s="21"/>
      <c r="P170" s="21"/>
      <c r="Q170" s="21"/>
      <c r="R170" s="32"/>
      <c r="S170" s="32"/>
      <c r="T170" s="21"/>
      <c r="U170" s="21"/>
      <c r="V170" s="24"/>
      <c r="W170" s="21"/>
      <c r="X170" s="21"/>
      <c r="Y170" s="21"/>
    </row>
    <row r="171" customFormat="false" ht="15.75" hidden="false" customHeight="false" outlineLevel="0" collapsed="false">
      <c r="A171" s="61"/>
      <c r="B171" s="29"/>
      <c r="C171" s="21"/>
      <c r="D171" s="21"/>
      <c r="E171" s="21"/>
      <c r="F171" s="21"/>
      <c r="G171" s="30"/>
      <c r="H171" s="31"/>
      <c r="I171" s="21"/>
      <c r="J171" s="21"/>
      <c r="K171" s="21"/>
      <c r="L171" s="21"/>
      <c r="M171" s="21"/>
      <c r="N171" s="30"/>
      <c r="O171" s="21"/>
      <c r="P171" s="21"/>
      <c r="Q171" s="21"/>
      <c r="R171" s="32"/>
      <c r="S171" s="32"/>
      <c r="T171" s="21"/>
      <c r="U171" s="21"/>
      <c r="V171" s="24"/>
      <c r="W171" s="21"/>
      <c r="X171" s="21"/>
      <c r="Y171" s="21"/>
    </row>
    <row r="172" customFormat="false" ht="15.75" hidden="false" customHeight="false" outlineLevel="0" collapsed="false">
      <c r="A172" s="61"/>
      <c r="B172" s="29"/>
      <c r="C172" s="21"/>
      <c r="D172" s="21"/>
      <c r="E172" s="21"/>
      <c r="F172" s="21"/>
      <c r="G172" s="30"/>
      <c r="H172" s="31"/>
      <c r="I172" s="21"/>
      <c r="J172" s="21"/>
      <c r="K172" s="21"/>
      <c r="L172" s="21"/>
      <c r="M172" s="21"/>
      <c r="N172" s="30"/>
      <c r="O172" s="21"/>
      <c r="P172" s="21"/>
      <c r="Q172" s="21"/>
      <c r="R172" s="32"/>
      <c r="S172" s="32"/>
      <c r="T172" s="21"/>
      <c r="U172" s="21"/>
      <c r="V172" s="24"/>
      <c r="W172" s="21"/>
      <c r="X172" s="21"/>
      <c r="Y172" s="21"/>
    </row>
    <row r="173" customFormat="false" ht="15.75" hidden="false" customHeight="false" outlineLevel="0" collapsed="false">
      <c r="A173" s="61"/>
      <c r="B173" s="29"/>
      <c r="C173" s="21"/>
      <c r="D173" s="21"/>
      <c r="E173" s="21"/>
      <c r="F173" s="21"/>
      <c r="G173" s="30"/>
      <c r="H173" s="31"/>
      <c r="I173" s="21"/>
      <c r="J173" s="21"/>
      <c r="K173" s="21"/>
      <c r="L173" s="21"/>
      <c r="M173" s="21"/>
      <c r="N173" s="30"/>
      <c r="O173" s="21"/>
      <c r="P173" s="21"/>
      <c r="Q173" s="21"/>
      <c r="R173" s="32"/>
      <c r="S173" s="32"/>
      <c r="T173" s="21"/>
      <c r="U173" s="21"/>
      <c r="V173" s="24"/>
      <c r="W173" s="21"/>
      <c r="X173" s="21"/>
      <c r="Y173" s="21"/>
    </row>
    <row r="174" customFormat="false" ht="15.75" hidden="false" customHeight="false" outlineLevel="0" collapsed="false">
      <c r="A174" s="61"/>
      <c r="B174" s="29"/>
      <c r="C174" s="21"/>
      <c r="D174" s="21"/>
      <c r="E174" s="21"/>
      <c r="F174" s="21"/>
      <c r="G174" s="30"/>
      <c r="H174" s="31"/>
      <c r="I174" s="21"/>
      <c r="J174" s="21"/>
      <c r="K174" s="21"/>
      <c r="L174" s="21"/>
      <c r="M174" s="21"/>
      <c r="N174" s="30"/>
      <c r="O174" s="21"/>
      <c r="P174" s="21"/>
      <c r="Q174" s="21"/>
      <c r="R174" s="32"/>
      <c r="S174" s="32"/>
      <c r="T174" s="21"/>
      <c r="U174" s="21"/>
      <c r="V174" s="24"/>
      <c r="W174" s="21"/>
      <c r="X174" s="21"/>
      <c r="Y174" s="21"/>
    </row>
    <row r="175" customFormat="false" ht="15.75" hidden="false" customHeight="false" outlineLevel="0" collapsed="false">
      <c r="A175" s="61"/>
      <c r="B175" s="29"/>
      <c r="C175" s="21"/>
      <c r="D175" s="21"/>
      <c r="E175" s="21"/>
      <c r="F175" s="21"/>
      <c r="G175" s="30"/>
      <c r="H175" s="31"/>
      <c r="I175" s="21"/>
      <c r="J175" s="21"/>
      <c r="K175" s="21"/>
      <c r="L175" s="21"/>
      <c r="M175" s="21"/>
      <c r="N175" s="30"/>
      <c r="O175" s="21"/>
      <c r="P175" s="21"/>
      <c r="Q175" s="21"/>
      <c r="R175" s="32"/>
      <c r="S175" s="32"/>
      <c r="T175" s="21"/>
      <c r="U175" s="21"/>
      <c r="V175" s="24"/>
      <c r="W175" s="21"/>
      <c r="X175" s="21"/>
      <c r="Y175" s="21"/>
    </row>
    <row r="176" customFormat="false" ht="15.75" hidden="false" customHeight="false" outlineLevel="0" collapsed="false">
      <c r="A176" s="61"/>
      <c r="B176" s="29"/>
      <c r="C176" s="21"/>
      <c r="D176" s="21"/>
      <c r="E176" s="21"/>
      <c r="F176" s="21"/>
      <c r="G176" s="30"/>
      <c r="H176" s="31"/>
      <c r="I176" s="21"/>
      <c r="J176" s="21"/>
      <c r="K176" s="21"/>
      <c r="L176" s="21"/>
      <c r="M176" s="21"/>
      <c r="N176" s="30"/>
      <c r="O176" s="21"/>
      <c r="P176" s="21"/>
      <c r="Q176" s="21"/>
      <c r="R176" s="32"/>
      <c r="S176" s="32"/>
      <c r="T176" s="21"/>
      <c r="U176" s="21"/>
      <c r="V176" s="24"/>
      <c r="W176" s="21"/>
      <c r="X176" s="21"/>
      <c r="Y176" s="21"/>
    </row>
    <row r="177" customFormat="false" ht="15.75" hidden="false" customHeight="false" outlineLevel="0" collapsed="false">
      <c r="A177" s="61"/>
      <c r="B177" s="29"/>
      <c r="C177" s="21"/>
      <c r="D177" s="21"/>
      <c r="E177" s="21"/>
      <c r="F177" s="21"/>
      <c r="G177" s="30"/>
      <c r="H177" s="31"/>
      <c r="I177" s="21"/>
      <c r="J177" s="21"/>
      <c r="K177" s="21"/>
      <c r="L177" s="21"/>
      <c r="M177" s="21"/>
      <c r="N177" s="30"/>
      <c r="O177" s="21"/>
      <c r="P177" s="21"/>
      <c r="Q177" s="21"/>
      <c r="R177" s="32"/>
      <c r="S177" s="32"/>
      <c r="T177" s="21"/>
      <c r="U177" s="21"/>
      <c r="V177" s="24"/>
      <c r="W177" s="21"/>
      <c r="X177" s="21"/>
      <c r="Y177" s="21"/>
    </row>
    <row r="178" customFormat="false" ht="15.75" hidden="false" customHeight="false" outlineLevel="0" collapsed="false">
      <c r="A178" s="61"/>
      <c r="B178" s="29"/>
      <c r="C178" s="21"/>
      <c r="D178" s="21"/>
      <c r="E178" s="21"/>
      <c r="F178" s="21"/>
      <c r="G178" s="30"/>
      <c r="H178" s="31"/>
      <c r="I178" s="21"/>
      <c r="J178" s="21"/>
      <c r="K178" s="21"/>
      <c r="L178" s="21"/>
      <c r="M178" s="21"/>
      <c r="N178" s="30"/>
      <c r="O178" s="21"/>
      <c r="P178" s="21"/>
      <c r="Q178" s="21"/>
      <c r="R178" s="32"/>
      <c r="S178" s="32"/>
      <c r="T178" s="21"/>
      <c r="U178" s="21"/>
      <c r="V178" s="24"/>
      <c r="W178" s="21"/>
      <c r="X178" s="21"/>
      <c r="Y178" s="21"/>
    </row>
    <row r="179" customFormat="false" ht="15.75" hidden="false" customHeight="false" outlineLevel="0" collapsed="false">
      <c r="A179" s="61"/>
      <c r="B179" s="29"/>
      <c r="C179" s="21"/>
      <c r="D179" s="21"/>
      <c r="E179" s="21"/>
      <c r="F179" s="21"/>
      <c r="G179" s="30"/>
      <c r="H179" s="31"/>
      <c r="I179" s="21"/>
      <c r="J179" s="21"/>
      <c r="K179" s="21"/>
      <c r="L179" s="21"/>
      <c r="M179" s="21"/>
      <c r="N179" s="30"/>
      <c r="O179" s="21"/>
      <c r="P179" s="21"/>
      <c r="Q179" s="21"/>
      <c r="R179" s="32"/>
      <c r="S179" s="32"/>
      <c r="T179" s="21"/>
      <c r="U179" s="21"/>
      <c r="V179" s="24"/>
      <c r="W179" s="21"/>
      <c r="X179" s="21"/>
      <c r="Y179" s="21"/>
    </row>
    <row r="180" customFormat="false" ht="15.75" hidden="false" customHeight="false" outlineLevel="0" collapsed="false">
      <c r="A180" s="61"/>
      <c r="B180" s="29"/>
      <c r="C180" s="21"/>
      <c r="D180" s="21"/>
      <c r="E180" s="21"/>
      <c r="F180" s="21"/>
      <c r="G180" s="30"/>
      <c r="H180" s="31"/>
      <c r="I180" s="21"/>
      <c r="J180" s="21"/>
      <c r="K180" s="21"/>
      <c r="L180" s="21"/>
      <c r="M180" s="21"/>
      <c r="N180" s="30"/>
      <c r="O180" s="21"/>
      <c r="P180" s="21"/>
      <c r="Q180" s="21"/>
      <c r="R180" s="32"/>
      <c r="S180" s="32"/>
      <c r="T180" s="21"/>
      <c r="U180" s="21"/>
      <c r="V180" s="24"/>
      <c r="W180" s="21"/>
      <c r="X180" s="21"/>
      <c r="Y180" s="21"/>
    </row>
    <row r="181" customFormat="false" ht="15.75" hidden="false" customHeight="false" outlineLevel="0" collapsed="false">
      <c r="A181" s="61"/>
      <c r="B181" s="29"/>
      <c r="C181" s="21"/>
      <c r="D181" s="21"/>
      <c r="E181" s="21"/>
      <c r="F181" s="21"/>
      <c r="G181" s="30"/>
      <c r="H181" s="31"/>
      <c r="I181" s="21"/>
      <c r="J181" s="21"/>
      <c r="K181" s="21"/>
      <c r="L181" s="21"/>
      <c r="M181" s="21"/>
      <c r="N181" s="30"/>
      <c r="O181" s="21"/>
      <c r="P181" s="21"/>
      <c r="Q181" s="21"/>
      <c r="R181" s="32"/>
      <c r="S181" s="32"/>
      <c r="T181" s="21"/>
      <c r="U181" s="21"/>
      <c r="V181" s="24"/>
      <c r="W181" s="21"/>
      <c r="X181" s="21"/>
      <c r="Y181" s="21"/>
    </row>
    <row r="182" customFormat="false" ht="15.75" hidden="false" customHeight="false" outlineLevel="0" collapsed="false">
      <c r="A182" s="61"/>
      <c r="B182" s="29"/>
      <c r="C182" s="21"/>
      <c r="D182" s="21"/>
      <c r="E182" s="21"/>
      <c r="F182" s="21"/>
      <c r="G182" s="30"/>
      <c r="H182" s="31"/>
      <c r="I182" s="21"/>
      <c r="J182" s="21"/>
      <c r="K182" s="21"/>
      <c r="L182" s="21"/>
      <c r="M182" s="21"/>
      <c r="N182" s="30"/>
      <c r="O182" s="21"/>
      <c r="P182" s="21"/>
      <c r="Q182" s="21"/>
      <c r="R182" s="32"/>
      <c r="S182" s="32"/>
      <c r="T182" s="21"/>
      <c r="U182" s="21"/>
      <c r="V182" s="24"/>
      <c r="W182" s="21"/>
      <c r="X182" s="21"/>
      <c r="Y182" s="21"/>
    </row>
    <row r="183" customFormat="false" ht="15.75" hidden="false" customHeight="false" outlineLevel="0" collapsed="false">
      <c r="A183" s="61"/>
      <c r="B183" s="29"/>
      <c r="C183" s="21"/>
      <c r="D183" s="21"/>
      <c r="E183" s="21"/>
      <c r="F183" s="21"/>
      <c r="G183" s="30"/>
      <c r="H183" s="31"/>
      <c r="I183" s="21"/>
      <c r="J183" s="21"/>
      <c r="K183" s="21"/>
      <c r="L183" s="21"/>
      <c r="M183" s="21"/>
      <c r="N183" s="30"/>
      <c r="O183" s="21"/>
      <c r="P183" s="21"/>
      <c r="Q183" s="21"/>
      <c r="R183" s="32"/>
      <c r="S183" s="32"/>
      <c r="T183" s="21"/>
      <c r="U183" s="21"/>
      <c r="V183" s="24"/>
      <c r="W183" s="21"/>
      <c r="X183" s="21"/>
      <c r="Y183" s="21"/>
    </row>
    <row r="184" customFormat="false" ht="15.75" hidden="false" customHeight="false" outlineLevel="0" collapsed="false">
      <c r="A184" s="61"/>
      <c r="B184" s="29"/>
      <c r="C184" s="21"/>
      <c r="D184" s="21"/>
      <c r="E184" s="21"/>
      <c r="F184" s="21"/>
      <c r="G184" s="30"/>
      <c r="H184" s="31"/>
      <c r="I184" s="21"/>
      <c r="J184" s="21"/>
      <c r="K184" s="21"/>
      <c r="L184" s="21"/>
      <c r="M184" s="21"/>
      <c r="N184" s="30"/>
      <c r="O184" s="21"/>
      <c r="P184" s="21"/>
      <c r="Q184" s="21"/>
      <c r="R184" s="32"/>
      <c r="S184" s="32"/>
      <c r="T184" s="21"/>
      <c r="U184" s="21"/>
      <c r="V184" s="24"/>
      <c r="W184" s="21"/>
      <c r="X184" s="21"/>
      <c r="Y184" s="21"/>
    </row>
    <row r="185" customFormat="false" ht="15.75" hidden="false" customHeight="false" outlineLevel="0" collapsed="false">
      <c r="A185" s="61"/>
      <c r="B185" s="29"/>
      <c r="C185" s="21"/>
      <c r="D185" s="21"/>
      <c r="E185" s="21"/>
      <c r="F185" s="21"/>
      <c r="G185" s="30"/>
      <c r="H185" s="31"/>
      <c r="I185" s="21"/>
      <c r="J185" s="21"/>
      <c r="K185" s="21"/>
      <c r="L185" s="21"/>
      <c r="M185" s="21"/>
      <c r="N185" s="30"/>
      <c r="O185" s="21"/>
      <c r="P185" s="21"/>
      <c r="Q185" s="21"/>
      <c r="R185" s="32"/>
      <c r="S185" s="32"/>
      <c r="T185" s="21"/>
      <c r="U185" s="21"/>
      <c r="V185" s="24"/>
      <c r="W185" s="21"/>
      <c r="X185" s="21"/>
      <c r="Y185" s="21"/>
    </row>
    <row r="186" customFormat="false" ht="15.75" hidden="false" customHeight="false" outlineLevel="0" collapsed="false">
      <c r="A186" s="61"/>
      <c r="B186" s="29"/>
      <c r="C186" s="21"/>
      <c r="D186" s="21"/>
      <c r="E186" s="21"/>
      <c r="F186" s="21"/>
      <c r="G186" s="30"/>
      <c r="H186" s="31"/>
      <c r="I186" s="21"/>
      <c r="J186" s="21"/>
      <c r="K186" s="21"/>
      <c r="L186" s="21"/>
      <c r="M186" s="21"/>
      <c r="N186" s="30"/>
      <c r="O186" s="21"/>
      <c r="P186" s="21"/>
      <c r="Q186" s="21"/>
      <c r="R186" s="32"/>
      <c r="S186" s="32"/>
      <c r="T186" s="21"/>
      <c r="U186" s="21"/>
      <c r="V186" s="24"/>
      <c r="W186" s="21"/>
      <c r="X186" s="21"/>
      <c r="Y186" s="21"/>
    </row>
    <row r="187" customFormat="false" ht="15.75" hidden="false" customHeight="false" outlineLevel="0" collapsed="false">
      <c r="A187" s="61"/>
      <c r="B187" s="29"/>
      <c r="C187" s="21"/>
      <c r="D187" s="21"/>
      <c r="E187" s="21"/>
      <c r="F187" s="21"/>
      <c r="G187" s="30"/>
      <c r="H187" s="31"/>
      <c r="I187" s="21"/>
      <c r="J187" s="21"/>
      <c r="K187" s="21"/>
      <c r="L187" s="21"/>
      <c r="M187" s="21"/>
      <c r="N187" s="30"/>
      <c r="O187" s="21"/>
      <c r="P187" s="21"/>
      <c r="Q187" s="21"/>
      <c r="R187" s="32"/>
      <c r="S187" s="32"/>
      <c r="T187" s="21"/>
      <c r="U187" s="21"/>
      <c r="V187" s="24"/>
      <c r="W187" s="21"/>
      <c r="X187" s="21"/>
      <c r="Y187" s="21"/>
    </row>
    <row r="188" customFormat="false" ht="15.75" hidden="false" customHeight="false" outlineLevel="0" collapsed="false">
      <c r="A188" s="61"/>
      <c r="B188" s="29"/>
      <c r="C188" s="21"/>
      <c r="D188" s="21"/>
      <c r="E188" s="21"/>
      <c r="F188" s="21"/>
      <c r="G188" s="30"/>
      <c r="H188" s="31"/>
      <c r="I188" s="21"/>
      <c r="J188" s="21"/>
      <c r="K188" s="21"/>
      <c r="L188" s="21"/>
      <c r="M188" s="21"/>
      <c r="N188" s="30"/>
      <c r="O188" s="21"/>
      <c r="P188" s="21"/>
      <c r="Q188" s="21"/>
      <c r="R188" s="32"/>
      <c r="S188" s="32"/>
      <c r="T188" s="21"/>
      <c r="U188" s="21"/>
      <c r="V188" s="24"/>
      <c r="W188" s="21"/>
      <c r="X188" s="21"/>
      <c r="Y188" s="21"/>
    </row>
    <row r="189" customFormat="false" ht="15.75" hidden="false" customHeight="false" outlineLevel="0" collapsed="false">
      <c r="A189" s="61"/>
      <c r="B189" s="29"/>
      <c r="C189" s="21"/>
      <c r="D189" s="21"/>
      <c r="E189" s="21"/>
      <c r="F189" s="21"/>
      <c r="G189" s="30"/>
      <c r="H189" s="31"/>
      <c r="I189" s="21"/>
      <c r="J189" s="21"/>
      <c r="K189" s="21"/>
      <c r="L189" s="21"/>
      <c r="M189" s="21"/>
      <c r="N189" s="30"/>
      <c r="O189" s="21"/>
      <c r="P189" s="21"/>
      <c r="Q189" s="21"/>
      <c r="R189" s="32"/>
      <c r="S189" s="32"/>
      <c r="T189" s="21"/>
      <c r="U189" s="21"/>
      <c r="V189" s="24"/>
      <c r="W189" s="21"/>
      <c r="X189" s="21"/>
      <c r="Y189" s="21"/>
    </row>
    <row r="190" customFormat="false" ht="15.75" hidden="false" customHeight="false" outlineLevel="0" collapsed="false">
      <c r="A190" s="61"/>
      <c r="B190" s="29"/>
      <c r="C190" s="21"/>
      <c r="D190" s="21"/>
      <c r="E190" s="21"/>
      <c r="F190" s="21"/>
      <c r="G190" s="30"/>
      <c r="H190" s="31"/>
      <c r="I190" s="21"/>
      <c r="J190" s="21"/>
      <c r="K190" s="21"/>
      <c r="L190" s="21"/>
      <c r="M190" s="21"/>
      <c r="N190" s="30"/>
      <c r="O190" s="21"/>
      <c r="P190" s="21"/>
      <c r="Q190" s="21"/>
      <c r="R190" s="32"/>
      <c r="S190" s="32"/>
      <c r="T190" s="21"/>
      <c r="U190" s="21"/>
      <c r="V190" s="24"/>
      <c r="W190" s="21"/>
      <c r="X190" s="21"/>
      <c r="Y190" s="21"/>
    </row>
    <row r="191" customFormat="false" ht="15.75" hidden="false" customHeight="false" outlineLevel="0" collapsed="false">
      <c r="A191" s="61"/>
      <c r="B191" s="29"/>
      <c r="C191" s="21"/>
      <c r="D191" s="21"/>
      <c r="E191" s="21"/>
      <c r="F191" s="21"/>
      <c r="G191" s="30"/>
      <c r="H191" s="31"/>
      <c r="I191" s="21"/>
      <c r="J191" s="21"/>
      <c r="K191" s="21"/>
      <c r="L191" s="21"/>
      <c r="M191" s="21"/>
      <c r="N191" s="30"/>
      <c r="O191" s="21"/>
      <c r="P191" s="21"/>
      <c r="Q191" s="21"/>
      <c r="R191" s="32"/>
      <c r="S191" s="32"/>
      <c r="T191" s="21"/>
      <c r="U191" s="21"/>
      <c r="V191" s="24"/>
      <c r="W191" s="21"/>
      <c r="X191" s="21"/>
      <c r="Y191" s="21"/>
    </row>
    <row r="192" customFormat="false" ht="15.75" hidden="false" customHeight="false" outlineLevel="0" collapsed="false">
      <c r="A192" s="61"/>
      <c r="B192" s="29"/>
      <c r="C192" s="21"/>
      <c r="D192" s="21"/>
      <c r="E192" s="21"/>
      <c r="F192" s="21"/>
      <c r="G192" s="30"/>
      <c r="H192" s="31"/>
      <c r="I192" s="21"/>
      <c r="J192" s="21"/>
      <c r="K192" s="21"/>
      <c r="L192" s="21"/>
      <c r="M192" s="21"/>
      <c r="N192" s="30"/>
      <c r="O192" s="21"/>
      <c r="P192" s="21"/>
      <c r="Q192" s="21"/>
      <c r="R192" s="32"/>
      <c r="S192" s="32"/>
      <c r="T192" s="21"/>
      <c r="U192" s="21"/>
      <c r="V192" s="24"/>
      <c r="W192" s="21"/>
      <c r="X192" s="21"/>
      <c r="Y192" s="21"/>
    </row>
    <row r="193" customFormat="false" ht="15.75" hidden="false" customHeight="false" outlineLevel="0" collapsed="false">
      <c r="A193" s="61"/>
      <c r="B193" s="29"/>
      <c r="C193" s="21"/>
      <c r="D193" s="21"/>
      <c r="E193" s="21"/>
      <c r="F193" s="21"/>
      <c r="G193" s="30"/>
      <c r="H193" s="31"/>
      <c r="I193" s="21"/>
      <c r="J193" s="21"/>
      <c r="K193" s="21"/>
      <c r="L193" s="21"/>
      <c r="M193" s="21"/>
      <c r="N193" s="30"/>
      <c r="O193" s="21"/>
      <c r="P193" s="21"/>
      <c r="Q193" s="21"/>
      <c r="R193" s="32"/>
      <c r="S193" s="32"/>
      <c r="T193" s="21"/>
      <c r="U193" s="21"/>
      <c r="V193" s="24"/>
      <c r="W193" s="21"/>
      <c r="X193" s="21"/>
      <c r="Y193" s="21"/>
    </row>
    <row r="194" customFormat="false" ht="15.75" hidden="false" customHeight="false" outlineLevel="0" collapsed="false">
      <c r="A194" s="61"/>
      <c r="B194" s="29"/>
      <c r="C194" s="21"/>
      <c r="D194" s="21"/>
      <c r="E194" s="21"/>
      <c r="F194" s="21"/>
      <c r="G194" s="30"/>
      <c r="H194" s="31"/>
      <c r="I194" s="21"/>
      <c r="J194" s="21"/>
      <c r="K194" s="21"/>
      <c r="L194" s="21"/>
      <c r="M194" s="21"/>
      <c r="N194" s="30"/>
      <c r="O194" s="21"/>
      <c r="P194" s="21"/>
      <c r="Q194" s="21"/>
      <c r="R194" s="32"/>
      <c r="S194" s="32"/>
      <c r="T194" s="21"/>
      <c r="U194" s="21"/>
      <c r="V194" s="24"/>
      <c r="W194" s="21"/>
      <c r="X194" s="21"/>
      <c r="Y194" s="21"/>
    </row>
    <row r="195" customFormat="false" ht="15.75" hidden="false" customHeight="false" outlineLevel="0" collapsed="false">
      <c r="A195" s="61"/>
      <c r="B195" s="29"/>
      <c r="C195" s="21"/>
      <c r="D195" s="21"/>
      <c r="E195" s="21"/>
      <c r="F195" s="21"/>
      <c r="G195" s="30"/>
      <c r="H195" s="31"/>
      <c r="I195" s="21"/>
      <c r="J195" s="21"/>
      <c r="K195" s="21"/>
      <c r="L195" s="21"/>
      <c r="M195" s="21"/>
      <c r="N195" s="30"/>
      <c r="O195" s="21"/>
      <c r="P195" s="21"/>
      <c r="Q195" s="21"/>
      <c r="R195" s="32"/>
      <c r="S195" s="32"/>
      <c r="T195" s="21"/>
      <c r="U195" s="21"/>
      <c r="V195" s="24"/>
      <c r="W195" s="21"/>
      <c r="X195" s="21"/>
      <c r="Y195" s="21"/>
    </row>
    <row r="196" customFormat="false" ht="15.75" hidden="false" customHeight="false" outlineLevel="0" collapsed="false">
      <c r="A196" s="61"/>
      <c r="B196" s="29"/>
      <c r="C196" s="21"/>
      <c r="D196" s="21"/>
      <c r="E196" s="21"/>
      <c r="F196" s="21"/>
      <c r="G196" s="30"/>
      <c r="H196" s="31"/>
      <c r="I196" s="21"/>
      <c r="J196" s="21"/>
      <c r="K196" s="21"/>
      <c r="L196" s="21"/>
      <c r="M196" s="21"/>
      <c r="N196" s="30"/>
      <c r="O196" s="21"/>
      <c r="P196" s="21"/>
      <c r="Q196" s="21"/>
      <c r="R196" s="32"/>
      <c r="S196" s="32"/>
      <c r="T196" s="21"/>
      <c r="U196" s="21"/>
      <c r="V196" s="24"/>
      <c r="W196" s="21"/>
      <c r="X196" s="21"/>
      <c r="Y196" s="21"/>
    </row>
    <row r="197" customFormat="false" ht="15.75" hidden="false" customHeight="false" outlineLevel="0" collapsed="false">
      <c r="A197" s="61"/>
      <c r="B197" s="29"/>
      <c r="C197" s="21"/>
      <c r="D197" s="21"/>
      <c r="E197" s="21"/>
      <c r="F197" s="21"/>
      <c r="G197" s="30"/>
      <c r="H197" s="31"/>
      <c r="I197" s="21"/>
      <c r="J197" s="21"/>
      <c r="K197" s="21"/>
      <c r="L197" s="21"/>
      <c r="M197" s="21"/>
      <c r="N197" s="30"/>
      <c r="O197" s="21"/>
      <c r="P197" s="21"/>
      <c r="Q197" s="21"/>
      <c r="R197" s="32"/>
      <c r="S197" s="32"/>
      <c r="T197" s="21"/>
      <c r="U197" s="21"/>
      <c r="V197" s="24"/>
      <c r="W197" s="21"/>
      <c r="X197" s="21"/>
      <c r="Y197" s="21"/>
    </row>
    <row r="198" customFormat="false" ht="15.75" hidden="false" customHeight="false" outlineLevel="0" collapsed="false">
      <c r="A198" s="61"/>
      <c r="B198" s="29"/>
      <c r="C198" s="21"/>
      <c r="D198" s="21"/>
      <c r="E198" s="21"/>
      <c r="F198" s="21"/>
      <c r="G198" s="30"/>
      <c r="H198" s="31"/>
      <c r="I198" s="21"/>
      <c r="J198" s="21"/>
      <c r="K198" s="21"/>
      <c r="L198" s="21"/>
      <c r="M198" s="21"/>
      <c r="N198" s="30"/>
      <c r="O198" s="21"/>
      <c r="P198" s="21"/>
      <c r="Q198" s="21"/>
      <c r="R198" s="32"/>
      <c r="S198" s="32"/>
      <c r="T198" s="21"/>
      <c r="U198" s="21"/>
      <c r="V198" s="24"/>
      <c r="W198" s="21"/>
      <c r="X198" s="21"/>
      <c r="Y198" s="21"/>
    </row>
    <row r="199" customFormat="false" ht="15.75" hidden="false" customHeight="false" outlineLevel="0" collapsed="false">
      <c r="A199" s="61"/>
      <c r="B199" s="29"/>
      <c r="C199" s="21"/>
      <c r="D199" s="21"/>
      <c r="E199" s="21"/>
      <c r="F199" s="21"/>
      <c r="G199" s="30"/>
      <c r="H199" s="31"/>
      <c r="I199" s="21"/>
      <c r="J199" s="21"/>
      <c r="K199" s="21"/>
      <c r="L199" s="21"/>
      <c r="M199" s="21"/>
      <c r="N199" s="30"/>
      <c r="O199" s="21"/>
      <c r="P199" s="21"/>
      <c r="Q199" s="21"/>
      <c r="R199" s="32"/>
      <c r="S199" s="32"/>
      <c r="T199" s="21"/>
      <c r="U199" s="21"/>
      <c r="V199" s="24"/>
      <c r="W199" s="21"/>
      <c r="X199" s="21"/>
      <c r="Y199" s="21"/>
    </row>
    <row r="200" customFormat="false" ht="15.75" hidden="false" customHeight="false" outlineLevel="0" collapsed="false">
      <c r="A200" s="61"/>
      <c r="B200" s="29"/>
      <c r="C200" s="21"/>
      <c r="D200" s="21"/>
      <c r="E200" s="21"/>
      <c r="F200" s="21"/>
      <c r="G200" s="30"/>
      <c r="H200" s="31"/>
      <c r="I200" s="21"/>
      <c r="J200" s="21"/>
      <c r="K200" s="21"/>
      <c r="L200" s="21"/>
      <c r="M200" s="21"/>
      <c r="N200" s="30"/>
      <c r="O200" s="21"/>
      <c r="P200" s="21"/>
      <c r="Q200" s="21"/>
      <c r="R200" s="32"/>
      <c r="S200" s="32"/>
      <c r="T200" s="21"/>
      <c r="U200" s="21"/>
      <c r="V200" s="24"/>
      <c r="W200" s="21"/>
      <c r="X200" s="21"/>
      <c r="Y200" s="21"/>
    </row>
    <row r="201" customFormat="false" ht="15.75" hidden="false" customHeight="false" outlineLevel="0" collapsed="false">
      <c r="A201" s="61"/>
      <c r="B201" s="29"/>
      <c r="C201" s="21"/>
      <c r="D201" s="21"/>
      <c r="E201" s="21"/>
      <c r="F201" s="21"/>
      <c r="G201" s="30"/>
      <c r="H201" s="31"/>
      <c r="I201" s="21"/>
      <c r="J201" s="21"/>
      <c r="K201" s="21"/>
      <c r="L201" s="21"/>
      <c r="M201" s="21"/>
      <c r="N201" s="30"/>
      <c r="O201" s="21"/>
      <c r="P201" s="21"/>
      <c r="Q201" s="21"/>
      <c r="R201" s="32"/>
      <c r="S201" s="32"/>
      <c r="T201" s="21"/>
      <c r="U201" s="21"/>
      <c r="V201" s="24"/>
      <c r="W201" s="21"/>
      <c r="X201" s="21"/>
      <c r="Y201" s="21"/>
    </row>
    <row r="202" customFormat="false" ht="15.75" hidden="false" customHeight="false" outlineLevel="0" collapsed="false">
      <c r="A202" s="61"/>
      <c r="B202" s="29"/>
      <c r="C202" s="21"/>
      <c r="D202" s="21"/>
      <c r="E202" s="21"/>
      <c r="F202" s="21"/>
      <c r="G202" s="30"/>
      <c r="H202" s="31"/>
      <c r="I202" s="21"/>
      <c r="J202" s="21"/>
      <c r="K202" s="21"/>
      <c r="L202" s="21"/>
      <c r="M202" s="21"/>
      <c r="N202" s="30"/>
      <c r="O202" s="21"/>
      <c r="P202" s="21"/>
      <c r="Q202" s="21"/>
      <c r="R202" s="32"/>
      <c r="S202" s="32"/>
      <c r="T202" s="21"/>
      <c r="U202" s="21"/>
      <c r="V202" s="24"/>
      <c r="W202" s="21"/>
      <c r="X202" s="21"/>
      <c r="Y202" s="21"/>
    </row>
    <row r="203" customFormat="false" ht="15.75" hidden="false" customHeight="false" outlineLevel="0" collapsed="false">
      <c r="A203" s="61"/>
      <c r="B203" s="29"/>
      <c r="C203" s="21"/>
      <c r="D203" s="21"/>
      <c r="E203" s="21"/>
      <c r="F203" s="21"/>
      <c r="G203" s="30"/>
      <c r="H203" s="31"/>
      <c r="I203" s="21"/>
      <c r="J203" s="21"/>
      <c r="K203" s="21"/>
      <c r="L203" s="21"/>
      <c r="M203" s="21"/>
      <c r="N203" s="30"/>
      <c r="O203" s="21"/>
      <c r="P203" s="21"/>
      <c r="Q203" s="21"/>
      <c r="R203" s="32"/>
      <c r="S203" s="32"/>
      <c r="T203" s="21"/>
      <c r="U203" s="21"/>
      <c r="V203" s="24"/>
      <c r="W203" s="21"/>
      <c r="X203" s="21"/>
      <c r="Y203" s="21"/>
    </row>
    <row r="204" customFormat="false" ht="15.75" hidden="false" customHeight="false" outlineLevel="0" collapsed="false">
      <c r="A204" s="61"/>
      <c r="B204" s="29"/>
      <c r="C204" s="21"/>
      <c r="D204" s="21"/>
      <c r="E204" s="21"/>
      <c r="F204" s="21"/>
      <c r="G204" s="30"/>
      <c r="H204" s="31"/>
      <c r="I204" s="21"/>
      <c r="J204" s="21"/>
      <c r="K204" s="21"/>
      <c r="L204" s="21"/>
      <c r="M204" s="21"/>
      <c r="N204" s="30"/>
      <c r="O204" s="21"/>
      <c r="P204" s="21"/>
      <c r="Q204" s="21"/>
      <c r="R204" s="32"/>
      <c r="S204" s="32"/>
      <c r="T204" s="21"/>
      <c r="U204" s="21"/>
      <c r="V204" s="24"/>
      <c r="W204" s="21"/>
      <c r="X204" s="21"/>
      <c r="Y204" s="21"/>
    </row>
    <row r="205" customFormat="false" ht="15.75" hidden="false" customHeight="false" outlineLevel="0" collapsed="false">
      <c r="A205" s="61"/>
      <c r="B205" s="29"/>
      <c r="C205" s="21"/>
      <c r="D205" s="21"/>
      <c r="E205" s="21"/>
      <c r="F205" s="21"/>
      <c r="G205" s="30"/>
      <c r="H205" s="31"/>
      <c r="I205" s="21"/>
      <c r="J205" s="21"/>
      <c r="K205" s="21"/>
      <c r="L205" s="21"/>
      <c r="M205" s="21"/>
      <c r="N205" s="30"/>
      <c r="O205" s="21"/>
      <c r="P205" s="21"/>
      <c r="Q205" s="21"/>
      <c r="R205" s="32"/>
      <c r="S205" s="32"/>
      <c r="T205" s="21"/>
      <c r="U205" s="21"/>
      <c r="V205" s="24"/>
      <c r="W205" s="21"/>
      <c r="X205" s="21"/>
      <c r="Y205" s="21"/>
    </row>
    <row r="206" customFormat="false" ht="15.75" hidden="false" customHeight="false" outlineLevel="0" collapsed="false">
      <c r="A206" s="61"/>
      <c r="B206" s="29"/>
      <c r="C206" s="21"/>
      <c r="D206" s="21"/>
      <c r="E206" s="21"/>
      <c r="F206" s="21"/>
      <c r="G206" s="30"/>
      <c r="H206" s="31"/>
      <c r="I206" s="21"/>
      <c r="J206" s="21"/>
      <c r="K206" s="21"/>
      <c r="L206" s="21"/>
      <c r="M206" s="21"/>
      <c r="N206" s="30"/>
      <c r="O206" s="21"/>
      <c r="P206" s="21"/>
      <c r="Q206" s="21"/>
      <c r="R206" s="32"/>
      <c r="S206" s="32"/>
      <c r="T206" s="21"/>
      <c r="U206" s="21"/>
      <c r="V206" s="24"/>
      <c r="W206" s="21"/>
      <c r="X206" s="21"/>
      <c r="Y206" s="21"/>
    </row>
    <row r="207" customFormat="false" ht="15.75" hidden="false" customHeight="false" outlineLevel="0" collapsed="false">
      <c r="A207" s="61"/>
      <c r="B207" s="29"/>
      <c r="C207" s="21"/>
      <c r="D207" s="21"/>
      <c r="E207" s="21"/>
      <c r="F207" s="21"/>
      <c r="G207" s="30"/>
      <c r="H207" s="31"/>
      <c r="I207" s="21"/>
      <c r="J207" s="21"/>
      <c r="K207" s="21"/>
      <c r="L207" s="21"/>
      <c r="M207" s="21"/>
      <c r="N207" s="30"/>
      <c r="O207" s="21"/>
      <c r="P207" s="21"/>
      <c r="Q207" s="21"/>
      <c r="R207" s="32"/>
      <c r="S207" s="32"/>
      <c r="T207" s="21"/>
      <c r="U207" s="21"/>
      <c r="V207" s="24"/>
      <c r="W207" s="21"/>
      <c r="X207" s="21"/>
      <c r="Y207" s="21"/>
    </row>
    <row r="208" customFormat="false" ht="15.75" hidden="false" customHeight="false" outlineLevel="0" collapsed="false">
      <c r="A208" s="61"/>
      <c r="B208" s="29"/>
      <c r="C208" s="21"/>
      <c r="D208" s="21"/>
      <c r="E208" s="21"/>
      <c r="F208" s="21"/>
      <c r="G208" s="30"/>
      <c r="H208" s="31"/>
      <c r="I208" s="21"/>
      <c r="J208" s="21"/>
      <c r="K208" s="21"/>
      <c r="L208" s="21"/>
      <c r="M208" s="21"/>
      <c r="N208" s="30"/>
      <c r="O208" s="21"/>
      <c r="P208" s="21"/>
      <c r="Q208" s="21"/>
      <c r="R208" s="32"/>
      <c r="S208" s="32"/>
      <c r="T208" s="21"/>
      <c r="U208" s="21"/>
      <c r="V208" s="24"/>
      <c r="W208" s="21"/>
      <c r="X208" s="21"/>
      <c r="Y208" s="21"/>
    </row>
    <row r="209" customFormat="false" ht="15.75" hidden="false" customHeight="false" outlineLevel="0" collapsed="false">
      <c r="A209" s="61"/>
      <c r="B209" s="29"/>
      <c r="C209" s="21"/>
      <c r="D209" s="21"/>
      <c r="E209" s="21"/>
      <c r="F209" s="21"/>
      <c r="G209" s="30"/>
      <c r="H209" s="31"/>
      <c r="I209" s="21"/>
      <c r="J209" s="21"/>
      <c r="K209" s="21"/>
      <c r="L209" s="21"/>
      <c r="M209" s="21"/>
      <c r="N209" s="30"/>
      <c r="O209" s="21"/>
      <c r="P209" s="21"/>
      <c r="Q209" s="21"/>
      <c r="R209" s="32"/>
      <c r="S209" s="32"/>
      <c r="T209" s="21"/>
      <c r="U209" s="21"/>
      <c r="V209" s="24"/>
      <c r="W209" s="21"/>
      <c r="X209" s="21"/>
      <c r="Y209" s="21"/>
    </row>
    <row r="210" customFormat="false" ht="15.75" hidden="false" customHeight="false" outlineLevel="0" collapsed="false">
      <c r="A210" s="61"/>
      <c r="B210" s="29"/>
      <c r="C210" s="21"/>
      <c r="D210" s="21"/>
      <c r="E210" s="21"/>
      <c r="F210" s="21"/>
      <c r="G210" s="30"/>
      <c r="H210" s="31"/>
      <c r="I210" s="21"/>
      <c r="J210" s="21"/>
      <c r="K210" s="21"/>
      <c r="L210" s="21"/>
      <c r="M210" s="21"/>
      <c r="N210" s="30"/>
      <c r="O210" s="21"/>
      <c r="P210" s="21"/>
      <c r="Q210" s="21"/>
      <c r="R210" s="32"/>
      <c r="S210" s="32"/>
      <c r="T210" s="21"/>
      <c r="U210" s="21"/>
      <c r="V210" s="24"/>
      <c r="W210" s="21"/>
      <c r="X210" s="21"/>
      <c r="Y210" s="21"/>
    </row>
    <row r="211" customFormat="false" ht="15.75" hidden="false" customHeight="false" outlineLevel="0" collapsed="false">
      <c r="A211" s="61"/>
      <c r="B211" s="29"/>
      <c r="C211" s="21"/>
      <c r="D211" s="21"/>
      <c r="E211" s="21"/>
      <c r="F211" s="21"/>
      <c r="G211" s="30"/>
      <c r="H211" s="31"/>
      <c r="I211" s="21"/>
      <c r="J211" s="21"/>
      <c r="K211" s="21"/>
      <c r="L211" s="21"/>
      <c r="M211" s="21"/>
      <c r="N211" s="30"/>
      <c r="O211" s="21"/>
      <c r="P211" s="21"/>
      <c r="Q211" s="21"/>
      <c r="R211" s="32"/>
      <c r="S211" s="32"/>
      <c r="T211" s="21"/>
      <c r="U211" s="21"/>
      <c r="V211" s="24"/>
      <c r="W211" s="21"/>
      <c r="X211" s="21"/>
      <c r="Y211" s="21"/>
    </row>
    <row r="212" customFormat="false" ht="15.75" hidden="false" customHeight="false" outlineLevel="0" collapsed="false">
      <c r="A212" s="61"/>
      <c r="B212" s="29"/>
      <c r="C212" s="21"/>
      <c r="D212" s="21"/>
      <c r="E212" s="21"/>
      <c r="F212" s="21"/>
      <c r="G212" s="30"/>
      <c r="H212" s="31"/>
      <c r="I212" s="21"/>
      <c r="J212" s="21"/>
      <c r="K212" s="21"/>
      <c r="L212" s="21"/>
      <c r="M212" s="21"/>
      <c r="N212" s="30"/>
      <c r="O212" s="21"/>
      <c r="P212" s="21"/>
      <c r="Q212" s="21"/>
      <c r="R212" s="32"/>
      <c r="S212" s="32"/>
      <c r="T212" s="21"/>
      <c r="U212" s="21"/>
      <c r="V212" s="24"/>
      <c r="W212" s="21"/>
      <c r="X212" s="21"/>
      <c r="Y212" s="21"/>
    </row>
    <row r="213" customFormat="false" ht="15.75" hidden="false" customHeight="false" outlineLevel="0" collapsed="false">
      <c r="A213" s="61"/>
      <c r="B213" s="29"/>
      <c r="C213" s="21"/>
      <c r="D213" s="21"/>
      <c r="E213" s="21"/>
      <c r="F213" s="21"/>
      <c r="G213" s="30"/>
      <c r="H213" s="31"/>
      <c r="I213" s="21"/>
      <c r="J213" s="21"/>
      <c r="K213" s="21"/>
      <c r="L213" s="21"/>
      <c r="M213" s="21"/>
      <c r="N213" s="30"/>
      <c r="O213" s="21"/>
      <c r="P213" s="21"/>
      <c r="Q213" s="21"/>
      <c r="R213" s="32"/>
      <c r="S213" s="32"/>
      <c r="T213" s="21"/>
      <c r="U213" s="21"/>
      <c r="V213" s="24"/>
      <c r="W213" s="21"/>
      <c r="X213" s="21"/>
      <c r="Y213" s="21"/>
    </row>
    <row r="214" customFormat="false" ht="15.75" hidden="false" customHeight="false" outlineLevel="0" collapsed="false">
      <c r="A214" s="61"/>
      <c r="B214" s="29"/>
      <c r="C214" s="21"/>
      <c r="D214" s="21"/>
      <c r="E214" s="21"/>
      <c r="F214" s="21"/>
      <c r="G214" s="30"/>
      <c r="H214" s="31"/>
      <c r="I214" s="21"/>
      <c r="J214" s="21"/>
      <c r="K214" s="21"/>
      <c r="L214" s="21"/>
      <c r="M214" s="21"/>
      <c r="N214" s="30"/>
      <c r="O214" s="21"/>
      <c r="P214" s="21"/>
      <c r="Q214" s="21"/>
      <c r="R214" s="32"/>
      <c r="S214" s="32"/>
      <c r="T214" s="21"/>
      <c r="U214" s="21"/>
      <c r="V214" s="24"/>
      <c r="W214" s="21"/>
      <c r="X214" s="21"/>
      <c r="Y214" s="21"/>
    </row>
    <row r="215" customFormat="false" ht="15.75" hidden="false" customHeight="false" outlineLevel="0" collapsed="false">
      <c r="A215" s="61"/>
      <c r="B215" s="29"/>
      <c r="C215" s="21"/>
      <c r="D215" s="21"/>
      <c r="E215" s="21"/>
      <c r="F215" s="21"/>
      <c r="G215" s="30"/>
      <c r="H215" s="31"/>
      <c r="I215" s="21"/>
      <c r="J215" s="21"/>
      <c r="K215" s="21"/>
      <c r="L215" s="21"/>
      <c r="M215" s="21"/>
      <c r="N215" s="30"/>
      <c r="O215" s="21"/>
      <c r="P215" s="21"/>
      <c r="Q215" s="21"/>
      <c r="R215" s="32"/>
      <c r="S215" s="32"/>
      <c r="T215" s="21"/>
      <c r="U215" s="21"/>
      <c r="V215" s="24"/>
      <c r="W215" s="21"/>
      <c r="X215" s="21"/>
      <c r="Y215" s="21"/>
    </row>
    <row r="216" customFormat="false" ht="15.75" hidden="false" customHeight="false" outlineLevel="0" collapsed="false">
      <c r="A216" s="61"/>
      <c r="B216" s="29"/>
      <c r="C216" s="21"/>
      <c r="D216" s="21"/>
      <c r="E216" s="21"/>
      <c r="F216" s="21"/>
      <c r="G216" s="30"/>
      <c r="H216" s="31"/>
      <c r="I216" s="21"/>
      <c r="J216" s="21"/>
      <c r="K216" s="21"/>
      <c r="L216" s="21"/>
      <c r="M216" s="21"/>
      <c r="N216" s="30"/>
      <c r="O216" s="21"/>
      <c r="P216" s="21"/>
      <c r="Q216" s="21"/>
      <c r="R216" s="32"/>
      <c r="S216" s="32"/>
      <c r="T216" s="21"/>
      <c r="U216" s="21"/>
      <c r="V216" s="24"/>
      <c r="W216" s="21"/>
      <c r="X216" s="21"/>
      <c r="Y216" s="21"/>
    </row>
    <row r="217" customFormat="false" ht="15.75" hidden="false" customHeight="false" outlineLevel="0" collapsed="false">
      <c r="A217" s="61"/>
      <c r="B217" s="29"/>
      <c r="C217" s="21"/>
      <c r="D217" s="21"/>
      <c r="E217" s="21"/>
      <c r="F217" s="21"/>
      <c r="G217" s="30"/>
      <c r="H217" s="31"/>
      <c r="I217" s="21"/>
      <c r="J217" s="21"/>
      <c r="K217" s="21"/>
      <c r="L217" s="21"/>
      <c r="M217" s="21"/>
      <c r="N217" s="30"/>
      <c r="O217" s="21"/>
      <c r="P217" s="21"/>
      <c r="Q217" s="21"/>
      <c r="R217" s="32"/>
      <c r="S217" s="32"/>
      <c r="T217" s="21"/>
      <c r="U217" s="21"/>
      <c r="V217" s="24"/>
      <c r="W217" s="21"/>
      <c r="X217" s="21"/>
      <c r="Y217" s="21"/>
    </row>
    <row r="218" customFormat="false" ht="15.75" hidden="false" customHeight="false" outlineLevel="0" collapsed="false">
      <c r="A218" s="61"/>
      <c r="B218" s="29"/>
      <c r="C218" s="21"/>
      <c r="D218" s="21"/>
      <c r="E218" s="21"/>
      <c r="F218" s="21"/>
      <c r="G218" s="30"/>
      <c r="H218" s="31"/>
      <c r="I218" s="21"/>
      <c r="J218" s="21"/>
      <c r="K218" s="21"/>
      <c r="L218" s="21"/>
      <c r="M218" s="21"/>
      <c r="N218" s="30"/>
      <c r="O218" s="21"/>
      <c r="P218" s="21"/>
      <c r="Q218" s="21"/>
      <c r="R218" s="32"/>
      <c r="S218" s="32"/>
      <c r="T218" s="21"/>
      <c r="U218" s="21"/>
      <c r="V218" s="24"/>
      <c r="W218" s="21"/>
      <c r="X218" s="21"/>
      <c r="Y218" s="21"/>
    </row>
    <row r="219" customFormat="false" ht="15.75" hidden="false" customHeight="false" outlineLevel="0" collapsed="false">
      <c r="A219" s="61"/>
      <c r="B219" s="29"/>
      <c r="C219" s="21"/>
      <c r="D219" s="21"/>
      <c r="E219" s="21"/>
      <c r="F219" s="21"/>
      <c r="G219" s="30"/>
      <c r="H219" s="31"/>
      <c r="I219" s="21"/>
      <c r="J219" s="21"/>
      <c r="K219" s="21"/>
      <c r="L219" s="21"/>
      <c r="M219" s="21"/>
      <c r="N219" s="30"/>
      <c r="O219" s="21"/>
      <c r="P219" s="21"/>
      <c r="Q219" s="21"/>
      <c r="R219" s="32"/>
      <c r="S219" s="32"/>
      <c r="T219" s="21"/>
      <c r="U219" s="21"/>
      <c r="V219" s="24"/>
      <c r="W219" s="21"/>
      <c r="X219" s="21"/>
      <c r="Y219" s="21"/>
    </row>
    <row r="220" customFormat="false" ht="15.75" hidden="false" customHeight="false" outlineLevel="0" collapsed="false">
      <c r="A220" s="61"/>
      <c r="B220" s="29"/>
      <c r="C220" s="21"/>
      <c r="D220" s="21"/>
      <c r="E220" s="21"/>
      <c r="F220" s="21"/>
      <c r="G220" s="30"/>
      <c r="H220" s="31"/>
      <c r="I220" s="21"/>
      <c r="J220" s="21"/>
      <c r="K220" s="21"/>
      <c r="L220" s="21"/>
      <c r="M220" s="21"/>
      <c r="N220" s="30"/>
      <c r="O220" s="21"/>
      <c r="P220" s="21"/>
      <c r="Q220" s="21"/>
      <c r="R220" s="32"/>
      <c r="S220" s="32"/>
      <c r="T220" s="21"/>
      <c r="U220" s="21"/>
      <c r="V220" s="24"/>
      <c r="W220" s="21"/>
      <c r="X220" s="21"/>
      <c r="Y220" s="21"/>
    </row>
    <row r="221" customFormat="false" ht="15.75" hidden="false" customHeight="false" outlineLevel="0" collapsed="false">
      <c r="A221" s="61"/>
      <c r="B221" s="29"/>
      <c r="C221" s="21"/>
      <c r="D221" s="21"/>
      <c r="E221" s="21"/>
      <c r="F221" s="21"/>
      <c r="G221" s="30"/>
      <c r="H221" s="31"/>
      <c r="I221" s="21"/>
      <c r="J221" s="21"/>
      <c r="K221" s="21"/>
      <c r="L221" s="21"/>
      <c r="M221" s="21"/>
      <c r="N221" s="30"/>
      <c r="O221" s="21"/>
      <c r="P221" s="21"/>
      <c r="Q221" s="21"/>
      <c r="R221" s="32"/>
      <c r="S221" s="32"/>
      <c r="T221" s="21"/>
      <c r="U221" s="21"/>
      <c r="V221" s="24"/>
      <c r="W221" s="21"/>
      <c r="X221" s="21"/>
      <c r="Y221" s="21"/>
    </row>
    <row r="222" customFormat="false" ht="15.75" hidden="false" customHeight="false" outlineLevel="0" collapsed="false">
      <c r="A222" s="61"/>
      <c r="B222" s="29"/>
      <c r="C222" s="21"/>
      <c r="D222" s="21"/>
      <c r="E222" s="21"/>
      <c r="F222" s="21"/>
      <c r="G222" s="30"/>
      <c r="H222" s="31"/>
      <c r="I222" s="21"/>
      <c r="J222" s="21"/>
      <c r="K222" s="21"/>
      <c r="L222" s="21"/>
      <c r="M222" s="21"/>
      <c r="N222" s="30"/>
      <c r="O222" s="21"/>
      <c r="P222" s="21"/>
      <c r="Q222" s="21"/>
      <c r="R222" s="32"/>
      <c r="S222" s="32"/>
      <c r="T222" s="21"/>
      <c r="U222" s="21"/>
      <c r="V222" s="24"/>
      <c r="W222" s="21"/>
      <c r="X222" s="21"/>
      <c r="Y222" s="21"/>
    </row>
    <row r="223" customFormat="false" ht="15.75" hidden="false" customHeight="false" outlineLevel="0" collapsed="false">
      <c r="A223" s="61"/>
      <c r="B223" s="29"/>
      <c r="C223" s="21"/>
      <c r="D223" s="21"/>
      <c r="E223" s="21"/>
      <c r="F223" s="21"/>
      <c r="G223" s="30"/>
      <c r="H223" s="31"/>
      <c r="I223" s="21"/>
      <c r="J223" s="21"/>
      <c r="K223" s="21"/>
      <c r="L223" s="21"/>
      <c r="M223" s="21"/>
      <c r="N223" s="30"/>
      <c r="O223" s="21"/>
      <c r="P223" s="21"/>
      <c r="Q223" s="21"/>
      <c r="R223" s="32"/>
      <c r="S223" s="32"/>
      <c r="T223" s="21"/>
      <c r="U223" s="21"/>
      <c r="V223" s="24"/>
      <c r="W223" s="21"/>
      <c r="X223" s="21"/>
      <c r="Y223" s="21"/>
    </row>
    <row r="224" customFormat="false" ht="15.75" hidden="false" customHeight="false" outlineLevel="0" collapsed="false">
      <c r="A224" s="61"/>
      <c r="B224" s="29"/>
      <c r="C224" s="21"/>
      <c r="D224" s="21"/>
      <c r="E224" s="21"/>
      <c r="F224" s="21"/>
      <c r="G224" s="30"/>
      <c r="H224" s="31"/>
      <c r="I224" s="21"/>
      <c r="J224" s="21"/>
      <c r="K224" s="21"/>
      <c r="L224" s="21"/>
      <c r="M224" s="21"/>
      <c r="N224" s="30"/>
      <c r="O224" s="21"/>
      <c r="P224" s="21"/>
      <c r="Q224" s="21"/>
      <c r="R224" s="32"/>
      <c r="S224" s="32"/>
      <c r="T224" s="21"/>
      <c r="U224" s="21"/>
      <c r="V224" s="24"/>
      <c r="W224" s="21"/>
      <c r="X224" s="21"/>
      <c r="Y224" s="21"/>
    </row>
    <row r="225" customFormat="false" ht="15.75" hidden="false" customHeight="false" outlineLevel="0" collapsed="false">
      <c r="A225" s="61"/>
      <c r="B225" s="29"/>
      <c r="C225" s="21"/>
      <c r="D225" s="21"/>
      <c r="E225" s="21"/>
      <c r="F225" s="21"/>
      <c r="G225" s="30"/>
      <c r="H225" s="31"/>
      <c r="I225" s="21"/>
      <c r="J225" s="21"/>
      <c r="K225" s="21"/>
      <c r="L225" s="21"/>
      <c r="M225" s="21"/>
      <c r="N225" s="30"/>
      <c r="O225" s="21"/>
      <c r="P225" s="21"/>
      <c r="Q225" s="21"/>
      <c r="R225" s="32"/>
      <c r="S225" s="32"/>
      <c r="T225" s="21"/>
      <c r="U225" s="21"/>
      <c r="V225" s="24"/>
      <c r="W225" s="21"/>
      <c r="X225" s="21"/>
      <c r="Y225" s="21"/>
    </row>
    <row r="226" customFormat="false" ht="15.75" hidden="false" customHeight="false" outlineLevel="0" collapsed="false">
      <c r="A226" s="61"/>
      <c r="B226" s="29"/>
      <c r="C226" s="21"/>
      <c r="D226" s="21"/>
      <c r="E226" s="21"/>
      <c r="F226" s="21"/>
      <c r="G226" s="30"/>
      <c r="H226" s="31"/>
      <c r="I226" s="21"/>
      <c r="J226" s="21"/>
      <c r="K226" s="21"/>
      <c r="L226" s="21"/>
      <c r="M226" s="21"/>
      <c r="N226" s="30"/>
      <c r="O226" s="21"/>
      <c r="P226" s="21"/>
      <c r="Q226" s="21"/>
      <c r="R226" s="32"/>
      <c r="S226" s="32"/>
      <c r="T226" s="21"/>
      <c r="U226" s="21"/>
      <c r="V226" s="24"/>
      <c r="W226" s="21"/>
      <c r="X226" s="21"/>
      <c r="Y226" s="21"/>
    </row>
    <row r="227" customFormat="false" ht="15.75" hidden="false" customHeight="false" outlineLevel="0" collapsed="false">
      <c r="A227" s="61"/>
      <c r="B227" s="29"/>
      <c r="C227" s="21"/>
      <c r="D227" s="21"/>
      <c r="E227" s="21"/>
      <c r="F227" s="21"/>
      <c r="G227" s="30"/>
      <c r="H227" s="31"/>
      <c r="I227" s="21"/>
      <c r="J227" s="21"/>
      <c r="K227" s="21"/>
      <c r="L227" s="21"/>
      <c r="M227" s="21"/>
      <c r="N227" s="30"/>
      <c r="O227" s="21"/>
      <c r="P227" s="21"/>
      <c r="Q227" s="21"/>
      <c r="R227" s="32"/>
      <c r="S227" s="32"/>
      <c r="T227" s="21"/>
      <c r="U227" s="21"/>
      <c r="V227" s="24"/>
      <c r="W227" s="21"/>
      <c r="X227" s="21"/>
      <c r="Y227" s="21"/>
    </row>
    <row r="228" customFormat="false" ht="15.75" hidden="false" customHeight="false" outlineLevel="0" collapsed="false">
      <c r="A228" s="61"/>
      <c r="B228" s="29"/>
      <c r="C228" s="21"/>
      <c r="D228" s="21"/>
      <c r="E228" s="21"/>
      <c r="F228" s="21"/>
      <c r="G228" s="30"/>
      <c r="H228" s="31"/>
      <c r="I228" s="21"/>
      <c r="J228" s="21"/>
      <c r="K228" s="21"/>
      <c r="L228" s="21"/>
      <c r="M228" s="21"/>
      <c r="N228" s="30"/>
      <c r="O228" s="21"/>
      <c r="P228" s="21"/>
      <c r="Q228" s="21"/>
      <c r="R228" s="32"/>
      <c r="S228" s="32"/>
      <c r="T228" s="21"/>
      <c r="U228" s="21"/>
      <c r="V228" s="24"/>
      <c r="W228" s="21"/>
      <c r="X228" s="21"/>
      <c r="Y228" s="21"/>
    </row>
    <row r="229" customFormat="false" ht="15.75" hidden="false" customHeight="false" outlineLevel="0" collapsed="false">
      <c r="A229" s="61"/>
      <c r="B229" s="29"/>
      <c r="C229" s="21"/>
      <c r="D229" s="21"/>
      <c r="E229" s="21"/>
      <c r="F229" s="21"/>
      <c r="G229" s="30"/>
      <c r="H229" s="31"/>
      <c r="I229" s="21"/>
      <c r="J229" s="21"/>
      <c r="K229" s="21"/>
      <c r="L229" s="21"/>
      <c r="M229" s="21"/>
      <c r="N229" s="30"/>
      <c r="O229" s="21"/>
      <c r="P229" s="21"/>
      <c r="Q229" s="21"/>
      <c r="R229" s="32"/>
      <c r="S229" s="32"/>
      <c r="T229" s="21"/>
      <c r="U229" s="21"/>
      <c r="V229" s="24"/>
      <c r="W229" s="21"/>
      <c r="X229" s="21"/>
      <c r="Y229" s="21"/>
    </row>
    <row r="230" customFormat="false" ht="15.75" hidden="false" customHeight="false" outlineLevel="0" collapsed="false">
      <c r="A230" s="61"/>
      <c r="B230" s="29"/>
      <c r="C230" s="21"/>
      <c r="D230" s="21"/>
      <c r="E230" s="21"/>
      <c r="F230" s="21"/>
      <c r="G230" s="30"/>
      <c r="H230" s="31"/>
      <c r="I230" s="21"/>
      <c r="J230" s="21"/>
      <c r="K230" s="21"/>
      <c r="L230" s="21"/>
      <c r="M230" s="21"/>
      <c r="N230" s="30"/>
      <c r="O230" s="21"/>
      <c r="P230" s="21"/>
      <c r="Q230" s="21"/>
      <c r="R230" s="32"/>
      <c r="S230" s="32"/>
      <c r="T230" s="21"/>
      <c r="U230" s="21"/>
      <c r="V230" s="24"/>
      <c r="W230" s="21"/>
      <c r="X230" s="21"/>
      <c r="Y230" s="21"/>
    </row>
    <row r="231" customFormat="false" ht="15.75" hidden="false" customHeight="false" outlineLevel="0" collapsed="false">
      <c r="A231" s="61"/>
      <c r="B231" s="29"/>
      <c r="C231" s="21"/>
      <c r="D231" s="21"/>
      <c r="E231" s="21"/>
      <c r="F231" s="21"/>
      <c r="G231" s="30"/>
      <c r="H231" s="31"/>
      <c r="I231" s="21"/>
      <c r="J231" s="21"/>
      <c r="K231" s="21"/>
      <c r="L231" s="21"/>
      <c r="M231" s="21"/>
      <c r="N231" s="30"/>
      <c r="O231" s="21"/>
      <c r="P231" s="21"/>
      <c r="Q231" s="21"/>
      <c r="R231" s="32"/>
      <c r="S231" s="32"/>
      <c r="T231" s="21"/>
      <c r="U231" s="21"/>
      <c r="V231" s="24"/>
      <c r="W231" s="21"/>
      <c r="X231" s="21"/>
      <c r="Y231" s="21"/>
    </row>
    <row r="232" customFormat="false" ht="15.75" hidden="false" customHeight="false" outlineLevel="0" collapsed="false">
      <c r="A232" s="61"/>
      <c r="B232" s="29"/>
      <c r="C232" s="21"/>
      <c r="D232" s="21"/>
      <c r="E232" s="21"/>
      <c r="F232" s="21"/>
      <c r="G232" s="30"/>
      <c r="H232" s="31"/>
      <c r="I232" s="21"/>
      <c r="J232" s="21"/>
      <c r="K232" s="21"/>
      <c r="L232" s="21"/>
      <c r="M232" s="21"/>
      <c r="N232" s="30"/>
      <c r="O232" s="21"/>
      <c r="P232" s="21"/>
      <c r="Q232" s="21"/>
      <c r="R232" s="32"/>
      <c r="S232" s="32"/>
      <c r="T232" s="21"/>
      <c r="U232" s="21"/>
      <c r="V232" s="24"/>
      <c r="W232" s="21"/>
      <c r="X232" s="21"/>
      <c r="Y232" s="21"/>
    </row>
    <row r="233" customFormat="false" ht="15.75" hidden="false" customHeight="false" outlineLevel="0" collapsed="false">
      <c r="A233" s="61"/>
      <c r="B233" s="29"/>
      <c r="C233" s="21"/>
      <c r="D233" s="21"/>
      <c r="E233" s="21"/>
      <c r="F233" s="21"/>
      <c r="G233" s="30"/>
      <c r="H233" s="31"/>
      <c r="I233" s="21"/>
      <c r="J233" s="21"/>
      <c r="K233" s="21"/>
      <c r="L233" s="21"/>
      <c r="M233" s="21"/>
      <c r="N233" s="30"/>
      <c r="O233" s="21"/>
      <c r="P233" s="21"/>
      <c r="Q233" s="21"/>
      <c r="R233" s="32"/>
      <c r="S233" s="32"/>
      <c r="T233" s="21"/>
      <c r="U233" s="21"/>
      <c r="V233" s="24"/>
      <c r="W233" s="21"/>
      <c r="X233" s="21"/>
      <c r="Y233" s="21"/>
    </row>
    <row r="234" customFormat="false" ht="15.75" hidden="false" customHeight="false" outlineLevel="0" collapsed="false">
      <c r="A234" s="61"/>
      <c r="B234" s="29"/>
      <c r="C234" s="21"/>
      <c r="D234" s="21"/>
      <c r="E234" s="21"/>
      <c r="F234" s="21"/>
      <c r="G234" s="30"/>
      <c r="H234" s="31"/>
      <c r="I234" s="21"/>
      <c r="J234" s="21"/>
      <c r="K234" s="21"/>
      <c r="L234" s="21"/>
      <c r="M234" s="21"/>
      <c r="N234" s="30"/>
      <c r="O234" s="21"/>
      <c r="P234" s="21"/>
      <c r="Q234" s="21"/>
      <c r="R234" s="32"/>
      <c r="S234" s="32"/>
      <c r="T234" s="21"/>
      <c r="U234" s="21"/>
      <c r="V234" s="24"/>
      <c r="W234" s="21"/>
      <c r="X234" s="21"/>
      <c r="Y234" s="21"/>
    </row>
    <row r="235" customFormat="false" ht="15.75" hidden="false" customHeight="false" outlineLevel="0" collapsed="false">
      <c r="A235" s="61"/>
      <c r="B235" s="29"/>
      <c r="C235" s="21"/>
      <c r="D235" s="21"/>
      <c r="E235" s="21"/>
      <c r="F235" s="21"/>
      <c r="G235" s="30"/>
      <c r="H235" s="31"/>
      <c r="I235" s="21"/>
      <c r="J235" s="21"/>
      <c r="K235" s="21"/>
      <c r="L235" s="21"/>
      <c r="M235" s="21"/>
      <c r="N235" s="30"/>
      <c r="O235" s="21"/>
      <c r="P235" s="21"/>
      <c r="Q235" s="21"/>
      <c r="R235" s="32"/>
      <c r="S235" s="32"/>
      <c r="T235" s="21"/>
      <c r="U235" s="21"/>
      <c r="V235" s="24"/>
      <c r="W235" s="21"/>
      <c r="X235" s="21"/>
      <c r="Y235" s="21"/>
    </row>
    <row r="236" customFormat="false" ht="15.75" hidden="false" customHeight="false" outlineLevel="0" collapsed="false">
      <c r="A236" s="61"/>
      <c r="B236" s="29"/>
      <c r="C236" s="21"/>
      <c r="D236" s="21"/>
      <c r="E236" s="21"/>
      <c r="F236" s="21"/>
      <c r="G236" s="30"/>
      <c r="H236" s="31"/>
      <c r="I236" s="21"/>
      <c r="J236" s="21"/>
      <c r="K236" s="21"/>
      <c r="L236" s="21"/>
      <c r="M236" s="21"/>
      <c r="N236" s="30"/>
      <c r="O236" s="21"/>
      <c r="P236" s="21"/>
      <c r="Q236" s="21"/>
      <c r="R236" s="32"/>
      <c r="S236" s="32"/>
      <c r="T236" s="21"/>
      <c r="U236" s="21"/>
      <c r="V236" s="24"/>
      <c r="W236" s="21"/>
      <c r="X236" s="21"/>
      <c r="Y236" s="21"/>
    </row>
    <row r="237" customFormat="false" ht="15.75" hidden="false" customHeight="false" outlineLevel="0" collapsed="false">
      <c r="A237" s="61"/>
      <c r="B237" s="29"/>
      <c r="C237" s="21"/>
      <c r="D237" s="21"/>
      <c r="E237" s="21"/>
      <c r="F237" s="21"/>
      <c r="G237" s="30"/>
      <c r="H237" s="31"/>
      <c r="I237" s="21"/>
      <c r="J237" s="21"/>
      <c r="K237" s="21"/>
      <c r="L237" s="21"/>
      <c r="M237" s="21"/>
      <c r="N237" s="30"/>
      <c r="O237" s="21"/>
      <c r="P237" s="21"/>
      <c r="Q237" s="21"/>
      <c r="R237" s="32"/>
      <c r="S237" s="32"/>
      <c r="T237" s="21"/>
      <c r="U237" s="21"/>
      <c r="V237" s="24"/>
      <c r="W237" s="21"/>
      <c r="X237" s="21"/>
      <c r="Y237" s="21"/>
    </row>
    <row r="238" customFormat="false" ht="15.75" hidden="false" customHeight="false" outlineLevel="0" collapsed="false">
      <c r="A238" s="61"/>
      <c r="B238" s="29"/>
      <c r="C238" s="21"/>
      <c r="D238" s="21"/>
      <c r="E238" s="21"/>
      <c r="F238" s="21"/>
      <c r="G238" s="30"/>
      <c r="H238" s="31"/>
      <c r="I238" s="21"/>
      <c r="J238" s="21"/>
      <c r="K238" s="21"/>
      <c r="L238" s="21"/>
      <c r="M238" s="21"/>
      <c r="N238" s="30"/>
      <c r="O238" s="21"/>
      <c r="P238" s="21"/>
      <c r="Q238" s="21"/>
      <c r="R238" s="32"/>
      <c r="S238" s="32"/>
      <c r="T238" s="21"/>
      <c r="U238" s="21"/>
      <c r="V238" s="24"/>
      <c r="W238" s="21"/>
      <c r="X238" s="21"/>
      <c r="Y238" s="21"/>
    </row>
    <row r="239" customFormat="false" ht="15.75" hidden="false" customHeight="false" outlineLevel="0" collapsed="false">
      <c r="A239" s="61"/>
      <c r="B239" s="29"/>
      <c r="C239" s="21"/>
      <c r="D239" s="21"/>
      <c r="E239" s="21"/>
      <c r="F239" s="21"/>
      <c r="G239" s="30"/>
      <c r="H239" s="31"/>
      <c r="I239" s="21"/>
      <c r="J239" s="21"/>
      <c r="K239" s="21"/>
      <c r="L239" s="21"/>
      <c r="M239" s="21"/>
      <c r="N239" s="30"/>
      <c r="O239" s="21"/>
      <c r="P239" s="21"/>
      <c r="Q239" s="21"/>
      <c r="R239" s="32"/>
      <c r="S239" s="32"/>
      <c r="T239" s="21"/>
      <c r="U239" s="21"/>
      <c r="V239" s="24"/>
      <c r="W239" s="21"/>
      <c r="X239" s="21"/>
      <c r="Y239" s="21"/>
    </row>
    <row r="240" customFormat="false" ht="15.75" hidden="false" customHeight="false" outlineLevel="0" collapsed="false">
      <c r="A240" s="61"/>
      <c r="B240" s="29"/>
      <c r="C240" s="21"/>
      <c r="D240" s="21"/>
      <c r="E240" s="21"/>
      <c r="F240" s="21"/>
      <c r="G240" s="30"/>
      <c r="H240" s="31"/>
      <c r="I240" s="21"/>
      <c r="J240" s="21"/>
      <c r="K240" s="21"/>
      <c r="L240" s="21"/>
      <c r="M240" s="21"/>
      <c r="N240" s="30"/>
      <c r="O240" s="21"/>
      <c r="P240" s="21"/>
      <c r="Q240" s="21"/>
      <c r="R240" s="32"/>
      <c r="S240" s="32"/>
      <c r="T240" s="21"/>
      <c r="U240" s="21"/>
      <c r="V240" s="24"/>
      <c r="W240" s="21"/>
      <c r="X240" s="21"/>
      <c r="Y240" s="21"/>
    </row>
    <row r="241" customFormat="false" ht="15.75" hidden="false" customHeight="false" outlineLevel="0" collapsed="false">
      <c r="A241" s="61"/>
      <c r="B241" s="29"/>
      <c r="C241" s="21"/>
      <c r="D241" s="21"/>
      <c r="E241" s="21"/>
      <c r="F241" s="21"/>
      <c r="G241" s="30"/>
      <c r="H241" s="31"/>
      <c r="I241" s="21"/>
      <c r="J241" s="21"/>
      <c r="K241" s="21"/>
      <c r="L241" s="21"/>
      <c r="M241" s="21"/>
      <c r="N241" s="30"/>
      <c r="O241" s="21"/>
      <c r="P241" s="21"/>
      <c r="Q241" s="21"/>
      <c r="R241" s="32"/>
      <c r="S241" s="32"/>
      <c r="T241" s="21"/>
      <c r="U241" s="21"/>
      <c r="V241" s="24"/>
      <c r="W241" s="21"/>
      <c r="X241" s="21"/>
      <c r="Y241" s="21"/>
    </row>
    <row r="242" customFormat="false" ht="15.75" hidden="false" customHeight="false" outlineLevel="0" collapsed="false">
      <c r="A242" s="61"/>
      <c r="B242" s="29"/>
      <c r="C242" s="21"/>
      <c r="D242" s="21"/>
      <c r="E242" s="21"/>
      <c r="F242" s="21"/>
      <c r="G242" s="30"/>
      <c r="H242" s="31"/>
      <c r="I242" s="21"/>
      <c r="J242" s="21"/>
      <c r="K242" s="21"/>
      <c r="L242" s="21"/>
      <c r="M242" s="21"/>
      <c r="N242" s="30"/>
      <c r="O242" s="21"/>
      <c r="P242" s="21"/>
      <c r="Q242" s="21"/>
      <c r="R242" s="32"/>
      <c r="S242" s="32"/>
      <c r="T242" s="21"/>
      <c r="U242" s="21"/>
      <c r="V242" s="24"/>
      <c r="W242" s="21"/>
      <c r="X242" s="21"/>
      <c r="Y242" s="21"/>
    </row>
    <row r="243" customFormat="false" ht="15.75" hidden="false" customHeight="false" outlineLevel="0" collapsed="false">
      <c r="A243" s="61"/>
      <c r="B243" s="29"/>
      <c r="C243" s="21"/>
      <c r="D243" s="21"/>
      <c r="E243" s="21"/>
      <c r="F243" s="21"/>
      <c r="G243" s="30"/>
      <c r="H243" s="31"/>
      <c r="I243" s="21"/>
      <c r="J243" s="21"/>
      <c r="K243" s="21"/>
      <c r="L243" s="21"/>
      <c r="M243" s="21"/>
      <c r="N243" s="30"/>
      <c r="O243" s="21"/>
      <c r="P243" s="21"/>
      <c r="Q243" s="21"/>
      <c r="R243" s="32"/>
      <c r="S243" s="32"/>
      <c r="T243" s="21"/>
      <c r="U243" s="21"/>
      <c r="V243" s="24"/>
      <c r="W243" s="21"/>
      <c r="X243" s="21"/>
      <c r="Y243" s="21"/>
    </row>
    <row r="244" customFormat="false" ht="15.75" hidden="false" customHeight="false" outlineLevel="0" collapsed="false">
      <c r="A244" s="61"/>
      <c r="B244" s="29"/>
      <c r="C244" s="21"/>
      <c r="D244" s="21"/>
      <c r="E244" s="21"/>
      <c r="F244" s="21"/>
      <c r="G244" s="30"/>
      <c r="H244" s="31"/>
      <c r="I244" s="21"/>
      <c r="J244" s="21"/>
      <c r="K244" s="21"/>
      <c r="L244" s="21"/>
      <c r="M244" s="21"/>
      <c r="N244" s="30"/>
      <c r="O244" s="21"/>
      <c r="P244" s="21"/>
      <c r="Q244" s="21"/>
      <c r="R244" s="32"/>
      <c r="S244" s="32"/>
      <c r="T244" s="21"/>
      <c r="U244" s="21"/>
      <c r="V244" s="24"/>
      <c r="W244" s="21"/>
      <c r="X244" s="21"/>
      <c r="Y244" s="21"/>
    </row>
    <row r="245" customFormat="false" ht="15.75" hidden="false" customHeight="false" outlineLevel="0" collapsed="false">
      <c r="A245" s="61"/>
      <c r="B245" s="29"/>
      <c r="C245" s="21"/>
      <c r="D245" s="21"/>
      <c r="E245" s="21"/>
      <c r="F245" s="21"/>
      <c r="G245" s="30"/>
      <c r="H245" s="31"/>
      <c r="I245" s="21"/>
      <c r="J245" s="21"/>
      <c r="K245" s="21"/>
      <c r="L245" s="21"/>
      <c r="M245" s="21"/>
      <c r="N245" s="30"/>
      <c r="O245" s="21"/>
      <c r="P245" s="21"/>
      <c r="Q245" s="21"/>
      <c r="R245" s="32"/>
      <c r="S245" s="32"/>
      <c r="T245" s="21"/>
      <c r="U245" s="21"/>
      <c r="V245" s="24"/>
      <c r="W245" s="21"/>
      <c r="X245" s="21"/>
      <c r="Y245" s="21"/>
    </row>
    <row r="246" customFormat="false" ht="15.75" hidden="false" customHeight="false" outlineLevel="0" collapsed="false">
      <c r="A246" s="61"/>
      <c r="B246" s="29"/>
      <c r="C246" s="21"/>
      <c r="D246" s="21"/>
      <c r="E246" s="21"/>
      <c r="F246" s="21"/>
      <c r="G246" s="30"/>
      <c r="H246" s="31"/>
      <c r="I246" s="21"/>
      <c r="J246" s="21"/>
      <c r="K246" s="21"/>
      <c r="L246" s="21"/>
      <c r="M246" s="21"/>
      <c r="N246" s="30"/>
      <c r="O246" s="21"/>
      <c r="P246" s="21"/>
      <c r="Q246" s="21"/>
      <c r="R246" s="32"/>
      <c r="S246" s="32"/>
      <c r="T246" s="21"/>
      <c r="U246" s="21"/>
      <c r="V246" s="24"/>
      <c r="W246" s="21"/>
      <c r="X246" s="21"/>
      <c r="Y246" s="21"/>
    </row>
    <row r="247" customFormat="false" ht="15.75" hidden="false" customHeight="false" outlineLevel="0" collapsed="false">
      <c r="A247" s="61"/>
      <c r="B247" s="29"/>
      <c r="C247" s="21"/>
      <c r="D247" s="21"/>
      <c r="E247" s="21"/>
      <c r="F247" s="21"/>
      <c r="G247" s="30"/>
      <c r="H247" s="31"/>
      <c r="I247" s="21"/>
      <c r="J247" s="21"/>
      <c r="K247" s="21"/>
      <c r="L247" s="21"/>
      <c r="M247" s="21"/>
      <c r="N247" s="30"/>
      <c r="O247" s="21"/>
      <c r="P247" s="21"/>
      <c r="Q247" s="21"/>
      <c r="R247" s="32"/>
      <c r="S247" s="32"/>
      <c r="T247" s="21"/>
      <c r="U247" s="21"/>
      <c r="V247" s="24"/>
      <c r="W247" s="21"/>
      <c r="X247" s="21"/>
      <c r="Y247" s="21"/>
    </row>
    <row r="248" customFormat="false" ht="15.75" hidden="false" customHeight="false" outlineLevel="0" collapsed="false">
      <c r="A248" s="61"/>
      <c r="B248" s="29"/>
      <c r="C248" s="21"/>
      <c r="D248" s="21"/>
      <c r="E248" s="21"/>
      <c r="F248" s="21"/>
      <c r="G248" s="30"/>
      <c r="H248" s="31"/>
      <c r="I248" s="21"/>
      <c r="J248" s="21"/>
      <c r="K248" s="21"/>
      <c r="L248" s="21"/>
      <c r="M248" s="21"/>
      <c r="N248" s="30"/>
      <c r="O248" s="21"/>
      <c r="P248" s="21"/>
      <c r="Q248" s="21"/>
      <c r="R248" s="32"/>
      <c r="S248" s="32"/>
      <c r="T248" s="21"/>
      <c r="U248" s="21"/>
      <c r="V248" s="24"/>
      <c r="W248" s="21"/>
      <c r="X248" s="21"/>
      <c r="Y248" s="21"/>
    </row>
    <row r="249" customFormat="false" ht="15.75" hidden="false" customHeight="false" outlineLevel="0" collapsed="false">
      <c r="G249" s="18"/>
      <c r="H249" s="35"/>
      <c r="N249" s="18"/>
    </row>
    <row r="250" customFormat="false" ht="15.75" hidden="false" customHeight="false" outlineLevel="0" collapsed="false">
      <c r="G250" s="18"/>
      <c r="H250" s="35"/>
      <c r="N250" s="18"/>
    </row>
    <row r="251" customFormat="false" ht="15.75" hidden="false" customHeight="false" outlineLevel="0" collapsed="false">
      <c r="G251" s="18"/>
      <c r="H251" s="35"/>
      <c r="N251" s="18"/>
    </row>
    <row r="252" customFormat="false" ht="15.75" hidden="false" customHeight="false" outlineLevel="0" collapsed="false">
      <c r="G252" s="18"/>
      <c r="H252" s="35"/>
      <c r="N252" s="18"/>
    </row>
    <row r="253" customFormat="false" ht="15.75" hidden="false" customHeight="false" outlineLevel="0" collapsed="false">
      <c r="G253" s="18"/>
      <c r="H253" s="35"/>
      <c r="N253" s="18"/>
    </row>
    <row r="254" customFormat="false" ht="15.75" hidden="false" customHeight="false" outlineLevel="0" collapsed="false">
      <c r="G254" s="18"/>
      <c r="H254" s="35"/>
      <c r="N254" s="18"/>
    </row>
    <row r="255" customFormat="false" ht="15.75" hidden="false" customHeight="false" outlineLevel="0" collapsed="false">
      <c r="G255" s="18"/>
      <c r="H255" s="35"/>
      <c r="N255" s="18"/>
    </row>
    <row r="256" customFormat="false" ht="15.75" hidden="false" customHeight="false" outlineLevel="0" collapsed="false">
      <c r="G256" s="18"/>
      <c r="H256" s="35"/>
      <c r="N256" s="18"/>
    </row>
    <row r="257" customFormat="false" ht="15.75" hidden="false" customHeight="false" outlineLevel="0" collapsed="false">
      <c r="G257" s="18"/>
      <c r="H257" s="35"/>
      <c r="N257" s="18"/>
    </row>
    <row r="258" customFormat="false" ht="15.75" hidden="false" customHeight="false" outlineLevel="0" collapsed="false">
      <c r="G258" s="18"/>
      <c r="H258" s="35"/>
      <c r="N258" s="18"/>
    </row>
    <row r="259" customFormat="false" ht="15.75" hidden="false" customHeight="false" outlineLevel="0" collapsed="false">
      <c r="G259" s="18"/>
      <c r="H259" s="35"/>
      <c r="N259" s="18"/>
    </row>
    <row r="260" customFormat="false" ht="15.75" hidden="false" customHeight="false" outlineLevel="0" collapsed="false">
      <c r="G260" s="18"/>
      <c r="H260" s="35"/>
      <c r="N260" s="18"/>
    </row>
    <row r="261" customFormat="false" ht="15.75" hidden="false" customHeight="false" outlineLevel="0" collapsed="false">
      <c r="G261" s="18"/>
      <c r="H261" s="35"/>
      <c r="N261" s="18"/>
    </row>
    <row r="262" customFormat="false" ht="15.75" hidden="false" customHeight="false" outlineLevel="0" collapsed="false">
      <c r="G262" s="18"/>
      <c r="H262" s="35"/>
      <c r="N262" s="18"/>
    </row>
    <row r="263" customFormat="false" ht="15.75" hidden="false" customHeight="false" outlineLevel="0" collapsed="false">
      <c r="G263" s="18"/>
      <c r="H263" s="35"/>
      <c r="N263" s="18"/>
    </row>
    <row r="264" customFormat="false" ht="15.75" hidden="false" customHeight="false" outlineLevel="0" collapsed="false">
      <c r="G264" s="18"/>
      <c r="H264" s="35"/>
      <c r="N264" s="18"/>
    </row>
    <row r="265" customFormat="false" ht="15.75" hidden="false" customHeight="false" outlineLevel="0" collapsed="false">
      <c r="G265" s="18"/>
      <c r="H265" s="35"/>
      <c r="N265" s="18"/>
    </row>
    <row r="266" customFormat="false" ht="15.75" hidden="false" customHeight="false" outlineLevel="0" collapsed="false">
      <c r="G266" s="18"/>
      <c r="H266" s="35"/>
      <c r="N266" s="18"/>
    </row>
    <row r="267" customFormat="false" ht="15.75" hidden="false" customHeight="false" outlineLevel="0" collapsed="false">
      <c r="G267" s="18"/>
      <c r="H267" s="35"/>
      <c r="N267" s="18"/>
    </row>
    <row r="268" customFormat="false" ht="15.75" hidden="false" customHeight="false" outlineLevel="0" collapsed="false">
      <c r="G268" s="18"/>
      <c r="H268" s="35"/>
      <c r="N268" s="18"/>
    </row>
    <row r="269" customFormat="false" ht="15.75" hidden="false" customHeight="false" outlineLevel="0" collapsed="false">
      <c r="G269" s="18"/>
      <c r="H269" s="35"/>
      <c r="N269" s="18"/>
    </row>
    <row r="270" customFormat="false" ht="15.75" hidden="false" customHeight="false" outlineLevel="0" collapsed="false">
      <c r="G270" s="18"/>
      <c r="H270" s="35"/>
      <c r="N270" s="18"/>
    </row>
    <row r="271" customFormat="false" ht="15.75" hidden="false" customHeight="false" outlineLevel="0" collapsed="false">
      <c r="G271" s="18"/>
      <c r="H271" s="35"/>
      <c r="N271" s="18"/>
    </row>
    <row r="272" customFormat="false" ht="15.75" hidden="false" customHeight="false" outlineLevel="0" collapsed="false">
      <c r="G272" s="18"/>
      <c r="H272" s="35"/>
      <c r="N272" s="18"/>
    </row>
    <row r="273" customFormat="false" ht="15.75" hidden="false" customHeight="false" outlineLevel="0" collapsed="false">
      <c r="G273" s="18"/>
      <c r="H273" s="35"/>
      <c r="N273" s="18"/>
    </row>
    <row r="274" customFormat="false" ht="15.75" hidden="false" customHeight="false" outlineLevel="0" collapsed="false">
      <c r="G274" s="18"/>
      <c r="H274" s="35"/>
      <c r="N274" s="18"/>
    </row>
    <row r="275" customFormat="false" ht="15.75" hidden="false" customHeight="false" outlineLevel="0" collapsed="false">
      <c r="G275" s="18"/>
      <c r="H275" s="35"/>
      <c r="N275" s="18"/>
    </row>
    <row r="276" customFormat="false" ht="15.75" hidden="false" customHeight="false" outlineLevel="0" collapsed="false">
      <c r="G276" s="18"/>
      <c r="H276" s="35"/>
      <c r="N276" s="18"/>
    </row>
    <row r="277" customFormat="false" ht="15.75" hidden="false" customHeight="false" outlineLevel="0" collapsed="false">
      <c r="G277" s="18"/>
      <c r="H277" s="35"/>
      <c r="N277" s="18"/>
    </row>
    <row r="278" customFormat="false" ht="15.75" hidden="false" customHeight="false" outlineLevel="0" collapsed="false">
      <c r="G278" s="18"/>
      <c r="H278" s="35"/>
      <c r="N278" s="18"/>
    </row>
    <row r="279" customFormat="false" ht="15.75" hidden="false" customHeight="false" outlineLevel="0" collapsed="false">
      <c r="G279" s="18"/>
      <c r="H279" s="35"/>
      <c r="N279" s="18"/>
    </row>
    <row r="280" customFormat="false" ht="15.75" hidden="false" customHeight="false" outlineLevel="0" collapsed="false">
      <c r="G280" s="18"/>
      <c r="H280" s="35"/>
      <c r="N280" s="18"/>
    </row>
    <row r="281" customFormat="false" ht="15.75" hidden="false" customHeight="false" outlineLevel="0" collapsed="false">
      <c r="G281" s="18"/>
      <c r="H281" s="35"/>
      <c r="N281" s="18"/>
    </row>
    <row r="282" customFormat="false" ht="15.75" hidden="false" customHeight="false" outlineLevel="0" collapsed="false">
      <c r="G282" s="18"/>
      <c r="H282" s="35"/>
      <c r="N282" s="18"/>
    </row>
    <row r="283" customFormat="false" ht="15.75" hidden="false" customHeight="false" outlineLevel="0" collapsed="false">
      <c r="G283" s="18"/>
      <c r="H283" s="35"/>
      <c r="N283" s="18"/>
    </row>
    <row r="284" customFormat="false" ht="15.75" hidden="false" customHeight="false" outlineLevel="0" collapsed="false">
      <c r="G284" s="18"/>
      <c r="H284" s="35"/>
      <c r="N284" s="18"/>
    </row>
    <row r="285" customFormat="false" ht="15.75" hidden="false" customHeight="false" outlineLevel="0" collapsed="false">
      <c r="G285" s="18"/>
      <c r="H285" s="35"/>
      <c r="N285" s="18"/>
    </row>
    <row r="286" customFormat="false" ht="15.75" hidden="false" customHeight="false" outlineLevel="0" collapsed="false">
      <c r="G286" s="18"/>
      <c r="H286" s="35"/>
      <c r="N286" s="18"/>
    </row>
    <row r="287" customFormat="false" ht="15.75" hidden="false" customHeight="false" outlineLevel="0" collapsed="false">
      <c r="G287" s="18"/>
      <c r="H287" s="35"/>
      <c r="N287" s="18"/>
    </row>
    <row r="288" customFormat="false" ht="15.75" hidden="false" customHeight="false" outlineLevel="0" collapsed="false">
      <c r="G288" s="18"/>
      <c r="H288" s="35"/>
      <c r="N288" s="18"/>
    </row>
    <row r="289" customFormat="false" ht="15.75" hidden="false" customHeight="false" outlineLevel="0" collapsed="false">
      <c r="G289" s="18"/>
      <c r="H289" s="35"/>
      <c r="N289" s="18"/>
    </row>
    <row r="290" customFormat="false" ht="15.75" hidden="false" customHeight="false" outlineLevel="0" collapsed="false">
      <c r="G290" s="18"/>
      <c r="H290" s="35"/>
      <c r="N290" s="18"/>
    </row>
    <row r="291" customFormat="false" ht="15.75" hidden="false" customHeight="false" outlineLevel="0" collapsed="false">
      <c r="G291" s="18"/>
      <c r="H291" s="35"/>
      <c r="N291" s="18"/>
    </row>
    <row r="292" customFormat="false" ht="15.75" hidden="false" customHeight="false" outlineLevel="0" collapsed="false">
      <c r="G292" s="18"/>
      <c r="H292" s="35"/>
      <c r="N292" s="18"/>
    </row>
    <row r="293" customFormat="false" ht="15.75" hidden="false" customHeight="false" outlineLevel="0" collapsed="false">
      <c r="G293" s="18"/>
      <c r="H293" s="35"/>
      <c r="N293" s="18"/>
    </row>
    <row r="294" customFormat="false" ht="15.75" hidden="false" customHeight="false" outlineLevel="0" collapsed="false">
      <c r="G294" s="18"/>
      <c r="H294" s="35"/>
      <c r="N294" s="18"/>
    </row>
    <row r="295" customFormat="false" ht="15.75" hidden="false" customHeight="false" outlineLevel="0" collapsed="false">
      <c r="G295" s="18"/>
      <c r="H295" s="35"/>
      <c r="N295" s="18"/>
    </row>
    <row r="296" customFormat="false" ht="15.75" hidden="false" customHeight="false" outlineLevel="0" collapsed="false">
      <c r="G296" s="18"/>
      <c r="H296" s="35"/>
      <c r="N296" s="18"/>
    </row>
    <row r="297" customFormat="false" ht="15.75" hidden="false" customHeight="false" outlineLevel="0" collapsed="false">
      <c r="G297" s="18"/>
      <c r="H297" s="35"/>
      <c r="N297" s="18"/>
    </row>
    <row r="298" customFormat="false" ht="15.75" hidden="false" customHeight="false" outlineLevel="0" collapsed="false">
      <c r="G298" s="18"/>
      <c r="H298" s="35"/>
      <c r="N298" s="18"/>
    </row>
    <row r="299" customFormat="false" ht="15.75" hidden="false" customHeight="false" outlineLevel="0" collapsed="false">
      <c r="G299" s="18"/>
      <c r="H299" s="35"/>
      <c r="N299" s="18"/>
    </row>
    <row r="300" customFormat="false" ht="15.75" hidden="false" customHeight="false" outlineLevel="0" collapsed="false">
      <c r="G300" s="18"/>
      <c r="H300" s="35"/>
      <c r="N300" s="18"/>
    </row>
    <row r="301" customFormat="false" ht="15.75" hidden="false" customHeight="false" outlineLevel="0" collapsed="false">
      <c r="G301" s="18"/>
      <c r="H301" s="35"/>
      <c r="N301" s="18"/>
    </row>
    <row r="302" customFormat="false" ht="15.75" hidden="false" customHeight="false" outlineLevel="0" collapsed="false">
      <c r="G302" s="18"/>
      <c r="H302" s="35"/>
      <c r="N302" s="18"/>
    </row>
    <row r="303" customFormat="false" ht="15.75" hidden="false" customHeight="false" outlineLevel="0" collapsed="false">
      <c r="G303" s="18"/>
      <c r="H303" s="35"/>
      <c r="N303" s="18"/>
    </row>
    <row r="304" customFormat="false" ht="15.75" hidden="false" customHeight="false" outlineLevel="0" collapsed="false">
      <c r="G304" s="18"/>
      <c r="H304" s="35"/>
      <c r="N304" s="18"/>
    </row>
    <row r="305" customFormat="false" ht="15.75" hidden="false" customHeight="false" outlineLevel="0" collapsed="false">
      <c r="G305" s="18"/>
      <c r="H305" s="35"/>
      <c r="N305" s="18"/>
    </row>
    <row r="306" customFormat="false" ht="15.75" hidden="false" customHeight="false" outlineLevel="0" collapsed="false">
      <c r="G306" s="18"/>
      <c r="H306" s="35"/>
      <c r="N306" s="18"/>
    </row>
    <row r="307" customFormat="false" ht="15.75" hidden="false" customHeight="false" outlineLevel="0" collapsed="false">
      <c r="G307" s="18"/>
      <c r="H307" s="35"/>
      <c r="N307" s="18"/>
    </row>
    <row r="308" customFormat="false" ht="15.75" hidden="false" customHeight="false" outlineLevel="0" collapsed="false">
      <c r="G308" s="18"/>
      <c r="H308" s="35"/>
      <c r="N308" s="18"/>
    </row>
    <row r="309" customFormat="false" ht="15.75" hidden="false" customHeight="false" outlineLevel="0" collapsed="false">
      <c r="G309" s="18"/>
      <c r="H309" s="35"/>
      <c r="N309" s="18"/>
    </row>
    <row r="310" customFormat="false" ht="15.75" hidden="false" customHeight="false" outlineLevel="0" collapsed="false">
      <c r="G310" s="18"/>
      <c r="H310" s="35"/>
      <c r="N310" s="18"/>
    </row>
    <row r="311" customFormat="false" ht="15.75" hidden="false" customHeight="false" outlineLevel="0" collapsed="false">
      <c r="G311" s="18"/>
      <c r="H311" s="35"/>
      <c r="N311" s="18"/>
    </row>
    <row r="312" customFormat="false" ht="15.75" hidden="false" customHeight="false" outlineLevel="0" collapsed="false">
      <c r="G312" s="18"/>
      <c r="H312" s="35"/>
      <c r="N312" s="18"/>
    </row>
    <row r="313" customFormat="false" ht="15.75" hidden="false" customHeight="false" outlineLevel="0" collapsed="false">
      <c r="G313" s="18"/>
      <c r="H313" s="35"/>
      <c r="N313" s="18"/>
    </row>
    <row r="314" customFormat="false" ht="15.75" hidden="false" customHeight="false" outlineLevel="0" collapsed="false">
      <c r="G314" s="18"/>
      <c r="H314" s="35"/>
      <c r="N314" s="18"/>
    </row>
    <row r="315" customFormat="false" ht="15.75" hidden="false" customHeight="false" outlineLevel="0" collapsed="false">
      <c r="G315" s="18"/>
      <c r="H315" s="35"/>
      <c r="N315" s="18"/>
    </row>
    <row r="316" customFormat="false" ht="15.75" hidden="false" customHeight="false" outlineLevel="0" collapsed="false">
      <c r="G316" s="18"/>
      <c r="H316" s="35"/>
      <c r="N316" s="18"/>
    </row>
    <row r="317" customFormat="false" ht="15.75" hidden="false" customHeight="false" outlineLevel="0" collapsed="false">
      <c r="G317" s="18"/>
      <c r="H317" s="35"/>
      <c r="N317" s="18"/>
    </row>
    <row r="318" customFormat="false" ht="15.75" hidden="false" customHeight="false" outlineLevel="0" collapsed="false">
      <c r="G318" s="18"/>
      <c r="H318" s="35"/>
      <c r="N318" s="18"/>
    </row>
    <row r="319" customFormat="false" ht="15.75" hidden="false" customHeight="false" outlineLevel="0" collapsed="false">
      <c r="G319" s="18"/>
      <c r="H319" s="35"/>
      <c r="N319" s="18"/>
    </row>
    <row r="320" customFormat="false" ht="15.75" hidden="false" customHeight="false" outlineLevel="0" collapsed="false">
      <c r="G320" s="18"/>
      <c r="H320" s="35"/>
      <c r="N320" s="18"/>
    </row>
    <row r="321" customFormat="false" ht="15.75" hidden="false" customHeight="false" outlineLevel="0" collapsed="false">
      <c r="G321" s="18"/>
      <c r="H321" s="35"/>
      <c r="N321" s="18"/>
    </row>
    <row r="322" customFormat="false" ht="15.75" hidden="false" customHeight="false" outlineLevel="0" collapsed="false">
      <c r="G322" s="18"/>
      <c r="H322" s="35"/>
      <c r="N322" s="18"/>
    </row>
    <row r="323" customFormat="false" ht="15.75" hidden="false" customHeight="false" outlineLevel="0" collapsed="false">
      <c r="G323" s="18"/>
      <c r="H323" s="35"/>
      <c r="N323" s="18"/>
    </row>
    <row r="324" customFormat="false" ht="15.75" hidden="false" customHeight="false" outlineLevel="0" collapsed="false">
      <c r="G324" s="18"/>
      <c r="H324" s="35"/>
      <c r="N324" s="18"/>
    </row>
    <row r="325" customFormat="false" ht="15.75" hidden="false" customHeight="false" outlineLevel="0" collapsed="false">
      <c r="G325" s="18"/>
      <c r="H325" s="35"/>
      <c r="N325" s="18"/>
    </row>
    <row r="326" customFormat="false" ht="15.75" hidden="false" customHeight="false" outlineLevel="0" collapsed="false">
      <c r="G326" s="18"/>
      <c r="H326" s="35"/>
      <c r="N326" s="18"/>
    </row>
    <row r="327" customFormat="false" ht="15.75" hidden="false" customHeight="false" outlineLevel="0" collapsed="false">
      <c r="G327" s="18"/>
      <c r="H327" s="35"/>
      <c r="N327" s="18"/>
    </row>
    <row r="328" customFormat="false" ht="15.75" hidden="false" customHeight="false" outlineLevel="0" collapsed="false">
      <c r="G328" s="18"/>
      <c r="H328" s="35"/>
      <c r="N328" s="18"/>
    </row>
    <row r="329" customFormat="false" ht="15.75" hidden="false" customHeight="false" outlineLevel="0" collapsed="false">
      <c r="G329" s="18"/>
      <c r="H329" s="35"/>
      <c r="N329" s="18"/>
    </row>
    <row r="330" customFormat="false" ht="15.75" hidden="false" customHeight="false" outlineLevel="0" collapsed="false">
      <c r="G330" s="18"/>
      <c r="H330" s="35"/>
      <c r="N330" s="18"/>
    </row>
    <row r="331" customFormat="false" ht="15.75" hidden="false" customHeight="false" outlineLevel="0" collapsed="false">
      <c r="G331" s="18"/>
      <c r="H331" s="35"/>
      <c r="N331" s="18"/>
    </row>
    <row r="332" customFormat="false" ht="15.75" hidden="false" customHeight="false" outlineLevel="0" collapsed="false">
      <c r="G332" s="18"/>
      <c r="H332" s="35"/>
      <c r="N332" s="18"/>
    </row>
    <row r="333" customFormat="false" ht="15.75" hidden="false" customHeight="false" outlineLevel="0" collapsed="false">
      <c r="G333" s="18"/>
      <c r="H333" s="35"/>
      <c r="N333" s="18"/>
    </row>
    <row r="334" customFormat="false" ht="15.75" hidden="false" customHeight="false" outlineLevel="0" collapsed="false">
      <c r="G334" s="18"/>
      <c r="H334" s="35"/>
      <c r="N334" s="18"/>
    </row>
    <row r="335" customFormat="false" ht="15.75" hidden="false" customHeight="false" outlineLevel="0" collapsed="false">
      <c r="G335" s="18"/>
      <c r="H335" s="35"/>
      <c r="N335" s="18"/>
    </row>
    <row r="336" customFormat="false" ht="15.75" hidden="false" customHeight="false" outlineLevel="0" collapsed="false">
      <c r="G336" s="18"/>
      <c r="H336" s="35"/>
      <c r="N336" s="18"/>
    </row>
    <row r="337" customFormat="false" ht="15.75" hidden="false" customHeight="false" outlineLevel="0" collapsed="false">
      <c r="G337" s="18"/>
      <c r="H337" s="35"/>
      <c r="N337" s="18"/>
    </row>
    <row r="338" customFormat="false" ht="15.75" hidden="false" customHeight="false" outlineLevel="0" collapsed="false">
      <c r="G338" s="18"/>
      <c r="H338" s="35"/>
      <c r="N338" s="18"/>
    </row>
    <row r="339" customFormat="false" ht="15.75" hidden="false" customHeight="false" outlineLevel="0" collapsed="false">
      <c r="G339" s="18"/>
      <c r="H339" s="35"/>
      <c r="N339" s="18"/>
    </row>
    <row r="340" customFormat="false" ht="15.75" hidden="false" customHeight="false" outlineLevel="0" collapsed="false">
      <c r="G340" s="18"/>
      <c r="H340" s="35"/>
      <c r="N340" s="18"/>
    </row>
    <row r="341" customFormat="false" ht="15.75" hidden="false" customHeight="false" outlineLevel="0" collapsed="false">
      <c r="G341" s="18"/>
      <c r="H341" s="35"/>
      <c r="N341" s="18"/>
    </row>
    <row r="342" customFormat="false" ht="15.75" hidden="false" customHeight="false" outlineLevel="0" collapsed="false">
      <c r="G342" s="18"/>
      <c r="H342" s="35"/>
      <c r="N342" s="18"/>
    </row>
    <row r="343" customFormat="false" ht="15.75" hidden="false" customHeight="false" outlineLevel="0" collapsed="false">
      <c r="G343" s="18"/>
      <c r="H343" s="35"/>
      <c r="N343" s="18"/>
    </row>
    <row r="344" customFormat="false" ht="15.75" hidden="false" customHeight="false" outlineLevel="0" collapsed="false">
      <c r="G344" s="18"/>
      <c r="H344" s="35"/>
      <c r="N344" s="18"/>
    </row>
    <row r="345" customFormat="false" ht="15.75" hidden="false" customHeight="false" outlineLevel="0" collapsed="false">
      <c r="G345" s="18"/>
      <c r="H345" s="35"/>
      <c r="N345" s="18"/>
    </row>
    <row r="346" customFormat="false" ht="15.75" hidden="false" customHeight="false" outlineLevel="0" collapsed="false">
      <c r="G346" s="18"/>
      <c r="H346" s="35"/>
      <c r="N346" s="18"/>
    </row>
    <row r="347" customFormat="false" ht="15.75" hidden="false" customHeight="false" outlineLevel="0" collapsed="false">
      <c r="G347" s="18"/>
      <c r="H347" s="35"/>
      <c r="N347" s="18"/>
    </row>
    <row r="348" customFormat="false" ht="15.75" hidden="false" customHeight="false" outlineLevel="0" collapsed="false">
      <c r="G348" s="18"/>
      <c r="H348" s="35"/>
      <c r="N348" s="18"/>
    </row>
    <row r="349" customFormat="false" ht="15.75" hidden="false" customHeight="false" outlineLevel="0" collapsed="false">
      <c r="G349" s="18"/>
      <c r="H349" s="35"/>
      <c r="N349" s="18"/>
    </row>
    <row r="350" customFormat="false" ht="15.75" hidden="false" customHeight="false" outlineLevel="0" collapsed="false">
      <c r="G350" s="18"/>
      <c r="H350" s="35"/>
      <c r="N350" s="18"/>
    </row>
    <row r="351" customFormat="false" ht="15.75" hidden="false" customHeight="false" outlineLevel="0" collapsed="false">
      <c r="G351" s="18"/>
      <c r="H351" s="35"/>
      <c r="N351" s="18"/>
    </row>
    <row r="352" customFormat="false" ht="15.75" hidden="false" customHeight="false" outlineLevel="0" collapsed="false">
      <c r="G352" s="18"/>
      <c r="H352" s="35"/>
      <c r="N352" s="18"/>
    </row>
    <row r="353" customFormat="false" ht="15.75" hidden="false" customHeight="false" outlineLevel="0" collapsed="false">
      <c r="G353" s="18"/>
      <c r="H353" s="35"/>
      <c r="N353" s="18"/>
    </row>
    <row r="354" customFormat="false" ht="15.75" hidden="false" customHeight="false" outlineLevel="0" collapsed="false">
      <c r="G354" s="18"/>
      <c r="H354" s="35"/>
      <c r="N354" s="18"/>
    </row>
    <row r="355" customFormat="false" ht="15.75" hidden="false" customHeight="false" outlineLevel="0" collapsed="false">
      <c r="G355" s="18"/>
      <c r="H355" s="35"/>
      <c r="N355" s="18"/>
    </row>
    <row r="356" customFormat="false" ht="15.75" hidden="false" customHeight="false" outlineLevel="0" collapsed="false">
      <c r="G356" s="18"/>
      <c r="H356" s="35"/>
      <c r="N356" s="18"/>
    </row>
    <row r="357" customFormat="false" ht="15.75" hidden="false" customHeight="false" outlineLevel="0" collapsed="false">
      <c r="G357" s="18"/>
      <c r="H357" s="35"/>
      <c r="N357" s="18"/>
    </row>
    <row r="358" customFormat="false" ht="15.75" hidden="false" customHeight="false" outlineLevel="0" collapsed="false">
      <c r="G358" s="18"/>
      <c r="H358" s="35"/>
      <c r="N358" s="18"/>
    </row>
    <row r="359" customFormat="false" ht="15.75" hidden="false" customHeight="false" outlineLevel="0" collapsed="false">
      <c r="G359" s="18"/>
      <c r="H359" s="35"/>
      <c r="N359" s="18"/>
    </row>
    <row r="360" customFormat="false" ht="15.75" hidden="false" customHeight="false" outlineLevel="0" collapsed="false">
      <c r="G360" s="18"/>
      <c r="H360" s="35"/>
      <c r="N360" s="18"/>
    </row>
    <row r="361" customFormat="false" ht="15.75" hidden="false" customHeight="false" outlineLevel="0" collapsed="false">
      <c r="G361" s="18"/>
      <c r="H361" s="35"/>
      <c r="N361" s="18"/>
    </row>
    <row r="362" customFormat="false" ht="15.75" hidden="false" customHeight="false" outlineLevel="0" collapsed="false">
      <c r="G362" s="18"/>
      <c r="H362" s="35"/>
      <c r="N362" s="18"/>
    </row>
    <row r="363" customFormat="false" ht="15.75" hidden="false" customHeight="false" outlineLevel="0" collapsed="false">
      <c r="G363" s="18"/>
      <c r="H363" s="35"/>
      <c r="N363" s="18"/>
    </row>
    <row r="364" customFormat="false" ht="15.75" hidden="false" customHeight="false" outlineLevel="0" collapsed="false">
      <c r="G364" s="18"/>
      <c r="H364" s="35"/>
      <c r="N364" s="18"/>
    </row>
    <row r="365" customFormat="false" ht="15.75" hidden="false" customHeight="false" outlineLevel="0" collapsed="false">
      <c r="G365" s="18"/>
      <c r="H365" s="35"/>
      <c r="N365" s="18"/>
    </row>
    <row r="366" customFormat="false" ht="15.75" hidden="false" customHeight="false" outlineLevel="0" collapsed="false">
      <c r="G366" s="18"/>
      <c r="H366" s="35"/>
      <c r="N366" s="18"/>
    </row>
    <row r="367" customFormat="false" ht="15.75" hidden="false" customHeight="false" outlineLevel="0" collapsed="false">
      <c r="G367" s="18"/>
      <c r="H367" s="35"/>
      <c r="N367" s="18"/>
    </row>
    <row r="368" customFormat="false" ht="15.75" hidden="false" customHeight="false" outlineLevel="0" collapsed="false">
      <c r="G368" s="18"/>
      <c r="H368" s="35"/>
      <c r="N368" s="18"/>
    </row>
    <row r="369" customFormat="false" ht="15.75" hidden="false" customHeight="false" outlineLevel="0" collapsed="false">
      <c r="G369" s="18"/>
      <c r="H369" s="35"/>
      <c r="N369" s="18"/>
    </row>
    <row r="370" customFormat="false" ht="15.75" hidden="false" customHeight="false" outlineLevel="0" collapsed="false">
      <c r="G370" s="18"/>
      <c r="H370" s="35"/>
      <c r="N370" s="18"/>
    </row>
    <row r="371" customFormat="false" ht="15.75" hidden="false" customHeight="false" outlineLevel="0" collapsed="false">
      <c r="G371" s="18"/>
      <c r="H371" s="35"/>
      <c r="N371" s="18"/>
    </row>
    <row r="372" customFormat="false" ht="15.75" hidden="false" customHeight="false" outlineLevel="0" collapsed="false">
      <c r="G372" s="18"/>
      <c r="H372" s="35"/>
      <c r="N372" s="18"/>
    </row>
    <row r="373" customFormat="false" ht="15.75" hidden="false" customHeight="false" outlineLevel="0" collapsed="false">
      <c r="G373" s="18"/>
      <c r="H373" s="35"/>
      <c r="N373" s="18"/>
    </row>
    <row r="374" customFormat="false" ht="15.75" hidden="false" customHeight="false" outlineLevel="0" collapsed="false">
      <c r="G374" s="18"/>
      <c r="H374" s="35"/>
      <c r="N374" s="18"/>
    </row>
    <row r="375" customFormat="false" ht="15.75" hidden="false" customHeight="false" outlineLevel="0" collapsed="false">
      <c r="G375" s="18"/>
      <c r="H375" s="35"/>
      <c r="N375" s="18"/>
    </row>
    <row r="376" customFormat="false" ht="15.75" hidden="false" customHeight="false" outlineLevel="0" collapsed="false">
      <c r="G376" s="18"/>
      <c r="H376" s="35"/>
      <c r="N376" s="18"/>
    </row>
    <row r="377" customFormat="false" ht="15.75" hidden="false" customHeight="false" outlineLevel="0" collapsed="false">
      <c r="G377" s="18"/>
      <c r="H377" s="35"/>
      <c r="N377" s="18"/>
    </row>
    <row r="378" customFormat="false" ht="15.75" hidden="false" customHeight="false" outlineLevel="0" collapsed="false">
      <c r="G378" s="18"/>
      <c r="H378" s="35"/>
      <c r="N378" s="18"/>
    </row>
    <row r="379" customFormat="false" ht="15.75" hidden="false" customHeight="false" outlineLevel="0" collapsed="false">
      <c r="G379" s="18"/>
      <c r="H379" s="35"/>
      <c r="N379" s="18"/>
    </row>
    <row r="380" customFormat="false" ht="15.75" hidden="false" customHeight="false" outlineLevel="0" collapsed="false">
      <c r="G380" s="18"/>
      <c r="H380" s="35"/>
      <c r="N380" s="18"/>
    </row>
    <row r="381" customFormat="false" ht="15.75" hidden="false" customHeight="false" outlineLevel="0" collapsed="false">
      <c r="G381" s="18"/>
      <c r="H381" s="35"/>
      <c r="N381" s="18"/>
    </row>
    <row r="382" customFormat="false" ht="15.75" hidden="false" customHeight="false" outlineLevel="0" collapsed="false">
      <c r="G382" s="18"/>
      <c r="H382" s="35"/>
      <c r="N382" s="18"/>
    </row>
    <row r="383" customFormat="false" ht="15.75" hidden="false" customHeight="false" outlineLevel="0" collapsed="false">
      <c r="G383" s="18"/>
      <c r="H383" s="35"/>
      <c r="N383" s="18"/>
    </row>
    <row r="384" customFormat="false" ht="15.75" hidden="false" customHeight="false" outlineLevel="0" collapsed="false">
      <c r="G384" s="18"/>
      <c r="H384" s="35"/>
      <c r="N384" s="18"/>
    </row>
    <row r="385" customFormat="false" ht="15.75" hidden="false" customHeight="false" outlineLevel="0" collapsed="false">
      <c r="G385" s="18"/>
      <c r="H385" s="35"/>
      <c r="N385" s="18"/>
    </row>
    <row r="386" customFormat="false" ht="15.75" hidden="false" customHeight="false" outlineLevel="0" collapsed="false">
      <c r="G386" s="18"/>
      <c r="H386" s="35"/>
      <c r="N386" s="18"/>
    </row>
    <row r="387" customFormat="false" ht="15.75" hidden="false" customHeight="false" outlineLevel="0" collapsed="false">
      <c r="G387" s="18"/>
      <c r="H387" s="35"/>
      <c r="N387" s="18"/>
    </row>
    <row r="388" customFormat="false" ht="15.75" hidden="false" customHeight="false" outlineLevel="0" collapsed="false">
      <c r="G388" s="18"/>
      <c r="H388" s="35"/>
      <c r="N388" s="18"/>
    </row>
    <row r="389" customFormat="false" ht="15.75" hidden="false" customHeight="false" outlineLevel="0" collapsed="false">
      <c r="G389" s="18"/>
      <c r="H389" s="35"/>
      <c r="N389" s="18"/>
    </row>
    <row r="390" customFormat="false" ht="15.75" hidden="false" customHeight="false" outlineLevel="0" collapsed="false">
      <c r="G390" s="18"/>
      <c r="H390" s="35"/>
      <c r="N390" s="18"/>
    </row>
    <row r="391" customFormat="false" ht="15.75" hidden="false" customHeight="false" outlineLevel="0" collapsed="false">
      <c r="G391" s="18"/>
      <c r="H391" s="35"/>
      <c r="N391" s="18"/>
    </row>
    <row r="392" customFormat="false" ht="15.75" hidden="false" customHeight="false" outlineLevel="0" collapsed="false">
      <c r="G392" s="18"/>
      <c r="H392" s="35"/>
      <c r="N392" s="18"/>
    </row>
    <row r="393" customFormat="false" ht="15.75" hidden="false" customHeight="false" outlineLevel="0" collapsed="false">
      <c r="G393" s="18"/>
      <c r="H393" s="35"/>
      <c r="N393" s="18"/>
    </row>
    <row r="394" customFormat="false" ht="15.75" hidden="false" customHeight="false" outlineLevel="0" collapsed="false">
      <c r="G394" s="18"/>
      <c r="H394" s="35"/>
      <c r="N394" s="18"/>
    </row>
    <row r="395" customFormat="false" ht="15.75" hidden="false" customHeight="false" outlineLevel="0" collapsed="false">
      <c r="G395" s="18"/>
      <c r="H395" s="35"/>
      <c r="N395" s="18"/>
    </row>
    <row r="396" customFormat="false" ht="15.75" hidden="false" customHeight="false" outlineLevel="0" collapsed="false">
      <c r="G396" s="18"/>
      <c r="H396" s="35"/>
      <c r="N396" s="18"/>
    </row>
    <row r="397" customFormat="false" ht="15.75" hidden="false" customHeight="false" outlineLevel="0" collapsed="false">
      <c r="G397" s="18"/>
      <c r="H397" s="35"/>
      <c r="N397" s="18"/>
    </row>
    <row r="398" customFormat="false" ht="15.75" hidden="false" customHeight="false" outlineLevel="0" collapsed="false">
      <c r="G398" s="18"/>
      <c r="H398" s="35"/>
      <c r="N398" s="18"/>
    </row>
    <row r="399" customFormat="false" ht="15.75" hidden="false" customHeight="false" outlineLevel="0" collapsed="false">
      <c r="G399" s="18"/>
      <c r="H399" s="35"/>
      <c r="N399" s="18"/>
    </row>
    <row r="400" customFormat="false" ht="15.75" hidden="false" customHeight="false" outlineLevel="0" collapsed="false">
      <c r="G400" s="18"/>
      <c r="H400" s="35"/>
      <c r="N400" s="18"/>
    </row>
    <row r="401" customFormat="false" ht="15.75" hidden="false" customHeight="false" outlineLevel="0" collapsed="false">
      <c r="G401" s="18"/>
      <c r="H401" s="35"/>
      <c r="N401" s="18"/>
    </row>
    <row r="402" customFormat="false" ht="15.75" hidden="false" customHeight="false" outlineLevel="0" collapsed="false">
      <c r="G402" s="18"/>
      <c r="H402" s="35"/>
      <c r="N402" s="18"/>
    </row>
    <row r="403" customFormat="false" ht="15.75" hidden="false" customHeight="false" outlineLevel="0" collapsed="false">
      <c r="G403" s="18"/>
      <c r="H403" s="35"/>
      <c r="N403" s="18"/>
    </row>
    <row r="404" customFormat="false" ht="15.75" hidden="false" customHeight="false" outlineLevel="0" collapsed="false">
      <c r="G404" s="18"/>
      <c r="H404" s="35"/>
      <c r="N404" s="18"/>
    </row>
    <row r="405" customFormat="false" ht="15.75" hidden="false" customHeight="false" outlineLevel="0" collapsed="false">
      <c r="G405" s="18"/>
      <c r="H405" s="35"/>
      <c r="N405" s="18"/>
    </row>
    <row r="406" customFormat="false" ht="15.75" hidden="false" customHeight="false" outlineLevel="0" collapsed="false">
      <c r="G406" s="18"/>
      <c r="H406" s="35"/>
      <c r="N406" s="18"/>
    </row>
    <row r="407" customFormat="false" ht="15.75" hidden="false" customHeight="false" outlineLevel="0" collapsed="false">
      <c r="G407" s="18"/>
      <c r="H407" s="35"/>
      <c r="N407" s="18"/>
    </row>
    <row r="408" customFormat="false" ht="15.75" hidden="false" customHeight="false" outlineLevel="0" collapsed="false">
      <c r="G408" s="18"/>
      <c r="H408" s="35"/>
      <c r="N408" s="18"/>
    </row>
    <row r="409" customFormat="false" ht="15.75" hidden="false" customHeight="false" outlineLevel="0" collapsed="false">
      <c r="G409" s="18"/>
      <c r="H409" s="35"/>
      <c r="N409" s="18"/>
    </row>
    <row r="410" customFormat="false" ht="15.75" hidden="false" customHeight="false" outlineLevel="0" collapsed="false">
      <c r="G410" s="18"/>
      <c r="H410" s="35"/>
      <c r="N410" s="18"/>
    </row>
    <row r="411" customFormat="false" ht="15.75" hidden="false" customHeight="false" outlineLevel="0" collapsed="false">
      <c r="G411" s="18"/>
      <c r="H411" s="35"/>
      <c r="N411" s="18"/>
    </row>
    <row r="412" customFormat="false" ht="15.75" hidden="false" customHeight="false" outlineLevel="0" collapsed="false">
      <c r="G412" s="18"/>
      <c r="H412" s="35"/>
      <c r="N412" s="18"/>
    </row>
    <row r="413" customFormat="false" ht="15.75" hidden="false" customHeight="false" outlineLevel="0" collapsed="false">
      <c r="G413" s="18"/>
      <c r="H413" s="35"/>
      <c r="N413" s="18"/>
    </row>
    <row r="414" customFormat="false" ht="15.75" hidden="false" customHeight="false" outlineLevel="0" collapsed="false">
      <c r="G414" s="18"/>
      <c r="H414" s="35"/>
      <c r="N414" s="18"/>
    </row>
    <row r="415" customFormat="false" ht="15.75" hidden="false" customHeight="false" outlineLevel="0" collapsed="false">
      <c r="G415" s="18"/>
      <c r="H415" s="35"/>
      <c r="N415" s="18"/>
    </row>
    <row r="416" customFormat="false" ht="15.75" hidden="false" customHeight="false" outlineLevel="0" collapsed="false">
      <c r="G416" s="18"/>
      <c r="H416" s="35"/>
      <c r="N416" s="18"/>
    </row>
    <row r="417" customFormat="false" ht="15.75" hidden="false" customHeight="false" outlineLevel="0" collapsed="false">
      <c r="G417" s="18"/>
      <c r="H417" s="35"/>
      <c r="N417" s="18"/>
    </row>
    <row r="418" customFormat="false" ht="15.75" hidden="false" customHeight="false" outlineLevel="0" collapsed="false">
      <c r="G418" s="18"/>
      <c r="H418" s="35"/>
      <c r="N418" s="18"/>
    </row>
    <row r="419" customFormat="false" ht="15.75" hidden="false" customHeight="false" outlineLevel="0" collapsed="false">
      <c r="G419" s="18"/>
      <c r="H419" s="35"/>
      <c r="N419" s="18"/>
    </row>
    <row r="420" customFormat="false" ht="15.75" hidden="false" customHeight="false" outlineLevel="0" collapsed="false">
      <c r="G420" s="18"/>
      <c r="H420" s="35"/>
      <c r="N420" s="18"/>
    </row>
    <row r="421" customFormat="false" ht="15.75" hidden="false" customHeight="false" outlineLevel="0" collapsed="false">
      <c r="G421" s="18"/>
      <c r="H421" s="35"/>
      <c r="N421" s="18"/>
    </row>
    <row r="422" customFormat="false" ht="15.75" hidden="false" customHeight="false" outlineLevel="0" collapsed="false">
      <c r="G422" s="18"/>
      <c r="H422" s="35"/>
      <c r="N422" s="18"/>
    </row>
    <row r="423" customFormat="false" ht="15.75" hidden="false" customHeight="false" outlineLevel="0" collapsed="false">
      <c r="G423" s="18"/>
      <c r="H423" s="35"/>
      <c r="N423" s="18"/>
    </row>
    <row r="424" customFormat="false" ht="15.75" hidden="false" customHeight="false" outlineLevel="0" collapsed="false">
      <c r="G424" s="18"/>
      <c r="H424" s="35"/>
      <c r="N424" s="18"/>
    </row>
    <row r="425" customFormat="false" ht="15.75" hidden="false" customHeight="false" outlineLevel="0" collapsed="false">
      <c r="G425" s="18"/>
      <c r="H425" s="35"/>
      <c r="N425" s="18"/>
    </row>
    <row r="426" customFormat="false" ht="15.75" hidden="false" customHeight="false" outlineLevel="0" collapsed="false">
      <c r="G426" s="18"/>
      <c r="H426" s="35"/>
      <c r="N426" s="18"/>
    </row>
    <row r="427" customFormat="false" ht="15.75" hidden="false" customHeight="false" outlineLevel="0" collapsed="false">
      <c r="G427" s="18"/>
      <c r="H427" s="35"/>
      <c r="N427" s="18"/>
    </row>
    <row r="428" customFormat="false" ht="15.75" hidden="false" customHeight="false" outlineLevel="0" collapsed="false">
      <c r="G428" s="18"/>
      <c r="H428" s="35"/>
      <c r="N428" s="18"/>
    </row>
    <row r="429" customFormat="false" ht="15.75" hidden="false" customHeight="false" outlineLevel="0" collapsed="false">
      <c r="G429" s="18"/>
      <c r="H429" s="35"/>
      <c r="N429" s="18"/>
    </row>
    <row r="430" customFormat="false" ht="15.75" hidden="false" customHeight="false" outlineLevel="0" collapsed="false">
      <c r="G430" s="18"/>
      <c r="H430" s="35"/>
      <c r="N430" s="18"/>
    </row>
    <row r="431" customFormat="false" ht="15.75" hidden="false" customHeight="false" outlineLevel="0" collapsed="false">
      <c r="G431" s="18"/>
      <c r="H431" s="35"/>
      <c r="N431" s="18"/>
    </row>
    <row r="432" customFormat="false" ht="15.75" hidden="false" customHeight="false" outlineLevel="0" collapsed="false">
      <c r="G432" s="18"/>
      <c r="H432" s="35"/>
      <c r="N432" s="18"/>
    </row>
    <row r="433" customFormat="false" ht="15.75" hidden="false" customHeight="false" outlineLevel="0" collapsed="false">
      <c r="G433" s="18"/>
      <c r="H433" s="35"/>
      <c r="N433" s="18"/>
    </row>
    <row r="434" customFormat="false" ht="15.75" hidden="false" customHeight="false" outlineLevel="0" collapsed="false">
      <c r="G434" s="18"/>
      <c r="H434" s="35"/>
      <c r="N434" s="18"/>
    </row>
    <row r="435" customFormat="false" ht="15.75" hidden="false" customHeight="false" outlineLevel="0" collapsed="false">
      <c r="G435" s="18"/>
      <c r="H435" s="35"/>
      <c r="N435" s="18"/>
    </row>
    <row r="436" customFormat="false" ht="15.75" hidden="false" customHeight="false" outlineLevel="0" collapsed="false">
      <c r="G436" s="18"/>
      <c r="H436" s="35"/>
      <c r="N436" s="18"/>
    </row>
    <row r="437" customFormat="false" ht="15.75" hidden="false" customHeight="false" outlineLevel="0" collapsed="false">
      <c r="G437" s="18"/>
      <c r="H437" s="35"/>
      <c r="N437" s="18"/>
    </row>
    <row r="438" customFormat="false" ht="15.75" hidden="false" customHeight="false" outlineLevel="0" collapsed="false">
      <c r="G438" s="18"/>
      <c r="H438" s="35"/>
      <c r="N438" s="18"/>
    </row>
    <row r="439" customFormat="false" ht="15.75" hidden="false" customHeight="false" outlineLevel="0" collapsed="false">
      <c r="G439" s="18"/>
      <c r="H439" s="35"/>
      <c r="N439" s="18"/>
    </row>
    <row r="440" customFormat="false" ht="15.75" hidden="false" customHeight="false" outlineLevel="0" collapsed="false">
      <c r="G440" s="18"/>
      <c r="H440" s="35"/>
      <c r="N440" s="18"/>
    </row>
    <row r="441" customFormat="false" ht="15.75" hidden="false" customHeight="false" outlineLevel="0" collapsed="false">
      <c r="G441" s="18"/>
      <c r="H441" s="35"/>
      <c r="N441" s="18"/>
    </row>
    <row r="442" customFormat="false" ht="15.75" hidden="false" customHeight="false" outlineLevel="0" collapsed="false">
      <c r="G442" s="18"/>
      <c r="H442" s="35"/>
      <c r="N442" s="18"/>
    </row>
    <row r="443" customFormat="false" ht="15.75" hidden="false" customHeight="false" outlineLevel="0" collapsed="false">
      <c r="G443" s="18"/>
      <c r="H443" s="35"/>
      <c r="N443" s="18"/>
    </row>
    <row r="444" customFormat="false" ht="15.75" hidden="false" customHeight="false" outlineLevel="0" collapsed="false">
      <c r="G444" s="18"/>
      <c r="H444" s="35"/>
      <c r="N444" s="18"/>
    </row>
    <row r="445" customFormat="false" ht="15.75" hidden="false" customHeight="false" outlineLevel="0" collapsed="false">
      <c r="G445" s="18"/>
      <c r="H445" s="35"/>
      <c r="N445" s="18"/>
    </row>
    <row r="446" customFormat="false" ht="15.75" hidden="false" customHeight="false" outlineLevel="0" collapsed="false">
      <c r="G446" s="18"/>
      <c r="H446" s="35"/>
      <c r="N446" s="18"/>
    </row>
    <row r="447" customFormat="false" ht="15.75" hidden="false" customHeight="false" outlineLevel="0" collapsed="false">
      <c r="G447" s="18"/>
      <c r="H447" s="35"/>
      <c r="N447" s="18"/>
    </row>
    <row r="448" customFormat="false" ht="15.75" hidden="false" customHeight="false" outlineLevel="0" collapsed="false">
      <c r="G448" s="18"/>
      <c r="H448" s="35"/>
      <c r="N448" s="18"/>
    </row>
    <row r="449" customFormat="false" ht="15.75" hidden="false" customHeight="false" outlineLevel="0" collapsed="false">
      <c r="G449" s="18"/>
      <c r="H449" s="35"/>
      <c r="N449" s="18"/>
    </row>
    <row r="450" customFormat="false" ht="15.75" hidden="false" customHeight="false" outlineLevel="0" collapsed="false">
      <c r="G450" s="18"/>
      <c r="H450" s="35"/>
      <c r="N450" s="18"/>
    </row>
    <row r="451" customFormat="false" ht="15.75" hidden="false" customHeight="false" outlineLevel="0" collapsed="false">
      <c r="G451" s="18"/>
      <c r="H451" s="35"/>
      <c r="N451" s="18"/>
    </row>
    <row r="452" customFormat="false" ht="15.75" hidden="false" customHeight="false" outlineLevel="0" collapsed="false">
      <c r="G452" s="18"/>
      <c r="H452" s="35"/>
      <c r="N452" s="18"/>
    </row>
    <row r="453" customFormat="false" ht="15.75" hidden="false" customHeight="false" outlineLevel="0" collapsed="false">
      <c r="G453" s="18"/>
      <c r="H453" s="35"/>
      <c r="N453" s="18"/>
    </row>
    <row r="1048575" customFormat="false" ht="12.8" hidden="false" customHeight="true" outlineLevel="0" collapsed="false"/>
    <row r="1048576" customFormat="false" ht="12.8" hidden="false" customHeight="true" outlineLevel="0" collapsed="false"/>
  </sheetData>
  <conditionalFormatting sqref="R2:S248">
    <cfRule type="expression" priority="2" aboveAverage="0" equalAverage="0" bottom="0" percent="0" rank="0" text="" dxfId="0">
      <formula>LEN(TRIM(R2))&gt;0</formula>
    </cfRule>
  </conditionalFormatting>
  <conditionalFormatting sqref="Q2:Q248">
    <cfRule type="expression" priority="3" aboveAverage="0" equalAverage="0" bottom="0" percent="0" rank="0" text="" dxfId="0">
      <formula>LEN(TRIM(Q2))&gt;0</formula>
    </cfRule>
  </conditionalFormatting>
  <conditionalFormatting sqref="G2:G248 N2:N248">
    <cfRule type="containsText" priority="4" operator="containsText" aboveAverage="0" equalAverage="0" bottom="0" percent="0" rank="0" text="x" dxfId="0">
      <formula>NOT(ISERROR(SEARCH("x",G2)))</formula>
    </cfRule>
  </conditionalFormatting>
  <conditionalFormatting sqref="T2:T248">
    <cfRule type="expression" priority="5" aboveAverage="0" equalAverage="0" bottom="0" percent="0" rank="0" text="" dxfId="0">
      <formula>LEN(TRIM(T2))&gt;0</formula>
    </cfRule>
  </conditionalFormatting>
  <conditionalFormatting sqref="X2:X248">
    <cfRule type="expression" priority="6" aboveAverage="0" equalAverage="0" bottom="0" percent="0" rank="0" text="" dxfId="0">
      <formula>LEN(TRIM(X2))&gt;0</formula>
    </cfRule>
  </conditionalFormatting>
  <conditionalFormatting sqref="Y2:Y248">
    <cfRule type="cellIs" priority="7" operator="equal" aboveAverage="0" equalAverage="0" bottom="0" percent="0" rank="0" text="" dxfId="0">
      <formula>"Completo"</formula>
    </cfRule>
    <cfRule type="cellIs" priority="8" operator="equal" aboveAverage="0" equalAverage="0" bottom="0" percent="0" rank="0" text="" dxfId="1">
      <formula>"No aplica"</formula>
    </cfRule>
  </conditionalFormatting>
  <conditionalFormatting sqref="G2:I248 O2:P248 U2:W248 Y2:Y248">
    <cfRule type="cellIs" priority="9" operator="equal" aboveAverage="0" equalAverage="0" bottom="0" percent="0" rank="0" text="" dxfId="0">
      <formula>"Completo"</formula>
    </cfRule>
    <cfRule type="cellIs" priority="10" operator="equal" aboveAverage="0" equalAverage="0" bottom="0" percent="0" rank="0" text="" dxfId="1">
      <formula>"No Aplica"</formula>
    </cfRule>
  </conditionalFormatting>
  <dataValidations count="5">
    <dataValidation allowBlank="true" errorStyle="stop" operator="between" showDropDown="false" showErrorMessage="true" showInputMessage="false" sqref="D2:D248" type="list">
      <formula1>LEYENDA!$B$2:$D$2</formula1>
      <formula2>0</formula2>
    </dataValidation>
    <dataValidation allowBlank="true" errorStyle="stop" operator="between" showDropDown="false" showErrorMessage="false" showInputMessage="false" sqref="E2:E248" type="list">
      <formula1>LEYENDA!$A$8:$A$12</formula1>
      <formula2>0</formula2>
    </dataValidation>
    <dataValidation allowBlank="true" errorStyle="stop" operator="between" showDropDown="false" showErrorMessage="false" showInputMessage="false" sqref="T2:T248" type="list">
      <formula1>LEYENDA!$A$23:$A$24</formula1>
      <formula2>0</formula2>
    </dataValidation>
    <dataValidation allowBlank="true" errorStyle="stop" operator="between" showDropDown="false" showErrorMessage="false" showInputMessage="false" sqref="R2:R248" type="list">
      <formula1>LEYENDA!$A$15:$A$19</formula1>
      <formula2>0</formula2>
    </dataValidation>
    <dataValidation allowBlank="true" errorStyle="stop" operator="between" showDropDown="false" showErrorMessage="true" showInputMessage="false" sqref="H2:I248 O2:P248 U2:W248 Y2:Y248" type="list">
      <formula1>LEYENDA!$B$1:$C$1</formula1>
      <formula2>0</formula2>
    </dataValidation>
  </dataValidations>
  <hyperlinks>
    <hyperlink ref="U2" r:id="rId1" display="Completo"/>
    <hyperlink ref="U3" r:id="rId2" display="Completo"/>
    <hyperlink ref="U4" r:id="rId3" display="Completo"/>
    <hyperlink ref="U6" r:id="rId4" display="Completo"/>
    <hyperlink ref="W6" r:id="rId5" display="Completo"/>
    <hyperlink ref="P8" r:id="rId6" display="Completo"/>
    <hyperlink ref="W11" r:id="rId7" display="Completo"/>
    <hyperlink ref="P12" r:id="rId8" display="Completo"/>
    <hyperlink ref="V12" r:id="rId9" display="Completo"/>
    <hyperlink ref="W12" r:id="rId10" display="Completo"/>
    <hyperlink ref="U15" r:id="rId11" display="Completo"/>
    <hyperlink ref="V15" r:id="rId12" display="Completo"/>
    <hyperlink ref="W15" r:id="rId13" display="Completo"/>
    <hyperlink ref="U16" r:id="rId14" display="Completo"/>
    <hyperlink ref="V16" r:id="rId15" display="Completo"/>
    <hyperlink ref="W16" r:id="rId16" display="Completo"/>
    <hyperlink ref="P17" r:id="rId17" display="Completo"/>
    <hyperlink ref="V17" r:id="rId18" display="Completo"/>
    <hyperlink ref="W17" r:id="rId19" display="Completo"/>
    <hyperlink ref="U18" r:id="rId20" display="Completo"/>
    <hyperlink ref="V18" r:id="rId21" display="Completo"/>
    <hyperlink ref="W18" r:id="rId22" display="Completo"/>
    <hyperlink ref="U58" r:id="rId23" display="Completo"/>
    <hyperlink ref="V58" r:id="rId24" display="Completo"/>
    <hyperlink ref="W58" r:id="rId25" display="Completo"/>
    <hyperlink ref="U59" r:id="rId26" display="Completo"/>
    <hyperlink ref="V59" r:id="rId27" display="Completo"/>
    <hyperlink ref="W59" r:id="rId28" display="Completo"/>
    <hyperlink ref="U66" r:id="rId29" display="Completo"/>
    <hyperlink ref="W66" r:id="rId30" display="Completo"/>
    <hyperlink ref="U68" r:id="rId31" display="Completo"/>
    <hyperlink ref="V68" r:id="rId32" display="Completo"/>
    <hyperlink ref="W68" r:id="rId33" display="Completo"/>
    <hyperlink ref="V69" r:id="rId34" display="Completo"/>
    <hyperlink ref="W69" r:id="rId35" display="Completo"/>
    <hyperlink ref="U72" r:id="rId36" display="Completo"/>
    <hyperlink ref="V72" r:id="rId37" display="Completo"/>
    <hyperlink ref="W72" r:id="rId38" display="Completo"/>
    <hyperlink ref="U74" r:id="rId39" display="Completo"/>
    <hyperlink ref="U75" r:id="rId40" display="Completo"/>
    <hyperlink ref="V75" r:id="rId41" display="Completo"/>
    <hyperlink ref="W75" r:id="rId42" display="Completo"/>
    <hyperlink ref="X75" r:id="rId43" display="Bruñido"/>
    <hyperlink ref="U76" r:id="rId44" display="Completo"/>
    <hyperlink ref="V76" r:id="rId45" display="Completo"/>
    <hyperlink ref="W76" r:id="rId46" display="Completo"/>
    <hyperlink ref="U77" r:id="rId47" display="Completo"/>
    <hyperlink ref="V77" r:id="rId48" display="Completo"/>
    <hyperlink ref="W77" r:id="rId49" display="Completo"/>
    <hyperlink ref="U80" r:id="rId50" display="Completo"/>
    <hyperlink ref="V80" r:id="rId51" display="Completo"/>
    <hyperlink ref="W80" r:id="rId52" display="Completo"/>
    <hyperlink ref="U81" r:id="rId53" display="Completo"/>
    <hyperlink ref="V81" r:id="rId54" display="Completo"/>
    <hyperlink ref="W81" r:id="rId55" display="Completo"/>
    <hyperlink ref="U82" r:id="rId56" display="Completo"/>
    <hyperlink ref="V82" r:id="rId57" display="Completo"/>
    <hyperlink ref="W82" r:id="rId58" display="Completo"/>
    <hyperlink ref="U84" r:id="rId59" display="Completo"/>
    <hyperlink ref="V84" r:id="rId60" display="Completo"/>
    <hyperlink ref="W84" r:id="rId61" display="Completo"/>
    <hyperlink ref="U89" r:id="rId62" display="Completo"/>
    <hyperlink ref="U90" r:id="rId63" display="Completo"/>
    <hyperlink ref="W90" r:id="rId64" display="Completo"/>
    <hyperlink ref="U91" r:id="rId65" display="Completo"/>
    <hyperlink ref="W91" r:id="rId66" display="Completo"/>
    <hyperlink ref="U92" r:id="rId67" display="Completo"/>
    <hyperlink ref="W92" r:id="rId68" display="Completo"/>
    <hyperlink ref="U102" r:id="rId69" display="Completo"/>
    <hyperlink ref="U103" r:id="rId70" display="Completo"/>
    <hyperlink ref="W103" r:id="rId71" display="Completo"/>
    <hyperlink ref="H104" r:id="rId72" display="Completo"/>
    <hyperlink ref="U104" r:id="rId73" display="Completo"/>
    <hyperlink ref="W104" r:id="rId74" display="Completo"/>
    <hyperlink ref="U105" r:id="rId75" display="Completo"/>
    <hyperlink ref="W105" r:id="rId76" display="Completo"/>
    <hyperlink ref="H106" r:id="rId77" display="https://photos.app.goo.gl/koLd6tvRvzywvco16"/>
  </hyperlinks>
  <printOptions headings="false" gridLines="true" gridLinesSet="true" horizontalCentered="true" verticalCentered="false"/>
  <pageMargins left="0.7" right="0.7" top="0.75" bottom="0.75" header="0.511811023622047" footer="0.511811023622047"/>
  <pageSetup paperSize="9" scale="100" fitToWidth="1" fitToHeight="0" pageOrder="overThenDown" orientation="landscape" blackAndWhite="false" draft="false" cellComments="none" horizontalDpi="300" verticalDpi="300" copies="1"/>
  <headerFooter differentFirst="false" differentOddEven="false">
    <oddHeader/>
    <oddFooter/>
  </headerFooter>
  <drawing r:id="rId78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AF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6" ySplit="3" topLeftCell="G4" activePane="bottomRight" state="frozen"/>
      <selection pane="topLeft" activeCell="A1" activeCellId="0" sqref="A1"/>
      <selection pane="topRight" activeCell="G1" activeCellId="0" sqref="G1"/>
      <selection pane="bottomLeft" activeCell="A4" activeCellId="0" sqref="A4"/>
      <selection pane="bottomRight" activeCell="G1" activeCellId="0" sqref="G1"/>
    </sheetView>
  </sheetViews>
  <sheetFormatPr defaultColWidth="12.6328125" defaultRowHeight="15.75" zeroHeight="false" outlineLevelRow="0" outlineLevelCol="0"/>
  <cols>
    <col collapsed="false" customWidth="true" hidden="false" outlineLevel="0" max="1" min="1" style="1" width="10.25"/>
    <col collapsed="false" customWidth="true" hidden="false" outlineLevel="0" max="2" min="2" style="1" width="10.38"/>
    <col collapsed="false" customWidth="true" hidden="false" outlineLevel="0" max="3" min="3" style="1" width="16.89"/>
    <col collapsed="false" customWidth="true" hidden="false" outlineLevel="0" max="4" min="4" style="1" width="11.25"/>
    <col collapsed="false" customWidth="true" hidden="false" outlineLevel="0" max="5" min="5" style="1" width="17.13"/>
    <col collapsed="false" customWidth="true" hidden="false" outlineLevel="0" max="6" min="6" style="1" width="43.63"/>
    <col collapsed="false" customWidth="true" hidden="false" outlineLevel="0" max="7" min="7" style="1" width="15.88"/>
    <col collapsed="false" customWidth="true" hidden="false" outlineLevel="0" max="8" min="8" style="1" width="10.88"/>
    <col collapsed="false" customWidth="true" hidden="false" outlineLevel="0" max="9" min="9" style="1" width="12.88"/>
    <col collapsed="false" customWidth="true" hidden="false" outlineLevel="0" max="10" min="10" style="1" width="12.75"/>
    <col collapsed="false" customWidth="true" hidden="false" outlineLevel="0" max="11" min="11" style="1" width="10"/>
    <col collapsed="false" customWidth="true" hidden="false" outlineLevel="0" max="12" min="12" style="1" width="12.25"/>
    <col collapsed="false" customWidth="true" hidden="false" outlineLevel="0" max="13" min="13" style="1" width="26.12"/>
    <col collapsed="false" customWidth="true" hidden="false" outlineLevel="0" max="14" min="14" style="1" width="18"/>
    <col collapsed="false" customWidth="true" hidden="false" outlineLevel="0" max="16" min="15" style="1" width="10.63"/>
    <col collapsed="false" customWidth="true" hidden="false" outlineLevel="0" max="17" min="17" style="1" width="8.5"/>
    <col collapsed="false" customWidth="true" hidden="false" outlineLevel="0" max="19" min="19" style="1" width="25.38"/>
    <col collapsed="false" customWidth="true" hidden="false" outlineLevel="0" max="20" min="20" style="1" width="17.88"/>
    <col collapsed="false" customWidth="true" hidden="false" outlineLevel="0" max="21" min="21" style="1" width="10.13"/>
    <col collapsed="false" customWidth="true" hidden="false" outlineLevel="0" max="23" min="22" style="1" width="11.12"/>
    <col collapsed="false" customWidth="true" hidden="false" outlineLevel="0" max="24" min="24" style="1" width="24.88"/>
  </cols>
  <sheetData>
    <row r="1" customFormat="false" ht="68" hidden="false" customHeight="false" outlineLevel="0" collapsed="false">
      <c r="A1" s="2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/>
      <c r="J1" s="4" t="s">
        <v>8</v>
      </c>
      <c r="K1" s="2"/>
      <c r="L1" s="2" t="s">
        <v>9</v>
      </c>
      <c r="M1" s="2" t="s">
        <v>10</v>
      </c>
      <c r="N1" s="4" t="s">
        <v>11</v>
      </c>
      <c r="O1" s="3" t="s">
        <v>12</v>
      </c>
      <c r="P1" s="7" t="s">
        <v>13</v>
      </c>
      <c r="Q1" s="7" t="s">
        <v>14</v>
      </c>
      <c r="R1" s="7" t="s">
        <v>15</v>
      </c>
      <c r="S1" s="7" t="s">
        <v>16</v>
      </c>
      <c r="T1" s="7" t="s">
        <v>17</v>
      </c>
      <c r="U1" s="8" t="s">
        <v>18</v>
      </c>
      <c r="V1" s="9" t="s">
        <v>19</v>
      </c>
      <c r="W1" s="9" t="s">
        <v>20</v>
      </c>
      <c r="X1" s="10" t="s">
        <v>15</v>
      </c>
      <c r="Y1" s="11" t="s">
        <v>21</v>
      </c>
      <c r="Z1" s="11" t="s">
        <v>22</v>
      </c>
      <c r="AA1" s="12"/>
      <c r="AB1" s="12"/>
      <c r="AC1" s="12"/>
      <c r="AD1" s="12"/>
      <c r="AE1" s="12"/>
      <c r="AF1" s="12"/>
    </row>
    <row r="2" customFormat="false" ht="15.75" hidden="false" customHeight="false" outlineLevel="0" collapsed="false">
      <c r="A2" s="61" t="n">
        <v>5840</v>
      </c>
      <c r="B2" s="29" t="n">
        <v>44410</v>
      </c>
      <c r="C2" s="21" t="s">
        <v>574</v>
      </c>
      <c r="D2" s="21" t="s">
        <v>24</v>
      </c>
      <c r="E2" s="21" t="s">
        <v>3337</v>
      </c>
      <c r="F2" s="21" t="s">
        <v>4219</v>
      </c>
      <c r="G2" s="30" t="s">
        <v>4220</v>
      </c>
      <c r="H2" s="45" t="str">
        <f aca="false">HYPERLINK("https://photos.app.goo.gl/rkUp5iPYnakEAjKz5", "Completo")</f>
        <v>Completo</v>
      </c>
      <c r="I2" s="21" t="s">
        <v>28</v>
      </c>
      <c r="J2" s="21"/>
      <c r="K2" s="21"/>
      <c r="L2" s="21"/>
      <c r="M2" s="21"/>
      <c r="N2" s="30" t="str">
        <f aca="false">G2</f>
        <v>520x200x200</v>
      </c>
      <c r="O2" s="21"/>
      <c r="P2" s="21"/>
      <c r="Q2" s="21"/>
      <c r="R2" s="32"/>
      <c r="S2" s="32"/>
      <c r="T2" s="21"/>
      <c r="U2" s="21"/>
      <c r="V2" s="21"/>
      <c r="W2" s="21"/>
      <c r="X2" s="21"/>
      <c r="Y2" s="21" t="s">
        <v>28</v>
      </c>
    </row>
    <row r="3" customFormat="false" ht="15.75" hidden="false" customHeight="false" outlineLevel="0" collapsed="false">
      <c r="A3" s="21"/>
      <c r="B3" s="29" t="n">
        <v>44410</v>
      </c>
      <c r="C3" s="21" t="s">
        <v>4221</v>
      </c>
      <c r="D3" s="21" t="s">
        <v>24</v>
      </c>
      <c r="E3" s="21" t="s">
        <v>34</v>
      </c>
      <c r="F3" s="21" t="s">
        <v>4222</v>
      </c>
      <c r="G3" s="30" t="s">
        <v>4223</v>
      </c>
      <c r="H3" s="88" t="s">
        <v>28</v>
      </c>
      <c r="I3" s="21" t="s">
        <v>37</v>
      </c>
      <c r="J3" s="21"/>
      <c r="K3" s="21"/>
      <c r="L3" s="21"/>
      <c r="N3" s="30" t="str">
        <f aca="false">G3</f>
        <v>NO APLICA</v>
      </c>
      <c r="O3" s="21"/>
      <c r="P3" s="21"/>
      <c r="Q3" s="21"/>
      <c r="R3" s="32"/>
      <c r="S3" s="32"/>
      <c r="T3" s="21"/>
      <c r="U3" s="21"/>
      <c r="V3" s="21"/>
      <c r="W3" s="21"/>
      <c r="X3" s="21"/>
      <c r="Y3" s="21" t="s">
        <v>28</v>
      </c>
    </row>
    <row r="4" customFormat="false" ht="15.75" hidden="false" customHeight="false" outlineLevel="0" collapsed="false">
      <c r="A4" s="61" t="n">
        <v>5842</v>
      </c>
      <c r="B4" s="29" t="n">
        <v>44411</v>
      </c>
      <c r="C4" s="21" t="s">
        <v>4170</v>
      </c>
      <c r="D4" s="21" t="s">
        <v>24</v>
      </c>
      <c r="E4" s="21" t="s">
        <v>3337</v>
      </c>
      <c r="F4" s="21" t="s">
        <v>4224</v>
      </c>
      <c r="G4" s="30" t="s">
        <v>4225</v>
      </c>
      <c r="H4" s="45" t="str">
        <f aca="false">HYPERLINK("https://photos.app.goo.gl/6JDb8KezuBWTKMhBA", "Completo")</f>
        <v>Completo</v>
      </c>
      <c r="I4" s="21" t="s">
        <v>28</v>
      </c>
      <c r="J4" s="21"/>
      <c r="K4" s="21"/>
      <c r="L4" s="21"/>
      <c r="M4" s="21" t="s">
        <v>2255</v>
      </c>
      <c r="N4" s="30" t="str">
        <f aca="false">G4</f>
        <v>1050.4x1320</v>
      </c>
      <c r="O4" s="21"/>
      <c r="P4" s="21"/>
      <c r="Q4" s="21"/>
      <c r="R4" s="32"/>
      <c r="S4" s="32"/>
      <c r="T4" s="21"/>
      <c r="U4" s="21"/>
      <c r="V4" s="21"/>
      <c r="W4" s="21"/>
      <c r="X4" s="21"/>
      <c r="Y4" s="21" t="s">
        <v>28</v>
      </c>
    </row>
    <row r="5" customFormat="false" ht="15.75" hidden="false" customHeight="false" outlineLevel="0" collapsed="false">
      <c r="A5" s="61" t="n">
        <v>5843</v>
      </c>
      <c r="B5" s="29" t="n">
        <v>44411</v>
      </c>
      <c r="C5" s="21" t="s">
        <v>4226</v>
      </c>
      <c r="D5" s="21" t="s">
        <v>24</v>
      </c>
      <c r="E5" s="21" t="s">
        <v>3337</v>
      </c>
      <c r="F5" s="21" t="s">
        <v>4227</v>
      </c>
      <c r="G5" s="30"/>
      <c r="H5" s="45" t="str">
        <f aca="false">HYPERLINK("https://photos.app.goo.gl/AB1Rjba8m22m9GNT6", "Completo")</f>
        <v>Completo</v>
      </c>
      <c r="I5" s="21" t="s">
        <v>37</v>
      </c>
      <c r="J5" s="21"/>
      <c r="K5" s="21"/>
      <c r="L5" s="21"/>
      <c r="M5" s="21" t="s">
        <v>4228</v>
      </c>
      <c r="N5" s="30" t="n">
        <f aca="false">G5</f>
        <v>0</v>
      </c>
      <c r="O5" s="21"/>
      <c r="P5" s="21"/>
      <c r="Q5" s="21"/>
      <c r="R5" s="32"/>
      <c r="S5" s="32"/>
      <c r="T5" s="21"/>
      <c r="U5" s="21"/>
      <c r="V5" s="21"/>
      <c r="W5" s="21"/>
      <c r="X5" s="21"/>
      <c r="Y5" s="21" t="s">
        <v>28</v>
      </c>
    </row>
    <row r="6" customFormat="false" ht="15.75" hidden="false" customHeight="false" outlineLevel="0" collapsed="false">
      <c r="A6" s="61" t="n">
        <v>5844</v>
      </c>
      <c r="B6" s="29" t="n">
        <v>44411</v>
      </c>
      <c r="C6" s="21" t="s">
        <v>1666</v>
      </c>
      <c r="D6" s="21" t="s">
        <v>24</v>
      </c>
      <c r="E6" s="21" t="s">
        <v>3337</v>
      </c>
      <c r="F6" s="21" t="s">
        <v>4229</v>
      </c>
      <c r="G6" s="30"/>
      <c r="H6" s="31"/>
      <c r="I6" s="21"/>
      <c r="J6" s="21"/>
      <c r="K6" s="21"/>
      <c r="L6" s="21"/>
      <c r="M6" s="21" t="s">
        <v>2298</v>
      </c>
      <c r="N6" s="30" t="n">
        <f aca="false">G6</f>
        <v>0</v>
      </c>
      <c r="O6" s="21"/>
      <c r="P6" s="21"/>
      <c r="Q6" s="21"/>
      <c r="R6" s="32"/>
      <c r="S6" s="32"/>
      <c r="T6" s="21"/>
      <c r="U6" s="21"/>
      <c r="V6" s="21"/>
      <c r="W6" s="21"/>
      <c r="X6" s="21"/>
      <c r="Y6" s="21" t="s">
        <v>28</v>
      </c>
    </row>
    <row r="7" customFormat="false" ht="15.75" hidden="false" customHeight="false" outlineLevel="0" collapsed="false">
      <c r="A7" s="61" t="n">
        <v>5845</v>
      </c>
      <c r="B7" s="29" t="n">
        <v>44411</v>
      </c>
      <c r="C7" s="21" t="s">
        <v>4230</v>
      </c>
      <c r="D7" s="21" t="s">
        <v>24</v>
      </c>
      <c r="E7" s="21" t="s">
        <v>3337</v>
      </c>
      <c r="F7" s="21" t="s">
        <v>4231</v>
      </c>
      <c r="G7" s="30" t="s">
        <v>4232</v>
      </c>
      <c r="H7" s="45" t="str">
        <f aca="false">HYPERLINK("https://photos.app.goo.gl/JQYQFhxvKB988c2r5", "Completo")</f>
        <v>Completo</v>
      </c>
      <c r="I7" s="21" t="s">
        <v>28</v>
      </c>
      <c r="J7" s="21"/>
      <c r="K7" s="21"/>
      <c r="L7" s="21"/>
      <c r="M7" s="21" t="s">
        <v>2255</v>
      </c>
      <c r="N7" s="30" t="str">
        <f aca="false">G7</f>
        <v>300x300x140</v>
      </c>
      <c r="O7" s="21"/>
      <c r="P7" s="21"/>
      <c r="Q7" s="21"/>
      <c r="R7" s="32"/>
      <c r="S7" s="32"/>
      <c r="T7" s="21"/>
      <c r="U7" s="21"/>
      <c r="V7" s="21"/>
      <c r="W7" s="21"/>
      <c r="X7" s="21"/>
      <c r="Y7" s="21" t="s">
        <v>28</v>
      </c>
    </row>
    <row r="8" customFormat="false" ht="15.75" hidden="false" customHeight="false" outlineLevel="0" collapsed="false">
      <c r="A8" s="61" t="n">
        <v>5846</v>
      </c>
      <c r="B8" s="29" t="n">
        <v>44412</v>
      </c>
      <c r="C8" s="21" t="s">
        <v>4129</v>
      </c>
      <c r="D8" s="21" t="s">
        <v>24</v>
      </c>
      <c r="E8" s="21" t="s">
        <v>3337</v>
      </c>
      <c r="F8" s="21" t="s">
        <v>4233</v>
      </c>
      <c r="G8" s="30" t="s">
        <v>4234</v>
      </c>
      <c r="H8" s="45" t="str">
        <f aca="false">HYPERLINK("https://photos.app.goo.gl/oqjbWpj8VAnUVrX3A", "Completo")</f>
        <v>Completo</v>
      </c>
      <c r="I8" s="21" t="s">
        <v>28</v>
      </c>
      <c r="J8" s="21"/>
      <c r="K8" s="21"/>
      <c r="L8" s="21"/>
      <c r="M8" s="21" t="s">
        <v>2133</v>
      </c>
      <c r="N8" s="30" t="str">
        <f aca="false">G8</f>
        <v>280x50x50</v>
      </c>
      <c r="O8" s="21"/>
      <c r="P8" s="21"/>
      <c r="Q8" s="21"/>
      <c r="R8" s="32"/>
      <c r="S8" s="32"/>
      <c r="T8" s="21"/>
      <c r="U8" s="21"/>
      <c r="V8" s="21"/>
      <c r="W8" s="21"/>
      <c r="X8" s="21"/>
      <c r="Y8" s="21" t="s">
        <v>28</v>
      </c>
    </row>
    <row r="9" customFormat="false" ht="15.75" hidden="false" customHeight="false" outlineLevel="0" collapsed="false">
      <c r="A9" s="61" t="n">
        <v>5847</v>
      </c>
      <c r="B9" s="29" t="n">
        <v>44412</v>
      </c>
      <c r="C9" s="21" t="s">
        <v>4129</v>
      </c>
      <c r="D9" s="21" t="s">
        <v>24</v>
      </c>
      <c r="E9" s="21" t="s">
        <v>3337</v>
      </c>
      <c r="F9" s="21" t="s">
        <v>4235</v>
      </c>
      <c r="G9" s="30" t="s">
        <v>4236</v>
      </c>
      <c r="H9" s="45" t="str">
        <f aca="false">HYPERLINK("https://photos.app.goo.gl/pfnMbDo9JAj9QEVD8", "Completo")</f>
        <v>Completo</v>
      </c>
      <c r="I9" s="21" t="s">
        <v>28</v>
      </c>
      <c r="J9" s="21"/>
      <c r="K9" s="21"/>
      <c r="L9" s="21"/>
      <c r="M9" s="21" t="s">
        <v>2133</v>
      </c>
      <c r="N9" s="30" t="str">
        <f aca="false">G9</f>
        <v>550x120x120</v>
      </c>
      <c r="O9" s="21"/>
      <c r="P9" s="21"/>
      <c r="Q9" s="21"/>
      <c r="R9" s="32"/>
      <c r="S9" s="32"/>
      <c r="T9" s="21"/>
      <c r="U9" s="21"/>
      <c r="V9" s="21"/>
      <c r="W9" s="21"/>
      <c r="X9" s="21"/>
      <c r="Y9" s="21" t="s">
        <v>28</v>
      </c>
    </row>
    <row r="10" customFormat="false" ht="15.75" hidden="false" customHeight="false" outlineLevel="0" collapsed="false">
      <c r="A10" s="61" t="n">
        <v>5848</v>
      </c>
      <c r="B10" s="29" t="n">
        <v>44412</v>
      </c>
      <c r="C10" s="21" t="s">
        <v>4129</v>
      </c>
      <c r="D10" s="21" t="s">
        <v>24</v>
      </c>
      <c r="E10" s="21" t="s">
        <v>3337</v>
      </c>
      <c r="F10" s="21" t="s">
        <v>4235</v>
      </c>
      <c r="G10" s="30" t="s">
        <v>4236</v>
      </c>
      <c r="H10" s="45" t="str">
        <f aca="false">HYPERLINK("https://photos.app.goo.gl/oE1G3BaXxdvhgEmU9", "Completo")</f>
        <v>Completo</v>
      </c>
      <c r="I10" s="21" t="s">
        <v>28</v>
      </c>
      <c r="J10" s="21"/>
      <c r="K10" s="21"/>
      <c r="L10" s="21"/>
      <c r="M10" s="21" t="s">
        <v>2133</v>
      </c>
      <c r="N10" s="30" t="str">
        <f aca="false">G10</f>
        <v>550x120x120</v>
      </c>
      <c r="O10" s="21"/>
      <c r="P10" s="21"/>
      <c r="Q10" s="21"/>
      <c r="R10" s="32"/>
      <c r="S10" s="32"/>
      <c r="T10" s="21"/>
      <c r="U10" s="21"/>
      <c r="V10" s="21"/>
      <c r="W10" s="21"/>
      <c r="X10" s="21"/>
      <c r="Y10" s="21" t="s">
        <v>28</v>
      </c>
    </row>
    <row r="11" customFormat="false" ht="15.75" hidden="false" customHeight="false" outlineLevel="0" collapsed="false">
      <c r="A11" s="61" t="n">
        <v>5849</v>
      </c>
      <c r="B11" s="29" t="n">
        <v>44412</v>
      </c>
      <c r="C11" s="21" t="s">
        <v>2575</v>
      </c>
      <c r="D11" s="21" t="s">
        <v>24</v>
      </c>
      <c r="E11" s="21" t="s">
        <v>3337</v>
      </c>
      <c r="F11" s="21" t="s">
        <v>4237</v>
      </c>
      <c r="G11" s="30" t="s">
        <v>4238</v>
      </c>
      <c r="H11" s="45" t="str">
        <f aca="false">HYPERLINK("https://photos.app.goo.gl/RBq2JHW8gQqhQmQ5A", "Completo")</f>
        <v>Completo</v>
      </c>
      <c r="I11" s="21" t="s">
        <v>28</v>
      </c>
      <c r="J11" s="21"/>
      <c r="K11" s="21"/>
      <c r="L11" s="21"/>
      <c r="M11" s="21" t="s">
        <v>2255</v>
      </c>
      <c r="N11" s="30" t="str">
        <f aca="false">G11</f>
        <v>2090x500x500</v>
      </c>
      <c r="O11" s="21"/>
      <c r="P11" s="21"/>
      <c r="Q11" s="21"/>
      <c r="R11" s="32"/>
      <c r="S11" s="32"/>
      <c r="T11" s="21"/>
      <c r="U11" s="21"/>
      <c r="V11" s="21"/>
      <c r="W11" s="21"/>
      <c r="X11" s="21"/>
      <c r="Y11" s="21" t="s">
        <v>28</v>
      </c>
    </row>
    <row r="12" customFormat="false" ht="15.75" hidden="false" customHeight="false" outlineLevel="0" collapsed="false">
      <c r="A12" s="61" t="n">
        <v>5850</v>
      </c>
      <c r="B12" s="29" t="n">
        <v>44412</v>
      </c>
      <c r="C12" s="21" t="s">
        <v>4239</v>
      </c>
      <c r="D12" s="21" t="s">
        <v>24</v>
      </c>
      <c r="E12" s="21" t="s">
        <v>3337</v>
      </c>
      <c r="F12" s="21" t="s">
        <v>4240</v>
      </c>
      <c r="G12" s="30" t="s">
        <v>4241</v>
      </c>
      <c r="H12" s="45" t="str">
        <f aca="false">HYPERLINK("https://photos.app.goo.gl/VU2gWBaLyKNGtG4t8", "Completo")</f>
        <v>Completo</v>
      </c>
      <c r="I12" s="21" t="s">
        <v>28</v>
      </c>
      <c r="J12" s="21"/>
      <c r="K12" s="21"/>
      <c r="L12" s="21"/>
      <c r="M12" s="21" t="s">
        <v>2255</v>
      </c>
      <c r="N12" s="30" t="str">
        <f aca="false">G12</f>
        <v>1000x170x170</v>
      </c>
      <c r="O12" s="21" t="s">
        <v>28</v>
      </c>
      <c r="P12" s="74" t="s">
        <v>28</v>
      </c>
      <c r="Q12" s="21" t="s">
        <v>2803</v>
      </c>
      <c r="R12" s="32"/>
      <c r="S12" s="32"/>
      <c r="T12" s="21"/>
      <c r="U12" s="21"/>
      <c r="V12" s="21"/>
      <c r="W12" s="21"/>
      <c r="X12" s="21"/>
      <c r="Y12" s="21" t="s">
        <v>28</v>
      </c>
    </row>
    <row r="13" customFormat="false" ht="15.75" hidden="false" customHeight="false" outlineLevel="0" collapsed="false">
      <c r="A13" s="63" t="n">
        <v>1443348</v>
      </c>
      <c r="B13" s="29" t="n">
        <v>44412</v>
      </c>
      <c r="C13" s="21" t="s">
        <v>4095</v>
      </c>
      <c r="D13" s="21" t="s">
        <v>24</v>
      </c>
      <c r="E13" s="21" t="s">
        <v>3337</v>
      </c>
      <c r="F13" s="21" t="s">
        <v>4074</v>
      </c>
      <c r="G13" s="30"/>
      <c r="H13" s="45" t="str">
        <f aca="false">HYPERLINK("https://photos.app.goo.gl/X21UfGZhaWXZrL168", "Completo")</f>
        <v>Completo</v>
      </c>
      <c r="I13" s="21" t="s">
        <v>28</v>
      </c>
      <c r="J13" s="21"/>
      <c r="K13" s="21"/>
      <c r="L13" s="21"/>
      <c r="M13" s="21" t="s">
        <v>2255</v>
      </c>
      <c r="N13" s="30" t="n">
        <f aca="false">G13</f>
        <v>0</v>
      </c>
      <c r="O13" s="21"/>
      <c r="P13" s="21"/>
      <c r="Q13" s="21"/>
      <c r="R13" s="32"/>
      <c r="S13" s="32"/>
      <c r="T13" s="21"/>
      <c r="U13" s="21"/>
      <c r="V13" s="21"/>
      <c r="W13" s="21"/>
      <c r="X13" s="21"/>
      <c r="Y13" s="21" t="s">
        <v>37</v>
      </c>
    </row>
    <row r="14" customFormat="false" ht="15.75" hidden="false" customHeight="false" outlineLevel="0" collapsed="false">
      <c r="A14" s="61" t="s">
        <v>4242</v>
      </c>
      <c r="B14" s="29" t="n">
        <v>44412</v>
      </c>
      <c r="C14" s="21" t="s">
        <v>4095</v>
      </c>
      <c r="D14" s="21" t="s">
        <v>24</v>
      </c>
      <c r="E14" s="21" t="s">
        <v>3337</v>
      </c>
      <c r="F14" s="21" t="s">
        <v>4074</v>
      </c>
      <c r="G14" s="30"/>
      <c r="H14" s="45" t="str">
        <f aca="false">HYPERLINK("https://photos.app.goo.gl/6Nrsgah5WyiKji6R8", "Completo")</f>
        <v>Completo</v>
      </c>
      <c r="I14" s="21" t="s">
        <v>28</v>
      </c>
      <c r="J14" s="21"/>
      <c r="K14" s="21"/>
      <c r="L14" s="21"/>
      <c r="M14" s="21" t="s">
        <v>2255</v>
      </c>
      <c r="N14" s="30" t="n">
        <f aca="false">G14</f>
        <v>0</v>
      </c>
      <c r="O14" s="21"/>
      <c r="P14" s="21"/>
      <c r="Q14" s="21"/>
      <c r="R14" s="32"/>
      <c r="S14" s="32"/>
      <c r="T14" s="21"/>
      <c r="U14" s="21"/>
      <c r="V14" s="21"/>
      <c r="W14" s="21"/>
      <c r="X14" s="21"/>
      <c r="Y14" s="21" t="s">
        <v>37</v>
      </c>
    </row>
    <row r="15" customFormat="false" ht="15.75" hidden="false" customHeight="false" outlineLevel="0" collapsed="false">
      <c r="A15" s="61" t="s">
        <v>4243</v>
      </c>
      <c r="B15" s="29" t="n">
        <v>44412</v>
      </c>
      <c r="C15" s="21" t="s">
        <v>4095</v>
      </c>
      <c r="D15" s="21" t="s">
        <v>24</v>
      </c>
      <c r="E15" s="21" t="s">
        <v>3337</v>
      </c>
      <c r="F15" s="21" t="s">
        <v>4074</v>
      </c>
      <c r="G15" s="30"/>
      <c r="H15" s="45" t="str">
        <f aca="false">HYPERLINK("https://photos.app.goo.gl/LbvracVL9YwqiXmK8", "Completo")</f>
        <v>Completo</v>
      </c>
      <c r="I15" s="21" t="s">
        <v>28</v>
      </c>
      <c r="J15" s="21"/>
      <c r="K15" s="21"/>
      <c r="L15" s="21"/>
      <c r="M15" s="21" t="s">
        <v>2255</v>
      </c>
      <c r="N15" s="30" t="n">
        <f aca="false">G15</f>
        <v>0</v>
      </c>
      <c r="O15" s="21"/>
      <c r="P15" s="21"/>
      <c r="Q15" s="21"/>
      <c r="R15" s="32"/>
      <c r="S15" s="32"/>
      <c r="T15" s="21"/>
      <c r="U15" s="21"/>
      <c r="V15" s="21"/>
      <c r="W15" s="21"/>
      <c r="X15" s="21"/>
      <c r="Y15" s="21" t="s">
        <v>37</v>
      </c>
    </row>
    <row r="16" customFormat="false" ht="15.75" hidden="false" customHeight="false" outlineLevel="0" collapsed="false">
      <c r="A16" s="61" t="s">
        <v>4244</v>
      </c>
      <c r="B16" s="29" t="n">
        <v>44412</v>
      </c>
      <c r="C16" s="21" t="s">
        <v>4095</v>
      </c>
      <c r="D16" s="21" t="s">
        <v>24</v>
      </c>
      <c r="E16" s="21" t="s">
        <v>3337</v>
      </c>
      <c r="F16" s="21" t="s">
        <v>4074</v>
      </c>
      <c r="G16" s="30"/>
      <c r="H16" s="45" t="str">
        <f aca="false">HYPERLINK("https://photos.app.goo.gl/JFudFLzLPGnSYciN8", "Completo")</f>
        <v>Completo</v>
      </c>
      <c r="I16" s="21" t="s">
        <v>28</v>
      </c>
      <c r="J16" s="21"/>
      <c r="K16" s="21"/>
      <c r="L16" s="21"/>
      <c r="M16" s="21" t="s">
        <v>2255</v>
      </c>
      <c r="N16" s="30" t="n">
        <f aca="false">G16</f>
        <v>0</v>
      </c>
      <c r="O16" s="21"/>
      <c r="P16" s="21"/>
      <c r="Q16" s="21"/>
      <c r="R16" s="32"/>
      <c r="S16" s="32"/>
      <c r="T16" s="21"/>
      <c r="U16" s="21"/>
      <c r="V16" s="21"/>
      <c r="W16" s="21"/>
      <c r="X16" s="21"/>
      <c r="Y16" s="21" t="s">
        <v>37</v>
      </c>
    </row>
    <row r="17" customFormat="false" ht="15.75" hidden="false" customHeight="false" outlineLevel="0" collapsed="false">
      <c r="A17" s="61" t="s">
        <v>4245</v>
      </c>
      <c r="B17" s="29" t="n">
        <v>44412</v>
      </c>
      <c r="C17" s="21" t="s">
        <v>4095</v>
      </c>
      <c r="D17" s="21" t="s">
        <v>24</v>
      </c>
      <c r="E17" s="21" t="s">
        <v>3337</v>
      </c>
      <c r="F17" s="21" t="s">
        <v>4246</v>
      </c>
      <c r="G17" s="30"/>
      <c r="H17" s="45" t="str">
        <f aca="false">HYPERLINK("https://photos.app.goo.gl/j2vkG1Aq8NfQf74v7", "Completo")</f>
        <v>Completo</v>
      </c>
      <c r="I17" s="21" t="s">
        <v>28</v>
      </c>
      <c r="J17" s="21"/>
      <c r="K17" s="21"/>
      <c r="L17" s="21"/>
      <c r="M17" s="21" t="s">
        <v>2255</v>
      </c>
      <c r="N17" s="30" t="n">
        <f aca="false">G17</f>
        <v>0</v>
      </c>
      <c r="O17" s="21"/>
      <c r="P17" s="21"/>
      <c r="Q17" s="21"/>
      <c r="R17" s="32"/>
      <c r="S17" s="32"/>
      <c r="T17" s="21"/>
      <c r="U17" s="21"/>
      <c r="V17" s="21"/>
      <c r="W17" s="21"/>
      <c r="X17" s="21"/>
      <c r="Y17" s="21" t="s">
        <v>37</v>
      </c>
    </row>
    <row r="18" customFormat="false" ht="15.75" hidden="false" customHeight="false" outlineLevel="0" collapsed="false">
      <c r="A18" s="61" t="s">
        <v>4247</v>
      </c>
      <c r="B18" s="29" t="n">
        <v>44412</v>
      </c>
      <c r="C18" s="21" t="s">
        <v>4095</v>
      </c>
      <c r="D18" s="21" t="s">
        <v>24</v>
      </c>
      <c r="E18" s="21" t="s">
        <v>3337</v>
      </c>
      <c r="F18" s="21" t="s">
        <v>4248</v>
      </c>
      <c r="G18" s="30"/>
      <c r="H18" s="45" t="str">
        <f aca="false">HYPERLINK("https://photos.app.goo.gl/YsvvbvC9QyTeVs4q6", "Completo")</f>
        <v>Completo</v>
      </c>
      <c r="I18" s="21" t="s">
        <v>28</v>
      </c>
      <c r="J18" s="21"/>
      <c r="K18" s="21"/>
      <c r="L18" s="21"/>
      <c r="M18" s="21" t="s">
        <v>2255</v>
      </c>
      <c r="N18" s="30" t="n">
        <f aca="false">G18</f>
        <v>0</v>
      </c>
      <c r="O18" s="21"/>
      <c r="P18" s="21"/>
      <c r="Q18" s="21"/>
      <c r="R18" s="32"/>
      <c r="S18" s="32"/>
      <c r="T18" s="21"/>
      <c r="U18" s="21"/>
      <c r="V18" s="21"/>
      <c r="W18" s="21"/>
      <c r="X18" s="21"/>
      <c r="Y18" s="21" t="s">
        <v>37</v>
      </c>
    </row>
    <row r="19" customFormat="false" ht="15.75" hidden="false" customHeight="false" outlineLevel="0" collapsed="false">
      <c r="A19" s="61" t="s">
        <v>4249</v>
      </c>
      <c r="B19" s="29" t="n">
        <v>44412</v>
      </c>
      <c r="C19" s="21" t="s">
        <v>4095</v>
      </c>
      <c r="D19" s="21" t="s">
        <v>24</v>
      </c>
      <c r="E19" s="21" t="s">
        <v>3337</v>
      </c>
      <c r="F19" s="21" t="s">
        <v>4250</v>
      </c>
      <c r="G19" s="30"/>
      <c r="H19" s="45" t="str">
        <f aca="false">HYPERLINK("https://photos.app.goo.gl/pBjtQkVyjeLPPJmr5", "Completo")</f>
        <v>Completo</v>
      </c>
      <c r="I19" s="21" t="s">
        <v>28</v>
      </c>
      <c r="J19" s="21"/>
      <c r="K19" s="21"/>
      <c r="L19" s="21"/>
      <c r="M19" s="21" t="s">
        <v>2255</v>
      </c>
      <c r="N19" s="30" t="n">
        <f aca="false">G19</f>
        <v>0</v>
      </c>
      <c r="O19" s="21"/>
      <c r="P19" s="21"/>
      <c r="Q19" s="21"/>
      <c r="R19" s="32"/>
      <c r="S19" s="32"/>
      <c r="T19" s="21"/>
      <c r="U19" s="21"/>
      <c r="V19" s="21"/>
      <c r="W19" s="21"/>
      <c r="X19" s="21"/>
      <c r="Y19" s="21" t="s">
        <v>37</v>
      </c>
    </row>
    <row r="20" customFormat="false" ht="15.75" hidden="false" customHeight="false" outlineLevel="0" collapsed="false">
      <c r="A20" s="61" t="s">
        <v>4251</v>
      </c>
      <c r="B20" s="29" t="n">
        <v>44412</v>
      </c>
      <c r="C20" s="21" t="s">
        <v>4095</v>
      </c>
      <c r="D20" s="21" t="s">
        <v>24</v>
      </c>
      <c r="E20" s="21" t="s">
        <v>3337</v>
      </c>
      <c r="F20" s="21" t="s">
        <v>4250</v>
      </c>
      <c r="G20" s="30"/>
      <c r="H20" s="31" t="s">
        <v>28</v>
      </c>
      <c r="I20" s="21" t="s">
        <v>28</v>
      </c>
      <c r="J20" s="21"/>
      <c r="K20" s="21"/>
      <c r="L20" s="21"/>
      <c r="M20" s="21" t="s">
        <v>2255</v>
      </c>
      <c r="N20" s="30" t="n">
        <f aca="false">G20</f>
        <v>0</v>
      </c>
      <c r="O20" s="21"/>
      <c r="P20" s="21"/>
      <c r="Q20" s="21"/>
      <c r="R20" s="32"/>
      <c r="S20" s="32"/>
      <c r="T20" s="21"/>
      <c r="U20" s="21"/>
      <c r="V20" s="21"/>
      <c r="W20" s="21"/>
      <c r="X20" s="21"/>
      <c r="Y20" s="21" t="s">
        <v>37</v>
      </c>
    </row>
    <row r="21" customFormat="false" ht="15.75" hidden="false" customHeight="false" outlineLevel="0" collapsed="false">
      <c r="A21" s="61" t="s">
        <v>4252</v>
      </c>
      <c r="B21" s="29" t="n">
        <v>44412</v>
      </c>
      <c r="C21" s="21" t="s">
        <v>4095</v>
      </c>
      <c r="D21" s="21" t="s">
        <v>24</v>
      </c>
      <c r="E21" s="21" t="s">
        <v>3337</v>
      </c>
      <c r="F21" s="21" t="s">
        <v>4250</v>
      </c>
      <c r="G21" s="30"/>
      <c r="H21" s="45" t="str">
        <f aca="false">HYPERLINK("https://photos.app.goo.gl/CscKoKDMFMEkhf2h8", "Completo")</f>
        <v>Completo</v>
      </c>
      <c r="I21" s="21" t="s">
        <v>28</v>
      </c>
      <c r="J21" s="21"/>
      <c r="K21" s="21"/>
      <c r="L21" s="21"/>
      <c r="M21" s="21" t="s">
        <v>2255</v>
      </c>
      <c r="N21" s="30" t="n">
        <f aca="false">G21</f>
        <v>0</v>
      </c>
      <c r="O21" s="21"/>
      <c r="P21" s="21"/>
      <c r="Q21" s="21"/>
      <c r="R21" s="32"/>
      <c r="S21" s="32"/>
      <c r="T21" s="21"/>
      <c r="U21" s="21"/>
      <c r="V21" s="21"/>
      <c r="W21" s="21"/>
      <c r="X21" s="21"/>
      <c r="Y21" s="21" t="s">
        <v>37</v>
      </c>
    </row>
    <row r="22" customFormat="false" ht="15.75" hidden="false" customHeight="false" outlineLevel="0" collapsed="false">
      <c r="A22" s="61" t="s">
        <v>4253</v>
      </c>
      <c r="B22" s="29" t="n">
        <v>44412</v>
      </c>
      <c r="C22" s="21" t="s">
        <v>4095</v>
      </c>
      <c r="D22" s="21" t="s">
        <v>24</v>
      </c>
      <c r="E22" s="21" t="s">
        <v>3337</v>
      </c>
      <c r="F22" s="21" t="s">
        <v>4250</v>
      </c>
      <c r="G22" s="30"/>
      <c r="H22" s="45" t="str">
        <f aca="false">HYPERLINK("https://photos.app.goo.gl/W4pm7GshS5bbGvBS6", "Completo")</f>
        <v>Completo</v>
      </c>
      <c r="I22" s="21" t="s">
        <v>28</v>
      </c>
      <c r="J22" s="21"/>
      <c r="K22" s="21"/>
      <c r="L22" s="21"/>
      <c r="M22" s="21" t="s">
        <v>2255</v>
      </c>
      <c r="N22" s="30" t="n">
        <f aca="false">G22</f>
        <v>0</v>
      </c>
      <c r="O22" s="21"/>
      <c r="P22" s="21"/>
      <c r="Q22" s="21"/>
      <c r="R22" s="32"/>
      <c r="S22" s="32"/>
      <c r="T22" s="21"/>
      <c r="U22" s="21"/>
      <c r="V22" s="21"/>
      <c r="W22" s="21"/>
      <c r="X22" s="21"/>
      <c r="Y22" s="21" t="s">
        <v>37</v>
      </c>
    </row>
    <row r="23" customFormat="false" ht="15.75" hidden="false" customHeight="false" outlineLevel="0" collapsed="false">
      <c r="A23" s="61" t="n">
        <v>5852</v>
      </c>
      <c r="B23" s="29" t="n">
        <v>44412</v>
      </c>
      <c r="C23" s="21" t="s">
        <v>4230</v>
      </c>
      <c r="D23" s="21" t="s">
        <v>24</v>
      </c>
      <c r="E23" s="21" t="s">
        <v>3337</v>
      </c>
      <c r="F23" s="21" t="s">
        <v>4254</v>
      </c>
      <c r="G23" s="30" t="s">
        <v>4255</v>
      </c>
      <c r="H23" s="45" t="str">
        <f aca="false">HYPERLINK("https://photos.app.goo.gl/PyTAcBrgqJmijr1h6", "Completo")</f>
        <v>Completo</v>
      </c>
      <c r="I23" s="21" t="s">
        <v>28</v>
      </c>
      <c r="J23" s="21"/>
      <c r="K23" s="21"/>
      <c r="L23" s="21"/>
      <c r="M23" s="21" t="s">
        <v>2255</v>
      </c>
      <c r="N23" s="30" t="str">
        <f aca="false">G23</f>
        <v>1900x400x400</v>
      </c>
      <c r="O23" s="21" t="s">
        <v>28</v>
      </c>
      <c r="P23" s="21"/>
      <c r="Q23" s="21" t="s">
        <v>3855</v>
      </c>
      <c r="R23" s="32" t="s">
        <v>4256</v>
      </c>
      <c r="S23" s="32"/>
      <c r="T23" s="21" t="s">
        <v>74</v>
      </c>
      <c r="U23" s="74" t="s">
        <v>28</v>
      </c>
      <c r="V23" s="21"/>
      <c r="W23" s="74" t="s">
        <v>28</v>
      </c>
      <c r="X23" s="21" t="s">
        <v>36</v>
      </c>
      <c r="Y23" s="21" t="s">
        <v>28</v>
      </c>
    </row>
    <row r="24" customFormat="false" ht="15.75" hidden="false" customHeight="false" outlineLevel="0" collapsed="false">
      <c r="A24" s="61" t="n">
        <v>5853</v>
      </c>
      <c r="B24" s="29" t="n">
        <v>44412</v>
      </c>
      <c r="C24" s="21" t="s">
        <v>4230</v>
      </c>
      <c r="D24" s="21" t="s">
        <v>24</v>
      </c>
      <c r="E24" s="21" t="s">
        <v>3337</v>
      </c>
      <c r="F24" s="21" t="s">
        <v>4257</v>
      </c>
      <c r="G24" s="30" t="s">
        <v>4255</v>
      </c>
      <c r="H24" s="45" t="str">
        <f aca="false">HYPERLINK("https://photos.app.goo.gl/12TgyJZLD5sw7pfv9", "Completo")</f>
        <v>Completo</v>
      </c>
      <c r="I24" s="21" t="s">
        <v>28</v>
      </c>
      <c r="J24" s="21"/>
      <c r="K24" s="21"/>
      <c r="L24" s="21"/>
      <c r="M24" s="21" t="s">
        <v>2255</v>
      </c>
      <c r="N24" s="30" t="str">
        <f aca="false">G24</f>
        <v>1900x400x400</v>
      </c>
      <c r="O24" s="21"/>
      <c r="P24" s="21"/>
      <c r="Q24" s="21"/>
      <c r="R24" s="32"/>
      <c r="S24" s="32"/>
      <c r="T24" s="21" t="s">
        <v>74</v>
      </c>
      <c r="U24" s="74" t="s">
        <v>28</v>
      </c>
      <c r="V24" s="21"/>
      <c r="W24" s="74" t="s">
        <v>28</v>
      </c>
      <c r="X24" s="21" t="s">
        <v>36</v>
      </c>
      <c r="Y24" s="21" t="s">
        <v>28</v>
      </c>
    </row>
    <row r="25" customFormat="false" ht="15.75" hidden="false" customHeight="false" outlineLevel="0" collapsed="false">
      <c r="A25" s="63" t="n">
        <v>1073085</v>
      </c>
      <c r="B25" s="29" t="n">
        <v>44412</v>
      </c>
      <c r="C25" s="21" t="s">
        <v>4258</v>
      </c>
      <c r="D25" s="21" t="s">
        <v>290</v>
      </c>
      <c r="E25" s="21" t="s">
        <v>3337</v>
      </c>
      <c r="F25" s="21" t="s">
        <v>4259</v>
      </c>
      <c r="G25" s="30" t="s">
        <v>4260</v>
      </c>
      <c r="H25" s="45" t="str">
        <f aca="false">HYPERLINK("https://photos.app.goo.gl/sF4SxSMtTP44bAwT6", "Completo")</f>
        <v>Completo</v>
      </c>
      <c r="I25" s="21" t="s">
        <v>28</v>
      </c>
      <c r="J25" s="21"/>
      <c r="K25" s="21"/>
      <c r="L25" s="21"/>
      <c r="M25" s="21" t="s">
        <v>2255</v>
      </c>
      <c r="N25" s="30" t="str">
        <f aca="false">G25</f>
        <v>250x450</v>
      </c>
      <c r="O25" s="21"/>
      <c r="P25" s="21"/>
      <c r="Q25" s="21"/>
      <c r="R25" s="32"/>
      <c r="S25" s="32"/>
      <c r="T25" s="21"/>
      <c r="U25" s="21"/>
      <c r="V25" s="21"/>
      <c r="W25" s="21"/>
      <c r="X25" s="21"/>
      <c r="Y25" s="21" t="s">
        <v>37</v>
      </c>
    </row>
    <row r="26" customFormat="false" ht="15.75" hidden="false" customHeight="false" outlineLevel="0" collapsed="false">
      <c r="A26" s="61" t="n">
        <v>5854</v>
      </c>
      <c r="B26" s="29" t="n">
        <v>44412</v>
      </c>
      <c r="C26" s="21" t="s">
        <v>4258</v>
      </c>
      <c r="D26" s="21" t="s">
        <v>24</v>
      </c>
      <c r="E26" s="21" t="s">
        <v>3337</v>
      </c>
      <c r="F26" s="21" t="s">
        <v>4259</v>
      </c>
      <c r="G26" s="30" t="s">
        <v>4260</v>
      </c>
      <c r="H26" s="45" t="str">
        <f aca="false">HYPERLINK("https://photos.app.goo.gl/KWMJUzgPMsRiiKLL7", "Completo")</f>
        <v>Completo</v>
      </c>
      <c r="I26" s="21" t="s">
        <v>28</v>
      </c>
      <c r="J26" s="21"/>
      <c r="K26" s="21"/>
      <c r="L26" s="21"/>
      <c r="M26" s="21" t="s">
        <v>2255</v>
      </c>
      <c r="N26" s="30" t="str">
        <f aca="false">G26</f>
        <v>250x450</v>
      </c>
      <c r="O26" s="21"/>
      <c r="P26" s="21"/>
      <c r="Q26" s="21"/>
      <c r="R26" s="32"/>
      <c r="S26" s="32"/>
      <c r="T26" s="21"/>
      <c r="U26" s="21"/>
      <c r="V26" s="21"/>
      <c r="W26" s="21"/>
      <c r="X26" s="21"/>
      <c r="Y26" s="21" t="s">
        <v>37</v>
      </c>
    </row>
    <row r="27" customFormat="false" ht="15.75" hidden="false" customHeight="false" outlineLevel="0" collapsed="false">
      <c r="A27" s="61" t="n">
        <v>5855</v>
      </c>
      <c r="B27" s="29" t="n">
        <v>44414</v>
      </c>
      <c r="C27" s="21" t="s">
        <v>4261</v>
      </c>
      <c r="D27" s="21" t="s">
        <v>24</v>
      </c>
      <c r="E27" s="21" t="s">
        <v>3337</v>
      </c>
      <c r="F27" s="21" t="s">
        <v>4262</v>
      </c>
      <c r="G27" s="30" t="s">
        <v>4263</v>
      </c>
      <c r="H27" s="45" t="str">
        <f aca="false">HYPERLINK("https://photos.app.goo.gl/a1HQEq9Qk8huT4Ns6", "Completo")</f>
        <v>Completo</v>
      </c>
      <c r="I27" s="21" t="s">
        <v>28</v>
      </c>
      <c r="J27" s="21"/>
      <c r="K27" s="21"/>
      <c r="L27" s="21"/>
      <c r="M27" s="21" t="s">
        <v>2255</v>
      </c>
      <c r="N27" s="30" t="str">
        <f aca="false">G27</f>
        <v>900x160x160</v>
      </c>
      <c r="O27" s="21" t="s">
        <v>28</v>
      </c>
      <c r="P27" s="21" t="s">
        <v>28</v>
      </c>
      <c r="Q27" s="21" t="s">
        <v>3955</v>
      </c>
      <c r="R27" s="32" t="s">
        <v>2850</v>
      </c>
      <c r="S27" s="32"/>
      <c r="T27" s="21"/>
      <c r="U27" s="21"/>
      <c r="V27" s="21"/>
      <c r="W27" s="21"/>
      <c r="X27" s="21"/>
      <c r="Y27" s="21" t="s">
        <v>28</v>
      </c>
    </row>
    <row r="28" customFormat="false" ht="15.75" hidden="false" customHeight="false" outlineLevel="0" collapsed="false">
      <c r="A28" s="61" t="n">
        <v>5856</v>
      </c>
      <c r="B28" s="29" t="n">
        <v>44414</v>
      </c>
      <c r="C28" s="21" t="s">
        <v>4230</v>
      </c>
      <c r="D28" s="21" t="s">
        <v>24</v>
      </c>
      <c r="E28" s="21" t="s">
        <v>34</v>
      </c>
      <c r="F28" s="21" t="s">
        <v>4264</v>
      </c>
      <c r="G28" s="30"/>
      <c r="H28" s="31" t="s">
        <v>37</v>
      </c>
      <c r="I28" s="21" t="s">
        <v>37</v>
      </c>
      <c r="J28" s="21"/>
      <c r="K28" s="21"/>
      <c r="L28" s="21"/>
      <c r="M28" s="21"/>
      <c r="N28" s="30" t="n">
        <f aca="false">G28</f>
        <v>0</v>
      </c>
      <c r="O28" s="21"/>
      <c r="P28" s="21"/>
      <c r="Q28" s="21"/>
      <c r="R28" s="32"/>
      <c r="S28" s="32"/>
      <c r="T28" s="21"/>
      <c r="U28" s="21"/>
      <c r="V28" s="21"/>
      <c r="W28" s="21"/>
      <c r="X28" s="21"/>
      <c r="Y28" s="21" t="s">
        <v>28</v>
      </c>
    </row>
    <row r="29" customFormat="false" ht="15.75" hidden="false" customHeight="false" outlineLevel="0" collapsed="false">
      <c r="A29" s="63" t="n">
        <v>481027</v>
      </c>
      <c r="B29" s="29" t="n">
        <v>44417</v>
      </c>
      <c r="C29" s="21" t="s">
        <v>4265</v>
      </c>
      <c r="D29" s="21" t="s">
        <v>290</v>
      </c>
      <c r="E29" s="21" t="s">
        <v>3337</v>
      </c>
      <c r="F29" s="21" t="s">
        <v>3946</v>
      </c>
      <c r="G29" s="30" t="s">
        <v>4266</v>
      </c>
      <c r="H29" s="45" t="str">
        <f aca="false">HYPERLINK("https://photos.app.goo.gl/ueAqYManW5j4MyKf9", "Completo")</f>
        <v>Completo</v>
      </c>
      <c r="I29" s="21" t="s">
        <v>28</v>
      </c>
      <c r="J29" s="21"/>
      <c r="K29" s="21"/>
      <c r="L29" s="21"/>
      <c r="M29" s="21" t="s">
        <v>2255</v>
      </c>
      <c r="N29" s="30" t="str">
        <f aca="false">G29</f>
        <v>245x310x310</v>
      </c>
      <c r="O29" s="21"/>
      <c r="P29" s="21"/>
      <c r="Q29" s="21"/>
      <c r="R29" s="32"/>
      <c r="S29" s="32"/>
      <c r="T29" s="21"/>
      <c r="U29" s="21"/>
      <c r="V29" s="21"/>
      <c r="W29" s="21"/>
      <c r="X29" s="21"/>
      <c r="Y29" s="21" t="s">
        <v>28</v>
      </c>
    </row>
    <row r="30" customFormat="false" ht="15.75" hidden="false" customHeight="false" outlineLevel="0" collapsed="false">
      <c r="A30" s="63" t="n">
        <v>480661</v>
      </c>
      <c r="B30" s="29" t="n">
        <v>44417</v>
      </c>
      <c r="C30" s="21" t="s">
        <v>4265</v>
      </c>
      <c r="D30" s="21" t="s">
        <v>290</v>
      </c>
      <c r="E30" s="21" t="s">
        <v>3337</v>
      </c>
      <c r="F30" s="21" t="s">
        <v>3946</v>
      </c>
      <c r="G30" s="30" t="s">
        <v>4266</v>
      </c>
      <c r="H30" s="45" t="str">
        <f aca="false">HYPERLINK("https://photos.app.goo.gl/kr8QdbySGWrn2Ucj6", "Completo")</f>
        <v>Completo</v>
      </c>
      <c r="I30" s="21" t="s">
        <v>28</v>
      </c>
      <c r="J30" s="21"/>
      <c r="K30" s="21"/>
      <c r="L30" s="21"/>
      <c r="M30" s="21" t="s">
        <v>2255</v>
      </c>
      <c r="N30" s="30" t="str">
        <f aca="false">G30</f>
        <v>245x310x310</v>
      </c>
      <c r="O30" s="21"/>
      <c r="P30" s="21"/>
      <c r="Q30" s="21"/>
      <c r="R30" s="32"/>
      <c r="S30" s="32"/>
      <c r="T30" s="21"/>
      <c r="U30" s="21"/>
      <c r="V30" s="21"/>
      <c r="W30" s="21"/>
      <c r="X30" s="21"/>
      <c r="Y30" s="21" t="s">
        <v>28</v>
      </c>
    </row>
    <row r="31" customFormat="false" ht="15.75" hidden="false" customHeight="false" outlineLevel="0" collapsed="false">
      <c r="A31" s="61" t="s">
        <v>4267</v>
      </c>
      <c r="B31" s="29" t="n">
        <v>44417</v>
      </c>
      <c r="C31" s="21" t="s">
        <v>2309</v>
      </c>
      <c r="D31" s="21" t="s">
        <v>290</v>
      </c>
      <c r="E31" s="21" t="s">
        <v>3337</v>
      </c>
      <c r="F31" s="21" t="s">
        <v>4268</v>
      </c>
      <c r="G31" s="30" t="s">
        <v>4269</v>
      </c>
      <c r="H31" s="45" t="str">
        <f aca="false">HYPERLINK("https://photos.app.goo.gl/Zd1edKDeVbmd3HoS6", "Completo")</f>
        <v>Completo</v>
      </c>
      <c r="I31" s="21" t="s">
        <v>28</v>
      </c>
      <c r="J31" s="21"/>
      <c r="K31" s="21"/>
      <c r="L31" s="21"/>
      <c r="M31" s="21" t="s">
        <v>2255</v>
      </c>
      <c r="N31" s="30" t="str">
        <f aca="false">G31</f>
        <v>250x250x200</v>
      </c>
      <c r="O31" s="21"/>
      <c r="P31" s="21"/>
      <c r="Q31" s="21"/>
      <c r="R31" s="32"/>
      <c r="S31" s="32"/>
      <c r="T31" s="21"/>
      <c r="U31" s="21"/>
      <c r="V31" s="21"/>
      <c r="W31" s="21"/>
      <c r="X31" s="21"/>
      <c r="Y31" s="21" t="s">
        <v>37</v>
      </c>
    </row>
    <row r="32" customFormat="false" ht="15.75" hidden="false" customHeight="false" outlineLevel="0" collapsed="false">
      <c r="A32" s="61" t="s">
        <v>4270</v>
      </c>
      <c r="B32" s="29" t="n">
        <v>44417</v>
      </c>
      <c r="C32" s="21" t="s">
        <v>2309</v>
      </c>
      <c r="D32" s="21" t="s">
        <v>290</v>
      </c>
      <c r="E32" s="21" t="s">
        <v>3337</v>
      </c>
      <c r="F32" s="21" t="s">
        <v>4268</v>
      </c>
      <c r="G32" s="30" t="s">
        <v>4269</v>
      </c>
      <c r="H32" s="45" t="str">
        <f aca="false">HYPERLINK("https://photos.app.goo.gl/o989GCY1guMB9aEr9", "Completo")</f>
        <v>Completo</v>
      </c>
      <c r="I32" s="21" t="s">
        <v>28</v>
      </c>
      <c r="J32" s="21"/>
      <c r="K32" s="21"/>
      <c r="L32" s="21"/>
      <c r="M32" s="21" t="s">
        <v>2255</v>
      </c>
      <c r="N32" s="30" t="str">
        <f aca="false">G32</f>
        <v>250x250x200</v>
      </c>
      <c r="O32" s="21"/>
      <c r="P32" s="21"/>
      <c r="Q32" s="21"/>
      <c r="R32" s="32"/>
      <c r="S32" s="32"/>
      <c r="T32" s="21"/>
      <c r="U32" s="21"/>
      <c r="V32" s="21"/>
      <c r="W32" s="21"/>
      <c r="X32" s="21"/>
      <c r="Y32" s="21" t="s">
        <v>37</v>
      </c>
    </row>
    <row r="33" customFormat="false" ht="15.75" hidden="false" customHeight="false" outlineLevel="0" collapsed="false">
      <c r="A33" s="61" t="n">
        <v>5857</v>
      </c>
      <c r="B33" s="29" t="n">
        <v>44417</v>
      </c>
      <c r="C33" s="21" t="s">
        <v>4271</v>
      </c>
      <c r="D33" s="21" t="s">
        <v>24</v>
      </c>
      <c r="E33" s="21" t="s">
        <v>3337</v>
      </c>
      <c r="F33" s="21" t="s">
        <v>4272</v>
      </c>
      <c r="G33" s="30" t="s">
        <v>4273</v>
      </c>
      <c r="H33" s="45" t="str">
        <f aca="false">HYPERLINK("https://photos.app.goo.gl/rfqDswjBN8Kak1vC9", "Completo")</f>
        <v>Completo</v>
      </c>
      <c r="I33" s="21" t="s">
        <v>28</v>
      </c>
      <c r="J33" s="21"/>
      <c r="K33" s="21"/>
      <c r="L33" s="21"/>
      <c r="M33" s="21" t="s">
        <v>2255</v>
      </c>
      <c r="N33" s="30" t="str">
        <f aca="false">G33</f>
        <v>550x410x250</v>
      </c>
      <c r="O33" s="21"/>
      <c r="P33" s="21"/>
      <c r="Q33" s="21"/>
      <c r="R33" s="32"/>
      <c r="S33" s="32"/>
      <c r="T33" s="21"/>
      <c r="U33" s="21"/>
      <c r="V33" s="21"/>
      <c r="W33" s="21"/>
      <c r="X33" s="21"/>
      <c r="Y33" s="21" t="s">
        <v>28</v>
      </c>
    </row>
    <row r="34" customFormat="false" ht="15.75" hidden="false" customHeight="false" outlineLevel="0" collapsed="false">
      <c r="A34" s="61" t="n">
        <v>5858</v>
      </c>
      <c r="B34" s="29" t="n">
        <v>44418</v>
      </c>
      <c r="C34" s="21" t="s">
        <v>4274</v>
      </c>
      <c r="D34" s="21" t="s">
        <v>24</v>
      </c>
      <c r="E34" s="21" t="s">
        <v>34</v>
      </c>
      <c r="F34" s="21" t="s">
        <v>4275</v>
      </c>
      <c r="G34" s="30"/>
      <c r="H34" s="31" t="s">
        <v>37</v>
      </c>
      <c r="I34" s="21" t="s">
        <v>37</v>
      </c>
      <c r="J34" s="21"/>
      <c r="K34" s="21"/>
      <c r="L34" s="21"/>
      <c r="M34" s="21"/>
      <c r="N34" s="30" t="n">
        <f aca="false">G34</f>
        <v>0</v>
      </c>
      <c r="O34" s="21"/>
      <c r="P34" s="21"/>
      <c r="Q34" s="21"/>
      <c r="R34" s="32"/>
      <c r="S34" s="32"/>
      <c r="T34" s="21"/>
      <c r="U34" s="21"/>
      <c r="V34" s="21"/>
      <c r="W34" s="21"/>
      <c r="X34" s="21"/>
      <c r="Y34" s="21" t="s">
        <v>28</v>
      </c>
    </row>
    <row r="35" customFormat="false" ht="15.75" hidden="false" customHeight="false" outlineLevel="0" collapsed="false">
      <c r="A35" s="61" t="n">
        <v>5859</v>
      </c>
      <c r="B35" s="29" t="n">
        <v>44418</v>
      </c>
      <c r="C35" s="21" t="s">
        <v>4276</v>
      </c>
      <c r="D35" s="21" t="s">
        <v>24</v>
      </c>
      <c r="E35" s="21" t="s">
        <v>3337</v>
      </c>
      <c r="F35" s="21" t="s">
        <v>4277</v>
      </c>
      <c r="G35" s="30" t="s">
        <v>4278</v>
      </c>
      <c r="H35" s="45" t="str">
        <f aca="false">HYPERLINK("https://photos.app.goo.gl/2PrNkW1v9AHkTJWm7", "Completo")</f>
        <v>Completo</v>
      </c>
      <c r="I35" s="21" t="s">
        <v>28</v>
      </c>
      <c r="J35" s="21" t="n">
        <v>3513825058</v>
      </c>
      <c r="K35" s="21"/>
      <c r="L35" s="21"/>
      <c r="M35" s="21" t="s">
        <v>2255</v>
      </c>
      <c r="N35" s="30" t="str">
        <f aca="false">G35</f>
        <v>vino desarmedo</v>
      </c>
      <c r="O35" s="21"/>
      <c r="P35" s="21"/>
      <c r="Q35" s="21"/>
      <c r="R35" s="32"/>
      <c r="S35" s="32"/>
      <c r="T35" s="21"/>
      <c r="U35" s="21"/>
      <c r="V35" s="21"/>
      <c r="W35" s="21"/>
      <c r="X35" s="21"/>
      <c r="Y35" s="21" t="s">
        <v>28</v>
      </c>
    </row>
    <row r="36" customFormat="false" ht="15.75" hidden="false" customHeight="false" outlineLevel="0" collapsed="false">
      <c r="A36" s="61" t="n">
        <v>5860</v>
      </c>
      <c r="B36" s="29" t="n">
        <v>44418</v>
      </c>
      <c r="C36" s="21" t="s">
        <v>980</v>
      </c>
      <c r="D36" s="21" t="s">
        <v>24</v>
      </c>
      <c r="E36" s="21" t="s">
        <v>34</v>
      </c>
      <c r="F36" s="21" t="s">
        <v>4279</v>
      </c>
      <c r="G36" s="30"/>
      <c r="H36" s="31"/>
      <c r="I36" s="21"/>
      <c r="J36" s="21"/>
      <c r="K36" s="21"/>
      <c r="L36" s="21"/>
      <c r="M36" s="21" t="s">
        <v>2255</v>
      </c>
      <c r="N36" s="30" t="n">
        <f aca="false">G36</f>
        <v>0</v>
      </c>
      <c r="O36" s="21"/>
      <c r="P36" s="21"/>
      <c r="Q36" s="21"/>
      <c r="R36" s="32"/>
      <c r="S36" s="32"/>
      <c r="T36" s="21"/>
      <c r="U36" s="21"/>
      <c r="V36" s="21"/>
      <c r="W36" s="21"/>
      <c r="X36" s="21"/>
      <c r="Y36" s="21" t="s">
        <v>28</v>
      </c>
    </row>
    <row r="37" customFormat="false" ht="15.75" hidden="false" customHeight="false" outlineLevel="0" collapsed="false">
      <c r="A37" s="61" t="n">
        <v>5861</v>
      </c>
      <c r="B37" s="29" t="n">
        <v>44418</v>
      </c>
      <c r="C37" s="21" t="s">
        <v>4280</v>
      </c>
      <c r="D37" s="21" t="s">
        <v>24</v>
      </c>
      <c r="E37" s="21" t="s">
        <v>3337</v>
      </c>
      <c r="F37" s="21" t="s">
        <v>4281</v>
      </c>
      <c r="G37" s="30"/>
      <c r="H37" s="45" t="str">
        <f aca="false">HYPERLINK("https://photos.app.goo.gl/FgtqDJBpjDiVSfKB7", "Completo")</f>
        <v>Completo</v>
      </c>
      <c r="I37" s="21" t="s">
        <v>28</v>
      </c>
      <c r="J37" s="21"/>
      <c r="K37" s="21"/>
      <c r="L37" s="21"/>
      <c r="M37" s="21" t="s">
        <v>2255</v>
      </c>
      <c r="N37" s="30" t="n">
        <f aca="false">G37</f>
        <v>0</v>
      </c>
      <c r="O37" s="21"/>
      <c r="P37" s="21"/>
      <c r="Q37" s="21"/>
      <c r="R37" s="32"/>
      <c r="S37" s="32"/>
      <c r="T37" s="21"/>
      <c r="U37" s="21"/>
      <c r="V37" s="21"/>
      <c r="W37" s="21"/>
      <c r="X37" s="21"/>
      <c r="Y37" s="21" t="s">
        <v>28</v>
      </c>
    </row>
    <row r="38" customFormat="false" ht="15.75" hidden="false" customHeight="false" outlineLevel="0" collapsed="false">
      <c r="A38" s="61" t="n">
        <v>5862</v>
      </c>
      <c r="B38" s="29" t="n">
        <v>44418</v>
      </c>
      <c r="C38" s="21" t="s">
        <v>2748</v>
      </c>
      <c r="D38" s="21" t="s">
        <v>24</v>
      </c>
      <c r="E38" s="21" t="s">
        <v>34</v>
      </c>
      <c r="F38" s="21" t="s">
        <v>4282</v>
      </c>
      <c r="G38" s="30"/>
      <c r="H38" s="31"/>
      <c r="I38" s="21"/>
      <c r="J38" s="21"/>
      <c r="K38" s="21"/>
      <c r="L38" s="21"/>
      <c r="M38" s="21"/>
      <c r="N38" s="30" t="n">
        <f aca="false">G38</f>
        <v>0</v>
      </c>
      <c r="O38" s="21"/>
      <c r="P38" s="21"/>
      <c r="Q38" s="21"/>
      <c r="R38" s="32"/>
      <c r="S38" s="32"/>
      <c r="T38" s="21"/>
      <c r="U38" s="21"/>
      <c r="V38" s="21"/>
      <c r="W38" s="21"/>
      <c r="X38" s="21"/>
      <c r="Y38" s="21" t="s">
        <v>28</v>
      </c>
    </row>
    <row r="39" customFormat="false" ht="15.75" hidden="false" customHeight="false" outlineLevel="0" collapsed="false">
      <c r="A39" s="61" t="n">
        <v>5863</v>
      </c>
      <c r="B39" s="29" t="n">
        <v>44419</v>
      </c>
      <c r="C39" s="21" t="s">
        <v>4283</v>
      </c>
      <c r="D39" s="21" t="s">
        <v>24</v>
      </c>
      <c r="E39" s="21" t="s">
        <v>3337</v>
      </c>
      <c r="F39" s="21" t="s">
        <v>4284</v>
      </c>
      <c r="G39" s="30" t="s">
        <v>4285</v>
      </c>
      <c r="H39" s="45" t="str">
        <f aca="false">HYPERLINK("https://photos.app.goo.gl/DFrMcPrrVq66UaLc7", "Completo")</f>
        <v>Completo</v>
      </c>
      <c r="I39" s="21" t="s">
        <v>28</v>
      </c>
      <c r="J39" s="21"/>
      <c r="K39" s="21"/>
      <c r="L39" s="21"/>
      <c r="M39" s="21" t="s">
        <v>2255</v>
      </c>
      <c r="N39" s="30" t="str">
        <f aca="false">G39</f>
        <v>1200x250x250</v>
      </c>
      <c r="O39" s="21"/>
      <c r="P39" s="21"/>
      <c r="Q39" s="21"/>
      <c r="R39" s="32"/>
      <c r="S39" s="32"/>
      <c r="T39" s="21" t="s">
        <v>74</v>
      </c>
      <c r="U39" s="74" t="s">
        <v>28</v>
      </c>
      <c r="V39" s="74" t="s">
        <v>28</v>
      </c>
      <c r="W39" s="74" t="s">
        <v>28</v>
      </c>
      <c r="X39" s="21" t="s">
        <v>36</v>
      </c>
      <c r="Y39" s="21" t="s">
        <v>28</v>
      </c>
    </row>
    <row r="40" customFormat="false" ht="15.75" hidden="false" customHeight="false" outlineLevel="0" collapsed="false">
      <c r="A40" s="61" t="n">
        <v>5864</v>
      </c>
      <c r="B40" s="29" t="n">
        <v>44419</v>
      </c>
      <c r="C40" s="21" t="s">
        <v>4283</v>
      </c>
      <c r="D40" s="21" t="s">
        <v>24</v>
      </c>
      <c r="E40" s="21" t="s">
        <v>3337</v>
      </c>
      <c r="F40" s="21" t="s">
        <v>4284</v>
      </c>
      <c r="G40" s="30" t="s">
        <v>4285</v>
      </c>
      <c r="H40" s="45" t="str">
        <f aca="false">HYPERLINK("https://photos.app.goo.gl/rtyYZm5aizE7UNJx8", "Completo")</f>
        <v>Completo</v>
      </c>
      <c r="I40" s="21" t="s">
        <v>28</v>
      </c>
      <c r="J40" s="21"/>
      <c r="K40" s="21"/>
      <c r="L40" s="21"/>
      <c r="M40" s="21" t="s">
        <v>2255</v>
      </c>
      <c r="N40" s="30" t="str">
        <f aca="false">G40</f>
        <v>1200x250x250</v>
      </c>
      <c r="O40" s="21"/>
      <c r="P40" s="21"/>
      <c r="Q40" s="21"/>
      <c r="R40" s="32"/>
      <c r="S40" s="32"/>
      <c r="T40" s="21" t="s">
        <v>74</v>
      </c>
      <c r="U40" s="74" t="s">
        <v>28</v>
      </c>
      <c r="V40" s="74" t="s">
        <v>28</v>
      </c>
      <c r="W40" s="74" t="s">
        <v>28</v>
      </c>
      <c r="X40" s="21" t="s">
        <v>36</v>
      </c>
      <c r="Y40" s="21" t="s">
        <v>28</v>
      </c>
    </row>
    <row r="41" customFormat="false" ht="15.75" hidden="false" customHeight="false" outlineLevel="0" collapsed="false">
      <c r="A41" s="61" t="n">
        <v>5865</v>
      </c>
      <c r="B41" s="29" t="n">
        <v>44419</v>
      </c>
      <c r="C41" s="21" t="s">
        <v>1010</v>
      </c>
      <c r="D41" s="21" t="s">
        <v>24</v>
      </c>
      <c r="E41" s="21" t="s">
        <v>34</v>
      </c>
      <c r="F41" s="21" t="s">
        <v>4286</v>
      </c>
      <c r="G41" s="30"/>
      <c r="H41" s="31"/>
      <c r="I41" s="21"/>
      <c r="J41" s="21"/>
      <c r="K41" s="21"/>
      <c r="L41" s="21"/>
      <c r="M41" s="21" t="s">
        <v>4287</v>
      </c>
      <c r="N41" s="30" t="n">
        <f aca="false">G41</f>
        <v>0</v>
      </c>
      <c r="O41" s="21"/>
      <c r="P41" s="21"/>
      <c r="Q41" s="21"/>
      <c r="R41" s="32"/>
      <c r="S41" s="32"/>
      <c r="T41" s="21"/>
      <c r="U41" s="21"/>
      <c r="V41" s="21"/>
      <c r="W41" s="21"/>
      <c r="X41" s="21"/>
      <c r="Y41" s="21" t="s">
        <v>28</v>
      </c>
    </row>
    <row r="42" customFormat="false" ht="15.75" hidden="false" customHeight="false" outlineLevel="0" collapsed="false">
      <c r="A42" s="61" t="n">
        <v>5866</v>
      </c>
      <c r="B42" s="29" t="n">
        <v>44419</v>
      </c>
      <c r="C42" s="21" t="s">
        <v>4288</v>
      </c>
      <c r="D42" s="21" t="s">
        <v>24</v>
      </c>
      <c r="E42" s="21" t="s">
        <v>34</v>
      </c>
      <c r="F42" s="21" t="s">
        <v>143</v>
      </c>
      <c r="G42" s="30"/>
      <c r="H42" s="31"/>
      <c r="I42" s="21"/>
      <c r="J42" s="21"/>
      <c r="K42" s="21"/>
      <c r="L42" s="21"/>
      <c r="M42" s="21" t="s">
        <v>1189</v>
      </c>
      <c r="N42" s="30" t="n">
        <f aca="false">G42</f>
        <v>0</v>
      </c>
      <c r="O42" s="21"/>
      <c r="P42" s="21"/>
      <c r="Q42" s="21"/>
      <c r="R42" s="32"/>
      <c r="S42" s="32"/>
      <c r="T42" s="21"/>
      <c r="U42" s="21"/>
      <c r="V42" s="21"/>
      <c r="W42" s="21"/>
      <c r="X42" s="21"/>
      <c r="Y42" s="21" t="s">
        <v>28</v>
      </c>
    </row>
    <row r="43" customFormat="false" ht="15.75" hidden="false" customHeight="false" outlineLevel="0" collapsed="false">
      <c r="A43" s="61" t="s">
        <v>4289</v>
      </c>
      <c r="B43" s="29" t="n">
        <v>44419</v>
      </c>
      <c r="C43" s="21" t="s">
        <v>3588</v>
      </c>
      <c r="D43" s="21" t="s">
        <v>290</v>
      </c>
      <c r="E43" s="21" t="s">
        <v>3337</v>
      </c>
      <c r="F43" s="21" t="s">
        <v>1554</v>
      </c>
      <c r="G43" s="30" t="s">
        <v>4290</v>
      </c>
      <c r="H43" s="45" t="str">
        <f aca="false">HYPERLINK("https://photos.app.goo.gl/DRrNun8WzX2HBMQk6", "Completo")</f>
        <v>Completo</v>
      </c>
      <c r="I43" s="21" t="s">
        <v>28</v>
      </c>
      <c r="J43" s="21"/>
      <c r="K43" s="21"/>
      <c r="L43" s="21"/>
      <c r="M43" s="21" t="s">
        <v>2255</v>
      </c>
      <c r="N43" s="30" t="str">
        <f aca="false">G43</f>
        <v>900x200x200</v>
      </c>
      <c r="O43" s="21"/>
      <c r="P43" s="21"/>
      <c r="Q43" s="21"/>
      <c r="R43" s="32"/>
      <c r="S43" s="32"/>
      <c r="T43" s="21"/>
      <c r="U43" s="21"/>
      <c r="V43" s="21"/>
      <c r="W43" s="21"/>
      <c r="X43" s="21"/>
      <c r="Y43" s="21" t="s">
        <v>28</v>
      </c>
    </row>
    <row r="44" customFormat="false" ht="15.75" hidden="false" customHeight="false" outlineLevel="0" collapsed="false">
      <c r="A44" s="63" t="n">
        <v>1296248</v>
      </c>
      <c r="B44" s="29" t="n">
        <v>44421</v>
      </c>
      <c r="C44" s="21" t="s">
        <v>4291</v>
      </c>
      <c r="D44" s="21" t="s">
        <v>578</v>
      </c>
      <c r="E44" s="21" t="s">
        <v>3337</v>
      </c>
      <c r="F44" s="21" t="s">
        <v>4292</v>
      </c>
      <c r="G44" s="30" t="s">
        <v>4293</v>
      </c>
      <c r="H44" s="45" t="str">
        <f aca="false">HYPERLINK("https://photos.app.goo.gl/WwJikUBuDdKCXFWD9", "Completo")</f>
        <v>Completo</v>
      </c>
      <c r="I44" s="21" t="s">
        <v>28</v>
      </c>
      <c r="J44" s="21"/>
      <c r="K44" s="21"/>
      <c r="L44" s="21"/>
      <c r="M44" s="21" t="s">
        <v>2255</v>
      </c>
      <c r="N44" s="30" t="str">
        <f aca="false">G44</f>
        <v>350x350x1200</v>
      </c>
      <c r="O44" s="21" t="s">
        <v>28</v>
      </c>
      <c r="P44" s="21" t="s">
        <v>37</v>
      </c>
      <c r="Q44" s="21" t="s">
        <v>4294</v>
      </c>
      <c r="R44" s="32" t="s">
        <v>3337</v>
      </c>
      <c r="S44" s="32"/>
      <c r="T44" s="21" t="s">
        <v>3337</v>
      </c>
      <c r="U44" s="21" t="s">
        <v>28</v>
      </c>
      <c r="V44" s="21" t="s">
        <v>28</v>
      </c>
      <c r="W44" s="74" t="s">
        <v>28</v>
      </c>
      <c r="X44" s="21"/>
      <c r="Y44" s="21" t="s">
        <v>37</v>
      </c>
    </row>
    <row r="45" customFormat="false" ht="15.75" hidden="false" customHeight="false" outlineLevel="0" collapsed="false">
      <c r="A45" s="63" t="n">
        <v>1296613</v>
      </c>
      <c r="B45" s="29" t="n">
        <v>44421</v>
      </c>
      <c r="C45" s="21" t="s">
        <v>4291</v>
      </c>
      <c r="D45" s="21" t="s">
        <v>578</v>
      </c>
      <c r="E45" s="21" t="s">
        <v>3337</v>
      </c>
      <c r="F45" s="21" t="s">
        <v>4292</v>
      </c>
      <c r="G45" s="30" t="s">
        <v>4293</v>
      </c>
      <c r="H45" s="45" t="str">
        <f aca="false">HYPERLINK("https://photos.app.goo.gl/Afkb9Rb9NNB2o7Zd6", "Completo")</f>
        <v>Completo</v>
      </c>
      <c r="I45" s="21" t="s">
        <v>28</v>
      </c>
      <c r="J45" s="21"/>
      <c r="K45" s="21"/>
      <c r="L45" s="21"/>
      <c r="M45" s="21" t="s">
        <v>2255</v>
      </c>
      <c r="N45" s="69" t="s">
        <v>4295</v>
      </c>
      <c r="O45" s="21" t="s">
        <v>28</v>
      </c>
      <c r="P45" s="21" t="s">
        <v>28</v>
      </c>
      <c r="Q45" s="21" t="s">
        <v>4296</v>
      </c>
      <c r="R45" s="32" t="s">
        <v>74</v>
      </c>
      <c r="S45" s="32" t="s">
        <v>36</v>
      </c>
      <c r="T45" s="21" t="s">
        <v>74</v>
      </c>
      <c r="U45" s="74" t="s">
        <v>28</v>
      </c>
      <c r="V45" s="74" t="s">
        <v>28</v>
      </c>
      <c r="W45" s="74" t="s">
        <v>28</v>
      </c>
      <c r="X45" s="21" t="s">
        <v>36</v>
      </c>
      <c r="Y45" s="21" t="s">
        <v>37</v>
      </c>
    </row>
    <row r="46" customFormat="false" ht="15.75" hidden="false" customHeight="false" outlineLevel="0" collapsed="false">
      <c r="A46" s="61" t="n">
        <v>5867</v>
      </c>
      <c r="B46" s="29" t="n">
        <v>44422</v>
      </c>
      <c r="C46" s="21" t="s">
        <v>67</v>
      </c>
      <c r="D46" s="21" t="s">
        <v>24</v>
      </c>
      <c r="E46" s="12" t="s">
        <v>34</v>
      </c>
      <c r="F46" s="21" t="s">
        <v>4297</v>
      </c>
      <c r="G46" s="30"/>
      <c r="H46" s="31"/>
      <c r="I46" s="21"/>
      <c r="J46" s="21"/>
      <c r="K46" s="21"/>
      <c r="L46" s="21"/>
      <c r="M46" s="21"/>
      <c r="N46" s="30" t="n">
        <f aca="false">G46</f>
        <v>0</v>
      </c>
      <c r="O46" s="21"/>
      <c r="P46" s="21"/>
      <c r="Q46" s="21"/>
      <c r="R46" s="32"/>
      <c r="S46" s="32"/>
      <c r="T46" s="21"/>
      <c r="U46" s="21"/>
      <c r="V46" s="21"/>
      <c r="W46" s="21"/>
      <c r="X46" s="21"/>
      <c r="Y46" s="21" t="s">
        <v>37</v>
      </c>
    </row>
    <row r="47" customFormat="false" ht="15.75" hidden="false" customHeight="false" outlineLevel="0" collapsed="false">
      <c r="A47" s="61" t="n">
        <v>5868</v>
      </c>
      <c r="B47" s="29" t="n">
        <v>44422</v>
      </c>
      <c r="C47" s="21" t="s">
        <v>4288</v>
      </c>
      <c r="D47" s="21" t="s">
        <v>24</v>
      </c>
      <c r="E47" s="21" t="s">
        <v>34</v>
      </c>
      <c r="F47" s="21" t="s">
        <v>4298</v>
      </c>
      <c r="G47" s="30"/>
      <c r="H47" s="31"/>
      <c r="I47" s="21"/>
      <c r="J47" s="21"/>
      <c r="K47" s="21"/>
      <c r="L47" s="21"/>
      <c r="M47" s="21" t="s">
        <v>1189</v>
      </c>
      <c r="N47" s="30" t="n">
        <f aca="false">G47</f>
        <v>0</v>
      </c>
      <c r="O47" s="21"/>
      <c r="P47" s="21"/>
      <c r="Q47" s="21"/>
      <c r="R47" s="32"/>
      <c r="S47" s="32"/>
      <c r="T47" s="21"/>
      <c r="U47" s="21"/>
      <c r="V47" s="21"/>
      <c r="W47" s="21"/>
      <c r="X47" s="21"/>
      <c r="Y47" s="21" t="s">
        <v>28</v>
      </c>
    </row>
    <row r="48" customFormat="false" ht="15.75" hidden="false" customHeight="false" outlineLevel="0" collapsed="false">
      <c r="A48" s="61" t="n">
        <v>5869</v>
      </c>
      <c r="B48" s="29" t="n">
        <v>44425</v>
      </c>
      <c r="C48" s="21" t="s">
        <v>4299</v>
      </c>
      <c r="D48" s="21" t="s">
        <v>24</v>
      </c>
      <c r="E48" s="21" t="s">
        <v>34</v>
      </c>
      <c r="F48" s="21" t="s">
        <v>4300</v>
      </c>
      <c r="G48" s="30"/>
      <c r="H48" s="31"/>
      <c r="I48" s="21"/>
      <c r="J48" s="21"/>
      <c r="K48" s="21"/>
      <c r="L48" s="21"/>
      <c r="M48" s="21" t="s">
        <v>1189</v>
      </c>
      <c r="N48" s="30" t="n">
        <f aca="false">G48</f>
        <v>0</v>
      </c>
      <c r="O48" s="21"/>
      <c r="P48" s="21"/>
      <c r="Q48" s="21"/>
      <c r="R48" s="32"/>
      <c r="S48" s="32"/>
      <c r="T48" s="21"/>
      <c r="U48" s="21"/>
      <c r="V48" s="21"/>
      <c r="W48" s="21"/>
      <c r="X48" s="21"/>
      <c r="Y48" s="21" t="s">
        <v>28</v>
      </c>
    </row>
    <row r="49" customFormat="false" ht="15.75" hidden="false" customHeight="false" outlineLevel="0" collapsed="false">
      <c r="A49" s="61" t="n">
        <v>5870</v>
      </c>
      <c r="B49" s="29" t="n">
        <v>44426</v>
      </c>
      <c r="C49" s="90" t="s">
        <v>389</v>
      </c>
      <c r="D49" s="21" t="s">
        <v>24</v>
      </c>
      <c r="E49" s="21" t="s">
        <v>3337</v>
      </c>
      <c r="F49" s="90" t="s">
        <v>4301</v>
      </c>
      <c r="G49" s="30" t="s">
        <v>4302</v>
      </c>
      <c r="H49" s="45" t="str">
        <f aca="false">HYPERLINK("https://photos.app.goo.gl/XdTEYaBwaCaceyRg7", "Completo")</f>
        <v>Completo</v>
      </c>
      <c r="I49" s="21" t="s">
        <v>28</v>
      </c>
      <c r="J49" s="21"/>
      <c r="K49" s="21"/>
      <c r="L49" s="21"/>
      <c r="M49" s="21" t="s">
        <v>2255</v>
      </c>
      <c r="N49" s="30" t="str">
        <f aca="false">G49</f>
        <v>1840x300x300</v>
      </c>
      <c r="O49" s="21"/>
      <c r="P49" s="21"/>
      <c r="Q49" s="21"/>
      <c r="R49" s="32"/>
      <c r="S49" s="32"/>
      <c r="T49" s="21" t="s">
        <v>74</v>
      </c>
      <c r="U49" s="74" t="s">
        <v>28</v>
      </c>
      <c r="V49" s="21"/>
      <c r="W49" s="74" t="s">
        <v>28</v>
      </c>
      <c r="X49" s="21" t="s">
        <v>4303</v>
      </c>
      <c r="Y49" s="21" t="s">
        <v>28</v>
      </c>
    </row>
    <row r="50" customFormat="false" ht="15.75" hidden="false" customHeight="false" outlineLevel="0" collapsed="false">
      <c r="A50" s="61" t="n">
        <v>5871</v>
      </c>
      <c r="B50" s="29" t="n">
        <v>44426</v>
      </c>
      <c r="C50" s="21" t="s">
        <v>3742</v>
      </c>
      <c r="D50" s="21" t="s">
        <v>24</v>
      </c>
      <c r="E50" s="21" t="s">
        <v>3337</v>
      </c>
      <c r="F50" s="21" t="s">
        <v>3946</v>
      </c>
      <c r="G50" s="30"/>
      <c r="H50" s="45" t="str">
        <f aca="false">HYPERLINK("https://photos.app.goo.gl/iNtudjJBYrBWFCfCA", "Completo")</f>
        <v>Completo</v>
      </c>
      <c r="I50" s="21" t="s">
        <v>28</v>
      </c>
      <c r="J50" s="21"/>
      <c r="K50" s="21"/>
      <c r="L50" s="21"/>
      <c r="M50" s="21" t="s">
        <v>4304</v>
      </c>
      <c r="N50" s="30" t="n">
        <f aca="false">G50</f>
        <v>0</v>
      </c>
      <c r="O50" s="21"/>
      <c r="P50" s="21"/>
      <c r="Q50" s="21"/>
      <c r="R50" s="32"/>
      <c r="S50" s="32"/>
      <c r="T50" s="21"/>
      <c r="U50" s="21"/>
      <c r="V50" s="21"/>
      <c r="W50" s="21"/>
      <c r="X50" s="21"/>
      <c r="Y50" s="21" t="s">
        <v>37</v>
      </c>
    </row>
    <row r="51" customFormat="false" ht="15.75" hidden="false" customHeight="false" outlineLevel="0" collapsed="false">
      <c r="A51" s="61" t="n">
        <v>5872</v>
      </c>
      <c r="B51" s="29" t="n">
        <v>44426</v>
      </c>
      <c r="C51" s="21" t="s">
        <v>3742</v>
      </c>
      <c r="D51" s="21" t="s">
        <v>24</v>
      </c>
      <c r="E51" s="21" t="s">
        <v>3337</v>
      </c>
      <c r="F51" s="21" t="s">
        <v>3946</v>
      </c>
      <c r="G51" s="30"/>
      <c r="H51" s="45" t="str">
        <f aca="false">HYPERLINK("https://photos.app.goo.gl/5tcQUJ3YrxQoThCb9", "Completo")</f>
        <v>Completo</v>
      </c>
      <c r="I51" s="21" t="s">
        <v>28</v>
      </c>
      <c r="J51" s="21"/>
      <c r="K51" s="21"/>
      <c r="L51" s="21"/>
      <c r="M51" s="21" t="s">
        <v>4304</v>
      </c>
      <c r="N51" s="30" t="n">
        <f aca="false">G51</f>
        <v>0</v>
      </c>
      <c r="O51" s="21"/>
      <c r="P51" s="21"/>
      <c r="Q51" s="21"/>
      <c r="R51" s="32"/>
      <c r="S51" s="32"/>
      <c r="T51" s="21"/>
      <c r="U51" s="21"/>
      <c r="V51" s="21"/>
      <c r="W51" s="21"/>
      <c r="X51" s="21"/>
      <c r="Y51" s="21" t="s">
        <v>37</v>
      </c>
    </row>
    <row r="52" customFormat="false" ht="15.75" hidden="false" customHeight="false" outlineLevel="0" collapsed="false">
      <c r="A52" s="61" t="n">
        <v>5873</v>
      </c>
      <c r="B52" s="29" t="n">
        <v>44426</v>
      </c>
      <c r="C52" s="21" t="s">
        <v>3742</v>
      </c>
      <c r="D52" s="21" t="s">
        <v>24</v>
      </c>
      <c r="E52" s="21" t="s">
        <v>3337</v>
      </c>
      <c r="F52" s="21" t="s">
        <v>3946</v>
      </c>
      <c r="G52" s="30"/>
      <c r="H52" s="45" t="str">
        <f aca="false">HYPERLINK("https://photos.app.goo.gl/Mt497qZfwhPbz1w37", "Completo")</f>
        <v>Completo</v>
      </c>
      <c r="I52" s="21" t="s">
        <v>28</v>
      </c>
      <c r="J52" s="21"/>
      <c r="K52" s="21"/>
      <c r="L52" s="21"/>
      <c r="M52" s="21" t="s">
        <v>4304</v>
      </c>
      <c r="N52" s="30" t="n">
        <f aca="false">G52</f>
        <v>0</v>
      </c>
      <c r="O52" s="21"/>
      <c r="P52" s="21"/>
      <c r="Q52" s="21"/>
      <c r="R52" s="32"/>
      <c r="S52" s="32"/>
      <c r="T52" s="21"/>
      <c r="U52" s="21"/>
      <c r="V52" s="21"/>
      <c r="W52" s="21"/>
      <c r="X52" s="21"/>
      <c r="Y52" s="21" t="s">
        <v>37</v>
      </c>
    </row>
    <row r="53" customFormat="false" ht="15.75" hidden="false" customHeight="false" outlineLevel="0" collapsed="false">
      <c r="A53" s="63" t="n">
        <v>1248036</v>
      </c>
      <c r="B53" s="29" t="n">
        <v>44426</v>
      </c>
      <c r="C53" s="21" t="s">
        <v>4305</v>
      </c>
      <c r="D53" s="21" t="s">
        <v>290</v>
      </c>
      <c r="E53" s="21" t="s">
        <v>3337</v>
      </c>
      <c r="F53" s="21" t="s">
        <v>4306</v>
      </c>
      <c r="G53" s="30"/>
      <c r="H53" s="45" t="str">
        <f aca="false">HYPERLINK("https://photos.app.goo.gl/K9TJSDaA6scGhbVX8", "Completo")</f>
        <v>Completo</v>
      </c>
      <c r="I53" s="21" t="s">
        <v>28</v>
      </c>
      <c r="J53" s="21"/>
      <c r="K53" s="21"/>
      <c r="L53" s="21"/>
      <c r="M53" s="21" t="s">
        <v>2255</v>
      </c>
      <c r="N53" s="30" t="n">
        <f aca="false">G53</f>
        <v>0</v>
      </c>
      <c r="O53" s="21"/>
      <c r="P53" s="21"/>
      <c r="Q53" s="21"/>
      <c r="R53" s="32"/>
      <c r="S53" s="32"/>
      <c r="T53" s="21" t="s">
        <v>74</v>
      </c>
      <c r="U53" s="74" t="s">
        <v>28</v>
      </c>
      <c r="V53" s="74" t="s">
        <v>28</v>
      </c>
      <c r="W53" s="74" t="s">
        <v>28</v>
      </c>
      <c r="X53" s="21"/>
      <c r="Y53" s="21" t="s">
        <v>28</v>
      </c>
    </row>
    <row r="54" customFormat="false" ht="15.75" hidden="false" customHeight="false" outlineLevel="0" collapsed="false">
      <c r="A54" s="61" t="n">
        <v>5874</v>
      </c>
      <c r="B54" s="29" t="n">
        <v>44427</v>
      </c>
      <c r="C54" s="21" t="s">
        <v>2575</v>
      </c>
      <c r="D54" s="21" t="s">
        <v>24</v>
      </c>
      <c r="E54" s="21" t="s">
        <v>3337</v>
      </c>
      <c r="F54" s="21" t="s">
        <v>4307</v>
      </c>
      <c r="G54" s="30"/>
      <c r="H54" s="45" t="str">
        <f aca="false">HYPERLINK("https://photos.app.goo.gl/EG8Jtocxb2wWmahV9", "Completo")</f>
        <v>Completo</v>
      </c>
      <c r="I54" s="21" t="s">
        <v>28</v>
      </c>
      <c r="J54" s="21"/>
      <c r="K54" s="21"/>
      <c r="L54" s="21"/>
      <c r="M54" s="21" t="s">
        <v>2255</v>
      </c>
      <c r="N54" s="30" t="n">
        <f aca="false">G54</f>
        <v>0</v>
      </c>
      <c r="O54" s="21"/>
      <c r="P54" s="21"/>
      <c r="Q54" s="21"/>
      <c r="R54" s="32"/>
      <c r="S54" s="32"/>
      <c r="T54" s="21"/>
      <c r="U54" s="21"/>
      <c r="V54" s="21"/>
      <c r="W54" s="21"/>
      <c r="X54" s="21"/>
      <c r="Y54" s="21" t="s">
        <v>28</v>
      </c>
    </row>
    <row r="55" customFormat="false" ht="15.75" hidden="false" customHeight="false" outlineLevel="0" collapsed="false">
      <c r="A55" s="63" t="n">
        <v>1452114</v>
      </c>
      <c r="B55" s="29" t="n">
        <v>44428</v>
      </c>
      <c r="C55" s="21" t="s">
        <v>2143</v>
      </c>
      <c r="D55" s="21" t="s">
        <v>24</v>
      </c>
      <c r="E55" s="21" t="s">
        <v>3337</v>
      </c>
      <c r="F55" s="21" t="s">
        <v>4308</v>
      </c>
      <c r="G55" s="30" t="s">
        <v>4309</v>
      </c>
      <c r="H55" s="45" t="str">
        <f aca="false">HYPERLINK("https://photos.app.goo.gl/Y9HsxJnuKQEajmDV6", "Completo")</f>
        <v>Completo</v>
      </c>
      <c r="I55" s="21" t="s">
        <v>28</v>
      </c>
      <c r="J55" s="21"/>
      <c r="K55" s="21"/>
      <c r="L55" s="21"/>
      <c r="M55" s="21" t="s">
        <v>4200</v>
      </c>
      <c r="N55" s="30" t="str">
        <f aca="false">G55</f>
        <v>325x90x90</v>
      </c>
      <c r="O55" s="21"/>
      <c r="P55" s="21"/>
      <c r="Q55" s="21"/>
      <c r="R55" s="32"/>
      <c r="S55" s="32"/>
      <c r="T55" s="21"/>
      <c r="U55" s="21"/>
      <c r="V55" s="21"/>
      <c r="W55" s="21"/>
      <c r="X55" s="21"/>
      <c r="Y55" s="21" t="s">
        <v>28</v>
      </c>
    </row>
    <row r="56" customFormat="false" ht="15.75" hidden="false" customHeight="false" outlineLevel="0" collapsed="false">
      <c r="A56" s="61" t="s">
        <v>4310</v>
      </c>
      <c r="B56" s="29" t="n">
        <v>44428</v>
      </c>
      <c r="C56" s="21" t="s">
        <v>2143</v>
      </c>
      <c r="D56" s="21" t="s">
        <v>24</v>
      </c>
      <c r="E56" s="21" t="s">
        <v>3337</v>
      </c>
      <c r="F56" s="21" t="s">
        <v>4311</v>
      </c>
      <c r="G56" s="30" t="s">
        <v>4312</v>
      </c>
      <c r="H56" s="45" t="str">
        <f aca="false">HYPERLINK("https://photos.app.goo.gl/5Yhm6TLbJSSp3G3C6", "Completo")</f>
        <v>Completo</v>
      </c>
      <c r="I56" s="21" t="s">
        <v>28</v>
      </c>
      <c r="J56" s="21"/>
      <c r="K56" s="21"/>
      <c r="L56" s="21"/>
      <c r="M56" s="21" t="s">
        <v>4200</v>
      </c>
      <c r="N56" s="30" t="str">
        <f aca="false">G56</f>
        <v>70x75x75</v>
      </c>
      <c r="O56" s="21"/>
      <c r="P56" s="21"/>
      <c r="Q56" s="21"/>
      <c r="R56" s="32"/>
      <c r="S56" s="32"/>
      <c r="T56" s="21"/>
      <c r="U56" s="21"/>
      <c r="V56" s="21"/>
      <c r="W56" s="21"/>
      <c r="X56" s="21"/>
      <c r="Y56" s="21" t="s">
        <v>28</v>
      </c>
    </row>
    <row r="57" customFormat="false" ht="15.75" hidden="false" customHeight="false" outlineLevel="0" collapsed="false">
      <c r="A57" s="61" t="s">
        <v>4313</v>
      </c>
      <c r="B57" s="29" t="n">
        <v>44428</v>
      </c>
      <c r="C57" s="21" t="s">
        <v>2143</v>
      </c>
      <c r="D57" s="21" t="s">
        <v>24</v>
      </c>
      <c r="E57" s="21" t="s">
        <v>3337</v>
      </c>
      <c r="F57" s="21" t="s">
        <v>4314</v>
      </c>
      <c r="G57" s="30" t="s">
        <v>4315</v>
      </c>
      <c r="H57" s="45" t="str">
        <f aca="false">HYPERLINK("https://photos.app.goo.gl/KBvBvRapw7wzY4Zd9", "Completo")</f>
        <v>Completo</v>
      </c>
      <c r="I57" s="21" t="s">
        <v>28</v>
      </c>
      <c r="J57" s="21"/>
      <c r="K57" s="21"/>
      <c r="L57" s="21"/>
      <c r="M57" s="21" t="s">
        <v>4200</v>
      </c>
      <c r="N57" s="30" t="str">
        <f aca="false">G57</f>
        <v>50x50x50</v>
      </c>
      <c r="O57" s="21"/>
      <c r="P57" s="21"/>
      <c r="Q57" s="21"/>
      <c r="R57" s="32"/>
      <c r="S57" s="32"/>
      <c r="T57" s="21"/>
      <c r="U57" s="21"/>
      <c r="V57" s="21"/>
      <c r="W57" s="21"/>
      <c r="X57" s="21"/>
      <c r="Y57" s="21" t="s">
        <v>28</v>
      </c>
    </row>
    <row r="58" customFormat="false" ht="15.75" hidden="false" customHeight="false" outlineLevel="0" collapsed="false">
      <c r="A58" s="61" t="s">
        <v>4316</v>
      </c>
      <c r="B58" s="29" t="n">
        <v>44428</v>
      </c>
      <c r="C58" s="21" t="s">
        <v>2143</v>
      </c>
      <c r="D58" s="21" t="s">
        <v>24</v>
      </c>
      <c r="E58" s="21" t="s">
        <v>3337</v>
      </c>
      <c r="F58" s="21" t="s">
        <v>4317</v>
      </c>
      <c r="G58" s="30" t="s">
        <v>4318</v>
      </c>
      <c r="H58" s="45" t="str">
        <f aca="false">HYPERLINK("https://photos.app.goo.gl/GtjB36rS5MdHSyoh9", "Completo")</f>
        <v>Completo</v>
      </c>
      <c r="I58" s="21" t="s">
        <v>28</v>
      </c>
      <c r="J58" s="21"/>
      <c r="K58" s="21"/>
      <c r="L58" s="21"/>
      <c r="M58" s="21" t="s">
        <v>4200</v>
      </c>
      <c r="N58" s="30" t="str">
        <f aca="false">G58</f>
        <v>120x50x50</v>
      </c>
      <c r="O58" s="21"/>
      <c r="P58" s="21"/>
      <c r="Q58" s="21"/>
      <c r="R58" s="32"/>
      <c r="S58" s="32"/>
      <c r="T58" s="21"/>
      <c r="U58" s="21"/>
      <c r="V58" s="21"/>
      <c r="W58" s="21"/>
      <c r="X58" s="21"/>
      <c r="Y58" s="21" t="s">
        <v>28</v>
      </c>
    </row>
    <row r="59" customFormat="false" ht="15.75" hidden="false" customHeight="false" outlineLevel="0" collapsed="false">
      <c r="A59" s="61" t="s">
        <v>4319</v>
      </c>
      <c r="B59" s="29" t="n">
        <v>44428</v>
      </c>
      <c r="C59" s="21" t="s">
        <v>2143</v>
      </c>
      <c r="D59" s="21" t="s">
        <v>24</v>
      </c>
      <c r="E59" s="21" t="s">
        <v>3337</v>
      </c>
      <c r="F59" s="21" t="s">
        <v>4320</v>
      </c>
      <c r="G59" s="30" t="s">
        <v>4321</v>
      </c>
      <c r="H59" s="45" t="str">
        <f aca="false">HYPERLINK("https://photos.app.goo.gl/PJzaJ5gBQAjuN47E6", "Completo")</f>
        <v>Completo</v>
      </c>
      <c r="I59" s="21" t="s">
        <v>28</v>
      </c>
      <c r="J59" s="21"/>
      <c r="K59" s="21"/>
      <c r="L59" s="21"/>
      <c r="M59" s="21" t="s">
        <v>4200</v>
      </c>
      <c r="N59" s="30" t="str">
        <f aca="false">G60</f>
        <v>250x100x100</v>
      </c>
      <c r="O59" s="21"/>
      <c r="P59" s="21"/>
      <c r="Q59" s="21"/>
      <c r="R59" s="32"/>
      <c r="S59" s="32"/>
      <c r="T59" s="21"/>
      <c r="U59" s="21"/>
      <c r="V59" s="21"/>
      <c r="W59" s="21"/>
      <c r="X59" s="21"/>
      <c r="Y59" s="21" t="s">
        <v>28</v>
      </c>
    </row>
    <row r="60" customFormat="false" ht="15.75" hidden="false" customHeight="false" outlineLevel="0" collapsed="false">
      <c r="A60" s="61" t="s">
        <v>4322</v>
      </c>
      <c r="B60" s="29" t="n">
        <v>44428</v>
      </c>
      <c r="C60" s="21" t="s">
        <v>2143</v>
      </c>
      <c r="D60" s="21" t="s">
        <v>24</v>
      </c>
      <c r="E60" s="21" t="s">
        <v>3337</v>
      </c>
      <c r="F60" s="21" t="s">
        <v>4323</v>
      </c>
      <c r="G60" s="30" t="s">
        <v>4321</v>
      </c>
      <c r="H60" s="45" t="str">
        <f aca="false">HYPERLINK("https://photos.app.goo.gl/xqxCbacT3DWbzgXb8", "Completo")</f>
        <v>Completo</v>
      </c>
      <c r="I60" s="21" t="s">
        <v>28</v>
      </c>
      <c r="J60" s="21"/>
      <c r="K60" s="21"/>
      <c r="L60" s="21"/>
      <c r="M60" s="21" t="s">
        <v>4200</v>
      </c>
      <c r="N60" s="30" t="e">
        <f aca="false">#REF!</f>
        <v>#REF!</v>
      </c>
      <c r="O60" s="21"/>
      <c r="P60" s="21"/>
      <c r="Q60" s="21"/>
      <c r="R60" s="32"/>
      <c r="S60" s="32"/>
      <c r="T60" s="21"/>
      <c r="U60" s="21"/>
      <c r="V60" s="21"/>
      <c r="W60" s="21"/>
      <c r="X60" s="21"/>
      <c r="Y60" s="21" t="s">
        <v>28</v>
      </c>
    </row>
    <row r="61" customFormat="false" ht="15.75" hidden="false" customHeight="false" outlineLevel="0" collapsed="false">
      <c r="A61" s="61" t="s">
        <v>4324</v>
      </c>
      <c r="B61" s="29" t="n">
        <v>44428</v>
      </c>
      <c r="C61" s="21" t="s">
        <v>2143</v>
      </c>
      <c r="D61" s="21" t="s">
        <v>24</v>
      </c>
      <c r="E61" s="21" t="s">
        <v>3337</v>
      </c>
      <c r="F61" s="21" t="s">
        <v>4325</v>
      </c>
      <c r="G61" s="30" t="s">
        <v>4321</v>
      </c>
      <c r="H61" s="45" t="str">
        <f aca="false">HYPERLINK("https://photos.app.goo.gl/rLjyPcvcNayFxxcX8", "Completo")</f>
        <v>Completo</v>
      </c>
      <c r="I61" s="21" t="s">
        <v>28</v>
      </c>
      <c r="J61" s="21"/>
      <c r="K61" s="21"/>
      <c r="L61" s="21"/>
      <c r="M61" s="21" t="s">
        <v>4200</v>
      </c>
      <c r="N61" s="30" t="str">
        <f aca="false">G61</f>
        <v>250x100x100</v>
      </c>
      <c r="O61" s="21"/>
      <c r="P61" s="21"/>
      <c r="Q61" s="21"/>
      <c r="R61" s="32"/>
      <c r="S61" s="32"/>
      <c r="T61" s="21"/>
      <c r="U61" s="21"/>
      <c r="V61" s="21"/>
      <c r="W61" s="21"/>
      <c r="X61" s="21"/>
      <c r="Y61" s="21" t="s">
        <v>28</v>
      </c>
    </row>
    <row r="62" customFormat="false" ht="15.75" hidden="false" customHeight="false" outlineLevel="0" collapsed="false">
      <c r="A62" s="61" t="s">
        <v>4326</v>
      </c>
      <c r="B62" s="29" t="n">
        <v>44428</v>
      </c>
      <c r="C62" s="21" t="s">
        <v>2143</v>
      </c>
      <c r="D62" s="21" t="s">
        <v>24</v>
      </c>
      <c r="E62" s="21" t="s">
        <v>3337</v>
      </c>
      <c r="F62" s="21" t="s">
        <v>4327</v>
      </c>
      <c r="G62" s="30" t="s">
        <v>4328</v>
      </c>
      <c r="H62" s="45" t="str">
        <f aca="false">HYPERLINK("https://photos.app.goo.gl/fDgPXQ1s9NFZHqg9A", "Completo")</f>
        <v>Completo</v>
      </c>
      <c r="I62" s="21" t="s">
        <v>28</v>
      </c>
      <c r="J62" s="21"/>
      <c r="K62" s="21"/>
      <c r="L62" s="21"/>
      <c r="M62" s="21" t="s">
        <v>4200</v>
      </c>
      <c r="N62" s="30" t="str">
        <f aca="false">G62</f>
        <v>130x130xx5</v>
      </c>
      <c r="O62" s="21"/>
      <c r="P62" s="21"/>
      <c r="Q62" s="21"/>
      <c r="R62" s="32"/>
      <c r="S62" s="32"/>
      <c r="T62" s="21"/>
      <c r="U62" s="21"/>
      <c r="V62" s="21"/>
      <c r="W62" s="21"/>
      <c r="X62" s="21"/>
      <c r="Y62" s="21" t="s">
        <v>28</v>
      </c>
    </row>
    <row r="63" customFormat="false" ht="15.75" hidden="false" customHeight="false" outlineLevel="0" collapsed="false">
      <c r="A63" s="61" t="s">
        <v>4329</v>
      </c>
      <c r="B63" s="29" t="n">
        <v>44428</v>
      </c>
      <c r="C63" s="21" t="s">
        <v>2143</v>
      </c>
      <c r="D63" s="21" t="s">
        <v>24</v>
      </c>
      <c r="E63" s="21" t="s">
        <v>3337</v>
      </c>
      <c r="F63" s="21" t="s">
        <v>4330</v>
      </c>
      <c r="G63" s="30"/>
      <c r="H63" s="31" t="s">
        <v>28</v>
      </c>
      <c r="I63" s="21" t="s">
        <v>28</v>
      </c>
      <c r="J63" s="21"/>
      <c r="K63" s="21"/>
      <c r="L63" s="21"/>
      <c r="M63" s="21" t="s">
        <v>4200</v>
      </c>
      <c r="N63" s="30" t="n">
        <f aca="false">G63</f>
        <v>0</v>
      </c>
      <c r="O63" s="21"/>
      <c r="P63" s="21"/>
      <c r="Q63" s="21"/>
      <c r="R63" s="32"/>
      <c r="S63" s="32"/>
      <c r="T63" s="21"/>
      <c r="U63" s="21"/>
      <c r="V63" s="21"/>
      <c r="W63" s="21"/>
      <c r="X63" s="21"/>
      <c r="Y63" s="21" t="s">
        <v>28</v>
      </c>
    </row>
    <row r="64" customFormat="false" ht="15.75" hidden="false" customHeight="false" outlineLevel="0" collapsed="false">
      <c r="A64" s="61" t="s">
        <v>4331</v>
      </c>
      <c r="B64" s="29" t="n">
        <v>44428</v>
      </c>
      <c r="C64" s="21" t="s">
        <v>2143</v>
      </c>
      <c r="D64" s="21" t="s">
        <v>24</v>
      </c>
      <c r="E64" s="21" t="s">
        <v>3337</v>
      </c>
      <c r="F64" s="21" t="s">
        <v>4332</v>
      </c>
      <c r="G64" s="30" t="s">
        <v>4321</v>
      </c>
      <c r="H64" s="45" t="str">
        <f aca="false">HYPERLINK("https://photos.app.goo.gl/WNLvWGFEVv2yNfXU6", "Completo")</f>
        <v>Completo</v>
      </c>
      <c r="I64" s="21" t="s">
        <v>28</v>
      </c>
      <c r="J64" s="21"/>
      <c r="K64" s="21"/>
      <c r="L64" s="21"/>
      <c r="M64" s="21" t="s">
        <v>4200</v>
      </c>
      <c r="N64" s="30" t="str">
        <f aca="false">G64</f>
        <v>250x100x100</v>
      </c>
      <c r="O64" s="21"/>
      <c r="P64" s="21"/>
      <c r="Q64" s="21"/>
      <c r="R64" s="32"/>
      <c r="S64" s="32"/>
      <c r="T64" s="21"/>
      <c r="U64" s="21"/>
      <c r="V64" s="21"/>
      <c r="W64" s="21"/>
      <c r="X64" s="21"/>
      <c r="Y64" s="21" t="s">
        <v>28</v>
      </c>
    </row>
    <row r="65" customFormat="false" ht="15.75" hidden="false" customHeight="false" outlineLevel="0" collapsed="false">
      <c r="A65" s="61" t="s">
        <v>4333</v>
      </c>
      <c r="B65" s="29" t="n">
        <v>44428</v>
      </c>
      <c r="C65" s="21" t="s">
        <v>2143</v>
      </c>
      <c r="D65" s="21" t="s">
        <v>24</v>
      </c>
      <c r="E65" s="21" t="s">
        <v>3337</v>
      </c>
      <c r="F65" s="21" t="s">
        <v>4334</v>
      </c>
      <c r="G65" s="30" t="s">
        <v>4335</v>
      </c>
      <c r="H65" s="45" t="str">
        <f aca="false">HYPERLINK("https://photos.app.goo.gl/iGzD73qAqmAx9jvn8", "Completo")</f>
        <v>Completo</v>
      </c>
      <c r="I65" s="21" t="s">
        <v>28</v>
      </c>
      <c r="J65" s="21"/>
      <c r="K65" s="21"/>
      <c r="L65" s="21"/>
      <c r="M65" s="21" t="s">
        <v>4200</v>
      </c>
      <c r="N65" s="30" t="str">
        <f aca="false">G65</f>
        <v>200x100x100</v>
      </c>
      <c r="O65" s="21"/>
      <c r="P65" s="21"/>
      <c r="Q65" s="21"/>
      <c r="R65" s="32"/>
      <c r="S65" s="32"/>
      <c r="T65" s="21"/>
      <c r="U65" s="21"/>
      <c r="V65" s="21"/>
      <c r="W65" s="21"/>
      <c r="X65" s="21"/>
      <c r="Y65" s="21" t="s">
        <v>28</v>
      </c>
    </row>
    <row r="66" customFormat="false" ht="15.75" hidden="false" customHeight="false" outlineLevel="0" collapsed="false">
      <c r="A66" s="61" t="s">
        <v>4336</v>
      </c>
      <c r="B66" s="29" t="n">
        <v>44428</v>
      </c>
      <c r="C66" s="21" t="s">
        <v>2143</v>
      </c>
      <c r="D66" s="21" t="s">
        <v>24</v>
      </c>
      <c r="E66" s="21" t="s">
        <v>3337</v>
      </c>
      <c r="F66" s="21" t="s">
        <v>4337</v>
      </c>
      <c r="G66" s="30" t="s">
        <v>4335</v>
      </c>
      <c r="H66" s="45" t="str">
        <f aca="false">HYPERLINK("https://photos.app.goo.gl/frW3yHeTFQ4psD1L6", "Completo")</f>
        <v>Completo</v>
      </c>
      <c r="I66" s="21" t="s">
        <v>28</v>
      </c>
      <c r="J66" s="21"/>
      <c r="K66" s="21"/>
      <c r="L66" s="21"/>
      <c r="M66" s="21" t="s">
        <v>4200</v>
      </c>
      <c r="N66" s="30" t="str">
        <f aca="false">G66</f>
        <v>200x100x100</v>
      </c>
      <c r="O66" s="21"/>
      <c r="P66" s="21"/>
      <c r="Q66" s="21"/>
      <c r="R66" s="32"/>
      <c r="S66" s="32"/>
      <c r="T66" s="21"/>
      <c r="U66" s="21"/>
      <c r="V66" s="21"/>
      <c r="W66" s="21"/>
      <c r="X66" s="21"/>
      <c r="Y66" s="21" t="s">
        <v>28</v>
      </c>
    </row>
    <row r="67" customFormat="false" ht="15.75" hidden="false" customHeight="false" outlineLevel="0" collapsed="false">
      <c r="A67" s="61" t="s">
        <v>4338</v>
      </c>
      <c r="B67" s="29" t="n">
        <v>44428</v>
      </c>
      <c r="C67" s="21" t="s">
        <v>2143</v>
      </c>
      <c r="D67" s="21" t="s">
        <v>24</v>
      </c>
      <c r="E67" s="21" t="s">
        <v>3337</v>
      </c>
      <c r="F67" s="21" t="s">
        <v>4339</v>
      </c>
      <c r="G67" s="30" t="s">
        <v>4340</v>
      </c>
      <c r="H67" s="45" t="str">
        <f aca="false">HYPERLINK("https://photos.app.goo.gl/sRSsJioUkq16kg2Y7", "Completo")</f>
        <v>Completo</v>
      </c>
      <c r="I67" s="21" t="s">
        <v>28</v>
      </c>
      <c r="J67" s="21"/>
      <c r="K67" s="21"/>
      <c r="L67" s="21"/>
      <c r="M67" s="21" t="s">
        <v>4200</v>
      </c>
      <c r="N67" s="30" t="str">
        <f aca="false">G67</f>
        <v>110x120x120</v>
      </c>
      <c r="O67" s="21"/>
      <c r="P67" s="21"/>
      <c r="Q67" s="21"/>
      <c r="R67" s="32"/>
      <c r="S67" s="32"/>
      <c r="T67" s="21"/>
      <c r="U67" s="21"/>
      <c r="V67" s="21"/>
      <c r="W67" s="21"/>
      <c r="X67" s="21"/>
      <c r="Y67" s="21" t="s">
        <v>28</v>
      </c>
    </row>
    <row r="68" customFormat="false" ht="15.75" hidden="false" customHeight="false" outlineLevel="0" collapsed="false">
      <c r="A68" s="61" t="s">
        <v>4341</v>
      </c>
      <c r="B68" s="29" t="n">
        <v>44428</v>
      </c>
      <c r="C68" s="21" t="s">
        <v>2143</v>
      </c>
      <c r="D68" s="21" t="s">
        <v>24</v>
      </c>
      <c r="E68" s="21" t="s">
        <v>3337</v>
      </c>
      <c r="F68" s="21" t="s">
        <v>4342</v>
      </c>
      <c r="G68" s="30" t="s">
        <v>4343</v>
      </c>
      <c r="H68" s="45" t="str">
        <f aca="false">HYPERLINK("https://photos.app.goo.gl/AJXRNVKqh9cnunbZ9", "Completo")</f>
        <v>Completo</v>
      </c>
      <c r="I68" s="21" t="s">
        <v>28</v>
      </c>
      <c r="J68" s="21"/>
      <c r="K68" s="21"/>
      <c r="L68" s="21"/>
      <c r="M68" s="21" t="s">
        <v>4200</v>
      </c>
      <c r="N68" s="30" t="str">
        <f aca="false">G68</f>
        <v>50x100x100</v>
      </c>
      <c r="O68" s="21"/>
      <c r="P68" s="21"/>
      <c r="Q68" s="21"/>
      <c r="R68" s="32"/>
      <c r="S68" s="32"/>
      <c r="T68" s="21"/>
      <c r="U68" s="21"/>
      <c r="V68" s="21"/>
      <c r="W68" s="21"/>
      <c r="X68" s="21"/>
      <c r="Y68" s="21"/>
    </row>
    <row r="69" customFormat="false" ht="15.75" hidden="false" customHeight="false" outlineLevel="0" collapsed="false">
      <c r="A69" s="61" t="s">
        <v>4344</v>
      </c>
      <c r="B69" s="29" t="n">
        <v>44428</v>
      </c>
      <c r="C69" s="21" t="s">
        <v>2143</v>
      </c>
      <c r="D69" s="21" t="s">
        <v>24</v>
      </c>
      <c r="E69" s="21" t="s">
        <v>3337</v>
      </c>
      <c r="F69" s="21" t="s">
        <v>4345</v>
      </c>
      <c r="G69" s="30" t="s">
        <v>4346</v>
      </c>
      <c r="H69" s="45" t="str">
        <f aca="false">HYPERLINK("https://photos.app.goo.gl/RbA4ryaA3kLz8cj2A", "Completo")</f>
        <v>Completo</v>
      </c>
      <c r="I69" s="21" t="s">
        <v>28</v>
      </c>
      <c r="J69" s="21"/>
      <c r="K69" s="21"/>
      <c r="L69" s="21"/>
      <c r="M69" s="21" t="s">
        <v>4200</v>
      </c>
      <c r="N69" s="30" t="str">
        <f aca="false">G69</f>
        <v>180x100x100</v>
      </c>
      <c r="O69" s="21"/>
      <c r="P69" s="21"/>
      <c r="Q69" s="21"/>
      <c r="R69" s="32"/>
      <c r="S69" s="32"/>
      <c r="T69" s="21"/>
      <c r="U69" s="21"/>
      <c r="V69" s="21"/>
      <c r="W69" s="21"/>
      <c r="X69" s="21"/>
      <c r="Y69" s="21"/>
    </row>
    <row r="70" customFormat="false" ht="15.75" hidden="false" customHeight="false" outlineLevel="0" collapsed="false">
      <c r="A70" s="61" t="s">
        <v>4347</v>
      </c>
      <c r="B70" s="29" t="n">
        <v>44428</v>
      </c>
      <c r="C70" s="21" t="s">
        <v>2143</v>
      </c>
      <c r="D70" s="21" t="s">
        <v>24</v>
      </c>
      <c r="E70" s="21" t="s">
        <v>3337</v>
      </c>
      <c r="F70" s="21" t="s">
        <v>4348</v>
      </c>
      <c r="G70" s="30" t="s">
        <v>4346</v>
      </c>
      <c r="H70" s="45" t="str">
        <f aca="false">HYPERLINK("https://photos.app.goo.gl/saoqdh2adCH6earG9", "Completo")</f>
        <v>Completo</v>
      </c>
      <c r="I70" s="21" t="s">
        <v>28</v>
      </c>
      <c r="J70" s="21"/>
      <c r="K70" s="21"/>
      <c r="L70" s="21"/>
      <c r="M70" s="21" t="s">
        <v>4200</v>
      </c>
      <c r="N70" s="30" t="str">
        <f aca="false">G70</f>
        <v>180x100x100</v>
      </c>
      <c r="O70" s="21"/>
      <c r="P70" s="21"/>
      <c r="Q70" s="21"/>
      <c r="R70" s="32"/>
      <c r="S70" s="32"/>
      <c r="T70" s="21"/>
      <c r="U70" s="21"/>
      <c r="V70" s="21"/>
      <c r="W70" s="21"/>
      <c r="X70" s="21"/>
      <c r="Y70" s="21"/>
    </row>
    <row r="71" customFormat="false" ht="15.75" hidden="false" customHeight="false" outlineLevel="0" collapsed="false">
      <c r="A71" s="61" t="s">
        <v>4349</v>
      </c>
      <c r="B71" s="29" t="n">
        <v>44428</v>
      </c>
      <c r="C71" s="21" t="s">
        <v>2143</v>
      </c>
      <c r="D71" s="21" t="s">
        <v>24</v>
      </c>
      <c r="E71" s="21" t="s">
        <v>3337</v>
      </c>
      <c r="F71" s="21" t="s">
        <v>4350</v>
      </c>
      <c r="G71" s="30" t="s">
        <v>4351</v>
      </c>
      <c r="H71" s="45" t="str">
        <f aca="false">HYPERLINK("https://photos.app.goo.gl/qUHFD1VfUK4HKCSB6", "Completo")</f>
        <v>Completo</v>
      </c>
      <c r="I71" s="21" t="s">
        <v>28</v>
      </c>
      <c r="J71" s="21"/>
      <c r="K71" s="21"/>
      <c r="L71" s="21"/>
      <c r="M71" s="21"/>
      <c r="N71" s="30" t="str">
        <f aca="false">G71</f>
        <v>640x250x200</v>
      </c>
      <c r="O71" s="21"/>
      <c r="P71" s="21"/>
      <c r="Q71" s="21"/>
      <c r="R71" s="32"/>
      <c r="S71" s="32"/>
      <c r="T71" s="21"/>
      <c r="U71" s="21"/>
      <c r="V71" s="21"/>
      <c r="W71" s="21"/>
      <c r="X71" s="21"/>
      <c r="Y71" s="21"/>
    </row>
    <row r="72" customFormat="false" ht="15.75" hidden="false" customHeight="false" outlineLevel="0" collapsed="false">
      <c r="A72" s="61" t="n">
        <v>5876</v>
      </c>
      <c r="B72" s="29" t="n">
        <v>44428</v>
      </c>
      <c r="C72" s="21" t="s">
        <v>3948</v>
      </c>
      <c r="D72" s="21" t="s">
        <v>24</v>
      </c>
      <c r="E72" s="21" t="s">
        <v>3337</v>
      </c>
      <c r="F72" s="21" t="s">
        <v>4352</v>
      </c>
      <c r="G72" s="30" t="s">
        <v>4353</v>
      </c>
      <c r="H72" s="45" t="str">
        <f aca="false">HYPERLINK("https://photos.app.goo.gl/q3ojSPNPDCufCTNX7", "Completo")</f>
        <v>Completo</v>
      </c>
      <c r="I72" s="21" t="s">
        <v>28</v>
      </c>
      <c r="J72" s="21"/>
      <c r="K72" s="21"/>
      <c r="L72" s="21"/>
      <c r="M72" s="21"/>
      <c r="N72" s="30" t="str">
        <f aca="false">G72</f>
        <v>800x300x300</v>
      </c>
      <c r="O72" s="21"/>
      <c r="P72" s="21"/>
      <c r="Q72" s="21"/>
      <c r="R72" s="32"/>
      <c r="S72" s="32"/>
      <c r="T72" s="21"/>
      <c r="U72" s="21"/>
      <c r="V72" s="21"/>
      <c r="W72" s="21"/>
      <c r="X72" s="21"/>
      <c r="Y72" s="21" t="s">
        <v>28</v>
      </c>
    </row>
    <row r="73" customFormat="false" ht="15.75" hidden="false" customHeight="false" outlineLevel="0" collapsed="false">
      <c r="A73" s="61" t="s">
        <v>4354</v>
      </c>
      <c r="B73" s="29" t="n">
        <v>44412</v>
      </c>
      <c r="C73" s="21" t="s">
        <v>4095</v>
      </c>
      <c r="D73" s="21" t="s">
        <v>24</v>
      </c>
      <c r="E73" s="21" t="s">
        <v>3337</v>
      </c>
      <c r="F73" s="21" t="s">
        <v>4355</v>
      </c>
      <c r="G73" s="30" t="s">
        <v>4356</v>
      </c>
      <c r="H73" s="45" t="str">
        <f aca="false">HYPERLINK("https://photos.app.goo.gl/8Pn9EC4m11cLp485A", "Completo")</f>
        <v>Completo</v>
      </c>
      <c r="I73" s="21" t="s">
        <v>28</v>
      </c>
      <c r="J73" s="21"/>
      <c r="K73" s="21"/>
      <c r="L73" s="21"/>
      <c r="M73" s="21" t="s">
        <v>4200</v>
      </c>
      <c r="N73" s="30" t="str">
        <f aca="false">G73</f>
        <v>no corresponde</v>
      </c>
      <c r="O73" s="21"/>
      <c r="P73" s="21"/>
      <c r="Q73" s="21"/>
      <c r="R73" s="32"/>
      <c r="S73" s="32"/>
      <c r="T73" s="21" t="s">
        <v>74</v>
      </c>
      <c r="U73" s="74" t="s">
        <v>28</v>
      </c>
      <c r="V73" s="74" t="s">
        <v>28</v>
      </c>
      <c r="W73" s="74" t="s">
        <v>28</v>
      </c>
      <c r="X73" s="21" t="s">
        <v>36</v>
      </c>
      <c r="Y73" s="21" t="s">
        <v>37</v>
      </c>
    </row>
    <row r="74" customFormat="false" ht="15.75" hidden="false" customHeight="false" outlineLevel="0" collapsed="false">
      <c r="A74" s="61" t="s">
        <v>4357</v>
      </c>
      <c r="B74" s="29" t="n">
        <v>44412</v>
      </c>
      <c r="C74" s="21" t="s">
        <v>4095</v>
      </c>
      <c r="D74" s="21" t="s">
        <v>24</v>
      </c>
      <c r="E74" s="21" t="s">
        <v>3337</v>
      </c>
      <c r="F74" s="21" t="s">
        <v>4355</v>
      </c>
      <c r="G74" s="30" t="s">
        <v>4358</v>
      </c>
      <c r="H74" s="45" t="str">
        <f aca="false">HYPERLINK("https://photos.app.goo.gl/q9R5WQw9L5VcC4zE8", "Completo")</f>
        <v>Completo</v>
      </c>
      <c r="I74" s="21" t="s">
        <v>28</v>
      </c>
      <c r="J74" s="21"/>
      <c r="K74" s="21"/>
      <c r="L74" s="21"/>
      <c r="M74" s="21" t="s">
        <v>4200</v>
      </c>
      <c r="N74" s="30" t="str">
        <f aca="false">G74</f>
        <v>no correspomde</v>
      </c>
      <c r="O74" s="21"/>
      <c r="P74" s="21"/>
      <c r="Q74" s="21"/>
      <c r="R74" s="32"/>
      <c r="S74" s="32"/>
      <c r="T74" s="21" t="s">
        <v>74</v>
      </c>
      <c r="U74" s="75" t="s">
        <v>28</v>
      </c>
      <c r="V74" s="74" t="s">
        <v>28</v>
      </c>
      <c r="W74" s="74" t="s">
        <v>28</v>
      </c>
      <c r="X74" s="21" t="s">
        <v>29</v>
      </c>
      <c r="Y74" s="21" t="s">
        <v>37</v>
      </c>
    </row>
    <row r="75" customFormat="false" ht="15.75" hidden="false" customHeight="false" outlineLevel="0" collapsed="false">
      <c r="A75" s="61" t="n">
        <v>5877</v>
      </c>
      <c r="B75" s="29" t="n">
        <v>44432</v>
      </c>
      <c r="C75" s="21" t="s">
        <v>4359</v>
      </c>
      <c r="D75" s="21" t="s">
        <v>24</v>
      </c>
      <c r="E75" s="21" t="s">
        <v>3337</v>
      </c>
      <c r="F75" s="21" t="s">
        <v>4360</v>
      </c>
      <c r="G75" s="30" t="s">
        <v>4361</v>
      </c>
      <c r="H75" s="45" t="str">
        <f aca="false">HYPERLINK("https://photos.app.goo.gl/oTbHBw9mmLYVRqud8", "Completo")</f>
        <v>Completo</v>
      </c>
      <c r="I75" s="21" t="s">
        <v>28</v>
      </c>
      <c r="J75" s="21"/>
      <c r="K75" s="21"/>
      <c r="L75" s="21"/>
      <c r="M75" s="21" t="s">
        <v>2255</v>
      </c>
      <c r="N75" s="30" t="str">
        <f aca="false">G75</f>
        <v>2800x200x200</v>
      </c>
      <c r="O75" s="21"/>
      <c r="P75" s="21"/>
      <c r="Q75" s="21"/>
      <c r="R75" s="32"/>
      <c r="S75" s="32"/>
      <c r="T75" s="21"/>
      <c r="U75" s="21"/>
      <c r="V75" s="21"/>
      <c r="W75" s="21"/>
      <c r="X75" s="21"/>
      <c r="Y75" s="21" t="s">
        <v>28</v>
      </c>
    </row>
    <row r="76" customFormat="false" ht="15.75" hidden="false" customHeight="false" outlineLevel="0" collapsed="false">
      <c r="A76" s="61" t="n">
        <v>5878</v>
      </c>
      <c r="B76" s="29" t="n">
        <v>44432</v>
      </c>
      <c r="C76" s="21" t="s">
        <v>4359</v>
      </c>
      <c r="D76" s="21" t="s">
        <v>24</v>
      </c>
      <c r="E76" s="21" t="s">
        <v>3337</v>
      </c>
      <c r="F76" s="21" t="s">
        <v>4362</v>
      </c>
      <c r="G76" s="30" t="s">
        <v>4361</v>
      </c>
      <c r="H76" s="45" t="str">
        <f aca="false">HYPERLINK("https://photos.app.goo.gl/nLBuvYDDTycxCtjD8", "Completo")</f>
        <v>Completo</v>
      </c>
      <c r="I76" s="21" t="s">
        <v>28</v>
      </c>
      <c r="J76" s="21"/>
      <c r="K76" s="21"/>
      <c r="L76" s="21"/>
      <c r="M76" s="21" t="s">
        <v>2255</v>
      </c>
      <c r="N76" s="30" t="str">
        <f aca="false">G76</f>
        <v>2800x200x200</v>
      </c>
      <c r="O76" s="21"/>
      <c r="P76" s="21"/>
      <c r="Q76" s="21"/>
      <c r="R76" s="32"/>
      <c r="S76" s="32"/>
      <c r="T76" s="21"/>
      <c r="U76" s="21"/>
      <c r="V76" s="21"/>
      <c r="W76" s="21"/>
      <c r="X76" s="21"/>
      <c r="Y76" s="21" t="s">
        <v>28</v>
      </c>
    </row>
    <row r="77" customFormat="false" ht="15.75" hidden="false" customHeight="false" outlineLevel="0" collapsed="false">
      <c r="A77" s="61" t="n">
        <v>5879</v>
      </c>
      <c r="B77" s="29" t="n">
        <v>44432</v>
      </c>
      <c r="C77" s="21" t="s">
        <v>4230</v>
      </c>
      <c r="D77" s="21" t="s">
        <v>24</v>
      </c>
      <c r="E77" s="21" t="s">
        <v>3337</v>
      </c>
      <c r="F77" s="21" t="s">
        <v>4280</v>
      </c>
      <c r="G77" s="30" t="s">
        <v>4363</v>
      </c>
      <c r="H77" s="45" t="str">
        <f aca="false">HYPERLINK("https://photos.app.goo.gl/8HCFE14jkssR1vS99", "Completo")</f>
        <v>Completo</v>
      </c>
      <c r="I77" s="21" t="s">
        <v>28</v>
      </c>
      <c r="J77" s="21"/>
      <c r="K77" s="21"/>
      <c r="L77" s="21"/>
      <c r="M77" s="21"/>
      <c r="N77" s="30" t="str">
        <f aca="false">G77</f>
        <v>4600x1600x40</v>
      </c>
      <c r="O77" s="21"/>
      <c r="P77" s="21"/>
      <c r="Q77" s="21"/>
      <c r="R77" s="32"/>
      <c r="S77" s="32"/>
      <c r="T77" s="21"/>
      <c r="U77" s="21"/>
      <c r="V77" s="21"/>
      <c r="W77" s="21"/>
      <c r="X77" s="21"/>
      <c r="Y77" s="21" t="s">
        <v>28</v>
      </c>
    </row>
    <row r="78" customFormat="false" ht="15.75" hidden="false" customHeight="false" outlineLevel="0" collapsed="false">
      <c r="A78" s="61" t="n">
        <v>5880</v>
      </c>
      <c r="B78" s="29" t="n">
        <v>44434</v>
      </c>
      <c r="C78" s="21" t="s">
        <v>4364</v>
      </c>
      <c r="D78" s="21" t="s">
        <v>24</v>
      </c>
      <c r="E78" s="21" t="s">
        <v>3337</v>
      </c>
      <c r="F78" s="21" t="s">
        <v>3949</v>
      </c>
      <c r="G78" s="30" t="s">
        <v>4365</v>
      </c>
      <c r="H78" s="45" t="str">
        <f aca="false">HYPERLINK("https://photos.app.goo.gl/KC96Z8XRkysL3cVC6", "Completo")</f>
        <v>Completo</v>
      </c>
      <c r="I78" s="21" t="s">
        <v>28</v>
      </c>
      <c r="J78" s="21"/>
      <c r="K78" s="21"/>
      <c r="L78" s="21"/>
      <c r="M78" s="21" t="s">
        <v>2255</v>
      </c>
      <c r="N78" s="30" t="str">
        <f aca="false">G78</f>
        <v>500x330x20</v>
      </c>
      <c r="O78" s="21"/>
      <c r="P78" s="21"/>
      <c r="Q78" s="21"/>
      <c r="R78" s="32"/>
      <c r="S78" s="32"/>
      <c r="T78" s="21" t="s">
        <v>74</v>
      </c>
      <c r="U78" s="74" t="s">
        <v>28</v>
      </c>
      <c r="V78" s="74" t="s">
        <v>28</v>
      </c>
      <c r="W78" s="74" t="s">
        <v>28</v>
      </c>
      <c r="X78" s="21" t="s">
        <v>36</v>
      </c>
      <c r="Y78" s="21" t="s">
        <v>28</v>
      </c>
    </row>
    <row r="79" customFormat="false" ht="15.75" hidden="false" customHeight="false" outlineLevel="0" collapsed="false">
      <c r="A79" s="61" t="n">
        <v>5881</v>
      </c>
      <c r="B79" s="29"/>
      <c r="C79" s="21" t="s">
        <v>1666</v>
      </c>
      <c r="D79" s="21"/>
      <c r="E79" s="21"/>
      <c r="F79" s="21" t="s">
        <v>4366</v>
      </c>
      <c r="G79" s="30"/>
      <c r="H79" s="31"/>
      <c r="I79" s="21"/>
      <c r="J79" s="21"/>
      <c r="K79" s="21"/>
      <c r="L79" s="21"/>
      <c r="M79" s="21"/>
      <c r="N79" s="30"/>
      <c r="O79" s="21"/>
      <c r="P79" s="21"/>
      <c r="Q79" s="21"/>
      <c r="R79" s="32"/>
      <c r="S79" s="32"/>
      <c r="T79" s="21"/>
      <c r="U79" s="21"/>
      <c r="V79" s="21"/>
      <c r="W79" s="21"/>
      <c r="X79" s="21"/>
      <c r="Y79" s="21" t="s">
        <v>28</v>
      </c>
    </row>
    <row r="80" customFormat="false" ht="15.75" hidden="false" customHeight="false" outlineLevel="0" collapsed="false">
      <c r="A80" s="61" t="n">
        <v>5882</v>
      </c>
      <c r="B80" s="29" t="n">
        <v>44434</v>
      </c>
      <c r="C80" s="21" t="s">
        <v>3938</v>
      </c>
      <c r="D80" s="21" t="s">
        <v>24</v>
      </c>
      <c r="E80" s="21" t="s">
        <v>3337</v>
      </c>
      <c r="F80" s="21" t="s">
        <v>3939</v>
      </c>
      <c r="G80" s="30" t="s">
        <v>4367</v>
      </c>
      <c r="H80" s="45" t="str">
        <f aca="false">HYPERLINK("https://photos.app.goo.gl/99fA1k7igfRjsBY69", "Completo")</f>
        <v>Completo</v>
      </c>
      <c r="I80" s="21" t="s">
        <v>28</v>
      </c>
      <c r="J80" s="21"/>
      <c r="K80" s="21"/>
      <c r="L80" s="21"/>
      <c r="M80" s="21" t="s">
        <v>2255</v>
      </c>
      <c r="N80" s="30"/>
      <c r="O80" s="21"/>
      <c r="P80" s="21"/>
      <c r="Q80" s="21"/>
      <c r="R80" s="32"/>
      <c r="S80" s="32"/>
      <c r="T80" s="21" t="s">
        <v>74</v>
      </c>
      <c r="U80" s="74" t="s">
        <v>28</v>
      </c>
      <c r="V80" s="74" t="s">
        <v>28</v>
      </c>
      <c r="W80" s="74" t="s">
        <v>28</v>
      </c>
      <c r="X80" s="21" t="s">
        <v>36</v>
      </c>
      <c r="Y80" s="21" t="s">
        <v>28</v>
      </c>
    </row>
    <row r="81" customFormat="false" ht="15.75" hidden="false" customHeight="false" outlineLevel="0" collapsed="false">
      <c r="A81" s="61" t="s">
        <v>4368</v>
      </c>
      <c r="B81" s="29" t="n">
        <v>44433</v>
      </c>
      <c r="C81" s="21" t="s">
        <v>3528</v>
      </c>
      <c r="D81" s="21" t="s">
        <v>578</v>
      </c>
      <c r="E81" s="21" t="s">
        <v>3337</v>
      </c>
      <c r="F81" s="21" t="s">
        <v>4143</v>
      </c>
      <c r="G81" s="30" t="s">
        <v>4369</v>
      </c>
      <c r="H81" s="45" t="str">
        <f aca="false">HYPERLINK("https://photos.app.goo.gl/PCUU7rYuRJ7iwr2B9", "Completo")</f>
        <v>Completo</v>
      </c>
      <c r="I81" s="21" t="s">
        <v>28</v>
      </c>
      <c r="J81" s="21"/>
      <c r="K81" s="21"/>
      <c r="L81" s="21"/>
      <c r="M81" s="21" t="s">
        <v>4131</v>
      </c>
      <c r="N81" s="30"/>
      <c r="O81" s="21"/>
      <c r="P81" s="21"/>
      <c r="Q81" s="21"/>
      <c r="R81" s="32"/>
      <c r="S81" s="32"/>
      <c r="T81" s="21"/>
      <c r="U81" s="21"/>
      <c r="V81" s="21"/>
      <c r="W81" s="21"/>
      <c r="X81" s="21"/>
      <c r="Y81" s="21"/>
    </row>
    <row r="82" customFormat="false" ht="15.75" hidden="false" customHeight="false" outlineLevel="0" collapsed="false">
      <c r="A82" s="61" t="n">
        <v>5883</v>
      </c>
      <c r="B82" s="29" t="n">
        <v>44434</v>
      </c>
      <c r="C82" s="21" t="s">
        <v>2905</v>
      </c>
      <c r="D82" s="21" t="s">
        <v>24</v>
      </c>
      <c r="E82" s="21" t="s">
        <v>3337</v>
      </c>
      <c r="F82" s="21" t="s">
        <v>4370</v>
      </c>
      <c r="G82" s="30" t="s">
        <v>4371</v>
      </c>
      <c r="H82" s="45" t="str">
        <f aca="false">HYPERLINK("https://photos.app.goo.gl/WQfJfiRkss7i7GrZ8", "Completo")</f>
        <v>Completo</v>
      </c>
      <c r="I82" s="21" t="s">
        <v>28</v>
      </c>
      <c r="J82" s="21"/>
      <c r="K82" s="21"/>
      <c r="L82" s="21"/>
      <c r="M82" s="21" t="s">
        <v>2255</v>
      </c>
      <c r="N82" s="30"/>
      <c r="O82" s="21"/>
      <c r="P82" s="21"/>
      <c r="Q82" s="21"/>
      <c r="R82" s="32"/>
      <c r="S82" s="32"/>
      <c r="T82" s="21" t="s">
        <v>3337</v>
      </c>
      <c r="U82" s="74" t="s">
        <v>28</v>
      </c>
      <c r="V82" s="74" t="s">
        <v>28</v>
      </c>
      <c r="W82" s="74" t="s">
        <v>28</v>
      </c>
      <c r="X82" s="21"/>
      <c r="Y82" s="21" t="s">
        <v>28</v>
      </c>
    </row>
    <row r="83" customFormat="false" ht="15.75" hidden="false" customHeight="false" outlineLevel="0" collapsed="false">
      <c r="A83" s="61" t="n">
        <v>5884</v>
      </c>
      <c r="B83" s="29" t="n">
        <v>44434</v>
      </c>
      <c r="C83" s="21" t="s">
        <v>2905</v>
      </c>
      <c r="D83" s="21" t="s">
        <v>24</v>
      </c>
      <c r="E83" s="21" t="s">
        <v>3337</v>
      </c>
      <c r="F83" s="21" t="s">
        <v>4370</v>
      </c>
      <c r="G83" s="30" t="s">
        <v>4371</v>
      </c>
      <c r="H83" s="45" t="str">
        <f aca="false">HYPERLINK("https://photos.app.goo.gl/a7egLitqkW8HjDwL7", "Completo")</f>
        <v>Completo</v>
      </c>
      <c r="I83" s="21" t="s">
        <v>28</v>
      </c>
      <c r="J83" s="21"/>
      <c r="K83" s="21"/>
      <c r="L83" s="21"/>
      <c r="M83" s="21" t="s">
        <v>2255</v>
      </c>
      <c r="N83" s="30" t="s">
        <v>4372</v>
      </c>
      <c r="O83" s="21" t="s">
        <v>28</v>
      </c>
      <c r="P83" s="74" t="s">
        <v>28</v>
      </c>
      <c r="Q83" s="21" t="s">
        <v>4373</v>
      </c>
      <c r="R83" s="32" t="s">
        <v>3337</v>
      </c>
      <c r="S83" s="32"/>
      <c r="T83" s="21" t="s">
        <v>3337</v>
      </c>
      <c r="U83" s="74" t="s">
        <v>28</v>
      </c>
      <c r="V83" s="74" t="s">
        <v>28</v>
      </c>
      <c r="W83" s="21" t="s">
        <v>28</v>
      </c>
      <c r="X83" s="21"/>
      <c r="Y83" s="21" t="s">
        <v>28</v>
      </c>
    </row>
    <row r="84" customFormat="false" ht="15.75" hidden="false" customHeight="false" outlineLevel="0" collapsed="false">
      <c r="A84" s="61" t="n">
        <v>5885</v>
      </c>
      <c r="B84" s="29" t="n">
        <v>44434</v>
      </c>
      <c r="C84" s="21" t="s">
        <v>4374</v>
      </c>
      <c r="D84" s="21" t="s">
        <v>24</v>
      </c>
      <c r="E84" s="21" t="s">
        <v>3337</v>
      </c>
      <c r="F84" s="21" t="s">
        <v>4375</v>
      </c>
      <c r="G84" s="30" t="s">
        <v>4376</v>
      </c>
      <c r="H84" s="45" t="str">
        <f aca="false">HYPERLINK("https://photos.app.goo.gl/XQG162E7pMxHwZ6K7", "Completo")</f>
        <v>Completo</v>
      </c>
      <c r="I84" s="21" t="s">
        <v>28</v>
      </c>
      <c r="J84" s="21"/>
      <c r="K84" s="21"/>
      <c r="L84" s="21"/>
      <c r="M84" s="21" t="s">
        <v>2255</v>
      </c>
      <c r="N84" s="69" t="s">
        <v>4377</v>
      </c>
      <c r="O84" s="21" t="s">
        <v>28</v>
      </c>
      <c r="P84" s="21" t="s">
        <v>28</v>
      </c>
      <c r="Q84" s="21" t="s">
        <v>3792</v>
      </c>
      <c r="R84" s="32" t="s">
        <v>74</v>
      </c>
      <c r="S84" s="32" t="s">
        <v>36</v>
      </c>
      <c r="T84" s="21" t="s">
        <v>74</v>
      </c>
      <c r="U84" s="74" t="s">
        <v>28</v>
      </c>
      <c r="V84" s="74" t="s">
        <v>28</v>
      </c>
      <c r="W84" s="74" t="s">
        <v>28</v>
      </c>
      <c r="X84" s="21" t="s">
        <v>36</v>
      </c>
      <c r="Y84" s="21" t="s">
        <v>28</v>
      </c>
    </row>
    <row r="85" customFormat="false" ht="15.75" hidden="false" customHeight="false" outlineLevel="0" collapsed="false">
      <c r="A85" s="61" t="n">
        <v>5886</v>
      </c>
      <c r="B85" s="29" t="n">
        <v>44434</v>
      </c>
      <c r="C85" s="21" t="s">
        <v>4374</v>
      </c>
      <c r="D85" s="21" t="s">
        <v>24</v>
      </c>
      <c r="E85" s="21" t="s">
        <v>3337</v>
      </c>
      <c r="F85" s="21" t="s">
        <v>4375</v>
      </c>
      <c r="G85" s="30" t="s">
        <v>4376</v>
      </c>
      <c r="H85" s="45" t="str">
        <f aca="false">HYPERLINK("https://photos.app.goo.gl/66zHhWwr8mUX5e2Q6", "Completo")</f>
        <v>Completo</v>
      </c>
      <c r="I85" s="21" t="s">
        <v>28</v>
      </c>
      <c r="J85" s="21"/>
      <c r="K85" s="21"/>
      <c r="L85" s="21"/>
      <c r="M85" s="21" t="s">
        <v>2255</v>
      </c>
      <c r="N85" s="69" t="s">
        <v>4378</v>
      </c>
      <c r="O85" s="21" t="s">
        <v>28</v>
      </c>
      <c r="P85" s="21" t="s">
        <v>28</v>
      </c>
      <c r="Q85" s="21" t="s">
        <v>3473</v>
      </c>
      <c r="R85" s="32" t="s">
        <v>74</v>
      </c>
      <c r="S85" s="32" t="s">
        <v>36</v>
      </c>
      <c r="T85" s="21" t="s">
        <v>74</v>
      </c>
      <c r="U85" s="74" t="s">
        <v>28</v>
      </c>
      <c r="V85" s="74" t="s">
        <v>28</v>
      </c>
      <c r="W85" s="74" t="s">
        <v>28</v>
      </c>
      <c r="X85" s="21" t="s">
        <v>36</v>
      </c>
      <c r="Y85" s="21" t="s">
        <v>28</v>
      </c>
    </row>
    <row r="86" customFormat="false" ht="15.75" hidden="false" customHeight="false" outlineLevel="0" collapsed="false">
      <c r="A86" s="61" t="n">
        <v>5887</v>
      </c>
      <c r="B86" s="29" t="n">
        <v>44438</v>
      </c>
      <c r="C86" s="21" t="s">
        <v>4379</v>
      </c>
      <c r="D86" s="21" t="s">
        <v>24</v>
      </c>
      <c r="E86" s="21" t="s">
        <v>3337</v>
      </c>
      <c r="F86" s="21" t="s">
        <v>3903</v>
      </c>
      <c r="G86" s="30" t="s">
        <v>4380</v>
      </c>
      <c r="H86" s="45" t="str">
        <f aca="false">HYPERLINK("https://photos.app.goo.gl/knhofR8511dkSKeL7", "Completo")</f>
        <v>Completo</v>
      </c>
      <c r="I86" s="74" t="s">
        <v>28</v>
      </c>
      <c r="J86" s="21"/>
      <c r="K86" s="21"/>
      <c r="L86" s="21"/>
      <c r="M86" s="21" t="s">
        <v>2255</v>
      </c>
      <c r="N86" s="30"/>
      <c r="O86" s="21"/>
      <c r="P86" s="21"/>
      <c r="Q86" s="21"/>
      <c r="R86" s="32"/>
      <c r="S86" s="32"/>
      <c r="T86" s="21" t="s">
        <v>3337</v>
      </c>
      <c r="U86" s="21" t="s">
        <v>28</v>
      </c>
      <c r="V86" s="21" t="s">
        <v>28</v>
      </c>
      <c r="W86" s="74" t="s">
        <v>28</v>
      </c>
      <c r="X86" s="74" t="s">
        <v>3695</v>
      </c>
      <c r="Y86" s="21" t="s">
        <v>28</v>
      </c>
    </row>
    <row r="87" customFormat="false" ht="15.75" hidden="false" customHeight="false" outlineLevel="0" collapsed="false">
      <c r="A87" s="61" t="n">
        <v>5888</v>
      </c>
      <c r="B87" s="29" t="n">
        <v>44438</v>
      </c>
      <c r="C87" s="21" t="s">
        <v>2309</v>
      </c>
      <c r="D87" s="21" t="s">
        <v>24</v>
      </c>
      <c r="E87" s="21" t="s">
        <v>3337</v>
      </c>
      <c r="F87" s="21" t="s">
        <v>4381</v>
      </c>
      <c r="G87" s="30" t="s">
        <v>4382</v>
      </c>
      <c r="H87" s="45" t="str">
        <f aca="false">HYPERLINK("https://photos.app.goo.gl/9HjXXcGLfjig7THQ6", "Completo")</f>
        <v>Completo</v>
      </c>
      <c r="I87" s="21" t="s">
        <v>28</v>
      </c>
      <c r="J87" s="21"/>
      <c r="K87" s="21"/>
      <c r="L87" s="21"/>
      <c r="M87" s="21" t="s">
        <v>2255</v>
      </c>
      <c r="N87" s="69" t="s">
        <v>4383</v>
      </c>
      <c r="O87" s="21" t="s">
        <v>28</v>
      </c>
      <c r="P87" s="21" t="s">
        <v>28</v>
      </c>
      <c r="Q87" s="21" t="s">
        <v>73</v>
      </c>
      <c r="R87" s="32" t="s">
        <v>74</v>
      </c>
      <c r="S87" s="32" t="s">
        <v>36</v>
      </c>
      <c r="T87" s="21" t="s">
        <v>74</v>
      </c>
      <c r="U87" s="74" t="s">
        <v>28</v>
      </c>
      <c r="V87" s="74" t="s">
        <v>28</v>
      </c>
      <c r="W87" s="74" t="s">
        <v>28</v>
      </c>
      <c r="X87" s="21" t="s">
        <v>36</v>
      </c>
      <c r="Y87" s="21" t="s">
        <v>28</v>
      </c>
    </row>
    <row r="88" customFormat="false" ht="15.75" hidden="false" customHeight="false" outlineLevel="0" collapsed="false">
      <c r="A88" s="63" t="n">
        <v>909821</v>
      </c>
      <c r="B88" s="29" t="n">
        <v>44438</v>
      </c>
      <c r="C88" s="21" t="s">
        <v>3516</v>
      </c>
      <c r="D88" s="21" t="s">
        <v>24</v>
      </c>
      <c r="E88" s="21" t="s">
        <v>3337</v>
      </c>
      <c r="F88" s="21" t="s">
        <v>711</v>
      </c>
      <c r="G88" s="30" t="s">
        <v>4089</v>
      </c>
      <c r="H88" s="45" t="str">
        <f aca="false">HYPERLINK("https://photos.app.goo.gl/vxGmpD3ycNTRLACp8", "Completo")</f>
        <v>Completo</v>
      </c>
      <c r="I88" s="21" t="s">
        <v>28</v>
      </c>
      <c r="J88" s="21"/>
      <c r="K88" s="21"/>
      <c r="L88" s="21"/>
      <c r="M88" s="21" t="s">
        <v>2255</v>
      </c>
      <c r="N88" s="69" t="s">
        <v>4384</v>
      </c>
      <c r="O88" s="21" t="s">
        <v>28</v>
      </c>
      <c r="P88" s="21" t="s">
        <v>28</v>
      </c>
      <c r="Q88" s="21" t="s">
        <v>2803</v>
      </c>
      <c r="R88" s="32" t="s">
        <v>74</v>
      </c>
      <c r="S88" s="32" t="s">
        <v>36</v>
      </c>
      <c r="T88" s="21" t="s">
        <v>74</v>
      </c>
      <c r="U88" s="74" t="s">
        <v>28</v>
      </c>
      <c r="V88" s="74" t="s">
        <v>28</v>
      </c>
      <c r="W88" s="74" t="s">
        <v>28</v>
      </c>
      <c r="X88" s="21" t="s">
        <v>36</v>
      </c>
      <c r="Y88" s="21" t="s">
        <v>28</v>
      </c>
    </row>
    <row r="89" customFormat="false" ht="15.75" hidden="false" customHeight="false" outlineLevel="0" collapsed="false">
      <c r="A89" s="63" t="n">
        <v>999305</v>
      </c>
      <c r="B89" s="29" t="n">
        <v>44439</v>
      </c>
      <c r="C89" s="21" t="s">
        <v>2905</v>
      </c>
      <c r="D89" s="21" t="s">
        <v>24</v>
      </c>
      <c r="E89" s="21" t="s">
        <v>3337</v>
      </c>
      <c r="F89" s="21" t="s">
        <v>4385</v>
      </c>
      <c r="G89" s="30" t="s">
        <v>4386</v>
      </c>
      <c r="H89" s="45" t="str">
        <f aca="false">HYPERLINK("https://photos.app.goo.gl/8cqPhWe94xCH6eLa6", "Completo")</f>
        <v>Completo</v>
      </c>
      <c r="I89" s="21" t="s">
        <v>28</v>
      </c>
      <c r="J89" s="21"/>
      <c r="K89" s="21"/>
      <c r="L89" s="21"/>
      <c r="M89" s="21" t="s">
        <v>2255</v>
      </c>
      <c r="N89" s="30"/>
      <c r="O89" s="21"/>
      <c r="P89" s="21"/>
      <c r="Q89" s="21"/>
      <c r="R89" s="32"/>
      <c r="S89" s="32"/>
      <c r="T89" s="21"/>
      <c r="U89" s="21"/>
      <c r="V89" s="21"/>
      <c r="W89" s="21"/>
      <c r="X89" s="21"/>
      <c r="Y89" s="21" t="s">
        <v>28</v>
      </c>
    </row>
    <row r="90" customFormat="false" ht="15.75" hidden="false" customHeight="false" outlineLevel="0" collapsed="false">
      <c r="A90" s="61" t="n">
        <v>5889</v>
      </c>
      <c r="B90" s="29" t="n">
        <v>44439</v>
      </c>
      <c r="C90" s="21" t="s">
        <v>2309</v>
      </c>
      <c r="D90" s="21" t="s">
        <v>24</v>
      </c>
      <c r="E90" s="21" t="s">
        <v>3337</v>
      </c>
      <c r="F90" s="21" t="s">
        <v>4387</v>
      </c>
      <c r="G90" s="30" t="s">
        <v>4388</v>
      </c>
      <c r="H90" s="45" t="str">
        <f aca="false">HYPERLINK("https://photos.app.goo.gl/zP6N99FyzkYQQVas9", "Completo")</f>
        <v>Completo</v>
      </c>
      <c r="I90" s="21" t="s">
        <v>28</v>
      </c>
      <c r="J90" s="21"/>
      <c r="K90" s="21"/>
      <c r="L90" s="21"/>
      <c r="M90" s="21" t="s">
        <v>2255</v>
      </c>
      <c r="N90" s="30"/>
      <c r="O90" s="21"/>
      <c r="P90" s="21"/>
      <c r="Q90" s="21"/>
      <c r="R90" s="32"/>
      <c r="S90" s="32"/>
      <c r="T90" s="21"/>
      <c r="U90" s="21"/>
      <c r="V90" s="21"/>
      <c r="W90" s="21"/>
      <c r="X90" s="21"/>
      <c r="Y90" s="21" t="s">
        <v>28</v>
      </c>
    </row>
    <row r="91" customFormat="false" ht="15.75" hidden="false" customHeight="false" outlineLevel="0" collapsed="false">
      <c r="A91" s="61" t="n">
        <v>5890</v>
      </c>
      <c r="B91" s="29" t="n">
        <v>44439</v>
      </c>
      <c r="C91" s="21" t="s">
        <v>4389</v>
      </c>
      <c r="D91" s="21" t="s">
        <v>24</v>
      </c>
      <c r="E91" s="21" t="s">
        <v>3337</v>
      </c>
      <c r="F91" s="21" t="s">
        <v>4390</v>
      </c>
      <c r="G91" s="30" t="s">
        <v>4391</v>
      </c>
      <c r="H91" s="45" t="str">
        <f aca="false">HYPERLINK("https://photos.app.goo.gl/2fycRcNbzs6hAHAK9", "Completo")</f>
        <v>Completo</v>
      </c>
      <c r="I91" s="21" t="s">
        <v>28</v>
      </c>
      <c r="J91" s="21"/>
      <c r="K91" s="21"/>
      <c r="L91" s="21"/>
      <c r="M91" s="21" t="s">
        <v>2255</v>
      </c>
      <c r="N91" s="30"/>
      <c r="O91" s="21"/>
      <c r="P91" s="21"/>
      <c r="Q91" s="21"/>
      <c r="R91" s="32"/>
      <c r="S91" s="32"/>
      <c r="T91" s="21"/>
      <c r="U91" s="21"/>
      <c r="V91" s="21"/>
      <c r="W91" s="21"/>
      <c r="X91" s="21"/>
      <c r="Y91" s="21" t="s">
        <v>37</v>
      </c>
    </row>
    <row r="92" customFormat="false" ht="15.75" hidden="false" customHeight="false" outlineLevel="0" collapsed="false">
      <c r="A92" s="61"/>
      <c r="B92" s="29"/>
      <c r="C92" s="21"/>
      <c r="D92" s="21"/>
      <c r="E92" s="21"/>
      <c r="F92" s="21"/>
      <c r="G92" s="30"/>
      <c r="H92" s="31"/>
      <c r="I92" s="21"/>
      <c r="J92" s="21"/>
      <c r="K92" s="21"/>
      <c r="L92" s="21"/>
      <c r="M92" s="21"/>
      <c r="N92" s="30"/>
      <c r="O92" s="21"/>
      <c r="P92" s="21"/>
      <c r="Q92" s="21"/>
      <c r="R92" s="32"/>
      <c r="S92" s="32"/>
      <c r="T92" s="21"/>
      <c r="U92" s="21"/>
      <c r="V92" s="21"/>
      <c r="W92" s="21"/>
      <c r="X92" s="21"/>
      <c r="Y92" s="21"/>
    </row>
    <row r="93" customFormat="false" ht="15.75" hidden="false" customHeight="false" outlineLevel="0" collapsed="false">
      <c r="A93" s="61"/>
      <c r="B93" s="29"/>
      <c r="C93" s="21"/>
      <c r="D93" s="21"/>
      <c r="E93" s="21"/>
      <c r="F93" s="21"/>
      <c r="G93" s="30"/>
      <c r="H93" s="31"/>
      <c r="I93" s="21"/>
      <c r="J93" s="21"/>
      <c r="K93" s="21"/>
      <c r="L93" s="21"/>
      <c r="M93" s="21"/>
      <c r="N93" s="30"/>
      <c r="O93" s="21"/>
      <c r="P93" s="21"/>
      <c r="Q93" s="21"/>
      <c r="R93" s="32"/>
      <c r="S93" s="32"/>
      <c r="T93" s="21"/>
      <c r="U93" s="21"/>
      <c r="V93" s="21"/>
      <c r="W93" s="21"/>
      <c r="X93" s="21"/>
      <c r="Y93" s="21"/>
    </row>
    <row r="94" customFormat="false" ht="15.75" hidden="false" customHeight="false" outlineLevel="0" collapsed="false">
      <c r="A94" s="61"/>
      <c r="B94" s="29"/>
      <c r="C94" s="21"/>
      <c r="D94" s="21"/>
      <c r="E94" s="21"/>
      <c r="F94" s="21"/>
      <c r="G94" s="30"/>
      <c r="H94" s="31"/>
      <c r="I94" s="21"/>
      <c r="J94" s="21"/>
      <c r="K94" s="21"/>
      <c r="L94" s="21"/>
      <c r="M94" s="21"/>
      <c r="N94" s="30"/>
      <c r="O94" s="21"/>
      <c r="P94" s="21"/>
      <c r="Q94" s="21"/>
      <c r="R94" s="32"/>
      <c r="S94" s="32"/>
      <c r="T94" s="21"/>
      <c r="U94" s="21"/>
      <c r="V94" s="21"/>
      <c r="W94" s="21"/>
      <c r="X94" s="21"/>
      <c r="Y94" s="21"/>
    </row>
    <row r="95" customFormat="false" ht="15.75" hidden="false" customHeight="false" outlineLevel="0" collapsed="false">
      <c r="A95" s="61"/>
      <c r="B95" s="29"/>
      <c r="C95" s="21"/>
      <c r="D95" s="21"/>
      <c r="E95" s="21"/>
      <c r="F95" s="21"/>
      <c r="G95" s="30"/>
      <c r="H95" s="31"/>
      <c r="I95" s="21"/>
      <c r="J95" s="21"/>
      <c r="K95" s="21"/>
      <c r="L95" s="21"/>
      <c r="M95" s="21"/>
      <c r="N95" s="30"/>
      <c r="O95" s="21"/>
      <c r="P95" s="21"/>
      <c r="Q95" s="21"/>
      <c r="R95" s="32"/>
      <c r="S95" s="32"/>
      <c r="T95" s="21"/>
      <c r="U95" s="21"/>
      <c r="V95" s="21"/>
      <c r="W95" s="21"/>
      <c r="X95" s="21"/>
      <c r="Y95" s="21"/>
    </row>
    <row r="96" customFormat="false" ht="15.75" hidden="false" customHeight="false" outlineLevel="0" collapsed="false">
      <c r="A96" s="61"/>
      <c r="B96" s="29"/>
      <c r="C96" s="21"/>
      <c r="D96" s="21"/>
      <c r="E96" s="21"/>
      <c r="F96" s="21"/>
      <c r="G96" s="30"/>
      <c r="H96" s="31"/>
      <c r="I96" s="21"/>
      <c r="J96" s="21"/>
      <c r="K96" s="21"/>
      <c r="L96" s="21"/>
      <c r="M96" s="21"/>
      <c r="N96" s="30"/>
      <c r="O96" s="21"/>
      <c r="P96" s="21"/>
      <c r="Q96" s="21"/>
      <c r="R96" s="32"/>
      <c r="S96" s="32"/>
      <c r="T96" s="21"/>
      <c r="U96" s="21"/>
      <c r="V96" s="21"/>
      <c r="W96" s="21"/>
      <c r="X96" s="21"/>
      <c r="Y96" s="21"/>
    </row>
    <row r="97" customFormat="false" ht="15.75" hidden="false" customHeight="false" outlineLevel="0" collapsed="false">
      <c r="A97" s="61"/>
      <c r="B97" s="29"/>
      <c r="C97" s="21"/>
      <c r="D97" s="21"/>
      <c r="E97" s="21"/>
      <c r="F97" s="21"/>
      <c r="G97" s="30"/>
      <c r="H97" s="31"/>
      <c r="I97" s="21"/>
      <c r="J97" s="21"/>
      <c r="K97" s="21"/>
      <c r="L97" s="21"/>
      <c r="M97" s="21"/>
      <c r="N97" s="30"/>
      <c r="O97" s="21"/>
      <c r="P97" s="21"/>
      <c r="Q97" s="21"/>
      <c r="R97" s="32"/>
      <c r="S97" s="32"/>
      <c r="T97" s="21"/>
      <c r="U97" s="21"/>
      <c r="V97" s="21"/>
      <c r="W97" s="21"/>
      <c r="X97" s="21"/>
      <c r="Y97" s="21"/>
    </row>
    <row r="98" customFormat="false" ht="15.75" hidden="false" customHeight="false" outlineLevel="0" collapsed="false">
      <c r="A98" s="61"/>
      <c r="B98" s="29"/>
      <c r="C98" s="21"/>
      <c r="D98" s="21"/>
      <c r="E98" s="21"/>
      <c r="F98" s="21"/>
      <c r="G98" s="30"/>
      <c r="H98" s="31"/>
      <c r="I98" s="21"/>
      <c r="J98" s="21"/>
      <c r="K98" s="21"/>
      <c r="L98" s="21"/>
      <c r="M98" s="21"/>
      <c r="N98" s="30"/>
      <c r="O98" s="21"/>
      <c r="P98" s="21"/>
      <c r="Q98" s="21"/>
      <c r="R98" s="32"/>
      <c r="S98" s="32"/>
      <c r="T98" s="21"/>
      <c r="U98" s="21"/>
      <c r="V98" s="21"/>
      <c r="W98" s="21"/>
      <c r="X98" s="21"/>
      <c r="Y98" s="21"/>
    </row>
    <row r="99" customFormat="false" ht="15.75" hidden="false" customHeight="false" outlineLevel="0" collapsed="false">
      <c r="A99" s="61"/>
      <c r="B99" s="29"/>
      <c r="C99" s="21"/>
      <c r="D99" s="21"/>
      <c r="E99" s="21"/>
      <c r="F99" s="21"/>
      <c r="G99" s="30"/>
      <c r="H99" s="31"/>
      <c r="I99" s="21"/>
      <c r="J99" s="21"/>
      <c r="K99" s="21"/>
      <c r="L99" s="21"/>
      <c r="M99" s="21"/>
      <c r="N99" s="30"/>
      <c r="O99" s="21"/>
      <c r="P99" s="21"/>
      <c r="Q99" s="21"/>
      <c r="R99" s="32"/>
      <c r="S99" s="32"/>
      <c r="T99" s="21"/>
      <c r="U99" s="21"/>
      <c r="V99" s="21"/>
      <c r="W99" s="21"/>
      <c r="X99" s="21"/>
      <c r="Y99" s="21"/>
    </row>
    <row r="100" customFormat="false" ht="15.75" hidden="false" customHeight="false" outlineLevel="0" collapsed="false">
      <c r="A100" s="61"/>
      <c r="B100" s="29"/>
      <c r="C100" s="21"/>
      <c r="D100" s="21"/>
      <c r="E100" s="21"/>
      <c r="F100" s="21"/>
      <c r="G100" s="30"/>
      <c r="H100" s="31"/>
      <c r="I100" s="21"/>
      <c r="J100" s="21"/>
      <c r="K100" s="21"/>
      <c r="L100" s="21"/>
      <c r="M100" s="21"/>
      <c r="N100" s="30"/>
      <c r="O100" s="21"/>
      <c r="P100" s="21"/>
      <c r="Q100" s="21"/>
      <c r="R100" s="32"/>
      <c r="S100" s="32"/>
      <c r="T100" s="21"/>
      <c r="U100" s="21"/>
      <c r="V100" s="21"/>
      <c r="W100" s="21"/>
      <c r="X100" s="21"/>
      <c r="Y100" s="21"/>
    </row>
    <row r="101" customFormat="false" ht="15.75" hidden="false" customHeight="false" outlineLevel="0" collapsed="false">
      <c r="A101" s="61"/>
      <c r="B101" s="29"/>
      <c r="C101" s="21"/>
      <c r="D101" s="21"/>
      <c r="E101" s="21"/>
      <c r="F101" s="21"/>
      <c r="G101" s="30"/>
      <c r="H101" s="31"/>
      <c r="I101" s="21"/>
      <c r="J101" s="21"/>
      <c r="K101" s="21"/>
      <c r="L101" s="21"/>
      <c r="M101" s="21"/>
      <c r="N101" s="30"/>
      <c r="O101" s="21"/>
      <c r="P101" s="21"/>
      <c r="Q101" s="21"/>
      <c r="R101" s="32"/>
      <c r="S101" s="32"/>
      <c r="T101" s="21"/>
      <c r="U101" s="21"/>
      <c r="V101" s="21"/>
      <c r="W101" s="21"/>
      <c r="X101" s="21"/>
      <c r="Y101" s="21"/>
    </row>
    <row r="102" customFormat="false" ht="15.75" hidden="false" customHeight="false" outlineLevel="0" collapsed="false">
      <c r="A102" s="61"/>
      <c r="B102" s="29"/>
      <c r="C102" s="21"/>
      <c r="D102" s="21"/>
      <c r="E102" s="21"/>
      <c r="F102" s="21"/>
      <c r="G102" s="30"/>
      <c r="H102" s="31"/>
      <c r="I102" s="21"/>
      <c r="J102" s="21"/>
      <c r="K102" s="21"/>
      <c r="L102" s="21"/>
      <c r="M102" s="21"/>
      <c r="N102" s="30"/>
      <c r="O102" s="21"/>
      <c r="P102" s="21"/>
      <c r="Q102" s="21"/>
      <c r="R102" s="32"/>
      <c r="S102" s="32"/>
      <c r="T102" s="21"/>
      <c r="U102" s="21"/>
      <c r="V102" s="21"/>
      <c r="W102" s="21"/>
      <c r="X102" s="21"/>
      <c r="Y102" s="21"/>
    </row>
    <row r="103" customFormat="false" ht="15.75" hidden="false" customHeight="false" outlineLevel="0" collapsed="false">
      <c r="A103" s="61"/>
      <c r="B103" s="29"/>
      <c r="C103" s="21"/>
      <c r="D103" s="21"/>
      <c r="E103" s="21"/>
      <c r="F103" s="21"/>
      <c r="G103" s="30"/>
      <c r="H103" s="31"/>
      <c r="I103" s="21"/>
      <c r="J103" s="21"/>
      <c r="K103" s="21"/>
      <c r="L103" s="21"/>
      <c r="M103" s="21"/>
      <c r="N103" s="30"/>
      <c r="O103" s="21"/>
      <c r="P103" s="21"/>
      <c r="Q103" s="21"/>
      <c r="R103" s="32"/>
      <c r="S103" s="32"/>
      <c r="T103" s="21"/>
      <c r="U103" s="21"/>
      <c r="V103" s="21"/>
      <c r="W103" s="21"/>
      <c r="X103" s="21"/>
      <c r="Y103" s="21"/>
    </row>
    <row r="104" customFormat="false" ht="15.75" hidden="false" customHeight="false" outlineLevel="0" collapsed="false">
      <c r="A104" s="61"/>
      <c r="B104" s="29"/>
      <c r="C104" s="21"/>
      <c r="D104" s="21"/>
      <c r="E104" s="21"/>
      <c r="F104" s="21"/>
      <c r="G104" s="30"/>
      <c r="H104" s="31"/>
      <c r="I104" s="21"/>
      <c r="J104" s="21"/>
      <c r="K104" s="21"/>
      <c r="L104" s="21"/>
      <c r="M104" s="21"/>
      <c r="N104" s="30"/>
      <c r="O104" s="21"/>
      <c r="P104" s="21"/>
      <c r="Q104" s="21"/>
      <c r="R104" s="32"/>
      <c r="S104" s="32"/>
      <c r="T104" s="21"/>
      <c r="U104" s="21"/>
      <c r="V104" s="21"/>
      <c r="W104" s="21"/>
      <c r="X104" s="21"/>
      <c r="Y104" s="21"/>
    </row>
    <row r="105" customFormat="false" ht="15.75" hidden="false" customHeight="false" outlineLevel="0" collapsed="false">
      <c r="A105" s="61"/>
      <c r="B105" s="29"/>
      <c r="C105" s="21"/>
      <c r="D105" s="21"/>
      <c r="E105" s="21"/>
      <c r="F105" s="21"/>
      <c r="G105" s="30"/>
      <c r="H105" s="31"/>
      <c r="I105" s="21"/>
      <c r="J105" s="21"/>
      <c r="K105" s="21"/>
      <c r="L105" s="21"/>
      <c r="M105" s="21"/>
      <c r="N105" s="30"/>
      <c r="O105" s="21"/>
      <c r="P105" s="21"/>
      <c r="Q105" s="21"/>
      <c r="R105" s="32"/>
      <c r="S105" s="32"/>
      <c r="T105" s="21"/>
      <c r="U105" s="21"/>
      <c r="V105" s="21"/>
      <c r="W105" s="21"/>
      <c r="X105" s="21"/>
      <c r="Y105" s="21"/>
    </row>
    <row r="106" customFormat="false" ht="15.75" hidden="false" customHeight="false" outlineLevel="0" collapsed="false">
      <c r="A106" s="61"/>
      <c r="B106" s="29"/>
      <c r="C106" s="21"/>
      <c r="D106" s="21"/>
      <c r="E106" s="21"/>
      <c r="F106" s="21"/>
      <c r="G106" s="30"/>
      <c r="H106" s="31"/>
      <c r="I106" s="21"/>
      <c r="J106" s="21"/>
      <c r="K106" s="21"/>
      <c r="L106" s="21"/>
      <c r="M106" s="21"/>
      <c r="N106" s="30"/>
      <c r="O106" s="21"/>
      <c r="P106" s="21"/>
      <c r="Q106" s="21"/>
      <c r="R106" s="32"/>
      <c r="S106" s="32"/>
      <c r="T106" s="21"/>
      <c r="U106" s="21"/>
      <c r="V106" s="21"/>
      <c r="W106" s="21"/>
      <c r="X106" s="21"/>
      <c r="Y106" s="21"/>
    </row>
    <row r="107" customFormat="false" ht="15.75" hidden="false" customHeight="false" outlineLevel="0" collapsed="false">
      <c r="A107" s="61"/>
      <c r="B107" s="29"/>
      <c r="C107" s="21"/>
      <c r="D107" s="21"/>
      <c r="E107" s="21"/>
      <c r="F107" s="21"/>
      <c r="G107" s="30"/>
      <c r="H107" s="31"/>
      <c r="I107" s="21"/>
      <c r="J107" s="21"/>
      <c r="K107" s="21"/>
      <c r="L107" s="21"/>
      <c r="M107" s="21"/>
      <c r="N107" s="30"/>
      <c r="O107" s="21"/>
      <c r="P107" s="21"/>
      <c r="Q107" s="21"/>
      <c r="R107" s="32"/>
      <c r="S107" s="32"/>
      <c r="T107" s="21"/>
      <c r="U107" s="21"/>
      <c r="V107" s="21"/>
      <c r="W107" s="21"/>
      <c r="X107" s="21"/>
      <c r="Y107" s="21"/>
    </row>
    <row r="108" customFormat="false" ht="15.75" hidden="false" customHeight="false" outlineLevel="0" collapsed="false">
      <c r="A108" s="61"/>
      <c r="B108" s="29"/>
      <c r="C108" s="21"/>
      <c r="D108" s="21"/>
      <c r="E108" s="21"/>
      <c r="F108" s="21"/>
      <c r="G108" s="30"/>
      <c r="H108" s="31"/>
      <c r="I108" s="21"/>
      <c r="J108" s="21"/>
      <c r="K108" s="21"/>
      <c r="L108" s="21"/>
      <c r="M108" s="21"/>
      <c r="N108" s="30"/>
      <c r="O108" s="21"/>
      <c r="P108" s="21"/>
      <c r="Q108" s="21"/>
      <c r="R108" s="32"/>
      <c r="S108" s="32"/>
      <c r="T108" s="21"/>
      <c r="U108" s="21"/>
      <c r="V108" s="21"/>
      <c r="W108" s="21"/>
      <c r="X108" s="21"/>
      <c r="Y108" s="21"/>
    </row>
    <row r="109" customFormat="false" ht="15.75" hidden="false" customHeight="false" outlineLevel="0" collapsed="false">
      <c r="A109" s="61"/>
      <c r="B109" s="29"/>
      <c r="C109" s="21"/>
      <c r="D109" s="21"/>
      <c r="E109" s="21"/>
      <c r="F109" s="21"/>
      <c r="G109" s="30"/>
      <c r="H109" s="31"/>
      <c r="I109" s="21"/>
      <c r="J109" s="21"/>
      <c r="K109" s="21"/>
      <c r="L109" s="21"/>
      <c r="M109" s="21"/>
      <c r="N109" s="30"/>
      <c r="O109" s="21"/>
      <c r="P109" s="21"/>
      <c r="Q109" s="21"/>
      <c r="R109" s="32"/>
      <c r="S109" s="32"/>
      <c r="T109" s="21"/>
      <c r="U109" s="21"/>
      <c r="V109" s="21"/>
      <c r="W109" s="21"/>
      <c r="X109" s="21"/>
      <c r="Y109" s="21"/>
    </row>
    <row r="110" customFormat="false" ht="15.75" hidden="false" customHeight="false" outlineLevel="0" collapsed="false">
      <c r="A110" s="61"/>
      <c r="B110" s="29"/>
      <c r="C110" s="21"/>
      <c r="D110" s="21"/>
      <c r="E110" s="21"/>
      <c r="F110" s="21"/>
      <c r="G110" s="30"/>
      <c r="H110" s="31"/>
      <c r="I110" s="21"/>
      <c r="J110" s="21"/>
      <c r="K110" s="21"/>
      <c r="L110" s="21"/>
      <c r="M110" s="21"/>
      <c r="N110" s="30"/>
      <c r="O110" s="21"/>
      <c r="P110" s="21"/>
      <c r="Q110" s="21"/>
      <c r="R110" s="32"/>
      <c r="S110" s="32"/>
      <c r="T110" s="21"/>
      <c r="U110" s="21"/>
      <c r="V110" s="21"/>
      <c r="W110" s="21"/>
      <c r="X110" s="21"/>
      <c r="Y110" s="21"/>
    </row>
    <row r="111" customFormat="false" ht="15.75" hidden="false" customHeight="false" outlineLevel="0" collapsed="false">
      <c r="A111" s="61"/>
      <c r="B111" s="29"/>
      <c r="C111" s="21"/>
      <c r="D111" s="21"/>
      <c r="E111" s="21"/>
      <c r="F111" s="21"/>
      <c r="G111" s="30"/>
      <c r="H111" s="31"/>
      <c r="I111" s="21"/>
      <c r="J111" s="21"/>
      <c r="K111" s="21"/>
      <c r="L111" s="21"/>
      <c r="M111" s="21"/>
      <c r="N111" s="30"/>
      <c r="O111" s="21"/>
      <c r="P111" s="21"/>
      <c r="Q111" s="21"/>
      <c r="R111" s="32"/>
      <c r="S111" s="32"/>
      <c r="T111" s="21"/>
      <c r="U111" s="21"/>
      <c r="V111" s="21"/>
      <c r="W111" s="21"/>
      <c r="X111" s="21"/>
      <c r="Y111" s="21"/>
    </row>
    <row r="112" customFormat="false" ht="15.75" hidden="false" customHeight="false" outlineLevel="0" collapsed="false">
      <c r="A112" s="61"/>
      <c r="B112" s="29"/>
      <c r="C112" s="21"/>
      <c r="D112" s="21"/>
      <c r="E112" s="21"/>
      <c r="F112" s="21"/>
      <c r="G112" s="30"/>
      <c r="H112" s="31"/>
      <c r="I112" s="21"/>
      <c r="J112" s="21"/>
      <c r="K112" s="21"/>
      <c r="L112" s="21"/>
      <c r="M112" s="21"/>
      <c r="N112" s="30"/>
      <c r="O112" s="21"/>
      <c r="P112" s="21"/>
      <c r="Q112" s="21"/>
      <c r="R112" s="32"/>
      <c r="S112" s="32"/>
      <c r="T112" s="21"/>
      <c r="U112" s="21"/>
      <c r="V112" s="21"/>
      <c r="W112" s="21"/>
      <c r="X112" s="21"/>
      <c r="Y112" s="21"/>
    </row>
    <row r="113" customFormat="false" ht="15.75" hidden="false" customHeight="false" outlineLevel="0" collapsed="false">
      <c r="A113" s="61"/>
      <c r="B113" s="29"/>
      <c r="C113" s="21"/>
      <c r="D113" s="21"/>
      <c r="E113" s="21"/>
      <c r="F113" s="21"/>
      <c r="G113" s="30"/>
      <c r="H113" s="31"/>
      <c r="I113" s="21"/>
      <c r="J113" s="21"/>
      <c r="K113" s="21"/>
      <c r="L113" s="21"/>
      <c r="M113" s="21"/>
      <c r="N113" s="30"/>
      <c r="O113" s="21"/>
      <c r="P113" s="21"/>
      <c r="Q113" s="21"/>
      <c r="R113" s="32"/>
      <c r="S113" s="32"/>
      <c r="T113" s="21"/>
      <c r="U113" s="21"/>
      <c r="V113" s="21"/>
      <c r="W113" s="21"/>
      <c r="X113" s="21"/>
      <c r="Y113" s="21"/>
    </row>
    <row r="114" customFormat="false" ht="15.75" hidden="false" customHeight="false" outlineLevel="0" collapsed="false">
      <c r="A114" s="61"/>
      <c r="B114" s="29"/>
      <c r="C114" s="21"/>
      <c r="D114" s="21"/>
      <c r="E114" s="21"/>
      <c r="F114" s="21"/>
      <c r="G114" s="30"/>
      <c r="H114" s="31"/>
      <c r="I114" s="21"/>
      <c r="J114" s="21"/>
      <c r="K114" s="21"/>
      <c r="L114" s="21"/>
      <c r="M114" s="21"/>
      <c r="N114" s="30"/>
      <c r="O114" s="21"/>
      <c r="P114" s="21"/>
      <c r="Q114" s="21"/>
      <c r="R114" s="32"/>
      <c r="S114" s="32"/>
      <c r="T114" s="21"/>
      <c r="U114" s="21"/>
      <c r="V114" s="21"/>
      <c r="W114" s="21"/>
      <c r="X114" s="21"/>
      <c r="Y114" s="21"/>
    </row>
    <row r="115" customFormat="false" ht="15.75" hidden="false" customHeight="false" outlineLevel="0" collapsed="false">
      <c r="A115" s="61"/>
      <c r="B115" s="29"/>
      <c r="C115" s="21"/>
      <c r="D115" s="21"/>
      <c r="E115" s="21"/>
      <c r="F115" s="21"/>
      <c r="G115" s="30"/>
      <c r="H115" s="31"/>
      <c r="I115" s="21"/>
      <c r="J115" s="21"/>
      <c r="K115" s="21"/>
      <c r="L115" s="21"/>
      <c r="M115" s="21"/>
      <c r="N115" s="30"/>
      <c r="O115" s="21"/>
      <c r="P115" s="21"/>
      <c r="Q115" s="21"/>
      <c r="R115" s="32"/>
      <c r="S115" s="32"/>
      <c r="T115" s="21"/>
      <c r="U115" s="21"/>
      <c r="V115" s="21"/>
      <c r="W115" s="21"/>
      <c r="X115" s="21"/>
      <c r="Y115" s="21"/>
    </row>
    <row r="116" customFormat="false" ht="15.75" hidden="false" customHeight="false" outlineLevel="0" collapsed="false">
      <c r="G116" s="18"/>
      <c r="H116" s="35"/>
      <c r="N116" s="18"/>
    </row>
    <row r="117" customFormat="false" ht="15.75" hidden="false" customHeight="false" outlineLevel="0" collapsed="false">
      <c r="G117" s="18"/>
      <c r="H117" s="35"/>
      <c r="N117" s="18"/>
    </row>
    <row r="118" customFormat="false" ht="15.75" hidden="false" customHeight="false" outlineLevel="0" collapsed="false">
      <c r="G118" s="18"/>
      <c r="H118" s="35"/>
      <c r="N118" s="18"/>
    </row>
    <row r="119" customFormat="false" ht="15.75" hidden="false" customHeight="false" outlineLevel="0" collapsed="false">
      <c r="G119" s="18"/>
      <c r="H119" s="35"/>
      <c r="N119" s="18"/>
    </row>
    <row r="120" customFormat="false" ht="15.75" hidden="false" customHeight="false" outlineLevel="0" collapsed="false">
      <c r="G120" s="18"/>
      <c r="H120" s="35"/>
      <c r="N120" s="18"/>
    </row>
    <row r="121" customFormat="false" ht="15.75" hidden="false" customHeight="false" outlineLevel="0" collapsed="false">
      <c r="G121" s="18"/>
      <c r="H121" s="35"/>
      <c r="N121" s="18"/>
    </row>
    <row r="122" customFormat="false" ht="15.75" hidden="false" customHeight="false" outlineLevel="0" collapsed="false">
      <c r="G122" s="18"/>
      <c r="H122" s="35"/>
      <c r="N122" s="18"/>
    </row>
    <row r="123" customFormat="false" ht="15.75" hidden="false" customHeight="false" outlineLevel="0" collapsed="false">
      <c r="G123" s="18"/>
      <c r="H123" s="35"/>
      <c r="N123" s="18"/>
    </row>
    <row r="124" customFormat="false" ht="15.75" hidden="false" customHeight="false" outlineLevel="0" collapsed="false">
      <c r="G124" s="18"/>
      <c r="H124" s="35"/>
      <c r="N124" s="18"/>
    </row>
    <row r="125" customFormat="false" ht="15.75" hidden="false" customHeight="false" outlineLevel="0" collapsed="false">
      <c r="G125" s="18"/>
      <c r="H125" s="35"/>
      <c r="N125" s="18"/>
    </row>
    <row r="126" customFormat="false" ht="15.75" hidden="false" customHeight="false" outlineLevel="0" collapsed="false">
      <c r="G126" s="18"/>
      <c r="H126" s="35"/>
      <c r="N126" s="18"/>
    </row>
    <row r="127" customFormat="false" ht="15.75" hidden="false" customHeight="false" outlineLevel="0" collapsed="false">
      <c r="G127" s="18"/>
      <c r="H127" s="35"/>
      <c r="N127" s="18"/>
    </row>
    <row r="128" customFormat="false" ht="15.75" hidden="false" customHeight="false" outlineLevel="0" collapsed="false">
      <c r="G128" s="18"/>
      <c r="H128" s="35"/>
      <c r="N128" s="18"/>
    </row>
    <row r="129" customFormat="false" ht="15.75" hidden="false" customHeight="false" outlineLevel="0" collapsed="false">
      <c r="G129" s="18"/>
      <c r="H129" s="35"/>
      <c r="N129" s="18"/>
    </row>
    <row r="130" customFormat="false" ht="15.75" hidden="false" customHeight="false" outlineLevel="0" collapsed="false">
      <c r="G130" s="18"/>
      <c r="H130" s="35"/>
      <c r="N130" s="18"/>
    </row>
    <row r="131" customFormat="false" ht="15.75" hidden="false" customHeight="false" outlineLevel="0" collapsed="false">
      <c r="G131" s="18"/>
      <c r="H131" s="35"/>
      <c r="N131" s="18"/>
    </row>
    <row r="132" customFormat="false" ht="15.75" hidden="false" customHeight="false" outlineLevel="0" collapsed="false">
      <c r="G132" s="18"/>
      <c r="H132" s="35"/>
      <c r="N132" s="18"/>
    </row>
    <row r="133" customFormat="false" ht="15.75" hidden="false" customHeight="false" outlineLevel="0" collapsed="false">
      <c r="G133" s="18"/>
      <c r="H133" s="35"/>
      <c r="N133" s="18"/>
    </row>
    <row r="134" customFormat="false" ht="15.75" hidden="false" customHeight="false" outlineLevel="0" collapsed="false">
      <c r="G134" s="18"/>
      <c r="H134" s="35"/>
      <c r="N134" s="18"/>
    </row>
    <row r="135" customFormat="false" ht="15.75" hidden="false" customHeight="false" outlineLevel="0" collapsed="false">
      <c r="G135" s="18"/>
      <c r="H135" s="35"/>
      <c r="N135" s="18"/>
    </row>
    <row r="136" customFormat="false" ht="15.75" hidden="false" customHeight="false" outlineLevel="0" collapsed="false">
      <c r="G136" s="18"/>
      <c r="H136" s="35"/>
      <c r="N136" s="18"/>
    </row>
    <row r="137" customFormat="false" ht="15.75" hidden="false" customHeight="false" outlineLevel="0" collapsed="false">
      <c r="G137" s="18"/>
      <c r="H137" s="35"/>
      <c r="N137" s="18"/>
    </row>
    <row r="138" customFormat="false" ht="15.75" hidden="false" customHeight="false" outlineLevel="0" collapsed="false">
      <c r="G138" s="18"/>
      <c r="H138" s="35"/>
      <c r="N138" s="18"/>
    </row>
    <row r="139" customFormat="false" ht="15.75" hidden="false" customHeight="false" outlineLevel="0" collapsed="false">
      <c r="G139" s="18"/>
      <c r="H139" s="35"/>
      <c r="N139" s="18"/>
    </row>
    <row r="140" customFormat="false" ht="15.75" hidden="false" customHeight="false" outlineLevel="0" collapsed="false">
      <c r="G140" s="18"/>
      <c r="H140" s="35"/>
      <c r="N140" s="18"/>
    </row>
    <row r="141" customFormat="false" ht="15.75" hidden="false" customHeight="false" outlineLevel="0" collapsed="false">
      <c r="G141" s="18"/>
      <c r="H141" s="35"/>
      <c r="N141" s="18"/>
    </row>
    <row r="142" customFormat="false" ht="15.75" hidden="false" customHeight="false" outlineLevel="0" collapsed="false">
      <c r="G142" s="18"/>
      <c r="H142" s="35"/>
      <c r="N142" s="18"/>
    </row>
    <row r="143" customFormat="false" ht="15.75" hidden="false" customHeight="false" outlineLevel="0" collapsed="false">
      <c r="G143" s="18"/>
      <c r="H143" s="35"/>
      <c r="N143" s="18"/>
    </row>
    <row r="144" customFormat="false" ht="15.75" hidden="false" customHeight="false" outlineLevel="0" collapsed="false">
      <c r="G144" s="18"/>
      <c r="H144" s="35"/>
      <c r="N144" s="18"/>
    </row>
    <row r="145" customFormat="false" ht="15.75" hidden="false" customHeight="false" outlineLevel="0" collapsed="false">
      <c r="G145" s="18"/>
      <c r="H145" s="35"/>
      <c r="N145" s="18"/>
    </row>
    <row r="146" customFormat="false" ht="15.75" hidden="false" customHeight="false" outlineLevel="0" collapsed="false">
      <c r="G146" s="18"/>
      <c r="H146" s="35"/>
      <c r="N146" s="18"/>
    </row>
    <row r="147" customFormat="false" ht="15.75" hidden="false" customHeight="false" outlineLevel="0" collapsed="false">
      <c r="G147" s="18"/>
      <c r="H147" s="35"/>
      <c r="N147" s="18"/>
    </row>
    <row r="148" customFormat="false" ht="15.75" hidden="false" customHeight="false" outlineLevel="0" collapsed="false">
      <c r="G148" s="18"/>
      <c r="H148" s="35"/>
      <c r="N148" s="18"/>
    </row>
    <row r="149" customFormat="false" ht="15.75" hidden="false" customHeight="false" outlineLevel="0" collapsed="false">
      <c r="G149" s="18"/>
      <c r="H149" s="35"/>
      <c r="N149" s="18"/>
    </row>
    <row r="150" customFormat="false" ht="15.75" hidden="false" customHeight="false" outlineLevel="0" collapsed="false">
      <c r="G150" s="18"/>
      <c r="H150" s="35"/>
      <c r="N150" s="18"/>
    </row>
    <row r="151" customFormat="false" ht="15.75" hidden="false" customHeight="false" outlineLevel="0" collapsed="false">
      <c r="G151" s="18"/>
      <c r="H151" s="35"/>
      <c r="N151" s="18"/>
    </row>
    <row r="152" customFormat="false" ht="15.75" hidden="false" customHeight="false" outlineLevel="0" collapsed="false">
      <c r="G152" s="18"/>
      <c r="H152" s="35"/>
      <c r="N152" s="18"/>
    </row>
    <row r="153" customFormat="false" ht="15.75" hidden="false" customHeight="false" outlineLevel="0" collapsed="false">
      <c r="G153" s="18"/>
      <c r="H153" s="35"/>
      <c r="N153" s="18"/>
    </row>
    <row r="154" customFormat="false" ht="15.75" hidden="false" customHeight="false" outlineLevel="0" collapsed="false">
      <c r="G154" s="18"/>
      <c r="H154" s="35"/>
      <c r="N154" s="18"/>
    </row>
    <row r="155" customFormat="false" ht="15.75" hidden="false" customHeight="false" outlineLevel="0" collapsed="false">
      <c r="G155" s="18"/>
      <c r="H155" s="35"/>
      <c r="N155" s="18"/>
    </row>
    <row r="156" customFormat="false" ht="15.75" hidden="false" customHeight="false" outlineLevel="0" collapsed="false">
      <c r="G156" s="18"/>
      <c r="H156" s="35"/>
      <c r="N156" s="18"/>
    </row>
    <row r="157" customFormat="false" ht="15.75" hidden="false" customHeight="false" outlineLevel="0" collapsed="false">
      <c r="G157" s="18"/>
      <c r="H157" s="35"/>
      <c r="N157" s="18"/>
    </row>
    <row r="158" customFormat="false" ht="15.75" hidden="false" customHeight="false" outlineLevel="0" collapsed="false">
      <c r="G158" s="18"/>
      <c r="H158" s="35"/>
      <c r="N158" s="18"/>
    </row>
    <row r="159" customFormat="false" ht="15.75" hidden="false" customHeight="false" outlineLevel="0" collapsed="false">
      <c r="G159" s="18"/>
      <c r="H159" s="35"/>
      <c r="N159" s="18"/>
    </row>
    <row r="160" customFormat="false" ht="15.75" hidden="false" customHeight="false" outlineLevel="0" collapsed="false">
      <c r="G160" s="18"/>
      <c r="H160" s="35"/>
      <c r="N160" s="18"/>
    </row>
    <row r="161" customFormat="false" ht="15.75" hidden="false" customHeight="false" outlineLevel="0" collapsed="false">
      <c r="G161" s="18"/>
      <c r="H161" s="35"/>
      <c r="N161" s="18"/>
    </row>
    <row r="162" customFormat="false" ht="15.75" hidden="false" customHeight="false" outlineLevel="0" collapsed="false">
      <c r="G162" s="18"/>
      <c r="H162" s="35"/>
      <c r="N162" s="18"/>
    </row>
    <row r="163" customFormat="false" ht="15.75" hidden="false" customHeight="false" outlineLevel="0" collapsed="false">
      <c r="G163" s="18"/>
      <c r="H163" s="35"/>
      <c r="N163" s="18"/>
    </row>
    <row r="164" customFormat="false" ht="15.75" hidden="false" customHeight="false" outlineLevel="0" collapsed="false">
      <c r="G164" s="18"/>
      <c r="H164" s="35"/>
      <c r="N164" s="18"/>
    </row>
    <row r="165" customFormat="false" ht="15.75" hidden="false" customHeight="false" outlineLevel="0" collapsed="false">
      <c r="G165" s="18"/>
      <c r="H165" s="35"/>
      <c r="N165" s="18"/>
    </row>
    <row r="166" customFormat="false" ht="15.75" hidden="false" customHeight="false" outlineLevel="0" collapsed="false">
      <c r="G166" s="18"/>
      <c r="H166" s="35"/>
      <c r="N166" s="18"/>
    </row>
    <row r="167" customFormat="false" ht="15.75" hidden="false" customHeight="false" outlineLevel="0" collapsed="false">
      <c r="G167" s="18"/>
      <c r="H167" s="35"/>
      <c r="N167" s="18"/>
    </row>
    <row r="168" customFormat="false" ht="15.75" hidden="false" customHeight="false" outlineLevel="0" collapsed="false">
      <c r="G168" s="18"/>
      <c r="H168" s="35"/>
      <c r="N168" s="18"/>
    </row>
    <row r="169" customFormat="false" ht="15.75" hidden="false" customHeight="false" outlineLevel="0" collapsed="false">
      <c r="G169" s="18"/>
      <c r="H169" s="35"/>
      <c r="N169" s="18"/>
    </row>
    <row r="170" customFormat="false" ht="15.75" hidden="false" customHeight="false" outlineLevel="0" collapsed="false">
      <c r="G170" s="18"/>
      <c r="H170" s="35"/>
      <c r="N170" s="18"/>
    </row>
    <row r="171" customFormat="false" ht="15.75" hidden="false" customHeight="false" outlineLevel="0" collapsed="false">
      <c r="G171" s="18"/>
      <c r="H171" s="35"/>
      <c r="N171" s="18"/>
    </row>
    <row r="172" customFormat="false" ht="15.75" hidden="false" customHeight="false" outlineLevel="0" collapsed="false">
      <c r="G172" s="18"/>
      <c r="H172" s="35"/>
      <c r="N172" s="18"/>
    </row>
    <row r="173" customFormat="false" ht="15.75" hidden="false" customHeight="false" outlineLevel="0" collapsed="false">
      <c r="G173" s="18"/>
      <c r="H173" s="35"/>
      <c r="N173" s="18"/>
    </row>
    <row r="174" customFormat="false" ht="15.75" hidden="false" customHeight="false" outlineLevel="0" collapsed="false">
      <c r="G174" s="18"/>
      <c r="H174" s="35"/>
      <c r="N174" s="18"/>
    </row>
    <row r="175" customFormat="false" ht="15.75" hidden="false" customHeight="false" outlineLevel="0" collapsed="false">
      <c r="G175" s="18"/>
      <c r="H175" s="35"/>
      <c r="N175" s="18"/>
    </row>
    <row r="176" customFormat="false" ht="15.75" hidden="false" customHeight="false" outlineLevel="0" collapsed="false">
      <c r="G176" s="18"/>
      <c r="H176" s="35"/>
      <c r="N176" s="18"/>
    </row>
    <row r="177" customFormat="false" ht="15.75" hidden="false" customHeight="false" outlineLevel="0" collapsed="false">
      <c r="G177" s="18"/>
      <c r="H177" s="35"/>
      <c r="N177" s="18"/>
    </row>
    <row r="178" customFormat="false" ht="15.75" hidden="false" customHeight="false" outlineLevel="0" collapsed="false">
      <c r="G178" s="18"/>
      <c r="H178" s="35"/>
      <c r="N178" s="18"/>
    </row>
    <row r="179" customFormat="false" ht="15.75" hidden="false" customHeight="false" outlineLevel="0" collapsed="false">
      <c r="G179" s="18"/>
      <c r="H179" s="35"/>
      <c r="N179" s="18"/>
    </row>
    <row r="180" customFormat="false" ht="15.75" hidden="false" customHeight="false" outlineLevel="0" collapsed="false">
      <c r="G180" s="18"/>
      <c r="H180" s="35"/>
      <c r="N180" s="18"/>
    </row>
    <row r="181" customFormat="false" ht="15.75" hidden="false" customHeight="false" outlineLevel="0" collapsed="false">
      <c r="G181" s="18"/>
      <c r="H181" s="35"/>
      <c r="N181" s="18"/>
    </row>
    <row r="182" customFormat="false" ht="15.75" hidden="false" customHeight="false" outlineLevel="0" collapsed="false">
      <c r="G182" s="18"/>
      <c r="H182" s="35"/>
      <c r="N182" s="18"/>
    </row>
    <row r="183" customFormat="false" ht="15.75" hidden="false" customHeight="false" outlineLevel="0" collapsed="false">
      <c r="G183" s="18"/>
      <c r="H183" s="35"/>
      <c r="N183" s="18"/>
    </row>
    <row r="184" customFormat="false" ht="15.75" hidden="false" customHeight="false" outlineLevel="0" collapsed="false">
      <c r="G184" s="18"/>
      <c r="H184" s="35"/>
      <c r="N184" s="18"/>
    </row>
    <row r="185" customFormat="false" ht="15.75" hidden="false" customHeight="false" outlineLevel="0" collapsed="false">
      <c r="G185" s="18"/>
      <c r="H185" s="35"/>
      <c r="N185" s="18"/>
    </row>
    <row r="186" customFormat="false" ht="15.75" hidden="false" customHeight="false" outlineLevel="0" collapsed="false">
      <c r="G186" s="18"/>
      <c r="H186" s="35"/>
      <c r="N186" s="18"/>
    </row>
    <row r="187" customFormat="false" ht="15.75" hidden="false" customHeight="false" outlineLevel="0" collapsed="false">
      <c r="G187" s="18"/>
      <c r="H187" s="35"/>
      <c r="N187" s="18"/>
    </row>
    <row r="188" customFormat="false" ht="15.75" hidden="false" customHeight="false" outlineLevel="0" collapsed="false">
      <c r="G188" s="18"/>
      <c r="H188" s="35"/>
      <c r="N188" s="18"/>
    </row>
    <row r="189" customFormat="false" ht="15.75" hidden="false" customHeight="false" outlineLevel="0" collapsed="false">
      <c r="G189" s="18"/>
      <c r="H189" s="35"/>
      <c r="N189" s="18"/>
    </row>
    <row r="190" customFormat="false" ht="15.75" hidden="false" customHeight="false" outlineLevel="0" collapsed="false">
      <c r="G190" s="18"/>
      <c r="H190" s="35"/>
      <c r="N190" s="18"/>
    </row>
    <row r="191" customFormat="false" ht="15.75" hidden="false" customHeight="false" outlineLevel="0" collapsed="false">
      <c r="G191" s="18"/>
      <c r="H191" s="35"/>
      <c r="N191" s="18"/>
    </row>
    <row r="192" customFormat="false" ht="15.75" hidden="false" customHeight="false" outlineLevel="0" collapsed="false">
      <c r="G192" s="18"/>
      <c r="H192" s="35"/>
      <c r="N192" s="18"/>
    </row>
    <row r="193" customFormat="false" ht="15.75" hidden="false" customHeight="false" outlineLevel="0" collapsed="false">
      <c r="G193" s="18"/>
      <c r="H193" s="35"/>
      <c r="N193" s="18"/>
    </row>
    <row r="194" customFormat="false" ht="15.75" hidden="false" customHeight="false" outlineLevel="0" collapsed="false">
      <c r="G194" s="18"/>
      <c r="H194" s="35"/>
      <c r="N194" s="18"/>
    </row>
    <row r="195" customFormat="false" ht="15.75" hidden="false" customHeight="false" outlineLevel="0" collapsed="false">
      <c r="G195" s="18"/>
      <c r="H195" s="35"/>
      <c r="N195" s="18"/>
    </row>
    <row r="196" customFormat="false" ht="15.75" hidden="false" customHeight="false" outlineLevel="0" collapsed="false">
      <c r="G196" s="18"/>
      <c r="H196" s="35"/>
      <c r="N196" s="18"/>
    </row>
    <row r="197" customFormat="false" ht="15.75" hidden="false" customHeight="false" outlineLevel="0" collapsed="false">
      <c r="G197" s="18"/>
      <c r="H197" s="35"/>
      <c r="N197" s="18"/>
    </row>
    <row r="198" customFormat="false" ht="15.75" hidden="false" customHeight="false" outlineLevel="0" collapsed="false">
      <c r="G198" s="18"/>
      <c r="H198" s="35"/>
      <c r="N198" s="18"/>
    </row>
    <row r="199" customFormat="false" ht="15.75" hidden="false" customHeight="false" outlineLevel="0" collapsed="false">
      <c r="G199" s="18"/>
      <c r="H199" s="35"/>
      <c r="N199" s="18"/>
    </row>
    <row r="200" customFormat="false" ht="15.75" hidden="false" customHeight="false" outlineLevel="0" collapsed="false">
      <c r="G200" s="18"/>
      <c r="H200" s="35"/>
      <c r="N200" s="18"/>
    </row>
    <row r="201" customFormat="false" ht="15.75" hidden="false" customHeight="false" outlineLevel="0" collapsed="false">
      <c r="G201" s="18"/>
      <c r="H201" s="35"/>
      <c r="N201" s="18"/>
    </row>
    <row r="202" customFormat="false" ht="15.75" hidden="false" customHeight="false" outlineLevel="0" collapsed="false">
      <c r="G202" s="18"/>
      <c r="H202" s="35"/>
      <c r="N202" s="18"/>
    </row>
    <row r="203" customFormat="false" ht="15.75" hidden="false" customHeight="false" outlineLevel="0" collapsed="false">
      <c r="G203" s="18"/>
      <c r="H203" s="35"/>
      <c r="N203" s="18"/>
    </row>
    <row r="204" customFormat="false" ht="15.75" hidden="false" customHeight="false" outlineLevel="0" collapsed="false">
      <c r="G204" s="18"/>
      <c r="H204" s="35"/>
      <c r="N204" s="18"/>
    </row>
    <row r="205" customFormat="false" ht="15.75" hidden="false" customHeight="false" outlineLevel="0" collapsed="false">
      <c r="G205" s="18"/>
      <c r="H205" s="35"/>
      <c r="N205" s="18"/>
    </row>
    <row r="206" customFormat="false" ht="15.75" hidden="false" customHeight="false" outlineLevel="0" collapsed="false">
      <c r="G206" s="18"/>
      <c r="H206" s="35"/>
      <c r="N206" s="18"/>
    </row>
    <row r="207" customFormat="false" ht="15.75" hidden="false" customHeight="false" outlineLevel="0" collapsed="false">
      <c r="G207" s="18"/>
      <c r="H207" s="35"/>
      <c r="N207" s="18"/>
    </row>
    <row r="208" customFormat="false" ht="15.75" hidden="false" customHeight="false" outlineLevel="0" collapsed="false">
      <c r="G208" s="18"/>
      <c r="H208" s="35"/>
      <c r="N208" s="18"/>
    </row>
    <row r="209" customFormat="false" ht="15.75" hidden="false" customHeight="false" outlineLevel="0" collapsed="false">
      <c r="G209" s="18"/>
      <c r="H209" s="35"/>
      <c r="N209" s="18"/>
    </row>
    <row r="210" customFormat="false" ht="15.75" hidden="false" customHeight="false" outlineLevel="0" collapsed="false">
      <c r="G210" s="18"/>
      <c r="H210" s="35"/>
      <c r="N210" s="18"/>
    </row>
    <row r="211" customFormat="false" ht="15.75" hidden="false" customHeight="false" outlineLevel="0" collapsed="false">
      <c r="G211" s="18"/>
      <c r="H211" s="35"/>
      <c r="N211" s="18"/>
    </row>
    <row r="212" customFormat="false" ht="15.75" hidden="false" customHeight="false" outlineLevel="0" collapsed="false">
      <c r="G212" s="18"/>
      <c r="H212" s="35"/>
      <c r="N212" s="18"/>
    </row>
    <row r="213" customFormat="false" ht="15.75" hidden="false" customHeight="false" outlineLevel="0" collapsed="false">
      <c r="G213" s="18"/>
      <c r="H213" s="35"/>
      <c r="N213" s="18"/>
    </row>
    <row r="214" customFormat="false" ht="15.75" hidden="false" customHeight="false" outlineLevel="0" collapsed="false">
      <c r="G214" s="18"/>
      <c r="H214" s="35"/>
      <c r="N214" s="18"/>
    </row>
    <row r="215" customFormat="false" ht="15.75" hidden="false" customHeight="false" outlineLevel="0" collapsed="false">
      <c r="G215" s="18"/>
      <c r="H215" s="35"/>
      <c r="N215" s="18"/>
    </row>
    <row r="216" customFormat="false" ht="15.75" hidden="false" customHeight="false" outlineLevel="0" collapsed="false">
      <c r="G216" s="18"/>
      <c r="H216" s="35"/>
      <c r="N216" s="18"/>
    </row>
    <row r="217" customFormat="false" ht="15.75" hidden="false" customHeight="false" outlineLevel="0" collapsed="false">
      <c r="G217" s="18"/>
      <c r="H217" s="35"/>
      <c r="N217" s="18"/>
    </row>
    <row r="218" customFormat="false" ht="15.75" hidden="false" customHeight="false" outlineLevel="0" collapsed="false">
      <c r="G218" s="18"/>
      <c r="H218" s="35"/>
      <c r="N218" s="18"/>
    </row>
    <row r="219" customFormat="false" ht="15.75" hidden="false" customHeight="false" outlineLevel="0" collapsed="false">
      <c r="G219" s="18"/>
      <c r="H219" s="35"/>
      <c r="N219" s="18"/>
    </row>
    <row r="220" customFormat="false" ht="15.75" hidden="false" customHeight="false" outlineLevel="0" collapsed="false">
      <c r="G220" s="18"/>
      <c r="H220" s="35"/>
      <c r="N220" s="18"/>
    </row>
    <row r="221" customFormat="false" ht="15.75" hidden="false" customHeight="false" outlineLevel="0" collapsed="false">
      <c r="G221" s="18"/>
      <c r="H221" s="35"/>
      <c r="N221" s="18"/>
    </row>
    <row r="222" customFormat="false" ht="15.75" hidden="false" customHeight="false" outlineLevel="0" collapsed="false">
      <c r="G222" s="18"/>
      <c r="H222" s="35"/>
      <c r="N222" s="18"/>
    </row>
    <row r="223" customFormat="false" ht="15.75" hidden="false" customHeight="false" outlineLevel="0" collapsed="false">
      <c r="G223" s="18"/>
      <c r="H223" s="35"/>
      <c r="N223" s="18"/>
    </row>
    <row r="224" customFormat="false" ht="15.75" hidden="false" customHeight="false" outlineLevel="0" collapsed="false">
      <c r="G224" s="18"/>
      <c r="H224" s="35"/>
      <c r="N224" s="18"/>
    </row>
    <row r="225" customFormat="false" ht="15.75" hidden="false" customHeight="false" outlineLevel="0" collapsed="false">
      <c r="G225" s="18"/>
      <c r="H225" s="35"/>
      <c r="N225" s="18"/>
    </row>
    <row r="226" customFormat="false" ht="15.75" hidden="false" customHeight="false" outlineLevel="0" collapsed="false">
      <c r="G226" s="18"/>
      <c r="H226" s="35"/>
      <c r="N226" s="18"/>
    </row>
    <row r="227" customFormat="false" ht="15.75" hidden="false" customHeight="false" outlineLevel="0" collapsed="false">
      <c r="G227" s="18"/>
      <c r="H227" s="35"/>
      <c r="N227" s="18"/>
    </row>
    <row r="228" customFormat="false" ht="15.75" hidden="false" customHeight="false" outlineLevel="0" collapsed="false">
      <c r="G228" s="18"/>
      <c r="H228" s="35"/>
      <c r="N228" s="18"/>
    </row>
    <row r="229" customFormat="false" ht="15.75" hidden="false" customHeight="false" outlineLevel="0" collapsed="false">
      <c r="G229" s="18"/>
      <c r="H229" s="35"/>
      <c r="N229" s="18"/>
    </row>
    <row r="230" customFormat="false" ht="15.75" hidden="false" customHeight="false" outlineLevel="0" collapsed="false">
      <c r="G230" s="18"/>
      <c r="H230" s="35"/>
      <c r="N230" s="18"/>
    </row>
    <row r="231" customFormat="false" ht="15.75" hidden="false" customHeight="false" outlineLevel="0" collapsed="false">
      <c r="G231" s="18"/>
      <c r="H231" s="35"/>
      <c r="N231" s="18"/>
    </row>
    <row r="232" customFormat="false" ht="15.75" hidden="false" customHeight="false" outlineLevel="0" collapsed="false">
      <c r="G232" s="18"/>
      <c r="H232" s="35"/>
      <c r="N232" s="18"/>
    </row>
    <row r="233" customFormat="false" ht="15.75" hidden="false" customHeight="false" outlineLevel="0" collapsed="false">
      <c r="G233" s="18"/>
      <c r="H233" s="35"/>
      <c r="N233" s="18"/>
    </row>
    <row r="234" customFormat="false" ht="15.75" hidden="false" customHeight="false" outlineLevel="0" collapsed="false">
      <c r="G234" s="18"/>
      <c r="H234" s="35"/>
      <c r="N234" s="18"/>
    </row>
    <row r="235" customFormat="false" ht="15.75" hidden="false" customHeight="false" outlineLevel="0" collapsed="false">
      <c r="G235" s="18"/>
      <c r="H235" s="35"/>
      <c r="N235" s="18"/>
    </row>
    <row r="236" customFormat="false" ht="15.75" hidden="false" customHeight="false" outlineLevel="0" collapsed="false">
      <c r="G236" s="18"/>
      <c r="H236" s="35"/>
      <c r="N236" s="18"/>
    </row>
    <row r="237" customFormat="false" ht="15.75" hidden="false" customHeight="false" outlineLevel="0" collapsed="false">
      <c r="G237" s="18"/>
      <c r="H237" s="35"/>
      <c r="N237" s="18"/>
    </row>
    <row r="238" customFormat="false" ht="15.75" hidden="false" customHeight="false" outlineLevel="0" collapsed="false">
      <c r="G238" s="18"/>
      <c r="H238" s="35"/>
      <c r="N238" s="18"/>
    </row>
    <row r="239" customFormat="false" ht="15.75" hidden="false" customHeight="false" outlineLevel="0" collapsed="false">
      <c r="G239" s="18"/>
      <c r="H239" s="35"/>
      <c r="N239" s="18"/>
    </row>
    <row r="240" customFormat="false" ht="15.75" hidden="false" customHeight="false" outlineLevel="0" collapsed="false">
      <c r="G240" s="18"/>
      <c r="H240" s="35"/>
      <c r="N240" s="18"/>
    </row>
    <row r="241" customFormat="false" ht="15.75" hidden="false" customHeight="false" outlineLevel="0" collapsed="false">
      <c r="G241" s="18"/>
      <c r="H241" s="35"/>
      <c r="N241" s="18"/>
    </row>
    <row r="242" customFormat="false" ht="15.75" hidden="false" customHeight="false" outlineLevel="0" collapsed="false">
      <c r="G242" s="18"/>
      <c r="H242" s="35"/>
      <c r="N242" s="18"/>
    </row>
    <row r="243" customFormat="false" ht="15.75" hidden="false" customHeight="false" outlineLevel="0" collapsed="false">
      <c r="G243" s="18"/>
      <c r="H243" s="35"/>
      <c r="N243" s="18"/>
    </row>
    <row r="244" customFormat="false" ht="15.75" hidden="false" customHeight="false" outlineLevel="0" collapsed="false">
      <c r="G244" s="18"/>
      <c r="H244" s="35"/>
      <c r="N244" s="18"/>
    </row>
    <row r="245" customFormat="false" ht="15.75" hidden="false" customHeight="false" outlineLevel="0" collapsed="false">
      <c r="G245" s="18"/>
      <c r="H245" s="35"/>
      <c r="N245" s="18"/>
    </row>
    <row r="246" customFormat="false" ht="15.75" hidden="false" customHeight="false" outlineLevel="0" collapsed="false">
      <c r="G246" s="18"/>
      <c r="H246" s="35"/>
      <c r="N246" s="18"/>
    </row>
    <row r="247" customFormat="false" ht="15.75" hidden="false" customHeight="false" outlineLevel="0" collapsed="false">
      <c r="G247" s="18"/>
      <c r="H247" s="35"/>
      <c r="N247" s="18"/>
    </row>
    <row r="248" customFormat="false" ht="15.75" hidden="false" customHeight="false" outlineLevel="0" collapsed="false">
      <c r="G248" s="18"/>
      <c r="H248" s="35"/>
      <c r="N248" s="18"/>
    </row>
    <row r="249" customFormat="false" ht="15.75" hidden="false" customHeight="false" outlineLevel="0" collapsed="false">
      <c r="G249" s="18"/>
      <c r="H249" s="35"/>
      <c r="N249" s="18"/>
    </row>
    <row r="250" customFormat="false" ht="15.75" hidden="false" customHeight="false" outlineLevel="0" collapsed="false">
      <c r="G250" s="18"/>
      <c r="H250" s="35"/>
      <c r="N250" s="18"/>
    </row>
    <row r="251" customFormat="false" ht="15.75" hidden="false" customHeight="false" outlineLevel="0" collapsed="false">
      <c r="G251" s="18"/>
      <c r="H251" s="35"/>
      <c r="N251" s="18"/>
    </row>
    <row r="252" customFormat="false" ht="15.75" hidden="false" customHeight="false" outlineLevel="0" collapsed="false">
      <c r="G252" s="18"/>
      <c r="H252" s="35"/>
      <c r="N252" s="18"/>
    </row>
    <row r="253" customFormat="false" ht="15.75" hidden="false" customHeight="false" outlineLevel="0" collapsed="false">
      <c r="G253" s="18"/>
      <c r="H253" s="35"/>
      <c r="N253" s="18"/>
    </row>
    <row r="254" customFormat="false" ht="15.75" hidden="false" customHeight="false" outlineLevel="0" collapsed="false">
      <c r="G254" s="18"/>
      <c r="H254" s="35"/>
      <c r="N254" s="18"/>
    </row>
    <row r="255" customFormat="false" ht="15.75" hidden="false" customHeight="false" outlineLevel="0" collapsed="false">
      <c r="G255" s="18"/>
      <c r="H255" s="35"/>
      <c r="N255" s="18"/>
    </row>
    <row r="256" customFormat="false" ht="15.75" hidden="false" customHeight="false" outlineLevel="0" collapsed="false">
      <c r="G256" s="18"/>
      <c r="H256" s="35"/>
      <c r="N256" s="18"/>
    </row>
    <row r="257" customFormat="false" ht="15.75" hidden="false" customHeight="false" outlineLevel="0" collapsed="false">
      <c r="G257" s="18"/>
      <c r="H257" s="35"/>
      <c r="N257" s="18"/>
    </row>
    <row r="258" customFormat="false" ht="15.75" hidden="false" customHeight="false" outlineLevel="0" collapsed="false">
      <c r="G258" s="18"/>
      <c r="H258" s="35"/>
      <c r="N258" s="18"/>
    </row>
    <row r="259" customFormat="false" ht="15.75" hidden="false" customHeight="false" outlineLevel="0" collapsed="false">
      <c r="G259" s="18"/>
      <c r="H259" s="35"/>
      <c r="N259" s="18"/>
    </row>
    <row r="260" customFormat="false" ht="15.75" hidden="false" customHeight="false" outlineLevel="0" collapsed="false">
      <c r="G260" s="18"/>
      <c r="H260" s="35"/>
      <c r="N260" s="18"/>
    </row>
    <row r="261" customFormat="false" ht="15.75" hidden="false" customHeight="false" outlineLevel="0" collapsed="false">
      <c r="G261" s="18"/>
      <c r="H261" s="35"/>
      <c r="N261" s="18"/>
    </row>
    <row r="262" customFormat="false" ht="15.75" hidden="false" customHeight="false" outlineLevel="0" collapsed="false">
      <c r="G262" s="18"/>
      <c r="H262" s="35"/>
      <c r="N262" s="18"/>
    </row>
    <row r="263" customFormat="false" ht="15.75" hidden="false" customHeight="false" outlineLevel="0" collapsed="false">
      <c r="G263" s="18"/>
      <c r="H263" s="35"/>
      <c r="N263" s="18"/>
    </row>
    <row r="264" customFormat="false" ht="15.75" hidden="false" customHeight="false" outlineLevel="0" collapsed="false">
      <c r="G264" s="18"/>
      <c r="H264" s="35"/>
      <c r="N264" s="18"/>
    </row>
    <row r="265" customFormat="false" ht="15.75" hidden="false" customHeight="false" outlineLevel="0" collapsed="false">
      <c r="G265" s="18"/>
      <c r="H265" s="35"/>
      <c r="N265" s="18"/>
    </row>
    <row r="266" customFormat="false" ht="15.75" hidden="false" customHeight="false" outlineLevel="0" collapsed="false">
      <c r="G266" s="18"/>
      <c r="H266" s="35"/>
      <c r="N266" s="18"/>
    </row>
    <row r="267" customFormat="false" ht="15.75" hidden="false" customHeight="false" outlineLevel="0" collapsed="false">
      <c r="G267" s="18"/>
      <c r="H267" s="35"/>
      <c r="N267" s="18"/>
    </row>
    <row r="268" customFormat="false" ht="15.75" hidden="false" customHeight="false" outlineLevel="0" collapsed="false">
      <c r="G268" s="18"/>
      <c r="H268" s="35"/>
      <c r="N268" s="18"/>
    </row>
    <row r="269" customFormat="false" ht="15.75" hidden="false" customHeight="false" outlineLevel="0" collapsed="false">
      <c r="G269" s="18"/>
      <c r="H269" s="35"/>
      <c r="N269" s="18"/>
    </row>
    <row r="270" customFormat="false" ht="15.75" hidden="false" customHeight="false" outlineLevel="0" collapsed="false">
      <c r="G270" s="18"/>
      <c r="H270" s="35"/>
      <c r="N270" s="18"/>
    </row>
    <row r="271" customFormat="false" ht="15.75" hidden="false" customHeight="false" outlineLevel="0" collapsed="false">
      <c r="G271" s="18"/>
      <c r="H271" s="35"/>
      <c r="N271" s="18"/>
    </row>
    <row r="272" customFormat="false" ht="15.75" hidden="false" customHeight="false" outlineLevel="0" collapsed="false">
      <c r="G272" s="18"/>
      <c r="H272" s="35"/>
      <c r="N272" s="18"/>
    </row>
    <row r="273" customFormat="false" ht="15.75" hidden="false" customHeight="false" outlineLevel="0" collapsed="false">
      <c r="G273" s="18"/>
      <c r="H273" s="35"/>
      <c r="N273" s="18"/>
    </row>
    <row r="274" customFormat="false" ht="15.75" hidden="false" customHeight="false" outlineLevel="0" collapsed="false">
      <c r="G274" s="18"/>
      <c r="H274" s="35"/>
      <c r="N274" s="18"/>
    </row>
    <row r="275" customFormat="false" ht="15.75" hidden="false" customHeight="false" outlineLevel="0" collapsed="false">
      <c r="G275" s="18"/>
      <c r="H275" s="35"/>
      <c r="N275" s="18"/>
    </row>
    <row r="276" customFormat="false" ht="15.75" hidden="false" customHeight="false" outlineLevel="0" collapsed="false">
      <c r="G276" s="18"/>
      <c r="H276" s="35"/>
      <c r="N276" s="18"/>
    </row>
    <row r="277" customFormat="false" ht="15.75" hidden="false" customHeight="false" outlineLevel="0" collapsed="false">
      <c r="G277" s="18"/>
      <c r="H277" s="35"/>
      <c r="N277" s="18"/>
    </row>
    <row r="278" customFormat="false" ht="15.75" hidden="false" customHeight="false" outlineLevel="0" collapsed="false">
      <c r="G278" s="18"/>
      <c r="H278" s="35"/>
      <c r="N278" s="18"/>
    </row>
    <row r="279" customFormat="false" ht="15.75" hidden="false" customHeight="false" outlineLevel="0" collapsed="false">
      <c r="G279" s="18"/>
      <c r="H279" s="35"/>
      <c r="N279" s="18"/>
    </row>
    <row r="280" customFormat="false" ht="15.75" hidden="false" customHeight="false" outlineLevel="0" collapsed="false">
      <c r="G280" s="18"/>
      <c r="H280" s="35"/>
      <c r="N280" s="18"/>
    </row>
    <row r="281" customFormat="false" ht="15.75" hidden="false" customHeight="false" outlineLevel="0" collapsed="false">
      <c r="G281" s="18"/>
      <c r="H281" s="35"/>
      <c r="N281" s="18"/>
    </row>
    <row r="282" customFormat="false" ht="15.75" hidden="false" customHeight="false" outlineLevel="0" collapsed="false">
      <c r="G282" s="18"/>
      <c r="H282" s="35"/>
      <c r="N282" s="18"/>
    </row>
    <row r="283" customFormat="false" ht="15.75" hidden="false" customHeight="false" outlineLevel="0" collapsed="false">
      <c r="G283" s="18"/>
      <c r="H283" s="35"/>
      <c r="N283" s="18"/>
    </row>
    <row r="284" customFormat="false" ht="15.75" hidden="false" customHeight="false" outlineLevel="0" collapsed="false">
      <c r="G284" s="18"/>
      <c r="H284" s="35"/>
      <c r="N284" s="18"/>
    </row>
    <row r="285" customFormat="false" ht="15.75" hidden="false" customHeight="false" outlineLevel="0" collapsed="false">
      <c r="G285" s="18"/>
      <c r="H285" s="35"/>
      <c r="N285" s="18"/>
    </row>
    <row r="286" customFormat="false" ht="15.75" hidden="false" customHeight="false" outlineLevel="0" collapsed="false">
      <c r="G286" s="18"/>
      <c r="H286" s="35"/>
      <c r="N286" s="18"/>
    </row>
    <row r="287" customFormat="false" ht="15.75" hidden="false" customHeight="false" outlineLevel="0" collapsed="false">
      <c r="G287" s="18"/>
      <c r="H287" s="35"/>
      <c r="N287" s="18"/>
    </row>
    <row r="288" customFormat="false" ht="15.75" hidden="false" customHeight="false" outlineLevel="0" collapsed="false">
      <c r="G288" s="18"/>
      <c r="H288" s="35"/>
      <c r="N288" s="18"/>
    </row>
    <row r="289" customFormat="false" ht="15.75" hidden="false" customHeight="false" outlineLevel="0" collapsed="false">
      <c r="G289" s="18"/>
      <c r="H289" s="35"/>
      <c r="N289" s="18"/>
    </row>
    <row r="290" customFormat="false" ht="15.75" hidden="false" customHeight="false" outlineLevel="0" collapsed="false">
      <c r="G290" s="18"/>
      <c r="H290" s="35"/>
      <c r="N290" s="18"/>
    </row>
    <row r="291" customFormat="false" ht="15.75" hidden="false" customHeight="false" outlineLevel="0" collapsed="false">
      <c r="G291" s="18"/>
      <c r="H291" s="35"/>
      <c r="N291" s="18"/>
    </row>
    <row r="292" customFormat="false" ht="15.75" hidden="false" customHeight="false" outlineLevel="0" collapsed="false">
      <c r="G292" s="18"/>
      <c r="H292" s="35"/>
      <c r="N292" s="18"/>
    </row>
    <row r="293" customFormat="false" ht="15.75" hidden="false" customHeight="false" outlineLevel="0" collapsed="false">
      <c r="G293" s="18"/>
      <c r="H293" s="35"/>
      <c r="N293" s="18"/>
    </row>
    <row r="294" customFormat="false" ht="15.75" hidden="false" customHeight="false" outlineLevel="0" collapsed="false">
      <c r="G294" s="18"/>
      <c r="H294" s="35"/>
      <c r="N294" s="18"/>
    </row>
    <row r="295" customFormat="false" ht="15.75" hidden="false" customHeight="false" outlineLevel="0" collapsed="false">
      <c r="G295" s="18"/>
      <c r="H295" s="35"/>
      <c r="N295" s="18"/>
    </row>
    <row r="296" customFormat="false" ht="15.75" hidden="false" customHeight="false" outlineLevel="0" collapsed="false">
      <c r="G296" s="18"/>
      <c r="H296" s="35"/>
      <c r="N296" s="18"/>
    </row>
    <row r="297" customFormat="false" ht="15.75" hidden="false" customHeight="false" outlineLevel="0" collapsed="false">
      <c r="G297" s="18"/>
      <c r="H297" s="35"/>
      <c r="N297" s="18"/>
    </row>
    <row r="298" customFormat="false" ht="15.75" hidden="false" customHeight="false" outlineLevel="0" collapsed="false">
      <c r="G298" s="18"/>
      <c r="H298" s="35"/>
      <c r="N298" s="18"/>
    </row>
    <row r="299" customFormat="false" ht="15.75" hidden="false" customHeight="false" outlineLevel="0" collapsed="false">
      <c r="G299" s="18"/>
      <c r="H299" s="35"/>
      <c r="N299" s="18"/>
    </row>
    <row r="300" customFormat="false" ht="15.75" hidden="false" customHeight="false" outlineLevel="0" collapsed="false">
      <c r="G300" s="18"/>
      <c r="H300" s="35"/>
      <c r="N300" s="18"/>
    </row>
    <row r="301" customFormat="false" ht="15.75" hidden="false" customHeight="false" outlineLevel="0" collapsed="false">
      <c r="G301" s="18"/>
      <c r="H301" s="35"/>
      <c r="N301" s="18"/>
    </row>
    <row r="302" customFormat="false" ht="15.75" hidden="false" customHeight="false" outlineLevel="0" collapsed="false">
      <c r="G302" s="18"/>
      <c r="H302" s="35"/>
      <c r="N302" s="18"/>
    </row>
    <row r="303" customFormat="false" ht="15.75" hidden="false" customHeight="false" outlineLevel="0" collapsed="false">
      <c r="G303" s="18"/>
      <c r="H303" s="35"/>
      <c r="N303" s="18"/>
    </row>
    <row r="304" customFormat="false" ht="15.75" hidden="false" customHeight="false" outlineLevel="0" collapsed="false">
      <c r="G304" s="18"/>
      <c r="H304" s="35"/>
      <c r="N304" s="18"/>
    </row>
    <row r="305" customFormat="false" ht="15.75" hidden="false" customHeight="false" outlineLevel="0" collapsed="false">
      <c r="G305" s="18"/>
      <c r="H305" s="35"/>
      <c r="N305" s="18"/>
    </row>
    <row r="306" customFormat="false" ht="15.75" hidden="false" customHeight="false" outlineLevel="0" collapsed="false">
      <c r="G306" s="18"/>
      <c r="H306" s="35"/>
      <c r="N306" s="18"/>
    </row>
    <row r="307" customFormat="false" ht="15.75" hidden="false" customHeight="false" outlineLevel="0" collapsed="false">
      <c r="G307" s="18"/>
      <c r="H307" s="35"/>
      <c r="N307" s="18"/>
    </row>
    <row r="308" customFormat="false" ht="15.75" hidden="false" customHeight="false" outlineLevel="0" collapsed="false">
      <c r="G308" s="18"/>
      <c r="H308" s="35"/>
      <c r="N308" s="18"/>
    </row>
    <row r="309" customFormat="false" ht="15.75" hidden="false" customHeight="false" outlineLevel="0" collapsed="false">
      <c r="G309" s="18"/>
      <c r="H309" s="35"/>
      <c r="N309" s="18"/>
    </row>
    <row r="310" customFormat="false" ht="15.75" hidden="false" customHeight="false" outlineLevel="0" collapsed="false">
      <c r="G310" s="18"/>
      <c r="H310" s="35"/>
      <c r="N310" s="18"/>
    </row>
    <row r="311" customFormat="false" ht="15.75" hidden="false" customHeight="false" outlineLevel="0" collapsed="false">
      <c r="G311" s="18"/>
      <c r="H311" s="35"/>
      <c r="N311" s="18"/>
    </row>
    <row r="312" customFormat="false" ht="15.75" hidden="false" customHeight="false" outlineLevel="0" collapsed="false">
      <c r="G312" s="18"/>
      <c r="H312" s="35"/>
      <c r="N312" s="18"/>
    </row>
    <row r="313" customFormat="false" ht="15.75" hidden="false" customHeight="false" outlineLevel="0" collapsed="false">
      <c r="G313" s="18"/>
      <c r="H313" s="35"/>
      <c r="N313" s="18"/>
    </row>
    <row r="314" customFormat="false" ht="15.75" hidden="false" customHeight="false" outlineLevel="0" collapsed="false">
      <c r="G314" s="18"/>
      <c r="H314" s="35"/>
      <c r="N314" s="18"/>
    </row>
    <row r="315" customFormat="false" ht="15.75" hidden="false" customHeight="false" outlineLevel="0" collapsed="false">
      <c r="G315" s="18"/>
      <c r="H315" s="35"/>
      <c r="N315" s="18"/>
    </row>
    <row r="316" customFormat="false" ht="15.75" hidden="false" customHeight="false" outlineLevel="0" collapsed="false">
      <c r="G316" s="18"/>
      <c r="H316" s="35"/>
      <c r="N316" s="18"/>
    </row>
    <row r="317" customFormat="false" ht="15.75" hidden="false" customHeight="false" outlineLevel="0" collapsed="false">
      <c r="G317" s="18"/>
      <c r="H317" s="35"/>
      <c r="N317" s="18"/>
    </row>
    <row r="318" customFormat="false" ht="15.75" hidden="false" customHeight="false" outlineLevel="0" collapsed="false">
      <c r="G318" s="18"/>
      <c r="H318" s="35"/>
      <c r="N318" s="18"/>
    </row>
    <row r="319" customFormat="false" ht="15.75" hidden="false" customHeight="false" outlineLevel="0" collapsed="false">
      <c r="G319" s="18"/>
      <c r="H319" s="35"/>
      <c r="N319" s="18"/>
    </row>
    <row r="320" customFormat="false" ht="15.75" hidden="false" customHeight="false" outlineLevel="0" collapsed="false">
      <c r="G320" s="18"/>
      <c r="H320" s="35"/>
      <c r="N320" s="18"/>
    </row>
    <row r="321" customFormat="false" ht="15.75" hidden="false" customHeight="false" outlineLevel="0" collapsed="false">
      <c r="G321" s="18"/>
      <c r="H321" s="35"/>
      <c r="N321" s="18"/>
    </row>
    <row r="322" customFormat="false" ht="15.75" hidden="false" customHeight="false" outlineLevel="0" collapsed="false">
      <c r="G322" s="18"/>
      <c r="H322" s="35"/>
      <c r="N322" s="18"/>
    </row>
    <row r="323" customFormat="false" ht="15.75" hidden="false" customHeight="false" outlineLevel="0" collapsed="false">
      <c r="G323" s="18"/>
      <c r="H323" s="35"/>
      <c r="N323" s="18"/>
    </row>
    <row r="324" customFormat="false" ht="15.75" hidden="false" customHeight="false" outlineLevel="0" collapsed="false">
      <c r="G324" s="18"/>
      <c r="H324" s="35"/>
      <c r="N324" s="18"/>
    </row>
    <row r="325" customFormat="false" ht="15.75" hidden="false" customHeight="false" outlineLevel="0" collapsed="false">
      <c r="G325" s="18"/>
      <c r="H325" s="35"/>
      <c r="N325" s="18"/>
    </row>
    <row r="326" customFormat="false" ht="15.75" hidden="false" customHeight="false" outlineLevel="0" collapsed="false">
      <c r="G326" s="18"/>
      <c r="H326" s="35"/>
      <c r="N326" s="18"/>
    </row>
    <row r="327" customFormat="false" ht="15.75" hidden="false" customHeight="false" outlineLevel="0" collapsed="false">
      <c r="G327" s="18"/>
      <c r="H327" s="35"/>
      <c r="N327" s="18"/>
    </row>
    <row r="328" customFormat="false" ht="15.75" hidden="false" customHeight="false" outlineLevel="0" collapsed="false">
      <c r="G328" s="18"/>
      <c r="H328" s="35"/>
      <c r="N328" s="18"/>
    </row>
    <row r="329" customFormat="false" ht="15.75" hidden="false" customHeight="false" outlineLevel="0" collapsed="false">
      <c r="G329" s="18"/>
      <c r="H329" s="35"/>
      <c r="N329" s="18"/>
    </row>
    <row r="330" customFormat="false" ht="15.75" hidden="false" customHeight="false" outlineLevel="0" collapsed="false">
      <c r="G330" s="18"/>
      <c r="H330" s="35"/>
      <c r="N330" s="18"/>
    </row>
    <row r="331" customFormat="false" ht="15.75" hidden="false" customHeight="false" outlineLevel="0" collapsed="false">
      <c r="G331" s="18"/>
      <c r="H331" s="35"/>
      <c r="N331" s="18"/>
    </row>
    <row r="332" customFormat="false" ht="15.75" hidden="false" customHeight="false" outlineLevel="0" collapsed="false">
      <c r="G332" s="18"/>
      <c r="H332" s="35"/>
      <c r="N332" s="18"/>
    </row>
    <row r="333" customFormat="false" ht="15.75" hidden="false" customHeight="false" outlineLevel="0" collapsed="false">
      <c r="G333" s="18"/>
      <c r="H333" s="35"/>
      <c r="N333" s="18"/>
    </row>
    <row r="334" customFormat="false" ht="15.75" hidden="false" customHeight="false" outlineLevel="0" collapsed="false">
      <c r="G334" s="18"/>
      <c r="H334" s="35"/>
      <c r="N334" s="18"/>
    </row>
    <row r="335" customFormat="false" ht="15.75" hidden="false" customHeight="false" outlineLevel="0" collapsed="false">
      <c r="G335" s="18"/>
      <c r="H335" s="35"/>
      <c r="N335" s="18"/>
    </row>
    <row r="336" customFormat="false" ht="15.75" hidden="false" customHeight="false" outlineLevel="0" collapsed="false">
      <c r="G336" s="18"/>
      <c r="H336" s="35"/>
      <c r="N336" s="18"/>
    </row>
    <row r="337" customFormat="false" ht="15.75" hidden="false" customHeight="false" outlineLevel="0" collapsed="false">
      <c r="G337" s="18"/>
      <c r="H337" s="35"/>
      <c r="N337" s="18"/>
    </row>
    <row r="338" customFormat="false" ht="15.75" hidden="false" customHeight="false" outlineLevel="0" collapsed="false">
      <c r="G338" s="18"/>
      <c r="H338" s="35"/>
      <c r="N338" s="18"/>
    </row>
    <row r="339" customFormat="false" ht="15.75" hidden="false" customHeight="false" outlineLevel="0" collapsed="false">
      <c r="G339" s="18"/>
      <c r="H339" s="35"/>
      <c r="N339" s="18"/>
    </row>
    <row r="340" customFormat="false" ht="15.75" hidden="false" customHeight="false" outlineLevel="0" collapsed="false">
      <c r="G340" s="18"/>
      <c r="H340" s="35"/>
      <c r="N340" s="18"/>
    </row>
    <row r="341" customFormat="false" ht="15.75" hidden="false" customHeight="false" outlineLevel="0" collapsed="false">
      <c r="G341" s="18"/>
      <c r="H341" s="35"/>
      <c r="N341" s="18"/>
    </row>
    <row r="342" customFormat="false" ht="15.75" hidden="false" customHeight="false" outlineLevel="0" collapsed="false">
      <c r="G342" s="18"/>
      <c r="H342" s="35"/>
      <c r="N342" s="18"/>
    </row>
    <row r="343" customFormat="false" ht="15.75" hidden="false" customHeight="false" outlineLevel="0" collapsed="false">
      <c r="G343" s="18"/>
      <c r="H343" s="35"/>
      <c r="N343" s="18"/>
    </row>
    <row r="344" customFormat="false" ht="15.75" hidden="false" customHeight="false" outlineLevel="0" collapsed="false">
      <c r="G344" s="18"/>
      <c r="H344" s="35"/>
      <c r="N344" s="18"/>
    </row>
    <row r="345" customFormat="false" ht="15.75" hidden="false" customHeight="false" outlineLevel="0" collapsed="false">
      <c r="G345" s="18"/>
      <c r="H345" s="35"/>
      <c r="N345" s="18"/>
    </row>
    <row r="346" customFormat="false" ht="15.75" hidden="false" customHeight="false" outlineLevel="0" collapsed="false">
      <c r="G346" s="18"/>
      <c r="H346" s="35"/>
      <c r="N346" s="18"/>
    </row>
    <row r="347" customFormat="false" ht="15.75" hidden="false" customHeight="false" outlineLevel="0" collapsed="false">
      <c r="G347" s="18"/>
      <c r="H347" s="35"/>
      <c r="N347" s="18"/>
    </row>
    <row r="348" customFormat="false" ht="15.75" hidden="false" customHeight="false" outlineLevel="0" collapsed="false">
      <c r="G348" s="18"/>
      <c r="H348" s="35"/>
      <c r="N348" s="18"/>
    </row>
    <row r="349" customFormat="false" ht="15.75" hidden="false" customHeight="false" outlineLevel="0" collapsed="false">
      <c r="G349" s="18"/>
      <c r="H349" s="35"/>
      <c r="N349" s="18"/>
    </row>
    <row r="350" customFormat="false" ht="15.75" hidden="false" customHeight="false" outlineLevel="0" collapsed="false">
      <c r="G350" s="18"/>
      <c r="H350" s="35"/>
      <c r="N350" s="18"/>
    </row>
    <row r="351" customFormat="false" ht="15.75" hidden="false" customHeight="false" outlineLevel="0" collapsed="false">
      <c r="G351" s="18"/>
      <c r="H351" s="35"/>
      <c r="N351" s="18"/>
    </row>
    <row r="352" customFormat="false" ht="15.75" hidden="false" customHeight="false" outlineLevel="0" collapsed="false">
      <c r="G352" s="18"/>
      <c r="H352" s="35"/>
      <c r="N352" s="18"/>
    </row>
    <row r="353" customFormat="false" ht="15.75" hidden="false" customHeight="false" outlineLevel="0" collapsed="false">
      <c r="G353" s="18"/>
      <c r="H353" s="35"/>
      <c r="N353" s="18"/>
    </row>
    <row r="354" customFormat="false" ht="15.75" hidden="false" customHeight="false" outlineLevel="0" collapsed="false">
      <c r="G354" s="18"/>
      <c r="H354" s="35"/>
      <c r="N354" s="18"/>
    </row>
    <row r="355" customFormat="false" ht="15.75" hidden="false" customHeight="false" outlineLevel="0" collapsed="false">
      <c r="G355" s="18"/>
      <c r="H355" s="35"/>
      <c r="N355" s="18"/>
    </row>
    <row r="356" customFormat="false" ht="15.75" hidden="false" customHeight="false" outlineLevel="0" collapsed="false">
      <c r="G356" s="18"/>
      <c r="H356" s="35"/>
      <c r="N356" s="18"/>
    </row>
    <row r="357" customFormat="false" ht="15.75" hidden="false" customHeight="false" outlineLevel="0" collapsed="false">
      <c r="G357" s="18"/>
      <c r="H357" s="35"/>
      <c r="N357" s="18"/>
    </row>
    <row r="358" customFormat="false" ht="15.75" hidden="false" customHeight="false" outlineLevel="0" collapsed="false">
      <c r="G358" s="18"/>
      <c r="H358" s="35"/>
      <c r="N358" s="18"/>
    </row>
    <row r="359" customFormat="false" ht="15.75" hidden="false" customHeight="false" outlineLevel="0" collapsed="false">
      <c r="G359" s="18"/>
      <c r="H359" s="35"/>
      <c r="N359" s="18"/>
    </row>
    <row r="360" customFormat="false" ht="15.75" hidden="false" customHeight="false" outlineLevel="0" collapsed="false">
      <c r="G360" s="18"/>
      <c r="H360" s="35"/>
      <c r="N360" s="18"/>
    </row>
    <row r="361" customFormat="false" ht="15.75" hidden="false" customHeight="false" outlineLevel="0" collapsed="false">
      <c r="G361" s="18"/>
      <c r="H361" s="35"/>
      <c r="N361" s="18"/>
    </row>
    <row r="362" customFormat="false" ht="15.75" hidden="false" customHeight="false" outlineLevel="0" collapsed="false">
      <c r="G362" s="18"/>
      <c r="H362" s="35"/>
      <c r="N362" s="18"/>
    </row>
    <row r="363" customFormat="false" ht="15.75" hidden="false" customHeight="false" outlineLevel="0" collapsed="false">
      <c r="G363" s="18"/>
      <c r="H363" s="35"/>
      <c r="N363" s="18"/>
    </row>
    <row r="364" customFormat="false" ht="15.75" hidden="false" customHeight="false" outlineLevel="0" collapsed="false">
      <c r="G364" s="18"/>
      <c r="H364" s="35"/>
      <c r="N364" s="18"/>
    </row>
    <row r="365" customFormat="false" ht="15.75" hidden="false" customHeight="false" outlineLevel="0" collapsed="false">
      <c r="G365" s="18"/>
      <c r="H365" s="35"/>
      <c r="N365" s="18"/>
    </row>
    <row r="366" customFormat="false" ht="15.75" hidden="false" customHeight="false" outlineLevel="0" collapsed="false">
      <c r="G366" s="18"/>
      <c r="H366" s="35"/>
      <c r="N366" s="18"/>
    </row>
    <row r="367" customFormat="false" ht="15.75" hidden="false" customHeight="false" outlineLevel="0" collapsed="false">
      <c r="G367" s="18"/>
      <c r="H367" s="35"/>
      <c r="N367" s="18"/>
    </row>
    <row r="368" customFormat="false" ht="15.75" hidden="false" customHeight="false" outlineLevel="0" collapsed="false">
      <c r="G368" s="18"/>
      <c r="H368" s="35"/>
      <c r="N368" s="18"/>
    </row>
    <row r="369" customFormat="false" ht="15.75" hidden="false" customHeight="false" outlineLevel="0" collapsed="false">
      <c r="G369" s="18"/>
      <c r="H369" s="35"/>
      <c r="N369" s="18"/>
    </row>
    <row r="370" customFormat="false" ht="15.75" hidden="false" customHeight="false" outlineLevel="0" collapsed="false">
      <c r="G370" s="18"/>
      <c r="H370" s="35"/>
      <c r="N370" s="18"/>
    </row>
    <row r="371" customFormat="false" ht="15.75" hidden="false" customHeight="false" outlineLevel="0" collapsed="false">
      <c r="G371" s="18"/>
      <c r="H371" s="35"/>
      <c r="N371" s="18"/>
    </row>
    <row r="372" customFormat="false" ht="15.75" hidden="false" customHeight="false" outlineLevel="0" collapsed="false">
      <c r="G372" s="18"/>
      <c r="H372" s="35"/>
      <c r="N372" s="18"/>
    </row>
    <row r="373" customFormat="false" ht="15.75" hidden="false" customHeight="false" outlineLevel="0" collapsed="false">
      <c r="G373" s="18"/>
      <c r="H373" s="35"/>
      <c r="N373" s="18"/>
    </row>
    <row r="374" customFormat="false" ht="15.75" hidden="false" customHeight="false" outlineLevel="0" collapsed="false">
      <c r="G374" s="18"/>
      <c r="H374" s="35"/>
      <c r="N374" s="18"/>
    </row>
    <row r="375" customFormat="false" ht="15.75" hidden="false" customHeight="false" outlineLevel="0" collapsed="false">
      <c r="G375" s="18"/>
      <c r="H375" s="35"/>
      <c r="N375" s="18"/>
    </row>
    <row r="376" customFormat="false" ht="15.75" hidden="false" customHeight="false" outlineLevel="0" collapsed="false">
      <c r="G376" s="18"/>
      <c r="H376" s="35"/>
      <c r="N376" s="18"/>
    </row>
    <row r="377" customFormat="false" ht="15.75" hidden="false" customHeight="false" outlineLevel="0" collapsed="false">
      <c r="G377" s="18"/>
      <c r="H377" s="35"/>
      <c r="N377" s="18"/>
    </row>
    <row r="378" customFormat="false" ht="15.75" hidden="false" customHeight="false" outlineLevel="0" collapsed="false">
      <c r="G378" s="18"/>
      <c r="H378" s="35"/>
      <c r="N378" s="18"/>
    </row>
    <row r="379" customFormat="false" ht="15.75" hidden="false" customHeight="false" outlineLevel="0" collapsed="false">
      <c r="G379" s="18"/>
      <c r="H379" s="35"/>
      <c r="N379" s="18"/>
    </row>
    <row r="380" customFormat="false" ht="15.75" hidden="false" customHeight="false" outlineLevel="0" collapsed="false">
      <c r="G380" s="18"/>
      <c r="H380" s="35"/>
      <c r="N380" s="18"/>
    </row>
    <row r="381" customFormat="false" ht="15.75" hidden="false" customHeight="false" outlineLevel="0" collapsed="false">
      <c r="G381" s="18"/>
      <c r="H381" s="35"/>
      <c r="N381" s="18"/>
    </row>
    <row r="382" customFormat="false" ht="15.75" hidden="false" customHeight="false" outlineLevel="0" collapsed="false">
      <c r="G382" s="18"/>
      <c r="H382" s="35"/>
      <c r="N382" s="18"/>
    </row>
    <row r="383" customFormat="false" ht="15.75" hidden="false" customHeight="false" outlineLevel="0" collapsed="false">
      <c r="G383" s="18"/>
      <c r="H383" s="35"/>
      <c r="N383" s="18"/>
    </row>
    <row r="384" customFormat="false" ht="15.75" hidden="false" customHeight="false" outlineLevel="0" collapsed="false">
      <c r="G384" s="18"/>
      <c r="H384" s="35"/>
      <c r="N384" s="18"/>
    </row>
    <row r="385" customFormat="false" ht="15.75" hidden="false" customHeight="false" outlineLevel="0" collapsed="false">
      <c r="G385" s="18"/>
      <c r="H385" s="35"/>
      <c r="N385" s="18"/>
    </row>
    <row r="386" customFormat="false" ht="15.75" hidden="false" customHeight="false" outlineLevel="0" collapsed="false">
      <c r="G386" s="18"/>
      <c r="H386" s="35"/>
      <c r="N386" s="18"/>
    </row>
    <row r="387" customFormat="false" ht="15.75" hidden="false" customHeight="false" outlineLevel="0" collapsed="false">
      <c r="G387" s="18"/>
      <c r="H387" s="35"/>
      <c r="N387" s="18"/>
    </row>
    <row r="388" customFormat="false" ht="15.75" hidden="false" customHeight="false" outlineLevel="0" collapsed="false">
      <c r="G388" s="18"/>
      <c r="H388" s="35"/>
      <c r="N388" s="18"/>
    </row>
    <row r="389" customFormat="false" ht="15.75" hidden="false" customHeight="false" outlineLevel="0" collapsed="false">
      <c r="G389" s="18"/>
      <c r="H389" s="35"/>
      <c r="N389" s="18"/>
    </row>
    <row r="390" customFormat="false" ht="15.75" hidden="false" customHeight="false" outlineLevel="0" collapsed="false">
      <c r="G390" s="18"/>
      <c r="H390" s="35"/>
      <c r="N390" s="18"/>
    </row>
    <row r="391" customFormat="false" ht="15.75" hidden="false" customHeight="false" outlineLevel="0" collapsed="false">
      <c r="G391" s="18"/>
      <c r="H391" s="35"/>
      <c r="N391" s="18"/>
    </row>
    <row r="392" customFormat="false" ht="15.75" hidden="false" customHeight="false" outlineLevel="0" collapsed="false">
      <c r="G392" s="18"/>
      <c r="H392" s="35"/>
      <c r="N392" s="18"/>
    </row>
    <row r="393" customFormat="false" ht="15.75" hidden="false" customHeight="false" outlineLevel="0" collapsed="false">
      <c r="G393" s="18"/>
      <c r="H393" s="35"/>
      <c r="N393" s="18"/>
    </row>
    <row r="394" customFormat="false" ht="15.75" hidden="false" customHeight="false" outlineLevel="0" collapsed="false">
      <c r="G394" s="18"/>
      <c r="H394" s="35"/>
      <c r="N394" s="18"/>
    </row>
    <row r="395" customFormat="false" ht="15.75" hidden="false" customHeight="false" outlineLevel="0" collapsed="false">
      <c r="G395" s="18"/>
      <c r="H395" s="35"/>
      <c r="N395" s="18"/>
    </row>
    <row r="396" customFormat="false" ht="15.75" hidden="false" customHeight="false" outlineLevel="0" collapsed="false">
      <c r="G396" s="18"/>
      <c r="H396" s="35"/>
      <c r="N396" s="18"/>
    </row>
    <row r="397" customFormat="false" ht="15.75" hidden="false" customHeight="false" outlineLevel="0" collapsed="false">
      <c r="G397" s="18"/>
      <c r="H397" s="35"/>
      <c r="N397" s="18"/>
    </row>
    <row r="398" customFormat="false" ht="15.75" hidden="false" customHeight="false" outlineLevel="0" collapsed="false">
      <c r="G398" s="18"/>
      <c r="H398" s="35"/>
      <c r="N398" s="18"/>
    </row>
    <row r="399" customFormat="false" ht="15.75" hidden="false" customHeight="false" outlineLevel="0" collapsed="false">
      <c r="G399" s="18"/>
      <c r="H399" s="35"/>
      <c r="N399" s="18"/>
    </row>
    <row r="400" customFormat="false" ht="15.75" hidden="false" customHeight="false" outlineLevel="0" collapsed="false">
      <c r="G400" s="18"/>
      <c r="H400" s="35"/>
      <c r="N400" s="18"/>
    </row>
    <row r="401" customFormat="false" ht="15.75" hidden="false" customHeight="false" outlineLevel="0" collapsed="false">
      <c r="G401" s="18"/>
      <c r="H401" s="35"/>
      <c r="N401" s="18"/>
    </row>
    <row r="402" customFormat="false" ht="15.75" hidden="false" customHeight="false" outlineLevel="0" collapsed="false">
      <c r="G402" s="18"/>
      <c r="H402" s="35"/>
      <c r="N402" s="18"/>
    </row>
    <row r="403" customFormat="false" ht="15.75" hidden="false" customHeight="false" outlineLevel="0" collapsed="false">
      <c r="G403" s="18"/>
      <c r="H403" s="35"/>
      <c r="N403" s="18"/>
    </row>
    <row r="404" customFormat="false" ht="15.75" hidden="false" customHeight="false" outlineLevel="0" collapsed="false">
      <c r="G404" s="18"/>
      <c r="H404" s="35"/>
      <c r="N404" s="18"/>
    </row>
    <row r="405" customFormat="false" ht="15.75" hidden="false" customHeight="false" outlineLevel="0" collapsed="false">
      <c r="G405" s="18"/>
      <c r="H405" s="35"/>
      <c r="N405" s="18"/>
    </row>
    <row r="406" customFormat="false" ht="15.75" hidden="false" customHeight="false" outlineLevel="0" collapsed="false">
      <c r="G406" s="18"/>
      <c r="H406" s="35"/>
      <c r="N406" s="18"/>
    </row>
    <row r="407" customFormat="false" ht="15.75" hidden="false" customHeight="false" outlineLevel="0" collapsed="false">
      <c r="G407" s="18"/>
      <c r="H407" s="35"/>
      <c r="N407" s="18"/>
    </row>
    <row r="408" customFormat="false" ht="15.75" hidden="false" customHeight="false" outlineLevel="0" collapsed="false">
      <c r="G408" s="18"/>
      <c r="H408" s="35"/>
      <c r="N408" s="18"/>
    </row>
    <row r="409" customFormat="false" ht="15.75" hidden="false" customHeight="false" outlineLevel="0" collapsed="false">
      <c r="G409" s="18"/>
      <c r="H409" s="35"/>
      <c r="N409" s="18"/>
    </row>
    <row r="410" customFormat="false" ht="15.75" hidden="false" customHeight="false" outlineLevel="0" collapsed="false">
      <c r="G410" s="18"/>
      <c r="H410" s="35"/>
      <c r="N410" s="18"/>
    </row>
    <row r="411" customFormat="false" ht="15.75" hidden="false" customHeight="false" outlineLevel="0" collapsed="false">
      <c r="G411" s="18"/>
      <c r="H411" s="35"/>
      <c r="N411" s="18"/>
    </row>
    <row r="412" customFormat="false" ht="15.75" hidden="false" customHeight="false" outlineLevel="0" collapsed="false">
      <c r="G412" s="18"/>
      <c r="H412" s="35"/>
      <c r="N412" s="18"/>
    </row>
    <row r="413" customFormat="false" ht="15.75" hidden="false" customHeight="false" outlineLevel="0" collapsed="false">
      <c r="G413" s="18"/>
      <c r="H413" s="35"/>
      <c r="N413" s="18"/>
    </row>
    <row r="414" customFormat="false" ht="15.75" hidden="false" customHeight="false" outlineLevel="0" collapsed="false">
      <c r="G414" s="18"/>
      <c r="H414" s="35"/>
      <c r="N414" s="18"/>
    </row>
    <row r="415" customFormat="false" ht="15.75" hidden="false" customHeight="false" outlineLevel="0" collapsed="false">
      <c r="G415" s="18"/>
      <c r="H415" s="35"/>
      <c r="N415" s="18"/>
    </row>
    <row r="416" customFormat="false" ht="15.75" hidden="false" customHeight="false" outlineLevel="0" collapsed="false">
      <c r="G416" s="18"/>
      <c r="H416" s="35"/>
      <c r="N416" s="18"/>
    </row>
    <row r="417" customFormat="false" ht="15.75" hidden="false" customHeight="false" outlineLevel="0" collapsed="false">
      <c r="G417" s="18"/>
      <c r="H417" s="35"/>
      <c r="N417" s="18"/>
    </row>
    <row r="418" customFormat="false" ht="15.75" hidden="false" customHeight="false" outlineLevel="0" collapsed="false">
      <c r="G418" s="18"/>
      <c r="H418" s="35"/>
      <c r="N418" s="18"/>
    </row>
    <row r="419" customFormat="false" ht="15.75" hidden="false" customHeight="false" outlineLevel="0" collapsed="false">
      <c r="G419" s="18"/>
      <c r="H419" s="35"/>
      <c r="N419" s="18"/>
    </row>
    <row r="420" customFormat="false" ht="15.75" hidden="false" customHeight="false" outlineLevel="0" collapsed="false">
      <c r="G420" s="18"/>
      <c r="H420" s="35"/>
      <c r="N420" s="18"/>
    </row>
    <row r="421" customFormat="false" ht="15.75" hidden="false" customHeight="false" outlineLevel="0" collapsed="false">
      <c r="G421" s="18"/>
      <c r="H421" s="35"/>
      <c r="N421" s="18"/>
    </row>
    <row r="422" customFormat="false" ht="15.75" hidden="false" customHeight="false" outlineLevel="0" collapsed="false">
      <c r="G422" s="18"/>
      <c r="H422" s="35"/>
      <c r="N422" s="18"/>
    </row>
    <row r="423" customFormat="false" ht="15.75" hidden="false" customHeight="false" outlineLevel="0" collapsed="false">
      <c r="G423" s="18"/>
      <c r="H423" s="35"/>
      <c r="N423" s="18"/>
    </row>
    <row r="424" customFormat="false" ht="15.75" hidden="false" customHeight="false" outlineLevel="0" collapsed="false">
      <c r="G424" s="18"/>
      <c r="H424" s="35"/>
      <c r="N424" s="18"/>
    </row>
    <row r="425" customFormat="false" ht="15.75" hidden="false" customHeight="false" outlineLevel="0" collapsed="false">
      <c r="G425" s="18"/>
      <c r="H425" s="35"/>
      <c r="N425" s="18"/>
    </row>
    <row r="426" customFormat="false" ht="15.75" hidden="false" customHeight="false" outlineLevel="0" collapsed="false">
      <c r="G426" s="18"/>
      <c r="H426" s="35"/>
      <c r="N426" s="18"/>
    </row>
    <row r="427" customFormat="false" ht="15.75" hidden="false" customHeight="false" outlineLevel="0" collapsed="false">
      <c r="G427" s="18"/>
      <c r="H427" s="35"/>
      <c r="N427" s="18"/>
    </row>
    <row r="428" customFormat="false" ht="15.75" hidden="false" customHeight="false" outlineLevel="0" collapsed="false">
      <c r="G428" s="18"/>
      <c r="H428" s="35"/>
      <c r="N428" s="18"/>
    </row>
    <row r="429" customFormat="false" ht="15.75" hidden="false" customHeight="false" outlineLevel="0" collapsed="false">
      <c r="G429" s="18"/>
      <c r="H429" s="35"/>
      <c r="N429" s="18"/>
    </row>
    <row r="430" customFormat="false" ht="15.75" hidden="false" customHeight="false" outlineLevel="0" collapsed="false">
      <c r="G430" s="18"/>
      <c r="H430" s="35"/>
      <c r="N430" s="18"/>
    </row>
    <row r="431" customFormat="false" ht="15.75" hidden="false" customHeight="false" outlineLevel="0" collapsed="false">
      <c r="G431" s="18"/>
      <c r="H431" s="35"/>
      <c r="N431" s="18"/>
    </row>
    <row r="432" customFormat="false" ht="15.75" hidden="false" customHeight="false" outlineLevel="0" collapsed="false">
      <c r="G432" s="18"/>
      <c r="H432" s="35"/>
      <c r="N432" s="18"/>
    </row>
    <row r="433" customFormat="false" ht="15.75" hidden="false" customHeight="false" outlineLevel="0" collapsed="false">
      <c r="G433" s="18"/>
      <c r="H433" s="35"/>
      <c r="N433" s="18"/>
    </row>
    <row r="434" customFormat="false" ht="15.75" hidden="false" customHeight="false" outlineLevel="0" collapsed="false">
      <c r="G434" s="18"/>
      <c r="H434" s="35"/>
      <c r="N434" s="18"/>
    </row>
    <row r="435" customFormat="false" ht="15.75" hidden="false" customHeight="false" outlineLevel="0" collapsed="false">
      <c r="G435" s="18"/>
      <c r="H435" s="35"/>
      <c r="N435" s="18"/>
    </row>
    <row r="436" customFormat="false" ht="15.75" hidden="false" customHeight="false" outlineLevel="0" collapsed="false">
      <c r="G436" s="18"/>
      <c r="H436" s="35"/>
      <c r="N436" s="18"/>
    </row>
    <row r="437" customFormat="false" ht="15.75" hidden="false" customHeight="false" outlineLevel="0" collapsed="false">
      <c r="G437" s="18"/>
      <c r="H437" s="35"/>
      <c r="N437" s="18"/>
    </row>
    <row r="438" customFormat="false" ht="15.75" hidden="false" customHeight="false" outlineLevel="0" collapsed="false">
      <c r="G438" s="18"/>
      <c r="H438" s="35"/>
      <c r="N438" s="18"/>
    </row>
    <row r="439" customFormat="false" ht="15.75" hidden="false" customHeight="false" outlineLevel="0" collapsed="false">
      <c r="G439" s="18"/>
      <c r="H439" s="35"/>
      <c r="N439" s="18"/>
    </row>
    <row r="440" customFormat="false" ht="15.75" hidden="false" customHeight="false" outlineLevel="0" collapsed="false">
      <c r="G440" s="18"/>
      <c r="H440" s="35"/>
      <c r="N440" s="18"/>
    </row>
    <row r="441" customFormat="false" ht="15.75" hidden="false" customHeight="false" outlineLevel="0" collapsed="false">
      <c r="G441" s="18"/>
      <c r="H441" s="35"/>
      <c r="N441" s="18"/>
    </row>
    <row r="442" customFormat="false" ht="15.75" hidden="false" customHeight="false" outlineLevel="0" collapsed="false">
      <c r="G442" s="18"/>
      <c r="H442" s="35"/>
      <c r="N442" s="18"/>
    </row>
    <row r="443" customFormat="false" ht="15.75" hidden="false" customHeight="false" outlineLevel="0" collapsed="false">
      <c r="G443" s="18"/>
      <c r="H443" s="35"/>
      <c r="N443" s="18"/>
    </row>
    <row r="444" customFormat="false" ht="15.75" hidden="false" customHeight="false" outlineLevel="0" collapsed="false">
      <c r="G444" s="18"/>
      <c r="H444" s="35"/>
      <c r="N444" s="18"/>
    </row>
    <row r="445" customFormat="false" ht="15.75" hidden="false" customHeight="false" outlineLevel="0" collapsed="false">
      <c r="G445" s="18"/>
      <c r="H445" s="35"/>
      <c r="N445" s="18"/>
    </row>
    <row r="446" customFormat="false" ht="15.75" hidden="false" customHeight="false" outlineLevel="0" collapsed="false">
      <c r="G446" s="18"/>
      <c r="H446" s="35"/>
      <c r="N446" s="18"/>
    </row>
    <row r="447" customFormat="false" ht="15.75" hidden="false" customHeight="false" outlineLevel="0" collapsed="false">
      <c r="G447" s="18"/>
      <c r="H447" s="35"/>
      <c r="N447" s="18"/>
    </row>
    <row r="448" customFormat="false" ht="15.75" hidden="false" customHeight="false" outlineLevel="0" collapsed="false">
      <c r="G448" s="18"/>
      <c r="H448" s="35"/>
      <c r="N448" s="18"/>
    </row>
    <row r="449" customFormat="false" ht="15.75" hidden="false" customHeight="false" outlineLevel="0" collapsed="false">
      <c r="G449" s="18"/>
      <c r="H449" s="35"/>
      <c r="N449" s="18"/>
    </row>
    <row r="450" customFormat="false" ht="15.75" hidden="false" customHeight="false" outlineLevel="0" collapsed="false">
      <c r="G450" s="18"/>
      <c r="H450" s="35"/>
      <c r="N450" s="18"/>
    </row>
    <row r="451" customFormat="false" ht="15.75" hidden="false" customHeight="false" outlineLevel="0" collapsed="false">
      <c r="G451" s="18"/>
      <c r="H451" s="35"/>
      <c r="N451" s="18"/>
    </row>
    <row r="452" customFormat="false" ht="15.75" hidden="false" customHeight="false" outlineLevel="0" collapsed="false">
      <c r="G452" s="18"/>
      <c r="H452" s="35"/>
      <c r="N452" s="18"/>
    </row>
    <row r="453" customFormat="false" ht="15.75" hidden="false" customHeight="false" outlineLevel="0" collapsed="false">
      <c r="G453" s="18"/>
      <c r="H453" s="35"/>
      <c r="N453" s="18"/>
    </row>
    <row r="454" customFormat="false" ht="15.75" hidden="false" customHeight="false" outlineLevel="0" collapsed="false">
      <c r="G454" s="18"/>
      <c r="H454" s="35"/>
      <c r="N454" s="18"/>
    </row>
    <row r="455" customFormat="false" ht="15.75" hidden="false" customHeight="false" outlineLevel="0" collapsed="false">
      <c r="G455" s="18"/>
      <c r="H455" s="35"/>
      <c r="N455" s="18"/>
    </row>
    <row r="456" customFormat="false" ht="15.75" hidden="false" customHeight="false" outlineLevel="0" collapsed="false">
      <c r="G456" s="18"/>
      <c r="H456" s="35"/>
      <c r="N456" s="18"/>
    </row>
    <row r="457" customFormat="false" ht="15.75" hidden="false" customHeight="false" outlineLevel="0" collapsed="false">
      <c r="G457" s="18"/>
      <c r="H457" s="35"/>
      <c r="N457" s="18"/>
    </row>
    <row r="458" customFormat="false" ht="15.75" hidden="false" customHeight="false" outlineLevel="0" collapsed="false">
      <c r="G458" s="18"/>
      <c r="H458" s="35"/>
      <c r="N458" s="18"/>
    </row>
    <row r="459" customFormat="false" ht="15.75" hidden="false" customHeight="false" outlineLevel="0" collapsed="false">
      <c r="G459" s="18"/>
      <c r="H459" s="35"/>
      <c r="N459" s="18"/>
    </row>
    <row r="460" customFormat="false" ht="15.75" hidden="false" customHeight="false" outlineLevel="0" collapsed="false">
      <c r="G460" s="18"/>
      <c r="H460" s="35"/>
      <c r="N460" s="18"/>
    </row>
    <row r="461" customFormat="false" ht="15.75" hidden="false" customHeight="false" outlineLevel="0" collapsed="false">
      <c r="G461" s="18"/>
      <c r="H461" s="35"/>
      <c r="N461" s="18"/>
    </row>
    <row r="462" customFormat="false" ht="15.75" hidden="false" customHeight="false" outlineLevel="0" collapsed="false">
      <c r="G462" s="18"/>
      <c r="H462" s="35"/>
      <c r="N462" s="18"/>
    </row>
    <row r="463" customFormat="false" ht="15.75" hidden="false" customHeight="false" outlineLevel="0" collapsed="false">
      <c r="G463" s="18"/>
      <c r="H463" s="35"/>
      <c r="N463" s="18"/>
    </row>
    <row r="464" customFormat="false" ht="15.75" hidden="false" customHeight="false" outlineLevel="0" collapsed="false">
      <c r="G464" s="18"/>
      <c r="H464" s="35"/>
      <c r="N464" s="18"/>
    </row>
    <row r="465" customFormat="false" ht="15.75" hidden="false" customHeight="false" outlineLevel="0" collapsed="false">
      <c r="G465" s="18"/>
      <c r="H465" s="35"/>
      <c r="N465" s="18"/>
    </row>
    <row r="466" customFormat="false" ht="15.75" hidden="false" customHeight="false" outlineLevel="0" collapsed="false">
      <c r="G466" s="18"/>
      <c r="H466" s="35"/>
      <c r="N466" s="18"/>
    </row>
    <row r="467" customFormat="false" ht="15.75" hidden="false" customHeight="false" outlineLevel="0" collapsed="false">
      <c r="G467" s="18"/>
      <c r="H467" s="35"/>
      <c r="N467" s="18"/>
    </row>
    <row r="468" customFormat="false" ht="15.75" hidden="false" customHeight="false" outlineLevel="0" collapsed="false">
      <c r="G468" s="18"/>
      <c r="H468" s="35"/>
      <c r="N468" s="18"/>
    </row>
    <row r="469" customFormat="false" ht="15.75" hidden="false" customHeight="false" outlineLevel="0" collapsed="false">
      <c r="G469" s="18"/>
      <c r="H469" s="35"/>
      <c r="N469" s="18"/>
    </row>
    <row r="470" customFormat="false" ht="15.75" hidden="false" customHeight="false" outlineLevel="0" collapsed="false">
      <c r="G470" s="18"/>
      <c r="H470" s="35"/>
      <c r="N470" s="18"/>
    </row>
    <row r="471" customFormat="false" ht="15.75" hidden="false" customHeight="false" outlineLevel="0" collapsed="false">
      <c r="G471" s="18"/>
      <c r="H471" s="35"/>
      <c r="N471" s="18"/>
    </row>
    <row r="472" customFormat="false" ht="15.75" hidden="false" customHeight="false" outlineLevel="0" collapsed="false">
      <c r="G472" s="18"/>
      <c r="H472" s="35"/>
      <c r="N472" s="18"/>
    </row>
    <row r="473" customFormat="false" ht="15.75" hidden="false" customHeight="false" outlineLevel="0" collapsed="false">
      <c r="G473" s="18"/>
      <c r="H473" s="35"/>
      <c r="N473" s="18"/>
    </row>
    <row r="474" customFormat="false" ht="15.75" hidden="false" customHeight="false" outlineLevel="0" collapsed="false">
      <c r="G474" s="18"/>
      <c r="H474" s="35"/>
      <c r="N474" s="18"/>
    </row>
    <row r="475" customFormat="false" ht="15.75" hidden="false" customHeight="false" outlineLevel="0" collapsed="false">
      <c r="G475" s="18"/>
      <c r="H475" s="35"/>
      <c r="N475" s="18"/>
    </row>
    <row r="476" customFormat="false" ht="15.75" hidden="false" customHeight="false" outlineLevel="0" collapsed="false">
      <c r="G476" s="18"/>
      <c r="H476" s="35"/>
      <c r="N476" s="18"/>
    </row>
    <row r="477" customFormat="false" ht="15.75" hidden="false" customHeight="false" outlineLevel="0" collapsed="false">
      <c r="G477" s="18"/>
      <c r="H477" s="35"/>
      <c r="N477" s="18"/>
    </row>
    <row r="478" customFormat="false" ht="15.75" hidden="false" customHeight="false" outlineLevel="0" collapsed="false">
      <c r="G478" s="18"/>
      <c r="H478" s="35"/>
      <c r="N478" s="18"/>
    </row>
    <row r="479" customFormat="false" ht="15.75" hidden="false" customHeight="false" outlineLevel="0" collapsed="false">
      <c r="G479" s="18"/>
      <c r="H479" s="35"/>
      <c r="N479" s="18"/>
    </row>
    <row r="480" customFormat="false" ht="15.75" hidden="false" customHeight="false" outlineLevel="0" collapsed="false">
      <c r="G480" s="18"/>
      <c r="H480" s="35"/>
      <c r="N480" s="18"/>
    </row>
    <row r="481" customFormat="false" ht="15.75" hidden="false" customHeight="false" outlineLevel="0" collapsed="false">
      <c r="G481" s="18"/>
      <c r="H481" s="35"/>
      <c r="N481" s="18"/>
    </row>
    <row r="482" customFormat="false" ht="15.75" hidden="false" customHeight="false" outlineLevel="0" collapsed="false">
      <c r="G482" s="18"/>
      <c r="H482" s="35"/>
      <c r="N482" s="18"/>
    </row>
    <row r="483" customFormat="false" ht="15.75" hidden="false" customHeight="false" outlineLevel="0" collapsed="false">
      <c r="G483" s="18"/>
      <c r="H483" s="35"/>
      <c r="N483" s="18"/>
    </row>
    <row r="484" customFormat="false" ht="15.75" hidden="false" customHeight="false" outlineLevel="0" collapsed="false">
      <c r="G484" s="18"/>
      <c r="H484" s="35"/>
      <c r="N484" s="18"/>
    </row>
    <row r="485" customFormat="false" ht="15.75" hidden="false" customHeight="false" outlineLevel="0" collapsed="false">
      <c r="G485" s="18"/>
      <c r="H485" s="35"/>
      <c r="N485" s="18"/>
    </row>
    <row r="486" customFormat="false" ht="15.75" hidden="false" customHeight="false" outlineLevel="0" collapsed="false">
      <c r="G486" s="18"/>
      <c r="H486" s="35"/>
      <c r="N486" s="18"/>
    </row>
    <row r="487" customFormat="false" ht="15.75" hidden="false" customHeight="false" outlineLevel="0" collapsed="false">
      <c r="G487" s="18"/>
      <c r="H487" s="35"/>
      <c r="N487" s="18"/>
    </row>
    <row r="488" customFormat="false" ht="15.75" hidden="false" customHeight="false" outlineLevel="0" collapsed="false">
      <c r="G488" s="18"/>
      <c r="H488" s="35"/>
      <c r="N488" s="18"/>
    </row>
    <row r="489" customFormat="false" ht="15.75" hidden="false" customHeight="false" outlineLevel="0" collapsed="false">
      <c r="G489" s="18"/>
      <c r="H489" s="35"/>
      <c r="N489" s="18"/>
    </row>
    <row r="490" customFormat="false" ht="15.75" hidden="false" customHeight="false" outlineLevel="0" collapsed="false">
      <c r="G490" s="18"/>
      <c r="H490" s="35"/>
      <c r="N490" s="18"/>
    </row>
    <row r="491" customFormat="false" ht="15.75" hidden="false" customHeight="false" outlineLevel="0" collapsed="false">
      <c r="G491" s="18"/>
      <c r="H491" s="35"/>
      <c r="N491" s="18"/>
    </row>
    <row r="492" customFormat="false" ht="15.75" hidden="false" customHeight="false" outlineLevel="0" collapsed="false">
      <c r="G492" s="18"/>
      <c r="H492" s="35"/>
      <c r="N492" s="18"/>
    </row>
    <row r="493" customFormat="false" ht="15.75" hidden="false" customHeight="false" outlineLevel="0" collapsed="false">
      <c r="G493" s="18"/>
      <c r="H493" s="35"/>
      <c r="N493" s="18"/>
    </row>
    <row r="494" customFormat="false" ht="15.75" hidden="false" customHeight="false" outlineLevel="0" collapsed="false">
      <c r="G494" s="18"/>
      <c r="H494" s="35"/>
      <c r="N494" s="18"/>
    </row>
    <row r="495" customFormat="false" ht="15.75" hidden="false" customHeight="false" outlineLevel="0" collapsed="false">
      <c r="G495" s="18"/>
      <c r="H495" s="35"/>
      <c r="N495" s="18"/>
    </row>
    <row r="496" customFormat="false" ht="15.75" hidden="false" customHeight="false" outlineLevel="0" collapsed="false">
      <c r="G496" s="18"/>
      <c r="H496" s="35"/>
      <c r="N496" s="18"/>
    </row>
    <row r="497" customFormat="false" ht="15.75" hidden="false" customHeight="false" outlineLevel="0" collapsed="false">
      <c r="G497" s="18"/>
      <c r="H497" s="35"/>
      <c r="N497" s="18"/>
    </row>
    <row r="498" customFormat="false" ht="15.75" hidden="false" customHeight="false" outlineLevel="0" collapsed="false">
      <c r="G498" s="18"/>
      <c r="H498" s="35"/>
      <c r="N498" s="18"/>
    </row>
    <row r="499" customFormat="false" ht="15.75" hidden="false" customHeight="false" outlineLevel="0" collapsed="false">
      <c r="G499" s="18"/>
      <c r="H499" s="35"/>
      <c r="N499" s="18"/>
    </row>
    <row r="500" customFormat="false" ht="15.75" hidden="false" customHeight="false" outlineLevel="0" collapsed="false">
      <c r="G500" s="18"/>
      <c r="H500" s="35"/>
      <c r="N500" s="18"/>
    </row>
    <row r="501" customFormat="false" ht="15.75" hidden="false" customHeight="false" outlineLevel="0" collapsed="false">
      <c r="G501" s="18"/>
      <c r="H501" s="35"/>
      <c r="N501" s="18"/>
    </row>
    <row r="502" customFormat="false" ht="15.75" hidden="false" customHeight="false" outlineLevel="0" collapsed="false">
      <c r="G502" s="18"/>
      <c r="H502" s="35"/>
      <c r="N502" s="18"/>
    </row>
    <row r="503" customFormat="false" ht="15.75" hidden="false" customHeight="false" outlineLevel="0" collapsed="false">
      <c r="G503" s="18"/>
      <c r="H503" s="35"/>
      <c r="N503" s="18"/>
    </row>
    <row r="504" customFormat="false" ht="15.75" hidden="false" customHeight="false" outlineLevel="0" collapsed="false">
      <c r="G504" s="18"/>
      <c r="H504" s="35"/>
      <c r="N504" s="18"/>
    </row>
    <row r="505" customFormat="false" ht="15.75" hidden="false" customHeight="false" outlineLevel="0" collapsed="false">
      <c r="G505" s="18"/>
      <c r="H505" s="35"/>
      <c r="N505" s="18"/>
    </row>
    <row r="506" customFormat="false" ht="15.75" hidden="false" customHeight="false" outlineLevel="0" collapsed="false">
      <c r="G506" s="18"/>
      <c r="H506" s="35"/>
      <c r="N506" s="18"/>
    </row>
    <row r="507" customFormat="false" ht="15.75" hidden="false" customHeight="false" outlineLevel="0" collapsed="false">
      <c r="G507" s="18"/>
      <c r="H507" s="35"/>
      <c r="N507" s="18"/>
    </row>
    <row r="508" customFormat="false" ht="15.75" hidden="false" customHeight="false" outlineLevel="0" collapsed="false">
      <c r="G508" s="18"/>
      <c r="H508" s="35"/>
      <c r="N508" s="18"/>
    </row>
    <row r="509" customFormat="false" ht="15.75" hidden="false" customHeight="false" outlineLevel="0" collapsed="false">
      <c r="G509" s="18"/>
      <c r="H509" s="35"/>
      <c r="N509" s="18"/>
    </row>
    <row r="510" customFormat="false" ht="15.75" hidden="false" customHeight="false" outlineLevel="0" collapsed="false">
      <c r="G510" s="18"/>
      <c r="H510" s="35"/>
      <c r="N510" s="18"/>
    </row>
    <row r="511" customFormat="false" ht="15.75" hidden="false" customHeight="false" outlineLevel="0" collapsed="false">
      <c r="G511" s="18"/>
      <c r="H511" s="35"/>
      <c r="N511" s="18"/>
    </row>
    <row r="512" customFormat="false" ht="15.75" hidden="false" customHeight="false" outlineLevel="0" collapsed="false">
      <c r="G512" s="18"/>
      <c r="H512" s="35"/>
      <c r="N512" s="18"/>
    </row>
    <row r="513" customFormat="false" ht="15.75" hidden="false" customHeight="false" outlineLevel="0" collapsed="false">
      <c r="G513" s="18"/>
      <c r="H513" s="35"/>
      <c r="N513" s="18"/>
    </row>
    <row r="514" customFormat="false" ht="15.75" hidden="false" customHeight="false" outlineLevel="0" collapsed="false">
      <c r="G514" s="18"/>
      <c r="H514" s="35"/>
      <c r="N514" s="18"/>
    </row>
    <row r="515" customFormat="false" ht="15.75" hidden="false" customHeight="false" outlineLevel="0" collapsed="false">
      <c r="G515" s="18"/>
      <c r="H515" s="35"/>
      <c r="N515" s="18"/>
    </row>
    <row r="516" customFormat="false" ht="15.75" hidden="false" customHeight="false" outlineLevel="0" collapsed="false">
      <c r="G516" s="18"/>
      <c r="H516" s="35"/>
      <c r="N516" s="18"/>
    </row>
    <row r="517" customFormat="false" ht="15.75" hidden="false" customHeight="false" outlineLevel="0" collapsed="false">
      <c r="G517" s="18"/>
      <c r="H517" s="35"/>
      <c r="N517" s="18"/>
    </row>
    <row r="518" customFormat="false" ht="15.75" hidden="false" customHeight="false" outlineLevel="0" collapsed="false">
      <c r="G518" s="18"/>
      <c r="H518" s="35"/>
      <c r="N518" s="18"/>
    </row>
    <row r="519" customFormat="false" ht="15.75" hidden="false" customHeight="false" outlineLevel="0" collapsed="false">
      <c r="G519" s="18"/>
      <c r="H519" s="35"/>
      <c r="N519" s="18"/>
    </row>
    <row r="520" customFormat="false" ht="15.75" hidden="false" customHeight="false" outlineLevel="0" collapsed="false">
      <c r="G520" s="18"/>
      <c r="H520" s="35"/>
      <c r="N520" s="18"/>
    </row>
    <row r="521" customFormat="false" ht="15.75" hidden="false" customHeight="false" outlineLevel="0" collapsed="false">
      <c r="G521" s="18"/>
      <c r="H521" s="35"/>
      <c r="N521" s="18"/>
    </row>
    <row r="522" customFormat="false" ht="15.75" hidden="false" customHeight="false" outlineLevel="0" collapsed="false">
      <c r="G522" s="18"/>
      <c r="H522" s="35"/>
      <c r="N522" s="18"/>
    </row>
    <row r="523" customFormat="false" ht="15.75" hidden="false" customHeight="false" outlineLevel="0" collapsed="false">
      <c r="G523" s="18"/>
      <c r="H523" s="35"/>
      <c r="N523" s="18"/>
    </row>
    <row r="524" customFormat="false" ht="15.75" hidden="false" customHeight="false" outlineLevel="0" collapsed="false">
      <c r="G524" s="18"/>
      <c r="H524" s="35"/>
      <c r="N524" s="18"/>
    </row>
    <row r="525" customFormat="false" ht="15.75" hidden="false" customHeight="false" outlineLevel="0" collapsed="false">
      <c r="G525" s="18"/>
      <c r="H525" s="35"/>
      <c r="N525" s="18"/>
    </row>
    <row r="526" customFormat="false" ht="15.75" hidden="false" customHeight="false" outlineLevel="0" collapsed="false">
      <c r="G526" s="18"/>
      <c r="H526" s="35"/>
      <c r="N526" s="18"/>
    </row>
    <row r="527" customFormat="false" ht="15.75" hidden="false" customHeight="false" outlineLevel="0" collapsed="false">
      <c r="G527" s="18"/>
      <c r="H527" s="35"/>
      <c r="N527" s="18"/>
    </row>
    <row r="528" customFormat="false" ht="15.75" hidden="false" customHeight="false" outlineLevel="0" collapsed="false">
      <c r="G528" s="18"/>
      <c r="H528" s="35"/>
      <c r="N528" s="18"/>
    </row>
    <row r="529" customFormat="false" ht="15.75" hidden="false" customHeight="false" outlineLevel="0" collapsed="false">
      <c r="G529" s="18"/>
      <c r="H529" s="35"/>
      <c r="N529" s="18"/>
    </row>
    <row r="530" customFormat="false" ht="15.75" hidden="false" customHeight="false" outlineLevel="0" collapsed="false">
      <c r="G530" s="18"/>
      <c r="H530" s="35"/>
      <c r="N530" s="18"/>
    </row>
    <row r="531" customFormat="false" ht="15.75" hidden="false" customHeight="false" outlineLevel="0" collapsed="false">
      <c r="G531" s="18"/>
      <c r="H531" s="35"/>
      <c r="N531" s="18"/>
    </row>
    <row r="532" customFormat="false" ht="15.75" hidden="false" customHeight="false" outlineLevel="0" collapsed="false">
      <c r="G532" s="18"/>
      <c r="H532" s="35"/>
      <c r="N532" s="18"/>
    </row>
    <row r="533" customFormat="false" ht="15.75" hidden="false" customHeight="false" outlineLevel="0" collapsed="false">
      <c r="G533" s="18"/>
      <c r="H533" s="35"/>
      <c r="N533" s="18"/>
    </row>
    <row r="534" customFormat="false" ht="15.75" hidden="false" customHeight="false" outlineLevel="0" collapsed="false">
      <c r="G534" s="18"/>
      <c r="H534" s="35"/>
      <c r="N534" s="18"/>
    </row>
    <row r="535" customFormat="false" ht="15.75" hidden="false" customHeight="false" outlineLevel="0" collapsed="false">
      <c r="G535" s="18"/>
      <c r="H535" s="35"/>
      <c r="N535" s="18"/>
    </row>
    <row r="536" customFormat="false" ht="15.75" hidden="false" customHeight="false" outlineLevel="0" collapsed="false">
      <c r="G536" s="18"/>
      <c r="H536" s="35"/>
      <c r="N536" s="18"/>
    </row>
    <row r="537" customFormat="false" ht="15.75" hidden="false" customHeight="false" outlineLevel="0" collapsed="false">
      <c r="G537" s="18"/>
      <c r="H537" s="35"/>
      <c r="N537" s="18"/>
    </row>
    <row r="538" customFormat="false" ht="15.75" hidden="false" customHeight="false" outlineLevel="0" collapsed="false">
      <c r="G538" s="18"/>
      <c r="H538" s="35"/>
      <c r="N538" s="18"/>
    </row>
    <row r="539" customFormat="false" ht="15.75" hidden="false" customHeight="false" outlineLevel="0" collapsed="false">
      <c r="G539" s="18"/>
      <c r="H539" s="35"/>
      <c r="N539" s="18"/>
    </row>
    <row r="1048575" customFormat="false" ht="12.8" hidden="false" customHeight="true" outlineLevel="0" collapsed="false"/>
    <row r="1048576" customFormat="false" ht="12.8" hidden="false" customHeight="true" outlineLevel="0" collapsed="false"/>
  </sheetData>
  <conditionalFormatting sqref="R2:S115">
    <cfRule type="expression" priority="2" aboveAverage="0" equalAverage="0" bottom="0" percent="0" rank="0" text="" dxfId="0">
      <formula>LEN(TRIM(R2))&gt;0</formula>
    </cfRule>
  </conditionalFormatting>
  <conditionalFormatting sqref="Q2:Q115">
    <cfRule type="expression" priority="3" aboveAverage="0" equalAverage="0" bottom="0" percent="0" rank="0" text="" dxfId="0">
      <formula>LEN(TRIM(Q2))&gt;0</formula>
    </cfRule>
  </conditionalFormatting>
  <conditionalFormatting sqref="G2:G115 N2:N115">
    <cfRule type="containsText" priority="4" operator="containsText" aboveAverage="0" equalAverage="0" bottom="0" percent="0" rank="0" text="x" dxfId="0">
      <formula>NOT(ISERROR(SEARCH("x",G2)))</formula>
    </cfRule>
  </conditionalFormatting>
  <conditionalFormatting sqref="T2:T115">
    <cfRule type="expression" priority="5" aboveAverage="0" equalAverage="0" bottom="0" percent="0" rank="0" text="" dxfId="0">
      <formula>LEN(TRIM(T2))&gt;0</formula>
    </cfRule>
  </conditionalFormatting>
  <conditionalFormatting sqref="X2:X115">
    <cfRule type="expression" priority="6" aboveAverage="0" equalAverage="0" bottom="0" percent="0" rank="0" text="" dxfId="0">
      <formula>LEN(TRIM(X2))&gt;0</formula>
    </cfRule>
  </conditionalFormatting>
  <conditionalFormatting sqref="Y2:Y115">
    <cfRule type="cellIs" priority="7" operator="equal" aboveAverage="0" equalAverage="0" bottom="0" percent="0" rank="0" text="" dxfId="0">
      <formula>"Completo"</formula>
    </cfRule>
    <cfRule type="cellIs" priority="8" operator="equal" aboveAverage="0" equalAverage="0" bottom="0" percent="0" rank="0" text="" dxfId="1">
      <formula>"No aplica"</formula>
    </cfRule>
  </conditionalFormatting>
  <conditionalFormatting sqref="G2:I115 O2:P115 U2:W115 Y2:Y115">
    <cfRule type="cellIs" priority="9" operator="equal" aboveAverage="0" equalAverage="0" bottom="0" percent="0" rank="0" text="" dxfId="0">
      <formula>"Completo"</formula>
    </cfRule>
    <cfRule type="cellIs" priority="10" operator="equal" aboveAverage="0" equalAverage="0" bottom="0" percent="0" rank="0" text="" dxfId="1">
      <formula>"No Aplica"</formula>
    </cfRule>
  </conditionalFormatting>
  <dataValidations count="5">
    <dataValidation allowBlank="true" errorStyle="stop" operator="between" showDropDown="false" showErrorMessage="true" showInputMessage="false" sqref="D2:D78 D80:D115" type="list">
      <formula1>LEYENDA!$B$2:$D$2</formula1>
      <formula2>0</formula2>
    </dataValidation>
    <dataValidation allowBlank="true" errorStyle="stop" operator="between" showDropDown="false" showErrorMessage="false" showInputMessage="false" sqref="E2:E45 E47:E78 E80:E115" type="list">
      <formula1>LEYENDA!$A$8:$A$12</formula1>
      <formula2>0</formula2>
    </dataValidation>
    <dataValidation allowBlank="true" errorStyle="stop" operator="between" showDropDown="false" showErrorMessage="false" showInputMessage="false" sqref="T2:T78 T80:T115" type="list">
      <formula1>LEYENDA!$A$23:$A$24</formula1>
      <formula2>0</formula2>
    </dataValidation>
    <dataValidation allowBlank="true" errorStyle="stop" operator="between" showDropDown="false" showErrorMessage="false" showInputMessage="false" sqref="R2:R78 R80:R115" type="list">
      <formula1>LEYENDA!$A$15:$A$19</formula1>
      <formula2>0</formula2>
    </dataValidation>
    <dataValidation allowBlank="true" errorStyle="stop" operator="between" showDropDown="false" showErrorMessage="true" showInputMessage="false" sqref="H2:I115 O2:P78 U2:W78 Y2:Y115 O80:P115 U80:W115" type="list">
      <formula1>LEYENDA!$B$1:$C$1</formula1>
      <formula2>0</formula2>
    </dataValidation>
  </dataValidations>
  <hyperlinks>
    <hyperlink ref="H3" r:id="rId1" display="Completo"/>
    <hyperlink ref="P12" r:id="rId2" display="Completo"/>
    <hyperlink ref="U23" r:id="rId3" display="Completo"/>
    <hyperlink ref="W23" r:id="rId4" display="Completo"/>
    <hyperlink ref="U24" r:id="rId5" display="Completo"/>
    <hyperlink ref="W24" r:id="rId6" display="Completo"/>
    <hyperlink ref="U39" r:id="rId7" display="Completo"/>
    <hyperlink ref="V39" r:id="rId8" display="Completo"/>
    <hyperlink ref="W39" r:id="rId9" display="Completo"/>
    <hyperlink ref="U40" r:id="rId10" display="Completo"/>
    <hyperlink ref="V40" r:id="rId11" display="Completo"/>
    <hyperlink ref="W40" r:id="rId12" display="Completo"/>
    <hyperlink ref="W44" r:id="rId13" display="Completo"/>
    <hyperlink ref="U45" r:id="rId14" display="Completo"/>
    <hyperlink ref="V45" r:id="rId15" display="Completo"/>
    <hyperlink ref="W45" r:id="rId16" display="Completo"/>
    <hyperlink ref="U49" r:id="rId17" display="Completo"/>
    <hyperlink ref="W49" r:id="rId18" display="Completo"/>
    <hyperlink ref="U53" r:id="rId19" display="Completo"/>
    <hyperlink ref="V53" r:id="rId20" display="Completo"/>
    <hyperlink ref="W53" r:id="rId21" display="Completo"/>
    <hyperlink ref="U73" r:id="rId22" display="Completo"/>
    <hyperlink ref="V73" r:id="rId23" display="Completo"/>
    <hyperlink ref="W73" r:id="rId24" display="Completo"/>
    <hyperlink ref="U74" r:id="rId25" display="Completo"/>
    <hyperlink ref="V74" r:id="rId26" display="Completo"/>
    <hyperlink ref="W74" r:id="rId27" display="Completo"/>
    <hyperlink ref="U78" r:id="rId28" display="Completo"/>
    <hyperlink ref="V78" r:id="rId29" display="Completo"/>
    <hyperlink ref="W78" r:id="rId30" display="Completo"/>
    <hyperlink ref="U80" r:id="rId31" display="Completo"/>
    <hyperlink ref="V80" r:id="rId32" display="Completo"/>
    <hyperlink ref="W80" r:id="rId33" display="Completo"/>
    <hyperlink ref="U82" r:id="rId34" display="Completo"/>
    <hyperlink ref="V82" r:id="rId35" display="Completo"/>
    <hyperlink ref="W82" r:id="rId36" display="Completo"/>
    <hyperlink ref="P83" r:id="rId37" display="Completo"/>
    <hyperlink ref="U83" r:id="rId38" display="Completo"/>
    <hyperlink ref="V83" r:id="rId39" display="Completo"/>
    <hyperlink ref="U84" r:id="rId40" display="Completo"/>
    <hyperlink ref="V84" r:id="rId41" display="Completo"/>
    <hyperlink ref="W84" r:id="rId42" display="Completo"/>
    <hyperlink ref="U85" r:id="rId43" display="Completo"/>
    <hyperlink ref="V85" r:id="rId44" display="Completo"/>
    <hyperlink ref="W85" r:id="rId45" display="Completo"/>
    <hyperlink ref="I86" r:id="rId46" display="Completo"/>
    <hyperlink ref="W86" r:id="rId47" display="Completo"/>
    <hyperlink ref="X86" r:id="rId48" display="Bruñido"/>
    <hyperlink ref="U87" r:id="rId49" display="Completo"/>
    <hyperlink ref="V87" r:id="rId50" display="Completo"/>
    <hyperlink ref="W87" r:id="rId51" display="Completo"/>
    <hyperlink ref="U88" r:id="rId52" display="Completo"/>
    <hyperlink ref="V88" r:id="rId53" display="Completo"/>
    <hyperlink ref="W88" r:id="rId54" display="Completo"/>
  </hyperlinks>
  <printOptions headings="false" gridLines="true" gridLinesSet="true" horizontalCentered="true" verticalCentered="false"/>
  <pageMargins left="0.7" right="0.7" top="0.75" bottom="0.75" header="0.511811023622047" footer="0.511811023622047"/>
  <pageSetup paperSize="9" scale="100" fitToWidth="1" fitToHeight="0" pageOrder="overThenDown" orientation="landscape" blackAndWhite="false" draft="false" cellComments="none" horizontalDpi="300" verticalDpi="300" copies="1"/>
  <headerFooter differentFirst="false" differentOddEven="false">
    <oddHeader/>
    <oddFooter/>
  </headerFooter>
  <drawing r:id="rId55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AF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6" ySplit="3" topLeftCell="G4" activePane="bottomRight" state="frozen"/>
      <selection pane="topLeft" activeCell="A1" activeCellId="0" sqref="A1"/>
      <selection pane="topRight" activeCell="G1" activeCellId="0" sqref="G1"/>
      <selection pane="bottomLeft" activeCell="A4" activeCellId="0" sqref="A4"/>
      <selection pane="bottomRight" activeCell="G1" activeCellId="0" sqref="G1"/>
    </sheetView>
  </sheetViews>
  <sheetFormatPr defaultColWidth="12.6328125" defaultRowHeight="15.75" zeroHeight="false" outlineLevelRow="0" outlineLevelCol="0"/>
  <cols>
    <col collapsed="false" customWidth="true" hidden="false" outlineLevel="0" max="1" min="1" style="1" width="7.5"/>
    <col collapsed="false" customWidth="true" hidden="false" outlineLevel="0" max="2" min="2" style="1" width="10.38"/>
    <col collapsed="false" customWidth="true" hidden="false" outlineLevel="0" max="3" min="3" style="1" width="16.89"/>
    <col collapsed="false" customWidth="true" hidden="false" outlineLevel="0" max="4" min="4" style="1" width="11.25"/>
    <col collapsed="false" customWidth="true" hidden="false" outlineLevel="0" max="5" min="5" style="1" width="17.13"/>
    <col collapsed="false" customWidth="true" hidden="false" outlineLevel="0" max="6" min="6" style="1" width="42.13"/>
    <col collapsed="false" customWidth="true" hidden="false" outlineLevel="0" max="7" min="7" style="1" width="15.88"/>
    <col collapsed="false" customWidth="true" hidden="false" outlineLevel="0" max="8" min="8" style="1" width="10.88"/>
    <col collapsed="false" customWidth="true" hidden="false" outlineLevel="0" max="9" min="9" style="1" width="14"/>
    <col collapsed="false" customWidth="true" hidden="false" outlineLevel="0" max="10" min="10" style="1" width="12.75"/>
    <col collapsed="false" customWidth="true" hidden="false" outlineLevel="0" max="11" min="11" style="1" width="10"/>
    <col collapsed="false" customWidth="true" hidden="false" outlineLevel="0" max="12" min="12" style="1" width="12.25"/>
    <col collapsed="false" customWidth="true" hidden="false" outlineLevel="0" max="13" min="13" style="1" width="26.12"/>
    <col collapsed="false" customWidth="true" hidden="false" outlineLevel="0" max="14" min="14" style="1" width="18"/>
    <col collapsed="false" customWidth="true" hidden="false" outlineLevel="0" max="16" min="15" style="1" width="10.63"/>
    <col collapsed="false" customWidth="true" hidden="false" outlineLevel="0" max="17" min="17" style="1" width="8.5"/>
    <col collapsed="false" customWidth="true" hidden="false" outlineLevel="0" max="19" min="19" style="1" width="25.38"/>
    <col collapsed="false" customWidth="true" hidden="false" outlineLevel="0" max="20" min="20" style="1" width="17.88"/>
    <col collapsed="false" customWidth="true" hidden="false" outlineLevel="0" max="21" min="21" style="1" width="10.13"/>
    <col collapsed="false" customWidth="true" hidden="false" outlineLevel="0" max="23" min="22" style="1" width="11.12"/>
    <col collapsed="false" customWidth="true" hidden="false" outlineLevel="0" max="24" min="24" style="1" width="24.88"/>
  </cols>
  <sheetData>
    <row r="1" customFormat="false" ht="68" hidden="false" customHeight="false" outlineLevel="0" collapsed="false">
      <c r="A1" s="2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/>
      <c r="J1" s="4" t="s">
        <v>8</v>
      </c>
      <c r="K1" s="2"/>
      <c r="L1" s="2" t="s">
        <v>9</v>
      </c>
      <c r="M1" s="2" t="s">
        <v>10</v>
      </c>
      <c r="N1" s="4" t="s">
        <v>11</v>
      </c>
      <c r="O1" s="3" t="s">
        <v>12</v>
      </c>
      <c r="P1" s="7" t="s">
        <v>13</v>
      </c>
      <c r="Q1" s="7" t="s">
        <v>14</v>
      </c>
      <c r="R1" s="7" t="s">
        <v>15</v>
      </c>
      <c r="S1" s="7" t="s">
        <v>16</v>
      </c>
      <c r="T1" s="7" t="s">
        <v>17</v>
      </c>
      <c r="U1" s="8" t="s">
        <v>18</v>
      </c>
      <c r="V1" s="9" t="s">
        <v>19</v>
      </c>
      <c r="W1" s="9" t="s">
        <v>20</v>
      </c>
      <c r="X1" s="10" t="s">
        <v>15</v>
      </c>
      <c r="Y1" s="11" t="s">
        <v>21</v>
      </c>
      <c r="Z1" s="11" t="s">
        <v>22</v>
      </c>
      <c r="AA1" s="12"/>
      <c r="AB1" s="12"/>
      <c r="AC1" s="12"/>
      <c r="AD1" s="12"/>
      <c r="AE1" s="12"/>
      <c r="AF1" s="12"/>
    </row>
    <row r="2" customFormat="false" ht="15.75" hidden="false" customHeight="false" outlineLevel="0" collapsed="false">
      <c r="A2" s="61" t="n">
        <v>5786</v>
      </c>
      <c r="B2" s="29" t="n">
        <v>44378</v>
      </c>
      <c r="C2" s="21" t="s">
        <v>4392</v>
      </c>
      <c r="D2" s="21" t="s">
        <v>24</v>
      </c>
      <c r="E2" s="21" t="s">
        <v>34</v>
      </c>
      <c r="F2" s="21" t="s">
        <v>4393</v>
      </c>
      <c r="G2" s="30"/>
      <c r="H2" s="31"/>
      <c r="I2" s="21"/>
      <c r="J2" s="21"/>
      <c r="K2" s="21"/>
      <c r="L2" s="21"/>
      <c r="M2" s="21"/>
      <c r="N2" s="30" t="n">
        <f aca="false">G2</f>
        <v>0</v>
      </c>
      <c r="O2" s="21"/>
      <c r="P2" s="21"/>
      <c r="Q2" s="21"/>
      <c r="R2" s="32"/>
      <c r="S2" s="32"/>
      <c r="T2" s="21"/>
      <c r="U2" s="21"/>
      <c r="V2" s="21"/>
      <c r="W2" s="21"/>
      <c r="X2" s="21"/>
      <c r="Y2" s="21" t="s">
        <v>28</v>
      </c>
    </row>
    <row r="3" customFormat="false" ht="15.75" hidden="false" customHeight="false" outlineLevel="0" collapsed="false">
      <c r="A3" s="61" t="n">
        <v>5787</v>
      </c>
      <c r="B3" s="29" t="n">
        <v>44378</v>
      </c>
      <c r="C3" s="21" t="s">
        <v>980</v>
      </c>
      <c r="D3" s="21" t="s">
        <v>24</v>
      </c>
      <c r="E3" s="21" t="s">
        <v>34</v>
      </c>
      <c r="F3" s="21" t="s">
        <v>4394</v>
      </c>
      <c r="G3" s="30"/>
      <c r="H3" s="31"/>
      <c r="I3" s="21"/>
      <c r="J3" s="21"/>
      <c r="K3" s="21"/>
      <c r="L3" s="21"/>
      <c r="M3" s="21"/>
      <c r="N3" s="30" t="n">
        <f aca="false">G3</f>
        <v>0</v>
      </c>
      <c r="O3" s="21"/>
      <c r="P3" s="21"/>
      <c r="Q3" s="21"/>
      <c r="R3" s="32"/>
      <c r="S3" s="32"/>
      <c r="T3" s="21"/>
      <c r="U3" s="21"/>
      <c r="V3" s="21"/>
      <c r="W3" s="21"/>
      <c r="X3" s="21"/>
      <c r="Y3" s="21" t="s">
        <v>28</v>
      </c>
    </row>
    <row r="4" customFormat="false" ht="15.75" hidden="false" customHeight="false" outlineLevel="0" collapsed="false">
      <c r="A4" s="61" t="n">
        <v>5788</v>
      </c>
      <c r="B4" s="21" t="s">
        <v>4395</v>
      </c>
      <c r="C4" s="21" t="s">
        <v>4396</v>
      </c>
      <c r="D4" s="21" t="s">
        <v>24</v>
      </c>
      <c r="E4" s="21" t="s">
        <v>34</v>
      </c>
      <c r="F4" s="21" t="s">
        <v>4397</v>
      </c>
      <c r="G4" s="30"/>
      <c r="H4" s="31"/>
      <c r="I4" s="21"/>
      <c r="J4" s="21"/>
      <c r="K4" s="21"/>
      <c r="L4" s="21"/>
      <c r="M4" s="21"/>
      <c r="N4" s="30" t="n">
        <f aca="false">G4</f>
        <v>0</v>
      </c>
      <c r="O4" s="21"/>
      <c r="P4" s="21"/>
      <c r="Q4" s="21"/>
      <c r="R4" s="32"/>
      <c r="S4" s="32"/>
      <c r="T4" s="21"/>
      <c r="U4" s="21"/>
      <c r="V4" s="21"/>
      <c r="W4" s="21"/>
      <c r="X4" s="21"/>
      <c r="Y4" s="21" t="s">
        <v>28</v>
      </c>
    </row>
    <row r="5" customFormat="false" ht="15.75" hidden="false" customHeight="false" outlineLevel="0" collapsed="false">
      <c r="A5" s="61" t="n">
        <v>5789</v>
      </c>
      <c r="B5" s="29" t="n">
        <v>44379</v>
      </c>
      <c r="C5" s="21" t="s">
        <v>4398</v>
      </c>
      <c r="D5" s="21" t="s">
        <v>24</v>
      </c>
      <c r="E5" s="21" t="s">
        <v>3337</v>
      </c>
      <c r="F5" s="21" t="s">
        <v>4399</v>
      </c>
      <c r="G5" s="30"/>
      <c r="H5" s="31"/>
      <c r="I5" s="21"/>
      <c r="J5" s="21"/>
      <c r="K5" s="21"/>
      <c r="L5" s="21"/>
      <c r="M5" s="21" t="s">
        <v>3376</v>
      </c>
      <c r="N5" s="30" t="n">
        <f aca="false">G5</f>
        <v>0</v>
      </c>
      <c r="O5" s="21"/>
      <c r="P5" s="21"/>
      <c r="Q5" s="21"/>
      <c r="R5" s="32"/>
      <c r="S5" s="32"/>
      <c r="T5" s="21"/>
      <c r="U5" s="21"/>
      <c r="V5" s="21"/>
      <c r="W5" s="21"/>
      <c r="X5" s="21"/>
      <c r="Y5" s="21" t="s">
        <v>28</v>
      </c>
    </row>
    <row r="6" customFormat="false" ht="15.75" hidden="false" customHeight="false" outlineLevel="0" collapsed="false">
      <c r="A6" s="61" t="n">
        <v>5790</v>
      </c>
      <c r="B6" s="29" t="n">
        <v>44379</v>
      </c>
      <c r="C6" s="21" t="s">
        <v>4398</v>
      </c>
      <c r="D6" s="21" t="s">
        <v>24</v>
      </c>
      <c r="E6" s="21" t="s">
        <v>3337</v>
      </c>
      <c r="F6" s="21" t="s">
        <v>4399</v>
      </c>
      <c r="G6" s="30"/>
      <c r="H6" s="31"/>
      <c r="I6" s="21"/>
      <c r="J6" s="21"/>
      <c r="K6" s="21"/>
      <c r="L6" s="21"/>
      <c r="M6" s="21" t="s">
        <v>3376</v>
      </c>
      <c r="N6" s="30" t="n">
        <f aca="false">G6</f>
        <v>0</v>
      </c>
      <c r="O6" s="21"/>
      <c r="P6" s="21"/>
      <c r="Q6" s="21"/>
      <c r="R6" s="32"/>
      <c r="S6" s="32"/>
      <c r="T6" s="21"/>
      <c r="U6" s="21"/>
      <c r="V6" s="21"/>
      <c r="W6" s="21"/>
      <c r="X6" s="21"/>
      <c r="Y6" s="21" t="s">
        <v>28</v>
      </c>
    </row>
    <row r="7" customFormat="false" ht="15.75" hidden="false" customHeight="false" outlineLevel="0" collapsed="false">
      <c r="A7" s="61" t="n">
        <v>5791</v>
      </c>
      <c r="B7" s="29" t="n">
        <v>44379</v>
      </c>
      <c r="C7" s="21" t="s">
        <v>4400</v>
      </c>
      <c r="D7" s="21" t="s">
        <v>24</v>
      </c>
      <c r="E7" s="21" t="s">
        <v>3337</v>
      </c>
      <c r="F7" s="21" t="s">
        <v>4401</v>
      </c>
      <c r="G7" s="30" t="s">
        <v>4402</v>
      </c>
      <c r="H7" s="31" t="s">
        <v>28</v>
      </c>
      <c r="I7" s="21" t="s">
        <v>28</v>
      </c>
      <c r="J7" s="21" t="s">
        <v>36</v>
      </c>
      <c r="K7" s="21" t="s">
        <v>36</v>
      </c>
      <c r="L7" s="21" t="s">
        <v>36</v>
      </c>
      <c r="M7" s="21" t="s">
        <v>3376</v>
      </c>
      <c r="N7" s="30" t="str">
        <f aca="false">G7</f>
        <v>800 x 150 x 150 </v>
      </c>
      <c r="O7" s="21" t="s">
        <v>28</v>
      </c>
      <c r="P7" s="21" t="s">
        <v>28</v>
      </c>
      <c r="Q7" s="21" t="s">
        <v>4296</v>
      </c>
      <c r="R7" s="32" t="s">
        <v>25</v>
      </c>
      <c r="S7" s="32" t="s">
        <v>36</v>
      </c>
      <c r="T7" s="21" t="s">
        <v>74</v>
      </c>
      <c r="U7" s="21" t="s">
        <v>28</v>
      </c>
      <c r="V7" s="21" t="s">
        <v>28</v>
      </c>
      <c r="W7" s="21" t="s">
        <v>28</v>
      </c>
      <c r="X7" s="21" t="s">
        <v>36</v>
      </c>
      <c r="Y7" s="21" t="s">
        <v>28</v>
      </c>
    </row>
    <row r="8" customFormat="false" ht="15.75" hidden="false" customHeight="false" outlineLevel="0" collapsed="false">
      <c r="A8" s="61" t="n">
        <v>5792</v>
      </c>
      <c r="B8" s="29" t="n">
        <v>44382</v>
      </c>
      <c r="C8" s="21" t="s">
        <v>4403</v>
      </c>
      <c r="D8" s="21" t="s">
        <v>24</v>
      </c>
      <c r="E8" s="21" t="s">
        <v>25</v>
      </c>
      <c r="F8" s="21" t="s">
        <v>4404</v>
      </c>
      <c r="G8" s="30" t="s">
        <v>4405</v>
      </c>
      <c r="H8" s="31"/>
      <c r="I8" s="21"/>
      <c r="J8" s="21"/>
      <c r="K8" s="21"/>
      <c r="L8" s="21"/>
      <c r="M8" s="21" t="s">
        <v>3376</v>
      </c>
      <c r="N8" s="30" t="str">
        <f aca="false">G8</f>
        <v>4100 x 250 x 200</v>
      </c>
      <c r="O8" s="21" t="s">
        <v>28</v>
      </c>
      <c r="P8" s="21" t="s">
        <v>28</v>
      </c>
      <c r="Q8" s="21" t="s">
        <v>2787</v>
      </c>
      <c r="R8" s="32" t="s">
        <v>74</v>
      </c>
      <c r="S8" s="32" t="s">
        <v>36</v>
      </c>
      <c r="T8" s="21" t="s">
        <v>74</v>
      </c>
      <c r="U8" s="21" t="s">
        <v>28</v>
      </c>
      <c r="V8" s="21" t="s">
        <v>28</v>
      </c>
      <c r="W8" s="21" t="s">
        <v>28</v>
      </c>
      <c r="X8" s="21" t="s">
        <v>36</v>
      </c>
      <c r="Y8" s="21" t="s">
        <v>28</v>
      </c>
    </row>
    <row r="9" customFormat="false" ht="15.75" hidden="false" customHeight="false" outlineLevel="0" collapsed="false">
      <c r="A9" s="61" t="n">
        <v>5793</v>
      </c>
      <c r="B9" s="29" t="n">
        <v>44382</v>
      </c>
      <c r="C9" s="21" t="s">
        <v>4403</v>
      </c>
      <c r="D9" s="21" t="s">
        <v>24</v>
      </c>
      <c r="E9" s="21" t="s">
        <v>25</v>
      </c>
      <c r="F9" s="21" t="s">
        <v>4406</v>
      </c>
      <c r="G9" s="30"/>
      <c r="H9" s="31"/>
      <c r="I9" s="21"/>
      <c r="J9" s="21"/>
      <c r="K9" s="21"/>
      <c r="L9" s="21"/>
      <c r="M9" s="21" t="s">
        <v>3376</v>
      </c>
      <c r="N9" s="30" t="n">
        <f aca="false">G9</f>
        <v>0</v>
      </c>
      <c r="O9" s="21"/>
      <c r="P9" s="21"/>
      <c r="Q9" s="21"/>
      <c r="R9" s="32"/>
      <c r="S9" s="32"/>
      <c r="T9" s="21"/>
      <c r="U9" s="21"/>
      <c r="V9" s="21"/>
      <c r="W9" s="21"/>
      <c r="X9" s="21"/>
      <c r="Y9" s="21" t="s">
        <v>28</v>
      </c>
    </row>
    <row r="10" customFormat="false" ht="15.75" hidden="false" customHeight="false" outlineLevel="0" collapsed="false">
      <c r="A10" s="61" t="n">
        <v>5794</v>
      </c>
      <c r="B10" s="29" t="n">
        <v>44382</v>
      </c>
      <c r="C10" s="21" t="s">
        <v>1666</v>
      </c>
      <c r="D10" s="21" t="s">
        <v>24</v>
      </c>
      <c r="E10" s="21" t="s">
        <v>34</v>
      </c>
      <c r="F10" s="21" t="s">
        <v>4407</v>
      </c>
      <c r="G10" s="30"/>
      <c r="H10" s="31" t="s">
        <v>37</v>
      </c>
      <c r="I10" s="21" t="s">
        <v>37</v>
      </c>
      <c r="J10" s="21"/>
      <c r="K10" s="21"/>
      <c r="L10" s="21"/>
      <c r="M10" s="21"/>
      <c r="N10" s="30" t="n">
        <f aca="false">G10</f>
        <v>0</v>
      </c>
      <c r="O10" s="21"/>
      <c r="P10" s="21"/>
      <c r="Q10" s="21"/>
      <c r="R10" s="32"/>
      <c r="S10" s="32"/>
      <c r="T10" s="21"/>
      <c r="U10" s="21"/>
      <c r="V10" s="21"/>
      <c r="W10" s="21"/>
      <c r="X10" s="21"/>
      <c r="Y10" s="21" t="s">
        <v>28</v>
      </c>
    </row>
    <row r="11" customFormat="false" ht="15.75" hidden="false" customHeight="false" outlineLevel="0" collapsed="false">
      <c r="A11" s="61" t="n">
        <v>5795</v>
      </c>
      <c r="B11" s="29" t="n">
        <v>44383</v>
      </c>
      <c r="C11" s="21" t="s">
        <v>613</v>
      </c>
      <c r="D11" s="21" t="s">
        <v>24</v>
      </c>
      <c r="E11" s="21" t="s">
        <v>25</v>
      </c>
      <c r="F11" s="21" t="s">
        <v>4408</v>
      </c>
      <c r="G11" s="30" t="s">
        <v>4409</v>
      </c>
      <c r="H11" s="31"/>
      <c r="I11" s="21"/>
      <c r="J11" s="21"/>
      <c r="K11" s="21"/>
      <c r="L11" s="21"/>
      <c r="M11" s="21" t="s">
        <v>3376</v>
      </c>
      <c r="N11" s="30" t="str">
        <f aca="false">G11</f>
        <v>230 x 330 x 900</v>
      </c>
      <c r="O11" s="21" t="s">
        <v>28</v>
      </c>
      <c r="P11" s="21" t="s">
        <v>28</v>
      </c>
      <c r="Q11" s="21" t="s">
        <v>2757</v>
      </c>
      <c r="R11" s="32" t="s">
        <v>25</v>
      </c>
      <c r="S11" s="32" t="s">
        <v>36</v>
      </c>
      <c r="T11" s="21" t="s">
        <v>4147</v>
      </c>
      <c r="U11" s="75" t="s">
        <v>28</v>
      </c>
      <c r="V11" s="21"/>
      <c r="W11" s="74" t="s">
        <v>28</v>
      </c>
      <c r="X11" s="66"/>
      <c r="Y11" s="21" t="s">
        <v>28</v>
      </c>
    </row>
    <row r="12" customFormat="false" ht="15.75" hidden="false" customHeight="false" outlineLevel="0" collapsed="false">
      <c r="A12" s="61" t="n">
        <v>5796</v>
      </c>
      <c r="B12" s="29" t="n">
        <v>44383</v>
      </c>
      <c r="C12" s="21" t="s">
        <v>84</v>
      </c>
      <c r="D12" s="21" t="s">
        <v>24</v>
      </c>
      <c r="E12" s="21" t="s">
        <v>34</v>
      </c>
      <c r="F12" s="21" t="s">
        <v>4410</v>
      </c>
      <c r="G12" s="30"/>
      <c r="H12" s="31"/>
      <c r="I12" s="21"/>
      <c r="J12" s="21"/>
      <c r="K12" s="21"/>
      <c r="L12" s="21"/>
      <c r="M12" s="21"/>
      <c r="N12" s="30" t="n">
        <f aca="false">G12</f>
        <v>0</v>
      </c>
      <c r="O12" s="21"/>
      <c r="P12" s="21"/>
      <c r="Q12" s="21"/>
      <c r="R12" s="32"/>
      <c r="S12" s="32"/>
      <c r="T12" s="21"/>
      <c r="U12" s="21"/>
      <c r="V12" s="21"/>
      <c r="W12" s="21"/>
      <c r="X12" s="21"/>
      <c r="Y12" s="21" t="s">
        <v>28</v>
      </c>
    </row>
    <row r="13" customFormat="false" ht="15.75" hidden="false" customHeight="false" outlineLevel="0" collapsed="false">
      <c r="A13" s="61" t="n">
        <v>5797</v>
      </c>
      <c r="B13" s="29" t="n">
        <v>44383</v>
      </c>
      <c r="C13" s="21" t="s">
        <v>84</v>
      </c>
      <c r="D13" s="21" t="s">
        <v>24</v>
      </c>
      <c r="E13" s="21" t="s">
        <v>34</v>
      </c>
      <c r="F13" s="21" t="s">
        <v>4411</v>
      </c>
      <c r="G13" s="30"/>
      <c r="H13" s="31"/>
      <c r="I13" s="21"/>
      <c r="J13" s="21"/>
      <c r="K13" s="21"/>
      <c r="L13" s="21"/>
      <c r="M13" s="21"/>
      <c r="N13" s="30" t="n">
        <f aca="false">G13</f>
        <v>0</v>
      </c>
      <c r="O13" s="21"/>
      <c r="P13" s="21"/>
      <c r="Q13" s="21"/>
      <c r="R13" s="32"/>
      <c r="S13" s="32"/>
      <c r="T13" s="21"/>
      <c r="U13" s="21"/>
      <c r="V13" s="21"/>
      <c r="W13" s="21"/>
      <c r="X13" s="21"/>
      <c r="Y13" s="21" t="s">
        <v>28</v>
      </c>
    </row>
    <row r="14" customFormat="false" ht="15.75" hidden="false" customHeight="false" outlineLevel="0" collapsed="false">
      <c r="A14" s="61" t="n">
        <v>5798</v>
      </c>
      <c r="B14" s="29" t="n">
        <v>44383</v>
      </c>
      <c r="C14" s="21" t="s">
        <v>2334</v>
      </c>
      <c r="D14" s="21" t="s">
        <v>24</v>
      </c>
      <c r="E14" s="21" t="s">
        <v>34</v>
      </c>
      <c r="F14" s="21" t="s">
        <v>4412</v>
      </c>
      <c r="G14" s="30"/>
      <c r="H14" s="31"/>
      <c r="I14" s="21"/>
      <c r="J14" s="21"/>
      <c r="K14" s="21"/>
      <c r="L14" s="21"/>
      <c r="M14" s="21"/>
      <c r="N14" s="30" t="n">
        <f aca="false">G14</f>
        <v>0</v>
      </c>
      <c r="O14" s="21"/>
      <c r="P14" s="21"/>
      <c r="Q14" s="21"/>
      <c r="R14" s="32"/>
      <c r="S14" s="32"/>
      <c r="T14" s="21"/>
      <c r="U14" s="21"/>
      <c r="V14" s="21"/>
      <c r="W14" s="21"/>
      <c r="X14" s="21"/>
      <c r="Y14" s="21" t="s">
        <v>28</v>
      </c>
    </row>
    <row r="15" customFormat="false" ht="15.75" hidden="false" customHeight="false" outlineLevel="0" collapsed="false">
      <c r="A15" s="61" t="n">
        <v>5799</v>
      </c>
      <c r="B15" s="29" t="n">
        <v>44384</v>
      </c>
      <c r="C15" s="21" t="s">
        <v>4413</v>
      </c>
      <c r="D15" s="21" t="s">
        <v>24</v>
      </c>
      <c r="E15" s="21" t="s">
        <v>3337</v>
      </c>
      <c r="F15" s="21" t="s">
        <v>4414</v>
      </c>
      <c r="G15" s="30"/>
      <c r="H15" s="31"/>
      <c r="I15" s="21"/>
      <c r="J15" s="21"/>
      <c r="K15" s="21"/>
      <c r="L15" s="21"/>
      <c r="M15" s="21" t="s">
        <v>3376</v>
      </c>
      <c r="N15" s="30" t="n">
        <f aca="false">G15</f>
        <v>0</v>
      </c>
      <c r="O15" s="21"/>
      <c r="P15" s="21"/>
      <c r="Q15" s="21"/>
      <c r="R15" s="32"/>
      <c r="S15" s="32"/>
      <c r="T15" s="21"/>
      <c r="U15" s="21"/>
      <c r="V15" s="21"/>
      <c r="W15" s="21"/>
      <c r="X15" s="21"/>
      <c r="Y15" s="21" t="s">
        <v>28</v>
      </c>
    </row>
    <row r="16" customFormat="false" ht="15.75" hidden="false" customHeight="false" outlineLevel="0" collapsed="false">
      <c r="A16" s="61" t="n">
        <v>5800</v>
      </c>
      <c r="B16" s="29" t="n">
        <v>37444</v>
      </c>
      <c r="C16" s="21" t="s">
        <v>389</v>
      </c>
      <c r="D16" s="21" t="s">
        <v>24</v>
      </c>
      <c r="E16" s="21" t="s">
        <v>34</v>
      </c>
      <c r="F16" s="21" t="s">
        <v>4415</v>
      </c>
      <c r="G16" s="30"/>
      <c r="H16" s="31"/>
      <c r="I16" s="21"/>
      <c r="J16" s="21"/>
      <c r="K16" s="21"/>
      <c r="L16" s="21"/>
      <c r="M16" s="21"/>
      <c r="N16" s="30" t="n">
        <f aca="false">G16</f>
        <v>0</v>
      </c>
      <c r="O16" s="21"/>
      <c r="P16" s="21"/>
      <c r="Q16" s="21"/>
      <c r="R16" s="32"/>
      <c r="S16" s="32"/>
      <c r="T16" s="21"/>
      <c r="U16" s="21"/>
      <c r="V16" s="21"/>
      <c r="W16" s="21"/>
      <c r="X16" s="21"/>
      <c r="Y16" s="21" t="s">
        <v>28</v>
      </c>
    </row>
    <row r="17" customFormat="false" ht="15.75" hidden="false" customHeight="false" outlineLevel="0" collapsed="false">
      <c r="A17" s="61" t="n">
        <v>5801</v>
      </c>
      <c r="B17" s="29" t="n">
        <v>44384</v>
      </c>
      <c r="C17" s="21" t="s">
        <v>980</v>
      </c>
      <c r="D17" s="21" t="s">
        <v>24</v>
      </c>
      <c r="E17" s="21" t="s">
        <v>34</v>
      </c>
      <c r="F17" s="21" t="s">
        <v>4416</v>
      </c>
      <c r="G17" s="30"/>
      <c r="H17" s="31"/>
      <c r="I17" s="21"/>
      <c r="J17" s="21"/>
      <c r="K17" s="21"/>
      <c r="L17" s="21"/>
      <c r="M17" s="21"/>
      <c r="N17" s="30" t="n">
        <f aca="false">G17</f>
        <v>0</v>
      </c>
      <c r="O17" s="21"/>
      <c r="P17" s="21"/>
      <c r="Q17" s="21"/>
      <c r="R17" s="32"/>
      <c r="S17" s="32"/>
      <c r="T17" s="21"/>
      <c r="U17" s="21"/>
      <c r="V17" s="21"/>
      <c r="W17" s="21"/>
      <c r="X17" s="21"/>
      <c r="Y17" s="21" t="s">
        <v>28</v>
      </c>
    </row>
    <row r="18" customFormat="false" ht="15.75" hidden="false" customHeight="false" outlineLevel="0" collapsed="false">
      <c r="A18" s="61" t="n">
        <v>5802</v>
      </c>
      <c r="B18" s="29" t="n">
        <v>44385</v>
      </c>
      <c r="C18" s="21" t="s">
        <v>4417</v>
      </c>
      <c r="D18" s="21" t="s">
        <v>24</v>
      </c>
      <c r="E18" s="21" t="s">
        <v>25</v>
      </c>
      <c r="F18" s="21" t="s">
        <v>529</v>
      </c>
      <c r="G18" s="30" t="s">
        <v>4418</v>
      </c>
      <c r="H18" s="45" t="str">
        <f aca="false">HYPERLINK("https://photos.app.goo.gl/kDJ6556acpWCVtyK6", "Completo")</f>
        <v>Completo</v>
      </c>
      <c r="I18" s="21" t="s">
        <v>28</v>
      </c>
      <c r="J18" s="21" t="s">
        <v>36</v>
      </c>
      <c r="K18" s="21" t="s">
        <v>36</v>
      </c>
      <c r="L18" s="21" t="s">
        <v>36</v>
      </c>
      <c r="M18" s="21" t="s">
        <v>3376</v>
      </c>
      <c r="N18" s="30" t="str">
        <f aca="false">G18</f>
        <v>2300 x 400 x 400 </v>
      </c>
      <c r="O18" s="21" t="s">
        <v>28</v>
      </c>
      <c r="P18" s="21" t="s">
        <v>28</v>
      </c>
      <c r="Q18" s="21" t="s">
        <v>73</v>
      </c>
      <c r="R18" s="32" t="s">
        <v>74</v>
      </c>
      <c r="S18" s="32" t="s">
        <v>36</v>
      </c>
      <c r="T18" s="21" t="s">
        <v>74</v>
      </c>
      <c r="U18" s="74" t="s">
        <v>28</v>
      </c>
      <c r="V18" s="74" t="s">
        <v>28</v>
      </c>
      <c r="W18" s="74" t="s">
        <v>28</v>
      </c>
      <c r="X18" s="21" t="s">
        <v>36</v>
      </c>
      <c r="Y18" s="21" t="s">
        <v>28</v>
      </c>
    </row>
    <row r="19" customFormat="false" ht="15.75" hidden="false" customHeight="false" outlineLevel="0" collapsed="false">
      <c r="A19" s="61" t="n">
        <v>5803</v>
      </c>
      <c r="B19" s="29" t="n">
        <v>44385</v>
      </c>
      <c r="C19" s="21" t="s">
        <v>1347</v>
      </c>
      <c r="D19" s="21" t="s">
        <v>24</v>
      </c>
      <c r="E19" s="21" t="s">
        <v>3337</v>
      </c>
      <c r="F19" s="21" t="s">
        <v>4419</v>
      </c>
      <c r="G19" s="30" t="s">
        <v>4420</v>
      </c>
      <c r="H19" s="31"/>
      <c r="I19" s="21"/>
      <c r="J19" s="21"/>
      <c r="K19" s="21"/>
      <c r="L19" s="21"/>
      <c r="M19" s="21" t="s">
        <v>4421</v>
      </c>
      <c r="N19" s="30" t="str">
        <f aca="false">G19</f>
        <v>470 x 200 x 200</v>
      </c>
      <c r="O19" s="21" t="s">
        <v>28</v>
      </c>
      <c r="P19" s="21" t="s">
        <v>28</v>
      </c>
      <c r="Q19" s="21" t="s">
        <v>214</v>
      </c>
      <c r="R19" s="32" t="s">
        <v>3337</v>
      </c>
      <c r="S19" s="32" t="s">
        <v>36</v>
      </c>
      <c r="T19" s="21" t="s">
        <v>74</v>
      </c>
      <c r="U19" s="74" t="s">
        <v>28</v>
      </c>
      <c r="V19" s="74" t="s">
        <v>28</v>
      </c>
      <c r="W19" s="74" t="s">
        <v>28</v>
      </c>
      <c r="X19" s="21" t="s">
        <v>36</v>
      </c>
      <c r="Y19" s="21" t="s">
        <v>28</v>
      </c>
    </row>
    <row r="20" customFormat="false" ht="15.75" hidden="false" customHeight="false" outlineLevel="0" collapsed="false">
      <c r="A20" s="61" t="n">
        <v>5804</v>
      </c>
      <c r="B20" s="29" t="n">
        <v>44385</v>
      </c>
      <c r="C20" s="21" t="s">
        <v>1347</v>
      </c>
      <c r="D20" s="21" t="s">
        <v>24</v>
      </c>
      <c r="E20" s="21" t="s">
        <v>3337</v>
      </c>
      <c r="F20" s="21" t="s">
        <v>4422</v>
      </c>
      <c r="G20" s="30"/>
      <c r="H20" s="31"/>
      <c r="I20" s="21"/>
      <c r="J20" s="21"/>
      <c r="K20" s="21"/>
      <c r="L20" s="21"/>
      <c r="M20" s="21" t="s">
        <v>4421</v>
      </c>
      <c r="N20" s="30" t="n">
        <f aca="false">G20</f>
        <v>0</v>
      </c>
      <c r="O20" s="21"/>
      <c r="P20" s="21"/>
      <c r="Q20" s="21"/>
      <c r="R20" s="32"/>
      <c r="S20" s="32"/>
      <c r="T20" s="21" t="s">
        <v>3337</v>
      </c>
      <c r="U20" s="74" t="s">
        <v>28</v>
      </c>
      <c r="V20" s="74" t="s">
        <v>28</v>
      </c>
      <c r="W20" s="74" t="s">
        <v>28</v>
      </c>
      <c r="X20" s="21" t="s">
        <v>36</v>
      </c>
      <c r="Y20" s="21" t="s">
        <v>28</v>
      </c>
    </row>
    <row r="21" customFormat="false" ht="15.75" hidden="false" customHeight="false" outlineLevel="0" collapsed="false">
      <c r="A21" s="61" t="n">
        <v>5805</v>
      </c>
      <c r="B21" s="29" t="n">
        <v>44389</v>
      </c>
      <c r="C21" s="21" t="s">
        <v>4413</v>
      </c>
      <c r="D21" s="21" t="s">
        <v>24</v>
      </c>
      <c r="E21" s="21" t="s">
        <v>3337</v>
      </c>
      <c r="F21" s="21" t="s">
        <v>4423</v>
      </c>
      <c r="G21" s="30"/>
      <c r="H21" s="31" t="s">
        <v>28</v>
      </c>
      <c r="I21" s="21" t="s">
        <v>28</v>
      </c>
      <c r="J21" s="21"/>
      <c r="K21" s="21"/>
      <c r="L21" s="21"/>
      <c r="M21" s="21" t="s">
        <v>4421</v>
      </c>
      <c r="N21" s="30" t="n">
        <f aca="false">G21</f>
        <v>0</v>
      </c>
      <c r="O21" s="21"/>
      <c r="P21" s="21"/>
      <c r="Q21" s="21"/>
      <c r="R21" s="32"/>
      <c r="S21" s="32"/>
      <c r="T21" s="21"/>
      <c r="U21" s="21"/>
      <c r="V21" s="21"/>
      <c r="W21" s="21"/>
      <c r="X21" s="21"/>
      <c r="Y21" s="21" t="s">
        <v>28</v>
      </c>
    </row>
    <row r="22" customFormat="false" ht="15.75" hidden="false" customHeight="false" outlineLevel="0" collapsed="false">
      <c r="A22" s="61" t="n">
        <v>5806</v>
      </c>
      <c r="B22" s="29" t="n">
        <v>44389</v>
      </c>
      <c r="C22" s="21" t="s">
        <v>4424</v>
      </c>
      <c r="D22" s="21" t="s">
        <v>24</v>
      </c>
      <c r="E22" s="21" t="s">
        <v>3337</v>
      </c>
      <c r="F22" s="21" t="s">
        <v>4425</v>
      </c>
      <c r="G22" s="30"/>
      <c r="H22" s="31"/>
      <c r="I22" s="21"/>
      <c r="J22" s="21"/>
      <c r="K22" s="21"/>
      <c r="L22" s="21"/>
      <c r="M22" s="21" t="s">
        <v>4421</v>
      </c>
      <c r="N22" s="30" t="n">
        <f aca="false">G22</f>
        <v>0</v>
      </c>
      <c r="O22" s="21"/>
      <c r="P22" s="21"/>
      <c r="Q22" s="21"/>
      <c r="R22" s="32"/>
      <c r="S22" s="32"/>
      <c r="T22" s="21"/>
      <c r="U22" s="21"/>
      <c r="V22" s="21"/>
      <c r="W22" s="21"/>
      <c r="X22" s="21"/>
      <c r="Y22" s="21" t="s">
        <v>28</v>
      </c>
    </row>
    <row r="23" customFormat="false" ht="15.75" hidden="false" customHeight="false" outlineLevel="0" collapsed="false">
      <c r="A23" s="61" t="n">
        <v>5807</v>
      </c>
      <c r="B23" s="29" t="n">
        <v>44390</v>
      </c>
      <c r="C23" s="21" t="s">
        <v>4030</v>
      </c>
      <c r="D23" s="21" t="s">
        <v>24</v>
      </c>
      <c r="E23" s="21" t="s">
        <v>3337</v>
      </c>
      <c r="F23" s="21" t="s">
        <v>4426</v>
      </c>
      <c r="G23" s="30"/>
      <c r="H23" s="31" t="s">
        <v>37</v>
      </c>
      <c r="I23" s="21" t="s">
        <v>37</v>
      </c>
      <c r="J23" s="21"/>
      <c r="K23" s="21"/>
      <c r="L23" s="21"/>
      <c r="M23" s="21" t="s">
        <v>4427</v>
      </c>
      <c r="N23" s="30" t="n">
        <f aca="false">G23</f>
        <v>0</v>
      </c>
      <c r="O23" s="21"/>
      <c r="P23" s="21"/>
      <c r="Q23" s="21"/>
      <c r="R23" s="32"/>
      <c r="S23" s="32"/>
      <c r="T23" s="21"/>
      <c r="U23" s="21"/>
      <c r="V23" s="21"/>
      <c r="W23" s="21"/>
      <c r="X23" s="21"/>
      <c r="Y23" s="21" t="s">
        <v>28</v>
      </c>
    </row>
    <row r="24" customFormat="false" ht="15.75" hidden="false" customHeight="false" outlineLevel="0" collapsed="false">
      <c r="A24" s="61" t="n">
        <v>5808</v>
      </c>
      <c r="B24" s="29" t="n">
        <v>44390</v>
      </c>
      <c r="C24" s="21" t="s">
        <v>3524</v>
      </c>
      <c r="D24" s="21" t="s">
        <v>24</v>
      </c>
      <c r="E24" s="21" t="s">
        <v>3337</v>
      </c>
      <c r="F24" s="21" t="s">
        <v>4428</v>
      </c>
      <c r="G24" s="30" t="s">
        <v>4429</v>
      </c>
      <c r="H24" s="31" t="s">
        <v>28</v>
      </c>
      <c r="I24" s="21" t="s">
        <v>28</v>
      </c>
      <c r="J24" s="21"/>
      <c r="K24" s="21"/>
      <c r="L24" s="21"/>
      <c r="M24" s="21" t="s">
        <v>4421</v>
      </c>
      <c r="N24" s="30" t="str">
        <f aca="false">G24</f>
        <v>900 x 250 x 300</v>
      </c>
      <c r="O24" s="21" t="s">
        <v>28</v>
      </c>
      <c r="P24" s="21" t="s">
        <v>28</v>
      </c>
      <c r="Q24" s="21" t="s">
        <v>3010</v>
      </c>
      <c r="R24" s="32" t="s">
        <v>74</v>
      </c>
      <c r="S24" s="32" t="s">
        <v>36</v>
      </c>
      <c r="T24" s="21"/>
      <c r="U24" s="21"/>
      <c r="V24" s="21"/>
      <c r="W24" s="21"/>
      <c r="X24" s="21"/>
      <c r="Y24" s="21" t="s">
        <v>28</v>
      </c>
    </row>
    <row r="25" customFormat="false" ht="15.75" hidden="false" customHeight="false" outlineLevel="0" collapsed="false">
      <c r="A25" s="61" t="n">
        <v>5809</v>
      </c>
      <c r="B25" s="29" t="n">
        <v>44390</v>
      </c>
      <c r="C25" s="21" t="s">
        <v>3524</v>
      </c>
      <c r="D25" s="21" t="s">
        <v>24</v>
      </c>
      <c r="E25" s="21" t="s">
        <v>3337</v>
      </c>
      <c r="F25" s="21" t="s">
        <v>4428</v>
      </c>
      <c r="G25" s="30" t="s">
        <v>4430</v>
      </c>
      <c r="H25" s="45" t="str">
        <f aca="false">HYPERLINK("https://photos.app.goo.gl/EWPcABc6TivY7ccq6", "Completo")</f>
        <v>Completo</v>
      </c>
      <c r="I25" s="21" t="s">
        <v>28</v>
      </c>
      <c r="J25" s="21"/>
      <c r="K25" s="21"/>
      <c r="L25" s="21"/>
      <c r="M25" s="21" t="s">
        <v>4421</v>
      </c>
      <c r="N25" s="30" t="str">
        <f aca="false">G25</f>
        <v>1100 x 250 x 300</v>
      </c>
      <c r="O25" s="21" t="s">
        <v>28</v>
      </c>
      <c r="P25" s="21" t="s">
        <v>28</v>
      </c>
      <c r="Q25" s="21" t="s">
        <v>73</v>
      </c>
      <c r="R25" s="32" t="s">
        <v>74</v>
      </c>
      <c r="S25" s="32" t="s">
        <v>36</v>
      </c>
      <c r="T25" s="21"/>
      <c r="U25" s="21"/>
      <c r="V25" s="21"/>
      <c r="W25" s="21"/>
      <c r="X25" s="21"/>
      <c r="Y25" s="21" t="s">
        <v>28</v>
      </c>
    </row>
    <row r="26" customFormat="false" ht="15.75" hidden="false" customHeight="false" outlineLevel="0" collapsed="false">
      <c r="A26" s="61" t="n">
        <v>5810</v>
      </c>
      <c r="B26" s="29" t="n">
        <v>44390</v>
      </c>
      <c r="C26" s="21" t="s">
        <v>2772</v>
      </c>
      <c r="D26" s="21" t="s">
        <v>24</v>
      </c>
      <c r="E26" s="21" t="s">
        <v>3337</v>
      </c>
      <c r="F26" s="21" t="s">
        <v>4431</v>
      </c>
      <c r="G26" s="30"/>
      <c r="H26" s="45" t="str">
        <f aca="false">HYPERLINK("https://photos.app.goo.gl/XLqXiiQAQYhG61jK7", "Completo")</f>
        <v>Completo</v>
      </c>
      <c r="I26" s="21" t="s">
        <v>28</v>
      </c>
      <c r="J26" s="21"/>
      <c r="K26" s="21"/>
      <c r="L26" s="21"/>
      <c r="M26" s="21" t="s">
        <v>4421</v>
      </c>
      <c r="N26" s="30" t="n">
        <f aca="false">G26</f>
        <v>0</v>
      </c>
      <c r="O26" s="21"/>
      <c r="P26" s="21"/>
      <c r="Q26" s="21"/>
      <c r="R26" s="32"/>
      <c r="S26" s="32"/>
      <c r="T26" s="21"/>
      <c r="U26" s="21"/>
      <c r="V26" s="21"/>
      <c r="W26" s="21"/>
      <c r="X26" s="21"/>
      <c r="Y26" s="21" t="s">
        <v>28</v>
      </c>
    </row>
    <row r="27" customFormat="false" ht="15.75" hidden="false" customHeight="false" outlineLevel="0" collapsed="false">
      <c r="A27" s="61" t="n">
        <v>5811</v>
      </c>
      <c r="B27" s="29" t="n">
        <v>44391</v>
      </c>
      <c r="C27" s="21" t="s">
        <v>4432</v>
      </c>
      <c r="D27" s="21" t="s">
        <v>24</v>
      </c>
      <c r="E27" s="21" t="s">
        <v>3337</v>
      </c>
      <c r="F27" s="21" t="s">
        <v>4433</v>
      </c>
      <c r="G27" s="30"/>
      <c r="H27" s="31" t="s">
        <v>28</v>
      </c>
      <c r="I27" s="21" t="s">
        <v>28</v>
      </c>
      <c r="J27" s="21"/>
      <c r="K27" s="21"/>
      <c r="L27" s="21"/>
      <c r="M27" s="21" t="s">
        <v>4421</v>
      </c>
      <c r="N27" s="30" t="n">
        <f aca="false">G27</f>
        <v>0</v>
      </c>
      <c r="O27" s="21"/>
      <c r="P27" s="21"/>
      <c r="Q27" s="21"/>
      <c r="R27" s="32"/>
      <c r="S27" s="32"/>
      <c r="T27" s="21"/>
      <c r="U27" s="21"/>
      <c r="V27" s="21"/>
      <c r="W27" s="21"/>
      <c r="X27" s="21"/>
      <c r="Y27" s="21" t="s">
        <v>28</v>
      </c>
    </row>
    <row r="28" customFormat="false" ht="15.75" hidden="false" customHeight="false" outlineLevel="0" collapsed="false">
      <c r="A28" s="61" t="n">
        <v>5812</v>
      </c>
      <c r="B28" s="29" t="n">
        <v>44391</v>
      </c>
      <c r="C28" s="21" t="s">
        <v>4432</v>
      </c>
      <c r="D28" s="21" t="s">
        <v>24</v>
      </c>
      <c r="E28" s="21" t="s">
        <v>3337</v>
      </c>
      <c r="F28" s="21" t="s">
        <v>4433</v>
      </c>
      <c r="G28" s="30"/>
      <c r="H28" s="45" t="s">
        <v>4434</v>
      </c>
      <c r="I28" s="21" t="s">
        <v>28</v>
      </c>
      <c r="J28" s="21"/>
      <c r="K28" s="21"/>
      <c r="L28" s="21"/>
      <c r="M28" s="21" t="s">
        <v>4421</v>
      </c>
      <c r="N28" s="30" t="n">
        <f aca="false">G28</f>
        <v>0</v>
      </c>
      <c r="O28" s="21" t="s">
        <v>28</v>
      </c>
      <c r="P28" s="74" t="s">
        <v>28</v>
      </c>
      <c r="Q28" s="21" t="s">
        <v>2981</v>
      </c>
      <c r="R28" s="32" t="s">
        <v>2850</v>
      </c>
      <c r="S28" s="32" t="s">
        <v>36</v>
      </c>
      <c r="T28" s="21"/>
      <c r="U28" s="21"/>
      <c r="V28" s="21"/>
      <c r="W28" s="21"/>
      <c r="X28" s="21"/>
      <c r="Y28" s="21" t="s">
        <v>28</v>
      </c>
    </row>
    <row r="29" customFormat="false" ht="15.75" hidden="false" customHeight="false" outlineLevel="0" collapsed="false">
      <c r="A29" s="61" t="n">
        <v>5813</v>
      </c>
      <c r="B29" s="29" t="n">
        <v>44396</v>
      </c>
      <c r="C29" s="21" t="s">
        <v>4435</v>
      </c>
      <c r="D29" s="21" t="s">
        <v>24</v>
      </c>
      <c r="E29" s="21" t="s">
        <v>3337</v>
      </c>
      <c r="F29" s="21" t="s">
        <v>4436</v>
      </c>
      <c r="G29" s="30"/>
      <c r="H29" s="45" t="s">
        <v>4434</v>
      </c>
      <c r="I29" s="21" t="s">
        <v>28</v>
      </c>
      <c r="J29" s="21"/>
      <c r="K29" s="21"/>
      <c r="L29" s="21"/>
      <c r="M29" s="21" t="s">
        <v>4421</v>
      </c>
      <c r="N29" s="30" t="n">
        <f aca="false">G29</f>
        <v>0</v>
      </c>
      <c r="O29" s="21"/>
      <c r="P29" s="21"/>
      <c r="Q29" s="21"/>
      <c r="R29" s="32"/>
      <c r="S29" s="32"/>
      <c r="T29" s="21"/>
      <c r="U29" s="21"/>
      <c r="V29" s="21"/>
      <c r="W29" s="21"/>
      <c r="X29" s="21"/>
      <c r="Y29" s="21" t="s">
        <v>28</v>
      </c>
    </row>
    <row r="30" customFormat="false" ht="15.75" hidden="false" customHeight="false" outlineLevel="0" collapsed="false">
      <c r="A30" s="61" t="n">
        <v>5814</v>
      </c>
      <c r="B30" s="29" t="n">
        <v>44399</v>
      </c>
      <c r="C30" s="21" t="s">
        <v>3862</v>
      </c>
      <c r="D30" s="21" t="s">
        <v>24</v>
      </c>
      <c r="E30" s="21" t="s">
        <v>3337</v>
      </c>
      <c r="F30" s="21" t="s">
        <v>2459</v>
      </c>
      <c r="G30" s="30"/>
      <c r="H30" s="45" t="str">
        <f aca="false">HYPERLINK("https://photos.app.goo.gl/gBM2ZEPcFPezvJF86", "Completo")</f>
        <v>Completo</v>
      </c>
      <c r="I30" s="21" t="s">
        <v>28</v>
      </c>
      <c r="J30" s="21"/>
      <c r="K30" s="21"/>
      <c r="L30" s="21"/>
      <c r="M30" s="21"/>
      <c r="N30" s="30" t="s">
        <v>4437</v>
      </c>
      <c r="O30" s="21" t="s">
        <v>28</v>
      </c>
      <c r="P30" s="21" t="s">
        <v>28</v>
      </c>
      <c r="Q30" s="21" t="s">
        <v>73</v>
      </c>
      <c r="R30" s="32" t="s">
        <v>25</v>
      </c>
      <c r="S30" s="32" t="s">
        <v>36</v>
      </c>
      <c r="T30" s="21" t="s">
        <v>74</v>
      </c>
      <c r="U30" s="74" t="s">
        <v>28</v>
      </c>
      <c r="V30" s="74" t="s">
        <v>28</v>
      </c>
      <c r="W30" s="74" t="s">
        <v>28</v>
      </c>
      <c r="X30" s="74" t="s">
        <v>4438</v>
      </c>
      <c r="Y30" s="21" t="s">
        <v>28</v>
      </c>
    </row>
    <row r="31" customFormat="false" ht="15.75" hidden="false" customHeight="false" outlineLevel="0" collapsed="false">
      <c r="A31" s="61" t="n">
        <v>5815</v>
      </c>
      <c r="B31" s="29" t="n">
        <v>44407</v>
      </c>
      <c r="C31" s="21" t="s">
        <v>2177</v>
      </c>
      <c r="D31" s="21" t="s">
        <v>24</v>
      </c>
      <c r="E31" s="21" t="s">
        <v>3337</v>
      </c>
      <c r="F31" s="21" t="s">
        <v>4439</v>
      </c>
      <c r="G31" s="30" t="s">
        <v>4440</v>
      </c>
      <c r="H31" s="45" t="str">
        <f aca="false">HYPERLINK("https://photos.app.goo.gl/QjS9uaSc1eHpaozB9", "Completo")</f>
        <v>Completo</v>
      </c>
      <c r="I31" s="21" t="s">
        <v>28</v>
      </c>
      <c r="J31" s="21"/>
      <c r="K31" s="21"/>
      <c r="L31" s="21"/>
      <c r="M31" s="21" t="s">
        <v>4421</v>
      </c>
      <c r="N31" s="30" t="str">
        <f aca="false">G31</f>
        <v>750x350x300</v>
      </c>
      <c r="O31" s="21"/>
      <c r="P31" s="21"/>
      <c r="Q31" s="21"/>
      <c r="R31" s="32"/>
      <c r="S31" s="32"/>
      <c r="T31" s="21"/>
      <c r="U31" s="21"/>
      <c r="V31" s="21"/>
      <c r="W31" s="21"/>
      <c r="X31" s="21"/>
      <c r="Y31" s="21" t="s">
        <v>28</v>
      </c>
    </row>
    <row r="32" customFormat="false" ht="15.75" hidden="false" customHeight="false" outlineLevel="0" collapsed="false">
      <c r="A32" s="61" t="n">
        <v>5816</v>
      </c>
      <c r="B32" s="29" t="n">
        <v>44397</v>
      </c>
      <c r="C32" s="21" t="s">
        <v>4441</v>
      </c>
      <c r="D32" s="21" t="s">
        <v>24</v>
      </c>
      <c r="E32" s="21" t="s">
        <v>3337</v>
      </c>
      <c r="F32" s="21" t="s">
        <v>4442</v>
      </c>
      <c r="G32" s="30" t="s">
        <v>4443</v>
      </c>
      <c r="H32" s="45" t="str">
        <f aca="false">HYPERLINK("https://photos.app.goo.gl/Gn76mdhTaGZA4pov5", "Completo")</f>
        <v>Completo</v>
      </c>
      <c r="I32" s="21" t="s">
        <v>28</v>
      </c>
      <c r="J32" s="21"/>
      <c r="K32" s="21"/>
      <c r="L32" s="21"/>
      <c r="M32" s="21" t="s">
        <v>4421</v>
      </c>
      <c r="N32" s="30" t="str">
        <f aca="false">G32</f>
        <v>570 x 500 x 700</v>
      </c>
      <c r="O32" s="21" t="s">
        <v>28</v>
      </c>
      <c r="P32" s="21" t="s">
        <v>28</v>
      </c>
      <c r="Q32" s="21" t="s">
        <v>3855</v>
      </c>
      <c r="R32" s="32" t="s">
        <v>3337</v>
      </c>
      <c r="S32" s="32" t="s">
        <v>36</v>
      </c>
      <c r="T32" s="21" t="s">
        <v>3337</v>
      </c>
      <c r="U32" s="75" t="s">
        <v>28</v>
      </c>
      <c r="V32" s="74" t="s">
        <v>28</v>
      </c>
      <c r="W32" s="74" t="s">
        <v>28</v>
      </c>
      <c r="X32" s="21" t="s">
        <v>36</v>
      </c>
      <c r="Y32" s="21" t="s">
        <v>28</v>
      </c>
    </row>
    <row r="33" customFormat="false" ht="15.75" hidden="false" customHeight="false" outlineLevel="0" collapsed="false">
      <c r="A33" s="61" t="n">
        <v>5817</v>
      </c>
      <c r="B33" s="29" t="n">
        <v>44397</v>
      </c>
      <c r="C33" s="21" t="s">
        <v>4444</v>
      </c>
      <c r="D33" s="21" t="s">
        <v>24</v>
      </c>
      <c r="E33" s="21" t="s">
        <v>34</v>
      </c>
      <c r="F33" s="21" t="s">
        <v>4445</v>
      </c>
      <c r="G33" s="30"/>
      <c r="H33" s="45" t="str">
        <f aca="false">HYPERLINK("https://photos.app.goo.gl/bFb7nzJaBkRNPQnc9", "Completo")</f>
        <v>Completo</v>
      </c>
      <c r="I33" s="21" t="s">
        <v>28</v>
      </c>
      <c r="J33" s="21"/>
      <c r="K33" s="21"/>
      <c r="L33" s="21"/>
      <c r="M33" s="21"/>
      <c r="N33" s="30" t="n">
        <f aca="false">G33</f>
        <v>0</v>
      </c>
      <c r="O33" s="21"/>
      <c r="P33" s="21"/>
      <c r="Q33" s="21"/>
      <c r="R33" s="32"/>
      <c r="S33" s="32"/>
      <c r="T33" s="21"/>
      <c r="U33" s="21"/>
      <c r="V33" s="21"/>
      <c r="W33" s="21"/>
      <c r="X33" s="21"/>
      <c r="Y33" s="21" t="s">
        <v>28</v>
      </c>
    </row>
    <row r="34" customFormat="false" ht="15.75" hidden="false" customHeight="false" outlineLevel="0" collapsed="false">
      <c r="A34" s="61" t="n">
        <v>5818</v>
      </c>
      <c r="B34" s="29" t="n">
        <v>44398</v>
      </c>
      <c r="C34" s="21" t="s">
        <v>84</v>
      </c>
      <c r="D34" s="21" t="s">
        <v>24</v>
      </c>
      <c r="E34" s="21" t="s">
        <v>34</v>
      </c>
      <c r="F34" s="21" t="s">
        <v>4446</v>
      </c>
      <c r="G34" s="30"/>
      <c r="H34" s="31"/>
      <c r="I34" s="21"/>
      <c r="J34" s="21"/>
      <c r="K34" s="21"/>
      <c r="L34" s="21"/>
      <c r="M34" s="21" t="s">
        <v>2133</v>
      </c>
      <c r="N34" s="30" t="n">
        <f aca="false">G34</f>
        <v>0</v>
      </c>
      <c r="O34" s="21"/>
      <c r="P34" s="21"/>
      <c r="Q34" s="21"/>
      <c r="R34" s="32"/>
      <c r="S34" s="32"/>
      <c r="T34" s="21"/>
      <c r="U34" s="21"/>
      <c r="V34" s="21"/>
      <c r="W34" s="21"/>
      <c r="X34" s="21"/>
      <c r="Y34" s="21" t="s">
        <v>28</v>
      </c>
    </row>
    <row r="35" customFormat="false" ht="17.25" hidden="false" customHeight="true" outlineLevel="0" collapsed="false">
      <c r="A35" s="61" t="n">
        <v>5819</v>
      </c>
      <c r="B35" s="29" t="n">
        <v>44398</v>
      </c>
      <c r="C35" s="21" t="s">
        <v>4447</v>
      </c>
      <c r="D35" s="21" t="s">
        <v>24</v>
      </c>
      <c r="E35" s="21" t="s">
        <v>3337</v>
      </c>
      <c r="F35" s="21" t="s">
        <v>4448</v>
      </c>
      <c r="G35" s="30" t="s">
        <v>4449</v>
      </c>
      <c r="H35" s="45" t="str">
        <f aca="false">HYPERLINK("https://photos.app.goo.gl/MWxed9r4wCJDhtX7A", "Completo")</f>
        <v>Completo</v>
      </c>
      <c r="I35" s="21" t="s">
        <v>28</v>
      </c>
      <c r="J35" s="21"/>
      <c r="K35" s="21"/>
      <c r="L35" s="21"/>
      <c r="M35" s="21"/>
      <c r="N35" s="30" t="str">
        <f aca="false">G35</f>
        <v>940 x 200 x 200</v>
      </c>
      <c r="O35" s="21" t="s">
        <v>28</v>
      </c>
      <c r="P35" s="21" t="s">
        <v>28</v>
      </c>
      <c r="Q35" s="21" t="s">
        <v>2803</v>
      </c>
      <c r="R35" s="32" t="s">
        <v>3337</v>
      </c>
      <c r="S35" s="32" t="s">
        <v>36</v>
      </c>
      <c r="T35" s="21" t="s">
        <v>74</v>
      </c>
      <c r="U35" s="74" t="s">
        <v>28</v>
      </c>
      <c r="V35" s="74" t="s">
        <v>28</v>
      </c>
      <c r="W35" s="74" t="s">
        <v>28</v>
      </c>
      <c r="X35" s="21" t="s">
        <v>36</v>
      </c>
      <c r="Y35" s="21" t="s">
        <v>28</v>
      </c>
    </row>
    <row r="36" customFormat="false" ht="17.25" hidden="false" customHeight="true" outlineLevel="0" collapsed="false">
      <c r="A36" s="61" t="s">
        <v>4450</v>
      </c>
      <c r="B36" s="29" t="n">
        <v>44398</v>
      </c>
      <c r="C36" s="21" t="s">
        <v>75</v>
      </c>
      <c r="D36" s="21" t="s">
        <v>24</v>
      </c>
      <c r="E36" s="21" t="s">
        <v>3337</v>
      </c>
      <c r="F36" s="21" t="s">
        <v>4451</v>
      </c>
      <c r="G36" s="30" t="s">
        <v>4452</v>
      </c>
      <c r="H36" s="45" t="str">
        <f aca="false">HYPERLINK("https://photos.app.goo.gl/Zcg2LKTkLCjDuP7v6", "Completo")</f>
        <v>Completo</v>
      </c>
      <c r="I36" s="21" t="s">
        <v>28</v>
      </c>
      <c r="J36" s="21"/>
      <c r="K36" s="21"/>
      <c r="L36" s="21"/>
      <c r="M36" s="21"/>
      <c r="N36" s="30" t="str">
        <f aca="false">G36</f>
        <v>1400 x 200 x 200</v>
      </c>
      <c r="O36" s="21" t="s">
        <v>28</v>
      </c>
      <c r="P36" s="21" t="s">
        <v>28</v>
      </c>
      <c r="Q36" s="21" t="s">
        <v>4296</v>
      </c>
      <c r="R36" s="32" t="s">
        <v>25</v>
      </c>
      <c r="S36" s="32" t="s">
        <v>36</v>
      </c>
      <c r="T36" s="21" t="s">
        <v>74</v>
      </c>
      <c r="U36" s="74" t="s">
        <v>28</v>
      </c>
      <c r="V36" s="74" t="s">
        <v>28</v>
      </c>
      <c r="W36" s="74" t="s">
        <v>28</v>
      </c>
      <c r="X36" s="21" t="s">
        <v>36</v>
      </c>
      <c r="Y36" s="21" t="s">
        <v>28</v>
      </c>
    </row>
    <row r="37" customFormat="false" ht="15.75" hidden="false" customHeight="false" outlineLevel="0" collapsed="false">
      <c r="A37" s="61" t="n">
        <v>5820</v>
      </c>
      <c r="B37" s="29" t="n">
        <v>44399</v>
      </c>
      <c r="C37" s="21" t="s">
        <v>2309</v>
      </c>
      <c r="D37" s="21" t="s">
        <v>24</v>
      </c>
      <c r="E37" s="21" t="s">
        <v>3337</v>
      </c>
      <c r="F37" s="21" t="s">
        <v>4453</v>
      </c>
      <c r="G37" s="30"/>
      <c r="H37" s="45" t="str">
        <f aca="false">HYPERLINK("https://photos.app.goo.gl/dFXeD5Czcm9vNqJA8", "Completo")</f>
        <v>Completo</v>
      </c>
      <c r="I37" s="21" t="s">
        <v>28</v>
      </c>
      <c r="J37" s="21"/>
      <c r="K37" s="21"/>
      <c r="L37" s="21"/>
      <c r="M37" s="21" t="s">
        <v>4421</v>
      </c>
      <c r="N37" s="30" t="n">
        <f aca="false">G37</f>
        <v>0</v>
      </c>
      <c r="O37" s="21"/>
      <c r="P37" s="21"/>
      <c r="Q37" s="21"/>
      <c r="R37" s="32"/>
      <c r="S37" s="32"/>
      <c r="T37" s="21"/>
      <c r="U37" s="21"/>
      <c r="V37" s="21"/>
      <c r="W37" s="21"/>
      <c r="X37" s="21"/>
      <c r="Y37" s="21" t="s">
        <v>28</v>
      </c>
    </row>
    <row r="38" customFormat="false" ht="15.75" hidden="false" customHeight="false" outlineLevel="0" collapsed="false">
      <c r="A38" s="61" t="n">
        <v>5821</v>
      </c>
      <c r="B38" s="29" t="n">
        <v>44399</v>
      </c>
      <c r="C38" s="21" t="s">
        <v>23</v>
      </c>
      <c r="D38" s="21" t="s">
        <v>24</v>
      </c>
      <c r="E38" s="21" t="s">
        <v>34</v>
      </c>
      <c r="F38" s="21" t="s">
        <v>4454</v>
      </c>
      <c r="G38" s="30"/>
      <c r="H38" s="31"/>
      <c r="I38" s="21"/>
      <c r="J38" s="21"/>
      <c r="K38" s="21"/>
      <c r="L38" s="21"/>
      <c r="M38" s="21"/>
      <c r="N38" s="30" t="n">
        <f aca="false">G38</f>
        <v>0</v>
      </c>
      <c r="O38" s="21"/>
      <c r="P38" s="21"/>
      <c r="Q38" s="21"/>
      <c r="R38" s="32"/>
      <c r="S38" s="32"/>
      <c r="T38" s="21"/>
      <c r="U38" s="21"/>
      <c r="V38" s="21"/>
      <c r="W38" s="21"/>
      <c r="X38" s="21"/>
      <c r="Y38" s="21" t="s">
        <v>28</v>
      </c>
    </row>
    <row r="39" customFormat="false" ht="15.75" hidden="false" customHeight="false" outlineLevel="0" collapsed="false">
      <c r="A39" s="76" t="n">
        <v>520839</v>
      </c>
      <c r="B39" s="29" t="n">
        <v>44399</v>
      </c>
      <c r="C39" s="21" t="s">
        <v>4455</v>
      </c>
      <c r="D39" s="21" t="s">
        <v>24</v>
      </c>
      <c r="E39" s="21" t="s">
        <v>3337</v>
      </c>
      <c r="F39" s="21" t="s">
        <v>4456</v>
      </c>
      <c r="G39" s="30"/>
      <c r="H39" s="31" t="s">
        <v>28</v>
      </c>
      <c r="I39" s="21" t="s">
        <v>28</v>
      </c>
      <c r="J39" s="21"/>
      <c r="K39" s="21"/>
      <c r="L39" s="21"/>
      <c r="M39" s="21" t="s">
        <v>4421</v>
      </c>
      <c r="N39" s="30" t="n">
        <f aca="false">G39</f>
        <v>0</v>
      </c>
      <c r="O39" s="21"/>
      <c r="P39" s="21"/>
      <c r="Q39" s="21"/>
      <c r="R39" s="32"/>
      <c r="S39" s="32"/>
      <c r="T39" s="21"/>
      <c r="U39" s="21"/>
      <c r="V39" s="21"/>
      <c r="W39" s="21"/>
      <c r="X39" s="21"/>
      <c r="Y39" s="21" t="s">
        <v>28</v>
      </c>
    </row>
    <row r="40" customFormat="false" ht="15.75" hidden="false" customHeight="false" outlineLevel="0" collapsed="false">
      <c r="A40" s="61" t="n">
        <v>5822</v>
      </c>
      <c r="B40" s="29" t="n">
        <v>44406</v>
      </c>
      <c r="C40" s="21" t="s">
        <v>2177</v>
      </c>
      <c r="D40" s="21" t="s">
        <v>24</v>
      </c>
      <c r="E40" s="21" t="s">
        <v>3337</v>
      </c>
      <c r="F40" s="21" t="s">
        <v>4457</v>
      </c>
      <c r="G40" s="30" t="s">
        <v>4458</v>
      </c>
      <c r="H40" s="45" t="str">
        <f aca="false">HYPERLINK("https://photos.app.goo.gl/dFcAtYvko7vVutVYA", "Completo")</f>
        <v>Completo</v>
      </c>
      <c r="I40" s="21" t="s">
        <v>28</v>
      </c>
      <c r="J40" s="21"/>
      <c r="K40" s="21"/>
      <c r="L40" s="21"/>
      <c r="M40" s="21" t="s">
        <v>4421</v>
      </c>
      <c r="N40" s="30" t="str">
        <f aca="false">G40</f>
        <v>630x150x200</v>
      </c>
      <c r="O40" s="21"/>
      <c r="P40" s="21"/>
      <c r="Q40" s="21"/>
      <c r="R40" s="32"/>
      <c r="S40" s="32"/>
      <c r="T40" s="21"/>
      <c r="U40" s="21"/>
      <c r="V40" s="21"/>
      <c r="W40" s="21"/>
      <c r="X40" s="21"/>
      <c r="Y40" s="21" t="s">
        <v>28</v>
      </c>
    </row>
    <row r="41" customFormat="false" ht="15.75" hidden="false" customHeight="false" outlineLevel="0" collapsed="false">
      <c r="A41" s="61" t="n">
        <v>5823</v>
      </c>
      <c r="B41" s="29" t="n">
        <v>44400</v>
      </c>
      <c r="C41" s="21" t="s">
        <v>4459</v>
      </c>
      <c r="D41" s="21" t="s">
        <v>24</v>
      </c>
      <c r="E41" s="21" t="s">
        <v>3337</v>
      </c>
      <c r="F41" s="21" t="s">
        <v>4460</v>
      </c>
      <c r="G41" s="30"/>
      <c r="H41" s="31" t="s">
        <v>28</v>
      </c>
      <c r="I41" s="46" t="str">
        <f aca="false">HYPERLINK("https://photos.app.goo.gl/DKgdBXC32aKo1xJi9", "Completo")</f>
        <v>Completo</v>
      </c>
      <c r="J41" s="21"/>
      <c r="K41" s="21"/>
      <c r="L41" s="21"/>
      <c r="M41" s="21" t="s">
        <v>2255</v>
      </c>
      <c r="N41" s="69" t="s">
        <v>4461</v>
      </c>
      <c r="O41" s="21" t="s">
        <v>28</v>
      </c>
      <c r="P41" s="21" t="s">
        <v>28</v>
      </c>
      <c r="Q41" s="21" t="s">
        <v>4462</v>
      </c>
      <c r="R41" s="32" t="s">
        <v>4463</v>
      </c>
      <c r="S41" s="32" t="s">
        <v>36</v>
      </c>
      <c r="T41" s="21" t="s">
        <v>74</v>
      </c>
      <c r="U41" s="74" t="s">
        <v>28</v>
      </c>
      <c r="V41" s="74" t="s">
        <v>28</v>
      </c>
      <c r="W41" s="74" t="s">
        <v>28</v>
      </c>
      <c r="X41" s="21" t="s">
        <v>36</v>
      </c>
      <c r="Y41" s="21" t="s">
        <v>28</v>
      </c>
    </row>
    <row r="42" customFormat="false" ht="15.75" hidden="false" customHeight="false" outlineLevel="0" collapsed="false">
      <c r="A42" s="61" t="n">
        <v>5824</v>
      </c>
      <c r="B42" s="29" t="n">
        <v>44400</v>
      </c>
      <c r="C42" s="21" t="s">
        <v>4459</v>
      </c>
      <c r="D42" s="21" t="s">
        <v>24</v>
      </c>
      <c r="E42" s="21" t="s">
        <v>3337</v>
      </c>
      <c r="F42" s="21" t="s">
        <v>4460</v>
      </c>
      <c r="G42" s="30"/>
      <c r="H42" s="45" t="str">
        <f aca="false">HYPERLINK("https://photos.app.goo.gl/EqALJq8qbpnhzEM59", "Completo")</f>
        <v>Completo</v>
      </c>
      <c r="I42" s="21" t="s">
        <v>28</v>
      </c>
      <c r="J42" s="21"/>
      <c r="K42" s="21"/>
      <c r="L42" s="21"/>
      <c r="M42" s="21" t="s">
        <v>2255</v>
      </c>
      <c r="N42" s="30" t="n">
        <f aca="false">G42</f>
        <v>0</v>
      </c>
      <c r="O42" s="21"/>
      <c r="P42" s="21"/>
      <c r="Q42" s="21"/>
      <c r="R42" s="32"/>
      <c r="S42" s="32"/>
      <c r="T42" s="21"/>
      <c r="U42" s="21"/>
      <c r="V42" s="21"/>
      <c r="W42" s="21"/>
      <c r="X42" s="21"/>
      <c r="Y42" s="21" t="s">
        <v>28</v>
      </c>
    </row>
    <row r="43" customFormat="false" ht="15.75" hidden="false" customHeight="false" outlineLevel="0" collapsed="false">
      <c r="A43" s="61" t="n">
        <v>5825</v>
      </c>
      <c r="B43" s="29" t="n">
        <v>44400</v>
      </c>
      <c r="C43" s="21" t="s">
        <v>4459</v>
      </c>
      <c r="D43" s="21" t="s">
        <v>24</v>
      </c>
      <c r="E43" s="21" t="s">
        <v>3337</v>
      </c>
      <c r="F43" s="21" t="s">
        <v>4460</v>
      </c>
      <c r="G43" s="30"/>
      <c r="H43" s="45" t="str">
        <f aca="false">HYPERLINK("https://photos.app.goo.gl/BVhFfCD5ySNmA4i87", "Completo")</f>
        <v>Completo</v>
      </c>
      <c r="I43" s="21" t="s">
        <v>28</v>
      </c>
      <c r="J43" s="21"/>
      <c r="K43" s="21"/>
      <c r="L43" s="21"/>
      <c r="M43" s="21" t="s">
        <v>2255</v>
      </c>
      <c r="N43" s="30" t="n">
        <f aca="false">G43</f>
        <v>0</v>
      </c>
      <c r="O43" s="21"/>
      <c r="P43" s="21"/>
      <c r="Q43" s="21"/>
      <c r="R43" s="32"/>
      <c r="S43" s="32"/>
      <c r="T43" s="21" t="s">
        <v>3337</v>
      </c>
      <c r="U43" s="74" t="s">
        <v>28</v>
      </c>
      <c r="V43" s="74" t="s">
        <v>28</v>
      </c>
      <c r="W43" s="74" t="s">
        <v>28</v>
      </c>
      <c r="X43" s="21" t="s">
        <v>36</v>
      </c>
      <c r="Y43" s="21" t="s">
        <v>28</v>
      </c>
    </row>
    <row r="44" customFormat="false" ht="15.75" hidden="false" customHeight="false" outlineLevel="0" collapsed="false">
      <c r="A44" s="61" t="n">
        <v>5826</v>
      </c>
      <c r="B44" s="29" t="n">
        <v>44400</v>
      </c>
      <c r="C44" s="21" t="s">
        <v>4459</v>
      </c>
      <c r="D44" s="21" t="s">
        <v>24</v>
      </c>
      <c r="E44" s="21" t="s">
        <v>3337</v>
      </c>
      <c r="F44" s="21" t="s">
        <v>4460</v>
      </c>
      <c r="G44" s="30"/>
      <c r="H44" s="45" t="str">
        <f aca="false">HYPERLINK("https://photos.app.goo.gl/SLxXxRbqv53jPU5r6", "Completo")</f>
        <v>Completo</v>
      </c>
      <c r="I44" s="21" t="s">
        <v>28</v>
      </c>
      <c r="J44" s="21"/>
      <c r="K44" s="21"/>
      <c r="L44" s="21"/>
      <c r="M44" s="21" t="s">
        <v>2255</v>
      </c>
      <c r="N44" s="30" t="n">
        <f aca="false">G44</f>
        <v>0</v>
      </c>
      <c r="O44" s="21"/>
      <c r="P44" s="21"/>
      <c r="Q44" s="21"/>
      <c r="R44" s="32"/>
      <c r="S44" s="32"/>
      <c r="T44" s="21" t="s">
        <v>3337</v>
      </c>
      <c r="U44" s="74" t="s">
        <v>28</v>
      </c>
      <c r="V44" s="74" t="s">
        <v>28</v>
      </c>
      <c r="W44" s="74" t="s">
        <v>28</v>
      </c>
      <c r="X44" s="21" t="s">
        <v>36</v>
      </c>
      <c r="Y44" s="21" t="s">
        <v>28</v>
      </c>
    </row>
    <row r="45" customFormat="false" ht="15.75" hidden="false" customHeight="false" outlineLevel="0" collapsed="false">
      <c r="A45" s="61" t="n">
        <v>5827</v>
      </c>
      <c r="B45" s="29" t="n">
        <v>44404</v>
      </c>
      <c r="C45" s="21" t="s">
        <v>4374</v>
      </c>
      <c r="D45" s="21" t="s">
        <v>24</v>
      </c>
      <c r="E45" s="21" t="s">
        <v>3337</v>
      </c>
      <c r="F45" s="21" t="s">
        <v>4464</v>
      </c>
      <c r="G45" s="30" t="s">
        <v>4465</v>
      </c>
      <c r="H45" s="45" t="str">
        <f aca="false">HYPERLINK("https://photos.app.goo.gl/LZGskhR7A9QoAy5C7", "Completo")</f>
        <v>Completo</v>
      </c>
      <c r="I45" s="21" t="s">
        <v>28</v>
      </c>
      <c r="J45" s="21"/>
      <c r="K45" s="21"/>
      <c r="L45" s="21"/>
      <c r="M45" s="21" t="s">
        <v>2255</v>
      </c>
      <c r="N45" s="30" t="str">
        <f aca="false">G45</f>
        <v>5900x1400x1300</v>
      </c>
      <c r="O45" s="21"/>
      <c r="P45" s="21"/>
      <c r="Q45" s="21"/>
      <c r="R45" s="32"/>
      <c r="S45" s="32"/>
      <c r="T45" s="21"/>
      <c r="U45" s="21"/>
      <c r="V45" s="21"/>
      <c r="W45" s="21"/>
      <c r="X45" s="21"/>
      <c r="Y45" s="21"/>
    </row>
    <row r="46" customFormat="false" ht="15.75" hidden="false" customHeight="false" outlineLevel="0" collapsed="false">
      <c r="A46" s="63" t="n">
        <v>1076737</v>
      </c>
      <c r="B46" s="29" t="n">
        <v>44404</v>
      </c>
      <c r="C46" s="21" t="s">
        <v>4374</v>
      </c>
      <c r="D46" s="21" t="s">
        <v>24</v>
      </c>
      <c r="E46" s="21" t="s">
        <v>3337</v>
      </c>
      <c r="F46" s="21" t="s">
        <v>4466</v>
      </c>
      <c r="G46" s="30" t="s">
        <v>4467</v>
      </c>
      <c r="H46" s="45" t="str">
        <f aca="false">HYPERLINK("https://photos.app.goo.gl/kYA7zgrUFiVpW1mc7", "Completo")</f>
        <v>Completo</v>
      </c>
      <c r="I46" s="21" t="s">
        <v>28</v>
      </c>
      <c r="J46" s="21"/>
      <c r="K46" s="21"/>
      <c r="L46" s="21"/>
      <c r="M46" s="21" t="s">
        <v>2255</v>
      </c>
      <c r="N46" s="30" t="s">
        <v>4468</v>
      </c>
      <c r="O46" s="21" t="s">
        <v>28</v>
      </c>
      <c r="P46" s="21" t="s">
        <v>28</v>
      </c>
      <c r="Q46" s="21" t="s">
        <v>4469</v>
      </c>
      <c r="R46" s="32" t="s">
        <v>2850</v>
      </c>
      <c r="S46" s="32"/>
      <c r="T46" s="21" t="s">
        <v>3337</v>
      </c>
      <c r="U46" s="21" t="s">
        <v>28</v>
      </c>
      <c r="V46" s="74" t="s">
        <v>28</v>
      </c>
      <c r="W46" s="74" t="s">
        <v>28</v>
      </c>
      <c r="X46" s="21"/>
      <c r="Y46" s="21" t="s">
        <v>28</v>
      </c>
    </row>
    <row r="47" customFormat="false" ht="15.75" hidden="false" customHeight="false" outlineLevel="0" collapsed="false">
      <c r="A47" s="61" t="n">
        <v>5828</v>
      </c>
      <c r="B47" s="29" t="n">
        <v>44404</v>
      </c>
      <c r="C47" s="21" t="s">
        <v>4170</v>
      </c>
      <c r="D47" s="21" t="s">
        <v>24</v>
      </c>
      <c r="E47" s="21" t="s">
        <v>3337</v>
      </c>
      <c r="F47" s="21" t="s">
        <v>4470</v>
      </c>
      <c r="G47" s="30"/>
      <c r="H47" s="45" t="str">
        <f aca="false">HYPERLINK("https://photos.app.goo.gl/Y9DdzHx9EW5K7aWR7", "Completo")</f>
        <v>Completo</v>
      </c>
      <c r="I47" s="21" t="s">
        <v>28</v>
      </c>
      <c r="J47" s="21"/>
      <c r="K47" s="21"/>
      <c r="L47" s="21"/>
      <c r="M47" s="21" t="s">
        <v>2255</v>
      </c>
      <c r="N47" s="30" t="n">
        <f aca="false">G47</f>
        <v>0</v>
      </c>
      <c r="O47" s="21"/>
      <c r="P47" s="21"/>
      <c r="Q47" s="21"/>
      <c r="R47" s="32"/>
      <c r="S47" s="32"/>
      <c r="T47" s="21"/>
      <c r="U47" s="21"/>
      <c r="V47" s="21"/>
      <c r="W47" s="21"/>
      <c r="X47" s="21"/>
      <c r="Y47" s="21" t="s">
        <v>28</v>
      </c>
    </row>
    <row r="48" customFormat="false" ht="15.75" hidden="false" customHeight="false" outlineLevel="0" collapsed="false">
      <c r="A48" s="61" t="n">
        <v>5829</v>
      </c>
      <c r="B48" s="29" t="n">
        <v>44404</v>
      </c>
      <c r="C48" s="21" t="s">
        <v>4274</v>
      </c>
      <c r="D48" s="21" t="s">
        <v>24</v>
      </c>
      <c r="E48" s="21" t="s">
        <v>3337</v>
      </c>
      <c r="F48" s="21" t="s">
        <v>4471</v>
      </c>
      <c r="G48" s="30" t="s">
        <v>4472</v>
      </c>
      <c r="H48" s="45" t="str">
        <f aca="false">HYPERLINK("https://photos.app.goo.gl/tsX98c1iQUxJa7or6", "Completo")</f>
        <v>Completo</v>
      </c>
      <c r="I48" s="21" t="s">
        <v>28</v>
      </c>
      <c r="J48" s="21"/>
      <c r="K48" s="21"/>
      <c r="L48" s="21"/>
      <c r="M48" s="21" t="s">
        <v>2255</v>
      </c>
      <c r="N48" s="30" t="str">
        <f aca="false">G48</f>
        <v>750x250x25</v>
      </c>
      <c r="O48" s="21"/>
      <c r="P48" s="21"/>
      <c r="Q48" s="21"/>
      <c r="R48" s="32"/>
      <c r="S48" s="32"/>
      <c r="T48" s="21"/>
      <c r="U48" s="21"/>
      <c r="V48" s="21"/>
      <c r="W48" s="21"/>
      <c r="X48" s="21"/>
      <c r="Y48" s="21" t="s">
        <v>28</v>
      </c>
    </row>
    <row r="49" customFormat="false" ht="15.75" hidden="false" customHeight="false" outlineLevel="0" collapsed="false">
      <c r="A49" s="61" t="n">
        <v>5830</v>
      </c>
      <c r="B49" s="29" t="n">
        <v>44404</v>
      </c>
      <c r="C49" s="21" t="s">
        <v>4274</v>
      </c>
      <c r="D49" s="21" t="s">
        <v>24</v>
      </c>
      <c r="E49" s="21" t="s">
        <v>3337</v>
      </c>
      <c r="F49" s="21" t="s">
        <v>4471</v>
      </c>
      <c r="G49" s="30" t="s">
        <v>4472</v>
      </c>
      <c r="H49" s="45" t="str">
        <f aca="false">HYPERLINK("https://photos.app.goo.gl/ZWmpqs2B6BkwoTk69", "Completo")</f>
        <v>Completo</v>
      </c>
      <c r="I49" s="21" t="s">
        <v>28</v>
      </c>
      <c r="J49" s="21"/>
      <c r="K49" s="21"/>
      <c r="L49" s="21"/>
      <c r="M49" s="21" t="s">
        <v>2255</v>
      </c>
      <c r="N49" s="30" t="str">
        <f aca="false">G49</f>
        <v>750x250x25</v>
      </c>
      <c r="O49" s="21"/>
      <c r="P49" s="21"/>
      <c r="Q49" s="21"/>
      <c r="R49" s="32"/>
      <c r="S49" s="32"/>
      <c r="T49" s="21"/>
      <c r="U49" s="21"/>
      <c r="V49" s="21"/>
      <c r="W49" s="21"/>
      <c r="X49" s="21"/>
      <c r="Y49" s="21" t="s">
        <v>28</v>
      </c>
    </row>
    <row r="50" customFormat="false" ht="15.75" hidden="false" customHeight="false" outlineLevel="0" collapsed="false">
      <c r="A50" s="61" t="n">
        <v>5831</v>
      </c>
      <c r="B50" s="29" t="n">
        <v>44404</v>
      </c>
      <c r="C50" s="21" t="s">
        <v>4274</v>
      </c>
      <c r="D50" s="21" t="s">
        <v>24</v>
      </c>
      <c r="E50" s="21" t="s">
        <v>3337</v>
      </c>
      <c r="F50" s="21" t="s">
        <v>4471</v>
      </c>
      <c r="G50" s="30" t="s">
        <v>4472</v>
      </c>
      <c r="H50" s="45" t="str">
        <f aca="false">HYPERLINK("https://photos.app.goo.gl/S1HU9CYnzSG4sJGg7", "Completo")</f>
        <v>Completo</v>
      </c>
      <c r="I50" s="21" t="s">
        <v>28</v>
      </c>
      <c r="J50" s="21"/>
      <c r="K50" s="21"/>
      <c r="L50" s="21"/>
      <c r="M50" s="21" t="s">
        <v>2255</v>
      </c>
      <c r="N50" s="30" t="str">
        <f aca="false">G50</f>
        <v>750x250x25</v>
      </c>
      <c r="O50" s="21"/>
      <c r="P50" s="21"/>
      <c r="Q50" s="21"/>
      <c r="R50" s="32"/>
      <c r="S50" s="32"/>
      <c r="T50" s="21"/>
      <c r="U50" s="21"/>
      <c r="V50" s="21"/>
      <c r="W50" s="21"/>
      <c r="X50" s="21"/>
      <c r="Y50" s="21" t="s">
        <v>28</v>
      </c>
    </row>
    <row r="51" customFormat="false" ht="15.75" hidden="false" customHeight="false" outlineLevel="0" collapsed="false">
      <c r="A51" s="61" t="n">
        <v>5832</v>
      </c>
      <c r="B51" s="29" t="n">
        <v>44404</v>
      </c>
      <c r="C51" s="21" t="s">
        <v>4274</v>
      </c>
      <c r="D51" s="21" t="s">
        <v>24</v>
      </c>
      <c r="E51" s="21" t="s">
        <v>3337</v>
      </c>
      <c r="F51" s="21" t="s">
        <v>4473</v>
      </c>
      <c r="G51" s="30" t="s">
        <v>4474</v>
      </c>
      <c r="H51" s="45" t="str">
        <f aca="false">HYPERLINK("https://photos.app.goo.gl/rFPCYWh7MNpgbwXt5", "Completo")</f>
        <v>Completo</v>
      </c>
      <c r="I51" s="21" t="s">
        <v>28</v>
      </c>
      <c r="J51" s="21"/>
      <c r="K51" s="21"/>
      <c r="L51" s="21"/>
      <c r="M51" s="21" t="s">
        <v>2255</v>
      </c>
      <c r="N51" s="30" t="str">
        <f aca="false">G51</f>
        <v>200x150x150</v>
      </c>
      <c r="O51" s="21"/>
      <c r="P51" s="21"/>
      <c r="Q51" s="21"/>
      <c r="R51" s="32"/>
      <c r="S51" s="32"/>
      <c r="T51" s="21"/>
      <c r="U51" s="21"/>
      <c r="V51" s="21"/>
      <c r="W51" s="21"/>
      <c r="X51" s="21"/>
      <c r="Y51" s="21" t="s">
        <v>28</v>
      </c>
    </row>
    <row r="52" customFormat="false" ht="15.75" hidden="false" customHeight="false" outlineLevel="0" collapsed="false">
      <c r="A52" s="61" t="n">
        <v>5833</v>
      </c>
      <c r="B52" s="29" t="n">
        <v>44404</v>
      </c>
      <c r="C52" s="21" t="s">
        <v>4274</v>
      </c>
      <c r="D52" s="21" t="s">
        <v>24</v>
      </c>
      <c r="E52" s="21" t="s">
        <v>3337</v>
      </c>
      <c r="F52" s="21" t="s">
        <v>4473</v>
      </c>
      <c r="G52" s="30" t="s">
        <v>4474</v>
      </c>
      <c r="H52" s="45" t="str">
        <f aca="false">HYPERLINK("https://photos.app.goo.gl/vHGeYstn2PoqawH17", "Completo")</f>
        <v>Completo</v>
      </c>
      <c r="I52" s="21" t="s">
        <v>28</v>
      </c>
      <c r="J52" s="21"/>
      <c r="K52" s="21"/>
      <c r="L52" s="21"/>
      <c r="M52" s="21" t="s">
        <v>2255</v>
      </c>
      <c r="N52" s="30" t="str">
        <f aca="false">G52</f>
        <v>200x150x150</v>
      </c>
      <c r="O52" s="21"/>
      <c r="P52" s="21"/>
      <c r="Q52" s="21"/>
      <c r="R52" s="32"/>
      <c r="S52" s="32"/>
      <c r="T52" s="21"/>
      <c r="U52" s="21"/>
      <c r="V52" s="21"/>
      <c r="W52" s="21"/>
      <c r="X52" s="21"/>
      <c r="Y52" s="21" t="s">
        <v>28</v>
      </c>
    </row>
    <row r="53" customFormat="false" ht="15.75" hidden="false" customHeight="false" outlineLevel="0" collapsed="false">
      <c r="A53" s="61" t="s">
        <v>4475</v>
      </c>
      <c r="B53" s="29" t="n">
        <v>44404</v>
      </c>
      <c r="C53" s="21" t="s">
        <v>2309</v>
      </c>
      <c r="D53" s="21" t="s">
        <v>290</v>
      </c>
      <c r="E53" s="21" t="s">
        <v>3337</v>
      </c>
      <c r="F53" s="21" t="s">
        <v>4476</v>
      </c>
      <c r="G53" s="30" t="s">
        <v>4477</v>
      </c>
      <c r="H53" s="45" t="str">
        <f aca="false">HYPERLINK("https://photos.app.goo.gl/QsikpzQvQeqQU3Qp8", "Completo")</f>
        <v>Completo</v>
      </c>
      <c r="I53" s="21" t="s">
        <v>28</v>
      </c>
      <c r="J53" s="21"/>
      <c r="K53" s="21"/>
      <c r="L53" s="21"/>
      <c r="M53" s="21" t="s">
        <v>2255</v>
      </c>
      <c r="N53" s="30" t="str">
        <f aca="false">G53</f>
        <v>300x300x250</v>
      </c>
      <c r="O53" s="21"/>
      <c r="P53" s="21"/>
      <c r="Q53" s="21"/>
      <c r="R53" s="32"/>
      <c r="S53" s="32"/>
      <c r="T53" s="21"/>
      <c r="U53" s="21"/>
      <c r="V53" s="21"/>
      <c r="W53" s="21"/>
      <c r="X53" s="21"/>
      <c r="Y53" s="21" t="s">
        <v>37</v>
      </c>
    </row>
    <row r="54" customFormat="false" ht="15.75" hidden="false" customHeight="false" outlineLevel="0" collapsed="false">
      <c r="A54" s="63" t="n">
        <v>1157090</v>
      </c>
      <c r="B54" s="29" t="n">
        <v>44404</v>
      </c>
      <c r="C54" s="21" t="s">
        <v>2309</v>
      </c>
      <c r="D54" s="21" t="s">
        <v>290</v>
      </c>
      <c r="E54" s="21" t="s">
        <v>3337</v>
      </c>
      <c r="F54" s="21" t="s">
        <v>4476</v>
      </c>
      <c r="G54" s="30" t="s">
        <v>4477</v>
      </c>
      <c r="H54" s="45" t="str">
        <f aca="false">HYPERLINK("https://photos.app.goo.gl/Vk8tg9jM2jwYmCux8", "Completo")</f>
        <v>Completo</v>
      </c>
      <c r="I54" s="21" t="s">
        <v>28</v>
      </c>
      <c r="J54" s="21"/>
      <c r="K54" s="21"/>
      <c r="L54" s="21"/>
      <c r="M54" s="21" t="s">
        <v>2255</v>
      </c>
      <c r="N54" s="30" t="str">
        <f aca="false">G54</f>
        <v>300x300x250</v>
      </c>
      <c r="O54" s="21"/>
      <c r="P54" s="21"/>
      <c r="Q54" s="21"/>
      <c r="R54" s="32"/>
      <c r="S54" s="32"/>
      <c r="T54" s="21"/>
      <c r="U54" s="21"/>
      <c r="V54" s="21"/>
      <c r="W54" s="21"/>
      <c r="X54" s="21"/>
      <c r="Y54" s="21" t="s">
        <v>37</v>
      </c>
    </row>
    <row r="55" customFormat="false" ht="15.75" hidden="false" customHeight="false" outlineLevel="0" collapsed="false">
      <c r="A55" s="61" t="n">
        <v>5834</v>
      </c>
      <c r="B55" s="29" t="n">
        <v>44404</v>
      </c>
      <c r="C55" s="21" t="s">
        <v>1227</v>
      </c>
      <c r="D55" s="21" t="s">
        <v>24</v>
      </c>
      <c r="E55" s="21" t="s">
        <v>3337</v>
      </c>
      <c r="F55" s="21" t="s">
        <v>4478</v>
      </c>
      <c r="G55" s="30" t="s">
        <v>4479</v>
      </c>
      <c r="H55" s="45" t="str">
        <f aca="false">HYPERLINK("https://photos.app.goo.gl/r57xxLArjV5RCZRN8", "Completo")</f>
        <v>Completo</v>
      </c>
      <c r="I55" s="21" t="s">
        <v>28</v>
      </c>
      <c r="J55" s="21"/>
      <c r="K55" s="21"/>
      <c r="L55" s="21"/>
      <c r="M55" s="21" t="s">
        <v>2255</v>
      </c>
      <c r="N55" s="30" t="str">
        <f aca="false">G55</f>
        <v>550x270x150</v>
      </c>
      <c r="O55" s="21"/>
      <c r="P55" s="21"/>
      <c r="Q55" s="21"/>
      <c r="R55" s="32"/>
      <c r="S55" s="32"/>
      <c r="T55" s="21"/>
      <c r="U55" s="21"/>
      <c r="V55" s="21"/>
      <c r="W55" s="21"/>
      <c r="X55" s="21"/>
      <c r="Y55" s="21"/>
    </row>
    <row r="56" customFormat="false" ht="15.75" hidden="false" customHeight="false" outlineLevel="0" collapsed="false">
      <c r="A56" s="61" t="n">
        <v>5835</v>
      </c>
      <c r="B56" s="29" t="n">
        <v>44405</v>
      </c>
      <c r="C56" s="21" t="s">
        <v>4480</v>
      </c>
      <c r="D56" s="21" t="s">
        <v>24</v>
      </c>
      <c r="E56" s="21" t="s">
        <v>3337</v>
      </c>
      <c r="F56" s="21" t="s">
        <v>4481</v>
      </c>
      <c r="G56" s="30" t="s">
        <v>4482</v>
      </c>
      <c r="H56" s="45" t="str">
        <f aca="false">HYPERLINK("https://photos.app.goo.gl/kcMupyrrKT8Fpx5XA", "Completo")</f>
        <v>Completo</v>
      </c>
      <c r="I56" s="21" t="s">
        <v>28</v>
      </c>
      <c r="J56" s="21"/>
      <c r="K56" s="21"/>
      <c r="L56" s="21"/>
      <c r="M56" s="21" t="s">
        <v>4483</v>
      </c>
      <c r="N56" s="30" t="str">
        <f aca="false">G56</f>
        <v>300x550x550</v>
      </c>
      <c r="O56" s="21"/>
      <c r="P56" s="21"/>
      <c r="Q56" s="21"/>
      <c r="R56" s="32"/>
      <c r="S56" s="32"/>
      <c r="T56" s="21"/>
      <c r="U56" s="21"/>
      <c r="V56" s="21"/>
      <c r="W56" s="21"/>
      <c r="X56" s="21"/>
      <c r="Y56" s="21" t="s">
        <v>28</v>
      </c>
    </row>
    <row r="57" customFormat="false" ht="15.75" hidden="false" customHeight="false" outlineLevel="0" collapsed="false">
      <c r="A57" s="61" t="n">
        <v>5836</v>
      </c>
      <c r="B57" s="29" t="n">
        <v>44405</v>
      </c>
      <c r="C57" s="21" t="s">
        <v>4484</v>
      </c>
      <c r="D57" s="21" t="s">
        <v>24</v>
      </c>
      <c r="E57" s="21" t="s">
        <v>3337</v>
      </c>
      <c r="F57" s="21" t="s">
        <v>4485</v>
      </c>
      <c r="G57" s="30" t="s">
        <v>4486</v>
      </c>
      <c r="H57" s="45" t="str">
        <f aca="false">HYPERLINK("https://photos.app.goo.gl/S7WCiLQTQjgPBuZd6", "Completo")</f>
        <v>Completo</v>
      </c>
      <c r="I57" s="21" t="s">
        <v>28</v>
      </c>
      <c r="J57" s="21"/>
      <c r="K57" s="21"/>
      <c r="L57" s="21"/>
      <c r="M57" s="21"/>
      <c r="N57" s="30" t="str">
        <f aca="false">G57</f>
        <v>630x630x630</v>
      </c>
      <c r="O57" s="21"/>
      <c r="P57" s="21"/>
      <c r="Q57" s="21"/>
      <c r="R57" s="32"/>
      <c r="S57" s="32"/>
      <c r="T57" s="21"/>
      <c r="U57" s="21"/>
      <c r="V57" s="21"/>
      <c r="W57" s="21"/>
      <c r="X57" s="21"/>
      <c r="Y57" s="21" t="s">
        <v>28</v>
      </c>
    </row>
    <row r="58" customFormat="false" ht="15.75" hidden="false" customHeight="false" outlineLevel="0" collapsed="false">
      <c r="A58" s="61" t="n">
        <v>5837</v>
      </c>
      <c r="B58" s="29" t="n">
        <v>44407</v>
      </c>
      <c r="C58" s="21" t="s">
        <v>4487</v>
      </c>
      <c r="D58" s="21" t="s">
        <v>24</v>
      </c>
      <c r="E58" s="21" t="s">
        <v>34</v>
      </c>
      <c r="F58" s="21" t="s">
        <v>4488</v>
      </c>
      <c r="G58" s="30"/>
      <c r="H58" s="31"/>
      <c r="I58" s="21"/>
      <c r="J58" s="21"/>
      <c r="K58" s="21"/>
      <c r="L58" s="21"/>
      <c r="M58" s="21"/>
      <c r="N58" s="30" t="n">
        <f aca="false">G58</f>
        <v>0</v>
      </c>
      <c r="O58" s="21"/>
      <c r="P58" s="21"/>
      <c r="Q58" s="21"/>
      <c r="R58" s="32"/>
      <c r="S58" s="32"/>
      <c r="T58" s="21"/>
      <c r="U58" s="21"/>
      <c r="V58" s="21"/>
      <c r="W58" s="21"/>
      <c r="X58" s="21"/>
      <c r="Y58" s="21" t="s">
        <v>28</v>
      </c>
    </row>
    <row r="59" customFormat="false" ht="15.75" hidden="false" customHeight="false" outlineLevel="0" collapsed="false">
      <c r="A59" s="61" t="n">
        <v>5838</v>
      </c>
      <c r="B59" s="29" t="n">
        <v>44407</v>
      </c>
      <c r="C59" s="21" t="s">
        <v>4230</v>
      </c>
      <c r="D59" s="21" t="s">
        <v>24</v>
      </c>
      <c r="E59" s="21" t="s">
        <v>3337</v>
      </c>
      <c r="F59" s="21" t="s">
        <v>4489</v>
      </c>
      <c r="G59" s="30" t="s">
        <v>4490</v>
      </c>
      <c r="H59" s="45" t="str">
        <f aca="false">HYPERLINK("https://photos.app.goo.gl/kaSrxCJDtzBo1G8R9", "Completo")</f>
        <v>Completo</v>
      </c>
      <c r="I59" s="21" t="s">
        <v>28</v>
      </c>
      <c r="J59" s="21"/>
      <c r="K59" s="21"/>
      <c r="L59" s="21"/>
      <c r="M59" s="21" t="s">
        <v>4491</v>
      </c>
      <c r="N59" s="30" t="str">
        <f aca="false">G59</f>
        <v>10x10x4</v>
      </c>
      <c r="O59" s="21"/>
      <c r="P59" s="21"/>
      <c r="Q59" s="21"/>
      <c r="R59" s="32"/>
      <c r="S59" s="32"/>
      <c r="T59" s="21"/>
      <c r="U59" s="21"/>
      <c r="V59" s="21"/>
      <c r="W59" s="21"/>
      <c r="X59" s="21"/>
      <c r="Y59" s="21" t="s">
        <v>28</v>
      </c>
    </row>
    <row r="60" customFormat="false" ht="15.75" hidden="false" customHeight="false" outlineLevel="0" collapsed="false">
      <c r="A60" s="61" t="n">
        <v>5839</v>
      </c>
      <c r="B60" s="29" t="n">
        <v>44407</v>
      </c>
      <c r="C60" s="21" t="s">
        <v>75</v>
      </c>
      <c r="D60" s="21" t="s">
        <v>24</v>
      </c>
      <c r="E60" s="21" t="s">
        <v>3337</v>
      </c>
      <c r="F60" s="21" t="s">
        <v>4492</v>
      </c>
      <c r="G60" s="30" t="s">
        <v>4493</v>
      </c>
      <c r="H60" s="45" t="str">
        <f aca="false">HYPERLINK("https://photos.app.goo.gl/PyasKdHfabn2R25u6", "Completo")</f>
        <v>Completo</v>
      </c>
      <c r="I60" s="21" t="s">
        <v>28</v>
      </c>
      <c r="J60" s="21"/>
      <c r="K60" s="21"/>
      <c r="L60" s="21"/>
      <c r="M60" s="21" t="s">
        <v>2255</v>
      </c>
      <c r="N60" s="30" t="str">
        <f aca="false">G60</f>
        <v>420x420x90</v>
      </c>
      <c r="O60" s="21"/>
      <c r="P60" s="21"/>
      <c r="Q60" s="21"/>
      <c r="R60" s="32"/>
      <c r="S60" s="32"/>
      <c r="T60" s="21"/>
      <c r="U60" s="21"/>
      <c r="V60" s="21"/>
      <c r="W60" s="21"/>
      <c r="X60" s="21"/>
      <c r="Y60" s="21" t="s">
        <v>28</v>
      </c>
    </row>
    <row r="61" customFormat="false" ht="15.75" hidden="false" customHeight="false" outlineLevel="0" collapsed="false">
      <c r="A61" s="61"/>
      <c r="B61" s="29"/>
      <c r="C61" s="21"/>
      <c r="D61" s="21"/>
      <c r="E61" s="21"/>
      <c r="F61" s="21"/>
      <c r="G61" s="30"/>
      <c r="H61" s="31"/>
      <c r="I61" s="21"/>
      <c r="J61" s="21"/>
      <c r="K61" s="21"/>
      <c r="L61" s="21"/>
      <c r="M61" s="21"/>
      <c r="N61" s="30" t="n">
        <f aca="false">G61</f>
        <v>0</v>
      </c>
      <c r="O61" s="21"/>
      <c r="P61" s="21"/>
      <c r="Q61" s="21"/>
      <c r="R61" s="32"/>
      <c r="S61" s="32"/>
      <c r="T61" s="21"/>
      <c r="U61" s="21"/>
      <c r="V61" s="21"/>
      <c r="W61" s="21"/>
      <c r="X61" s="21"/>
      <c r="Y61" s="21"/>
    </row>
    <row r="62" customFormat="false" ht="15.75" hidden="false" customHeight="false" outlineLevel="0" collapsed="false">
      <c r="A62" s="61"/>
      <c r="B62" s="29"/>
      <c r="C62" s="21"/>
      <c r="D62" s="21"/>
      <c r="E62" s="21"/>
      <c r="F62" s="21"/>
      <c r="G62" s="30"/>
      <c r="H62" s="31"/>
      <c r="I62" s="21"/>
      <c r="J62" s="21"/>
      <c r="K62" s="21"/>
      <c r="L62" s="21"/>
      <c r="M62" s="21"/>
      <c r="N62" s="30" t="n">
        <f aca="false">G62</f>
        <v>0</v>
      </c>
      <c r="O62" s="21"/>
      <c r="P62" s="21"/>
      <c r="Q62" s="21"/>
      <c r="R62" s="32"/>
      <c r="S62" s="32"/>
      <c r="T62" s="21"/>
      <c r="U62" s="21"/>
      <c r="V62" s="21"/>
      <c r="W62" s="21"/>
      <c r="X62" s="21"/>
      <c r="Y62" s="21"/>
    </row>
    <row r="63" customFormat="false" ht="15.75" hidden="false" customHeight="false" outlineLevel="0" collapsed="false">
      <c r="A63" s="61"/>
      <c r="B63" s="29"/>
      <c r="C63" s="21"/>
      <c r="D63" s="21"/>
      <c r="E63" s="21"/>
      <c r="F63" s="21"/>
      <c r="G63" s="30"/>
      <c r="H63" s="31"/>
      <c r="I63" s="21"/>
      <c r="J63" s="21"/>
      <c r="K63" s="21"/>
      <c r="L63" s="21"/>
      <c r="M63" s="21"/>
      <c r="N63" s="30" t="n">
        <f aca="false">G63</f>
        <v>0</v>
      </c>
      <c r="O63" s="21"/>
      <c r="P63" s="21"/>
      <c r="Q63" s="21"/>
      <c r="R63" s="32"/>
      <c r="S63" s="32"/>
      <c r="T63" s="21"/>
      <c r="U63" s="21"/>
      <c r="V63" s="21"/>
      <c r="W63" s="21"/>
      <c r="X63" s="21"/>
      <c r="Y63" s="21"/>
    </row>
    <row r="64" customFormat="false" ht="15.75" hidden="false" customHeight="false" outlineLevel="0" collapsed="false">
      <c r="A64" s="61"/>
      <c r="B64" s="29"/>
      <c r="C64" s="21"/>
      <c r="D64" s="21"/>
      <c r="E64" s="21"/>
      <c r="F64" s="21"/>
      <c r="G64" s="30"/>
      <c r="H64" s="31"/>
      <c r="I64" s="21"/>
      <c r="J64" s="21"/>
      <c r="K64" s="21"/>
      <c r="L64" s="21"/>
      <c r="M64" s="21"/>
      <c r="N64" s="30" t="n">
        <f aca="false">G64</f>
        <v>0</v>
      </c>
      <c r="O64" s="21"/>
      <c r="P64" s="21"/>
      <c r="Q64" s="21"/>
      <c r="R64" s="32"/>
      <c r="S64" s="32"/>
      <c r="T64" s="21"/>
      <c r="U64" s="21"/>
      <c r="V64" s="21"/>
      <c r="W64" s="21"/>
      <c r="X64" s="21"/>
      <c r="Y64" s="21"/>
    </row>
    <row r="65" customFormat="false" ht="15.75" hidden="false" customHeight="false" outlineLevel="0" collapsed="false">
      <c r="A65" s="61"/>
      <c r="B65" s="29"/>
      <c r="C65" s="21"/>
      <c r="D65" s="21"/>
      <c r="E65" s="21"/>
      <c r="F65" s="21"/>
      <c r="G65" s="30"/>
      <c r="H65" s="31"/>
      <c r="I65" s="21"/>
      <c r="J65" s="21"/>
      <c r="K65" s="21"/>
      <c r="L65" s="21"/>
      <c r="M65" s="21"/>
      <c r="N65" s="30" t="n">
        <f aca="false">G65</f>
        <v>0</v>
      </c>
      <c r="O65" s="21"/>
      <c r="P65" s="21"/>
      <c r="Q65" s="21"/>
      <c r="R65" s="32"/>
      <c r="S65" s="32"/>
      <c r="T65" s="21"/>
      <c r="U65" s="21"/>
      <c r="V65" s="21"/>
      <c r="W65" s="21"/>
      <c r="X65" s="21"/>
      <c r="Y65" s="21"/>
    </row>
    <row r="66" customFormat="false" ht="15.75" hidden="false" customHeight="false" outlineLevel="0" collapsed="false">
      <c r="A66" s="61"/>
      <c r="B66" s="29"/>
      <c r="C66" s="21"/>
      <c r="D66" s="21"/>
      <c r="E66" s="21"/>
      <c r="F66" s="21"/>
      <c r="G66" s="30"/>
      <c r="H66" s="31"/>
      <c r="I66" s="21"/>
      <c r="J66" s="21"/>
      <c r="K66" s="21"/>
      <c r="L66" s="21"/>
      <c r="M66" s="21"/>
      <c r="N66" s="30" t="n">
        <f aca="false">G66</f>
        <v>0</v>
      </c>
      <c r="O66" s="21"/>
      <c r="P66" s="21"/>
      <c r="Q66" s="21"/>
      <c r="R66" s="32"/>
      <c r="S66" s="32"/>
      <c r="T66" s="21"/>
      <c r="U66" s="21"/>
      <c r="V66" s="21"/>
      <c r="W66" s="21"/>
      <c r="X66" s="21"/>
      <c r="Y66" s="21"/>
    </row>
    <row r="67" customFormat="false" ht="15.75" hidden="false" customHeight="false" outlineLevel="0" collapsed="false">
      <c r="A67" s="61"/>
      <c r="B67" s="29"/>
      <c r="C67" s="21"/>
      <c r="D67" s="21"/>
      <c r="E67" s="21"/>
      <c r="F67" s="21"/>
      <c r="G67" s="30"/>
      <c r="H67" s="31"/>
      <c r="I67" s="21"/>
      <c r="J67" s="21"/>
      <c r="K67" s="21"/>
      <c r="L67" s="21"/>
      <c r="M67" s="21"/>
      <c r="N67" s="30" t="n">
        <f aca="false">G67</f>
        <v>0</v>
      </c>
      <c r="O67" s="21"/>
      <c r="P67" s="21"/>
      <c r="Q67" s="21"/>
      <c r="R67" s="32"/>
      <c r="S67" s="32"/>
      <c r="T67" s="21"/>
      <c r="U67" s="21"/>
      <c r="V67" s="21"/>
      <c r="W67" s="21"/>
      <c r="X67" s="21"/>
      <c r="Y67" s="21"/>
    </row>
    <row r="68" customFormat="false" ht="15.75" hidden="false" customHeight="false" outlineLevel="0" collapsed="false">
      <c r="A68" s="61"/>
      <c r="B68" s="29"/>
      <c r="C68" s="21"/>
      <c r="D68" s="21"/>
      <c r="E68" s="21"/>
      <c r="F68" s="21"/>
      <c r="G68" s="30"/>
      <c r="H68" s="31"/>
      <c r="I68" s="21"/>
      <c r="J68" s="21"/>
      <c r="K68" s="21"/>
      <c r="L68" s="21"/>
      <c r="M68" s="21"/>
      <c r="N68" s="30" t="n">
        <f aca="false">G68</f>
        <v>0</v>
      </c>
      <c r="O68" s="21"/>
      <c r="P68" s="21"/>
      <c r="Q68" s="21"/>
      <c r="R68" s="32"/>
      <c r="S68" s="32"/>
      <c r="T68" s="21"/>
      <c r="U68" s="21"/>
      <c r="V68" s="21"/>
      <c r="W68" s="21"/>
      <c r="X68" s="21"/>
      <c r="Y68" s="21"/>
    </row>
    <row r="69" customFormat="false" ht="15.75" hidden="false" customHeight="false" outlineLevel="0" collapsed="false">
      <c r="A69" s="61"/>
      <c r="B69" s="29"/>
      <c r="C69" s="21"/>
      <c r="D69" s="21"/>
      <c r="E69" s="21"/>
      <c r="F69" s="21"/>
      <c r="G69" s="30"/>
      <c r="H69" s="31"/>
      <c r="I69" s="21"/>
      <c r="J69" s="21"/>
      <c r="K69" s="21"/>
      <c r="L69" s="21"/>
      <c r="M69" s="21"/>
      <c r="N69" s="30" t="n">
        <f aca="false">G69</f>
        <v>0</v>
      </c>
      <c r="O69" s="21"/>
      <c r="P69" s="21"/>
      <c r="Q69" s="21"/>
      <c r="R69" s="32"/>
      <c r="S69" s="32"/>
      <c r="T69" s="21"/>
      <c r="U69" s="21"/>
      <c r="V69" s="21"/>
      <c r="W69" s="21"/>
      <c r="X69" s="21"/>
      <c r="Y69" s="21"/>
    </row>
    <row r="70" customFormat="false" ht="15.75" hidden="false" customHeight="false" outlineLevel="0" collapsed="false">
      <c r="A70" s="61"/>
      <c r="B70" s="29"/>
      <c r="C70" s="21"/>
      <c r="D70" s="21"/>
      <c r="E70" s="21"/>
      <c r="F70" s="21"/>
      <c r="G70" s="30"/>
      <c r="H70" s="31"/>
      <c r="I70" s="21"/>
      <c r="J70" s="21"/>
      <c r="K70" s="21"/>
      <c r="L70" s="21"/>
      <c r="M70" s="21"/>
      <c r="N70" s="30" t="n">
        <f aca="false">G70</f>
        <v>0</v>
      </c>
      <c r="O70" s="21"/>
      <c r="P70" s="21"/>
      <c r="Q70" s="21"/>
      <c r="R70" s="32"/>
      <c r="S70" s="32"/>
      <c r="T70" s="21"/>
      <c r="U70" s="21"/>
      <c r="V70" s="21"/>
      <c r="W70" s="21"/>
      <c r="X70" s="21"/>
      <c r="Y70" s="21"/>
    </row>
    <row r="71" customFormat="false" ht="15.75" hidden="false" customHeight="false" outlineLevel="0" collapsed="false">
      <c r="A71" s="61"/>
      <c r="B71" s="29"/>
      <c r="C71" s="21"/>
      <c r="D71" s="21"/>
      <c r="E71" s="21"/>
      <c r="F71" s="21"/>
      <c r="G71" s="30"/>
      <c r="H71" s="31"/>
      <c r="I71" s="21"/>
      <c r="J71" s="21"/>
      <c r="K71" s="21"/>
      <c r="L71" s="21"/>
      <c r="M71" s="21"/>
      <c r="N71" s="30" t="n">
        <f aca="false">G71</f>
        <v>0</v>
      </c>
      <c r="O71" s="21"/>
      <c r="P71" s="21"/>
      <c r="Q71" s="21"/>
      <c r="R71" s="32"/>
      <c r="S71" s="32"/>
      <c r="T71" s="21"/>
      <c r="U71" s="21"/>
      <c r="V71" s="21"/>
      <c r="W71" s="21"/>
      <c r="X71" s="21"/>
      <c r="Y71" s="21"/>
    </row>
    <row r="72" customFormat="false" ht="15.75" hidden="false" customHeight="false" outlineLevel="0" collapsed="false">
      <c r="A72" s="61"/>
      <c r="B72" s="29"/>
      <c r="C72" s="21"/>
      <c r="D72" s="21"/>
      <c r="E72" s="21"/>
      <c r="F72" s="21"/>
      <c r="G72" s="30"/>
      <c r="H72" s="31"/>
      <c r="I72" s="21"/>
      <c r="J72" s="21"/>
      <c r="K72" s="21"/>
      <c r="L72" s="21"/>
      <c r="M72" s="21"/>
      <c r="N72" s="30" t="n">
        <f aca="false">G72</f>
        <v>0</v>
      </c>
      <c r="O72" s="21"/>
      <c r="P72" s="21"/>
      <c r="Q72" s="21"/>
      <c r="R72" s="32"/>
      <c r="S72" s="32"/>
      <c r="T72" s="21"/>
      <c r="U72" s="21"/>
      <c r="V72" s="21"/>
      <c r="W72" s="21"/>
      <c r="X72" s="21"/>
      <c r="Y72" s="21"/>
    </row>
    <row r="73" customFormat="false" ht="15.75" hidden="false" customHeight="false" outlineLevel="0" collapsed="false">
      <c r="A73" s="61"/>
      <c r="B73" s="29"/>
      <c r="C73" s="21"/>
      <c r="D73" s="21"/>
      <c r="E73" s="21"/>
      <c r="F73" s="21"/>
      <c r="G73" s="30"/>
      <c r="H73" s="31"/>
      <c r="I73" s="21"/>
      <c r="J73" s="21"/>
      <c r="K73" s="21"/>
      <c r="L73" s="21"/>
      <c r="M73" s="21"/>
      <c r="N73" s="30" t="n">
        <f aca="false">G73</f>
        <v>0</v>
      </c>
      <c r="O73" s="21"/>
      <c r="P73" s="21"/>
      <c r="Q73" s="21"/>
      <c r="R73" s="32"/>
      <c r="S73" s="32"/>
      <c r="T73" s="21"/>
      <c r="U73" s="21"/>
      <c r="V73" s="21"/>
      <c r="W73" s="21"/>
      <c r="X73" s="21"/>
      <c r="Y73" s="21"/>
    </row>
    <row r="74" customFormat="false" ht="15.75" hidden="false" customHeight="false" outlineLevel="0" collapsed="false">
      <c r="A74" s="61"/>
      <c r="B74" s="29"/>
      <c r="C74" s="21"/>
      <c r="D74" s="21"/>
      <c r="E74" s="21"/>
      <c r="F74" s="21"/>
      <c r="G74" s="30"/>
      <c r="H74" s="31"/>
      <c r="I74" s="21"/>
      <c r="J74" s="21"/>
      <c r="K74" s="21"/>
      <c r="L74" s="21"/>
      <c r="M74" s="21"/>
      <c r="N74" s="30" t="n">
        <f aca="false">G74</f>
        <v>0</v>
      </c>
      <c r="O74" s="21"/>
      <c r="P74" s="21"/>
      <c r="Q74" s="21"/>
      <c r="R74" s="32"/>
      <c r="S74" s="32"/>
      <c r="T74" s="21"/>
      <c r="U74" s="21"/>
      <c r="V74" s="21"/>
      <c r="W74" s="21"/>
      <c r="X74" s="21"/>
      <c r="Y74" s="21"/>
    </row>
    <row r="75" customFormat="false" ht="15.75" hidden="false" customHeight="false" outlineLevel="0" collapsed="false">
      <c r="A75" s="61"/>
      <c r="B75" s="29"/>
      <c r="C75" s="21"/>
      <c r="D75" s="21"/>
      <c r="E75" s="21"/>
      <c r="F75" s="21"/>
      <c r="G75" s="30"/>
      <c r="H75" s="31"/>
      <c r="I75" s="21"/>
      <c r="J75" s="21"/>
      <c r="K75" s="21"/>
      <c r="L75" s="21"/>
      <c r="M75" s="21"/>
      <c r="N75" s="30" t="n">
        <f aca="false">G75</f>
        <v>0</v>
      </c>
      <c r="O75" s="21"/>
      <c r="P75" s="21"/>
      <c r="Q75" s="21"/>
      <c r="R75" s="32"/>
      <c r="S75" s="32"/>
      <c r="T75" s="21"/>
      <c r="U75" s="21"/>
      <c r="V75" s="21"/>
      <c r="W75" s="21"/>
      <c r="X75" s="21"/>
      <c r="Y75" s="21"/>
    </row>
    <row r="76" customFormat="false" ht="15.75" hidden="false" customHeight="false" outlineLevel="0" collapsed="false">
      <c r="A76" s="61"/>
      <c r="B76" s="29"/>
      <c r="C76" s="21"/>
      <c r="D76" s="21"/>
      <c r="E76" s="21"/>
      <c r="F76" s="21"/>
      <c r="G76" s="30"/>
      <c r="H76" s="31"/>
      <c r="I76" s="21"/>
      <c r="J76" s="21"/>
      <c r="K76" s="21"/>
      <c r="L76" s="21"/>
      <c r="M76" s="21"/>
      <c r="N76" s="30" t="n">
        <f aca="false">G76</f>
        <v>0</v>
      </c>
      <c r="O76" s="21"/>
      <c r="P76" s="21"/>
      <c r="Q76" s="21"/>
      <c r="R76" s="32"/>
      <c r="S76" s="32"/>
      <c r="T76" s="21"/>
      <c r="U76" s="21"/>
      <c r="V76" s="21"/>
      <c r="W76" s="21"/>
      <c r="X76" s="21"/>
      <c r="Y76" s="21"/>
    </row>
    <row r="77" customFormat="false" ht="15.75" hidden="false" customHeight="false" outlineLevel="0" collapsed="false">
      <c r="A77" s="61"/>
      <c r="B77" s="29"/>
      <c r="C77" s="21"/>
      <c r="D77" s="21"/>
      <c r="E77" s="21"/>
      <c r="F77" s="21"/>
      <c r="G77" s="30"/>
      <c r="H77" s="31"/>
      <c r="I77" s="21"/>
      <c r="J77" s="21"/>
      <c r="K77" s="21"/>
      <c r="L77" s="21"/>
      <c r="M77" s="21"/>
      <c r="N77" s="30" t="n">
        <f aca="false">G77</f>
        <v>0</v>
      </c>
      <c r="O77" s="21"/>
      <c r="P77" s="21"/>
      <c r="Q77" s="21"/>
      <c r="R77" s="32"/>
      <c r="S77" s="32"/>
      <c r="T77" s="21"/>
      <c r="U77" s="21"/>
      <c r="V77" s="21"/>
      <c r="W77" s="21"/>
      <c r="X77" s="21"/>
      <c r="Y77" s="21"/>
    </row>
    <row r="78" customFormat="false" ht="15.75" hidden="false" customHeight="false" outlineLevel="0" collapsed="false">
      <c r="A78" s="61"/>
      <c r="B78" s="29"/>
      <c r="C78" s="21"/>
      <c r="D78" s="21"/>
      <c r="E78" s="21"/>
      <c r="F78" s="21"/>
      <c r="G78" s="30"/>
      <c r="H78" s="31"/>
      <c r="I78" s="21"/>
      <c r="J78" s="21"/>
      <c r="K78" s="21"/>
      <c r="L78" s="21"/>
      <c r="M78" s="21"/>
      <c r="N78" s="30" t="n">
        <f aca="false">G78</f>
        <v>0</v>
      </c>
      <c r="O78" s="21"/>
      <c r="P78" s="21"/>
      <c r="Q78" s="21"/>
      <c r="R78" s="32"/>
      <c r="S78" s="32"/>
      <c r="T78" s="21"/>
      <c r="U78" s="21"/>
      <c r="V78" s="21"/>
      <c r="W78" s="21"/>
      <c r="X78" s="21"/>
      <c r="Y78" s="21"/>
    </row>
    <row r="79" customFormat="false" ht="15.75" hidden="false" customHeight="false" outlineLevel="0" collapsed="false">
      <c r="A79" s="61"/>
      <c r="B79" s="29"/>
      <c r="C79" s="21"/>
      <c r="D79" s="21"/>
      <c r="E79" s="21"/>
      <c r="F79" s="21"/>
      <c r="G79" s="30"/>
      <c r="H79" s="31"/>
      <c r="I79" s="21"/>
      <c r="J79" s="21"/>
      <c r="K79" s="21"/>
      <c r="L79" s="21"/>
      <c r="M79" s="21"/>
      <c r="N79" s="30" t="n">
        <f aca="false">G79</f>
        <v>0</v>
      </c>
      <c r="O79" s="21"/>
      <c r="P79" s="21"/>
      <c r="Q79" s="21"/>
      <c r="R79" s="32"/>
      <c r="S79" s="32"/>
      <c r="T79" s="21"/>
      <c r="U79" s="21"/>
      <c r="V79" s="21"/>
      <c r="W79" s="21"/>
      <c r="X79" s="21"/>
      <c r="Y79" s="21"/>
    </row>
    <row r="80" customFormat="false" ht="15.75" hidden="false" customHeight="false" outlineLevel="0" collapsed="false">
      <c r="A80" s="61"/>
      <c r="B80" s="29"/>
      <c r="C80" s="21"/>
      <c r="D80" s="21"/>
      <c r="E80" s="21"/>
      <c r="F80" s="21"/>
      <c r="G80" s="30"/>
      <c r="H80" s="31"/>
      <c r="I80" s="21"/>
      <c r="J80" s="21"/>
      <c r="K80" s="21"/>
      <c r="L80" s="21"/>
      <c r="M80" s="21"/>
      <c r="N80" s="30" t="n">
        <f aca="false">G80</f>
        <v>0</v>
      </c>
      <c r="O80" s="21"/>
      <c r="P80" s="21"/>
      <c r="Q80" s="21"/>
      <c r="R80" s="32"/>
      <c r="S80" s="32"/>
      <c r="T80" s="21"/>
      <c r="U80" s="21"/>
      <c r="V80" s="21"/>
      <c r="W80" s="21"/>
      <c r="X80" s="21"/>
      <c r="Y80" s="21"/>
    </row>
    <row r="81" customFormat="false" ht="15.75" hidden="false" customHeight="false" outlineLevel="0" collapsed="false">
      <c r="A81" s="61"/>
      <c r="B81" s="29"/>
      <c r="C81" s="21"/>
      <c r="D81" s="21"/>
      <c r="E81" s="21"/>
      <c r="F81" s="21"/>
      <c r="G81" s="30"/>
      <c r="H81" s="31"/>
      <c r="I81" s="21"/>
      <c r="J81" s="21"/>
      <c r="K81" s="21"/>
      <c r="L81" s="21"/>
      <c r="M81" s="21"/>
      <c r="N81" s="30" t="n">
        <f aca="false">G81</f>
        <v>0</v>
      </c>
      <c r="O81" s="21"/>
      <c r="P81" s="21"/>
      <c r="Q81" s="21"/>
      <c r="R81" s="32"/>
      <c r="S81" s="32"/>
      <c r="T81" s="21"/>
      <c r="U81" s="21"/>
      <c r="V81" s="21"/>
      <c r="W81" s="21"/>
      <c r="X81" s="21"/>
      <c r="Y81" s="21"/>
    </row>
    <row r="82" customFormat="false" ht="15.75" hidden="false" customHeight="false" outlineLevel="0" collapsed="false">
      <c r="A82" s="61"/>
      <c r="B82" s="29"/>
      <c r="C82" s="21"/>
      <c r="D82" s="21"/>
      <c r="E82" s="21"/>
      <c r="F82" s="21"/>
      <c r="G82" s="30"/>
      <c r="H82" s="31"/>
      <c r="I82" s="21"/>
      <c r="J82" s="21"/>
      <c r="K82" s="21"/>
      <c r="L82" s="21"/>
      <c r="M82" s="21"/>
      <c r="N82" s="30" t="n">
        <f aca="false">G82</f>
        <v>0</v>
      </c>
      <c r="O82" s="21"/>
      <c r="P82" s="21"/>
      <c r="Q82" s="21"/>
      <c r="R82" s="32"/>
      <c r="S82" s="32"/>
      <c r="T82" s="21"/>
      <c r="U82" s="21"/>
      <c r="V82" s="21"/>
      <c r="W82" s="21"/>
      <c r="X82" s="21"/>
      <c r="Y82" s="21"/>
    </row>
    <row r="83" customFormat="false" ht="15.75" hidden="false" customHeight="false" outlineLevel="0" collapsed="false">
      <c r="A83" s="61"/>
      <c r="B83" s="29"/>
      <c r="C83" s="21"/>
      <c r="D83" s="21"/>
      <c r="E83" s="21"/>
      <c r="F83" s="21"/>
      <c r="G83" s="30"/>
      <c r="H83" s="31"/>
      <c r="I83" s="21"/>
      <c r="J83" s="21"/>
      <c r="K83" s="21"/>
      <c r="L83" s="21"/>
      <c r="M83" s="21"/>
      <c r="N83" s="30" t="n">
        <f aca="false">G83</f>
        <v>0</v>
      </c>
      <c r="O83" s="21"/>
      <c r="P83" s="21"/>
      <c r="Q83" s="21"/>
      <c r="R83" s="32"/>
      <c r="S83" s="32"/>
      <c r="T83" s="21"/>
      <c r="U83" s="21"/>
      <c r="V83" s="21"/>
      <c r="W83" s="21"/>
      <c r="X83" s="21"/>
      <c r="Y83" s="21"/>
    </row>
    <row r="84" customFormat="false" ht="15.75" hidden="false" customHeight="false" outlineLevel="0" collapsed="false">
      <c r="A84" s="61"/>
      <c r="B84" s="29"/>
      <c r="C84" s="21"/>
      <c r="D84" s="21"/>
      <c r="E84" s="21"/>
      <c r="F84" s="21"/>
      <c r="G84" s="30"/>
      <c r="H84" s="31"/>
      <c r="I84" s="21"/>
      <c r="J84" s="21"/>
      <c r="K84" s="21"/>
      <c r="L84" s="21"/>
      <c r="M84" s="21"/>
      <c r="N84" s="30" t="n">
        <f aca="false">G84</f>
        <v>0</v>
      </c>
      <c r="O84" s="21"/>
      <c r="P84" s="21"/>
      <c r="Q84" s="21"/>
      <c r="R84" s="32"/>
      <c r="S84" s="32"/>
      <c r="T84" s="21"/>
      <c r="U84" s="21"/>
      <c r="V84" s="21"/>
      <c r="W84" s="21"/>
      <c r="X84" s="21"/>
      <c r="Y84" s="21"/>
    </row>
    <row r="85" customFormat="false" ht="15.75" hidden="false" customHeight="false" outlineLevel="0" collapsed="false">
      <c r="A85" s="61"/>
      <c r="B85" s="29"/>
      <c r="C85" s="21"/>
      <c r="D85" s="21"/>
      <c r="E85" s="21"/>
      <c r="F85" s="21"/>
      <c r="G85" s="30"/>
      <c r="H85" s="31"/>
      <c r="I85" s="21"/>
      <c r="J85" s="21"/>
      <c r="K85" s="21"/>
      <c r="L85" s="21"/>
      <c r="M85" s="21"/>
      <c r="N85" s="30" t="n">
        <f aca="false">G85</f>
        <v>0</v>
      </c>
      <c r="O85" s="21"/>
      <c r="P85" s="21"/>
      <c r="Q85" s="21"/>
      <c r="R85" s="32"/>
      <c r="S85" s="32"/>
      <c r="T85" s="21"/>
      <c r="U85" s="21"/>
      <c r="V85" s="21"/>
      <c r="W85" s="21"/>
      <c r="X85" s="21"/>
      <c r="Y85" s="21"/>
    </row>
    <row r="86" customFormat="false" ht="15.75" hidden="false" customHeight="false" outlineLevel="0" collapsed="false">
      <c r="A86" s="61"/>
      <c r="B86" s="29"/>
      <c r="C86" s="21"/>
      <c r="D86" s="21"/>
      <c r="E86" s="21"/>
      <c r="F86" s="21"/>
      <c r="G86" s="30"/>
      <c r="H86" s="31"/>
      <c r="I86" s="21"/>
      <c r="J86" s="21"/>
      <c r="K86" s="21"/>
      <c r="L86" s="21"/>
      <c r="M86" s="21"/>
      <c r="N86" s="30" t="n">
        <f aca="false">G86</f>
        <v>0</v>
      </c>
      <c r="O86" s="21"/>
      <c r="P86" s="21"/>
      <c r="Q86" s="21"/>
      <c r="R86" s="32"/>
      <c r="S86" s="32"/>
      <c r="T86" s="21"/>
      <c r="U86" s="21"/>
      <c r="V86" s="21"/>
      <c r="W86" s="21"/>
      <c r="X86" s="21"/>
      <c r="Y86" s="21"/>
    </row>
    <row r="87" customFormat="false" ht="15.75" hidden="false" customHeight="false" outlineLevel="0" collapsed="false">
      <c r="A87" s="61"/>
      <c r="B87" s="29"/>
      <c r="C87" s="21"/>
      <c r="D87" s="21"/>
      <c r="E87" s="21"/>
      <c r="F87" s="21"/>
      <c r="G87" s="30"/>
      <c r="H87" s="31"/>
      <c r="I87" s="21"/>
      <c r="J87" s="21"/>
      <c r="K87" s="21"/>
      <c r="L87" s="21"/>
      <c r="M87" s="21"/>
      <c r="N87" s="30" t="n">
        <f aca="false">G87</f>
        <v>0</v>
      </c>
      <c r="O87" s="21"/>
      <c r="P87" s="21"/>
      <c r="Q87" s="21"/>
      <c r="R87" s="32"/>
      <c r="S87" s="32"/>
      <c r="T87" s="21"/>
      <c r="U87" s="21"/>
      <c r="V87" s="21"/>
      <c r="W87" s="21"/>
      <c r="X87" s="21"/>
      <c r="Y87" s="21"/>
    </row>
    <row r="88" customFormat="false" ht="15.75" hidden="false" customHeight="false" outlineLevel="0" collapsed="false">
      <c r="A88" s="61"/>
      <c r="B88" s="29"/>
      <c r="C88" s="21"/>
      <c r="D88" s="21"/>
      <c r="E88" s="21"/>
      <c r="F88" s="21"/>
      <c r="G88" s="30"/>
      <c r="H88" s="31"/>
      <c r="I88" s="21"/>
      <c r="J88" s="21"/>
      <c r="K88" s="21"/>
      <c r="L88" s="21"/>
      <c r="M88" s="21"/>
      <c r="N88" s="30" t="n">
        <f aca="false">G88</f>
        <v>0</v>
      </c>
      <c r="O88" s="21"/>
      <c r="P88" s="21"/>
      <c r="Q88" s="21"/>
      <c r="R88" s="32"/>
      <c r="S88" s="32"/>
      <c r="T88" s="21"/>
      <c r="U88" s="21"/>
      <c r="V88" s="21"/>
      <c r="W88" s="21"/>
      <c r="X88" s="21"/>
      <c r="Y88" s="21"/>
    </row>
    <row r="89" customFormat="false" ht="15.75" hidden="false" customHeight="false" outlineLevel="0" collapsed="false">
      <c r="A89" s="61"/>
      <c r="B89" s="29"/>
      <c r="C89" s="21"/>
      <c r="D89" s="21"/>
      <c r="E89" s="21"/>
      <c r="F89" s="21"/>
      <c r="G89" s="30"/>
      <c r="H89" s="31"/>
      <c r="I89" s="21"/>
      <c r="J89" s="21"/>
      <c r="K89" s="21"/>
      <c r="L89" s="21"/>
      <c r="M89" s="21"/>
      <c r="N89" s="30" t="n">
        <f aca="false">G89</f>
        <v>0</v>
      </c>
      <c r="O89" s="21"/>
      <c r="P89" s="21"/>
      <c r="Q89" s="21"/>
      <c r="R89" s="32"/>
      <c r="S89" s="32"/>
      <c r="T89" s="21"/>
      <c r="U89" s="21"/>
      <c r="V89" s="21"/>
      <c r="W89" s="21"/>
      <c r="X89" s="21"/>
      <c r="Y89" s="21"/>
    </row>
    <row r="90" customFormat="false" ht="15.75" hidden="false" customHeight="false" outlineLevel="0" collapsed="false">
      <c r="A90" s="61"/>
      <c r="B90" s="29"/>
      <c r="C90" s="21"/>
      <c r="D90" s="21"/>
      <c r="E90" s="21"/>
      <c r="F90" s="21"/>
      <c r="G90" s="30"/>
      <c r="H90" s="31"/>
      <c r="I90" s="21"/>
      <c r="J90" s="21"/>
      <c r="K90" s="21"/>
      <c r="L90" s="21"/>
      <c r="M90" s="21"/>
      <c r="N90" s="30" t="n">
        <f aca="false">G90</f>
        <v>0</v>
      </c>
      <c r="O90" s="21"/>
      <c r="P90" s="21"/>
      <c r="Q90" s="21"/>
      <c r="R90" s="32"/>
      <c r="S90" s="32"/>
      <c r="T90" s="21"/>
      <c r="U90" s="21"/>
      <c r="V90" s="21"/>
      <c r="W90" s="21"/>
      <c r="X90" s="21"/>
      <c r="Y90" s="21"/>
    </row>
    <row r="91" customFormat="false" ht="15.75" hidden="false" customHeight="false" outlineLevel="0" collapsed="false">
      <c r="A91" s="61"/>
      <c r="B91" s="29"/>
      <c r="C91" s="21"/>
      <c r="D91" s="21"/>
      <c r="E91" s="21"/>
      <c r="F91" s="21"/>
      <c r="G91" s="30"/>
      <c r="H91" s="31"/>
      <c r="I91" s="21"/>
      <c r="J91" s="21"/>
      <c r="K91" s="21"/>
      <c r="L91" s="21"/>
      <c r="M91" s="21"/>
      <c r="N91" s="30" t="n">
        <f aca="false">G91</f>
        <v>0</v>
      </c>
      <c r="O91" s="21"/>
      <c r="P91" s="21"/>
      <c r="Q91" s="21"/>
      <c r="R91" s="32"/>
      <c r="S91" s="32"/>
      <c r="T91" s="21"/>
      <c r="U91" s="21"/>
      <c r="V91" s="21"/>
      <c r="W91" s="21"/>
      <c r="X91" s="21"/>
      <c r="Y91" s="21"/>
    </row>
    <row r="92" customFormat="false" ht="15.75" hidden="false" customHeight="false" outlineLevel="0" collapsed="false">
      <c r="A92" s="61"/>
      <c r="B92" s="29"/>
      <c r="C92" s="21"/>
      <c r="D92" s="21"/>
      <c r="E92" s="21"/>
      <c r="F92" s="21"/>
      <c r="G92" s="30"/>
      <c r="H92" s="31"/>
      <c r="I92" s="21"/>
      <c r="J92" s="21"/>
      <c r="K92" s="21"/>
      <c r="L92" s="21"/>
      <c r="M92" s="21"/>
      <c r="N92" s="30" t="n">
        <f aca="false">G92</f>
        <v>0</v>
      </c>
      <c r="O92" s="21"/>
      <c r="P92" s="21"/>
      <c r="Q92" s="21"/>
      <c r="R92" s="32"/>
      <c r="S92" s="32"/>
      <c r="T92" s="21"/>
      <c r="U92" s="21"/>
      <c r="V92" s="21"/>
      <c r="W92" s="21"/>
      <c r="X92" s="21"/>
      <c r="Y92" s="21"/>
    </row>
    <row r="93" customFormat="false" ht="15.75" hidden="false" customHeight="false" outlineLevel="0" collapsed="false">
      <c r="A93" s="61"/>
      <c r="B93" s="29"/>
      <c r="C93" s="21"/>
      <c r="D93" s="21"/>
      <c r="E93" s="21"/>
      <c r="F93" s="21"/>
      <c r="G93" s="30"/>
      <c r="H93" s="31"/>
      <c r="I93" s="21"/>
      <c r="J93" s="21"/>
      <c r="K93" s="21"/>
      <c r="L93" s="21"/>
      <c r="M93" s="21"/>
      <c r="N93" s="30" t="n">
        <f aca="false">G93</f>
        <v>0</v>
      </c>
      <c r="O93" s="21"/>
      <c r="P93" s="21"/>
      <c r="Q93" s="21"/>
      <c r="R93" s="32"/>
      <c r="S93" s="32"/>
      <c r="T93" s="21"/>
      <c r="U93" s="21"/>
      <c r="V93" s="21"/>
      <c r="W93" s="21"/>
      <c r="X93" s="21"/>
      <c r="Y93" s="21"/>
    </row>
    <row r="94" customFormat="false" ht="15.75" hidden="false" customHeight="false" outlineLevel="0" collapsed="false">
      <c r="A94" s="61"/>
      <c r="B94" s="29"/>
      <c r="C94" s="21"/>
      <c r="D94" s="21"/>
      <c r="E94" s="21"/>
      <c r="F94" s="21"/>
      <c r="G94" s="30"/>
      <c r="H94" s="31"/>
      <c r="I94" s="21"/>
      <c r="J94" s="21"/>
      <c r="K94" s="21"/>
      <c r="L94" s="21"/>
      <c r="M94" s="21"/>
      <c r="N94" s="30" t="n">
        <f aca="false">G94</f>
        <v>0</v>
      </c>
      <c r="O94" s="21"/>
      <c r="P94" s="21"/>
      <c r="Q94" s="21"/>
      <c r="R94" s="32"/>
      <c r="S94" s="32"/>
      <c r="T94" s="21"/>
      <c r="U94" s="21"/>
      <c r="V94" s="21"/>
      <c r="W94" s="21"/>
      <c r="X94" s="21"/>
      <c r="Y94" s="21"/>
    </row>
    <row r="95" customFormat="false" ht="15.75" hidden="false" customHeight="false" outlineLevel="0" collapsed="false">
      <c r="A95" s="61"/>
      <c r="B95" s="29"/>
      <c r="C95" s="21"/>
      <c r="D95" s="21"/>
      <c r="E95" s="21"/>
      <c r="F95" s="21"/>
      <c r="G95" s="30"/>
      <c r="H95" s="31"/>
      <c r="I95" s="21"/>
      <c r="J95" s="21"/>
      <c r="K95" s="21"/>
      <c r="L95" s="21"/>
      <c r="M95" s="21"/>
      <c r="N95" s="30" t="n">
        <f aca="false">G95</f>
        <v>0</v>
      </c>
      <c r="O95" s="21"/>
      <c r="P95" s="21"/>
      <c r="Q95" s="21"/>
      <c r="R95" s="32"/>
      <c r="S95" s="32"/>
      <c r="T95" s="21"/>
      <c r="U95" s="21"/>
      <c r="V95" s="21"/>
      <c r="W95" s="21"/>
      <c r="X95" s="21"/>
      <c r="Y95" s="21"/>
    </row>
    <row r="96" customFormat="false" ht="15.75" hidden="false" customHeight="false" outlineLevel="0" collapsed="false">
      <c r="A96" s="61"/>
      <c r="B96" s="29"/>
      <c r="C96" s="21"/>
      <c r="D96" s="21"/>
      <c r="E96" s="21"/>
      <c r="F96" s="21"/>
      <c r="G96" s="30"/>
      <c r="H96" s="31"/>
      <c r="I96" s="21"/>
      <c r="J96" s="21"/>
      <c r="K96" s="21"/>
      <c r="L96" s="21"/>
      <c r="M96" s="21"/>
      <c r="N96" s="30" t="n">
        <f aca="false">G96</f>
        <v>0</v>
      </c>
      <c r="O96" s="21"/>
      <c r="P96" s="21"/>
      <c r="Q96" s="21"/>
      <c r="R96" s="32"/>
      <c r="S96" s="32"/>
      <c r="T96" s="21"/>
      <c r="U96" s="21"/>
      <c r="V96" s="21"/>
      <c r="W96" s="21"/>
      <c r="X96" s="21"/>
      <c r="Y96" s="21"/>
    </row>
    <row r="97" customFormat="false" ht="15.75" hidden="false" customHeight="false" outlineLevel="0" collapsed="false">
      <c r="A97" s="61"/>
      <c r="B97" s="29"/>
      <c r="C97" s="21"/>
      <c r="D97" s="21"/>
      <c r="E97" s="21"/>
      <c r="F97" s="21"/>
      <c r="G97" s="30"/>
      <c r="H97" s="31"/>
      <c r="I97" s="21"/>
      <c r="J97" s="21"/>
      <c r="K97" s="21"/>
      <c r="L97" s="21"/>
      <c r="M97" s="21"/>
      <c r="N97" s="30" t="n">
        <f aca="false">G97</f>
        <v>0</v>
      </c>
      <c r="O97" s="21"/>
      <c r="P97" s="21"/>
      <c r="Q97" s="21"/>
      <c r="R97" s="32"/>
      <c r="S97" s="32"/>
      <c r="T97" s="21"/>
      <c r="U97" s="21"/>
      <c r="V97" s="21"/>
      <c r="W97" s="21"/>
      <c r="X97" s="21"/>
      <c r="Y97" s="21"/>
    </row>
    <row r="98" customFormat="false" ht="15.75" hidden="false" customHeight="false" outlineLevel="0" collapsed="false">
      <c r="A98" s="61"/>
      <c r="B98" s="29"/>
      <c r="C98" s="21"/>
      <c r="D98" s="21"/>
      <c r="E98" s="21"/>
      <c r="F98" s="21"/>
      <c r="G98" s="30"/>
      <c r="H98" s="31"/>
      <c r="I98" s="21"/>
      <c r="J98" s="21"/>
      <c r="K98" s="21"/>
      <c r="L98" s="21"/>
      <c r="M98" s="21"/>
      <c r="N98" s="30" t="n">
        <f aca="false">G98</f>
        <v>0</v>
      </c>
      <c r="O98" s="21"/>
      <c r="P98" s="21"/>
      <c r="Q98" s="21"/>
      <c r="R98" s="32"/>
      <c r="S98" s="32"/>
      <c r="T98" s="21"/>
      <c r="U98" s="21"/>
      <c r="V98" s="21"/>
      <c r="W98" s="21"/>
      <c r="X98" s="21"/>
      <c r="Y98" s="21"/>
    </row>
    <row r="99" customFormat="false" ht="15.75" hidden="false" customHeight="false" outlineLevel="0" collapsed="false">
      <c r="A99" s="61"/>
      <c r="B99" s="29"/>
      <c r="C99" s="21"/>
      <c r="D99" s="21"/>
      <c r="E99" s="21"/>
      <c r="F99" s="21"/>
      <c r="G99" s="30"/>
      <c r="H99" s="31"/>
      <c r="I99" s="21"/>
      <c r="J99" s="21"/>
      <c r="K99" s="21"/>
      <c r="L99" s="21"/>
      <c r="M99" s="21"/>
      <c r="N99" s="30" t="n">
        <f aca="false">G99</f>
        <v>0</v>
      </c>
      <c r="O99" s="21"/>
      <c r="P99" s="21"/>
      <c r="Q99" s="21"/>
      <c r="R99" s="32"/>
      <c r="S99" s="32"/>
      <c r="T99" s="21"/>
      <c r="U99" s="21"/>
      <c r="V99" s="21"/>
      <c r="W99" s="21"/>
      <c r="X99" s="21"/>
      <c r="Y99" s="21"/>
    </row>
    <row r="100" customFormat="false" ht="15.75" hidden="false" customHeight="false" outlineLevel="0" collapsed="false">
      <c r="A100" s="61"/>
      <c r="B100" s="29"/>
      <c r="C100" s="21"/>
      <c r="D100" s="21"/>
      <c r="E100" s="21"/>
      <c r="F100" s="21"/>
      <c r="G100" s="30"/>
      <c r="H100" s="31"/>
      <c r="I100" s="21"/>
      <c r="J100" s="21"/>
      <c r="K100" s="21"/>
      <c r="L100" s="21"/>
      <c r="M100" s="21"/>
      <c r="N100" s="30" t="n">
        <f aca="false">G100</f>
        <v>0</v>
      </c>
      <c r="O100" s="21"/>
      <c r="P100" s="21"/>
      <c r="Q100" s="21"/>
      <c r="R100" s="32"/>
      <c r="S100" s="32"/>
      <c r="T100" s="21"/>
      <c r="U100" s="21"/>
      <c r="V100" s="21"/>
      <c r="W100" s="21"/>
      <c r="X100" s="21"/>
      <c r="Y100" s="21"/>
    </row>
    <row r="101" customFormat="false" ht="15.75" hidden="false" customHeight="false" outlineLevel="0" collapsed="false">
      <c r="A101" s="61"/>
      <c r="B101" s="29"/>
      <c r="C101" s="21"/>
      <c r="D101" s="21"/>
      <c r="E101" s="21"/>
      <c r="F101" s="21"/>
      <c r="G101" s="30"/>
      <c r="H101" s="31"/>
      <c r="I101" s="21"/>
      <c r="J101" s="21"/>
      <c r="K101" s="21"/>
      <c r="L101" s="21"/>
      <c r="M101" s="21"/>
      <c r="N101" s="30" t="n">
        <f aca="false">G101</f>
        <v>0</v>
      </c>
      <c r="O101" s="21"/>
      <c r="P101" s="21"/>
      <c r="Q101" s="21"/>
      <c r="R101" s="32"/>
      <c r="S101" s="32"/>
      <c r="T101" s="21"/>
      <c r="U101" s="21"/>
      <c r="V101" s="21"/>
      <c r="W101" s="21"/>
      <c r="X101" s="21"/>
      <c r="Y101" s="21"/>
    </row>
    <row r="102" customFormat="false" ht="15.75" hidden="false" customHeight="false" outlineLevel="0" collapsed="false">
      <c r="A102" s="61"/>
      <c r="B102" s="29"/>
      <c r="C102" s="21"/>
      <c r="D102" s="21"/>
      <c r="E102" s="21"/>
      <c r="F102" s="21"/>
      <c r="G102" s="30"/>
      <c r="H102" s="31"/>
      <c r="I102" s="21"/>
      <c r="J102" s="21"/>
      <c r="K102" s="21"/>
      <c r="L102" s="21"/>
      <c r="M102" s="21"/>
      <c r="N102" s="30" t="n">
        <f aca="false">G102</f>
        <v>0</v>
      </c>
      <c r="O102" s="21"/>
      <c r="P102" s="21"/>
      <c r="Q102" s="21"/>
      <c r="R102" s="32"/>
      <c r="S102" s="32"/>
      <c r="T102" s="21"/>
      <c r="U102" s="21"/>
      <c r="V102" s="21"/>
      <c r="W102" s="21"/>
      <c r="X102" s="21"/>
      <c r="Y102" s="21"/>
    </row>
    <row r="103" customFormat="false" ht="15.75" hidden="false" customHeight="false" outlineLevel="0" collapsed="false">
      <c r="A103" s="61"/>
      <c r="B103" s="29"/>
      <c r="C103" s="21"/>
      <c r="D103" s="21"/>
      <c r="E103" s="21"/>
      <c r="F103" s="21"/>
      <c r="G103" s="30"/>
      <c r="H103" s="31"/>
      <c r="I103" s="21"/>
      <c r="J103" s="21"/>
      <c r="K103" s="21"/>
      <c r="L103" s="21"/>
      <c r="M103" s="21"/>
      <c r="N103" s="30" t="n">
        <f aca="false">G103</f>
        <v>0</v>
      </c>
      <c r="O103" s="21"/>
      <c r="P103" s="21"/>
      <c r="Q103" s="21"/>
      <c r="R103" s="32"/>
      <c r="S103" s="32"/>
      <c r="T103" s="21"/>
      <c r="U103" s="21"/>
      <c r="V103" s="21"/>
      <c r="W103" s="21"/>
      <c r="X103" s="21"/>
      <c r="Y103" s="21"/>
    </row>
    <row r="104" customFormat="false" ht="15.75" hidden="false" customHeight="false" outlineLevel="0" collapsed="false">
      <c r="A104" s="61"/>
      <c r="B104" s="29"/>
      <c r="C104" s="21"/>
      <c r="D104" s="21"/>
      <c r="E104" s="21"/>
      <c r="F104" s="21"/>
      <c r="G104" s="30"/>
      <c r="H104" s="31"/>
      <c r="I104" s="21"/>
      <c r="J104" s="21"/>
      <c r="K104" s="21"/>
      <c r="L104" s="21"/>
      <c r="M104" s="21"/>
      <c r="N104" s="30" t="n">
        <f aca="false">G104</f>
        <v>0</v>
      </c>
      <c r="O104" s="21"/>
      <c r="P104" s="21"/>
      <c r="Q104" s="21"/>
      <c r="R104" s="32"/>
      <c r="S104" s="32"/>
      <c r="T104" s="21"/>
      <c r="U104" s="21"/>
      <c r="V104" s="21"/>
      <c r="W104" s="21"/>
      <c r="X104" s="21"/>
      <c r="Y104" s="21"/>
    </row>
    <row r="105" customFormat="false" ht="15.75" hidden="false" customHeight="false" outlineLevel="0" collapsed="false">
      <c r="A105" s="61"/>
      <c r="B105" s="29"/>
      <c r="C105" s="21"/>
      <c r="D105" s="21"/>
      <c r="E105" s="21"/>
      <c r="F105" s="21"/>
      <c r="G105" s="30"/>
      <c r="H105" s="31"/>
      <c r="I105" s="21"/>
      <c r="J105" s="21"/>
      <c r="K105" s="21"/>
      <c r="L105" s="21"/>
      <c r="M105" s="21"/>
      <c r="N105" s="30" t="n">
        <f aca="false">G105</f>
        <v>0</v>
      </c>
      <c r="O105" s="21"/>
      <c r="P105" s="21"/>
      <c r="Q105" s="21"/>
      <c r="R105" s="32"/>
      <c r="S105" s="32"/>
      <c r="T105" s="21"/>
      <c r="U105" s="21"/>
      <c r="V105" s="21"/>
      <c r="W105" s="21"/>
      <c r="X105" s="21"/>
      <c r="Y105" s="21"/>
    </row>
    <row r="106" customFormat="false" ht="15.75" hidden="false" customHeight="false" outlineLevel="0" collapsed="false">
      <c r="A106" s="61"/>
      <c r="B106" s="29"/>
      <c r="C106" s="21"/>
      <c r="D106" s="21"/>
      <c r="E106" s="21"/>
      <c r="F106" s="21"/>
      <c r="G106" s="30"/>
      <c r="H106" s="31"/>
      <c r="I106" s="21"/>
      <c r="J106" s="21"/>
      <c r="K106" s="21"/>
      <c r="L106" s="21"/>
      <c r="M106" s="21"/>
      <c r="N106" s="30" t="n">
        <f aca="false">G106</f>
        <v>0</v>
      </c>
      <c r="O106" s="21"/>
      <c r="P106" s="21"/>
      <c r="Q106" s="21"/>
      <c r="R106" s="32"/>
      <c r="S106" s="32"/>
      <c r="T106" s="21"/>
      <c r="U106" s="21"/>
      <c r="V106" s="21"/>
      <c r="W106" s="21"/>
      <c r="X106" s="21"/>
      <c r="Y106" s="21"/>
    </row>
    <row r="107" customFormat="false" ht="15.75" hidden="false" customHeight="false" outlineLevel="0" collapsed="false">
      <c r="A107" s="61"/>
      <c r="B107" s="29"/>
      <c r="C107" s="21"/>
      <c r="D107" s="21"/>
      <c r="E107" s="21"/>
      <c r="F107" s="21"/>
      <c r="G107" s="30"/>
      <c r="H107" s="31"/>
      <c r="I107" s="21"/>
      <c r="J107" s="21"/>
      <c r="K107" s="21"/>
      <c r="L107" s="21"/>
      <c r="M107" s="21"/>
      <c r="N107" s="30" t="n">
        <f aca="false">G107</f>
        <v>0</v>
      </c>
      <c r="O107" s="21"/>
      <c r="P107" s="21"/>
      <c r="Q107" s="21"/>
      <c r="R107" s="32"/>
      <c r="S107" s="32"/>
      <c r="T107" s="21"/>
      <c r="U107" s="21"/>
      <c r="V107" s="21"/>
      <c r="W107" s="21"/>
      <c r="X107" s="21"/>
      <c r="Y107" s="21"/>
    </row>
    <row r="108" customFormat="false" ht="15.75" hidden="false" customHeight="false" outlineLevel="0" collapsed="false">
      <c r="A108" s="61"/>
      <c r="B108" s="29"/>
      <c r="C108" s="21"/>
      <c r="D108" s="21"/>
      <c r="E108" s="21"/>
      <c r="F108" s="21"/>
      <c r="G108" s="30"/>
      <c r="H108" s="31"/>
      <c r="I108" s="21"/>
      <c r="J108" s="21"/>
      <c r="K108" s="21"/>
      <c r="L108" s="21"/>
      <c r="M108" s="21"/>
      <c r="N108" s="30" t="n">
        <f aca="false">G108</f>
        <v>0</v>
      </c>
      <c r="O108" s="21"/>
      <c r="P108" s="21"/>
      <c r="Q108" s="21"/>
      <c r="R108" s="32"/>
      <c r="S108" s="32"/>
      <c r="T108" s="21"/>
      <c r="U108" s="21"/>
      <c r="V108" s="21"/>
      <c r="W108" s="21"/>
      <c r="X108" s="21"/>
      <c r="Y108" s="21"/>
    </row>
    <row r="109" customFormat="false" ht="15.75" hidden="false" customHeight="false" outlineLevel="0" collapsed="false">
      <c r="A109" s="61"/>
      <c r="B109" s="29"/>
      <c r="C109" s="21"/>
      <c r="D109" s="21"/>
      <c r="E109" s="21"/>
      <c r="F109" s="21"/>
      <c r="G109" s="30"/>
      <c r="H109" s="31"/>
      <c r="I109" s="21"/>
      <c r="J109" s="21"/>
      <c r="K109" s="21"/>
      <c r="L109" s="21"/>
      <c r="M109" s="21"/>
      <c r="N109" s="30" t="n">
        <f aca="false">G109</f>
        <v>0</v>
      </c>
      <c r="O109" s="21"/>
      <c r="P109" s="21"/>
      <c r="Q109" s="21"/>
      <c r="R109" s="32"/>
      <c r="S109" s="32"/>
      <c r="T109" s="21"/>
      <c r="U109" s="21"/>
      <c r="V109" s="21"/>
      <c r="W109" s="21"/>
      <c r="X109" s="21"/>
      <c r="Y109" s="21"/>
    </row>
    <row r="110" customFormat="false" ht="15.75" hidden="false" customHeight="false" outlineLevel="0" collapsed="false">
      <c r="A110" s="61"/>
      <c r="B110" s="29"/>
      <c r="C110" s="21"/>
      <c r="D110" s="21"/>
      <c r="E110" s="21"/>
      <c r="F110" s="21"/>
      <c r="G110" s="30"/>
      <c r="H110" s="31"/>
      <c r="I110" s="21"/>
      <c r="J110" s="21"/>
      <c r="K110" s="21"/>
      <c r="L110" s="21"/>
      <c r="M110" s="21"/>
      <c r="N110" s="30" t="n">
        <f aca="false">G110</f>
        <v>0</v>
      </c>
      <c r="O110" s="21"/>
      <c r="P110" s="21"/>
      <c r="Q110" s="21"/>
      <c r="R110" s="32"/>
      <c r="S110" s="32"/>
      <c r="T110" s="21"/>
      <c r="U110" s="21"/>
      <c r="V110" s="21"/>
      <c r="W110" s="21"/>
      <c r="X110" s="21"/>
      <c r="Y110" s="21"/>
    </row>
    <row r="111" customFormat="false" ht="15.75" hidden="false" customHeight="false" outlineLevel="0" collapsed="false">
      <c r="A111" s="61"/>
      <c r="B111" s="29"/>
      <c r="C111" s="21"/>
      <c r="D111" s="21"/>
      <c r="E111" s="21"/>
      <c r="F111" s="21"/>
      <c r="G111" s="30"/>
      <c r="H111" s="31"/>
      <c r="I111" s="21"/>
      <c r="J111" s="21"/>
      <c r="K111" s="21"/>
      <c r="L111" s="21"/>
      <c r="M111" s="21"/>
      <c r="N111" s="30" t="n">
        <f aca="false">G111</f>
        <v>0</v>
      </c>
      <c r="O111" s="21"/>
      <c r="P111" s="21"/>
      <c r="Q111" s="21"/>
      <c r="R111" s="32"/>
      <c r="S111" s="32"/>
      <c r="T111" s="21"/>
      <c r="U111" s="21"/>
      <c r="V111" s="21"/>
      <c r="W111" s="21"/>
      <c r="X111" s="21"/>
      <c r="Y111" s="21"/>
    </row>
    <row r="112" customFormat="false" ht="15.75" hidden="false" customHeight="false" outlineLevel="0" collapsed="false">
      <c r="A112" s="61"/>
      <c r="B112" s="29"/>
      <c r="C112" s="21"/>
      <c r="D112" s="21"/>
      <c r="E112" s="21"/>
      <c r="F112" s="21"/>
      <c r="G112" s="30"/>
      <c r="H112" s="31"/>
      <c r="I112" s="21"/>
      <c r="J112" s="21"/>
      <c r="K112" s="21"/>
      <c r="L112" s="21"/>
      <c r="M112" s="21"/>
      <c r="N112" s="30" t="n">
        <f aca="false">G112</f>
        <v>0</v>
      </c>
      <c r="O112" s="21"/>
      <c r="P112" s="21"/>
      <c r="Q112" s="21"/>
      <c r="R112" s="32"/>
      <c r="S112" s="32"/>
      <c r="T112" s="21"/>
      <c r="U112" s="21"/>
      <c r="V112" s="21"/>
      <c r="W112" s="21"/>
      <c r="X112" s="21"/>
      <c r="Y112" s="21"/>
    </row>
    <row r="113" customFormat="false" ht="15.75" hidden="false" customHeight="false" outlineLevel="0" collapsed="false">
      <c r="A113" s="61"/>
      <c r="B113" s="29"/>
      <c r="C113" s="21"/>
      <c r="D113" s="21"/>
      <c r="E113" s="21"/>
      <c r="F113" s="21"/>
      <c r="G113" s="30"/>
      <c r="H113" s="31"/>
      <c r="I113" s="21"/>
      <c r="J113" s="21"/>
      <c r="K113" s="21"/>
      <c r="L113" s="21"/>
      <c r="M113" s="21"/>
      <c r="N113" s="30" t="n">
        <f aca="false">G113</f>
        <v>0</v>
      </c>
      <c r="O113" s="21"/>
      <c r="P113" s="21"/>
      <c r="Q113" s="21"/>
      <c r="R113" s="32"/>
      <c r="S113" s="32"/>
      <c r="T113" s="21"/>
      <c r="U113" s="21"/>
      <c r="V113" s="21"/>
      <c r="W113" s="21"/>
      <c r="X113" s="21"/>
      <c r="Y113" s="21"/>
    </row>
    <row r="114" customFormat="false" ht="15.75" hidden="false" customHeight="false" outlineLevel="0" collapsed="false">
      <c r="G114" s="18"/>
      <c r="H114" s="35"/>
      <c r="N114" s="18"/>
    </row>
    <row r="115" customFormat="false" ht="15.75" hidden="false" customHeight="false" outlineLevel="0" collapsed="false">
      <c r="G115" s="18"/>
      <c r="H115" s="35"/>
      <c r="N115" s="18"/>
    </row>
    <row r="116" customFormat="false" ht="15.75" hidden="false" customHeight="false" outlineLevel="0" collapsed="false">
      <c r="G116" s="18"/>
      <c r="H116" s="35"/>
      <c r="N116" s="18"/>
    </row>
    <row r="117" customFormat="false" ht="15.75" hidden="false" customHeight="false" outlineLevel="0" collapsed="false">
      <c r="G117" s="18"/>
      <c r="H117" s="35"/>
      <c r="N117" s="18"/>
    </row>
    <row r="118" customFormat="false" ht="15.75" hidden="false" customHeight="false" outlineLevel="0" collapsed="false">
      <c r="G118" s="18"/>
      <c r="H118" s="35"/>
      <c r="N118" s="18"/>
    </row>
    <row r="119" customFormat="false" ht="15.75" hidden="false" customHeight="false" outlineLevel="0" collapsed="false">
      <c r="G119" s="18"/>
      <c r="H119" s="35"/>
      <c r="N119" s="18"/>
    </row>
    <row r="120" customFormat="false" ht="15.75" hidden="false" customHeight="false" outlineLevel="0" collapsed="false">
      <c r="G120" s="18"/>
      <c r="H120" s="35"/>
      <c r="N120" s="18"/>
    </row>
    <row r="121" customFormat="false" ht="15.75" hidden="false" customHeight="false" outlineLevel="0" collapsed="false">
      <c r="G121" s="18"/>
      <c r="H121" s="35"/>
      <c r="N121" s="18"/>
    </row>
    <row r="122" customFormat="false" ht="15.75" hidden="false" customHeight="false" outlineLevel="0" collapsed="false">
      <c r="G122" s="18"/>
      <c r="H122" s="35"/>
      <c r="N122" s="18"/>
    </row>
    <row r="123" customFormat="false" ht="15.75" hidden="false" customHeight="false" outlineLevel="0" collapsed="false">
      <c r="G123" s="18"/>
      <c r="H123" s="35"/>
      <c r="N123" s="18"/>
    </row>
    <row r="124" customFormat="false" ht="15.75" hidden="false" customHeight="false" outlineLevel="0" collapsed="false">
      <c r="G124" s="18"/>
      <c r="H124" s="35"/>
      <c r="N124" s="18"/>
    </row>
    <row r="125" customFormat="false" ht="15.75" hidden="false" customHeight="false" outlineLevel="0" collapsed="false">
      <c r="G125" s="18"/>
      <c r="H125" s="35"/>
      <c r="N125" s="18"/>
    </row>
    <row r="126" customFormat="false" ht="15.75" hidden="false" customHeight="false" outlineLevel="0" collapsed="false">
      <c r="G126" s="18"/>
      <c r="H126" s="35"/>
      <c r="N126" s="18"/>
    </row>
    <row r="127" customFormat="false" ht="15.75" hidden="false" customHeight="false" outlineLevel="0" collapsed="false">
      <c r="G127" s="18"/>
      <c r="H127" s="35"/>
      <c r="N127" s="18"/>
    </row>
    <row r="128" customFormat="false" ht="15.75" hidden="false" customHeight="false" outlineLevel="0" collapsed="false">
      <c r="G128" s="18"/>
      <c r="H128" s="35"/>
      <c r="N128" s="18"/>
    </row>
    <row r="129" customFormat="false" ht="15.75" hidden="false" customHeight="false" outlineLevel="0" collapsed="false">
      <c r="G129" s="18"/>
      <c r="H129" s="35"/>
      <c r="N129" s="18"/>
    </row>
    <row r="130" customFormat="false" ht="15.75" hidden="false" customHeight="false" outlineLevel="0" collapsed="false">
      <c r="G130" s="18"/>
      <c r="H130" s="35"/>
      <c r="N130" s="18"/>
    </row>
    <row r="131" customFormat="false" ht="15.75" hidden="false" customHeight="false" outlineLevel="0" collapsed="false">
      <c r="G131" s="18"/>
      <c r="H131" s="35"/>
      <c r="N131" s="18"/>
    </row>
    <row r="132" customFormat="false" ht="15.75" hidden="false" customHeight="false" outlineLevel="0" collapsed="false">
      <c r="G132" s="18"/>
      <c r="H132" s="35"/>
      <c r="N132" s="18"/>
    </row>
    <row r="133" customFormat="false" ht="15.75" hidden="false" customHeight="false" outlineLevel="0" collapsed="false">
      <c r="G133" s="18"/>
      <c r="H133" s="35"/>
      <c r="N133" s="18"/>
    </row>
    <row r="134" customFormat="false" ht="15.75" hidden="false" customHeight="false" outlineLevel="0" collapsed="false">
      <c r="G134" s="18"/>
      <c r="H134" s="35"/>
      <c r="N134" s="18"/>
    </row>
    <row r="135" customFormat="false" ht="15.75" hidden="false" customHeight="false" outlineLevel="0" collapsed="false">
      <c r="G135" s="18"/>
      <c r="H135" s="35"/>
      <c r="N135" s="18"/>
    </row>
    <row r="136" customFormat="false" ht="15.75" hidden="false" customHeight="false" outlineLevel="0" collapsed="false">
      <c r="G136" s="18"/>
      <c r="H136" s="35"/>
      <c r="N136" s="18"/>
    </row>
    <row r="137" customFormat="false" ht="15.75" hidden="false" customHeight="false" outlineLevel="0" collapsed="false">
      <c r="G137" s="18"/>
      <c r="H137" s="35"/>
      <c r="N137" s="18"/>
    </row>
    <row r="138" customFormat="false" ht="15.75" hidden="false" customHeight="false" outlineLevel="0" collapsed="false">
      <c r="G138" s="18"/>
      <c r="H138" s="35"/>
      <c r="N138" s="18"/>
    </row>
    <row r="139" customFormat="false" ht="15.75" hidden="false" customHeight="false" outlineLevel="0" collapsed="false">
      <c r="G139" s="18"/>
      <c r="H139" s="35"/>
      <c r="N139" s="18"/>
    </row>
    <row r="140" customFormat="false" ht="15.75" hidden="false" customHeight="false" outlineLevel="0" collapsed="false">
      <c r="G140" s="18"/>
      <c r="H140" s="35"/>
      <c r="N140" s="18"/>
    </row>
    <row r="141" customFormat="false" ht="15.75" hidden="false" customHeight="false" outlineLevel="0" collapsed="false">
      <c r="G141" s="18"/>
      <c r="H141" s="35"/>
      <c r="N141" s="18"/>
    </row>
    <row r="142" customFormat="false" ht="15.75" hidden="false" customHeight="false" outlineLevel="0" collapsed="false">
      <c r="G142" s="18"/>
      <c r="H142" s="35"/>
      <c r="N142" s="18"/>
    </row>
    <row r="143" customFormat="false" ht="15.75" hidden="false" customHeight="false" outlineLevel="0" collapsed="false">
      <c r="G143" s="18"/>
      <c r="H143" s="35"/>
      <c r="N143" s="18"/>
    </row>
    <row r="144" customFormat="false" ht="15.75" hidden="false" customHeight="false" outlineLevel="0" collapsed="false">
      <c r="G144" s="18"/>
      <c r="H144" s="35"/>
      <c r="N144" s="18"/>
    </row>
    <row r="145" customFormat="false" ht="15.75" hidden="false" customHeight="false" outlineLevel="0" collapsed="false">
      <c r="G145" s="18"/>
      <c r="H145" s="35"/>
      <c r="N145" s="18"/>
    </row>
    <row r="146" customFormat="false" ht="15.75" hidden="false" customHeight="false" outlineLevel="0" collapsed="false">
      <c r="G146" s="18"/>
      <c r="H146" s="35"/>
      <c r="N146" s="18"/>
    </row>
    <row r="147" customFormat="false" ht="15.75" hidden="false" customHeight="false" outlineLevel="0" collapsed="false">
      <c r="G147" s="18"/>
      <c r="H147" s="35"/>
      <c r="N147" s="18"/>
    </row>
    <row r="148" customFormat="false" ht="15.75" hidden="false" customHeight="false" outlineLevel="0" collapsed="false">
      <c r="G148" s="18"/>
      <c r="H148" s="35"/>
      <c r="N148" s="18"/>
    </row>
    <row r="149" customFormat="false" ht="15.75" hidden="false" customHeight="false" outlineLevel="0" collapsed="false">
      <c r="G149" s="18"/>
      <c r="H149" s="35"/>
      <c r="N149" s="18"/>
    </row>
    <row r="150" customFormat="false" ht="15.75" hidden="false" customHeight="false" outlineLevel="0" collapsed="false">
      <c r="G150" s="18"/>
      <c r="H150" s="35"/>
      <c r="N150" s="18"/>
    </row>
    <row r="151" customFormat="false" ht="15.75" hidden="false" customHeight="false" outlineLevel="0" collapsed="false">
      <c r="G151" s="18"/>
      <c r="H151" s="35"/>
      <c r="N151" s="18"/>
    </row>
    <row r="152" customFormat="false" ht="15.75" hidden="false" customHeight="false" outlineLevel="0" collapsed="false">
      <c r="G152" s="18"/>
      <c r="H152" s="35"/>
      <c r="N152" s="18"/>
    </row>
    <row r="153" customFormat="false" ht="15.75" hidden="false" customHeight="false" outlineLevel="0" collapsed="false">
      <c r="G153" s="18"/>
      <c r="H153" s="35"/>
      <c r="N153" s="18"/>
    </row>
    <row r="154" customFormat="false" ht="15.75" hidden="false" customHeight="false" outlineLevel="0" collapsed="false">
      <c r="G154" s="18"/>
      <c r="H154" s="35"/>
      <c r="N154" s="18"/>
    </row>
    <row r="155" customFormat="false" ht="15.75" hidden="false" customHeight="false" outlineLevel="0" collapsed="false">
      <c r="G155" s="18"/>
      <c r="H155" s="35"/>
      <c r="N155" s="18"/>
    </row>
    <row r="156" customFormat="false" ht="15.75" hidden="false" customHeight="false" outlineLevel="0" collapsed="false">
      <c r="G156" s="18"/>
      <c r="H156" s="35"/>
      <c r="N156" s="18"/>
    </row>
    <row r="157" customFormat="false" ht="15.75" hidden="false" customHeight="false" outlineLevel="0" collapsed="false">
      <c r="G157" s="18"/>
      <c r="H157" s="35"/>
      <c r="N157" s="18"/>
    </row>
    <row r="158" customFormat="false" ht="15.75" hidden="false" customHeight="false" outlineLevel="0" collapsed="false">
      <c r="G158" s="18"/>
      <c r="H158" s="35"/>
      <c r="N158" s="18"/>
    </row>
    <row r="159" customFormat="false" ht="15.75" hidden="false" customHeight="false" outlineLevel="0" collapsed="false">
      <c r="G159" s="18"/>
      <c r="H159" s="35"/>
      <c r="N159" s="18"/>
    </row>
    <row r="160" customFormat="false" ht="15.75" hidden="false" customHeight="false" outlineLevel="0" collapsed="false">
      <c r="G160" s="18"/>
      <c r="H160" s="35"/>
      <c r="N160" s="18"/>
    </row>
    <row r="161" customFormat="false" ht="15.75" hidden="false" customHeight="false" outlineLevel="0" collapsed="false">
      <c r="G161" s="18"/>
      <c r="H161" s="35"/>
      <c r="N161" s="18"/>
    </row>
    <row r="162" customFormat="false" ht="15.75" hidden="false" customHeight="false" outlineLevel="0" collapsed="false">
      <c r="G162" s="18"/>
      <c r="H162" s="35"/>
      <c r="N162" s="18"/>
    </row>
    <row r="163" customFormat="false" ht="15.75" hidden="false" customHeight="false" outlineLevel="0" collapsed="false">
      <c r="G163" s="18"/>
      <c r="H163" s="35"/>
      <c r="N163" s="18"/>
    </row>
    <row r="164" customFormat="false" ht="15.75" hidden="false" customHeight="false" outlineLevel="0" collapsed="false">
      <c r="G164" s="18"/>
      <c r="H164" s="35"/>
      <c r="N164" s="18"/>
    </row>
    <row r="165" customFormat="false" ht="15.75" hidden="false" customHeight="false" outlineLevel="0" collapsed="false">
      <c r="G165" s="18"/>
      <c r="H165" s="35"/>
      <c r="N165" s="18"/>
    </row>
    <row r="166" customFormat="false" ht="15.75" hidden="false" customHeight="false" outlineLevel="0" collapsed="false">
      <c r="G166" s="18"/>
      <c r="H166" s="35"/>
      <c r="N166" s="18"/>
    </row>
    <row r="167" customFormat="false" ht="15.75" hidden="false" customHeight="false" outlineLevel="0" collapsed="false">
      <c r="G167" s="18"/>
      <c r="H167" s="35"/>
      <c r="N167" s="18"/>
    </row>
    <row r="168" customFormat="false" ht="15.75" hidden="false" customHeight="false" outlineLevel="0" collapsed="false">
      <c r="G168" s="18"/>
      <c r="H168" s="35"/>
      <c r="N168" s="18"/>
    </row>
    <row r="169" customFormat="false" ht="15.75" hidden="false" customHeight="false" outlineLevel="0" collapsed="false">
      <c r="G169" s="18"/>
      <c r="H169" s="35"/>
      <c r="N169" s="18"/>
    </row>
    <row r="170" customFormat="false" ht="15.75" hidden="false" customHeight="false" outlineLevel="0" collapsed="false">
      <c r="G170" s="18"/>
      <c r="H170" s="35"/>
      <c r="N170" s="18"/>
    </row>
    <row r="171" customFormat="false" ht="15.75" hidden="false" customHeight="false" outlineLevel="0" collapsed="false">
      <c r="G171" s="18"/>
      <c r="H171" s="35"/>
      <c r="N171" s="18"/>
    </row>
    <row r="172" customFormat="false" ht="15.75" hidden="false" customHeight="false" outlineLevel="0" collapsed="false">
      <c r="G172" s="18"/>
      <c r="H172" s="35"/>
      <c r="N172" s="18"/>
    </row>
    <row r="173" customFormat="false" ht="15.75" hidden="false" customHeight="false" outlineLevel="0" collapsed="false">
      <c r="G173" s="18"/>
      <c r="H173" s="35"/>
      <c r="N173" s="18"/>
    </row>
    <row r="174" customFormat="false" ht="15.75" hidden="false" customHeight="false" outlineLevel="0" collapsed="false">
      <c r="G174" s="18"/>
      <c r="H174" s="35"/>
      <c r="N174" s="18"/>
    </row>
    <row r="175" customFormat="false" ht="15.75" hidden="false" customHeight="false" outlineLevel="0" collapsed="false">
      <c r="G175" s="18"/>
      <c r="H175" s="35"/>
      <c r="N175" s="18"/>
    </row>
    <row r="176" customFormat="false" ht="15.75" hidden="false" customHeight="false" outlineLevel="0" collapsed="false">
      <c r="G176" s="18"/>
      <c r="H176" s="35"/>
      <c r="N176" s="18"/>
    </row>
    <row r="177" customFormat="false" ht="15.75" hidden="false" customHeight="false" outlineLevel="0" collapsed="false">
      <c r="G177" s="18"/>
      <c r="H177" s="35"/>
      <c r="N177" s="18"/>
    </row>
    <row r="178" customFormat="false" ht="15.75" hidden="false" customHeight="false" outlineLevel="0" collapsed="false">
      <c r="G178" s="18"/>
      <c r="H178" s="35"/>
      <c r="N178" s="18"/>
    </row>
    <row r="179" customFormat="false" ht="15.75" hidden="false" customHeight="false" outlineLevel="0" collapsed="false">
      <c r="G179" s="18"/>
      <c r="H179" s="35"/>
      <c r="N179" s="18"/>
    </row>
    <row r="180" customFormat="false" ht="15.75" hidden="false" customHeight="false" outlineLevel="0" collapsed="false">
      <c r="G180" s="18"/>
      <c r="H180" s="35"/>
      <c r="N180" s="18"/>
    </row>
    <row r="181" customFormat="false" ht="15.75" hidden="false" customHeight="false" outlineLevel="0" collapsed="false">
      <c r="G181" s="18"/>
      <c r="H181" s="35"/>
      <c r="N181" s="18"/>
    </row>
    <row r="182" customFormat="false" ht="15.75" hidden="false" customHeight="false" outlineLevel="0" collapsed="false">
      <c r="G182" s="18"/>
      <c r="H182" s="35"/>
      <c r="N182" s="18"/>
    </row>
    <row r="183" customFormat="false" ht="15.75" hidden="false" customHeight="false" outlineLevel="0" collapsed="false">
      <c r="G183" s="18"/>
      <c r="H183" s="35"/>
      <c r="N183" s="18"/>
    </row>
    <row r="184" customFormat="false" ht="15.75" hidden="false" customHeight="false" outlineLevel="0" collapsed="false">
      <c r="G184" s="18"/>
      <c r="H184" s="35"/>
      <c r="N184" s="18"/>
    </row>
    <row r="185" customFormat="false" ht="15.75" hidden="false" customHeight="false" outlineLevel="0" collapsed="false">
      <c r="G185" s="18"/>
      <c r="H185" s="35"/>
      <c r="N185" s="18"/>
    </row>
    <row r="186" customFormat="false" ht="15.75" hidden="false" customHeight="false" outlineLevel="0" collapsed="false">
      <c r="G186" s="18"/>
      <c r="H186" s="35"/>
      <c r="N186" s="18"/>
    </row>
    <row r="187" customFormat="false" ht="15.75" hidden="false" customHeight="false" outlineLevel="0" collapsed="false">
      <c r="G187" s="18"/>
      <c r="H187" s="35"/>
      <c r="N187" s="18"/>
    </row>
    <row r="188" customFormat="false" ht="15.75" hidden="false" customHeight="false" outlineLevel="0" collapsed="false">
      <c r="G188" s="18"/>
      <c r="H188" s="35"/>
      <c r="N188" s="18"/>
    </row>
    <row r="189" customFormat="false" ht="15.75" hidden="false" customHeight="false" outlineLevel="0" collapsed="false">
      <c r="G189" s="18"/>
      <c r="H189" s="35"/>
      <c r="N189" s="18"/>
    </row>
    <row r="190" customFormat="false" ht="15.75" hidden="false" customHeight="false" outlineLevel="0" collapsed="false">
      <c r="G190" s="18"/>
      <c r="H190" s="35"/>
      <c r="N190" s="18"/>
    </row>
    <row r="191" customFormat="false" ht="15.75" hidden="false" customHeight="false" outlineLevel="0" collapsed="false">
      <c r="G191" s="18"/>
      <c r="H191" s="35"/>
      <c r="N191" s="18"/>
    </row>
    <row r="192" customFormat="false" ht="15.75" hidden="false" customHeight="false" outlineLevel="0" collapsed="false">
      <c r="G192" s="18"/>
      <c r="H192" s="35"/>
      <c r="N192" s="18"/>
    </row>
    <row r="193" customFormat="false" ht="15.75" hidden="false" customHeight="false" outlineLevel="0" collapsed="false">
      <c r="G193" s="18"/>
      <c r="H193" s="35"/>
      <c r="N193" s="18"/>
    </row>
    <row r="194" customFormat="false" ht="15.75" hidden="false" customHeight="false" outlineLevel="0" collapsed="false">
      <c r="G194" s="18"/>
      <c r="H194" s="35"/>
      <c r="N194" s="18"/>
    </row>
    <row r="195" customFormat="false" ht="15.75" hidden="false" customHeight="false" outlineLevel="0" collapsed="false">
      <c r="G195" s="18"/>
      <c r="H195" s="35"/>
      <c r="N195" s="18"/>
    </row>
    <row r="196" customFormat="false" ht="15.75" hidden="false" customHeight="false" outlineLevel="0" collapsed="false">
      <c r="G196" s="18"/>
      <c r="H196" s="35"/>
      <c r="N196" s="18"/>
    </row>
    <row r="197" customFormat="false" ht="15.75" hidden="false" customHeight="false" outlineLevel="0" collapsed="false">
      <c r="G197" s="18"/>
      <c r="H197" s="35"/>
      <c r="N197" s="18"/>
    </row>
    <row r="198" customFormat="false" ht="15.75" hidden="false" customHeight="false" outlineLevel="0" collapsed="false">
      <c r="G198" s="18"/>
      <c r="H198" s="35"/>
      <c r="N198" s="18"/>
    </row>
    <row r="199" customFormat="false" ht="15.75" hidden="false" customHeight="false" outlineLevel="0" collapsed="false">
      <c r="G199" s="18"/>
      <c r="H199" s="35"/>
      <c r="N199" s="18"/>
    </row>
    <row r="200" customFormat="false" ht="15.75" hidden="false" customHeight="false" outlineLevel="0" collapsed="false">
      <c r="G200" s="18"/>
      <c r="H200" s="35"/>
      <c r="N200" s="18"/>
    </row>
    <row r="201" customFormat="false" ht="15.75" hidden="false" customHeight="false" outlineLevel="0" collapsed="false">
      <c r="G201" s="18"/>
      <c r="H201" s="35"/>
      <c r="N201" s="18"/>
    </row>
    <row r="202" customFormat="false" ht="15.75" hidden="false" customHeight="false" outlineLevel="0" collapsed="false">
      <c r="G202" s="18"/>
      <c r="H202" s="35"/>
      <c r="N202" s="18"/>
    </row>
    <row r="203" customFormat="false" ht="15.75" hidden="false" customHeight="false" outlineLevel="0" collapsed="false">
      <c r="G203" s="18"/>
      <c r="H203" s="35"/>
      <c r="N203" s="18"/>
    </row>
    <row r="204" customFormat="false" ht="15.75" hidden="false" customHeight="false" outlineLevel="0" collapsed="false">
      <c r="G204" s="18"/>
      <c r="H204" s="35"/>
      <c r="N204" s="18"/>
    </row>
    <row r="205" customFormat="false" ht="15.75" hidden="false" customHeight="false" outlineLevel="0" collapsed="false">
      <c r="G205" s="18"/>
      <c r="H205" s="35"/>
      <c r="N205" s="18"/>
    </row>
    <row r="206" customFormat="false" ht="15.75" hidden="false" customHeight="false" outlineLevel="0" collapsed="false">
      <c r="G206" s="18"/>
      <c r="H206" s="35"/>
      <c r="N206" s="18"/>
    </row>
    <row r="207" customFormat="false" ht="15.75" hidden="false" customHeight="false" outlineLevel="0" collapsed="false">
      <c r="G207" s="18"/>
      <c r="H207" s="35"/>
      <c r="N207" s="18"/>
    </row>
    <row r="208" customFormat="false" ht="15.75" hidden="false" customHeight="false" outlineLevel="0" collapsed="false">
      <c r="G208" s="18"/>
      <c r="H208" s="35"/>
      <c r="N208" s="18"/>
    </row>
    <row r="209" customFormat="false" ht="15.75" hidden="false" customHeight="false" outlineLevel="0" collapsed="false">
      <c r="G209" s="18"/>
      <c r="H209" s="35"/>
      <c r="N209" s="18"/>
    </row>
    <row r="210" customFormat="false" ht="15.75" hidden="false" customHeight="false" outlineLevel="0" collapsed="false">
      <c r="G210" s="18"/>
      <c r="H210" s="35"/>
      <c r="N210" s="18"/>
    </row>
    <row r="211" customFormat="false" ht="15.75" hidden="false" customHeight="false" outlineLevel="0" collapsed="false">
      <c r="G211" s="18"/>
      <c r="H211" s="35"/>
      <c r="N211" s="18"/>
    </row>
    <row r="212" customFormat="false" ht="15.75" hidden="false" customHeight="false" outlineLevel="0" collapsed="false">
      <c r="G212" s="18"/>
      <c r="H212" s="35"/>
      <c r="N212" s="18"/>
    </row>
    <row r="213" customFormat="false" ht="15.75" hidden="false" customHeight="false" outlineLevel="0" collapsed="false">
      <c r="G213" s="18"/>
      <c r="H213" s="35"/>
      <c r="N213" s="18"/>
    </row>
    <row r="214" customFormat="false" ht="15.75" hidden="false" customHeight="false" outlineLevel="0" collapsed="false">
      <c r="G214" s="18"/>
      <c r="H214" s="35"/>
      <c r="N214" s="18"/>
    </row>
    <row r="215" customFormat="false" ht="15.75" hidden="false" customHeight="false" outlineLevel="0" collapsed="false">
      <c r="G215" s="18"/>
      <c r="H215" s="35"/>
      <c r="N215" s="18"/>
    </row>
    <row r="216" customFormat="false" ht="15.75" hidden="false" customHeight="false" outlineLevel="0" collapsed="false">
      <c r="G216" s="18"/>
      <c r="H216" s="35"/>
      <c r="N216" s="18"/>
    </row>
    <row r="217" customFormat="false" ht="15.75" hidden="false" customHeight="false" outlineLevel="0" collapsed="false">
      <c r="G217" s="18"/>
      <c r="H217" s="35"/>
      <c r="N217" s="18"/>
    </row>
    <row r="218" customFormat="false" ht="15.75" hidden="false" customHeight="false" outlineLevel="0" collapsed="false">
      <c r="G218" s="18"/>
      <c r="H218" s="35"/>
      <c r="N218" s="18"/>
    </row>
    <row r="219" customFormat="false" ht="15.75" hidden="false" customHeight="false" outlineLevel="0" collapsed="false">
      <c r="G219" s="18"/>
      <c r="H219" s="35"/>
      <c r="N219" s="18"/>
    </row>
    <row r="220" customFormat="false" ht="15.75" hidden="false" customHeight="false" outlineLevel="0" collapsed="false">
      <c r="G220" s="18"/>
      <c r="H220" s="35"/>
      <c r="N220" s="18"/>
    </row>
    <row r="221" customFormat="false" ht="15.75" hidden="false" customHeight="false" outlineLevel="0" collapsed="false">
      <c r="G221" s="18"/>
      <c r="H221" s="35"/>
      <c r="N221" s="18"/>
    </row>
    <row r="222" customFormat="false" ht="15.75" hidden="false" customHeight="false" outlineLevel="0" collapsed="false">
      <c r="G222" s="18"/>
      <c r="H222" s="35"/>
      <c r="N222" s="18"/>
    </row>
    <row r="223" customFormat="false" ht="15.75" hidden="false" customHeight="false" outlineLevel="0" collapsed="false">
      <c r="G223" s="18"/>
      <c r="H223" s="35"/>
      <c r="N223" s="18"/>
    </row>
    <row r="224" customFormat="false" ht="15.75" hidden="false" customHeight="false" outlineLevel="0" collapsed="false">
      <c r="G224" s="18"/>
      <c r="H224" s="35"/>
      <c r="N224" s="18"/>
    </row>
    <row r="225" customFormat="false" ht="15.75" hidden="false" customHeight="false" outlineLevel="0" collapsed="false">
      <c r="G225" s="18"/>
      <c r="H225" s="35"/>
      <c r="N225" s="18"/>
    </row>
    <row r="226" customFormat="false" ht="15.75" hidden="false" customHeight="false" outlineLevel="0" collapsed="false">
      <c r="G226" s="18"/>
      <c r="H226" s="35"/>
      <c r="N226" s="18"/>
    </row>
    <row r="227" customFormat="false" ht="15.75" hidden="false" customHeight="false" outlineLevel="0" collapsed="false">
      <c r="G227" s="18"/>
      <c r="H227" s="35"/>
      <c r="N227" s="18"/>
    </row>
    <row r="228" customFormat="false" ht="15.75" hidden="false" customHeight="false" outlineLevel="0" collapsed="false">
      <c r="G228" s="18"/>
      <c r="H228" s="35"/>
      <c r="N228" s="18"/>
    </row>
    <row r="229" customFormat="false" ht="15.75" hidden="false" customHeight="false" outlineLevel="0" collapsed="false">
      <c r="G229" s="18"/>
      <c r="H229" s="35"/>
      <c r="N229" s="18"/>
    </row>
    <row r="230" customFormat="false" ht="15.75" hidden="false" customHeight="false" outlineLevel="0" collapsed="false">
      <c r="G230" s="18"/>
      <c r="H230" s="35"/>
      <c r="N230" s="18"/>
    </row>
    <row r="231" customFormat="false" ht="15.75" hidden="false" customHeight="false" outlineLevel="0" collapsed="false">
      <c r="G231" s="18"/>
      <c r="H231" s="35"/>
      <c r="N231" s="18"/>
    </row>
    <row r="232" customFormat="false" ht="15.75" hidden="false" customHeight="false" outlineLevel="0" collapsed="false">
      <c r="G232" s="18"/>
      <c r="H232" s="35"/>
      <c r="N232" s="18"/>
    </row>
    <row r="233" customFormat="false" ht="15.75" hidden="false" customHeight="false" outlineLevel="0" collapsed="false">
      <c r="G233" s="18"/>
      <c r="H233" s="35"/>
      <c r="N233" s="18"/>
    </row>
    <row r="234" customFormat="false" ht="15.75" hidden="false" customHeight="false" outlineLevel="0" collapsed="false">
      <c r="G234" s="18"/>
      <c r="H234" s="35"/>
      <c r="N234" s="18"/>
    </row>
    <row r="235" customFormat="false" ht="15.75" hidden="false" customHeight="false" outlineLevel="0" collapsed="false">
      <c r="G235" s="18"/>
      <c r="H235" s="35"/>
      <c r="N235" s="18"/>
    </row>
    <row r="236" customFormat="false" ht="15.75" hidden="false" customHeight="false" outlineLevel="0" collapsed="false">
      <c r="G236" s="18"/>
      <c r="H236" s="35"/>
      <c r="N236" s="18"/>
    </row>
    <row r="237" customFormat="false" ht="15.75" hidden="false" customHeight="false" outlineLevel="0" collapsed="false">
      <c r="G237" s="18"/>
      <c r="H237" s="35"/>
      <c r="N237" s="18"/>
    </row>
    <row r="238" customFormat="false" ht="15.75" hidden="false" customHeight="false" outlineLevel="0" collapsed="false">
      <c r="G238" s="18"/>
      <c r="H238" s="35"/>
      <c r="N238" s="18"/>
    </row>
    <row r="239" customFormat="false" ht="15.75" hidden="false" customHeight="false" outlineLevel="0" collapsed="false">
      <c r="G239" s="18"/>
      <c r="H239" s="35"/>
      <c r="N239" s="18"/>
    </row>
    <row r="240" customFormat="false" ht="15.75" hidden="false" customHeight="false" outlineLevel="0" collapsed="false">
      <c r="G240" s="18"/>
      <c r="H240" s="35"/>
      <c r="N240" s="18"/>
    </row>
    <row r="241" customFormat="false" ht="15.75" hidden="false" customHeight="false" outlineLevel="0" collapsed="false">
      <c r="G241" s="18"/>
      <c r="H241" s="35"/>
      <c r="N241" s="18"/>
    </row>
    <row r="242" customFormat="false" ht="15.75" hidden="false" customHeight="false" outlineLevel="0" collapsed="false">
      <c r="G242" s="18"/>
      <c r="H242" s="35"/>
      <c r="N242" s="18"/>
    </row>
    <row r="243" customFormat="false" ht="15.75" hidden="false" customHeight="false" outlineLevel="0" collapsed="false">
      <c r="G243" s="18"/>
      <c r="H243" s="35"/>
      <c r="N243" s="18"/>
    </row>
    <row r="244" customFormat="false" ht="15.75" hidden="false" customHeight="false" outlineLevel="0" collapsed="false">
      <c r="G244" s="18"/>
      <c r="H244" s="35"/>
      <c r="N244" s="18"/>
    </row>
    <row r="245" customFormat="false" ht="15.75" hidden="false" customHeight="false" outlineLevel="0" collapsed="false">
      <c r="G245" s="18"/>
      <c r="H245" s="35"/>
      <c r="N245" s="18"/>
    </row>
    <row r="246" customFormat="false" ht="15.75" hidden="false" customHeight="false" outlineLevel="0" collapsed="false">
      <c r="G246" s="18"/>
      <c r="H246" s="35"/>
      <c r="N246" s="18"/>
    </row>
    <row r="247" customFormat="false" ht="15.75" hidden="false" customHeight="false" outlineLevel="0" collapsed="false">
      <c r="G247" s="18"/>
      <c r="H247" s="35"/>
      <c r="N247" s="18"/>
    </row>
    <row r="248" customFormat="false" ht="15.75" hidden="false" customHeight="false" outlineLevel="0" collapsed="false">
      <c r="G248" s="18"/>
      <c r="H248" s="35"/>
      <c r="N248" s="18"/>
    </row>
    <row r="249" customFormat="false" ht="15.75" hidden="false" customHeight="false" outlineLevel="0" collapsed="false">
      <c r="G249" s="18"/>
      <c r="H249" s="35"/>
      <c r="N249" s="18"/>
    </row>
    <row r="250" customFormat="false" ht="15.75" hidden="false" customHeight="false" outlineLevel="0" collapsed="false">
      <c r="G250" s="18"/>
      <c r="H250" s="35"/>
      <c r="N250" s="18"/>
    </row>
    <row r="251" customFormat="false" ht="15.75" hidden="false" customHeight="false" outlineLevel="0" collapsed="false">
      <c r="G251" s="18"/>
      <c r="H251" s="35"/>
      <c r="N251" s="18"/>
    </row>
    <row r="252" customFormat="false" ht="15.75" hidden="false" customHeight="false" outlineLevel="0" collapsed="false">
      <c r="G252" s="18"/>
      <c r="H252" s="35"/>
      <c r="N252" s="18"/>
    </row>
    <row r="253" customFormat="false" ht="15.75" hidden="false" customHeight="false" outlineLevel="0" collapsed="false">
      <c r="G253" s="18"/>
      <c r="H253" s="35"/>
      <c r="N253" s="18"/>
    </row>
    <row r="254" customFormat="false" ht="15.75" hidden="false" customHeight="false" outlineLevel="0" collapsed="false">
      <c r="G254" s="18"/>
      <c r="H254" s="35"/>
      <c r="N254" s="18"/>
    </row>
    <row r="255" customFormat="false" ht="15.75" hidden="false" customHeight="false" outlineLevel="0" collapsed="false">
      <c r="G255" s="18"/>
      <c r="H255" s="35"/>
      <c r="N255" s="18"/>
    </row>
    <row r="256" customFormat="false" ht="15.75" hidden="false" customHeight="false" outlineLevel="0" collapsed="false">
      <c r="G256" s="18"/>
      <c r="H256" s="35"/>
      <c r="N256" s="18"/>
    </row>
    <row r="257" customFormat="false" ht="15.75" hidden="false" customHeight="false" outlineLevel="0" collapsed="false">
      <c r="G257" s="18"/>
      <c r="H257" s="35"/>
      <c r="N257" s="18"/>
    </row>
    <row r="258" customFormat="false" ht="15.75" hidden="false" customHeight="false" outlineLevel="0" collapsed="false">
      <c r="G258" s="18"/>
      <c r="H258" s="35"/>
      <c r="N258" s="18"/>
    </row>
    <row r="259" customFormat="false" ht="15.75" hidden="false" customHeight="false" outlineLevel="0" collapsed="false">
      <c r="G259" s="18"/>
      <c r="H259" s="35"/>
      <c r="N259" s="18"/>
    </row>
    <row r="260" customFormat="false" ht="15.75" hidden="false" customHeight="false" outlineLevel="0" collapsed="false">
      <c r="G260" s="18"/>
      <c r="H260" s="35"/>
      <c r="N260" s="18"/>
    </row>
    <row r="261" customFormat="false" ht="15.75" hidden="false" customHeight="false" outlineLevel="0" collapsed="false">
      <c r="G261" s="18"/>
      <c r="H261" s="35"/>
      <c r="N261" s="18"/>
    </row>
    <row r="262" customFormat="false" ht="15.75" hidden="false" customHeight="false" outlineLevel="0" collapsed="false">
      <c r="G262" s="18"/>
      <c r="H262" s="35"/>
      <c r="N262" s="18"/>
    </row>
    <row r="263" customFormat="false" ht="15.75" hidden="false" customHeight="false" outlineLevel="0" collapsed="false">
      <c r="G263" s="18"/>
      <c r="H263" s="35"/>
      <c r="N263" s="18"/>
    </row>
    <row r="264" customFormat="false" ht="15.75" hidden="false" customHeight="false" outlineLevel="0" collapsed="false">
      <c r="G264" s="18"/>
      <c r="H264" s="35"/>
      <c r="N264" s="18"/>
    </row>
    <row r="265" customFormat="false" ht="15.75" hidden="false" customHeight="false" outlineLevel="0" collapsed="false">
      <c r="G265" s="18"/>
      <c r="H265" s="35"/>
      <c r="N265" s="18"/>
    </row>
    <row r="266" customFormat="false" ht="15.75" hidden="false" customHeight="false" outlineLevel="0" collapsed="false">
      <c r="G266" s="18"/>
      <c r="H266" s="35"/>
      <c r="N266" s="18"/>
    </row>
    <row r="267" customFormat="false" ht="15.75" hidden="false" customHeight="false" outlineLevel="0" collapsed="false">
      <c r="G267" s="18"/>
      <c r="H267" s="35"/>
      <c r="N267" s="18"/>
    </row>
    <row r="268" customFormat="false" ht="15.75" hidden="false" customHeight="false" outlineLevel="0" collapsed="false">
      <c r="G268" s="18"/>
      <c r="H268" s="35"/>
      <c r="N268" s="18"/>
    </row>
    <row r="269" customFormat="false" ht="15.75" hidden="false" customHeight="false" outlineLevel="0" collapsed="false">
      <c r="G269" s="18"/>
      <c r="H269" s="35"/>
      <c r="N269" s="18"/>
    </row>
    <row r="270" customFormat="false" ht="15.75" hidden="false" customHeight="false" outlineLevel="0" collapsed="false">
      <c r="G270" s="18"/>
      <c r="H270" s="35"/>
      <c r="N270" s="18"/>
    </row>
    <row r="271" customFormat="false" ht="15.75" hidden="false" customHeight="false" outlineLevel="0" collapsed="false">
      <c r="G271" s="18"/>
      <c r="H271" s="35"/>
      <c r="N271" s="18"/>
    </row>
    <row r="272" customFormat="false" ht="15.75" hidden="false" customHeight="false" outlineLevel="0" collapsed="false">
      <c r="G272" s="18"/>
      <c r="H272" s="35"/>
      <c r="N272" s="18"/>
    </row>
    <row r="273" customFormat="false" ht="15.75" hidden="false" customHeight="false" outlineLevel="0" collapsed="false">
      <c r="G273" s="18"/>
      <c r="H273" s="35"/>
      <c r="N273" s="18"/>
    </row>
    <row r="274" customFormat="false" ht="15.75" hidden="false" customHeight="false" outlineLevel="0" collapsed="false">
      <c r="G274" s="18"/>
      <c r="H274" s="35"/>
      <c r="N274" s="18"/>
    </row>
    <row r="275" customFormat="false" ht="15.75" hidden="false" customHeight="false" outlineLevel="0" collapsed="false">
      <c r="G275" s="18"/>
      <c r="H275" s="35"/>
      <c r="N275" s="18"/>
    </row>
    <row r="276" customFormat="false" ht="15.75" hidden="false" customHeight="false" outlineLevel="0" collapsed="false">
      <c r="G276" s="18"/>
      <c r="H276" s="35"/>
      <c r="N276" s="18"/>
    </row>
    <row r="277" customFormat="false" ht="15.75" hidden="false" customHeight="false" outlineLevel="0" collapsed="false">
      <c r="G277" s="18"/>
      <c r="H277" s="35"/>
      <c r="N277" s="18"/>
    </row>
    <row r="278" customFormat="false" ht="15.75" hidden="false" customHeight="false" outlineLevel="0" collapsed="false">
      <c r="G278" s="18"/>
      <c r="H278" s="35"/>
      <c r="N278" s="18"/>
    </row>
    <row r="279" customFormat="false" ht="15.75" hidden="false" customHeight="false" outlineLevel="0" collapsed="false">
      <c r="G279" s="18"/>
      <c r="H279" s="35"/>
      <c r="N279" s="18"/>
    </row>
    <row r="280" customFormat="false" ht="15.75" hidden="false" customHeight="false" outlineLevel="0" collapsed="false">
      <c r="G280" s="18"/>
      <c r="H280" s="35"/>
      <c r="N280" s="18"/>
    </row>
    <row r="281" customFormat="false" ht="15.75" hidden="false" customHeight="false" outlineLevel="0" collapsed="false">
      <c r="G281" s="18"/>
      <c r="H281" s="35"/>
      <c r="N281" s="18"/>
    </row>
    <row r="282" customFormat="false" ht="15.75" hidden="false" customHeight="false" outlineLevel="0" collapsed="false">
      <c r="G282" s="18"/>
      <c r="H282" s="35"/>
      <c r="N282" s="18"/>
    </row>
    <row r="283" customFormat="false" ht="15.75" hidden="false" customHeight="false" outlineLevel="0" collapsed="false">
      <c r="G283" s="18"/>
      <c r="H283" s="35"/>
      <c r="N283" s="18"/>
    </row>
    <row r="284" customFormat="false" ht="15.75" hidden="false" customHeight="false" outlineLevel="0" collapsed="false">
      <c r="G284" s="18"/>
      <c r="H284" s="35"/>
      <c r="N284" s="18"/>
    </row>
    <row r="285" customFormat="false" ht="15.75" hidden="false" customHeight="false" outlineLevel="0" collapsed="false">
      <c r="G285" s="18"/>
      <c r="H285" s="35"/>
      <c r="N285" s="18"/>
    </row>
    <row r="286" customFormat="false" ht="15.75" hidden="false" customHeight="false" outlineLevel="0" collapsed="false">
      <c r="G286" s="18"/>
      <c r="H286" s="35"/>
      <c r="N286" s="18"/>
    </row>
    <row r="287" customFormat="false" ht="15.75" hidden="false" customHeight="false" outlineLevel="0" collapsed="false">
      <c r="G287" s="18"/>
      <c r="H287" s="35"/>
      <c r="N287" s="18"/>
    </row>
    <row r="288" customFormat="false" ht="15.75" hidden="false" customHeight="false" outlineLevel="0" collapsed="false">
      <c r="G288" s="18"/>
      <c r="H288" s="35"/>
      <c r="N288" s="18"/>
    </row>
    <row r="289" customFormat="false" ht="15.75" hidden="false" customHeight="false" outlineLevel="0" collapsed="false">
      <c r="G289" s="18"/>
      <c r="H289" s="35"/>
      <c r="N289" s="18"/>
    </row>
    <row r="290" customFormat="false" ht="15.75" hidden="false" customHeight="false" outlineLevel="0" collapsed="false">
      <c r="G290" s="18"/>
      <c r="H290" s="35"/>
      <c r="N290" s="18"/>
    </row>
    <row r="291" customFormat="false" ht="15.75" hidden="false" customHeight="false" outlineLevel="0" collapsed="false">
      <c r="G291" s="18"/>
      <c r="H291" s="35"/>
      <c r="N291" s="18"/>
    </row>
    <row r="292" customFormat="false" ht="15.75" hidden="false" customHeight="false" outlineLevel="0" collapsed="false">
      <c r="G292" s="18"/>
      <c r="H292" s="35"/>
      <c r="N292" s="18"/>
    </row>
    <row r="293" customFormat="false" ht="15.75" hidden="false" customHeight="false" outlineLevel="0" collapsed="false">
      <c r="G293" s="18"/>
      <c r="H293" s="35"/>
      <c r="N293" s="18"/>
    </row>
    <row r="294" customFormat="false" ht="15.75" hidden="false" customHeight="false" outlineLevel="0" collapsed="false">
      <c r="G294" s="18"/>
      <c r="H294" s="35"/>
      <c r="N294" s="18"/>
    </row>
    <row r="295" customFormat="false" ht="15.75" hidden="false" customHeight="false" outlineLevel="0" collapsed="false">
      <c r="G295" s="18"/>
      <c r="H295" s="35"/>
      <c r="N295" s="18"/>
    </row>
    <row r="296" customFormat="false" ht="15.75" hidden="false" customHeight="false" outlineLevel="0" collapsed="false">
      <c r="G296" s="18"/>
      <c r="H296" s="35"/>
      <c r="N296" s="18"/>
    </row>
    <row r="297" customFormat="false" ht="15.75" hidden="false" customHeight="false" outlineLevel="0" collapsed="false">
      <c r="G297" s="18"/>
      <c r="H297" s="35"/>
      <c r="N297" s="18"/>
    </row>
    <row r="298" customFormat="false" ht="15.75" hidden="false" customHeight="false" outlineLevel="0" collapsed="false">
      <c r="G298" s="18"/>
      <c r="H298" s="35"/>
      <c r="N298" s="18"/>
    </row>
    <row r="299" customFormat="false" ht="15.75" hidden="false" customHeight="false" outlineLevel="0" collapsed="false">
      <c r="G299" s="18"/>
      <c r="H299" s="35"/>
      <c r="N299" s="18"/>
    </row>
    <row r="300" customFormat="false" ht="15.75" hidden="false" customHeight="false" outlineLevel="0" collapsed="false">
      <c r="G300" s="18"/>
      <c r="H300" s="35"/>
      <c r="N300" s="18"/>
    </row>
    <row r="301" customFormat="false" ht="15.75" hidden="false" customHeight="false" outlineLevel="0" collapsed="false">
      <c r="G301" s="18"/>
      <c r="H301" s="35"/>
      <c r="N301" s="18"/>
    </row>
    <row r="302" customFormat="false" ht="15.75" hidden="false" customHeight="false" outlineLevel="0" collapsed="false">
      <c r="G302" s="18"/>
      <c r="H302" s="35"/>
      <c r="N302" s="18"/>
    </row>
    <row r="303" customFormat="false" ht="15.75" hidden="false" customHeight="false" outlineLevel="0" collapsed="false">
      <c r="G303" s="18"/>
      <c r="H303" s="35"/>
      <c r="N303" s="18"/>
    </row>
    <row r="304" customFormat="false" ht="15.75" hidden="false" customHeight="false" outlineLevel="0" collapsed="false">
      <c r="G304" s="18"/>
      <c r="H304" s="35"/>
      <c r="N304" s="18"/>
    </row>
    <row r="305" customFormat="false" ht="15.75" hidden="false" customHeight="false" outlineLevel="0" collapsed="false">
      <c r="G305" s="18"/>
      <c r="H305" s="35"/>
      <c r="N305" s="18"/>
    </row>
    <row r="306" customFormat="false" ht="15.75" hidden="false" customHeight="false" outlineLevel="0" collapsed="false">
      <c r="G306" s="18"/>
      <c r="H306" s="35"/>
      <c r="N306" s="18"/>
    </row>
    <row r="307" customFormat="false" ht="15.75" hidden="false" customHeight="false" outlineLevel="0" collapsed="false">
      <c r="G307" s="18"/>
      <c r="H307" s="35"/>
      <c r="N307" s="18"/>
    </row>
    <row r="308" customFormat="false" ht="15.75" hidden="false" customHeight="false" outlineLevel="0" collapsed="false">
      <c r="G308" s="18"/>
      <c r="H308" s="35"/>
      <c r="N308" s="18"/>
    </row>
    <row r="309" customFormat="false" ht="15.75" hidden="false" customHeight="false" outlineLevel="0" collapsed="false">
      <c r="G309" s="18"/>
      <c r="H309" s="35"/>
      <c r="N309" s="18"/>
    </row>
    <row r="310" customFormat="false" ht="15.75" hidden="false" customHeight="false" outlineLevel="0" collapsed="false">
      <c r="G310" s="18"/>
      <c r="H310" s="35"/>
      <c r="N310" s="18"/>
    </row>
    <row r="311" customFormat="false" ht="15.75" hidden="false" customHeight="false" outlineLevel="0" collapsed="false">
      <c r="G311" s="18"/>
      <c r="H311" s="35"/>
      <c r="N311" s="18"/>
    </row>
    <row r="312" customFormat="false" ht="15.75" hidden="false" customHeight="false" outlineLevel="0" collapsed="false">
      <c r="G312" s="18"/>
      <c r="H312" s="35"/>
      <c r="N312" s="18"/>
    </row>
    <row r="313" customFormat="false" ht="15.75" hidden="false" customHeight="false" outlineLevel="0" collapsed="false">
      <c r="G313" s="18"/>
      <c r="H313" s="35"/>
      <c r="N313" s="18"/>
    </row>
    <row r="314" customFormat="false" ht="15.75" hidden="false" customHeight="false" outlineLevel="0" collapsed="false">
      <c r="G314" s="18"/>
      <c r="H314" s="35"/>
      <c r="N314" s="18"/>
    </row>
    <row r="315" customFormat="false" ht="15.75" hidden="false" customHeight="false" outlineLevel="0" collapsed="false">
      <c r="G315" s="18"/>
      <c r="H315" s="35"/>
      <c r="N315" s="18"/>
    </row>
    <row r="316" customFormat="false" ht="15.75" hidden="false" customHeight="false" outlineLevel="0" collapsed="false">
      <c r="G316" s="18"/>
      <c r="H316" s="35"/>
      <c r="N316" s="18"/>
    </row>
    <row r="317" customFormat="false" ht="15.75" hidden="false" customHeight="false" outlineLevel="0" collapsed="false">
      <c r="G317" s="18"/>
      <c r="H317" s="35"/>
      <c r="N317" s="18"/>
    </row>
    <row r="318" customFormat="false" ht="15.75" hidden="false" customHeight="false" outlineLevel="0" collapsed="false">
      <c r="G318" s="18"/>
      <c r="H318" s="35"/>
      <c r="N318" s="18"/>
    </row>
    <row r="319" customFormat="false" ht="15.75" hidden="false" customHeight="false" outlineLevel="0" collapsed="false">
      <c r="G319" s="18"/>
      <c r="H319" s="35"/>
      <c r="N319" s="18"/>
    </row>
    <row r="320" customFormat="false" ht="15.75" hidden="false" customHeight="false" outlineLevel="0" collapsed="false">
      <c r="G320" s="18"/>
      <c r="H320" s="35"/>
      <c r="N320" s="18"/>
    </row>
    <row r="321" customFormat="false" ht="15.75" hidden="false" customHeight="false" outlineLevel="0" collapsed="false">
      <c r="G321" s="18"/>
      <c r="H321" s="35"/>
      <c r="N321" s="18"/>
    </row>
    <row r="322" customFormat="false" ht="15.75" hidden="false" customHeight="false" outlineLevel="0" collapsed="false">
      <c r="G322" s="18"/>
      <c r="H322" s="35"/>
      <c r="N322" s="18"/>
    </row>
    <row r="323" customFormat="false" ht="15.75" hidden="false" customHeight="false" outlineLevel="0" collapsed="false">
      <c r="G323" s="18"/>
      <c r="H323" s="35"/>
      <c r="N323" s="18"/>
    </row>
    <row r="324" customFormat="false" ht="15.75" hidden="false" customHeight="false" outlineLevel="0" collapsed="false">
      <c r="G324" s="18"/>
      <c r="H324" s="35"/>
      <c r="N324" s="18"/>
    </row>
    <row r="325" customFormat="false" ht="15.75" hidden="false" customHeight="false" outlineLevel="0" collapsed="false">
      <c r="G325" s="18"/>
      <c r="H325" s="35"/>
      <c r="N325" s="18"/>
    </row>
    <row r="326" customFormat="false" ht="15.75" hidden="false" customHeight="false" outlineLevel="0" collapsed="false">
      <c r="G326" s="18"/>
      <c r="H326" s="35"/>
      <c r="N326" s="18"/>
    </row>
    <row r="327" customFormat="false" ht="15.75" hidden="false" customHeight="false" outlineLevel="0" collapsed="false">
      <c r="G327" s="18"/>
      <c r="H327" s="35"/>
      <c r="N327" s="18"/>
    </row>
    <row r="328" customFormat="false" ht="15.75" hidden="false" customHeight="false" outlineLevel="0" collapsed="false">
      <c r="G328" s="18"/>
      <c r="H328" s="35"/>
      <c r="N328" s="18"/>
    </row>
    <row r="329" customFormat="false" ht="15.75" hidden="false" customHeight="false" outlineLevel="0" collapsed="false">
      <c r="G329" s="18"/>
      <c r="H329" s="35"/>
      <c r="N329" s="18"/>
    </row>
    <row r="330" customFormat="false" ht="15.75" hidden="false" customHeight="false" outlineLevel="0" collapsed="false">
      <c r="G330" s="18"/>
      <c r="H330" s="35"/>
      <c r="N330" s="18"/>
    </row>
    <row r="331" customFormat="false" ht="15.75" hidden="false" customHeight="false" outlineLevel="0" collapsed="false">
      <c r="G331" s="18"/>
      <c r="H331" s="35"/>
      <c r="N331" s="18"/>
    </row>
    <row r="332" customFormat="false" ht="15.75" hidden="false" customHeight="false" outlineLevel="0" collapsed="false">
      <c r="G332" s="18"/>
      <c r="H332" s="35"/>
      <c r="N332" s="18"/>
    </row>
    <row r="333" customFormat="false" ht="15.75" hidden="false" customHeight="false" outlineLevel="0" collapsed="false">
      <c r="G333" s="18"/>
      <c r="H333" s="35"/>
      <c r="N333" s="18"/>
    </row>
    <row r="334" customFormat="false" ht="15.75" hidden="false" customHeight="false" outlineLevel="0" collapsed="false">
      <c r="G334" s="18"/>
      <c r="H334" s="35"/>
      <c r="N334" s="18"/>
    </row>
    <row r="335" customFormat="false" ht="15.75" hidden="false" customHeight="false" outlineLevel="0" collapsed="false">
      <c r="G335" s="18"/>
      <c r="H335" s="35"/>
      <c r="N335" s="18"/>
    </row>
    <row r="336" customFormat="false" ht="15.75" hidden="false" customHeight="false" outlineLevel="0" collapsed="false">
      <c r="G336" s="18"/>
      <c r="H336" s="35"/>
      <c r="N336" s="18"/>
    </row>
    <row r="337" customFormat="false" ht="15.75" hidden="false" customHeight="false" outlineLevel="0" collapsed="false">
      <c r="G337" s="18"/>
      <c r="H337" s="35"/>
      <c r="N337" s="18"/>
    </row>
    <row r="338" customFormat="false" ht="15.75" hidden="false" customHeight="false" outlineLevel="0" collapsed="false">
      <c r="G338" s="18"/>
      <c r="H338" s="35"/>
      <c r="N338" s="18"/>
    </row>
    <row r="339" customFormat="false" ht="15.75" hidden="false" customHeight="false" outlineLevel="0" collapsed="false">
      <c r="G339" s="18"/>
      <c r="H339" s="35"/>
      <c r="N339" s="18"/>
    </row>
    <row r="340" customFormat="false" ht="15.75" hidden="false" customHeight="false" outlineLevel="0" collapsed="false">
      <c r="G340" s="18"/>
      <c r="H340" s="35"/>
      <c r="N340" s="18"/>
    </row>
    <row r="341" customFormat="false" ht="15.75" hidden="false" customHeight="false" outlineLevel="0" collapsed="false">
      <c r="G341" s="18"/>
      <c r="H341" s="35"/>
      <c r="N341" s="18"/>
    </row>
    <row r="342" customFormat="false" ht="15.75" hidden="false" customHeight="false" outlineLevel="0" collapsed="false">
      <c r="G342" s="18"/>
      <c r="H342" s="35"/>
      <c r="N342" s="18"/>
    </row>
    <row r="343" customFormat="false" ht="15.75" hidden="false" customHeight="false" outlineLevel="0" collapsed="false">
      <c r="G343" s="18"/>
      <c r="H343" s="35"/>
      <c r="N343" s="18"/>
    </row>
    <row r="344" customFormat="false" ht="15.75" hidden="false" customHeight="false" outlineLevel="0" collapsed="false">
      <c r="G344" s="18"/>
      <c r="H344" s="35"/>
      <c r="N344" s="18"/>
    </row>
    <row r="345" customFormat="false" ht="15.75" hidden="false" customHeight="false" outlineLevel="0" collapsed="false">
      <c r="G345" s="18"/>
      <c r="H345" s="35"/>
      <c r="N345" s="18"/>
    </row>
    <row r="346" customFormat="false" ht="15.75" hidden="false" customHeight="false" outlineLevel="0" collapsed="false">
      <c r="G346" s="18"/>
      <c r="H346" s="35"/>
      <c r="N346" s="18"/>
    </row>
    <row r="347" customFormat="false" ht="15.75" hidden="false" customHeight="false" outlineLevel="0" collapsed="false">
      <c r="G347" s="18"/>
      <c r="H347" s="35"/>
      <c r="N347" s="18"/>
    </row>
    <row r="348" customFormat="false" ht="15.75" hidden="false" customHeight="false" outlineLevel="0" collapsed="false">
      <c r="G348" s="18"/>
      <c r="H348" s="35"/>
      <c r="N348" s="18"/>
    </row>
    <row r="349" customFormat="false" ht="15.75" hidden="false" customHeight="false" outlineLevel="0" collapsed="false">
      <c r="G349" s="18"/>
      <c r="H349" s="35"/>
      <c r="N349" s="18"/>
    </row>
    <row r="350" customFormat="false" ht="15.75" hidden="false" customHeight="false" outlineLevel="0" collapsed="false">
      <c r="G350" s="18"/>
      <c r="H350" s="35"/>
      <c r="N350" s="18"/>
    </row>
    <row r="351" customFormat="false" ht="15.75" hidden="false" customHeight="false" outlineLevel="0" collapsed="false">
      <c r="G351" s="18"/>
      <c r="H351" s="35"/>
      <c r="N351" s="18"/>
    </row>
    <row r="352" customFormat="false" ht="15.75" hidden="false" customHeight="false" outlineLevel="0" collapsed="false">
      <c r="G352" s="18"/>
      <c r="H352" s="35"/>
      <c r="N352" s="18"/>
    </row>
    <row r="353" customFormat="false" ht="15.75" hidden="false" customHeight="false" outlineLevel="0" collapsed="false">
      <c r="G353" s="18"/>
      <c r="H353" s="35"/>
      <c r="N353" s="18"/>
    </row>
    <row r="354" customFormat="false" ht="15.75" hidden="false" customHeight="false" outlineLevel="0" collapsed="false">
      <c r="G354" s="18"/>
      <c r="H354" s="35"/>
      <c r="N354" s="18"/>
    </row>
    <row r="355" customFormat="false" ht="15.75" hidden="false" customHeight="false" outlineLevel="0" collapsed="false">
      <c r="G355" s="18"/>
      <c r="H355" s="35"/>
      <c r="N355" s="18"/>
    </row>
    <row r="356" customFormat="false" ht="15.75" hidden="false" customHeight="false" outlineLevel="0" collapsed="false">
      <c r="G356" s="18"/>
      <c r="H356" s="35"/>
      <c r="N356" s="18"/>
    </row>
    <row r="357" customFormat="false" ht="15.75" hidden="false" customHeight="false" outlineLevel="0" collapsed="false">
      <c r="G357" s="18"/>
      <c r="H357" s="35"/>
      <c r="N357" s="18"/>
    </row>
    <row r="358" customFormat="false" ht="15.75" hidden="false" customHeight="false" outlineLevel="0" collapsed="false">
      <c r="G358" s="18"/>
      <c r="H358" s="35"/>
      <c r="N358" s="18"/>
    </row>
    <row r="359" customFormat="false" ht="15.75" hidden="false" customHeight="false" outlineLevel="0" collapsed="false">
      <c r="G359" s="18"/>
      <c r="H359" s="35"/>
      <c r="N359" s="18"/>
    </row>
    <row r="360" customFormat="false" ht="15.75" hidden="false" customHeight="false" outlineLevel="0" collapsed="false">
      <c r="G360" s="18"/>
      <c r="H360" s="35"/>
      <c r="N360" s="18"/>
    </row>
    <row r="361" customFormat="false" ht="15.75" hidden="false" customHeight="false" outlineLevel="0" collapsed="false">
      <c r="G361" s="18"/>
      <c r="H361" s="35"/>
      <c r="N361" s="18"/>
    </row>
    <row r="362" customFormat="false" ht="15.75" hidden="false" customHeight="false" outlineLevel="0" collapsed="false">
      <c r="G362" s="18"/>
      <c r="H362" s="35"/>
      <c r="N362" s="18"/>
    </row>
    <row r="363" customFormat="false" ht="15.75" hidden="false" customHeight="false" outlineLevel="0" collapsed="false">
      <c r="G363" s="18"/>
      <c r="H363" s="35"/>
      <c r="N363" s="18"/>
    </row>
    <row r="364" customFormat="false" ht="15.75" hidden="false" customHeight="false" outlineLevel="0" collapsed="false">
      <c r="G364" s="18"/>
      <c r="H364" s="35"/>
      <c r="N364" s="18"/>
    </row>
    <row r="365" customFormat="false" ht="15.75" hidden="false" customHeight="false" outlineLevel="0" collapsed="false">
      <c r="G365" s="18"/>
      <c r="H365" s="35"/>
      <c r="N365" s="18"/>
    </row>
    <row r="366" customFormat="false" ht="15.75" hidden="false" customHeight="false" outlineLevel="0" collapsed="false">
      <c r="G366" s="18"/>
      <c r="H366" s="35"/>
      <c r="N366" s="18"/>
    </row>
    <row r="367" customFormat="false" ht="15.75" hidden="false" customHeight="false" outlineLevel="0" collapsed="false">
      <c r="G367" s="18"/>
      <c r="H367" s="35"/>
      <c r="N367" s="18"/>
    </row>
    <row r="368" customFormat="false" ht="15.75" hidden="false" customHeight="false" outlineLevel="0" collapsed="false">
      <c r="G368" s="18"/>
      <c r="H368" s="35"/>
      <c r="N368" s="18"/>
    </row>
    <row r="369" customFormat="false" ht="15.75" hidden="false" customHeight="false" outlineLevel="0" collapsed="false">
      <c r="G369" s="18"/>
      <c r="H369" s="35"/>
      <c r="N369" s="18"/>
    </row>
    <row r="370" customFormat="false" ht="15.75" hidden="false" customHeight="false" outlineLevel="0" collapsed="false">
      <c r="G370" s="18"/>
      <c r="H370" s="35"/>
      <c r="N370" s="18"/>
    </row>
    <row r="371" customFormat="false" ht="15.75" hidden="false" customHeight="false" outlineLevel="0" collapsed="false">
      <c r="G371" s="18"/>
      <c r="H371" s="35"/>
      <c r="N371" s="18"/>
    </row>
    <row r="372" customFormat="false" ht="15.75" hidden="false" customHeight="false" outlineLevel="0" collapsed="false">
      <c r="G372" s="18"/>
      <c r="H372" s="35"/>
      <c r="N372" s="18"/>
    </row>
    <row r="373" customFormat="false" ht="15.75" hidden="false" customHeight="false" outlineLevel="0" collapsed="false">
      <c r="G373" s="18"/>
      <c r="H373" s="35"/>
      <c r="N373" s="18"/>
    </row>
    <row r="374" customFormat="false" ht="15.75" hidden="false" customHeight="false" outlineLevel="0" collapsed="false">
      <c r="G374" s="18"/>
      <c r="H374" s="35"/>
      <c r="N374" s="18"/>
    </row>
    <row r="375" customFormat="false" ht="15.75" hidden="false" customHeight="false" outlineLevel="0" collapsed="false">
      <c r="G375" s="18"/>
      <c r="H375" s="35"/>
      <c r="N375" s="18"/>
    </row>
    <row r="376" customFormat="false" ht="15.75" hidden="false" customHeight="false" outlineLevel="0" collapsed="false">
      <c r="G376" s="18"/>
      <c r="H376" s="35"/>
      <c r="N376" s="18"/>
    </row>
    <row r="377" customFormat="false" ht="15.75" hidden="false" customHeight="false" outlineLevel="0" collapsed="false">
      <c r="G377" s="18"/>
      <c r="H377" s="35"/>
      <c r="N377" s="18"/>
    </row>
    <row r="378" customFormat="false" ht="15.75" hidden="false" customHeight="false" outlineLevel="0" collapsed="false">
      <c r="G378" s="18"/>
      <c r="H378" s="35"/>
      <c r="N378" s="18"/>
    </row>
    <row r="379" customFormat="false" ht="15.75" hidden="false" customHeight="false" outlineLevel="0" collapsed="false">
      <c r="G379" s="18"/>
      <c r="H379" s="35"/>
      <c r="N379" s="18"/>
    </row>
    <row r="380" customFormat="false" ht="15.75" hidden="false" customHeight="false" outlineLevel="0" collapsed="false">
      <c r="G380" s="18"/>
      <c r="H380" s="35"/>
      <c r="N380" s="18"/>
    </row>
    <row r="381" customFormat="false" ht="15.75" hidden="false" customHeight="false" outlineLevel="0" collapsed="false">
      <c r="G381" s="18"/>
      <c r="H381" s="35"/>
      <c r="N381" s="18"/>
    </row>
    <row r="382" customFormat="false" ht="15.75" hidden="false" customHeight="false" outlineLevel="0" collapsed="false">
      <c r="G382" s="18"/>
      <c r="H382" s="35"/>
      <c r="N382" s="18"/>
    </row>
    <row r="383" customFormat="false" ht="15.75" hidden="false" customHeight="false" outlineLevel="0" collapsed="false">
      <c r="G383" s="18"/>
      <c r="H383" s="35"/>
      <c r="N383" s="18"/>
    </row>
    <row r="384" customFormat="false" ht="15.75" hidden="false" customHeight="false" outlineLevel="0" collapsed="false">
      <c r="G384" s="18"/>
      <c r="H384" s="35"/>
      <c r="N384" s="18"/>
    </row>
    <row r="385" customFormat="false" ht="15.75" hidden="false" customHeight="false" outlineLevel="0" collapsed="false">
      <c r="G385" s="18"/>
      <c r="H385" s="35"/>
      <c r="N385" s="18"/>
    </row>
    <row r="386" customFormat="false" ht="15.75" hidden="false" customHeight="false" outlineLevel="0" collapsed="false">
      <c r="G386" s="18"/>
      <c r="H386" s="35"/>
      <c r="N386" s="18"/>
    </row>
    <row r="387" customFormat="false" ht="15.75" hidden="false" customHeight="false" outlineLevel="0" collapsed="false">
      <c r="G387" s="18"/>
      <c r="H387" s="35"/>
      <c r="N387" s="18"/>
    </row>
    <row r="388" customFormat="false" ht="15.75" hidden="false" customHeight="false" outlineLevel="0" collapsed="false">
      <c r="G388" s="18"/>
      <c r="H388" s="35"/>
      <c r="N388" s="18"/>
    </row>
    <row r="389" customFormat="false" ht="15.75" hidden="false" customHeight="false" outlineLevel="0" collapsed="false">
      <c r="G389" s="18"/>
      <c r="H389" s="35"/>
      <c r="N389" s="18"/>
    </row>
    <row r="390" customFormat="false" ht="15.75" hidden="false" customHeight="false" outlineLevel="0" collapsed="false">
      <c r="G390" s="18"/>
      <c r="H390" s="35"/>
      <c r="N390" s="18"/>
    </row>
    <row r="391" customFormat="false" ht="15.75" hidden="false" customHeight="false" outlineLevel="0" collapsed="false">
      <c r="G391" s="18"/>
      <c r="H391" s="35"/>
      <c r="N391" s="18"/>
    </row>
    <row r="392" customFormat="false" ht="15.75" hidden="false" customHeight="false" outlineLevel="0" collapsed="false">
      <c r="G392" s="18"/>
      <c r="H392" s="35"/>
      <c r="N392" s="18"/>
    </row>
    <row r="393" customFormat="false" ht="15.75" hidden="false" customHeight="false" outlineLevel="0" collapsed="false">
      <c r="G393" s="18"/>
      <c r="H393" s="35"/>
      <c r="N393" s="18"/>
    </row>
    <row r="394" customFormat="false" ht="15.75" hidden="false" customHeight="false" outlineLevel="0" collapsed="false">
      <c r="G394" s="18"/>
      <c r="H394" s="35"/>
      <c r="N394" s="18"/>
    </row>
    <row r="395" customFormat="false" ht="15.75" hidden="false" customHeight="false" outlineLevel="0" collapsed="false">
      <c r="G395" s="18"/>
      <c r="H395" s="35"/>
      <c r="N395" s="18"/>
    </row>
    <row r="396" customFormat="false" ht="15.75" hidden="false" customHeight="false" outlineLevel="0" collapsed="false">
      <c r="G396" s="18"/>
      <c r="H396" s="35"/>
      <c r="N396" s="18"/>
    </row>
    <row r="397" customFormat="false" ht="15.75" hidden="false" customHeight="false" outlineLevel="0" collapsed="false">
      <c r="G397" s="18"/>
      <c r="H397" s="35"/>
      <c r="N397" s="18"/>
    </row>
    <row r="398" customFormat="false" ht="15.75" hidden="false" customHeight="false" outlineLevel="0" collapsed="false">
      <c r="G398" s="18"/>
      <c r="H398" s="35"/>
      <c r="N398" s="18"/>
    </row>
    <row r="399" customFormat="false" ht="15.75" hidden="false" customHeight="false" outlineLevel="0" collapsed="false">
      <c r="G399" s="18"/>
      <c r="H399" s="35"/>
      <c r="N399" s="18"/>
    </row>
    <row r="400" customFormat="false" ht="15.75" hidden="false" customHeight="false" outlineLevel="0" collapsed="false">
      <c r="G400" s="18"/>
      <c r="H400" s="35"/>
      <c r="N400" s="18"/>
    </row>
    <row r="401" customFormat="false" ht="15.75" hidden="false" customHeight="false" outlineLevel="0" collapsed="false">
      <c r="G401" s="18"/>
      <c r="H401" s="35"/>
      <c r="N401" s="18"/>
    </row>
    <row r="402" customFormat="false" ht="15.75" hidden="false" customHeight="false" outlineLevel="0" collapsed="false">
      <c r="G402" s="18"/>
      <c r="H402" s="35"/>
      <c r="N402" s="18"/>
    </row>
    <row r="403" customFormat="false" ht="15.75" hidden="false" customHeight="false" outlineLevel="0" collapsed="false">
      <c r="G403" s="18"/>
      <c r="H403" s="35"/>
      <c r="N403" s="18"/>
    </row>
    <row r="404" customFormat="false" ht="15.75" hidden="false" customHeight="false" outlineLevel="0" collapsed="false">
      <c r="G404" s="18"/>
      <c r="H404" s="35"/>
      <c r="N404" s="18"/>
    </row>
    <row r="405" customFormat="false" ht="15.75" hidden="false" customHeight="false" outlineLevel="0" collapsed="false">
      <c r="G405" s="18"/>
      <c r="H405" s="35"/>
      <c r="N405" s="18"/>
    </row>
    <row r="406" customFormat="false" ht="15.75" hidden="false" customHeight="false" outlineLevel="0" collapsed="false">
      <c r="G406" s="18"/>
      <c r="H406" s="35"/>
      <c r="N406" s="18"/>
    </row>
    <row r="407" customFormat="false" ht="15.75" hidden="false" customHeight="false" outlineLevel="0" collapsed="false">
      <c r="G407" s="18"/>
      <c r="H407" s="35"/>
      <c r="N407" s="18"/>
    </row>
    <row r="408" customFormat="false" ht="15.75" hidden="false" customHeight="false" outlineLevel="0" collapsed="false">
      <c r="G408" s="18"/>
      <c r="H408" s="35"/>
      <c r="N408" s="18"/>
    </row>
    <row r="409" customFormat="false" ht="15.75" hidden="false" customHeight="false" outlineLevel="0" collapsed="false">
      <c r="G409" s="18"/>
      <c r="H409" s="35"/>
      <c r="N409" s="18"/>
    </row>
    <row r="410" customFormat="false" ht="15.75" hidden="false" customHeight="false" outlineLevel="0" collapsed="false">
      <c r="G410" s="18"/>
      <c r="H410" s="35"/>
      <c r="N410" s="18"/>
    </row>
    <row r="411" customFormat="false" ht="15.75" hidden="false" customHeight="false" outlineLevel="0" collapsed="false">
      <c r="G411" s="18"/>
      <c r="H411" s="35"/>
      <c r="N411" s="18"/>
    </row>
    <row r="412" customFormat="false" ht="15.75" hidden="false" customHeight="false" outlineLevel="0" collapsed="false">
      <c r="G412" s="18"/>
      <c r="H412" s="35"/>
      <c r="N412" s="18"/>
    </row>
    <row r="413" customFormat="false" ht="15.75" hidden="false" customHeight="false" outlineLevel="0" collapsed="false">
      <c r="G413" s="18"/>
      <c r="H413" s="35"/>
      <c r="N413" s="18"/>
    </row>
    <row r="414" customFormat="false" ht="15.75" hidden="false" customHeight="false" outlineLevel="0" collapsed="false">
      <c r="G414" s="18"/>
      <c r="H414" s="35"/>
      <c r="N414" s="18"/>
    </row>
    <row r="415" customFormat="false" ht="15.75" hidden="false" customHeight="false" outlineLevel="0" collapsed="false">
      <c r="G415" s="18"/>
      <c r="H415" s="35"/>
      <c r="N415" s="18"/>
    </row>
    <row r="416" customFormat="false" ht="15.75" hidden="false" customHeight="false" outlineLevel="0" collapsed="false">
      <c r="G416" s="18"/>
      <c r="H416" s="35"/>
      <c r="N416" s="18"/>
    </row>
    <row r="417" customFormat="false" ht="15.75" hidden="false" customHeight="false" outlineLevel="0" collapsed="false">
      <c r="G417" s="18"/>
      <c r="H417" s="35"/>
      <c r="N417" s="18"/>
    </row>
    <row r="418" customFormat="false" ht="15.75" hidden="false" customHeight="false" outlineLevel="0" collapsed="false">
      <c r="G418" s="18"/>
      <c r="H418" s="35"/>
      <c r="N418" s="18"/>
    </row>
    <row r="419" customFormat="false" ht="15.75" hidden="false" customHeight="false" outlineLevel="0" collapsed="false">
      <c r="G419" s="18"/>
      <c r="H419" s="35"/>
      <c r="N419" s="18"/>
    </row>
    <row r="420" customFormat="false" ht="15.75" hidden="false" customHeight="false" outlineLevel="0" collapsed="false">
      <c r="G420" s="18"/>
      <c r="H420" s="35"/>
      <c r="N420" s="18"/>
    </row>
    <row r="421" customFormat="false" ht="15.75" hidden="false" customHeight="false" outlineLevel="0" collapsed="false">
      <c r="G421" s="18"/>
      <c r="H421" s="35"/>
      <c r="N421" s="18"/>
    </row>
    <row r="422" customFormat="false" ht="15.75" hidden="false" customHeight="false" outlineLevel="0" collapsed="false">
      <c r="G422" s="18"/>
      <c r="H422" s="35"/>
      <c r="N422" s="18"/>
    </row>
    <row r="423" customFormat="false" ht="15.75" hidden="false" customHeight="false" outlineLevel="0" collapsed="false">
      <c r="G423" s="18"/>
      <c r="H423" s="35"/>
      <c r="N423" s="18"/>
    </row>
    <row r="424" customFormat="false" ht="15.75" hidden="false" customHeight="false" outlineLevel="0" collapsed="false">
      <c r="G424" s="18"/>
      <c r="H424" s="35"/>
      <c r="N424" s="18"/>
    </row>
    <row r="425" customFormat="false" ht="15.75" hidden="false" customHeight="false" outlineLevel="0" collapsed="false">
      <c r="G425" s="18"/>
      <c r="H425" s="35"/>
      <c r="N425" s="18"/>
    </row>
    <row r="426" customFormat="false" ht="15.75" hidden="false" customHeight="false" outlineLevel="0" collapsed="false">
      <c r="G426" s="18"/>
      <c r="H426" s="35"/>
      <c r="N426" s="18"/>
    </row>
    <row r="427" customFormat="false" ht="15.75" hidden="false" customHeight="false" outlineLevel="0" collapsed="false">
      <c r="G427" s="18"/>
      <c r="H427" s="35"/>
      <c r="N427" s="18"/>
    </row>
    <row r="428" customFormat="false" ht="15.75" hidden="false" customHeight="false" outlineLevel="0" collapsed="false">
      <c r="G428" s="18"/>
      <c r="H428" s="35"/>
      <c r="N428" s="18"/>
    </row>
    <row r="429" customFormat="false" ht="15.75" hidden="false" customHeight="false" outlineLevel="0" collapsed="false">
      <c r="G429" s="18"/>
      <c r="H429" s="35"/>
      <c r="N429" s="18"/>
    </row>
    <row r="430" customFormat="false" ht="15.75" hidden="false" customHeight="false" outlineLevel="0" collapsed="false">
      <c r="G430" s="18"/>
      <c r="H430" s="35"/>
      <c r="N430" s="18"/>
    </row>
    <row r="431" customFormat="false" ht="15.75" hidden="false" customHeight="false" outlineLevel="0" collapsed="false">
      <c r="G431" s="18"/>
      <c r="H431" s="35"/>
      <c r="N431" s="18"/>
    </row>
    <row r="432" customFormat="false" ht="15.75" hidden="false" customHeight="false" outlineLevel="0" collapsed="false">
      <c r="G432" s="18"/>
      <c r="H432" s="35"/>
      <c r="N432" s="18"/>
    </row>
    <row r="433" customFormat="false" ht="15.75" hidden="false" customHeight="false" outlineLevel="0" collapsed="false">
      <c r="G433" s="18"/>
      <c r="H433" s="35"/>
      <c r="N433" s="18"/>
    </row>
    <row r="434" customFormat="false" ht="15.75" hidden="false" customHeight="false" outlineLevel="0" collapsed="false">
      <c r="G434" s="18"/>
      <c r="H434" s="35"/>
      <c r="N434" s="18"/>
    </row>
    <row r="435" customFormat="false" ht="15.75" hidden="false" customHeight="false" outlineLevel="0" collapsed="false">
      <c r="G435" s="18"/>
      <c r="H435" s="35"/>
      <c r="N435" s="18"/>
    </row>
    <row r="436" customFormat="false" ht="15.75" hidden="false" customHeight="false" outlineLevel="0" collapsed="false">
      <c r="G436" s="18"/>
      <c r="H436" s="35"/>
      <c r="N436" s="18"/>
    </row>
    <row r="437" customFormat="false" ht="15.75" hidden="false" customHeight="false" outlineLevel="0" collapsed="false">
      <c r="G437" s="18"/>
      <c r="H437" s="35"/>
      <c r="N437" s="18"/>
    </row>
    <row r="438" customFormat="false" ht="15.75" hidden="false" customHeight="false" outlineLevel="0" collapsed="false">
      <c r="G438" s="18"/>
      <c r="H438" s="35"/>
      <c r="N438" s="18"/>
    </row>
    <row r="439" customFormat="false" ht="15.75" hidden="false" customHeight="false" outlineLevel="0" collapsed="false">
      <c r="G439" s="18"/>
      <c r="H439" s="35"/>
      <c r="N439" s="18"/>
    </row>
    <row r="440" customFormat="false" ht="15.75" hidden="false" customHeight="false" outlineLevel="0" collapsed="false">
      <c r="G440" s="18"/>
      <c r="H440" s="35"/>
      <c r="N440" s="18"/>
    </row>
    <row r="441" customFormat="false" ht="15.75" hidden="false" customHeight="false" outlineLevel="0" collapsed="false">
      <c r="G441" s="18"/>
      <c r="H441" s="35"/>
      <c r="N441" s="18"/>
    </row>
    <row r="442" customFormat="false" ht="15.75" hidden="false" customHeight="false" outlineLevel="0" collapsed="false">
      <c r="G442" s="18"/>
      <c r="H442" s="35"/>
      <c r="N442" s="18"/>
    </row>
    <row r="443" customFormat="false" ht="15.75" hidden="false" customHeight="false" outlineLevel="0" collapsed="false">
      <c r="G443" s="18"/>
      <c r="H443" s="35"/>
      <c r="N443" s="18"/>
    </row>
    <row r="444" customFormat="false" ht="15.75" hidden="false" customHeight="false" outlineLevel="0" collapsed="false">
      <c r="G444" s="18"/>
      <c r="H444" s="35"/>
      <c r="N444" s="18"/>
    </row>
    <row r="445" customFormat="false" ht="15.75" hidden="false" customHeight="false" outlineLevel="0" collapsed="false">
      <c r="G445" s="18"/>
      <c r="H445" s="35"/>
      <c r="N445" s="18"/>
    </row>
    <row r="446" customFormat="false" ht="15.75" hidden="false" customHeight="false" outlineLevel="0" collapsed="false">
      <c r="G446" s="18"/>
      <c r="H446" s="35"/>
      <c r="N446" s="18"/>
    </row>
    <row r="447" customFormat="false" ht="15.75" hidden="false" customHeight="false" outlineLevel="0" collapsed="false">
      <c r="G447" s="18"/>
      <c r="H447" s="35"/>
      <c r="N447" s="18"/>
    </row>
    <row r="448" customFormat="false" ht="15.75" hidden="false" customHeight="false" outlineLevel="0" collapsed="false">
      <c r="G448" s="18"/>
      <c r="H448" s="35"/>
      <c r="N448" s="18"/>
    </row>
    <row r="449" customFormat="false" ht="15.75" hidden="false" customHeight="false" outlineLevel="0" collapsed="false">
      <c r="G449" s="18"/>
      <c r="H449" s="35"/>
      <c r="N449" s="18"/>
    </row>
    <row r="450" customFormat="false" ht="15.75" hidden="false" customHeight="false" outlineLevel="0" collapsed="false">
      <c r="G450" s="18"/>
      <c r="H450" s="35"/>
      <c r="N450" s="18"/>
    </row>
    <row r="451" customFormat="false" ht="15.75" hidden="false" customHeight="false" outlineLevel="0" collapsed="false">
      <c r="G451" s="18"/>
      <c r="H451" s="35"/>
      <c r="N451" s="18"/>
    </row>
    <row r="452" customFormat="false" ht="15.75" hidden="false" customHeight="false" outlineLevel="0" collapsed="false">
      <c r="G452" s="18"/>
      <c r="H452" s="35"/>
      <c r="N452" s="18"/>
    </row>
    <row r="453" customFormat="false" ht="15.75" hidden="false" customHeight="false" outlineLevel="0" collapsed="false">
      <c r="G453" s="18"/>
      <c r="H453" s="35"/>
      <c r="N453" s="18"/>
    </row>
    <row r="454" customFormat="false" ht="15.75" hidden="false" customHeight="false" outlineLevel="0" collapsed="false">
      <c r="G454" s="18"/>
      <c r="H454" s="35"/>
      <c r="N454" s="18"/>
    </row>
    <row r="455" customFormat="false" ht="15.75" hidden="false" customHeight="false" outlineLevel="0" collapsed="false">
      <c r="G455" s="18"/>
      <c r="H455" s="35"/>
      <c r="N455" s="18"/>
    </row>
    <row r="456" customFormat="false" ht="15.75" hidden="false" customHeight="false" outlineLevel="0" collapsed="false">
      <c r="G456" s="18"/>
      <c r="H456" s="35"/>
      <c r="N456" s="18"/>
    </row>
    <row r="457" customFormat="false" ht="15.75" hidden="false" customHeight="false" outlineLevel="0" collapsed="false">
      <c r="G457" s="18"/>
      <c r="H457" s="35"/>
      <c r="N457" s="18"/>
    </row>
    <row r="458" customFormat="false" ht="15.75" hidden="false" customHeight="false" outlineLevel="0" collapsed="false">
      <c r="G458" s="18"/>
      <c r="H458" s="35"/>
      <c r="N458" s="18"/>
    </row>
    <row r="459" customFormat="false" ht="15.75" hidden="false" customHeight="false" outlineLevel="0" collapsed="false">
      <c r="G459" s="18"/>
      <c r="H459" s="35"/>
      <c r="N459" s="18"/>
    </row>
    <row r="460" customFormat="false" ht="15.75" hidden="false" customHeight="false" outlineLevel="0" collapsed="false">
      <c r="G460" s="18"/>
      <c r="H460" s="35"/>
      <c r="N460" s="18"/>
    </row>
    <row r="461" customFormat="false" ht="15.75" hidden="false" customHeight="false" outlineLevel="0" collapsed="false">
      <c r="G461" s="18"/>
      <c r="H461" s="35"/>
      <c r="N461" s="18"/>
    </row>
    <row r="462" customFormat="false" ht="15.75" hidden="false" customHeight="false" outlineLevel="0" collapsed="false">
      <c r="G462" s="18"/>
      <c r="H462" s="35"/>
      <c r="N462" s="18"/>
    </row>
    <row r="463" customFormat="false" ht="15.75" hidden="false" customHeight="false" outlineLevel="0" collapsed="false">
      <c r="G463" s="18"/>
      <c r="H463" s="35"/>
      <c r="N463" s="18"/>
    </row>
    <row r="464" customFormat="false" ht="15.75" hidden="false" customHeight="false" outlineLevel="0" collapsed="false">
      <c r="G464" s="18"/>
      <c r="H464" s="35"/>
      <c r="N464" s="18"/>
    </row>
    <row r="465" customFormat="false" ht="15.75" hidden="false" customHeight="false" outlineLevel="0" collapsed="false">
      <c r="G465" s="18"/>
      <c r="H465" s="35"/>
      <c r="N465" s="18"/>
    </row>
    <row r="466" customFormat="false" ht="15.75" hidden="false" customHeight="false" outlineLevel="0" collapsed="false">
      <c r="G466" s="18"/>
      <c r="H466" s="35"/>
      <c r="N466" s="18"/>
    </row>
    <row r="467" customFormat="false" ht="15.75" hidden="false" customHeight="false" outlineLevel="0" collapsed="false">
      <c r="G467" s="18"/>
      <c r="H467" s="35"/>
      <c r="N467" s="18"/>
    </row>
    <row r="468" customFormat="false" ht="15.75" hidden="false" customHeight="false" outlineLevel="0" collapsed="false">
      <c r="G468" s="18"/>
      <c r="H468" s="35"/>
      <c r="N468" s="18"/>
    </row>
    <row r="469" customFormat="false" ht="15.75" hidden="false" customHeight="false" outlineLevel="0" collapsed="false">
      <c r="G469" s="18"/>
      <c r="H469" s="35"/>
      <c r="N469" s="18"/>
    </row>
    <row r="470" customFormat="false" ht="15.75" hidden="false" customHeight="false" outlineLevel="0" collapsed="false">
      <c r="G470" s="18"/>
      <c r="H470" s="35"/>
      <c r="N470" s="18"/>
    </row>
    <row r="471" customFormat="false" ht="15.75" hidden="false" customHeight="false" outlineLevel="0" collapsed="false">
      <c r="G471" s="18"/>
      <c r="H471" s="35"/>
      <c r="N471" s="18"/>
    </row>
    <row r="472" customFormat="false" ht="15.75" hidden="false" customHeight="false" outlineLevel="0" collapsed="false">
      <c r="G472" s="18"/>
      <c r="H472" s="35"/>
      <c r="N472" s="18"/>
    </row>
    <row r="473" customFormat="false" ht="15.75" hidden="false" customHeight="false" outlineLevel="0" collapsed="false">
      <c r="G473" s="18"/>
      <c r="H473" s="35"/>
      <c r="N473" s="18"/>
    </row>
    <row r="474" customFormat="false" ht="15.75" hidden="false" customHeight="false" outlineLevel="0" collapsed="false">
      <c r="G474" s="18"/>
      <c r="H474" s="35"/>
      <c r="N474" s="18"/>
    </row>
    <row r="475" customFormat="false" ht="15.75" hidden="false" customHeight="false" outlineLevel="0" collapsed="false">
      <c r="G475" s="18"/>
      <c r="H475" s="35"/>
      <c r="N475" s="18"/>
    </row>
    <row r="476" customFormat="false" ht="15.75" hidden="false" customHeight="false" outlineLevel="0" collapsed="false">
      <c r="G476" s="18"/>
      <c r="H476" s="35"/>
      <c r="N476" s="18"/>
    </row>
    <row r="477" customFormat="false" ht="15.75" hidden="false" customHeight="false" outlineLevel="0" collapsed="false">
      <c r="G477" s="18"/>
      <c r="H477" s="35"/>
      <c r="N477" s="18"/>
    </row>
    <row r="478" customFormat="false" ht="15.75" hidden="false" customHeight="false" outlineLevel="0" collapsed="false">
      <c r="G478" s="18"/>
      <c r="H478" s="35"/>
      <c r="N478" s="18"/>
    </row>
    <row r="479" customFormat="false" ht="15.75" hidden="false" customHeight="false" outlineLevel="0" collapsed="false">
      <c r="G479" s="18"/>
      <c r="H479" s="35"/>
      <c r="N479" s="18"/>
    </row>
    <row r="480" customFormat="false" ht="15.75" hidden="false" customHeight="false" outlineLevel="0" collapsed="false">
      <c r="G480" s="18"/>
      <c r="H480" s="35"/>
      <c r="N480" s="18"/>
    </row>
    <row r="481" customFormat="false" ht="15.75" hidden="false" customHeight="false" outlineLevel="0" collapsed="false">
      <c r="G481" s="18"/>
      <c r="H481" s="35"/>
      <c r="N481" s="18"/>
    </row>
    <row r="482" customFormat="false" ht="15.75" hidden="false" customHeight="false" outlineLevel="0" collapsed="false">
      <c r="G482" s="18"/>
      <c r="H482" s="35"/>
      <c r="N482" s="18"/>
    </row>
    <row r="483" customFormat="false" ht="15.75" hidden="false" customHeight="false" outlineLevel="0" collapsed="false">
      <c r="G483" s="18"/>
      <c r="H483" s="35"/>
      <c r="N483" s="18"/>
    </row>
    <row r="484" customFormat="false" ht="15.75" hidden="false" customHeight="false" outlineLevel="0" collapsed="false">
      <c r="G484" s="18"/>
      <c r="H484" s="35"/>
      <c r="N484" s="18"/>
    </row>
    <row r="485" customFormat="false" ht="15.75" hidden="false" customHeight="false" outlineLevel="0" collapsed="false">
      <c r="G485" s="18"/>
      <c r="H485" s="35"/>
      <c r="N485" s="18"/>
    </row>
    <row r="486" customFormat="false" ht="15.75" hidden="false" customHeight="false" outlineLevel="0" collapsed="false">
      <c r="G486" s="18"/>
      <c r="H486" s="35"/>
      <c r="N486" s="18"/>
    </row>
    <row r="487" customFormat="false" ht="15.75" hidden="false" customHeight="false" outlineLevel="0" collapsed="false">
      <c r="G487" s="18"/>
      <c r="H487" s="35"/>
      <c r="N487" s="18"/>
    </row>
    <row r="488" customFormat="false" ht="15.75" hidden="false" customHeight="false" outlineLevel="0" collapsed="false">
      <c r="G488" s="18"/>
      <c r="H488" s="35"/>
      <c r="N488" s="18"/>
    </row>
    <row r="489" customFormat="false" ht="15.75" hidden="false" customHeight="false" outlineLevel="0" collapsed="false">
      <c r="G489" s="18"/>
      <c r="H489" s="35"/>
      <c r="N489" s="18"/>
    </row>
    <row r="490" customFormat="false" ht="15.75" hidden="false" customHeight="false" outlineLevel="0" collapsed="false">
      <c r="G490" s="18"/>
      <c r="H490" s="35"/>
      <c r="N490" s="18"/>
    </row>
    <row r="491" customFormat="false" ht="15.75" hidden="false" customHeight="false" outlineLevel="0" collapsed="false">
      <c r="G491" s="18"/>
      <c r="H491" s="35"/>
      <c r="N491" s="18"/>
    </row>
    <row r="492" customFormat="false" ht="15.75" hidden="false" customHeight="false" outlineLevel="0" collapsed="false">
      <c r="G492" s="18"/>
      <c r="H492" s="35"/>
      <c r="N492" s="18"/>
    </row>
    <row r="493" customFormat="false" ht="15.75" hidden="false" customHeight="false" outlineLevel="0" collapsed="false">
      <c r="G493" s="18"/>
      <c r="H493" s="35"/>
      <c r="N493" s="18"/>
    </row>
    <row r="494" customFormat="false" ht="15.75" hidden="false" customHeight="false" outlineLevel="0" collapsed="false">
      <c r="G494" s="18"/>
      <c r="H494" s="35"/>
      <c r="N494" s="18"/>
    </row>
    <row r="495" customFormat="false" ht="15.75" hidden="false" customHeight="false" outlineLevel="0" collapsed="false">
      <c r="G495" s="18"/>
      <c r="H495" s="35"/>
      <c r="N495" s="18"/>
    </row>
    <row r="496" customFormat="false" ht="15.75" hidden="false" customHeight="false" outlineLevel="0" collapsed="false">
      <c r="G496" s="18"/>
      <c r="H496" s="35"/>
      <c r="N496" s="18"/>
    </row>
    <row r="497" customFormat="false" ht="15.75" hidden="false" customHeight="false" outlineLevel="0" collapsed="false">
      <c r="G497" s="18"/>
      <c r="H497" s="35"/>
      <c r="N497" s="18"/>
    </row>
    <row r="498" customFormat="false" ht="15.75" hidden="false" customHeight="false" outlineLevel="0" collapsed="false">
      <c r="G498" s="18"/>
      <c r="H498" s="35"/>
      <c r="N498" s="18"/>
    </row>
    <row r="499" customFormat="false" ht="15.75" hidden="false" customHeight="false" outlineLevel="0" collapsed="false">
      <c r="G499" s="18"/>
      <c r="H499" s="35"/>
      <c r="N499" s="18"/>
    </row>
    <row r="500" customFormat="false" ht="15.75" hidden="false" customHeight="false" outlineLevel="0" collapsed="false">
      <c r="G500" s="18"/>
      <c r="H500" s="35"/>
      <c r="N500" s="18"/>
    </row>
    <row r="501" customFormat="false" ht="15.75" hidden="false" customHeight="false" outlineLevel="0" collapsed="false">
      <c r="G501" s="18"/>
      <c r="H501" s="35"/>
      <c r="N501" s="18"/>
    </row>
    <row r="502" customFormat="false" ht="15.75" hidden="false" customHeight="false" outlineLevel="0" collapsed="false">
      <c r="G502" s="18"/>
      <c r="H502" s="35"/>
      <c r="N502" s="18"/>
    </row>
    <row r="503" customFormat="false" ht="15.75" hidden="false" customHeight="false" outlineLevel="0" collapsed="false">
      <c r="G503" s="18"/>
      <c r="H503" s="35"/>
      <c r="N503" s="18"/>
    </row>
    <row r="504" customFormat="false" ht="15.75" hidden="false" customHeight="false" outlineLevel="0" collapsed="false">
      <c r="G504" s="18"/>
      <c r="H504" s="35"/>
      <c r="N504" s="18"/>
    </row>
    <row r="505" customFormat="false" ht="15.75" hidden="false" customHeight="false" outlineLevel="0" collapsed="false">
      <c r="G505" s="18"/>
      <c r="H505" s="35"/>
      <c r="N505" s="18"/>
    </row>
    <row r="506" customFormat="false" ht="15.75" hidden="false" customHeight="false" outlineLevel="0" collapsed="false">
      <c r="G506" s="18"/>
      <c r="H506" s="35"/>
      <c r="N506" s="18"/>
    </row>
    <row r="507" customFormat="false" ht="15.75" hidden="false" customHeight="false" outlineLevel="0" collapsed="false">
      <c r="G507" s="18"/>
      <c r="H507" s="35"/>
      <c r="N507" s="18"/>
    </row>
    <row r="508" customFormat="false" ht="15.75" hidden="false" customHeight="false" outlineLevel="0" collapsed="false">
      <c r="G508" s="18"/>
      <c r="H508" s="35"/>
      <c r="N508" s="18"/>
    </row>
    <row r="509" customFormat="false" ht="15.75" hidden="false" customHeight="false" outlineLevel="0" collapsed="false">
      <c r="G509" s="18"/>
      <c r="H509" s="35"/>
      <c r="N509" s="18"/>
    </row>
    <row r="510" customFormat="false" ht="15.75" hidden="false" customHeight="false" outlineLevel="0" collapsed="false">
      <c r="G510" s="18"/>
      <c r="H510" s="35"/>
      <c r="N510" s="18"/>
    </row>
    <row r="511" customFormat="false" ht="15.75" hidden="false" customHeight="false" outlineLevel="0" collapsed="false">
      <c r="G511" s="18"/>
      <c r="H511" s="35"/>
      <c r="N511" s="18"/>
    </row>
    <row r="512" customFormat="false" ht="15.75" hidden="false" customHeight="false" outlineLevel="0" collapsed="false">
      <c r="G512" s="18"/>
      <c r="H512" s="35"/>
      <c r="N512" s="18"/>
    </row>
    <row r="513" customFormat="false" ht="15.75" hidden="false" customHeight="false" outlineLevel="0" collapsed="false">
      <c r="G513" s="18"/>
      <c r="H513" s="35"/>
      <c r="N513" s="18"/>
    </row>
    <row r="514" customFormat="false" ht="15.75" hidden="false" customHeight="false" outlineLevel="0" collapsed="false">
      <c r="G514" s="18"/>
      <c r="H514" s="35"/>
      <c r="N514" s="18"/>
    </row>
    <row r="515" customFormat="false" ht="15.75" hidden="false" customHeight="false" outlineLevel="0" collapsed="false">
      <c r="G515" s="18"/>
      <c r="H515" s="35"/>
      <c r="N515" s="18"/>
    </row>
    <row r="516" customFormat="false" ht="15.75" hidden="false" customHeight="false" outlineLevel="0" collapsed="false">
      <c r="G516" s="18"/>
      <c r="H516" s="35"/>
      <c r="N516" s="18"/>
    </row>
    <row r="517" customFormat="false" ht="15.75" hidden="false" customHeight="false" outlineLevel="0" collapsed="false">
      <c r="G517" s="18"/>
      <c r="H517" s="35"/>
      <c r="N517" s="18"/>
    </row>
    <row r="518" customFormat="false" ht="15.75" hidden="false" customHeight="false" outlineLevel="0" collapsed="false">
      <c r="G518" s="18"/>
      <c r="H518" s="35"/>
      <c r="N518" s="18"/>
    </row>
    <row r="519" customFormat="false" ht="15.75" hidden="false" customHeight="false" outlineLevel="0" collapsed="false">
      <c r="G519" s="18"/>
      <c r="H519" s="35"/>
      <c r="N519" s="18"/>
    </row>
    <row r="520" customFormat="false" ht="15.75" hidden="false" customHeight="false" outlineLevel="0" collapsed="false">
      <c r="G520" s="18"/>
      <c r="H520" s="35"/>
      <c r="N520" s="18"/>
    </row>
    <row r="521" customFormat="false" ht="15.75" hidden="false" customHeight="false" outlineLevel="0" collapsed="false">
      <c r="G521" s="18"/>
      <c r="H521" s="35"/>
      <c r="N521" s="18"/>
    </row>
    <row r="522" customFormat="false" ht="15.75" hidden="false" customHeight="false" outlineLevel="0" collapsed="false">
      <c r="G522" s="18"/>
      <c r="H522" s="35"/>
      <c r="N522" s="18"/>
    </row>
    <row r="523" customFormat="false" ht="15.75" hidden="false" customHeight="false" outlineLevel="0" collapsed="false">
      <c r="G523" s="18"/>
      <c r="H523" s="35"/>
      <c r="N523" s="18"/>
    </row>
    <row r="524" customFormat="false" ht="15.75" hidden="false" customHeight="false" outlineLevel="0" collapsed="false">
      <c r="G524" s="18"/>
      <c r="H524" s="35"/>
      <c r="N524" s="18"/>
    </row>
    <row r="525" customFormat="false" ht="15.75" hidden="false" customHeight="false" outlineLevel="0" collapsed="false">
      <c r="G525" s="18"/>
      <c r="H525" s="35"/>
      <c r="N525" s="18"/>
    </row>
    <row r="526" customFormat="false" ht="15.75" hidden="false" customHeight="false" outlineLevel="0" collapsed="false">
      <c r="G526" s="18"/>
      <c r="H526" s="35"/>
      <c r="N526" s="18"/>
    </row>
    <row r="527" customFormat="false" ht="15.75" hidden="false" customHeight="false" outlineLevel="0" collapsed="false">
      <c r="G527" s="18"/>
      <c r="H527" s="35"/>
      <c r="N527" s="18"/>
    </row>
    <row r="528" customFormat="false" ht="15.75" hidden="false" customHeight="false" outlineLevel="0" collapsed="false">
      <c r="G528" s="18"/>
      <c r="H528" s="35"/>
      <c r="N528" s="18"/>
    </row>
    <row r="529" customFormat="false" ht="15.75" hidden="false" customHeight="false" outlineLevel="0" collapsed="false">
      <c r="G529" s="18"/>
      <c r="H529" s="35"/>
      <c r="N529" s="18"/>
    </row>
    <row r="530" customFormat="false" ht="15.75" hidden="false" customHeight="false" outlineLevel="0" collapsed="false">
      <c r="G530" s="18"/>
      <c r="H530" s="35"/>
      <c r="N530" s="18"/>
    </row>
    <row r="531" customFormat="false" ht="15.75" hidden="false" customHeight="false" outlineLevel="0" collapsed="false">
      <c r="G531" s="18"/>
      <c r="H531" s="35"/>
      <c r="N531" s="18"/>
    </row>
    <row r="532" customFormat="false" ht="15.75" hidden="false" customHeight="false" outlineLevel="0" collapsed="false">
      <c r="G532" s="18"/>
      <c r="H532" s="35"/>
      <c r="N532" s="18"/>
    </row>
    <row r="533" customFormat="false" ht="15.75" hidden="false" customHeight="false" outlineLevel="0" collapsed="false">
      <c r="G533" s="18"/>
      <c r="H533" s="35"/>
      <c r="N533" s="18"/>
    </row>
    <row r="534" customFormat="false" ht="15.75" hidden="false" customHeight="false" outlineLevel="0" collapsed="false">
      <c r="G534" s="18"/>
      <c r="H534" s="35"/>
      <c r="N534" s="18"/>
    </row>
    <row r="535" customFormat="false" ht="15.75" hidden="false" customHeight="false" outlineLevel="0" collapsed="false">
      <c r="G535" s="18"/>
      <c r="H535" s="35"/>
      <c r="N535" s="18"/>
    </row>
    <row r="536" customFormat="false" ht="15.75" hidden="false" customHeight="false" outlineLevel="0" collapsed="false">
      <c r="G536" s="18"/>
      <c r="H536" s="35"/>
      <c r="N536" s="18"/>
    </row>
    <row r="537" customFormat="false" ht="15.75" hidden="false" customHeight="false" outlineLevel="0" collapsed="false">
      <c r="G537" s="18"/>
      <c r="H537" s="35"/>
      <c r="N537" s="18"/>
    </row>
    <row r="538" customFormat="false" ht="15.75" hidden="false" customHeight="false" outlineLevel="0" collapsed="false">
      <c r="G538" s="18"/>
      <c r="H538" s="35"/>
      <c r="N538" s="18"/>
    </row>
    <row r="539" customFormat="false" ht="15.75" hidden="false" customHeight="false" outlineLevel="0" collapsed="false">
      <c r="G539" s="18"/>
      <c r="H539" s="35"/>
      <c r="N539" s="18"/>
    </row>
    <row r="540" customFormat="false" ht="15.75" hidden="false" customHeight="false" outlineLevel="0" collapsed="false">
      <c r="G540" s="18"/>
      <c r="H540" s="35"/>
      <c r="N540" s="18"/>
    </row>
    <row r="541" customFormat="false" ht="15.75" hidden="false" customHeight="false" outlineLevel="0" collapsed="false">
      <c r="G541" s="18"/>
      <c r="H541" s="35"/>
      <c r="N541" s="18"/>
    </row>
    <row r="542" customFormat="false" ht="15.75" hidden="false" customHeight="false" outlineLevel="0" collapsed="false">
      <c r="G542" s="18"/>
      <c r="H542" s="35"/>
      <c r="N542" s="18"/>
    </row>
    <row r="543" customFormat="false" ht="15.75" hidden="false" customHeight="false" outlineLevel="0" collapsed="false">
      <c r="G543" s="18"/>
      <c r="H543" s="35"/>
      <c r="N543" s="18"/>
    </row>
    <row r="544" customFormat="false" ht="15.75" hidden="false" customHeight="false" outlineLevel="0" collapsed="false">
      <c r="G544" s="18"/>
      <c r="H544" s="35"/>
      <c r="N544" s="18"/>
    </row>
    <row r="545" customFormat="false" ht="15.75" hidden="false" customHeight="false" outlineLevel="0" collapsed="false">
      <c r="G545" s="18"/>
      <c r="H545" s="35"/>
      <c r="N545" s="18"/>
    </row>
    <row r="546" customFormat="false" ht="15.75" hidden="false" customHeight="false" outlineLevel="0" collapsed="false">
      <c r="G546" s="18"/>
      <c r="H546" s="35"/>
      <c r="N546" s="18"/>
    </row>
    <row r="547" customFormat="false" ht="15.75" hidden="false" customHeight="false" outlineLevel="0" collapsed="false">
      <c r="G547" s="18"/>
      <c r="H547" s="35"/>
      <c r="N547" s="18"/>
    </row>
    <row r="548" customFormat="false" ht="15.75" hidden="false" customHeight="false" outlineLevel="0" collapsed="false">
      <c r="G548" s="18"/>
      <c r="H548" s="35"/>
      <c r="N548" s="18"/>
    </row>
    <row r="549" customFormat="false" ht="15.75" hidden="false" customHeight="false" outlineLevel="0" collapsed="false">
      <c r="G549" s="18"/>
      <c r="H549" s="35"/>
      <c r="N549" s="18"/>
    </row>
    <row r="550" customFormat="false" ht="15.75" hidden="false" customHeight="false" outlineLevel="0" collapsed="false">
      <c r="G550" s="18"/>
      <c r="H550" s="35"/>
      <c r="N550" s="18"/>
    </row>
    <row r="551" customFormat="false" ht="15.75" hidden="false" customHeight="false" outlineLevel="0" collapsed="false">
      <c r="G551" s="18"/>
      <c r="H551" s="35"/>
      <c r="N551" s="18"/>
    </row>
    <row r="552" customFormat="false" ht="15.75" hidden="false" customHeight="false" outlineLevel="0" collapsed="false">
      <c r="G552" s="18"/>
      <c r="H552" s="35"/>
      <c r="N552" s="18"/>
    </row>
    <row r="553" customFormat="false" ht="15.75" hidden="false" customHeight="false" outlineLevel="0" collapsed="false">
      <c r="G553" s="18"/>
      <c r="H553" s="35"/>
      <c r="N553" s="18"/>
    </row>
    <row r="554" customFormat="false" ht="15.75" hidden="false" customHeight="false" outlineLevel="0" collapsed="false">
      <c r="G554" s="18"/>
      <c r="H554" s="35"/>
      <c r="N554" s="18"/>
    </row>
    <row r="555" customFormat="false" ht="15.75" hidden="false" customHeight="false" outlineLevel="0" collapsed="false">
      <c r="G555" s="18"/>
      <c r="H555" s="35"/>
      <c r="N555" s="18"/>
    </row>
    <row r="556" customFormat="false" ht="15.75" hidden="false" customHeight="false" outlineLevel="0" collapsed="false">
      <c r="G556" s="18"/>
      <c r="H556" s="35"/>
      <c r="N556" s="18"/>
    </row>
    <row r="557" customFormat="false" ht="15.75" hidden="false" customHeight="false" outlineLevel="0" collapsed="false">
      <c r="G557" s="18"/>
      <c r="H557" s="35"/>
      <c r="N557" s="18"/>
    </row>
    <row r="558" customFormat="false" ht="15.75" hidden="false" customHeight="false" outlineLevel="0" collapsed="false">
      <c r="G558" s="18"/>
      <c r="H558" s="35"/>
      <c r="N558" s="18"/>
    </row>
    <row r="559" customFormat="false" ht="15.75" hidden="false" customHeight="false" outlineLevel="0" collapsed="false">
      <c r="G559" s="18"/>
      <c r="H559" s="35"/>
      <c r="N559" s="18"/>
    </row>
    <row r="560" customFormat="false" ht="15.75" hidden="false" customHeight="false" outlineLevel="0" collapsed="false">
      <c r="G560" s="18"/>
      <c r="H560" s="35"/>
      <c r="N560" s="18"/>
    </row>
    <row r="561" customFormat="false" ht="15.75" hidden="false" customHeight="false" outlineLevel="0" collapsed="false">
      <c r="G561" s="18"/>
      <c r="H561" s="35"/>
      <c r="N561" s="18"/>
    </row>
    <row r="562" customFormat="false" ht="15.75" hidden="false" customHeight="false" outlineLevel="0" collapsed="false">
      <c r="G562" s="18"/>
      <c r="H562" s="35"/>
      <c r="N562" s="18"/>
    </row>
    <row r="563" customFormat="false" ht="15.75" hidden="false" customHeight="false" outlineLevel="0" collapsed="false">
      <c r="G563" s="18"/>
      <c r="H563" s="35"/>
      <c r="N563" s="18"/>
    </row>
    <row r="564" customFormat="false" ht="15.75" hidden="false" customHeight="false" outlineLevel="0" collapsed="false">
      <c r="G564" s="18"/>
      <c r="H564" s="35"/>
      <c r="N564" s="18"/>
    </row>
    <row r="565" customFormat="false" ht="15.75" hidden="false" customHeight="false" outlineLevel="0" collapsed="false">
      <c r="G565" s="18"/>
      <c r="H565" s="35"/>
      <c r="N565" s="18"/>
    </row>
    <row r="566" customFormat="false" ht="15.75" hidden="false" customHeight="false" outlineLevel="0" collapsed="false">
      <c r="G566" s="18"/>
      <c r="H566" s="35"/>
      <c r="N566" s="18"/>
    </row>
    <row r="567" customFormat="false" ht="15.75" hidden="false" customHeight="false" outlineLevel="0" collapsed="false">
      <c r="G567" s="18"/>
      <c r="H567" s="35"/>
      <c r="N567" s="18"/>
    </row>
    <row r="568" customFormat="false" ht="15.75" hidden="false" customHeight="false" outlineLevel="0" collapsed="false">
      <c r="G568" s="18"/>
      <c r="H568" s="35"/>
      <c r="N568" s="18"/>
    </row>
    <row r="569" customFormat="false" ht="15.75" hidden="false" customHeight="false" outlineLevel="0" collapsed="false">
      <c r="G569" s="18"/>
      <c r="H569" s="35"/>
      <c r="N569" s="18"/>
    </row>
    <row r="570" customFormat="false" ht="15.75" hidden="false" customHeight="false" outlineLevel="0" collapsed="false">
      <c r="G570" s="18"/>
      <c r="H570" s="35"/>
      <c r="N570" s="18"/>
    </row>
    <row r="571" customFormat="false" ht="15.75" hidden="false" customHeight="false" outlineLevel="0" collapsed="false">
      <c r="G571" s="18"/>
      <c r="H571" s="35"/>
      <c r="N571" s="18"/>
    </row>
    <row r="572" customFormat="false" ht="15.75" hidden="false" customHeight="false" outlineLevel="0" collapsed="false">
      <c r="G572" s="18"/>
      <c r="H572" s="35"/>
      <c r="N572" s="18"/>
    </row>
    <row r="573" customFormat="false" ht="15.75" hidden="false" customHeight="false" outlineLevel="0" collapsed="false">
      <c r="G573" s="18"/>
      <c r="H573" s="35"/>
      <c r="N573" s="18"/>
    </row>
    <row r="574" customFormat="false" ht="15.75" hidden="false" customHeight="false" outlineLevel="0" collapsed="false">
      <c r="G574" s="18"/>
      <c r="H574" s="35"/>
      <c r="N574" s="18"/>
    </row>
    <row r="575" customFormat="false" ht="15.75" hidden="false" customHeight="false" outlineLevel="0" collapsed="false">
      <c r="G575" s="18"/>
      <c r="H575" s="35"/>
      <c r="N575" s="18"/>
    </row>
    <row r="576" customFormat="false" ht="15.75" hidden="false" customHeight="false" outlineLevel="0" collapsed="false">
      <c r="G576" s="18"/>
      <c r="H576" s="35"/>
      <c r="N576" s="18"/>
    </row>
    <row r="577" customFormat="false" ht="15.75" hidden="false" customHeight="false" outlineLevel="0" collapsed="false">
      <c r="G577" s="18"/>
      <c r="H577" s="35"/>
      <c r="N577" s="18"/>
    </row>
    <row r="578" customFormat="false" ht="15.75" hidden="false" customHeight="false" outlineLevel="0" collapsed="false">
      <c r="G578" s="18"/>
      <c r="H578" s="35"/>
      <c r="N578" s="18"/>
    </row>
    <row r="579" customFormat="false" ht="15.75" hidden="false" customHeight="false" outlineLevel="0" collapsed="false">
      <c r="G579" s="18"/>
      <c r="H579" s="35"/>
      <c r="N579" s="18"/>
    </row>
    <row r="580" customFormat="false" ht="15.75" hidden="false" customHeight="false" outlineLevel="0" collapsed="false">
      <c r="G580" s="18"/>
      <c r="H580" s="35"/>
      <c r="N580" s="18"/>
    </row>
    <row r="581" customFormat="false" ht="15.75" hidden="false" customHeight="false" outlineLevel="0" collapsed="false">
      <c r="G581" s="18"/>
      <c r="H581" s="35"/>
      <c r="N581" s="18"/>
    </row>
    <row r="582" customFormat="false" ht="15.75" hidden="false" customHeight="false" outlineLevel="0" collapsed="false">
      <c r="G582" s="18"/>
      <c r="H582" s="35"/>
      <c r="N582" s="18"/>
    </row>
    <row r="583" customFormat="false" ht="15.75" hidden="false" customHeight="false" outlineLevel="0" collapsed="false">
      <c r="G583" s="18"/>
      <c r="H583" s="35"/>
      <c r="N583" s="18"/>
    </row>
    <row r="584" customFormat="false" ht="15.75" hidden="false" customHeight="false" outlineLevel="0" collapsed="false">
      <c r="G584" s="18"/>
      <c r="H584" s="35"/>
      <c r="N584" s="18"/>
    </row>
    <row r="585" customFormat="false" ht="15.75" hidden="false" customHeight="false" outlineLevel="0" collapsed="false">
      <c r="G585" s="18"/>
      <c r="H585" s="35"/>
      <c r="N585" s="18"/>
    </row>
    <row r="586" customFormat="false" ht="15.75" hidden="false" customHeight="false" outlineLevel="0" collapsed="false">
      <c r="G586" s="18"/>
      <c r="H586" s="35"/>
      <c r="N586" s="18"/>
    </row>
    <row r="587" customFormat="false" ht="15.75" hidden="false" customHeight="false" outlineLevel="0" collapsed="false">
      <c r="G587" s="18"/>
      <c r="H587" s="35"/>
      <c r="N587" s="18"/>
    </row>
    <row r="588" customFormat="false" ht="15.75" hidden="false" customHeight="false" outlineLevel="0" collapsed="false">
      <c r="G588" s="18"/>
      <c r="H588" s="35"/>
      <c r="N588" s="18"/>
    </row>
    <row r="589" customFormat="false" ht="15.75" hidden="false" customHeight="false" outlineLevel="0" collapsed="false">
      <c r="G589" s="18"/>
      <c r="H589" s="35"/>
      <c r="N589" s="18"/>
    </row>
    <row r="590" customFormat="false" ht="15.75" hidden="false" customHeight="false" outlineLevel="0" collapsed="false">
      <c r="G590" s="18"/>
      <c r="H590" s="35"/>
      <c r="N590" s="18"/>
    </row>
    <row r="591" customFormat="false" ht="15.75" hidden="false" customHeight="false" outlineLevel="0" collapsed="false">
      <c r="G591" s="18"/>
      <c r="H591" s="35"/>
      <c r="N591" s="18"/>
    </row>
    <row r="592" customFormat="false" ht="15.75" hidden="false" customHeight="false" outlineLevel="0" collapsed="false">
      <c r="G592" s="18"/>
      <c r="H592" s="35"/>
      <c r="N592" s="18"/>
    </row>
    <row r="593" customFormat="false" ht="15.75" hidden="false" customHeight="false" outlineLevel="0" collapsed="false">
      <c r="G593" s="18"/>
      <c r="H593" s="35"/>
      <c r="N593" s="18"/>
    </row>
    <row r="594" customFormat="false" ht="15.75" hidden="false" customHeight="false" outlineLevel="0" collapsed="false">
      <c r="G594" s="18"/>
      <c r="H594" s="35"/>
      <c r="N594" s="18"/>
    </row>
    <row r="595" customFormat="false" ht="15.75" hidden="false" customHeight="false" outlineLevel="0" collapsed="false">
      <c r="G595" s="18"/>
      <c r="H595" s="35"/>
      <c r="N595" s="18"/>
    </row>
    <row r="596" customFormat="false" ht="15.75" hidden="false" customHeight="false" outlineLevel="0" collapsed="false">
      <c r="G596" s="18"/>
      <c r="H596" s="35"/>
      <c r="N596" s="18"/>
    </row>
    <row r="597" customFormat="false" ht="15.75" hidden="false" customHeight="false" outlineLevel="0" collapsed="false">
      <c r="G597" s="18"/>
      <c r="H597" s="35"/>
      <c r="N597" s="18"/>
    </row>
    <row r="598" customFormat="false" ht="15.75" hidden="false" customHeight="false" outlineLevel="0" collapsed="false">
      <c r="G598" s="18"/>
      <c r="H598" s="35"/>
      <c r="N598" s="18"/>
    </row>
    <row r="1048575" customFormat="false" ht="12.8" hidden="false" customHeight="true" outlineLevel="0" collapsed="false"/>
    <row r="1048576" customFormat="false" ht="12.8" hidden="false" customHeight="true" outlineLevel="0" collapsed="false"/>
  </sheetData>
  <conditionalFormatting sqref="R2:S113">
    <cfRule type="expression" priority="2" aboveAverage="0" equalAverage="0" bottom="0" percent="0" rank="0" text="" dxfId="0">
      <formula>LEN(TRIM(R2))&gt;0</formula>
    </cfRule>
  </conditionalFormatting>
  <conditionalFormatting sqref="Q2:Q113">
    <cfRule type="expression" priority="3" aboveAverage="0" equalAverage="0" bottom="0" percent="0" rank="0" text="" dxfId="0">
      <formula>LEN(TRIM(Q2))&gt;0</formula>
    </cfRule>
  </conditionalFormatting>
  <conditionalFormatting sqref="G2:G113 N2:N113">
    <cfRule type="containsText" priority="4" operator="containsText" aboveAverage="0" equalAverage="0" bottom="0" percent="0" rank="0" text="x" dxfId="0">
      <formula>NOT(ISERROR(SEARCH("x",G2)))</formula>
    </cfRule>
  </conditionalFormatting>
  <conditionalFormatting sqref="T2:T113">
    <cfRule type="expression" priority="5" aboveAverage="0" equalAverage="0" bottom="0" percent="0" rank="0" text="" dxfId="0">
      <formula>LEN(TRIM(T2))&gt;0</formula>
    </cfRule>
  </conditionalFormatting>
  <conditionalFormatting sqref="X2:X113">
    <cfRule type="expression" priority="6" aboveAverage="0" equalAverage="0" bottom="0" percent="0" rank="0" text="" dxfId="0">
      <formula>LEN(TRIM(X2))&gt;0</formula>
    </cfRule>
  </conditionalFormatting>
  <conditionalFormatting sqref="Y2:Y113">
    <cfRule type="cellIs" priority="7" operator="equal" aboveAverage="0" equalAverage="0" bottom="0" percent="0" rank="0" text="" dxfId="0">
      <formula>"Completo"</formula>
    </cfRule>
    <cfRule type="cellIs" priority="8" operator="equal" aboveAverage="0" equalAverage="0" bottom="0" percent="0" rank="0" text="" dxfId="1">
      <formula>"No aplica"</formula>
    </cfRule>
  </conditionalFormatting>
  <conditionalFormatting sqref="G2:I113 O2:P113 U2:U113 V2:V10 W2:W113 V12:V113">
    <cfRule type="cellIs" priority="9" operator="equal" aboveAverage="0" equalAverage="0" bottom="0" percent="0" rank="0" text="" dxfId="0">
      <formula>"Completo"</formula>
    </cfRule>
    <cfRule type="cellIs" priority="10" operator="equal" aboveAverage="0" equalAverage="0" bottom="0" percent="0" rank="0" text="" dxfId="1">
      <formula>"No Aplica"</formula>
    </cfRule>
  </conditionalFormatting>
  <conditionalFormatting sqref="N2">
    <cfRule type="containsText" priority="11" operator="containsText" aboveAverage="0" equalAverage="0" bottom="0" percent="0" rank="0" text="X" dxfId="0">
      <formula>NOT(ISERROR(SEARCH("X",N2)))</formula>
    </cfRule>
  </conditionalFormatting>
  <dataValidations count="5">
    <dataValidation allowBlank="true" errorStyle="stop" operator="between" showDropDown="false" showErrorMessage="true" showInputMessage="false" sqref="D2:D113" type="list">
      <formula1>LEYENDA!$B$2:$D$2</formula1>
      <formula2>0</formula2>
    </dataValidation>
    <dataValidation allowBlank="true" errorStyle="stop" operator="between" showDropDown="false" showErrorMessage="false" showInputMessage="false" sqref="E2:E113" type="list">
      <formula1>LEYENDA!$A$8:$A$12</formula1>
      <formula2>0</formula2>
    </dataValidation>
    <dataValidation allowBlank="true" errorStyle="stop" operator="between" showDropDown="false" showErrorMessage="false" showInputMessage="false" sqref="T2:T113" type="list">
      <formula1>LEYENDA!$A$23:$A$24</formula1>
      <formula2>0</formula2>
    </dataValidation>
    <dataValidation allowBlank="true" errorStyle="stop" operator="between" showDropDown="false" showErrorMessage="false" showInputMessage="false" sqref="R2:R113" type="list">
      <formula1>LEYENDA!$A$15:$A$19</formula1>
      <formula2>0</formula2>
    </dataValidation>
    <dataValidation allowBlank="true" errorStyle="stop" operator="between" showDropDown="false" showErrorMessage="true" showInputMessage="false" sqref="H2:I113 O2:P113 U2:W113 Y2:Y113" type="list">
      <formula1>LEYENDA!$B$1:$C$1</formula1>
      <formula2>0</formula2>
    </dataValidation>
  </dataValidations>
  <hyperlinks>
    <hyperlink ref="U11" r:id="rId2" display="Completo"/>
    <hyperlink ref="W11" r:id="rId3" display="Completo"/>
    <hyperlink ref="U18" r:id="rId4" display="Completo"/>
    <hyperlink ref="V18" r:id="rId5" display="Completo"/>
    <hyperlink ref="W18" r:id="rId6" display="Completo"/>
    <hyperlink ref="U19" r:id="rId7" display="Completo"/>
    <hyperlink ref="V19" r:id="rId8" display="Completo"/>
    <hyperlink ref="W19" r:id="rId9" display="Completo"/>
    <hyperlink ref="U20" r:id="rId10" display="Completo"/>
    <hyperlink ref="V20" r:id="rId11" display="Completo"/>
    <hyperlink ref="W20" r:id="rId12" display="Completo"/>
    <hyperlink ref="H28" r:id="rId13" display="https://photos.app.goo.gl/8bfJTuV3JPj1zi538"/>
    <hyperlink ref="P28" r:id="rId14" display="Completo"/>
    <hyperlink ref="H29" r:id="rId15" display="https://photos.app.goo.gl/8bfJTuV3JPj1zi538"/>
    <hyperlink ref="U30" r:id="rId16" display="Completo"/>
    <hyperlink ref="V30" r:id="rId17" display="Completo"/>
    <hyperlink ref="W30" r:id="rId18" display="Completo"/>
    <hyperlink ref="X30" r:id="rId19" display="Valvulas "/>
    <hyperlink ref="U32" r:id="rId20" display="Completo"/>
    <hyperlink ref="V32" r:id="rId21" display="Completo"/>
    <hyperlink ref="W32" r:id="rId22" display="Completo"/>
    <hyperlink ref="U35" r:id="rId23" display="Completo"/>
    <hyperlink ref="V35" r:id="rId24" display="Completo"/>
    <hyperlink ref="W35" r:id="rId25" display="Completo"/>
    <hyperlink ref="U36" r:id="rId26" display="Completo"/>
    <hyperlink ref="V36" r:id="rId27" display="Completo"/>
    <hyperlink ref="W36" r:id="rId28" display="Completo"/>
    <hyperlink ref="U41" r:id="rId29" display="Completo"/>
    <hyperlink ref="V41" r:id="rId30" display="Completo"/>
    <hyperlink ref="W41" r:id="rId31" display="Completo"/>
    <hyperlink ref="U43" r:id="rId32" display="Completo"/>
    <hyperlink ref="V43" r:id="rId33" display="Completo"/>
    <hyperlink ref="W43" r:id="rId34" display="Completo"/>
    <hyperlink ref="U44" r:id="rId35" display="Completo"/>
    <hyperlink ref="V44" r:id="rId36" display="Completo"/>
    <hyperlink ref="W44" r:id="rId37" display="Completo"/>
    <hyperlink ref="V46" r:id="rId38" display="Completo"/>
    <hyperlink ref="W46" r:id="rId39" display="Completo"/>
  </hyperlinks>
  <printOptions headings="false" gridLines="true" gridLinesSet="true" horizontalCentered="true" verticalCentered="false"/>
  <pageMargins left="0.7" right="0.7" top="0.75" bottom="0.75" header="0.511811023622047" footer="0.511811023622047"/>
  <pageSetup paperSize="9" scale="100" fitToWidth="1" fitToHeight="0" pageOrder="overThenDown" orientation="landscape" blackAndWhite="false" draft="false" cellComments="none" horizontalDpi="300" verticalDpi="300" copies="1"/>
  <headerFooter differentFirst="false" differentOddEven="false">
    <oddHeader/>
    <oddFooter/>
  </headerFooter>
  <drawing r:id="rId40"/>
  <legacyDrawing r:id="rId41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AF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6" ySplit="3" topLeftCell="G4" activePane="bottomRight" state="frozen"/>
      <selection pane="topLeft" activeCell="A1" activeCellId="0" sqref="A1"/>
      <selection pane="topRight" activeCell="G1" activeCellId="0" sqref="G1"/>
      <selection pane="bottomLeft" activeCell="A4" activeCellId="0" sqref="A4"/>
      <selection pane="bottomRight" activeCell="G1" activeCellId="0" sqref="G1"/>
    </sheetView>
  </sheetViews>
  <sheetFormatPr defaultColWidth="12.6328125" defaultRowHeight="15.75" zeroHeight="false" outlineLevelRow="0" outlineLevelCol="0"/>
  <cols>
    <col collapsed="false" customWidth="true" hidden="false" outlineLevel="0" max="1" min="1" style="1" width="7.5"/>
    <col collapsed="false" customWidth="true" hidden="false" outlineLevel="0" max="2" min="2" style="1" width="10.38"/>
    <col collapsed="false" customWidth="true" hidden="false" outlineLevel="0" max="3" min="3" style="1" width="16.89"/>
    <col collapsed="false" customWidth="true" hidden="false" outlineLevel="0" max="4" min="4" style="1" width="11.38"/>
    <col collapsed="false" customWidth="true" hidden="false" outlineLevel="0" max="5" min="5" style="1" width="17.13"/>
    <col collapsed="false" customWidth="true" hidden="false" outlineLevel="0" max="6" min="6" style="1" width="42.13"/>
    <col collapsed="false" customWidth="true" hidden="false" outlineLevel="0" max="7" min="7" style="1" width="16.38"/>
    <col collapsed="false" customWidth="true" hidden="false" outlineLevel="0" max="9" min="8" style="1" width="12"/>
    <col collapsed="false" customWidth="true" hidden="false" outlineLevel="0" max="10" min="10" style="1" width="13.13"/>
    <col collapsed="false" customWidth="true" hidden="false" outlineLevel="0" max="11" min="11" style="1" width="14.63"/>
    <col collapsed="false" customWidth="true" hidden="false" outlineLevel="0" max="12" min="12" style="1" width="15.63"/>
    <col collapsed="false" customWidth="true" hidden="false" outlineLevel="0" max="13" min="13" style="1" width="31.5"/>
    <col collapsed="false" customWidth="true" hidden="false" outlineLevel="0" max="18" min="18" style="1" width="13"/>
    <col collapsed="false" customWidth="true" hidden="false" outlineLevel="0" max="19" min="19" style="1" width="15.63"/>
    <col collapsed="false" customWidth="true" hidden="false" outlineLevel="0" max="23" min="22" style="1" width="13.63"/>
  </cols>
  <sheetData>
    <row r="1" customFormat="false" ht="68" hidden="false" customHeight="false" outlineLevel="0" collapsed="false">
      <c r="A1" s="2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/>
      <c r="J1" s="4" t="s">
        <v>8</v>
      </c>
      <c r="K1" s="2"/>
      <c r="L1" s="2" t="s">
        <v>9</v>
      </c>
      <c r="M1" s="2" t="s">
        <v>10</v>
      </c>
      <c r="N1" s="4" t="s">
        <v>11</v>
      </c>
      <c r="O1" s="3" t="s">
        <v>12</v>
      </c>
      <c r="P1" s="7" t="s">
        <v>13</v>
      </c>
      <c r="Q1" s="7" t="s">
        <v>14</v>
      </c>
      <c r="R1" s="7" t="s">
        <v>15</v>
      </c>
      <c r="S1" s="7" t="s">
        <v>16</v>
      </c>
      <c r="T1" s="7" t="s">
        <v>17</v>
      </c>
      <c r="U1" s="8" t="s">
        <v>18</v>
      </c>
      <c r="V1" s="9" t="s">
        <v>19</v>
      </c>
      <c r="W1" s="9" t="s">
        <v>20</v>
      </c>
      <c r="X1" s="10" t="s">
        <v>15</v>
      </c>
      <c r="Y1" s="11" t="s">
        <v>21</v>
      </c>
      <c r="Z1" s="11" t="s">
        <v>22</v>
      </c>
      <c r="AA1" s="12"/>
      <c r="AB1" s="12"/>
      <c r="AC1" s="12"/>
      <c r="AD1" s="12"/>
      <c r="AE1" s="12"/>
      <c r="AF1" s="12"/>
    </row>
    <row r="2" customFormat="false" ht="15.75" hidden="false" customHeight="false" outlineLevel="0" collapsed="false">
      <c r="A2" s="61" t="n">
        <v>5726</v>
      </c>
      <c r="B2" s="29" t="n">
        <v>44350</v>
      </c>
      <c r="C2" s="21" t="s">
        <v>1666</v>
      </c>
      <c r="D2" s="21" t="s">
        <v>24</v>
      </c>
      <c r="E2" s="21" t="s">
        <v>34</v>
      </c>
      <c r="F2" s="21" t="s">
        <v>4494</v>
      </c>
      <c r="G2" s="30"/>
      <c r="H2" s="21"/>
      <c r="I2" s="21"/>
      <c r="J2" s="21"/>
      <c r="K2" s="21"/>
      <c r="L2" s="21"/>
      <c r="M2" s="21"/>
      <c r="N2" s="21"/>
      <c r="O2" s="21"/>
      <c r="P2" s="21"/>
      <c r="Q2" s="32"/>
      <c r="R2" s="32"/>
      <c r="S2" s="21"/>
      <c r="T2" s="21"/>
      <c r="U2" s="21"/>
      <c r="V2" s="21"/>
      <c r="W2" s="21"/>
      <c r="X2" s="21" t="s">
        <v>28</v>
      </c>
    </row>
    <row r="3" customFormat="false" ht="15.75" hidden="false" customHeight="false" outlineLevel="0" collapsed="false">
      <c r="A3" s="61" t="n">
        <v>5727</v>
      </c>
      <c r="B3" s="29" t="n">
        <v>44350</v>
      </c>
      <c r="C3" s="21" t="s">
        <v>1666</v>
      </c>
      <c r="D3" s="21" t="s">
        <v>24</v>
      </c>
      <c r="E3" s="21" t="s">
        <v>34</v>
      </c>
      <c r="F3" s="21" t="s">
        <v>4495</v>
      </c>
      <c r="G3" s="30"/>
      <c r="H3" s="21"/>
      <c r="I3" s="21"/>
      <c r="J3" s="21"/>
      <c r="K3" s="21"/>
      <c r="L3" s="21"/>
      <c r="M3" s="21"/>
      <c r="N3" s="21"/>
      <c r="O3" s="21"/>
      <c r="P3" s="21"/>
      <c r="Q3" s="32"/>
      <c r="R3" s="32"/>
      <c r="S3" s="21"/>
      <c r="T3" s="21"/>
      <c r="U3" s="21"/>
      <c r="V3" s="21"/>
      <c r="W3" s="21"/>
      <c r="X3" s="21" t="s">
        <v>28</v>
      </c>
    </row>
    <row r="4" customFormat="false" ht="15.75" hidden="false" customHeight="false" outlineLevel="0" collapsed="false">
      <c r="A4" s="61" t="n">
        <v>5728</v>
      </c>
      <c r="B4" s="29" t="n">
        <v>44351</v>
      </c>
      <c r="C4" s="21" t="s">
        <v>4496</v>
      </c>
      <c r="D4" s="21" t="s">
        <v>24</v>
      </c>
      <c r="E4" s="21" t="s">
        <v>3337</v>
      </c>
      <c r="F4" s="21" t="s">
        <v>4497</v>
      </c>
      <c r="G4" s="30" t="s">
        <v>4498</v>
      </c>
      <c r="H4" s="21"/>
      <c r="I4" s="21"/>
      <c r="J4" s="21" t="n">
        <v>3515115587</v>
      </c>
      <c r="K4" s="21"/>
      <c r="L4" s="21"/>
      <c r="M4" s="21" t="s">
        <v>4421</v>
      </c>
      <c r="N4" s="21" t="s">
        <v>28</v>
      </c>
      <c r="O4" s="21" t="s">
        <v>28</v>
      </c>
      <c r="P4" s="21" t="s">
        <v>1062</v>
      </c>
      <c r="Q4" s="32" t="s">
        <v>2850</v>
      </c>
      <c r="R4" s="32"/>
      <c r="S4" s="21"/>
      <c r="T4" s="21"/>
      <c r="U4" s="21"/>
      <c r="V4" s="21"/>
      <c r="W4" s="21"/>
      <c r="X4" s="21" t="s">
        <v>28</v>
      </c>
    </row>
    <row r="5" customFormat="false" ht="15.75" hidden="false" customHeight="false" outlineLevel="0" collapsed="false">
      <c r="A5" s="61" t="n">
        <v>5729</v>
      </c>
      <c r="B5" s="29" t="n">
        <v>44351</v>
      </c>
      <c r="C5" s="21" t="s">
        <v>4499</v>
      </c>
      <c r="D5" s="21" t="s">
        <v>24</v>
      </c>
      <c r="E5" s="21" t="s">
        <v>34</v>
      </c>
      <c r="F5" s="21" t="s">
        <v>1668</v>
      </c>
      <c r="G5" s="30"/>
      <c r="H5" s="21"/>
      <c r="I5" s="21"/>
      <c r="J5" s="21" t="s">
        <v>36</v>
      </c>
      <c r="K5" s="21" t="s">
        <v>36</v>
      </c>
      <c r="L5" s="21" t="s">
        <v>36</v>
      </c>
      <c r="M5" s="21" t="s">
        <v>36</v>
      </c>
      <c r="N5" s="21"/>
      <c r="O5" s="21"/>
      <c r="P5" s="21"/>
      <c r="Q5" s="32"/>
      <c r="R5" s="32"/>
      <c r="S5" s="21"/>
      <c r="T5" s="21"/>
      <c r="U5" s="21"/>
      <c r="V5" s="21"/>
      <c r="W5" s="21"/>
      <c r="X5" s="21" t="s">
        <v>28</v>
      </c>
    </row>
    <row r="6" customFormat="false" ht="15.75" hidden="false" customHeight="false" outlineLevel="0" collapsed="false">
      <c r="A6" s="61" t="n">
        <v>5730</v>
      </c>
      <c r="B6" s="29" t="n">
        <v>44352</v>
      </c>
      <c r="C6" s="21" t="s">
        <v>4500</v>
      </c>
      <c r="D6" s="21" t="s">
        <v>24</v>
      </c>
      <c r="E6" s="21" t="s">
        <v>34</v>
      </c>
      <c r="F6" s="21" t="s">
        <v>4501</v>
      </c>
      <c r="G6" s="30"/>
      <c r="H6" s="21"/>
      <c r="I6" s="21"/>
      <c r="J6" s="21"/>
      <c r="K6" s="21"/>
      <c r="L6" s="21"/>
      <c r="M6" s="21"/>
      <c r="N6" s="21"/>
      <c r="O6" s="21"/>
      <c r="P6" s="21"/>
      <c r="Q6" s="32"/>
      <c r="R6" s="32"/>
      <c r="S6" s="21"/>
      <c r="T6" s="21"/>
      <c r="U6" s="21"/>
      <c r="V6" s="21"/>
      <c r="W6" s="21"/>
      <c r="X6" s="21" t="s">
        <v>28</v>
      </c>
    </row>
    <row r="7" customFormat="false" ht="15.75" hidden="false" customHeight="false" outlineLevel="0" collapsed="false">
      <c r="A7" s="61" t="n">
        <v>5731</v>
      </c>
      <c r="B7" s="29" t="n">
        <v>44352</v>
      </c>
      <c r="C7" s="21" t="s">
        <v>4500</v>
      </c>
      <c r="D7" s="21" t="s">
        <v>24</v>
      </c>
      <c r="E7" s="21" t="s">
        <v>34</v>
      </c>
      <c r="F7" s="21" t="s">
        <v>4502</v>
      </c>
      <c r="G7" s="30"/>
      <c r="H7" s="21"/>
      <c r="I7" s="21"/>
      <c r="J7" s="21"/>
      <c r="K7" s="21"/>
      <c r="L7" s="21"/>
      <c r="M7" s="21"/>
      <c r="N7" s="21"/>
      <c r="O7" s="21"/>
      <c r="P7" s="21"/>
      <c r="Q7" s="32"/>
      <c r="R7" s="32"/>
      <c r="S7" s="21"/>
      <c r="T7" s="21"/>
      <c r="U7" s="21"/>
      <c r="V7" s="21"/>
      <c r="W7" s="21"/>
      <c r="X7" s="21" t="s">
        <v>28</v>
      </c>
    </row>
    <row r="8" customFormat="false" ht="15.75" hidden="false" customHeight="false" outlineLevel="0" collapsed="false">
      <c r="A8" s="61" t="n">
        <v>5732</v>
      </c>
      <c r="B8" s="29" t="n">
        <v>44354</v>
      </c>
      <c r="C8" s="21" t="s">
        <v>2563</v>
      </c>
      <c r="D8" s="21" t="s">
        <v>24</v>
      </c>
      <c r="E8" s="21" t="s">
        <v>74</v>
      </c>
      <c r="F8" s="21" t="s">
        <v>4503</v>
      </c>
      <c r="G8" s="30" t="s">
        <v>4504</v>
      </c>
      <c r="H8" s="21"/>
      <c r="I8" s="21"/>
      <c r="J8" s="21" t="s">
        <v>36</v>
      </c>
      <c r="K8" s="21" t="s">
        <v>36</v>
      </c>
      <c r="L8" s="21" t="s">
        <v>36</v>
      </c>
      <c r="M8" s="21" t="s">
        <v>3376</v>
      </c>
      <c r="N8" s="91" t="s">
        <v>28</v>
      </c>
      <c r="O8" s="91" t="s">
        <v>28</v>
      </c>
      <c r="P8" s="21" t="s">
        <v>73</v>
      </c>
      <c r="Q8" s="32" t="s">
        <v>74</v>
      </c>
      <c r="R8" s="32" t="s">
        <v>36</v>
      </c>
      <c r="S8" s="21" t="s">
        <v>74</v>
      </c>
      <c r="T8" s="91" t="s">
        <v>28</v>
      </c>
      <c r="U8" s="91" t="s">
        <v>28</v>
      </c>
      <c r="V8" s="21" t="s">
        <v>28</v>
      </c>
      <c r="W8" s="21" t="s">
        <v>36</v>
      </c>
      <c r="X8" s="21" t="s">
        <v>28</v>
      </c>
    </row>
    <row r="9" customFormat="false" ht="15.75" hidden="false" customHeight="false" outlineLevel="0" collapsed="false">
      <c r="A9" s="61" t="n">
        <v>5733</v>
      </c>
      <c r="B9" s="29" t="n">
        <v>44354</v>
      </c>
      <c r="C9" s="21" t="s">
        <v>2563</v>
      </c>
      <c r="D9" s="21" t="s">
        <v>24</v>
      </c>
      <c r="E9" s="21" t="s">
        <v>74</v>
      </c>
      <c r="F9" s="21" t="s">
        <v>4503</v>
      </c>
      <c r="G9" s="30"/>
      <c r="H9" s="21"/>
      <c r="I9" s="21"/>
      <c r="J9" s="21" t="s">
        <v>36</v>
      </c>
      <c r="K9" s="21" t="s">
        <v>36</v>
      </c>
      <c r="L9" s="21" t="s">
        <v>36</v>
      </c>
      <c r="M9" s="21" t="s">
        <v>3376</v>
      </c>
      <c r="N9" s="21"/>
      <c r="O9" s="21"/>
      <c r="P9" s="21"/>
      <c r="Q9" s="32"/>
      <c r="R9" s="32"/>
      <c r="S9" s="21" t="s">
        <v>4147</v>
      </c>
      <c r="T9" s="21" t="s">
        <v>28</v>
      </c>
      <c r="U9" s="21"/>
      <c r="V9" s="21"/>
      <c r="W9" s="21" t="s">
        <v>36</v>
      </c>
      <c r="X9" s="21" t="s">
        <v>28</v>
      </c>
    </row>
    <row r="10" customFormat="false" ht="15.75" hidden="false" customHeight="false" outlineLevel="0" collapsed="false">
      <c r="A10" s="61" t="n">
        <v>5734</v>
      </c>
      <c r="B10" s="29" t="n">
        <v>44354</v>
      </c>
      <c r="C10" s="21" t="s">
        <v>2563</v>
      </c>
      <c r="D10" s="21" t="s">
        <v>24</v>
      </c>
      <c r="E10" s="21" t="s">
        <v>74</v>
      </c>
      <c r="F10" s="32" t="s">
        <v>4503</v>
      </c>
      <c r="G10" s="30"/>
      <c r="H10" s="66"/>
      <c r="I10" s="21"/>
      <c r="J10" s="21" t="s">
        <v>36</v>
      </c>
      <c r="K10" s="21" t="s">
        <v>36</v>
      </c>
      <c r="L10" s="21" t="s">
        <v>36</v>
      </c>
      <c r="M10" s="21" t="s">
        <v>3376</v>
      </c>
      <c r="N10" s="21"/>
      <c r="O10" s="21"/>
      <c r="P10" s="21"/>
      <c r="Q10" s="32"/>
      <c r="R10" s="32"/>
      <c r="S10" s="21" t="s">
        <v>4147</v>
      </c>
      <c r="T10" s="74" t="s">
        <v>28</v>
      </c>
      <c r="U10" s="21"/>
      <c r="V10" s="21"/>
      <c r="W10" s="21"/>
      <c r="X10" s="21" t="s">
        <v>28</v>
      </c>
    </row>
    <row r="11" customFormat="false" ht="15.75" hidden="false" customHeight="false" outlineLevel="0" collapsed="false">
      <c r="A11" s="61" t="n">
        <v>5735</v>
      </c>
      <c r="B11" s="29" t="n">
        <v>44354</v>
      </c>
      <c r="C11" s="21" t="s">
        <v>2563</v>
      </c>
      <c r="D11" s="21" t="s">
        <v>24</v>
      </c>
      <c r="E11" s="21" t="s">
        <v>74</v>
      </c>
      <c r="F11" s="21" t="s">
        <v>4505</v>
      </c>
      <c r="G11" s="30" t="s">
        <v>4506</v>
      </c>
      <c r="H11" s="21"/>
      <c r="I11" s="21"/>
      <c r="J11" s="21" t="s">
        <v>36</v>
      </c>
      <c r="K11" s="21" t="s">
        <v>36</v>
      </c>
      <c r="L11" s="21" t="s">
        <v>36</v>
      </c>
      <c r="M11" s="21" t="s">
        <v>3376</v>
      </c>
      <c r="N11" s="21" t="s">
        <v>28</v>
      </c>
      <c r="O11" s="21" t="s">
        <v>28</v>
      </c>
      <c r="P11" s="21" t="s">
        <v>3296</v>
      </c>
      <c r="Q11" s="32" t="s">
        <v>25</v>
      </c>
      <c r="R11" s="32" t="s">
        <v>36</v>
      </c>
      <c r="S11" s="21" t="s">
        <v>74</v>
      </c>
      <c r="T11" s="91" t="s">
        <v>28</v>
      </c>
      <c r="U11" s="91" t="s">
        <v>28</v>
      </c>
      <c r="V11" s="21" t="s">
        <v>28</v>
      </c>
      <c r="W11" s="21" t="s">
        <v>36</v>
      </c>
      <c r="X11" s="21" t="s">
        <v>28</v>
      </c>
    </row>
    <row r="12" customFormat="false" ht="15.75" hidden="false" customHeight="false" outlineLevel="0" collapsed="false">
      <c r="A12" s="61" t="n">
        <v>5736</v>
      </c>
      <c r="B12" s="29" t="n">
        <v>44354</v>
      </c>
      <c r="C12" s="21" t="s">
        <v>4507</v>
      </c>
      <c r="D12" s="21" t="s">
        <v>24</v>
      </c>
      <c r="E12" s="21" t="s">
        <v>74</v>
      </c>
      <c r="F12" s="21" t="s">
        <v>4508</v>
      </c>
      <c r="G12" s="30" t="s">
        <v>4509</v>
      </c>
      <c r="H12" s="21"/>
      <c r="I12" s="21"/>
      <c r="J12" s="21" t="n">
        <v>3512624303</v>
      </c>
      <c r="K12" s="21" t="s">
        <v>36</v>
      </c>
      <c r="L12" s="21" t="s">
        <v>36</v>
      </c>
      <c r="M12" s="21" t="s">
        <v>3376</v>
      </c>
      <c r="N12" s="21" t="s">
        <v>28</v>
      </c>
      <c r="O12" s="21" t="s">
        <v>28</v>
      </c>
      <c r="P12" s="21" t="s">
        <v>4296</v>
      </c>
      <c r="Q12" s="32" t="s">
        <v>25</v>
      </c>
      <c r="R12" s="32" t="s">
        <v>36</v>
      </c>
      <c r="S12" s="21" t="s">
        <v>74</v>
      </c>
      <c r="T12" s="91" t="s">
        <v>28</v>
      </c>
      <c r="U12" s="91" t="s">
        <v>28</v>
      </c>
      <c r="V12" s="21" t="s">
        <v>28</v>
      </c>
      <c r="W12" s="21" t="s">
        <v>36</v>
      </c>
      <c r="X12" s="21" t="s">
        <v>28</v>
      </c>
    </row>
    <row r="13" customFormat="false" ht="15.75" hidden="false" customHeight="false" outlineLevel="0" collapsed="false">
      <c r="A13" s="61" t="n">
        <v>5738</v>
      </c>
      <c r="B13" s="29" t="n">
        <v>44354</v>
      </c>
      <c r="C13" s="21" t="s">
        <v>2772</v>
      </c>
      <c r="D13" s="21" t="s">
        <v>24</v>
      </c>
      <c r="E13" s="21" t="s">
        <v>3337</v>
      </c>
      <c r="F13" s="92" t="s">
        <v>4510</v>
      </c>
      <c r="G13" s="30"/>
      <c r="H13" s="21"/>
      <c r="I13" s="21"/>
      <c r="J13" s="21"/>
      <c r="K13" s="21"/>
      <c r="L13" s="21"/>
      <c r="M13" s="21"/>
      <c r="N13" s="21"/>
      <c r="O13" s="21"/>
      <c r="P13" s="21"/>
      <c r="Q13" s="32"/>
      <c r="R13" s="32"/>
      <c r="S13" s="21"/>
      <c r="T13" s="21"/>
      <c r="U13" s="21"/>
      <c r="V13" s="21"/>
      <c r="W13" s="21"/>
      <c r="X13" s="21" t="s">
        <v>28</v>
      </c>
    </row>
    <row r="14" customFormat="false" ht="15.75" hidden="false" customHeight="false" outlineLevel="0" collapsed="false">
      <c r="A14" s="63" t="n">
        <v>930640</v>
      </c>
      <c r="B14" s="29" t="n">
        <v>44354</v>
      </c>
      <c r="C14" s="21" t="s">
        <v>4511</v>
      </c>
      <c r="D14" s="21" t="s">
        <v>290</v>
      </c>
      <c r="E14" s="21" t="s">
        <v>3337</v>
      </c>
      <c r="F14" s="21" t="s">
        <v>4512</v>
      </c>
      <c r="G14" s="30"/>
      <c r="H14" s="21"/>
      <c r="I14" s="21"/>
      <c r="J14" s="21" t="n">
        <v>3513593882</v>
      </c>
      <c r="K14" s="21"/>
      <c r="L14" s="21"/>
      <c r="M14" s="21" t="s">
        <v>3376</v>
      </c>
      <c r="N14" s="21"/>
      <c r="O14" s="21"/>
      <c r="P14" s="21"/>
      <c r="Q14" s="32"/>
      <c r="R14" s="32"/>
      <c r="S14" s="21"/>
      <c r="T14" s="21"/>
      <c r="U14" s="21"/>
      <c r="V14" s="21"/>
      <c r="W14" s="21"/>
      <c r="X14" s="21" t="s">
        <v>37</v>
      </c>
    </row>
    <row r="15" customFormat="false" ht="15.75" hidden="false" customHeight="false" outlineLevel="0" collapsed="false">
      <c r="A15" s="61" t="n">
        <v>5739</v>
      </c>
      <c r="B15" s="29" t="n">
        <v>44354</v>
      </c>
      <c r="C15" s="21" t="s">
        <v>1328</v>
      </c>
      <c r="D15" s="21" t="s">
        <v>24</v>
      </c>
      <c r="E15" s="21" t="s">
        <v>34</v>
      </c>
      <c r="F15" s="21" t="s">
        <v>4513</v>
      </c>
      <c r="G15" s="30"/>
      <c r="H15" s="21"/>
      <c r="I15" s="21"/>
      <c r="J15" s="21"/>
      <c r="K15" s="21"/>
      <c r="L15" s="21"/>
      <c r="M15" s="21"/>
      <c r="N15" s="21"/>
      <c r="O15" s="21"/>
      <c r="P15" s="21"/>
      <c r="Q15" s="32"/>
      <c r="R15" s="32"/>
      <c r="S15" s="21"/>
      <c r="T15" s="21"/>
      <c r="U15" s="21"/>
      <c r="V15" s="21"/>
      <c r="W15" s="21"/>
      <c r="X15" s="21" t="s">
        <v>28</v>
      </c>
    </row>
    <row r="16" customFormat="false" ht="15.75" hidden="false" customHeight="false" outlineLevel="0" collapsed="false">
      <c r="A16" s="61" t="n">
        <v>5740</v>
      </c>
      <c r="B16" s="29" t="n">
        <v>44354</v>
      </c>
      <c r="C16" s="21" t="s">
        <v>1328</v>
      </c>
      <c r="D16" s="21" t="s">
        <v>24</v>
      </c>
      <c r="E16" s="21" t="s">
        <v>34</v>
      </c>
      <c r="F16" s="21" t="s">
        <v>4513</v>
      </c>
      <c r="G16" s="30"/>
      <c r="H16" s="21"/>
      <c r="I16" s="21"/>
      <c r="J16" s="21"/>
      <c r="K16" s="21"/>
      <c r="L16" s="21"/>
      <c r="M16" s="21"/>
      <c r="N16" s="21"/>
      <c r="O16" s="21"/>
      <c r="P16" s="21"/>
      <c r="Q16" s="32"/>
      <c r="R16" s="32"/>
      <c r="S16" s="21"/>
      <c r="T16" s="21"/>
      <c r="U16" s="21"/>
      <c r="V16" s="21"/>
      <c r="W16" s="21"/>
      <c r="X16" s="21" t="s">
        <v>28</v>
      </c>
    </row>
    <row r="17" customFormat="false" ht="15.75" hidden="false" customHeight="false" outlineLevel="0" collapsed="false">
      <c r="A17" s="61" t="n">
        <v>5741</v>
      </c>
      <c r="B17" s="29" t="n">
        <v>44356</v>
      </c>
      <c r="C17" s="21" t="s">
        <v>1251</v>
      </c>
      <c r="D17" s="21" t="s">
        <v>24</v>
      </c>
      <c r="E17" s="21" t="s">
        <v>34</v>
      </c>
      <c r="F17" s="21" t="s">
        <v>4514</v>
      </c>
      <c r="G17" s="30"/>
      <c r="H17" s="21"/>
      <c r="I17" s="21"/>
      <c r="J17" s="21"/>
      <c r="K17" s="21"/>
      <c r="L17" s="21"/>
      <c r="M17" s="21"/>
      <c r="N17" s="21"/>
      <c r="O17" s="21"/>
      <c r="P17" s="21"/>
      <c r="Q17" s="32"/>
      <c r="R17" s="32"/>
      <c r="S17" s="21"/>
      <c r="T17" s="21"/>
      <c r="U17" s="21"/>
      <c r="V17" s="21"/>
      <c r="W17" s="21"/>
      <c r="X17" s="21" t="s">
        <v>28</v>
      </c>
    </row>
    <row r="18" customFormat="false" ht="15.75" hidden="false" customHeight="false" outlineLevel="0" collapsed="false">
      <c r="A18" s="61" t="n">
        <v>5742</v>
      </c>
      <c r="B18" s="29" t="n">
        <v>44358</v>
      </c>
      <c r="C18" s="21" t="s">
        <v>2563</v>
      </c>
      <c r="D18" s="21" t="s">
        <v>24</v>
      </c>
      <c r="E18" s="21" t="s">
        <v>34</v>
      </c>
      <c r="F18" s="21" t="s">
        <v>4515</v>
      </c>
      <c r="G18" s="30"/>
      <c r="H18" s="21"/>
      <c r="I18" s="21"/>
      <c r="J18" s="21"/>
      <c r="K18" s="21"/>
      <c r="L18" s="21"/>
      <c r="M18" s="21"/>
      <c r="N18" s="21"/>
      <c r="O18" s="21"/>
      <c r="P18" s="21"/>
      <c r="Q18" s="32"/>
      <c r="R18" s="32"/>
      <c r="S18" s="21"/>
      <c r="T18" s="21"/>
      <c r="U18" s="21"/>
      <c r="V18" s="21"/>
      <c r="W18" s="21"/>
      <c r="X18" s="21" t="s">
        <v>28</v>
      </c>
    </row>
    <row r="19" customFormat="false" ht="15.75" hidden="false" customHeight="false" outlineLevel="0" collapsed="false">
      <c r="A19" s="61" t="n">
        <v>5743</v>
      </c>
      <c r="B19" s="29" t="n">
        <v>44358</v>
      </c>
      <c r="C19" s="21" t="s">
        <v>394</v>
      </c>
      <c r="D19" s="21" t="s">
        <v>24</v>
      </c>
      <c r="E19" s="21" t="s">
        <v>34</v>
      </c>
      <c r="F19" s="21" t="s">
        <v>4516</v>
      </c>
      <c r="G19" s="30"/>
      <c r="H19" s="21"/>
      <c r="I19" s="21"/>
      <c r="J19" s="21"/>
      <c r="K19" s="21"/>
      <c r="L19" s="21"/>
      <c r="M19" s="21"/>
      <c r="N19" s="21"/>
      <c r="O19" s="21"/>
      <c r="P19" s="21"/>
      <c r="Q19" s="32"/>
      <c r="R19" s="32"/>
      <c r="S19" s="21"/>
      <c r="T19" s="21"/>
      <c r="U19" s="21"/>
      <c r="V19" s="21"/>
      <c r="W19" s="21"/>
      <c r="X19" s="21" t="s">
        <v>37</v>
      </c>
    </row>
    <row r="20" customFormat="false" ht="15.75" hidden="false" customHeight="false" outlineLevel="0" collapsed="false">
      <c r="A20" s="61" t="n">
        <v>5744</v>
      </c>
      <c r="B20" s="29" t="n">
        <v>44358</v>
      </c>
      <c r="C20" s="21" t="s">
        <v>4517</v>
      </c>
      <c r="D20" s="21" t="s">
        <v>4518</v>
      </c>
      <c r="E20" s="21" t="s">
        <v>4519</v>
      </c>
      <c r="F20" s="21" t="s">
        <v>4520</v>
      </c>
      <c r="G20" s="30" t="s">
        <v>4521</v>
      </c>
      <c r="H20" s="21"/>
      <c r="I20" s="21"/>
      <c r="J20" s="21"/>
      <c r="K20" s="21"/>
      <c r="L20" s="21"/>
      <c r="M20" s="21" t="s">
        <v>4421</v>
      </c>
      <c r="N20" s="21" t="s">
        <v>28</v>
      </c>
      <c r="O20" s="21" t="s">
        <v>28</v>
      </c>
      <c r="P20" s="21" t="s">
        <v>3010</v>
      </c>
      <c r="Q20" s="32" t="s">
        <v>25</v>
      </c>
      <c r="R20" s="32" t="s">
        <v>36</v>
      </c>
      <c r="S20" s="21" t="s">
        <v>74</v>
      </c>
      <c r="T20" s="91" t="s">
        <v>28</v>
      </c>
      <c r="U20" s="91" t="s">
        <v>28</v>
      </c>
      <c r="V20" s="21" t="s">
        <v>28</v>
      </c>
      <c r="W20" s="21" t="s">
        <v>36</v>
      </c>
      <c r="X20" s="21" t="s">
        <v>28</v>
      </c>
    </row>
    <row r="21" customFormat="false" ht="15.75" hidden="false" customHeight="false" outlineLevel="0" collapsed="false">
      <c r="A21" s="61" t="n">
        <v>5745</v>
      </c>
      <c r="B21" s="29" t="n">
        <v>44358</v>
      </c>
      <c r="C21" s="21" t="s">
        <v>4522</v>
      </c>
      <c r="D21" s="21" t="s">
        <v>24</v>
      </c>
      <c r="E21" s="21" t="s">
        <v>4523</v>
      </c>
      <c r="F21" s="21" t="s">
        <v>4524</v>
      </c>
      <c r="G21" s="30"/>
      <c r="H21" s="21"/>
      <c r="I21" s="21"/>
      <c r="J21" s="21"/>
      <c r="K21" s="21"/>
      <c r="L21" s="21"/>
      <c r="M21" s="21" t="s">
        <v>4421</v>
      </c>
      <c r="N21" s="21"/>
      <c r="O21" s="21"/>
      <c r="P21" s="21"/>
      <c r="Q21" s="32"/>
      <c r="R21" s="32"/>
      <c r="S21" s="21"/>
      <c r="T21" s="21"/>
      <c r="U21" s="21"/>
      <c r="V21" s="21"/>
      <c r="W21" s="21"/>
      <c r="X21" s="21" t="s">
        <v>28</v>
      </c>
    </row>
    <row r="22" customFormat="false" ht="15.75" hidden="false" customHeight="false" outlineLevel="0" collapsed="false">
      <c r="A22" s="61" t="n">
        <v>5746</v>
      </c>
      <c r="B22" s="29" t="n">
        <v>44358</v>
      </c>
      <c r="C22" s="21" t="s">
        <v>4522</v>
      </c>
      <c r="D22" s="21" t="s">
        <v>24</v>
      </c>
      <c r="E22" s="21" t="s">
        <v>4523</v>
      </c>
      <c r="F22" s="21" t="s">
        <v>4524</v>
      </c>
      <c r="G22" s="30"/>
      <c r="H22" s="21"/>
      <c r="I22" s="21"/>
      <c r="J22" s="21"/>
      <c r="K22" s="21"/>
      <c r="L22" s="21"/>
      <c r="M22" s="21" t="s">
        <v>4421</v>
      </c>
      <c r="N22" s="21"/>
      <c r="O22" s="21"/>
      <c r="P22" s="21"/>
      <c r="Q22" s="32"/>
      <c r="R22" s="32"/>
      <c r="S22" s="21"/>
      <c r="T22" s="21"/>
      <c r="U22" s="21"/>
      <c r="V22" s="21"/>
      <c r="W22" s="21"/>
      <c r="X22" s="21" t="s">
        <v>28</v>
      </c>
    </row>
    <row r="23" customFormat="false" ht="15.75" hidden="false" customHeight="false" outlineLevel="0" collapsed="false">
      <c r="A23" s="61" t="n">
        <v>5747</v>
      </c>
      <c r="B23" s="29" t="n">
        <v>44358</v>
      </c>
      <c r="C23" s="21" t="s">
        <v>4522</v>
      </c>
      <c r="D23" s="21" t="s">
        <v>24</v>
      </c>
      <c r="E23" s="21" t="s">
        <v>4523</v>
      </c>
      <c r="F23" s="21" t="s">
        <v>4524</v>
      </c>
      <c r="G23" s="30"/>
      <c r="H23" s="21"/>
      <c r="I23" s="21"/>
      <c r="J23" s="21"/>
      <c r="K23" s="21"/>
      <c r="L23" s="21"/>
      <c r="M23" s="21" t="s">
        <v>4421</v>
      </c>
      <c r="N23" s="21"/>
      <c r="O23" s="21"/>
      <c r="P23" s="21"/>
      <c r="Q23" s="32"/>
      <c r="R23" s="32"/>
      <c r="S23" s="21"/>
      <c r="T23" s="21"/>
      <c r="U23" s="21"/>
      <c r="V23" s="21"/>
      <c r="W23" s="21"/>
      <c r="X23" s="21" t="s">
        <v>28</v>
      </c>
    </row>
    <row r="24" customFormat="false" ht="15.75" hidden="false" customHeight="false" outlineLevel="0" collapsed="false">
      <c r="A24" s="61" t="n">
        <v>5748</v>
      </c>
      <c r="B24" s="29" t="n">
        <v>44358</v>
      </c>
      <c r="C24" s="21" t="s">
        <v>4522</v>
      </c>
      <c r="D24" s="21" t="s">
        <v>24</v>
      </c>
      <c r="E24" s="21" t="s">
        <v>4523</v>
      </c>
      <c r="F24" s="21" t="s">
        <v>4524</v>
      </c>
      <c r="G24" s="30"/>
      <c r="H24" s="21"/>
      <c r="I24" s="21"/>
      <c r="J24" s="21"/>
      <c r="K24" s="21"/>
      <c r="L24" s="21"/>
      <c r="M24" s="21" t="s">
        <v>4421</v>
      </c>
      <c r="N24" s="21"/>
      <c r="O24" s="21"/>
      <c r="P24" s="21"/>
      <c r="Q24" s="32"/>
      <c r="R24" s="32"/>
      <c r="S24" s="21"/>
      <c r="T24" s="21"/>
      <c r="U24" s="21"/>
      <c r="V24" s="21"/>
      <c r="W24" s="21"/>
      <c r="X24" s="21" t="s">
        <v>28</v>
      </c>
    </row>
    <row r="25" customFormat="false" ht="15.75" hidden="false" customHeight="false" outlineLevel="0" collapsed="false">
      <c r="A25" s="61" t="n">
        <v>5749</v>
      </c>
      <c r="B25" s="29" t="n">
        <v>44358</v>
      </c>
      <c r="C25" s="21" t="s">
        <v>4522</v>
      </c>
      <c r="D25" s="21" t="s">
        <v>24</v>
      </c>
      <c r="E25" s="21" t="s">
        <v>4525</v>
      </c>
      <c r="F25" s="21" t="s">
        <v>4526</v>
      </c>
      <c r="G25" s="30"/>
      <c r="H25" s="21"/>
      <c r="I25" s="21"/>
      <c r="J25" s="21"/>
      <c r="K25" s="21"/>
      <c r="L25" s="21"/>
      <c r="M25" s="21" t="s">
        <v>4421</v>
      </c>
      <c r="N25" s="21"/>
      <c r="O25" s="21"/>
      <c r="P25" s="21"/>
      <c r="Q25" s="32"/>
      <c r="R25" s="32"/>
      <c r="S25" s="21"/>
      <c r="T25" s="21"/>
      <c r="U25" s="21"/>
      <c r="V25" s="21"/>
      <c r="W25" s="21"/>
      <c r="X25" s="21" t="s">
        <v>28</v>
      </c>
    </row>
    <row r="26" customFormat="false" ht="15.75" hidden="false" customHeight="false" outlineLevel="0" collapsed="false">
      <c r="A26" s="61" t="n">
        <v>5750</v>
      </c>
      <c r="B26" s="29" t="n">
        <v>44361</v>
      </c>
      <c r="C26" s="21" t="s">
        <v>3524</v>
      </c>
      <c r="D26" s="21" t="s">
        <v>24</v>
      </c>
      <c r="E26" s="21" t="s">
        <v>25</v>
      </c>
      <c r="F26" s="21" t="s">
        <v>4527</v>
      </c>
      <c r="G26" s="30" t="s">
        <v>4528</v>
      </c>
      <c r="H26" s="21"/>
      <c r="I26" s="21"/>
      <c r="J26" s="21"/>
      <c r="K26" s="21"/>
      <c r="L26" s="21"/>
      <c r="M26" s="21" t="s">
        <v>3376</v>
      </c>
      <c r="N26" s="21"/>
      <c r="O26" s="21"/>
      <c r="P26" s="21"/>
      <c r="Q26" s="32"/>
      <c r="R26" s="32"/>
      <c r="S26" s="21"/>
      <c r="T26" s="21"/>
      <c r="U26" s="21"/>
      <c r="V26" s="21"/>
      <c r="W26" s="21"/>
      <c r="X26" s="21" t="s">
        <v>28</v>
      </c>
    </row>
    <row r="27" customFormat="false" ht="15.75" hidden="false" customHeight="false" outlineLevel="0" collapsed="false">
      <c r="A27" s="61" t="n">
        <v>5751</v>
      </c>
      <c r="B27" s="29" t="n">
        <v>44361</v>
      </c>
      <c r="C27" s="21" t="s">
        <v>3524</v>
      </c>
      <c r="D27" s="21" t="s">
        <v>24</v>
      </c>
      <c r="E27" s="21" t="s">
        <v>25</v>
      </c>
      <c r="F27" s="21" t="s">
        <v>4527</v>
      </c>
      <c r="G27" s="30" t="s">
        <v>4528</v>
      </c>
      <c r="H27" s="21"/>
      <c r="I27" s="21"/>
      <c r="J27" s="21"/>
      <c r="K27" s="21"/>
      <c r="L27" s="21"/>
      <c r="M27" s="21" t="s">
        <v>3376</v>
      </c>
      <c r="N27" s="21" t="s">
        <v>28</v>
      </c>
      <c r="O27" s="21" t="s">
        <v>28</v>
      </c>
      <c r="P27" s="21" t="s">
        <v>4296</v>
      </c>
      <c r="Q27" s="32" t="s">
        <v>2850</v>
      </c>
      <c r="R27" s="32"/>
      <c r="S27" s="21"/>
      <c r="T27" s="21"/>
      <c r="U27" s="21"/>
      <c r="V27" s="21"/>
      <c r="W27" s="21"/>
      <c r="X27" s="21" t="s">
        <v>28</v>
      </c>
    </row>
    <row r="28" customFormat="false" ht="15.75" hidden="false" customHeight="false" outlineLevel="0" collapsed="false">
      <c r="A28" s="61" t="n">
        <v>5752</v>
      </c>
      <c r="B28" s="29" t="n">
        <v>44361</v>
      </c>
      <c r="C28" s="21" t="s">
        <v>3524</v>
      </c>
      <c r="D28" s="21" t="s">
        <v>24</v>
      </c>
      <c r="E28" s="21" t="s">
        <v>25</v>
      </c>
      <c r="F28" s="21" t="s">
        <v>4527</v>
      </c>
      <c r="G28" s="30" t="s">
        <v>4528</v>
      </c>
      <c r="H28" s="21"/>
      <c r="I28" s="21"/>
      <c r="J28" s="21"/>
      <c r="K28" s="21"/>
      <c r="L28" s="21"/>
      <c r="M28" s="21" t="s">
        <v>3376</v>
      </c>
      <c r="N28" s="21" t="s">
        <v>28</v>
      </c>
      <c r="O28" s="21" t="s">
        <v>28</v>
      </c>
      <c r="P28" s="21" t="s">
        <v>4296</v>
      </c>
      <c r="Q28" s="32" t="s">
        <v>2850</v>
      </c>
      <c r="R28" s="32"/>
      <c r="S28" s="21"/>
      <c r="T28" s="21"/>
      <c r="U28" s="21"/>
      <c r="V28" s="21"/>
      <c r="W28" s="21"/>
      <c r="X28" s="21" t="s">
        <v>28</v>
      </c>
    </row>
    <row r="29" customFormat="false" ht="15.75" hidden="false" customHeight="false" outlineLevel="0" collapsed="false">
      <c r="A29" s="61" t="n">
        <v>5753</v>
      </c>
      <c r="B29" s="29" t="n">
        <v>44361</v>
      </c>
      <c r="C29" s="21" t="s">
        <v>3524</v>
      </c>
      <c r="D29" s="21" t="s">
        <v>24</v>
      </c>
      <c r="E29" s="21" t="s">
        <v>25</v>
      </c>
      <c r="F29" s="21" t="s">
        <v>4527</v>
      </c>
      <c r="G29" s="30" t="s">
        <v>4528</v>
      </c>
      <c r="H29" s="21"/>
      <c r="I29" s="21"/>
      <c r="J29" s="21"/>
      <c r="K29" s="21"/>
      <c r="L29" s="21"/>
      <c r="M29" s="21" t="s">
        <v>3376</v>
      </c>
      <c r="N29" s="21" t="s">
        <v>28</v>
      </c>
      <c r="O29" s="21" t="s">
        <v>28</v>
      </c>
      <c r="P29" s="21" t="s">
        <v>4296</v>
      </c>
      <c r="Q29" s="32" t="s">
        <v>2850</v>
      </c>
      <c r="R29" s="32"/>
      <c r="S29" s="21"/>
      <c r="T29" s="21"/>
      <c r="U29" s="21"/>
      <c r="V29" s="21"/>
      <c r="W29" s="21"/>
      <c r="X29" s="21" t="s">
        <v>28</v>
      </c>
    </row>
    <row r="30" customFormat="false" ht="15.75" hidden="false" customHeight="false" outlineLevel="0" collapsed="false">
      <c r="A30" s="61" t="n">
        <v>5754</v>
      </c>
      <c r="B30" s="29" t="n">
        <v>44361</v>
      </c>
      <c r="C30" s="21" t="s">
        <v>4500</v>
      </c>
      <c r="D30" s="21" t="s">
        <v>24</v>
      </c>
      <c r="E30" s="21" t="s">
        <v>34</v>
      </c>
      <c r="F30" s="21" t="s">
        <v>4529</v>
      </c>
      <c r="G30" s="30" t="s">
        <v>4530</v>
      </c>
      <c r="H30" s="21"/>
      <c r="I30" s="21"/>
      <c r="J30" s="21" t="n">
        <v>3512396405</v>
      </c>
      <c r="K30" s="21" t="s">
        <v>36</v>
      </c>
      <c r="L30" s="21" t="n">
        <v>300005701</v>
      </c>
      <c r="M30" s="21" t="s">
        <v>4531</v>
      </c>
      <c r="N30" s="21" t="s">
        <v>28</v>
      </c>
      <c r="O30" s="21" t="s">
        <v>28</v>
      </c>
      <c r="P30" s="21" t="s">
        <v>4296</v>
      </c>
      <c r="Q30" s="32" t="s">
        <v>3113</v>
      </c>
      <c r="R30" s="32"/>
      <c r="S30" s="21"/>
      <c r="T30" s="21"/>
      <c r="U30" s="21"/>
      <c r="V30" s="21"/>
      <c r="W30" s="21"/>
      <c r="X30" s="21" t="s">
        <v>28</v>
      </c>
    </row>
    <row r="31" customFormat="false" ht="15.75" hidden="false" customHeight="false" outlineLevel="0" collapsed="false">
      <c r="A31" s="61" t="n">
        <v>5755</v>
      </c>
      <c r="B31" s="29" t="n">
        <v>44362</v>
      </c>
      <c r="C31" s="21" t="s">
        <v>2563</v>
      </c>
      <c r="D31" s="21" t="s">
        <v>24</v>
      </c>
      <c r="E31" s="21" t="s">
        <v>34</v>
      </c>
      <c r="F31" s="21" t="s">
        <v>4532</v>
      </c>
      <c r="G31" s="30"/>
      <c r="H31" s="21"/>
      <c r="I31" s="21"/>
      <c r="J31" s="21"/>
      <c r="K31" s="21"/>
      <c r="L31" s="21"/>
      <c r="M31" s="21"/>
      <c r="N31" s="21"/>
      <c r="O31" s="21"/>
      <c r="P31" s="21"/>
      <c r="Q31" s="32"/>
      <c r="R31" s="32"/>
      <c r="S31" s="21"/>
      <c r="T31" s="21"/>
      <c r="U31" s="21"/>
      <c r="V31" s="21"/>
      <c r="W31" s="21"/>
      <c r="X31" s="21" t="s">
        <v>28</v>
      </c>
    </row>
    <row r="32" customFormat="false" ht="15.75" hidden="false" customHeight="false" outlineLevel="0" collapsed="false">
      <c r="A32" s="61" t="n">
        <v>5756</v>
      </c>
      <c r="B32" s="29" t="n">
        <v>44362</v>
      </c>
      <c r="C32" s="21" t="s">
        <v>980</v>
      </c>
      <c r="D32" s="21" t="s">
        <v>24</v>
      </c>
      <c r="E32" s="21" t="s">
        <v>34</v>
      </c>
      <c r="F32" s="21" t="s">
        <v>4533</v>
      </c>
      <c r="G32" s="30"/>
      <c r="H32" s="21"/>
      <c r="I32" s="21"/>
      <c r="J32" s="21"/>
      <c r="K32" s="21"/>
      <c r="L32" s="21"/>
      <c r="M32" s="21"/>
      <c r="N32" s="21"/>
      <c r="O32" s="21"/>
      <c r="P32" s="21"/>
      <c r="Q32" s="32"/>
      <c r="R32" s="32"/>
      <c r="S32" s="21"/>
      <c r="T32" s="21"/>
      <c r="U32" s="21"/>
      <c r="V32" s="21"/>
      <c r="W32" s="21"/>
      <c r="X32" s="21" t="s">
        <v>28</v>
      </c>
    </row>
    <row r="33" customFormat="false" ht="15.75" hidden="false" customHeight="false" outlineLevel="0" collapsed="false">
      <c r="A33" s="61" t="n">
        <v>5757</v>
      </c>
      <c r="B33" s="29" t="n">
        <v>44362</v>
      </c>
      <c r="C33" s="21" t="s">
        <v>1328</v>
      </c>
      <c r="D33" s="21" t="s">
        <v>24</v>
      </c>
      <c r="E33" s="21" t="s">
        <v>34</v>
      </c>
      <c r="F33" s="21" t="s">
        <v>4534</v>
      </c>
      <c r="G33" s="30"/>
      <c r="H33" s="21"/>
      <c r="I33" s="21"/>
      <c r="J33" s="21"/>
      <c r="K33" s="21"/>
      <c r="L33" s="21"/>
      <c r="M33" s="21"/>
      <c r="N33" s="21"/>
      <c r="O33" s="21"/>
      <c r="P33" s="21"/>
      <c r="Q33" s="32"/>
      <c r="R33" s="32"/>
      <c r="S33" s="21"/>
      <c r="T33" s="21"/>
      <c r="U33" s="21"/>
      <c r="V33" s="21"/>
      <c r="W33" s="21"/>
      <c r="X33" s="21" t="s">
        <v>28</v>
      </c>
    </row>
    <row r="34" customFormat="false" ht="15.75" hidden="false" customHeight="false" outlineLevel="0" collapsed="false">
      <c r="A34" s="61" t="n">
        <v>5758</v>
      </c>
      <c r="B34" s="29" t="n">
        <v>44362</v>
      </c>
      <c r="C34" s="21" t="s">
        <v>1328</v>
      </c>
      <c r="D34" s="21" t="s">
        <v>24</v>
      </c>
      <c r="E34" s="21" t="s">
        <v>34</v>
      </c>
      <c r="F34" s="21" t="s">
        <v>4535</v>
      </c>
      <c r="G34" s="30"/>
      <c r="H34" s="21"/>
      <c r="I34" s="21"/>
      <c r="J34" s="21"/>
      <c r="K34" s="21"/>
      <c r="L34" s="21"/>
      <c r="M34" s="21"/>
      <c r="N34" s="21"/>
      <c r="O34" s="21"/>
      <c r="P34" s="21"/>
      <c r="Q34" s="32"/>
      <c r="R34" s="32"/>
      <c r="S34" s="21"/>
      <c r="T34" s="21"/>
      <c r="U34" s="21"/>
      <c r="V34" s="21"/>
      <c r="W34" s="21"/>
      <c r="X34" s="21" t="s">
        <v>28</v>
      </c>
    </row>
    <row r="35" customFormat="false" ht="15.75" hidden="false" customHeight="false" outlineLevel="0" collapsed="false">
      <c r="A35" s="61" t="n">
        <v>5759</v>
      </c>
      <c r="B35" s="29" t="n">
        <v>44363</v>
      </c>
      <c r="C35" s="21" t="s">
        <v>1328</v>
      </c>
      <c r="D35" s="21" t="s">
        <v>24</v>
      </c>
      <c r="E35" s="21" t="s">
        <v>34</v>
      </c>
      <c r="F35" s="21" t="s">
        <v>3962</v>
      </c>
      <c r="G35" s="30"/>
      <c r="H35" s="21"/>
      <c r="I35" s="21"/>
      <c r="J35" s="21"/>
      <c r="K35" s="21"/>
      <c r="L35" s="21"/>
      <c r="M35" s="21"/>
      <c r="N35" s="21"/>
      <c r="O35" s="21"/>
      <c r="P35" s="21"/>
      <c r="Q35" s="32"/>
      <c r="R35" s="32"/>
      <c r="S35" s="21"/>
      <c r="T35" s="21"/>
      <c r="U35" s="21"/>
      <c r="V35" s="21"/>
      <c r="W35" s="21"/>
      <c r="X35" s="21" t="s">
        <v>28</v>
      </c>
    </row>
    <row r="36" customFormat="false" ht="15.75" hidden="false" customHeight="false" outlineLevel="0" collapsed="false">
      <c r="A36" s="61" t="n">
        <v>5760</v>
      </c>
      <c r="B36" s="29" t="n">
        <v>44363</v>
      </c>
      <c r="C36" s="21" t="s">
        <v>389</v>
      </c>
      <c r="D36" s="21" t="s">
        <v>24</v>
      </c>
      <c r="E36" s="21" t="s">
        <v>34</v>
      </c>
      <c r="F36" s="21" t="s">
        <v>4536</v>
      </c>
      <c r="G36" s="30"/>
      <c r="H36" s="21"/>
      <c r="I36" s="21"/>
      <c r="J36" s="21"/>
      <c r="K36" s="21"/>
      <c r="L36" s="21"/>
      <c r="M36" s="21"/>
      <c r="N36" s="21"/>
      <c r="O36" s="21"/>
      <c r="P36" s="21"/>
      <c r="Q36" s="32"/>
      <c r="R36" s="32"/>
      <c r="S36" s="21"/>
      <c r="T36" s="21"/>
      <c r="U36" s="21"/>
      <c r="V36" s="21"/>
      <c r="W36" s="21"/>
      <c r="X36" s="21"/>
    </row>
    <row r="37" customFormat="false" ht="15.75" hidden="false" customHeight="false" outlineLevel="0" collapsed="false">
      <c r="A37" s="61" t="n">
        <v>5761</v>
      </c>
      <c r="B37" s="29" t="n">
        <v>44364</v>
      </c>
      <c r="C37" s="21" t="s">
        <v>389</v>
      </c>
      <c r="D37" s="21" t="s">
        <v>24</v>
      </c>
      <c r="E37" s="21" t="s">
        <v>34</v>
      </c>
      <c r="F37" s="21" t="s">
        <v>4537</v>
      </c>
      <c r="G37" s="30"/>
      <c r="H37" s="21"/>
      <c r="I37" s="21"/>
      <c r="J37" s="21"/>
      <c r="K37" s="21"/>
      <c r="L37" s="21"/>
      <c r="M37" s="21"/>
      <c r="N37" s="21"/>
      <c r="O37" s="21"/>
      <c r="P37" s="21"/>
      <c r="Q37" s="32"/>
      <c r="R37" s="32"/>
      <c r="S37" s="21"/>
      <c r="T37" s="21"/>
      <c r="U37" s="21"/>
      <c r="V37" s="21"/>
      <c r="W37" s="21"/>
      <c r="X37" s="21"/>
    </row>
    <row r="38" customFormat="false" ht="15.75" hidden="false" customHeight="false" outlineLevel="0" collapsed="false">
      <c r="A38" s="63" t="n">
        <v>1410569</v>
      </c>
      <c r="B38" s="29" t="n">
        <v>44365</v>
      </c>
      <c r="C38" s="21" t="s">
        <v>2563</v>
      </c>
      <c r="D38" s="21" t="s">
        <v>290</v>
      </c>
      <c r="E38" s="21"/>
      <c r="F38" s="21"/>
      <c r="G38" s="30"/>
      <c r="H38" s="21"/>
      <c r="I38" s="21"/>
      <c r="J38" s="21"/>
      <c r="K38" s="21"/>
      <c r="L38" s="21"/>
      <c r="M38" s="21"/>
      <c r="N38" s="21"/>
      <c r="O38" s="21"/>
      <c r="P38" s="21"/>
      <c r="Q38" s="32"/>
      <c r="R38" s="32"/>
      <c r="S38" s="21"/>
      <c r="T38" s="21"/>
      <c r="U38" s="21"/>
      <c r="V38" s="21"/>
      <c r="W38" s="21"/>
      <c r="X38" s="21"/>
    </row>
    <row r="39" customFormat="false" ht="15.75" hidden="false" customHeight="false" outlineLevel="0" collapsed="false">
      <c r="A39" s="61" t="n">
        <v>5763</v>
      </c>
      <c r="B39" s="29" t="n">
        <v>44366</v>
      </c>
      <c r="C39" s="21" t="s">
        <v>2563</v>
      </c>
      <c r="D39" s="21" t="s">
        <v>24</v>
      </c>
      <c r="E39" s="21" t="s">
        <v>34</v>
      </c>
      <c r="F39" s="21" t="s">
        <v>4538</v>
      </c>
      <c r="G39" s="30"/>
      <c r="H39" s="21"/>
      <c r="I39" s="21"/>
      <c r="J39" s="21"/>
      <c r="K39" s="21"/>
      <c r="L39" s="21"/>
      <c r="M39" s="21"/>
      <c r="N39" s="21"/>
      <c r="O39" s="21"/>
      <c r="P39" s="21"/>
      <c r="Q39" s="32"/>
      <c r="R39" s="32"/>
      <c r="S39" s="21"/>
      <c r="T39" s="21"/>
      <c r="U39" s="21"/>
      <c r="V39" s="21"/>
      <c r="W39" s="21"/>
      <c r="X39" s="21" t="s">
        <v>28</v>
      </c>
    </row>
    <row r="40" customFormat="false" ht="15.75" hidden="false" customHeight="false" outlineLevel="0" collapsed="false">
      <c r="A40" s="61" t="n">
        <v>5764</v>
      </c>
      <c r="B40" s="29" t="n">
        <v>44366</v>
      </c>
      <c r="C40" s="21" t="s">
        <v>2563</v>
      </c>
      <c r="D40" s="21" t="s">
        <v>24</v>
      </c>
      <c r="E40" s="21" t="s">
        <v>34</v>
      </c>
      <c r="F40" s="21" t="s">
        <v>4538</v>
      </c>
      <c r="G40" s="30"/>
      <c r="H40" s="21"/>
      <c r="I40" s="21"/>
      <c r="J40" s="21"/>
      <c r="K40" s="21"/>
      <c r="L40" s="21"/>
      <c r="M40" s="21"/>
      <c r="N40" s="21"/>
      <c r="O40" s="21"/>
      <c r="P40" s="21"/>
      <c r="Q40" s="32"/>
      <c r="R40" s="32"/>
      <c r="S40" s="21"/>
      <c r="T40" s="21"/>
      <c r="U40" s="21"/>
      <c r="V40" s="21"/>
      <c r="W40" s="21"/>
      <c r="X40" s="21" t="s">
        <v>28</v>
      </c>
    </row>
    <row r="41" customFormat="false" ht="15.75" hidden="false" customHeight="false" outlineLevel="0" collapsed="false">
      <c r="A41" s="61" t="n">
        <v>5765</v>
      </c>
      <c r="B41" s="29" t="n">
        <v>44366</v>
      </c>
      <c r="C41" s="21" t="s">
        <v>1328</v>
      </c>
      <c r="D41" s="21" t="s">
        <v>24</v>
      </c>
      <c r="E41" s="21" t="s">
        <v>34</v>
      </c>
      <c r="F41" s="21" t="s">
        <v>3962</v>
      </c>
      <c r="G41" s="30"/>
      <c r="H41" s="21"/>
      <c r="I41" s="21"/>
      <c r="J41" s="21"/>
      <c r="K41" s="21"/>
      <c r="L41" s="21"/>
      <c r="M41" s="21"/>
      <c r="N41" s="21"/>
      <c r="O41" s="21"/>
      <c r="P41" s="21"/>
      <c r="Q41" s="32"/>
      <c r="R41" s="32"/>
      <c r="S41" s="21"/>
      <c r="T41" s="21"/>
      <c r="U41" s="21"/>
      <c r="V41" s="21"/>
      <c r="W41" s="21"/>
      <c r="X41" s="21" t="s">
        <v>28</v>
      </c>
    </row>
    <row r="42" customFormat="false" ht="15.75" hidden="false" customHeight="false" outlineLevel="0" collapsed="false">
      <c r="A42" s="61"/>
      <c r="B42" s="29" t="n">
        <v>44366</v>
      </c>
      <c r="C42" s="21" t="s">
        <v>1328</v>
      </c>
      <c r="D42" s="21" t="s">
        <v>24</v>
      </c>
      <c r="E42" s="21" t="s">
        <v>34</v>
      </c>
      <c r="F42" s="21" t="s">
        <v>3962</v>
      </c>
      <c r="G42" s="30"/>
      <c r="H42" s="21"/>
      <c r="I42" s="21"/>
      <c r="J42" s="21"/>
      <c r="K42" s="21"/>
      <c r="L42" s="21"/>
      <c r="M42" s="21"/>
      <c r="N42" s="21"/>
      <c r="O42" s="21"/>
      <c r="P42" s="21"/>
      <c r="Q42" s="32"/>
      <c r="R42" s="32"/>
      <c r="S42" s="21"/>
      <c r="T42" s="21"/>
      <c r="U42" s="21"/>
      <c r="V42" s="21"/>
      <c r="W42" s="21"/>
      <c r="X42" s="21" t="s">
        <v>28</v>
      </c>
    </row>
    <row r="43" customFormat="false" ht="15.75" hidden="false" customHeight="false" outlineLevel="0" collapsed="false">
      <c r="A43" s="61" t="n">
        <v>5767</v>
      </c>
      <c r="B43" s="29" t="n">
        <v>44366</v>
      </c>
      <c r="C43" s="21" t="s">
        <v>1328</v>
      </c>
      <c r="D43" s="21" t="s">
        <v>24</v>
      </c>
      <c r="E43" s="21" t="s">
        <v>34</v>
      </c>
      <c r="F43" s="21" t="s">
        <v>4539</v>
      </c>
      <c r="G43" s="30"/>
      <c r="H43" s="21"/>
      <c r="I43" s="21"/>
      <c r="J43" s="21"/>
      <c r="K43" s="21"/>
      <c r="L43" s="21"/>
      <c r="M43" s="21"/>
      <c r="N43" s="21"/>
      <c r="O43" s="21"/>
      <c r="P43" s="21"/>
      <c r="Q43" s="32"/>
      <c r="R43" s="32"/>
      <c r="S43" s="21"/>
      <c r="T43" s="21"/>
      <c r="U43" s="21"/>
      <c r="V43" s="21"/>
      <c r="W43" s="21"/>
      <c r="X43" s="21" t="s">
        <v>28</v>
      </c>
    </row>
    <row r="44" customFormat="false" ht="15.75" hidden="false" customHeight="false" outlineLevel="0" collapsed="false">
      <c r="A44" s="61" t="n">
        <v>5768</v>
      </c>
      <c r="B44" s="29" t="n">
        <v>44369</v>
      </c>
      <c r="C44" s="21" t="s">
        <v>4540</v>
      </c>
      <c r="D44" s="21" t="s">
        <v>24</v>
      </c>
      <c r="E44" s="21" t="s">
        <v>3337</v>
      </c>
      <c r="F44" s="21" t="s">
        <v>4541</v>
      </c>
      <c r="G44" s="30"/>
      <c r="H44" s="21"/>
      <c r="I44" s="21"/>
      <c r="J44" s="21"/>
      <c r="K44" s="21" t="s">
        <v>4542</v>
      </c>
      <c r="L44" s="21"/>
      <c r="M44" s="21"/>
      <c r="N44" s="21"/>
      <c r="O44" s="21"/>
      <c r="P44" s="21"/>
      <c r="Q44" s="32"/>
      <c r="R44" s="32"/>
      <c r="S44" s="21"/>
      <c r="T44" s="21"/>
      <c r="U44" s="21"/>
      <c r="V44" s="21"/>
      <c r="W44" s="21"/>
      <c r="X44" s="21"/>
    </row>
    <row r="45" customFormat="false" ht="15.75" hidden="false" customHeight="false" outlineLevel="0" collapsed="false">
      <c r="A45" s="61" t="n">
        <v>5769</v>
      </c>
      <c r="B45" s="29" t="n">
        <v>44369</v>
      </c>
      <c r="C45" s="21" t="s">
        <v>4543</v>
      </c>
      <c r="D45" s="21" t="s">
        <v>24</v>
      </c>
      <c r="E45" s="21" t="s">
        <v>3337</v>
      </c>
      <c r="F45" s="21" t="s">
        <v>4544</v>
      </c>
      <c r="G45" s="30"/>
      <c r="H45" s="21"/>
      <c r="I45" s="21"/>
      <c r="J45" s="21"/>
      <c r="K45" s="21"/>
      <c r="L45" s="21"/>
      <c r="M45" s="21"/>
      <c r="N45" s="21"/>
      <c r="O45" s="21"/>
      <c r="P45" s="21"/>
      <c r="Q45" s="32"/>
      <c r="R45" s="32"/>
      <c r="S45" s="21"/>
      <c r="T45" s="21"/>
      <c r="U45" s="21"/>
      <c r="V45" s="21"/>
      <c r="W45" s="21"/>
      <c r="X45" s="21"/>
    </row>
    <row r="46" customFormat="false" ht="15.75" hidden="false" customHeight="false" outlineLevel="0" collapsed="false">
      <c r="A46" s="61" t="n">
        <v>5770</v>
      </c>
      <c r="B46" s="29" t="n">
        <v>44369</v>
      </c>
      <c r="C46" s="21" t="s">
        <v>4543</v>
      </c>
      <c r="D46" s="21" t="s">
        <v>24</v>
      </c>
      <c r="E46" s="21" t="s">
        <v>3337</v>
      </c>
      <c r="F46" s="21" t="s">
        <v>4545</v>
      </c>
      <c r="G46" s="30"/>
      <c r="H46" s="21"/>
      <c r="I46" s="21"/>
      <c r="J46" s="21"/>
      <c r="K46" s="21"/>
      <c r="L46" s="21"/>
      <c r="M46" s="21"/>
      <c r="N46" s="21"/>
      <c r="O46" s="21"/>
      <c r="P46" s="21"/>
      <c r="Q46" s="32"/>
      <c r="R46" s="32"/>
      <c r="S46" s="21"/>
      <c r="T46" s="21"/>
      <c r="U46" s="21"/>
      <c r="V46" s="21"/>
      <c r="W46" s="21"/>
      <c r="X46" s="21"/>
    </row>
    <row r="47" customFormat="false" ht="15.75" hidden="false" customHeight="false" outlineLevel="0" collapsed="false">
      <c r="A47" s="61" t="n">
        <v>5771</v>
      </c>
      <c r="B47" s="29" t="n">
        <v>44369</v>
      </c>
      <c r="C47" s="21" t="s">
        <v>4546</v>
      </c>
      <c r="D47" s="21" t="s">
        <v>24</v>
      </c>
      <c r="E47" s="21" t="s">
        <v>3337</v>
      </c>
      <c r="F47" s="21" t="s">
        <v>4547</v>
      </c>
      <c r="G47" s="30"/>
      <c r="H47" s="21"/>
      <c r="I47" s="21"/>
      <c r="J47" s="21"/>
      <c r="K47" s="21"/>
      <c r="L47" s="21"/>
      <c r="M47" s="21" t="s">
        <v>4421</v>
      </c>
      <c r="N47" s="21"/>
      <c r="O47" s="21"/>
      <c r="P47" s="21"/>
      <c r="Q47" s="32"/>
      <c r="R47" s="32"/>
      <c r="S47" s="21"/>
      <c r="T47" s="21"/>
      <c r="U47" s="21"/>
      <c r="V47" s="21"/>
      <c r="W47" s="21"/>
      <c r="X47" s="21" t="s">
        <v>28</v>
      </c>
    </row>
    <row r="48" customFormat="false" ht="15.75" hidden="false" customHeight="false" outlineLevel="0" collapsed="false">
      <c r="A48" s="89" t="s">
        <v>4548</v>
      </c>
      <c r="B48" s="29" t="n">
        <v>44370</v>
      </c>
      <c r="C48" s="21" t="s">
        <v>4549</v>
      </c>
      <c r="D48" s="21" t="s">
        <v>578</v>
      </c>
      <c r="E48" s="21" t="s">
        <v>25</v>
      </c>
      <c r="F48" s="21" t="s">
        <v>4550</v>
      </c>
      <c r="G48" s="30"/>
      <c r="H48" s="21"/>
      <c r="I48" s="21"/>
      <c r="J48" s="21"/>
      <c r="K48" s="21"/>
      <c r="L48" s="21"/>
      <c r="M48" s="21" t="s">
        <v>4551</v>
      </c>
      <c r="N48" s="21"/>
      <c r="O48" s="21"/>
      <c r="P48" s="21"/>
      <c r="Q48" s="32"/>
      <c r="R48" s="32"/>
      <c r="S48" s="21"/>
      <c r="T48" s="21"/>
      <c r="U48" s="21"/>
      <c r="V48" s="21"/>
      <c r="W48" s="21"/>
      <c r="X48" s="21" t="s">
        <v>37</v>
      </c>
    </row>
    <row r="49" customFormat="false" ht="15.75" hidden="false" customHeight="false" outlineLevel="0" collapsed="false">
      <c r="A49" s="89" t="s">
        <v>4552</v>
      </c>
      <c r="B49" s="29" t="n">
        <v>44370</v>
      </c>
      <c r="C49" s="21" t="s">
        <v>4549</v>
      </c>
      <c r="D49" s="21" t="s">
        <v>578</v>
      </c>
      <c r="E49" s="21" t="s">
        <v>25</v>
      </c>
      <c r="F49" s="21" t="s">
        <v>4550</v>
      </c>
      <c r="G49" s="30"/>
      <c r="H49" s="21"/>
      <c r="I49" s="21"/>
      <c r="J49" s="21"/>
      <c r="K49" s="21"/>
      <c r="L49" s="21"/>
      <c r="M49" s="21" t="s">
        <v>4553</v>
      </c>
      <c r="N49" s="21"/>
      <c r="O49" s="21"/>
      <c r="P49" s="21"/>
      <c r="Q49" s="32"/>
      <c r="R49" s="32"/>
      <c r="S49" s="21"/>
      <c r="T49" s="21"/>
      <c r="U49" s="21"/>
      <c r="V49" s="21"/>
      <c r="W49" s="21"/>
      <c r="X49" s="21" t="s">
        <v>37</v>
      </c>
    </row>
    <row r="50" customFormat="false" ht="15.75" hidden="false" customHeight="false" outlineLevel="0" collapsed="false">
      <c r="A50" s="89" t="s">
        <v>4554</v>
      </c>
      <c r="B50" s="29" t="n">
        <v>44370</v>
      </c>
      <c r="C50" s="21" t="s">
        <v>4555</v>
      </c>
      <c r="D50" s="21" t="s">
        <v>290</v>
      </c>
      <c r="E50" s="21" t="s">
        <v>25</v>
      </c>
      <c r="F50" s="21" t="s">
        <v>4556</v>
      </c>
      <c r="G50" s="30"/>
      <c r="H50" s="21"/>
      <c r="I50" s="21"/>
      <c r="J50" s="21"/>
      <c r="K50" s="21"/>
      <c r="L50" s="21"/>
      <c r="M50" s="21" t="s">
        <v>4557</v>
      </c>
      <c r="N50" s="21"/>
      <c r="O50" s="21"/>
      <c r="P50" s="21"/>
      <c r="Q50" s="32"/>
      <c r="R50" s="32"/>
      <c r="S50" s="21"/>
      <c r="T50" s="21"/>
      <c r="U50" s="21"/>
      <c r="V50" s="21"/>
      <c r="W50" s="21"/>
      <c r="X50" s="21" t="s">
        <v>37</v>
      </c>
    </row>
    <row r="51" customFormat="false" ht="15.75" hidden="false" customHeight="false" outlineLevel="0" collapsed="false">
      <c r="A51" s="89" t="s">
        <v>4558</v>
      </c>
      <c r="B51" s="29" t="n">
        <v>44370</v>
      </c>
      <c r="C51" s="21" t="s">
        <v>4555</v>
      </c>
      <c r="D51" s="21" t="s">
        <v>290</v>
      </c>
      <c r="E51" s="21" t="s">
        <v>25</v>
      </c>
      <c r="F51" s="21" t="s">
        <v>4559</v>
      </c>
      <c r="G51" s="30"/>
      <c r="H51" s="21"/>
      <c r="I51" s="21"/>
      <c r="J51" s="21"/>
      <c r="K51" s="21"/>
      <c r="L51" s="21"/>
      <c r="M51" s="21" t="s">
        <v>4560</v>
      </c>
      <c r="N51" s="21"/>
      <c r="O51" s="21"/>
      <c r="P51" s="21"/>
      <c r="Q51" s="32"/>
      <c r="R51" s="32"/>
      <c r="S51" s="21"/>
      <c r="T51" s="21"/>
      <c r="U51" s="21"/>
      <c r="V51" s="21"/>
      <c r="W51" s="21"/>
      <c r="X51" s="21" t="s">
        <v>37</v>
      </c>
    </row>
    <row r="52" customFormat="false" ht="15.75" hidden="false" customHeight="false" outlineLevel="0" collapsed="false">
      <c r="A52" s="61" t="n">
        <v>5772</v>
      </c>
      <c r="B52" s="29" t="n">
        <v>44370</v>
      </c>
      <c r="C52" s="21" t="s">
        <v>1949</v>
      </c>
      <c r="D52" s="21" t="s">
        <v>24</v>
      </c>
      <c r="E52" s="21" t="s">
        <v>34</v>
      </c>
      <c r="F52" s="21" t="s">
        <v>4561</v>
      </c>
      <c r="G52" s="30"/>
      <c r="H52" s="21"/>
      <c r="I52" s="21"/>
      <c r="J52" s="21"/>
      <c r="K52" s="21"/>
      <c r="L52" s="21"/>
      <c r="M52" s="21"/>
      <c r="N52" s="21"/>
      <c r="O52" s="21"/>
      <c r="P52" s="21"/>
      <c r="Q52" s="32"/>
      <c r="R52" s="32"/>
      <c r="S52" s="21"/>
      <c r="T52" s="21"/>
      <c r="U52" s="21" t="s">
        <v>37</v>
      </c>
      <c r="V52" s="21"/>
      <c r="W52" s="21"/>
      <c r="X52" s="21" t="s">
        <v>28</v>
      </c>
    </row>
    <row r="53" customFormat="false" ht="15.75" hidden="false" customHeight="false" outlineLevel="0" collapsed="false">
      <c r="A53" s="61" t="n">
        <v>5773</v>
      </c>
      <c r="B53" s="29" t="n">
        <v>44371</v>
      </c>
      <c r="C53" s="21" t="s">
        <v>4562</v>
      </c>
      <c r="D53" s="21" t="s">
        <v>24</v>
      </c>
      <c r="E53" s="21" t="s">
        <v>34</v>
      </c>
      <c r="F53" s="21" t="s">
        <v>4563</v>
      </c>
      <c r="G53" s="30"/>
      <c r="H53" s="21"/>
      <c r="I53" s="21"/>
      <c r="J53" s="21"/>
      <c r="K53" s="21"/>
      <c r="L53" s="21"/>
      <c r="M53" s="21"/>
      <c r="N53" s="21"/>
      <c r="O53" s="21"/>
      <c r="P53" s="21"/>
      <c r="Q53" s="32"/>
      <c r="R53" s="32"/>
      <c r="S53" s="21"/>
      <c r="T53" s="21"/>
      <c r="U53" s="21"/>
      <c r="V53" s="21"/>
      <c r="W53" s="21"/>
      <c r="X53" s="21" t="s">
        <v>28</v>
      </c>
    </row>
    <row r="54" customFormat="false" ht="15.75" hidden="false" customHeight="false" outlineLevel="0" collapsed="false">
      <c r="A54" s="61" t="n">
        <v>5774</v>
      </c>
      <c r="B54" s="29" t="n">
        <v>44372</v>
      </c>
      <c r="C54" s="21" t="s">
        <v>4392</v>
      </c>
      <c r="D54" s="21" t="s">
        <v>24</v>
      </c>
      <c r="E54" s="21" t="s">
        <v>34</v>
      </c>
      <c r="F54" s="21" t="s">
        <v>4564</v>
      </c>
      <c r="G54" s="30"/>
      <c r="H54" s="21"/>
      <c r="I54" s="21"/>
      <c r="J54" s="21"/>
      <c r="K54" s="21"/>
      <c r="L54" s="21"/>
      <c r="M54" s="21"/>
      <c r="N54" s="21"/>
      <c r="O54" s="21"/>
      <c r="P54" s="21"/>
      <c r="Q54" s="32"/>
      <c r="R54" s="32"/>
      <c r="S54" s="21"/>
      <c r="T54" s="21"/>
      <c r="U54" s="21" t="s">
        <v>37</v>
      </c>
      <c r="V54" s="21"/>
      <c r="W54" s="21"/>
      <c r="X54" s="21" t="s">
        <v>28</v>
      </c>
    </row>
    <row r="55" customFormat="false" ht="15.75" hidden="false" customHeight="false" outlineLevel="0" collapsed="false">
      <c r="A55" s="61" t="n">
        <v>5775</v>
      </c>
      <c r="B55" s="29" t="n">
        <v>44372</v>
      </c>
      <c r="C55" s="21" t="s">
        <v>2563</v>
      </c>
      <c r="D55" s="21" t="s">
        <v>24</v>
      </c>
      <c r="E55" s="21" t="s">
        <v>34</v>
      </c>
      <c r="F55" s="21" t="s">
        <v>4565</v>
      </c>
      <c r="G55" s="30"/>
      <c r="H55" s="21"/>
      <c r="I55" s="21"/>
      <c r="J55" s="21"/>
      <c r="K55" s="21"/>
      <c r="L55" s="21"/>
      <c r="M55" s="21"/>
      <c r="N55" s="21"/>
      <c r="O55" s="21"/>
      <c r="P55" s="21"/>
      <c r="Q55" s="32"/>
      <c r="R55" s="32"/>
      <c r="S55" s="21" t="s">
        <v>74</v>
      </c>
      <c r="T55" s="74" t="s">
        <v>28</v>
      </c>
      <c r="U55" s="74" t="s">
        <v>28</v>
      </c>
      <c r="V55" s="74" t="s">
        <v>28</v>
      </c>
      <c r="W55" s="21" t="s">
        <v>36</v>
      </c>
      <c r="X55" s="21" t="s">
        <v>28</v>
      </c>
    </row>
    <row r="56" customFormat="false" ht="15.75" hidden="false" customHeight="false" outlineLevel="0" collapsed="false">
      <c r="A56" s="63" t="n">
        <v>71956</v>
      </c>
      <c r="B56" s="29" t="n">
        <v>44372</v>
      </c>
      <c r="C56" s="21" t="s">
        <v>2563</v>
      </c>
      <c r="D56" s="21" t="s">
        <v>24</v>
      </c>
      <c r="E56" s="21" t="s">
        <v>34</v>
      </c>
      <c r="F56" s="21" t="s">
        <v>4566</v>
      </c>
      <c r="G56" s="30"/>
      <c r="H56" s="21"/>
      <c r="I56" s="21"/>
      <c r="J56" s="21"/>
      <c r="K56" s="21"/>
      <c r="L56" s="21"/>
      <c r="M56" s="21"/>
      <c r="N56" s="21"/>
      <c r="O56" s="21"/>
      <c r="P56" s="21"/>
      <c r="Q56" s="32"/>
      <c r="R56" s="32"/>
      <c r="S56" s="21" t="s">
        <v>74</v>
      </c>
      <c r="T56" s="74" t="s">
        <v>28</v>
      </c>
      <c r="U56" s="74" t="s">
        <v>28</v>
      </c>
      <c r="V56" s="74" t="s">
        <v>28</v>
      </c>
      <c r="W56" s="21" t="s">
        <v>36</v>
      </c>
      <c r="X56" s="21" t="s">
        <v>28</v>
      </c>
    </row>
    <row r="57" customFormat="false" ht="15.75" hidden="false" customHeight="false" outlineLevel="0" collapsed="false">
      <c r="A57" s="61" t="n">
        <v>5776</v>
      </c>
      <c r="B57" s="29" t="n">
        <v>44373</v>
      </c>
      <c r="C57" s="21" t="s">
        <v>4567</v>
      </c>
      <c r="D57" s="21" t="s">
        <v>24</v>
      </c>
      <c r="E57" s="21" t="s">
        <v>34</v>
      </c>
      <c r="F57" s="21" t="s">
        <v>4568</v>
      </c>
      <c r="G57" s="30"/>
      <c r="H57" s="21"/>
      <c r="I57" s="21"/>
      <c r="J57" s="21"/>
      <c r="K57" s="21"/>
      <c r="L57" s="21"/>
      <c r="M57" s="21"/>
      <c r="N57" s="21"/>
      <c r="O57" s="21"/>
      <c r="P57" s="21"/>
      <c r="Q57" s="32"/>
      <c r="R57" s="32"/>
      <c r="S57" s="21"/>
      <c r="T57" s="21"/>
      <c r="U57" s="21"/>
      <c r="V57" s="21"/>
      <c r="W57" s="21"/>
      <c r="X57" s="21" t="s">
        <v>28</v>
      </c>
    </row>
    <row r="58" customFormat="false" ht="15.75" hidden="false" customHeight="false" outlineLevel="0" collapsed="false">
      <c r="A58" s="61" t="n">
        <v>5777</v>
      </c>
      <c r="B58" s="29" t="n">
        <v>44373</v>
      </c>
      <c r="C58" s="21" t="s">
        <v>4567</v>
      </c>
      <c r="D58" s="21" t="s">
        <v>24</v>
      </c>
      <c r="E58" s="21" t="s">
        <v>34</v>
      </c>
      <c r="F58" s="21" t="s">
        <v>4568</v>
      </c>
      <c r="G58" s="30"/>
      <c r="H58" s="21"/>
      <c r="I58" s="21"/>
      <c r="J58" s="21"/>
      <c r="K58" s="21"/>
      <c r="L58" s="21"/>
      <c r="M58" s="21"/>
      <c r="N58" s="21"/>
      <c r="O58" s="21"/>
      <c r="P58" s="21"/>
      <c r="Q58" s="32"/>
      <c r="R58" s="32"/>
      <c r="S58" s="21"/>
      <c r="T58" s="21"/>
      <c r="U58" s="21"/>
      <c r="V58" s="21"/>
      <c r="W58" s="21"/>
      <c r="X58" s="21" t="s">
        <v>28</v>
      </c>
    </row>
    <row r="59" customFormat="false" ht="15.75" hidden="false" customHeight="false" outlineLevel="0" collapsed="false">
      <c r="A59" s="61" t="n">
        <v>5778</v>
      </c>
      <c r="B59" s="29" t="n">
        <v>44376</v>
      </c>
      <c r="C59" s="21" t="s">
        <v>2549</v>
      </c>
      <c r="D59" s="21" t="s">
        <v>24</v>
      </c>
      <c r="E59" s="21" t="s">
        <v>3337</v>
      </c>
      <c r="F59" s="21" t="s">
        <v>4569</v>
      </c>
      <c r="G59" s="30"/>
      <c r="H59" s="21"/>
      <c r="I59" s="21"/>
      <c r="J59" s="21"/>
      <c r="K59" s="21"/>
      <c r="L59" s="21"/>
      <c r="M59" s="21" t="s">
        <v>4570</v>
      </c>
      <c r="N59" s="21"/>
      <c r="O59" s="21"/>
      <c r="P59" s="21"/>
      <c r="Q59" s="32"/>
      <c r="R59" s="32"/>
      <c r="S59" s="21"/>
      <c r="T59" s="21"/>
      <c r="U59" s="21"/>
      <c r="V59" s="21"/>
      <c r="W59" s="21"/>
      <c r="X59" s="21"/>
    </row>
    <row r="60" customFormat="false" ht="15.75" hidden="false" customHeight="false" outlineLevel="0" collapsed="false">
      <c r="A60" s="61" t="n">
        <v>5779</v>
      </c>
      <c r="B60" s="29" t="n">
        <v>44376</v>
      </c>
      <c r="C60" s="21" t="s">
        <v>4567</v>
      </c>
      <c r="D60" s="21" t="s">
        <v>24</v>
      </c>
      <c r="E60" s="21" t="s">
        <v>3337</v>
      </c>
      <c r="F60" s="21" t="s">
        <v>4571</v>
      </c>
      <c r="G60" s="30"/>
      <c r="H60" s="21"/>
      <c r="I60" s="21"/>
      <c r="J60" s="21"/>
      <c r="K60" s="21"/>
      <c r="L60" s="21"/>
      <c r="M60" s="21" t="s">
        <v>3376</v>
      </c>
      <c r="N60" s="21"/>
      <c r="O60" s="21"/>
      <c r="P60" s="21"/>
      <c r="Q60" s="32"/>
      <c r="R60" s="32"/>
      <c r="S60" s="21"/>
      <c r="T60" s="21"/>
      <c r="U60" s="21"/>
      <c r="V60" s="21"/>
      <c r="W60" s="21"/>
      <c r="X60" s="21"/>
    </row>
    <row r="61" customFormat="false" ht="15.75" hidden="false" customHeight="false" outlineLevel="0" collapsed="false">
      <c r="A61" s="61" t="n">
        <v>5780</v>
      </c>
      <c r="B61" s="29" t="n">
        <v>44376</v>
      </c>
      <c r="C61" s="21" t="s">
        <v>4572</v>
      </c>
      <c r="D61" s="21" t="s">
        <v>24</v>
      </c>
      <c r="E61" s="21" t="s">
        <v>3337</v>
      </c>
      <c r="F61" s="21" t="s">
        <v>4571</v>
      </c>
      <c r="G61" s="30"/>
      <c r="H61" s="21"/>
      <c r="I61" s="21"/>
      <c r="J61" s="21"/>
      <c r="K61" s="21"/>
      <c r="L61" s="21"/>
      <c r="M61" s="21" t="s">
        <v>3376</v>
      </c>
      <c r="N61" s="21"/>
      <c r="O61" s="21"/>
      <c r="P61" s="21"/>
      <c r="Q61" s="32"/>
      <c r="R61" s="32"/>
      <c r="S61" s="21"/>
      <c r="T61" s="21"/>
      <c r="U61" s="21"/>
      <c r="V61" s="21"/>
      <c r="W61" s="21"/>
      <c r="X61" s="21"/>
    </row>
    <row r="62" customFormat="false" ht="15.75" hidden="false" customHeight="false" outlineLevel="0" collapsed="false">
      <c r="A62" s="61" t="n">
        <v>5781</v>
      </c>
      <c r="B62" s="29" t="n">
        <v>44376</v>
      </c>
      <c r="C62" s="21" t="s">
        <v>4573</v>
      </c>
      <c r="D62" s="21" t="s">
        <v>24</v>
      </c>
      <c r="E62" s="21" t="s">
        <v>3337</v>
      </c>
      <c r="F62" s="21" t="s">
        <v>4574</v>
      </c>
      <c r="G62" s="30"/>
      <c r="H62" s="21" t="s">
        <v>28</v>
      </c>
      <c r="I62" s="21"/>
      <c r="J62" s="21" t="n">
        <v>3517533489</v>
      </c>
      <c r="K62" s="21"/>
      <c r="L62" s="21"/>
      <c r="M62" s="21"/>
      <c r="N62" s="21"/>
      <c r="O62" s="21"/>
      <c r="P62" s="21"/>
      <c r="Q62" s="32"/>
      <c r="R62" s="32"/>
      <c r="S62" s="21"/>
      <c r="T62" s="21"/>
      <c r="U62" s="21"/>
      <c r="V62" s="21"/>
      <c r="W62" s="21"/>
      <c r="X62" s="21"/>
    </row>
    <row r="63" customFormat="false" ht="15.75" hidden="false" customHeight="false" outlineLevel="0" collapsed="false">
      <c r="A63" s="61" t="n">
        <v>5782</v>
      </c>
      <c r="B63" s="29" t="n">
        <v>44377</v>
      </c>
      <c r="C63" s="21" t="s">
        <v>4575</v>
      </c>
      <c r="D63" s="21" t="s">
        <v>24</v>
      </c>
      <c r="E63" s="21" t="s">
        <v>34</v>
      </c>
      <c r="F63" s="21" t="s">
        <v>4576</v>
      </c>
      <c r="G63" s="30"/>
      <c r="H63" s="21"/>
      <c r="I63" s="21"/>
      <c r="J63" s="21"/>
      <c r="K63" s="21"/>
      <c r="L63" s="21"/>
      <c r="M63" s="21"/>
      <c r="N63" s="21"/>
      <c r="O63" s="21"/>
      <c r="P63" s="21"/>
      <c r="Q63" s="32"/>
      <c r="R63" s="32"/>
      <c r="S63" s="21"/>
      <c r="T63" s="21"/>
      <c r="U63" s="21"/>
      <c r="V63" s="21"/>
      <c r="W63" s="21"/>
      <c r="X63" s="21"/>
    </row>
    <row r="64" customFormat="false" ht="15.75" hidden="false" customHeight="false" outlineLevel="0" collapsed="false">
      <c r="A64" s="61" t="n">
        <v>5783</v>
      </c>
      <c r="B64" s="29" t="n">
        <v>44377</v>
      </c>
      <c r="C64" s="21" t="s">
        <v>75</v>
      </c>
      <c r="D64" s="21" t="s">
        <v>24</v>
      </c>
      <c r="E64" s="21" t="s">
        <v>34</v>
      </c>
      <c r="F64" s="21" t="s">
        <v>4577</v>
      </c>
      <c r="G64" s="30"/>
      <c r="H64" s="21"/>
      <c r="I64" s="21"/>
      <c r="J64" s="21"/>
      <c r="K64" s="21"/>
      <c r="L64" s="21"/>
      <c r="M64" s="21"/>
      <c r="N64" s="21"/>
      <c r="O64" s="21"/>
      <c r="P64" s="21"/>
      <c r="Q64" s="32"/>
      <c r="R64" s="32"/>
      <c r="S64" s="21"/>
      <c r="T64" s="21"/>
      <c r="U64" s="21"/>
      <c r="V64" s="21"/>
      <c r="W64" s="21"/>
      <c r="X64" s="21"/>
    </row>
    <row r="65" customFormat="false" ht="15.75" hidden="false" customHeight="false" outlineLevel="0" collapsed="false">
      <c r="A65" s="61" t="n">
        <v>5784</v>
      </c>
      <c r="B65" s="29" t="n">
        <v>44377</v>
      </c>
      <c r="C65" s="21" t="s">
        <v>1347</v>
      </c>
      <c r="D65" s="21" t="s">
        <v>24</v>
      </c>
      <c r="E65" s="21" t="s">
        <v>3337</v>
      </c>
      <c r="F65" s="21" t="s">
        <v>4578</v>
      </c>
      <c r="G65" s="30"/>
      <c r="H65" s="21"/>
      <c r="I65" s="21"/>
      <c r="J65" s="21" t="n">
        <v>3513810038</v>
      </c>
      <c r="K65" s="21"/>
      <c r="L65" s="21"/>
      <c r="M65" s="21" t="s">
        <v>4421</v>
      </c>
      <c r="N65" s="21"/>
      <c r="O65" s="21"/>
      <c r="P65" s="21"/>
      <c r="Q65" s="32"/>
      <c r="R65" s="32"/>
      <c r="S65" s="21"/>
      <c r="T65" s="21"/>
      <c r="U65" s="21"/>
      <c r="V65" s="21"/>
      <c r="W65" s="21"/>
      <c r="X65" s="21"/>
    </row>
    <row r="66" customFormat="false" ht="15.75" hidden="false" customHeight="false" outlineLevel="0" collapsed="false">
      <c r="A66" s="61" t="n">
        <v>5785</v>
      </c>
      <c r="B66" s="29" t="n">
        <v>44377</v>
      </c>
      <c r="C66" s="21" t="s">
        <v>1347</v>
      </c>
      <c r="D66" s="21" t="s">
        <v>24</v>
      </c>
      <c r="E66" s="21" t="s">
        <v>3337</v>
      </c>
      <c r="F66" s="21" t="s">
        <v>4579</v>
      </c>
      <c r="G66" s="30"/>
      <c r="H66" s="21"/>
      <c r="I66" s="21"/>
      <c r="J66" s="21" t="n">
        <v>3513415467</v>
      </c>
      <c r="K66" s="21"/>
      <c r="L66" s="21"/>
      <c r="M66" s="21" t="s">
        <v>4421</v>
      </c>
      <c r="N66" s="21"/>
      <c r="O66" s="21"/>
      <c r="P66" s="21"/>
      <c r="Q66" s="32"/>
      <c r="R66" s="32"/>
      <c r="S66" s="21"/>
      <c r="T66" s="21"/>
      <c r="U66" s="21"/>
      <c r="V66" s="21"/>
      <c r="W66" s="21"/>
      <c r="X66" s="21"/>
    </row>
    <row r="67" customFormat="false" ht="15.75" hidden="false" customHeight="false" outlineLevel="0" collapsed="false">
      <c r="A67" s="61"/>
      <c r="B67" s="29"/>
      <c r="C67" s="21"/>
      <c r="D67" s="21"/>
      <c r="E67" s="21"/>
      <c r="F67" s="21"/>
      <c r="G67" s="30"/>
      <c r="H67" s="21"/>
      <c r="I67" s="21"/>
      <c r="J67" s="21"/>
      <c r="K67" s="21"/>
      <c r="L67" s="21"/>
      <c r="M67" s="21"/>
      <c r="N67" s="21"/>
      <c r="O67" s="21"/>
      <c r="P67" s="21"/>
      <c r="Q67" s="32"/>
      <c r="R67" s="32"/>
      <c r="S67" s="21"/>
      <c r="T67" s="21"/>
      <c r="U67" s="21"/>
      <c r="V67" s="21"/>
      <c r="W67" s="21"/>
      <c r="X67" s="21"/>
    </row>
    <row r="68" customFormat="false" ht="15.75" hidden="false" customHeight="false" outlineLevel="0" collapsed="false">
      <c r="A68" s="61"/>
      <c r="B68" s="29"/>
      <c r="C68" s="21"/>
      <c r="D68" s="21"/>
      <c r="E68" s="21"/>
      <c r="F68" s="21"/>
      <c r="G68" s="30"/>
      <c r="H68" s="21"/>
      <c r="I68" s="21"/>
      <c r="J68" s="21"/>
      <c r="K68" s="21"/>
      <c r="L68" s="21"/>
      <c r="M68" s="21"/>
      <c r="N68" s="21"/>
      <c r="O68" s="21"/>
      <c r="P68" s="21"/>
      <c r="Q68" s="32"/>
      <c r="R68" s="32"/>
      <c r="S68" s="21"/>
      <c r="T68" s="21"/>
      <c r="U68" s="21"/>
      <c r="V68" s="21"/>
      <c r="W68" s="21"/>
      <c r="X68" s="21"/>
    </row>
    <row r="69" customFormat="false" ht="15.75" hidden="false" customHeight="false" outlineLevel="0" collapsed="false">
      <c r="G69" s="18"/>
    </row>
    <row r="70" customFormat="false" ht="15.75" hidden="false" customHeight="false" outlineLevel="0" collapsed="false">
      <c r="G70" s="18"/>
    </row>
    <row r="71" customFormat="false" ht="15.75" hidden="false" customHeight="false" outlineLevel="0" collapsed="false">
      <c r="G71" s="18"/>
    </row>
    <row r="72" customFormat="false" ht="15.75" hidden="false" customHeight="false" outlineLevel="0" collapsed="false">
      <c r="G72" s="18"/>
    </row>
    <row r="73" customFormat="false" ht="15.75" hidden="false" customHeight="false" outlineLevel="0" collapsed="false">
      <c r="G73" s="18"/>
    </row>
    <row r="74" customFormat="false" ht="15.75" hidden="false" customHeight="false" outlineLevel="0" collapsed="false">
      <c r="G74" s="18"/>
    </row>
    <row r="75" customFormat="false" ht="15.75" hidden="false" customHeight="false" outlineLevel="0" collapsed="false">
      <c r="G75" s="18"/>
    </row>
    <row r="76" customFormat="false" ht="15.75" hidden="false" customHeight="false" outlineLevel="0" collapsed="false">
      <c r="G76" s="18"/>
    </row>
    <row r="77" customFormat="false" ht="15.75" hidden="false" customHeight="false" outlineLevel="0" collapsed="false">
      <c r="G77" s="18"/>
    </row>
    <row r="78" customFormat="false" ht="15.75" hidden="false" customHeight="false" outlineLevel="0" collapsed="false">
      <c r="G78" s="18"/>
    </row>
    <row r="79" customFormat="false" ht="15.75" hidden="false" customHeight="false" outlineLevel="0" collapsed="false">
      <c r="G79" s="18"/>
    </row>
    <row r="80" customFormat="false" ht="15.75" hidden="false" customHeight="false" outlineLevel="0" collapsed="false">
      <c r="G80" s="18"/>
    </row>
    <row r="81" customFormat="false" ht="15.75" hidden="false" customHeight="false" outlineLevel="0" collapsed="false">
      <c r="G81" s="18"/>
    </row>
    <row r="82" customFormat="false" ht="15.75" hidden="false" customHeight="false" outlineLevel="0" collapsed="false">
      <c r="G82" s="18"/>
    </row>
    <row r="83" customFormat="false" ht="15.75" hidden="false" customHeight="false" outlineLevel="0" collapsed="false">
      <c r="G83" s="18"/>
    </row>
    <row r="84" customFormat="false" ht="15.75" hidden="false" customHeight="false" outlineLevel="0" collapsed="false">
      <c r="G84" s="18"/>
    </row>
    <row r="85" customFormat="false" ht="15.75" hidden="false" customHeight="false" outlineLevel="0" collapsed="false">
      <c r="G85" s="18"/>
    </row>
    <row r="86" customFormat="false" ht="15.75" hidden="false" customHeight="false" outlineLevel="0" collapsed="false">
      <c r="G86" s="18"/>
    </row>
    <row r="87" customFormat="false" ht="15.75" hidden="false" customHeight="false" outlineLevel="0" collapsed="false">
      <c r="G87" s="18"/>
    </row>
    <row r="88" customFormat="false" ht="15.75" hidden="false" customHeight="false" outlineLevel="0" collapsed="false">
      <c r="G88" s="18"/>
    </row>
    <row r="89" customFormat="false" ht="15.75" hidden="false" customHeight="false" outlineLevel="0" collapsed="false">
      <c r="G89" s="18"/>
    </row>
    <row r="90" customFormat="false" ht="15.75" hidden="false" customHeight="false" outlineLevel="0" collapsed="false">
      <c r="G90" s="18"/>
    </row>
    <row r="91" customFormat="false" ht="15.75" hidden="false" customHeight="false" outlineLevel="0" collapsed="false">
      <c r="G91" s="18"/>
    </row>
    <row r="92" customFormat="false" ht="15.75" hidden="false" customHeight="false" outlineLevel="0" collapsed="false">
      <c r="G92" s="18"/>
    </row>
    <row r="93" customFormat="false" ht="15.75" hidden="false" customHeight="false" outlineLevel="0" collapsed="false">
      <c r="G93" s="18"/>
    </row>
    <row r="94" customFormat="false" ht="15.75" hidden="false" customHeight="false" outlineLevel="0" collapsed="false">
      <c r="G94" s="18"/>
    </row>
    <row r="95" customFormat="false" ht="15.75" hidden="false" customHeight="false" outlineLevel="0" collapsed="false">
      <c r="G95" s="18"/>
    </row>
    <row r="96" customFormat="false" ht="15.75" hidden="false" customHeight="false" outlineLevel="0" collapsed="false">
      <c r="G96" s="18"/>
    </row>
    <row r="97" customFormat="false" ht="15.75" hidden="false" customHeight="false" outlineLevel="0" collapsed="false">
      <c r="G97" s="18"/>
    </row>
    <row r="98" customFormat="false" ht="15.75" hidden="false" customHeight="false" outlineLevel="0" collapsed="false">
      <c r="G98" s="18"/>
    </row>
    <row r="99" customFormat="false" ht="15.75" hidden="false" customHeight="false" outlineLevel="0" collapsed="false">
      <c r="G99" s="18"/>
    </row>
    <row r="100" customFormat="false" ht="15.75" hidden="false" customHeight="false" outlineLevel="0" collapsed="false">
      <c r="G100" s="18"/>
    </row>
    <row r="101" customFormat="false" ht="15.75" hidden="false" customHeight="false" outlineLevel="0" collapsed="false">
      <c r="G101" s="18"/>
    </row>
    <row r="102" customFormat="false" ht="15.75" hidden="false" customHeight="false" outlineLevel="0" collapsed="false">
      <c r="G102" s="18"/>
    </row>
    <row r="103" customFormat="false" ht="15.75" hidden="false" customHeight="false" outlineLevel="0" collapsed="false">
      <c r="G103" s="18"/>
    </row>
    <row r="104" customFormat="false" ht="15.75" hidden="false" customHeight="false" outlineLevel="0" collapsed="false">
      <c r="G104" s="18"/>
    </row>
    <row r="105" customFormat="false" ht="15.75" hidden="false" customHeight="false" outlineLevel="0" collapsed="false">
      <c r="G105" s="18"/>
    </row>
    <row r="106" customFormat="false" ht="15.75" hidden="false" customHeight="false" outlineLevel="0" collapsed="false">
      <c r="G106" s="18"/>
    </row>
    <row r="107" customFormat="false" ht="15.75" hidden="false" customHeight="false" outlineLevel="0" collapsed="false">
      <c r="G107" s="18"/>
    </row>
    <row r="108" customFormat="false" ht="15.75" hidden="false" customHeight="false" outlineLevel="0" collapsed="false">
      <c r="G108" s="18"/>
    </row>
    <row r="109" customFormat="false" ht="15.75" hidden="false" customHeight="false" outlineLevel="0" collapsed="false">
      <c r="G109" s="18"/>
    </row>
    <row r="110" customFormat="false" ht="15.75" hidden="false" customHeight="false" outlineLevel="0" collapsed="false">
      <c r="G110" s="18"/>
    </row>
    <row r="111" customFormat="false" ht="15.75" hidden="false" customHeight="false" outlineLevel="0" collapsed="false">
      <c r="G111" s="18"/>
    </row>
    <row r="112" customFormat="false" ht="15.75" hidden="false" customHeight="false" outlineLevel="0" collapsed="false">
      <c r="G112" s="18"/>
    </row>
    <row r="113" customFormat="false" ht="15.75" hidden="false" customHeight="false" outlineLevel="0" collapsed="false">
      <c r="G113" s="18"/>
    </row>
    <row r="114" customFormat="false" ht="15.75" hidden="false" customHeight="false" outlineLevel="0" collapsed="false">
      <c r="G114" s="18"/>
    </row>
    <row r="115" customFormat="false" ht="15.75" hidden="false" customHeight="false" outlineLevel="0" collapsed="false">
      <c r="G115" s="18"/>
    </row>
    <row r="116" customFormat="false" ht="15.75" hidden="false" customHeight="false" outlineLevel="0" collapsed="false">
      <c r="G116" s="18"/>
    </row>
    <row r="117" customFormat="false" ht="15.75" hidden="false" customHeight="false" outlineLevel="0" collapsed="false">
      <c r="G117" s="18"/>
    </row>
    <row r="118" customFormat="false" ht="15.75" hidden="false" customHeight="false" outlineLevel="0" collapsed="false">
      <c r="G118" s="18"/>
    </row>
    <row r="119" customFormat="false" ht="15.75" hidden="false" customHeight="false" outlineLevel="0" collapsed="false">
      <c r="G119" s="18"/>
    </row>
    <row r="120" customFormat="false" ht="15.75" hidden="false" customHeight="false" outlineLevel="0" collapsed="false">
      <c r="G120" s="18"/>
    </row>
    <row r="121" customFormat="false" ht="15.75" hidden="false" customHeight="false" outlineLevel="0" collapsed="false">
      <c r="G121" s="18"/>
    </row>
    <row r="122" customFormat="false" ht="15.75" hidden="false" customHeight="false" outlineLevel="0" collapsed="false">
      <c r="G122" s="18"/>
    </row>
    <row r="123" customFormat="false" ht="15.75" hidden="false" customHeight="false" outlineLevel="0" collapsed="false">
      <c r="G123" s="18"/>
    </row>
    <row r="124" customFormat="false" ht="15.75" hidden="false" customHeight="false" outlineLevel="0" collapsed="false">
      <c r="G124" s="18"/>
    </row>
    <row r="125" customFormat="false" ht="15.75" hidden="false" customHeight="false" outlineLevel="0" collapsed="false">
      <c r="G125" s="18"/>
    </row>
    <row r="126" customFormat="false" ht="15.75" hidden="false" customHeight="false" outlineLevel="0" collapsed="false">
      <c r="G126" s="18"/>
    </row>
    <row r="127" customFormat="false" ht="15.75" hidden="false" customHeight="false" outlineLevel="0" collapsed="false">
      <c r="G127" s="18"/>
    </row>
    <row r="128" customFormat="false" ht="15.75" hidden="false" customHeight="false" outlineLevel="0" collapsed="false">
      <c r="G128" s="18"/>
    </row>
    <row r="129" customFormat="false" ht="15.75" hidden="false" customHeight="false" outlineLevel="0" collapsed="false">
      <c r="G129" s="18"/>
    </row>
    <row r="130" customFormat="false" ht="15.75" hidden="false" customHeight="false" outlineLevel="0" collapsed="false">
      <c r="G130" s="18"/>
    </row>
    <row r="131" customFormat="false" ht="15.75" hidden="false" customHeight="false" outlineLevel="0" collapsed="false">
      <c r="G131" s="18"/>
    </row>
    <row r="132" customFormat="false" ht="15.75" hidden="false" customHeight="false" outlineLevel="0" collapsed="false">
      <c r="G132" s="18"/>
    </row>
    <row r="133" customFormat="false" ht="15.75" hidden="false" customHeight="false" outlineLevel="0" collapsed="false">
      <c r="G133" s="18"/>
    </row>
    <row r="134" customFormat="false" ht="15.75" hidden="false" customHeight="false" outlineLevel="0" collapsed="false">
      <c r="G134" s="18"/>
    </row>
    <row r="135" customFormat="false" ht="15.75" hidden="false" customHeight="false" outlineLevel="0" collapsed="false">
      <c r="G135" s="18"/>
    </row>
    <row r="136" customFormat="false" ht="15.75" hidden="false" customHeight="false" outlineLevel="0" collapsed="false">
      <c r="G136" s="18"/>
    </row>
    <row r="137" customFormat="false" ht="15.75" hidden="false" customHeight="false" outlineLevel="0" collapsed="false">
      <c r="G137" s="18"/>
    </row>
    <row r="138" customFormat="false" ht="15.75" hidden="false" customHeight="false" outlineLevel="0" collapsed="false">
      <c r="G138" s="18"/>
    </row>
    <row r="139" customFormat="false" ht="15.75" hidden="false" customHeight="false" outlineLevel="0" collapsed="false">
      <c r="G139" s="18"/>
    </row>
    <row r="140" customFormat="false" ht="15.75" hidden="false" customHeight="false" outlineLevel="0" collapsed="false">
      <c r="G140" s="18"/>
    </row>
    <row r="141" customFormat="false" ht="15.75" hidden="false" customHeight="false" outlineLevel="0" collapsed="false">
      <c r="G141" s="18"/>
    </row>
    <row r="142" customFormat="false" ht="15.75" hidden="false" customHeight="false" outlineLevel="0" collapsed="false">
      <c r="G142" s="18"/>
    </row>
    <row r="143" customFormat="false" ht="15.75" hidden="false" customHeight="false" outlineLevel="0" collapsed="false">
      <c r="G143" s="18"/>
    </row>
    <row r="144" customFormat="false" ht="15.75" hidden="false" customHeight="false" outlineLevel="0" collapsed="false">
      <c r="G144" s="18"/>
    </row>
    <row r="145" customFormat="false" ht="15.75" hidden="false" customHeight="false" outlineLevel="0" collapsed="false">
      <c r="G145" s="18"/>
    </row>
    <row r="146" customFormat="false" ht="15.75" hidden="false" customHeight="false" outlineLevel="0" collapsed="false">
      <c r="G146" s="18"/>
    </row>
    <row r="147" customFormat="false" ht="15.75" hidden="false" customHeight="false" outlineLevel="0" collapsed="false">
      <c r="G147" s="18"/>
    </row>
    <row r="148" customFormat="false" ht="15.75" hidden="false" customHeight="false" outlineLevel="0" collapsed="false">
      <c r="G148" s="18"/>
    </row>
    <row r="149" customFormat="false" ht="15.75" hidden="false" customHeight="false" outlineLevel="0" collapsed="false">
      <c r="G149" s="18"/>
    </row>
    <row r="150" customFormat="false" ht="15.75" hidden="false" customHeight="false" outlineLevel="0" collapsed="false">
      <c r="G150" s="18"/>
    </row>
    <row r="151" customFormat="false" ht="15.75" hidden="false" customHeight="false" outlineLevel="0" collapsed="false">
      <c r="G151" s="18"/>
    </row>
    <row r="152" customFormat="false" ht="15.75" hidden="false" customHeight="false" outlineLevel="0" collapsed="false">
      <c r="G152" s="18"/>
    </row>
    <row r="153" customFormat="false" ht="15.75" hidden="false" customHeight="false" outlineLevel="0" collapsed="false">
      <c r="G153" s="18"/>
    </row>
    <row r="154" customFormat="false" ht="15.75" hidden="false" customHeight="false" outlineLevel="0" collapsed="false">
      <c r="G154" s="18"/>
    </row>
    <row r="155" customFormat="false" ht="15.75" hidden="false" customHeight="false" outlineLevel="0" collapsed="false">
      <c r="G155" s="18"/>
    </row>
    <row r="156" customFormat="false" ht="15.75" hidden="false" customHeight="false" outlineLevel="0" collapsed="false">
      <c r="G156" s="18"/>
    </row>
    <row r="157" customFormat="false" ht="15.75" hidden="false" customHeight="false" outlineLevel="0" collapsed="false">
      <c r="G157" s="18"/>
    </row>
    <row r="158" customFormat="false" ht="15.75" hidden="false" customHeight="false" outlineLevel="0" collapsed="false">
      <c r="G158" s="18"/>
    </row>
    <row r="159" customFormat="false" ht="15.75" hidden="false" customHeight="false" outlineLevel="0" collapsed="false">
      <c r="G159" s="18"/>
    </row>
    <row r="160" customFormat="false" ht="15.75" hidden="false" customHeight="false" outlineLevel="0" collapsed="false">
      <c r="G160" s="18"/>
    </row>
    <row r="161" customFormat="false" ht="15.75" hidden="false" customHeight="false" outlineLevel="0" collapsed="false">
      <c r="G161" s="18"/>
    </row>
    <row r="162" customFormat="false" ht="15.75" hidden="false" customHeight="false" outlineLevel="0" collapsed="false">
      <c r="G162" s="18"/>
    </row>
    <row r="163" customFormat="false" ht="15.75" hidden="false" customHeight="false" outlineLevel="0" collapsed="false">
      <c r="G163" s="18"/>
    </row>
    <row r="164" customFormat="false" ht="15.75" hidden="false" customHeight="false" outlineLevel="0" collapsed="false">
      <c r="G164" s="18"/>
    </row>
    <row r="165" customFormat="false" ht="15.75" hidden="false" customHeight="false" outlineLevel="0" collapsed="false">
      <c r="G165" s="18"/>
    </row>
    <row r="166" customFormat="false" ht="15.75" hidden="false" customHeight="false" outlineLevel="0" collapsed="false">
      <c r="G166" s="18"/>
    </row>
    <row r="167" customFormat="false" ht="15.75" hidden="false" customHeight="false" outlineLevel="0" collapsed="false">
      <c r="G167" s="18"/>
    </row>
    <row r="168" customFormat="false" ht="15.75" hidden="false" customHeight="false" outlineLevel="0" collapsed="false">
      <c r="G168" s="18"/>
    </row>
    <row r="169" customFormat="false" ht="15.75" hidden="false" customHeight="false" outlineLevel="0" collapsed="false">
      <c r="G169" s="18"/>
    </row>
    <row r="170" customFormat="false" ht="15.75" hidden="false" customHeight="false" outlineLevel="0" collapsed="false">
      <c r="G170" s="18"/>
    </row>
    <row r="171" customFormat="false" ht="15.75" hidden="false" customHeight="false" outlineLevel="0" collapsed="false">
      <c r="G171" s="18"/>
    </row>
    <row r="172" customFormat="false" ht="15.75" hidden="false" customHeight="false" outlineLevel="0" collapsed="false">
      <c r="G172" s="18"/>
    </row>
    <row r="173" customFormat="false" ht="15.75" hidden="false" customHeight="false" outlineLevel="0" collapsed="false">
      <c r="G173" s="18"/>
    </row>
    <row r="174" customFormat="false" ht="15.75" hidden="false" customHeight="false" outlineLevel="0" collapsed="false">
      <c r="G174" s="18"/>
    </row>
    <row r="175" customFormat="false" ht="15.75" hidden="false" customHeight="false" outlineLevel="0" collapsed="false">
      <c r="G175" s="18"/>
    </row>
    <row r="176" customFormat="false" ht="15.75" hidden="false" customHeight="false" outlineLevel="0" collapsed="false">
      <c r="G176" s="18"/>
    </row>
    <row r="177" customFormat="false" ht="15.75" hidden="false" customHeight="false" outlineLevel="0" collapsed="false">
      <c r="G177" s="18"/>
    </row>
    <row r="178" customFormat="false" ht="15.75" hidden="false" customHeight="false" outlineLevel="0" collapsed="false">
      <c r="G178" s="18"/>
    </row>
    <row r="179" customFormat="false" ht="15.75" hidden="false" customHeight="false" outlineLevel="0" collapsed="false">
      <c r="G179" s="18"/>
    </row>
    <row r="180" customFormat="false" ht="15.75" hidden="false" customHeight="false" outlineLevel="0" collapsed="false">
      <c r="G180" s="18"/>
    </row>
    <row r="181" customFormat="false" ht="15.75" hidden="false" customHeight="false" outlineLevel="0" collapsed="false">
      <c r="G181" s="18"/>
    </row>
    <row r="182" customFormat="false" ht="15.75" hidden="false" customHeight="false" outlineLevel="0" collapsed="false">
      <c r="G182" s="18"/>
    </row>
    <row r="183" customFormat="false" ht="15.75" hidden="false" customHeight="false" outlineLevel="0" collapsed="false">
      <c r="G183" s="18"/>
    </row>
    <row r="184" customFormat="false" ht="15.75" hidden="false" customHeight="false" outlineLevel="0" collapsed="false">
      <c r="G184" s="18"/>
    </row>
    <row r="185" customFormat="false" ht="15.75" hidden="false" customHeight="false" outlineLevel="0" collapsed="false">
      <c r="G185" s="18"/>
    </row>
    <row r="186" customFormat="false" ht="15.75" hidden="false" customHeight="false" outlineLevel="0" collapsed="false">
      <c r="G186" s="18"/>
    </row>
    <row r="187" customFormat="false" ht="15.75" hidden="false" customHeight="false" outlineLevel="0" collapsed="false">
      <c r="G187" s="18"/>
    </row>
    <row r="188" customFormat="false" ht="15.75" hidden="false" customHeight="false" outlineLevel="0" collapsed="false">
      <c r="G188" s="18"/>
    </row>
    <row r="189" customFormat="false" ht="15.75" hidden="false" customHeight="false" outlineLevel="0" collapsed="false">
      <c r="G189" s="18"/>
    </row>
    <row r="190" customFormat="false" ht="15.75" hidden="false" customHeight="false" outlineLevel="0" collapsed="false">
      <c r="G190" s="18"/>
    </row>
    <row r="191" customFormat="false" ht="15.75" hidden="false" customHeight="false" outlineLevel="0" collapsed="false">
      <c r="G191" s="18"/>
    </row>
    <row r="192" customFormat="false" ht="15.75" hidden="false" customHeight="false" outlineLevel="0" collapsed="false">
      <c r="G192" s="18"/>
    </row>
    <row r="193" customFormat="false" ht="15.75" hidden="false" customHeight="false" outlineLevel="0" collapsed="false">
      <c r="G193" s="18"/>
    </row>
    <row r="194" customFormat="false" ht="15.75" hidden="false" customHeight="false" outlineLevel="0" collapsed="false">
      <c r="G194" s="18"/>
    </row>
    <row r="195" customFormat="false" ht="15.75" hidden="false" customHeight="false" outlineLevel="0" collapsed="false">
      <c r="G195" s="18"/>
    </row>
    <row r="196" customFormat="false" ht="15.75" hidden="false" customHeight="false" outlineLevel="0" collapsed="false">
      <c r="G196" s="18"/>
    </row>
    <row r="197" customFormat="false" ht="15.75" hidden="false" customHeight="false" outlineLevel="0" collapsed="false">
      <c r="G197" s="18"/>
    </row>
    <row r="198" customFormat="false" ht="15.75" hidden="false" customHeight="false" outlineLevel="0" collapsed="false">
      <c r="G198" s="18"/>
    </row>
    <row r="199" customFormat="false" ht="15.75" hidden="false" customHeight="false" outlineLevel="0" collapsed="false">
      <c r="G199" s="18"/>
    </row>
    <row r="200" customFormat="false" ht="15.75" hidden="false" customHeight="false" outlineLevel="0" collapsed="false">
      <c r="G200" s="18"/>
    </row>
    <row r="201" customFormat="false" ht="15.75" hidden="false" customHeight="false" outlineLevel="0" collapsed="false">
      <c r="G201" s="18"/>
    </row>
    <row r="202" customFormat="false" ht="15.75" hidden="false" customHeight="false" outlineLevel="0" collapsed="false">
      <c r="G202" s="18"/>
    </row>
    <row r="203" customFormat="false" ht="15.75" hidden="false" customHeight="false" outlineLevel="0" collapsed="false">
      <c r="G203" s="18"/>
    </row>
    <row r="204" customFormat="false" ht="15.75" hidden="false" customHeight="false" outlineLevel="0" collapsed="false">
      <c r="G204" s="18"/>
    </row>
    <row r="205" customFormat="false" ht="15.75" hidden="false" customHeight="false" outlineLevel="0" collapsed="false">
      <c r="G205" s="18"/>
    </row>
    <row r="206" customFormat="false" ht="15.75" hidden="false" customHeight="false" outlineLevel="0" collapsed="false">
      <c r="G206" s="18"/>
    </row>
    <row r="207" customFormat="false" ht="15.75" hidden="false" customHeight="false" outlineLevel="0" collapsed="false">
      <c r="G207" s="18"/>
    </row>
    <row r="208" customFormat="false" ht="15.75" hidden="false" customHeight="false" outlineLevel="0" collapsed="false">
      <c r="G208" s="18"/>
    </row>
    <row r="209" customFormat="false" ht="15.75" hidden="false" customHeight="false" outlineLevel="0" collapsed="false">
      <c r="G209" s="18"/>
    </row>
    <row r="210" customFormat="false" ht="15.75" hidden="false" customHeight="false" outlineLevel="0" collapsed="false">
      <c r="G210" s="18"/>
    </row>
    <row r="211" customFormat="false" ht="15.75" hidden="false" customHeight="false" outlineLevel="0" collapsed="false">
      <c r="G211" s="18"/>
    </row>
    <row r="212" customFormat="false" ht="15.75" hidden="false" customHeight="false" outlineLevel="0" collapsed="false">
      <c r="G212" s="18"/>
    </row>
    <row r="213" customFormat="false" ht="15.75" hidden="false" customHeight="false" outlineLevel="0" collapsed="false">
      <c r="G213" s="18"/>
    </row>
    <row r="214" customFormat="false" ht="15.75" hidden="false" customHeight="false" outlineLevel="0" collapsed="false">
      <c r="G214" s="18"/>
    </row>
    <row r="215" customFormat="false" ht="15.75" hidden="false" customHeight="false" outlineLevel="0" collapsed="false">
      <c r="G215" s="18"/>
    </row>
    <row r="216" customFormat="false" ht="15.75" hidden="false" customHeight="false" outlineLevel="0" collapsed="false">
      <c r="G216" s="18"/>
    </row>
    <row r="217" customFormat="false" ht="15.75" hidden="false" customHeight="false" outlineLevel="0" collapsed="false">
      <c r="G217" s="18"/>
    </row>
    <row r="218" customFormat="false" ht="15.75" hidden="false" customHeight="false" outlineLevel="0" collapsed="false">
      <c r="G218" s="18"/>
    </row>
    <row r="219" customFormat="false" ht="15.75" hidden="false" customHeight="false" outlineLevel="0" collapsed="false">
      <c r="G219" s="18"/>
    </row>
    <row r="220" customFormat="false" ht="15.75" hidden="false" customHeight="false" outlineLevel="0" collapsed="false">
      <c r="G220" s="18"/>
    </row>
    <row r="221" customFormat="false" ht="15.75" hidden="false" customHeight="false" outlineLevel="0" collapsed="false">
      <c r="G221" s="18"/>
    </row>
    <row r="222" customFormat="false" ht="15.75" hidden="false" customHeight="false" outlineLevel="0" collapsed="false">
      <c r="G222" s="18"/>
    </row>
    <row r="223" customFormat="false" ht="15.75" hidden="false" customHeight="false" outlineLevel="0" collapsed="false">
      <c r="G223" s="18"/>
    </row>
    <row r="224" customFormat="false" ht="15.75" hidden="false" customHeight="false" outlineLevel="0" collapsed="false">
      <c r="G224" s="18"/>
    </row>
    <row r="225" customFormat="false" ht="15.75" hidden="false" customHeight="false" outlineLevel="0" collapsed="false">
      <c r="G225" s="18"/>
    </row>
    <row r="226" customFormat="false" ht="15.75" hidden="false" customHeight="false" outlineLevel="0" collapsed="false">
      <c r="G226" s="18"/>
    </row>
    <row r="227" customFormat="false" ht="15.75" hidden="false" customHeight="false" outlineLevel="0" collapsed="false">
      <c r="G227" s="18"/>
    </row>
    <row r="228" customFormat="false" ht="15.75" hidden="false" customHeight="false" outlineLevel="0" collapsed="false">
      <c r="G228" s="18"/>
    </row>
    <row r="229" customFormat="false" ht="15.75" hidden="false" customHeight="false" outlineLevel="0" collapsed="false">
      <c r="G229" s="18"/>
    </row>
    <row r="230" customFormat="false" ht="15.75" hidden="false" customHeight="false" outlineLevel="0" collapsed="false">
      <c r="G230" s="18"/>
    </row>
    <row r="231" customFormat="false" ht="15.75" hidden="false" customHeight="false" outlineLevel="0" collapsed="false">
      <c r="G231" s="18"/>
    </row>
    <row r="232" customFormat="false" ht="15.75" hidden="false" customHeight="false" outlineLevel="0" collapsed="false">
      <c r="G232" s="18"/>
    </row>
    <row r="233" customFormat="false" ht="15.75" hidden="false" customHeight="false" outlineLevel="0" collapsed="false">
      <c r="G233" s="18"/>
    </row>
    <row r="234" customFormat="false" ht="15.75" hidden="false" customHeight="false" outlineLevel="0" collapsed="false">
      <c r="G234" s="18"/>
    </row>
    <row r="235" customFormat="false" ht="15.75" hidden="false" customHeight="false" outlineLevel="0" collapsed="false">
      <c r="G235" s="18"/>
    </row>
    <row r="236" customFormat="false" ht="15.75" hidden="false" customHeight="false" outlineLevel="0" collapsed="false">
      <c r="G236" s="18"/>
    </row>
    <row r="237" customFormat="false" ht="15.75" hidden="false" customHeight="false" outlineLevel="0" collapsed="false">
      <c r="G237" s="18"/>
    </row>
    <row r="238" customFormat="false" ht="15.75" hidden="false" customHeight="false" outlineLevel="0" collapsed="false">
      <c r="G238" s="18"/>
    </row>
    <row r="239" customFormat="false" ht="15.75" hidden="false" customHeight="false" outlineLevel="0" collapsed="false">
      <c r="G239" s="18"/>
    </row>
    <row r="240" customFormat="false" ht="15.75" hidden="false" customHeight="false" outlineLevel="0" collapsed="false">
      <c r="G240" s="18"/>
    </row>
    <row r="241" customFormat="false" ht="15.75" hidden="false" customHeight="false" outlineLevel="0" collapsed="false">
      <c r="G241" s="18"/>
    </row>
    <row r="242" customFormat="false" ht="15.75" hidden="false" customHeight="false" outlineLevel="0" collapsed="false">
      <c r="G242" s="18"/>
    </row>
    <row r="243" customFormat="false" ht="15.75" hidden="false" customHeight="false" outlineLevel="0" collapsed="false">
      <c r="G243" s="18"/>
    </row>
    <row r="244" customFormat="false" ht="15.75" hidden="false" customHeight="false" outlineLevel="0" collapsed="false">
      <c r="G244" s="18"/>
    </row>
    <row r="245" customFormat="false" ht="15.75" hidden="false" customHeight="false" outlineLevel="0" collapsed="false">
      <c r="G245" s="18"/>
    </row>
    <row r="246" customFormat="false" ht="15.75" hidden="false" customHeight="false" outlineLevel="0" collapsed="false">
      <c r="G246" s="18"/>
    </row>
    <row r="247" customFormat="false" ht="15.75" hidden="false" customHeight="false" outlineLevel="0" collapsed="false">
      <c r="G247" s="18"/>
    </row>
    <row r="248" customFormat="false" ht="15.75" hidden="false" customHeight="false" outlineLevel="0" collapsed="false">
      <c r="G248" s="18"/>
    </row>
    <row r="249" customFormat="false" ht="15.75" hidden="false" customHeight="false" outlineLevel="0" collapsed="false">
      <c r="G249" s="18"/>
    </row>
    <row r="250" customFormat="false" ht="15.75" hidden="false" customHeight="false" outlineLevel="0" collapsed="false">
      <c r="G250" s="18"/>
    </row>
    <row r="251" customFormat="false" ht="15.75" hidden="false" customHeight="false" outlineLevel="0" collapsed="false">
      <c r="G251" s="18"/>
    </row>
    <row r="252" customFormat="false" ht="15.75" hidden="false" customHeight="false" outlineLevel="0" collapsed="false">
      <c r="G252" s="18"/>
    </row>
    <row r="253" customFormat="false" ht="15.75" hidden="false" customHeight="false" outlineLevel="0" collapsed="false">
      <c r="G253" s="18"/>
    </row>
    <row r="254" customFormat="false" ht="15.75" hidden="false" customHeight="false" outlineLevel="0" collapsed="false">
      <c r="G254" s="18"/>
    </row>
    <row r="255" customFormat="false" ht="15.75" hidden="false" customHeight="false" outlineLevel="0" collapsed="false">
      <c r="G255" s="18"/>
    </row>
    <row r="256" customFormat="false" ht="15.75" hidden="false" customHeight="false" outlineLevel="0" collapsed="false">
      <c r="G256" s="18"/>
    </row>
    <row r="257" customFormat="false" ht="15.75" hidden="false" customHeight="false" outlineLevel="0" collapsed="false">
      <c r="G257" s="18"/>
    </row>
    <row r="258" customFormat="false" ht="15.75" hidden="false" customHeight="false" outlineLevel="0" collapsed="false">
      <c r="G258" s="18"/>
    </row>
    <row r="259" customFormat="false" ht="15.75" hidden="false" customHeight="false" outlineLevel="0" collapsed="false">
      <c r="G259" s="18"/>
    </row>
    <row r="260" customFormat="false" ht="15.75" hidden="false" customHeight="false" outlineLevel="0" collapsed="false">
      <c r="G260" s="18"/>
    </row>
    <row r="261" customFormat="false" ht="15.75" hidden="false" customHeight="false" outlineLevel="0" collapsed="false">
      <c r="G261" s="18"/>
    </row>
    <row r="262" customFormat="false" ht="15.75" hidden="false" customHeight="false" outlineLevel="0" collapsed="false">
      <c r="G262" s="18"/>
    </row>
    <row r="263" customFormat="false" ht="15.75" hidden="false" customHeight="false" outlineLevel="0" collapsed="false">
      <c r="G263" s="18"/>
    </row>
    <row r="264" customFormat="false" ht="15.75" hidden="false" customHeight="false" outlineLevel="0" collapsed="false">
      <c r="G264" s="18"/>
    </row>
    <row r="265" customFormat="false" ht="15.75" hidden="false" customHeight="false" outlineLevel="0" collapsed="false">
      <c r="G265" s="18"/>
    </row>
    <row r="266" customFormat="false" ht="15.75" hidden="false" customHeight="false" outlineLevel="0" collapsed="false">
      <c r="G266" s="18"/>
    </row>
    <row r="267" customFormat="false" ht="15.75" hidden="false" customHeight="false" outlineLevel="0" collapsed="false">
      <c r="G267" s="18"/>
    </row>
    <row r="268" customFormat="false" ht="15.75" hidden="false" customHeight="false" outlineLevel="0" collapsed="false">
      <c r="G268" s="18"/>
    </row>
    <row r="269" customFormat="false" ht="15.75" hidden="false" customHeight="false" outlineLevel="0" collapsed="false">
      <c r="G269" s="18"/>
    </row>
    <row r="270" customFormat="false" ht="15.75" hidden="false" customHeight="false" outlineLevel="0" collapsed="false">
      <c r="G270" s="18"/>
    </row>
    <row r="271" customFormat="false" ht="15.75" hidden="false" customHeight="false" outlineLevel="0" collapsed="false">
      <c r="G271" s="18"/>
    </row>
    <row r="272" customFormat="false" ht="15.75" hidden="false" customHeight="false" outlineLevel="0" collapsed="false">
      <c r="G272" s="18"/>
    </row>
    <row r="273" customFormat="false" ht="15.75" hidden="false" customHeight="false" outlineLevel="0" collapsed="false">
      <c r="G273" s="18"/>
    </row>
    <row r="274" customFormat="false" ht="15.75" hidden="false" customHeight="false" outlineLevel="0" collapsed="false">
      <c r="G274" s="18"/>
    </row>
    <row r="275" customFormat="false" ht="15.75" hidden="false" customHeight="false" outlineLevel="0" collapsed="false">
      <c r="G275" s="18"/>
    </row>
    <row r="276" customFormat="false" ht="15.75" hidden="false" customHeight="false" outlineLevel="0" collapsed="false">
      <c r="G276" s="18"/>
    </row>
    <row r="277" customFormat="false" ht="15.75" hidden="false" customHeight="false" outlineLevel="0" collapsed="false">
      <c r="G277" s="18"/>
    </row>
    <row r="278" customFormat="false" ht="15.75" hidden="false" customHeight="false" outlineLevel="0" collapsed="false">
      <c r="G278" s="18"/>
    </row>
    <row r="279" customFormat="false" ht="15.75" hidden="false" customHeight="false" outlineLevel="0" collapsed="false">
      <c r="G279" s="18"/>
    </row>
    <row r="280" customFormat="false" ht="15.75" hidden="false" customHeight="false" outlineLevel="0" collapsed="false">
      <c r="G280" s="18"/>
    </row>
    <row r="281" customFormat="false" ht="15.75" hidden="false" customHeight="false" outlineLevel="0" collapsed="false">
      <c r="G281" s="18"/>
    </row>
    <row r="282" customFormat="false" ht="15.75" hidden="false" customHeight="false" outlineLevel="0" collapsed="false">
      <c r="G282" s="18"/>
    </row>
    <row r="283" customFormat="false" ht="15.75" hidden="false" customHeight="false" outlineLevel="0" collapsed="false">
      <c r="G283" s="18"/>
    </row>
    <row r="284" customFormat="false" ht="15.75" hidden="false" customHeight="false" outlineLevel="0" collapsed="false">
      <c r="G284" s="18"/>
    </row>
    <row r="285" customFormat="false" ht="15.75" hidden="false" customHeight="false" outlineLevel="0" collapsed="false">
      <c r="G285" s="18"/>
    </row>
    <row r="286" customFormat="false" ht="15.75" hidden="false" customHeight="false" outlineLevel="0" collapsed="false">
      <c r="G286" s="18"/>
    </row>
    <row r="287" customFormat="false" ht="15.75" hidden="false" customHeight="false" outlineLevel="0" collapsed="false">
      <c r="G287" s="18"/>
    </row>
    <row r="288" customFormat="false" ht="15.75" hidden="false" customHeight="false" outlineLevel="0" collapsed="false">
      <c r="G288" s="18"/>
    </row>
    <row r="289" customFormat="false" ht="15.75" hidden="false" customHeight="false" outlineLevel="0" collapsed="false">
      <c r="G289" s="18"/>
    </row>
    <row r="290" customFormat="false" ht="15.75" hidden="false" customHeight="false" outlineLevel="0" collapsed="false">
      <c r="G290" s="18"/>
    </row>
    <row r="291" customFormat="false" ht="15.75" hidden="false" customHeight="false" outlineLevel="0" collapsed="false">
      <c r="G291" s="18"/>
    </row>
    <row r="292" customFormat="false" ht="15.75" hidden="false" customHeight="false" outlineLevel="0" collapsed="false">
      <c r="G292" s="18"/>
    </row>
    <row r="293" customFormat="false" ht="15.75" hidden="false" customHeight="false" outlineLevel="0" collapsed="false">
      <c r="G293" s="18"/>
    </row>
    <row r="294" customFormat="false" ht="15.75" hidden="false" customHeight="false" outlineLevel="0" collapsed="false">
      <c r="G294" s="18"/>
    </row>
    <row r="295" customFormat="false" ht="15.75" hidden="false" customHeight="false" outlineLevel="0" collapsed="false">
      <c r="G295" s="18"/>
    </row>
    <row r="296" customFormat="false" ht="15.75" hidden="false" customHeight="false" outlineLevel="0" collapsed="false">
      <c r="G296" s="18"/>
    </row>
    <row r="297" customFormat="false" ht="15.75" hidden="false" customHeight="false" outlineLevel="0" collapsed="false">
      <c r="G297" s="18"/>
    </row>
    <row r="298" customFormat="false" ht="15.75" hidden="false" customHeight="false" outlineLevel="0" collapsed="false">
      <c r="G298" s="18"/>
    </row>
    <row r="299" customFormat="false" ht="15.75" hidden="false" customHeight="false" outlineLevel="0" collapsed="false">
      <c r="G299" s="18"/>
    </row>
    <row r="300" customFormat="false" ht="15.75" hidden="false" customHeight="false" outlineLevel="0" collapsed="false">
      <c r="G300" s="18"/>
    </row>
    <row r="301" customFormat="false" ht="15.75" hidden="false" customHeight="false" outlineLevel="0" collapsed="false">
      <c r="G301" s="18"/>
    </row>
    <row r="302" customFormat="false" ht="15.75" hidden="false" customHeight="false" outlineLevel="0" collapsed="false">
      <c r="G302" s="18"/>
    </row>
    <row r="303" customFormat="false" ht="15.75" hidden="false" customHeight="false" outlineLevel="0" collapsed="false">
      <c r="G303" s="18"/>
    </row>
    <row r="304" customFormat="false" ht="15.75" hidden="false" customHeight="false" outlineLevel="0" collapsed="false">
      <c r="G304" s="18"/>
    </row>
    <row r="305" customFormat="false" ht="15.75" hidden="false" customHeight="false" outlineLevel="0" collapsed="false">
      <c r="G305" s="18"/>
    </row>
    <row r="306" customFormat="false" ht="15.75" hidden="false" customHeight="false" outlineLevel="0" collapsed="false">
      <c r="G306" s="18"/>
    </row>
    <row r="307" customFormat="false" ht="15.75" hidden="false" customHeight="false" outlineLevel="0" collapsed="false">
      <c r="G307" s="18"/>
    </row>
    <row r="308" customFormat="false" ht="15.75" hidden="false" customHeight="false" outlineLevel="0" collapsed="false">
      <c r="G308" s="18"/>
    </row>
    <row r="309" customFormat="false" ht="15.75" hidden="false" customHeight="false" outlineLevel="0" collapsed="false">
      <c r="G309" s="18"/>
    </row>
    <row r="310" customFormat="false" ht="15.75" hidden="false" customHeight="false" outlineLevel="0" collapsed="false">
      <c r="G310" s="18"/>
    </row>
    <row r="311" customFormat="false" ht="15.75" hidden="false" customHeight="false" outlineLevel="0" collapsed="false">
      <c r="G311" s="18"/>
    </row>
    <row r="312" customFormat="false" ht="15.75" hidden="false" customHeight="false" outlineLevel="0" collapsed="false">
      <c r="G312" s="18"/>
    </row>
    <row r="313" customFormat="false" ht="15.75" hidden="false" customHeight="false" outlineLevel="0" collapsed="false">
      <c r="G313" s="18"/>
    </row>
    <row r="314" customFormat="false" ht="15.75" hidden="false" customHeight="false" outlineLevel="0" collapsed="false">
      <c r="G314" s="18"/>
    </row>
    <row r="315" customFormat="false" ht="15.75" hidden="false" customHeight="false" outlineLevel="0" collapsed="false">
      <c r="G315" s="18"/>
    </row>
    <row r="316" customFormat="false" ht="15.75" hidden="false" customHeight="false" outlineLevel="0" collapsed="false">
      <c r="G316" s="18"/>
    </row>
    <row r="317" customFormat="false" ht="15.75" hidden="false" customHeight="false" outlineLevel="0" collapsed="false">
      <c r="G317" s="18"/>
    </row>
    <row r="318" customFormat="false" ht="15.75" hidden="false" customHeight="false" outlineLevel="0" collapsed="false">
      <c r="G318" s="18"/>
    </row>
    <row r="319" customFormat="false" ht="15.75" hidden="false" customHeight="false" outlineLevel="0" collapsed="false">
      <c r="G319" s="18"/>
    </row>
    <row r="320" customFormat="false" ht="15.75" hidden="false" customHeight="false" outlineLevel="0" collapsed="false">
      <c r="G320" s="18"/>
    </row>
    <row r="321" customFormat="false" ht="15.75" hidden="false" customHeight="false" outlineLevel="0" collapsed="false">
      <c r="G321" s="18"/>
    </row>
    <row r="322" customFormat="false" ht="15.75" hidden="false" customHeight="false" outlineLevel="0" collapsed="false">
      <c r="G322" s="18"/>
    </row>
    <row r="323" customFormat="false" ht="15.75" hidden="false" customHeight="false" outlineLevel="0" collapsed="false">
      <c r="G323" s="18"/>
    </row>
    <row r="324" customFormat="false" ht="15.75" hidden="false" customHeight="false" outlineLevel="0" collapsed="false">
      <c r="G324" s="18"/>
    </row>
    <row r="325" customFormat="false" ht="15.75" hidden="false" customHeight="false" outlineLevel="0" collapsed="false">
      <c r="G325" s="18"/>
    </row>
    <row r="326" customFormat="false" ht="15.75" hidden="false" customHeight="false" outlineLevel="0" collapsed="false">
      <c r="G326" s="18"/>
    </row>
    <row r="327" customFormat="false" ht="15.75" hidden="false" customHeight="false" outlineLevel="0" collapsed="false">
      <c r="G327" s="18"/>
    </row>
    <row r="328" customFormat="false" ht="15.75" hidden="false" customHeight="false" outlineLevel="0" collapsed="false">
      <c r="G328" s="18"/>
    </row>
    <row r="329" customFormat="false" ht="15.75" hidden="false" customHeight="false" outlineLevel="0" collapsed="false">
      <c r="G329" s="18"/>
    </row>
    <row r="330" customFormat="false" ht="15.75" hidden="false" customHeight="false" outlineLevel="0" collapsed="false">
      <c r="G330" s="18"/>
    </row>
    <row r="331" customFormat="false" ht="15.75" hidden="false" customHeight="false" outlineLevel="0" collapsed="false">
      <c r="G331" s="18"/>
    </row>
    <row r="332" customFormat="false" ht="15.75" hidden="false" customHeight="false" outlineLevel="0" collapsed="false">
      <c r="G332" s="18"/>
    </row>
    <row r="333" customFormat="false" ht="15.75" hidden="false" customHeight="false" outlineLevel="0" collapsed="false">
      <c r="G333" s="18"/>
    </row>
    <row r="334" customFormat="false" ht="15.75" hidden="false" customHeight="false" outlineLevel="0" collapsed="false">
      <c r="G334" s="18"/>
    </row>
    <row r="335" customFormat="false" ht="15.75" hidden="false" customHeight="false" outlineLevel="0" collapsed="false">
      <c r="G335" s="18"/>
    </row>
    <row r="336" customFormat="false" ht="15.75" hidden="false" customHeight="false" outlineLevel="0" collapsed="false">
      <c r="G336" s="18"/>
    </row>
    <row r="337" customFormat="false" ht="15.75" hidden="false" customHeight="false" outlineLevel="0" collapsed="false">
      <c r="G337" s="18"/>
    </row>
    <row r="338" customFormat="false" ht="15.75" hidden="false" customHeight="false" outlineLevel="0" collapsed="false">
      <c r="G338" s="18"/>
    </row>
    <row r="339" customFormat="false" ht="15.75" hidden="false" customHeight="false" outlineLevel="0" collapsed="false">
      <c r="G339" s="18"/>
    </row>
    <row r="340" customFormat="false" ht="15.75" hidden="false" customHeight="false" outlineLevel="0" collapsed="false">
      <c r="G340" s="18"/>
    </row>
    <row r="341" customFormat="false" ht="15.75" hidden="false" customHeight="false" outlineLevel="0" collapsed="false">
      <c r="G341" s="18"/>
    </row>
    <row r="342" customFormat="false" ht="15.75" hidden="false" customHeight="false" outlineLevel="0" collapsed="false">
      <c r="G342" s="18"/>
    </row>
    <row r="343" customFormat="false" ht="15.75" hidden="false" customHeight="false" outlineLevel="0" collapsed="false">
      <c r="G343" s="18"/>
    </row>
    <row r="344" customFormat="false" ht="15.75" hidden="false" customHeight="false" outlineLevel="0" collapsed="false">
      <c r="G344" s="18"/>
    </row>
    <row r="345" customFormat="false" ht="15.75" hidden="false" customHeight="false" outlineLevel="0" collapsed="false">
      <c r="G345" s="18"/>
    </row>
    <row r="346" customFormat="false" ht="15.75" hidden="false" customHeight="false" outlineLevel="0" collapsed="false">
      <c r="G346" s="18"/>
    </row>
    <row r="347" customFormat="false" ht="15.75" hidden="false" customHeight="false" outlineLevel="0" collapsed="false">
      <c r="G347" s="18"/>
    </row>
    <row r="348" customFormat="false" ht="15.75" hidden="false" customHeight="false" outlineLevel="0" collapsed="false">
      <c r="G348" s="18"/>
    </row>
    <row r="349" customFormat="false" ht="15.75" hidden="false" customHeight="false" outlineLevel="0" collapsed="false">
      <c r="G349" s="18"/>
    </row>
    <row r="350" customFormat="false" ht="15.75" hidden="false" customHeight="false" outlineLevel="0" collapsed="false">
      <c r="G350" s="18"/>
    </row>
    <row r="351" customFormat="false" ht="15.75" hidden="false" customHeight="false" outlineLevel="0" collapsed="false">
      <c r="G351" s="18"/>
    </row>
    <row r="352" customFormat="false" ht="15.75" hidden="false" customHeight="false" outlineLevel="0" collapsed="false">
      <c r="G352" s="18"/>
    </row>
    <row r="353" customFormat="false" ht="15.75" hidden="false" customHeight="false" outlineLevel="0" collapsed="false">
      <c r="G353" s="18"/>
    </row>
    <row r="354" customFormat="false" ht="15.75" hidden="false" customHeight="false" outlineLevel="0" collapsed="false">
      <c r="G354" s="18"/>
    </row>
    <row r="355" customFormat="false" ht="15.75" hidden="false" customHeight="false" outlineLevel="0" collapsed="false">
      <c r="G355" s="18"/>
    </row>
    <row r="356" customFormat="false" ht="15.75" hidden="false" customHeight="false" outlineLevel="0" collapsed="false">
      <c r="G356" s="18"/>
    </row>
    <row r="357" customFormat="false" ht="15.75" hidden="false" customHeight="false" outlineLevel="0" collapsed="false">
      <c r="G357" s="18"/>
    </row>
    <row r="358" customFormat="false" ht="15.75" hidden="false" customHeight="false" outlineLevel="0" collapsed="false">
      <c r="G358" s="18"/>
    </row>
    <row r="359" customFormat="false" ht="15.75" hidden="false" customHeight="false" outlineLevel="0" collapsed="false">
      <c r="G359" s="18"/>
    </row>
    <row r="360" customFormat="false" ht="15.75" hidden="false" customHeight="false" outlineLevel="0" collapsed="false">
      <c r="G360" s="18"/>
    </row>
    <row r="361" customFormat="false" ht="15.75" hidden="false" customHeight="false" outlineLevel="0" collapsed="false">
      <c r="G361" s="18"/>
    </row>
    <row r="362" customFormat="false" ht="15.75" hidden="false" customHeight="false" outlineLevel="0" collapsed="false">
      <c r="G362" s="18"/>
    </row>
    <row r="363" customFormat="false" ht="15.75" hidden="false" customHeight="false" outlineLevel="0" collapsed="false">
      <c r="G363" s="18"/>
    </row>
    <row r="364" customFormat="false" ht="15.75" hidden="false" customHeight="false" outlineLevel="0" collapsed="false">
      <c r="G364" s="18"/>
    </row>
    <row r="365" customFormat="false" ht="15.75" hidden="false" customHeight="false" outlineLevel="0" collapsed="false">
      <c r="G365" s="18"/>
    </row>
    <row r="366" customFormat="false" ht="15.75" hidden="false" customHeight="false" outlineLevel="0" collapsed="false">
      <c r="G366" s="18"/>
    </row>
    <row r="367" customFormat="false" ht="15.75" hidden="false" customHeight="false" outlineLevel="0" collapsed="false">
      <c r="G367" s="18"/>
    </row>
    <row r="368" customFormat="false" ht="15.75" hidden="false" customHeight="false" outlineLevel="0" collapsed="false">
      <c r="G368" s="18"/>
    </row>
    <row r="369" customFormat="false" ht="15.75" hidden="false" customHeight="false" outlineLevel="0" collapsed="false">
      <c r="G369" s="18"/>
    </row>
    <row r="370" customFormat="false" ht="15.75" hidden="false" customHeight="false" outlineLevel="0" collapsed="false">
      <c r="G370" s="18"/>
    </row>
    <row r="371" customFormat="false" ht="15.75" hidden="false" customHeight="false" outlineLevel="0" collapsed="false">
      <c r="G371" s="18"/>
    </row>
    <row r="372" customFormat="false" ht="15.75" hidden="false" customHeight="false" outlineLevel="0" collapsed="false">
      <c r="G372" s="18"/>
    </row>
    <row r="373" customFormat="false" ht="15.75" hidden="false" customHeight="false" outlineLevel="0" collapsed="false">
      <c r="G373" s="18"/>
    </row>
    <row r="374" customFormat="false" ht="15.75" hidden="false" customHeight="false" outlineLevel="0" collapsed="false">
      <c r="G374" s="18"/>
    </row>
    <row r="375" customFormat="false" ht="15.75" hidden="false" customHeight="false" outlineLevel="0" collapsed="false">
      <c r="G375" s="18"/>
    </row>
    <row r="376" customFormat="false" ht="15.75" hidden="false" customHeight="false" outlineLevel="0" collapsed="false">
      <c r="G376" s="18"/>
    </row>
    <row r="377" customFormat="false" ht="15.75" hidden="false" customHeight="false" outlineLevel="0" collapsed="false">
      <c r="G377" s="18"/>
    </row>
    <row r="378" customFormat="false" ht="15.75" hidden="false" customHeight="false" outlineLevel="0" collapsed="false">
      <c r="G378" s="18"/>
    </row>
    <row r="379" customFormat="false" ht="15.75" hidden="false" customHeight="false" outlineLevel="0" collapsed="false">
      <c r="G379" s="18"/>
    </row>
    <row r="380" customFormat="false" ht="15.75" hidden="false" customHeight="false" outlineLevel="0" collapsed="false">
      <c r="G380" s="18"/>
    </row>
    <row r="381" customFormat="false" ht="15.75" hidden="false" customHeight="false" outlineLevel="0" collapsed="false">
      <c r="G381" s="18"/>
    </row>
    <row r="382" customFormat="false" ht="15.75" hidden="false" customHeight="false" outlineLevel="0" collapsed="false">
      <c r="G382" s="18"/>
    </row>
    <row r="383" customFormat="false" ht="15.75" hidden="false" customHeight="false" outlineLevel="0" collapsed="false">
      <c r="G383" s="18"/>
    </row>
    <row r="384" customFormat="false" ht="15.75" hidden="false" customHeight="false" outlineLevel="0" collapsed="false">
      <c r="G384" s="18"/>
    </row>
    <row r="385" customFormat="false" ht="15.75" hidden="false" customHeight="false" outlineLevel="0" collapsed="false">
      <c r="G385" s="18"/>
    </row>
    <row r="386" customFormat="false" ht="15.75" hidden="false" customHeight="false" outlineLevel="0" collapsed="false">
      <c r="G386" s="18"/>
    </row>
    <row r="387" customFormat="false" ht="15.75" hidden="false" customHeight="false" outlineLevel="0" collapsed="false">
      <c r="G387" s="18"/>
    </row>
    <row r="388" customFormat="false" ht="15.75" hidden="false" customHeight="false" outlineLevel="0" collapsed="false">
      <c r="G388" s="18"/>
    </row>
    <row r="389" customFormat="false" ht="15.75" hidden="false" customHeight="false" outlineLevel="0" collapsed="false">
      <c r="G389" s="18"/>
    </row>
    <row r="390" customFormat="false" ht="15.75" hidden="false" customHeight="false" outlineLevel="0" collapsed="false">
      <c r="G390" s="18"/>
    </row>
    <row r="391" customFormat="false" ht="15.75" hidden="false" customHeight="false" outlineLevel="0" collapsed="false">
      <c r="G391" s="18"/>
    </row>
    <row r="392" customFormat="false" ht="15.75" hidden="false" customHeight="false" outlineLevel="0" collapsed="false">
      <c r="G392" s="18"/>
    </row>
    <row r="393" customFormat="false" ht="15.75" hidden="false" customHeight="false" outlineLevel="0" collapsed="false">
      <c r="G393" s="18"/>
    </row>
    <row r="394" customFormat="false" ht="15.75" hidden="false" customHeight="false" outlineLevel="0" collapsed="false">
      <c r="G394" s="18"/>
    </row>
    <row r="395" customFormat="false" ht="15.75" hidden="false" customHeight="false" outlineLevel="0" collapsed="false">
      <c r="G395" s="18"/>
    </row>
    <row r="396" customFormat="false" ht="15.75" hidden="false" customHeight="false" outlineLevel="0" collapsed="false">
      <c r="G396" s="18"/>
    </row>
    <row r="397" customFormat="false" ht="15.75" hidden="false" customHeight="false" outlineLevel="0" collapsed="false">
      <c r="G397" s="18"/>
    </row>
    <row r="398" customFormat="false" ht="15.75" hidden="false" customHeight="false" outlineLevel="0" collapsed="false">
      <c r="G398" s="18"/>
    </row>
    <row r="399" customFormat="false" ht="15.75" hidden="false" customHeight="false" outlineLevel="0" collapsed="false">
      <c r="G399" s="18"/>
    </row>
    <row r="400" customFormat="false" ht="15.75" hidden="false" customHeight="false" outlineLevel="0" collapsed="false">
      <c r="G400" s="18"/>
    </row>
    <row r="401" customFormat="false" ht="15.75" hidden="false" customHeight="false" outlineLevel="0" collapsed="false">
      <c r="G401" s="18"/>
    </row>
    <row r="402" customFormat="false" ht="15.75" hidden="false" customHeight="false" outlineLevel="0" collapsed="false">
      <c r="G402" s="18"/>
    </row>
    <row r="403" customFormat="false" ht="15.75" hidden="false" customHeight="false" outlineLevel="0" collapsed="false">
      <c r="G403" s="18"/>
    </row>
    <row r="404" customFormat="false" ht="15.75" hidden="false" customHeight="false" outlineLevel="0" collapsed="false">
      <c r="G404" s="18"/>
    </row>
    <row r="405" customFormat="false" ht="15.75" hidden="false" customHeight="false" outlineLevel="0" collapsed="false">
      <c r="G405" s="18"/>
    </row>
    <row r="406" customFormat="false" ht="15.75" hidden="false" customHeight="false" outlineLevel="0" collapsed="false">
      <c r="G406" s="18"/>
    </row>
    <row r="407" customFormat="false" ht="15.75" hidden="false" customHeight="false" outlineLevel="0" collapsed="false">
      <c r="G407" s="18"/>
    </row>
    <row r="408" customFormat="false" ht="15.75" hidden="false" customHeight="false" outlineLevel="0" collapsed="false">
      <c r="G408" s="18"/>
    </row>
    <row r="409" customFormat="false" ht="15.75" hidden="false" customHeight="false" outlineLevel="0" collapsed="false">
      <c r="G409" s="18"/>
    </row>
    <row r="410" customFormat="false" ht="15.75" hidden="false" customHeight="false" outlineLevel="0" collapsed="false">
      <c r="G410" s="18"/>
    </row>
    <row r="411" customFormat="false" ht="15.75" hidden="false" customHeight="false" outlineLevel="0" collapsed="false">
      <c r="G411" s="18"/>
    </row>
    <row r="412" customFormat="false" ht="15.75" hidden="false" customHeight="false" outlineLevel="0" collapsed="false">
      <c r="G412" s="18"/>
    </row>
    <row r="413" customFormat="false" ht="15.75" hidden="false" customHeight="false" outlineLevel="0" collapsed="false">
      <c r="G413" s="18"/>
    </row>
    <row r="414" customFormat="false" ht="15.75" hidden="false" customHeight="false" outlineLevel="0" collapsed="false">
      <c r="G414" s="18"/>
    </row>
    <row r="415" customFormat="false" ht="15.75" hidden="false" customHeight="false" outlineLevel="0" collapsed="false">
      <c r="G415" s="18"/>
    </row>
    <row r="416" customFormat="false" ht="15.75" hidden="false" customHeight="false" outlineLevel="0" collapsed="false">
      <c r="G416" s="18"/>
    </row>
    <row r="417" customFormat="false" ht="15.75" hidden="false" customHeight="false" outlineLevel="0" collapsed="false">
      <c r="G417" s="18"/>
    </row>
    <row r="418" customFormat="false" ht="15.75" hidden="false" customHeight="false" outlineLevel="0" collapsed="false">
      <c r="G418" s="18"/>
    </row>
    <row r="419" customFormat="false" ht="15.75" hidden="false" customHeight="false" outlineLevel="0" collapsed="false">
      <c r="G419" s="18"/>
    </row>
    <row r="420" customFormat="false" ht="15.75" hidden="false" customHeight="false" outlineLevel="0" collapsed="false">
      <c r="G420" s="18"/>
    </row>
    <row r="421" customFormat="false" ht="15.75" hidden="false" customHeight="false" outlineLevel="0" collapsed="false">
      <c r="G421" s="18"/>
    </row>
    <row r="422" customFormat="false" ht="15.75" hidden="false" customHeight="false" outlineLevel="0" collapsed="false">
      <c r="G422" s="18"/>
    </row>
    <row r="423" customFormat="false" ht="15.75" hidden="false" customHeight="false" outlineLevel="0" collapsed="false">
      <c r="G423" s="18"/>
    </row>
    <row r="424" customFormat="false" ht="15.75" hidden="false" customHeight="false" outlineLevel="0" collapsed="false">
      <c r="G424" s="18"/>
    </row>
    <row r="425" customFormat="false" ht="15.75" hidden="false" customHeight="false" outlineLevel="0" collapsed="false">
      <c r="G425" s="18"/>
    </row>
    <row r="426" customFormat="false" ht="15.75" hidden="false" customHeight="false" outlineLevel="0" collapsed="false">
      <c r="G426" s="18"/>
    </row>
    <row r="427" customFormat="false" ht="15.75" hidden="false" customHeight="false" outlineLevel="0" collapsed="false">
      <c r="G427" s="18"/>
    </row>
    <row r="428" customFormat="false" ht="15.75" hidden="false" customHeight="false" outlineLevel="0" collapsed="false">
      <c r="G428" s="18"/>
    </row>
    <row r="429" customFormat="false" ht="15.75" hidden="false" customHeight="false" outlineLevel="0" collapsed="false">
      <c r="G429" s="18"/>
    </row>
    <row r="430" customFormat="false" ht="15.75" hidden="false" customHeight="false" outlineLevel="0" collapsed="false">
      <c r="G430" s="18"/>
    </row>
    <row r="431" customFormat="false" ht="15.75" hidden="false" customHeight="false" outlineLevel="0" collapsed="false">
      <c r="G431" s="18"/>
    </row>
    <row r="432" customFormat="false" ht="15.75" hidden="false" customHeight="false" outlineLevel="0" collapsed="false">
      <c r="G432" s="18"/>
    </row>
    <row r="433" customFormat="false" ht="15.75" hidden="false" customHeight="false" outlineLevel="0" collapsed="false">
      <c r="G433" s="18"/>
    </row>
    <row r="434" customFormat="false" ht="15.75" hidden="false" customHeight="false" outlineLevel="0" collapsed="false">
      <c r="G434" s="18"/>
    </row>
    <row r="435" customFormat="false" ht="15.75" hidden="false" customHeight="false" outlineLevel="0" collapsed="false">
      <c r="G435" s="18"/>
    </row>
    <row r="436" customFormat="false" ht="15.75" hidden="false" customHeight="false" outlineLevel="0" collapsed="false">
      <c r="G436" s="18"/>
    </row>
    <row r="437" customFormat="false" ht="15.75" hidden="false" customHeight="false" outlineLevel="0" collapsed="false">
      <c r="G437" s="18"/>
    </row>
    <row r="438" customFormat="false" ht="15.75" hidden="false" customHeight="false" outlineLevel="0" collapsed="false">
      <c r="G438" s="18"/>
    </row>
    <row r="439" customFormat="false" ht="15.75" hidden="false" customHeight="false" outlineLevel="0" collapsed="false">
      <c r="G439" s="18"/>
    </row>
    <row r="440" customFormat="false" ht="15.75" hidden="false" customHeight="false" outlineLevel="0" collapsed="false">
      <c r="G440" s="18"/>
    </row>
    <row r="441" customFormat="false" ht="15.75" hidden="false" customHeight="false" outlineLevel="0" collapsed="false">
      <c r="G441" s="18"/>
    </row>
    <row r="442" customFormat="false" ht="15.75" hidden="false" customHeight="false" outlineLevel="0" collapsed="false">
      <c r="G442" s="18"/>
    </row>
    <row r="443" customFormat="false" ht="15.75" hidden="false" customHeight="false" outlineLevel="0" collapsed="false">
      <c r="G443" s="18"/>
    </row>
    <row r="444" customFormat="false" ht="15.75" hidden="false" customHeight="false" outlineLevel="0" collapsed="false">
      <c r="G444" s="18"/>
    </row>
    <row r="445" customFormat="false" ht="15.75" hidden="false" customHeight="false" outlineLevel="0" collapsed="false">
      <c r="G445" s="18"/>
    </row>
    <row r="446" customFormat="false" ht="15.75" hidden="false" customHeight="false" outlineLevel="0" collapsed="false">
      <c r="G446" s="18"/>
    </row>
    <row r="447" customFormat="false" ht="15.75" hidden="false" customHeight="false" outlineLevel="0" collapsed="false">
      <c r="G447" s="18"/>
    </row>
    <row r="448" customFormat="false" ht="15.75" hidden="false" customHeight="false" outlineLevel="0" collapsed="false">
      <c r="G448" s="18"/>
    </row>
    <row r="449" customFormat="false" ht="15.75" hidden="false" customHeight="false" outlineLevel="0" collapsed="false">
      <c r="G449" s="18"/>
    </row>
    <row r="450" customFormat="false" ht="15.75" hidden="false" customHeight="false" outlineLevel="0" collapsed="false">
      <c r="G450" s="18"/>
    </row>
    <row r="451" customFormat="false" ht="15.75" hidden="false" customHeight="false" outlineLevel="0" collapsed="false">
      <c r="G451" s="18"/>
    </row>
    <row r="452" customFormat="false" ht="15.75" hidden="false" customHeight="false" outlineLevel="0" collapsed="false">
      <c r="G452" s="18"/>
    </row>
    <row r="453" customFormat="false" ht="15.75" hidden="false" customHeight="false" outlineLevel="0" collapsed="false">
      <c r="G453" s="18"/>
    </row>
    <row r="454" customFormat="false" ht="15.75" hidden="false" customHeight="false" outlineLevel="0" collapsed="false">
      <c r="G454" s="18"/>
    </row>
    <row r="455" customFormat="false" ht="15.75" hidden="false" customHeight="false" outlineLevel="0" collapsed="false">
      <c r="G455" s="18"/>
    </row>
    <row r="456" customFormat="false" ht="15.75" hidden="false" customHeight="false" outlineLevel="0" collapsed="false">
      <c r="G456" s="18"/>
    </row>
    <row r="457" customFormat="false" ht="15.75" hidden="false" customHeight="false" outlineLevel="0" collapsed="false">
      <c r="G457" s="18"/>
    </row>
    <row r="458" customFormat="false" ht="15.75" hidden="false" customHeight="false" outlineLevel="0" collapsed="false">
      <c r="G458" s="18"/>
    </row>
    <row r="459" customFormat="false" ht="15.75" hidden="false" customHeight="false" outlineLevel="0" collapsed="false">
      <c r="G459" s="18"/>
    </row>
    <row r="460" customFormat="false" ht="15.75" hidden="false" customHeight="false" outlineLevel="0" collapsed="false">
      <c r="G460" s="18"/>
    </row>
    <row r="461" customFormat="false" ht="15.75" hidden="false" customHeight="false" outlineLevel="0" collapsed="false">
      <c r="G461" s="18"/>
    </row>
    <row r="462" customFormat="false" ht="15.75" hidden="false" customHeight="false" outlineLevel="0" collapsed="false">
      <c r="G462" s="18"/>
    </row>
    <row r="463" customFormat="false" ht="15.75" hidden="false" customHeight="false" outlineLevel="0" collapsed="false">
      <c r="G463" s="18"/>
    </row>
    <row r="464" customFormat="false" ht="15.75" hidden="false" customHeight="false" outlineLevel="0" collapsed="false">
      <c r="G464" s="18"/>
    </row>
    <row r="465" customFormat="false" ht="15.75" hidden="false" customHeight="false" outlineLevel="0" collapsed="false">
      <c r="G465" s="18"/>
    </row>
    <row r="466" customFormat="false" ht="15.75" hidden="false" customHeight="false" outlineLevel="0" collapsed="false">
      <c r="G466" s="18"/>
    </row>
    <row r="467" customFormat="false" ht="15.75" hidden="false" customHeight="false" outlineLevel="0" collapsed="false">
      <c r="G467" s="18"/>
    </row>
    <row r="468" customFormat="false" ht="15.75" hidden="false" customHeight="false" outlineLevel="0" collapsed="false">
      <c r="G468" s="18"/>
    </row>
    <row r="469" customFormat="false" ht="15.75" hidden="false" customHeight="false" outlineLevel="0" collapsed="false">
      <c r="G469" s="18"/>
    </row>
    <row r="470" customFormat="false" ht="15.75" hidden="false" customHeight="false" outlineLevel="0" collapsed="false">
      <c r="G470" s="18"/>
    </row>
    <row r="471" customFormat="false" ht="15.75" hidden="false" customHeight="false" outlineLevel="0" collapsed="false">
      <c r="G471" s="18"/>
    </row>
    <row r="472" customFormat="false" ht="15.75" hidden="false" customHeight="false" outlineLevel="0" collapsed="false">
      <c r="G472" s="18"/>
    </row>
    <row r="473" customFormat="false" ht="15.75" hidden="false" customHeight="false" outlineLevel="0" collapsed="false">
      <c r="G473" s="18"/>
    </row>
    <row r="474" customFormat="false" ht="15.75" hidden="false" customHeight="false" outlineLevel="0" collapsed="false">
      <c r="G474" s="18"/>
    </row>
    <row r="475" customFormat="false" ht="15.75" hidden="false" customHeight="false" outlineLevel="0" collapsed="false">
      <c r="G475" s="18"/>
    </row>
    <row r="476" customFormat="false" ht="15.75" hidden="false" customHeight="false" outlineLevel="0" collapsed="false">
      <c r="G476" s="18"/>
    </row>
    <row r="477" customFormat="false" ht="15.75" hidden="false" customHeight="false" outlineLevel="0" collapsed="false">
      <c r="G477" s="18"/>
    </row>
    <row r="478" customFormat="false" ht="15.75" hidden="false" customHeight="false" outlineLevel="0" collapsed="false">
      <c r="G478" s="18"/>
    </row>
    <row r="479" customFormat="false" ht="15.75" hidden="false" customHeight="false" outlineLevel="0" collapsed="false">
      <c r="G479" s="18"/>
    </row>
    <row r="480" customFormat="false" ht="15.75" hidden="false" customHeight="false" outlineLevel="0" collapsed="false">
      <c r="G480" s="18"/>
    </row>
    <row r="481" customFormat="false" ht="15.75" hidden="false" customHeight="false" outlineLevel="0" collapsed="false">
      <c r="G481" s="18"/>
    </row>
    <row r="482" customFormat="false" ht="15.75" hidden="false" customHeight="false" outlineLevel="0" collapsed="false">
      <c r="G482" s="18"/>
    </row>
    <row r="483" customFormat="false" ht="15.75" hidden="false" customHeight="false" outlineLevel="0" collapsed="false">
      <c r="G483" s="18"/>
    </row>
    <row r="484" customFormat="false" ht="15.75" hidden="false" customHeight="false" outlineLevel="0" collapsed="false">
      <c r="G484" s="18"/>
    </row>
    <row r="485" customFormat="false" ht="15.75" hidden="false" customHeight="false" outlineLevel="0" collapsed="false">
      <c r="G485" s="18"/>
    </row>
    <row r="486" customFormat="false" ht="15.75" hidden="false" customHeight="false" outlineLevel="0" collapsed="false">
      <c r="G486" s="18"/>
    </row>
    <row r="487" customFormat="false" ht="15.75" hidden="false" customHeight="false" outlineLevel="0" collapsed="false">
      <c r="G487" s="18"/>
    </row>
    <row r="488" customFormat="false" ht="15.75" hidden="false" customHeight="false" outlineLevel="0" collapsed="false">
      <c r="G488" s="18"/>
    </row>
    <row r="489" customFormat="false" ht="15.75" hidden="false" customHeight="false" outlineLevel="0" collapsed="false">
      <c r="G489" s="18"/>
    </row>
    <row r="490" customFormat="false" ht="15.75" hidden="false" customHeight="false" outlineLevel="0" collapsed="false">
      <c r="G490" s="18"/>
    </row>
    <row r="491" customFormat="false" ht="15.75" hidden="false" customHeight="false" outlineLevel="0" collapsed="false">
      <c r="G491" s="18"/>
    </row>
    <row r="492" customFormat="false" ht="15.75" hidden="false" customHeight="false" outlineLevel="0" collapsed="false">
      <c r="G492" s="18"/>
    </row>
    <row r="493" customFormat="false" ht="15.75" hidden="false" customHeight="false" outlineLevel="0" collapsed="false">
      <c r="G493" s="18"/>
    </row>
    <row r="494" customFormat="false" ht="15.75" hidden="false" customHeight="false" outlineLevel="0" collapsed="false">
      <c r="G494" s="18"/>
    </row>
    <row r="495" customFormat="false" ht="15.75" hidden="false" customHeight="false" outlineLevel="0" collapsed="false">
      <c r="G495" s="18"/>
    </row>
    <row r="496" customFormat="false" ht="15.75" hidden="false" customHeight="false" outlineLevel="0" collapsed="false">
      <c r="G496" s="18"/>
    </row>
    <row r="497" customFormat="false" ht="15.75" hidden="false" customHeight="false" outlineLevel="0" collapsed="false">
      <c r="G497" s="18"/>
    </row>
    <row r="498" customFormat="false" ht="15.75" hidden="false" customHeight="false" outlineLevel="0" collapsed="false">
      <c r="G498" s="18"/>
    </row>
    <row r="499" customFormat="false" ht="15.75" hidden="false" customHeight="false" outlineLevel="0" collapsed="false">
      <c r="G499" s="18"/>
    </row>
    <row r="500" customFormat="false" ht="15.75" hidden="false" customHeight="false" outlineLevel="0" collapsed="false">
      <c r="G500" s="18"/>
    </row>
    <row r="501" customFormat="false" ht="15.75" hidden="false" customHeight="false" outlineLevel="0" collapsed="false">
      <c r="G501" s="18"/>
    </row>
    <row r="502" customFormat="false" ht="15.75" hidden="false" customHeight="false" outlineLevel="0" collapsed="false">
      <c r="G502" s="18"/>
    </row>
    <row r="503" customFormat="false" ht="15.75" hidden="false" customHeight="false" outlineLevel="0" collapsed="false">
      <c r="G503" s="18"/>
    </row>
    <row r="504" customFormat="false" ht="15.75" hidden="false" customHeight="false" outlineLevel="0" collapsed="false">
      <c r="G504" s="18"/>
    </row>
    <row r="505" customFormat="false" ht="15.75" hidden="false" customHeight="false" outlineLevel="0" collapsed="false">
      <c r="G505" s="18"/>
    </row>
    <row r="506" customFormat="false" ht="15.75" hidden="false" customHeight="false" outlineLevel="0" collapsed="false">
      <c r="G506" s="18"/>
    </row>
    <row r="507" customFormat="false" ht="15.75" hidden="false" customHeight="false" outlineLevel="0" collapsed="false">
      <c r="G507" s="18"/>
    </row>
    <row r="508" customFormat="false" ht="15.75" hidden="false" customHeight="false" outlineLevel="0" collapsed="false">
      <c r="G508" s="18"/>
    </row>
    <row r="509" customFormat="false" ht="15.75" hidden="false" customHeight="false" outlineLevel="0" collapsed="false">
      <c r="G509" s="18"/>
    </row>
    <row r="510" customFormat="false" ht="15.75" hidden="false" customHeight="false" outlineLevel="0" collapsed="false">
      <c r="G510" s="18"/>
    </row>
    <row r="511" customFormat="false" ht="15.75" hidden="false" customHeight="false" outlineLevel="0" collapsed="false">
      <c r="G511" s="18"/>
    </row>
    <row r="512" customFormat="false" ht="15.75" hidden="false" customHeight="false" outlineLevel="0" collapsed="false">
      <c r="G512" s="18"/>
    </row>
    <row r="513" customFormat="false" ht="15.75" hidden="false" customHeight="false" outlineLevel="0" collapsed="false">
      <c r="G513" s="18"/>
    </row>
    <row r="514" customFormat="false" ht="15.75" hidden="false" customHeight="false" outlineLevel="0" collapsed="false">
      <c r="G514" s="18"/>
    </row>
    <row r="515" customFormat="false" ht="15.75" hidden="false" customHeight="false" outlineLevel="0" collapsed="false">
      <c r="G515" s="18"/>
    </row>
    <row r="516" customFormat="false" ht="15.75" hidden="false" customHeight="false" outlineLevel="0" collapsed="false">
      <c r="G516" s="18"/>
    </row>
    <row r="517" customFormat="false" ht="15.75" hidden="false" customHeight="false" outlineLevel="0" collapsed="false">
      <c r="G517" s="18"/>
    </row>
    <row r="518" customFormat="false" ht="15.75" hidden="false" customHeight="false" outlineLevel="0" collapsed="false">
      <c r="G518" s="18"/>
    </row>
    <row r="519" customFormat="false" ht="15.75" hidden="false" customHeight="false" outlineLevel="0" collapsed="false">
      <c r="G519" s="18"/>
    </row>
    <row r="520" customFormat="false" ht="15.75" hidden="false" customHeight="false" outlineLevel="0" collapsed="false">
      <c r="G520" s="18"/>
    </row>
    <row r="521" customFormat="false" ht="15.75" hidden="false" customHeight="false" outlineLevel="0" collapsed="false">
      <c r="G521" s="18"/>
    </row>
    <row r="522" customFormat="false" ht="15.75" hidden="false" customHeight="false" outlineLevel="0" collapsed="false">
      <c r="G522" s="18"/>
    </row>
    <row r="523" customFormat="false" ht="15.75" hidden="false" customHeight="false" outlineLevel="0" collapsed="false">
      <c r="G523" s="18"/>
    </row>
    <row r="524" customFormat="false" ht="15.75" hidden="false" customHeight="false" outlineLevel="0" collapsed="false">
      <c r="G524" s="18"/>
    </row>
    <row r="525" customFormat="false" ht="15.75" hidden="false" customHeight="false" outlineLevel="0" collapsed="false">
      <c r="G525" s="18"/>
    </row>
    <row r="526" customFormat="false" ht="15.75" hidden="false" customHeight="false" outlineLevel="0" collapsed="false">
      <c r="G526" s="18"/>
    </row>
    <row r="527" customFormat="false" ht="15.75" hidden="false" customHeight="false" outlineLevel="0" collapsed="false">
      <c r="G527" s="18"/>
    </row>
    <row r="528" customFormat="false" ht="15.75" hidden="false" customHeight="false" outlineLevel="0" collapsed="false">
      <c r="G528" s="18"/>
    </row>
    <row r="529" customFormat="false" ht="15.75" hidden="false" customHeight="false" outlineLevel="0" collapsed="false">
      <c r="G529" s="18"/>
    </row>
    <row r="530" customFormat="false" ht="15.75" hidden="false" customHeight="false" outlineLevel="0" collapsed="false">
      <c r="G530" s="18"/>
    </row>
    <row r="531" customFormat="false" ht="15.75" hidden="false" customHeight="false" outlineLevel="0" collapsed="false">
      <c r="G531" s="18"/>
    </row>
    <row r="532" customFormat="false" ht="15.75" hidden="false" customHeight="false" outlineLevel="0" collapsed="false">
      <c r="G532" s="18"/>
    </row>
    <row r="533" customFormat="false" ht="15.75" hidden="false" customHeight="false" outlineLevel="0" collapsed="false">
      <c r="G533" s="18"/>
    </row>
    <row r="534" customFormat="false" ht="15.75" hidden="false" customHeight="false" outlineLevel="0" collapsed="false">
      <c r="G534" s="18"/>
    </row>
    <row r="535" customFormat="false" ht="15.75" hidden="false" customHeight="false" outlineLevel="0" collapsed="false">
      <c r="G535" s="18"/>
    </row>
    <row r="536" customFormat="false" ht="15.75" hidden="false" customHeight="false" outlineLevel="0" collapsed="false">
      <c r="G536" s="18"/>
    </row>
    <row r="537" customFormat="false" ht="15.75" hidden="false" customHeight="false" outlineLevel="0" collapsed="false">
      <c r="G537" s="18"/>
    </row>
    <row r="538" customFormat="false" ht="15.75" hidden="false" customHeight="false" outlineLevel="0" collapsed="false">
      <c r="G538" s="18"/>
    </row>
    <row r="539" customFormat="false" ht="15.75" hidden="false" customHeight="false" outlineLevel="0" collapsed="false">
      <c r="G539" s="18"/>
    </row>
    <row r="540" customFormat="false" ht="15.75" hidden="false" customHeight="false" outlineLevel="0" collapsed="false">
      <c r="G540" s="18"/>
    </row>
    <row r="541" customFormat="false" ht="15.75" hidden="false" customHeight="false" outlineLevel="0" collapsed="false">
      <c r="G541" s="18"/>
    </row>
    <row r="542" customFormat="false" ht="15.75" hidden="false" customHeight="false" outlineLevel="0" collapsed="false">
      <c r="G542" s="18"/>
    </row>
    <row r="543" customFormat="false" ht="15.75" hidden="false" customHeight="false" outlineLevel="0" collapsed="false">
      <c r="G543" s="18"/>
    </row>
    <row r="544" customFormat="false" ht="15.75" hidden="false" customHeight="false" outlineLevel="0" collapsed="false">
      <c r="G544" s="18"/>
    </row>
    <row r="545" customFormat="false" ht="15.75" hidden="false" customHeight="false" outlineLevel="0" collapsed="false">
      <c r="G545" s="18"/>
    </row>
    <row r="546" customFormat="false" ht="15.75" hidden="false" customHeight="false" outlineLevel="0" collapsed="false">
      <c r="G546" s="18"/>
    </row>
    <row r="547" customFormat="false" ht="15.75" hidden="false" customHeight="false" outlineLevel="0" collapsed="false">
      <c r="G547" s="18"/>
    </row>
    <row r="548" customFormat="false" ht="15.75" hidden="false" customHeight="false" outlineLevel="0" collapsed="false">
      <c r="G548" s="18"/>
    </row>
    <row r="549" customFormat="false" ht="15.75" hidden="false" customHeight="false" outlineLevel="0" collapsed="false">
      <c r="G549" s="18"/>
    </row>
    <row r="550" customFormat="false" ht="15.75" hidden="false" customHeight="false" outlineLevel="0" collapsed="false">
      <c r="G550" s="18"/>
    </row>
    <row r="551" customFormat="false" ht="15.75" hidden="false" customHeight="false" outlineLevel="0" collapsed="false">
      <c r="G551" s="18"/>
    </row>
    <row r="552" customFormat="false" ht="15.75" hidden="false" customHeight="false" outlineLevel="0" collapsed="false">
      <c r="G552" s="18"/>
    </row>
    <row r="553" customFormat="false" ht="15.75" hidden="false" customHeight="false" outlineLevel="0" collapsed="false">
      <c r="G553" s="18"/>
    </row>
    <row r="554" customFormat="false" ht="15.75" hidden="false" customHeight="false" outlineLevel="0" collapsed="false">
      <c r="G554" s="18"/>
    </row>
    <row r="555" customFormat="false" ht="15.75" hidden="false" customHeight="false" outlineLevel="0" collapsed="false">
      <c r="G555" s="18"/>
    </row>
    <row r="556" customFormat="false" ht="15.75" hidden="false" customHeight="false" outlineLevel="0" collapsed="false">
      <c r="G556" s="18"/>
    </row>
    <row r="557" customFormat="false" ht="15.75" hidden="false" customHeight="false" outlineLevel="0" collapsed="false">
      <c r="G557" s="18"/>
    </row>
    <row r="558" customFormat="false" ht="15.75" hidden="false" customHeight="false" outlineLevel="0" collapsed="false">
      <c r="G558" s="18"/>
    </row>
    <row r="559" customFormat="false" ht="15.75" hidden="false" customHeight="false" outlineLevel="0" collapsed="false">
      <c r="G559" s="18"/>
    </row>
    <row r="560" customFormat="false" ht="15.75" hidden="false" customHeight="false" outlineLevel="0" collapsed="false">
      <c r="G560" s="18"/>
    </row>
    <row r="561" customFormat="false" ht="15.75" hidden="false" customHeight="false" outlineLevel="0" collapsed="false">
      <c r="G561" s="18"/>
    </row>
    <row r="562" customFormat="false" ht="15.75" hidden="false" customHeight="false" outlineLevel="0" collapsed="false">
      <c r="G562" s="18"/>
    </row>
    <row r="563" customFormat="false" ht="15.75" hidden="false" customHeight="false" outlineLevel="0" collapsed="false">
      <c r="G563" s="18"/>
    </row>
    <row r="564" customFormat="false" ht="15.75" hidden="false" customHeight="false" outlineLevel="0" collapsed="false">
      <c r="G564" s="18"/>
    </row>
    <row r="565" customFormat="false" ht="15.75" hidden="false" customHeight="false" outlineLevel="0" collapsed="false">
      <c r="G565" s="18"/>
    </row>
    <row r="566" customFormat="false" ht="15.75" hidden="false" customHeight="false" outlineLevel="0" collapsed="false">
      <c r="G566" s="18"/>
    </row>
    <row r="567" customFormat="false" ht="15.75" hidden="false" customHeight="false" outlineLevel="0" collapsed="false">
      <c r="G567" s="18"/>
    </row>
    <row r="568" customFormat="false" ht="15.75" hidden="false" customHeight="false" outlineLevel="0" collapsed="false">
      <c r="G568" s="18"/>
    </row>
    <row r="569" customFormat="false" ht="15.75" hidden="false" customHeight="false" outlineLevel="0" collapsed="false">
      <c r="G569" s="18"/>
    </row>
    <row r="570" customFormat="false" ht="15.75" hidden="false" customHeight="false" outlineLevel="0" collapsed="false">
      <c r="G570" s="18"/>
    </row>
    <row r="571" customFormat="false" ht="15.75" hidden="false" customHeight="false" outlineLevel="0" collapsed="false">
      <c r="G571" s="18"/>
    </row>
    <row r="572" customFormat="false" ht="15.75" hidden="false" customHeight="false" outlineLevel="0" collapsed="false">
      <c r="G572" s="18"/>
    </row>
    <row r="573" customFormat="false" ht="15.75" hidden="false" customHeight="false" outlineLevel="0" collapsed="false">
      <c r="G573" s="18"/>
    </row>
    <row r="574" customFormat="false" ht="15.75" hidden="false" customHeight="false" outlineLevel="0" collapsed="false">
      <c r="G574" s="18"/>
    </row>
    <row r="575" customFormat="false" ht="15.75" hidden="false" customHeight="false" outlineLevel="0" collapsed="false">
      <c r="G575" s="18"/>
    </row>
    <row r="576" customFormat="false" ht="15.75" hidden="false" customHeight="false" outlineLevel="0" collapsed="false">
      <c r="G576" s="18"/>
    </row>
    <row r="577" customFormat="false" ht="15.75" hidden="false" customHeight="false" outlineLevel="0" collapsed="false">
      <c r="G577" s="18"/>
    </row>
    <row r="578" customFormat="false" ht="15.75" hidden="false" customHeight="false" outlineLevel="0" collapsed="false">
      <c r="G578" s="18"/>
    </row>
    <row r="579" customFormat="false" ht="15.75" hidden="false" customHeight="false" outlineLevel="0" collapsed="false">
      <c r="G579" s="18"/>
    </row>
    <row r="580" customFormat="false" ht="15.75" hidden="false" customHeight="false" outlineLevel="0" collapsed="false">
      <c r="G580" s="18"/>
    </row>
    <row r="581" customFormat="false" ht="15.75" hidden="false" customHeight="false" outlineLevel="0" collapsed="false">
      <c r="G581" s="18"/>
    </row>
    <row r="582" customFormat="false" ht="15.75" hidden="false" customHeight="false" outlineLevel="0" collapsed="false">
      <c r="G582" s="18"/>
    </row>
    <row r="583" customFormat="false" ht="15.75" hidden="false" customHeight="false" outlineLevel="0" collapsed="false">
      <c r="G583" s="18"/>
    </row>
    <row r="584" customFormat="false" ht="15.75" hidden="false" customHeight="false" outlineLevel="0" collapsed="false">
      <c r="G584" s="18"/>
    </row>
    <row r="585" customFormat="false" ht="15.75" hidden="false" customHeight="false" outlineLevel="0" collapsed="false">
      <c r="G585" s="18"/>
    </row>
    <row r="586" customFormat="false" ht="15.75" hidden="false" customHeight="false" outlineLevel="0" collapsed="false">
      <c r="G586" s="18"/>
    </row>
    <row r="587" customFormat="false" ht="15.75" hidden="false" customHeight="false" outlineLevel="0" collapsed="false">
      <c r="G587" s="18"/>
    </row>
    <row r="588" customFormat="false" ht="15.75" hidden="false" customHeight="false" outlineLevel="0" collapsed="false">
      <c r="G588" s="18"/>
    </row>
    <row r="589" customFormat="false" ht="15.75" hidden="false" customHeight="false" outlineLevel="0" collapsed="false">
      <c r="G589" s="18"/>
    </row>
    <row r="590" customFormat="false" ht="15.75" hidden="false" customHeight="false" outlineLevel="0" collapsed="false">
      <c r="G590" s="18"/>
    </row>
    <row r="591" customFormat="false" ht="15.75" hidden="false" customHeight="false" outlineLevel="0" collapsed="false">
      <c r="G591" s="18"/>
    </row>
    <row r="592" customFormat="false" ht="15.75" hidden="false" customHeight="false" outlineLevel="0" collapsed="false">
      <c r="G592" s="18"/>
    </row>
    <row r="593" customFormat="false" ht="15.75" hidden="false" customHeight="false" outlineLevel="0" collapsed="false">
      <c r="G593" s="18"/>
    </row>
    <row r="594" customFormat="false" ht="15.75" hidden="false" customHeight="false" outlineLevel="0" collapsed="false">
      <c r="G594" s="18"/>
    </row>
    <row r="595" customFormat="false" ht="15.75" hidden="false" customHeight="false" outlineLevel="0" collapsed="false">
      <c r="G595" s="18"/>
    </row>
    <row r="596" customFormat="false" ht="15.75" hidden="false" customHeight="false" outlineLevel="0" collapsed="false">
      <c r="G596" s="18"/>
    </row>
    <row r="597" customFormat="false" ht="15.75" hidden="false" customHeight="false" outlineLevel="0" collapsed="false">
      <c r="G597" s="18"/>
    </row>
    <row r="598" customFormat="false" ht="15.75" hidden="false" customHeight="false" outlineLevel="0" collapsed="false">
      <c r="G598" s="18"/>
    </row>
    <row r="599" customFormat="false" ht="15.75" hidden="false" customHeight="false" outlineLevel="0" collapsed="false">
      <c r="G599" s="18"/>
    </row>
    <row r="600" customFormat="false" ht="15.75" hidden="false" customHeight="false" outlineLevel="0" collapsed="false">
      <c r="G600" s="18"/>
    </row>
    <row r="601" customFormat="false" ht="15.75" hidden="false" customHeight="false" outlineLevel="0" collapsed="false">
      <c r="G601" s="18"/>
    </row>
    <row r="602" customFormat="false" ht="15.75" hidden="false" customHeight="false" outlineLevel="0" collapsed="false">
      <c r="G602" s="18"/>
    </row>
    <row r="603" customFormat="false" ht="15.75" hidden="false" customHeight="false" outlineLevel="0" collapsed="false">
      <c r="G603" s="18"/>
    </row>
    <row r="604" customFormat="false" ht="15.75" hidden="false" customHeight="false" outlineLevel="0" collapsed="false">
      <c r="G604" s="18"/>
    </row>
    <row r="605" customFormat="false" ht="15.75" hidden="false" customHeight="false" outlineLevel="0" collapsed="false">
      <c r="G605" s="18"/>
    </row>
    <row r="606" customFormat="false" ht="15.75" hidden="false" customHeight="false" outlineLevel="0" collapsed="false">
      <c r="G606" s="18"/>
    </row>
    <row r="607" customFormat="false" ht="15.75" hidden="false" customHeight="false" outlineLevel="0" collapsed="false">
      <c r="G607" s="18"/>
    </row>
    <row r="608" customFormat="false" ht="15.75" hidden="false" customHeight="false" outlineLevel="0" collapsed="false">
      <c r="G608" s="18"/>
    </row>
    <row r="609" customFormat="false" ht="15.75" hidden="false" customHeight="false" outlineLevel="0" collapsed="false">
      <c r="G609" s="18"/>
    </row>
    <row r="610" customFormat="false" ht="15.75" hidden="false" customHeight="false" outlineLevel="0" collapsed="false">
      <c r="G610" s="18"/>
    </row>
    <row r="611" customFormat="false" ht="15.75" hidden="false" customHeight="false" outlineLevel="0" collapsed="false">
      <c r="G611" s="18"/>
    </row>
    <row r="612" customFormat="false" ht="15.75" hidden="false" customHeight="false" outlineLevel="0" collapsed="false">
      <c r="G612" s="18"/>
    </row>
    <row r="613" customFormat="false" ht="15.75" hidden="false" customHeight="false" outlineLevel="0" collapsed="false">
      <c r="G613" s="18"/>
    </row>
    <row r="614" customFormat="false" ht="15.75" hidden="false" customHeight="false" outlineLevel="0" collapsed="false">
      <c r="G614" s="18"/>
    </row>
    <row r="615" customFormat="false" ht="15.75" hidden="false" customHeight="false" outlineLevel="0" collapsed="false">
      <c r="G615" s="18"/>
    </row>
    <row r="616" customFormat="false" ht="15.75" hidden="false" customHeight="false" outlineLevel="0" collapsed="false">
      <c r="G616" s="18"/>
    </row>
    <row r="617" customFormat="false" ht="15.75" hidden="false" customHeight="false" outlineLevel="0" collapsed="false">
      <c r="G617" s="18"/>
    </row>
    <row r="618" customFormat="false" ht="15.75" hidden="false" customHeight="false" outlineLevel="0" collapsed="false">
      <c r="G618" s="18"/>
    </row>
    <row r="619" customFormat="false" ht="15.75" hidden="false" customHeight="false" outlineLevel="0" collapsed="false">
      <c r="G619" s="18"/>
    </row>
    <row r="620" customFormat="false" ht="15.75" hidden="false" customHeight="false" outlineLevel="0" collapsed="false">
      <c r="G620" s="18"/>
    </row>
    <row r="621" customFormat="false" ht="15.75" hidden="false" customHeight="false" outlineLevel="0" collapsed="false">
      <c r="G621" s="18"/>
    </row>
    <row r="622" customFormat="false" ht="15.75" hidden="false" customHeight="false" outlineLevel="0" collapsed="false">
      <c r="G622" s="18"/>
    </row>
    <row r="623" customFormat="false" ht="15.75" hidden="false" customHeight="false" outlineLevel="0" collapsed="false">
      <c r="G623" s="18"/>
    </row>
    <row r="624" customFormat="false" ht="15.75" hidden="false" customHeight="false" outlineLevel="0" collapsed="false">
      <c r="G624" s="18"/>
    </row>
    <row r="625" customFormat="false" ht="15.75" hidden="false" customHeight="false" outlineLevel="0" collapsed="false">
      <c r="G625" s="18"/>
    </row>
    <row r="626" customFormat="false" ht="15.75" hidden="false" customHeight="false" outlineLevel="0" collapsed="false">
      <c r="G626" s="18"/>
    </row>
    <row r="627" customFormat="false" ht="15.75" hidden="false" customHeight="false" outlineLevel="0" collapsed="false">
      <c r="G627" s="18"/>
    </row>
    <row r="628" customFormat="false" ht="15.75" hidden="false" customHeight="false" outlineLevel="0" collapsed="false">
      <c r="G628" s="18"/>
    </row>
    <row r="629" customFormat="false" ht="15.75" hidden="false" customHeight="false" outlineLevel="0" collapsed="false">
      <c r="G629" s="18"/>
    </row>
    <row r="630" customFormat="false" ht="15.75" hidden="false" customHeight="false" outlineLevel="0" collapsed="false">
      <c r="G630" s="18"/>
    </row>
    <row r="631" customFormat="false" ht="15.75" hidden="false" customHeight="false" outlineLevel="0" collapsed="false">
      <c r="G631" s="18"/>
    </row>
    <row r="632" customFormat="false" ht="15.75" hidden="false" customHeight="false" outlineLevel="0" collapsed="false">
      <c r="G632" s="18"/>
    </row>
    <row r="633" customFormat="false" ht="15.75" hidden="false" customHeight="false" outlineLevel="0" collapsed="false">
      <c r="G633" s="18"/>
    </row>
    <row r="634" customFormat="false" ht="15.75" hidden="false" customHeight="false" outlineLevel="0" collapsed="false">
      <c r="G634" s="18"/>
    </row>
    <row r="635" customFormat="false" ht="15.75" hidden="false" customHeight="false" outlineLevel="0" collapsed="false">
      <c r="G635" s="18"/>
    </row>
    <row r="636" customFormat="false" ht="15.75" hidden="false" customHeight="false" outlineLevel="0" collapsed="false">
      <c r="G636" s="18"/>
    </row>
    <row r="637" customFormat="false" ht="15.75" hidden="false" customHeight="false" outlineLevel="0" collapsed="false">
      <c r="G637" s="18"/>
    </row>
    <row r="638" customFormat="false" ht="15.75" hidden="false" customHeight="false" outlineLevel="0" collapsed="false">
      <c r="G638" s="18"/>
    </row>
    <row r="639" customFormat="false" ht="15.75" hidden="false" customHeight="false" outlineLevel="0" collapsed="false">
      <c r="G639" s="18"/>
    </row>
    <row r="640" customFormat="false" ht="15.75" hidden="false" customHeight="false" outlineLevel="0" collapsed="false">
      <c r="G640" s="18"/>
    </row>
    <row r="641" customFormat="false" ht="15.75" hidden="false" customHeight="false" outlineLevel="0" collapsed="false">
      <c r="G641" s="18"/>
    </row>
    <row r="642" customFormat="false" ht="15.75" hidden="false" customHeight="false" outlineLevel="0" collapsed="false">
      <c r="G642" s="18"/>
    </row>
    <row r="643" customFormat="false" ht="15.75" hidden="false" customHeight="false" outlineLevel="0" collapsed="false">
      <c r="G643" s="18"/>
    </row>
    <row r="644" customFormat="false" ht="15.75" hidden="false" customHeight="false" outlineLevel="0" collapsed="false">
      <c r="G644" s="18"/>
    </row>
    <row r="645" customFormat="false" ht="15.75" hidden="false" customHeight="false" outlineLevel="0" collapsed="false">
      <c r="G645" s="18"/>
    </row>
    <row r="646" customFormat="false" ht="15.75" hidden="false" customHeight="false" outlineLevel="0" collapsed="false">
      <c r="G646" s="18"/>
    </row>
    <row r="647" customFormat="false" ht="15.75" hidden="false" customHeight="false" outlineLevel="0" collapsed="false">
      <c r="G647" s="18"/>
    </row>
    <row r="648" customFormat="false" ht="15.75" hidden="false" customHeight="false" outlineLevel="0" collapsed="false">
      <c r="G648" s="18"/>
    </row>
    <row r="649" customFormat="false" ht="15.75" hidden="false" customHeight="false" outlineLevel="0" collapsed="false">
      <c r="G649" s="18"/>
    </row>
    <row r="650" customFormat="false" ht="15.75" hidden="false" customHeight="false" outlineLevel="0" collapsed="false">
      <c r="G650" s="18"/>
    </row>
    <row r="651" customFormat="false" ht="15.75" hidden="false" customHeight="false" outlineLevel="0" collapsed="false">
      <c r="G651" s="18"/>
    </row>
    <row r="652" customFormat="false" ht="15.75" hidden="false" customHeight="false" outlineLevel="0" collapsed="false">
      <c r="G652" s="18"/>
    </row>
    <row r="653" customFormat="false" ht="15.75" hidden="false" customHeight="false" outlineLevel="0" collapsed="false">
      <c r="G653" s="18"/>
    </row>
    <row r="654" customFormat="false" ht="15.75" hidden="false" customHeight="false" outlineLevel="0" collapsed="false">
      <c r="G654" s="18"/>
    </row>
    <row r="655" customFormat="false" ht="15.75" hidden="false" customHeight="false" outlineLevel="0" collapsed="false">
      <c r="G655" s="18"/>
    </row>
    <row r="656" customFormat="false" ht="15.75" hidden="false" customHeight="false" outlineLevel="0" collapsed="false">
      <c r="G656" s="18"/>
    </row>
    <row r="657" customFormat="false" ht="15.75" hidden="false" customHeight="false" outlineLevel="0" collapsed="false">
      <c r="G657" s="18"/>
    </row>
    <row r="658" customFormat="false" ht="15.75" hidden="false" customHeight="false" outlineLevel="0" collapsed="false">
      <c r="G658" s="18"/>
    </row>
    <row r="659" customFormat="false" ht="15.75" hidden="false" customHeight="false" outlineLevel="0" collapsed="false">
      <c r="G659" s="18"/>
    </row>
    <row r="660" customFormat="false" ht="15.75" hidden="false" customHeight="false" outlineLevel="0" collapsed="false">
      <c r="G660" s="18"/>
    </row>
    <row r="661" customFormat="false" ht="15.75" hidden="false" customHeight="false" outlineLevel="0" collapsed="false">
      <c r="G661" s="18"/>
    </row>
    <row r="662" customFormat="false" ht="15.75" hidden="false" customHeight="false" outlineLevel="0" collapsed="false">
      <c r="G662" s="18"/>
    </row>
    <row r="1048575" customFormat="false" ht="12.8" hidden="false" customHeight="true" outlineLevel="0" collapsed="false"/>
    <row r="1048576" customFormat="false" ht="12.8" hidden="false" customHeight="true" outlineLevel="0" collapsed="false"/>
  </sheetData>
  <conditionalFormatting sqref="H2:I68 V2:V68">
    <cfRule type="cellIs" priority="2" operator="equal" aboveAverage="0" equalAverage="0" bottom="0" percent="0" rank="0" text="" dxfId="1">
      <formula>"No Aplica"</formula>
    </cfRule>
  </conditionalFormatting>
  <conditionalFormatting sqref="Q2:R68 G2:G68">
    <cfRule type="expression" priority="3" aboveAverage="0" equalAverage="0" bottom="0" percent="0" rank="0" text="" dxfId="0">
      <formula>LEN(TRIM(G2))&gt;0</formula>
    </cfRule>
  </conditionalFormatting>
  <conditionalFormatting sqref="P2:P68">
    <cfRule type="expression" priority="4" aboveAverage="0" equalAverage="0" bottom="0" percent="0" rank="0" text="" dxfId="0">
      <formula>LEN(TRIM(P2))&gt;0</formula>
    </cfRule>
  </conditionalFormatting>
  <conditionalFormatting sqref="S2:S68">
    <cfRule type="expression" priority="5" aboveAverage="0" equalAverage="0" bottom="0" percent="0" rank="0" text="" dxfId="0">
      <formula>LEN(TRIM(S2))&gt;0</formula>
    </cfRule>
  </conditionalFormatting>
  <conditionalFormatting sqref="V2:W68">
    <cfRule type="expression" priority="6" aboveAverage="0" equalAverage="0" bottom="0" percent="0" rank="0" text="" dxfId="0">
      <formula>LEN(TRIM(V2))&gt;0</formula>
    </cfRule>
  </conditionalFormatting>
  <conditionalFormatting sqref="N2:N68">
    <cfRule type="cellIs" priority="7" operator="equal" aboveAverage="0" equalAverage="0" bottom="0" percent="0" rank="0" text="" dxfId="15">
      <formula>"Incompleto"</formula>
    </cfRule>
  </conditionalFormatting>
  <conditionalFormatting sqref="H2:I68 V2:V68 X2:X68">
    <cfRule type="cellIs" priority="8" operator="equal" aboveAverage="0" equalAverage="0" bottom="0" percent="0" rank="0" text="" dxfId="0">
      <formula>"Completo"</formula>
    </cfRule>
  </conditionalFormatting>
  <conditionalFormatting sqref="X2:X68">
    <cfRule type="cellIs" priority="9" operator="equal" aboveAverage="0" equalAverage="0" bottom="0" percent="0" rank="0" text="" dxfId="1">
      <formula>"No aplica"</formula>
    </cfRule>
  </conditionalFormatting>
  <conditionalFormatting sqref="T2:U68">
    <cfRule type="cellIs" priority="10" operator="equal" aboveAverage="0" equalAverage="0" bottom="0" percent="0" rank="0" text="" dxfId="0">
      <formula>"Completo"</formula>
    </cfRule>
    <cfRule type="cellIs" priority="11" operator="equal" aboveAverage="0" equalAverage="0" bottom="0" percent="0" rank="0" text="" dxfId="1">
      <formula>"No Aplica"</formula>
    </cfRule>
  </conditionalFormatting>
  <dataValidations count="5">
    <dataValidation allowBlank="true" errorStyle="stop" operator="between" showDropDown="false" showErrorMessage="true" showInputMessage="false" sqref="D2:D19 D26:D68" type="list">
      <formula1>LEYENDA!$B$2:$D$2</formula1>
      <formula2>0</formula2>
    </dataValidation>
    <dataValidation allowBlank="true" errorStyle="stop" operator="between" showDropDown="false" showErrorMessage="false" showInputMessage="false" sqref="E2:E19 E26:E68" type="list">
      <formula1>LEYENDA!$A$8:$A$12</formula1>
      <formula2>0</formula2>
    </dataValidation>
    <dataValidation allowBlank="true" errorStyle="stop" operator="between" showDropDown="false" showErrorMessage="true" showInputMessage="false" sqref="H2:I68 N2:O19 T2:V68 X2:X68 O20:O68 N26:N68" type="list">
      <formula1>LEYENDA!$B$1:$C$1</formula1>
      <formula2>0</formula2>
    </dataValidation>
    <dataValidation allowBlank="true" errorStyle="stop" operator="between" showDropDown="false" showErrorMessage="false" showInputMessage="false" sqref="S2:S68" type="list">
      <formula1>LEYENDA!$A$23:$A$24</formula1>
      <formula2>0</formula2>
    </dataValidation>
    <dataValidation allowBlank="true" errorStyle="stop" operator="between" showDropDown="false" showErrorMessage="false" showInputMessage="false" sqref="Q2:Q68" type="list">
      <formula1>LEYENDA!$A$15:$A$19</formula1>
      <formula2>0</formula2>
    </dataValidation>
  </dataValidations>
  <hyperlinks>
    <hyperlink ref="T10" r:id="rId1" display="Completo"/>
    <hyperlink ref="T55" r:id="rId2" display="Completo"/>
    <hyperlink ref="U55" r:id="rId3" display="Completo"/>
    <hyperlink ref="V55" r:id="rId4" display="Completo"/>
    <hyperlink ref="T56" r:id="rId5" display="Completo"/>
    <hyperlink ref="U56" r:id="rId6" display="Completo"/>
    <hyperlink ref="V56" r:id="rId7" display="Completo"/>
  </hyperlinks>
  <printOptions headings="false" gridLines="true" gridLinesSet="true" horizontalCentered="true" verticalCentered="false"/>
  <pageMargins left="0.7" right="0.7" top="0.75" bottom="0.75" header="0.511811023622047" footer="0.511811023622047"/>
  <pageSetup paperSize="9" scale="100" fitToWidth="1" fitToHeight="0" pageOrder="overThenDown" orientation="landscape" blackAndWhite="false" draft="false" cellComments="none" horizontalDpi="300" verticalDpi="300" copies="1"/>
  <headerFooter differentFirst="false" differentOddEven="false">
    <oddHeader/>
    <oddFooter/>
  </headerFooter>
  <drawing r:id="rId8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AF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6" ySplit="3" topLeftCell="G4" activePane="bottomRight" state="frozen"/>
      <selection pane="topLeft" activeCell="A1" activeCellId="0" sqref="A1"/>
      <selection pane="topRight" activeCell="G1" activeCellId="0" sqref="G1"/>
      <selection pane="bottomLeft" activeCell="A4" activeCellId="0" sqref="A4"/>
      <selection pane="bottomRight" activeCell="E7" activeCellId="0" sqref="E7"/>
    </sheetView>
  </sheetViews>
  <sheetFormatPr defaultColWidth="12.6328125" defaultRowHeight="15.75" zeroHeight="false" outlineLevelRow="0" outlineLevelCol="0"/>
  <cols>
    <col collapsed="false" customWidth="true" hidden="false" outlineLevel="0" max="1" min="1" style="1" width="10.63"/>
    <col collapsed="false" customWidth="true" hidden="false" outlineLevel="0" max="2" min="2" style="1" width="10.38"/>
    <col collapsed="false" customWidth="true" hidden="false" outlineLevel="0" max="3" min="3" style="1" width="16.89"/>
    <col collapsed="false" customWidth="true" hidden="false" outlineLevel="0" max="4" min="4" style="1" width="11.38"/>
    <col collapsed="false" customWidth="true" hidden="false" outlineLevel="0" max="5" min="5" style="1" width="17.13"/>
    <col collapsed="false" customWidth="true" hidden="false" outlineLevel="0" max="6" min="6" style="1" width="42.13"/>
    <col collapsed="false" customWidth="true" hidden="false" outlineLevel="0" max="7" min="7" style="1" width="15.63"/>
    <col collapsed="false" customWidth="true" hidden="false" outlineLevel="0" max="9" min="8" style="1" width="12"/>
    <col collapsed="false" customWidth="true" hidden="false" outlineLevel="0" max="10" min="10" style="1" width="13.38"/>
    <col collapsed="false" customWidth="true" hidden="false" outlineLevel="0" max="11" min="11" style="1" width="13"/>
    <col collapsed="false" customWidth="true" hidden="false" outlineLevel="0" max="12" min="12" style="1" width="11.25"/>
    <col collapsed="false" customWidth="true" hidden="false" outlineLevel="0" max="13" min="13" style="1" width="31.5"/>
    <col collapsed="false" customWidth="true" hidden="false" outlineLevel="0" max="18" min="18" style="1" width="13"/>
    <col collapsed="false" customWidth="true" hidden="false" outlineLevel="0" max="19" min="19" style="1" width="15.63"/>
    <col collapsed="false" customWidth="true" hidden="false" outlineLevel="0" max="22" min="22" style="1" width="13.63"/>
  </cols>
  <sheetData>
    <row r="1" customFormat="false" ht="68" hidden="false" customHeight="false" outlineLevel="0" collapsed="false">
      <c r="A1" s="2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/>
      <c r="J1" s="4" t="s">
        <v>8</v>
      </c>
      <c r="K1" s="2"/>
      <c r="L1" s="2" t="s">
        <v>9</v>
      </c>
      <c r="M1" s="2" t="s">
        <v>10</v>
      </c>
      <c r="N1" s="4" t="s">
        <v>11</v>
      </c>
      <c r="O1" s="3" t="s">
        <v>12</v>
      </c>
      <c r="P1" s="7" t="s">
        <v>13</v>
      </c>
      <c r="Q1" s="7" t="s">
        <v>14</v>
      </c>
      <c r="R1" s="7" t="s">
        <v>15</v>
      </c>
      <c r="S1" s="7" t="s">
        <v>16</v>
      </c>
      <c r="T1" s="7" t="s">
        <v>17</v>
      </c>
      <c r="U1" s="8" t="s">
        <v>18</v>
      </c>
      <c r="V1" s="9" t="s">
        <v>19</v>
      </c>
      <c r="W1" s="9" t="s">
        <v>20</v>
      </c>
      <c r="X1" s="10" t="s">
        <v>15</v>
      </c>
      <c r="Y1" s="11" t="s">
        <v>21</v>
      </c>
      <c r="Z1" s="11" t="s">
        <v>22</v>
      </c>
      <c r="AA1" s="12"/>
      <c r="AB1" s="12"/>
      <c r="AC1" s="12"/>
      <c r="AD1" s="12"/>
      <c r="AE1" s="12"/>
      <c r="AF1" s="12"/>
    </row>
    <row r="2" customFormat="false" ht="15.75" hidden="false" customHeight="false" outlineLevel="0" collapsed="false">
      <c r="A2" s="12" t="n">
        <v>5686</v>
      </c>
      <c r="B2" s="34" t="n">
        <v>44320</v>
      </c>
      <c r="C2" s="12" t="s">
        <v>4580</v>
      </c>
      <c r="D2" s="12" t="s">
        <v>24</v>
      </c>
      <c r="E2" s="12" t="s">
        <v>4523</v>
      </c>
      <c r="F2" s="12" t="s">
        <v>4581</v>
      </c>
      <c r="G2" s="93" t="s">
        <v>4582</v>
      </c>
      <c r="H2" s="21"/>
      <c r="I2" s="21"/>
      <c r="M2" s="12" t="s">
        <v>3376</v>
      </c>
      <c r="N2" s="93" t="s">
        <v>28</v>
      </c>
      <c r="O2" s="93" t="s">
        <v>28</v>
      </c>
      <c r="P2" s="93" t="s">
        <v>73</v>
      </c>
      <c r="Q2" s="93" t="s">
        <v>25</v>
      </c>
      <c r="R2" s="93" t="s">
        <v>36</v>
      </c>
      <c r="S2" s="93" t="s">
        <v>74</v>
      </c>
      <c r="T2" s="93" t="s">
        <v>28</v>
      </c>
      <c r="U2" s="91" t="s">
        <v>28</v>
      </c>
      <c r="V2" s="21" t="s">
        <v>36</v>
      </c>
      <c r="W2" s="21" t="s">
        <v>28</v>
      </c>
    </row>
    <row r="3" customFormat="false" ht="15.75" hidden="false" customHeight="false" outlineLevel="0" collapsed="false">
      <c r="A3" s="12" t="n">
        <v>5687</v>
      </c>
      <c r="B3" s="34" t="n">
        <v>44320</v>
      </c>
      <c r="C3" s="12" t="s">
        <v>4583</v>
      </c>
      <c r="D3" s="12" t="s">
        <v>24</v>
      </c>
      <c r="E3" s="12" t="s">
        <v>4523</v>
      </c>
      <c r="F3" s="12" t="s">
        <v>4584</v>
      </c>
      <c r="G3" s="93" t="s">
        <v>4582</v>
      </c>
      <c r="H3" s="21"/>
      <c r="I3" s="21"/>
      <c r="M3" s="12" t="s">
        <v>3376</v>
      </c>
      <c r="N3" s="93" t="s">
        <v>28</v>
      </c>
      <c r="O3" s="93" t="s">
        <v>28</v>
      </c>
      <c r="P3" s="93" t="s">
        <v>73</v>
      </c>
      <c r="Q3" s="93" t="s">
        <v>25</v>
      </c>
      <c r="R3" s="93" t="s">
        <v>36</v>
      </c>
      <c r="S3" s="93" t="s">
        <v>74</v>
      </c>
      <c r="T3" s="93" t="s">
        <v>28</v>
      </c>
      <c r="U3" s="91" t="s">
        <v>28</v>
      </c>
      <c r="V3" s="21" t="s">
        <v>29</v>
      </c>
      <c r="W3" s="21" t="s">
        <v>28</v>
      </c>
    </row>
    <row r="4" customFormat="false" ht="15.75" hidden="false" customHeight="false" outlineLevel="0" collapsed="false">
      <c r="A4" s="61" t="n">
        <v>5688</v>
      </c>
      <c r="B4" s="29" t="n">
        <v>44321</v>
      </c>
      <c r="C4" s="21" t="s">
        <v>776</v>
      </c>
      <c r="D4" s="21" t="s">
        <v>24</v>
      </c>
      <c r="E4" s="21" t="s">
        <v>34</v>
      </c>
      <c r="F4" s="21" t="s">
        <v>4585</v>
      </c>
      <c r="G4" s="21"/>
      <c r="H4" s="21"/>
      <c r="I4" s="21"/>
      <c r="J4" s="21"/>
      <c r="K4" s="21"/>
      <c r="L4" s="21"/>
      <c r="M4" s="21" t="s">
        <v>1189</v>
      </c>
      <c r="N4" s="21"/>
      <c r="O4" s="21"/>
      <c r="P4" s="21"/>
      <c r="Q4" s="32"/>
      <c r="R4" s="32"/>
      <c r="S4" s="21"/>
      <c r="T4" s="21"/>
      <c r="U4" s="21"/>
      <c r="V4" s="21"/>
      <c r="W4" s="21" t="s">
        <v>28</v>
      </c>
    </row>
    <row r="5" customFormat="false" ht="15.75" hidden="false" customHeight="false" outlineLevel="0" collapsed="false">
      <c r="A5" s="61" t="n">
        <v>5689</v>
      </c>
      <c r="B5" s="29" t="n">
        <v>44321</v>
      </c>
      <c r="C5" s="21" t="s">
        <v>3524</v>
      </c>
      <c r="D5" s="21" t="s">
        <v>24</v>
      </c>
      <c r="E5" s="21" t="s">
        <v>25</v>
      </c>
      <c r="F5" s="21" t="s">
        <v>4586</v>
      </c>
      <c r="G5" s="21" t="s">
        <v>4587</v>
      </c>
      <c r="H5" s="21"/>
      <c r="I5" s="21"/>
      <c r="J5" s="21"/>
      <c r="K5" s="21"/>
      <c r="L5" s="21"/>
      <c r="M5" s="21" t="s">
        <v>3376</v>
      </c>
      <c r="N5" s="91" t="s">
        <v>28</v>
      </c>
      <c r="O5" s="91" t="s">
        <v>28</v>
      </c>
      <c r="P5" s="21" t="s">
        <v>73</v>
      </c>
      <c r="Q5" s="32" t="s">
        <v>25</v>
      </c>
      <c r="R5" s="32" t="s">
        <v>36</v>
      </c>
      <c r="S5" s="21" t="s">
        <v>74</v>
      </c>
      <c r="T5" s="91" t="s">
        <v>28</v>
      </c>
      <c r="U5" s="91" t="s">
        <v>28</v>
      </c>
      <c r="V5" s="21" t="s">
        <v>36</v>
      </c>
      <c r="W5" s="21" t="s">
        <v>28</v>
      </c>
    </row>
    <row r="6" customFormat="false" ht="15.75" hidden="false" customHeight="false" outlineLevel="0" collapsed="false">
      <c r="A6" s="61" t="n">
        <v>5690</v>
      </c>
      <c r="B6" s="29" t="n">
        <v>44321</v>
      </c>
      <c r="C6" s="21" t="s">
        <v>3524</v>
      </c>
      <c r="D6" s="21" t="s">
        <v>24</v>
      </c>
      <c r="E6" s="21" t="s">
        <v>25</v>
      </c>
      <c r="F6" s="55" t="s">
        <v>4428</v>
      </c>
      <c r="G6" s="21" t="s">
        <v>4588</v>
      </c>
      <c r="H6" s="21"/>
      <c r="I6" s="21"/>
      <c r="J6" s="21"/>
      <c r="K6" s="21"/>
      <c r="L6" s="21"/>
      <c r="M6" s="21" t="s">
        <v>3376</v>
      </c>
      <c r="N6" s="91" t="s">
        <v>28</v>
      </c>
      <c r="O6" s="91" t="s">
        <v>28</v>
      </c>
      <c r="P6" s="21" t="s">
        <v>4589</v>
      </c>
      <c r="Q6" s="32" t="s">
        <v>3113</v>
      </c>
      <c r="R6" s="32" t="s">
        <v>36</v>
      </c>
      <c r="S6" s="21" t="s">
        <v>74</v>
      </c>
      <c r="T6" s="91" t="s">
        <v>28</v>
      </c>
      <c r="U6" s="91" t="s">
        <v>28</v>
      </c>
      <c r="V6" s="21" t="s">
        <v>36</v>
      </c>
      <c r="W6" s="21" t="s">
        <v>28</v>
      </c>
    </row>
    <row r="7" customFormat="false" ht="15.75" hidden="false" customHeight="false" outlineLevel="0" collapsed="false">
      <c r="A7" s="63" t="n">
        <v>1190692</v>
      </c>
      <c r="B7" s="29" t="n">
        <v>44321</v>
      </c>
      <c r="C7" s="21" t="s">
        <v>3524</v>
      </c>
      <c r="D7" s="21" t="s">
        <v>24</v>
      </c>
      <c r="E7" s="21" t="s">
        <v>25</v>
      </c>
      <c r="F7" s="21" t="s">
        <v>4590</v>
      </c>
      <c r="G7" s="21"/>
      <c r="H7" s="21"/>
      <c r="I7" s="21"/>
      <c r="J7" s="21"/>
      <c r="K7" s="21"/>
      <c r="L7" s="21"/>
      <c r="M7" s="21" t="s">
        <v>3376</v>
      </c>
      <c r="N7" s="21"/>
      <c r="O7" s="21"/>
      <c r="P7" s="21"/>
      <c r="Q7" s="32"/>
      <c r="R7" s="32"/>
      <c r="S7" s="21"/>
      <c r="T7" s="21"/>
      <c r="U7" s="21"/>
      <c r="V7" s="21"/>
      <c r="W7" s="21"/>
    </row>
    <row r="8" customFormat="false" ht="15.75" hidden="false" customHeight="false" outlineLevel="0" collapsed="false">
      <c r="A8" s="61" t="n">
        <v>5691</v>
      </c>
      <c r="B8" s="29" t="n">
        <v>44321</v>
      </c>
      <c r="C8" s="21" t="s">
        <v>3524</v>
      </c>
      <c r="D8" s="21" t="s">
        <v>24</v>
      </c>
      <c r="E8" s="21" t="s">
        <v>25</v>
      </c>
      <c r="F8" s="21" t="s">
        <v>4590</v>
      </c>
      <c r="G8" s="21"/>
      <c r="H8" s="21"/>
      <c r="I8" s="21"/>
      <c r="J8" s="21"/>
      <c r="K8" s="21"/>
      <c r="L8" s="21"/>
      <c r="M8" s="21" t="s">
        <v>3376</v>
      </c>
      <c r="N8" s="21"/>
      <c r="O8" s="21"/>
      <c r="P8" s="21"/>
      <c r="Q8" s="32"/>
      <c r="R8" s="32"/>
      <c r="S8" s="21"/>
      <c r="T8" s="21"/>
      <c r="U8" s="21"/>
      <c r="V8" s="21"/>
      <c r="W8" s="21"/>
    </row>
    <row r="9" customFormat="false" ht="15.75" hidden="false" customHeight="false" outlineLevel="0" collapsed="false">
      <c r="A9" s="61" t="n">
        <v>5692</v>
      </c>
      <c r="B9" s="29" t="n">
        <v>44321</v>
      </c>
      <c r="C9" s="21" t="s">
        <v>3524</v>
      </c>
      <c r="D9" s="21" t="s">
        <v>24</v>
      </c>
      <c r="E9" s="21" t="s">
        <v>25</v>
      </c>
      <c r="F9" s="21" t="s">
        <v>4590</v>
      </c>
      <c r="G9" s="21"/>
      <c r="H9" s="21"/>
      <c r="I9" s="21"/>
      <c r="J9" s="21"/>
      <c r="K9" s="21"/>
      <c r="L9" s="21"/>
      <c r="M9" s="21" t="s">
        <v>3376</v>
      </c>
      <c r="N9" s="21"/>
      <c r="O9" s="21"/>
      <c r="P9" s="21"/>
      <c r="Q9" s="32"/>
      <c r="R9" s="32"/>
      <c r="S9" s="21"/>
      <c r="T9" s="21"/>
      <c r="U9" s="21"/>
      <c r="V9" s="21"/>
      <c r="W9" s="21"/>
    </row>
    <row r="10" customFormat="false" ht="15.75" hidden="false" customHeight="false" outlineLevel="0" collapsed="false">
      <c r="A10" s="61" t="n">
        <v>5693</v>
      </c>
      <c r="B10" s="29" t="n">
        <v>44323</v>
      </c>
      <c r="C10" s="21" t="s">
        <v>4591</v>
      </c>
      <c r="D10" s="21" t="s">
        <v>24</v>
      </c>
      <c r="E10" s="21" t="s">
        <v>34</v>
      </c>
      <c r="F10" s="21" t="s">
        <v>4592</v>
      </c>
      <c r="G10" s="21"/>
      <c r="H10" s="66"/>
      <c r="I10" s="21"/>
      <c r="J10" s="21"/>
      <c r="K10" s="21"/>
      <c r="L10" s="21"/>
      <c r="M10" s="21"/>
      <c r="N10" s="21"/>
      <c r="O10" s="21"/>
      <c r="P10" s="21"/>
      <c r="Q10" s="32"/>
      <c r="R10" s="32"/>
      <c r="S10" s="21"/>
      <c r="T10" s="21"/>
      <c r="U10" s="21"/>
      <c r="V10" s="21"/>
      <c r="W10" s="21" t="s">
        <v>28</v>
      </c>
    </row>
    <row r="11" customFormat="false" ht="15.75" hidden="false" customHeight="false" outlineLevel="0" collapsed="false">
      <c r="A11" s="61" t="n">
        <v>5694</v>
      </c>
      <c r="B11" s="29" t="n">
        <v>44323</v>
      </c>
      <c r="C11" s="21" t="s">
        <v>4591</v>
      </c>
      <c r="D11" s="21" t="s">
        <v>24</v>
      </c>
      <c r="E11" s="21" t="s">
        <v>34</v>
      </c>
      <c r="F11" s="21" t="s">
        <v>4593</v>
      </c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32"/>
      <c r="R11" s="32"/>
      <c r="S11" s="21"/>
      <c r="T11" s="21"/>
      <c r="U11" s="21"/>
      <c r="V11" s="21"/>
      <c r="W11" s="21" t="s">
        <v>28</v>
      </c>
    </row>
    <row r="12" customFormat="false" ht="15.75" hidden="false" customHeight="false" outlineLevel="0" collapsed="false">
      <c r="A12" s="61" t="n">
        <v>5695</v>
      </c>
      <c r="B12" s="29" t="n">
        <v>44323</v>
      </c>
      <c r="C12" s="21" t="s">
        <v>613</v>
      </c>
      <c r="D12" s="21" t="s">
        <v>24</v>
      </c>
      <c r="E12" s="21" t="s">
        <v>25</v>
      </c>
      <c r="F12" s="21" t="s">
        <v>4594</v>
      </c>
      <c r="G12" s="21" t="s">
        <v>4595</v>
      </c>
      <c r="H12" s="21"/>
      <c r="I12" s="21"/>
      <c r="J12" s="21"/>
      <c r="K12" s="21"/>
      <c r="L12" s="21"/>
      <c r="M12" s="21" t="s">
        <v>3376</v>
      </c>
      <c r="N12" s="91" t="s">
        <v>28</v>
      </c>
      <c r="O12" s="91" t="s">
        <v>28</v>
      </c>
      <c r="P12" s="21" t="s">
        <v>214</v>
      </c>
      <c r="Q12" s="32" t="s">
        <v>74</v>
      </c>
      <c r="R12" s="32" t="s">
        <v>36</v>
      </c>
      <c r="S12" s="21" t="s">
        <v>74</v>
      </c>
      <c r="T12" s="91" t="s">
        <v>28</v>
      </c>
      <c r="U12" s="91" t="s">
        <v>28</v>
      </c>
      <c r="V12" s="21" t="s">
        <v>36</v>
      </c>
      <c r="W12" s="21"/>
    </row>
    <row r="13" customFormat="false" ht="15.75" hidden="false" customHeight="false" outlineLevel="0" collapsed="false">
      <c r="A13" s="61" t="n">
        <v>5696</v>
      </c>
      <c r="B13" s="29" t="n">
        <v>44326</v>
      </c>
      <c r="C13" s="21" t="s">
        <v>2563</v>
      </c>
      <c r="D13" s="21" t="s">
        <v>24</v>
      </c>
      <c r="E13" s="21" t="s">
        <v>25</v>
      </c>
      <c r="F13" s="21" t="s">
        <v>4596</v>
      </c>
      <c r="G13" s="21"/>
      <c r="H13" s="21"/>
      <c r="I13" s="21"/>
      <c r="J13" s="21"/>
      <c r="K13" s="21"/>
      <c r="L13" s="21"/>
      <c r="M13" s="21" t="s">
        <v>4421</v>
      </c>
      <c r="N13" s="21"/>
      <c r="O13" s="21"/>
      <c r="P13" s="21"/>
      <c r="Q13" s="32"/>
      <c r="R13" s="32"/>
      <c r="S13" s="21"/>
      <c r="T13" s="21"/>
      <c r="U13" s="21"/>
      <c r="V13" s="21"/>
      <c r="W13" s="21"/>
    </row>
    <row r="14" customFormat="false" ht="15.75" hidden="false" customHeight="false" outlineLevel="0" collapsed="false">
      <c r="A14" s="61" t="n">
        <v>5697</v>
      </c>
      <c r="B14" s="29" t="n">
        <v>44327</v>
      </c>
      <c r="C14" s="21" t="s">
        <v>2563</v>
      </c>
      <c r="D14" s="21" t="s">
        <v>24</v>
      </c>
      <c r="E14" s="21" t="s">
        <v>34</v>
      </c>
      <c r="F14" s="21" t="s">
        <v>4597</v>
      </c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32"/>
      <c r="R14" s="32"/>
      <c r="S14" s="21"/>
      <c r="T14" s="21"/>
      <c r="U14" s="21"/>
      <c r="V14" s="21"/>
      <c r="W14" s="21" t="s">
        <v>28</v>
      </c>
    </row>
    <row r="15" customFormat="false" ht="15.75" hidden="false" customHeight="false" outlineLevel="0" collapsed="false">
      <c r="A15" s="61" t="n">
        <v>5698</v>
      </c>
      <c r="B15" s="29" t="n">
        <v>44327</v>
      </c>
      <c r="C15" s="21" t="s">
        <v>84</v>
      </c>
      <c r="D15" s="21" t="s">
        <v>24</v>
      </c>
      <c r="E15" s="21" t="s">
        <v>34</v>
      </c>
      <c r="F15" s="21" t="s">
        <v>4598</v>
      </c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32"/>
      <c r="R15" s="32"/>
      <c r="S15" s="21"/>
      <c r="T15" s="21"/>
      <c r="U15" s="21"/>
      <c r="V15" s="21"/>
      <c r="W15" s="21" t="s">
        <v>28</v>
      </c>
    </row>
    <row r="16" customFormat="false" ht="15.75" hidden="false" customHeight="false" outlineLevel="0" collapsed="false">
      <c r="A16" s="61" t="n">
        <v>5699</v>
      </c>
      <c r="B16" s="29" t="n">
        <v>44328</v>
      </c>
      <c r="C16" s="21" t="s">
        <v>4599</v>
      </c>
      <c r="D16" s="21" t="s">
        <v>24</v>
      </c>
      <c r="E16" s="21" t="s">
        <v>34</v>
      </c>
      <c r="F16" s="21" t="s">
        <v>4600</v>
      </c>
      <c r="G16" s="21"/>
      <c r="H16" s="21"/>
      <c r="I16" s="21"/>
      <c r="J16" s="21"/>
      <c r="K16" s="21"/>
      <c r="L16" s="21"/>
      <c r="M16" s="21" t="s">
        <v>4601</v>
      </c>
      <c r="N16" s="21"/>
      <c r="O16" s="21"/>
      <c r="P16" s="21"/>
      <c r="Q16" s="32"/>
      <c r="R16" s="32"/>
      <c r="S16" s="21"/>
      <c r="T16" s="21"/>
      <c r="U16" s="21"/>
      <c r="V16" s="21"/>
      <c r="W16" s="21" t="s">
        <v>28</v>
      </c>
    </row>
    <row r="17" customFormat="false" ht="15.75" hidden="false" customHeight="false" outlineLevel="0" collapsed="false">
      <c r="A17" s="61" t="n">
        <v>5700</v>
      </c>
      <c r="B17" s="29" t="n">
        <v>44328</v>
      </c>
      <c r="C17" s="21" t="s">
        <v>1251</v>
      </c>
      <c r="D17" s="21" t="s">
        <v>24</v>
      </c>
      <c r="E17" s="21" t="s">
        <v>34</v>
      </c>
      <c r="F17" s="21" t="s">
        <v>4602</v>
      </c>
      <c r="G17" s="21"/>
      <c r="H17" s="21"/>
      <c r="I17" s="21"/>
      <c r="J17" s="21"/>
      <c r="K17" s="21"/>
      <c r="L17" s="21"/>
      <c r="M17" s="21" t="s">
        <v>1189</v>
      </c>
      <c r="N17" s="21"/>
      <c r="O17" s="21"/>
      <c r="P17" s="21"/>
      <c r="Q17" s="32"/>
      <c r="R17" s="32"/>
      <c r="S17" s="21"/>
      <c r="T17" s="21"/>
      <c r="U17" s="21"/>
      <c r="V17" s="21"/>
      <c r="W17" s="21" t="s">
        <v>28</v>
      </c>
    </row>
    <row r="18" customFormat="false" ht="15.75" hidden="false" customHeight="false" outlineLevel="0" collapsed="false">
      <c r="A18" s="61" t="n">
        <v>5701</v>
      </c>
      <c r="B18" s="29" t="n">
        <v>44328</v>
      </c>
      <c r="C18" s="21" t="s">
        <v>1251</v>
      </c>
      <c r="D18" s="21" t="s">
        <v>24</v>
      </c>
      <c r="E18" s="21" t="s">
        <v>34</v>
      </c>
      <c r="F18" s="21" t="s">
        <v>90</v>
      </c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32"/>
      <c r="R18" s="32"/>
      <c r="S18" s="21"/>
      <c r="T18" s="21"/>
      <c r="U18" s="21"/>
      <c r="V18" s="21"/>
      <c r="W18" s="21" t="s">
        <v>28</v>
      </c>
    </row>
    <row r="19" customFormat="false" ht="15.75" hidden="false" customHeight="false" outlineLevel="0" collapsed="false">
      <c r="A19" s="61" t="n">
        <v>5702</v>
      </c>
      <c r="B19" s="29" t="n">
        <v>44328</v>
      </c>
      <c r="C19" s="21" t="s">
        <v>1251</v>
      </c>
      <c r="D19" s="21" t="s">
        <v>24</v>
      </c>
      <c r="E19" s="21" t="s">
        <v>34</v>
      </c>
      <c r="F19" s="21" t="s">
        <v>90</v>
      </c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32"/>
      <c r="R19" s="32"/>
      <c r="S19" s="21"/>
      <c r="T19" s="21"/>
      <c r="U19" s="21"/>
      <c r="V19" s="21"/>
      <c r="W19" s="21" t="s">
        <v>28</v>
      </c>
    </row>
    <row r="20" customFormat="false" ht="15.75" hidden="false" customHeight="false" outlineLevel="0" collapsed="false">
      <c r="A20" s="61" t="n">
        <v>5703</v>
      </c>
      <c r="B20" s="29" t="n">
        <v>44328</v>
      </c>
      <c r="C20" s="21" t="s">
        <v>1251</v>
      </c>
      <c r="D20" s="21" t="s">
        <v>24</v>
      </c>
      <c r="E20" s="21" t="s">
        <v>34</v>
      </c>
      <c r="F20" s="21" t="s">
        <v>90</v>
      </c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32"/>
      <c r="R20" s="32"/>
      <c r="S20" s="21"/>
      <c r="T20" s="21"/>
      <c r="U20" s="21"/>
      <c r="V20" s="21"/>
      <c r="W20" s="21" t="s">
        <v>28</v>
      </c>
    </row>
    <row r="21" customFormat="false" ht="15.75" hidden="false" customHeight="false" outlineLevel="0" collapsed="false">
      <c r="A21" s="61" t="n">
        <v>5704</v>
      </c>
      <c r="B21" s="29" t="n">
        <v>44328</v>
      </c>
      <c r="C21" s="21" t="s">
        <v>1251</v>
      </c>
      <c r="D21" s="21" t="s">
        <v>24</v>
      </c>
      <c r="E21" s="21" t="s">
        <v>34</v>
      </c>
      <c r="F21" s="21" t="s">
        <v>4603</v>
      </c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32"/>
      <c r="R21" s="32"/>
      <c r="S21" s="21"/>
      <c r="T21" s="21"/>
      <c r="U21" s="21"/>
      <c r="V21" s="21"/>
      <c r="W21" s="21" t="s">
        <v>28</v>
      </c>
    </row>
    <row r="22" customFormat="false" ht="15.75" hidden="false" customHeight="false" outlineLevel="0" collapsed="false">
      <c r="A22" s="61" t="n">
        <v>5705</v>
      </c>
      <c r="B22" s="29" t="n">
        <v>44328</v>
      </c>
      <c r="C22" s="21" t="s">
        <v>4604</v>
      </c>
      <c r="D22" s="21" t="s">
        <v>24</v>
      </c>
      <c r="E22" s="21" t="s">
        <v>34</v>
      </c>
      <c r="F22" s="21" t="s">
        <v>874</v>
      </c>
      <c r="G22" s="21"/>
      <c r="H22" s="21"/>
      <c r="I22" s="21"/>
      <c r="J22" s="21"/>
      <c r="K22" s="21"/>
      <c r="L22" s="21"/>
      <c r="M22" s="21" t="s">
        <v>1189</v>
      </c>
      <c r="N22" s="21"/>
      <c r="O22" s="21"/>
      <c r="P22" s="21"/>
      <c r="Q22" s="32"/>
      <c r="R22" s="32"/>
      <c r="S22" s="21"/>
      <c r="T22" s="21"/>
      <c r="U22" s="21"/>
      <c r="V22" s="21"/>
      <c r="W22" s="21" t="s">
        <v>28</v>
      </c>
    </row>
    <row r="23" customFormat="false" ht="15.75" hidden="false" customHeight="false" outlineLevel="0" collapsed="false">
      <c r="A23" s="61" t="s">
        <v>4605</v>
      </c>
      <c r="B23" s="29" t="n">
        <v>44330</v>
      </c>
      <c r="C23" s="21" t="s">
        <v>2626</v>
      </c>
      <c r="D23" s="21" t="s">
        <v>578</v>
      </c>
      <c r="E23" s="21" t="s">
        <v>74</v>
      </c>
      <c r="F23" s="21" t="s">
        <v>4606</v>
      </c>
      <c r="G23" s="21"/>
      <c r="H23" s="21"/>
      <c r="I23" s="21"/>
      <c r="J23" s="21" t="s">
        <v>36</v>
      </c>
      <c r="K23" s="21" t="s">
        <v>36</v>
      </c>
      <c r="L23" s="21" t="s">
        <v>1049</v>
      </c>
      <c r="M23" s="21" t="s">
        <v>578</v>
      </c>
      <c r="N23" s="21"/>
      <c r="O23" s="21"/>
      <c r="P23" s="21"/>
      <c r="Q23" s="32"/>
      <c r="R23" s="32"/>
      <c r="S23" s="21"/>
      <c r="T23" s="21"/>
      <c r="U23" s="21"/>
      <c r="V23" s="21"/>
      <c r="W23" s="21" t="s">
        <v>37</v>
      </c>
    </row>
    <row r="24" customFormat="false" ht="15.75" hidden="false" customHeight="false" outlineLevel="0" collapsed="false">
      <c r="A24" s="61" t="n">
        <v>5706</v>
      </c>
      <c r="B24" s="29" t="n">
        <v>44330</v>
      </c>
      <c r="C24" s="21" t="s">
        <v>2549</v>
      </c>
      <c r="D24" s="21" t="s">
        <v>24</v>
      </c>
      <c r="E24" s="21" t="s">
        <v>74</v>
      </c>
      <c r="F24" s="21" t="s">
        <v>4607</v>
      </c>
      <c r="G24" s="21"/>
      <c r="H24" s="21"/>
      <c r="I24" s="21"/>
      <c r="J24" s="21" t="s">
        <v>36</v>
      </c>
      <c r="K24" s="21" t="s">
        <v>29</v>
      </c>
      <c r="L24" s="21" t="s">
        <v>29</v>
      </c>
      <c r="M24" s="21" t="s">
        <v>4608</v>
      </c>
      <c r="N24" s="21"/>
      <c r="O24" s="21"/>
      <c r="P24" s="21"/>
      <c r="Q24" s="32"/>
      <c r="R24" s="32"/>
      <c r="S24" s="21"/>
      <c r="T24" s="21"/>
      <c r="U24" s="21"/>
      <c r="V24" s="21"/>
      <c r="W24" s="21" t="s">
        <v>28</v>
      </c>
    </row>
    <row r="25" customFormat="false" ht="15.75" hidden="false" customHeight="false" outlineLevel="0" collapsed="false">
      <c r="A25" s="61" t="n">
        <v>5707</v>
      </c>
      <c r="B25" s="29" t="n">
        <v>44334</v>
      </c>
      <c r="C25" s="21" t="s">
        <v>4609</v>
      </c>
      <c r="D25" s="21" t="s">
        <v>24</v>
      </c>
      <c r="E25" s="21" t="s">
        <v>3337</v>
      </c>
      <c r="F25" s="21" t="s">
        <v>4610</v>
      </c>
      <c r="G25" s="21"/>
      <c r="H25" s="21"/>
      <c r="I25" s="21"/>
      <c r="J25" s="21" t="n">
        <v>3512393537</v>
      </c>
      <c r="K25" s="21"/>
      <c r="L25" s="21"/>
      <c r="M25" s="21" t="s">
        <v>4611</v>
      </c>
      <c r="N25" s="21"/>
      <c r="O25" s="21"/>
      <c r="P25" s="21"/>
      <c r="Q25" s="32"/>
      <c r="R25" s="32"/>
      <c r="S25" s="21"/>
      <c r="T25" s="21"/>
      <c r="U25" s="21"/>
      <c r="V25" s="21"/>
      <c r="W25" s="21" t="s">
        <v>37</v>
      </c>
    </row>
    <row r="26" customFormat="false" ht="15.75" hidden="false" customHeight="false" outlineLevel="0" collapsed="false">
      <c r="A26" s="61" t="n">
        <v>5708</v>
      </c>
      <c r="B26" s="29" t="n">
        <v>44335</v>
      </c>
      <c r="C26" s="21" t="s">
        <v>4030</v>
      </c>
      <c r="D26" s="21" t="s">
        <v>24</v>
      </c>
      <c r="E26" s="21" t="s">
        <v>25</v>
      </c>
      <c r="F26" s="21" t="s">
        <v>4612</v>
      </c>
      <c r="G26" s="21" t="s">
        <v>4613</v>
      </c>
      <c r="H26" s="21"/>
      <c r="I26" s="21"/>
      <c r="J26" s="21"/>
      <c r="K26" s="21"/>
      <c r="L26" s="21"/>
      <c r="M26" s="21" t="s">
        <v>4421</v>
      </c>
      <c r="N26" s="21" t="s">
        <v>28</v>
      </c>
      <c r="O26" s="21" t="s">
        <v>28</v>
      </c>
      <c r="P26" s="21" t="s">
        <v>73</v>
      </c>
      <c r="Q26" s="32" t="s">
        <v>74</v>
      </c>
      <c r="R26" s="32" t="s">
        <v>36</v>
      </c>
      <c r="S26" s="21" t="s">
        <v>74</v>
      </c>
      <c r="T26" s="91" t="s">
        <v>28</v>
      </c>
      <c r="U26" s="91" t="s">
        <v>37</v>
      </c>
      <c r="V26" s="21" t="s">
        <v>4614</v>
      </c>
      <c r="W26" s="21" t="s">
        <v>28</v>
      </c>
    </row>
    <row r="27" customFormat="false" ht="15.75" hidden="false" customHeight="false" outlineLevel="0" collapsed="false">
      <c r="A27" s="61" t="n">
        <v>5709</v>
      </c>
      <c r="B27" s="29" t="n">
        <v>44335</v>
      </c>
      <c r="C27" s="21" t="s">
        <v>2748</v>
      </c>
      <c r="D27" s="21" t="s">
        <v>24</v>
      </c>
      <c r="E27" s="21" t="s">
        <v>34</v>
      </c>
      <c r="F27" s="21" t="s">
        <v>4615</v>
      </c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32"/>
      <c r="R27" s="32"/>
      <c r="S27" s="21"/>
      <c r="T27" s="21"/>
      <c r="U27" s="21"/>
      <c r="V27" s="21"/>
      <c r="W27" s="21" t="s">
        <v>28</v>
      </c>
    </row>
    <row r="28" customFormat="false" ht="15.75" hidden="false" customHeight="false" outlineLevel="0" collapsed="false">
      <c r="A28" s="61" t="n">
        <v>5710</v>
      </c>
      <c r="B28" s="29" t="n">
        <v>44335</v>
      </c>
      <c r="C28" s="21" t="s">
        <v>4616</v>
      </c>
      <c r="D28" s="21" t="s">
        <v>24</v>
      </c>
      <c r="E28" s="21" t="s">
        <v>25</v>
      </c>
      <c r="F28" s="21" t="s">
        <v>4617</v>
      </c>
      <c r="G28" s="21" t="s">
        <v>4618</v>
      </c>
      <c r="H28" s="21"/>
      <c r="I28" s="21"/>
      <c r="J28" s="21" t="n">
        <v>3515115587</v>
      </c>
      <c r="K28" s="21"/>
      <c r="L28" s="21"/>
      <c r="M28" s="21" t="s">
        <v>3376</v>
      </c>
      <c r="N28" s="21" t="s">
        <v>28</v>
      </c>
      <c r="O28" s="21" t="s">
        <v>28</v>
      </c>
      <c r="P28" s="21" t="s">
        <v>4619</v>
      </c>
      <c r="Q28" s="32" t="s">
        <v>74</v>
      </c>
      <c r="R28" s="32" t="s">
        <v>29</v>
      </c>
      <c r="S28" s="21"/>
      <c r="T28" s="21"/>
      <c r="U28" s="21"/>
      <c r="V28" s="21"/>
      <c r="W28" s="21" t="s">
        <v>28</v>
      </c>
    </row>
    <row r="29" customFormat="false" ht="15.75" hidden="false" customHeight="false" outlineLevel="0" collapsed="false">
      <c r="A29" s="61" t="n">
        <v>5711</v>
      </c>
      <c r="B29" s="29" t="n">
        <v>44335</v>
      </c>
      <c r="C29" s="21" t="s">
        <v>4616</v>
      </c>
      <c r="D29" s="21" t="s">
        <v>24</v>
      </c>
      <c r="E29" s="21" t="s">
        <v>25</v>
      </c>
      <c r="F29" s="21" t="s">
        <v>4617</v>
      </c>
      <c r="G29" s="21" t="s">
        <v>4620</v>
      </c>
      <c r="H29" s="21"/>
      <c r="I29" s="21"/>
      <c r="J29" s="21"/>
      <c r="K29" s="21"/>
      <c r="L29" s="21"/>
      <c r="M29" s="21" t="s">
        <v>3376</v>
      </c>
      <c r="N29" s="21" t="s">
        <v>28</v>
      </c>
      <c r="O29" s="21" t="s">
        <v>28</v>
      </c>
      <c r="P29" s="21" t="s">
        <v>399</v>
      </c>
      <c r="Q29" s="32" t="s">
        <v>2850</v>
      </c>
      <c r="R29" s="32" t="s">
        <v>29</v>
      </c>
      <c r="S29" s="21"/>
      <c r="T29" s="21"/>
      <c r="U29" s="21"/>
      <c r="V29" s="21"/>
      <c r="W29" s="21" t="s">
        <v>28</v>
      </c>
    </row>
    <row r="30" customFormat="false" ht="15.75" hidden="false" customHeight="false" outlineLevel="0" collapsed="false">
      <c r="A30" s="61" t="n">
        <v>5712</v>
      </c>
      <c r="B30" s="29" t="n">
        <v>44335</v>
      </c>
      <c r="C30" s="21" t="s">
        <v>4616</v>
      </c>
      <c r="D30" s="21" t="s">
        <v>24</v>
      </c>
      <c r="E30" s="21" t="s">
        <v>25</v>
      </c>
      <c r="F30" s="21" t="s">
        <v>4617</v>
      </c>
      <c r="G30" s="21" t="s">
        <v>4621</v>
      </c>
      <c r="H30" s="21"/>
      <c r="I30" s="21"/>
      <c r="J30" s="21"/>
      <c r="K30" s="21"/>
      <c r="L30" s="21"/>
      <c r="M30" s="21" t="s">
        <v>3376</v>
      </c>
      <c r="N30" s="21" t="s">
        <v>28</v>
      </c>
      <c r="O30" s="21" t="s">
        <v>28</v>
      </c>
      <c r="P30" s="21" t="s">
        <v>4462</v>
      </c>
      <c r="Q30" s="32" t="s">
        <v>74</v>
      </c>
      <c r="R30" s="32" t="s">
        <v>36</v>
      </c>
      <c r="S30" s="21"/>
      <c r="T30" s="21"/>
      <c r="U30" s="21"/>
      <c r="V30" s="21"/>
      <c r="W30" s="21" t="s">
        <v>28</v>
      </c>
    </row>
    <row r="31" customFormat="false" ht="15.75" hidden="false" customHeight="false" outlineLevel="0" collapsed="false">
      <c r="A31" s="61" t="n">
        <v>5713</v>
      </c>
      <c r="B31" s="29" t="n">
        <v>44335</v>
      </c>
      <c r="C31" s="21" t="s">
        <v>4616</v>
      </c>
      <c r="D31" s="21" t="s">
        <v>24</v>
      </c>
      <c r="E31" s="21" t="s">
        <v>25</v>
      </c>
      <c r="F31" s="21" t="s">
        <v>4617</v>
      </c>
      <c r="G31" s="21" t="s">
        <v>4622</v>
      </c>
      <c r="H31" s="21"/>
      <c r="I31" s="21"/>
      <c r="J31" s="21"/>
      <c r="K31" s="21"/>
      <c r="L31" s="21"/>
      <c r="M31" s="21" t="s">
        <v>3376</v>
      </c>
      <c r="N31" s="21" t="s">
        <v>28</v>
      </c>
      <c r="O31" s="21" t="s">
        <v>28</v>
      </c>
      <c r="P31" s="21" t="s">
        <v>399</v>
      </c>
      <c r="Q31" s="32" t="s">
        <v>2850</v>
      </c>
      <c r="R31" s="32"/>
      <c r="S31" s="21"/>
      <c r="T31" s="21"/>
      <c r="U31" s="21"/>
      <c r="V31" s="21"/>
      <c r="W31" s="21" t="s">
        <v>28</v>
      </c>
    </row>
    <row r="32" customFormat="false" ht="15.75" hidden="false" customHeight="false" outlineLevel="0" collapsed="false">
      <c r="A32" s="63" t="n">
        <v>945616</v>
      </c>
      <c r="B32" s="29" t="n">
        <v>44335</v>
      </c>
      <c r="C32" s="21" t="s">
        <v>4623</v>
      </c>
      <c r="D32" s="21" t="s">
        <v>290</v>
      </c>
      <c r="E32" s="21" t="s">
        <v>74</v>
      </c>
      <c r="F32" s="21" t="s">
        <v>4624</v>
      </c>
      <c r="G32" s="21"/>
      <c r="H32" s="21"/>
      <c r="I32" s="21"/>
      <c r="J32" s="21" t="n">
        <v>3517647167</v>
      </c>
      <c r="K32" s="21" t="s">
        <v>36</v>
      </c>
      <c r="L32" s="21" t="s">
        <v>36</v>
      </c>
      <c r="M32" s="21" t="s">
        <v>4625</v>
      </c>
      <c r="N32" s="21"/>
      <c r="O32" s="21"/>
      <c r="P32" s="21"/>
      <c r="Q32" s="32"/>
      <c r="R32" s="32"/>
      <c r="S32" s="21"/>
      <c r="T32" s="21"/>
      <c r="U32" s="21"/>
      <c r="V32" s="21"/>
      <c r="W32" s="21" t="s">
        <v>28</v>
      </c>
    </row>
    <row r="33" customFormat="false" ht="15.75" hidden="false" customHeight="false" outlineLevel="0" collapsed="false">
      <c r="A33" s="61" t="n">
        <v>5714</v>
      </c>
      <c r="B33" s="29" t="n">
        <v>44335</v>
      </c>
      <c r="C33" s="21" t="s">
        <v>4623</v>
      </c>
      <c r="D33" s="21" t="s">
        <v>24</v>
      </c>
      <c r="E33" s="21" t="s">
        <v>74</v>
      </c>
      <c r="F33" s="21" t="s">
        <v>4624</v>
      </c>
      <c r="G33" s="21"/>
      <c r="H33" s="21"/>
      <c r="I33" s="21"/>
      <c r="J33" s="21" t="n">
        <v>3517647167</v>
      </c>
      <c r="K33" s="21" t="s">
        <v>36</v>
      </c>
      <c r="L33" s="21" t="s">
        <v>36</v>
      </c>
      <c r="M33" s="21" t="s">
        <v>4626</v>
      </c>
      <c r="N33" s="21"/>
      <c r="O33" s="21"/>
      <c r="P33" s="21"/>
      <c r="Q33" s="32"/>
      <c r="R33" s="32"/>
      <c r="S33" s="21"/>
      <c r="T33" s="21"/>
      <c r="U33" s="21"/>
      <c r="V33" s="21"/>
      <c r="W33" s="21" t="s">
        <v>28</v>
      </c>
    </row>
    <row r="34" customFormat="false" ht="15.75" hidden="false" customHeight="false" outlineLevel="0" collapsed="false">
      <c r="A34" s="61" t="n">
        <v>5715</v>
      </c>
      <c r="B34" s="29" t="n">
        <v>44337</v>
      </c>
      <c r="C34" s="21" t="s">
        <v>776</v>
      </c>
      <c r="D34" s="21" t="s">
        <v>24</v>
      </c>
      <c r="E34" s="21" t="s">
        <v>34</v>
      </c>
      <c r="F34" s="21" t="s">
        <v>2446</v>
      </c>
      <c r="G34" s="21"/>
      <c r="H34" s="21"/>
      <c r="I34" s="21"/>
      <c r="J34" s="21" t="s">
        <v>36</v>
      </c>
      <c r="K34" s="21" t="s">
        <v>36</v>
      </c>
      <c r="L34" s="21" t="s">
        <v>36</v>
      </c>
      <c r="M34" s="21" t="s">
        <v>1189</v>
      </c>
      <c r="N34" s="21"/>
      <c r="O34" s="21"/>
      <c r="P34" s="21"/>
      <c r="Q34" s="32"/>
      <c r="R34" s="32"/>
      <c r="S34" s="21"/>
      <c r="T34" s="21"/>
      <c r="U34" s="21"/>
      <c r="V34" s="21"/>
      <c r="W34" s="21" t="s">
        <v>28</v>
      </c>
    </row>
    <row r="35" customFormat="false" ht="15.75" hidden="false" customHeight="false" outlineLevel="0" collapsed="false">
      <c r="A35" s="61" t="n">
        <v>5716</v>
      </c>
      <c r="B35" s="29" t="n">
        <v>44338</v>
      </c>
      <c r="C35" s="21" t="s">
        <v>84</v>
      </c>
      <c r="D35" s="21" t="s">
        <v>24</v>
      </c>
      <c r="E35" s="21" t="s">
        <v>34</v>
      </c>
      <c r="F35" s="21" t="s">
        <v>4627</v>
      </c>
      <c r="G35" s="21"/>
      <c r="H35" s="21"/>
      <c r="I35" s="21"/>
      <c r="J35" s="21" t="s">
        <v>36</v>
      </c>
      <c r="K35" s="21" t="s">
        <v>36</v>
      </c>
      <c r="L35" s="21" t="s">
        <v>36</v>
      </c>
      <c r="M35" s="21" t="s">
        <v>1189</v>
      </c>
      <c r="N35" s="21"/>
      <c r="O35" s="21"/>
      <c r="P35" s="21"/>
      <c r="Q35" s="32"/>
      <c r="R35" s="32"/>
      <c r="S35" s="21"/>
      <c r="T35" s="21"/>
      <c r="U35" s="21"/>
      <c r="V35" s="21"/>
      <c r="W35" s="21" t="s">
        <v>28</v>
      </c>
    </row>
    <row r="36" customFormat="false" ht="15.75" hidden="false" customHeight="false" outlineLevel="0" collapsed="false">
      <c r="A36" s="61" t="n">
        <v>5717</v>
      </c>
      <c r="B36" s="29" t="n">
        <v>44342</v>
      </c>
      <c r="C36" s="21" t="s">
        <v>4628</v>
      </c>
      <c r="D36" s="21" t="s">
        <v>24</v>
      </c>
      <c r="E36" s="21" t="s">
        <v>34</v>
      </c>
      <c r="F36" s="21" t="s">
        <v>4629</v>
      </c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32"/>
      <c r="R36" s="32"/>
      <c r="S36" s="21"/>
      <c r="T36" s="21"/>
      <c r="U36" s="21"/>
      <c r="V36" s="21"/>
      <c r="W36" s="21" t="s">
        <v>28</v>
      </c>
    </row>
    <row r="37" customFormat="false" ht="15.75" hidden="false" customHeight="false" outlineLevel="0" collapsed="false">
      <c r="A37" s="61" t="n">
        <v>5718</v>
      </c>
      <c r="B37" s="29" t="n">
        <v>44342</v>
      </c>
      <c r="C37" s="21" t="s">
        <v>4630</v>
      </c>
      <c r="D37" s="21" t="s">
        <v>24</v>
      </c>
      <c r="E37" s="21" t="s">
        <v>74</v>
      </c>
      <c r="F37" s="21" t="s">
        <v>4631</v>
      </c>
      <c r="G37" s="21"/>
      <c r="H37" s="21"/>
      <c r="I37" s="21"/>
      <c r="J37" s="21" t="s">
        <v>36</v>
      </c>
      <c r="K37" s="21" t="s">
        <v>36</v>
      </c>
      <c r="L37" s="21" t="s">
        <v>36</v>
      </c>
      <c r="M37" s="21" t="s">
        <v>3376</v>
      </c>
      <c r="N37" s="21"/>
      <c r="O37" s="21"/>
      <c r="P37" s="21"/>
      <c r="Q37" s="32"/>
      <c r="R37" s="32"/>
      <c r="S37" s="21"/>
      <c r="T37" s="21"/>
      <c r="U37" s="21"/>
      <c r="V37" s="21"/>
      <c r="W37" s="21" t="s">
        <v>28</v>
      </c>
    </row>
    <row r="38" customFormat="false" ht="15.75" hidden="false" customHeight="false" outlineLevel="0" collapsed="false">
      <c r="A38" s="61" t="n">
        <v>5719</v>
      </c>
      <c r="B38" s="29" t="n">
        <v>44342</v>
      </c>
      <c r="C38" s="21" t="s">
        <v>84</v>
      </c>
      <c r="D38" s="21" t="s">
        <v>24</v>
      </c>
      <c r="E38" s="21" t="s">
        <v>34</v>
      </c>
      <c r="F38" s="21" t="s">
        <v>4632</v>
      </c>
      <c r="G38" s="21"/>
      <c r="H38" s="21"/>
      <c r="I38" s="21"/>
      <c r="J38" s="21" t="s">
        <v>36</v>
      </c>
      <c r="K38" s="21" t="s">
        <v>36</v>
      </c>
      <c r="L38" s="21" t="s">
        <v>36</v>
      </c>
      <c r="M38" s="21" t="s">
        <v>4633</v>
      </c>
      <c r="N38" s="21"/>
      <c r="O38" s="21"/>
      <c r="P38" s="21"/>
      <c r="Q38" s="32"/>
      <c r="R38" s="32"/>
      <c r="S38" s="21"/>
      <c r="T38" s="21"/>
      <c r="U38" s="21"/>
      <c r="V38" s="21"/>
      <c r="W38" s="21" t="s">
        <v>28</v>
      </c>
    </row>
    <row r="39" customFormat="false" ht="15.75" hidden="false" customHeight="false" outlineLevel="0" collapsed="false">
      <c r="A39" s="61" t="n">
        <v>5720</v>
      </c>
      <c r="B39" s="29" t="n">
        <v>44342</v>
      </c>
      <c r="C39" s="21" t="s">
        <v>4634</v>
      </c>
      <c r="D39" s="21" t="s">
        <v>24</v>
      </c>
      <c r="E39" s="21" t="s">
        <v>74</v>
      </c>
      <c r="F39" s="21" t="s">
        <v>4635</v>
      </c>
      <c r="G39" s="21"/>
      <c r="H39" s="21"/>
      <c r="I39" s="21"/>
      <c r="J39" s="21" t="s">
        <v>4636</v>
      </c>
      <c r="K39" s="21" t="s">
        <v>4637</v>
      </c>
      <c r="L39" s="21" t="s">
        <v>36</v>
      </c>
      <c r="M39" s="21" t="s">
        <v>3376</v>
      </c>
      <c r="N39" s="21"/>
      <c r="O39" s="21"/>
      <c r="P39" s="21"/>
      <c r="Q39" s="32"/>
      <c r="R39" s="32"/>
      <c r="S39" s="21"/>
      <c r="T39" s="21"/>
      <c r="U39" s="21"/>
      <c r="V39" s="21"/>
      <c r="W39" s="21" t="s">
        <v>28</v>
      </c>
    </row>
    <row r="40" customFormat="false" ht="15.75" hidden="false" customHeight="false" outlineLevel="0" collapsed="false">
      <c r="A40" s="61" t="n">
        <v>5721</v>
      </c>
      <c r="B40" s="29" t="n">
        <v>44343</v>
      </c>
      <c r="C40" s="21" t="s">
        <v>1328</v>
      </c>
      <c r="D40" s="21" t="s">
        <v>24</v>
      </c>
      <c r="E40" s="21" t="s">
        <v>34</v>
      </c>
      <c r="F40" s="21" t="s">
        <v>4638</v>
      </c>
      <c r="G40" s="21"/>
      <c r="H40" s="21"/>
      <c r="I40" s="21"/>
      <c r="J40" s="21" t="s">
        <v>36</v>
      </c>
      <c r="K40" s="21" t="s">
        <v>36</v>
      </c>
      <c r="L40" s="21" t="s">
        <v>36</v>
      </c>
      <c r="M40" s="21" t="s">
        <v>4639</v>
      </c>
      <c r="N40" s="21"/>
      <c r="O40" s="21"/>
      <c r="P40" s="21"/>
      <c r="Q40" s="32"/>
      <c r="R40" s="32"/>
      <c r="S40" s="21"/>
      <c r="T40" s="21"/>
      <c r="U40" s="21"/>
      <c r="V40" s="21"/>
      <c r="W40" s="21" t="s">
        <v>28</v>
      </c>
    </row>
    <row r="41" customFormat="false" ht="15.75" hidden="false" customHeight="false" outlineLevel="0" collapsed="false">
      <c r="A41" s="61" t="n">
        <v>5722</v>
      </c>
      <c r="B41" s="29" t="n">
        <v>44344</v>
      </c>
      <c r="C41" s="21" t="s">
        <v>84</v>
      </c>
      <c r="D41" s="21" t="s">
        <v>24</v>
      </c>
      <c r="E41" s="21" t="s">
        <v>34</v>
      </c>
      <c r="F41" s="21" t="s">
        <v>4640</v>
      </c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32"/>
      <c r="R41" s="32"/>
      <c r="S41" s="21"/>
      <c r="T41" s="21"/>
      <c r="U41" s="21"/>
      <c r="V41" s="21"/>
      <c r="W41" s="21" t="s">
        <v>28</v>
      </c>
    </row>
    <row r="42" customFormat="false" ht="15.75" hidden="false" customHeight="false" outlineLevel="0" collapsed="false">
      <c r="A42" s="61" t="n">
        <v>5723</v>
      </c>
      <c r="B42" s="29" t="n">
        <v>44344</v>
      </c>
      <c r="C42" s="21" t="s">
        <v>716</v>
      </c>
      <c r="D42" s="21" t="s">
        <v>24</v>
      </c>
      <c r="E42" s="21" t="s">
        <v>34</v>
      </c>
      <c r="F42" s="21" t="s">
        <v>4641</v>
      </c>
      <c r="G42" s="21"/>
      <c r="H42" s="21"/>
      <c r="I42" s="21"/>
      <c r="J42" s="21" t="s">
        <v>36</v>
      </c>
      <c r="K42" s="21" t="s">
        <v>36</v>
      </c>
      <c r="L42" s="21" t="s">
        <v>36</v>
      </c>
      <c r="M42" s="21" t="s">
        <v>2388</v>
      </c>
      <c r="N42" s="21"/>
      <c r="O42" s="21"/>
      <c r="P42" s="21"/>
      <c r="Q42" s="32"/>
      <c r="R42" s="32"/>
      <c r="S42" s="21"/>
      <c r="T42" s="21"/>
      <c r="U42" s="21"/>
      <c r="V42" s="21"/>
      <c r="W42" s="21" t="s">
        <v>28</v>
      </c>
    </row>
    <row r="43" customFormat="false" ht="15.75" hidden="false" customHeight="false" outlineLevel="0" collapsed="false">
      <c r="A43" s="61" t="n">
        <v>5724</v>
      </c>
      <c r="B43" s="29" t="n">
        <v>44347</v>
      </c>
      <c r="C43" s="21" t="s">
        <v>4030</v>
      </c>
      <c r="D43" s="21" t="s">
        <v>24</v>
      </c>
      <c r="E43" s="21" t="s">
        <v>74</v>
      </c>
      <c r="F43" s="21" t="s">
        <v>4642</v>
      </c>
      <c r="G43" s="21" t="s">
        <v>4643</v>
      </c>
      <c r="H43" s="21"/>
      <c r="I43" s="21"/>
      <c r="J43" s="21" t="s">
        <v>36</v>
      </c>
      <c r="K43" s="21" t="s">
        <v>36</v>
      </c>
      <c r="L43" s="21" t="s">
        <v>36</v>
      </c>
      <c r="M43" s="21" t="s">
        <v>3376</v>
      </c>
      <c r="N43" s="21" t="s">
        <v>28</v>
      </c>
      <c r="O43" s="21" t="s">
        <v>28</v>
      </c>
      <c r="P43" s="21" t="s">
        <v>4644</v>
      </c>
      <c r="Q43" s="32" t="s">
        <v>2850</v>
      </c>
      <c r="R43" s="32"/>
      <c r="S43" s="21"/>
      <c r="T43" s="21"/>
      <c r="U43" s="21"/>
      <c r="V43" s="21"/>
      <c r="W43" s="21" t="s">
        <v>28</v>
      </c>
    </row>
    <row r="44" customFormat="false" ht="15.75" hidden="false" customHeight="false" outlineLevel="0" collapsed="false">
      <c r="A44" s="61" t="n">
        <v>5725</v>
      </c>
      <c r="B44" s="29" t="n">
        <v>44347</v>
      </c>
      <c r="C44" s="21" t="s">
        <v>4030</v>
      </c>
      <c r="D44" s="21" t="s">
        <v>24</v>
      </c>
      <c r="E44" s="21" t="s">
        <v>74</v>
      </c>
      <c r="F44" s="21" t="s">
        <v>4642</v>
      </c>
      <c r="G44" s="21"/>
      <c r="H44" s="21"/>
      <c r="I44" s="21"/>
      <c r="J44" s="21" t="s">
        <v>36</v>
      </c>
      <c r="K44" s="21" t="s">
        <v>36</v>
      </c>
      <c r="L44" s="21" t="s">
        <v>36</v>
      </c>
      <c r="M44" s="21" t="s">
        <v>3376</v>
      </c>
      <c r="N44" s="21"/>
      <c r="O44" s="21"/>
      <c r="P44" s="21"/>
      <c r="Q44" s="32"/>
      <c r="R44" s="32"/>
      <c r="S44" s="21"/>
      <c r="T44" s="21"/>
      <c r="U44" s="21"/>
      <c r="V44" s="21"/>
      <c r="W44" s="21" t="s">
        <v>28</v>
      </c>
    </row>
    <row r="1048575" customFormat="false" ht="12.8" hidden="false" customHeight="true" outlineLevel="0" collapsed="false"/>
    <row r="1048576" customFormat="false" ht="12.8" hidden="false" customHeight="true" outlineLevel="0" collapsed="false"/>
  </sheetData>
  <conditionalFormatting sqref="H2:I44">
    <cfRule type="cellIs" priority="2" operator="equal" aboveAverage="0" equalAverage="0" bottom="0" percent="0" rank="0" text="" dxfId="1">
      <formula>"No Aplica"</formula>
    </cfRule>
  </conditionalFormatting>
  <conditionalFormatting sqref="Q4:R44 G4:G44">
    <cfRule type="expression" priority="3" aboveAverage="0" equalAverage="0" bottom="0" percent="0" rank="0" text="" dxfId="0">
      <formula>LEN(TRIM(G4))&gt;0</formula>
    </cfRule>
  </conditionalFormatting>
  <conditionalFormatting sqref="P4:P44">
    <cfRule type="expression" priority="4" aboveAverage="0" equalAverage="0" bottom="0" percent="0" rank="0" text="" dxfId="0">
      <formula>LEN(TRIM(P4))&gt;0</formula>
    </cfRule>
  </conditionalFormatting>
  <conditionalFormatting sqref="S4:S44">
    <cfRule type="expression" priority="5" aboveAverage="0" equalAverage="0" bottom="0" percent="0" rank="0" text="" dxfId="0">
      <formula>LEN(TRIM(S4))&gt;0</formula>
    </cfRule>
  </conditionalFormatting>
  <conditionalFormatting sqref="V2:V44">
    <cfRule type="expression" priority="6" aboveAverage="0" equalAverage="0" bottom="0" percent="0" rank="0" text="" dxfId="0">
      <formula>LEN(TRIM(V2))&gt;0</formula>
    </cfRule>
  </conditionalFormatting>
  <conditionalFormatting sqref="N4:N44">
    <cfRule type="cellIs" priority="7" operator="equal" aboveAverage="0" equalAverage="0" bottom="0" percent="0" rank="0" text="" dxfId="15">
      <formula>"Incompleto"</formula>
    </cfRule>
  </conditionalFormatting>
  <conditionalFormatting sqref="H2:I44 W2:W44">
    <cfRule type="cellIs" priority="8" operator="equal" aboveAverage="0" equalAverage="0" bottom="0" percent="0" rank="0" text="" dxfId="0">
      <formula>"Completo"</formula>
    </cfRule>
  </conditionalFormatting>
  <conditionalFormatting sqref="W2:W44">
    <cfRule type="cellIs" priority="9" operator="equal" aboveAverage="0" equalAverage="0" bottom="0" percent="0" rank="0" text="" dxfId="1">
      <formula>"No aplica"</formula>
    </cfRule>
  </conditionalFormatting>
  <dataValidations count="5">
    <dataValidation allowBlank="true" errorStyle="stop" operator="between" showDropDown="false" showErrorMessage="true" showInputMessage="false" sqref="H2:I44 U2:U3 W2:W44 N4:O44 T4:U44" type="list">
      <formula1>LEYENDA!$B$1:$C$1</formula1>
      <formula2>0</formula2>
    </dataValidation>
    <dataValidation allowBlank="true" errorStyle="stop" operator="between" showDropDown="false" showErrorMessage="false" showInputMessage="false" sqref="S4:S44" type="list">
      <formula1>LEYENDA!$A$23:$A$24</formula1>
      <formula2>0</formula2>
    </dataValidation>
    <dataValidation allowBlank="true" errorStyle="stop" operator="between" showDropDown="false" showErrorMessage="true" showInputMessage="false" sqref="D4:D44" type="list">
      <formula1>LEYENDA!$B$2:$D$2</formula1>
      <formula2>0</formula2>
    </dataValidation>
    <dataValidation allowBlank="true" errorStyle="stop" operator="between" showDropDown="false" showErrorMessage="false" showInputMessage="false" sqref="Q4:Q44" type="list">
      <formula1>LEYENDA!$A$15:$A$19</formula1>
      <formula2>0</formula2>
    </dataValidation>
    <dataValidation allowBlank="true" errorStyle="stop" operator="between" showDropDown="false" showErrorMessage="false" showInputMessage="false" sqref="E4:E44" type="list">
      <formula1>LEYENDA!$A$8:$A$12</formula1>
      <formula2>0</formula2>
    </dataValidation>
  </dataValidations>
  <printOptions headings="false" gridLines="true" gridLinesSet="true" horizontalCentered="true" verticalCentered="false"/>
  <pageMargins left="0.7" right="0.7" top="0.75" bottom="0.75" header="0.511811023622047" footer="0.511811023622047"/>
  <pageSetup paperSize="9" scale="100" fitToWidth="1" fitToHeight="0" pageOrder="overThenDown" orientation="landscape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F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6" ySplit="3" topLeftCell="G4" activePane="bottomRight" state="frozen"/>
      <selection pane="topLeft" activeCell="A1" activeCellId="0" sqref="A1"/>
      <selection pane="topRight" activeCell="G1" activeCellId="0" sqref="G1"/>
      <selection pane="bottomLeft" activeCell="A4" activeCellId="0" sqref="A4"/>
      <selection pane="bottomRight" activeCell="D4" activeCellId="0" sqref="D4"/>
    </sheetView>
  </sheetViews>
  <sheetFormatPr defaultColWidth="12.6328125" defaultRowHeight="15.75" zeroHeight="false" outlineLevelRow="0" outlineLevelCol="0"/>
  <cols>
    <col collapsed="false" customWidth="true" hidden="false" outlineLevel="0" max="1" min="1" style="1" width="10.63"/>
    <col collapsed="false" customWidth="true" hidden="false" outlineLevel="0" max="2" min="2" style="1" width="10.38"/>
    <col collapsed="false" customWidth="true" hidden="false" outlineLevel="0" max="3" min="3" style="1" width="16.89"/>
    <col collapsed="false" customWidth="true" hidden="false" outlineLevel="0" max="4" min="4" style="1" width="11.38"/>
    <col collapsed="false" customWidth="true" hidden="false" outlineLevel="0" max="5" min="5" style="1" width="17.13"/>
    <col collapsed="false" customWidth="true" hidden="false" outlineLevel="0" max="6" min="6" style="1" width="42.13"/>
    <col collapsed="false" customWidth="true" hidden="false" outlineLevel="0" max="7" min="7" style="1" width="15.63"/>
    <col collapsed="false" customWidth="true" hidden="false" outlineLevel="0" max="8" min="8" style="1" width="12"/>
    <col collapsed="false" customWidth="true" hidden="false" outlineLevel="0" max="9" min="9" style="1" width="11.89"/>
    <col collapsed="false" customWidth="true" hidden="false" outlineLevel="0" max="10" min="10" style="1" width="13.75"/>
    <col collapsed="false" customWidth="true" hidden="false" outlineLevel="0" max="11" min="11" style="1" width="15.25"/>
    <col collapsed="false" customWidth="true" hidden="false" outlineLevel="0" max="16" min="16" style="1" width="13"/>
    <col collapsed="false" customWidth="true" hidden="false" outlineLevel="0" max="17" min="17" style="1" width="15.63"/>
    <col collapsed="false" customWidth="true" hidden="false" outlineLevel="0" max="20" min="20" style="1" width="13.63"/>
  </cols>
  <sheetData>
    <row r="1" customFormat="false" ht="68" hidden="false" customHeight="false" outlineLevel="0" collapsed="false">
      <c r="A1" s="2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/>
      <c r="J1" s="4" t="s">
        <v>8</v>
      </c>
      <c r="K1" s="2"/>
      <c r="L1" s="2" t="s">
        <v>9</v>
      </c>
      <c r="M1" s="2" t="s">
        <v>10</v>
      </c>
      <c r="N1" s="4" t="s">
        <v>11</v>
      </c>
      <c r="O1" s="3" t="s">
        <v>12</v>
      </c>
      <c r="P1" s="7" t="s">
        <v>13</v>
      </c>
      <c r="Q1" s="7" t="s">
        <v>14</v>
      </c>
      <c r="R1" s="7" t="s">
        <v>15</v>
      </c>
      <c r="S1" s="7" t="s">
        <v>16</v>
      </c>
      <c r="T1" s="7" t="s">
        <v>17</v>
      </c>
      <c r="U1" s="8" t="s">
        <v>18</v>
      </c>
      <c r="V1" s="9" t="s">
        <v>19</v>
      </c>
      <c r="W1" s="9" t="s">
        <v>20</v>
      </c>
      <c r="X1" s="10" t="s">
        <v>15</v>
      </c>
      <c r="Y1" s="11" t="s">
        <v>21</v>
      </c>
      <c r="Z1" s="11" t="s">
        <v>22</v>
      </c>
      <c r="AA1" s="12"/>
      <c r="AB1" s="12"/>
      <c r="AC1" s="12"/>
      <c r="AD1" s="12"/>
      <c r="AE1" s="12"/>
      <c r="AF1" s="12"/>
    </row>
    <row r="2" customFormat="false" ht="15.75" hidden="false" customHeight="false" outlineLevel="0" collapsed="false">
      <c r="A2" s="61" t="n">
        <v>5629</v>
      </c>
      <c r="B2" s="29" t="n">
        <v>44287</v>
      </c>
      <c r="C2" s="21" t="s">
        <v>3435</v>
      </c>
      <c r="D2" s="21" t="s">
        <v>24</v>
      </c>
      <c r="E2" s="21" t="s">
        <v>34</v>
      </c>
      <c r="F2" s="21" t="s">
        <v>1668</v>
      </c>
      <c r="G2" s="21" t="s">
        <v>36</v>
      </c>
      <c r="H2" s="21" t="s">
        <v>36</v>
      </c>
      <c r="I2" s="21" t="s">
        <v>36</v>
      </c>
      <c r="J2" s="21" t="s">
        <v>36</v>
      </c>
      <c r="K2" s="21" t="s">
        <v>1189</v>
      </c>
      <c r="L2" s="21" t="s">
        <v>37</v>
      </c>
      <c r="M2" s="21" t="s">
        <v>37</v>
      </c>
      <c r="N2" s="21" t="s">
        <v>36</v>
      </c>
      <c r="O2" s="32"/>
      <c r="P2" s="32" t="s">
        <v>36</v>
      </c>
      <c r="Q2" s="21"/>
      <c r="R2" s="21" t="s">
        <v>37</v>
      </c>
      <c r="S2" s="21" t="s">
        <v>37</v>
      </c>
      <c r="T2" s="21" t="s">
        <v>36</v>
      </c>
      <c r="U2" s="21" t="s">
        <v>28</v>
      </c>
    </row>
    <row r="3" customFormat="false" ht="15.75" hidden="false" customHeight="false" outlineLevel="0" collapsed="false">
      <c r="A3" s="61" t="n">
        <v>5647</v>
      </c>
      <c r="B3" s="29" t="n">
        <v>44287</v>
      </c>
      <c r="C3" s="21" t="s">
        <v>649</v>
      </c>
      <c r="D3" s="21" t="s">
        <v>24</v>
      </c>
      <c r="E3" s="21" t="s">
        <v>34</v>
      </c>
      <c r="F3" s="21" t="s">
        <v>90</v>
      </c>
      <c r="G3" s="21"/>
      <c r="H3" s="21" t="s">
        <v>36</v>
      </c>
      <c r="I3" s="21" t="s">
        <v>36</v>
      </c>
      <c r="J3" s="21" t="s">
        <v>36</v>
      </c>
      <c r="K3" s="21" t="s">
        <v>1189</v>
      </c>
      <c r="L3" s="21"/>
      <c r="M3" s="21"/>
      <c r="N3" s="21"/>
      <c r="O3" s="32"/>
      <c r="P3" s="32"/>
      <c r="Q3" s="21"/>
      <c r="R3" s="21"/>
      <c r="S3" s="21"/>
      <c r="T3" s="21"/>
      <c r="U3" s="21" t="s">
        <v>28</v>
      </c>
    </row>
    <row r="4" customFormat="false" ht="15.75" hidden="false" customHeight="false" outlineLevel="0" collapsed="false">
      <c r="A4" s="61" t="n">
        <v>5648</v>
      </c>
      <c r="B4" s="34" t="n">
        <v>44306</v>
      </c>
      <c r="C4" s="12" t="s">
        <v>195</v>
      </c>
      <c r="D4" s="21" t="s">
        <v>24</v>
      </c>
      <c r="E4" s="21" t="s">
        <v>25</v>
      </c>
      <c r="F4" s="21" t="s">
        <v>4645</v>
      </c>
      <c r="G4" s="21" t="s">
        <v>4646</v>
      </c>
      <c r="J4" s="12" t="n">
        <v>2300002159</v>
      </c>
      <c r="K4" s="12" t="s">
        <v>3376</v>
      </c>
      <c r="L4" s="21" t="s">
        <v>28</v>
      </c>
      <c r="M4" s="21" t="s">
        <v>28</v>
      </c>
      <c r="N4" s="21" t="s">
        <v>4647</v>
      </c>
      <c r="O4" s="32" t="s">
        <v>2850</v>
      </c>
      <c r="P4" s="32" t="s">
        <v>29</v>
      </c>
      <c r="Q4" s="21"/>
      <c r="R4" s="21"/>
      <c r="S4" s="21"/>
      <c r="T4" s="21"/>
      <c r="U4" s="21" t="s">
        <v>28</v>
      </c>
    </row>
    <row r="5" customFormat="false" ht="16.5" hidden="false" customHeight="true" outlineLevel="0" collapsed="false">
      <c r="A5" s="61" t="n">
        <v>5649</v>
      </c>
      <c r="B5" s="34" t="n">
        <v>44287</v>
      </c>
      <c r="C5" s="12" t="s">
        <v>776</v>
      </c>
      <c r="D5" s="21" t="s">
        <v>24</v>
      </c>
      <c r="E5" s="21" t="s">
        <v>34</v>
      </c>
      <c r="F5" s="21" t="s">
        <v>4648</v>
      </c>
      <c r="G5" s="21"/>
      <c r="H5" s="21"/>
      <c r="I5" s="21"/>
      <c r="J5" s="21"/>
      <c r="K5" s="21"/>
      <c r="L5" s="21"/>
      <c r="M5" s="21"/>
      <c r="N5" s="21"/>
      <c r="O5" s="32"/>
      <c r="P5" s="32"/>
      <c r="Q5" s="21"/>
      <c r="R5" s="21"/>
      <c r="S5" s="21"/>
      <c r="T5" s="21"/>
      <c r="U5" s="21" t="s">
        <v>28</v>
      </c>
    </row>
    <row r="6" customFormat="false" ht="15.75" hidden="false" customHeight="false" outlineLevel="0" collapsed="false">
      <c r="A6" s="61" t="n">
        <v>5650</v>
      </c>
      <c r="B6" s="29" t="n">
        <v>44291</v>
      </c>
      <c r="C6" s="21" t="s">
        <v>4649</v>
      </c>
      <c r="D6" s="21" t="s">
        <v>24</v>
      </c>
      <c r="E6" s="21" t="s">
        <v>74</v>
      </c>
      <c r="F6" s="21" t="s">
        <v>4650</v>
      </c>
      <c r="G6" s="21" t="s">
        <v>4651</v>
      </c>
      <c r="H6" s="21" t="n">
        <v>3514961305</v>
      </c>
      <c r="I6" s="21" t="s">
        <v>36</v>
      </c>
      <c r="J6" s="21" t="s">
        <v>36</v>
      </c>
      <c r="K6" s="21" t="s">
        <v>3376</v>
      </c>
      <c r="L6" s="21" t="s">
        <v>28</v>
      </c>
      <c r="M6" s="21" t="s">
        <v>28</v>
      </c>
      <c r="N6" s="21" t="s">
        <v>3010</v>
      </c>
      <c r="O6" s="32" t="s">
        <v>74</v>
      </c>
      <c r="P6" s="32" t="s">
        <v>29</v>
      </c>
      <c r="Q6" s="21" t="s">
        <v>74</v>
      </c>
      <c r="R6" s="21" t="s">
        <v>28</v>
      </c>
      <c r="S6" s="21" t="s">
        <v>28</v>
      </c>
      <c r="T6" s="21" t="s">
        <v>29</v>
      </c>
      <c r="U6" s="21" t="s">
        <v>28</v>
      </c>
    </row>
    <row r="7" customFormat="false" ht="15.75" hidden="false" customHeight="false" outlineLevel="0" collapsed="false">
      <c r="A7" s="61" t="n">
        <v>5651</v>
      </c>
      <c r="B7" s="29" t="n">
        <v>44292</v>
      </c>
      <c r="C7" s="21" t="s">
        <v>4413</v>
      </c>
      <c r="D7" s="21" t="s">
        <v>24</v>
      </c>
      <c r="E7" s="21" t="s">
        <v>74</v>
      </c>
      <c r="F7" s="21" t="s">
        <v>4652</v>
      </c>
      <c r="G7" s="21"/>
      <c r="H7" s="21" t="s">
        <v>36</v>
      </c>
      <c r="I7" s="21" t="s">
        <v>36</v>
      </c>
      <c r="J7" s="21" t="s">
        <v>36</v>
      </c>
      <c r="K7" s="21" t="s">
        <v>3376</v>
      </c>
      <c r="L7" s="21"/>
      <c r="M7" s="21"/>
      <c r="N7" s="21"/>
      <c r="O7" s="32"/>
      <c r="P7" s="32"/>
      <c r="Q7" s="21"/>
      <c r="R7" s="21"/>
      <c r="S7" s="21"/>
      <c r="T7" s="21"/>
      <c r="U7" s="21" t="s">
        <v>28</v>
      </c>
    </row>
    <row r="8" customFormat="false" ht="15.75" hidden="false" customHeight="false" outlineLevel="0" collapsed="false">
      <c r="A8" s="61" t="n">
        <v>5652</v>
      </c>
      <c r="B8" s="29" t="n">
        <v>44292</v>
      </c>
      <c r="C8" s="21" t="s">
        <v>4413</v>
      </c>
      <c r="D8" s="21" t="s">
        <v>24</v>
      </c>
      <c r="E8" s="21" t="s">
        <v>74</v>
      </c>
      <c r="F8" s="21" t="s">
        <v>4652</v>
      </c>
      <c r="G8" s="21"/>
      <c r="H8" s="21" t="s">
        <v>36</v>
      </c>
      <c r="I8" s="21" t="s">
        <v>36</v>
      </c>
      <c r="J8" s="21" t="s">
        <v>36</v>
      </c>
      <c r="K8" s="21" t="s">
        <v>3376</v>
      </c>
      <c r="L8" s="21"/>
      <c r="M8" s="21"/>
      <c r="N8" s="21"/>
      <c r="O8" s="32"/>
      <c r="P8" s="32"/>
      <c r="Q8" s="21"/>
      <c r="R8" s="21"/>
      <c r="S8" s="21"/>
      <c r="T8" s="21"/>
      <c r="U8" s="21" t="s">
        <v>28</v>
      </c>
    </row>
    <row r="9" customFormat="false" ht="15.75" hidden="false" customHeight="false" outlineLevel="0" collapsed="false">
      <c r="A9" s="63" t="n">
        <v>1278351</v>
      </c>
      <c r="B9" s="29" t="n">
        <v>44287</v>
      </c>
      <c r="C9" s="21" t="s">
        <v>75</v>
      </c>
      <c r="D9" s="21" t="s">
        <v>290</v>
      </c>
      <c r="E9" s="21" t="s">
        <v>34</v>
      </c>
      <c r="F9" s="21" t="s">
        <v>4653</v>
      </c>
      <c r="G9" s="21"/>
      <c r="H9" s="21" t="s">
        <v>36</v>
      </c>
      <c r="I9" s="21" t="s">
        <v>36</v>
      </c>
      <c r="J9" s="21" t="s">
        <v>36</v>
      </c>
      <c r="K9" s="21" t="s">
        <v>4654</v>
      </c>
      <c r="L9" s="21"/>
      <c r="M9" s="21"/>
      <c r="N9" s="21"/>
      <c r="O9" s="32"/>
      <c r="P9" s="32"/>
      <c r="Q9" s="21"/>
      <c r="R9" s="21"/>
      <c r="S9" s="21"/>
      <c r="T9" s="21"/>
      <c r="U9" s="21" t="s">
        <v>37</v>
      </c>
    </row>
    <row r="10" customFormat="false" ht="15.75" hidden="false" customHeight="false" outlineLevel="0" collapsed="false">
      <c r="A10" s="61" t="n">
        <v>5653</v>
      </c>
      <c r="B10" s="29" t="n">
        <v>44292</v>
      </c>
      <c r="C10" s="21" t="s">
        <v>4655</v>
      </c>
      <c r="D10" s="21" t="s">
        <v>24</v>
      </c>
      <c r="E10" s="21" t="s">
        <v>25</v>
      </c>
      <c r="F10" s="21" t="s">
        <v>4656</v>
      </c>
      <c r="G10" s="21"/>
      <c r="H10" s="21"/>
      <c r="I10" s="21"/>
      <c r="J10" s="21"/>
      <c r="K10" s="21" t="s">
        <v>3376</v>
      </c>
      <c r="L10" s="21"/>
      <c r="M10" s="21"/>
      <c r="N10" s="21"/>
      <c r="O10" s="32"/>
      <c r="P10" s="32"/>
      <c r="Q10" s="21"/>
      <c r="R10" s="21"/>
      <c r="S10" s="21"/>
      <c r="T10" s="21"/>
      <c r="U10" s="21" t="s">
        <v>37</v>
      </c>
    </row>
    <row r="11" customFormat="false" ht="15.75" hidden="false" customHeight="false" outlineLevel="0" collapsed="false">
      <c r="A11" s="61" t="s">
        <v>4657</v>
      </c>
      <c r="B11" s="29" t="n">
        <v>44294</v>
      </c>
      <c r="C11" s="21" t="s">
        <v>4658</v>
      </c>
      <c r="D11" s="21" t="s">
        <v>578</v>
      </c>
      <c r="E11" s="21" t="s">
        <v>25</v>
      </c>
      <c r="F11" s="21" t="s">
        <v>4659</v>
      </c>
      <c r="G11" s="21" t="s">
        <v>4660</v>
      </c>
      <c r="H11" s="21"/>
      <c r="I11" s="21"/>
      <c r="J11" s="21"/>
      <c r="K11" s="21" t="s">
        <v>578</v>
      </c>
      <c r="L11" s="21" t="s">
        <v>28</v>
      </c>
      <c r="M11" s="21" t="s">
        <v>28</v>
      </c>
      <c r="N11" s="21" t="s">
        <v>3415</v>
      </c>
      <c r="O11" s="32" t="s">
        <v>2850</v>
      </c>
      <c r="P11" s="32" t="s">
        <v>29</v>
      </c>
      <c r="Q11" s="21"/>
      <c r="R11" s="21"/>
      <c r="S11" s="21"/>
      <c r="T11" s="21"/>
      <c r="U11" s="21" t="s">
        <v>37</v>
      </c>
    </row>
    <row r="12" customFormat="false" ht="15.75" hidden="false" customHeight="false" outlineLevel="0" collapsed="false">
      <c r="A12" s="61" t="n">
        <v>5654</v>
      </c>
      <c r="B12" s="29" t="n">
        <v>44294</v>
      </c>
      <c r="C12" s="21" t="s">
        <v>4661</v>
      </c>
      <c r="D12" s="21" t="s">
        <v>24</v>
      </c>
      <c r="E12" s="21" t="s">
        <v>3337</v>
      </c>
      <c r="F12" s="21" t="s">
        <v>4662</v>
      </c>
      <c r="G12" s="21" t="s">
        <v>4663</v>
      </c>
      <c r="H12" s="21" t="n">
        <v>3513020044</v>
      </c>
      <c r="I12" s="21"/>
      <c r="J12" s="21"/>
      <c r="K12" s="21" t="s">
        <v>3376</v>
      </c>
      <c r="L12" s="21" t="s">
        <v>28</v>
      </c>
      <c r="M12" s="21" t="s">
        <v>28</v>
      </c>
      <c r="N12" s="21" t="s">
        <v>214</v>
      </c>
      <c r="O12" s="32" t="s">
        <v>25</v>
      </c>
      <c r="P12" s="32" t="s">
        <v>36</v>
      </c>
      <c r="Q12" s="21" t="s">
        <v>74</v>
      </c>
      <c r="R12" s="21" t="s">
        <v>28</v>
      </c>
      <c r="S12" s="21" t="s">
        <v>28</v>
      </c>
      <c r="T12" s="21" t="s">
        <v>29</v>
      </c>
      <c r="U12" s="21" t="s">
        <v>28</v>
      </c>
    </row>
    <row r="13" customFormat="false" ht="15.75" hidden="false" customHeight="false" outlineLevel="0" collapsed="false">
      <c r="A13" s="12" t="n">
        <v>5655</v>
      </c>
      <c r="B13" s="34" t="n">
        <v>44299</v>
      </c>
      <c r="C13" s="12" t="s">
        <v>4664</v>
      </c>
      <c r="D13" s="12" t="s">
        <v>24</v>
      </c>
      <c r="E13" s="12" t="s">
        <v>4665</v>
      </c>
      <c r="F13" s="12" t="s">
        <v>203</v>
      </c>
      <c r="U13" s="21" t="s">
        <v>28</v>
      </c>
    </row>
    <row r="14" customFormat="false" ht="15.75" hidden="false" customHeight="false" outlineLevel="0" collapsed="false">
      <c r="A14" s="61" t="n">
        <v>5656</v>
      </c>
      <c r="B14" s="29" t="n">
        <v>44295</v>
      </c>
      <c r="C14" s="21" t="s">
        <v>3898</v>
      </c>
      <c r="D14" s="21" t="s">
        <v>24</v>
      </c>
      <c r="E14" s="21" t="s">
        <v>25</v>
      </c>
      <c r="F14" s="21" t="s">
        <v>4666</v>
      </c>
      <c r="G14" s="21"/>
      <c r="H14" s="21"/>
      <c r="I14" s="21"/>
      <c r="J14" s="21"/>
      <c r="K14" s="21" t="s">
        <v>4667</v>
      </c>
      <c r="L14" s="21"/>
      <c r="M14" s="21"/>
      <c r="N14" s="21"/>
      <c r="O14" s="32"/>
      <c r="P14" s="32"/>
      <c r="Q14" s="21"/>
      <c r="R14" s="21"/>
      <c r="S14" s="21"/>
      <c r="T14" s="21"/>
      <c r="U14" s="21" t="s">
        <v>28</v>
      </c>
    </row>
    <row r="15" customFormat="false" ht="15.75" hidden="false" customHeight="false" outlineLevel="0" collapsed="false">
      <c r="A15" s="61" t="s">
        <v>4668</v>
      </c>
      <c r="B15" s="29" t="n">
        <v>44298</v>
      </c>
      <c r="C15" s="21" t="s">
        <v>4669</v>
      </c>
      <c r="D15" s="21" t="s">
        <v>578</v>
      </c>
      <c r="E15" s="21" t="s">
        <v>25</v>
      </c>
      <c r="F15" s="21" t="s">
        <v>4512</v>
      </c>
      <c r="G15" s="21" t="s">
        <v>4670</v>
      </c>
      <c r="H15" s="21"/>
      <c r="I15" s="21"/>
      <c r="J15" s="21"/>
      <c r="K15" s="21" t="s">
        <v>578</v>
      </c>
      <c r="L15" s="21" t="s">
        <v>28</v>
      </c>
      <c r="M15" s="21" t="s">
        <v>28</v>
      </c>
      <c r="N15" s="21" t="s">
        <v>420</v>
      </c>
      <c r="O15" s="32" t="s">
        <v>74</v>
      </c>
      <c r="P15" s="32" t="s">
        <v>36</v>
      </c>
      <c r="Q15" s="21" t="s">
        <v>74</v>
      </c>
      <c r="R15" s="21" t="s">
        <v>28</v>
      </c>
      <c r="S15" s="21" t="s">
        <v>28</v>
      </c>
      <c r="T15" s="21" t="s">
        <v>36</v>
      </c>
      <c r="U15" s="21" t="s">
        <v>37</v>
      </c>
    </row>
    <row r="16" customFormat="false" ht="15.75" hidden="false" customHeight="false" outlineLevel="0" collapsed="false">
      <c r="A16" s="61" t="n">
        <v>5658</v>
      </c>
      <c r="B16" s="29" t="n">
        <v>44301</v>
      </c>
      <c r="C16" s="21" t="s">
        <v>4671</v>
      </c>
      <c r="D16" s="21" t="s">
        <v>24</v>
      </c>
      <c r="E16" s="21" t="s">
        <v>25</v>
      </c>
      <c r="F16" s="21" t="s">
        <v>4672</v>
      </c>
      <c r="G16" s="21"/>
      <c r="H16" s="21"/>
      <c r="I16" s="21"/>
      <c r="J16" s="21"/>
      <c r="K16" s="21" t="s">
        <v>3376</v>
      </c>
      <c r="L16" s="21"/>
      <c r="M16" s="21"/>
      <c r="N16" s="21"/>
      <c r="O16" s="32"/>
      <c r="P16" s="32"/>
      <c r="Q16" s="21"/>
      <c r="R16" s="21"/>
      <c r="S16" s="21"/>
      <c r="T16" s="21"/>
      <c r="U16" s="21" t="s">
        <v>28</v>
      </c>
    </row>
    <row r="17" customFormat="false" ht="15.75" hidden="false" customHeight="false" outlineLevel="0" collapsed="false">
      <c r="A17" s="61" t="n">
        <v>5659</v>
      </c>
      <c r="B17" s="29" t="n">
        <v>44301</v>
      </c>
      <c r="C17" s="21" t="s">
        <v>760</v>
      </c>
      <c r="D17" s="21" t="s">
        <v>24</v>
      </c>
      <c r="E17" s="21" t="s">
        <v>34</v>
      </c>
      <c r="F17" s="21" t="s">
        <v>1668</v>
      </c>
      <c r="G17" s="21"/>
      <c r="H17" s="21"/>
      <c r="I17" s="21"/>
      <c r="J17" s="21"/>
      <c r="K17" s="21" t="s">
        <v>3722</v>
      </c>
      <c r="L17" s="21"/>
      <c r="M17" s="21"/>
      <c r="N17" s="21"/>
      <c r="O17" s="32"/>
      <c r="P17" s="32"/>
      <c r="Q17" s="21"/>
      <c r="R17" s="21"/>
      <c r="S17" s="21"/>
      <c r="T17" s="21"/>
      <c r="U17" s="21" t="s">
        <v>28</v>
      </c>
    </row>
    <row r="18" customFormat="false" ht="15.75" hidden="false" customHeight="false" outlineLevel="0" collapsed="false">
      <c r="A18" s="61" t="n">
        <v>5660</v>
      </c>
      <c r="B18" s="29" t="n">
        <v>44301</v>
      </c>
      <c r="C18" s="21" t="s">
        <v>4673</v>
      </c>
      <c r="D18" s="21" t="s">
        <v>24</v>
      </c>
      <c r="E18" s="21" t="s">
        <v>34</v>
      </c>
      <c r="F18" s="21" t="s">
        <v>4674</v>
      </c>
      <c r="G18" s="21"/>
      <c r="H18" s="21" t="s">
        <v>36</v>
      </c>
      <c r="I18" s="21" t="s">
        <v>4675</v>
      </c>
      <c r="J18" s="21" t="s">
        <v>29</v>
      </c>
      <c r="K18" s="21" t="s">
        <v>3722</v>
      </c>
      <c r="L18" s="21"/>
      <c r="M18" s="21"/>
      <c r="N18" s="21"/>
      <c r="O18" s="32"/>
      <c r="P18" s="32"/>
      <c r="Q18" s="21"/>
      <c r="R18" s="21"/>
      <c r="S18" s="21"/>
      <c r="T18" s="21"/>
      <c r="U18" s="21" t="s">
        <v>28</v>
      </c>
    </row>
    <row r="19" customFormat="false" ht="15.75" hidden="false" customHeight="false" outlineLevel="0" collapsed="false">
      <c r="A19" s="61" t="n">
        <v>5661</v>
      </c>
      <c r="B19" s="29" t="n">
        <v>44301</v>
      </c>
      <c r="C19" s="21" t="s">
        <v>841</v>
      </c>
      <c r="D19" s="21" t="s">
        <v>24</v>
      </c>
      <c r="E19" s="21" t="s">
        <v>34</v>
      </c>
      <c r="F19" s="21" t="s">
        <v>4676</v>
      </c>
      <c r="G19" s="21"/>
      <c r="H19" s="21" t="s">
        <v>36</v>
      </c>
      <c r="I19" s="21" t="s">
        <v>36</v>
      </c>
      <c r="J19" s="21" t="s">
        <v>36</v>
      </c>
      <c r="K19" s="21" t="s">
        <v>3722</v>
      </c>
      <c r="L19" s="21"/>
      <c r="M19" s="21"/>
      <c r="N19" s="21"/>
      <c r="O19" s="32"/>
      <c r="P19" s="32"/>
      <c r="Q19" s="21"/>
      <c r="R19" s="21"/>
      <c r="S19" s="21"/>
      <c r="T19" s="21"/>
      <c r="U19" s="21" t="s">
        <v>28</v>
      </c>
    </row>
    <row r="20" customFormat="false" ht="15.75" hidden="false" customHeight="false" outlineLevel="0" collapsed="false">
      <c r="A20" s="61" t="n">
        <v>5662</v>
      </c>
      <c r="B20" s="29" t="n">
        <v>44295</v>
      </c>
      <c r="C20" s="21" t="s">
        <v>709</v>
      </c>
      <c r="D20" s="21" t="s">
        <v>24</v>
      </c>
      <c r="E20" s="21" t="s">
        <v>34</v>
      </c>
      <c r="F20" s="21" t="s">
        <v>4677</v>
      </c>
      <c r="G20" s="21"/>
      <c r="H20" s="21" t="s">
        <v>36</v>
      </c>
      <c r="I20" s="21" t="s">
        <v>36</v>
      </c>
      <c r="J20" s="21" t="s">
        <v>36</v>
      </c>
      <c r="K20" s="21" t="s">
        <v>1189</v>
      </c>
      <c r="L20" s="21"/>
      <c r="M20" s="21"/>
      <c r="N20" s="21"/>
      <c r="O20" s="32"/>
      <c r="P20" s="32"/>
      <c r="Q20" s="21"/>
      <c r="R20" s="21"/>
      <c r="S20" s="21"/>
      <c r="T20" s="21"/>
      <c r="U20" s="21" t="s">
        <v>28</v>
      </c>
    </row>
    <row r="21" customFormat="false" ht="15.75" hidden="false" customHeight="false" outlineLevel="0" collapsed="false">
      <c r="A21" s="63" t="n">
        <v>1348843</v>
      </c>
      <c r="B21" s="29" t="n">
        <v>44306</v>
      </c>
      <c r="C21" s="21" t="s">
        <v>4030</v>
      </c>
      <c r="D21" s="21" t="s">
        <v>290</v>
      </c>
      <c r="E21" s="21" t="s">
        <v>25</v>
      </c>
      <c r="F21" s="21" t="s">
        <v>4678</v>
      </c>
      <c r="G21" s="21" t="s">
        <v>4679</v>
      </c>
      <c r="H21" s="21"/>
      <c r="I21" s="21"/>
      <c r="J21" s="21" t="n">
        <v>33009373</v>
      </c>
      <c r="K21" s="21" t="s">
        <v>2395</v>
      </c>
      <c r="L21" s="21" t="s">
        <v>28</v>
      </c>
      <c r="M21" s="21" t="s">
        <v>28</v>
      </c>
      <c r="N21" s="21" t="s">
        <v>4680</v>
      </c>
      <c r="O21" s="32" t="s">
        <v>74</v>
      </c>
      <c r="P21" s="32" t="s">
        <v>36</v>
      </c>
      <c r="Q21" s="21" t="s">
        <v>74</v>
      </c>
      <c r="R21" s="21" t="s">
        <v>28</v>
      </c>
      <c r="S21" s="21" t="s">
        <v>28</v>
      </c>
      <c r="T21" s="21" t="s">
        <v>29</v>
      </c>
      <c r="U21" s="21" t="s">
        <v>28</v>
      </c>
    </row>
    <row r="22" customFormat="false" ht="15.75" hidden="false" customHeight="false" outlineLevel="0" collapsed="false">
      <c r="A22" s="61" t="n">
        <v>5663</v>
      </c>
      <c r="B22" s="29" t="n">
        <v>44306</v>
      </c>
      <c r="C22" s="21" t="s">
        <v>394</v>
      </c>
      <c r="D22" s="21" t="s">
        <v>24</v>
      </c>
      <c r="E22" s="21" t="s">
        <v>34</v>
      </c>
      <c r="F22" s="21" t="s">
        <v>4681</v>
      </c>
      <c r="G22" s="21"/>
      <c r="H22" s="21"/>
      <c r="I22" s="21"/>
      <c r="J22" s="21"/>
      <c r="K22" s="21"/>
      <c r="L22" s="21"/>
      <c r="M22" s="21"/>
      <c r="N22" s="21"/>
      <c r="O22" s="32"/>
      <c r="P22" s="32"/>
      <c r="Q22" s="21"/>
      <c r="R22" s="21"/>
      <c r="S22" s="21"/>
      <c r="T22" s="21"/>
      <c r="U22" s="21" t="s">
        <v>37</v>
      </c>
    </row>
    <row r="23" customFormat="false" ht="15.75" hidden="false" customHeight="false" outlineLevel="0" collapsed="false">
      <c r="A23" s="61" t="n">
        <v>5664</v>
      </c>
      <c r="B23" s="29" t="n">
        <v>44306</v>
      </c>
      <c r="C23" s="21" t="s">
        <v>394</v>
      </c>
      <c r="D23" s="21" t="s">
        <v>24</v>
      </c>
      <c r="E23" s="21" t="s">
        <v>34</v>
      </c>
      <c r="F23" s="21" t="s">
        <v>4681</v>
      </c>
      <c r="G23" s="21"/>
      <c r="H23" s="21"/>
      <c r="I23" s="21"/>
      <c r="J23" s="21"/>
      <c r="K23" s="21"/>
      <c r="L23" s="21"/>
      <c r="M23" s="21"/>
      <c r="N23" s="21"/>
      <c r="O23" s="32"/>
      <c r="P23" s="32"/>
      <c r="Q23" s="21"/>
      <c r="R23" s="21"/>
      <c r="S23" s="21"/>
      <c r="T23" s="21"/>
      <c r="U23" s="21" t="s">
        <v>37</v>
      </c>
    </row>
    <row r="24" customFormat="false" ht="15.75" hidden="false" customHeight="false" outlineLevel="0" collapsed="false">
      <c r="A24" s="61" t="n">
        <v>5665</v>
      </c>
      <c r="B24" s="29" t="n">
        <v>44306</v>
      </c>
      <c r="C24" s="21" t="s">
        <v>394</v>
      </c>
      <c r="D24" s="21" t="s">
        <v>24</v>
      </c>
      <c r="E24" s="21" t="s">
        <v>34</v>
      </c>
      <c r="F24" s="21" t="s">
        <v>90</v>
      </c>
      <c r="G24" s="21"/>
      <c r="H24" s="21"/>
      <c r="I24" s="21"/>
      <c r="J24" s="21"/>
      <c r="K24" s="21"/>
      <c r="L24" s="21"/>
      <c r="M24" s="21"/>
      <c r="N24" s="21"/>
      <c r="O24" s="32"/>
      <c r="P24" s="32"/>
      <c r="Q24" s="21"/>
      <c r="R24" s="21"/>
      <c r="S24" s="21"/>
      <c r="T24" s="21"/>
      <c r="U24" s="21" t="s">
        <v>28</v>
      </c>
    </row>
    <row r="25" customFormat="false" ht="15.75" hidden="false" customHeight="false" outlineLevel="0" collapsed="false">
      <c r="A25" s="61" t="n">
        <v>5666</v>
      </c>
      <c r="B25" s="29" t="n">
        <v>44306</v>
      </c>
      <c r="C25" s="21" t="s">
        <v>394</v>
      </c>
      <c r="D25" s="21" t="s">
        <v>24</v>
      </c>
      <c r="E25" s="21" t="s">
        <v>34</v>
      </c>
      <c r="F25" s="21" t="s">
        <v>90</v>
      </c>
      <c r="G25" s="21"/>
      <c r="H25" s="21"/>
      <c r="I25" s="21"/>
      <c r="J25" s="21"/>
      <c r="K25" s="21"/>
      <c r="L25" s="21"/>
      <c r="M25" s="21"/>
      <c r="N25" s="21"/>
      <c r="O25" s="32"/>
      <c r="P25" s="32"/>
      <c r="Q25" s="21"/>
      <c r="R25" s="21"/>
      <c r="S25" s="21"/>
      <c r="T25" s="21"/>
      <c r="U25" s="21" t="s">
        <v>28</v>
      </c>
    </row>
    <row r="26" customFormat="false" ht="15.75" hidden="false" customHeight="false" outlineLevel="0" collapsed="false">
      <c r="A26" s="61" t="n">
        <v>5667</v>
      </c>
      <c r="B26" s="29" t="n">
        <v>44306</v>
      </c>
      <c r="C26" s="21" t="s">
        <v>394</v>
      </c>
      <c r="D26" s="21" t="s">
        <v>24</v>
      </c>
      <c r="E26" s="21" t="s">
        <v>34</v>
      </c>
      <c r="F26" s="21" t="s">
        <v>90</v>
      </c>
      <c r="G26" s="21"/>
      <c r="H26" s="21"/>
      <c r="I26" s="21"/>
      <c r="J26" s="21"/>
      <c r="K26" s="21"/>
      <c r="L26" s="21"/>
      <c r="M26" s="21"/>
      <c r="N26" s="21"/>
      <c r="O26" s="32"/>
      <c r="P26" s="32"/>
      <c r="Q26" s="21"/>
      <c r="R26" s="21"/>
      <c r="S26" s="21"/>
      <c r="T26" s="21"/>
      <c r="U26" s="21" t="s">
        <v>28</v>
      </c>
    </row>
    <row r="27" customFormat="false" ht="15.75" hidden="false" customHeight="false" outlineLevel="0" collapsed="false">
      <c r="A27" s="61" t="n">
        <v>5668</v>
      </c>
      <c r="B27" s="29" t="n">
        <v>44306</v>
      </c>
      <c r="C27" s="21" t="s">
        <v>394</v>
      </c>
      <c r="D27" s="21" t="s">
        <v>24</v>
      </c>
      <c r="E27" s="21" t="s">
        <v>34</v>
      </c>
      <c r="F27" s="21" t="s">
        <v>90</v>
      </c>
      <c r="G27" s="21"/>
      <c r="H27" s="21"/>
      <c r="I27" s="21"/>
      <c r="J27" s="21"/>
      <c r="K27" s="21"/>
      <c r="L27" s="21"/>
      <c r="M27" s="21"/>
      <c r="N27" s="21"/>
      <c r="O27" s="32"/>
      <c r="P27" s="32"/>
      <c r="Q27" s="21"/>
      <c r="R27" s="21"/>
      <c r="S27" s="21"/>
      <c r="T27" s="21"/>
      <c r="U27" s="21" t="s">
        <v>28</v>
      </c>
    </row>
    <row r="28" customFormat="false" ht="15.75" hidden="false" customHeight="false" outlineLevel="0" collapsed="false">
      <c r="A28" s="61" t="s">
        <v>4682</v>
      </c>
      <c r="B28" s="29" t="n">
        <v>44306</v>
      </c>
      <c r="C28" s="21" t="s">
        <v>1569</v>
      </c>
      <c r="D28" s="21" t="s">
        <v>578</v>
      </c>
      <c r="E28" s="21" t="s">
        <v>25</v>
      </c>
      <c r="F28" s="21" t="s">
        <v>4512</v>
      </c>
      <c r="G28" s="21"/>
      <c r="H28" s="21"/>
      <c r="I28" s="21"/>
      <c r="J28" s="21"/>
      <c r="K28" s="21" t="s">
        <v>4683</v>
      </c>
      <c r="L28" s="21"/>
      <c r="M28" s="21"/>
      <c r="N28" s="21"/>
      <c r="O28" s="32"/>
      <c r="P28" s="32"/>
      <c r="Q28" s="21"/>
      <c r="R28" s="21"/>
      <c r="S28" s="21"/>
      <c r="T28" s="21"/>
      <c r="U28" s="21" t="s">
        <v>37</v>
      </c>
    </row>
    <row r="29" customFormat="false" ht="15.75" hidden="false" customHeight="false" outlineLevel="0" collapsed="false">
      <c r="A29" s="61" t="n">
        <v>5669</v>
      </c>
      <c r="B29" s="29" t="n">
        <v>44307</v>
      </c>
      <c r="C29" s="21" t="s">
        <v>4684</v>
      </c>
      <c r="D29" s="21" t="s">
        <v>24</v>
      </c>
      <c r="E29" s="21" t="s">
        <v>25</v>
      </c>
      <c r="F29" s="21" t="s">
        <v>4685</v>
      </c>
      <c r="G29" s="21" t="s">
        <v>4686</v>
      </c>
      <c r="H29" s="21"/>
      <c r="I29" s="21"/>
      <c r="J29" s="21"/>
      <c r="K29" s="21" t="s">
        <v>3376</v>
      </c>
      <c r="L29" s="21" t="s">
        <v>28</v>
      </c>
      <c r="M29" s="21" t="s">
        <v>28</v>
      </c>
      <c r="N29" s="21" t="s">
        <v>4647</v>
      </c>
      <c r="O29" s="32" t="s">
        <v>74</v>
      </c>
      <c r="P29" s="32" t="s">
        <v>36</v>
      </c>
      <c r="Q29" s="21" t="s">
        <v>74</v>
      </c>
      <c r="R29" s="21" t="s">
        <v>28</v>
      </c>
      <c r="S29" s="21" t="s">
        <v>28</v>
      </c>
      <c r="T29" s="21" t="s">
        <v>36</v>
      </c>
      <c r="U29" s="21" t="s">
        <v>28</v>
      </c>
    </row>
    <row r="30" customFormat="false" ht="15.75" hidden="false" customHeight="false" outlineLevel="0" collapsed="false">
      <c r="A30" s="61" t="n">
        <v>5670</v>
      </c>
      <c r="B30" s="54" t="n">
        <v>44308</v>
      </c>
      <c r="C30" s="21" t="s">
        <v>394</v>
      </c>
      <c r="D30" s="21" t="s">
        <v>24</v>
      </c>
      <c r="E30" s="21" t="s">
        <v>34</v>
      </c>
      <c r="F30" s="21" t="s">
        <v>4687</v>
      </c>
      <c r="G30" s="21"/>
      <c r="H30" s="21"/>
      <c r="I30" s="21"/>
      <c r="J30" s="21"/>
      <c r="K30" s="21"/>
      <c r="L30" s="21"/>
      <c r="M30" s="21"/>
      <c r="N30" s="21"/>
      <c r="O30" s="32"/>
      <c r="P30" s="32"/>
      <c r="Q30" s="21"/>
      <c r="R30" s="21"/>
      <c r="S30" s="21"/>
      <c r="T30" s="21"/>
      <c r="U30" s="21" t="s">
        <v>37</v>
      </c>
    </row>
    <row r="31" customFormat="false" ht="15.75" hidden="false" customHeight="false" outlineLevel="0" collapsed="false">
      <c r="A31" s="61" t="n">
        <v>5671</v>
      </c>
      <c r="B31" s="54" t="n">
        <v>44308</v>
      </c>
      <c r="C31" s="21" t="s">
        <v>394</v>
      </c>
      <c r="D31" s="21" t="s">
        <v>24</v>
      </c>
      <c r="E31" s="21" t="s">
        <v>34</v>
      </c>
      <c r="F31" s="21" t="s">
        <v>4687</v>
      </c>
      <c r="G31" s="21"/>
      <c r="H31" s="21"/>
      <c r="I31" s="21"/>
      <c r="J31" s="21"/>
      <c r="K31" s="21"/>
      <c r="L31" s="21"/>
      <c r="M31" s="21"/>
      <c r="N31" s="21"/>
      <c r="O31" s="32"/>
      <c r="P31" s="32"/>
      <c r="Q31" s="21"/>
      <c r="R31" s="21"/>
      <c r="S31" s="21"/>
      <c r="T31" s="21"/>
      <c r="U31" s="21" t="s">
        <v>37</v>
      </c>
    </row>
    <row r="32" customFormat="false" ht="15.75" hidden="false" customHeight="false" outlineLevel="0" collapsed="false">
      <c r="A32" s="61" t="n">
        <v>5672</v>
      </c>
      <c r="B32" s="29" t="n">
        <v>44308</v>
      </c>
      <c r="C32" s="21" t="s">
        <v>4688</v>
      </c>
      <c r="D32" s="21" t="s">
        <v>24</v>
      </c>
      <c r="E32" s="21" t="s">
        <v>25</v>
      </c>
      <c r="F32" s="21" t="s">
        <v>4689</v>
      </c>
      <c r="G32" s="21" t="s">
        <v>4690</v>
      </c>
      <c r="H32" s="21" t="n">
        <v>3512015525</v>
      </c>
      <c r="I32" s="21" t="s">
        <v>4691</v>
      </c>
      <c r="J32" s="21"/>
      <c r="K32" s="21" t="s">
        <v>4692</v>
      </c>
      <c r="L32" s="21" t="s">
        <v>28</v>
      </c>
      <c r="M32" s="21" t="s">
        <v>28</v>
      </c>
      <c r="N32" s="21" t="s">
        <v>1062</v>
      </c>
      <c r="O32" s="32" t="s">
        <v>2850</v>
      </c>
      <c r="P32" s="32" t="s">
        <v>29</v>
      </c>
      <c r="Q32" s="21" t="s">
        <v>74</v>
      </c>
      <c r="R32" s="21" t="s">
        <v>28</v>
      </c>
      <c r="S32" s="21" t="s">
        <v>28</v>
      </c>
      <c r="T32" s="21" t="s">
        <v>36</v>
      </c>
      <c r="U32" s="21" t="s">
        <v>28</v>
      </c>
    </row>
    <row r="33" customFormat="false" ht="15.75" hidden="false" customHeight="false" outlineLevel="0" collapsed="false">
      <c r="A33" s="61" t="n">
        <v>5673</v>
      </c>
      <c r="B33" s="29" t="n">
        <v>44309</v>
      </c>
      <c r="C33" s="21" t="s">
        <v>587</v>
      </c>
      <c r="D33" s="21" t="s">
        <v>24</v>
      </c>
      <c r="E33" s="21" t="s">
        <v>34</v>
      </c>
      <c r="F33" s="21" t="s">
        <v>4693</v>
      </c>
      <c r="G33" s="21"/>
      <c r="H33" s="21"/>
      <c r="I33" s="21"/>
      <c r="J33" s="21"/>
      <c r="K33" s="21"/>
      <c r="L33" s="21"/>
      <c r="M33" s="21"/>
      <c r="N33" s="21"/>
      <c r="O33" s="32"/>
      <c r="P33" s="32"/>
      <c r="Q33" s="21"/>
      <c r="R33" s="21"/>
      <c r="S33" s="21"/>
      <c r="T33" s="21"/>
      <c r="U33" s="21" t="s">
        <v>28</v>
      </c>
    </row>
    <row r="34" customFormat="false" ht="15.75" hidden="false" customHeight="false" outlineLevel="0" collapsed="false">
      <c r="A34" s="61" t="n">
        <v>5674</v>
      </c>
      <c r="B34" s="29" t="n">
        <v>44312</v>
      </c>
      <c r="C34" s="21" t="s">
        <v>4694</v>
      </c>
      <c r="D34" s="21" t="s">
        <v>24</v>
      </c>
      <c r="E34" s="21" t="s">
        <v>25</v>
      </c>
      <c r="F34" s="21" t="s">
        <v>4695</v>
      </c>
      <c r="G34" s="21"/>
      <c r="H34" s="21"/>
      <c r="I34" s="21"/>
      <c r="J34" s="21"/>
      <c r="K34" s="21" t="s">
        <v>2395</v>
      </c>
      <c r="L34" s="21"/>
      <c r="M34" s="21"/>
      <c r="N34" s="21"/>
      <c r="O34" s="32"/>
      <c r="P34" s="32"/>
      <c r="Q34" s="21"/>
      <c r="R34" s="21"/>
      <c r="S34" s="21"/>
      <c r="T34" s="21"/>
      <c r="U34" s="21"/>
    </row>
    <row r="35" customFormat="false" ht="15.75" hidden="false" customHeight="false" outlineLevel="0" collapsed="false">
      <c r="A35" s="61" t="n">
        <v>5675</v>
      </c>
      <c r="B35" s="29" t="n">
        <v>44312</v>
      </c>
      <c r="C35" s="21" t="s">
        <v>4630</v>
      </c>
      <c r="D35" s="21" t="s">
        <v>24</v>
      </c>
      <c r="E35" s="21" t="s">
        <v>25</v>
      </c>
      <c r="F35" s="21" t="s">
        <v>4696</v>
      </c>
      <c r="G35" s="21"/>
      <c r="H35" s="21"/>
      <c r="I35" s="21"/>
      <c r="J35" s="21"/>
      <c r="K35" s="21" t="s">
        <v>3376</v>
      </c>
      <c r="L35" s="21"/>
      <c r="M35" s="21"/>
      <c r="N35" s="21"/>
      <c r="O35" s="32"/>
      <c r="P35" s="32"/>
      <c r="Q35" s="21"/>
      <c r="R35" s="21"/>
      <c r="S35" s="21"/>
      <c r="T35" s="21"/>
      <c r="U35" s="21"/>
    </row>
    <row r="36" customFormat="false" ht="15.75" hidden="false" customHeight="false" outlineLevel="0" collapsed="false">
      <c r="A36" s="61" t="n">
        <v>5676</v>
      </c>
      <c r="B36" s="29" t="n">
        <v>44312</v>
      </c>
      <c r="C36" s="21" t="s">
        <v>4630</v>
      </c>
      <c r="D36" s="21" t="s">
        <v>24</v>
      </c>
      <c r="E36" s="21" t="s">
        <v>25</v>
      </c>
      <c r="F36" s="21" t="s">
        <v>4697</v>
      </c>
      <c r="G36" s="21"/>
      <c r="H36" s="21"/>
      <c r="I36" s="21"/>
      <c r="J36" s="21"/>
      <c r="K36" s="21" t="s">
        <v>3376</v>
      </c>
      <c r="L36" s="21"/>
      <c r="M36" s="21"/>
      <c r="N36" s="21"/>
      <c r="O36" s="32"/>
      <c r="P36" s="32"/>
      <c r="Q36" s="21"/>
      <c r="R36" s="21"/>
      <c r="S36" s="21"/>
      <c r="T36" s="21"/>
      <c r="U36" s="21"/>
    </row>
    <row r="37" customFormat="false" ht="15.75" hidden="false" customHeight="false" outlineLevel="0" collapsed="false">
      <c r="A37" s="61" t="n">
        <v>5677</v>
      </c>
      <c r="B37" s="29" t="n">
        <v>44312</v>
      </c>
      <c r="C37" s="21" t="s">
        <v>4630</v>
      </c>
      <c r="D37" s="21" t="s">
        <v>24</v>
      </c>
      <c r="E37" s="21" t="s">
        <v>25</v>
      </c>
      <c r="F37" s="21" t="s">
        <v>4698</v>
      </c>
      <c r="G37" s="21"/>
      <c r="H37" s="21"/>
      <c r="I37" s="21"/>
      <c r="J37" s="21"/>
      <c r="K37" s="21" t="s">
        <v>3376</v>
      </c>
      <c r="L37" s="21"/>
      <c r="M37" s="21"/>
      <c r="N37" s="21"/>
      <c r="O37" s="32"/>
      <c r="P37" s="32"/>
      <c r="Q37" s="21"/>
      <c r="R37" s="21"/>
      <c r="S37" s="21"/>
      <c r="T37" s="21"/>
      <c r="U37" s="21"/>
    </row>
    <row r="38" customFormat="false" ht="15.75" hidden="false" customHeight="false" outlineLevel="0" collapsed="false">
      <c r="A38" s="61" t="n">
        <v>5678</v>
      </c>
      <c r="B38" s="29" t="n">
        <v>44312</v>
      </c>
      <c r="C38" s="21" t="s">
        <v>2563</v>
      </c>
      <c r="D38" s="21" t="s">
        <v>24</v>
      </c>
      <c r="E38" s="21" t="s">
        <v>34</v>
      </c>
      <c r="F38" s="21" t="s">
        <v>4699</v>
      </c>
      <c r="G38" s="21"/>
      <c r="H38" s="21"/>
      <c r="I38" s="21"/>
      <c r="J38" s="21"/>
      <c r="K38" s="21" t="s">
        <v>4700</v>
      </c>
      <c r="L38" s="21"/>
      <c r="M38" s="21"/>
      <c r="N38" s="21"/>
      <c r="O38" s="32"/>
      <c r="P38" s="32"/>
      <c r="Q38" s="21"/>
      <c r="R38" s="21"/>
      <c r="S38" s="21"/>
      <c r="T38" s="21"/>
      <c r="U38" s="21" t="s">
        <v>28</v>
      </c>
    </row>
    <row r="39" customFormat="false" ht="15.75" hidden="false" customHeight="false" outlineLevel="0" collapsed="false">
      <c r="A39" s="61" t="n">
        <v>5679</v>
      </c>
      <c r="B39" s="29" t="n">
        <v>44312</v>
      </c>
      <c r="C39" s="21" t="s">
        <v>2563</v>
      </c>
      <c r="D39" s="21" t="s">
        <v>24</v>
      </c>
      <c r="E39" s="21" t="s">
        <v>34</v>
      </c>
      <c r="F39" s="21" t="s">
        <v>4699</v>
      </c>
      <c r="G39" s="21"/>
      <c r="H39" s="21"/>
      <c r="I39" s="21"/>
      <c r="J39" s="21"/>
      <c r="K39" s="21" t="s">
        <v>4700</v>
      </c>
      <c r="L39" s="21"/>
      <c r="M39" s="21"/>
      <c r="N39" s="21"/>
      <c r="O39" s="32"/>
      <c r="P39" s="32"/>
      <c r="Q39" s="21"/>
      <c r="R39" s="21"/>
      <c r="S39" s="21"/>
      <c r="T39" s="21"/>
      <c r="U39" s="21" t="s">
        <v>28</v>
      </c>
    </row>
    <row r="40" customFormat="false" ht="15.75" hidden="false" customHeight="false" outlineLevel="0" collapsed="false">
      <c r="A40" s="61" t="n">
        <v>5680</v>
      </c>
      <c r="B40" s="29" t="n">
        <v>44313</v>
      </c>
      <c r="C40" s="21" t="s">
        <v>3797</v>
      </c>
      <c r="D40" s="21" t="s">
        <v>24</v>
      </c>
      <c r="E40" s="21" t="s">
        <v>74</v>
      </c>
      <c r="F40" s="21" t="s">
        <v>4701</v>
      </c>
      <c r="G40" s="21"/>
      <c r="H40" s="21" t="s">
        <v>36</v>
      </c>
      <c r="I40" s="21" t="s">
        <v>36</v>
      </c>
      <c r="J40" s="21" t="s">
        <v>36</v>
      </c>
      <c r="K40" s="21" t="s">
        <v>4421</v>
      </c>
      <c r="L40" s="21"/>
      <c r="M40" s="21"/>
      <c r="N40" s="21"/>
      <c r="O40" s="32"/>
      <c r="P40" s="32"/>
      <c r="Q40" s="21"/>
      <c r="R40" s="21"/>
      <c r="S40" s="21"/>
      <c r="T40" s="21"/>
      <c r="U40" s="21" t="s">
        <v>28</v>
      </c>
    </row>
    <row r="41" customFormat="false" ht="15.75" hidden="false" customHeight="false" outlineLevel="0" collapsed="false">
      <c r="A41" s="61" t="n">
        <v>5681</v>
      </c>
      <c r="B41" s="29" t="n">
        <v>44314</v>
      </c>
      <c r="C41" s="21" t="s">
        <v>4702</v>
      </c>
      <c r="D41" s="21" t="s">
        <v>24</v>
      </c>
      <c r="E41" s="21" t="s">
        <v>25</v>
      </c>
      <c r="F41" s="21" t="s">
        <v>4703</v>
      </c>
      <c r="G41" s="21"/>
      <c r="H41" s="21" t="n">
        <v>3513171131</v>
      </c>
      <c r="I41" s="21"/>
      <c r="J41" s="21" t="s">
        <v>4704</v>
      </c>
      <c r="K41" s="21" t="s">
        <v>3376</v>
      </c>
      <c r="L41" s="21"/>
      <c r="M41" s="21"/>
      <c r="N41" s="21"/>
      <c r="O41" s="32"/>
      <c r="P41" s="32"/>
      <c r="Q41" s="21"/>
      <c r="R41" s="21"/>
      <c r="S41" s="21"/>
      <c r="T41" s="21"/>
      <c r="U41" s="21" t="s">
        <v>28</v>
      </c>
    </row>
    <row r="42" customFormat="false" ht="15.75" hidden="false" customHeight="false" outlineLevel="0" collapsed="false">
      <c r="A42" s="61" t="n">
        <v>5682</v>
      </c>
      <c r="B42" s="29" t="n">
        <v>44314</v>
      </c>
      <c r="C42" s="21" t="s">
        <v>4705</v>
      </c>
      <c r="D42" s="21" t="s">
        <v>24</v>
      </c>
      <c r="E42" s="21" t="s">
        <v>74</v>
      </c>
      <c r="F42" s="21" t="s">
        <v>4706</v>
      </c>
      <c r="G42" s="21"/>
      <c r="H42" s="21" t="n">
        <v>3514141300</v>
      </c>
      <c r="I42" s="21" t="s">
        <v>36</v>
      </c>
      <c r="J42" s="21" t="s">
        <v>36</v>
      </c>
      <c r="K42" s="21" t="s">
        <v>4707</v>
      </c>
      <c r="L42" s="21"/>
      <c r="M42" s="21"/>
      <c r="N42" s="21"/>
      <c r="O42" s="32"/>
      <c r="P42" s="32"/>
      <c r="Q42" s="21"/>
      <c r="R42" s="21"/>
      <c r="S42" s="21"/>
      <c r="T42" s="21"/>
      <c r="U42" s="21" t="s">
        <v>28</v>
      </c>
    </row>
    <row r="43" customFormat="false" ht="15.75" hidden="false" customHeight="false" outlineLevel="0" collapsed="false">
      <c r="A43" s="61" t="n">
        <v>5683</v>
      </c>
      <c r="B43" s="29" t="n">
        <v>44314</v>
      </c>
      <c r="C43" s="21" t="s">
        <v>760</v>
      </c>
      <c r="D43" s="21" t="s">
        <v>24</v>
      </c>
      <c r="E43" s="21" t="s">
        <v>34</v>
      </c>
      <c r="F43" s="21" t="s">
        <v>4708</v>
      </c>
      <c r="G43" s="21"/>
      <c r="H43" s="21" t="s">
        <v>36</v>
      </c>
      <c r="I43" s="21" t="s">
        <v>36</v>
      </c>
      <c r="J43" s="21" t="s">
        <v>36</v>
      </c>
      <c r="K43" s="21" t="s">
        <v>2388</v>
      </c>
      <c r="L43" s="21"/>
      <c r="M43" s="21"/>
      <c r="N43" s="21"/>
      <c r="O43" s="32"/>
      <c r="P43" s="32"/>
      <c r="Q43" s="21"/>
      <c r="R43" s="21"/>
      <c r="S43" s="21"/>
      <c r="T43" s="21"/>
      <c r="U43" s="21" t="s">
        <v>28</v>
      </c>
    </row>
    <row r="44" customFormat="false" ht="15.75" hidden="false" customHeight="false" outlineLevel="0" collapsed="false">
      <c r="A44" s="63" t="n">
        <v>1283829</v>
      </c>
      <c r="B44" s="29" t="n">
        <v>44315</v>
      </c>
      <c r="C44" s="21" t="s">
        <v>4709</v>
      </c>
      <c r="D44" s="21" t="s">
        <v>290</v>
      </c>
      <c r="E44" s="21" t="s">
        <v>74</v>
      </c>
      <c r="F44" s="21" t="s">
        <v>4710</v>
      </c>
      <c r="G44" s="21" t="s">
        <v>4711</v>
      </c>
      <c r="H44" s="21" t="s">
        <v>36</v>
      </c>
      <c r="I44" s="21" t="s">
        <v>36</v>
      </c>
      <c r="J44" s="21" t="s">
        <v>4712</v>
      </c>
      <c r="K44" s="21" t="s">
        <v>4713</v>
      </c>
      <c r="L44" s="21" t="s">
        <v>28</v>
      </c>
      <c r="M44" s="21" t="s">
        <v>28</v>
      </c>
      <c r="N44" s="21" t="s">
        <v>3209</v>
      </c>
      <c r="O44" s="32" t="s">
        <v>74</v>
      </c>
      <c r="P44" s="32" t="s">
        <v>36</v>
      </c>
      <c r="Q44" s="21" t="s">
        <v>74</v>
      </c>
      <c r="R44" s="21" t="s">
        <v>28</v>
      </c>
      <c r="S44" s="21" t="s">
        <v>28</v>
      </c>
      <c r="T44" s="21" t="s">
        <v>36</v>
      </c>
      <c r="U44" s="21" t="s">
        <v>28</v>
      </c>
    </row>
    <row r="45" customFormat="false" ht="15.75" hidden="false" customHeight="false" outlineLevel="0" collapsed="false">
      <c r="A45" s="61" t="n">
        <v>5684</v>
      </c>
      <c r="B45" s="29" t="n">
        <v>44315</v>
      </c>
      <c r="C45" s="21" t="s">
        <v>3539</v>
      </c>
      <c r="D45" s="21" t="s">
        <v>24</v>
      </c>
      <c r="E45" s="21" t="s">
        <v>25</v>
      </c>
      <c r="F45" s="21" t="s">
        <v>4714</v>
      </c>
      <c r="G45" s="21"/>
      <c r="H45" s="21"/>
      <c r="I45" s="21"/>
      <c r="J45" s="21"/>
      <c r="K45" s="21" t="s">
        <v>3376</v>
      </c>
      <c r="L45" s="21"/>
      <c r="M45" s="21"/>
      <c r="N45" s="21"/>
      <c r="O45" s="32"/>
      <c r="P45" s="32"/>
      <c r="Q45" s="21"/>
      <c r="R45" s="21"/>
      <c r="S45" s="21"/>
      <c r="T45" s="21"/>
      <c r="U45" s="21"/>
    </row>
    <row r="46" customFormat="false" ht="15.75" hidden="false" customHeight="false" outlineLevel="0" collapsed="false">
      <c r="A46" s="63" t="n">
        <v>423714</v>
      </c>
      <c r="B46" s="29" t="n">
        <v>44315</v>
      </c>
      <c r="C46" s="21" t="s">
        <v>4630</v>
      </c>
      <c r="D46" s="21" t="s">
        <v>24</v>
      </c>
      <c r="E46" s="21" t="s">
        <v>25</v>
      </c>
      <c r="F46" s="21" t="s">
        <v>4715</v>
      </c>
      <c r="G46" s="21" t="s">
        <v>4716</v>
      </c>
      <c r="H46" s="21"/>
      <c r="I46" s="21"/>
      <c r="J46" s="21"/>
      <c r="K46" s="21" t="s">
        <v>4717</v>
      </c>
      <c r="L46" s="21" t="s">
        <v>28</v>
      </c>
      <c r="M46" s="21" t="s">
        <v>28</v>
      </c>
      <c r="N46" s="21" t="s">
        <v>73</v>
      </c>
      <c r="O46" s="32" t="s">
        <v>25</v>
      </c>
      <c r="P46" s="32" t="s">
        <v>36</v>
      </c>
      <c r="Q46" s="21" t="s">
        <v>74</v>
      </c>
      <c r="R46" s="21" t="s">
        <v>28</v>
      </c>
      <c r="S46" s="21" t="s">
        <v>28</v>
      </c>
      <c r="T46" s="21" t="s">
        <v>36</v>
      </c>
      <c r="U46" s="21"/>
    </row>
    <row r="47" customFormat="false" ht="15.75" hidden="false" customHeight="false" outlineLevel="0" collapsed="false">
      <c r="A47" s="12" t="n">
        <v>5685</v>
      </c>
      <c r="B47" s="34" t="n">
        <v>44316</v>
      </c>
      <c r="C47" s="12" t="s">
        <v>2549</v>
      </c>
      <c r="D47" s="12" t="s">
        <v>24</v>
      </c>
      <c r="E47" s="12" t="s">
        <v>4523</v>
      </c>
      <c r="F47" s="12" t="s">
        <v>4718</v>
      </c>
      <c r="K47" s="12" t="s">
        <v>3376</v>
      </c>
    </row>
    <row r="1048575" customFormat="false" ht="12.8" hidden="false" customHeight="true" outlineLevel="0" collapsed="false"/>
    <row r="1048576" customFormat="false" ht="12.8" hidden="false" customHeight="true" outlineLevel="0" collapsed="false"/>
  </sheetData>
  <conditionalFormatting sqref="H2:K3 L2:T12 U2:U46 H5:K12 C14:T46 C2:F3 C5:F12 G2:G12">
    <cfRule type="containsText" priority="2" operator="containsText" aboveAverage="0" equalAverage="0" bottom="0" percent="0" rank="0" text="No aplica" dxfId="1">
      <formula>NOT(ISERROR(SEARCH("No aplica",C2)))</formula>
    </cfRule>
    <cfRule type="cellIs" priority="3" operator="equal" aboveAverage="0" equalAverage="0" bottom="0" percent="0" rank="0" text="" dxfId="0">
      <formula>"Completo"</formula>
    </cfRule>
  </conditionalFormatting>
  <conditionalFormatting sqref="O2:P12 O14:P46 G2:G12 G14:G46">
    <cfRule type="expression" priority="4" aboveAverage="0" equalAverage="0" bottom="0" percent="0" rank="0" text="" dxfId="0">
      <formula>LEN(TRIM(G2))&gt;0</formula>
    </cfRule>
  </conditionalFormatting>
  <conditionalFormatting sqref="N2:N12 N14:N46">
    <cfRule type="expression" priority="5" aboveAverage="0" equalAverage="0" bottom="0" percent="0" rank="0" text="" dxfId="0">
      <formula>LEN(TRIM(N2))&gt;0</formula>
    </cfRule>
  </conditionalFormatting>
  <conditionalFormatting sqref="Q2:Q12 Q14:Q46">
    <cfRule type="expression" priority="6" aboveAverage="0" equalAverage="0" bottom="0" percent="0" rank="0" text="" dxfId="0">
      <formula>LEN(TRIM(Q2))&gt;0</formula>
    </cfRule>
  </conditionalFormatting>
  <conditionalFormatting sqref="T2:T12 T14:T46">
    <cfRule type="expression" priority="7" aboveAverage="0" equalAverage="0" bottom="0" percent="0" rank="0" text="" dxfId="0">
      <formula>LEN(TRIM(T2))&gt;0</formula>
    </cfRule>
  </conditionalFormatting>
  <conditionalFormatting sqref="L2:L12 L14:L46">
    <cfRule type="cellIs" priority="8" operator="equal" aboveAverage="0" equalAverage="0" bottom="0" percent="0" rank="0" text="" dxfId="15">
      <formula>"Incompleto"</formula>
    </cfRule>
  </conditionalFormatting>
  <dataValidations count="5">
    <dataValidation allowBlank="true" errorStyle="stop" operator="between" showDropDown="false" showErrorMessage="true" showInputMessage="false" sqref="D2:D12 D14:D46" type="list">
      <formula1>LEYENDA!$B$2:$D$2</formula1>
      <formula2>0</formula2>
    </dataValidation>
    <dataValidation allowBlank="true" errorStyle="stop" operator="between" showDropDown="false" showErrorMessage="false" showInputMessage="false" sqref="E2:E12 E14:E46" type="list">
      <formula1>LEYENDA!$A$8:$A$12</formula1>
      <formula2>0</formula2>
    </dataValidation>
    <dataValidation allowBlank="true" errorStyle="stop" operator="between" showDropDown="false" showErrorMessage="false" showInputMessage="false" sqref="Q2:Q12 Q14:Q46" type="list">
      <formula1>LEYENDA!$A$23:$A$24</formula1>
      <formula2>0</formula2>
    </dataValidation>
    <dataValidation allowBlank="true" errorStyle="stop" operator="between" showDropDown="false" showErrorMessage="false" showInputMessage="false" sqref="O2:O12 O14:O46" type="list">
      <formula1>LEYENDA!$A$15:$A$19</formula1>
      <formula2>0</formula2>
    </dataValidation>
    <dataValidation allowBlank="true" errorStyle="stop" operator="between" showDropDown="false" showErrorMessage="true" showInputMessage="false" sqref="L2:M12 R2:S12 U2:U46 L14:M46 R14:S46" type="list">
      <formula1>LEYENDA!$B$1:$C$1</formula1>
      <formula2>0</formula2>
    </dataValidation>
  </dataValidation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F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6" ySplit="3" topLeftCell="G4" activePane="bottomRight" state="frozen"/>
      <selection pane="topLeft" activeCell="A1" activeCellId="0" sqref="A1"/>
      <selection pane="topRight" activeCell="G1" activeCellId="0" sqref="G1"/>
      <selection pane="bottomLeft" activeCell="A4" activeCellId="0" sqref="A4"/>
      <selection pane="bottomRight" activeCell="C3" activeCellId="0" sqref="C3"/>
    </sheetView>
  </sheetViews>
  <sheetFormatPr defaultColWidth="12.6328125" defaultRowHeight="15.75" zeroHeight="false" outlineLevelRow="0" outlineLevelCol="0"/>
  <cols>
    <col collapsed="false" customWidth="true" hidden="false" outlineLevel="0" max="1" min="1" style="1" width="6.25"/>
    <col collapsed="false" customWidth="true" hidden="false" outlineLevel="0" max="2" min="2" style="1" width="10.38"/>
    <col collapsed="false" customWidth="true" hidden="false" outlineLevel="0" max="3" min="3" style="1" width="16.89"/>
    <col collapsed="false" customWidth="true" hidden="false" outlineLevel="0" max="4" min="4" style="1" width="11.38"/>
    <col collapsed="false" customWidth="true" hidden="false" outlineLevel="0" max="5" min="5" style="1" width="17.13"/>
    <col collapsed="false" customWidth="true" hidden="false" outlineLevel="0" max="6" min="6" style="1" width="42.13"/>
    <col collapsed="false" customWidth="true" hidden="false" outlineLevel="0" max="7" min="7" style="1" width="15.63"/>
    <col collapsed="false" customWidth="true" hidden="false" outlineLevel="0" max="8" min="8" style="1" width="12"/>
    <col collapsed="false" customWidth="true" hidden="false" outlineLevel="0" max="9" min="9" style="1" width="10.38"/>
    <col collapsed="false" customWidth="true" hidden="false" outlineLevel="0" max="10" min="10" style="1" width="13.25"/>
    <col collapsed="false" customWidth="true" hidden="false" outlineLevel="0" max="11" min="11" style="1" width="15.51"/>
    <col collapsed="false" customWidth="true" hidden="false" outlineLevel="0" max="16" min="16" style="1" width="13"/>
    <col collapsed="false" customWidth="true" hidden="false" outlineLevel="0" max="17" min="17" style="1" width="15.63"/>
    <col collapsed="false" customWidth="true" hidden="false" outlineLevel="0" max="20" min="20" style="1" width="13.63"/>
  </cols>
  <sheetData>
    <row r="1" customFormat="false" ht="68" hidden="false" customHeight="false" outlineLevel="0" collapsed="false">
      <c r="A1" s="2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/>
      <c r="J1" s="4" t="s">
        <v>8</v>
      </c>
      <c r="K1" s="2"/>
      <c r="L1" s="2" t="s">
        <v>9</v>
      </c>
      <c r="M1" s="2" t="s">
        <v>10</v>
      </c>
      <c r="N1" s="4" t="s">
        <v>11</v>
      </c>
      <c r="O1" s="3" t="s">
        <v>12</v>
      </c>
      <c r="P1" s="7" t="s">
        <v>13</v>
      </c>
      <c r="Q1" s="7" t="s">
        <v>14</v>
      </c>
      <c r="R1" s="7" t="s">
        <v>15</v>
      </c>
      <c r="S1" s="7" t="s">
        <v>16</v>
      </c>
      <c r="T1" s="7" t="s">
        <v>17</v>
      </c>
      <c r="U1" s="8" t="s">
        <v>18</v>
      </c>
      <c r="V1" s="9" t="s">
        <v>19</v>
      </c>
      <c r="W1" s="9" t="s">
        <v>20</v>
      </c>
      <c r="X1" s="10" t="s">
        <v>15</v>
      </c>
      <c r="Y1" s="11" t="s">
        <v>21</v>
      </c>
      <c r="Z1" s="11" t="s">
        <v>22</v>
      </c>
      <c r="AA1" s="12"/>
      <c r="AB1" s="12"/>
      <c r="AC1" s="12"/>
      <c r="AD1" s="12"/>
      <c r="AE1" s="12"/>
      <c r="AF1" s="12"/>
    </row>
    <row r="2" customFormat="false" ht="15.75" hidden="false" customHeight="false" outlineLevel="0" collapsed="false">
      <c r="A2" s="61" t="n">
        <v>5579</v>
      </c>
      <c r="B2" s="29" t="n">
        <v>44257</v>
      </c>
      <c r="C2" s="21" t="s">
        <v>4719</v>
      </c>
      <c r="D2" s="21" t="s">
        <v>24</v>
      </c>
      <c r="E2" s="21" t="s">
        <v>3337</v>
      </c>
      <c r="F2" s="21" t="s">
        <v>3351</v>
      </c>
      <c r="G2" s="21"/>
      <c r="H2" s="21" t="s">
        <v>1178</v>
      </c>
      <c r="I2" s="21"/>
      <c r="J2" s="21"/>
      <c r="K2" s="21" t="s">
        <v>3376</v>
      </c>
      <c r="L2" s="21" t="s">
        <v>4720</v>
      </c>
      <c r="M2" s="21" t="s">
        <v>4720</v>
      </c>
      <c r="N2" s="21"/>
      <c r="O2" s="32"/>
      <c r="P2" s="32"/>
      <c r="Q2" s="21"/>
      <c r="R2" s="21" t="s">
        <v>4720</v>
      </c>
      <c r="S2" s="21" t="s">
        <v>4720</v>
      </c>
      <c r="T2" s="21"/>
      <c r="U2" s="21" t="s">
        <v>28</v>
      </c>
    </row>
    <row r="3" customFormat="false" ht="15.75" hidden="false" customHeight="false" outlineLevel="0" collapsed="false">
      <c r="A3" s="61" t="n">
        <v>5581</v>
      </c>
      <c r="B3" s="29" t="n">
        <v>44257</v>
      </c>
      <c r="C3" s="21" t="s">
        <v>3843</v>
      </c>
      <c r="D3" s="21"/>
      <c r="E3" s="21" t="s">
        <v>3337</v>
      </c>
      <c r="F3" s="21" t="s">
        <v>4721</v>
      </c>
      <c r="G3" s="21"/>
      <c r="H3" s="21"/>
      <c r="I3" s="21"/>
      <c r="J3" s="21"/>
      <c r="K3" s="21" t="s">
        <v>3376</v>
      </c>
      <c r="L3" s="21" t="s">
        <v>4720</v>
      </c>
      <c r="M3" s="21" t="s">
        <v>4720</v>
      </c>
      <c r="N3" s="21"/>
      <c r="O3" s="32"/>
      <c r="P3" s="32"/>
      <c r="Q3" s="21" t="s">
        <v>3337</v>
      </c>
      <c r="R3" s="21" t="s">
        <v>28</v>
      </c>
      <c r="S3" s="21" t="s">
        <v>28</v>
      </c>
      <c r="T3" s="21"/>
      <c r="U3" s="21" t="s">
        <v>28</v>
      </c>
    </row>
    <row r="4" customFormat="false" ht="15.75" hidden="false" customHeight="false" outlineLevel="0" collapsed="false">
      <c r="A4" s="61" t="n">
        <v>5580</v>
      </c>
      <c r="B4" s="29" t="n">
        <v>44257</v>
      </c>
      <c r="C4" s="21" t="s">
        <v>4722</v>
      </c>
      <c r="D4" s="21" t="s">
        <v>24</v>
      </c>
      <c r="E4" s="21" t="s">
        <v>3337</v>
      </c>
      <c r="F4" s="21" t="s">
        <v>4723</v>
      </c>
      <c r="G4" s="21"/>
      <c r="H4" s="21"/>
      <c r="I4" s="21"/>
      <c r="J4" s="21"/>
      <c r="K4" s="21" t="s">
        <v>4724</v>
      </c>
      <c r="L4" s="21" t="s">
        <v>4720</v>
      </c>
      <c r="M4" s="21" t="s">
        <v>4720</v>
      </c>
      <c r="N4" s="21"/>
      <c r="O4" s="32"/>
      <c r="P4" s="32"/>
      <c r="Q4" s="21"/>
      <c r="R4" s="21" t="s">
        <v>4720</v>
      </c>
      <c r="S4" s="21" t="s">
        <v>4720</v>
      </c>
      <c r="T4" s="21"/>
      <c r="U4" s="21" t="s">
        <v>28</v>
      </c>
    </row>
    <row r="5" customFormat="false" ht="15.75" hidden="false" customHeight="false" outlineLevel="0" collapsed="false">
      <c r="A5" s="61" t="n">
        <v>5582</v>
      </c>
      <c r="B5" s="29" t="n">
        <v>44258</v>
      </c>
      <c r="C5" s="21" t="s">
        <v>4725</v>
      </c>
      <c r="D5" s="21" t="s">
        <v>24</v>
      </c>
      <c r="E5" s="21" t="s">
        <v>3337</v>
      </c>
      <c r="F5" s="21" t="s">
        <v>4726</v>
      </c>
      <c r="G5" s="21"/>
      <c r="H5" s="21"/>
      <c r="I5" s="21"/>
      <c r="J5" s="21"/>
      <c r="K5" s="21" t="s">
        <v>3376</v>
      </c>
      <c r="L5" s="21" t="s">
        <v>4720</v>
      </c>
      <c r="M5" s="21" t="s">
        <v>4720</v>
      </c>
      <c r="N5" s="21"/>
      <c r="O5" s="32"/>
      <c r="P5" s="32"/>
      <c r="Q5" s="21"/>
      <c r="R5" s="21" t="s">
        <v>4720</v>
      </c>
      <c r="S5" s="21"/>
      <c r="T5" s="21"/>
      <c r="U5" s="21"/>
    </row>
    <row r="6" customFormat="false" ht="15.75" hidden="false" customHeight="false" outlineLevel="0" collapsed="false">
      <c r="A6" s="61" t="n">
        <v>5583</v>
      </c>
      <c r="B6" s="29" t="n">
        <v>44258</v>
      </c>
      <c r="C6" s="21" t="s">
        <v>195</v>
      </c>
      <c r="D6" s="21" t="s">
        <v>24</v>
      </c>
      <c r="E6" s="21" t="s">
        <v>3337</v>
      </c>
      <c r="F6" s="21" t="s">
        <v>4727</v>
      </c>
      <c r="G6" s="21"/>
      <c r="H6" s="21"/>
      <c r="I6" s="21"/>
      <c r="J6" s="21"/>
      <c r="K6" s="21" t="s">
        <v>3376</v>
      </c>
      <c r="L6" s="21" t="s">
        <v>4720</v>
      </c>
      <c r="M6" s="21" t="s">
        <v>4720</v>
      </c>
      <c r="N6" s="21"/>
      <c r="O6" s="32"/>
      <c r="P6" s="32"/>
      <c r="Q6" s="21" t="s">
        <v>74</v>
      </c>
      <c r="R6" s="21" t="s">
        <v>28</v>
      </c>
      <c r="S6" s="21" t="s">
        <v>28</v>
      </c>
      <c r="T6" s="21" t="s">
        <v>29</v>
      </c>
      <c r="U6" s="21" t="s">
        <v>28</v>
      </c>
    </row>
    <row r="7" customFormat="false" ht="15.75" hidden="false" customHeight="false" outlineLevel="0" collapsed="false">
      <c r="A7" s="61" t="n">
        <v>5584</v>
      </c>
      <c r="B7" s="29" t="n">
        <v>44258</v>
      </c>
      <c r="C7" s="21" t="s">
        <v>4728</v>
      </c>
      <c r="D7" s="21" t="s">
        <v>24</v>
      </c>
      <c r="E7" s="21" t="s">
        <v>3337</v>
      </c>
      <c r="F7" s="21" t="s">
        <v>4729</v>
      </c>
      <c r="G7" s="21"/>
      <c r="H7" s="21"/>
      <c r="I7" s="21"/>
      <c r="J7" s="21"/>
      <c r="K7" s="21" t="s">
        <v>4730</v>
      </c>
      <c r="L7" s="21" t="s">
        <v>4720</v>
      </c>
      <c r="M7" s="21" t="s">
        <v>4720</v>
      </c>
      <c r="N7" s="21"/>
      <c r="O7" s="32"/>
      <c r="P7" s="32"/>
      <c r="Q7" s="21"/>
      <c r="R7" s="21" t="s">
        <v>4720</v>
      </c>
      <c r="S7" s="21" t="s">
        <v>4720</v>
      </c>
      <c r="T7" s="21"/>
      <c r="U7" s="21" t="s">
        <v>37</v>
      </c>
    </row>
    <row r="8" customFormat="false" ht="15.75" hidden="false" customHeight="false" outlineLevel="0" collapsed="false">
      <c r="A8" s="61" t="n">
        <v>5585</v>
      </c>
      <c r="B8" s="29" t="n">
        <v>44258</v>
      </c>
      <c r="C8" s="21" t="s">
        <v>4731</v>
      </c>
      <c r="D8" s="21" t="s">
        <v>24</v>
      </c>
      <c r="E8" s="21" t="s">
        <v>3337</v>
      </c>
      <c r="F8" s="21" t="s">
        <v>4732</v>
      </c>
      <c r="G8" s="21" t="s">
        <v>4733</v>
      </c>
      <c r="H8" s="21"/>
      <c r="I8" s="21"/>
      <c r="J8" s="21"/>
      <c r="K8" s="21" t="s">
        <v>3376</v>
      </c>
      <c r="L8" s="21" t="s">
        <v>28</v>
      </c>
      <c r="M8" s="21" t="s">
        <v>28</v>
      </c>
      <c r="N8" s="21" t="s">
        <v>2787</v>
      </c>
      <c r="O8" s="32" t="s">
        <v>4734</v>
      </c>
      <c r="P8" s="32"/>
      <c r="Q8" s="21" t="s">
        <v>3337</v>
      </c>
      <c r="R8" s="21" t="s">
        <v>28</v>
      </c>
      <c r="S8" s="21" t="s">
        <v>28</v>
      </c>
      <c r="T8" s="21"/>
      <c r="U8" s="21" t="s">
        <v>28</v>
      </c>
    </row>
    <row r="9" customFormat="false" ht="15.75" hidden="false" customHeight="false" outlineLevel="0" collapsed="false">
      <c r="A9" s="61" t="n">
        <v>5586</v>
      </c>
      <c r="B9" s="29" t="n">
        <v>44258</v>
      </c>
      <c r="C9" s="21" t="s">
        <v>4731</v>
      </c>
      <c r="D9" s="21" t="s">
        <v>24</v>
      </c>
      <c r="E9" s="21" t="s">
        <v>3337</v>
      </c>
      <c r="F9" s="21" t="s">
        <v>4732</v>
      </c>
      <c r="G9" s="21" t="s">
        <v>4733</v>
      </c>
      <c r="H9" s="21"/>
      <c r="I9" s="21"/>
      <c r="J9" s="21"/>
      <c r="K9" s="21" t="s">
        <v>3376</v>
      </c>
      <c r="L9" s="21" t="s">
        <v>28</v>
      </c>
      <c r="M9" s="21" t="s">
        <v>28</v>
      </c>
      <c r="N9" s="21" t="s">
        <v>73</v>
      </c>
      <c r="O9" s="32" t="s">
        <v>4734</v>
      </c>
      <c r="P9" s="32"/>
      <c r="Q9" s="21" t="s">
        <v>4147</v>
      </c>
      <c r="R9" s="21" t="s">
        <v>28</v>
      </c>
      <c r="S9" s="21" t="s">
        <v>28</v>
      </c>
      <c r="T9" s="21"/>
      <c r="U9" s="21" t="s">
        <v>28</v>
      </c>
    </row>
    <row r="10" customFormat="false" ht="15.75" hidden="false" customHeight="false" outlineLevel="0" collapsed="false">
      <c r="A10" s="61" t="n">
        <v>5587</v>
      </c>
      <c r="B10" s="29" t="n">
        <v>44258</v>
      </c>
      <c r="C10" s="21" t="s">
        <v>4731</v>
      </c>
      <c r="D10" s="21" t="s">
        <v>24</v>
      </c>
      <c r="E10" s="21" t="s">
        <v>3337</v>
      </c>
      <c r="F10" s="21" t="s">
        <v>4735</v>
      </c>
      <c r="G10" s="21"/>
      <c r="H10" s="21"/>
      <c r="I10" s="21"/>
      <c r="J10" s="21"/>
      <c r="K10" s="21" t="s">
        <v>3376</v>
      </c>
      <c r="L10" s="21"/>
      <c r="M10" s="21"/>
      <c r="N10" s="21"/>
      <c r="O10" s="32"/>
      <c r="P10" s="32"/>
      <c r="Q10" s="21"/>
      <c r="R10" s="21" t="s">
        <v>4720</v>
      </c>
      <c r="S10" s="21" t="s">
        <v>4720</v>
      </c>
      <c r="T10" s="21"/>
      <c r="U10" s="21" t="s">
        <v>28</v>
      </c>
    </row>
    <row r="11" customFormat="false" ht="15.75" hidden="false" customHeight="false" outlineLevel="0" collapsed="false">
      <c r="A11" s="61" t="n">
        <v>5588</v>
      </c>
      <c r="B11" s="29" t="n">
        <v>44258</v>
      </c>
      <c r="C11" s="21" t="s">
        <v>4731</v>
      </c>
      <c r="D11" s="21" t="s">
        <v>24</v>
      </c>
      <c r="E11" s="21" t="s">
        <v>3337</v>
      </c>
      <c r="F11" s="21" t="s">
        <v>4732</v>
      </c>
      <c r="G11" s="21" t="s">
        <v>4733</v>
      </c>
      <c r="H11" s="21"/>
      <c r="I11" s="21"/>
      <c r="J11" s="21"/>
      <c r="K11" s="21" t="s">
        <v>3376</v>
      </c>
      <c r="L11" s="21" t="s">
        <v>28</v>
      </c>
      <c r="M11" s="21" t="s">
        <v>28</v>
      </c>
      <c r="N11" s="21" t="s">
        <v>4462</v>
      </c>
      <c r="O11" s="32" t="s">
        <v>4734</v>
      </c>
      <c r="P11" s="32"/>
      <c r="Q11" s="21" t="s">
        <v>74</v>
      </c>
      <c r="R11" s="21" t="s">
        <v>28</v>
      </c>
      <c r="S11" s="21" t="s">
        <v>28</v>
      </c>
      <c r="T11" s="21" t="s">
        <v>29</v>
      </c>
      <c r="U11" s="21" t="s">
        <v>28</v>
      </c>
    </row>
    <row r="12" customFormat="false" ht="15.75" hidden="false" customHeight="false" outlineLevel="0" collapsed="false">
      <c r="A12" s="61" t="n">
        <v>5589</v>
      </c>
      <c r="B12" s="29" t="n">
        <v>44258</v>
      </c>
      <c r="C12" s="21" t="s">
        <v>4731</v>
      </c>
      <c r="D12" s="21" t="s">
        <v>24</v>
      </c>
      <c r="E12" s="21" t="s">
        <v>3337</v>
      </c>
      <c r="F12" s="21" t="s">
        <v>4732</v>
      </c>
      <c r="G12" s="21" t="s">
        <v>4733</v>
      </c>
      <c r="H12" s="21"/>
      <c r="I12" s="21"/>
      <c r="J12" s="21"/>
      <c r="K12" s="21" t="s">
        <v>3376</v>
      </c>
      <c r="L12" s="21" t="s">
        <v>28</v>
      </c>
      <c r="M12" s="21" t="s">
        <v>28</v>
      </c>
      <c r="N12" s="21" t="s">
        <v>4647</v>
      </c>
      <c r="O12" s="32" t="s">
        <v>4734</v>
      </c>
      <c r="P12" s="32"/>
      <c r="Q12" s="21" t="s">
        <v>74</v>
      </c>
      <c r="R12" s="21" t="s">
        <v>28</v>
      </c>
      <c r="S12" s="21" t="s">
        <v>28</v>
      </c>
      <c r="T12" s="21" t="s">
        <v>29</v>
      </c>
      <c r="U12" s="21" t="s">
        <v>28</v>
      </c>
    </row>
    <row r="13" customFormat="false" ht="15.75" hidden="false" customHeight="false" outlineLevel="0" collapsed="false">
      <c r="A13" s="61" t="n">
        <v>5590</v>
      </c>
      <c r="B13" s="29" t="n">
        <v>44258</v>
      </c>
      <c r="C13" s="21" t="s">
        <v>4731</v>
      </c>
      <c r="D13" s="21" t="s">
        <v>24</v>
      </c>
      <c r="E13" s="21" t="s">
        <v>3337</v>
      </c>
      <c r="F13" s="21" t="s">
        <v>4732</v>
      </c>
      <c r="G13" s="21"/>
      <c r="H13" s="21"/>
      <c r="I13" s="21"/>
      <c r="J13" s="21"/>
      <c r="K13" s="21" t="s">
        <v>3376</v>
      </c>
      <c r="L13" s="21" t="s">
        <v>4720</v>
      </c>
      <c r="M13" s="21" t="s">
        <v>4720</v>
      </c>
      <c r="N13" s="21"/>
      <c r="O13" s="32" t="s">
        <v>4734</v>
      </c>
      <c r="P13" s="32"/>
      <c r="Q13" s="21" t="s">
        <v>4147</v>
      </c>
      <c r="R13" s="21" t="s">
        <v>28</v>
      </c>
      <c r="S13" s="21" t="s">
        <v>28</v>
      </c>
      <c r="T13" s="21"/>
      <c r="U13" s="21" t="s">
        <v>28</v>
      </c>
    </row>
    <row r="14" customFormat="false" ht="15.75" hidden="false" customHeight="false" outlineLevel="0" collapsed="false">
      <c r="A14" s="61" t="n">
        <v>5591</v>
      </c>
      <c r="B14" s="29" t="n">
        <v>44258</v>
      </c>
      <c r="C14" s="21" t="s">
        <v>4736</v>
      </c>
      <c r="D14" s="21" t="s">
        <v>24</v>
      </c>
      <c r="E14" s="21" t="s">
        <v>3337</v>
      </c>
      <c r="F14" s="21" t="s">
        <v>4732</v>
      </c>
      <c r="G14" s="21" t="s">
        <v>4733</v>
      </c>
      <c r="H14" s="21"/>
      <c r="I14" s="21"/>
      <c r="J14" s="21"/>
      <c r="K14" s="21" t="s">
        <v>3376</v>
      </c>
      <c r="L14" s="21" t="s">
        <v>28</v>
      </c>
      <c r="M14" s="21" t="s">
        <v>28</v>
      </c>
      <c r="N14" s="21" t="s">
        <v>73</v>
      </c>
      <c r="O14" s="32" t="s">
        <v>4734</v>
      </c>
      <c r="P14" s="32"/>
      <c r="Q14" s="21" t="s">
        <v>74</v>
      </c>
      <c r="R14" s="21" t="s">
        <v>28</v>
      </c>
      <c r="S14" s="21" t="s">
        <v>28</v>
      </c>
      <c r="T14" s="21" t="s">
        <v>29</v>
      </c>
      <c r="U14" s="21" t="s">
        <v>28</v>
      </c>
    </row>
    <row r="15" customFormat="false" ht="15.75" hidden="false" customHeight="false" outlineLevel="0" collapsed="false">
      <c r="A15" s="61" t="n">
        <v>5592</v>
      </c>
      <c r="B15" s="29" t="n">
        <v>44260</v>
      </c>
      <c r="C15" s="21" t="s">
        <v>4737</v>
      </c>
      <c r="D15" s="21" t="s">
        <v>24</v>
      </c>
      <c r="E15" s="21" t="s">
        <v>3337</v>
      </c>
      <c r="F15" s="21" t="s">
        <v>4738</v>
      </c>
      <c r="G15" s="21"/>
      <c r="H15" s="21"/>
      <c r="I15" s="21"/>
      <c r="J15" s="21"/>
      <c r="K15" s="21" t="s">
        <v>3376</v>
      </c>
      <c r="L15" s="21" t="s">
        <v>4720</v>
      </c>
      <c r="M15" s="21" t="s">
        <v>4720</v>
      </c>
      <c r="N15" s="21"/>
      <c r="O15" s="32"/>
      <c r="P15" s="32"/>
      <c r="Q15" s="21" t="s">
        <v>4739</v>
      </c>
      <c r="R15" s="21" t="s">
        <v>28</v>
      </c>
      <c r="S15" s="21" t="s">
        <v>28</v>
      </c>
      <c r="T15" s="21"/>
      <c r="U15" s="21" t="s">
        <v>28</v>
      </c>
    </row>
    <row r="16" customFormat="false" ht="15.75" hidden="false" customHeight="false" outlineLevel="0" collapsed="false">
      <c r="A16" s="61" t="n">
        <v>5593</v>
      </c>
      <c r="B16" s="29" t="n">
        <v>44260</v>
      </c>
      <c r="C16" s="21" t="s">
        <v>4030</v>
      </c>
      <c r="D16" s="21" t="s">
        <v>24</v>
      </c>
      <c r="E16" s="21" t="s">
        <v>3337</v>
      </c>
      <c r="F16" s="21" t="s">
        <v>4740</v>
      </c>
      <c r="G16" s="21"/>
      <c r="H16" s="21"/>
      <c r="I16" s="21"/>
      <c r="J16" s="21"/>
      <c r="K16" s="21" t="s">
        <v>3376</v>
      </c>
      <c r="L16" s="21" t="s">
        <v>4720</v>
      </c>
      <c r="M16" s="21" t="s">
        <v>4720</v>
      </c>
      <c r="N16" s="21"/>
      <c r="O16" s="32"/>
      <c r="P16" s="32"/>
      <c r="Q16" s="21" t="s">
        <v>74</v>
      </c>
      <c r="R16" s="21" t="s">
        <v>28</v>
      </c>
      <c r="S16" s="21" t="s">
        <v>28</v>
      </c>
      <c r="T16" s="21" t="s">
        <v>29</v>
      </c>
      <c r="U16" s="21" t="s">
        <v>28</v>
      </c>
    </row>
    <row r="17" customFormat="false" ht="15.75" hidden="false" customHeight="false" outlineLevel="0" collapsed="false">
      <c r="A17" s="61" t="n">
        <v>5594</v>
      </c>
      <c r="B17" s="29" t="n">
        <v>44260</v>
      </c>
      <c r="C17" s="21" t="s">
        <v>4741</v>
      </c>
      <c r="D17" s="21" t="s">
        <v>24</v>
      </c>
      <c r="E17" s="21" t="s">
        <v>3337</v>
      </c>
      <c r="F17" s="21" t="s">
        <v>4742</v>
      </c>
      <c r="G17" s="21"/>
      <c r="H17" s="21"/>
      <c r="I17" s="21"/>
      <c r="J17" s="21"/>
      <c r="K17" s="21" t="s">
        <v>3376</v>
      </c>
      <c r="L17" s="21" t="s">
        <v>4720</v>
      </c>
      <c r="M17" s="21" t="s">
        <v>4720</v>
      </c>
      <c r="N17" s="21"/>
      <c r="O17" s="32"/>
      <c r="P17" s="32"/>
      <c r="Q17" s="21"/>
      <c r="R17" s="21" t="s">
        <v>4720</v>
      </c>
      <c r="S17" s="21" t="s">
        <v>4720</v>
      </c>
      <c r="T17" s="21"/>
      <c r="U17" s="21" t="s">
        <v>28</v>
      </c>
    </row>
    <row r="18" customFormat="false" ht="15.75" hidden="false" customHeight="false" outlineLevel="0" collapsed="false">
      <c r="A18" s="61" t="n">
        <v>5595</v>
      </c>
      <c r="B18" s="29" t="n">
        <v>44260</v>
      </c>
      <c r="C18" s="21" t="s">
        <v>3554</v>
      </c>
      <c r="D18" s="21" t="s">
        <v>24</v>
      </c>
      <c r="E18" s="21" t="s">
        <v>3337</v>
      </c>
      <c r="F18" s="21" t="s">
        <v>4743</v>
      </c>
      <c r="G18" s="21"/>
      <c r="H18" s="21"/>
      <c r="I18" s="21"/>
      <c r="J18" s="21"/>
      <c r="K18" s="21" t="s">
        <v>3376</v>
      </c>
      <c r="L18" s="21" t="s">
        <v>4720</v>
      </c>
      <c r="M18" s="21" t="s">
        <v>4720</v>
      </c>
      <c r="N18" s="21"/>
      <c r="O18" s="32"/>
      <c r="P18" s="32"/>
      <c r="Q18" s="21" t="s">
        <v>74</v>
      </c>
      <c r="R18" s="21" t="s">
        <v>28</v>
      </c>
      <c r="S18" s="21" t="s">
        <v>28</v>
      </c>
      <c r="T18" s="21" t="s">
        <v>29</v>
      </c>
      <c r="U18" s="21" t="s">
        <v>28</v>
      </c>
    </row>
    <row r="19" customFormat="false" ht="15.75" hidden="false" customHeight="false" outlineLevel="0" collapsed="false">
      <c r="A19" s="61" t="n">
        <v>5596</v>
      </c>
      <c r="B19" s="29" t="n">
        <v>44263</v>
      </c>
      <c r="C19" s="21" t="s">
        <v>3524</v>
      </c>
      <c r="D19" s="21" t="s">
        <v>24</v>
      </c>
      <c r="E19" s="21" t="s">
        <v>3337</v>
      </c>
      <c r="F19" s="21" t="s">
        <v>4744</v>
      </c>
      <c r="G19" s="21"/>
      <c r="H19" s="21"/>
      <c r="I19" s="21"/>
      <c r="J19" s="21"/>
      <c r="K19" s="21" t="s">
        <v>3376</v>
      </c>
      <c r="L19" s="21" t="s">
        <v>4720</v>
      </c>
      <c r="M19" s="21" t="s">
        <v>4720</v>
      </c>
      <c r="N19" s="21"/>
      <c r="O19" s="32"/>
      <c r="P19" s="32"/>
      <c r="Q19" s="21" t="s">
        <v>3337</v>
      </c>
      <c r="R19" s="21" t="s">
        <v>28</v>
      </c>
      <c r="S19" s="21" t="s">
        <v>28</v>
      </c>
      <c r="U19" s="21" t="s">
        <v>28</v>
      </c>
    </row>
    <row r="20" customFormat="false" ht="15.75" hidden="false" customHeight="false" outlineLevel="0" collapsed="false">
      <c r="A20" s="61" t="n">
        <v>5597</v>
      </c>
      <c r="B20" s="29" t="n">
        <v>44264</v>
      </c>
      <c r="C20" s="21" t="s">
        <v>4745</v>
      </c>
      <c r="D20" s="21" t="s">
        <v>24</v>
      </c>
      <c r="E20" s="21" t="s">
        <v>3337</v>
      </c>
      <c r="F20" s="21" t="s">
        <v>4746</v>
      </c>
      <c r="G20" s="21"/>
      <c r="H20" s="21" t="n">
        <v>3512864811</v>
      </c>
      <c r="I20" s="21"/>
      <c r="J20" s="21"/>
      <c r="K20" s="21" t="s">
        <v>3376</v>
      </c>
      <c r="L20" s="21" t="s">
        <v>4720</v>
      </c>
      <c r="M20" s="21" t="s">
        <v>4720</v>
      </c>
      <c r="N20" s="21"/>
      <c r="O20" s="32"/>
      <c r="P20" s="32"/>
      <c r="Q20" s="21"/>
      <c r="R20" s="21" t="s">
        <v>4720</v>
      </c>
      <c r="S20" s="21" t="s">
        <v>4720</v>
      </c>
      <c r="T20" s="21"/>
      <c r="U20" s="21" t="s">
        <v>28</v>
      </c>
      <c r="Z20" s="12" t="s">
        <v>4747</v>
      </c>
    </row>
    <row r="21" customFormat="false" ht="15.75" hidden="false" customHeight="false" outlineLevel="0" collapsed="false">
      <c r="A21" s="61" t="n">
        <v>5598</v>
      </c>
      <c r="B21" s="29" t="n">
        <v>44264</v>
      </c>
      <c r="C21" s="21" t="s">
        <v>4748</v>
      </c>
      <c r="D21" s="21" t="s">
        <v>24</v>
      </c>
      <c r="E21" s="21" t="s">
        <v>3337</v>
      </c>
      <c r="F21" s="21" t="s">
        <v>4749</v>
      </c>
      <c r="G21" s="21" t="s">
        <v>4686</v>
      </c>
      <c r="H21" s="21" t="n">
        <v>466285</v>
      </c>
      <c r="I21" s="21"/>
      <c r="J21" s="21"/>
      <c r="K21" s="21" t="s">
        <v>3376</v>
      </c>
      <c r="L21" s="21" t="s">
        <v>28</v>
      </c>
      <c r="M21" s="21" t="s">
        <v>28</v>
      </c>
      <c r="N21" s="21" t="s">
        <v>73</v>
      </c>
      <c r="O21" s="32" t="s">
        <v>74</v>
      </c>
      <c r="P21" s="32"/>
      <c r="Q21" s="21" t="s">
        <v>74</v>
      </c>
      <c r="R21" s="21" t="s">
        <v>28</v>
      </c>
      <c r="S21" s="21" t="s">
        <v>28</v>
      </c>
      <c r="T21" s="21" t="s">
        <v>29</v>
      </c>
      <c r="U21" s="21" t="s">
        <v>28</v>
      </c>
      <c r="W21" s="12"/>
    </row>
    <row r="22" customFormat="false" ht="15.75" hidden="false" customHeight="false" outlineLevel="0" collapsed="false">
      <c r="A22" s="63" t="n">
        <v>1316335</v>
      </c>
      <c r="B22" s="54" t="n">
        <v>44260</v>
      </c>
      <c r="C22" s="21" t="s">
        <v>4750</v>
      </c>
      <c r="D22" s="21" t="s">
        <v>578</v>
      </c>
      <c r="E22" s="21" t="s">
        <v>3337</v>
      </c>
      <c r="F22" s="21" t="s">
        <v>4512</v>
      </c>
      <c r="G22" s="21"/>
      <c r="H22" s="21"/>
      <c r="I22" s="21"/>
      <c r="J22" s="21"/>
      <c r="K22" s="21" t="s">
        <v>3376</v>
      </c>
      <c r="L22" s="21" t="s">
        <v>4720</v>
      </c>
      <c r="M22" s="21" t="s">
        <v>4720</v>
      </c>
      <c r="N22" s="21"/>
      <c r="O22" s="32"/>
      <c r="P22" s="32"/>
      <c r="Q22" s="21"/>
      <c r="R22" s="21" t="s">
        <v>4720</v>
      </c>
      <c r="S22" s="21" t="s">
        <v>4720</v>
      </c>
      <c r="T22" s="21"/>
      <c r="U22" s="21" t="s">
        <v>37</v>
      </c>
      <c r="Z22" s="12" t="s">
        <v>4751</v>
      </c>
    </row>
    <row r="23" customFormat="false" ht="15.75" hidden="false" customHeight="false" outlineLevel="0" collapsed="false">
      <c r="A23" s="61" t="n">
        <v>5599</v>
      </c>
      <c r="B23" s="29" t="n">
        <v>44265</v>
      </c>
      <c r="C23" s="21" t="s">
        <v>4549</v>
      </c>
      <c r="D23" s="21" t="s">
        <v>24</v>
      </c>
      <c r="E23" s="21" t="s">
        <v>25</v>
      </c>
      <c r="F23" s="21" t="s">
        <v>4752</v>
      </c>
      <c r="G23" s="21"/>
      <c r="H23" s="21"/>
      <c r="I23" s="21"/>
      <c r="J23" s="21"/>
      <c r="K23" s="21" t="s">
        <v>4753</v>
      </c>
      <c r="L23" s="21" t="s">
        <v>4720</v>
      </c>
      <c r="M23" s="21" t="s">
        <v>4720</v>
      </c>
      <c r="N23" s="21"/>
      <c r="O23" s="32"/>
      <c r="P23" s="32"/>
      <c r="Q23" s="21" t="s">
        <v>74</v>
      </c>
      <c r="R23" s="21" t="s">
        <v>28</v>
      </c>
      <c r="S23" s="21" t="s">
        <v>28</v>
      </c>
      <c r="T23" s="21" t="s">
        <v>29</v>
      </c>
      <c r="U23" s="21" t="s">
        <v>28</v>
      </c>
    </row>
    <row r="24" customFormat="false" ht="15.75" hidden="false" customHeight="false" outlineLevel="0" collapsed="false">
      <c r="A24" s="61" t="n">
        <v>5600</v>
      </c>
      <c r="B24" s="29" t="n">
        <v>44265</v>
      </c>
      <c r="C24" s="21" t="s">
        <v>4549</v>
      </c>
      <c r="D24" s="21" t="s">
        <v>24</v>
      </c>
      <c r="E24" s="21" t="s">
        <v>25</v>
      </c>
      <c r="F24" s="21" t="s">
        <v>4752</v>
      </c>
      <c r="G24" s="21"/>
      <c r="H24" s="21"/>
      <c r="I24" s="21"/>
      <c r="J24" s="21"/>
      <c r="K24" s="21" t="s">
        <v>4753</v>
      </c>
      <c r="L24" s="21" t="s">
        <v>4720</v>
      </c>
      <c r="M24" s="21" t="s">
        <v>4720</v>
      </c>
      <c r="N24" s="21"/>
      <c r="O24" s="32"/>
      <c r="P24" s="32"/>
      <c r="Q24" s="21" t="s">
        <v>74</v>
      </c>
      <c r="R24" s="21" t="s">
        <v>28</v>
      </c>
      <c r="S24" s="21" t="s">
        <v>28</v>
      </c>
      <c r="T24" s="21" t="s">
        <v>29</v>
      </c>
      <c r="U24" s="21" t="s">
        <v>28</v>
      </c>
    </row>
    <row r="25" customFormat="false" ht="15.75" hidden="false" customHeight="false" outlineLevel="0" collapsed="false">
      <c r="A25" s="61" t="n">
        <v>5601</v>
      </c>
      <c r="B25" s="29" t="n">
        <v>44265</v>
      </c>
      <c r="C25" s="21" t="s">
        <v>4549</v>
      </c>
      <c r="D25" s="21" t="s">
        <v>24</v>
      </c>
      <c r="E25" s="21" t="s">
        <v>25</v>
      </c>
      <c r="F25" s="21" t="s">
        <v>4752</v>
      </c>
      <c r="G25" s="21"/>
      <c r="H25" s="21"/>
      <c r="I25" s="21"/>
      <c r="J25" s="21"/>
      <c r="K25" s="21" t="s">
        <v>4753</v>
      </c>
      <c r="L25" s="21" t="s">
        <v>4720</v>
      </c>
      <c r="M25" s="21" t="s">
        <v>4720</v>
      </c>
      <c r="N25" s="21"/>
      <c r="O25" s="32"/>
      <c r="P25" s="32"/>
      <c r="Q25" s="21"/>
      <c r="R25" s="21" t="s">
        <v>4720</v>
      </c>
      <c r="S25" s="21" t="s">
        <v>4720</v>
      </c>
      <c r="T25" s="21"/>
      <c r="U25" s="21" t="s">
        <v>28</v>
      </c>
    </row>
    <row r="26" customFormat="false" ht="15.75" hidden="false" customHeight="false" outlineLevel="0" collapsed="false">
      <c r="A26" s="61" t="n">
        <v>5602</v>
      </c>
      <c r="B26" s="29" t="n">
        <v>44265</v>
      </c>
      <c r="C26" s="21" t="s">
        <v>4754</v>
      </c>
      <c r="D26" s="21" t="s">
        <v>24</v>
      </c>
      <c r="E26" s="21" t="s">
        <v>25</v>
      </c>
      <c r="F26" s="21" t="s">
        <v>4755</v>
      </c>
      <c r="G26" s="21"/>
      <c r="H26" s="21" t="n">
        <v>3512393537</v>
      </c>
      <c r="I26" s="21" t="s">
        <v>4756</v>
      </c>
      <c r="J26" s="21"/>
      <c r="K26" s="21" t="s">
        <v>3376</v>
      </c>
      <c r="L26" s="21" t="s">
        <v>4720</v>
      </c>
      <c r="M26" s="21" t="s">
        <v>4720</v>
      </c>
      <c r="N26" s="21"/>
      <c r="O26" s="32"/>
      <c r="P26" s="32"/>
      <c r="Q26" s="21" t="s">
        <v>74</v>
      </c>
      <c r="R26" s="21" t="s">
        <v>28</v>
      </c>
      <c r="S26" s="21" t="s">
        <v>28</v>
      </c>
      <c r="T26" s="21" t="s">
        <v>29</v>
      </c>
      <c r="U26" s="21" t="s">
        <v>28</v>
      </c>
    </row>
    <row r="27" customFormat="false" ht="15.75" hidden="false" customHeight="false" outlineLevel="0" collapsed="false">
      <c r="A27" s="61" t="n">
        <v>5603</v>
      </c>
      <c r="B27" s="29" t="n">
        <v>44265</v>
      </c>
      <c r="C27" s="21" t="s">
        <v>4757</v>
      </c>
      <c r="D27" s="21" t="s">
        <v>24</v>
      </c>
      <c r="E27" s="21" t="s">
        <v>25</v>
      </c>
      <c r="F27" s="21" t="s">
        <v>4758</v>
      </c>
      <c r="G27" s="21" t="s">
        <v>4759</v>
      </c>
      <c r="H27" s="21" t="n">
        <v>3544405640</v>
      </c>
      <c r="I27" s="21" t="s">
        <v>4760</v>
      </c>
      <c r="J27" s="21"/>
      <c r="K27" s="21" t="s">
        <v>4761</v>
      </c>
      <c r="L27" s="21" t="s">
        <v>28</v>
      </c>
      <c r="M27" s="21" t="s">
        <v>28</v>
      </c>
      <c r="N27" s="21" t="s">
        <v>3814</v>
      </c>
      <c r="O27" s="32" t="s">
        <v>4762</v>
      </c>
      <c r="P27" s="32"/>
      <c r="Q27" s="21" t="s">
        <v>74</v>
      </c>
      <c r="R27" s="21" t="s">
        <v>28</v>
      </c>
      <c r="S27" s="21" t="s">
        <v>28</v>
      </c>
      <c r="T27" s="21" t="s">
        <v>29</v>
      </c>
      <c r="U27" s="21" t="s">
        <v>28</v>
      </c>
    </row>
    <row r="28" customFormat="false" ht="15.75" hidden="false" customHeight="false" outlineLevel="0" collapsed="false">
      <c r="A28" s="61" t="n">
        <v>5604</v>
      </c>
      <c r="B28" s="29" t="n">
        <v>44265</v>
      </c>
      <c r="C28" s="21" t="s">
        <v>4757</v>
      </c>
      <c r="D28" s="21" t="s">
        <v>24</v>
      </c>
      <c r="E28" s="21" t="s">
        <v>25</v>
      </c>
      <c r="F28" s="21" t="s">
        <v>4758</v>
      </c>
      <c r="G28" s="21" t="s">
        <v>4763</v>
      </c>
      <c r="H28" s="21" t="n">
        <v>3544420030</v>
      </c>
      <c r="I28" s="21" t="s">
        <v>4760</v>
      </c>
      <c r="J28" s="21"/>
      <c r="K28" s="21" t="s">
        <v>3376</v>
      </c>
      <c r="L28" s="21" t="s">
        <v>28</v>
      </c>
      <c r="M28" s="21" t="s">
        <v>28</v>
      </c>
      <c r="N28" s="21" t="s">
        <v>4680</v>
      </c>
      <c r="O28" s="32" t="s">
        <v>4734</v>
      </c>
      <c r="P28" s="32"/>
      <c r="Q28" s="21" t="s">
        <v>74</v>
      </c>
      <c r="R28" s="21" t="s">
        <v>28</v>
      </c>
      <c r="S28" s="21" t="s">
        <v>28</v>
      </c>
      <c r="T28" s="21" t="s">
        <v>29</v>
      </c>
      <c r="U28" s="21" t="s">
        <v>28</v>
      </c>
    </row>
    <row r="29" customFormat="false" ht="15.75" hidden="false" customHeight="false" outlineLevel="0" collapsed="false">
      <c r="A29" s="61" t="n">
        <v>5605</v>
      </c>
      <c r="B29" s="29" t="n">
        <v>44266</v>
      </c>
      <c r="C29" s="21" t="s">
        <v>776</v>
      </c>
      <c r="D29" s="21" t="s">
        <v>24</v>
      </c>
      <c r="E29" s="21" t="s">
        <v>25</v>
      </c>
      <c r="F29" s="21" t="s">
        <v>4764</v>
      </c>
      <c r="G29" s="21"/>
      <c r="H29" s="21"/>
      <c r="I29" s="21"/>
      <c r="J29" s="21"/>
      <c r="K29" s="21" t="s">
        <v>1189</v>
      </c>
      <c r="L29" s="21" t="s">
        <v>4720</v>
      </c>
      <c r="M29" s="21" t="s">
        <v>4720</v>
      </c>
      <c r="N29" s="21"/>
      <c r="O29" s="32"/>
      <c r="P29" s="32"/>
      <c r="Q29" s="21"/>
      <c r="R29" s="21" t="s">
        <v>4720</v>
      </c>
      <c r="S29" s="21" t="s">
        <v>4720</v>
      </c>
      <c r="T29" s="21"/>
      <c r="U29" s="21" t="s">
        <v>28</v>
      </c>
    </row>
    <row r="30" customFormat="false" ht="15.75" hidden="false" customHeight="false" outlineLevel="0" collapsed="false">
      <c r="A30" s="61" t="n">
        <v>5606</v>
      </c>
      <c r="B30" s="29" t="n">
        <v>44266</v>
      </c>
      <c r="C30" s="21" t="s">
        <v>776</v>
      </c>
      <c r="D30" s="21" t="s">
        <v>24</v>
      </c>
      <c r="E30" s="21" t="s">
        <v>25</v>
      </c>
      <c r="F30" s="21" t="s">
        <v>4764</v>
      </c>
      <c r="G30" s="21"/>
      <c r="H30" s="21"/>
      <c r="I30" s="21"/>
      <c r="J30" s="21"/>
      <c r="K30" s="21" t="s">
        <v>1189</v>
      </c>
      <c r="L30" s="21" t="s">
        <v>4720</v>
      </c>
      <c r="M30" s="21" t="s">
        <v>4720</v>
      </c>
      <c r="N30" s="21"/>
      <c r="O30" s="32"/>
      <c r="P30" s="32"/>
      <c r="Q30" s="21"/>
      <c r="R30" s="21" t="s">
        <v>4720</v>
      </c>
      <c r="S30" s="21" t="s">
        <v>4720</v>
      </c>
      <c r="T30" s="21"/>
      <c r="U30" s="21" t="s">
        <v>28</v>
      </c>
    </row>
    <row r="31" customFormat="false" ht="15.75" hidden="false" customHeight="false" outlineLevel="0" collapsed="false">
      <c r="A31" s="61" t="n">
        <v>5607</v>
      </c>
      <c r="B31" s="29" t="n">
        <v>44266</v>
      </c>
      <c r="C31" s="21" t="s">
        <v>776</v>
      </c>
      <c r="D31" s="21" t="s">
        <v>24</v>
      </c>
      <c r="E31" s="21" t="s">
        <v>25</v>
      </c>
      <c r="F31" s="21" t="s">
        <v>4764</v>
      </c>
      <c r="G31" s="21"/>
      <c r="H31" s="21"/>
      <c r="I31" s="21"/>
      <c r="J31" s="21"/>
      <c r="K31" s="21" t="s">
        <v>1189</v>
      </c>
      <c r="L31" s="21" t="s">
        <v>4720</v>
      </c>
      <c r="M31" s="21" t="s">
        <v>4720</v>
      </c>
      <c r="N31" s="21"/>
      <c r="O31" s="32"/>
      <c r="P31" s="32"/>
      <c r="Q31" s="21"/>
      <c r="R31" s="21" t="s">
        <v>4720</v>
      </c>
      <c r="S31" s="21" t="s">
        <v>4720</v>
      </c>
      <c r="T31" s="21"/>
      <c r="U31" s="21" t="s">
        <v>28</v>
      </c>
    </row>
    <row r="32" customFormat="false" ht="15.75" hidden="false" customHeight="false" outlineLevel="0" collapsed="false">
      <c r="A32" s="61" t="n">
        <v>5608</v>
      </c>
      <c r="B32" s="29" t="n">
        <v>44266</v>
      </c>
      <c r="C32" s="21" t="s">
        <v>776</v>
      </c>
      <c r="D32" s="21" t="s">
        <v>24</v>
      </c>
      <c r="E32" s="21" t="s">
        <v>25</v>
      </c>
      <c r="F32" s="21" t="s">
        <v>4764</v>
      </c>
      <c r="G32" s="21"/>
      <c r="H32" s="21"/>
      <c r="I32" s="21"/>
      <c r="J32" s="21"/>
      <c r="K32" s="21" t="s">
        <v>1189</v>
      </c>
      <c r="L32" s="21" t="s">
        <v>4720</v>
      </c>
      <c r="M32" s="21" t="s">
        <v>4720</v>
      </c>
      <c r="N32" s="21"/>
      <c r="O32" s="32"/>
      <c r="P32" s="32"/>
      <c r="Q32" s="21"/>
      <c r="R32" s="21" t="s">
        <v>4720</v>
      </c>
      <c r="S32" s="21" t="s">
        <v>4720</v>
      </c>
      <c r="T32" s="21"/>
      <c r="U32" s="21" t="s">
        <v>28</v>
      </c>
    </row>
    <row r="33" customFormat="false" ht="15.75" hidden="false" customHeight="false" outlineLevel="0" collapsed="false">
      <c r="A33" s="61" t="n">
        <v>5609</v>
      </c>
      <c r="B33" s="29" t="n">
        <v>44267</v>
      </c>
      <c r="C33" s="21" t="s">
        <v>4444</v>
      </c>
      <c r="D33" s="21" t="s">
        <v>24</v>
      </c>
      <c r="E33" s="21" t="s">
        <v>25</v>
      </c>
      <c r="F33" s="21" t="s">
        <v>4765</v>
      </c>
      <c r="G33" s="21"/>
      <c r="H33" s="21" t="n">
        <v>3518014478</v>
      </c>
      <c r="I33" s="21" t="s">
        <v>4766</v>
      </c>
      <c r="J33" s="21"/>
      <c r="K33" s="21" t="s">
        <v>3376</v>
      </c>
      <c r="L33" s="21" t="s">
        <v>4720</v>
      </c>
      <c r="M33" s="21" t="s">
        <v>4720</v>
      </c>
      <c r="N33" s="21"/>
      <c r="O33" s="32"/>
      <c r="P33" s="32"/>
      <c r="Q33" s="21"/>
      <c r="R33" s="21" t="s">
        <v>4720</v>
      </c>
      <c r="S33" s="21" t="s">
        <v>4720</v>
      </c>
      <c r="T33" s="21"/>
      <c r="U33" s="21" t="s">
        <v>28</v>
      </c>
    </row>
    <row r="34" customFormat="false" ht="15.75" hidden="false" customHeight="false" outlineLevel="0" collapsed="false">
      <c r="A34" s="61" t="n">
        <v>5610</v>
      </c>
      <c r="B34" s="29" t="n">
        <v>44267</v>
      </c>
      <c r="C34" s="21" t="s">
        <v>4444</v>
      </c>
      <c r="D34" s="21" t="s">
        <v>24</v>
      </c>
      <c r="E34" s="21" t="s">
        <v>25</v>
      </c>
      <c r="F34" s="21" t="s">
        <v>4767</v>
      </c>
      <c r="G34" s="21"/>
      <c r="H34" s="21"/>
      <c r="I34" s="21"/>
      <c r="J34" s="21"/>
      <c r="K34" s="21" t="s">
        <v>3376</v>
      </c>
      <c r="L34" s="21" t="s">
        <v>4720</v>
      </c>
      <c r="M34" s="21" t="s">
        <v>4720</v>
      </c>
      <c r="N34" s="21"/>
      <c r="O34" s="32"/>
      <c r="P34" s="32"/>
      <c r="Q34" s="21"/>
      <c r="R34" s="21" t="s">
        <v>4720</v>
      </c>
      <c r="S34" s="21" t="s">
        <v>4720</v>
      </c>
      <c r="T34" s="21"/>
      <c r="U34" s="21" t="s">
        <v>28</v>
      </c>
    </row>
    <row r="35" customFormat="false" ht="15.75" hidden="false" customHeight="false" outlineLevel="0" collapsed="false">
      <c r="A35" s="61" t="n">
        <v>5611</v>
      </c>
      <c r="B35" s="29" t="n">
        <v>44267</v>
      </c>
      <c r="C35" s="21" t="s">
        <v>4567</v>
      </c>
      <c r="D35" s="21" t="s">
        <v>24</v>
      </c>
      <c r="E35" s="21" t="s">
        <v>25</v>
      </c>
      <c r="F35" s="21" t="s">
        <v>1353</v>
      </c>
      <c r="G35" s="21"/>
      <c r="H35" s="21"/>
      <c r="I35" s="21"/>
      <c r="J35" s="21" t="n">
        <v>42420</v>
      </c>
      <c r="K35" s="21" t="s">
        <v>3376</v>
      </c>
      <c r="L35" s="21" t="s">
        <v>4720</v>
      </c>
      <c r="M35" s="21" t="s">
        <v>4720</v>
      </c>
      <c r="N35" s="21"/>
      <c r="O35" s="32"/>
      <c r="P35" s="32"/>
      <c r="Q35" s="21"/>
      <c r="R35" s="21" t="s">
        <v>4720</v>
      </c>
      <c r="S35" s="21" t="s">
        <v>4720</v>
      </c>
      <c r="T35" s="21"/>
      <c r="U35" s="21" t="s">
        <v>28</v>
      </c>
    </row>
    <row r="36" customFormat="false" ht="15.75" hidden="false" customHeight="false" outlineLevel="0" collapsed="false">
      <c r="A36" s="61" t="n">
        <v>5612</v>
      </c>
      <c r="B36" s="29" t="n">
        <v>44267</v>
      </c>
      <c r="C36" s="21" t="s">
        <v>4567</v>
      </c>
      <c r="D36" s="21" t="s">
        <v>24</v>
      </c>
      <c r="E36" s="21" t="s">
        <v>25</v>
      </c>
      <c r="F36" s="21" t="s">
        <v>4768</v>
      </c>
      <c r="G36" s="21" t="s">
        <v>4769</v>
      </c>
      <c r="H36" s="21"/>
      <c r="I36" s="21"/>
      <c r="J36" s="21" t="n">
        <v>42420</v>
      </c>
      <c r="K36" s="21" t="s">
        <v>3376</v>
      </c>
      <c r="L36" s="21" t="s">
        <v>28</v>
      </c>
      <c r="M36" s="21" t="s">
        <v>28</v>
      </c>
      <c r="N36" s="21" t="s">
        <v>4619</v>
      </c>
      <c r="O36" s="32" t="s">
        <v>4734</v>
      </c>
      <c r="P36" s="32"/>
      <c r="Q36" s="21" t="s">
        <v>74</v>
      </c>
      <c r="R36" s="21" t="s">
        <v>28</v>
      </c>
      <c r="S36" s="21" t="s">
        <v>28</v>
      </c>
      <c r="T36" s="21" t="s">
        <v>29</v>
      </c>
      <c r="U36" s="21" t="s">
        <v>28</v>
      </c>
    </row>
    <row r="37" customFormat="false" ht="15.75" hidden="false" customHeight="false" outlineLevel="0" collapsed="false">
      <c r="A37" s="61" t="n">
        <v>5613</v>
      </c>
      <c r="B37" s="29" t="n">
        <v>44267</v>
      </c>
      <c r="C37" s="21" t="s">
        <v>4567</v>
      </c>
      <c r="D37" s="21" t="s">
        <v>24</v>
      </c>
      <c r="E37" s="21" t="s">
        <v>25</v>
      </c>
      <c r="F37" s="21" t="s">
        <v>4768</v>
      </c>
      <c r="G37" s="21"/>
      <c r="H37" s="21"/>
      <c r="I37" s="21"/>
      <c r="J37" s="21" t="n">
        <v>42420</v>
      </c>
      <c r="K37" s="21" t="s">
        <v>3376</v>
      </c>
      <c r="L37" s="21" t="s">
        <v>4720</v>
      </c>
      <c r="M37" s="21" t="s">
        <v>4720</v>
      </c>
      <c r="N37" s="21"/>
      <c r="O37" s="32"/>
      <c r="P37" s="32"/>
      <c r="Q37" s="21" t="s">
        <v>4147</v>
      </c>
      <c r="R37" s="21" t="s">
        <v>28</v>
      </c>
      <c r="S37" s="21" t="s">
        <v>28</v>
      </c>
      <c r="T37" s="21" t="s">
        <v>29</v>
      </c>
      <c r="U37" s="21" t="s">
        <v>28</v>
      </c>
    </row>
    <row r="38" customFormat="false" ht="15.75" hidden="false" customHeight="false" outlineLevel="0" collapsed="false">
      <c r="A38" s="61" t="n">
        <v>5614</v>
      </c>
      <c r="B38" s="29" t="n">
        <v>44267</v>
      </c>
      <c r="C38" s="21" t="s">
        <v>4500</v>
      </c>
      <c r="D38" s="21" t="s">
        <v>24</v>
      </c>
      <c r="E38" s="21" t="s">
        <v>25</v>
      </c>
      <c r="F38" s="21" t="s">
        <v>4770</v>
      </c>
      <c r="G38" s="21" t="s">
        <v>4771</v>
      </c>
      <c r="H38" s="21"/>
      <c r="I38" s="21"/>
      <c r="J38" s="21"/>
      <c r="K38" s="21" t="s">
        <v>3376</v>
      </c>
      <c r="L38" s="21" t="s">
        <v>28</v>
      </c>
      <c r="M38" s="21" t="s">
        <v>28</v>
      </c>
      <c r="N38" s="21" t="s">
        <v>3814</v>
      </c>
      <c r="O38" s="32" t="s">
        <v>4734</v>
      </c>
      <c r="P38" s="32"/>
      <c r="Q38" s="21" t="s">
        <v>74</v>
      </c>
      <c r="R38" s="21" t="s">
        <v>28</v>
      </c>
      <c r="S38" s="21" t="s">
        <v>28</v>
      </c>
      <c r="T38" s="21" t="s">
        <v>29</v>
      </c>
      <c r="U38" s="21" t="s">
        <v>28</v>
      </c>
    </row>
    <row r="39" customFormat="false" ht="15.75" hidden="false" customHeight="false" outlineLevel="0" collapsed="false">
      <c r="A39" s="61" t="n">
        <v>5615</v>
      </c>
      <c r="B39" s="29" t="n">
        <v>44270</v>
      </c>
      <c r="C39" s="21" t="s">
        <v>4772</v>
      </c>
      <c r="D39" s="21" t="s">
        <v>24</v>
      </c>
      <c r="E39" s="21" t="s">
        <v>25</v>
      </c>
      <c r="F39" s="21" t="s">
        <v>4773</v>
      </c>
      <c r="G39" s="21"/>
      <c r="H39" s="21"/>
      <c r="I39" s="21"/>
      <c r="J39" s="21"/>
      <c r="K39" s="21" t="s">
        <v>1189</v>
      </c>
      <c r="L39" s="21" t="s">
        <v>4720</v>
      </c>
      <c r="M39" s="21" t="s">
        <v>4720</v>
      </c>
      <c r="N39" s="21"/>
      <c r="O39" s="32"/>
      <c r="P39" s="32"/>
      <c r="Q39" s="21"/>
      <c r="R39" s="21" t="s">
        <v>4720</v>
      </c>
      <c r="S39" s="21" t="s">
        <v>4720</v>
      </c>
      <c r="T39" s="21"/>
      <c r="U39" s="21"/>
    </row>
    <row r="40" customFormat="false" ht="15.75" hidden="false" customHeight="false" outlineLevel="0" collapsed="false">
      <c r="A40" s="61" t="n">
        <v>5616</v>
      </c>
      <c r="B40" s="29" t="n">
        <v>44270</v>
      </c>
      <c r="C40" s="21" t="s">
        <v>613</v>
      </c>
      <c r="D40" s="21" t="s">
        <v>24</v>
      </c>
      <c r="E40" s="21" t="s">
        <v>25</v>
      </c>
      <c r="F40" s="21" t="s">
        <v>4723</v>
      </c>
      <c r="G40" s="21"/>
      <c r="H40" s="21"/>
      <c r="I40" s="21"/>
      <c r="J40" s="21"/>
      <c r="K40" s="21" t="s">
        <v>1189</v>
      </c>
      <c r="L40" s="21" t="s">
        <v>4720</v>
      </c>
      <c r="M40" s="21" t="s">
        <v>4720</v>
      </c>
      <c r="N40" s="21"/>
      <c r="O40" s="32"/>
      <c r="P40" s="32"/>
      <c r="Q40" s="21"/>
      <c r="R40" s="21" t="s">
        <v>4720</v>
      </c>
      <c r="S40" s="21" t="s">
        <v>4720</v>
      </c>
      <c r="T40" s="21"/>
      <c r="U40" s="21" t="s">
        <v>28</v>
      </c>
    </row>
    <row r="41" customFormat="false" ht="15.75" hidden="false" customHeight="false" outlineLevel="0" collapsed="false">
      <c r="A41" s="63" t="n">
        <v>628219</v>
      </c>
      <c r="B41" s="29" t="n">
        <v>44270</v>
      </c>
      <c r="C41" s="21" t="s">
        <v>4748</v>
      </c>
      <c r="D41" s="21" t="s">
        <v>24</v>
      </c>
      <c r="E41" s="21" t="s">
        <v>25</v>
      </c>
      <c r="F41" s="21" t="s">
        <v>4774</v>
      </c>
      <c r="G41" s="21"/>
      <c r="H41" s="21"/>
      <c r="I41" s="21"/>
      <c r="J41" s="21"/>
      <c r="K41" s="21" t="s">
        <v>4775</v>
      </c>
      <c r="L41" s="21" t="s">
        <v>4720</v>
      </c>
      <c r="M41" s="21" t="s">
        <v>4720</v>
      </c>
      <c r="N41" s="21"/>
      <c r="O41" s="32"/>
      <c r="P41" s="32"/>
      <c r="Q41" s="21"/>
      <c r="R41" s="21" t="s">
        <v>4720</v>
      </c>
      <c r="S41" s="21" t="s">
        <v>4720</v>
      </c>
      <c r="T41" s="21"/>
      <c r="U41" s="21" t="s">
        <v>28</v>
      </c>
    </row>
    <row r="42" customFormat="false" ht="15.75" hidden="false" customHeight="false" outlineLevel="0" collapsed="false">
      <c r="A42" s="61" t="n">
        <v>5617</v>
      </c>
      <c r="B42" s="29" t="n">
        <v>44271</v>
      </c>
      <c r="C42" s="21" t="s">
        <v>4655</v>
      </c>
      <c r="D42" s="21" t="s">
        <v>24</v>
      </c>
      <c r="E42" s="21" t="s">
        <v>25</v>
      </c>
      <c r="F42" s="21" t="s">
        <v>4776</v>
      </c>
      <c r="G42" s="21"/>
      <c r="H42" s="21"/>
      <c r="I42" s="21"/>
      <c r="J42" s="21"/>
      <c r="K42" s="21" t="s">
        <v>4777</v>
      </c>
      <c r="L42" s="21" t="s">
        <v>4720</v>
      </c>
      <c r="M42" s="21" t="s">
        <v>4720</v>
      </c>
      <c r="N42" s="21"/>
      <c r="O42" s="32"/>
      <c r="P42" s="32"/>
      <c r="Q42" s="21"/>
      <c r="R42" s="21" t="s">
        <v>4720</v>
      </c>
      <c r="S42" s="21" t="s">
        <v>4720</v>
      </c>
      <c r="T42" s="21"/>
      <c r="U42" s="21" t="s">
        <v>37</v>
      </c>
    </row>
    <row r="43" customFormat="false" ht="15.75" hidden="false" customHeight="false" outlineLevel="0" collapsed="false">
      <c r="A43" s="61" t="s">
        <v>4778</v>
      </c>
      <c r="B43" s="29" t="n">
        <v>44271</v>
      </c>
      <c r="C43" s="21" t="s">
        <v>1569</v>
      </c>
      <c r="D43" s="21" t="s">
        <v>578</v>
      </c>
      <c r="E43" s="21" t="s">
        <v>25</v>
      </c>
      <c r="F43" s="21" t="s">
        <v>4512</v>
      </c>
      <c r="G43" s="21" t="s">
        <v>4779</v>
      </c>
      <c r="H43" s="21"/>
      <c r="I43" s="21"/>
      <c r="J43" s="21"/>
      <c r="K43" s="21" t="s">
        <v>4717</v>
      </c>
      <c r="L43" s="21" t="s">
        <v>28</v>
      </c>
      <c r="M43" s="21" t="s">
        <v>28</v>
      </c>
      <c r="N43" s="21" t="s">
        <v>214</v>
      </c>
      <c r="O43" s="32" t="s">
        <v>4734</v>
      </c>
      <c r="P43" s="32"/>
      <c r="Q43" s="21" t="s">
        <v>74</v>
      </c>
      <c r="R43" s="21" t="s">
        <v>28</v>
      </c>
      <c r="S43" s="21" t="s">
        <v>28</v>
      </c>
      <c r="T43" s="21" t="s">
        <v>29</v>
      </c>
      <c r="U43" s="21" t="s">
        <v>37</v>
      </c>
    </row>
    <row r="44" customFormat="false" ht="15.75" hidden="false" customHeight="false" outlineLevel="0" collapsed="false">
      <c r="A44" s="61" t="n">
        <v>5618</v>
      </c>
      <c r="B44" s="29" t="n">
        <v>44271</v>
      </c>
      <c r="C44" s="21" t="s">
        <v>4780</v>
      </c>
      <c r="D44" s="21" t="s">
        <v>24</v>
      </c>
      <c r="E44" s="21" t="s">
        <v>25</v>
      </c>
      <c r="F44" s="21" t="s">
        <v>4781</v>
      </c>
      <c r="G44" s="21"/>
      <c r="H44" s="21"/>
      <c r="I44" s="21"/>
      <c r="J44" s="21"/>
      <c r="K44" s="21" t="s">
        <v>4782</v>
      </c>
      <c r="L44" s="21" t="s">
        <v>4720</v>
      </c>
      <c r="M44" s="21" t="s">
        <v>4720</v>
      </c>
      <c r="N44" s="21"/>
      <c r="O44" s="32"/>
      <c r="P44" s="32"/>
      <c r="Q44" s="21"/>
      <c r="R44" s="21" t="s">
        <v>4720</v>
      </c>
      <c r="S44" s="21" t="s">
        <v>4720</v>
      </c>
      <c r="T44" s="21"/>
      <c r="U44" s="21"/>
    </row>
    <row r="45" customFormat="false" ht="15.75" hidden="false" customHeight="false" outlineLevel="0" collapsed="false">
      <c r="A45" s="63" t="n">
        <v>1179370</v>
      </c>
      <c r="B45" s="29" t="n">
        <v>44271</v>
      </c>
      <c r="C45" s="21" t="s">
        <v>4783</v>
      </c>
      <c r="D45" s="21" t="s">
        <v>24</v>
      </c>
      <c r="E45" s="21" t="s">
        <v>74</v>
      </c>
      <c r="F45" s="21" t="s">
        <v>4784</v>
      </c>
      <c r="G45" s="21"/>
      <c r="H45" s="21" t="n">
        <v>3515551678</v>
      </c>
      <c r="I45" s="21"/>
      <c r="J45" s="21"/>
      <c r="K45" s="21" t="s">
        <v>3900</v>
      </c>
      <c r="L45" s="21" t="s">
        <v>4720</v>
      </c>
      <c r="M45" s="21" t="s">
        <v>4720</v>
      </c>
      <c r="N45" s="21"/>
      <c r="O45" s="32"/>
      <c r="P45" s="32"/>
      <c r="Q45" s="21"/>
      <c r="R45" s="21" t="s">
        <v>4720</v>
      </c>
      <c r="S45" s="21" t="s">
        <v>4720</v>
      </c>
      <c r="T45" s="21"/>
      <c r="U45" s="21" t="s">
        <v>28</v>
      </c>
    </row>
    <row r="46" customFormat="false" ht="15.75" hidden="false" customHeight="false" outlineLevel="0" collapsed="false">
      <c r="A46" s="61" t="n">
        <v>5619</v>
      </c>
      <c r="B46" s="29" t="n">
        <v>44271</v>
      </c>
      <c r="C46" s="21" t="s">
        <v>4785</v>
      </c>
      <c r="D46" s="21" t="s">
        <v>24</v>
      </c>
      <c r="E46" s="21" t="s">
        <v>74</v>
      </c>
      <c r="F46" s="21" t="s">
        <v>4786</v>
      </c>
      <c r="G46" s="21" t="s">
        <v>4787</v>
      </c>
      <c r="H46" s="21"/>
      <c r="I46" s="21"/>
      <c r="J46" s="21"/>
      <c r="K46" s="21" t="s">
        <v>3376</v>
      </c>
      <c r="L46" s="21" t="s">
        <v>28</v>
      </c>
      <c r="M46" s="21" t="s">
        <v>28</v>
      </c>
      <c r="N46" s="21" t="s">
        <v>4788</v>
      </c>
      <c r="O46" s="32" t="s">
        <v>4734</v>
      </c>
      <c r="P46" s="32"/>
      <c r="Q46" s="21" t="s">
        <v>74</v>
      </c>
      <c r="R46" s="21" t="s">
        <v>28</v>
      </c>
      <c r="S46" s="21" t="s">
        <v>28</v>
      </c>
      <c r="T46" s="21" t="s">
        <v>29</v>
      </c>
      <c r="U46" s="21" t="s">
        <v>28</v>
      </c>
    </row>
    <row r="47" customFormat="false" ht="15.75" hidden="false" customHeight="false" outlineLevel="0" collapsed="false">
      <c r="A47" s="61" t="n">
        <v>5620</v>
      </c>
      <c r="B47" s="29" t="n">
        <v>44271</v>
      </c>
      <c r="C47" s="21" t="s">
        <v>4789</v>
      </c>
      <c r="D47" s="21" t="s">
        <v>24</v>
      </c>
      <c r="E47" s="21" t="s">
        <v>25</v>
      </c>
      <c r="F47" s="21" t="s">
        <v>203</v>
      </c>
      <c r="G47" s="21"/>
      <c r="H47" s="21"/>
      <c r="I47" s="21"/>
      <c r="J47" s="21"/>
      <c r="K47" s="21" t="s">
        <v>3722</v>
      </c>
      <c r="L47" s="21" t="s">
        <v>4720</v>
      </c>
      <c r="M47" s="21" t="s">
        <v>4720</v>
      </c>
      <c r="N47" s="21"/>
      <c r="O47" s="32"/>
      <c r="P47" s="32"/>
      <c r="Q47" s="21"/>
      <c r="R47" s="21" t="s">
        <v>4720</v>
      </c>
      <c r="S47" s="21" t="s">
        <v>4720</v>
      </c>
      <c r="T47" s="21"/>
      <c r="U47" s="21" t="s">
        <v>28</v>
      </c>
      <c r="Z47" s="12" t="s">
        <v>4790</v>
      </c>
    </row>
    <row r="48" customFormat="false" ht="15.75" hidden="false" customHeight="false" outlineLevel="0" collapsed="false">
      <c r="A48" s="61" t="n">
        <v>5621</v>
      </c>
      <c r="B48" s="21" t="s">
        <v>4791</v>
      </c>
      <c r="C48" s="21" t="s">
        <v>613</v>
      </c>
      <c r="D48" s="21" t="s">
        <v>24</v>
      </c>
      <c r="E48" s="21" t="s">
        <v>25</v>
      </c>
      <c r="F48" s="21" t="s">
        <v>4792</v>
      </c>
      <c r="G48" s="21" t="s">
        <v>4793</v>
      </c>
      <c r="H48" s="21"/>
      <c r="I48" s="21"/>
      <c r="J48" s="21"/>
      <c r="K48" s="21" t="s">
        <v>3376</v>
      </c>
      <c r="L48" s="21" t="s">
        <v>28</v>
      </c>
      <c r="M48" s="21" t="s">
        <v>28</v>
      </c>
      <c r="N48" s="21" t="s">
        <v>73</v>
      </c>
      <c r="O48" s="32" t="s">
        <v>3433</v>
      </c>
      <c r="P48" s="32"/>
      <c r="Q48" s="21" t="s">
        <v>74</v>
      </c>
      <c r="R48" s="21" t="s">
        <v>28</v>
      </c>
      <c r="S48" s="21" t="s">
        <v>28</v>
      </c>
      <c r="T48" s="21" t="s">
        <v>29</v>
      </c>
      <c r="U48" s="21" t="s">
        <v>28</v>
      </c>
    </row>
    <row r="49" customFormat="false" ht="15.75" hidden="false" customHeight="false" outlineLevel="0" collapsed="false">
      <c r="A49" s="61" t="s">
        <v>4794</v>
      </c>
      <c r="B49" s="29" t="n">
        <v>44273</v>
      </c>
      <c r="C49" s="21" t="s">
        <v>1569</v>
      </c>
      <c r="D49" s="21" t="s">
        <v>578</v>
      </c>
      <c r="E49" s="21" t="s">
        <v>25</v>
      </c>
      <c r="F49" s="21" t="s">
        <v>4512</v>
      </c>
      <c r="G49" s="21" t="s">
        <v>4795</v>
      </c>
      <c r="H49" s="21"/>
      <c r="I49" s="21"/>
      <c r="J49" s="21"/>
      <c r="K49" s="21" t="s">
        <v>4796</v>
      </c>
      <c r="L49" s="21" t="s">
        <v>28</v>
      </c>
      <c r="M49" s="21" t="s">
        <v>28</v>
      </c>
      <c r="N49" s="21" t="s">
        <v>702</v>
      </c>
      <c r="O49" s="32" t="s">
        <v>2850</v>
      </c>
      <c r="P49" s="32"/>
      <c r="Q49" s="21" t="s">
        <v>74</v>
      </c>
      <c r="R49" s="21" t="s">
        <v>28</v>
      </c>
      <c r="S49" s="21" t="s">
        <v>28</v>
      </c>
      <c r="T49" s="21" t="s">
        <v>29</v>
      </c>
      <c r="U49" s="21" t="s">
        <v>37</v>
      </c>
    </row>
    <row r="50" customFormat="false" ht="15.75" hidden="false" customHeight="false" outlineLevel="0" collapsed="false">
      <c r="A50" s="61" t="s">
        <v>4797</v>
      </c>
      <c r="B50" s="29" t="n">
        <v>44273</v>
      </c>
      <c r="C50" s="21" t="s">
        <v>4555</v>
      </c>
      <c r="D50" s="21" t="s">
        <v>578</v>
      </c>
      <c r="E50" s="21" t="s">
        <v>25</v>
      </c>
      <c r="F50" s="21" t="s">
        <v>4512</v>
      </c>
      <c r="G50" s="21"/>
      <c r="H50" s="21"/>
      <c r="I50" s="21"/>
      <c r="J50" s="21"/>
      <c r="K50" s="21" t="s">
        <v>4796</v>
      </c>
      <c r="L50" s="21" t="s">
        <v>4720</v>
      </c>
      <c r="M50" s="21" t="s">
        <v>4720</v>
      </c>
      <c r="N50" s="21"/>
      <c r="O50" s="32"/>
      <c r="P50" s="32"/>
      <c r="Q50" s="21"/>
      <c r="R50" s="21" t="s">
        <v>4720</v>
      </c>
      <c r="S50" s="21" t="s">
        <v>4720</v>
      </c>
      <c r="T50" s="21"/>
      <c r="U50" s="21" t="s">
        <v>37</v>
      </c>
    </row>
    <row r="51" customFormat="false" ht="15.75" hidden="false" customHeight="false" outlineLevel="0" collapsed="false">
      <c r="A51" s="61" t="s">
        <v>4798</v>
      </c>
      <c r="B51" s="29" t="n">
        <v>44273</v>
      </c>
      <c r="C51" s="21" t="s">
        <v>4555</v>
      </c>
      <c r="D51" s="21" t="s">
        <v>578</v>
      </c>
      <c r="E51" s="21" t="s">
        <v>25</v>
      </c>
      <c r="F51" s="21" t="s">
        <v>4512</v>
      </c>
      <c r="G51" s="21" t="s">
        <v>4795</v>
      </c>
      <c r="H51" s="21"/>
      <c r="I51" s="21"/>
      <c r="J51" s="21"/>
      <c r="K51" s="21" t="s">
        <v>4796</v>
      </c>
      <c r="L51" s="21" t="s">
        <v>28</v>
      </c>
      <c r="M51" s="21" t="s">
        <v>28</v>
      </c>
      <c r="N51" s="21" t="s">
        <v>3415</v>
      </c>
      <c r="O51" s="32" t="s">
        <v>2850</v>
      </c>
      <c r="P51" s="32"/>
      <c r="Q51" s="21" t="s">
        <v>74</v>
      </c>
      <c r="R51" s="21" t="s">
        <v>28</v>
      </c>
      <c r="S51" s="21" t="s">
        <v>28</v>
      </c>
      <c r="T51" s="21" t="s">
        <v>29</v>
      </c>
      <c r="U51" s="21" t="s">
        <v>37</v>
      </c>
    </row>
    <row r="52" customFormat="false" ht="15.75" hidden="false" customHeight="false" outlineLevel="0" collapsed="false">
      <c r="A52" s="61" t="s">
        <v>4799</v>
      </c>
      <c r="B52" s="29" t="n">
        <v>44273</v>
      </c>
      <c r="C52" s="21" t="s">
        <v>4800</v>
      </c>
      <c r="D52" s="21" t="s">
        <v>578</v>
      </c>
      <c r="E52" s="21" t="s">
        <v>25</v>
      </c>
      <c r="F52" s="21" t="s">
        <v>4801</v>
      </c>
      <c r="G52" s="21"/>
      <c r="H52" s="21"/>
      <c r="I52" s="21"/>
      <c r="J52" s="21"/>
      <c r="K52" s="21" t="s">
        <v>4717</v>
      </c>
      <c r="L52" s="21" t="s">
        <v>4720</v>
      </c>
      <c r="M52" s="21" t="s">
        <v>4720</v>
      </c>
      <c r="N52" s="21"/>
      <c r="O52" s="32"/>
      <c r="P52" s="32"/>
      <c r="Q52" s="21"/>
      <c r="R52" s="21" t="s">
        <v>4720</v>
      </c>
      <c r="S52" s="21" t="s">
        <v>4720</v>
      </c>
      <c r="T52" s="21"/>
      <c r="U52" s="21" t="s">
        <v>37</v>
      </c>
    </row>
    <row r="53" customFormat="false" ht="15.75" hidden="false" customHeight="false" outlineLevel="0" collapsed="false">
      <c r="A53" s="61" t="n">
        <v>5622</v>
      </c>
      <c r="B53" s="29" t="n">
        <v>44274</v>
      </c>
      <c r="C53" s="21" t="s">
        <v>4802</v>
      </c>
      <c r="D53" s="21" t="s">
        <v>24</v>
      </c>
      <c r="E53" s="21" t="s">
        <v>25</v>
      </c>
      <c r="F53" s="21" t="s">
        <v>4803</v>
      </c>
      <c r="G53" s="21"/>
      <c r="H53" s="21"/>
      <c r="I53" s="21"/>
      <c r="J53" s="21" t="n">
        <v>6057</v>
      </c>
      <c r="K53" s="21" t="s">
        <v>3722</v>
      </c>
      <c r="L53" s="21" t="s">
        <v>4720</v>
      </c>
      <c r="M53" s="21" t="s">
        <v>4720</v>
      </c>
      <c r="N53" s="21"/>
      <c r="O53" s="32"/>
      <c r="P53" s="32"/>
      <c r="Q53" s="21"/>
      <c r="R53" s="21" t="s">
        <v>4720</v>
      </c>
      <c r="S53" s="21" t="s">
        <v>4720</v>
      </c>
      <c r="T53" s="21"/>
      <c r="U53" s="21"/>
    </row>
    <row r="54" customFormat="false" ht="15.75" hidden="false" customHeight="false" outlineLevel="0" collapsed="false">
      <c r="A54" s="61" t="n">
        <v>5623</v>
      </c>
      <c r="B54" s="29" t="n">
        <v>44274</v>
      </c>
      <c r="C54" s="21" t="s">
        <v>4804</v>
      </c>
      <c r="D54" s="21" t="s">
        <v>24</v>
      </c>
      <c r="E54" s="21" t="s">
        <v>25</v>
      </c>
      <c r="F54" s="21" t="s">
        <v>4805</v>
      </c>
      <c r="G54" s="21"/>
      <c r="H54" s="21"/>
      <c r="I54" s="21"/>
      <c r="J54" s="21"/>
      <c r="K54" s="21" t="s">
        <v>3376</v>
      </c>
      <c r="L54" s="21" t="s">
        <v>4720</v>
      </c>
      <c r="M54" s="21" t="s">
        <v>4720</v>
      </c>
      <c r="N54" s="21"/>
      <c r="O54" s="32"/>
      <c r="P54" s="32"/>
      <c r="Q54" s="21"/>
      <c r="R54" s="21" t="s">
        <v>4720</v>
      </c>
      <c r="S54" s="21" t="s">
        <v>4720</v>
      </c>
      <c r="T54" s="21"/>
      <c r="U54" s="21" t="s">
        <v>28</v>
      </c>
    </row>
    <row r="55" customFormat="false" ht="15.75" hidden="false" customHeight="false" outlineLevel="0" collapsed="false">
      <c r="A55" s="61" t="n">
        <v>5624</v>
      </c>
      <c r="B55" s="29" t="n">
        <v>44277</v>
      </c>
      <c r="C55" s="21" t="s">
        <v>4806</v>
      </c>
      <c r="D55" s="21" t="s">
        <v>24</v>
      </c>
      <c r="E55" s="21" t="s">
        <v>74</v>
      </c>
      <c r="F55" s="21" t="s">
        <v>4807</v>
      </c>
      <c r="G55" s="21"/>
      <c r="H55" s="21" t="n">
        <v>3516140167</v>
      </c>
      <c r="I55" s="21"/>
      <c r="J55" s="21"/>
      <c r="K55" s="21" t="s">
        <v>3376</v>
      </c>
      <c r="L55" s="21" t="s">
        <v>4720</v>
      </c>
      <c r="M55" s="21" t="s">
        <v>4720</v>
      </c>
      <c r="N55" s="21"/>
      <c r="O55" s="32"/>
      <c r="P55" s="32"/>
      <c r="Q55" s="21"/>
      <c r="R55" s="21" t="s">
        <v>4720</v>
      </c>
      <c r="S55" s="21" t="s">
        <v>4720</v>
      </c>
      <c r="T55" s="21"/>
      <c r="U55" s="21"/>
    </row>
    <row r="56" customFormat="false" ht="15.75" hidden="false" customHeight="false" outlineLevel="0" collapsed="false">
      <c r="A56" s="61" t="n">
        <v>5625</v>
      </c>
      <c r="B56" s="29" t="n">
        <v>44278</v>
      </c>
      <c r="C56" s="21" t="s">
        <v>4748</v>
      </c>
      <c r="D56" s="21" t="s">
        <v>24</v>
      </c>
      <c r="E56" s="21" t="s">
        <v>3337</v>
      </c>
      <c r="F56" s="21" t="s">
        <v>4808</v>
      </c>
      <c r="G56" s="21" t="s">
        <v>4809</v>
      </c>
      <c r="H56" s="21" t="s">
        <v>1178</v>
      </c>
      <c r="I56" s="21"/>
      <c r="J56" s="21"/>
      <c r="K56" s="21" t="s">
        <v>3376</v>
      </c>
      <c r="L56" s="21" t="s">
        <v>28</v>
      </c>
      <c r="M56" s="21" t="s">
        <v>28</v>
      </c>
      <c r="N56" s="21" t="s">
        <v>2515</v>
      </c>
      <c r="O56" s="32" t="s">
        <v>2850</v>
      </c>
      <c r="P56" s="32"/>
      <c r="Q56" s="21" t="s">
        <v>74</v>
      </c>
      <c r="R56" s="21" t="s">
        <v>28</v>
      </c>
      <c r="S56" s="21" t="s">
        <v>28</v>
      </c>
      <c r="T56" s="21" t="s">
        <v>29</v>
      </c>
      <c r="U56" s="21"/>
    </row>
    <row r="57" customFormat="false" ht="15.75" hidden="false" customHeight="false" outlineLevel="0" collapsed="false">
      <c r="A57" s="61" t="n">
        <v>5626</v>
      </c>
      <c r="B57" s="29" t="n">
        <v>44277</v>
      </c>
      <c r="C57" s="21" t="s">
        <v>4810</v>
      </c>
      <c r="D57" s="21" t="s">
        <v>24</v>
      </c>
      <c r="E57" s="21" t="s">
        <v>74</v>
      </c>
      <c r="F57" s="21" t="s">
        <v>4811</v>
      </c>
      <c r="G57" s="21" t="s">
        <v>4812</v>
      </c>
      <c r="H57" s="21"/>
      <c r="I57" s="21"/>
      <c r="J57" s="21"/>
      <c r="K57" s="21" t="s">
        <v>3376</v>
      </c>
      <c r="L57" s="21" t="s">
        <v>28</v>
      </c>
      <c r="M57" s="21" t="s">
        <v>28</v>
      </c>
      <c r="N57" s="21" t="s">
        <v>3213</v>
      </c>
      <c r="O57" s="32" t="s">
        <v>2850</v>
      </c>
      <c r="P57" s="32"/>
      <c r="Q57" s="21" t="s">
        <v>74</v>
      </c>
      <c r="R57" s="21" t="s">
        <v>28</v>
      </c>
      <c r="S57" s="21" t="s">
        <v>28</v>
      </c>
      <c r="T57" s="21" t="s">
        <v>29</v>
      </c>
      <c r="U57" s="21"/>
    </row>
    <row r="58" customFormat="false" ht="15.75" hidden="false" customHeight="false" outlineLevel="0" collapsed="false">
      <c r="A58" s="61" t="n">
        <v>5627</v>
      </c>
      <c r="B58" s="29" t="n">
        <v>44277</v>
      </c>
      <c r="C58" s="21" t="s">
        <v>4810</v>
      </c>
      <c r="D58" s="21" t="s">
        <v>24</v>
      </c>
      <c r="E58" s="21" t="s">
        <v>74</v>
      </c>
      <c r="F58" s="21" t="s">
        <v>4811</v>
      </c>
      <c r="G58" s="21" t="s">
        <v>4813</v>
      </c>
      <c r="H58" s="21"/>
      <c r="I58" s="21"/>
      <c r="J58" s="21"/>
      <c r="K58" s="21" t="s">
        <v>3376</v>
      </c>
      <c r="L58" s="21" t="s">
        <v>28</v>
      </c>
      <c r="M58" s="21" t="s">
        <v>28</v>
      </c>
      <c r="N58" s="21" t="s">
        <v>3213</v>
      </c>
      <c r="O58" s="32" t="s">
        <v>2850</v>
      </c>
      <c r="P58" s="32"/>
      <c r="Q58" s="21" t="s">
        <v>74</v>
      </c>
      <c r="R58" s="21" t="s">
        <v>28</v>
      </c>
      <c r="S58" s="21" t="s">
        <v>28</v>
      </c>
      <c r="T58" s="21" t="s">
        <v>29</v>
      </c>
      <c r="U58" s="21"/>
    </row>
    <row r="59" customFormat="false" ht="15.75" hidden="false" customHeight="false" outlineLevel="0" collapsed="false">
      <c r="A59" s="61" t="n">
        <v>5628</v>
      </c>
      <c r="B59" s="29" t="n">
        <v>44287</v>
      </c>
      <c r="C59" s="21" t="s">
        <v>4814</v>
      </c>
      <c r="D59" s="21" t="s">
        <v>24</v>
      </c>
      <c r="E59" s="21" t="s">
        <v>74</v>
      </c>
      <c r="F59" s="21" t="s">
        <v>4815</v>
      </c>
      <c r="G59" s="21" t="s">
        <v>4816</v>
      </c>
      <c r="H59" s="21"/>
      <c r="I59" s="21"/>
      <c r="J59" s="21"/>
      <c r="K59" s="21" t="s">
        <v>3376</v>
      </c>
      <c r="L59" s="21" t="s">
        <v>28</v>
      </c>
      <c r="M59" s="21" t="s">
        <v>28</v>
      </c>
      <c r="N59" s="21" t="s">
        <v>3814</v>
      </c>
      <c r="O59" s="32" t="s">
        <v>2850</v>
      </c>
      <c r="P59" s="32"/>
      <c r="Q59" s="21" t="s">
        <v>74</v>
      </c>
      <c r="R59" s="74" t="s">
        <v>28</v>
      </c>
      <c r="S59" s="74" t="s">
        <v>28</v>
      </c>
      <c r="T59" s="21" t="s">
        <v>36</v>
      </c>
      <c r="U59" s="21"/>
    </row>
    <row r="60" customFormat="false" ht="15.75" hidden="false" customHeight="false" outlineLevel="0" collapsed="false">
      <c r="A60" s="63" t="n">
        <v>1200189</v>
      </c>
      <c r="B60" s="29" t="n">
        <v>44277</v>
      </c>
      <c r="C60" s="21" t="s">
        <v>4817</v>
      </c>
      <c r="D60" s="21" t="s">
        <v>24</v>
      </c>
      <c r="E60" s="21" t="s">
        <v>74</v>
      </c>
      <c r="F60" s="21" t="s">
        <v>4818</v>
      </c>
      <c r="G60" s="21"/>
      <c r="H60" s="21" t="s">
        <v>4819</v>
      </c>
      <c r="I60" s="21"/>
      <c r="J60" s="21"/>
      <c r="K60" s="21" t="s">
        <v>3376</v>
      </c>
      <c r="L60" s="21" t="s">
        <v>4720</v>
      </c>
      <c r="M60" s="21" t="s">
        <v>4720</v>
      </c>
      <c r="N60" s="21"/>
      <c r="O60" s="32"/>
      <c r="P60" s="32"/>
      <c r="Q60" s="21"/>
      <c r="R60" s="21" t="s">
        <v>4720</v>
      </c>
      <c r="S60" s="21" t="s">
        <v>4720</v>
      </c>
      <c r="T60" s="21"/>
      <c r="U60" s="21"/>
    </row>
    <row r="61" customFormat="false" ht="15.75" hidden="false" customHeight="false" outlineLevel="0" collapsed="false">
      <c r="A61" s="63"/>
      <c r="B61" s="29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32"/>
      <c r="P61" s="32"/>
      <c r="Q61" s="21"/>
      <c r="R61" s="21"/>
      <c r="S61" s="21"/>
      <c r="T61" s="21"/>
      <c r="U61" s="21"/>
    </row>
    <row r="62" customFormat="false" ht="15.75" hidden="false" customHeight="false" outlineLevel="0" collapsed="false">
      <c r="A62" s="61" t="n">
        <v>5630</v>
      </c>
      <c r="B62" s="29" t="n">
        <v>44277</v>
      </c>
      <c r="C62" s="21" t="s">
        <v>4817</v>
      </c>
      <c r="D62" s="21" t="s">
        <v>24</v>
      </c>
      <c r="E62" s="21" t="s">
        <v>74</v>
      </c>
      <c r="F62" s="21" t="s">
        <v>4820</v>
      </c>
      <c r="G62" s="21"/>
      <c r="H62" s="21" t="s">
        <v>4819</v>
      </c>
      <c r="I62" s="21"/>
      <c r="J62" s="21"/>
      <c r="K62" s="21" t="s">
        <v>3376</v>
      </c>
      <c r="L62" s="21" t="s">
        <v>4720</v>
      </c>
      <c r="M62" s="21" t="s">
        <v>4720</v>
      </c>
      <c r="N62" s="21"/>
      <c r="O62" s="32"/>
      <c r="P62" s="32"/>
      <c r="Q62" s="21"/>
      <c r="R62" s="21" t="s">
        <v>4720</v>
      </c>
      <c r="S62" s="21" t="s">
        <v>4720</v>
      </c>
      <c r="T62" s="21"/>
      <c r="U62" s="21"/>
    </row>
    <row r="63" customFormat="false" ht="15.75" hidden="false" customHeight="false" outlineLevel="0" collapsed="false">
      <c r="A63" s="61" t="n">
        <v>5631</v>
      </c>
      <c r="B63" s="29" t="n">
        <v>44277</v>
      </c>
      <c r="C63" s="21" t="s">
        <v>4817</v>
      </c>
      <c r="D63" s="21" t="s">
        <v>24</v>
      </c>
      <c r="E63" s="21" t="s">
        <v>74</v>
      </c>
      <c r="F63" s="21" t="s">
        <v>4820</v>
      </c>
      <c r="G63" s="21"/>
      <c r="H63" s="21" t="s">
        <v>4819</v>
      </c>
      <c r="I63" s="21"/>
      <c r="J63" s="21"/>
      <c r="K63" s="21" t="s">
        <v>3376</v>
      </c>
      <c r="L63" s="21" t="s">
        <v>4720</v>
      </c>
      <c r="M63" s="21" t="s">
        <v>4720</v>
      </c>
      <c r="N63" s="21"/>
      <c r="O63" s="32"/>
      <c r="P63" s="32"/>
      <c r="Q63" s="21"/>
      <c r="R63" s="21" t="s">
        <v>4720</v>
      </c>
      <c r="S63" s="21" t="s">
        <v>4720</v>
      </c>
      <c r="T63" s="21"/>
      <c r="U63" s="21"/>
    </row>
    <row r="64" customFormat="false" ht="15.75" hidden="false" customHeight="false" outlineLevel="0" collapsed="false">
      <c r="A64" s="61" t="n">
        <v>5632</v>
      </c>
      <c r="B64" s="29" t="n">
        <v>44277</v>
      </c>
      <c r="C64" s="21" t="s">
        <v>4817</v>
      </c>
      <c r="D64" s="21" t="s">
        <v>24</v>
      </c>
      <c r="E64" s="21" t="s">
        <v>74</v>
      </c>
      <c r="F64" s="21" t="s">
        <v>4821</v>
      </c>
      <c r="G64" s="21" t="s">
        <v>4822</v>
      </c>
      <c r="H64" s="21" t="s">
        <v>4819</v>
      </c>
      <c r="I64" s="21"/>
      <c r="J64" s="21"/>
      <c r="K64" s="21" t="s">
        <v>3376</v>
      </c>
      <c r="L64" s="21" t="s">
        <v>28</v>
      </c>
      <c r="M64" s="21" t="s">
        <v>28</v>
      </c>
      <c r="N64" s="21" t="s">
        <v>4823</v>
      </c>
      <c r="O64" s="32" t="s">
        <v>74</v>
      </c>
      <c r="P64" s="32" t="s">
        <v>36</v>
      </c>
      <c r="Q64" s="21" t="s">
        <v>74</v>
      </c>
      <c r="R64" s="21" t="s">
        <v>28</v>
      </c>
      <c r="S64" s="21" t="s">
        <v>28</v>
      </c>
      <c r="T64" s="21" t="s">
        <v>36</v>
      </c>
      <c r="U64" s="21"/>
    </row>
    <row r="65" customFormat="false" ht="15.75" hidden="false" customHeight="false" outlineLevel="0" collapsed="false">
      <c r="A65" s="61" t="n">
        <v>5633</v>
      </c>
      <c r="B65" s="29" t="n">
        <v>44277</v>
      </c>
      <c r="C65" s="21" t="s">
        <v>4817</v>
      </c>
      <c r="D65" s="21" t="s">
        <v>24</v>
      </c>
      <c r="E65" s="21" t="s">
        <v>74</v>
      </c>
      <c r="F65" s="21" t="s">
        <v>4824</v>
      </c>
      <c r="G65" s="21" t="s">
        <v>4825</v>
      </c>
      <c r="H65" s="21" t="s">
        <v>4819</v>
      </c>
      <c r="I65" s="21"/>
      <c r="J65" s="21"/>
      <c r="K65" s="21" t="s">
        <v>3376</v>
      </c>
      <c r="L65" s="21" t="s">
        <v>28</v>
      </c>
      <c r="M65" s="21" t="s">
        <v>28</v>
      </c>
      <c r="N65" s="21" t="s">
        <v>73</v>
      </c>
      <c r="O65" s="32" t="s">
        <v>2850</v>
      </c>
      <c r="P65" s="32" t="s">
        <v>36</v>
      </c>
      <c r="Q65" s="21" t="s">
        <v>74</v>
      </c>
      <c r="R65" s="21" t="s">
        <v>28</v>
      </c>
      <c r="S65" s="21" t="s">
        <v>28</v>
      </c>
      <c r="T65" s="21" t="s">
        <v>36</v>
      </c>
      <c r="U65" s="21"/>
    </row>
    <row r="66" customFormat="false" ht="15.75" hidden="false" customHeight="false" outlineLevel="0" collapsed="false">
      <c r="A66" s="61" t="n">
        <v>5634</v>
      </c>
      <c r="B66" s="29" t="n">
        <v>44277</v>
      </c>
      <c r="C66" s="21" t="s">
        <v>2772</v>
      </c>
      <c r="D66" s="21" t="s">
        <v>24</v>
      </c>
      <c r="E66" s="21" t="s">
        <v>74</v>
      </c>
      <c r="F66" s="21" t="s">
        <v>4826</v>
      </c>
      <c r="G66" s="21"/>
      <c r="H66" s="21"/>
      <c r="I66" s="21"/>
      <c r="J66" s="21"/>
      <c r="K66" s="21" t="s">
        <v>3376</v>
      </c>
      <c r="L66" s="21" t="s">
        <v>4720</v>
      </c>
      <c r="M66" s="21" t="s">
        <v>4720</v>
      </c>
      <c r="N66" s="21"/>
      <c r="O66" s="32"/>
      <c r="P66" s="32"/>
      <c r="Q66" s="21"/>
      <c r="R66" s="21" t="s">
        <v>4720</v>
      </c>
      <c r="S66" s="21" t="s">
        <v>4720</v>
      </c>
      <c r="T66" s="21"/>
      <c r="U66" s="21"/>
    </row>
    <row r="67" customFormat="false" ht="15.75" hidden="false" customHeight="false" outlineLevel="0" collapsed="false">
      <c r="A67" s="61" t="s">
        <v>4827</v>
      </c>
      <c r="B67" s="29"/>
      <c r="C67" s="21" t="s">
        <v>4828</v>
      </c>
      <c r="D67" s="21" t="s">
        <v>578</v>
      </c>
      <c r="E67" s="21" t="s">
        <v>4147</v>
      </c>
      <c r="F67" s="21" t="s">
        <v>4829</v>
      </c>
      <c r="G67" s="21"/>
      <c r="H67" s="21"/>
      <c r="I67" s="21"/>
      <c r="J67" s="21"/>
      <c r="K67" s="21"/>
      <c r="L67" s="21" t="s">
        <v>4720</v>
      </c>
      <c r="M67" s="21" t="s">
        <v>4720</v>
      </c>
      <c r="N67" s="21"/>
      <c r="O67" s="32"/>
      <c r="P67" s="32"/>
      <c r="Q67" s="21"/>
      <c r="R67" s="21" t="s">
        <v>4720</v>
      </c>
      <c r="S67" s="21" t="s">
        <v>4720</v>
      </c>
      <c r="T67" s="21"/>
      <c r="U67" s="21" t="s">
        <v>37</v>
      </c>
    </row>
    <row r="68" customFormat="false" ht="15.75" hidden="false" customHeight="false" outlineLevel="0" collapsed="false">
      <c r="A68" s="61" t="s">
        <v>4830</v>
      </c>
      <c r="B68" s="29"/>
      <c r="C68" s="21" t="s">
        <v>4828</v>
      </c>
      <c r="D68" s="21" t="s">
        <v>578</v>
      </c>
      <c r="E68" s="21" t="s">
        <v>4147</v>
      </c>
      <c r="F68" s="21" t="s">
        <v>4829</v>
      </c>
      <c r="G68" s="21" t="s">
        <v>4795</v>
      </c>
      <c r="H68" s="21"/>
      <c r="I68" s="21"/>
      <c r="J68" s="21"/>
      <c r="K68" s="21"/>
      <c r="L68" s="21" t="s">
        <v>28</v>
      </c>
      <c r="M68" s="21" t="s">
        <v>28</v>
      </c>
      <c r="N68" s="21" t="s">
        <v>3415</v>
      </c>
      <c r="O68" s="32" t="s">
        <v>2850</v>
      </c>
      <c r="P68" s="32"/>
      <c r="Q68" s="21" t="s">
        <v>74</v>
      </c>
      <c r="R68" s="21" t="s">
        <v>28</v>
      </c>
      <c r="S68" s="21" t="s">
        <v>28</v>
      </c>
      <c r="T68" s="21" t="s">
        <v>29</v>
      </c>
      <c r="U68" s="21" t="s">
        <v>37</v>
      </c>
    </row>
    <row r="69" customFormat="false" ht="15.75" hidden="false" customHeight="false" outlineLevel="0" collapsed="false">
      <c r="A69" s="61" t="s">
        <v>4831</v>
      </c>
      <c r="B69" s="29"/>
      <c r="C69" s="21" t="s">
        <v>4828</v>
      </c>
      <c r="D69" s="21" t="s">
        <v>578</v>
      </c>
      <c r="E69" s="21" t="s">
        <v>4147</v>
      </c>
      <c r="F69" s="21" t="s">
        <v>4829</v>
      </c>
      <c r="G69" s="21" t="s">
        <v>4795</v>
      </c>
      <c r="H69" s="21"/>
      <c r="I69" s="21"/>
      <c r="J69" s="21"/>
      <c r="K69" s="21"/>
      <c r="L69" s="21" t="s">
        <v>28</v>
      </c>
      <c r="M69" s="21" t="s">
        <v>28</v>
      </c>
      <c r="N69" s="21" t="s">
        <v>3415</v>
      </c>
      <c r="O69" s="32" t="s">
        <v>2850</v>
      </c>
      <c r="P69" s="32"/>
      <c r="Q69" s="21" t="s">
        <v>74</v>
      </c>
      <c r="R69" s="21" t="s">
        <v>28</v>
      </c>
      <c r="S69" s="21" t="s">
        <v>28</v>
      </c>
      <c r="T69" s="21" t="s">
        <v>29</v>
      </c>
      <c r="U69" s="21" t="s">
        <v>37</v>
      </c>
    </row>
    <row r="70" customFormat="false" ht="15.75" hidden="false" customHeight="false" outlineLevel="0" collapsed="false">
      <c r="A70" s="61" t="s">
        <v>4832</v>
      </c>
      <c r="B70" s="29" t="n">
        <v>44258</v>
      </c>
      <c r="C70" s="21" t="s">
        <v>4833</v>
      </c>
      <c r="D70" s="21" t="s">
        <v>24</v>
      </c>
      <c r="E70" s="21"/>
      <c r="F70" s="21" t="s">
        <v>4834</v>
      </c>
      <c r="G70" s="21"/>
      <c r="H70" s="21"/>
      <c r="I70" s="21"/>
      <c r="J70" s="21"/>
      <c r="K70" s="21"/>
      <c r="L70" s="21" t="s">
        <v>4720</v>
      </c>
      <c r="M70" s="21" t="s">
        <v>4720</v>
      </c>
      <c r="N70" s="21"/>
      <c r="O70" s="32"/>
      <c r="P70" s="32"/>
      <c r="Q70" s="21" t="s">
        <v>4739</v>
      </c>
      <c r="R70" s="21" t="s">
        <v>28</v>
      </c>
      <c r="S70" s="21" t="s">
        <v>4720</v>
      </c>
      <c r="T70" s="21"/>
      <c r="U70" s="21"/>
    </row>
    <row r="71" customFormat="false" ht="15.75" hidden="false" customHeight="false" outlineLevel="0" collapsed="false">
      <c r="A71" s="61" t="n">
        <v>5635</v>
      </c>
      <c r="B71" s="29" t="n">
        <v>44280</v>
      </c>
      <c r="C71" s="21" t="s">
        <v>4835</v>
      </c>
      <c r="D71" s="21" t="s">
        <v>24</v>
      </c>
      <c r="E71" s="21" t="s">
        <v>74</v>
      </c>
      <c r="F71" s="21" t="s">
        <v>4836</v>
      </c>
      <c r="G71" s="21"/>
      <c r="H71" s="21" t="s">
        <v>4837</v>
      </c>
      <c r="I71" s="21"/>
      <c r="J71" s="21"/>
      <c r="K71" s="21" t="s">
        <v>3376</v>
      </c>
      <c r="L71" s="21" t="s">
        <v>4720</v>
      </c>
      <c r="M71" s="21" t="s">
        <v>4720</v>
      </c>
      <c r="N71" s="21"/>
      <c r="O71" s="32"/>
      <c r="P71" s="32"/>
      <c r="Q71" s="21"/>
      <c r="R71" s="21" t="s">
        <v>4720</v>
      </c>
      <c r="S71" s="21" t="s">
        <v>4720</v>
      </c>
      <c r="T71" s="21"/>
      <c r="U71" s="21"/>
    </row>
    <row r="72" customFormat="false" ht="15.75" hidden="false" customHeight="false" outlineLevel="0" collapsed="false">
      <c r="A72" s="61" t="n">
        <v>5636</v>
      </c>
      <c r="B72" s="29" t="n">
        <v>44280</v>
      </c>
      <c r="C72" s="21" t="s">
        <v>4193</v>
      </c>
      <c r="D72" s="21" t="s">
        <v>24</v>
      </c>
      <c r="E72" s="21" t="s">
        <v>34</v>
      </c>
      <c r="F72" s="21" t="s">
        <v>4838</v>
      </c>
      <c r="G72" s="21"/>
      <c r="H72" s="21"/>
      <c r="I72" s="21"/>
      <c r="J72" s="21"/>
      <c r="K72" s="21" t="s">
        <v>4839</v>
      </c>
      <c r="L72" s="21" t="s">
        <v>4720</v>
      </c>
      <c r="M72" s="21" t="s">
        <v>4720</v>
      </c>
      <c r="N72" s="21"/>
      <c r="O72" s="32"/>
      <c r="P72" s="32"/>
      <c r="Q72" s="21"/>
      <c r="R72" s="21" t="s">
        <v>4720</v>
      </c>
      <c r="S72" s="21" t="s">
        <v>4720</v>
      </c>
      <c r="T72" s="21"/>
      <c r="U72" s="21"/>
    </row>
    <row r="73" customFormat="false" ht="15.75" hidden="false" customHeight="false" outlineLevel="0" collapsed="false">
      <c r="A73" s="61" t="n">
        <v>5637</v>
      </c>
      <c r="B73" s="29" t="n">
        <v>44281</v>
      </c>
      <c r="C73" s="21" t="s">
        <v>4840</v>
      </c>
      <c r="D73" s="21" t="s">
        <v>24</v>
      </c>
      <c r="E73" s="21" t="s">
        <v>74</v>
      </c>
      <c r="F73" s="21" t="s">
        <v>4841</v>
      </c>
      <c r="G73" s="21"/>
      <c r="H73" s="21" t="n">
        <v>153249637</v>
      </c>
      <c r="I73" s="21"/>
      <c r="J73" s="21"/>
      <c r="K73" s="21" t="s">
        <v>3376</v>
      </c>
      <c r="L73" s="21" t="s">
        <v>4720</v>
      </c>
      <c r="M73" s="21" t="s">
        <v>4720</v>
      </c>
      <c r="N73" s="21"/>
      <c r="O73" s="32"/>
      <c r="P73" s="32"/>
      <c r="Q73" s="21"/>
      <c r="R73" s="21" t="s">
        <v>4720</v>
      </c>
      <c r="S73" s="21" t="s">
        <v>4720</v>
      </c>
      <c r="T73" s="21"/>
      <c r="U73" s="21"/>
    </row>
    <row r="74" customFormat="false" ht="15.75" hidden="false" customHeight="false" outlineLevel="0" collapsed="false">
      <c r="A74" s="61" t="s">
        <v>4842</v>
      </c>
      <c r="B74" s="29" t="n">
        <v>44281</v>
      </c>
      <c r="C74" s="21" t="s">
        <v>4722</v>
      </c>
      <c r="D74" s="21" t="s">
        <v>578</v>
      </c>
      <c r="E74" s="21" t="s">
        <v>3337</v>
      </c>
      <c r="F74" s="21" t="s">
        <v>4843</v>
      </c>
      <c r="G74" s="21"/>
      <c r="H74" s="21" t="n">
        <v>3515425877</v>
      </c>
      <c r="I74" s="21"/>
      <c r="J74" s="21"/>
      <c r="K74" s="21" t="s">
        <v>4421</v>
      </c>
      <c r="L74" s="21" t="s">
        <v>4720</v>
      </c>
      <c r="M74" s="21" t="s">
        <v>4720</v>
      </c>
      <c r="N74" s="21"/>
      <c r="O74" s="32"/>
      <c r="P74" s="32"/>
      <c r="Q74" s="21"/>
      <c r="R74" s="21" t="s">
        <v>4720</v>
      </c>
      <c r="S74" s="21" t="s">
        <v>4720</v>
      </c>
      <c r="T74" s="21"/>
      <c r="U74" s="21"/>
    </row>
    <row r="75" customFormat="false" ht="15.75" hidden="false" customHeight="false" outlineLevel="0" collapsed="false">
      <c r="A75" s="61" t="n">
        <v>5638</v>
      </c>
      <c r="B75" s="29" t="n">
        <v>44281</v>
      </c>
      <c r="C75" s="21" t="s">
        <v>4789</v>
      </c>
      <c r="D75" s="21" t="s">
        <v>24</v>
      </c>
      <c r="E75" s="21" t="s">
        <v>34</v>
      </c>
      <c r="F75" s="21" t="s">
        <v>4844</v>
      </c>
      <c r="G75" s="21"/>
      <c r="H75" s="21"/>
      <c r="I75" s="21"/>
      <c r="J75" s="21"/>
      <c r="K75" s="21" t="s">
        <v>3722</v>
      </c>
      <c r="L75" s="21" t="s">
        <v>4720</v>
      </c>
      <c r="M75" s="21" t="s">
        <v>4720</v>
      </c>
      <c r="N75" s="21"/>
      <c r="O75" s="32"/>
      <c r="P75" s="32"/>
      <c r="Q75" s="21"/>
      <c r="R75" s="21" t="s">
        <v>4720</v>
      </c>
      <c r="S75" s="21" t="s">
        <v>4720</v>
      </c>
      <c r="T75" s="21"/>
      <c r="U75" s="21"/>
    </row>
    <row r="76" customFormat="false" ht="15.75" hidden="false" customHeight="false" outlineLevel="0" collapsed="false">
      <c r="A76" s="61" t="n">
        <v>5639</v>
      </c>
      <c r="B76" s="29" t="n">
        <v>44282</v>
      </c>
      <c r="C76" s="21" t="s">
        <v>394</v>
      </c>
      <c r="D76" s="21" t="s">
        <v>24</v>
      </c>
      <c r="E76" s="21" t="s">
        <v>34</v>
      </c>
      <c r="F76" s="21" t="s">
        <v>4845</v>
      </c>
      <c r="G76" s="21"/>
      <c r="H76" s="21"/>
      <c r="I76" s="21"/>
      <c r="J76" s="21"/>
      <c r="K76" s="21"/>
      <c r="L76" s="21" t="s">
        <v>4720</v>
      </c>
      <c r="M76" s="21" t="s">
        <v>4720</v>
      </c>
      <c r="N76" s="21"/>
      <c r="O76" s="32"/>
      <c r="P76" s="32"/>
      <c r="Q76" s="21"/>
      <c r="R76" s="21" t="s">
        <v>4720</v>
      </c>
      <c r="S76" s="21" t="s">
        <v>4720</v>
      </c>
      <c r="T76" s="21"/>
      <c r="U76" s="21" t="s">
        <v>37</v>
      </c>
    </row>
    <row r="77" customFormat="false" ht="15.75" hidden="false" customHeight="false" outlineLevel="0" collapsed="false">
      <c r="A77" s="61" t="n">
        <v>5640</v>
      </c>
      <c r="B77" s="29" t="n">
        <v>44282</v>
      </c>
      <c r="C77" s="21" t="s">
        <v>394</v>
      </c>
      <c r="D77" s="21" t="s">
        <v>24</v>
      </c>
      <c r="E77" s="21" t="s">
        <v>34</v>
      </c>
      <c r="F77" s="21" t="s">
        <v>4845</v>
      </c>
      <c r="G77" s="21"/>
      <c r="H77" s="21"/>
      <c r="I77" s="21"/>
      <c r="J77" s="21"/>
      <c r="K77" s="21"/>
      <c r="L77" s="21" t="s">
        <v>4720</v>
      </c>
      <c r="M77" s="21" t="s">
        <v>4720</v>
      </c>
      <c r="N77" s="21"/>
      <c r="O77" s="32"/>
      <c r="P77" s="32"/>
      <c r="Q77" s="21"/>
      <c r="R77" s="21" t="s">
        <v>4720</v>
      </c>
      <c r="S77" s="21" t="s">
        <v>4720</v>
      </c>
      <c r="T77" s="21"/>
      <c r="U77" s="21" t="s">
        <v>37</v>
      </c>
    </row>
    <row r="78" customFormat="false" ht="15.75" hidden="false" customHeight="false" outlineLevel="0" collapsed="false">
      <c r="A78" s="61" t="n">
        <v>5641</v>
      </c>
      <c r="B78" s="29" t="n">
        <v>44282</v>
      </c>
      <c r="C78" s="21" t="s">
        <v>394</v>
      </c>
      <c r="D78" s="21" t="s">
        <v>24</v>
      </c>
      <c r="E78" s="21" t="s">
        <v>34</v>
      </c>
      <c r="F78" s="21" t="s">
        <v>4846</v>
      </c>
      <c r="G78" s="21"/>
      <c r="H78" s="21"/>
      <c r="I78" s="21"/>
      <c r="J78" s="21"/>
      <c r="K78" s="21"/>
      <c r="L78" s="21" t="s">
        <v>4720</v>
      </c>
      <c r="M78" s="21" t="s">
        <v>4720</v>
      </c>
      <c r="N78" s="21"/>
      <c r="O78" s="32"/>
      <c r="P78" s="32"/>
      <c r="Q78" s="21"/>
      <c r="R78" s="21" t="s">
        <v>4720</v>
      </c>
      <c r="S78" s="21" t="s">
        <v>4720</v>
      </c>
      <c r="T78" s="21"/>
      <c r="U78" s="21" t="s">
        <v>37</v>
      </c>
    </row>
    <row r="79" customFormat="false" ht="15.75" hidden="false" customHeight="false" outlineLevel="0" collapsed="false">
      <c r="A79" s="61" t="n">
        <v>5642</v>
      </c>
      <c r="B79" s="29" t="n">
        <v>44282</v>
      </c>
      <c r="C79" s="21" t="s">
        <v>394</v>
      </c>
      <c r="D79" s="21" t="s">
        <v>24</v>
      </c>
      <c r="E79" s="21" t="s">
        <v>34</v>
      </c>
      <c r="F79" s="21" t="s">
        <v>4846</v>
      </c>
      <c r="G79" s="21"/>
      <c r="H79" s="21"/>
      <c r="I79" s="21"/>
      <c r="J79" s="21"/>
      <c r="K79" s="21"/>
      <c r="L79" s="21" t="s">
        <v>4720</v>
      </c>
      <c r="M79" s="21" t="s">
        <v>4720</v>
      </c>
      <c r="N79" s="21"/>
      <c r="O79" s="32"/>
      <c r="P79" s="32"/>
      <c r="Q79" s="21"/>
      <c r="R79" s="21" t="s">
        <v>4720</v>
      </c>
      <c r="S79" s="21" t="s">
        <v>4720</v>
      </c>
      <c r="T79" s="21"/>
      <c r="U79" s="21" t="s">
        <v>37</v>
      </c>
    </row>
    <row r="80" customFormat="false" ht="15.75" hidden="false" customHeight="false" outlineLevel="0" collapsed="false">
      <c r="A80" s="61" t="n">
        <v>5643</v>
      </c>
      <c r="B80" s="29" t="n">
        <v>44284</v>
      </c>
      <c r="C80" s="21" t="s">
        <v>4413</v>
      </c>
      <c r="D80" s="21" t="s">
        <v>24</v>
      </c>
      <c r="E80" s="21" t="s">
        <v>25</v>
      </c>
      <c r="F80" s="21" t="s">
        <v>4847</v>
      </c>
      <c r="G80" s="21"/>
      <c r="H80" s="21"/>
      <c r="I80" s="21"/>
      <c r="J80" s="21"/>
      <c r="K80" s="21" t="s">
        <v>3376</v>
      </c>
      <c r="L80" s="21" t="s">
        <v>4720</v>
      </c>
      <c r="M80" s="21" t="s">
        <v>4720</v>
      </c>
      <c r="N80" s="21"/>
      <c r="O80" s="32"/>
      <c r="P80" s="32"/>
      <c r="Q80" s="21"/>
      <c r="R80" s="21" t="s">
        <v>4720</v>
      </c>
      <c r="S80" s="21" t="s">
        <v>4720</v>
      </c>
      <c r="T80" s="21"/>
      <c r="U80" s="21"/>
    </row>
    <row r="81" customFormat="false" ht="15.75" hidden="false" customHeight="false" outlineLevel="0" collapsed="false">
      <c r="A81" s="61" t="n">
        <v>5644</v>
      </c>
      <c r="B81" s="29" t="n">
        <v>44284</v>
      </c>
      <c r="C81" s="21" t="s">
        <v>4567</v>
      </c>
      <c r="D81" s="21" t="s">
        <v>24</v>
      </c>
      <c r="E81" s="21" t="s">
        <v>25</v>
      </c>
      <c r="F81" s="21" t="s">
        <v>4848</v>
      </c>
      <c r="G81" s="21" t="s">
        <v>4849</v>
      </c>
      <c r="H81" s="21"/>
      <c r="I81" s="21"/>
      <c r="J81" s="21"/>
      <c r="K81" s="21" t="s">
        <v>3632</v>
      </c>
      <c r="L81" s="21" t="s">
        <v>28</v>
      </c>
      <c r="M81" s="21" t="s">
        <v>28</v>
      </c>
      <c r="N81" s="21" t="s">
        <v>3814</v>
      </c>
      <c r="O81" s="32" t="s">
        <v>25</v>
      </c>
      <c r="P81" s="32"/>
      <c r="Q81" s="21" t="s">
        <v>74</v>
      </c>
      <c r="R81" s="21" t="s">
        <v>28</v>
      </c>
      <c r="S81" s="21" t="s">
        <v>28</v>
      </c>
      <c r="T81" s="21" t="s">
        <v>29</v>
      </c>
      <c r="U81" s="21"/>
    </row>
    <row r="82" customFormat="false" ht="15.75" hidden="false" customHeight="false" outlineLevel="0" collapsed="false">
      <c r="A82" s="61" t="n">
        <v>5645</v>
      </c>
      <c r="B82" s="29" t="n">
        <v>44284</v>
      </c>
      <c r="C82" s="21" t="s">
        <v>3554</v>
      </c>
      <c r="D82" s="21" t="s">
        <v>24</v>
      </c>
      <c r="E82" s="21" t="s">
        <v>25</v>
      </c>
      <c r="F82" s="21" t="s">
        <v>4850</v>
      </c>
      <c r="G82" s="21" t="s">
        <v>4851</v>
      </c>
      <c r="H82" s="21"/>
      <c r="I82" s="21"/>
      <c r="J82" s="21"/>
      <c r="K82" s="21" t="s">
        <v>3376</v>
      </c>
      <c r="L82" s="21" t="s">
        <v>28</v>
      </c>
      <c r="M82" s="21" t="s">
        <v>28</v>
      </c>
      <c r="N82" s="21" t="s">
        <v>4680</v>
      </c>
      <c r="O82" s="32" t="s">
        <v>25</v>
      </c>
      <c r="P82" s="32"/>
      <c r="Q82" s="21" t="s">
        <v>74</v>
      </c>
      <c r="R82" s="21" t="s">
        <v>28</v>
      </c>
      <c r="S82" s="21" t="s">
        <v>28</v>
      </c>
      <c r="T82" s="21" t="s">
        <v>29</v>
      </c>
      <c r="U82" s="21"/>
    </row>
    <row r="83" customFormat="false" ht="15.75" hidden="false" customHeight="false" outlineLevel="0" collapsed="false">
      <c r="A83" s="61" t="n">
        <v>5646</v>
      </c>
      <c r="B83" s="29" t="n">
        <v>44285</v>
      </c>
      <c r="C83" s="21" t="s">
        <v>4852</v>
      </c>
      <c r="D83" s="21" t="s">
        <v>24</v>
      </c>
      <c r="E83" s="21" t="s">
        <v>3337</v>
      </c>
      <c r="F83" s="21" t="s">
        <v>4853</v>
      </c>
      <c r="G83" s="21"/>
      <c r="H83" s="21"/>
      <c r="I83" s="21"/>
      <c r="J83" s="21"/>
      <c r="K83" s="21" t="s">
        <v>3722</v>
      </c>
      <c r="L83" s="21" t="s">
        <v>4720</v>
      </c>
      <c r="M83" s="21" t="s">
        <v>4720</v>
      </c>
      <c r="N83" s="21"/>
      <c r="O83" s="32"/>
      <c r="P83" s="32"/>
      <c r="Q83" s="21"/>
      <c r="R83" s="21" t="s">
        <v>4720</v>
      </c>
      <c r="S83" s="21" t="s">
        <v>4720</v>
      </c>
      <c r="T83" s="21"/>
      <c r="U83" s="21"/>
    </row>
    <row r="84" customFormat="false" ht="15.75" hidden="false" customHeight="false" outlineLevel="0" collapsed="false">
      <c r="A84" s="61" t="n">
        <v>5628</v>
      </c>
      <c r="B84" s="29" t="n">
        <v>44287</v>
      </c>
      <c r="C84" s="21" t="s">
        <v>4555</v>
      </c>
      <c r="D84" s="21" t="s">
        <v>24</v>
      </c>
      <c r="E84" s="21" t="s">
        <v>25</v>
      </c>
      <c r="F84" s="21" t="s">
        <v>4854</v>
      </c>
      <c r="G84" s="21"/>
      <c r="H84" s="21"/>
      <c r="I84" s="21"/>
      <c r="J84" s="21"/>
      <c r="K84" s="21" t="s">
        <v>4421</v>
      </c>
      <c r="L84" s="21" t="s">
        <v>4720</v>
      </c>
      <c r="M84" s="21" t="s">
        <v>4720</v>
      </c>
      <c r="N84" s="21"/>
      <c r="O84" s="32"/>
      <c r="P84" s="32"/>
      <c r="Q84" s="21"/>
      <c r="R84" s="21" t="s">
        <v>4720</v>
      </c>
      <c r="S84" s="21" t="s">
        <v>4720</v>
      </c>
      <c r="T84" s="21"/>
      <c r="U84" s="21"/>
    </row>
    <row r="85" customFormat="false" ht="15.75" hidden="false" customHeight="false" outlineLevel="0" collapsed="false">
      <c r="A85" s="61" t="s">
        <v>4855</v>
      </c>
      <c r="B85" s="29" t="n">
        <v>44287</v>
      </c>
      <c r="C85" s="21" t="s">
        <v>4555</v>
      </c>
      <c r="D85" s="21" t="s">
        <v>578</v>
      </c>
      <c r="E85" s="21" t="s">
        <v>25</v>
      </c>
      <c r="F85" s="21" t="s">
        <v>4856</v>
      </c>
      <c r="G85" s="21"/>
      <c r="H85" s="21"/>
      <c r="I85" s="21"/>
      <c r="J85" s="21"/>
      <c r="K85" s="21" t="s">
        <v>578</v>
      </c>
      <c r="L85" s="21" t="s">
        <v>4720</v>
      </c>
      <c r="M85" s="21" t="s">
        <v>4720</v>
      </c>
      <c r="N85" s="21"/>
      <c r="O85" s="32"/>
      <c r="P85" s="32"/>
      <c r="Q85" s="21"/>
      <c r="R85" s="21" t="s">
        <v>4720</v>
      </c>
      <c r="S85" s="21" t="s">
        <v>4720</v>
      </c>
      <c r="T85" s="21"/>
      <c r="U85" s="21"/>
    </row>
    <row r="86" customFormat="false" ht="15.75" hidden="false" customHeight="false" outlineLevel="0" collapsed="false">
      <c r="A86" s="12"/>
      <c r="B86" s="34"/>
      <c r="C86" s="12"/>
      <c r="D86" s="12"/>
      <c r="E86" s="12"/>
      <c r="F86" s="12"/>
      <c r="H86" s="12"/>
      <c r="I86" s="12"/>
      <c r="J86" s="12"/>
      <c r="K86" s="12"/>
    </row>
    <row r="1048575" customFormat="false" ht="12.8" hidden="false" customHeight="true" outlineLevel="0" collapsed="false"/>
    <row r="1048576" customFormat="false" ht="12.8" hidden="false" customHeight="true" outlineLevel="0" collapsed="false"/>
  </sheetData>
  <conditionalFormatting sqref="C2:S85 T2:T18 U2:U85 T20:T85">
    <cfRule type="containsText" priority="2" operator="containsText" aboveAverage="0" equalAverage="0" bottom="0" percent="0" rank="0" text="No aplica" dxfId="1">
      <formula>NOT(ISERROR(SEARCH("No aplica",C2)))</formula>
    </cfRule>
    <cfRule type="cellIs" priority="3" operator="equal" aboveAverage="0" equalAverage="0" bottom="0" percent="0" rank="0" text="" dxfId="0">
      <formula>"Completo"</formula>
    </cfRule>
  </conditionalFormatting>
  <conditionalFormatting sqref="O2:P85 G2:G85">
    <cfRule type="expression" priority="4" aboveAverage="0" equalAverage="0" bottom="0" percent="0" rank="0" text="" dxfId="0">
      <formula>LEN(TRIM(G2))&gt;0</formula>
    </cfRule>
  </conditionalFormatting>
  <conditionalFormatting sqref="N2:N85">
    <cfRule type="expression" priority="5" aboveAverage="0" equalAverage="0" bottom="0" percent="0" rank="0" text="" dxfId="0">
      <formula>LEN(TRIM(N2))&gt;0</formula>
    </cfRule>
  </conditionalFormatting>
  <conditionalFormatting sqref="Q2:Q85">
    <cfRule type="expression" priority="6" aboveAverage="0" equalAverage="0" bottom="0" percent="0" rank="0" text="" dxfId="0">
      <formula>LEN(TRIM(Q2))&gt;0</formula>
    </cfRule>
  </conditionalFormatting>
  <conditionalFormatting sqref="T2:T18 T20:T85">
    <cfRule type="expression" priority="7" aboveAverage="0" equalAverage="0" bottom="0" percent="0" rank="0" text="" dxfId="0">
      <formula>LEN(TRIM(T2))&gt;0</formula>
    </cfRule>
  </conditionalFormatting>
  <conditionalFormatting sqref="L2:L85">
    <cfRule type="cellIs" priority="8" operator="equal" aboveAverage="0" equalAverage="0" bottom="0" percent="0" rank="0" text="" dxfId="15">
      <formula>"Incompleto"</formula>
    </cfRule>
  </conditionalFormatting>
  <dataValidations count="6">
    <dataValidation allowBlank="true" errorStyle="stop" operator="between" showDropDown="false" showErrorMessage="false" showInputMessage="false" sqref="Q2:Q85" type="list">
      <formula1>LEYENDA!$A$23:$A$24</formula1>
      <formula2>0</formula2>
    </dataValidation>
    <dataValidation allowBlank="true" errorStyle="stop" operator="between" showDropDown="false" showErrorMessage="false" showInputMessage="false" sqref="O2:O85" type="list">
      <formula1>LEYENDA!$A$15:$A$19</formula1>
      <formula2>0</formula2>
    </dataValidation>
    <dataValidation allowBlank="true" errorStyle="stop" operator="between" showDropDown="false" showErrorMessage="true" showInputMessage="false" sqref="L2:M85 R2:S85 U2:U85" type="list">
      <formula1>LEYENDA!$B$1:$C$1</formula1>
      <formula2>0</formula2>
    </dataValidation>
    <dataValidation allowBlank="true" errorStyle="stop" operator="between" showDropDown="false" showErrorMessage="true" showInputMessage="false" sqref="D2:D85" type="list">
      <formula1>LEYENDA!$B$2:$C$2</formula1>
      <formula2>0</formula2>
    </dataValidation>
    <dataValidation allowBlank="true" errorStyle="stop" operator="between" showDropDown="false" showErrorMessage="false" showInputMessage="false" sqref="E2:E47" type="list">
      <formula1>LEYENDA!$A$8:$A$10</formula1>
      <formula2>0</formula2>
    </dataValidation>
    <dataValidation allowBlank="true" errorStyle="stop" operator="between" showDropDown="false" showErrorMessage="false" showInputMessage="false" sqref="E48:E85" type="list">
      <formula1>LEYENDA!$A$8:$A$12</formula1>
      <formula2>0</formula2>
    </dataValidation>
  </dataValidations>
  <hyperlinks>
    <hyperlink ref="R59" r:id="rId1" display="Completo"/>
    <hyperlink ref="S59" r:id="rId2" display="Completo"/>
  </hyperlink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3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H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2.6328125" defaultRowHeight="15.75" zeroHeight="false" outlineLevelRow="0" outlineLevelCol="0"/>
  <sheetData>
    <row r="1" customFormat="false" ht="27" hidden="false" customHeight="false" outlineLevel="0" collapsed="false">
      <c r="A1" s="94" t="s">
        <v>4857</v>
      </c>
      <c r="B1" s="95" t="s">
        <v>37</v>
      </c>
      <c r="C1" s="96" t="s">
        <v>28</v>
      </c>
      <c r="F1" s="97" t="s">
        <v>32</v>
      </c>
      <c r="G1" s="98" t="s">
        <v>48</v>
      </c>
      <c r="H1" s="99" t="s">
        <v>156</v>
      </c>
    </row>
    <row r="2" customFormat="false" ht="27" hidden="false" customHeight="false" outlineLevel="0" collapsed="false">
      <c r="A2" s="100" t="s">
        <v>4858</v>
      </c>
      <c r="B2" s="101" t="s">
        <v>24</v>
      </c>
      <c r="C2" s="101" t="s">
        <v>290</v>
      </c>
      <c r="D2" s="101" t="s">
        <v>578</v>
      </c>
    </row>
    <row r="5" customFormat="false" ht="19.7" hidden="false" customHeight="false" outlineLevel="0" collapsed="false">
      <c r="A5" s="102" t="s">
        <v>4859</v>
      </c>
    </row>
    <row r="6" customFormat="false" ht="19.7" hidden="false" customHeight="false" outlineLevel="0" collapsed="false">
      <c r="A6" s="103" t="s">
        <v>4860</v>
      </c>
      <c r="C6" s="103" t="s">
        <v>4861</v>
      </c>
    </row>
    <row r="7" customFormat="false" ht="17.35" hidden="false" customHeight="false" outlineLevel="0" collapsed="false">
      <c r="A7" s="104" t="s">
        <v>4862</v>
      </c>
      <c r="B7" s="35"/>
    </row>
    <row r="8" customFormat="false" ht="15.75" hidden="false" customHeight="false" outlineLevel="0" collapsed="false">
      <c r="A8" s="105" t="s">
        <v>25</v>
      </c>
      <c r="C8" s="105" t="s">
        <v>4863</v>
      </c>
    </row>
    <row r="9" customFormat="false" ht="15.75" hidden="false" customHeight="false" outlineLevel="0" collapsed="false">
      <c r="A9" s="12" t="s">
        <v>74</v>
      </c>
      <c r="C9" s="12" t="s">
        <v>4864</v>
      </c>
    </row>
    <row r="10" customFormat="false" ht="15.75" hidden="false" customHeight="false" outlineLevel="0" collapsed="false">
      <c r="A10" s="12" t="s">
        <v>34</v>
      </c>
      <c r="C10" s="12" t="s">
        <v>4865</v>
      </c>
    </row>
    <row r="11" customFormat="false" ht="15.75" hidden="false" customHeight="false" outlineLevel="0" collapsed="false">
      <c r="A11" s="12" t="s">
        <v>30</v>
      </c>
    </row>
    <row r="12" customFormat="false" ht="15.75" hidden="false" customHeight="false" outlineLevel="0" collapsed="false">
      <c r="A12" s="12" t="s">
        <v>222</v>
      </c>
    </row>
    <row r="14" customFormat="false" ht="17.35" hidden="false" customHeight="false" outlineLevel="0" collapsed="false">
      <c r="A14" s="104" t="s">
        <v>4866</v>
      </c>
    </row>
    <row r="15" customFormat="false" ht="15.75" hidden="false" customHeight="false" outlineLevel="0" collapsed="false">
      <c r="A15" s="12" t="s">
        <v>74</v>
      </c>
    </row>
    <row r="16" customFormat="false" ht="15.75" hidden="false" customHeight="false" outlineLevel="0" collapsed="false">
      <c r="A16" s="12" t="s">
        <v>186</v>
      </c>
    </row>
    <row r="17" customFormat="false" ht="15.75" hidden="false" customHeight="false" outlineLevel="0" collapsed="false">
      <c r="A17" s="12" t="s">
        <v>58</v>
      </c>
    </row>
    <row r="18" customFormat="false" ht="15.75" hidden="false" customHeight="false" outlineLevel="0" collapsed="false">
      <c r="A18" s="12" t="s">
        <v>3113</v>
      </c>
    </row>
    <row r="19" customFormat="false" ht="15.75" hidden="false" customHeight="false" outlineLevel="0" collapsed="false">
      <c r="A19" s="12" t="s">
        <v>25</v>
      </c>
    </row>
    <row r="20" customFormat="false" ht="15.75" hidden="false" customHeight="false" outlineLevel="0" collapsed="false">
      <c r="A20" s="12" t="s">
        <v>30</v>
      </c>
    </row>
    <row r="21" customFormat="false" ht="15.75" hidden="false" customHeight="false" outlineLevel="0" collapsed="false">
      <c r="A21" s="12" t="s">
        <v>222</v>
      </c>
    </row>
    <row r="22" customFormat="false" ht="17.35" hidden="false" customHeight="false" outlineLevel="0" collapsed="false">
      <c r="A22" s="104" t="s">
        <v>4867</v>
      </c>
    </row>
    <row r="23" customFormat="false" ht="15.75" hidden="false" customHeight="false" outlineLevel="0" collapsed="false">
      <c r="A23" s="12" t="s">
        <v>74</v>
      </c>
    </row>
    <row r="24" customFormat="false" ht="15.75" hidden="false" customHeight="false" outlineLevel="0" collapsed="false">
      <c r="A24" s="12" t="s">
        <v>58</v>
      </c>
    </row>
    <row r="25" customFormat="false" ht="15.75" hidden="false" customHeight="false" outlineLevel="0" collapsed="false">
      <c r="A25" s="12" t="s">
        <v>4868</v>
      </c>
    </row>
    <row r="26" customFormat="false" ht="15.75" hidden="false" customHeight="false" outlineLevel="0" collapsed="false">
      <c r="A26" s="12" t="s">
        <v>37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14</TotalTime>
  <Application>LibreOffice/24.2.4.2$Windows_X86_64 LibreOffice_project/51a6219feb6075d9a4c46691dcfe0cd9c4fff3c2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es-CO</dc:language>
  <cp:lastModifiedBy/>
  <dcterms:modified xsi:type="dcterms:W3CDTF">2025-01-27T21:32:42Z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